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Financial\Budget\"/>
    </mc:Choice>
  </mc:AlternateContent>
  <xr:revisionPtr revIDLastSave="0" documentId="13_ncr:1_{BB11D519-A574-449C-B0C1-FFE1489DBC42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Sheet1" sheetId="1" r:id="rId1"/>
    <sheet name="Share Count" sheetId="19" r:id="rId2"/>
    <sheet name="Net Worth" sheetId="2" r:id="rId3"/>
    <sheet name="50-30-20" sheetId="3" r:id="rId4"/>
    <sheet name="Proposed Budget" sheetId="4" r:id="rId5"/>
    <sheet name="Monthly Breakdown" sheetId="6" r:id="rId6"/>
    <sheet name="Budget Breakdown" sheetId="5" r:id="rId7"/>
    <sheet name="Checking Transaction Log" sheetId="7" r:id="rId8"/>
    <sheet name="Savings Transaction Log" sheetId="8" r:id="rId9"/>
    <sheet name="Rental Breakdown" sheetId="9" r:id="rId10"/>
    <sheet name="Retirement Calculator" sheetId="10" r:id="rId11"/>
    <sheet name="TSP-401K" sheetId="11" r:id="rId12"/>
    <sheet name="Combined Retirement" sheetId="12" r:id="rId13"/>
    <sheet name="Isaac 401k" sheetId="13" r:id="rId14"/>
    <sheet name="Lorri 401b" sheetId="14" r:id="rId15"/>
    <sheet name="Guard Ret Calc" sheetId="15" r:id="rId16"/>
    <sheet name="Accounts" sheetId="16" r:id="rId17"/>
    <sheet name="Electric-Gas" sheetId="17" r:id="rId18"/>
    <sheet name="Investment Tax" sheetId="18" r:id="rId19"/>
  </sheets>
  <definedNames>
    <definedName name="_xlnm._FilterDatabase" localSheetId="7" hidden="1">'Checking Transaction Log'!$A$1:$G$1864</definedName>
    <definedName name="_xlnm._FilterDatabase" localSheetId="10" hidden="1">'Retirement Calculator'!$A$10:$P$10</definedName>
    <definedName name="Beg_Bal_2">#REF!</definedName>
    <definedName name="End_Bal_2">#REF!</definedName>
    <definedName name="Extra_Pay_2">#REF!</definedName>
    <definedName name="Int_2">#REF!</definedName>
    <definedName name="Interest_Rate_2">#REF!</definedName>
    <definedName name="Loan_Amount_2">#REF!</definedName>
    <definedName name="Loan_Start_2">#REF!</definedName>
    <definedName name="Loan_Years_2">#REF!</definedName>
    <definedName name="Num_Pmt_Per_Year_2">#REF!</definedName>
    <definedName name="Pay_Num_2">#REF!</definedName>
    <definedName name="Princ_2">#REF!</definedName>
    <definedName name="Sched_Pay_2">#REF!</definedName>
    <definedName name="Scheduled_Extra_Payments_2">#REF!</definedName>
    <definedName name="Scheduled_Monthly_Payment_2">#REF!</definedName>
    <definedName name="Total_Pay_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Y7TaH1PThT+ZCliwonASg/22YyCMOV95qK6S+0OPPNc="/>
    </ext>
  </extLst>
</workbook>
</file>

<file path=xl/calcChain.xml><?xml version="1.0" encoding="utf-8"?>
<calcChain xmlns="http://schemas.openxmlformats.org/spreadsheetml/2006/main">
  <c r="B7" i="8" l="1"/>
  <c r="B8" i="8"/>
  <c r="B9" i="8"/>
  <c r="B10" i="8"/>
  <c r="B11" i="8"/>
  <c r="B12" i="8"/>
  <c r="B13" i="8"/>
  <c r="B14" i="8"/>
  <c r="B15" i="8"/>
  <c r="Z83" i="11"/>
  <c r="Y83" i="11"/>
  <c r="V84" i="11" s="1"/>
  <c r="U83" i="11"/>
  <c r="T83" i="11"/>
  <c r="Q84" i="11" s="1"/>
  <c r="P83" i="11"/>
  <c r="O83" i="11"/>
  <c r="L84" i="11" s="1"/>
  <c r="K83" i="11"/>
  <c r="J83" i="11"/>
  <c r="H84" i="11" s="1"/>
  <c r="E83" i="11"/>
  <c r="D83" i="11"/>
  <c r="D2" i="11" s="1"/>
  <c r="B16" i="8"/>
  <c r="B17" i="8"/>
  <c r="B18" i="8"/>
  <c r="B19" i="8"/>
  <c r="B20" i="8"/>
  <c r="J34" i="5"/>
  <c r="E34" i="5"/>
  <c r="O16" i="5"/>
  <c r="J16" i="5"/>
  <c r="E16" i="5"/>
  <c r="B21" i="8"/>
  <c r="B22" i="8"/>
  <c r="B24" i="8"/>
  <c r="B23" i="8"/>
  <c r="B25" i="8"/>
  <c r="B28" i="8"/>
  <c r="B29" i="8"/>
  <c r="B27" i="8"/>
  <c r="B31" i="8"/>
  <c r="B26" i="8"/>
  <c r="B30" i="8"/>
  <c r="B32" i="8"/>
  <c r="B33" i="8"/>
  <c r="B34" i="8"/>
  <c r="B35" i="8"/>
  <c r="B36" i="8"/>
  <c r="B37" i="8"/>
  <c r="B39" i="8"/>
  <c r="B40" i="8"/>
  <c r="B38" i="8"/>
  <c r="B42" i="8"/>
  <c r="B43" i="8"/>
  <c r="B47" i="8"/>
  <c r="B51" i="8"/>
  <c r="B41" i="8"/>
  <c r="B44" i="8"/>
  <c r="B40" i="2"/>
  <c r="E82" i="11"/>
  <c r="D82" i="11"/>
  <c r="B45" i="8"/>
  <c r="B50" i="8"/>
  <c r="B48" i="8"/>
  <c r="B52" i="8"/>
  <c r="B46" i="8"/>
  <c r="B49" i="8"/>
  <c r="B58" i="8"/>
  <c r="B54" i="8"/>
  <c r="B55" i="8"/>
  <c r="B53" i="8"/>
  <c r="B56" i="8"/>
  <c r="B57" i="8"/>
  <c r="B59" i="8"/>
  <c r="B60" i="8"/>
  <c r="B61" i="8"/>
  <c r="B62" i="8"/>
  <c r="B70" i="8"/>
  <c r="B69" i="8"/>
  <c r="B68" i="8"/>
  <c r="B67" i="8"/>
  <c r="B66" i="8"/>
  <c r="B65" i="8"/>
  <c r="B64" i="8"/>
  <c r="B63" i="8"/>
  <c r="G83" i="11" l="1"/>
  <c r="A7" i="11"/>
  <c r="A9" i="11"/>
  <c r="A11" i="11"/>
  <c r="A13" i="11"/>
  <c r="A14" i="11"/>
  <c r="A16" i="11"/>
  <c r="A18" i="11"/>
  <c r="A19" i="11"/>
  <c r="A21" i="11"/>
  <c r="A23" i="11"/>
  <c r="A25" i="11"/>
  <c r="A27" i="11"/>
  <c r="A28" i="11"/>
  <c r="A30" i="11"/>
  <c r="A32" i="11"/>
  <c r="A34" i="11"/>
  <c r="A36" i="11"/>
  <c r="A37" i="11"/>
  <c r="A39" i="11"/>
  <c r="A41" i="11"/>
  <c r="A43" i="11"/>
  <c r="A45" i="11"/>
  <c r="A47" i="11"/>
  <c r="A48" i="11"/>
  <c r="A50" i="11"/>
  <c r="A52" i="11"/>
  <c r="A54" i="11"/>
  <c r="A56" i="11"/>
  <c r="A58" i="11"/>
  <c r="A60" i="11"/>
  <c r="A61" i="11"/>
  <c r="A63" i="11"/>
  <c r="A65" i="11"/>
  <c r="A67" i="11"/>
  <c r="A69" i="11"/>
  <c r="A71" i="11"/>
  <c r="A73" i="11"/>
  <c r="A74" i="11"/>
  <c r="A76" i="11"/>
  <c r="A79" i="11"/>
  <c r="A80" i="11"/>
  <c r="A82" i="11"/>
  <c r="A83" i="11"/>
  <c r="A8" i="11"/>
  <c r="A10" i="11"/>
  <c r="A12" i="11"/>
  <c r="A15" i="11"/>
  <c r="A17" i="11"/>
  <c r="A20" i="11"/>
  <c r="A22" i="11"/>
  <c r="A24" i="11"/>
  <c r="A26" i="11"/>
  <c r="A29" i="11"/>
  <c r="A31" i="11"/>
  <c r="A33" i="11"/>
  <c r="A35" i="11"/>
  <c r="A38" i="11"/>
  <c r="A40" i="11"/>
  <c r="A42" i="11"/>
  <c r="A44" i="11"/>
  <c r="A46" i="11"/>
  <c r="A49" i="11"/>
  <c r="A51" i="11"/>
  <c r="A53" i="11"/>
  <c r="A55" i="11"/>
  <c r="A57" i="11"/>
  <c r="A59" i="11"/>
  <c r="A62" i="11"/>
  <c r="A64" i="11"/>
  <c r="A66" i="11"/>
  <c r="A68" i="11"/>
  <c r="A70" i="11"/>
  <c r="A72" i="11"/>
  <c r="A75" i="11"/>
  <c r="A77" i="11"/>
  <c r="A78" i="11"/>
  <c r="A81" i="11"/>
  <c r="F83" i="11"/>
  <c r="D84" i="11" s="1"/>
  <c r="B73" i="8"/>
  <c r="B72" i="8"/>
  <c r="B74" i="8"/>
  <c r="B75" i="8"/>
  <c r="B76" i="8"/>
  <c r="B77" i="8"/>
  <c r="B78" i="8"/>
  <c r="B71" i="8"/>
  <c r="B79" i="8"/>
  <c r="B80" i="8"/>
  <c r="B81" i="8"/>
  <c r="B82" i="8"/>
  <c r="N18" i="3"/>
  <c r="H26" i="3"/>
  <c r="M18" i="3"/>
  <c r="H16" i="3"/>
  <c r="G16" i="3"/>
  <c r="N14" i="3"/>
  <c r="N12" i="3"/>
  <c r="M12" i="3"/>
  <c r="H15" i="3"/>
  <c r="H10" i="3"/>
  <c r="N10" i="3"/>
  <c r="G10" i="3"/>
  <c r="H5" i="3"/>
  <c r="N5" i="3"/>
  <c r="G5" i="3"/>
  <c r="B85" i="8"/>
  <c r="B84" i="8"/>
  <c r="B87" i="8"/>
  <c r="B86" i="8"/>
  <c r="B90" i="8"/>
  <c r="B89" i="8"/>
  <c r="B83" i="8"/>
  <c r="F14" i="2"/>
  <c r="F2" i="2" s="1"/>
  <c r="B88" i="8"/>
  <c r="R24" i="18"/>
  <c r="P22" i="18"/>
  <c r="O22" i="18"/>
  <c r="N22" i="18"/>
  <c r="M22" i="18"/>
  <c r="L22" i="18"/>
  <c r="R22" i="18" s="1"/>
  <c r="K22" i="18"/>
  <c r="J22" i="18"/>
  <c r="I22" i="18"/>
  <c r="H22" i="18"/>
  <c r="G22" i="18"/>
  <c r="F22" i="18"/>
  <c r="E22" i="18"/>
  <c r="C22" i="18"/>
  <c r="P16" i="18"/>
  <c r="O16" i="18"/>
  <c r="N16" i="18"/>
  <c r="M16" i="18"/>
  <c r="L16" i="18"/>
  <c r="R16" i="18" s="1"/>
  <c r="K16" i="18"/>
  <c r="J16" i="18"/>
  <c r="I16" i="18"/>
  <c r="H16" i="18"/>
  <c r="G16" i="18"/>
  <c r="F16" i="18"/>
  <c r="E16" i="18"/>
  <c r="D16" i="18"/>
  <c r="C16" i="18"/>
  <c r="P11" i="18"/>
  <c r="O11" i="18"/>
  <c r="N11" i="18"/>
  <c r="M11" i="18"/>
  <c r="L11" i="18"/>
  <c r="R11" i="18" s="1"/>
  <c r="K11" i="18"/>
  <c r="J11" i="18"/>
  <c r="I11" i="18"/>
  <c r="H11" i="18"/>
  <c r="G11" i="18"/>
  <c r="F11" i="18"/>
  <c r="E11" i="18"/>
  <c r="D11" i="18"/>
  <c r="C11" i="18"/>
  <c r="R6" i="18"/>
  <c r="P6" i="18"/>
  <c r="O6" i="18"/>
  <c r="N6" i="18"/>
  <c r="M6" i="18"/>
  <c r="L6" i="18"/>
  <c r="K6" i="18"/>
  <c r="J6" i="18"/>
  <c r="I6" i="18"/>
  <c r="H6" i="18"/>
  <c r="F6" i="18"/>
  <c r="E6" i="18"/>
  <c r="D6" i="18"/>
  <c r="C6" i="18"/>
  <c r="K27" i="15"/>
  <c r="I27" i="15"/>
  <c r="G27" i="15"/>
  <c r="E27" i="15"/>
  <c r="K26" i="15"/>
  <c r="I26" i="15"/>
  <c r="G26" i="15"/>
  <c r="E26" i="15"/>
  <c r="K25" i="15"/>
  <c r="I25" i="15"/>
  <c r="G25" i="15"/>
  <c r="E25" i="15"/>
  <c r="K24" i="15"/>
  <c r="I24" i="15"/>
  <c r="G24" i="15"/>
  <c r="E24" i="15"/>
  <c r="K23" i="15"/>
  <c r="I23" i="15"/>
  <c r="G23" i="15"/>
  <c r="E23" i="15"/>
  <c r="K22" i="15"/>
  <c r="I22" i="15"/>
  <c r="G22" i="15"/>
  <c r="E22" i="15"/>
  <c r="K21" i="15"/>
  <c r="I21" i="15"/>
  <c r="G21" i="15"/>
  <c r="E21" i="15"/>
  <c r="K20" i="15"/>
  <c r="I20" i="15"/>
  <c r="G20" i="15"/>
  <c r="E20" i="15"/>
  <c r="K19" i="15"/>
  <c r="I19" i="15"/>
  <c r="G19" i="15"/>
  <c r="E19" i="15"/>
  <c r="K18" i="15"/>
  <c r="I18" i="15"/>
  <c r="G18" i="15"/>
  <c r="E18" i="15"/>
  <c r="K17" i="15"/>
  <c r="I17" i="15"/>
  <c r="G17" i="15"/>
  <c r="E17" i="15"/>
  <c r="K16" i="15"/>
  <c r="I16" i="15"/>
  <c r="G16" i="15"/>
  <c r="E16" i="15"/>
  <c r="K15" i="15"/>
  <c r="I15" i="15"/>
  <c r="G15" i="15"/>
  <c r="E15" i="15"/>
  <c r="K14" i="15"/>
  <c r="I14" i="15"/>
  <c r="G14" i="15"/>
  <c r="E14" i="15"/>
  <c r="K13" i="15"/>
  <c r="I13" i="15"/>
  <c r="G13" i="15"/>
  <c r="E13" i="15"/>
  <c r="K12" i="15"/>
  <c r="I12" i="15"/>
  <c r="G12" i="15"/>
  <c r="E12" i="15"/>
  <c r="K11" i="15"/>
  <c r="I11" i="15"/>
  <c r="G11" i="15"/>
  <c r="E11" i="15"/>
  <c r="K10" i="15"/>
  <c r="I10" i="15"/>
  <c r="G10" i="15"/>
  <c r="E10" i="15"/>
  <c r="K9" i="15"/>
  <c r="I9" i="15"/>
  <c r="G9" i="15"/>
  <c r="E9" i="15"/>
  <c r="K8" i="15"/>
  <c r="I8" i="15"/>
  <c r="G8" i="15"/>
  <c r="E8" i="15"/>
  <c r="K7" i="15"/>
  <c r="I7" i="15"/>
  <c r="G7" i="15"/>
  <c r="E7" i="15"/>
  <c r="D3" i="15"/>
  <c r="G56" i="14"/>
  <c r="G57" i="14" s="1"/>
  <c r="M8" i="14"/>
  <c r="M9" i="14" s="1"/>
  <c r="M10" i="14" s="1"/>
  <c r="G56" i="13"/>
  <c r="G57" i="13" s="1"/>
  <c r="M8" i="13"/>
  <c r="M9" i="13" s="1"/>
  <c r="E35" i="12"/>
  <c r="E32" i="12"/>
  <c r="E29" i="12"/>
  <c r="C24" i="12"/>
  <c r="C22" i="12"/>
  <c r="C17" i="12"/>
  <c r="L14" i="12"/>
  <c r="K14" i="12"/>
  <c r="K29" i="12" s="1"/>
  <c r="J14" i="12"/>
  <c r="J33" i="12" s="1"/>
  <c r="I14" i="12"/>
  <c r="I32" i="12" s="1"/>
  <c r="L13" i="12"/>
  <c r="K13" i="12"/>
  <c r="J13" i="12"/>
  <c r="I13" i="12"/>
  <c r="D13" i="12"/>
  <c r="I2" i="12" s="1"/>
  <c r="K2" i="12" s="1"/>
  <c r="C13" i="12"/>
  <c r="B13" i="12"/>
  <c r="E13" i="12" s="1"/>
  <c r="C18" i="12" s="1"/>
  <c r="O9" i="12"/>
  <c r="O8" i="12"/>
  <c r="O7" i="12"/>
  <c r="O6" i="12"/>
  <c r="O5" i="12"/>
  <c r="O4" i="12"/>
  <c r="G2" i="12"/>
  <c r="C1" i="12"/>
  <c r="B84" i="11"/>
  <c r="E81" i="11"/>
  <c r="D81" i="11"/>
  <c r="E80" i="11"/>
  <c r="D80" i="11"/>
  <c r="E79" i="11"/>
  <c r="D79" i="11"/>
  <c r="E78" i="11"/>
  <c r="D78" i="11"/>
  <c r="E77" i="11"/>
  <c r="D77" i="11"/>
  <c r="E76" i="11"/>
  <c r="D76" i="11"/>
  <c r="E75" i="11"/>
  <c r="D75" i="11"/>
  <c r="E74" i="11"/>
  <c r="D74" i="11"/>
  <c r="E73" i="11"/>
  <c r="D73" i="11"/>
  <c r="E72" i="11"/>
  <c r="D72" i="11"/>
  <c r="E71" i="11"/>
  <c r="D71" i="11"/>
  <c r="E70" i="11"/>
  <c r="D70" i="11"/>
  <c r="E69" i="11"/>
  <c r="D69" i="11"/>
  <c r="E68" i="11"/>
  <c r="D68" i="11"/>
  <c r="E67" i="11"/>
  <c r="D67" i="11"/>
  <c r="E66" i="11"/>
  <c r="D66" i="11"/>
  <c r="E65" i="11"/>
  <c r="D65" i="11"/>
  <c r="E64" i="11"/>
  <c r="D64" i="11"/>
  <c r="E63" i="11"/>
  <c r="D63" i="11"/>
  <c r="E62" i="11"/>
  <c r="D62" i="11"/>
  <c r="E61" i="11"/>
  <c r="D61" i="11"/>
  <c r="E60" i="11"/>
  <c r="D60" i="11"/>
  <c r="E59" i="11"/>
  <c r="D59" i="11"/>
  <c r="E58" i="11"/>
  <c r="D58" i="11"/>
  <c r="E57" i="11"/>
  <c r="D57" i="11"/>
  <c r="E56" i="11"/>
  <c r="D56" i="11"/>
  <c r="E55" i="11"/>
  <c r="D55" i="11"/>
  <c r="E54" i="11"/>
  <c r="D54" i="11"/>
  <c r="E53" i="11"/>
  <c r="D53" i="11"/>
  <c r="E52" i="11"/>
  <c r="D52" i="11"/>
  <c r="E51" i="11"/>
  <c r="D51" i="11"/>
  <c r="E50" i="11"/>
  <c r="D50" i="11"/>
  <c r="E49" i="11"/>
  <c r="D49" i="11"/>
  <c r="E48" i="11"/>
  <c r="D48" i="11"/>
  <c r="E47" i="11"/>
  <c r="D47" i="11"/>
  <c r="E46" i="11"/>
  <c r="D46" i="11"/>
  <c r="E45" i="11"/>
  <c r="D45" i="11"/>
  <c r="E44" i="11"/>
  <c r="D44" i="11"/>
  <c r="E43" i="11"/>
  <c r="D43" i="11"/>
  <c r="E42" i="11"/>
  <c r="D42" i="11"/>
  <c r="E41" i="11"/>
  <c r="D41" i="11"/>
  <c r="E40" i="11"/>
  <c r="D40" i="11"/>
  <c r="E39" i="11"/>
  <c r="D39" i="11"/>
  <c r="E38" i="11"/>
  <c r="D38" i="11"/>
  <c r="E37" i="11"/>
  <c r="D37" i="11"/>
  <c r="E36" i="11"/>
  <c r="D36" i="11"/>
  <c r="E35" i="11"/>
  <c r="D35" i="11"/>
  <c r="E34" i="11"/>
  <c r="D34" i="11"/>
  <c r="E33" i="11"/>
  <c r="D33" i="11"/>
  <c r="E32" i="11"/>
  <c r="D32" i="11"/>
  <c r="E31" i="11"/>
  <c r="D31" i="11"/>
  <c r="E30" i="11"/>
  <c r="D30" i="11"/>
  <c r="E29" i="11"/>
  <c r="D29" i="11"/>
  <c r="E28" i="11"/>
  <c r="D28" i="11"/>
  <c r="E27" i="11"/>
  <c r="D27" i="11"/>
  <c r="E26" i="11"/>
  <c r="D26" i="11"/>
  <c r="E25" i="11"/>
  <c r="D25" i="11"/>
  <c r="E24" i="11"/>
  <c r="D24" i="11"/>
  <c r="E23" i="11"/>
  <c r="D23" i="11"/>
  <c r="E22" i="11"/>
  <c r="D22" i="11"/>
  <c r="E21" i="11"/>
  <c r="D21" i="11"/>
  <c r="E20" i="11"/>
  <c r="D20" i="11"/>
  <c r="E19" i="11"/>
  <c r="D19" i="11"/>
  <c r="U18" i="11"/>
  <c r="T18" i="11"/>
  <c r="U19" i="11" s="1"/>
  <c r="E18" i="11"/>
  <c r="D18" i="11"/>
  <c r="E17" i="11"/>
  <c r="D17" i="11"/>
  <c r="Z16" i="11"/>
  <c r="Y16" i="11"/>
  <c r="Z17" i="11" s="1"/>
  <c r="E16" i="11"/>
  <c r="D16" i="11"/>
  <c r="E15" i="11"/>
  <c r="D15" i="11"/>
  <c r="E14" i="11"/>
  <c r="D14" i="11"/>
  <c r="E13" i="11"/>
  <c r="D13" i="11"/>
  <c r="E12" i="11"/>
  <c r="D12" i="11"/>
  <c r="E11" i="11"/>
  <c r="D11" i="11"/>
  <c r="E10" i="11"/>
  <c r="D10" i="11"/>
  <c r="K9" i="11"/>
  <c r="J9" i="11"/>
  <c r="J10" i="11" s="1"/>
  <c r="E9" i="11"/>
  <c r="D9" i="11"/>
  <c r="P8" i="11"/>
  <c r="O8" i="11"/>
  <c r="P9" i="11" s="1"/>
  <c r="K8" i="11"/>
  <c r="E8" i="11"/>
  <c r="D8" i="11"/>
  <c r="P7" i="11"/>
  <c r="F7" i="11"/>
  <c r="E7" i="11"/>
  <c r="D7" i="11"/>
  <c r="C2" i="11"/>
  <c r="A2" i="11" s="1"/>
  <c r="V1" i="11"/>
  <c r="Q1" i="11"/>
  <c r="H1171" i="10"/>
  <c r="G1171" i="10"/>
  <c r="C1171" i="10"/>
  <c r="B1171" i="10"/>
  <c r="I1170" i="10"/>
  <c r="G1170" i="10"/>
  <c r="E1170" i="10"/>
  <c r="C1170" i="10"/>
  <c r="B1170" i="10"/>
  <c r="H1170" i="10" s="1"/>
  <c r="H1169" i="10"/>
  <c r="G1169" i="10"/>
  <c r="C1169" i="10"/>
  <c r="B1169" i="10"/>
  <c r="I1168" i="10"/>
  <c r="G1168" i="10"/>
  <c r="E1168" i="10"/>
  <c r="C1168" i="10"/>
  <c r="B1168" i="10"/>
  <c r="H1168" i="10" s="1"/>
  <c r="H1167" i="10"/>
  <c r="G1167" i="10"/>
  <c r="C1167" i="10"/>
  <c r="B1167" i="10"/>
  <c r="I1166" i="10"/>
  <c r="G1166" i="10"/>
  <c r="E1166" i="10"/>
  <c r="C1166" i="10"/>
  <c r="B1166" i="10"/>
  <c r="H1166" i="10" s="1"/>
  <c r="H1165" i="10"/>
  <c r="G1165" i="10"/>
  <c r="C1165" i="10"/>
  <c r="B1165" i="10"/>
  <c r="I1164" i="10"/>
  <c r="G1164" i="10"/>
  <c r="E1164" i="10"/>
  <c r="C1164" i="10"/>
  <c r="B1164" i="10"/>
  <c r="H1164" i="10" s="1"/>
  <c r="H1163" i="10"/>
  <c r="G1163" i="10"/>
  <c r="C1163" i="10"/>
  <c r="B1163" i="10"/>
  <c r="I1162" i="10"/>
  <c r="G1162" i="10"/>
  <c r="E1162" i="10"/>
  <c r="C1162" i="10"/>
  <c r="B1162" i="10"/>
  <c r="H1162" i="10" s="1"/>
  <c r="H1161" i="10"/>
  <c r="G1161" i="10"/>
  <c r="C1161" i="10"/>
  <c r="B1161" i="10"/>
  <c r="I1160" i="10"/>
  <c r="G1160" i="10"/>
  <c r="E1160" i="10"/>
  <c r="C1160" i="10"/>
  <c r="B1160" i="10"/>
  <c r="H1160" i="10" s="1"/>
  <c r="H1159" i="10"/>
  <c r="G1159" i="10"/>
  <c r="C1159" i="10"/>
  <c r="B1159" i="10"/>
  <c r="I1158" i="10"/>
  <c r="G1158" i="10"/>
  <c r="E1158" i="10"/>
  <c r="C1158" i="10"/>
  <c r="B1158" i="10"/>
  <c r="H1158" i="10" s="1"/>
  <c r="H1157" i="10"/>
  <c r="G1157" i="10"/>
  <c r="C1157" i="10"/>
  <c r="B1157" i="10"/>
  <c r="I1156" i="10"/>
  <c r="G1156" i="10"/>
  <c r="E1156" i="10"/>
  <c r="C1156" i="10"/>
  <c r="B1156" i="10"/>
  <c r="H1156" i="10" s="1"/>
  <c r="H1155" i="10"/>
  <c r="G1155" i="10"/>
  <c r="C1155" i="10"/>
  <c r="B1155" i="10"/>
  <c r="I1154" i="10"/>
  <c r="G1154" i="10"/>
  <c r="E1154" i="10"/>
  <c r="C1154" i="10"/>
  <c r="B1154" i="10"/>
  <c r="H1154" i="10" s="1"/>
  <c r="H1153" i="10"/>
  <c r="G1153" i="10"/>
  <c r="C1153" i="10"/>
  <c r="B1153" i="10"/>
  <c r="I1152" i="10"/>
  <c r="G1152" i="10"/>
  <c r="E1152" i="10"/>
  <c r="C1152" i="10"/>
  <c r="B1152" i="10"/>
  <c r="H1152" i="10" s="1"/>
  <c r="H1151" i="10"/>
  <c r="G1151" i="10"/>
  <c r="C1151" i="10"/>
  <c r="B1151" i="10"/>
  <c r="I1150" i="10"/>
  <c r="G1150" i="10"/>
  <c r="E1150" i="10"/>
  <c r="C1150" i="10"/>
  <c r="B1150" i="10"/>
  <c r="H1150" i="10" s="1"/>
  <c r="H1149" i="10"/>
  <c r="G1149" i="10"/>
  <c r="C1149" i="10"/>
  <c r="B1149" i="10"/>
  <c r="I1148" i="10"/>
  <c r="G1148" i="10"/>
  <c r="E1148" i="10"/>
  <c r="C1148" i="10"/>
  <c r="B1148" i="10"/>
  <c r="H1148" i="10" s="1"/>
  <c r="H1147" i="10"/>
  <c r="G1147" i="10"/>
  <c r="C1147" i="10"/>
  <c r="B1147" i="10"/>
  <c r="I1146" i="10"/>
  <c r="G1146" i="10"/>
  <c r="E1146" i="10"/>
  <c r="C1146" i="10"/>
  <c r="B1146" i="10"/>
  <c r="H1146" i="10" s="1"/>
  <c r="H1145" i="10"/>
  <c r="G1145" i="10"/>
  <c r="C1145" i="10"/>
  <c r="B1145" i="10"/>
  <c r="I1144" i="10"/>
  <c r="G1144" i="10"/>
  <c r="E1144" i="10"/>
  <c r="C1144" i="10"/>
  <c r="B1144" i="10"/>
  <c r="H1144" i="10" s="1"/>
  <c r="H1143" i="10"/>
  <c r="G1143" i="10"/>
  <c r="C1143" i="10"/>
  <c r="B1143" i="10"/>
  <c r="I1142" i="10"/>
  <c r="G1142" i="10"/>
  <c r="E1142" i="10"/>
  <c r="C1142" i="10"/>
  <c r="B1142" i="10"/>
  <c r="H1142" i="10" s="1"/>
  <c r="H1141" i="10"/>
  <c r="G1141" i="10"/>
  <c r="C1141" i="10"/>
  <c r="B1141" i="10"/>
  <c r="I1140" i="10"/>
  <c r="G1140" i="10"/>
  <c r="E1140" i="10"/>
  <c r="C1140" i="10"/>
  <c r="B1140" i="10"/>
  <c r="H1140" i="10" s="1"/>
  <c r="H1139" i="10"/>
  <c r="G1139" i="10"/>
  <c r="C1139" i="10"/>
  <c r="B1139" i="10"/>
  <c r="I1138" i="10"/>
  <c r="G1138" i="10"/>
  <c r="E1138" i="10"/>
  <c r="C1138" i="10"/>
  <c r="B1138" i="10"/>
  <c r="H1138" i="10" s="1"/>
  <c r="H1137" i="10"/>
  <c r="G1137" i="10"/>
  <c r="C1137" i="10"/>
  <c r="B1137" i="10"/>
  <c r="I1136" i="10"/>
  <c r="G1136" i="10"/>
  <c r="E1136" i="10"/>
  <c r="C1136" i="10"/>
  <c r="B1136" i="10"/>
  <c r="H1136" i="10" s="1"/>
  <c r="H1135" i="10"/>
  <c r="G1135" i="10"/>
  <c r="C1135" i="10"/>
  <c r="B1135" i="10"/>
  <c r="I1134" i="10"/>
  <c r="G1134" i="10"/>
  <c r="E1134" i="10"/>
  <c r="C1134" i="10"/>
  <c r="B1134" i="10"/>
  <c r="H1134" i="10" s="1"/>
  <c r="H1133" i="10"/>
  <c r="G1133" i="10"/>
  <c r="C1133" i="10"/>
  <c r="B1133" i="10"/>
  <c r="I1132" i="10"/>
  <c r="G1132" i="10"/>
  <c r="E1132" i="10"/>
  <c r="C1132" i="10"/>
  <c r="B1132" i="10"/>
  <c r="H1132" i="10" s="1"/>
  <c r="H1131" i="10"/>
  <c r="G1131" i="10"/>
  <c r="C1131" i="10"/>
  <c r="B1131" i="10"/>
  <c r="I1130" i="10"/>
  <c r="G1130" i="10"/>
  <c r="E1130" i="10"/>
  <c r="C1130" i="10"/>
  <c r="B1130" i="10"/>
  <c r="H1130" i="10" s="1"/>
  <c r="H1129" i="10"/>
  <c r="G1129" i="10"/>
  <c r="C1129" i="10"/>
  <c r="B1129" i="10"/>
  <c r="I1128" i="10"/>
  <c r="G1128" i="10"/>
  <c r="E1128" i="10"/>
  <c r="C1128" i="10"/>
  <c r="B1128" i="10"/>
  <c r="H1128" i="10" s="1"/>
  <c r="H1127" i="10"/>
  <c r="G1127" i="10"/>
  <c r="C1127" i="10"/>
  <c r="B1127" i="10"/>
  <c r="I1126" i="10"/>
  <c r="G1126" i="10"/>
  <c r="E1126" i="10"/>
  <c r="C1126" i="10"/>
  <c r="B1126" i="10"/>
  <c r="H1126" i="10" s="1"/>
  <c r="N1125" i="10"/>
  <c r="H1125" i="10"/>
  <c r="G1125" i="10"/>
  <c r="C1125" i="10"/>
  <c r="B1125" i="10"/>
  <c r="I1124" i="10"/>
  <c r="G1124" i="10"/>
  <c r="E1124" i="10"/>
  <c r="C1124" i="10"/>
  <c r="B1124" i="10"/>
  <c r="H1124" i="10" s="1"/>
  <c r="H1123" i="10"/>
  <c r="G1123" i="10"/>
  <c r="C1123" i="10"/>
  <c r="B1123" i="10"/>
  <c r="I1122" i="10"/>
  <c r="G1122" i="10"/>
  <c r="E1122" i="10"/>
  <c r="C1122" i="10"/>
  <c r="B1122" i="10"/>
  <c r="H1122" i="10" s="1"/>
  <c r="N1121" i="10"/>
  <c r="H1121" i="10"/>
  <c r="G1121" i="10"/>
  <c r="C1121" i="10"/>
  <c r="B1121" i="10"/>
  <c r="I1120" i="10"/>
  <c r="G1120" i="10"/>
  <c r="E1120" i="10"/>
  <c r="C1120" i="10"/>
  <c r="B1120" i="10"/>
  <c r="H1120" i="10" s="1"/>
  <c r="N1119" i="10"/>
  <c r="H1119" i="10"/>
  <c r="G1119" i="10"/>
  <c r="C1119" i="10"/>
  <c r="B1119" i="10"/>
  <c r="I1118" i="10"/>
  <c r="G1118" i="10"/>
  <c r="E1118" i="10"/>
  <c r="C1118" i="10"/>
  <c r="B1118" i="10"/>
  <c r="H1118" i="10" s="1"/>
  <c r="N1117" i="10"/>
  <c r="I1117" i="10"/>
  <c r="G1117" i="10"/>
  <c r="E1117" i="10"/>
  <c r="C1117" i="10"/>
  <c r="B1117" i="10"/>
  <c r="H1117" i="10" s="1"/>
  <c r="N1116" i="10"/>
  <c r="H1116" i="10"/>
  <c r="G1116" i="10"/>
  <c r="C1116" i="10"/>
  <c r="I1116" i="10" s="1"/>
  <c r="B1116" i="10"/>
  <c r="N1115" i="10"/>
  <c r="I1115" i="10"/>
  <c r="G1115" i="10"/>
  <c r="E1115" i="10"/>
  <c r="C1115" i="10"/>
  <c r="B1115" i="10"/>
  <c r="H1115" i="10" s="1"/>
  <c r="N1114" i="10"/>
  <c r="H1114" i="10"/>
  <c r="G1114" i="10"/>
  <c r="C1114" i="10"/>
  <c r="B1114" i="10"/>
  <c r="N1113" i="10"/>
  <c r="I1113" i="10"/>
  <c r="G1113" i="10"/>
  <c r="E1113" i="10"/>
  <c r="C1113" i="10"/>
  <c r="B1113" i="10"/>
  <c r="H1113" i="10" s="1"/>
  <c r="N1112" i="10"/>
  <c r="H1112" i="10"/>
  <c r="G1112" i="10"/>
  <c r="C1112" i="10"/>
  <c r="I1112" i="10" s="1"/>
  <c r="B1112" i="10"/>
  <c r="N1111" i="10"/>
  <c r="I1111" i="10"/>
  <c r="G1111" i="10"/>
  <c r="E1111" i="10"/>
  <c r="C1111" i="10"/>
  <c r="B1111" i="10"/>
  <c r="H1111" i="10" s="1"/>
  <c r="N1110" i="10"/>
  <c r="H1110" i="10"/>
  <c r="G1110" i="10"/>
  <c r="C1110" i="10"/>
  <c r="B1110" i="10"/>
  <c r="N1109" i="10"/>
  <c r="I1109" i="10"/>
  <c r="G1109" i="10"/>
  <c r="E1109" i="10"/>
  <c r="C1109" i="10"/>
  <c r="B1109" i="10"/>
  <c r="H1109" i="10" s="1"/>
  <c r="N1108" i="10"/>
  <c r="H1108" i="10"/>
  <c r="G1108" i="10"/>
  <c r="C1108" i="10"/>
  <c r="I1108" i="10" s="1"/>
  <c r="B1108" i="10"/>
  <c r="N1107" i="10"/>
  <c r="I1107" i="10"/>
  <c r="G1107" i="10"/>
  <c r="E1107" i="10"/>
  <c r="C1107" i="10"/>
  <c r="B1107" i="10"/>
  <c r="H1107" i="10" s="1"/>
  <c r="N1106" i="10"/>
  <c r="H1106" i="10"/>
  <c r="G1106" i="10"/>
  <c r="C1106" i="10"/>
  <c r="B1106" i="10"/>
  <c r="N1105" i="10"/>
  <c r="I1105" i="10"/>
  <c r="G1105" i="10"/>
  <c r="E1105" i="10"/>
  <c r="C1105" i="10"/>
  <c r="B1105" i="10"/>
  <c r="H1105" i="10" s="1"/>
  <c r="N1104" i="10"/>
  <c r="H1104" i="10"/>
  <c r="G1104" i="10"/>
  <c r="C1104" i="10"/>
  <c r="I1104" i="10" s="1"/>
  <c r="B1104" i="10"/>
  <c r="N1103" i="10"/>
  <c r="G1103" i="10"/>
  <c r="C1103" i="10"/>
  <c r="B1103" i="10"/>
  <c r="H1103" i="10" s="1"/>
  <c r="N1102" i="10"/>
  <c r="H1102" i="10"/>
  <c r="G1102" i="10"/>
  <c r="C1102" i="10"/>
  <c r="B1102" i="10"/>
  <c r="N1101" i="10"/>
  <c r="I1101" i="10"/>
  <c r="G1101" i="10"/>
  <c r="E1101" i="10"/>
  <c r="C1101" i="10"/>
  <c r="B1101" i="10"/>
  <c r="H1101" i="10" s="1"/>
  <c r="N1100" i="10"/>
  <c r="G1100" i="10"/>
  <c r="C1100" i="10"/>
  <c r="I1100" i="10" s="1"/>
  <c r="B1100" i="10"/>
  <c r="H1100" i="10" s="1"/>
  <c r="N1099" i="10"/>
  <c r="G1099" i="10"/>
  <c r="C1099" i="10"/>
  <c r="B1099" i="10"/>
  <c r="H1099" i="10" s="1"/>
  <c r="N1098" i="10"/>
  <c r="H1098" i="10"/>
  <c r="G1098" i="10"/>
  <c r="C1098" i="10"/>
  <c r="B1098" i="10"/>
  <c r="N1097" i="10"/>
  <c r="I1097" i="10"/>
  <c r="G1097" i="10"/>
  <c r="E1097" i="10"/>
  <c r="C1097" i="10"/>
  <c r="B1097" i="10"/>
  <c r="H1097" i="10" s="1"/>
  <c r="N1096" i="10"/>
  <c r="G1096" i="10"/>
  <c r="C1096" i="10"/>
  <c r="I1096" i="10" s="1"/>
  <c r="B1096" i="10"/>
  <c r="H1096" i="10" s="1"/>
  <c r="N1095" i="10"/>
  <c r="G1095" i="10"/>
  <c r="C1095" i="10"/>
  <c r="B1095" i="10"/>
  <c r="H1095" i="10" s="1"/>
  <c r="N1094" i="10"/>
  <c r="H1094" i="10"/>
  <c r="G1094" i="10"/>
  <c r="C1094" i="10"/>
  <c r="B1094" i="10"/>
  <c r="N1093" i="10"/>
  <c r="I1093" i="10"/>
  <c r="G1093" i="10"/>
  <c r="E1093" i="10"/>
  <c r="C1093" i="10"/>
  <c r="B1093" i="10"/>
  <c r="H1093" i="10" s="1"/>
  <c r="N1092" i="10"/>
  <c r="G1092" i="10"/>
  <c r="C1092" i="10"/>
  <c r="I1092" i="10" s="1"/>
  <c r="B1092" i="10"/>
  <c r="H1092" i="10" s="1"/>
  <c r="N1091" i="10"/>
  <c r="G1091" i="10"/>
  <c r="C1091" i="10"/>
  <c r="B1091" i="10"/>
  <c r="H1091" i="10" s="1"/>
  <c r="N1090" i="10"/>
  <c r="H1090" i="10"/>
  <c r="G1090" i="10"/>
  <c r="C1090" i="10"/>
  <c r="B1090" i="10"/>
  <c r="N1089" i="10"/>
  <c r="I1089" i="10"/>
  <c r="G1089" i="10"/>
  <c r="E1089" i="10"/>
  <c r="C1089" i="10"/>
  <c r="B1089" i="10"/>
  <c r="H1089" i="10" s="1"/>
  <c r="N1088" i="10"/>
  <c r="G1088" i="10"/>
  <c r="C1088" i="10"/>
  <c r="I1088" i="10" s="1"/>
  <c r="B1088" i="10"/>
  <c r="H1088" i="10" s="1"/>
  <c r="N1087" i="10"/>
  <c r="G1087" i="10"/>
  <c r="C1087" i="10"/>
  <c r="B1087" i="10"/>
  <c r="H1087" i="10" s="1"/>
  <c r="N1086" i="10"/>
  <c r="H1086" i="10"/>
  <c r="G1086" i="10"/>
  <c r="C1086" i="10"/>
  <c r="B1086" i="10"/>
  <c r="N1085" i="10"/>
  <c r="I1085" i="10"/>
  <c r="G1085" i="10"/>
  <c r="E1085" i="10"/>
  <c r="C1085" i="10"/>
  <c r="B1085" i="10"/>
  <c r="H1085" i="10" s="1"/>
  <c r="N1084" i="10"/>
  <c r="G1084" i="10"/>
  <c r="C1084" i="10"/>
  <c r="I1084" i="10" s="1"/>
  <c r="B1084" i="10"/>
  <c r="H1084" i="10" s="1"/>
  <c r="N1083" i="10"/>
  <c r="G1083" i="10"/>
  <c r="C1083" i="10"/>
  <c r="B1083" i="10"/>
  <c r="H1083" i="10" s="1"/>
  <c r="N1082" i="10"/>
  <c r="H1082" i="10"/>
  <c r="G1082" i="10"/>
  <c r="C1082" i="10"/>
  <c r="B1082" i="10"/>
  <c r="N1081" i="10"/>
  <c r="I1081" i="10"/>
  <c r="H1081" i="10"/>
  <c r="G1081" i="10"/>
  <c r="E1081" i="10"/>
  <c r="C1081" i="10"/>
  <c r="B1081" i="10"/>
  <c r="N1080" i="10"/>
  <c r="I1080" i="10"/>
  <c r="G1080" i="10"/>
  <c r="E1080" i="10"/>
  <c r="C1080" i="10"/>
  <c r="B1080" i="10"/>
  <c r="H1080" i="10" s="1"/>
  <c r="N1079" i="10"/>
  <c r="G1079" i="10"/>
  <c r="C1079" i="10"/>
  <c r="B1079" i="10"/>
  <c r="H1079" i="10" s="1"/>
  <c r="N1078" i="10"/>
  <c r="H1078" i="10"/>
  <c r="G1078" i="10"/>
  <c r="C1078" i="10"/>
  <c r="B1078" i="10"/>
  <c r="N1077" i="10"/>
  <c r="I1077" i="10"/>
  <c r="H1077" i="10"/>
  <c r="G1077" i="10"/>
  <c r="E1077" i="10"/>
  <c r="C1077" i="10"/>
  <c r="B1077" i="10"/>
  <c r="N1076" i="10"/>
  <c r="I1076" i="10"/>
  <c r="G1076" i="10"/>
  <c r="E1076" i="10"/>
  <c r="C1076" i="10"/>
  <c r="B1076" i="10"/>
  <c r="H1076" i="10" s="1"/>
  <c r="N1075" i="10"/>
  <c r="G1075" i="10"/>
  <c r="C1075" i="10"/>
  <c r="B1075" i="10"/>
  <c r="H1075" i="10" s="1"/>
  <c r="N1074" i="10"/>
  <c r="H1074" i="10"/>
  <c r="G1074" i="10"/>
  <c r="C1074" i="10"/>
  <c r="B1074" i="10"/>
  <c r="N1073" i="10"/>
  <c r="I1073" i="10"/>
  <c r="H1073" i="10"/>
  <c r="G1073" i="10"/>
  <c r="E1073" i="10"/>
  <c r="C1073" i="10"/>
  <c r="B1073" i="10"/>
  <c r="N1072" i="10"/>
  <c r="I1072" i="10"/>
  <c r="G1072" i="10"/>
  <c r="E1072" i="10"/>
  <c r="C1072" i="10"/>
  <c r="B1072" i="10"/>
  <c r="H1072" i="10" s="1"/>
  <c r="N1071" i="10"/>
  <c r="G1071" i="10"/>
  <c r="C1071" i="10"/>
  <c r="B1071" i="10"/>
  <c r="H1071" i="10" s="1"/>
  <c r="N1070" i="10"/>
  <c r="H1070" i="10"/>
  <c r="G1070" i="10"/>
  <c r="C1070" i="10"/>
  <c r="B1070" i="10"/>
  <c r="N1069" i="10"/>
  <c r="I1069" i="10"/>
  <c r="H1069" i="10"/>
  <c r="G1069" i="10"/>
  <c r="E1069" i="10"/>
  <c r="C1069" i="10"/>
  <c r="B1069" i="10"/>
  <c r="N1068" i="10"/>
  <c r="I1068" i="10"/>
  <c r="G1068" i="10"/>
  <c r="E1068" i="10"/>
  <c r="C1068" i="10"/>
  <c r="B1068" i="10"/>
  <c r="H1068" i="10" s="1"/>
  <c r="N1067" i="10"/>
  <c r="G1067" i="10"/>
  <c r="C1067" i="10"/>
  <c r="B1067" i="10"/>
  <c r="H1067" i="10" s="1"/>
  <c r="N1066" i="10"/>
  <c r="H1066" i="10"/>
  <c r="G1066" i="10"/>
  <c r="C1066" i="10"/>
  <c r="B1066" i="10"/>
  <c r="N1065" i="10"/>
  <c r="I1065" i="10"/>
  <c r="H1065" i="10"/>
  <c r="G1065" i="10"/>
  <c r="E1065" i="10"/>
  <c r="C1065" i="10"/>
  <c r="B1065" i="10"/>
  <c r="N1064" i="10"/>
  <c r="I1064" i="10"/>
  <c r="G1064" i="10"/>
  <c r="E1064" i="10"/>
  <c r="C1064" i="10"/>
  <c r="B1064" i="10"/>
  <c r="H1064" i="10" s="1"/>
  <c r="N1063" i="10"/>
  <c r="G1063" i="10"/>
  <c r="C1063" i="10"/>
  <c r="B1063" i="10"/>
  <c r="H1063" i="10" s="1"/>
  <c r="N1062" i="10"/>
  <c r="H1062" i="10"/>
  <c r="G1062" i="10"/>
  <c r="C1062" i="10"/>
  <c r="B1062" i="10"/>
  <c r="N1061" i="10"/>
  <c r="I1061" i="10"/>
  <c r="H1061" i="10"/>
  <c r="G1061" i="10"/>
  <c r="E1061" i="10"/>
  <c r="C1061" i="10"/>
  <c r="B1061" i="10"/>
  <c r="N1060" i="10"/>
  <c r="I1060" i="10"/>
  <c r="G1060" i="10"/>
  <c r="E1060" i="10"/>
  <c r="C1060" i="10"/>
  <c r="B1060" i="10"/>
  <c r="H1060" i="10" s="1"/>
  <c r="N1059" i="10"/>
  <c r="G1059" i="10"/>
  <c r="C1059" i="10"/>
  <c r="B1059" i="10"/>
  <c r="H1059" i="10" s="1"/>
  <c r="N1058" i="10"/>
  <c r="H1058" i="10"/>
  <c r="G1058" i="10"/>
  <c r="C1058" i="10"/>
  <c r="B1058" i="10"/>
  <c r="N1057" i="10"/>
  <c r="I1057" i="10"/>
  <c r="H1057" i="10"/>
  <c r="G1057" i="10"/>
  <c r="E1057" i="10"/>
  <c r="C1057" i="10"/>
  <c r="B1057" i="10"/>
  <c r="N1056" i="10"/>
  <c r="I1056" i="10"/>
  <c r="G1056" i="10"/>
  <c r="E1056" i="10"/>
  <c r="C1056" i="10"/>
  <c r="B1056" i="10"/>
  <c r="H1056" i="10" s="1"/>
  <c r="N1055" i="10"/>
  <c r="G1055" i="10"/>
  <c r="C1055" i="10"/>
  <c r="B1055" i="10"/>
  <c r="H1055" i="10" s="1"/>
  <c r="N1054" i="10"/>
  <c r="H1054" i="10"/>
  <c r="G1054" i="10"/>
  <c r="C1054" i="10"/>
  <c r="B1054" i="10"/>
  <c r="N1053" i="10"/>
  <c r="I1053" i="10"/>
  <c r="H1053" i="10"/>
  <c r="G1053" i="10"/>
  <c r="E1053" i="10"/>
  <c r="C1053" i="10"/>
  <c r="B1053" i="10"/>
  <c r="N1052" i="10"/>
  <c r="I1052" i="10"/>
  <c r="G1052" i="10"/>
  <c r="E1052" i="10"/>
  <c r="C1052" i="10"/>
  <c r="B1052" i="10"/>
  <c r="H1052" i="10" s="1"/>
  <c r="N1051" i="10"/>
  <c r="G1051" i="10"/>
  <c r="C1051" i="10"/>
  <c r="B1051" i="10"/>
  <c r="H1051" i="10" s="1"/>
  <c r="N1050" i="10"/>
  <c r="H1050" i="10"/>
  <c r="G1050" i="10"/>
  <c r="C1050" i="10"/>
  <c r="B1050" i="10"/>
  <c r="N1049" i="10"/>
  <c r="I1049" i="10"/>
  <c r="H1049" i="10"/>
  <c r="G1049" i="10"/>
  <c r="E1049" i="10"/>
  <c r="C1049" i="10"/>
  <c r="B1049" i="10"/>
  <c r="N1048" i="10"/>
  <c r="I1048" i="10"/>
  <c r="G1048" i="10"/>
  <c r="E1048" i="10"/>
  <c r="C1048" i="10"/>
  <c r="B1048" i="10"/>
  <c r="H1048" i="10" s="1"/>
  <c r="N1047" i="10"/>
  <c r="G1047" i="10"/>
  <c r="C1047" i="10"/>
  <c r="B1047" i="10"/>
  <c r="H1047" i="10" s="1"/>
  <c r="N1046" i="10"/>
  <c r="H1046" i="10"/>
  <c r="G1046" i="10"/>
  <c r="C1046" i="10"/>
  <c r="B1046" i="10"/>
  <c r="N1045" i="10"/>
  <c r="I1045" i="10"/>
  <c r="H1045" i="10"/>
  <c r="G1045" i="10"/>
  <c r="E1045" i="10"/>
  <c r="C1045" i="10"/>
  <c r="B1045" i="10"/>
  <c r="N1044" i="10"/>
  <c r="I1044" i="10"/>
  <c r="G1044" i="10"/>
  <c r="E1044" i="10"/>
  <c r="C1044" i="10"/>
  <c r="B1044" i="10"/>
  <c r="H1044" i="10" s="1"/>
  <c r="N1043" i="10"/>
  <c r="G1043" i="10"/>
  <c r="C1043" i="10"/>
  <c r="B1043" i="10"/>
  <c r="H1043" i="10" s="1"/>
  <c r="N1042" i="10"/>
  <c r="H1042" i="10"/>
  <c r="G1042" i="10"/>
  <c r="C1042" i="10"/>
  <c r="B1042" i="10"/>
  <c r="N1041" i="10"/>
  <c r="I1041" i="10"/>
  <c r="H1041" i="10"/>
  <c r="G1041" i="10"/>
  <c r="E1041" i="10"/>
  <c r="C1041" i="10"/>
  <c r="B1041" i="10"/>
  <c r="N1040" i="10"/>
  <c r="G1040" i="10"/>
  <c r="C1040" i="10"/>
  <c r="I1040" i="10" s="1"/>
  <c r="B1040" i="10"/>
  <c r="H1040" i="10" s="1"/>
  <c r="N1039" i="10"/>
  <c r="G1039" i="10"/>
  <c r="C1039" i="10"/>
  <c r="B1039" i="10"/>
  <c r="H1039" i="10" s="1"/>
  <c r="N1038" i="10"/>
  <c r="H1038" i="10"/>
  <c r="G1038" i="10"/>
  <c r="C1038" i="10"/>
  <c r="B1038" i="10"/>
  <c r="N1037" i="10"/>
  <c r="I1037" i="10"/>
  <c r="H1037" i="10"/>
  <c r="G1037" i="10"/>
  <c r="E1037" i="10"/>
  <c r="C1037" i="10"/>
  <c r="B1037" i="10"/>
  <c r="N1036" i="10"/>
  <c r="G1036" i="10"/>
  <c r="C1036" i="10"/>
  <c r="I1036" i="10" s="1"/>
  <c r="B1036" i="10"/>
  <c r="H1036" i="10" s="1"/>
  <c r="N1035" i="10"/>
  <c r="G1035" i="10"/>
  <c r="C1035" i="10"/>
  <c r="B1035" i="10"/>
  <c r="H1035" i="10" s="1"/>
  <c r="N1034" i="10"/>
  <c r="H1034" i="10"/>
  <c r="G1034" i="10"/>
  <c r="C1034" i="10"/>
  <c r="B1034" i="10"/>
  <c r="N1033" i="10"/>
  <c r="I1033" i="10"/>
  <c r="G1033" i="10"/>
  <c r="E1033" i="10"/>
  <c r="C1033" i="10"/>
  <c r="B1033" i="10"/>
  <c r="H1033" i="10" s="1"/>
  <c r="N1032" i="10"/>
  <c r="G1032" i="10"/>
  <c r="C1032" i="10"/>
  <c r="I1032" i="10" s="1"/>
  <c r="B1032" i="10"/>
  <c r="H1032" i="10" s="1"/>
  <c r="N1031" i="10"/>
  <c r="G1031" i="10"/>
  <c r="C1031" i="10"/>
  <c r="B1031" i="10"/>
  <c r="H1031" i="10" s="1"/>
  <c r="N1030" i="10"/>
  <c r="H1030" i="10"/>
  <c r="G1030" i="10"/>
  <c r="C1030" i="10"/>
  <c r="B1030" i="10"/>
  <c r="N1029" i="10"/>
  <c r="I1029" i="10"/>
  <c r="H1029" i="10"/>
  <c r="G1029" i="10"/>
  <c r="E1029" i="10"/>
  <c r="C1029" i="10"/>
  <c r="B1029" i="10"/>
  <c r="N1028" i="10"/>
  <c r="I1028" i="10"/>
  <c r="G1028" i="10"/>
  <c r="E1028" i="10"/>
  <c r="C1028" i="10"/>
  <c r="B1028" i="10"/>
  <c r="H1028" i="10" s="1"/>
  <c r="N1027" i="10"/>
  <c r="G1027" i="10"/>
  <c r="C1027" i="10"/>
  <c r="B1027" i="10"/>
  <c r="H1027" i="10" s="1"/>
  <c r="N1026" i="10"/>
  <c r="H1026" i="10"/>
  <c r="G1026" i="10"/>
  <c r="C1026" i="10"/>
  <c r="B1026" i="10"/>
  <c r="N1025" i="10"/>
  <c r="I1025" i="10"/>
  <c r="H1025" i="10"/>
  <c r="G1025" i="10"/>
  <c r="E1025" i="10"/>
  <c r="C1025" i="10"/>
  <c r="B1025" i="10"/>
  <c r="N1024" i="10"/>
  <c r="G1024" i="10"/>
  <c r="E1024" i="10"/>
  <c r="C1024" i="10"/>
  <c r="I1024" i="10" s="1"/>
  <c r="B1024" i="10"/>
  <c r="H1024" i="10" s="1"/>
  <c r="N1023" i="10"/>
  <c r="G1023" i="10"/>
  <c r="C1023" i="10"/>
  <c r="B1023" i="10"/>
  <c r="H1023" i="10" s="1"/>
  <c r="N1022" i="10"/>
  <c r="H1022" i="10"/>
  <c r="G1022" i="10"/>
  <c r="C1022" i="10"/>
  <c r="B1022" i="10"/>
  <c r="N1021" i="10"/>
  <c r="I1021" i="10"/>
  <c r="H1021" i="10"/>
  <c r="G1021" i="10"/>
  <c r="E1021" i="10"/>
  <c r="C1021" i="10"/>
  <c r="B1021" i="10"/>
  <c r="N1020" i="10"/>
  <c r="G1020" i="10"/>
  <c r="C1020" i="10"/>
  <c r="I1020" i="10" s="1"/>
  <c r="B1020" i="10"/>
  <c r="H1020" i="10" s="1"/>
  <c r="N1019" i="10"/>
  <c r="G1019" i="10"/>
  <c r="C1019" i="10"/>
  <c r="B1019" i="10"/>
  <c r="H1019" i="10" s="1"/>
  <c r="N1018" i="10"/>
  <c r="H1018" i="10"/>
  <c r="G1018" i="10"/>
  <c r="C1018" i="10"/>
  <c r="B1018" i="10"/>
  <c r="N1017" i="10"/>
  <c r="I1017" i="10"/>
  <c r="G1017" i="10"/>
  <c r="E1017" i="10"/>
  <c r="C1017" i="10"/>
  <c r="B1017" i="10"/>
  <c r="H1017" i="10" s="1"/>
  <c r="N1016" i="10"/>
  <c r="G1016" i="10"/>
  <c r="C1016" i="10"/>
  <c r="I1016" i="10" s="1"/>
  <c r="B1016" i="10"/>
  <c r="H1016" i="10" s="1"/>
  <c r="N1015" i="10"/>
  <c r="G1015" i="10"/>
  <c r="C1015" i="10"/>
  <c r="B1015" i="10"/>
  <c r="H1015" i="10" s="1"/>
  <c r="N1014" i="10"/>
  <c r="H1014" i="10"/>
  <c r="G1014" i="10"/>
  <c r="C1014" i="10"/>
  <c r="B1014" i="10"/>
  <c r="N1013" i="10"/>
  <c r="I1013" i="10"/>
  <c r="G1013" i="10"/>
  <c r="E1013" i="10"/>
  <c r="C1013" i="10"/>
  <c r="B1013" i="10"/>
  <c r="H1013" i="10" s="1"/>
  <c r="N1012" i="10"/>
  <c r="G1012" i="10"/>
  <c r="C1012" i="10"/>
  <c r="I1012" i="10" s="1"/>
  <c r="B1012" i="10"/>
  <c r="H1012" i="10" s="1"/>
  <c r="N1011" i="10"/>
  <c r="G1011" i="10"/>
  <c r="C1011" i="10"/>
  <c r="B1011" i="10"/>
  <c r="H1011" i="10" s="1"/>
  <c r="N1010" i="10"/>
  <c r="H1010" i="10"/>
  <c r="G1010" i="10"/>
  <c r="C1010" i="10"/>
  <c r="B1010" i="10"/>
  <c r="N1009" i="10"/>
  <c r="I1009" i="10"/>
  <c r="H1009" i="10"/>
  <c r="G1009" i="10"/>
  <c r="E1009" i="10"/>
  <c r="C1009" i="10"/>
  <c r="B1009" i="10"/>
  <c r="N1008" i="10"/>
  <c r="G1008" i="10"/>
  <c r="C1008" i="10"/>
  <c r="I1008" i="10" s="1"/>
  <c r="B1008" i="10"/>
  <c r="H1008" i="10" s="1"/>
  <c r="N1007" i="10"/>
  <c r="G1007" i="10"/>
  <c r="C1007" i="10"/>
  <c r="B1007" i="10"/>
  <c r="H1007" i="10" s="1"/>
  <c r="N1006" i="10"/>
  <c r="H1006" i="10"/>
  <c r="G1006" i="10"/>
  <c r="C1006" i="10"/>
  <c r="B1006" i="10"/>
  <c r="N1005" i="10"/>
  <c r="I1005" i="10"/>
  <c r="G1005" i="10"/>
  <c r="E1005" i="10"/>
  <c r="C1005" i="10"/>
  <c r="B1005" i="10"/>
  <c r="H1005" i="10" s="1"/>
  <c r="N1004" i="10"/>
  <c r="G1004" i="10"/>
  <c r="C1004" i="10"/>
  <c r="I1004" i="10" s="1"/>
  <c r="B1004" i="10"/>
  <c r="H1004" i="10" s="1"/>
  <c r="N1003" i="10"/>
  <c r="G1003" i="10"/>
  <c r="C1003" i="10"/>
  <c r="B1003" i="10"/>
  <c r="H1003" i="10" s="1"/>
  <c r="N1002" i="10"/>
  <c r="H1002" i="10"/>
  <c r="G1002" i="10"/>
  <c r="C1002" i="10"/>
  <c r="B1002" i="10"/>
  <c r="N1001" i="10"/>
  <c r="I1001" i="10"/>
  <c r="G1001" i="10"/>
  <c r="E1001" i="10"/>
  <c r="C1001" i="10"/>
  <c r="B1001" i="10"/>
  <c r="H1001" i="10" s="1"/>
  <c r="N1000" i="10"/>
  <c r="G1000" i="10"/>
  <c r="C1000" i="10"/>
  <c r="I1000" i="10" s="1"/>
  <c r="B1000" i="10"/>
  <c r="H1000" i="10" s="1"/>
  <c r="N999" i="10"/>
  <c r="G999" i="10"/>
  <c r="C999" i="10"/>
  <c r="B999" i="10"/>
  <c r="H999" i="10" s="1"/>
  <c r="N998" i="10"/>
  <c r="H998" i="10"/>
  <c r="G998" i="10"/>
  <c r="C998" i="10"/>
  <c r="B998" i="10"/>
  <c r="N997" i="10"/>
  <c r="I997" i="10"/>
  <c r="G997" i="10"/>
  <c r="E997" i="10"/>
  <c r="C997" i="10"/>
  <c r="B997" i="10"/>
  <c r="H997" i="10" s="1"/>
  <c r="N996" i="10"/>
  <c r="G996" i="10"/>
  <c r="C996" i="10"/>
  <c r="I996" i="10" s="1"/>
  <c r="B996" i="10"/>
  <c r="H996" i="10" s="1"/>
  <c r="N995" i="10"/>
  <c r="G995" i="10"/>
  <c r="C995" i="10"/>
  <c r="B995" i="10"/>
  <c r="H995" i="10" s="1"/>
  <c r="N994" i="10"/>
  <c r="H994" i="10"/>
  <c r="G994" i="10"/>
  <c r="C994" i="10"/>
  <c r="B994" i="10"/>
  <c r="N993" i="10"/>
  <c r="I993" i="10"/>
  <c r="G993" i="10"/>
  <c r="E993" i="10"/>
  <c r="C993" i="10"/>
  <c r="B993" i="10"/>
  <c r="H993" i="10" s="1"/>
  <c r="N992" i="10"/>
  <c r="G992" i="10"/>
  <c r="C992" i="10"/>
  <c r="I992" i="10" s="1"/>
  <c r="B992" i="10"/>
  <c r="H992" i="10" s="1"/>
  <c r="N991" i="10"/>
  <c r="G991" i="10"/>
  <c r="C991" i="10"/>
  <c r="B991" i="10"/>
  <c r="H991" i="10" s="1"/>
  <c r="N990" i="10"/>
  <c r="H990" i="10"/>
  <c r="G990" i="10"/>
  <c r="C990" i="10"/>
  <c r="B990" i="10"/>
  <c r="N989" i="10"/>
  <c r="I989" i="10"/>
  <c r="G989" i="10"/>
  <c r="E989" i="10"/>
  <c r="C989" i="10"/>
  <c r="B989" i="10"/>
  <c r="H989" i="10" s="1"/>
  <c r="N988" i="10"/>
  <c r="G988" i="10"/>
  <c r="C988" i="10"/>
  <c r="I988" i="10" s="1"/>
  <c r="B988" i="10"/>
  <c r="H988" i="10" s="1"/>
  <c r="N987" i="10"/>
  <c r="G987" i="10"/>
  <c r="C987" i="10"/>
  <c r="B987" i="10"/>
  <c r="H987" i="10" s="1"/>
  <c r="N986" i="10"/>
  <c r="H986" i="10"/>
  <c r="G986" i="10"/>
  <c r="C986" i="10"/>
  <c r="B986" i="10"/>
  <c r="N985" i="10"/>
  <c r="I985" i="10"/>
  <c r="G985" i="10"/>
  <c r="E985" i="10"/>
  <c r="C985" i="10"/>
  <c r="B985" i="10"/>
  <c r="H985" i="10" s="1"/>
  <c r="N984" i="10"/>
  <c r="G984" i="10"/>
  <c r="C984" i="10"/>
  <c r="I984" i="10" s="1"/>
  <c r="B984" i="10"/>
  <c r="H984" i="10" s="1"/>
  <c r="N983" i="10"/>
  <c r="G983" i="10"/>
  <c r="C983" i="10"/>
  <c r="B983" i="10"/>
  <c r="H983" i="10" s="1"/>
  <c r="N982" i="10"/>
  <c r="H982" i="10"/>
  <c r="G982" i="10"/>
  <c r="C982" i="10"/>
  <c r="B982" i="10"/>
  <c r="N981" i="10"/>
  <c r="I981" i="10"/>
  <c r="G981" i="10"/>
  <c r="E981" i="10"/>
  <c r="C981" i="10"/>
  <c r="B981" i="10"/>
  <c r="H981" i="10" s="1"/>
  <c r="N980" i="10"/>
  <c r="G980" i="10"/>
  <c r="C980" i="10"/>
  <c r="I980" i="10" s="1"/>
  <c r="B980" i="10"/>
  <c r="H980" i="10" s="1"/>
  <c r="N979" i="10"/>
  <c r="G979" i="10"/>
  <c r="C979" i="10"/>
  <c r="B979" i="10"/>
  <c r="H979" i="10" s="1"/>
  <c r="N978" i="10"/>
  <c r="H978" i="10"/>
  <c r="G978" i="10"/>
  <c r="C978" i="10"/>
  <c r="B978" i="10"/>
  <c r="N977" i="10"/>
  <c r="I977" i="10"/>
  <c r="G977" i="10"/>
  <c r="E977" i="10"/>
  <c r="C977" i="10"/>
  <c r="B977" i="10"/>
  <c r="H977" i="10" s="1"/>
  <c r="N976" i="10"/>
  <c r="G976" i="10"/>
  <c r="C976" i="10"/>
  <c r="I976" i="10" s="1"/>
  <c r="B976" i="10"/>
  <c r="H976" i="10" s="1"/>
  <c r="N975" i="10"/>
  <c r="G975" i="10"/>
  <c r="C975" i="10"/>
  <c r="B975" i="10"/>
  <c r="H975" i="10" s="1"/>
  <c r="N974" i="10"/>
  <c r="H974" i="10"/>
  <c r="G974" i="10"/>
  <c r="C974" i="10"/>
  <c r="B974" i="10"/>
  <c r="N973" i="10"/>
  <c r="I973" i="10"/>
  <c r="G973" i="10"/>
  <c r="E973" i="10"/>
  <c r="C973" i="10"/>
  <c r="B973" i="10"/>
  <c r="H973" i="10" s="1"/>
  <c r="N972" i="10"/>
  <c r="G972" i="10"/>
  <c r="C972" i="10"/>
  <c r="I972" i="10" s="1"/>
  <c r="B972" i="10"/>
  <c r="H972" i="10" s="1"/>
  <c r="N971" i="10"/>
  <c r="G971" i="10"/>
  <c r="C971" i="10"/>
  <c r="B971" i="10"/>
  <c r="H971" i="10" s="1"/>
  <c r="N970" i="10"/>
  <c r="H970" i="10"/>
  <c r="G970" i="10"/>
  <c r="C970" i="10"/>
  <c r="B970" i="10"/>
  <c r="N969" i="10"/>
  <c r="I969" i="10"/>
  <c r="G969" i="10"/>
  <c r="E969" i="10"/>
  <c r="C969" i="10"/>
  <c r="B969" i="10"/>
  <c r="H969" i="10" s="1"/>
  <c r="N968" i="10"/>
  <c r="G968" i="10"/>
  <c r="C968" i="10"/>
  <c r="I968" i="10" s="1"/>
  <c r="B968" i="10"/>
  <c r="H968" i="10" s="1"/>
  <c r="N967" i="10"/>
  <c r="G967" i="10"/>
  <c r="C967" i="10"/>
  <c r="B967" i="10"/>
  <c r="H967" i="10" s="1"/>
  <c r="N966" i="10"/>
  <c r="H966" i="10"/>
  <c r="G966" i="10"/>
  <c r="C966" i="10"/>
  <c r="B966" i="10"/>
  <c r="N965" i="10"/>
  <c r="I965" i="10"/>
  <c r="G965" i="10"/>
  <c r="E965" i="10"/>
  <c r="C965" i="10"/>
  <c r="B965" i="10"/>
  <c r="H965" i="10" s="1"/>
  <c r="N964" i="10"/>
  <c r="G964" i="10"/>
  <c r="C964" i="10"/>
  <c r="I964" i="10" s="1"/>
  <c r="B964" i="10"/>
  <c r="H964" i="10" s="1"/>
  <c r="N963" i="10"/>
  <c r="G963" i="10"/>
  <c r="C963" i="10"/>
  <c r="B963" i="10"/>
  <c r="H963" i="10" s="1"/>
  <c r="N962" i="10"/>
  <c r="H962" i="10"/>
  <c r="G962" i="10"/>
  <c r="C962" i="10"/>
  <c r="B962" i="10"/>
  <c r="N961" i="10"/>
  <c r="I961" i="10"/>
  <c r="G961" i="10"/>
  <c r="E961" i="10"/>
  <c r="C961" i="10"/>
  <c r="B961" i="10"/>
  <c r="H961" i="10" s="1"/>
  <c r="N960" i="10"/>
  <c r="G960" i="10"/>
  <c r="C960" i="10"/>
  <c r="I960" i="10" s="1"/>
  <c r="B960" i="10"/>
  <c r="H960" i="10" s="1"/>
  <c r="N959" i="10"/>
  <c r="G959" i="10"/>
  <c r="C959" i="10"/>
  <c r="B959" i="10"/>
  <c r="H959" i="10" s="1"/>
  <c r="N958" i="10"/>
  <c r="H958" i="10"/>
  <c r="G958" i="10"/>
  <c r="C958" i="10"/>
  <c r="B958" i="10"/>
  <c r="N957" i="10"/>
  <c r="I957" i="10"/>
  <c r="G957" i="10"/>
  <c r="E957" i="10"/>
  <c r="C957" i="10"/>
  <c r="B957" i="10"/>
  <c r="H957" i="10" s="1"/>
  <c r="N956" i="10"/>
  <c r="G956" i="10"/>
  <c r="C956" i="10"/>
  <c r="I956" i="10" s="1"/>
  <c r="B956" i="10"/>
  <c r="H956" i="10" s="1"/>
  <c r="N955" i="10"/>
  <c r="G955" i="10"/>
  <c r="C955" i="10"/>
  <c r="B955" i="10"/>
  <c r="H955" i="10" s="1"/>
  <c r="N954" i="10"/>
  <c r="H954" i="10"/>
  <c r="G954" i="10"/>
  <c r="C954" i="10"/>
  <c r="B954" i="10"/>
  <c r="N953" i="10"/>
  <c r="I953" i="10"/>
  <c r="G953" i="10"/>
  <c r="E953" i="10"/>
  <c r="C953" i="10"/>
  <c r="B953" i="10"/>
  <c r="H953" i="10" s="1"/>
  <c r="N952" i="10"/>
  <c r="G952" i="10"/>
  <c r="C952" i="10"/>
  <c r="I952" i="10" s="1"/>
  <c r="B952" i="10"/>
  <c r="H952" i="10" s="1"/>
  <c r="N951" i="10"/>
  <c r="G951" i="10"/>
  <c r="C951" i="10"/>
  <c r="B951" i="10"/>
  <c r="H951" i="10" s="1"/>
  <c r="N950" i="10"/>
  <c r="H950" i="10"/>
  <c r="G950" i="10"/>
  <c r="C950" i="10"/>
  <c r="B950" i="10"/>
  <c r="N949" i="10"/>
  <c r="I949" i="10"/>
  <c r="G949" i="10"/>
  <c r="E949" i="10"/>
  <c r="C949" i="10"/>
  <c r="B949" i="10"/>
  <c r="H949" i="10" s="1"/>
  <c r="N948" i="10"/>
  <c r="G948" i="10"/>
  <c r="C948" i="10"/>
  <c r="I948" i="10" s="1"/>
  <c r="B948" i="10"/>
  <c r="H948" i="10" s="1"/>
  <c r="N947" i="10"/>
  <c r="G947" i="10"/>
  <c r="C947" i="10"/>
  <c r="B947" i="10"/>
  <c r="H947" i="10" s="1"/>
  <c r="N946" i="10"/>
  <c r="H946" i="10"/>
  <c r="G946" i="10"/>
  <c r="C946" i="10"/>
  <c r="B946" i="10"/>
  <c r="N945" i="10"/>
  <c r="I945" i="10"/>
  <c r="G945" i="10"/>
  <c r="E945" i="10"/>
  <c r="C945" i="10"/>
  <c r="B945" i="10"/>
  <c r="H945" i="10" s="1"/>
  <c r="N944" i="10"/>
  <c r="G944" i="10"/>
  <c r="C944" i="10"/>
  <c r="I944" i="10" s="1"/>
  <c r="B944" i="10"/>
  <c r="H944" i="10" s="1"/>
  <c r="N943" i="10"/>
  <c r="G943" i="10"/>
  <c r="C943" i="10"/>
  <c r="B943" i="10"/>
  <c r="H943" i="10" s="1"/>
  <c r="N942" i="10"/>
  <c r="H942" i="10"/>
  <c r="G942" i="10"/>
  <c r="C942" i="10"/>
  <c r="B942" i="10"/>
  <c r="N941" i="10"/>
  <c r="I941" i="10"/>
  <c r="G941" i="10"/>
  <c r="E941" i="10"/>
  <c r="C941" i="10"/>
  <c r="B941" i="10"/>
  <c r="H941" i="10" s="1"/>
  <c r="N940" i="10"/>
  <c r="G940" i="10"/>
  <c r="C940" i="10"/>
  <c r="I940" i="10" s="1"/>
  <c r="B940" i="10"/>
  <c r="H940" i="10" s="1"/>
  <c r="N939" i="10"/>
  <c r="G939" i="10"/>
  <c r="C939" i="10"/>
  <c r="B939" i="10"/>
  <c r="H939" i="10" s="1"/>
  <c r="N938" i="10"/>
  <c r="H938" i="10"/>
  <c r="G938" i="10"/>
  <c r="C938" i="10"/>
  <c r="B938" i="10"/>
  <c r="N937" i="10"/>
  <c r="I937" i="10"/>
  <c r="H937" i="10"/>
  <c r="G937" i="10"/>
  <c r="E937" i="10"/>
  <c r="C937" i="10"/>
  <c r="B937" i="10"/>
  <c r="N936" i="10"/>
  <c r="G936" i="10"/>
  <c r="C936" i="10"/>
  <c r="I936" i="10" s="1"/>
  <c r="B936" i="10"/>
  <c r="H936" i="10" s="1"/>
  <c r="N935" i="10"/>
  <c r="G935" i="10"/>
  <c r="C935" i="10"/>
  <c r="B935" i="10"/>
  <c r="H935" i="10" s="1"/>
  <c r="N934" i="10"/>
  <c r="H934" i="10"/>
  <c r="G934" i="10"/>
  <c r="C934" i="10"/>
  <c r="B934" i="10"/>
  <c r="N933" i="10"/>
  <c r="I933" i="10"/>
  <c r="G933" i="10"/>
  <c r="E933" i="10"/>
  <c r="C933" i="10"/>
  <c r="B933" i="10"/>
  <c r="H933" i="10" s="1"/>
  <c r="N932" i="10"/>
  <c r="G932" i="10"/>
  <c r="C932" i="10"/>
  <c r="I932" i="10" s="1"/>
  <c r="B932" i="10"/>
  <c r="H932" i="10" s="1"/>
  <c r="N931" i="10"/>
  <c r="G931" i="10"/>
  <c r="C931" i="10"/>
  <c r="B931" i="10"/>
  <c r="H931" i="10" s="1"/>
  <c r="N930" i="10"/>
  <c r="H930" i="10"/>
  <c r="G930" i="10"/>
  <c r="C930" i="10"/>
  <c r="B930" i="10"/>
  <c r="N929" i="10"/>
  <c r="I929" i="10"/>
  <c r="G929" i="10"/>
  <c r="E929" i="10"/>
  <c r="C929" i="10"/>
  <c r="B929" i="10"/>
  <c r="H929" i="10" s="1"/>
  <c r="N928" i="10"/>
  <c r="G928" i="10"/>
  <c r="C928" i="10"/>
  <c r="I928" i="10" s="1"/>
  <c r="B928" i="10"/>
  <c r="H928" i="10" s="1"/>
  <c r="N927" i="10"/>
  <c r="G927" i="10"/>
  <c r="C927" i="10"/>
  <c r="B927" i="10"/>
  <c r="H927" i="10" s="1"/>
  <c r="N926" i="10"/>
  <c r="H926" i="10"/>
  <c r="G926" i="10"/>
  <c r="C926" i="10"/>
  <c r="B926" i="10"/>
  <c r="N925" i="10"/>
  <c r="I925" i="10"/>
  <c r="G925" i="10"/>
  <c r="E925" i="10"/>
  <c r="C925" i="10"/>
  <c r="B925" i="10"/>
  <c r="H925" i="10" s="1"/>
  <c r="N924" i="10"/>
  <c r="G924" i="10"/>
  <c r="C924" i="10"/>
  <c r="I924" i="10" s="1"/>
  <c r="B924" i="10"/>
  <c r="H924" i="10" s="1"/>
  <c r="N923" i="10"/>
  <c r="G923" i="10"/>
  <c r="C923" i="10"/>
  <c r="B923" i="10"/>
  <c r="H923" i="10" s="1"/>
  <c r="N922" i="10"/>
  <c r="H922" i="10"/>
  <c r="G922" i="10"/>
  <c r="C922" i="10"/>
  <c r="B922" i="10"/>
  <c r="N921" i="10"/>
  <c r="I921" i="10"/>
  <c r="G921" i="10"/>
  <c r="E921" i="10"/>
  <c r="C921" i="10"/>
  <c r="B921" i="10"/>
  <c r="H921" i="10" s="1"/>
  <c r="N920" i="10"/>
  <c r="G920" i="10"/>
  <c r="C920" i="10"/>
  <c r="I920" i="10" s="1"/>
  <c r="B920" i="10"/>
  <c r="H920" i="10" s="1"/>
  <c r="N919" i="10"/>
  <c r="G919" i="10"/>
  <c r="C919" i="10"/>
  <c r="B919" i="10"/>
  <c r="H919" i="10" s="1"/>
  <c r="N918" i="10"/>
  <c r="H918" i="10"/>
  <c r="G918" i="10"/>
  <c r="C918" i="10"/>
  <c r="B918" i="10"/>
  <c r="N917" i="10"/>
  <c r="I917" i="10"/>
  <c r="G917" i="10"/>
  <c r="E917" i="10"/>
  <c r="C917" i="10"/>
  <c r="B917" i="10"/>
  <c r="H917" i="10" s="1"/>
  <c r="N916" i="10"/>
  <c r="G916" i="10"/>
  <c r="C916" i="10"/>
  <c r="I916" i="10" s="1"/>
  <c r="B916" i="10"/>
  <c r="H916" i="10" s="1"/>
  <c r="N915" i="10"/>
  <c r="G915" i="10"/>
  <c r="C915" i="10"/>
  <c r="B915" i="10"/>
  <c r="H915" i="10" s="1"/>
  <c r="N914" i="10"/>
  <c r="H914" i="10"/>
  <c r="G914" i="10"/>
  <c r="C914" i="10"/>
  <c r="B914" i="10"/>
  <c r="N913" i="10"/>
  <c r="I913" i="10"/>
  <c r="G913" i="10"/>
  <c r="E913" i="10"/>
  <c r="C913" i="10"/>
  <c r="B913" i="10"/>
  <c r="H913" i="10" s="1"/>
  <c r="N912" i="10"/>
  <c r="G912" i="10"/>
  <c r="C912" i="10"/>
  <c r="I912" i="10" s="1"/>
  <c r="B912" i="10"/>
  <c r="H912" i="10" s="1"/>
  <c r="N911" i="10"/>
  <c r="G911" i="10"/>
  <c r="C911" i="10"/>
  <c r="B911" i="10"/>
  <c r="H911" i="10" s="1"/>
  <c r="N910" i="10"/>
  <c r="H910" i="10"/>
  <c r="G910" i="10"/>
  <c r="C910" i="10"/>
  <c r="B910" i="10"/>
  <c r="N909" i="10"/>
  <c r="I909" i="10"/>
  <c r="G909" i="10"/>
  <c r="E909" i="10"/>
  <c r="C909" i="10"/>
  <c r="B909" i="10"/>
  <c r="H909" i="10" s="1"/>
  <c r="N908" i="10"/>
  <c r="G908" i="10"/>
  <c r="C908" i="10"/>
  <c r="I908" i="10" s="1"/>
  <c r="B908" i="10"/>
  <c r="H908" i="10" s="1"/>
  <c r="N907" i="10"/>
  <c r="G907" i="10"/>
  <c r="C907" i="10"/>
  <c r="B907" i="10"/>
  <c r="H907" i="10" s="1"/>
  <c r="N906" i="10"/>
  <c r="H906" i="10"/>
  <c r="G906" i="10"/>
  <c r="C906" i="10"/>
  <c r="B906" i="10"/>
  <c r="N905" i="10"/>
  <c r="I905" i="10"/>
  <c r="G905" i="10"/>
  <c r="E905" i="10"/>
  <c r="C905" i="10"/>
  <c r="B905" i="10"/>
  <c r="H905" i="10" s="1"/>
  <c r="N904" i="10"/>
  <c r="G904" i="10"/>
  <c r="C904" i="10"/>
  <c r="I904" i="10" s="1"/>
  <c r="B904" i="10"/>
  <c r="H904" i="10" s="1"/>
  <c r="N903" i="10"/>
  <c r="G903" i="10"/>
  <c r="C903" i="10"/>
  <c r="B903" i="10"/>
  <c r="H903" i="10" s="1"/>
  <c r="N902" i="10"/>
  <c r="H902" i="10"/>
  <c r="G902" i="10"/>
  <c r="C902" i="10"/>
  <c r="B902" i="10"/>
  <c r="N901" i="10"/>
  <c r="I901" i="10"/>
  <c r="G901" i="10"/>
  <c r="E901" i="10"/>
  <c r="C901" i="10"/>
  <c r="B901" i="10"/>
  <c r="H901" i="10" s="1"/>
  <c r="N900" i="10"/>
  <c r="G900" i="10"/>
  <c r="C900" i="10"/>
  <c r="I900" i="10" s="1"/>
  <c r="B900" i="10"/>
  <c r="H900" i="10" s="1"/>
  <c r="N899" i="10"/>
  <c r="G899" i="10"/>
  <c r="C899" i="10"/>
  <c r="B899" i="10"/>
  <c r="H899" i="10" s="1"/>
  <c r="N898" i="10"/>
  <c r="H898" i="10"/>
  <c r="G898" i="10"/>
  <c r="C898" i="10"/>
  <c r="B898" i="10"/>
  <c r="N897" i="10"/>
  <c r="I897" i="10"/>
  <c r="G897" i="10"/>
  <c r="E897" i="10"/>
  <c r="C897" i="10"/>
  <c r="B897" i="10"/>
  <c r="H897" i="10" s="1"/>
  <c r="N896" i="10"/>
  <c r="G896" i="10"/>
  <c r="C896" i="10"/>
  <c r="I896" i="10" s="1"/>
  <c r="B896" i="10"/>
  <c r="H896" i="10" s="1"/>
  <c r="N895" i="10"/>
  <c r="G895" i="10"/>
  <c r="C895" i="10"/>
  <c r="B895" i="10"/>
  <c r="H895" i="10" s="1"/>
  <c r="N894" i="10"/>
  <c r="H894" i="10"/>
  <c r="G894" i="10"/>
  <c r="C894" i="10"/>
  <c r="B894" i="10"/>
  <c r="N893" i="10"/>
  <c r="I893" i="10"/>
  <c r="G893" i="10"/>
  <c r="E893" i="10"/>
  <c r="C893" i="10"/>
  <c r="B893" i="10"/>
  <c r="H893" i="10" s="1"/>
  <c r="N892" i="10"/>
  <c r="G892" i="10"/>
  <c r="C892" i="10"/>
  <c r="I892" i="10" s="1"/>
  <c r="B892" i="10"/>
  <c r="H892" i="10" s="1"/>
  <c r="N891" i="10"/>
  <c r="G891" i="10"/>
  <c r="C891" i="10"/>
  <c r="B891" i="10"/>
  <c r="H891" i="10" s="1"/>
  <c r="N890" i="10"/>
  <c r="H890" i="10"/>
  <c r="G890" i="10"/>
  <c r="C890" i="10"/>
  <c r="B890" i="10"/>
  <c r="N889" i="10"/>
  <c r="I889" i="10"/>
  <c r="G889" i="10"/>
  <c r="E889" i="10"/>
  <c r="C889" i="10"/>
  <c r="B889" i="10"/>
  <c r="H889" i="10" s="1"/>
  <c r="N888" i="10"/>
  <c r="G888" i="10"/>
  <c r="C888" i="10"/>
  <c r="I888" i="10" s="1"/>
  <c r="B888" i="10"/>
  <c r="H888" i="10" s="1"/>
  <c r="N887" i="10"/>
  <c r="G887" i="10"/>
  <c r="C887" i="10"/>
  <c r="B887" i="10"/>
  <c r="H887" i="10" s="1"/>
  <c r="N886" i="10"/>
  <c r="H886" i="10"/>
  <c r="G886" i="10"/>
  <c r="C886" i="10"/>
  <c r="B886" i="10"/>
  <c r="N885" i="10"/>
  <c r="I885" i="10"/>
  <c r="G885" i="10"/>
  <c r="E885" i="10"/>
  <c r="C885" i="10"/>
  <c r="B885" i="10"/>
  <c r="H885" i="10" s="1"/>
  <c r="N884" i="10"/>
  <c r="G884" i="10"/>
  <c r="C884" i="10"/>
  <c r="I884" i="10" s="1"/>
  <c r="B884" i="10"/>
  <c r="H884" i="10" s="1"/>
  <c r="N883" i="10"/>
  <c r="G883" i="10"/>
  <c r="C883" i="10"/>
  <c r="B883" i="10"/>
  <c r="H883" i="10" s="1"/>
  <c r="N882" i="10"/>
  <c r="H882" i="10"/>
  <c r="G882" i="10"/>
  <c r="C882" i="10"/>
  <c r="B882" i="10"/>
  <c r="N881" i="10"/>
  <c r="I881" i="10"/>
  <c r="G881" i="10"/>
  <c r="E881" i="10"/>
  <c r="C881" i="10"/>
  <c r="B881" i="10"/>
  <c r="H881" i="10" s="1"/>
  <c r="N880" i="10"/>
  <c r="G880" i="10"/>
  <c r="C880" i="10"/>
  <c r="I880" i="10" s="1"/>
  <c r="B880" i="10"/>
  <c r="H880" i="10" s="1"/>
  <c r="N879" i="10"/>
  <c r="G879" i="10"/>
  <c r="C879" i="10"/>
  <c r="B879" i="10"/>
  <c r="H879" i="10" s="1"/>
  <c r="N878" i="10"/>
  <c r="H878" i="10"/>
  <c r="G878" i="10"/>
  <c r="C878" i="10"/>
  <c r="B878" i="10"/>
  <c r="N877" i="10"/>
  <c r="I877" i="10"/>
  <c r="G877" i="10"/>
  <c r="E877" i="10"/>
  <c r="C877" i="10"/>
  <c r="B877" i="10"/>
  <c r="H877" i="10" s="1"/>
  <c r="N876" i="10"/>
  <c r="G876" i="10"/>
  <c r="C876" i="10"/>
  <c r="I876" i="10" s="1"/>
  <c r="B876" i="10"/>
  <c r="H876" i="10" s="1"/>
  <c r="N875" i="10"/>
  <c r="G875" i="10"/>
  <c r="C875" i="10"/>
  <c r="B875" i="10"/>
  <c r="H875" i="10" s="1"/>
  <c r="N874" i="10"/>
  <c r="H874" i="10"/>
  <c r="G874" i="10"/>
  <c r="C874" i="10"/>
  <c r="B874" i="10"/>
  <c r="N873" i="10"/>
  <c r="I873" i="10"/>
  <c r="G873" i="10"/>
  <c r="E873" i="10"/>
  <c r="C873" i="10"/>
  <c r="B873" i="10"/>
  <c r="H873" i="10" s="1"/>
  <c r="N872" i="10"/>
  <c r="G872" i="10"/>
  <c r="C872" i="10"/>
  <c r="I872" i="10" s="1"/>
  <c r="B872" i="10"/>
  <c r="H872" i="10" s="1"/>
  <c r="N871" i="10"/>
  <c r="G871" i="10"/>
  <c r="C871" i="10"/>
  <c r="B871" i="10"/>
  <c r="H871" i="10" s="1"/>
  <c r="N870" i="10"/>
  <c r="H870" i="10"/>
  <c r="G870" i="10"/>
  <c r="C870" i="10"/>
  <c r="B870" i="10"/>
  <c r="N869" i="10"/>
  <c r="I869" i="10"/>
  <c r="G869" i="10"/>
  <c r="E869" i="10"/>
  <c r="C869" i="10"/>
  <c r="B869" i="10"/>
  <c r="H869" i="10" s="1"/>
  <c r="N868" i="10"/>
  <c r="G868" i="10"/>
  <c r="C868" i="10"/>
  <c r="I868" i="10" s="1"/>
  <c r="B868" i="10"/>
  <c r="H868" i="10" s="1"/>
  <c r="N867" i="10"/>
  <c r="G867" i="10"/>
  <c r="C867" i="10"/>
  <c r="B867" i="10"/>
  <c r="H867" i="10" s="1"/>
  <c r="N866" i="10"/>
  <c r="H866" i="10"/>
  <c r="G866" i="10"/>
  <c r="C866" i="10"/>
  <c r="B866" i="10"/>
  <c r="N865" i="10"/>
  <c r="I865" i="10"/>
  <c r="G865" i="10"/>
  <c r="E865" i="10"/>
  <c r="C865" i="10"/>
  <c r="B865" i="10"/>
  <c r="H865" i="10" s="1"/>
  <c r="N864" i="10"/>
  <c r="G864" i="10"/>
  <c r="C864" i="10"/>
  <c r="I864" i="10" s="1"/>
  <c r="B864" i="10"/>
  <c r="H864" i="10" s="1"/>
  <c r="N863" i="10"/>
  <c r="G863" i="10"/>
  <c r="C863" i="10"/>
  <c r="B863" i="10"/>
  <c r="H863" i="10" s="1"/>
  <c r="N862" i="10"/>
  <c r="H862" i="10"/>
  <c r="G862" i="10"/>
  <c r="C862" i="10"/>
  <c r="B862" i="10"/>
  <c r="N861" i="10"/>
  <c r="I861" i="10"/>
  <c r="G861" i="10"/>
  <c r="E861" i="10"/>
  <c r="C861" i="10"/>
  <c r="B861" i="10"/>
  <c r="H861" i="10" s="1"/>
  <c r="N860" i="10"/>
  <c r="G860" i="10"/>
  <c r="C860" i="10"/>
  <c r="I860" i="10" s="1"/>
  <c r="B860" i="10"/>
  <c r="H860" i="10" s="1"/>
  <c r="N859" i="10"/>
  <c r="G859" i="10"/>
  <c r="C859" i="10"/>
  <c r="B859" i="10"/>
  <c r="H859" i="10" s="1"/>
  <c r="N858" i="10"/>
  <c r="H858" i="10"/>
  <c r="G858" i="10"/>
  <c r="C858" i="10"/>
  <c r="B858" i="10"/>
  <c r="N857" i="10"/>
  <c r="I857" i="10"/>
  <c r="G857" i="10"/>
  <c r="E857" i="10"/>
  <c r="C857" i="10"/>
  <c r="B857" i="10"/>
  <c r="H857" i="10" s="1"/>
  <c r="N856" i="10"/>
  <c r="G856" i="10"/>
  <c r="C856" i="10"/>
  <c r="I856" i="10" s="1"/>
  <c r="B856" i="10"/>
  <c r="H856" i="10" s="1"/>
  <c r="N855" i="10"/>
  <c r="G855" i="10"/>
  <c r="C855" i="10"/>
  <c r="B855" i="10"/>
  <c r="H855" i="10" s="1"/>
  <c r="N854" i="10"/>
  <c r="H854" i="10"/>
  <c r="G854" i="10"/>
  <c r="C854" i="10"/>
  <c r="B854" i="10"/>
  <c r="N853" i="10"/>
  <c r="I853" i="10"/>
  <c r="G853" i="10"/>
  <c r="E853" i="10"/>
  <c r="C853" i="10"/>
  <c r="B853" i="10"/>
  <c r="H853" i="10" s="1"/>
  <c r="N852" i="10"/>
  <c r="G852" i="10"/>
  <c r="C852" i="10"/>
  <c r="I852" i="10" s="1"/>
  <c r="B852" i="10"/>
  <c r="H852" i="10" s="1"/>
  <c r="N851" i="10"/>
  <c r="G851" i="10"/>
  <c r="C851" i="10"/>
  <c r="B851" i="10"/>
  <c r="H851" i="10" s="1"/>
  <c r="N850" i="10"/>
  <c r="H850" i="10"/>
  <c r="G850" i="10"/>
  <c r="C850" i="10"/>
  <c r="B850" i="10"/>
  <c r="N849" i="10"/>
  <c r="I849" i="10"/>
  <c r="G849" i="10"/>
  <c r="E849" i="10"/>
  <c r="C849" i="10"/>
  <c r="B849" i="10"/>
  <c r="H849" i="10" s="1"/>
  <c r="N848" i="10"/>
  <c r="G848" i="10"/>
  <c r="C848" i="10"/>
  <c r="I848" i="10" s="1"/>
  <c r="B848" i="10"/>
  <c r="H848" i="10" s="1"/>
  <c r="N847" i="10"/>
  <c r="G847" i="10"/>
  <c r="C847" i="10"/>
  <c r="B847" i="10"/>
  <c r="H847" i="10" s="1"/>
  <c r="N846" i="10"/>
  <c r="H846" i="10"/>
  <c r="G846" i="10"/>
  <c r="C846" i="10"/>
  <c r="B846" i="10"/>
  <c r="N845" i="10"/>
  <c r="I845" i="10"/>
  <c r="G845" i="10"/>
  <c r="E845" i="10"/>
  <c r="C845" i="10"/>
  <c r="B845" i="10"/>
  <c r="H845" i="10" s="1"/>
  <c r="N844" i="10"/>
  <c r="G844" i="10"/>
  <c r="C844" i="10"/>
  <c r="I844" i="10" s="1"/>
  <c r="B844" i="10"/>
  <c r="H844" i="10" s="1"/>
  <c r="N843" i="10"/>
  <c r="G843" i="10"/>
  <c r="C843" i="10"/>
  <c r="B843" i="10"/>
  <c r="H843" i="10" s="1"/>
  <c r="N842" i="10"/>
  <c r="H842" i="10"/>
  <c r="G842" i="10"/>
  <c r="C842" i="10"/>
  <c r="B842" i="10"/>
  <c r="N841" i="10"/>
  <c r="I841" i="10"/>
  <c r="G841" i="10"/>
  <c r="E841" i="10"/>
  <c r="C841" i="10"/>
  <c r="B841" i="10"/>
  <c r="H841" i="10" s="1"/>
  <c r="N840" i="10"/>
  <c r="G840" i="10"/>
  <c r="C840" i="10"/>
  <c r="I840" i="10" s="1"/>
  <c r="B840" i="10"/>
  <c r="H840" i="10" s="1"/>
  <c r="N839" i="10"/>
  <c r="G839" i="10"/>
  <c r="C839" i="10"/>
  <c r="B839" i="10"/>
  <c r="H839" i="10" s="1"/>
  <c r="N838" i="10"/>
  <c r="H838" i="10"/>
  <c r="G838" i="10"/>
  <c r="C838" i="10"/>
  <c r="B838" i="10"/>
  <c r="N837" i="10"/>
  <c r="I837" i="10"/>
  <c r="G837" i="10"/>
  <c r="E837" i="10"/>
  <c r="C837" i="10"/>
  <c r="B837" i="10"/>
  <c r="H837" i="10" s="1"/>
  <c r="N836" i="10"/>
  <c r="G836" i="10"/>
  <c r="C836" i="10"/>
  <c r="I836" i="10" s="1"/>
  <c r="B836" i="10"/>
  <c r="H836" i="10" s="1"/>
  <c r="N835" i="10"/>
  <c r="G835" i="10"/>
  <c r="C835" i="10"/>
  <c r="B835" i="10"/>
  <c r="H835" i="10" s="1"/>
  <c r="N834" i="10"/>
  <c r="H834" i="10"/>
  <c r="G834" i="10"/>
  <c r="C834" i="10"/>
  <c r="B834" i="10"/>
  <c r="N833" i="10"/>
  <c r="I833" i="10"/>
  <c r="G833" i="10"/>
  <c r="E833" i="10"/>
  <c r="C833" i="10"/>
  <c r="B833" i="10"/>
  <c r="H833" i="10" s="1"/>
  <c r="N832" i="10"/>
  <c r="G832" i="10"/>
  <c r="C832" i="10"/>
  <c r="I832" i="10" s="1"/>
  <c r="B832" i="10"/>
  <c r="H832" i="10" s="1"/>
  <c r="N831" i="10"/>
  <c r="G831" i="10"/>
  <c r="C831" i="10"/>
  <c r="B831" i="10"/>
  <c r="H831" i="10" s="1"/>
  <c r="N830" i="10"/>
  <c r="H830" i="10"/>
  <c r="G830" i="10"/>
  <c r="C830" i="10"/>
  <c r="B830" i="10"/>
  <c r="N829" i="10"/>
  <c r="I829" i="10"/>
  <c r="G829" i="10"/>
  <c r="E829" i="10"/>
  <c r="C829" i="10"/>
  <c r="B829" i="10"/>
  <c r="H829" i="10" s="1"/>
  <c r="N828" i="10"/>
  <c r="G828" i="10"/>
  <c r="C828" i="10"/>
  <c r="I828" i="10" s="1"/>
  <c r="B828" i="10"/>
  <c r="H828" i="10" s="1"/>
  <c r="N827" i="10"/>
  <c r="G827" i="10"/>
  <c r="C827" i="10"/>
  <c r="B827" i="10"/>
  <c r="H827" i="10" s="1"/>
  <c r="N826" i="10"/>
  <c r="H826" i="10"/>
  <c r="G826" i="10"/>
  <c r="C826" i="10"/>
  <c r="B826" i="10"/>
  <c r="N825" i="10"/>
  <c r="I825" i="10"/>
  <c r="G825" i="10"/>
  <c r="E825" i="10"/>
  <c r="C825" i="10"/>
  <c r="B825" i="10"/>
  <c r="H825" i="10" s="1"/>
  <c r="N824" i="10"/>
  <c r="G824" i="10"/>
  <c r="C824" i="10"/>
  <c r="I824" i="10" s="1"/>
  <c r="B824" i="10"/>
  <c r="H824" i="10" s="1"/>
  <c r="N823" i="10"/>
  <c r="G823" i="10"/>
  <c r="C823" i="10"/>
  <c r="B823" i="10"/>
  <c r="H823" i="10" s="1"/>
  <c r="N822" i="10"/>
  <c r="H822" i="10"/>
  <c r="G822" i="10"/>
  <c r="C822" i="10"/>
  <c r="B822" i="10"/>
  <c r="N821" i="10"/>
  <c r="I821" i="10"/>
  <c r="G821" i="10"/>
  <c r="E821" i="10"/>
  <c r="C821" i="10"/>
  <c r="B821" i="10"/>
  <c r="H821" i="10" s="1"/>
  <c r="N820" i="10"/>
  <c r="G820" i="10"/>
  <c r="C820" i="10"/>
  <c r="I820" i="10" s="1"/>
  <c r="B820" i="10"/>
  <c r="H820" i="10" s="1"/>
  <c r="N819" i="10"/>
  <c r="G819" i="10"/>
  <c r="C819" i="10"/>
  <c r="B819" i="10"/>
  <c r="H819" i="10" s="1"/>
  <c r="N818" i="10"/>
  <c r="H818" i="10"/>
  <c r="G818" i="10"/>
  <c r="C818" i="10"/>
  <c r="B818" i="10"/>
  <c r="N817" i="10"/>
  <c r="I817" i="10"/>
  <c r="H817" i="10"/>
  <c r="G817" i="10"/>
  <c r="E817" i="10"/>
  <c r="C817" i="10"/>
  <c r="B817" i="10"/>
  <c r="N816" i="10"/>
  <c r="G816" i="10"/>
  <c r="C816" i="10"/>
  <c r="I816" i="10" s="1"/>
  <c r="B816" i="10"/>
  <c r="H816" i="10" s="1"/>
  <c r="N815" i="10"/>
  <c r="G815" i="10"/>
  <c r="C815" i="10"/>
  <c r="B815" i="10"/>
  <c r="H815" i="10" s="1"/>
  <c r="N814" i="10"/>
  <c r="H814" i="10"/>
  <c r="G814" i="10"/>
  <c r="C814" i="10"/>
  <c r="B814" i="10"/>
  <c r="N813" i="10"/>
  <c r="I813" i="10"/>
  <c r="G813" i="10"/>
  <c r="E813" i="10"/>
  <c r="C813" i="10"/>
  <c r="B813" i="10"/>
  <c r="H813" i="10" s="1"/>
  <c r="N812" i="10"/>
  <c r="G812" i="10"/>
  <c r="C812" i="10"/>
  <c r="I812" i="10" s="1"/>
  <c r="B812" i="10"/>
  <c r="H812" i="10" s="1"/>
  <c r="N811" i="10"/>
  <c r="G811" i="10"/>
  <c r="C811" i="10"/>
  <c r="B811" i="10"/>
  <c r="H811" i="10" s="1"/>
  <c r="N810" i="10"/>
  <c r="H810" i="10"/>
  <c r="G810" i="10"/>
  <c r="C810" i="10"/>
  <c r="B810" i="10"/>
  <c r="N809" i="10"/>
  <c r="I809" i="10"/>
  <c r="G809" i="10"/>
  <c r="E809" i="10"/>
  <c r="C809" i="10"/>
  <c r="B809" i="10"/>
  <c r="H809" i="10" s="1"/>
  <c r="N808" i="10"/>
  <c r="G808" i="10"/>
  <c r="C808" i="10"/>
  <c r="I808" i="10" s="1"/>
  <c r="B808" i="10"/>
  <c r="H808" i="10" s="1"/>
  <c r="N807" i="10"/>
  <c r="G807" i="10"/>
  <c r="C807" i="10"/>
  <c r="B807" i="10"/>
  <c r="H807" i="10" s="1"/>
  <c r="N806" i="10"/>
  <c r="H806" i="10"/>
  <c r="G806" i="10"/>
  <c r="C806" i="10"/>
  <c r="B806" i="10"/>
  <c r="N805" i="10"/>
  <c r="I805" i="10"/>
  <c r="H805" i="10"/>
  <c r="G805" i="10"/>
  <c r="E805" i="10"/>
  <c r="C805" i="10"/>
  <c r="B805" i="10"/>
  <c r="N804" i="10"/>
  <c r="G804" i="10"/>
  <c r="C804" i="10"/>
  <c r="I804" i="10" s="1"/>
  <c r="B804" i="10"/>
  <c r="H804" i="10" s="1"/>
  <c r="N803" i="10"/>
  <c r="G803" i="10"/>
  <c r="C803" i="10"/>
  <c r="B803" i="10"/>
  <c r="H803" i="10" s="1"/>
  <c r="N802" i="10"/>
  <c r="H802" i="10"/>
  <c r="G802" i="10"/>
  <c r="C802" i="10"/>
  <c r="B802" i="10"/>
  <c r="N801" i="10"/>
  <c r="I801" i="10"/>
  <c r="H801" i="10"/>
  <c r="G801" i="10"/>
  <c r="E801" i="10"/>
  <c r="C801" i="10"/>
  <c r="B801" i="10"/>
  <c r="N800" i="10"/>
  <c r="G800" i="10"/>
  <c r="C800" i="10"/>
  <c r="I800" i="10" s="1"/>
  <c r="B800" i="10"/>
  <c r="H800" i="10" s="1"/>
  <c r="N799" i="10"/>
  <c r="G799" i="10"/>
  <c r="C799" i="10"/>
  <c r="B799" i="10"/>
  <c r="H799" i="10" s="1"/>
  <c r="N798" i="10"/>
  <c r="H798" i="10"/>
  <c r="G798" i="10"/>
  <c r="C798" i="10"/>
  <c r="B798" i="10"/>
  <c r="N797" i="10"/>
  <c r="I797" i="10"/>
  <c r="G797" i="10"/>
  <c r="E797" i="10"/>
  <c r="C797" i="10"/>
  <c r="B797" i="10"/>
  <c r="H797" i="10" s="1"/>
  <c r="N796" i="10"/>
  <c r="G796" i="10"/>
  <c r="C796" i="10"/>
  <c r="I796" i="10" s="1"/>
  <c r="B796" i="10"/>
  <c r="H796" i="10" s="1"/>
  <c r="N795" i="10"/>
  <c r="G795" i="10"/>
  <c r="C795" i="10"/>
  <c r="B795" i="10"/>
  <c r="H795" i="10" s="1"/>
  <c r="N794" i="10"/>
  <c r="H794" i="10"/>
  <c r="G794" i="10"/>
  <c r="C794" i="10"/>
  <c r="B794" i="10"/>
  <c r="N793" i="10"/>
  <c r="I793" i="10"/>
  <c r="H793" i="10"/>
  <c r="G793" i="10"/>
  <c r="E793" i="10"/>
  <c r="C793" i="10"/>
  <c r="B793" i="10"/>
  <c r="N792" i="10"/>
  <c r="G792" i="10"/>
  <c r="C792" i="10"/>
  <c r="I792" i="10" s="1"/>
  <c r="B792" i="10"/>
  <c r="H792" i="10" s="1"/>
  <c r="N791" i="10"/>
  <c r="C791" i="10"/>
  <c r="B791" i="10"/>
  <c r="H791" i="10" s="1"/>
  <c r="N790" i="10"/>
  <c r="H790" i="10"/>
  <c r="C790" i="10"/>
  <c r="B790" i="10"/>
  <c r="N789" i="10"/>
  <c r="I789" i="10"/>
  <c r="H789" i="10"/>
  <c r="E789" i="10"/>
  <c r="C789" i="10"/>
  <c r="B789" i="10"/>
  <c r="N788" i="10"/>
  <c r="C788" i="10"/>
  <c r="I788" i="10" s="1"/>
  <c r="B788" i="10"/>
  <c r="H788" i="10" s="1"/>
  <c r="C787" i="10"/>
  <c r="B787" i="10"/>
  <c r="H787" i="10" s="1"/>
  <c r="H786" i="10"/>
  <c r="C786" i="10"/>
  <c r="B786" i="10"/>
  <c r="I785" i="10"/>
  <c r="H785" i="10"/>
  <c r="E785" i="10"/>
  <c r="C785" i="10"/>
  <c r="B785" i="10"/>
  <c r="C784" i="10"/>
  <c r="I784" i="10" s="1"/>
  <c r="B784" i="10"/>
  <c r="H784" i="10" s="1"/>
  <c r="C783" i="10"/>
  <c r="B783" i="10"/>
  <c r="H783" i="10" s="1"/>
  <c r="H782" i="10"/>
  <c r="C782" i="10"/>
  <c r="B782" i="10"/>
  <c r="N781" i="10"/>
  <c r="I781" i="10"/>
  <c r="E781" i="10"/>
  <c r="C781" i="10"/>
  <c r="B781" i="10"/>
  <c r="H781" i="10" s="1"/>
  <c r="N780" i="10"/>
  <c r="C780" i="10"/>
  <c r="I780" i="10" s="1"/>
  <c r="B780" i="10"/>
  <c r="H780" i="10" s="1"/>
  <c r="N779" i="10"/>
  <c r="C779" i="10"/>
  <c r="B779" i="10"/>
  <c r="H779" i="10" s="1"/>
  <c r="N778" i="10"/>
  <c r="H778" i="10"/>
  <c r="C778" i="10"/>
  <c r="B778" i="10"/>
  <c r="N777" i="10"/>
  <c r="I777" i="10"/>
  <c r="E777" i="10"/>
  <c r="C777" i="10"/>
  <c r="B777" i="10"/>
  <c r="H777" i="10" s="1"/>
  <c r="N776" i="10"/>
  <c r="C776" i="10"/>
  <c r="I776" i="10" s="1"/>
  <c r="B776" i="10"/>
  <c r="H776" i="10" s="1"/>
  <c r="N775" i="10"/>
  <c r="C775" i="10"/>
  <c r="B775" i="10"/>
  <c r="H775" i="10" s="1"/>
  <c r="N774" i="10"/>
  <c r="H774" i="10"/>
  <c r="C774" i="10"/>
  <c r="B774" i="10"/>
  <c r="N773" i="10"/>
  <c r="I773" i="10"/>
  <c r="E773" i="10"/>
  <c r="C773" i="10"/>
  <c r="B773" i="10"/>
  <c r="H773" i="10" s="1"/>
  <c r="N772" i="10"/>
  <c r="C772" i="10"/>
  <c r="I772" i="10" s="1"/>
  <c r="B772" i="10"/>
  <c r="H772" i="10" s="1"/>
  <c r="N771" i="10"/>
  <c r="C771" i="10"/>
  <c r="B771" i="10"/>
  <c r="H771" i="10" s="1"/>
  <c r="N770" i="10"/>
  <c r="H770" i="10"/>
  <c r="C770" i="10"/>
  <c r="B770" i="10"/>
  <c r="N769" i="10"/>
  <c r="I769" i="10"/>
  <c r="E769" i="10"/>
  <c r="C769" i="10"/>
  <c r="B769" i="10"/>
  <c r="H769" i="10" s="1"/>
  <c r="N768" i="10"/>
  <c r="C768" i="10"/>
  <c r="I768" i="10" s="1"/>
  <c r="B768" i="10"/>
  <c r="H768" i="10" s="1"/>
  <c r="N767" i="10"/>
  <c r="C767" i="10"/>
  <c r="B767" i="10"/>
  <c r="H767" i="10" s="1"/>
  <c r="N766" i="10"/>
  <c r="H766" i="10"/>
  <c r="C766" i="10"/>
  <c r="B766" i="10"/>
  <c r="N765" i="10"/>
  <c r="I765" i="10"/>
  <c r="E765" i="10"/>
  <c r="C765" i="10"/>
  <c r="B765" i="10"/>
  <c r="H765" i="10" s="1"/>
  <c r="N764" i="10"/>
  <c r="C764" i="10"/>
  <c r="I764" i="10" s="1"/>
  <c r="B764" i="10"/>
  <c r="H764" i="10" s="1"/>
  <c r="N763" i="10"/>
  <c r="C763" i="10"/>
  <c r="B763" i="10"/>
  <c r="H763" i="10" s="1"/>
  <c r="N762" i="10"/>
  <c r="H762" i="10"/>
  <c r="C762" i="10"/>
  <c r="B762" i="10"/>
  <c r="N761" i="10"/>
  <c r="I761" i="10"/>
  <c r="E761" i="10"/>
  <c r="C761" i="10"/>
  <c r="B761" i="10"/>
  <c r="H761" i="10" s="1"/>
  <c r="N760" i="10"/>
  <c r="C760" i="10"/>
  <c r="I760" i="10" s="1"/>
  <c r="B760" i="10"/>
  <c r="H760" i="10" s="1"/>
  <c r="N759" i="10"/>
  <c r="C759" i="10"/>
  <c r="B759" i="10"/>
  <c r="H759" i="10" s="1"/>
  <c r="N758" i="10"/>
  <c r="H758" i="10"/>
  <c r="C758" i="10"/>
  <c r="B758" i="10"/>
  <c r="N757" i="10"/>
  <c r="I757" i="10"/>
  <c r="E757" i="10"/>
  <c r="C757" i="10"/>
  <c r="B757" i="10"/>
  <c r="H757" i="10" s="1"/>
  <c r="N756" i="10"/>
  <c r="C756" i="10"/>
  <c r="I756" i="10" s="1"/>
  <c r="B756" i="10"/>
  <c r="H756" i="10" s="1"/>
  <c r="N755" i="10"/>
  <c r="C755" i="10"/>
  <c r="B755" i="10"/>
  <c r="H755" i="10" s="1"/>
  <c r="N754" i="10"/>
  <c r="H754" i="10"/>
  <c r="C754" i="10"/>
  <c r="B754" i="10"/>
  <c r="N753" i="10"/>
  <c r="I753" i="10"/>
  <c r="E753" i="10"/>
  <c r="C753" i="10"/>
  <c r="B753" i="10"/>
  <c r="H753" i="10" s="1"/>
  <c r="N752" i="10"/>
  <c r="C752" i="10"/>
  <c r="I752" i="10" s="1"/>
  <c r="B752" i="10"/>
  <c r="H752" i="10" s="1"/>
  <c r="N751" i="10"/>
  <c r="C751" i="10"/>
  <c r="B751" i="10"/>
  <c r="H751" i="10" s="1"/>
  <c r="N750" i="10"/>
  <c r="H750" i="10"/>
  <c r="C750" i="10"/>
  <c r="B750" i="10"/>
  <c r="N749" i="10"/>
  <c r="I749" i="10"/>
  <c r="E749" i="10"/>
  <c r="C749" i="10"/>
  <c r="B749" i="10"/>
  <c r="H749" i="10" s="1"/>
  <c r="N748" i="10"/>
  <c r="C748" i="10"/>
  <c r="I748" i="10" s="1"/>
  <c r="B748" i="10"/>
  <c r="H748" i="10" s="1"/>
  <c r="N747" i="10"/>
  <c r="C747" i="10"/>
  <c r="B747" i="10"/>
  <c r="H747" i="10" s="1"/>
  <c r="N746" i="10"/>
  <c r="H746" i="10"/>
  <c r="C746" i="10"/>
  <c r="B746" i="10"/>
  <c r="N745" i="10"/>
  <c r="I745" i="10"/>
  <c r="E745" i="10"/>
  <c r="C745" i="10"/>
  <c r="B745" i="10"/>
  <c r="H745" i="10" s="1"/>
  <c r="N744" i="10"/>
  <c r="C744" i="10"/>
  <c r="I744" i="10" s="1"/>
  <c r="B744" i="10"/>
  <c r="H744" i="10" s="1"/>
  <c r="N743" i="10"/>
  <c r="C743" i="10"/>
  <c r="B743" i="10"/>
  <c r="H743" i="10" s="1"/>
  <c r="N742" i="10"/>
  <c r="H742" i="10"/>
  <c r="C742" i="10"/>
  <c r="B742" i="10"/>
  <c r="N741" i="10"/>
  <c r="I741" i="10"/>
  <c r="E741" i="10"/>
  <c r="C741" i="10"/>
  <c r="B741" i="10"/>
  <c r="H741" i="10" s="1"/>
  <c r="N740" i="10"/>
  <c r="C740" i="10"/>
  <c r="I740" i="10" s="1"/>
  <c r="B740" i="10"/>
  <c r="H740" i="10" s="1"/>
  <c r="N739" i="10"/>
  <c r="C739" i="10"/>
  <c r="B739" i="10"/>
  <c r="H739" i="10" s="1"/>
  <c r="N738" i="10"/>
  <c r="H738" i="10"/>
  <c r="C738" i="10"/>
  <c r="B738" i="10"/>
  <c r="N737" i="10"/>
  <c r="I737" i="10"/>
  <c r="E737" i="10"/>
  <c r="C737" i="10"/>
  <c r="B737" i="10"/>
  <c r="H737" i="10" s="1"/>
  <c r="N736" i="10"/>
  <c r="C736" i="10"/>
  <c r="I736" i="10" s="1"/>
  <c r="B736" i="10"/>
  <c r="H736" i="10" s="1"/>
  <c r="N735" i="10"/>
  <c r="C735" i="10"/>
  <c r="B735" i="10"/>
  <c r="H735" i="10" s="1"/>
  <c r="N734" i="10"/>
  <c r="H734" i="10"/>
  <c r="C734" i="10"/>
  <c r="B734" i="10"/>
  <c r="N733" i="10"/>
  <c r="I733" i="10"/>
  <c r="E733" i="10"/>
  <c r="C733" i="10"/>
  <c r="B733" i="10"/>
  <c r="H733" i="10" s="1"/>
  <c r="N732" i="10"/>
  <c r="C732" i="10"/>
  <c r="I732" i="10" s="1"/>
  <c r="B732" i="10"/>
  <c r="H732" i="10" s="1"/>
  <c r="N731" i="10"/>
  <c r="C731" i="10"/>
  <c r="B731" i="10"/>
  <c r="H731" i="10" s="1"/>
  <c r="N730" i="10"/>
  <c r="H730" i="10"/>
  <c r="C730" i="10"/>
  <c r="B730" i="10"/>
  <c r="N729" i="10"/>
  <c r="I729" i="10"/>
  <c r="E729" i="10"/>
  <c r="C729" i="10"/>
  <c r="B729" i="10"/>
  <c r="H729" i="10" s="1"/>
  <c r="N728" i="10"/>
  <c r="C728" i="10"/>
  <c r="I728" i="10" s="1"/>
  <c r="B728" i="10"/>
  <c r="H728" i="10" s="1"/>
  <c r="N727" i="10"/>
  <c r="C727" i="10"/>
  <c r="B727" i="10"/>
  <c r="H727" i="10" s="1"/>
  <c r="N726" i="10"/>
  <c r="H726" i="10"/>
  <c r="C726" i="10"/>
  <c r="B726" i="10"/>
  <c r="N725" i="10"/>
  <c r="I725" i="10"/>
  <c r="E725" i="10"/>
  <c r="C725" i="10"/>
  <c r="B725" i="10"/>
  <c r="H725" i="10" s="1"/>
  <c r="N724" i="10"/>
  <c r="C724" i="10"/>
  <c r="I724" i="10" s="1"/>
  <c r="B724" i="10"/>
  <c r="H724" i="10" s="1"/>
  <c r="N723" i="10"/>
  <c r="C723" i="10"/>
  <c r="B723" i="10"/>
  <c r="H723" i="10" s="1"/>
  <c r="N722" i="10"/>
  <c r="H722" i="10"/>
  <c r="C722" i="10"/>
  <c r="B722" i="10"/>
  <c r="N721" i="10"/>
  <c r="I721" i="10"/>
  <c r="E721" i="10"/>
  <c r="C721" i="10"/>
  <c r="B721" i="10"/>
  <c r="H721" i="10" s="1"/>
  <c r="N720" i="10"/>
  <c r="C720" i="10"/>
  <c r="I720" i="10" s="1"/>
  <c r="B720" i="10"/>
  <c r="H720" i="10" s="1"/>
  <c r="N719" i="10"/>
  <c r="C719" i="10"/>
  <c r="B719" i="10"/>
  <c r="H719" i="10" s="1"/>
  <c r="N718" i="10"/>
  <c r="H718" i="10"/>
  <c r="C718" i="10"/>
  <c r="B718" i="10"/>
  <c r="N717" i="10"/>
  <c r="I717" i="10"/>
  <c r="E717" i="10"/>
  <c r="C717" i="10"/>
  <c r="B717" i="10"/>
  <c r="H717" i="10" s="1"/>
  <c r="N716" i="10"/>
  <c r="C716" i="10"/>
  <c r="I716" i="10" s="1"/>
  <c r="B716" i="10"/>
  <c r="H716" i="10" s="1"/>
  <c r="N715" i="10"/>
  <c r="C715" i="10"/>
  <c r="B715" i="10"/>
  <c r="H715" i="10" s="1"/>
  <c r="N714" i="10"/>
  <c r="H714" i="10"/>
  <c r="C714" i="10"/>
  <c r="B714" i="10"/>
  <c r="N713" i="10"/>
  <c r="I713" i="10"/>
  <c r="E713" i="10"/>
  <c r="C713" i="10"/>
  <c r="B713" i="10"/>
  <c r="H713" i="10" s="1"/>
  <c r="N712" i="10"/>
  <c r="C712" i="10"/>
  <c r="I712" i="10" s="1"/>
  <c r="B712" i="10"/>
  <c r="H712" i="10" s="1"/>
  <c r="N711" i="10"/>
  <c r="C711" i="10"/>
  <c r="B711" i="10"/>
  <c r="H711" i="10" s="1"/>
  <c r="N710" i="10"/>
  <c r="H710" i="10"/>
  <c r="C710" i="10"/>
  <c r="B710" i="10"/>
  <c r="N709" i="10"/>
  <c r="I709" i="10"/>
  <c r="E709" i="10"/>
  <c r="C709" i="10"/>
  <c r="B709" i="10"/>
  <c r="H709" i="10" s="1"/>
  <c r="N708" i="10"/>
  <c r="C708" i="10"/>
  <c r="I708" i="10" s="1"/>
  <c r="B708" i="10"/>
  <c r="H708" i="10" s="1"/>
  <c r="N707" i="10"/>
  <c r="C707" i="10"/>
  <c r="B707" i="10"/>
  <c r="H707" i="10" s="1"/>
  <c r="N706" i="10"/>
  <c r="H706" i="10"/>
  <c r="C706" i="10"/>
  <c r="B706" i="10"/>
  <c r="N705" i="10"/>
  <c r="I705" i="10"/>
  <c r="E705" i="10"/>
  <c r="C705" i="10"/>
  <c r="B705" i="10"/>
  <c r="H705" i="10" s="1"/>
  <c r="N704" i="10"/>
  <c r="C704" i="10"/>
  <c r="I704" i="10" s="1"/>
  <c r="B704" i="10"/>
  <c r="H704" i="10" s="1"/>
  <c r="N703" i="10"/>
  <c r="C703" i="10"/>
  <c r="B703" i="10"/>
  <c r="H703" i="10" s="1"/>
  <c r="N702" i="10"/>
  <c r="H702" i="10"/>
  <c r="C702" i="10"/>
  <c r="B702" i="10"/>
  <c r="N701" i="10"/>
  <c r="I701" i="10"/>
  <c r="E701" i="10"/>
  <c r="C701" i="10"/>
  <c r="B701" i="10"/>
  <c r="H701" i="10" s="1"/>
  <c r="N700" i="10"/>
  <c r="C700" i="10"/>
  <c r="I700" i="10" s="1"/>
  <c r="B700" i="10"/>
  <c r="H700" i="10" s="1"/>
  <c r="N699" i="10"/>
  <c r="C699" i="10"/>
  <c r="B699" i="10"/>
  <c r="H699" i="10" s="1"/>
  <c r="N698" i="10"/>
  <c r="H698" i="10"/>
  <c r="C698" i="10"/>
  <c r="B698" i="10"/>
  <c r="N697" i="10"/>
  <c r="I697" i="10"/>
  <c r="E697" i="10"/>
  <c r="C697" i="10"/>
  <c r="B697" i="10"/>
  <c r="H697" i="10" s="1"/>
  <c r="N696" i="10"/>
  <c r="C696" i="10"/>
  <c r="I696" i="10" s="1"/>
  <c r="B696" i="10"/>
  <c r="H696" i="10" s="1"/>
  <c r="N695" i="10"/>
  <c r="C695" i="10"/>
  <c r="B695" i="10"/>
  <c r="H695" i="10" s="1"/>
  <c r="N694" i="10"/>
  <c r="H694" i="10"/>
  <c r="C694" i="10"/>
  <c r="B694" i="10"/>
  <c r="N693" i="10"/>
  <c r="I693" i="10"/>
  <c r="E693" i="10"/>
  <c r="C693" i="10"/>
  <c r="B693" i="10"/>
  <c r="H693" i="10" s="1"/>
  <c r="N692" i="10"/>
  <c r="C692" i="10"/>
  <c r="I692" i="10" s="1"/>
  <c r="B692" i="10"/>
  <c r="H692" i="10" s="1"/>
  <c r="N691" i="10"/>
  <c r="C691" i="10"/>
  <c r="B691" i="10"/>
  <c r="H691" i="10" s="1"/>
  <c r="N690" i="10"/>
  <c r="H690" i="10"/>
  <c r="C690" i="10"/>
  <c r="B690" i="10"/>
  <c r="N689" i="10"/>
  <c r="I689" i="10"/>
  <c r="E689" i="10"/>
  <c r="C689" i="10"/>
  <c r="B689" i="10"/>
  <c r="H689" i="10" s="1"/>
  <c r="N688" i="10"/>
  <c r="C688" i="10"/>
  <c r="I688" i="10" s="1"/>
  <c r="B688" i="10"/>
  <c r="H688" i="10" s="1"/>
  <c r="N687" i="10"/>
  <c r="C687" i="10"/>
  <c r="B687" i="10"/>
  <c r="H687" i="10" s="1"/>
  <c r="N686" i="10"/>
  <c r="H686" i="10"/>
  <c r="C686" i="10"/>
  <c r="B686" i="10"/>
  <c r="N685" i="10"/>
  <c r="I685" i="10"/>
  <c r="E685" i="10"/>
  <c r="C685" i="10"/>
  <c r="B685" i="10"/>
  <c r="H685" i="10" s="1"/>
  <c r="N684" i="10"/>
  <c r="C684" i="10"/>
  <c r="I684" i="10" s="1"/>
  <c r="B684" i="10"/>
  <c r="H684" i="10" s="1"/>
  <c r="N683" i="10"/>
  <c r="C683" i="10"/>
  <c r="B683" i="10"/>
  <c r="H683" i="10" s="1"/>
  <c r="N682" i="10"/>
  <c r="H682" i="10"/>
  <c r="C682" i="10"/>
  <c r="B682" i="10"/>
  <c r="N681" i="10"/>
  <c r="I681" i="10"/>
  <c r="E681" i="10"/>
  <c r="C681" i="10"/>
  <c r="B681" i="10"/>
  <c r="H681" i="10" s="1"/>
  <c r="N680" i="10"/>
  <c r="C680" i="10"/>
  <c r="I680" i="10" s="1"/>
  <c r="B680" i="10"/>
  <c r="H680" i="10" s="1"/>
  <c r="N679" i="10"/>
  <c r="C679" i="10"/>
  <c r="B679" i="10"/>
  <c r="H679" i="10" s="1"/>
  <c r="N678" i="10"/>
  <c r="H678" i="10"/>
  <c r="C678" i="10"/>
  <c r="B678" i="10"/>
  <c r="N677" i="10"/>
  <c r="I677" i="10"/>
  <c r="E677" i="10"/>
  <c r="C677" i="10"/>
  <c r="B677" i="10"/>
  <c r="H677" i="10" s="1"/>
  <c r="N676" i="10"/>
  <c r="C676" i="10"/>
  <c r="I676" i="10" s="1"/>
  <c r="B676" i="10"/>
  <c r="H676" i="10" s="1"/>
  <c r="N675" i="10"/>
  <c r="C675" i="10"/>
  <c r="B675" i="10"/>
  <c r="H675" i="10" s="1"/>
  <c r="N674" i="10"/>
  <c r="H674" i="10"/>
  <c r="C674" i="10"/>
  <c r="B674" i="10"/>
  <c r="N673" i="10"/>
  <c r="I673" i="10"/>
  <c r="E673" i="10"/>
  <c r="C673" i="10"/>
  <c r="B673" i="10"/>
  <c r="H673" i="10" s="1"/>
  <c r="N672" i="10"/>
  <c r="C672" i="10"/>
  <c r="I672" i="10" s="1"/>
  <c r="B672" i="10"/>
  <c r="H672" i="10" s="1"/>
  <c r="N671" i="10"/>
  <c r="C671" i="10"/>
  <c r="B671" i="10"/>
  <c r="H671" i="10" s="1"/>
  <c r="N670" i="10"/>
  <c r="H670" i="10"/>
  <c r="C670" i="10"/>
  <c r="B670" i="10"/>
  <c r="N669" i="10"/>
  <c r="I669" i="10"/>
  <c r="E669" i="10"/>
  <c r="C669" i="10"/>
  <c r="B669" i="10"/>
  <c r="H669" i="10" s="1"/>
  <c r="N668" i="10"/>
  <c r="C668" i="10"/>
  <c r="I668" i="10" s="1"/>
  <c r="B668" i="10"/>
  <c r="H668" i="10" s="1"/>
  <c r="N667" i="10"/>
  <c r="C667" i="10"/>
  <c r="B667" i="10"/>
  <c r="H667" i="10" s="1"/>
  <c r="N666" i="10"/>
  <c r="H666" i="10"/>
  <c r="C666" i="10"/>
  <c r="B666" i="10"/>
  <c r="N665" i="10"/>
  <c r="I665" i="10"/>
  <c r="E665" i="10"/>
  <c r="C665" i="10"/>
  <c r="B665" i="10"/>
  <c r="H665" i="10" s="1"/>
  <c r="N664" i="10"/>
  <c r="C664" i="10"/>
  <c r="I664" i="10" s="1"/>
  <c r="B664" i="10"/>
  <c r="H664" i="10" s="1"/>
  <c r="N663" i="10"/>
  <c r="C663" i="10"/>
  <c r="B663" i="10"/>
  <c r="H663" i="10" s="1"/>
  <c r="N662" i="10"/>
  <c r="H662" i="10"/>
  <c r="C662" i="10"/>
  <c r="B662" i="10"/>
  <c r="N661" i="10"/>
  <c r="I661" i="10"/>
  <c r="E661" i="10"/>
  <c r="C661" i="10"/>
  <c r="B661" i="10"/>
  <c r="H661" i="10" s="1"/>
  <c r="N660" i="10"/>
  <c r="C660" i="10"/>
  <c r="I660" i="10" s="1"/>
  <c r="B660" i="10"/>
  <c r="H660" i="10" s="1"/>
  <c r="N659" i="10"/>
  <c r="C659" i="10"/>
  <c r="B659" i="10"/>
  <c r="H659" i="10" s="1"/>
  <c r="N658" i="10"/>
  <c r="H658" i="10"/>
  <c r="C658" i="10"/>
  <c r="B658" i="10"/>
  <c r="N657" i="10"/>
  <c r="I657" i="10"/>
  <c r="E657" i="10"/>
  <c r="C657" i="10"/>
  <c r="B657" i="10"/>
  <c r="H657" i="10" s="1"/>
  <c r="N656" i="10"/>
  <c r="C656" i="10"/>
  <c r="I656" i="10" s="1"/>
  <c r="B656" i="10"/>
  <c r="H656" i="10" s="1"/>
  <c r="N655" i="10"/>
  <c r="C655" i="10"/>
  <c r="B655" i="10"/>
  <c r="H655" i="10" s="1"/>
  <c r="N654" i="10"/>
  <c r="H654" i="10"/>
  <c r="C654" i="10"/>
  <c r="B654" i="10"/>
  <c r="N653" i="10"/>
  <c r="I653" i="10"/>
  <c r="E653" i="10"/>
  <c r="C653" i="10"/>
  <c r="B653" i="10"/>
  <c r="H653" i="10" s="1"/>
  <c r="N652" i="10"/>
  <c r="C652" i="10"/>
  <c r="I652" i="10" s="1"/>
  <c r="B652" i="10"/>
  <c r="H652" i="10" s="1"/>
  <c r="N651" i="10"/>
  <c r="C651" i="10"/>
  <c r="B651" i="10"/>
  <c r="H651" i="10" s="1"/>
  <c r="N650" i="10"/>
  <c r="H650" i="10"/>
  <c r="C650" i="10"/>
  <c r="B650" i="10"/>
  <c r="N649" i="10"/>
  <c r="I649" i="10"/>
  <c r="E649" i="10"/>
  <c r="C649" i="10"/>
  <c r="B649" i="10"/>
  <c r="H649" i="10" s="1"/>
  <c r="N648" i="10"/>
  <c r="C648" i="10"/>
  <c r="I648" i="10" s="1"/>
  <c r="B648" i="10"/>
  <c r="H648" i="10" s="1"/>
  <c r="N647" i="10"/>
  <c r="C647" i="10"/>
  <c r="B647" i="10"/>
  <c r="H647" i="10" s="1"/>
  <c r="N646" i="10"/>
  <c r="H646" i="10"/>
  <c r="C646" i="10"/>
  <c r="B646" i="10"/>
  <c r="N645" i="10"/>
  <c r="I645" i="10"/>
  <c r="E645" i="10"/>
  <c r="C645" i="10"/>
  <c r="B645" i="10"/>
  <c r="H645" i="10" s="1"/>
  <c r="N644" i="10"/>
  <c r="C644" i="10"/>
  <c r="I644" i="10" s="1"/>
  <c r="B644" i="10"/>
  <c r="H644" i="10" s="1"/>
  <c r="N643" i="10"/>
  <c r="C643" i="10"/>
  <c r="B643" i="10"/>
  <c r="H643" i="10" s="1"/>
  <c r="N642" i="10"/>
  <c r="H642" i="10"/>
  <c r="C642" i="10"/>
  <c r="B642" i="10"/>
  <c r="N641" i="10"/>
  <c r="I641" i="10"/>
  <c r="E641" i="10"/>
  <c r="C641" i="10"/>
  <c r="B641" i="10"/>
  <c r="H641" i="10" s="1"/>
  <c r="N640" i="10"/>
  <c r="C640" i="10"/>
  <c r="I640" i="10" s="1"/>
  <c r="B640" i="10"/>
  <c r="H640" i="10" s="1"/>
  <c r="N639" i="10"/>
  <c r="C639" i="10"/>
  <c r="B639" i="10"/>
  <c r="H639" i="10" s="1"/>
  <c r="N638" i="10"/>
  <c r="H638" i="10"/>
  <c r="C638" i="10"/>
  <c r="B638" i="10"/>
  <c r="N637" i="10"/>
  <c r="I637" i="10"/>
  <c r="E637" i="10"/>
  <c r="C637" i="10"/>
  <c r="B637" i="10"/>
  <c r="H637" i="10" s="1"/>
  <c r="N636" i="10"/>
  <c r="C636" i="10"/>
  <c r="I636" i="10" s="1"/>
  <c r="B636" i="10"/>
  <c r="H636" i="10" s="1"/>
  <c r="N635" i="10"/>
  <c r="C635" i="10"/>
  <c r="B635" i="10"/>
  <c r="H635" i="10" s="1"/>
  <c r="N634" i="10"/>
  <c r="H634" i="10"/>
  <c r="C634" i="10"/>
  <c r="B634" i="10"/>
  <c r="N633" i="10"/>
  <c r="I633" i="10"/>
  <c r="E633" i="10"/>
  <c r="C633" i="10"/>
  <c r="B633" i="10"/>
  <c r="H633" i="10" s="1"/>
  <c r="N632" i="10"/>
  <c r="C632" i="10"/>
  <c r="I632" i="10" s="1"/>
  <c r="B632" i="10"/>
  <c r="H632" i="10" s="1"/>
  <c r="N631" i="10"/>
  <c r="C631" i="10"/>
  <c r="B631" i="10"/>
  <c r="H631" i="10" s="1"/>
  <c r="N630" i="10"/>
  <c r="H630" i="10"/>
  <c r="C630" i="10"/>
  <c r="B630" i="10"/>
  <c r="N629" i="10"/>
  <c r="I629" i="10"/>
  <c r="E629" i="10"/>
  <c r="C629" i="10"/>
  <c r="B629" i="10"/>
  <c r="H629" i="10" s="1"/>
  <c r="N628" i="10"/>
  <c r="C628" i="10"/>
  <c r="I628" i="10" s="1"/>
  <c r="B628" i="10"/>
  <c r="H628" i="10" s="1"/>
  <c r="N627" i="10"/>
  <c r="C627" i="10"/>
  <c r="B627" i="10"/>
  <c r="H627" i="10" s="1"/>
  <c r="N626" i="10"/>
  <c r="H626" i="10"/>
  <c r="C626" i="10"/>
  <c r="B626" i="10"/>
  <c r="N625" i="10"/>
  <c r="I625" i="10"/>
  <c r="E625" i="10"/>
  <c r="C625" i="10"/>
  <c r="B625" i="10"/>
  <c r="H625" i="10" s="1"/>
  <c r="N624" i="10"/>
  <c r="C624" i="10"/>
  <c r="I624" i="10" s="1"/>
  <c r="B624" i="10"/>
  <c r="H624" i="10" s="1"/>
  <c r="N623" i="10"/>
  <c r="C623" i="10"/>
  <c r="B623" i="10"/>
  <c r="H623" i="10" s="1"/>
  <c r="N622" i="10"/>
  <c r="H622" i="10"/>
  <c r="C622" i="10"/>
  <c r="B622" i="10"/>
  <c r="N621" i="10"/>
  <c r="I621" i="10"/>
  <c r="E621" i="10"/>
  <c r="C621" i="10"/>
  <c r="B621" i="10"/>
  <c r="H621" i="10" s="1"/>
  <c r="N620" i="10"/>
  <c r="C620" i="10"/>
  <c r="I620" i="10" s="1"/>
  <c r="B620" i="10"/>
  <c r="H620" i="10" s="1"/>
  <c r="N619" i="10"/>
  <c r="C619" i="10"/>
  <c r="B619" i="10"/>
  <c r="H619" i="10" s="1"/>
  <c r="N618" i="10"/>
  <c r="H618" i="10"/>
  <c r="C618" i="10"/>
  <c r="B618" i="10"/>
  <c r="N617" i="10"/>
  <c r="I617" i="10"/>
  <c r="E617" i="10"/>
  <c r="C617" i="10"/>
  <c r="B617" i="10"/>
  <c r="H617" i="10" s="1"/>
  <c r="N616" i="10"/>
  <c r="C616" i="10"/>
  <c r="I616" i="10" s="1"/>
  <c r="B616" i="10"/>
  <c r="H616" i="10" s="1"/>
  <c r="N615" i="10"/>
  <c r="C615" i="10"/>
  <c r="B615" i="10"/>
  <c r="H615" i="10" s="1"/>
  <c r="N614" i="10"/>
  <c r="H614" i="10"/>
  <c r="C614" i="10"/>
  <c r="B614" i="10"/>
  <c r="N613" i="10"/>
  <c r="I613" i="10"/>
  <c r="E613" i="10"/>
  <c r="C613" i="10"/>
  <c r="B613" i="10"/>
  <c r="H613" i="10" s="1"/>
  <c r="N612" i="10"/>
  <c r="C612" i="10"/>
  <c r="I612" i="10" s="1"/>
  <c r="B612" i="10"/>
  <c r="H612" i="10" s="1"/>
  <c r="N611" i="10"/>
  <c r="C611" i="10"/>
  <c r="B611" i="10"/>
  <c r="H611" i="10" s="1"/>
  <c r="N610" i="10"/>
  <c r="H610" i="10"/>
  <c r="C610" i="10"/>
  <c r="B610" i="10"/>
  <c r="N609" i="10"/>
  <c r="I609" i="10"/>
  <c r="E609" i="10"/>
  <c r="C609" i="10"/>
  <c r="B609" i="10"/>
  <c r="H609" i="10" s="1"/>
  <c r="N608" i="10"/>
  <c r="C608" i="10"/>
  <c r="I608" i="10" s="1"/>
  <c r="B608" i="10"/>
  <c r="H608" i="10" s="1"/>
  <c r="N607" i="10"/>
  <c r="C607" i="10"/>
  <c r="B607" i="10"/>
  <c r="H607" i="10" s="1"/>
  <c r="N606" i="10"/>
  <c r="H606" i="10"/>
  <c r="C606" i="10"/>
  <c r="B606" i="10"/>
  <c r="N605" i="10"/>
  <c r="I605" i="10"/>
  <c r="E605" i="10"/>
  <c r="C605" i="10"/>
  <c r="B605" i="10"/>
  <c r="H605" i="10" s="1"/>
  <c r="N604" i="10"/>
  <c r="C604" i="10"/>
  <c r="I604" i="10" s="1"/>
  <c r="B604" i="10"/>
  <c r="H604" i="10" s="1"/>
  <c r="N603" i="10"/>
  <c r="C603" i="10"/>
  <c r="B603" i="10"/>
  <c r="H603" i="10" s="1"/>
  <c r="N602" i="10"/>
  <c r="H602" i="10"/>
  <c r="C602" i="10"/>
  <c r="B602" i="10"/>
  <c r="N601" i="10"/>
  <c r="I601" i="10"/>
  <c r="E601" i="10"/>
  <c r="C601" i="10"/>
  <c r="B601" i="10"/>
  <c r="H601" i="10" s="1"/>
  <c r="N600" i="10"/>
  <c r="C600" i="10"/>
  <c r="I600" i="10" s="1"/>
  <c r="B600" i="10"/>
  <c r="H600" i="10" s="1"/>
  <c r="N599" i="10"/>
  <c r="C599" i="10"/>
  <c r="B599" i="10"/>
  <c r="H599" i="10" s="1"/>
  <c r="N598" i="10"/>
  <c r="H598" i="10"/>
  <c r="C598" i="10"/>
  <c r="B598" i="10"/>
  <c r="N597" i="10"/>
  <c r="I597" i="10"/>
  <c r="E597" i="10"/>
  <c r="C597" i="10"/>
  <c r="B597" i="10"/>
  <c r="H597" i="10" s="1"/>
  <c r="N596" i="10"/>
  <c r="C596" i="10"/>
  <c r="I596" i="10" s="1"/>
  <c r="B596" i="10"/>
  <c r="H596" i="10" s="1"/>
  <c r="N595" i="10"/>
  <c r="C595" i="10"/>
  <c r="B595" i="10"/>
  <c r="H595" i="10" s="1"/>
  <c r="N594" i="10"/>
  <c r="H594" i="10"/>
  <c r="C594" i="10"/>
  <c r="B594" i="10"/>
  <c r="N593" i="10"/>
  <c r="I593" i="10"/>
  <c r="E593" i="10"/>
  <c r="C593" i="10"/>
  <c r="B593" i="10"/>
  <c r="H593" i="10" s="1"/>
  <c r="N592" i="10"/>
  <c r="C592" i="10"/>
  <c r="I592" i="10" s="1"/>
  <c r="B592" i="10"/>
  <c r="H592" i="10" s="1"/>
  <c r="N591" i="10"/>
  <c r="C591" i="10"/>
  <c r="B591" i="10"/>
  <c r="H591" i="10" s="1"/>
  <c r="N590" i="10"/>
  <c r="H590" i="10"/>
  <c r="C590" i="10"/>
  <c r="B590" i="10"/>
  <c r="N589" i="10"/>
  <c r="I589" i="10"/>
  <c r="E589" i="10"/>
  <c r="C589" i="10"/>
  <c r="B589" i="10"/>
  <c r="H589" i="10" s="1"/>
  <c r="N588" i="10"/>
  <c r="C588" i="10"/>
  <c r="I588" i="10" s="1"/>
  <c r="B588" i="10"/>
  <c r="H588" i="10" s="1"/>
  <c r="N587" i="10"/>
  <c r="C587" i="10"/>
  <c r="B587" i="10"/>
  <c r="H587" i="10" s="1"/>
  <c r="N586" i="10"/>
  <c r="H586" i="10"/>
  <c r="C586" i="10"/>
  <c r="B586" i="10"/>
  <c r="N585" i="10"/>
  <c r="I585" i="10"/>
  <c r="E585" i="10"/>
  <c r="C585" i="10"/>
  <c r="B585" i="10"/>
  <c r="H585" i="10" s="1"/>
  <c r="N584" i="10"/>
  <c r="C584" i="10"/>
  <c r="I584" i="10" s="1"/>
  <c r="B584" i="10"/>
  <c r="H584" i="10" s="1"/>
  <c r="N583" i="10"/>
  <c r="C583" i="10"/>
  <c r="B583" i="10"/>
  <c r="H583" i="10" s="1"/>
  <c r="N582" i="10"/>
  <c r="H582" i="10"/>
  <c r="C582" i="10"/>
  <c r="B582" i="10"/>
  <c r="N581" i="10"/>
  <c r="I581" i="10"/>
  <c r="E581" i="10"/>
  <c r="C581" i="10"/>
  <c r="B581" i="10"/>
  <c r="H581" i="10" s="1"/>
  <c r="N580" i="10"/>
  <c r="C580" i="10"/>
  <c r="I580" i="10" s="1"/>
  <c r="B580" i="10"/>
  <c r="H580" i="10" s="1"/>
  <c r="N579" i="10"/>
  <c r="C579" i="10"/>
  <c r="B579" i="10"/>
  <c r="H579" i="10" s="1"/>
  <c r="N578" i="10"/>
  <c r="H578" i="10"/>
  <c r="C578" i="10"/>
  <c r="B578" i="10"/>
  <c r="N577" i="10"/>
  <c r="I577" i="10"/>
  <c r="E577" i="10"/>
  <c r="C577" i="10"/>
  <c r="B577" i="10"/>
  <c r="H577" i="10" s="1"/>
  <c r="N576" i="10"/>
  <c r="C576" i="10"/>
  <c r="I576" i="10" s="1"/>
  <c r="B576" i="10"/>
  <c r="H576" i="10" s="1"/>
  <c r="N575" i="10"/>
  <c r="C575" i="10"/>
  <c r="B575" i="10"/>
  <c r="H575" i="10" s="1"/>
  <c r="N574" i="10"/>
  <c r="H574" i="10"/>
  <c r="C574" i="10"/>
  <c r="B574" i="10"/>
  <c r="N573" i="10"/>
  <c r="I573" i="10"/>
  <c r="E573" i="10"/>
  <c r="C573" i="10"/>
  <c r="B573" i="10"/>
  <c r="H573" i="10" s="1"/>
  <c r="N572" i="10"/>
  <c r="C572" i="10"/>
  <c r="I572" i="10" s="1"/>
  <c r="B572" i="10"/>
  <c r="H572" i="10" s="1"/>
  <c r="N571" i="10"/>
  <c r="C571" i="10"/>
  <c r="B571" i="10"/>
  <c r="H571" i="10" s="1"/>
  <c r="N570" i="10"/>
  <c r="H570" i="10"/>
  <c r="C570" i="10"/>
  <c r="B570" i="10"/>
  <c r="N569" i="10"/>
  <c r="I569" i="10"/>
  <c r="E569" i="10"/>
  <c r="C569" i="10"/>
  <c r="B569" i="10"/>
  <c r="H569" i="10" s="1"/>
  <c r="N568" i="10"/>
  <c r="C568" i="10"/>
  <c r="I568" i="10" s="1"/>
  <c r="B568" i="10"/>
  <c r="H568" i="10" s="1"/>
  <c r="N567" i="10"/>
  <c r="C567" i="10"/>
  <c r="B567" i="10"/>
  <c r="H567" i="10" s="1"/>
  <c r="N566" i="10"/>
  <c r="H566" i="10"/>
  <c r="C566" i="10"/>
  <c r="B566" i="10"/>
  <c r="N565" i="10"/>
  <c r="I565" i="10"/>
  <c r="E565" i="10"/>
  <c r="C565" i="10"/>
  <c r="B565" i="10"/>
  <c r="H565" i="10" s="1"/>
  <c r="N564" i="10"/>
  <c r="C564" i="10"/>
  <c r="I564" i="10" s="1"/>
  <c r="B564" i="10"/>
  <c r="H564" i="10" s="1"/>
  <c r="N563" i="10"/>
  <c r="C563" i="10"/>
  <c r="B563" i="10"/>
  <c r="H563" i="10" s="1"/>
  <c r="N562" i="10"/>
  <c r="H562" i="10"/>
  <c r="C562" i="10"/>
  <c r="B562" i="10"/>
  <c r="N561" i="10"/>
  <c r="I561" i="10"/>
  <c r="E561" i="10"/>
  <c r="C561" i="10"/>
  <c r="B561" i="10"/>
  <c r="H561" i="10" s="1"/>
  <c r="N560" i="10"/>
  <c r="C560" i="10"/>
  <c r="I560" i="10" s="1"/>
  <c r="B560" i="10"/>
  <c r="H560" i="10" s="1"/>
  <c r="N559" i="10"/>
  <c r="C559" i="10"/>
  <c r="B559" i="10"/>
  <c r="H559" i="10" s="1"/>
  <c r="N558" i="10"/>
  <c r="H558" i="10"/>
  <c r="C558" i="10"/>
  <c r="B558" i="10"/>
  <c r="N557" i="10"/>
  <c r="I557" i="10"/>
  <c r="E557" i="10"/>
  <c r="C557" i="10"/>
  <c r="B557" i="10"/>
  <c r="H557" i="10" s="1"/>
  <c r="N556" i="10"/>
  <c r="C556" i="10"/>
  <c r="I556" i="10" s="1"/>
  <c r="B556" i="10"/>
  <c r="H556" i="10" s="1"/>
  <c r="N555" i="10"/>
  <c r="C555" i="10"/>
  <c r="B555" i="10"/>
  <c r="H555" i="10" s="1"/>
  <c r="N554" i="10"/>
  <c r="H554" i="10"/>
  <c r="C554" i="10"/>
  <c r="B554" i="10"/>
  <c r="N553" i="10"/>
  <c r="I553" i="10"/>
  <c r="E553" i="10"/>
  <c r="C553" i="10"/>
  <c r="B553" i="10"/>
  <c r="H553" i="10" s="1"/>
  <c r="N552" i="10"/>
  <c r="C552" i="10"/>
  <c r="I552" i="10" s="1"/>
  <c r="B552" i="10"/>
  <c r="H552" i="10" s="1"/>
  <c r="N551" i="10"/>
  <c r="C551" i="10"/>
  <c r="B551" i="10"/>
  <c r="H551" i="10" s="1"/>
  <c r="N550" i="10"/>
  <c r="H550" i="10"/>
  <c r="C550" i="10"/>
  <c r="B550" i="10"/>
  <c r="N549" i="10"/>
  <c r="I549" i="10"/>
  <c r="E549" i="10"/>
  <c r="C549" i="10"/>
  <c r="B549" i="10"/>
  <c r="H549" i="10" s="1"/>
  <c r="N548" i="10"/>
  <c r="C548" i="10"/>
  <c r="I548" i="10" s="1"/>
  <c r="B548" i="10"/>
  <c r="H548" i="10" s="1"/>
  <c r="N547" i="10"/>
  <c r="C547" i="10"/>
  <c r="B547" i="10"/>
  <c r="H547" i="10" s="1"/>
  <c r="N546" i="10"/>
  <c r="H546" i="10"/>
  <c r="C546" i="10"/>
  <c r="B546" i="10"/>
  <c r="N545" i="10"/>
  <c r="I545" i="10"/>
  <c r="E545" i="10"/>
  <c r="C545" i="10"/>
  <c r="B545" i="10"/>
  <c r="H545" i="10" s="1"/>
  <c r="N544" i="10"/>
  <c r="C544" i="10"/>
  <c r="I544" i="10" s="1"/>
  <c r="B544" i="10"/>
  <c r="H544" i="10" s="1"/>
  <c r="N543" i="10"/>
  <c r="C543" i="10"/>
  <c r="B543" i="10"/>
  <c r="H543" i="10" s="1"/>
  <c r="N542" i="10"/>
  <c r="H542" i="10"/>
  <c r="C542" i="10"/>
  <c r="B542" i="10"/>
  <c r="N541" i="10"/>
  <c r="I541" i="10"/>
  <c r="E541" i="10"/>
  <c r="C541" i="10"/>
  <c r="B541" i="10"/>
  <c r="H541" i="10" s="1"/>
  <c r="N540" i="10"/>
  <c r="C540" i="10"/>
  <c r="I540" i="10" s="1"/>
  <c r="B540" i="10"/>
  <c r="H540" i="10" s="1"/>
  <c r="N539" i="10"/>
  <c r="C539" i="10"/>
  <c r="B539" i="10"/>
  <c r="H539" i="10" s="1"/>
  <c r="N538" i="10"/>
  <c r="H538" i="10"/>
  <c r="C538" i="10"/>
  <c r="B538" i="10"/>
  <c r="N537" i="10"/>
  <c r="I537" i="10"/>
  <c r="E537" i="10"/>
  <c r="C537" i="10"/>
  <c r="B537" i="10"/>
  <c r="H537" i="10" s="1"/>
  <c r="N536" i="10"/>
  <c r="C536" i="10"/>
  <c r="I536" i="10" s="1"/>
  <c r="B536" i="10"/>
  <c r="H536" i="10" s="1"/>
  <c r="N535" i="10"/>
  <c r="C535" i="10"/>
  <c r="B535" i="10"/>
  <c r="H535" i="10" s="1"/>
  <c r="N534" i="10"/>
  <c r="H534" i="10"/>
  <c r="C534" i="10"/>
  <c r="B534" i="10"/>
  <c r="N533" i="10"/>
  <c r="I533" i="10"/>
  <c r="H533" i="10"/>
  <c r="E533" i="10"/>
  <c r="C533" i="10"/>
  <c r="B533" i="10"/>
  <c r="N532" i="10"/>
  <c r="C532" i="10"/>
  <c r="I532" i="10" s="1"/>
  <c r="B532" i="10"/>
  <c r="H532" i="10" s="1"/>
  <c r="N531" i="10"/>
  <c r="C531" i="10"/>
  <c r="B531" i="10"/>
  <c r="H531" i="10" s="1"/>
  <c r="N530" i="10"/>
  <c r="H530" i="10"/>
  <c r="C530" i="10"/>
  <c r="B530" i="10"/>
  <c r="N529" i="10"/>
  <c r="I529" i="10"/>
  <c r="H529" i="10"/>
  <c r="E529" i="10"/>
  <c r="C529" i="10"/>
  <c r="B529" i="10"/>
  <c r="N528" i="10"/>
  <c r="C528" i="10"/>
  <c r="I528" i="10" s="1"/>
  <c r="B528" i="10"/>
  <c r="H528" i="10" s="1"/>
  <c r="N527" i="10"/>
  <c r="C527" i="10"/>
  <c r="B527" i="10"/>
  <c r="H527" i="10" s="1"/>
  <c r="N526" i="10"/>
  <c r="H526" i="10"/>
  <c r="C526" i="10"/>
  <c r="B526" i="10"/>
  <c r="N525" i="10"/>
  <c r="I525" i="10"/>
  <c r="H525" i="10"/>
  <c r="E525" i="10"/>
  <c r="C525" i="10"/>
  <c r="B525" i="10"/>
  <c r="N524" i="10"/>
  <c r="C524" i="10"/>
  <c r="I524" i="10" s="1"/>
  <c r="B524" i="10"/>
  <c r="H524" i="10" s="1"/>
  <c r="N523" i="10"/>
  <c r="C523" i="10"/>
  <c r="B523" i="10"/>
  <c r="H523" i="10" s="1"/>
  <c r="N522" i="10"/>
  <c r="H522" i="10"/>
  <c r="C522" i="10"/>
  <c r="B522" i="10"/>
  <c r="N521" i="10"/>
  <c r="I521" i="10"/>
  <c r="E521" i="10"/>
  <c r="C521" i="10"/>
  <c r="B521" i="10"/>
  <c r="H521" i="10" s="1"/>
  <c r="N520" i="10"/>
  <c r="C520" i="10"/>
  <c r="I520" i="10" s="1"/>
  <c r="B520" i="10"/>
  <c r="H520" i="10" s="1"/>
  <c r="N519" i="10"/>
  <c r="C519" i="10"/>
  <c r="B519" i="10"/>
  <c r="H519" i="10" s="1"/>
  <c r="N518" i="10"/>
  <c r="H518" i="10"/>
  <c r="C518" i="10"/>
  <c r="B518" i="10"/>
  <c r="N517" i="10"/>
  <c r="I517" i="10"/>
  <c r="H517" i="10"/>
  <c r="E517" i="10"/>
  <c r="C517" i="10"/>
  <c r="B517" i="10"/>
  <c r="N516" i="10"/>
  <c r="C516" i="10"/>
  <c r="I516" i="10" s="1"/>
  <c r="B516" i="10"/>
  <c r="H516" i="10" s="1"/>
  <c r="N515" i="10"/>
  <c r="C515" i="10"/>
  <c r="B515" i="10"/>
  <c r="H515" i="10" s="1"/>
  <c r="N514" i="10"/>
  <c r="H514" i="10"/>
  <c r="C514" i="10"/>
  <c r="B514" i="10"/>
  <c r="N513" i="10"/>
  <c r="I513" i="10"/>
  <c r="H513" i="10"/>
  <c r="E513" i="10"/>
  <c r="C513" i="10"/>
  <c r="B513" i="10"/>
  <c r="N512" i="10"/>
  <c r="C512" i="10"/>
  <c r="I512" i="10" s="1"/>
  <c r="B512" i="10"/>
  <c r="H512" i="10" s="1"/>
  <c r="N511" i="10"/>
  <c r="C511" i="10"/>
  <c r="B511" i="10"/>
  <c r="H511" i="10" s="1"/>
  <c r="N510" i="10"/>
  <c r="H510" i="10"/>
  <c r="C510" i="10"/>
  <c r="B510" i="10"/>
  <c r="N509" i="10"/>
  <c r="I509" i="10"/>
  <c r="H509" i="10"/>
  <c r="E509" i="10"/>
  <c r="C509" i="10"/>
  <c r="B509" i="10"/>
  <c r="N508" i="10"/>
  <c r="I508" i="10"/>
  <c r="E508" i="10"/>
  <c r="C508" i="10"/>
  <c r="B508" i="10"/>
  <c r="H508" i="10" s="1"/>
  <c r="N507" i="10"/>
  <c r="C507" i="10"/>
  <c r="B507" i="10"/>
  <c r="H507" i="10" s="1"/>
  <c r="N506" i="10"/>
  <c r="H506" i="10"/>
  <c r="C506" i="10"/>
  <c r="B506" i="10"/>
  <c r="N505" i="10"/>
  <c r="I505" i="10"/>
  <c r="H505" i="10"/>
  <c r="E505" i="10"/>
  <c r="C505" i="10"/>
  <c r="B505" i="10"/>
  <c r="N504" i="10"/>
  <c r="I504" i="10"/>
  <c r="E504" i="10"/>
  <c r="C504" i="10"/>
  <c r="B504" i="10"/>
  <c r="H504" i="10" s="1"/>
  <c r="N503" i="10"/>
  <c r="C503" i="10"/>
  <c r="B503" i="10"/>
  <c r="H503" i="10" s="1"/>
  <c r="N502" i="10"/>
  <c r="H502" i="10"/>
  <c r="C502" i="10"/>
  <c r="B502" i="10"/>
  <c r="N501" i="10"/>
  <c r="I501" i="10"/>
  <c r="H501" i="10"/>
  <c r="E501" i="10"/>
  <c r="C501" i="10"/>
  <c r="B501" i="10"/>
  <c r="N500" i="10"/>
  <c r="I500" i="10"/>
  <c r="E500" i="10"/>
  <c r="C500" i="10"/>
  <c r="B500" i="10"/>
  <c r="H500" i="10" s="1"/>
  <c r="N499" i="10"/>
  <c r="C499" i="10"/>
  <c r="B499" i="10"/>
  <c r="H499" i="10" s="1"/>
  <c r="N498" i="10"/>
  <c r="H498" i="10"/>
  <c r="C498" i="10"/>
  <c r="B498" i="10"/>
  <c r="N497" i="10"/>
  <c r="I497" i="10"/>
  <c r="H497" i="10"/>
  <c r="E497" i="10"/>
  <c r="C497" i="10"/>
  <c r="B497" i="10"/>
  <c r="N496" i="10"/>
  <c r="I496" i="10"/>
  <c r="E496" i="10"/>
  <c r="C496" i="10"/>
  <c r="B496" i="10"/>
  <c r="H496" i="10" s="1"/>
  <c r="N495" i="10"/>
  <c r="C495" i="10"/>
  <c r="B495" i="10"/>
  <c r="H495" i="10" s="1"/>
  <c r="N494" i="10"/>
  <c r="H494" i="10"/>
  <c r="C494" i="10"/>
  <c r="B494" i="10"/>
  <c r="N493" i="10"/>
  <c r="I493" i="10"/>
  <c r="H493" i="10"/>
  <c r="E493" i="10"/>
  <c r="C493" i="10"/>
  <c r="B493" i="10"/>
  <c r="N492" i="10"/>
  <c r="I492" i="10"/>
  <c r="E492" i="10"/>
  <c r="C492" i="10"/>
  <c r="B492" i="10"/>
  <c r="H492" i="10" s="1"/>
  <c r="N491" i="10"/>
  <c r="C491" i="10"/>
  <c r="B491" i="10"/>
  <c r="H491" i="10" s="1"/>
  <c r="N490" i="10"/>
  <c r="H490" i="10"/>
  <c r="C490" i="10"/>
  <c r="B490" i="10"/>
  <c r="N489" i="10"/>
  <c r="I489" i="10"/>
  <c r="H489" i="10"/>
  <c r="E489" i="10"/>
  <c r="C489" i="10"/>
  <c r="B489" i="10"/>
  <c r="N488" i="10"/>
  <c r="I488" i="10"/>
  <c r="E488" i="10"/>
  <c r="C488" i="10"/>
  <c r="B488" i="10"/>
  <c r="H488" i="10" s="1"/>
  <c r="N487" i="10"/>
  <c r="C487" i="10"/>
  <c r="B487" i="10"/>
  <c r="H487" i="10" s="1"/>
  <c r="N486" i="10"/>
  <c r="H486" i="10"/>
  <c r="C486" i="10"/>
  <c r="B486" i="10"/>
  <c r="N485" i="10"/>
  <c r="I485" i="10"/>
  <c r="H485" i="10"/>
  <c r="E485" i="10"/>
  <c r="C485" i="10"/>
  <c r="B485" i="10"/>
  <c r="N484" i="10"/>
  <c r="I484" i="10"/>
  <c r="E484" i="10"/>
  <c r="C484" i="10"/>
  <c r="B484" i="10"/>
  <c r="H484" i="10" s="1"/>
  <c r="N483" i="10"/>
  <c r="C483" i="10"/>
  <c r="B483" i="10"/>
  <c r="H483" i="10" s="1"/>
  <c r="N482" i="10"/>
  <c r="H482" i="10"/>
  <c r="C482" i="10"/>
  <c r="B482" i="10"/>
  <c r="N481" i="10"/>
  <c r="I481" i="10"/>
  <c r="H481" i="10"/>
  <c r="E481" i="10"/>
  <c r="C481" i="10"/>
  <c r="B481" i="10"/>
  <c r="N480" i="10"/>
  <c r="I480" i="10"/>
  <c r="E480" i="10"/>
  <c r="C480" i="10"/>
  <c r="B480" i="10"/>
  <c r="H480" i="10" s="1"/>
  <c r="N479" i="10"/>
  <c r="C479" i="10"/>
  <c r="B479" i="10"/>
  <c r="H479" i="10" s="1"/>
  <c r="N478" i="10"/>
  <c r="H478" i="10"/>
  <c r="C478" i="10"/>
  <c r="B478" i="10"/>
  <c r="N477" i="10"/>
  <c r="I477" i="10"/>
  <c r="H477" i="10"/>
  <c r="E477" i="10"/>
  <c r="C477" i="10"/>
  <c r="B477" i="10"/>
  <c r="N476" i="10"/>
  <c r="I476" i="10"/>
  <c r="E476" i="10"/>
  <c r="C476" i="10"/>
  <c r="B476" i="10"/>
  <c r="H476" i="10" s="1"/>
  <c r="N475" i="10"/>
  <c r="C475" i="10"/>
  <c r="B475" i="10"/>
  <c r="H475" i="10" s="1"/>
  <c r="N474" i="10"/>
  <c r="H474" i="10"/>
  <c r="C474" i="10"/>
  <c r="B474" i="10"/>
  <c r="N473" i="10"/>
  <c r="I473" i="10"/>
  <c r="H473" i="10"/>
  <c r="E473" i="10"/>
  <c r="C473" i="10"/>
  <c r="B473" i="10"/>
  <c r="N472" i="10"/>
  <c r="I472" i="10"/>
  <c r="E472" i="10"/>
  <c r="C472" i="10"/>
  <c r="B472" i="10"/>
  <c r="H472" i="10" s="1"/>
  <c r="N471" i="10"/>
  <c r="C471" i="10"/>
  <c r="B471" i="10"/>
  <c r="H471" i="10" s="1"/>
  <c r="N470" i="10"/>
  <c r="H470" i="10"/>
  <c r="C470" i="10"/>
  <c r="B470" i="10"/>
  <c r="N469" i="10"/>
  <c r="I469" i="10"/>
  <c r="H469" i="10"/>
  <c r="E469" i="10"/>
  <c r="C469" i="10"/>
  <c r="B469" i="10"/>
  <c r="N468" i="10"/>
  <c r="I468" i="10"/>
  <c r="E468" i="10"/>
  <c r="C468" i="10"/>
  <c r="B468" i="10"/>
  <c r="H468" i="10" s="1"/>
  <c r="N467" i="10"/>
  <c r="C467" i="10"/>
  <c r="B467" i="10"/>
  <c r="H467" i="10" s="1"/>
  <c r="N466" i="10"/>
  <c r="H466" i="10"/>
  <c r="C466" i="10"/>
  <c r="B466" i="10"/>
  <c r="N465" i="10"/>
  <c r="I465" i="10"/>
  <c r="H465" i="10"/>
  <c r="E465" i="10"/>
  <c r="C465" i="10"/>
  <c r="B465" i="10"/>
  <c r="N464" i="10"/>
  <c r="I464" i="10"/>
  <c r="E464" i="10"/>
  <c r="C464" i="10"/>
  <c r="B464" i="10"/>
  <c r="H464" i="10" s="1"/>
  <c r="N463" i="10"/>
  <c r="C463" i="10"/>
  <c r="B463" i="10"/>
  <c r="H463" i="10" s="1"/>
  <c r="N462" i="10"/>
  <c r="H462" i="10"/>
  <c r="C462" i="10"/>
  <c r="B462" i="10"/>
  <c r="N461" i="10"/>
  <c r="I461" i="10"/>
  <c r="H461" i="10"/>
  <c r="E461" i="10"/>
  <c r="C461" i="10"/>
  <c r="B461" i="10"/>
  <c r="N460" i="10"/>
  <c r="I460" i="10"/>
  <c r="E460" i="10"/>
  <c r="C460" i="10"/>
  <c r="B460" i="10"/>
  <c r="H460" i="10" s="1"/>
  <c r="N459" i="10"/>
  <c r="C459" i="10"/>
  <c r="B459" i="10"/>
  <c r="H459" i="10" s="1"/>
  <c r="N458" i="10"/>
  <c r="H458" i="10"/>
  <c r="C458" i="10"/>
  <c r="B458" i="10"/>
  <c r="N457" i="10"/>
  <c r="I457" i="10"/>
  <c r="H457" i="10"/>
  <c r="E457" i="10"/>
  <c r="C457" i="10"/>
  <c r="B457" i="10"/>
  <c r="N456" i="10"/>
  <c r="I456" i="10"/>
  <c r="E456" i="10"/>
  <c r="C456" i="10"/>
  <c r="B456" i="10"/>
  <c r="H456" i="10" s="1"/>
  <c r="N455" i="10"/>
  <c r="C455" i="10"/>
  <c r="B455" i="10"/>
  <c r="H455" i="10" s="1"/>
  <c r="N454" i="10"/>
  <c r="H454" i="10"/>
  <c r="C454" i="10"/>
  <c r="B454" i="10"/>
  <c r="N453" i="10"/>
  <c r="I453" i="10"/>
  <c r="H453" i="10"/>
  <c r="E453" i="10"/>
  <c r="C453" i="10"/>
  <c r="B453" i="10"/>
  <c r="N452" i="10"/>
  <c r="I452" i="10"/>
  <c r="E452" i="10"/>
  <c r="C452" i="10"/>
  <c r="B452" i="10"/>
  <c r="H452" i="10" s="1"/>
  <c r="N451" i="10"/>
  <c r="C451" i="10"/>
  <c r="B451" i="10"/>
  <c r="H451" i="10" s="1"/>
  <c r="N450" i="10"/>
  <c r="H450" i="10"/>
  <c r="G450" i="10"/>
  <c r="C450" i="10"/>
  <c r="B450" i="10"/>
  <c r="N449" i="10"/>
  <c r="I449" i="10"/>
  <c r="H449" i="10"/>
  <c r="G449" i="10"/>
  <c r="E449" i="10"/>
  <c r="C449" i="10"/>
  <c r="B449" i="10"/>
  <c r="N448" i="10"/>
  <c r="I448" i="10"/>
  <c r="G448" i="10"/>
  <c r="E448" i="10"/>
  <c r="C448" i="10"/>
  <c r="B448" i="10"/>
  <c r="H448" i="10" s="1"/>
  <c r="N447" i="10"/>
  <c r="G447" i="10"/>
  <c r="C447" i="10"/>
  <c r="B447" i="10"/>
  <c r="H447" i="10" s="1"/>
  <c r="N446" i="10"/>
  <c r="H446" i="10"/>
  <c r="G446" i="10"/>
  <c r="C446" i="10"/>
  <c r="B446" i="10"/>
  <c r="N445" i="10"/>
  <c r="I445" i="10"/>
  <c r="H445" i="10"/>
  <c r="G445" i="10"/>
  <c r="E445" i="10"/>
  <c r="C445" i="10"/>
  <c r="B445" i="10"/>
  <c r="N444" i="10"/>
  <c r="G444" i="10"/>
  <c r="C444" i="10"/>
  <c r="I444" i="10" s="1"/>
  <c r="B444" i="10"/>
  <c r="H444" i="10" s="1"/>
  <c r="N443" i="10"/>
  <c r="G443" i="10"/>
  <c r="C443" i="10"/>
  <c r="B443" i="10"/>
  <c r="H443" i="10" s="1"/>
  <c r="N442" i="10"/>
  <c r="H442" i="10"/>
  <c r="G442" i="10"/>
  <c r="C442" i="10"/>
  <c r="B442" i="10"/>
  <c r="N441" i="10"/>
  <c r="I441" i="10"/>
  <c r="H441" i="10"/>
  <c r="G441" i="10"/>
  <c r="E441" i="10"/>
  <c r="C441" i="10"/>
  <c r="B441" i="10"/>
  <c r="N440" i="10"/>
  <c r="G440" i="10"/>
  <c r="C440" i="10"/>
  <c r="I440" i="10" s="1"/>
  <c r="B440" i="10"/>
  <c r="H440" i="10" s="1"/>
  <c r="N439" i="10"/>
  <c r="G439" i="10"/>
  <c r="C439" i="10"/>
  <c r="B439" i="10"/>
  <c r="H439" i="10" s="1"/>
  <c r="N438" i="10"/>
  <c r="H438" i="10"/>
  <c r="G438" i="10"/>
  <c r="C438" i="10"/>
  <c r="B438" i="10"/>
  <c r="N437" i="10"/>
  <c r="I437" i="10"/>
  <c r="H437" i="10"/>
  <c r="G437" i="10"/>
  <c r="E437" i="10"/>
  <c r="C437" i="10"/>
  <c r="B437" i="10"/>
  <c r="N436" i="10"/>
  <c r="H436" i="10"/>
  <c r="G436" i="10"/>
  <c r="C436" i="10"/>
  <c r="I436" i="10" s="1"/>
  <c r="B436" i="10"/>
  <c r="N435" i="10"/>
  <c r="I435" i="10"/>
  <c r="G435" i="10"/>
  <c r="E435" i="10"/>
  <c r="C435" i="10"/>
  <c r="B435" i="10"/>
  <c r="H435" i="10" s="1"/>
  <c r="N434" i="10"/>
  <c r="H434" i="10"/>
  <c r="G434" i="10"/>
  <c r="C434" i="10"/>
  <c r="B434" i="10"/>
  <c r="N433" i="10"/>
  <c r="I433" i="10"/>
  <c r="G433" i="10"/>
  <c r="E433" i="10"/>
  <c r="C433" i="10"/>
  <c r="B433" i="10"/>
  <c r="H433" i="10" s="1"/>
  <c r="N432" i="10"/>
  <c r="H432" i="10"/>
  <c r="G432" i="10"/>
  <c r="C432" i="10"/>
  <c r="I432" i="10" s="1"/>
  <c r="B432" i="10"/>
  <c r="N431" i="10"/>
  <c r="I431" i="10"/>
  <c r="G431" i="10"/>
  <c r="E431" i="10"/>
  <c r="C431" i="10"/>
  <c r="B431" i="10"/>
  <c r="H431" i="10" s="1"/>
  <c r="N430" i="10"/>
  <c r="H430" i="10"/>
  <c r="G430" i="10"/>
  <c r="C430" i="10"/>
  <c r="B430" i="10"/>
  <c r="N429" i="10"/>
  <c r="I429" i="10"/>
  <c r="G429" i="10"/>
  <c r="E429" i="10"/>
  <c r="C429" i="10"/>
  <c r="B429" i="10"/>
  <c r="H429" i="10" s="1"/>
  <c r="N428" i="10"/>
  <c r="H428" i="10"/>
  <c r="G428" i="10"/>
  <c r="C428" i="10"/>
  <c r="I428" i="10" s="1"/>
  <c r="B428" i="10"/>
  <c r="N427" i="10"/>
  <c r="I427" i="10"/>
  <c r="G427" i="10"/>
  <c r="E427" i="10"/>
  <c r="C427" i="10"/>
  <c r="B427" i="10"/>
  <c r="H427" i="10" s="1"/>
  <c r="N426" i="10"/>
  <c r="H426" i="10"/>
  <c r="G426" i="10"/>
  <c r="C426" i="10"/>
  <c r="B426" i="10"/>
  <c r="N425" i="10"/>
  <c r="I425" i="10"/>
  <c r="G425" i="10"/>
  <c r="E425" i="10"/>
  <c r="C425" i="10"/>
  <c r="B425" i="10"/>
  <c r="H425" i="10" s="1"/>
  <c r="N424" i="10"/>
  <c r="H424" i="10"/>
  <c r="G424" i="10"/>
  <c r="C424" i="10"/>
  <c r="I424" i="10" s="1"/>
  <c r="B424" i="10"/>
  <c r="N423" i="10"/>
  <c r="I423" i="10"/>
  <c r="G423" i="10"/>
  <c r="E423" i="10"/>
  <c r="C423" i="10"/>
  <c r="B423" i="10"/>
  <c r="H423" i="10" s="1"/>
  <c r="N422" i="10"/>
  <c r="H422" i="10"/>
  <c r="G422" i="10"/>
  <c r="C422" i="10"/>
  <c r="B422" i="10"/>
  <c r="N421" i="10"/>
  <c r="I421" i="10"/>
  <c r="G421" i="10"/>
  <c r="E421" i="10"/>
  <c r="C421" i="10"/>
  <c r="B421" i="10"/>
  <c r="H421" i="10" s="1"/>
  <c r="N420" i="10"/>
  <c r="H420" i="10"/>
  <c r="G420" i="10"/>
  <c r="C420" i="10"/>
  <c r="I420" i="10" s="1"/>
  <c r="B420" i="10"/>
  <c r="N419" i="10"/>
  <c r="I419" i="10"/>
  <c r="G419" i="10"/>
  <c r="E419" i="10"/>
  <c r="C419" i="10"/>
  <c r="B419" i="10"/>
  <c r="H419" i="10" s="1"/>
  <c r="N418" i="10"/>
  <c r="H418" i="10"/>
  <c r="G418" i="10"/>
  <c r="C418" i="10"/>
  <c r="B418" i="10"/>
  <c r="N417" i="10"/>
  <c r="I417" i="10"/>
  <c r="G417" i="10"/>
  <c r="E417" i="10"/>
  <c r="C417" i="10"/>
  <c r="B417" i="10"/>
  <c r="H417" i="10" s="1"/>
  <c r="N416" i="10"/>
  <c r="H416" i="10"/>
  <c r="G416" i="10"/>
  <c r="C416" i="10"/>
  <c r="I416" i="10" s="1"/>
  <c r="B416" i="10"/>
  <c r="N415" i="10"/>
  <c r="I415" i="10"/>
  <c r="G415" i="10"/>
  <c r="E415" i="10"/>
  <c r="C415" i="10"/>
  <c r="B415" i="10"/>
  <c r="H415" i="10" s="1"/>
  <c r="N414" i="10"/>
  <c r="H414" i="10"/>
  <c r="G414" i="10"/>
  <c r="C414" i="10"/>
  <c r="B414" i="10"/>
  <c r="N413" i="10"/>
  <c r="I413" i="10"/>
  <c r="G413" i="10"/>
  <c r="E413" i="10"/>
  <c r="C413" i="10"/>
  <c r="B413" i="10"/>
  <c r="H413" i="10" s="1"/>
  <c r="N412" i="10"/>
  <c r="H412" i="10"/>
  <c r="G412" i="10"/>
  <c r="C412" i="10"/>
  <c r="I412" i="10" s="1"/>
  <c r="B412" i="10"/>
  <c r="N411" i="10"/>
  <c r="I411" i="10"/>
  <c r="G411" i="10"/>
  <c r="E411" i="10"/>
  <c r="C411" i="10"/>
  <c r="B411" i="10"/>
  <c r="H411" i="10" s="1"/>
  <c r="N410" i="10"/>
  <c r="H410" i="10"/>
  <c r="G410" i="10"/>
  <c r="C410" i="10"/>
  <c r="B410" i="10"/>
  <c r="N409" i="10"/>
  <c r="I409" i="10"/>
  <c r="G409" i="10"/>
  <c r="E409" i="10"/>
  <c r="C409" i="10"/>
  <c r="B409" i="10"/>
  <c r="H409" i="10" s="1"/>
  <c r="N408" i="10"/>
  <c r="H408" i="10"/>
  <c r="G408" i="10"/>
  <c r="C408" i="10"/>
  <c r="I408" i="10" s="1"/>
  <c r="B408" i="10"/>
  <c r="N407" i="10"/>
  <c r="I407" i="10"/>
  <c r="G407" i="10"/>
  <c r="E407" i="10"/>
  <c r="C407" i="10"/>
  <c r="B407" i="10"/>
  <c r="H407" i="10" s="1"/>
  <c r="N406" i="10"/>
  <c r="H406" i="10"/>
  <c r="G406" i="10"/>
  <c r="C406" i="10"/>
  <c r="B406" i="10"/>
  <c r="N405" i="10"/>
  <c r="I405" i="10"/>
  <c r="G405" i="10"/>
  <c r="E405" i="10"/>
  <c r="C405" i="10"/>
  <c r="B405" i="10"/>
  <c r="H405" i="10" s="1"/>
  <c r="N404" i="10"/>
  <c r="H404" i="10"/>
  <c r="G404" i="10"/>
  <c r="C404" i="10"/>
  <c r="I404" i="10" s="1"/>
  <c r="B404" i="10"/>
  <c r="N403" i="10"/>
  <c r="I403" i="10"/>
  <c r="G403" i="10"/>
  <c r="E403" i="10"/>
  <c r="C403" i="10"/>
  <c r="B403" i="10"/>
  <c r="H403" i="10" s="1"/>
  <c r="N402" i="10"/>
  <c r="H402" i="10"/>
  <c r="G402" i="10"/>
  <c r="C402" i="10"/>
  <c r="B402" i="10"/>
  <c r="N401" i="10"/>
  <c r="I401" i="10"/>
  <c r="G401" i="10"/>
  <c r="E401" i="10"/>
  <c r="C401" i="10"/>
  <c r="B401" i="10"/>
  <c r="H401" i="10" s="1"/>
  <c r="N400" i="10"/>
  <c r="H400" i="10"/>
  <c r="G400" i="10"/>
  <c r="C400" i="10"/>
  <c r="I400" i="10" s="1"/>
  <c r="B400" i="10"/>
  <c r="N399" i="10"/>
  <c r="I399" i="10"/>
  <c r="G399" i="10"/>
  <c r="E399" i="10"/>
  <c r="C399" i="10"/>
  <c r="B399" i="10"/>
  <c r="H399" i="10" s="1"/>
  <c r="N398" i="10"/>
  <c r="H398" i="10"/>
  <c r="G398" i="10"/>
  <c r="C398" i="10"/>
  <c r="B398" i="10"/>
  <c r="N397" i="10"/>
  <c r="I397" i="10"/>
  <c r="G397" i="10"/>
  <c r="E397" i="10"/>
  <c r="C397" i="10"/>
  <c r="B397" i="10"/>
  <c r="H397" i="10" s="1"/>
  <c r="N396" i="10"/>
  <c r="H396" i="10"/>
  <c r="G396" i="10"/>
  <c r="C396" i="10"/>
  <c r="I396" i="10" s="1"/>
  <c r="B396" i="10"/>
  <c r="N395" i="10"/>
  <c r="I395" i="10"/>
  <c r="G395" i="10"/>
  <c r="E395" i="10"/>
  <c r="C395" i="10"/>
  <c r="B395" i="10"/>
  <c r="H395" i="10" s="1"/>
  <c r="N394" i="10"/>
  <c r="H394" i="10"/>
  <c r="G394" i="10"/>
  <c r="C394" i="10"/>
  <c r="B394" i="10"/>
  <c r="N393" i="10"/>
  <c r="I393" i="10"/>
  <c r="G393" i="10"/>
  <c r="E393" i="10"/>
  <c r="C393" i="10"/>
  <c r="B393" i="10"/>
  <c r="H393" i="10" s="1"/>
  <c r="N392" i="10"/>
  <c r="H392" i="10"/>
  <c r="G392" i="10"/>
  <c r="C392" i="10"/>
  <c r="I392" i="10" s="1"/>
  <c r="B392" i="10"/>
  <c r="N391" i="10"/>
  <c r="I391" i="10"/>
  <c r="G391" i="10"/>
  <c r="E391" i="10"/>
  <c r="C391" i="10"/>
  <c r="B391" i="10"/>
  <c r="H391" i="10" s="1"/>
  <c r="N390" i="10"/>
  <c r="H390" i="10"/>
  <c r="G390" i="10"/>
  <c r="C390" i="10"/>
  <c r="B390" i="10"/>
  <c r="N389" i="10"/>
  <c r="I389" i="10"/>
  <c r="G389" i="10"/>
  <c r="E389" i="10"/>
  <c r="C389" i="10"/>
  <c r="B389" i="10"/>
  <c r="H389" i="10" s="1"/>
  <c r="N388" i="10"/>
  <c r="H388" i="10"/>
  <c r="G388" i="10"/>
  <c r="C388" i="10"/>
  <c r="I388" i="10" s="1"/>
  <c r="B388" i="10"/>
  <c r="N387" i="10"/>
  <c r="I387" i="10"/>
  <c r="G387" i="10"/>
  <c r="E387" i="10"/>
  <c r="C387" i="10"/>
  <c r="B387" i="10"/>
  <c r="H387" i="10" s="1"/>
  <c r="N386" i="10"/>
  <c r="H386" i="10"/>
  <c r="G386" i="10"/>
  <c r="C386" i="10"/>
  <c r="B386" i="10"/>
  <c r="N385" i="10"/>
  <c r="I385" i="10"/>
  <c r="G385" i="10"/>
  <c r="E385" i="10"/>
  <c r="C385" i="10"/>
  <c r="B385" i="10"/>
  <c r="H385" i="10" s="1"/>
  <c r="N384" i="10"/>
  <c r="H384" i="10"/>
  <c r="G384" i="10"/>
  <c r="C384" i="10"/>
  <c r="I384" i="10" s="1"/>
  <c r="B384" i="10"/>
  <c r="N383" i="10"/>
  <c r="I383" i="10"/>
  <c r="G383" i="10"/>
  <c r="E383" i="10"/>
  <c r="C383" i="10"/>
  <c r="B383" i="10"/>
  <c r="H383" i="10" s="1"/>
  <c r="N382" i="10"/>
  <c r="H382" i="10"/>
  <c r="G382" i="10"/>
  <c r="C382" i="10"/>
  <c r="B382" i="10"/>
  <c r="N381" i="10"/>
  <c r="I381" i="10"/>
  <c r="G381" i="10"/>
  <c r="E381" i="10"/>
  <c r="C381" i="10"/>
  <c r="B381" i="10"/>
  <c r="H381" i="10" s="1"/>
  <c r="N380" i="10"/>
  <c r="H380" i="10"/>
  <c r="G380" i="10"/>
  <c r="C380" i="10"/>
  <c r="I380" i="10" s="1"/>
  <c r="B380" i="10"/>
  <c r="N379" i="10"/>
  <c r="I379" i="10"/>
  <c r="G379" i="10"/>
  <c r="E379" i="10"/>
  <c r="C379" i="10"/>
  <c r="B379" i="10"/>
  <c r="H379" i="10" s="1"/>
  <c r="N378" i="10"/>
  <c r="H378" i="10"/>
  <c r="G378" i="10"/>
  <c r="C378" i="10"/>
  <c r="B378" i="10"/>
  <c r="N377" i="10"/>
  <c r="I377" i="10"/>
  <c r="G377" i="10"/>
  <c r="E377" i="10"/>
  <c r="C377" i="10"/>
  <c r="B377" i="10"/>
  <c r="H377" i="10" s="1"/>
  <c r="N376" i="10"/>
  <c r="H376" i="10"/>
  <c r="G376" i="10"/>
  <c r="C376" i="10"/>
  <c r="I376" i="10" s="1"/>
  <c r="B376" i="10"/>
  <c r="N375" i="10"/>
  <c r="I375" i="10"/>
  <c r="G375" i="10"/>
  <c r="E375" i="10"/>
  <c r="C375" i="10"/>
  <c r="B375" i="10"/>
  <c r="H375" i="10" s="1"/>
  <c r="N374" i="10"/>
  <c r="H374" i="10"/>
  <c r="G374" i="10"/>
  <c r="C374" i="10"/>
  <c r="B374" i="10"/>
  <c r="N373" i="10"/>
  <c r="I373" i="10"/>
  <c r="G373" i="10"/>
  <c r="E373" i="10"/>
  <c r="C373" i="10"/>
  <c r="B373" i="10"/>
  <c r="H373" i="10" s="1"/>
  <c r="N372" i="10"/>
  <c r="H372" i="10"/>
  <c r="G372" i="10"/>
  <c r="C372" i="10"/>
  <c r="I372" i="10" s="1"/>
  <c r="B372" i="10"/>
  <c r="N371" i="10"/>
  <c r="I371" i="10"/>
  <c r="G371" i="10"/>
  <c r="E371" i="10"/>
  <c r="C371" i="10"/>
  <c r="B371" i="10"/>
  <c r="H371" i="10" s="1"/>
  <c r="N370" i="10"/>
  <c r="H370" i="10"/>
  <c r="G370" i="10"/>
  <c r="C370" i="10"/>
  <c r="B370" i="10"/>
  <c r="N369" i="10"/>
  <c r="I369" i="10"/>
  <c r="G369" i="10"/>
  <c r="E369" i="10"/>
  <c r="C369" i="10"/>
  <c r="B369" i="10"/>
  <c r="H369" i="10" s="1"/>
  <c r="N368" i="10"/>
  <c r="H368" i="10"/>
  <c r="G368" i="10"/>
  <c r="C368" i="10"/>
  <c r="I368" i="10" s="1"/>
  <c r="B368" i="10"/>
  <c r="N367" i="10"/>
  <c r="I367" i="10"/>
  <c r="G367" i="10"/>
  <c r="E367" i="10"/>
  <c r="C367" i="10"/>
  <c r="B367" i="10"/>
  <c r="H367" i="10" s="1"/>
  <c r="N366" i="10"/>
  <c r="H366" i="10"/>
  <c r="G366" i="10"/>
  <c r="C366" i="10"/>
  <c r="B366" i="10"/>
  <c r="N365" i="10"/>
  <c r="I365" i="10"/>
  <c r="G365" i="10"/>
  <c r="E365" i="10"/>
  <c r="C365" i="10"/>
  <c r="B365" i="10"/>
  <c r="H365" i="10" s="1"/>
  <c r="N364" i="10"/>
  <c r="H364" i="10"/>
  <c r="G364" i="10"/>
  <c r="C364" i="10"/>
  <c r="I364" i="10" s="1"/>
  <c r="B364" i="10"/>
  <c r="N363" i="10"/>
  <c r="I363" i="10"/>
  <c r="G363" i="10"/>
  <c r="E363" i="10"/>
  <c r="C363" i="10"/>
  <c r="B363" i="10"/>
  <c r="H363" i="10" s="1"/>
  <c r="N362" i="10"/>
  <c r="H362" i="10"/>
  <c r="G362" i="10"/>
  <c r="C362" i="10"/>
  <c r="B362" i="10"/>
  <c r="N361" i="10"/>
  <c r="I361" i="10"/>
  <c r="G361" i="10"/>
  <c r="E361" i="10"/>
  <c r="C361" i="10"/>
  <c r="B361" i="10"/>
  <c r="H361" i="10" s="1"/>
  <c r="N360" i="10"/>
  <c r="H360" i="10"/>
  <c r="G360" i="10"/>
  <c r="C360" i="10"/>
  <c r="I360" i="10" s="1"/>
  <c r="B360" i="10"/>
  <c r="N359" i="10"/>
  <c r="I359" i="10"/>
  <c r="G359" i="10"/>
  <c r="E359" i="10"/>
  <c r="C359" i="10"/>
  <c r="B359" i="10"/>
  <c r="H359" i="10" s="1"/>
  <c r="N358" i="10"/>
  <c r="H358" i="10"/>
  <c r="G358" i="10"/>
  <c r="C358" i="10"/>
  <c r="B358" i="10"/>
  <c r="N357" i="10"/>
  <c r="I357" i="10"/>
  <c r="G357" i="10"/>
  <c r="E357" i="10"/>
  <c r="C357" i="10"/>
  <c r="B357" i="10"/>
  <c r="H357" i="10" s="1"/>
  <c r="N356" i="10"/>
  <c r="H356" i="10"/>
  <c r="G356" i="10"/>
  <c r="C356" i="10"/>
  <c r="I356" i="10" s="1"/>
  <c r="B356" i="10"/>
  <c r="N355" i="10"/>
  <c r="I355" i="10"/>
  <c r="G355" i="10"/>
  <c r="E355" i="10"/>
  <c r="C355" i="10"/>
  <c r="B355" i="10"/>
  <c r="H355" i="10" s="1"/>
  <c r="N354" i="10"/>
  <c r="H354" i="10"/>
  <c r="G354" i="10"/>
  <c r="C354" i="10"/>
  <c r="B354" i="10"/>
  <c r="N353" i="10"/>
  <c r="I353" i="10"/>
  <c r="E353" i="10"/>
  <c r="C353" i="10"/>
  <c r="B353" i="10"/>
  <c r="H353" i="10" s="1"/>
  <c r="N352" i="10"/>
  <c r="H352" i="10"/>
  <c r="C352" i="10"/>
  <c r="I352" i="10" s="1"/>
  <c r="B352" i="10"/>
  <c r="N351" i="10"/>
  <c r="I351" i="10"/>
  <c r="E351" i="10"/>
  <c r="C351" i="10"/>
  <c r="B351" i="10"/>
  <c r="H351" i="10" s="1"/>
  <c r="N350" i="10"/>
  <c r="H350" i="10"/>
  <c r="C350" i="10"/>
  <c r="B350" i="10"/>
  <c r="N349" i="10"/>
  <c r="I349" i="10"/>
  <c r="E349" i="10"/>
  <c r="C349" i="10"/>
  <c r="B349" i="10"/>
  <c r="H349" i="10" s="1"/>
  <c r="N348" i="10"/>
  <c r="H348" i="10"/>
  <c r="C348" i="10"/>
  <c r="I348" i="10" s="1"/>
  <c r="B348" i="10"/>
  <c r="N347" i="10"/>
  <c r="I347" i="10"/>
  <c r="E347" i="10"/>
  <c r="C347" i="10"/>
  <c r="B347" i="10"/>
  <c r="H347" i="10" s="1"/>
  <c r="H346" i="10"/>
  <c r="C346" i="10"/>
  <c r="B346" i="10"/>
  <c r="I345" i="10"/>
  <c r="E345" i="10"/>
  <c r="C345" i="10"/>
  <c r="B345" i="10"/>
  <c r="H345" i="10" s="1"/>
  <c r="H344" i="10"/>
  <c r="C344" i="10"/>
  <c r="I344" i="10" s="1"/>
  <c r="B344" i="10"/>
  <c r="I343" i="10"/>
  <c r="E343" i="10"/>
  <c r="C343" i="10"/>
  <c r="B343" i="10"/>
  <c r="H343" i="10" s="1"/>
  <c r="H342" i="10"/>
  <c r="C342" i="10"/>
  <c r="B342" i="10"/>
  <c r="I341" i="10"/>
  <c r="E341" i="10"/>
  <c r="C341" i="10"/>
  <c r="B341" i="10"/>
  <c r="H341" i="10" s="1"/>
  <c r="H340" i="10"/>
  <c r="C340" i="10"/>
  <c r="I340" i="10" s="1"/>
  <c r="B340" i="10"/>
  <c r="I339" i="10"/>
  <c r="E339" i="10"/>
  <c r="C339" i="10"/>
  <c r="B339" i="10"/>
  <c r="H339" i="10" s="1"/>
  <c r="H338" i="10"/>
  <c r="C338" i="10"/>
  <c r="B338" i="10"/>
  <c r="I337" i="10"/>
  <c r="E337" i="10"/>
  <c r="C337" i="10"/>
  <c r="B337" i="10"/>
  <c r="H337" i="10" s="1"/>
  <c r="H336" i="10"/>
  <c r="C336" i="10"/>
  <c r="I336" i="10" s="1"/>
  <c r="B336" i="10"/>
  <c r="I335" i="10"/>
  <c r="E335" i="10"/>
  <c r="C335" i="10"/>
  <c r="B335" i="10"/>
  <c r="H335" i="10" s="1"/>
  <c r="H334" i="10"/>
  <c r="C334" i="10"/>
  <c r="B334" i="10"/>
  <c r="I333" i="10"/>
  <c r="E333" i="10"/>
  <c r="C333" i="10"/>
  <c r="B333" i="10"/>
  <c r="H333" i="10" s="1"/>
  <c r="H332" i="10"/>
  <c r="C332" i="10"/>
  <c r="I332" i="10" s="1"/>
  <c r="B332" i="10"/>
  <c r="I331" i="10"/>
  <c r="E331" i="10"/>
  <c r="C331" i="10"/>
  <c r="B331" i="10"/>
  <c r="H331" i="10" s="1"/>
  <c r="H330" i="10"/>
  <c r="C330" i="10"/>
  <c r="B330" i="10"/>
  <c r="I329" i="10"/>
  <c r="E329" i="10"/>
  <c r="C329" i="10"/>
  <c r="B329" i="10"/>
  <c r="H329" i="10" s="1"/>
  <c r="H328" i="10"/>
  <c r="C328" i="10"/>
  <c r="I328" i="10" s="1"/>
  <c r="B328" i="10"/>
  <c r="I327" i="10"/>
  <c r="E327" i="10"/>
  <c r="C327" i="10"/>
  <c r="B327" i="10"/>
  <c r="H327" i="10" s="1"/>
  <c r="H326" i="10"/>
  <c r="C326" i="10"/>
  <c r="B326" i="10"/>
  <c r="I325" i="10"/>
  <c r="E325" i="10"/>
  <c r="C325" i="10"/>
  <c r="B325" i="10"/>
  <c r="H325" i="10" s="1"/>
  <c r="H324" i="10"/>
  <c r="C324" i="10"/>
  <c r="I324" i="10" s="1"/>
  <c r="B324" i="10"/>
  <c r="I323" i="10"/>
  <c r="E323" i="10"/>
  <c r="C323" i="10"/>
  <c r="B323" i="10"/>
  <c r="H323" i="10" s="1"/>
  <c r="H322" i="10"/>
  <c r="C322" i="10"/>
  <c r="B322" i="10"/>
  <c r="I321" i="10"/>
  <c r="E321" i="10"/>
  <c r="C321" i="10"/>
  <c r="B321" i="10"/>
  <c r="H321" i="10" s="1"/>
  <c r="H320" i="10"/>
  <c r="C320" i="10"/>
  <c r="I320" i="10" s="1"/>
  <c r="B320" i="10"/>
  <c r="I319" i="10"/>
  <c r="E319" i="10"/>
  <c r="C319" i="10"/>
  <c r="B319" i="10"/>
  <c r="H319" i="10" s="1"/>
  <c r="H318" i="10"/>
  <c r="C318" i="10"/>
  <c r="B318" i="10"/>
  <c r="I317" i="10"/>
  <c r="E317" i="10"/>
  <c r="C317" i="10"/>
  <c r="B317" i="10"/>
  <c r="H317" i="10" s="1"/>
  <c r="H316" i="10"/>
  <c r="C316" i="10"/>
  <c r="I316" i="10" s="1"/>
  <c r="B316" i="10"/>
  <c r="I315" i="10"/>
  <c r="E315" i="10"/>
  <c r="C315" i="10"/>
  <c r="B315" i="10"/>
  <c r="H315" i="10" s="1"/>
  <c r="H314" i="10"/>
  <c r="C314" i="10"/>
  <c r="B314" i="10"/>
  <c r="I313" i="10"/>
  <c r="E313" i="10"/>
  <c r="C313" i="10"/>
  <c r="B313" i="10"/>
  <c r="H313" i="10" s="1"/>
  <c r="H312" i="10"/>
  <c r="C312" i="10"/>
  <c r="I312" i="10" s="1"/>
  <c r="B312" i="10"/>
  <c r="I311" i="10"/>
  <c r="E311" i="10"/>
  <c r="C311" i="10"/>
  <c r="B311" i="10"/>
  <c r="H311" i="10" s="1"/>
  <c r="H310" i="10"/>
  <c r="C310" i="10"/>
  <c r="B310" i="10"/>
  <c r="I309" i="10"/>
  <c r="E309" i="10"/>
  <c r="C309" i="10"/>
  <c r="B309" i="10"/>
  <c r="H309" i="10" s="1"/>
  <c r="H308" i="10"/>
  <c r="C308" i="10"/>
  <c r="I308" i="10" s="1"/>
  <c r="B308" i="10"/>
  <c r="I307" i="10"/>
  <c r="E307" i="10"/>
  <c r="C307" i="10"/>
  <c r="B307" i="10"/>
  <c r="H307" i="10" s="1"/>
  <c r="H306" i="10"/>
  <c r="C306" i="10"/>
  <c r="B306" i="10"/>
  <c r="I305" i="10"/>
  <c r="E305" i="10"/>
  <c r="C305" i="10"/>
  <c r="B305" i="10"/>
  <c r="H305" i="10" s="1"/>
  <c r="H304" i="10"/>
  <c r="C304" i="10"/>
  <c r="I304" i="10" s="1"/>
  <c r="B304" i="10"/>
  <c r="I303" i="10"/>
  <c r="E303" i="10"/>
  <c r="C303" i="10"/>
  <c r="B303" i="10"/>
  <c r="H303" i="10" s="1"/>
  <c r="H302" i="10"/>
  <c r="C302" i="10"/>
  <c r="B302" i="10"/>
  <c r="I301" i="10"/>
  <c r="E301" i="10"/>
  <c r="C301" i="10"/>
  <c r="B301" i="10"/>
  <c r="H301" i="10" s="1"/>
  <c r="H300" i="10"/>
  <c r="C300" i="10"/>
  <c r="I300" i="10" s="1"/>
  <c r="B300" i="10"/>
  <c r="N299" i="10"/>
  <c r="I299" i="10"/>
  <c r="E299" i="10"/>
  <c r="C299" i="10"/>
  <c r="B299" i="10"/>
  <c r="H299" i="10" s="1"/>
  <c r="N298" i="10"/>
  <c r="H298" i="10"/>
  <c r="C298" i="10"/>
  <c r="B298" i="10"/>
  <c r="N297" i="10"/>
  <c r="I297" i="10"/>
  <c r="E297" i="10"/>
  <c r="C297" i="10"/>
  <c r="B297" i="10"/>
  <c r="H297" i="10" s="1"/>
  <c r="N296" i="10"/>
  <c r="H296" i="10"/>
  <c r="C296" i="10"/>
  <c r="I296" i="10" s="1"/>
  <c r="B296" i="10"/>
  <c r="N295" i="10"/>
  <c r="I295" i="10"/>
  <c r="E295" i="10"/>
  <c r="C295" i="10"/>
  <c r="B295" i="10"/>
  <c r="H295" i="10" s="1"/>
  <c r="N294" i="10"/>
  <c r="H294" i="10"/>
  <c r="C294" i="10"/>
  <c r="B294" i="10"/>
  <c r="N293" i="10"/>
  <c r="I293" i="10"/>
  <c r="E293" i="10"/>
  <c r="C293" i="10"/>
  <c r="B293" i="10"/>
  <c r="H293" i="10" s="1"/>
  <c r="N292" i="10"/>
  <c r="H292" i="10"/>
  <c r="C292" i="10"/>
  <c r="I292" i="10" s="1"/>
  <c r="B292" i="10"/>
  <c r="N291" i="10"/>
  <c r="I291" i="10"/>
  <c r="E291" i="10"/>
  <c r="C291" i="10"/>
  <c r="B291" i="10"/>
  <c r="H291" i="10" s="1"/>
  <c r="N290" i="10"/>
  <c r="H290" i="10"/>
  <c r="C290" i="10"/>
  <c r="B290" i="10"/>
  <c r="N289" i="10"/>
  <c r="I289" i="10"/>
  <c r="E289" i="10"/>
  <c r="C289" i="10"/>
  <c r="B289" i="10"/>
  <c r="H289" i="10" s="1"/>
  <c r="N288" i="10"/>
  <c r="H288" i="10"/>
  <c r="C288" i="10"/>
  <c r="I288" i="10" s="1"/>
  <c r="B288" i="10"/>
  <c r="N287" i="10"/>
  <c r="I287" i="10"/>
  <c r="E287" i="10"/>
  <c r="C287" i="10"/>
  <c r="B287" i="10"/>
  <c r="H287" i="10" s="1"/>
  <c r="N286" i="10"/>
  <c r="H286" i="10"/>
  <c r="C286" i="10"/>
  <c r="B286" i="10"/>
  <c r="N285" i="10"/>
  <c r="I285" i="10"/>
  <c r="E285" i="10"/>
  <c r="C285" i="10"/>
  <c r="B285" i="10"/>
  <c r="H285" i="10" s="1"/>
  <c r="N284" i="10"/>
  <c r="H284" i="10"/>
  <c r="C284" i="10"/>
  <c r="I284" i="10" s="1"/>
  <c r="B284" i="10"/>
  <c r="N283" i="10"/>
  <c r="I283" i="10"/>
  <c r="E283" i="10"/>
  <c r="C283" i="10"/>
  <c r="B283" i="10"/>
  <c r="H283" i="10" s="1"/>
  <c r="N282" i="10"/>
  <c r="H282" i="10"/>
  <c r="C282" i="10"/>
  <c r="B282" i="10"/>
  <c r="N281" i="10"/>
  <c r="I281" i="10"/>
  <c r="E281" i="10"/>
  <c r="C281" i="10"/>
  <c r="B281" i="10"/>
  <c r="H281" i="10" s="1"/>
  <c r="N280" i="10"/>
  <c r="H280" i="10"/>
  <c r="C280" i="10"/>
  <c r="I280" i="10" s="1"/>
  <c r="B280" i="10"/>
  <c r="N279" i="10"/>
  <c r="I279" i="10"/>
  <c r="E279" i="10"/>
  <c r="C279" i="10"/>
  <c r="B279" i="10"/>
  <c r="H279" i="10" s="1"/>
  <c r="N278" i="10"/>
  <c r="H278" i="10"/>
  <c r="C278" i="10"/>
  <c r="B278" i="10"/>
  <c r="N277" i="10"/>
  <c r="I277" i="10"/>
  <c r="E277" i="10"/>
  <c r="C277" i="10"/>
  <c r="B277" i="10"/>
  <c r="H277" i="10" s="1"/>
  <c r="N276" i="10"/>
  <c r="H276" i="10"/>
  <c r="C276" i="10"/>
  <c r="I276" i="10" s="1"/>
  <c r="B276" i="10"/>
  <c r="N275" i="10"/>
  <c r="I275" i="10"/>
  <c r="E275" i="10"/>
  <c r="C275" i="10"/>
  <c r="B275" i="10"/>
  <c r="H275" i="10" s="1"/>
  <c r="N274" i="10"/>
  <c r="H274" i="10"/>
  <c r="C274" i="10"/>
  <c r="B274" i="10"/>
  <c r="N273" i="10"/>
  <c r="I273" i="10"/>
  <c r="E273" i="10"/>
  <c r="C273" i="10"/>
  <c r="B273" i="10"/>
  <c r="H273" i="10" s="1"/>
  <c r="N272" i="10"/>
  <c r="H272" i="10"/>
  <c r="C272" i="10"/>
  <c r="I272" i="10" s="1"/>
  <c r="B272" i="10"/>
  <c r="N271" i="10"/>
  <c r="I271" i="10"/>
  <c r="E271" i="10"/>
  <c r="C271" i="10"/>
  <c r="B271" i="10"/>
  <c r="H271" i="10" s="1"/>
  <c r="N270" i="10"/>
  <c r="H270" i="10"/>
  <c r="C270" i="10"/>
  <c r="B270" i="10"/>
  <c r="N269" i="10"/>
  <c r="I269" i="10"/>
  <c r="E269" i="10"/>
  <c r="C269" i="10"/>
  <c r="B269" i="10"/>
  <c r="H269" i="10" s="1"/>
  <c r="N268" i="10"/>
  <c r="H268" i="10"/>
  <c r="C268" i="10"/>
  <c r="I268" i="10" s="1"/>
  <c r="B268" i="10"/>
  <c r="N267" i="10"/>
  <c r="I267" i="10"/>
  <c r="E267" i="10"/>
  <c r="C267" i="10"/>
  <c r="B267" i="10"/>
  <c r="H267" i="10" s="1"/>
  <c r="N266" i="10"/>
  <c r="H266" i="10"/>
  <c r="C266" i="10"/>
  <c r="B266" i="10"/>
  <c r="N265" i="10"/>
  <c r="I265" i="10"/>
  <c r="E265" i="10"/>
  <c r="C265" i="10"/>
  <c r="B265" i="10"/>
  <c r="H265" i="10" s="1"/>
  <c r="N264" i="10"/>
  <c r="H264" i="10"/>
  <c r="C264" i="10"/>
  <c r="I264" i="10" s="1"/>
  <c r="B264" i="10"/>
  <c r="N263" i="10"/>
  <c r="I263" i="10"/>
  <c r="E263" i="10"/>
  <c r="C263" i="10"/>
  <c r="B263" i="10"/>
  <c r="H263" i="10" s="1"/>
  <c r="N262" i="10"/>
  <c r="H262" i="10"/>
  <c r="C262" i="10"/>
  <c r="B262" i="10"/>
  <c r="N261" i="10"/>
  <c r="I261" i="10"/>
  <c r="E261" i="10"/>
  <c r="C261" i="10"/>
  <c r="B261" i="10"/>
  <c r="H261" i="10" s="1"/>
  <c r="N260" i="10"/>
  <c r="H260" i="10"/>
  <c r="C260" i="10"/>
  <c r="I260" i="10" s="1"/>
  <c r="B260" i="10"/>
  <c r="N259" i="10"/>
  <c r="I259" i="10"/>
  <c r="E259" i="10"/>
  <c r="C259" i="10"/>
  <c r="B259" i="10"/>
  <c r="H259" i="10" s="1"/>
  <c r="N258" i="10"/>
  <c r="H258" i="10"/>
  <c r="C258" i="10"/>
  <c r="B258" i="10"/>
  <c r="N257" i="10"/>
  <c r="I257" i="10"/>
  <c r="E257" i="10"/>
  <c r="C257" i="10"/>
  <c r="B257" i="10"/>
  <c r="H257" i="10" s="1"/>
  <c r="N256" i="10"/>
  <c r="H256" i="10"/>
  <c r="C256" i="10"/>
  <c r="I256" i="10" s="1"/>
  <c r="B256" i="10"/>
  <c r="N255" i="10"/>
  <c r="I255" i="10"/>
  <c r="E255" i="10"/>
  <c r="C255" i="10"/>
  <c r="B255" i="10"/>
  <c r="H255" i="10" s="1"/>
  <c r="N254" i="10"/>
  <c r="H254" i="10"/>
  <c r="C254" i="10"/>
  <c r="B254" i="10"/>
  <c r="N253" i="10"/>
  <c r="I253" i="10"/>
  <c r="E253" i="10"/>
  <c r="C253" i="10"/>
  <c r="B253" i="10"/>
  <c r="H253" i="10" s="1"/>
  <c r="N252" i="10"/>
  <c r="H252" i="10"/>
  <c r="C252" i="10"/>
  <c r="I252" i="10" s="1"/>
  <c r="B252" i="10"/>
  <c r="N251" i="10"/>
  <c r="I251" i="10"/>
  <c r="E251" i="10"/>
  <c r="C251" i="10"/>
  <c r="B251" i="10"/>
  <c r="H251" i="10" s="1"/>
  <c r="N250" i="10"/>
  <c r="H250" i="10"/>
  <c r="C250" i="10"/>
  <c r="B250" i="10"/>
  <c r="N249" i="10"/>
  <c r="I249" i="10"/>
  <c r="E249" i="10"/>
  <c r="C249" i="10"/>
  <c r="B249" i="10"/>
  <c r="H249" i="10" s="1"/>
  <c r="N248" i="10"/>
  <c r="H248" i="10"/>
  <c r="C248" i="10"/>
  <c r="I248" i="10" s="1"/>
  <c r="B248" i="10"/>
  <c r="N247" i="10"/>
  <c r="I247" i="10"/>
  <c r="E247" i="10"/>
  <c r="C247" i="10"/>
  <c r="B247" i="10"/>
  <c r="H247" i="10" s="1"/>
  <c r="N246" i="10"/>
  <c r="H246" i="10"/>
  <c r="C246" i="10"/>
  <c r="B246" i="10"/>
  <c r="N245" i="10"/>
  <c r="I245" i="10"/>
  <c r="E245" i="10"/>
  <c r="C245" i="10"/>
  <c r="B245" i="10"/>
  <c r="H245" i="10" s="1"/>
  <c r="N244" i="10"/>
  <c r="H244" i="10"/>
  <c r="C244" i="10"/>
  <c r="I244" i="10" s="1"/>
  <c r="B244" i="10"/>
  <c r="N243" i="10"/>
  <c r="I243" i="10"/>
  <c r="E243" i="10"/>
  <c r="C243" i="10"/>
  <c r="B243" i="10"/>
  <c r="H243" i="10" s="1"/>
  <c r="N242" i="10"/>
  <c r="H242" i="10"/>
  <c r="C242" i="10"/>
  <c r="B242" i="10"/>
  <c r="N241" i="10"/>
  <c r="I241" i="10"/>
  <c r="E241" i="10"/>
  <c r="C241" i="10"/>
  <c r="B241" i="10"/>
  <c r="H241" i="10" s="1"/>
  <c r="N240" i="10"/>
  <c r="H240" i="10"/>
  <c r="C240" i="10"/>
  <c r="I240" i="10" s="1"/>
  <c r="B240" i="10"/>
  <c r="N239" i="10"/>
  <c r="I239" i="10"/>
  <c r="E239" i="10"/>
  <c r="C239" i="10"/>
  <c r="B239" i="10"/>
  <c r="H239" i="10" s="1"/>
  <c r="N238" i="10"/>
  <c r="H238" i="10"/>
  <c r="C238" i="10"/>
  <c r="B238" i="10"/>
  <c r="N237" i="10"/>
  <c r="I237" i="10"/>
  <c r="E237" i="10"/>
  <c r="C237" i="10"/>
  <c r="B237" i="10"/>
  <c r="H237" i="10" s="1"/>
  <c r="N236" i="10"/>
  <c r="H236" i="10"/>
  <c r="C236" i="10"/>
  <c r="I236" i="10" s="1"/>
  <c r="B236" i="10"/>
  <c r="N235" i="10"/>
  <c r="I235" i="10"/>
  <c r="E235" i="10"/>
  <c r="C235" i="10"/>
  <c r="B235" i="10"/>
  <c r="H235" i="10" s="1"/>
  <c r="N234" i="10"/>
  <c r="H234" i="10"/>
  <c r="C234" i="10"/>
  <c r="B234" i="10"/>
  <c r="N233" i="10"/>
  <c r="I233" i="10"/>
  <c r="E233" i="10"/>
  <c r="C233" i="10"/>
  <c r="B233" i="10"/>
  <c r="H233" i="10" s="1"/>
  <c r="N232" i="10"/>
  <c r="H232" i="10"/>
  <c r="C232" i="10"/>
  <c r="I232" i="10" s="1"/>
  <c r="B232" i="10"/>
  <c r="N231" i="10"/>
  <c r="I231" i="10"/>
  <c r="E231" i="10"/>
  <c r="C231" i="10"/>
  <c r="B231" i="10"/>
  <c r="H231" i="10" s="1"/>
  <c r="N230" i="10"/>
  <c r="H230" i="10"/>
  <c r="C230" i="10"/>
  <c r="B230" i="10"/>
  <c r="N229" i="10"/>
  <c r="I229" i="10"/>
  <c r="E229" i="10"/>
  <c r="C229" i="10"/>
  <c r="B229" i="10"/>
  <c r="H229" i="10" s="1"/>
  <c r="N228" i="10"/>
  <c r="H228" i="10"/>
  <c r="C228" i="10"/>
  <c r="I228" i="10" s="1"/>
  <c r="B228" i="10"/>
  <c r="N227" i="10"/>
  <c r="I227" i="10"/>
  <c r="E227" i="10"/>
  <c r="C227" i="10"/>
  <c r="B227" i="10"/>
  <c r="H227" i="10" s="1"/>
  <c r="N226" i="10"/>
  <c r="H226" i="10"/>
  <c r="C226" i="10"/>
  <c r="B226" i="10"/>
  <c r="N225" i="10"/>
  <c r="I225" i="10"/>
  <c r="E225" i="10"/>
  <c r="C225" i="10"/>
  <c r="B225" i="10"/>
  <c r="H225" i="10" s="1"/>
  <c r="N224" i="10"/>
  <c r="H224" i="10"/>
  <c r="C224" i="10"/>
  <c r="I224" i="10" s="1"/>
  <c r="B224" i="10"/>
  <c r="N223" i="10"/>
  <c r="I223" i="10"/>
  <c r="E223" i="10"/>
  <c r="C223" i="10"/>
  <c r="B223" i="10"/>
  <c r="H223" i="10" s="1"/>
  <c r="N222" i="10"/>
  <c r="H222" i="10"/>
  <c r="C222" i="10"/>
  <c r="B222" i="10"/>
  <c r="N221" i="10"/>
  <c r="I221" i="10"/>
  <c r="E221" i="10"/>
  <c r="C221" i="10"/>
  <c r="B221" i="10"/>
  <c r="H221" i="10" s="1"/>
  <c r="N220" i="10"/>
  <c r="H220" i="10"/>
  <c r="C220" i="10"/>
  <c r="I220" i="10" s="1"/>
  <c r="B220" i="10"/>
  <c r="N219" i="10"/>
  <c r="I219" i="10"/>
  <c r="E219" i="10"/>
  <c r="C219" i="10"/>
  <c r="B219" i="10"/>
  <c r="H219" i="10" s="1"/>
  <c r="N218" i="10"/>
  <c r="H218" i="10"/>
  <c r="C218" i="10"/>
  <c r="B218" i="10"/>
  <c r="N217" i="10"/>
  <c r="I217" i="10"/>
  <c r="E217" i="10"/>
  <c r="C217" i="10"/>
  <c r="B217" i="10"/>
  <c r="H217" i="10" s="1"/>
  <c r="N216" i="10"/>
  <c r="H216" i="10"/>
  <c r="C216" i="10"/>
  <c r="I216" i="10" s="1"/>
  <c r="B216" i="10"/>
  <c r="N215" i="10"/>
  <c r="I215" i="10"/>
  <c r="E215" i="10"/>
  <c r="C215" i="10"/>
  <c r="B215" i="10"/>
  <c r="H215" i="10" s="1"/>
  <c r="N214" i="10"/>
  <c r="H214" i="10"/>
  <c r="C214" i="10"/>
  <c r="B214" i="10"/>
  <c r="N213" i="10"/>
  <c r="I213" i="10"/>
  <c r="E213" i="10"/>
  <c r="C213" i="10"/>
  <c r="B213" i="10"/>
  <c r="H213" i="10" s="1"/>
  <c r="N212" i="10"/>
  <c r="H212" i="10"/>
  <c r="C212" i="10"/>
  <c r="I212" i="10" s="1"/>
  <c r="B212" i="10"/>
  <c r="N211" i="10"/>
  <c r="I211" i="10"/>
  <c r="E211" i="10"/>
  <c r="C211" i="10"/>
  <c r="B211" i="10"/>
  <c r="H211" i="10" s="1"/>
  <c r="N210" i="10"/>
  <c r="H210" i="10"/>
  <c r="C210" i="10"/>
  <c r="B210" i="10"/>
  <c r="N209" i="10"/>
  <c r="I209" i="10"/>
  <c r="E209" i="10"/>
  <c r="C209" i="10"/>
  <c r="B209" i="10"/>
  <c r="H209" i="10" s="1"/>
  <c r="N208" i="10"/>
  <c r="H208" i="10"/>
  <c r="C208" i="10"/>
  <c r="I208" i="10" s="1"/>
  <c r="B208" i="10"/>
  <c r="N207" i="10"/>
  <c r="I207" i="10"/>
  <c r="E207" i="10"/>
  <c r="C207" i="10"/>
  <c r="B207" i="10"/>
  <c r="H207" i="10" s="1"/>
  <c r="N206" i="10"/>
  <c r="H206" i="10"/>
  <c r="C206" i="10"/>
  <c r="B206" i="10"/>
  <c r="N205" i="10"/>
  <c r="I205" i="10"/>
  <c r="E205" i="10"/>
  <c r="C205" i="10"/>
  <c r="B205" i="10"/>
  <c r="H205" i="10" s="1"/>
  <c r="N204" i="10"/>
  <c r="H204" i="10"/>
  <c r="C204" i="10"/>
  <c r="I204" i="10" s="1"/>
  <c r="B204" i="10"/>
  <c r="N203" i="10"/>
  <c r="I203" i="10"/>
  <c r="E203" i="10"/>
  <c r="C203" i="10"/>
  <c r="B203" i="10"/>
  <c r="H203" i="10" s="1"/>
  <c r="N202" i="10"/>
  <c r="H202" i="10"/>
  <c r="C202" i="10"/>
  <c r="B202" i="10"/>
  <c r="N201" i="10"/>
  <c r="I201" i="10"/>
  <c r="E201" i="10"/>
  <c r="C201" i="10"/>
  <c r="B201" i="10"/>
  <c r="H201" i="10" s="1"/>
  <c r="N200" i="10"/>
  <c r="H200" i="10"/>
  <c r="C200" i="10"/>
  <c r="I200" i="10" s="1"/>
  <c r="B200" i="10"/>
  <c r="N199" i="10"/>
  <c r="I199" i="10"/>
  <c r="E199" i="10"/>
  <c r="C199" i="10"/>
  <c r="B199" i="10"/>
  <c r="H199" i="10" s="1"/>
  <c r="N198" i="10"/>
  <c r="H198" i="10"/>
  <c r="C198" i="10"/>
  <c r="B198" i="10"/>
  <c r="N197" i="10"/>
  <c r="I197" i="10"/>
  <c r="E197" i="10"/>
  <c r="C197" i="10"/>
  <c r="B197" i="10"/>
  <c r="H197" i="10" s="1"/>
  <c r="N196" i="10"/>
  <c r="H196" i="10"/>
  <c r="C196" i="10"/>
  <c r="I196" i="10" s="1"/>
  <c r="B196" i="10"/>
  <c r="N195" i="10"/>
  <c r="I195" i="10"/>
  <c r="E195" i="10"/>
  <c r="C195" i="10"/>
  <c r="B195" i="10"/>
  <c r="H195" i="10" s="1"/>
  <c r="N194" i="10"/>
  <c r="H194" i="10"/>
  <c r="C194" i="10"/>
  <c r="B194" i="10"/>
  <c r="N193" i="10"/>
  <c r="I193" i="10"/>
  <c r="E193" i="10"/>
  <c r="C193" i="10"/>
  <c r="B193" i="10"/>
  <c r="H193" i="10" s="1"/>
  <c r="N192" i="10"/>
  <c r="H192" i="10"/>
  <c r="C192" i="10"/>
  <c r="I192" i="10" s="1"/>
  <c r="B192" i="10"/>
  <c r="N191" i="10"/>
  <c r="I191" i="10"/>
  <c r="E191" i="10"/>
  <c r="C191" i="10"/>
  <c r="B191" i="10"/>
  <c r="H191" i="10" s="1"/>
  <c r="N190" i="10"/>
  <c r="H190" i="10"/>
  <c r="C190" i="10"/>
  <c r="B190" i="10"/>
  <c r="N189" i="10"/>
  <c r="I189" i="10"/>
  <c r="E189" i="10"/>
  <c r="C189" i="10"/>
  <c r="B189" i="10"/>
  <c r="H189" i="10" s="1"/>
  <c r="N188" i="10"/>
  <c r="H188" i="10"/>
  <c r="C188" i="10"/>
  <c r="I188" i="10" s="1"/>
  <c r="B188" i="10"/>
  <c r="N187" i="10"/>
  <c r="I187" i="10"/>
  <c r="E187" i="10"/>
  <c r="C187" i="10"/>
  <c r="B187" i="10"/>
  <c r="H187" i="10" s="1"/>
  <c r="N186" i="10"/>
  <c r="H186" i="10"/>
  <c r="C186" i="10"/>
  <c r="B186" i="10"/>
  <c r="N185" i="10"/>
  <c r="I185" i="10"/>
  <c r="E185" i="10"/>
  <c r="C185" i="10"/>
  <c r="B185" i="10"/>
  <c r="H185" i="10" s="1"/>
  <c r="N184" i="10"/>
  <c r="H184" i="10"/>
  <c r="C184" i="10"/>
  <c r="I184" i="10" s="1"/>
  <c r="B184" i="10"/>
  <c r="N183" i="10"/>
  <c r="I183" i="10"/>
  <c r="E183" i="10"/>
  <c r="C183" i="10"/>
  <c r="B183" i="10"/>
  <c r="H183" i="10" s="1"/>
  <c r="N182" i="10"/>
  <c r="H182" i="10"/>
  <c r="C182" i="10"/>
  <c r="B182" i="10"/>
  <c r="N181" i="10"/>
  <c r="I181" i="10"/>
  <c r="E181" i="10"/>
  <c r="C181" i="10"/>
  <c r="B181" i="10"/>
  <c r="H181" i="10" s="1"/>
  <c r="N180" i="10"/>
  <c r="H180" i="10"/>
  <c r="C180" i="10"/>
  <c r="I180" i="10" s="1"/>
  <c r="B180" i="10"/>
  <c r="N179" i="10"/>
  <c r="I179" i="10"/>
  <c r="E179" i="10"/>
  <c r="C179" i="10"/>
  <c r="B179" i="10"/>
  <c r="H179" i="10" s="1"/>
  <c r="N178" i="10"/>
  <c r="H178" i="10"/>
  <c r="C178" i="10"/>
  <c r="B178" i="10"/>
  <c r="N177" i="10"/>
  <c r="I177" i="10"/>
  <c r="E177" i="10"/>
  <c r="C177" i="10"/>
  <c r="B177" i="10"/>
  <c r="H177" i="10" s="1"/>
  <c r="N176" i="10"/>
  <c r="H176" i="10"/>
  <c r="C176" i="10"/>
  <c r="I176" i="10" s="1"/>
  <c r="B176" i="10"/>
  <c r="N175" i="10"/>
  <c r="I175" i="10"/>
  <c r="E175" i="10"/>
  <c r="C175" i="10"/>
  <c r="B175" i="10"/>
  <c r="H175" i="10" s="1"/>
  <c r="N174" i="10"/>
  <c r="H174" i="10"/>
  <c r="C174" i="10"/>
  <c r="B174" i="10"/>
  <c r="N173" i="10"/>
  <c r="I173" i="10"/>
  <c r="E173" i="10"/>
  <c r="C173" i="10"/>
  <c r="B173" i="10"/>
  <c r="H173" i="10" s="1"/>
  <c r="N172" i="10"/>
  <c r="H172" i="10"/>
  <c r="C172" i="10"/>
  <c r="I172" i="10" s="1"/>
  <c r="B172" i="10"/>
  <c r="N171" i="10"/>
  <c r="I171" i="10"/>
  <c r="E171" i="10"/>
  <c r="C171" i="10"/>
  <c r="B171" i="10"/>
  <c r="H171" i="10" s="1"/>
  <c r="N170" i="10"/>
  <c r="H170" i="10"/>
  <c r="C170" i="10"/>
  <c r="B170" i="10"/>
  <c r="N169" i="10"/>
  <c r="I169" i="10"/>
  <c r="E169" i="10"/>
  <c r="C169" i="10"/>
  <c r="B169" i="10"/>
  <c r="H169" i="10" s="1"/>
  <c r="N168" i="10"/>
  <c r="H168" i="10"/>
  <c r="C168" i="10"/>
  <c r="I168" i="10" s="1"/>
  <c r="B168" i="10"/>
  <c r="N167" i="10"/>
  <c r="I167" i="10"/>
  <c r="E167" i="10"/>
  <c r="C167" i="10"/>
  <c r="B167" i="10"/>
  <c r="H167" i="10" s="1"/>
  <c r="N166" i="10"/>
  <c r="H166" i="10"/>
  <c r="C166" i="10"/>
  <c r="B166" i="10"/>
  <c r="N165" i="10"/>
  <c r="I165" i="10"/>
  <c r="E165" i="10"/>
  <c r="C165" i="10"/>
  <c r="B165" i="10"/>
  <c r="H165" i="10" s="1"/>
  <c r="N164" i="10"/>
  <c r="H164" i="10"/>
  <c r="C164" i="10"/>
  <c r="I164" i="10" s="1"/>
  <c r="B164" i="10"/>
  <c r="N163" i="10"/>
  <c r="I163" i="10"/>
  <c r="E163" i="10"/>
  <c r="C163" i="10"/>
  <c r="B163" i="10"/>
  <c r="H163" i="10" s="1"/>
  <c r="N162" i="10"/>
  <c r="H162" i="10"/>
  <c r="C162" i="10"/>
  <c r="B162" i="10"/>
  <c r="N161" i="10"/>
  <c r="I161" i="10"/>
  <c r="E161" i="10"/>
  <c r="C161" i="10"/>
  <c r="B161" i="10"/>
  <c r="H161" i="10" s="1"/>
  <c r="N160" i="10"/>
  <c r="H160" i="10"/>
  <c r="C160" i="10"/>
  <c r="I160" i="10" s="1"/>
  <c r="B160" i="10"/>
  <c r="N159" i="10"/>
  <c r="I159" i="10"/>
  <c r="E159" i="10"/>
  <c r="C159" i="10"/>
  <c r="B159" i="10"/>
  <c r="H159" i="10" s="1"/>
  <c r="N158" i="10"/>
  <c r="H158" i="10"/>
  <c r="C158" i="10"/>
  <c r="B158" i="10"/>
  <c r="N157" i="10"/>
  <c r="I157" i="10"/>
  <c r="E157" i="10"/>
  <c r="C157" i="10"/>
  <c r="B157" i="10"/>
  <c r="H157" i="10" s="1"/>
  <c r="N156" i="10"/>
  <c r="H156" i="10"/>
  <c r="C156" i="10"/>
  <c r="I156" i="10" s="1"/>
  <c r="B156" i="10"/>
  <c r="N155" i="10"/>
  <c r="I155" i="10"/>
  <c r="E155" i="10"/>
  <c r="C155" i="10"/>
  <c r="B155" i="10"/>
  <c r="H155" i="10" s="1"/>
  <c r="N154" i="10"/>
  <c r="H154" i="10"/>
  <c r="C154" i="10"/>
  <c r="B154" i="10"/>
  <c r="N153" i="10"/>
  <c r="I153" i="10"/>
  <c r="E153" i="10"/>
  <c r="C153" i="10"/>
  <c r="B153" i="10"/>
  <c r="H153" i="10" s="1"/>
  <c r="N152" i="10"/>
  <c r="H152" i="10"/>
  <c r="C152" i="10"/>
  <c r="I152" i="10" s="1"/>
  <c r="B152" i="10"/>
  <c r="N151" i="10"/>
  <c r="I151" i="10"/>
  <c r="E151" i="10"/>
  <c r="C151" i="10"/>
  <c r="B151" i="10"/>
  <c r="H151" i="10" s="1"/>
  <c r="N150" i="10"/>
  <c r="H150" i="10"/>
  <c r="C150" i="10"/>
  <c r="B150" i="10"/>
  <c r="N149" i="10"/>
  <c r="I149" i="10"/>
  <c r="E149" i="10"/>
  <c r="C149" i="10"/>
  <c r="B149" i="10"/>
  <c r="H149" i="10" s="1"/>
  <c r="N148" i="10"/>
  <c r="H148" i="10"/>
  <c r="C148" i="10"/>
  <c r="I148" i="10" s="1"/>
  <c r="B148" i="10"/>
  <c r="N147" i="10"/>
  <c r="I147" i="10"/>
  <c r="E147" i="10"/>
  <c r="C147" i="10"/>
  <c r="B147" i="10"/>
  <c r="H147" i="10" s="1"/>
  <c r="N146" i="10"/>
  <c r="H146" i="10"/>
  <c r="C146" i="10"/>
  <c r="B146" i="10"/>
  <c r="N145" i="10"/>
  <c r="I145" i="10"/>
  <c r="E145" i="10"/>
  <c r="C145" i="10"/>
  <c r="B145" i="10"/>
  <c r="H145" i="10" s="1"/>
  <c r="N144" i="10"/>
  <c r="H144" i="10"/>
  <c r="C144" i="10"/>
  <c r="I144" i="10" s="1"/>
  <c r="B144" i="10"/>
  <c r="N143" i="10"/>
  <c r="I143" i="10"/>
  <c r="E143" i="10"/>
  <c r="C143" i="10"/>
  <c r="B143" i="10"/>
  <c r="H143" i="10" s="1"/>
  <c r="N142" i="10"/>
  <c r="H142" i="10"/>
  <c r="C142" i="10"/>
  <c r="B142" i="10"/>
  <c r="N141" i="10"/>
  <c r="I141" i="10"/>
  <c r="E141" i="10"/>
  <c r="C141" i="10"/>
  <c r="B141" i="10"/>
  <c r="H141" i="10" s="1"/>
  <c r="N140" i="10"/>
  <c r="H140" i="10"/>
  <c r="C140" i="10"/>
  <c r="I140" i="10" s="1"/>
  <c r="B140" i="10"/>
  <c r="N139" i="10"/>
  <c r="I139" i="10"/>
  <c r="E139" i="10"/>
  <c r="C139" i="10"/>
  <c r="B139" i="10"/>
  <c r="H139" i="10" s="1"/>
  <c r="N138" i="10"/>
  <c r="H138" i="10"/>
  <c r="C138" i="10"/>
  <c r="B138" i="10"/>
  <c r="N137" i="10"/>
  <c r="I137" i="10"/>
  <c r="E137" i="10"/>
  <c r="C137" i="10"/>
  <c r="B137" i="10"/>
  <c r="H137" i="10" s="1"/>
  <c r="N136" i="10"/>
  <c r="H136" i="10"/>
  <c r="C136" i="10"/>
  <c r="I136" i="10" s="1"/>
  <c r="B136" i="10"/>
  <c r="N135" i="10"/>
  <c r="I135" i="10"/>
  <c r="E135" i="10"/>
  <c r="C135" i="10"/>
  <c r="B135" i="10"/>
  <c r="H135" i="10" s="1"/>
  <c r="N134" i="10"/>
  <c r="H134" i="10"/>
  <c r="C134" i="10"/>
  <c r="B134" i="10"/>
  <c r="N133" i="10"/>
  <c r="I133" i="10"/>
  <c r="E133" i="10"/>
  <c r="C133" i="10"/>
  <c r="B133" i="10"/>
  <c r="H133" i="10" s="1"/>
  <c r="N132" i="10"/>
  <c r="H132" i="10"/>
  <c r="C132" i="10"/>
  <c r="I132" i="10" s="1"/>
  <c r="B132" i="10"/>
  <c r="N131" i="10"/>
  <c r="I131" i="10"/>
  <c r="E131" i="10"/>
  <c r="C131" i="10"/>
  <c r="B131" i="10"/>
  <c r="H131" i="10" s="1"/>
  <c r="N130" i="10"/>
  <c r="H130" i="10"/>
  <c r="C130" i="10"/>
  <c r="B130" i="10"/>
  <c r="N129" i="10"/>
  <c r="I129" i="10"/>
  <c r="E129" i="10"/>
  <c r="C129" i="10"/>
  <c r="B129" i="10"/>
  <c r="H129" i="10" s="1"/>
  <c r="N128" i="10"/>
  <c r="H128" i="10"/>
  <c r="C128" i="10"/>
  <c r="I128" i="10" s="1"/>
  <c r="B128" i="10"/>
  <c r="N127" i="10"/>
  <c r="I127" i="10"/>
  <c r="E127" i="10"/>
  <c r="C127" i="10"/>
  <c r="B127" i="10"/>
  <c r="H127" i="10" s="1"/>
  <c r="N126" i="10"/>
  <c r="H126" i="10"/>
  <c r="C126" i="10"/>
  <c r="B126" i="10"/>
  <c r="N125" i="10"/>
  <c r="I125" i="10"/>
  <c r="E125" i="10"/>
  <c r="C125" i="10"/>
  <c r="B125" i="10"/>
  <c r="H125" i="10" s="1"/>
  <c r="N124" i="10"/>
  <c r="H124" i="10"/>
  <c r="C124" i="10"/>
  <c r="I124" i="10" s="1"/>
  <c r="B124" i="10"/>
  <c r="N123" i="10"/>
  <c r="I123" i="10"/>
  <c r="E123" i="10"/>
  <c r="C123" i="10"/>
  <c r="B123" i="10"/>
  <c r="H123" i="10" s="1"/>
  <c r="N122" i="10"/>
  <c r="H122" i="10"/>
  <c r="C122" i="10"/>
  <c r="B122" i="10"/>
  <c r="N121" i="10"/>
  <c r="I121" i="10"/>
  <c r="E121" i="10"/>
  <c r="C121" i="10"/>
  <c r="B121" i="10"/>
  <c r="H121" i="10" s="1"/>
  <c r="N120" i="10"/>
  <c r="H120" i="10"/>
  <c r="C120" i="10"/>
  <c r="I120" i="10" s="1"/>
  <c r="B120" i="10"/>
  <c r="N119" i="10"/>
  <c r="I119" i="10"/>
  <c r="E119" i="10"/>
  <c r="C119" i="10"/>
  <c r="B119" i="10"/>
  <c r="H119" i="10" s="1"/>
  <c r="N118" i="10"/>
  <c r="H118" i="10"/>
  <c r="C118" i="10"/>
  <c r="B118" i="10"/>
  <c r="N117" i="10"/>
  <c r="I117" i="10"/>
  <c r="E117" i="10"/>
  <c r="C117" i="10"/>
  <c r="B117" i="10"/>
  <c r="H117" i="10" s="1"/>
  <c r="N116" i="10"/>
  <c r="H116" i="10"/>
  <c r="C116" i="10"/>
  <c r="I116" i="10" s="1"/>
  <c r="B116" i="10"/>
  <c r="N115" i="10"/>
  <c r="I115" i="10"/>
  <c r="E115" i="10"/>
  <c r="C115" i="10"/>
  <c r="B115" i="10"/>
  <c r="H115" i="10" s="1"/>
  <c r="N114" i="10"/>
  <c r="H114" i="10"/>
  <c r="C114" i="10"/>
  <c r="B114" i="10"/>
  <c r="N113" i="10"/>
  <c r="I113" i="10"/>
  <c r="E113" i="10"/>
  <c r="C113" i="10"/>
  <c r="B113" i="10"/>
  <c r="H113" i="10" s="1"/>
  <c r="N112" i="10"/>
  <c r="H112" i="10"/>
  <c r="C112" i="10"/>
  <c r="I112" i="10" s="1"/>
  <c r="B112" i="10"/>
  <c r="N111" i="10"/>
  <c r="I111" i="10"/>
  <c r="E111" i="10"/>
  <c r="C111" i="10"/>
  <c r="B111" i="10"/>
  <c r="H111" i="10" s="1"/>
  <c r="N110" i="10"/>
  <c r="H110" i="10"/>
  <c r="C110" i="10"/>
  <c r="B110" i="10"/>
  <c r="N109" i="10"/>
  <c r="I109" i="10"/>
  <c r="E109" i="10"/>
  <c r="C109" i="10"/>
  <c r="B109" i="10"/>
  <c r="H109" i="10" s="1"/>
  <c r="N108" i="10"/>
  <c r="H108" i="10"/>
  <c r="C108" i="10"/>
  <c r="I108" i="10" s="1"/>
  <c r="B108" i="10"/>
  <c r="N107" i="10"/>
  <c r="I107" i="10"/>
  <c r="E107" i="10"/>
  <c r="C107" i="10"/>
  <c r="B107" i="10"/>
  <c r="H107" i="10" s="1"/>
  <c r="N106" i="10"/>
  <c r="H106" i="10"/>
  <c r="C106" i="10"/>
  <c r="B106" i="10"/>
  <c r="N105" i="10"/>
  <c r="I105" i="10"/>
  <c r="E105" i="10"/>
  <c r="C105" i="10"/>
  <c r="B105" i="10"/>
  <c r="H105" i="10" s="1"/>
  <c r="N104" i="10"/>
  <c r="H104" i="10"/>
  <c r="C104" i="10"/>
  <c r="I104" i="10" s="1"/>
  <c r="B104" i="10"/>
  <c r="N103" i="10"/>
  <c r="I103" i="10"/>
  <c r="E103" i="10"/>
  <c r="C103" i="10"/>
  <c r="B103" i="10"/>
  <c r="H103" i="10" s="1"/>
  <c r="N102" i="10"/>
  <c r="H102" i="10"/>
  <c r="C102" i="10"/>
  <c r="B102" i="10"/>
  <c r="N101" i="10"/>
  <c r="I101" i="10"/>
  <c r="E101" i="10"/>
  <c r="C101" i="10"/>
  <c r="B101" i="10"/>
  <c r="H101" i="10" s="1"/>
  <c r="N100" i="10"/>
  <c r="H100" i="10"/>
  <c r="C100" i="10"/>
  <c r="I100" i="10" s="1"/>
  <c r="B100" i="10"/>
  <c r="N99" i="10"/>
  <c r="I99" i="10"/>
  <c r="E99" i="10"/>
  <c r="C99" i="10"/>
  <c r="B99" i="10"/>
  <c r="H99" i="10" s="1"/>
  <c r="N98" i="10"/>
  <c r="H98" i="10"/>
  <c r="C98" i="10"/>
  <c r="B98" i="10"/>
  <c r="N97" i="10"/>
  <c r="I97" i="10"/>
  <c r="E97" i="10"/>
  <c r="C97" i="10"/>
  <c r="B97" i="10"/>
  <c r="H97" i="10" s="1"/>
  <c r="N96" i="10"/>
  <c r="H96" i="10"/>
  <c r="C96" i="10"/>
  <c r="I96" i="10" s="1"/>
  <c r="B96" i="10"/>
  <c r="N95" i="10"/>
  <c r="I95" i="10"/>
  <c r="E95" i="10"/>
  <c r="C95" i="10"/>
  <c r="B95" i="10"/>
  <c r="H95" i="10" s="1"/>
  <c r="N94" i="10"/>
  <c r="H94" i="10"/>
  <c r="C94" i="10"/>
  <c r="B94" i="10"/>
  <c r="N93" i="10"/>
  <c r="I93" i="10"/>
  <c r="E93" i="10"/>
  <c r="C93" i="10"/>
  <c r="B93" i="10"/>
  <c r="H93" i="10" s="1"/>
  <c r="N92" i="10"/>
  <c r="H92" i="10"/>
  <c r="C92" i="10"/>
  <c r="I92" i="10" s="1"/>
  <c r="B92" i="10"/>
  <c r="N91" i="10"/>
  <c r="I91" i="10"/>
  <c r="E91" i="10"/>
  <c r="C91" i="10"/>
  <c r="B91" i="10"/>
  <c r="H91" i="10" s="1"/>
  <c r="N90" i="10"/>
  <c r="H90" i="10"/>
  <c r="C90" i="10"/>
  <c r="B90" i="10"/>
  <c r="N89" i="10"/>
  <c r="I89" i="10"/>
  <c r="E89" i="10"/>
  <c r="C89" i="10"/>
  <c r="B89" i="10"/>
  <c r="H89" i="10" s="1"/>
  <c r="N88" i="10"/>
  <c r="H88" i="10"/>
  <c r="C88" i="10"/>
  <c r="I88" i="10" s="1"/>
  <c r="B88" i="10"/>
  <c r="N87" i="10"/>
  <c r="I87" i="10"/>
  <c r="E87" i="10"/>
  <c r="C87" i="10"/>
  <c r="B87" i="10"/>
  <c r="H87" i="10" s="1"/>
  <c r="N86" i="10"/>
  <c r="H86" i="10"/>
  <c r="C86" i="10"/>
  <c r="B86" i="10"/>
  <c r="N85" i="10"/>
  <c r="I85" i="10"/>
  <c r="E85" i="10"/>
  <c r="C85" i="10"/>
  <c r="B85" i="10"/>
  <c r="H85" i="10" s="1"/>
  <c r="N84" i="10"/>
  <c r="H84" i="10"/>
  <c r="C84" i="10"/>
  <c r="I84" i="10" s="1"/>
  <c r="B84" i="10"/>
  <c r="N83" i="10"/>
  <c r="I83" i="10"/>
  <c r="E83" i="10"/>
  <c r="C83" i="10"/>
  <c r="B83" i="10"/>
  <c r="H83" i="10" s="1"/>
  <c r="N82" i="10"/>
  <c r="H82" i="10"/>
  <c r="C82" i="10"/>
  <c r="B82" i="10"/>
  <c r="N81" i="10"/>
  <c r="I81" i="10"/>
  <c r="E81" i="10"/>
  <c r="C81" i="10"/>
  <c r="B81" i="10"/>
  <c r="H81" i="10" s="1"/>
  <c r="N80" i="10"/>
  <c r="H80" i="10"/>
  <c r="C80" i="10"/>
  <c r="I80" i="10" s="1"/>
  <c r="B80" i="10"/>
  <c r="N79" i="10"/>
  <c r="I79" i="10"/>
  <c r="E79" i="10"/>
  <c r="C79" i="10"/>
  <c r="B79" i="10"/>
  <c r="H79" i="10" s="1"/>
  <c r="N78" i="10"/>
  <c r="H78" i="10"/>
  <c r="C78" i="10"/>
  <c r="B78" i="10"/>
  <c r="N77" i="10"/>
  <c r="K77" i="10"/>
  <c r="I77" i="10"/>
  <c r="E77" i="10"/>
  <c r="C77" i="10"/>
  <c r="B77" i="10"/>
  <c r="H77" i="10" s="1"/>
  <c r="N76" i="10"/>
  <c r="H76" i="10"/>
  <c r="C76" i="10"/>
  <c r="I76" i="10" s="1"/>
  <c r="B76" i="10"/>
  <c r="N75" i="10"/>
  <c r="K75" i="10"/>
  <c r="I75" i="10"/>
  <c r="E75" i="10"/>
  <c r="C75" i="10"/>
  <c r="B75" i="10"/>
  <c r="H75" i="10" s="1"/>
  <c r="N74" i="10"/>
  <c r="H74" i="10"/>
  <c r="C74" i="10"/>
  <c r="K74" i="10" s="1"/>
  <c r="B74" i="10"/>
  <c r="N73" i="10"/>
  <c r="K73" i="10"/>
  <c r="I73" i="10"/>
  <c r="E73" i="10"/>
  <c r="C73" i="10"/>
  <c r="B73" i="10"/>
  <c r="H73" i="10" s="1"/>
  <c r="N72" i="10"/>
  <c r="H72" i="10"/>
  <c r="C72" i="10"/>
  <c r="I72" i="10" s="1"/>
  <c r="B72" i="10"/>
  <c r="N71" i="10"/>
  <c r="K71" i="10"/>
  <c r="I71" i="10"/>
  <c r="E71" i="10"/>
  <c r="C71" i="10"/>
  <c r="B71" i="10"/>
  <c r="H71" i="10" s="1"/>
  <c r="N70" i="10"/>
  <c r="H70" i="10"/>
  <c r="C70" i="10"/>
  <c r="K70" i="10" s="1"/>
  <c r="B70" i="10"/>
  <c r="N69" i="10"/>
  <c r="K69" i="10"/>
  <c r="I69" i="10"/>
  <c r="E69" i="10"/>
  <c r="C69" i="10"/>
  <c r="B69" i="10"/>
  <c r="H69" i="10" s="1"/>
  <c r="N68" i="10"/>
  <c r="H68" i="10"/>
  <c r="C68" i="10"/>
  <c r="I68" i="10" s="1"/>
  <c r="B68" i="10"/>
  <c r="N67" i="10"/>
  <c r="K67" i="10"/>
  <c r="I67" i="10"/>
  <c r="E67" i="10"/>
  <c r="C67" i="10"/>
  <c r="B67" i="10"/>
  <c r="H67" i="10" s="1"/>
  <c r="N66" i="10"/>
  <c r="H66" i="10"/>
  <c r="C66" i="10"/>
  <c r="K66" i="10" s="1"/>
  <c r="B66" i="10"/>
  <c r="N65" i="10"/>
  <c r="K65" i="10"/>
  <c r="I65" i="10"/>
  <c r="E65" i="10"/>
  <c r="C65" i="10"/>
  <c r="B65" i="10"/>
  <c r="H65" i="10" s="1"/>
  <c r="N64" i="10"/>
  <c r="H64" i="10"/>
  <c r="C64" i="10"/>
  <c r="I64" i="10" s="1"/>
  <c r="B64" i="10"/>
  <c r="N63" i="10"/>
  <c r="K63" i="10"/>
  <c r="I63" i="10"/>
  <c r="E63" i="10"/>
  <c r="C63" i="10"/>
  <c r="B63" i="10"/>
  <c r="H63" i="10" s="1"/>
  <c r="N62" i="10"/>
  <c r="H62" i="10"/>
  <c r="C62" i="10"/>
  <c r="K62" i="10" s="1"/>
  <c r="B62" i="10"/>
  <c r="N61" i="10"/>
  <c r="K61" i="10"/>
  <c r="I61" i="10"/>
  <c r="E61" i="10"/>
  <c r="C61" i="10"/>
  <c r="B61" i="10"/>
  <c r="H61" i="10" s="1"/>
  <c r="N60" i="10"/>
  <c r="H60" i="10"/>
  <c r="C60" i="10"/>
  <c r="I60" i="10" s="1"/>
  <c r="B60" i="10"/>
  <c r="N59" i="10"/>
  <c r="K59" i="10"/>
  <c r="I59" i="10"/>
  <c r="E59" i="10"/>
  <c r="C59" i="10"/>
  <c r="B59" i="10"/>
  <c r="H59" i="10" s="1"/>
  <c r="N58" i="10"/>
  <c r="H58" i="10"/>
  <c r="C58" i="10"/>
  <c r="K58" i="10" s="1"/>
  <c r="B58" i="10"/>
  <c r="N57" i="10"/>
  <c r="K57" i="10"/>
  <c r="I57" i="10"/>
  <c r="E57" i="10"/>
  <c r="C57" i="10"/>
  <c r="B57" i="10"/>
  <c r="H57" i="10" s="1"/>
  <c r="N56" i="10"/>
  <c r="H56" i="10"/>
  <c r="C56" i="10"/>
  <c r="I56" i="10" s="1"/>
  <c r="B56" i="10"/>
  <c r="N55" i="10"/>
  <c r="K55" i="10"/>
  <c r="I55" i="10"/>
  <c r="E55" i="10"/>
  <c r="C55" i="10"/>
  <c r="B55" i="10"/>
  <c r="H55" i="10" s="1"/>
  <c r="N54" i="10"/>
  <c r="H54" i="10"/>
  <c r="C54" i="10"/>
  <c r="K54" i="10" s="1"/>
  <c r="B54" i="10"/>
  <c r="N53" i="10"/>
  <c r="K53" i="10"/>
  <c r="I53" i="10"/>
  <c r="E53" i="10"/>
  <c r="C53" i="10"/>
  <c r="B53" i="10"/>
  <c r="H53" i="10" s="1"/>
  <c r="N52" i="10"/>
  <c r="H52" i="10"/>
  <c r="C52" i="10"/>
  <c r="I52" i="10" s="1"/>
  <c r="B52" i="10"/>
  <c r="N51" i="10"/>
  <c r="K51" i="10"/>
  <c r="I51" i="10"/>
  <c r="E51" i="10"/>
  <c r="C51" i="10"/>
  <c r="B51" i="10"/>
  <c r="H51" i="10" s="1"/>
  <c r="N50" i="10"/>
  <c r="H50" i="10"/>
  <c r="C50" i="10"/>
  <c r="K50" i="10" s="1"/>
  <c r="B50" i="10"/>
  <c r="N49" i="10"/>
  <c r="K49" i="10"/>
  <c r="I49" i="10"/>
  <c r="E49" i="10"/>
  <c r="C49" i="10"/>
  <c r="B49" i="10"/>
  <c r="H49" i="10" s="1"/>
  <c r="N48" i="10"/>
  <c r="H48" i="10"/>
  <c r="C48" i="10"/>
  <c r="I48" i="10" s="1"/>
  <c r="B48" i="10"/>
  <c r="N47" i="10"/>
  <c r="K47" i="10"/>
  <c r="I47" i="10"/>
  <c r="E47" i="10"/>
  <c r="C47" i="10"/>
  <c r="B47" i="10"/>
  <c r="H47" i="10" s="1"/>
  <c r="N46" i="10"/>
  <c r="H46" i="10"/>
  <c r="C46" i="10"/>
  <c r="K46" i="10" s="1"/>
  <c r="B46" i="10"/>
  <c r="N45" i="10"/>
  <c r="K45" i="10"/>
  <c r="I45" i="10"/>
  <c r="E45" i="10"/>
  <c r="C45" i="10"/>
  <c r="B45" i="10"/>
  <c r="H45" i="10" s="1"/>
  <c r="N44" i="10"/>
  <c r="H44" i="10"/>
  <c r="C44" i="10"/>
  <c r="I44" i="10" s="1"/>
  <c r="B44" i="10"/>
  <c r="N43" i="10"/>
  <c r="K43" i="10"/>
  <c r="I43" i="10"/>
  <c r="E43" i="10"/>
  <c r="C43" i="10"/>
  <c r="B43" i="10"/>
  <c r="H43" i="10" s="1"/>
  <c r="N42" i="10"/>
  <c r="H42" i="10"/>
  <c r="C42" i="10"/>
  <c r="K42" i="10" s="1"/>
  <c r="B42" i="10"/>
  <c r="N41" i="10"/>
  <c r="K41" i="10"/>
  <c r="I41" i="10"/>
  <c r="E41" i="10"/>
  <c r="C41" i="10"/>
  <c r="B41" i="10"/>
  <c r="H41" i="10" s="1"/>
  <c r="N40" i="10"/>
  <c r="H40" i="10"/>
  <c r="C40" i="10"/>
  <c r="I40" i="10" s="1"/>
  <c r="B40" i="10"/>
  <c r="N39" i="10"/>
  <c r="K39" i="10"/>
  <c r="I39" i="10"/>
  <c r="E39" i="10"/>
  <c r="C39" i="10"/>
  <c r="B39" i="10"/>
  <c r="H39" i="10" s="1"/>
  <c r="N38" i="10"/>
  <c r="H38" i="10"/>
  <c r="C38" i="10"/>
  <c r="K38" i="10" s="1"/>
  <c r="B38" i="10"/>
  <c r="N37" i="10"/>
  <c r="K37" i="10"/>
  <c r="I37" i="10"/>
  <c r="E37" i="10"/>
  <c r="C37" i="10"/>
  <c r="B37" i="10"/>
  <c r="H37" i="10" s="1"/>
  <c r="N36" i="10"/>
  <c r="H36" i="10"/>
  <c r="C36" i="10"/>
  <c r="I36" i="10" s="1"/>
  <c r="B36" i="10"/>
  <c r="N35" i="10"/>
  <c r="K35" i="10"/>
  <c r="I35" i="10"/>
  <c r="E35" i="10"/>
  <c r="C35" i="10"/>
  <c r="B35" i="10"/>
  <c r="H35" i="10" s="1"/>
  <c r="N34" i="10"/>
  <c r="H34" i="10"/>
  <c r="C34" i="10"/>
  <c r="K34" i="10" s="1"/>
  <c r="B34" i="10"/>
  <c r="N33" i="10"/>
  <c r="K33" i="10"/>
  <c r="I33" i="10"/>
  <c r="E33" i="10"/>
  <c r="C33" i="10"/>
  <c r="B33" i="10"/>
  <c r="H33" i="10" s="1"/>
  <c r="N32" i="10"/>
  <c r="H32" i="10"/>
  <c r="C32" i="10"/>
  <c r="I32" i="10" s="1"/>
  <c r="B32" i="10"/>
  <c r="N31" i="10"/>
  <c r="K31" i="10"/>
  <c r="I31" i="10"/>
  <c r="E31" i="10"/>
  <c r="C31" i="10"/>
  <c r="B31" i="10"/>
  <c r="H31" i="10" s="1"/>
  <c r="N30" i="10"/>
  <c r="H30" i="10"/>
  <c r="C30" i="10"/>
  <c r="K30" i="10" s="1"/>
  <c r="B30" i="10"/>
  <c r="N29" i="10"/>
  <c r="K29" i="10"/>
  <c r="I29" i="10"/>
  <c r="E29" i="10"/>
  <c r="C29" i="10"/>
  <c r="B29" i="10"/>
  <c r="H29" i="10" s="1"/>
  <c r="N28" i="10"/>
  <c r="H28" i="10"/>
  <c r="C28" i="10"/>
  <c r="I28" i="10" s="1"/>
  <c r="B28" i="10"/>
  <c r="N27" i="10"/>
  <c r="K27" i="10"/>
  <c r="I27" i="10"/>
  <c r="E27" i="10"/>
  <c r="C27" i="10"/>
  <c r="B27" i="10"/>
  <c r="H27" i="10" s="1"/>
  <c r="N26" i="10"/>
  <c r="H26" i="10"/>
  <c r="C26" i="10"/>
  <c r="K26" i="10" s="1"/>
  <c r="B26" i="10"/>
  <c r="N25" i="10"/>
  <c r="K25" i="10"/>
  <c r="I25" i="10"/>
  <c r="E25" i="10"/>
  <c r="C25" i="10"/>
  <c r="B25" i="10"/>
  <c r="H25" i="10" s="1"/>
  <c r="N24" i="10"/>
  <c r="H24" i="10"/>
  <c r="C24" i="10"/>
  <c r="I24" i="10" s="1"/>
  <c r="B24" i="10"/>
  <c r="N23" i="10"/>
  <c r="K23" i="10"/>
  <c r="I23" i="10"/>
  <c r="E23" i="10"/>
  <c r="C23" i="10"/>
  <c r="B23" i="10"/>
  <c r="H23" i="10" s="1"/>
  <c r="N22" i="10"/>
  <c r="H22" i="10"/>
  <c r="C22" i="10"/>
  <c r="K22" i="10" s="1"/>
  <c r="B22" i="10"/>
  <c r="N21" i="10"/>
  <c r="K21" i="10"/>
  <c r="I21" i="10"/>
  <c r="E21" i="10"/>
  <c r="C21" i="10"/>
  <c r="B21" i="10"/>
  <c r="H21" i="10" s="1"/>
  <c r="N20" i="10"/>
  <c r="H20" i="10"/>
  <c r="C20" i="10"/>
  <c r="I20" i="10" s="1"/>
  <c r="B20" i="10"/>
  <c r="N19" i="10"/>
  <c r="K19" i="10"/>
  <c r="I19" i="10"/>
  <c r="E19" i="10"/>
  <c r="C19" i="10"/>
  <c r="B19" i="10"/>
  <c r="H19" i="10" s="1"/>
  <c r="N18" i="10"/>
  <c r="H18" i="10"/>
  <c r="C18" i="10"/>
  <c r="K18" i="10" s="1"/>
  <c r="B18" i="10"/>
  <c r="N17" i="10"/>
  <c r="K17" i="10"/>
  <c r="I17" i="10"/>
  <c r="E17" i="10"/>
  <c r="C17" i="10"/>
  <c r="B17" i="10"/>
  <c r="H17" i="10" s="1"/>
  <c r="N16" i="10"/>
  <c r="H16" i="10"/>
  <c r="C16" i="10"/>
  <c r="I16" i="10" s="1"/>
  <c r="B16" i="10"/>
  <c r="N15" i="10"/>
  <c r="K15" i="10"/>
  <c r="I15" i="10"/>
  <c r="E15" i="10"/>
  <c r="C15" i="10"/>
  <c r="B15" i="10"/>
  <c r="H15" i="10" s="1"/>
  <c r="N14" i="10"/>
  <c r="H14" i="10"/>
  <c r="C14" i="10"/>
  <c r="K14" i="10" s="1"/>
  <c r="B14" i="10"/>
  <c r="N13" i="10"/>
  <c r="K13" i="10"/>
  <c r="I13" i="10"/>
  <c r="E13" i="10"/>
  <c r="C13" i="10"/>
  <c r="B13" i="10"/>
  <c r="H13" i="10" s="1"/>
  <c r="N12" i="10"/>
  <c r="H12" i="10"/>
  <c r="C12" i="10"/>
  <c r="I12" i="10" s="1"/>
  <c r="B12" i="10"/>
  <c r="N11" i="10"/>
  <c r="K11" i="10"/>
  <c r="I11" i="10"/>
  <c r="E11" i="10"/>
  <c r="C11" i="10"/>
  <c r="B11" i="10"/>
  <c r="H11" i="10" s="1"/>
  <c r="K7" i="10"/>
  <c r="C6" i="10" a="1"/>
  <c r="C6" i="10" s="1"/>
  <c r="D6" i="10" s="1" a="1"/>
  <c r="D6" i="10" s="1"/>
  <c r="N5" i="10"/>
  <c r="O5" i="10" s="1"/>
  <c r="B1" i="10"/>
  <c r="B3" i="10" s="1"/>
  <c r="Q1" i="12" s="1"/>
  <c r="D16" i="9"/>
  <c r="D11" i="9"/>
  <c r="E11" i="9" s="1"/>
  <c r="D7" i="9"/>
  <c r="E7" i="9" s="1"/>
  <c r="D6" i="9"/>
  <c r="E6" i="9" s="1"/>
  <c r="D5" i="9"/>
  <c r="E5" i="9" s="1"/>
  <c r="D4" i="9"/>
  <c r="E4" i="9" s="1"/>
  <c r="D3" i="9"/>
  <c r="D9" i="9" s="1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AC5" i="8"/>
  <c r="AB5" i="8"/>
  <c r="J30" i="3" s="1"/>
  <c r="AA5" i="8"/>
  <c r="Z5" i="8"/>
  <c r="J29" i="3" s="1"/>
  <c r="Y5" i="8"/>
  <c r="X5" i="8"/>
  <c r="J28" i="3" s="1"/>
  <c r="W5" i="8"/>
  <c r="V5" i="8"/>
  <c r="J27" i="3" s="1"/>
  <c r="U5" i="8"/>
  <c r="T5" i="8"/>
  <c r="S5" i="8"/>
  <c r="R5" i="8"/>
  <c r="P17" i="3" s="1"/>
  <c r="Q5" i="8"/>
  <c r="P5" i="8"/>
  <c r="J25" i="3" s="1"/>
  <c r="O5" i="8"/>
  <c r="N5" i="8"/>
  <c r="J24" i="3" s="1"/>
  <c r="M5" i="8"/>
  <c r="L5" i="8"/>
  <c r="J23" i="3" s="1"/>
  <c r="K5" i="8"/>
  <c r="J5" i="8"/>
  <c r="J22" i="3" s="1"/>
  <c r="I5" i="8"/>
  <c r="H5" i="8"/>
  <c r="J21" i="3" s="1"/>
  <c r="G5" i="8"/>
  <c r="F5" i="8"/>
  <c r="E5" i="8"/>
  <c r="D5" i="8"/>
  <c r="AC3" i="8"/>
  <c r="AC2" i="8" s="1"/>
  <c r="AA3" i="8"/>
  <c r="AA2" i="8" s="1"/>
  <c r="Y3" i="8"/>
  <c r="Y2" i="8" s="1"/>
  <c r="W3" i="8"/>
  <c r="W2" i="8" s="1"/>
  <c r="U3" i="8"/>
  <c r="U2" i="8" s="1"/>
  <c r="S3" i="8"/>
  <c r="S2" i="8" s="1"/>
  <c r="Q3" i="8"/>
  <c r="O3" i="8"/>
  <c r="O2" i="8" s="1"/>
  <c r="M3" i="8"/>
  <c r="M2" i="8" s="1"/>
  <c r="K3" i="8"/>
  <c r="K2" i="8" s="1"/>
  <c r="I3" i="8"/>
  <c r="I2" i="8" s="1"/>
  <c r="G3" i="8"/>
  <c r="G2" i="8" s="1"/>
  <c r="E3" i="8"/>
  <c r="E2" i="8" s="1"/>
  <c r="AB1" i="8"/>
  <c r="Z1" i="8"/>
  <c r="X1" i="8"/>
  <c r="V1" i="8"/>
  <c r="T1" i="8"/>
  <c r="R1" i="8"/>
  <c r="N1" i="8"/>
  <c r="L1" i="8"/>
  <c r="J1" i="8"/>
  <c r="H1" i="8"/>
  <c r="G1863" i="7"/>
  <c r="G1862" i="7" s="1"/>
  <c r="G1861" i="7" s="1"/>
  <c r="G1860" i="7" s="1"/>
  <c r="G1859" i="7" s="1"/>
  <c r="G1858" i="7" s="1"/>
  <c r="G1857" i="7" s="1"/>
  <c r="G1856" i="7" s="1"/>
  <c r="G1855" i="7" s="1"/>
  <c r="G1854" i="7" s="1"/>
  <c r="G1853" i="7" s="1"/>
  <c r="G1852" i="7" s="1"/>
  <c r="G1851" i="7" s="1"/>
  <c r="G1850" i="7" s="1"/>
  <c r="G1849" i="7" s="1"/>
  <c r="G1848" i="7" s="1"/>
  <c r="G1847" i="7" s="1"/>
  <c r="G1846" i="7" s="1"/>
  <c r="G1845" i="7" s="1"/>
  <c r="G1844" i="7" s="1"/>
  <c r="G1843" i="7" s="1"/>
  <c r="G1842" i="7" s="1"/>
  <c r="G1841" i="7" s="1"/>
  <c r="G1840" i="7" s="1"/>
  <c r="G1839" i="7" s="1"/>
  <c r="G1838" i="7" s="1"/>
  <c r="G1837" i="7" s="1"/>
  <c r="G1836" i="7" s="1"/>
  <c r="G1835" i="7" s="1"/>
  <c r="G1834" i="7" s="1"/>
  <c r="G1833" i="7" s="1"/>
  <c r="G1832" i="7" s="1"/>
  <c r="G1831" i="7" s="1"/>
  <c r="G1830" i="7" s="1"/>
  <c r="G1829" i="7" s="1"/>
  <c r="G1828" i="7" s="1"/>
  <c r="G1827" i="7" s="1"/>
  <c r="G1826" i="7" s="1"/>
  <c r="G1825" i="7" s="1"/>
  <c r="G1824" i="7" s="1"/>
  <c r="G1823" i="7" s="1"/>
  <c r="G1822" i="7" s="1"/>
  <c r="G1821" i="7" s="1"/>
  <c r="G1820" i="7" s="1"/>
  <c r="G1819" i="7" s="1"/>
  <c r="G1818" i="7" s="1"/>
  <c r="G1817" i="7" s="1"/>
  <c r="G1816" i="7" s="1"/>
  <c r="G1815" i="7" s="1"/>
  <c r="G1814" i="7" s="1"/>
  <c r="G1813" i="7" s="1"/>
  <c r="G1812" i="7" s="1"/>
  <c r="G1811" i="7" s="1"/>
  <c r="G1810" i="7" s="1"/>
  <c r="G1809" i="7" s="1"/>
  <c r="G1808" i="7" s="1"/>
  <c r="G1807" i="7" s="1"/>
  <c r="G1806" i="7" s="1"/>
  <c r="G1805" i="7" s="1"/>
  <c r="G1804" i="7" s="1"/>
  <c r="G1803" i="7" s="1"/>
  <c r="G1802" i="7" s="1"/>
  <c r="G1801" i="7" s="1"/>
  <c r="G1800" i="7" s="1"/>
  <c r="G1799" i="7" s="1"/>
  <c r="G1798" i="7" s="1"/>
  <c r="G1797" i="7" s="1"/>
  <c r="G1796" i="7" s="1"/>
  <c r="G1795" i="7" s="1"/>
  <c r="G1794" i="7" s="1"/>
  <c r="G1793" i="7" s="1"/>
  <c r="G1792" i="7" s="1"/>
  <c r="G1791" i="7" s="1"/>
  <c r="G1790" i="7" s="1"/>
  <c r="G1789" i="7" s="1"/>
  <c r="G1788" i="7" s="1"/>
  <c r="G1787" i="7" s="1"/>
  <c r="G1786" i="7" s="1"/>
  <c r="G1785" i="7" s="1"/>
  <c r="G1784" i="7" s="1"/>
  <c r="G1783" i="7" s="1"/>
  <c r="G1782" i="7" s="1"/>
  <c r="G1781" i="7" s="1"/>
  <c r="G1780" i="7" s="1"/>
  <c r="G1779" i="7" s="1"/>
  <c r="G1778" i="7" s="1"/>
  <c r="G1777" i="7" s="1"/>
  <c r="G1776" i="7" s="1"/>
  <c r="G1775" i="7" s="1"/>
  <c r="G1774" i="7" s="1"/>
  <c r="G1773" i="7" s="1"/>
  <c r="G1772" i="7" s="1"/>
  <c r="G1771" i="7" s="1"/>
  <c r="G1770" i="7" s="1"/>
  <c r="G1769" i="7" s="1"/>
  <c r="G1768" i="7" s="1"/>
  <c r="G1767" i="7" s="1"/>
  <c r="G1766" i="7" s="1"/>
  <c r="G1765" i="7" s="1"/>
  <c r="G1764" i="7" s="1"/>
  <c r="G1763" i="7" s="1"/>
  <c r="G1762" i="7" s="1"/>
  <c r="G1761" i="7" s="1"/>
  <c r="G1760" i="7" s="1"/>
  <c r="G1759" i="7" s="1"/>
  <c r="G1758" i="7" s="1"/>
  <c r="G1757" i="7" s="1"/>
  <c r="G1756" i="7" s="1"/>
  <c r="G1755" i="7" s="1"/>
  <c r="G1754" i="7" s="1"/>
  <c r="G1753" i="7" s="1"/>
  <c r="G1752" i="7" s="1"/>
  <c r="G1751" i="7" s="1"/>
  <c r="G1750" i="7" s="1"/>
  <c r="G1749" i="7" s="1"/>
  <c r="G1748" i="7" s="1"/>
  <c r="G1747" i="7" s="1"/>
  <c r="G1746" i="7" s="1"/>
  <c r="G1745" i="7" s="1"/>
  <c r="G1744" i="7" s="1"/>
  <c r="G1743" i="7" s="1"/>
  <c r="G1742" i="7" s="1"/>
  <c r="G1741" i="7" s="1"/>
  <c r="G1740" i="7" s="1"/>
  <c r="G1739" i="7" s="1"/>
  <c r="G1738" i="7" s="1"/>
  <c r="G1737" i="7" s="1"/>
  <c r="G1736" i="7" s="1"/>
  <c r="G1735" i="7" s="1"/>
  <c r="G1734" i="7" s="1"/>
  <c r="G1733" i="7" s="1"/>
  <c r="G1732" i="7" s="1"/>
  <c r="G1731" i="7" s="1"/>
  <c r="G1730" i="7" s="1"/>
  <c r="G1729" i="7" s="1"/>
  <c r="G1728" i="7" s="1"/>
  <c r="G1727" i="7" s="1"/>
  <c r="G1726" i="7" s="1"/>
  <c r="G1725" i="7" s="1"/>
  <c r="G1724" i="7" s="1"/>
  <c r="G1723" i="7" s="1"/>
  <c r="G1722" i="7" s="1"/>
  <c r="G1721" i="7" s="1"/>
  <c r="G1720" i="7" s="1"/>
  <c r="G1719" i="7" s="1"/>
  <c r="G1718" i="7" s="1"/>
  <c r="G1717" i="7" s="1"/>
  <c r="G1716" i="7" s="1"/>
  <c r="G1715" i="7" s="1"/>
  <c r="G1714" i="7" s="1"/>
  <c r="G1713" i="7" s="1"/>
  <c r="G1712" i="7" s="1"/>
  <c r="G1711" i="7" s="1"/>
  <c r="G1710" i="7" s="1"/>
  <c r="G1709" i="7" s="1"/>
  <c r="G1708" i="7" s="1"/>
  <c r="G1707" i="7" s="1"/>
  <c r="G1706" i="7" s="1"/>
  <c r="G1705" i="7" s="1"/>
  <c r="G1704" i="7" s="1"/>
  <c r="G1703" i="7" s="1"/>
  <c r="G1702" i="7" s="1"/>
  <c r="G1701" i="7" s="1"/>
  <c r="G1700" i="7" s="1"/>
  <c r="G1699" i="7" s="1"/>
  <c r="G1698" i="7" s="1"/>
  <c r="G1697" i="7" s="1"/>
  <c r="G1696" i="7" s="1"/>
  <c r="G1695" i="7" s="1"/>
  <c r="G1694" i="7" s="1"/>
  <c r="G1693" i="7" s="1"/>
  <c r="G1692" i="7" s="1"/>
  <c r="G1691" i="7" s="1"/>
  <c r="G1690" i="7" s="1"/>
  <c r="G1689" i="7" s="1"/>
  <c r="G1688" i="7" s="1"/>
  <c r="G1687" i="7" s="1"/>
  <c r="G1686" i="7" s="1"/>
  <c r="G1685" i="7" s="1"/>
  <c r="G1684" i="7" s="1"/>
  <c r="G1683" i="7" s="1"/>
  <c r="G1682" i="7" s="1"/>
  <c r="G1681" i="7" s="1"/>
  <c r="G1680" i="7" s="1"/>
  <c r="G1679" i="7" s="1"/>
  <c r="G1678" i="7" s="1"/>
  <c r="G1677" i="7" s="1"/>
  <c r="G1676" i="7" s="1"/>
  <c r="G1675" i="7" s="1"/>
  <c r="G1674" i="7" s="1"/>
  <c r="G1673" i="7" s="1"/>
  <c r="G1672" i="7" s="1"/>
  <c r="G1671" i="7" s="1"/>
  <c r="G1670" i="7" s="1"/>
  <c r="G1669" i="7" s="1"/>
  <c r="G1668" i="7" s="1"/>
  <c r="G1667" i="7" s="1"/>
  <c r="G1666" i="7" s="1"/>
  <c r="G1665" i="7" s="1"/>
  <c r="G1664" i="7" s="1"/>
  <c r="G1663" i="7" s="1"/>
  <c r="G1662" i="7" s="1"/>
  <c r="G1661" i="7" s="1"/>
  <c r="G1660" i="7" s="1"/>
  <c r="G1659" i="7" s="1"/>
  <c r="G1658" i="7" s="1"/>
  <c r="G1657" i="7" s="1"/>
  <c r="G1656" i="7" s="1"/>
  <c r="G1655" i="7" s="1"/>
  <c r="G1654" i="7" s="1"/>
  <c r="G1653" i="7" s="1"/>
  <c r="G1652" i="7" s="1"/>
  <c r="G1651" i="7" s="1"/>
  <c r="G1650" i="7" s="1"/>
  <c r="G1649" i="7" s="1"/>
  <c r="G1648" i="7" s="1"/>
  <c r="G1647" i="7" s="1"/>
  <c r="G1646" i="7" s="1"/>
  <c r="G1645" i="7" s="1"/>
  <c r="G1644" i="7" s="1"/>
  <c r="G1643" i="7" s="1"/>
  <c r="G1642" i="7" s="1"/>
  <c r="G1641" i="7" s="1"/>
  <c r="G1640" i="7" s="1"/>
  <c r="G1639" i="7" s="1"/>
  <c r="G1638" i="7" s="1"/>
  <c r="G1637" i="7" s="1"/>
  <c r="G1636" i="7" s="1"/>
  <c r="G1635" i="7" s="1"/>
  <c r="G1634" i="7" s="1"/>
  <c r="G1633" i="7" s="1"/>
  <c r="G1632" i="7" s="1"/>
  <c r="G1631" i="7" s="1"/>
  <c r="G1630" i="7" s="1"/>
  <c r="G1629" i="7" s="1"/>
  <c r="G1628" i="7" s="1"/>
  <c r="G1627" i="7" s="1"/>
  <c r="G1626" i="7" s="1"/>
  <c r="G1625" i="7" s="1"/>
  <c r="G1624" i="7" s="1"/>
  <c r="G1623" i="7" s="1"/>
  <c r="G1622" i="7" s="1"/>
  <c r="G1621" i="7" s="1"/>
  <c r="G1620" i="7" s="1"/>
  <c r="G1619" i="7" s="1"/>
  <c r="G1618" i="7" s="1"/>
  <c r="G1617" i="7" s="1"/>
  <c r="G1616" i="7" s="1"/>
  <c r="G1615" i="7" s="1"/>
  <c r="G1614" i="7" s="1"/>
  <c r="G1613" i="7" s="1"/>
  <c r="G1612" i="7" s="1"/>
  <c r="G1611" i="7" s="1"/>
  <c r="G1610" i="7" s="1"/>
  <c r="G1609" i="7" s="1"/>
  <c r="G1608" i="7" s="1"/>
  <c r="G1607" i="7" s="1"/>
  <c r="G1606" i="7" s="1"/>
  <c r="G1605" i="7" s="1"/>
  <c r="G1604" i="7" s="1"/>
  <c r="G1603" i="7" s="1"/>
  <c r="G1602" i="7" s="1"/>
  <c r="G1601" i="7" s="1"/>
  <c r="G1600" i="7" s="1"/>
  <c r="G1599" i="7" s="1"/>
  <c r="G1598" i="7" s="1"/>
  <c r="G1597" i="7" s="1"/>
  <c r="G1596" i="7" s="1"/>
  <c r="G1595" i="7" s="1"/>
  <c r="G1594" i="7" s="1"/>
  <c r="G1593" i="7" s="1"/>
  <c r="G1592" i="7" s="1"/>
  <c r="G1591" i="7" s="1"/>
  <c r="G1590" i="7" s="1"/>
  <c r="G1589" i="7" s="1"/>
  <c r="G1588" i="7" s="1"/>
  <c r="G1587" i="7" s="1"/>
  <c r="G1586" i="7" s="1"/>
  <c r="G1585" i="7" s="1"/>
  <c r="G1584" i="7" s="1"/>
  <c r="G1583" i="7" s="1"/>
  <c r="G1582" i="7" s="1"/>
  <c r="G1581" i="7" s="1"/>
  <c r="G1580" i="7" s="1"/>
  <c r="G1579" i="7" s="1"/>
  <c r="G1578" i="7" s="1"/>
  <c r="G1577" i="7" s="1"/>
  <c r="G1576" i="7" s="1"/>
  <c r="G1575" i="7" s="1"/>
  <c r="G1574" i="7" s="1"/>
  <c r="G1573" i="7" s="1"/>
  <c r="G1572" i="7" s="1"/>
  <c r="G1571" i="7" s="1"/>
  <c r="G1570" i="7" s="1"/>
  <c r="G1569" i="7" s="1"/>
  <c r="G1568" i="7" s="1"/>
  <c r="G1567" i="7" s="1"/>
  <c r="G1566" i="7" s="1"/>
  <c r="G1565" i="7" s="1"/>
  <c r="G1564" i="7" s="1"/>
  <c r="G1563" i="7" s="1"/>
  <c r="G1562" i="7" s="1"/>
  <c r="G1561" i="7" s="1"/>
  <c r="G1560" i="7" s="1"/>
  <c r="G1559" i="7" s="1"/>
  <c r="G1558" i="7" s="1"/>
  <c r="G1557" i="7" s="1"/>
  <c r="G1556" i="7" s="1"/>
  <c r="G1555" i="7" s="1"/>
  <c r="G1554" i="7" s="1"/>
  <c r="G1553" i="7" s="1"/>
  <c r="G1552" i="7" s="1"/>
  <c r="G1551" i="7" s="1"/>
  <c r="G1550" i="7" s="1"/>
  <c r="G1549" i="7" s="1"/>
  <c r="G1548" i="7" s="1"/>
  <c r="G1547" i="7" s="1"/>
  <c r="G1546" i="7" s="1"/>
  <c r="G1545" i="7" s="1"/>
  <c r="G1544" i="7" s="1"/>
  <c r="G1543" i="7" s="1"/>
  <c r="G1542" i="7" s="1"/>
  <c r="G1541" i="7" s="1"/>
  <c r="G1540" i="7" s="1"/>
  <c r="G1539" i="7" s="1"/>
  <c r="G1538" i="7" s="1"/>
  <c r="G1537" i="7" s="1"/>
  <c r="G1536" i="7" s="1"/>
  <c r="G1535" i="7" s="1"/>
  <c r="G1534" i="7" s="1"/>
  <c r="G1533" i="7" s="1"/>
  <c r="G1532" i="7" s="1"/>
  <c r="G1531" i="7" s="1"/>
  <c r="G1530" i="7" s="1"/>
  <c r="G1529" i="7" s="1"/>
  <c r="G1528" i="7" s="1"/>
  <c r="G1527" i="7" s="1"/>
  <c r="G1526" i="7" s="1"/>
  <c r="G1525" i="7" s="1"/>
  <c r="G1524" i="7" s="1"/>
  <c r="G1523" i="7" s="1"/>
  <c r="G1522" i="7" s="1"/>
  <c r="G1521" i="7" s="1"/>
  <c r="G1520" i="7" s="1"/>
  <c r="G1519" i="7" s="1"/>
  <c r="G1518" i="7" s="1"/>
  <c r="G1517" i="7" s="1"/>
  <c r="G1516" i="7" s="1"/>
  <c r="G1515" i="7" s="1"/>
  <c r="G1514" i="7" s="1"/>
  <c r="G1513" i="7" s="1"/>
  <c r="G1512" i="7" s="1"/>
  <c r="G1511" i="7" s="1"/>
  <c r="G1510" i="7" s="1"/>
  <c r="G1509" i="7" s="1"/>
  <c r="G1508" i="7" s="1"/>
  <c r="G1507" i="7" s="1"/>
  <c r="G1506" i="7" s="1"/>
  <c r="G1505" i="7" s="1"/>
  <c r="G1504" i="7" s="1"/>
  <c r="G1503" i="7" s="1"/>
  <c r="G1502" i="7" s="1"/>
  <c r="G1501" i="7" s="1"/>
  <c r="G1500" i="7" s="1"/>
  <c r="G1499" i="7" s="1"/>
  <c r="G1498" i="7" s="1"/>
  <c r="G1497" i="7" s="1"/>
  <c r="G1496" i="7" s="1"/>
  <c r="G1495" i="7" s="1"/>
  <c r="G1494" i="7" s="1"/>
  <c r="G1493" i="7" s="1"/>
  <c r="G1492" i="7" s="1"/>
  <c r="G1491" i="7" s="1"/>
  <c r="G1490" i="7" s="1"/>
  <c r="G1489" i="7" s="1"/>
  <c r="G1488" i="7" s="1"/>
  <c r="G1487" i="7" s="1"/>
  <c r="G1486" i="7" s="1"/>
  <c r="G1485" i="7" s="1"/>
  <c r="G1484" i="7" s="1"/>
  <c r="G1483" i="7" s="1"/>
  <c r="G1482" i="7" s="1"/>
  <c r="G1481" i="7" s="1"/>
  <c r="G1480" i="7" s="1"/>
  <c r="G1479" i="7" s="1"/>
  <c r="G1478" i="7" s="1"/>
  <c r="G1477" i="7" s="1"/>
  <c r="G1476" i="7" s="1"/>
  <c r="G1475" i="7" s="1"/>
  <c r="G1474" i="7" s="1"/>
  <c r="G1473" i="7" s="1"/>
  <c r="G1472" i="7" s="1"/>
  <c r="G1471" i="7" s="1"/>
  <c r="G1470" i="7" s="1"/>
  <c r="G1469" i="7" s="1"/>
  <c r="G1468" i="7" s="1"/>
  <c r="G1467" i="7" s="1"/>
  <c r="G1466" i="7" s="1"/>
  <c r="G1465" i="7" s="1"/>
  <c r="G1464" i="7" s="1"/>
  <c r="G1463" i="7" s="1"/>
  <c r="G1462" i="7" s="1"/>
  <c r="G1461" i="7" s="1"/>
  <c r="G1460" i="7" s="1"/>
  <c r="G1459" i="7" s="1"/>
  <c r="G1458" i="7" s="1"/>
  <c r="G1457" i="7" s="1"/>
  <c r="G1456" i="7" s="1"/>
  <c r="G1455" i="7" s="1"/>
  <c r="G1454" i="7" s="1"/>
  <c r="G1453" i="7" s="1"/>
  <c r="G1452" i="7" s="1"/>
  <c r="G1451" i="7" s="1"/>
  <c r="G1450" i="7" s="1"/>
  <c r="G1449" i="7" s="1"/>
  <c r="G1448" i="7" s="1"/>
  <c r="G1447" i="7" s="1"/>
  <c r="G1446" i="7" s="1"/>
  <c r="G1445" i="7" s="1"/>
  <c r="G1444" i="7" s="1"/>
  <c r="G1443" i="7" s="1"/>
  <c r="G1442" i="7" s="1"/>
  <c r="G1441" i="7" s="1"/>
  <c r="G1440" i="7" s="1"/>
  <c r="G1439" i="7" s="1"/>
  <c r="G1438" i="7" s="1"/>
  <c r="G1437" i="7" s="1"/>
  <c r="G1436" i="7" s="1"/>
  <c r="G1435" i="7" s="1"/>
  <c r="G1434" i="7" s="1"/>
  <c r="G1433" i="7" s="1"/>
  <c r="G1432" i="7" s="1"/>
  <c r="G1431" i="7" s="1"/>
  <c r="G1430" i="7" s="1"/>
  <c r="G1429" i="7" s="1"/>
  <c r="G1428" i="7" s="1"/>
  <c r="G1427" i="7" s="1"/>
  <c r="G1426" i="7" s="1"/>
  <c r="G1425" i="7" s="1"/>
  <c r="G1424" i="7" s="1"/>
  <c r="G1423" i="7" s="1"/>
  <c r="G1422" i="7" s="1"/>
  <c r="G1421" i="7" s="1"/>
  <c r="G1420" i="7" s="1"/>
  <c r="G1419" i="7" s="1"/>
  <c r="G1418" i="7" s="1"/>
  <c r="G1417" i="7" s="1"/>
  <c r="G1416" i="7" s="1"/>
  <c r="G1415" i="7" s="1"/>
  <c r="G1414" i="7" s="1"/>
  <c r="G1413" i="7" s="1"/>
  <c r="G1412" i="7" s="1"/>
  <c r="G1411" i="7" s="1"/>
  <c r="G1410" i="7" s="1"/>
  <c r="G1409" i="7" s="1"/>
  <c r="G1408" i="7" s="1"/>
  <c r="G1407" i="7" s="1"/>
  <c r="G1406" i="7" s="1"/>
  <c r="G1405" i="7" s="1"/>
  <c r="G1404" i="7" s="1"/>
  <c r="G1403" i="7" s="1"/>
  <c r="G1402" i="7" s="1"/>
  <c r="G1401" i="7" s="1"/>
  <c r="G1400" i="7" s="1"/>
  <c r="G1399" i="7" s="1"/>
  <c r="G1398" i="7" s="1"/>
  <c r="G1397" i="7" s="1"/>
  <c r="G1396" i="7" s="1"/>
  <c r="G1395" i="7" s="1"/>
  <c r="G1394" i="7" s="1"/>
  <c r="G1393" i="7" s="1"/>
  <c r="G1392" i="7" s="1"/>
  <c r="G1391" i="7" s="1"/>
  <c r="G1390" i="7" s="1"/>
  <c r="G1389" i="7" s="1"/>
  <c r="G1388" i="7" s="1"/>
  <c r="G1387" i="7" s="1"/>
  <c r="G1386" i="7" s="1"/>
  <c r="G1385" i="7" s="1"/>
  <c r="G1384" i="7" s="1"/>
  <c r="G1383" i="7" s="1"/>
  <c r="G1382" i="7" s="1"/>
  <c r="G1381" i="7" s="1"/>
  <c r="G1380" i="7" s="1"/>
  <c r="G1379" i="7" s="1"/>
  <c r="G1378" i="7" s="1"/>
  <c r="G1377" i="7" s="1"/>
  <c r="G1376" i="7" s="1"/>
  <c r="G1375" i="7" s="1"/>
  <c r="G1374" i="7" s="1"/>
  <c r="G1373" i="7" s="1"/>
  <c r="G1372" i="7" s="1"/>
  <c r="G1371" i="7" s="1"/>
  <c r="G1370" i="7" s="1"/>
  <c r="G1369" i="7" s="1"/>
  <c r="G1368" i="7" s="1"/>
  <c r="G1367" i="7" s="1"/>
  <c r="G1366" i="7" s="1"/>
  <c r="G1365" i="7" s="1"/>
  <c r="G1364" i="7" s="1"/>
  <c r="G1363" i="7" s="1"/>
  <c r="G1362" i="7" s="1"/>
  <c r="G1361" i="7" s="1"/>
  <c r="G1360" i="7" s="1"/>
  <c r="G1359" i="7" s="1"/>
  <c r="G1358" i="7" s="1"/>
  <c r="G1357" i="7" s="1"/>
  <c r="G1356" i="7" s="1"/>
  <c r="G1355" i="7" s="1"/>
  <c r="G1354" i="7" s="1"/>
  <c r="G1353" i="7" s="1"/>
  <c r="G1352" i="7" s="1"/>
  <c r="G1351" i="7" s="1"/>
  <c r="G1350" i="7" s="1"/>
  <c r="G1349" i="7" s="1"/>
  <c r="G1348" i="7" s="1"/>
  <c r="G1347" i="7" s="1"/>
  <c r="G1346" i="7" s="1"/>
  <c r="G1345" i="7" s="1"/>
  <c r="G1344" i="7" s="1"/>
  <c r="G1343" i="7" s="1"/>
  <c r="G1342" i="7" s="1"/>
  <c r="G1341" i="7" s="1"/>
  <c r="G1340" i="7" s="1"/>
  <c r="G1339" i="7" s="1"/>
  <c r="G1338" i="7" s="1"/>
  <c r="G1337" i="7" s="1"/>
  <c r="G1336" i="7" s="1"/>
  <c r="G1335" i="7" s="1"/>
  <c r="G1334" i="7" s="1"/>
  <c r="G1333" i="7" s="1"/>
  <c r="G1332" i="7" s="1"/>
  <c r="G1331" i="7" s="1"/>
  <c r="G1330" i="7" s="1"/>
  <c r="G1329" i="7" s="1"/>
  <c r="G1328" i="7" s="1"/>
  <c r="G1327" i="7" s="1"/>
  <c r="G1326" i="7" s="1"/>
  <c r="G1325" i="7" s="1"/>
  <c r="G1324" i="7" s="1"/>
  <c r="G1323" i="7" s="1"/>
  <c r="G1322" i="7" s="1"/>
  <c r="G1321" i="7" s="1"/>
  <c r="G1320" i="7" s="1"/>
  <c r="G1319" i="7" s="1"/>
  <c r="G1318" i="7" s="1"/>
  <c r="G1317" i="7" s="1"/>
  <c r="G1316" i="7" s="1"/>
  <c r="G1315" i="7" s="1"/>
  <c r="G1314" i="7" s="1"/>
  <c r="G1313" i="7" s="1"/>
  <c r="G1312" i="7" s="1"/>
  <c r="G1311" i="7" s="1"/>
  <c r="G1310" i="7" s="1"/>
  <c r="G1309" i="7" s="1"/>
  <c r="G1308" i="7" s="1"/>
  <c r="G1307" i="7" s="1"/>
  <c r="G1306" i="7" s="1"/>
  <c r="G1305" i="7" s="1"/>
  <c r="G1304" i="7" s="1"/>
  <c r="G1303" i="7" s="1"/>
  <c r="G1302" i="7" s="1"/>
  <c r="G1301" i="7" s="1"/>
  <c r="G1300" i="7" s="1"/>
  <c r="G1299" i="7" s="1"/>
  <c r="G1298" i="7" s="1"/>
  <c r="G1297" i="7" s="1"/>
  <c r="G1296" i="7" s="1"/>
  <c r="G1295" i="7" s="1"/>
  <c r="G1294" i="7" s="1"/>
  <c r="G1293" i="7" s="1"/>
  <c r="G1292" i="7" s="1"/>
  <c r="G1291" i="7" s="1"/>
  <c r="G1290" i="7" s="1"/>
  <c r="G1289" i="7" s="1"/>
  <c r="G1288" i="7" s="1"/>
  <c r="G1287" i="7" s="1"/>
  <c r="G1286" i="7" s="1"/>
  <c r="G1285" i="7" s="1"/>
  <c r="G1284" i="7" s="1"/>
  <c r="G1283" i="7" s="1"/>
  <c r="G1282" i="7" s="1"/>
  <c r="G1281" i="7" s="1"/>
  <c r="G1280" i="7" s="1"/>
  <c r="G1279" i="7" s="1"/>
  <c r="G1278" i="7" s="1"/>
  <c r="G1277" i="7" s="1"/>
  <c r="G1276" i="7" s="1"/>
  <c r="G1275" i="7" s="1"/>
  <c r="G1274" i="7" s="1"/>
  <c r="G1273" i="7" s="1"/>
  <c r="G1272" i="7" s="1"/>
  <c r="G1271" i="7" s="1"/>
  <c r="G1270" i="7" s="1"/>
  <c r="G1269" i="7" s="1"/>
  <c r="G1268" i="7" s="1"/>
  <c r="G1267" i="7" s="1"/>
  <c r="G1266" i="7" s="1"/>
  <c r="G1265" i="7" s="1"/>
  <c r="G1264" i="7" s="1"/>
  <c r="G1263" i="7" s="1"/>
  <c r="G1262" i="7" s="1"/>
  <c r="G1261" i="7" s="1"/>
  <c r="G1260" i="7" s="1"/>
  <c r="G1259" i="7" s="1"/>
  <c r="G1258" i="7" s="1"/>
  <c r="G1257" i="7" s="1"/>
  <c r="G1256" i="7" s="1"/>
  <c r="G1255" i="7" s="1"/>
  <c r="G1254" i="7" s="1"/>
  <c r="G1253" i="7" s="1"/>
  <c r="G1252" i="7" s="1"/>
  <c r="G1251" i="7" s="1"/>
  <c r="G1250" i="7" s="1"/>
  <c r="G1249" i="7" s="1"/>
  <c r="G1248" i="7" s="1"/>
  <c r="G1247" i="7" s="1"/>
  <c r="G1246" i="7" s="1"/>
  <c r="G1245" i="7" s="1"/>
  <c r="G1244" i="7" s="1"/>
  <c r="G1243" i="7" s="1"/>
  <c r="G1242" i="7" s="1"/>
  <c r="G1241" i="7" s="1"/>
  <c r="G1240" i="7" s="1"/>
  <c r="G1239" i="7" s="1"/>
  <c r="G1238" i="7" s="1"/>
  <c r="G1237" i="7" s="1"/>
  <c r="G1236" i="7" s="1"/>
  <c r="G1235" i="7" s="1"/>
  <c r="G1234" i="7" s="1"/>
  <c r="G1233" i="7" s="1"/>
  <c r="G1232" i="7" s="1"/>
  <c r="G1231" i="7" s="1"/>
  <c r="G1230" i="7" s="1"/>
  <c r="G1229" i="7" s="1"/>
  <c r="G1228" i="7" s="1"/>
  <c r="G1227" i="7" s="1"/>
  <c r="G1226" i="7" s="1"/>
  <c r="G1225" i="7" s="1"/>
  <c r="G1224" i="7" s="1"/>
  <c r="G1223" i="7" s="1"/>
  <c r="G1222" i="7" s="1"/>
  <c r="G1221" i="7" s="1"/>
  <c r="G1220" i="7" s="1"/>
  <c r="G1219" i="7" s="1"/>
  <c r="G1218" i="7" s="1"/>
  <c r="G1217" i="7" s="1"/>
  <c r="G1216" i="7" s="1"/>
  <c r="G1215" i="7" s="1"/>
  <c r="G1214" i="7" s="1"/>
  <c r="G1213" i="7" s="1"/>
  <c r="G1212" i="7" s="1"/>
  <c r="G1211" i="7" s="1"/>
  <c r="G1210" i="7" s="1"/>
  <c r="G1209" i="7" s="1"/>
  <c r="G1208" i="7" s="1"/>
  <c r="G1207" i="7" s="1"/>
  <c r="G1206" i="7" s="1"/>
  <c r="G1205" i="7" s="1"/>
  <c r="G1204" i="7" s="1"/>
  <c r="G1203" i="7" s="1"/>
  <c r="G1202" i="7" s="1"/>
  <c r="G1201" i="7" s="1"/>
  <c r="G1200" i="7" s="1"/>
  <c r="G1199" i="7" s="1"/>
  <c r="G1198" i="7" s="1"/>
  <c r="G1197" i="7" s="1"/>
  <c r="G1196" i="7" s="1"/>
  <c r="G1195" i="7" s="1"/>
  <c r="G1194" i="7" s="1"/>
  <c r="G1193" i="7" s="1"/>
  <c r="G1192" i="7" s="1"/>
  <c r="G1191" i="7" s="1"/>
  <c r="G1190" i="7" s="1"/>
  <c r="G1189" i="7" s="1"/>
  <c r="G1188" i="7" s="1"/>
  <c r="G1187" i="7" s="1"/>
  <c r="G1186" i="7" s="1"/>
  <c r="G1185" i="7" s="1"/>
  <c r="G1184" i="7" s="1"/>
  <c r="G1183" i="7" s="1"/>
  <c r="G1182" i="7" s="1"/>
  <c r="G1181" i="7" s="1"/>
  <c r="G1180" i="7" s="1"/>
  <c r="G1179" i="7" s="1"/>
  <c r="G1178" i="7" s="1"/>
  <c r="G1177" i="7" s="1"/>
  <c r="G1176" i="7" s="1"/>
  <c r="G1175" i="7" s="1"/>
  <c r="G1174" i="7" s="1"/>
  <c r="G1173" i="7" s="1"/>
  <c r="G1172" i="7" s="1"/>
  <c r="G1171" i="7" s="1"/>
  <c r="G1170" i="7" s="1"/>
  <c r="G1169" i="7" s="1"/>
  <c r="G1168" i="7" s="1"/>
  <c r="G1167" i="7" s="1"/>
  <c r="G1166" i="7" s="1"/>
  <c r="G1165" i="7" s="1"/>
  <c r="G1164" i="7" s="1"/>
  <c r="G1163" i="7" s="1"/>
  <c r="G1162" i="7" s="1"/>
  <c r="G1161" i="7" s="1"/>
  <c r="G1160" i="7" s="1"/>
  <c r="G1159" i="7" s="1"/>
  <c r="G1158" i="7" s="1"/>
  <c r="G1157" i="7" s="1"/>
  <c r="G1156" i="7" s="1"/>
  <c r="G1155" i="7" s="1"/>
  <c r="G1154" i="7" s="1"/>
  <c r="G1153" i="7" s="1"/>
  <c r="G1152" i="7" s="1"/>
  <c r="G1151" i="7" s="1"/>
  <c r="G1150" i="7" s="1"/>
  <c r="G1149" i="7" s="1"/>
  <c r="G1148" i="7" s="1"/>
  <c r="G1147" i="7" s="1"/>
  <c r="G1146" i="7" s="1"/>
  <c r="G1145" i="7" s="1"/>
  <c r="G1144" i="7" s="1"/>
  <c r="G1143" i="7" s="1"/>
  <c r="G1142" i="7" s="1"/>
  <c r="G1141" i="7" s="1"/>
  <c r="G1140" i="7" s="1"/>
  <c r="G1139" i="7" s="1"/>
  <c r="G1138" i="7" s="1"/>
  <c r="G1137" i="7" s="1"/>
  <c r="G1136" i="7" s="1"/>
  <c r="G1135" i="7" s="1"/>
  <c r="G1134" i="7" s="1"/>
  <c r="G1133" i="7" s="1"/>
  <c r="G1132" i="7" s="1"/>
  <c r="G1131" i="7" s="1"/>
  <c r="G1130" i="7" s="1"/>
  <c r="G1129" i="7" s="1"/>
  <c r="G1128" i="7" s="1"/>
  <c r="G1127" i="7" s="1"/>
  <c r="G1126" i="7" s="1"/>
  <c r="G1125" i="7" s="1"/>
  <c r="G1124" i="7" s="1"/>
  <c r="G1123" i="7" s="1"/>
  <c r="G1122" i="7" s="1"/>
  <c r="G1121" i="7" s="1"/>
  <c r="G1120" i="7" s="1"/>
  <c r="G1119" i="7" s="1"/>
  <c r="G1118" i="7" s="1"/>
  <c r="G1117" i="7" s="1"/>
  <c r="G1116" i="7" s="1"/>
  <c r="G1115" i="7" s="1"/>
  <c r="G1114" i="7" s="1"/>
  <c r="G1113" i="7" s="1"/>
  <c r="G1112" i="7" s="1"/>
  <c r="G1111" i="7" s="1"/>
  <c r="G1110" i="7" s="1"/>
  <c r="G1109" i="7" s="1"/>
  <c r="T2" i="7"/>
  <c r="T1" i="7" s="1"/>
  <c r="R2" i="7"/>
  <c r="G2" i="7" s="1"/>
  <c r="B2" i="2" s="1"/>
  <c r="P2" i="7"/>
  <c r="P1" i="7" s="1"/>
  <c r="N2" i="7"/>
  <c r="N1" i="7" s="1"/>
  <c r="L2" i="7"/>
  <c r="J2" i="7"/>
  <c r="AE52" i="6"/>
  <c r="AC52" i="6"/>
  <c r="AA52" i="6"/>
  <c r="Y52" i="6"/>
  <c r="W52" i="6"/>
  <c r="U52" i="6"/>
  <c r="S52" i="6"/>
  <c r="Q52" i="6"/>
  <c r="O52" i="6"/>
  <c r="M52" i="6"/>
  <c r="K52" i="6"/>
  <c r="I52" i="6"/>
  <c r="AE51" i="6"/>
  <c r="AC51" i="6"/>
  <c r="AA51" i="6"/>
  <c r="Y51" i="6"/>
  <c r="W51" i="6"/>
  <c r="U51" i="6"/>
  <c r="S51" i="6"/>
  <c r="Q51" i="6"/>
  <c r="O51" i="6"/>
  <c r="M51" i="6"/>
  <c r="K51" i="6"/>
  <c r="I51" i="6"/>
  <c r="AE50" i="6"/>
  <c r="AC50" i="6"/>
  <c r="AA50" i="6"/>
  <c r="Y50" i="6"/>
  <c r="W50" i="6"/>
  <c r="U50" i="6"/>
  <c r="S50" i="6"/>
  <c r="Q50" i="6"/>
  <c r="O50" i="6"/>
  <c r="M50" i="6"/>
  <c r="K50" i="6"/>
  <c r="I50" i="6"/>
  <c r="AE49" i="6"/>
  <c r="AC49" i="6"/>
  <c r="AA49" i="6"/>
  <c r="Y49" i="6"/>
  <c r="W49" i="6"/>
  <c r="U49" i="6"/>
  <c r="S49" i="6"/>
  <c r="Q49" i="6"/>
  <c r="O49" i="6"/>
  <c r="M49" i="6"/>
  <c r="K49" i="6"/>
  <c r="I49" i="6"/>
  <c r="AE46" i="6"/>
  <c r="AC46" i="6"/>
  <c r="AA46" i="6"/>
  <c r="Y46" i="6"/>
  <c r="W46" i="6"/>
  <c r="U46" i="6"/>
  <c r="S46" i="6"/>
  <c r="Q46" i="6"/>
  <c r="O46" i="6"/>
  <c r="M46" i="6"/>
  <c r="K46" i="6"/>
  <c r="I46" i="6"/>
  <c r="C46" i="6"/>
  <c r="B46" i="6"/>
  <c r="A46" i="6"/>
  <c r="AE45" i="6"/>
  <c r="AC45" i="6"/>
  <c r="AA45" i="6"/>
  <c r="Y45" i="6"/>
  <c r="W45" i="6"/>
  <c r="U45" i="6"/>
  <c r="S45" i="6"/>
  <c r="Q45" i="6"/>
  <c r="O45" i="6"/>
  <c r="M45" i="6"/>
  <c r="K45" i="6"/>
  <c r="I45" i="6"/>
  <c r="C45" i="6"/>
  <c r="B45" i="6"/>
  <c r="A45" i="6"/>
  <c r="AE43" i="6"/>
  <c r="AC43" i="6"/>
  <c r="AD43" i="6" s="1"/>
  <c r="AA43" i="6"/>
  <c r="Y43" i="6"/>
  <c r="Z43" i="6" s="1"/>
  <c r="W43" i="6"/>
  <c r="U43" i="6"/>
  <c r="V43" i="6" s="1"/>
  <c r="S43" i="6"/>
  <c r="Q43" i="6"/>
  <c r="R43" i="6" s="1"/>
  <c r="O43" i="6"/>
  <c r="M43" i="6"/>
  <c r="N43" i="6" s="1"/>
  <c r="K43" i="6"/>
  <c r="I43" i="6"/>
  <c r="J43" i="6" s="1"/>
  <c r="H43" i="6"/>
  <c r="C43" i="6"/>
  <c r="B43" i="6"/>
  <c r="A43" i="6"/>
  <c r="AE42" i="6"/>
  <c r="AC42" i="6"/>
  <c r="AD42" i="6" s="1"/>
  <c r="AA42" i="6"/>
  <c r="Y42" i="6"/>
  <c r="Z42" i="6" s="1"/>
  <c r="W42" i="6"/>
  <c r="U42" i="6"/>
  <c r="V42" i="6" s="1"/>
  <c r="S42" i="6"/>
  <c r="Q42" i="6"/>
  <c r="R42" i="6" s="1"/>
  <c r="O42" i="6"/>
  <c r="M42" i="6"/>
  <c r="N42" i="6" s="1"/>
  <c r="K42" i="6"/>
  <c r="I42" i="6"/>
  <c r="J42" i="6" s="1"/>
  <c r="H42" i="6"/>
  <c r="C42" i="6"/>
  <c r="B42" i="6"/>
  <c r="A42" i="6"/>
  <c r="AE41" i="6"/>
  <c r="AC41" i="6"/>
  <c r="AD41" i="6" s="1"/>
  <c r="AA41" i="6"/>
  <c r="Y41" i="6"/>
  <c r="Z41" i="6" s="1"/>
  <c r="W41" i="6"/>
  <c r="U41" i="6"/>
  <c r="V41" i="6" s="1"/>
  <c r="S41" i="6"/>
  <c r="Q41" i="6"/>
  <c r="R41" i="6" s="1"/>
  <c r="O41" i="6"/>
  <c r="M41" i="6"/>
  <c r="N41" i="6" s="1"/>
  <c r="K41" i="6"/>
  <c r="I41" i="6"/>
  <c r="J41" i="6" s="1"/>
  <c r="H41" i="6"/>
  <c r="C41" i="6"/>
  <c r="B41" i="6"/>
  <c r="A41" i="6"/>
  <c r="AE40" i="6"/>
  <c r="AC40" i="6"/>
  <c r="AD40" i="6" s="1"/>
  <c r="AA40" i="6"/>
  <c r="Y40" i="6"/>
  <c r="Z40" i="6" s="1"/>
  <c r="W40" i="6"/>
  <c r="U40" i="6"/>
  <c r="V40" i="6" s="1"/>
  <c r="S40" i="6"/>
  <c r="Q40" i="6"/>
  <c r="R40" i="6" s="1"/>
  <c r="O40" i="6"/>
  <c r="M40" i="6"/>
  <c r="N40" i="6" s="1"/>
  <c r="K40" i="6"/>
  <c r="I40" i="6"/>
  <c r="J40" i="6" s="1"/>
  <c r="H40" i="6"/>
  <c r="C40" i="6"/>
  <c r="B40" i="6"/>
  <c r="A40" i="6"/>
  <c r="AE39" i="6"/>
  <c r="AC39" i="6"/>
  <c r="AD39" i="6" s="1"/>
  <c r="AA39" i="6"/>
  <c r="Y39" i="6"/>
  <c r="Z39" i="6" s="1"/>
  <c r="W39" i="6"/>
  <c r="U39" i="6"/>
  <c r="V39" i="6" s="1"/>
  <c r="S39" i="6"/>
  <c r="Q39" i="6"/>
  <c r="R39" i="6" s="1"/>
  <c r="O39" i="6"/>
  <c r="M39" i="6"/>
  <c r="N39" i="6" s="1"/>
  <c r="K39" i="6"/>
  <c r="I39" i="6"/>
  <c r="J39" i="6" s="1"/>
  <c r="H39" i="6"/>
  <c r="C39" i="6"/>
  <c r="B39" i="6"/>
  <c r="A39" i="6"/>
  <c r="AE38" i="6"/>
  <c r="AC38" i="6"/>
  <c r="AD38" i="6" s="1"/>
  <c r="AA38" i="6"/>
  <c r="Y38" i="6"/>
  <c r="Z38" i="6" s="1"/>
  <c r="W38" i="6"/>
  <c r="U38" i="6"/>
  <c r="V38" i="6" s="1"/>
  <c r="S38" i="6"/>
  <c r="Q38" i="6"/>
  <c r="R38" i="6" s="1"/>
  <c r="O38" i="6"/>
  <c r="M38" i="6"/>
  <c r="N38" i="6" s="1"/>
  <c r="K38" i="6"/>
  <c r="I38" i="6"/>
  <c r="J38" i="6" s="1"/>
  <c r="H38" i="6"/>
  <c r="C38" i="6"/>
  <c r="B38" i="6"/>
  <c r="A38" i="6"/>
  <c r="AE37" i="6"/>
  <c r="AC37" i="6"/>
  <c r="AD37" i="6" s="1"/>
  <c r="AA37" i="6"/>
  <c r="Y37" i="6"/>
  <c r="Z37" i="6" s="1"/>
  <c r="W37" i="6"/>
  <c r="U37" i="6"/>
  <c r="V37" i="6" s="1"/>
  <c r="S37" i="6"/>
  <c r="Q37" i="6"/>
  <c r="R37" i="6" s="1"/>
  <c r="O37" i="6"/>
  <c r="M37" i="6"/>
  <c r="N37" i="6" s="1"/>
  <c r="K37" i="6"/>
  <c r="I37" i="6"/>
  <c r="J37" i="6" s="1"/>
  <c r="H37" i="6"/>
  <c r="C37" i="6"/>
  <c r="P1" i="8" s="1"/>
  <c r="B37" i="6"/>
  <c r="A37" i="6"/>
  <c r="AE36" i="6"/>
  <c r="AC36" i="6"/>
  <c r="AD36" i="6" s="1"/>
  <c r="AA36" i="6"/>
  <c r="Y36" i="6"/>
  <c r="Z36" i="6" s="1"/>
  <c r="W36" i="6"/>
  <c r="U36" i="6"/>
  <c r="V36" i="6" s="1"/>
  <c r="S36" i="6"/>
  <c r="Q36" i="6"/>
  <c r="R36" i="6" s="1"/>
  <c r="O36" i="6"/>
  <c r="M36" i="6"/>
  <c r="N36" i="6" s="1"/>
  <c r="K36" i="6"/>
  <c r="I36" i="6"/>
  <c r="H36" i="6"/>
  <c r="C36" i="6"/>
  <c r="B36" i="6"/>
  <c r="A36" i="6"/>
  <c r="AE35" i="6"/>
  <c r="AC35" i="6"/>
  <c r="AD35" i="6" s="1"/>
  <c r="AA35" i="6"/>
  <c r="Y35" i="6"/>
  <c r="Z35" i="6" s="1"/>
  <c r="W35" i="6"/>
  <c r="U35" i="6"/>
  <c r="V35" i="6" s="1"/>
  <c r="S35" i="6"/>
  <c r="Q35" i="6"/>
  <c r="R35" i="6" s="1"/>
  <c r="O35" i="6"/>
  <c r="M35" i="6"/>
  <c r="N35" i="6" s="1"/>
  <c r="K35" i="6"/>
  <c r="I35" i="6"/>
  <c r="J35" i="6" s="1"/>
  <c r="H35" i="6"/>
  <c r="C35" i="6"/>
  <c r="B35" i="6"/>
  <c r="A35" i="6"/>
  <c r="AE34" i="6"/>
  <c r="AC34" i="6"/>
  <c r="AD34" i="6" s="1"/>
  <c r="AA34" i="6"/>
  <c r="Y34" i="6"/>
  <c r="Z34" i="6" s="1"/>
  <c r="W34" i="6"/>
  <c r="U34" i="6"/>
  <c r="V34" i="6" s="1"/>
  <c r="S34" i="6"/>
  <c r="Q34" i="6"/>
  <c r="O34" i="6"/>
  <c r="M34" i="6"/>
  <c r="N34" i="6" s="1"/>
  <c r="K34" i="6"/>
  <c r="I34" i="6"/>
  <c r="J34" i="6" s="1"/>
  <c r="H34" i="6"/>
  <c r="C34" i="6"/>
  <c r="B34" i="6"/>
  <c r="A34" i="6"/>
  <c r="AE33" i="6"/>
  <c r="AC33" i="6"/>
  <c r="AD33" i="6" s="1"/>
  <c r="AA33" i="6"/>
  <c r="Y33" i="6"/>
  <c r="Z33" i="6" s="1"/>
  <c r="W33" i="6"/>
  <c r="U33" i="6"/>
  <c r="S33" i="6"/>
  <c r="Q33" i="6"/>
  <c r="R33" i="6" s="1"/>
  <c r="O33" i="6"/>
  <c r="M33" i="6"/>
  <c r="N33" i="6" s="1"/>
  <c r="K33" i="6"/>
  <c r="I33" i="6"/>
  <c r="J33" i="6" s="1"/>
  <c r="H33" i="6"/>
  <c r="C33" i="6"/>
  <c r="B33" i="6"/>
  <c r="A33" i="6"/>
  <c r="AE31" i="6"/>
  <c r="AC31" i="6"/>
  <c r="AD31" i="6" s="1"/>
  <c r="AA31" i="6"/>
  <c r="Y31" i="6"/>
  <c r="Z31" i="6" s="1"/>
  <c r="W31" i="6"/>
  <c r="U31" i="6"/>
  <c r="V31" i="6" s="1"/>
  <c r="S31" i="6"/>
  <c r="Q31" i="6"/>
  <c r="R31" i="6" s="1"/>
  <c r="O31" i="6"/>
  <c r="M31" i="6"/>
  <c r="N31" i="6" s="1"/>
  <c r="K31" i="6"/>
  <c r="I31" i="6"/>
  <c r="J31" i="6" s="1"/>
  <c r="H31" i="6"/>
  <c r="C31" i="6"/>
  <c r="B31" i="6"/>
  <c r="A31" i="6"/>
  <c r="AE30" i="6"/>
  <c r="AC30" i="6"/>
  <c r="AD30" i="6" s="1"/>
  <c r="AA30" i="6"/>
  <c r="Y30" i="6"/>
  <c r="Z30" i="6" s="1"/>
  <c r="W30" i="6"/>
  <c r="U30" i="6"/>
  <c r="V30" i="6" s="1"/>
  <c r="S30" i="6"/>
  <c r="Q30" i="6"/>
  <c r="R30" i="6" s="1"/>
  <c r="O30" i="6"/>
  <c r="M30" i="6"/>
  <c r="N30" i="6" s="1"/>
  <c r="K30" i="6"/>
  <c r="I30" i="6"/>
  <c r="J30" i="6" s="1"/>
  <c r="H30" i="6"/>
  <c r="C30" i="6"/>
  <c r="B30" i="6"/>
  <c r="A30" i="6"/>
  <c r="AE29" i="6"/>
  <c r="AC29" i="6"/>
  <c r="AD29" i="6" s="1"/>
  <c r="AA29" i="6"/>
  <c r="Y29" i="6"/>
  <c r="Z29" i="6" s="1"/>
  <c r="W29" i="6"/>
  <c r="U29" i="6"/>
  <c r="V29" i="6" s="1"/>
  <c r="S29" i="6"/>
  <c r="Q29" i="6"/>
  <c r="O29" i="6"/>
  <c r="M29" i="6"/>
  <c r="N29" i="6" s="1"/>
  <c r="K29" i="6"/>
  <c r="I29" i="6"/>
  <c r="J29" i="6" s="1"/>
  <c r="H29" i="6"/>
  <c r="C29" i="6"/>
  <c r="B29" i="6"/>
  <c r="A29" i="6"/>
  <c r="AE28" i="6"/>
  <c r="AC28" i="6"/>
  <c r="AD28" i="6" s="1"/>
  <c r="AA28" i="6"/>
  <c r="Y28" i="6"/>
  <c r="Z28" i="6" s="1"/>
  <c r="W28" i="6"/>
  <c r="U28" i="6"/>
  <c r="V28" i="6" s="1"/>
  <c r="S28" i="6"/>
  <c r="Q28" i="6"/>
  <c r="R28" i="6" s="1"/>
  <c r="O28" i="6"/>
  <c r="M28" i="6"/>
  <c r="N28" i="6" s="1"/>
  <c r="K28" i="6"/>
  <c r="I28" i="6"/>
  <c r="J28" i="6" s="1"/>
  <c r="H28" i="6"/>
  <c r="C28" i="6"/>
  <c r="B28" i="6"/>
  <c r="A28" i="6"/>
  <c r="AE27" i="6"/>
  <c r="AC27" i="6"/>
  <c r="AD27" i="6" s="1"/>
  <c r="AA27" i="6"/>
  <c r="Y27" i="6"/>
  <c r="Z27" i="6" s="1"/>
  <c r="W27" i="6"/>
  <c r="U27" i="6"/>
  <c r="V27" i="6" s="1"/>
  <c r="S27" i="6"/>
  <c r="Q27" i="6"/>
  <c r="R27" i="6" s="1"/>
  <c r="O27" i="6"/>
  <c r="M27" i="6"/>
  <c r="N27" i="6" s="1"/>
  <c r="K27" i="6"/>
  <c r="I27" i="6"/>
  <c r="J27" i="6" s="1"/>
  <c r="H27" i="6"/>
  <c r="C27" i="6"/>
  <c r="B27" i="6"/>
  <c r="A27" i="6"/>
  <c r="AE26" i="6"/>
  <c r="AC26" i="6"/>
  <c r="AD26" i="6" s="1"/>
  <c r="AA26" i="6"/>
  <c r="Y26" i="6"/>
  <c r="Z26" i="6" s="1"/>
  <c r="W26" i="6"/>
  <c r="U26" i="6"/>
  <c r="V26" i="6" s="1"/>
  <c r="S26" i="6"/>
  <c r="Q26" i="6"/>
  <c r="R26" i="6" s="1"/>
  <c r="O26" i="6"/>
  <c r="M26" i="6"/>
  <c r="N26" i="6" s="1"/>
  <c r="K26" i="6"/>
  <c r="I26" i="6"/>
  <c r="J26" i="6" s="1"/>
  <c r="H26" i="6"/>
  <c r="C26" i="6"/>
  <c r="B26" i="6"/>
  <c r="A26" i="6"/>
  <c r="AE25" i="6"/>
  <c r="AC25" i="6"/>
  <c r="AD25" i="6" s="1"/>
  <c r="AA25" i="6"/>
  <c r="Y25" i="6"/>
  <c r="Z25" i="6" s="1"/>
  <c r="W25" i="6"/>
  <c r="U25" i="6"/>
  <c r="V25" i="6" s="1"/>
  <c r="S25" i="6"/>
  <c r="Q25" i="6"/>
  <c r="R25" i="6" s="1"/>
  <c r="O25" i="6"/>
  <c r="M25" i="6"/>
  <c r="N25" i="6" s="1"/>
  <c r="K25" i="6"/>
  <c r="I25" i="6"/>
  <c r="J25" i="6" s="1"/>
  <c r="H25" i="6"/>
  <c r="C25" i="6"/>
  <c r="B25" i="6"/>
  <c r="A25" i="6"/>
  <c r="AE24" i="6"/>
  <c r="AC24" i="6"/>
  <c r="AD24" i="6" s="1"/>
  <c r="AA24" i="6"/>
  <c r="Y24" i="6"/>
  <c r="Z24" i="6" s="1"/>
  <c r="W24" i="6"/>
  <c r="U24" i="6"/>
  <c r="V24" i="6" s="1"/>
  <c r="S24" i="6"/>
  <c r="Q24" i="6"/>
  <c r="R24" i="6" s="1"/>
  <c r="O24" i="6"/>
  <c r="M24" i="6"/>
  <c r="N24" i="6" s="1"/>
  <c r="K24" i="6"/>
  <c r="I24" i="6"/>
  <c r="J24" i="6" s="1"/>
  <c r="H24" i="6"/>
  <c r="C24" i="6"/>
  <c r="B24" i="6"/>
  <c r="A24" i="6"/>
  <c r="AE23" i="6"/>
  <c r="AC23" i="6"/>
  <c r="AD23" i="6" s="1"/>
  <c r="AA23" i="6"/>
  <c r="Y23" i="6"/>
  <c r="Z23" i="6" s="1"/>
  <c r="W23" i="6"/>
  <c r="U23" i="6"/>
  <c r="V23" i="6" s="1"/>
  <c r="S23" i="6"/>
  <c r="Q23" i="6"/>
  <c r="R23" i="6" s="1"/>
  <c r="O23" i="6"/>
  <c r="M23" i="6"/>
  <c r="N23" i="6" s="1"/>
  <c r="K23" i="6"/>
  <c r="I23" i="6"/>
  <c r="J23" i="6" s="1"/>
  <c r="H23" i="6"/>
  <c r="C23" i="6"/>
  <c r="B23" i="6"/>
  <c r="A23" i="6"/>
  <c r="AE22" i="6"/>
  <c r="AC22" i="6"/>
  <c r="AD22" i="6" s="1"/>
  <c r="AA22" i="6"/>
  <c r="Y22" i="6"/>
  <c r="Z22" i="6" s="1"/>
  <c r="W22" i="6"/>
  <c r="U22" i="6"/>
  <c r="V22" i="6" s="1"/>
  <c r="S22" i="6"/>
  <c r="Q22" i="6"/>
  <c r="R22" i="6" s="1"/>
  <c r="O22" i="6"/>
  <c r="M22" i="6"/>
  <c r="N22" i="6" s="1"/>
  <c r="K22" i="6"/>
  <c r="I22" i="6"/>
  <c r="J22" i="6" s="1"/>
  <c r="H22" i="6"/>
  <c r="C22" i="6"/>
  <c r="B22" i="6"/>
  <c r="A22" i="6"/>
  <c r="AE21" i="6"/>
  <c r="AC21" i="6"/>
  <c r="AD21" i="6" s="1"/>
  <c r="AA21" i="6"/>
  <c r="Y21" i="6"/>
  <c r="Z21" i="6" s="1"/>
  <c r="W21" i="6"/>
  <c r="U21" i="6"/>
  <c r="V21" i="6" s="1"/>
  <c r="S21" i="6"/>
  <c r="Q21" i="6"/>
  <c r="R21" i="6" s="1"/>
  <c r="O21" i="6"/>
  <c r="M21" i="6"/>
  <c r="N21" i="6" s="1"/>
  <c r="K21" i="6"/>
  <c r="I21" i="6"/>
  <c r="J21" i="6" s="1"/>
  <c r="H21" i="6"/>
  <c r="C21" i="6"/>
  <c r="B21" i="6"/>
  <c r="A21" i="6"/>
  <c r="AE20" i="6"/>
  <c r="AC20" i="6"/>
  <c r="AD20" i="6" s="1"/>
  <c r="AA20" i="6"/>
  <c r="Y20" i="6"/>
  <c r="Z20" i="6" s="1"/>
  <c r="W20" i="6"/>
  <c r="U20" i="6"/>
  <c r="V20" i="6" s="1"/>
  <c r="S20" i="6"/>
  <c r="Q20" i="6"/>
  <c r="R20" i="6" s="1"/>
  <c r="O20" i="6"/>
  <c r="M20" i="6"/>
  <c r="N20" i="6" s="1"/>
  <c r="K20" i="6"/>
  <c r="I20" i="6"/>
  <c r="J20" i="6" s="1"/>
  <c r="H20" i="6"/>
  <c r="C20" i="6"/>
  <c r="B20" i="6"/>
  <c r="A20" i="6"/>
  <c r="AE19" i="6"/>
  <c r="AC19" i="6"/>
  <c r="AD19" i="6" s="1"/>
  <c r="AA19" i="6"/>
  <c r="Y19" i="6"/>
  <c r="Z19" i="6" s="1"/>
  <c r="W19" i="6"/>
  <c r="U19" i="6"/>
  <c r="V19" i="6" s="1"/>
  <c r="S19" i="6"/>
  <c r="Q19" i="6"/>
  <c r="R19" i="6" s="1"/>
  <c r="O19" i="6"/>
  <c r="M19" i="6"/>
  <c r="N19" i="6" s="1"/>
  <c r="K19" i="6"/>
  <c r="I19" i="6"/>
  <c r="J19" i="6" s="1"/>
  <c r="H19" i="6"/>
  <c r="C19" i="6"/>
  <c r="B19" i="6"/>
  <c r="A19" i="6"/>
  <c r="AE18" i="6"/>
  <c r="AC18" i="6"/>
  <c r="AD18" i="6" s="1"/>
  <c r="AA18" i="6"/>
  <c r="Y18" i="6"/>
  <c r="Z18" i="6" s="1"/>
  <c r="W18" i="6"/>
  <c r="U18" i="6"/>
  <c r="V18" i="6" s="1"/>
  <c r="S18" i="6"/>
  <c r="Q18" i="6"/>
  <c r="R18" i="6" s="1"/>
  <c r="O18" i="6"/>
  <c r="M18" i="6"/>
  <c r="N18" i="6" s="1"/>
  <c r="K18" i="6"/>
  <c r="I18" i="6"/>
  <c r="J18" i="6" s="1"/>
  <c r="H18" i="6"/>
  <c r="C18" i="6"/>
  <c r="B18" i="6"/>
  <c r="A18" i="6"/>
  <c r="AE17" i="6"/>
  <c r="AC17" i="6"/>
  <c r="AD17" i="6" s="1"/>
  <c r="AA17" i="6"/>
  <c r="Y17" i="6"/>
  <c r="Z17" i="6" s="1"/>
  <c r="W17" i="6"/>
  <c r="U17" i="6"/>
  <c r="V17" i="6" s="1"/>
  <c r="S17" i="6"/>
  <c r="Q17" i="6"/>
  <c r="R17" i="6" s="1"/>
  <c r="O17" i="6"/>
  <c r="M17" i="6"/>
  <c r="N17" i="6" s="1"/>
  <c r="K17" i="6"/>
  <c r="I17" i="6"/>
  <c r="J17" i="6" s="1"/>
  <c r="H17" i="6"/>
  <c r="C17" i="6"/>
  <c r="B17" i="6"/>
  <c r="A17" i="6"/>
  <c r="AE16" i="6"/>
  <c r="AC16" i="6"/>
  <c r="AD16" i="6" s="1"/>
  <c r="AA16" i="6"/>
  <c r="Y16" i="6"/>
  <c r="Z16" i="6" s="1"/>
  <c r="W16" i="6"/>
  <c r="U16" i="6"/>
  <c r="V16" i="6" s="1"/>
  <c r="S16" i="6"/>
  <c r="Q16" i="6"/>
  <c r="R16" i="6" s="1"/>
  <c r="O16" i="6"/>
  <c r="M16" i="6"/>
  <c r="N16" i="6" s="1"/>
  <c r="K16" i="6"/>
  <c r="I16" i="6"/>
  <c r="J16" i="6" s="1"/>
  <c r="H16" i="6"/>
  <c r="C16" i="6"/>
  <c r="B16" i="6"/>
  <c r="A16" i="6"/>
  <c r="AE15" i="6"/>
  <c r="AC15" i="6"/>
  <c r="AD15" i="6" s="1"/>
  <c r="AA15" i="6"/>
  <c r="Y15" i="6"/>
  <c r="Z15" i="6" s="1"/>
  <c r="W15" i="6"/>
  <c r="U15" i="6"/>
  <c r="V15" i="6" s="1"/>
  <c r="S15" i="6"/>
  <c r="Q15" i="6"/>
  <c r="R15" i="6" s="1"/>
  <c r="O15" i="6"/>
  <c r="M15" i="6"/>
  <c r="N15" i="6" s="1"/>
  <c r="K15" i="6"/>
  <c r="I15" i="6"/>
  <c r="J15" i="6" s="1"/>
  <c r="H15" i="6"/>
  <c r="C15" i="6"/>
  <c r="B15" i="6"/>
  <c r="A15" i="6"/>
  <c r="AE14" i="6"/>
  <c r="AC14" i="6"/>
  <c r="AD14" i="6" s="1"/>
  <c r="AA14" i="6"/>
  <c r="Y14" i="6"/>
  <c r="Z14" i="6" s="1"/>
  <c r="W14" i="6"/>
  <c r="U14" i="6"/>
  <c r="V14" i="6" s="1"/>
  <c r="S14" i="6"/>
  <c r="Q14" i="6"/>
  <c r="R14" i="6" s="1"/>
  <c r="O14" i="6"/>
  <c r="M14" i="6"/>
  <c r="N14" i="6" s="1"/>
  <c r="K14" i="6"/>
  <c r="I14" i="6"/>
  <c r="J14" i="6" s="1"/>
  <c r="H14" i="6"/>
  <c r="C14" i="6"/>
  <c r="B14" i="6"/>
  <c r="A14" i="6"/>
  <c r="AE12" i="6"/>
  <c r="AC12" i="6"/>
  <c r="AD12" i="6" s="1"/>
  <c r="AA12" i="6"/>
  <c r="Y12" i="6"/>
  <c r="Z12" i="6" s="1"/>
  <c r="W12" i="6"/>
  <c r="U12" i="6"/>
  <c r="V12" i="6" s="1"/>
  <c r="S12" i="6"/>
  <c r="Q12" i="6"/>
  <c r="R12" i="6" s="1"/>
  <c r="O12" i="6"/>
  <c r="M12" i="6"/>
  <c r="N12" i="6" s="1"/>
  <c r="K12" i="6"/>
  <c r="I12" i="6"/>
  <c r="J12" i="6" s="1"/>
  <c r="H12" i="6"/>
  <c r="C12" i="6"/>
  <c r="B12" i="6"/>
  <c r="A12" i="6"/>
  <c r="AE11" i="6"/>
  <c r="AC11" i="6"/>
  <c r="AD11" i="6" s="1"/>
  <c r="AA11" i="6"/>
  <c r="Y11" i="6"/>
  <c r="Z11" i="6" s="1"/>
  <c r="W11" i="6"/>
  <c r="U11" i="6"/>
  <c r="V11" i="6" s="1"/>
  <c r="S11" i="6"/>
  <c r="Q11" i="6"/>
  <c r="R11" i="6" s="1"/>
  <c r="O11" i="6"/>
  <c r="M11" i="6"/>
  <c r="N11" i="6" s="1"/>
  <c r="K11" i="6"/>
  <c r="I11" i="6"/>
  <c r="J11" i="6" s="1"/>
  <c r="H11" i="6"/>
  <c r="C11" i="6"/>
  <c r="B11" i="6"/>
  <c r="A11" i="6"/>
  <c r="AE10" i="6"/>
  <c r="AC10" i="6"/>
  <c r="AD10" i="6" s="1"/>
  <c r="AA10" i="6"/>
  <c r="Y10" i="6"/>
  <c r="Z10" i="6" s="1"/>
  <c r="W10" i="6"/>
  <c r="U10" i="6"/>
  <c r="V10" i="6" s="1"/>
  <c r="S10" i="6"/>
  <c r="Q10" i="6"/>
  <c r="R10" i="6" s="1"/>
  <c r="O10" i="6"/>
  <c r="M10" i="6"/>
  <c r="N10" i="6" s="1"/>
  <c r="K10" i="6"/>
  <c r="I10" i="6"/>
  <c r="J10" i="6" s="1"/>
  <c r="H10" i="6"/>
  <c r="C10" i="6"/>
  <c r="B10" i="6"/>
  <c r="A10" i="6"/>
  <c r="AE9" i="6"/>
  <c r="AC9" i="6"/>
  <c r="AD9" i="6" s="1"/>
  <c r="AA9" i="6"/>
  <c r="Y9" i="6"/>
  <c r="Z9" i="6" s="1"/>
  <c r="W9" i="6"/>
  <c r="U9" i="6"/>
  <c r="V9" i="6" s="1"/>
  <c r="S9" i="6"/>
  <c r="Q9" i="6"/>
  <c r="R9" i="6" s="1"/>
  <c r="O9" i="6"/>
  <c r="M9" i="6"/>
  <c r="N9" i="6" s="1"/>
  <c r="K9" i="6"/>
  <c r="I9" i="6"/>
  <c r="J9" i="6" s="1"/>
  <c r="H9" i="6"/>
  <c r="C9" i="6"/>
  <c r="B9" i="6"/>
  <c r="A9" i="6"/>
  <c r="AE8" i="6"/>
  <c r="AC8" i="6"/>
  <c r="AD8" i="6" s="1"/>
  <c r="AA8" i="6"/>
  <c r="Y8" i="6"/>
  <c r="Z8" i="6" s="1"/>
  <c r="W8" i="6"/>
  <c r="U8" i="6"/>
  <c r="V8" i="6" s="1"/>
  <c r="S8" i="6"/>
  <c r="Q8" i="6"/>
  <c r="R8" i="6" s="1"/>
  <c r="O8" i="6"/>
  <c r="M8" i="6"/>
  <c r="N8" i="6" s="1"/>
  <c r="K8" i="6"/>
  <c r="I8" i="6"/>
  <c r="J8" i="6" s="1"/>
  <c r="H8" i="6"/>
  <c r="C8" i="6"/>
  <c r="B8" i="6"/>
  <c r="A8" i="6"/>
  <c r="AE7" i="6"/>
  <c r="AC7" i="6"/>
  <c r="AD7" i="6" s="1"/>
  <c r="AA7" i="6"/>
  <c r="Y7" i="6"/>
  <c r="Z7" i="6" s="1"/>
  <c r="W7" i="6"/>
  <c r="U7" i="6"/>
  <c r="V7" i="6" s="1"/>
  <c r="S7" i="6"/>
  <c r="Q7" i="6"/>
  <c r="R7" i="6" s="1"/>
  <c r="O7" i="6"/>
  <c r="M7" i="6"/>
  <c r="N7" i="6" s="1"/>
  <c r="K7" i="6"/>
  <c r="I7" i="6"/>
  <c r="J7" i="6" s="1"/>
  <c r="H7" i="6"/>
  <c r="C7" i="6"/>
  <c r="B7" i="6"/>
  <c r="A7" i="6"/>
  <c r="AE6" i="6"/>
  <c r="AC6" i="6"/>
  <c r="AD6" i="6" s="1"/>
  <c r="AA6" i="6"/>
  <c r="Y6" i="6"/>
  <c r="Z6" i="6" s="1"/>
  <c r="W6" i="6"/>
  <c r="U6" i="6"/>
  <c r="V6" i="6" s="1"/>
  <c r="S6" i="6"/>
  <c r="Q6" i="6"/>
  <c r="R6" i="6" s="1"/>
  <c r="O6" i="6"/>
  <c r="M6" i="6"/>
  <c r="N6" i="6" s="1"/>
  <c r="K6" i="6"/>
  <c r="I6" i="6"/>
  <c r="J6" i="6" s="1"/>
  <c r="H6" i="6"/>
  <c r="C6" i="6"/>
  <c r="B6" i="6"/>
  <c r="A6" i="6"/>
  <c r="AE5" i="6"/>
  <c r="AC5" i="6"/>
  <c r="AD5" i="6" s="1"/>
  <c r="AA5" i="6"/>
  <c r="Y5" i="6"/>
  <c r="Z5" i="6" s="1"/>
  <c r="W5" i="6"/>
  <c r="U5" i="6"/>
  <c r="V5" i="6" s="1"/>
  <c r="S5" i="6"/>
  <c r="Q5" i="6"/>
  <c r="R5" i="6" s="1"/>
  <c r="O5" i="6"/>
  <c r="M5" i="6"/>
  <c r="N5" i="6" s="1"/>
  <c r="K5" i="6"/>
  <c r="I5" i="6"/>
  <c r="H5" i="6"/>
  <c r="C5" i="6"/>
  <c r="B5" i="6"/>
  <c r="A5" i="6"/>
  <c r="O31" i="5"/>
  <c r="J31" i="5"/>
  <c r="E31" i="5"/>
  <c r="O30" i="5"/>
  <c r="J30" i="5"/>
  <c r="E30" i="5"/>
  <c r="O29" i="5"/>
  <c r="J29" i="5"/>
  <c r="E29" i="5"/>
  <c r="O28" i="5"/>
  <c r="J28" i="5"/>
  <c r="E28" i="5"/>
  <c r="O27" i="5"/>
  <c r="J27" i="5"/>
  <c r="E27" i="5"/>
  <c r="O26" i="5"/>
  <c r="J26" i="5"/>
  <c r="E26" i="5"/>
  <c r="O25" i="5"/>
  <c r="J25" i="5"/>
  <c r="E25" i="5"/>
  <c r="O24" i="5"/>
  <c r="J24" i="5"/>
  <c r="E24" i="5"/>
  <c r="O23" i="5"/>
  <c r="J23" i="5"/>
  <c r="E23" i="5"/>
  <c r="O22" i="5"/>
  <c r="J22" i="5"/>
  <c r="E22" i="5"/>
  <c r="O21" i="5"/>
  <c r="J21" i="5"/>
  <c r="E21" i="5"/>
  <c r="O20" i="5"/>
  <c r="O34" i="5" s="1"/>
  <c r="J20" i="5"/>
  <c r="E20" i="5"/>
  <c r="J13" i="5"/>
  <c r="J12" i="5"/>
  <c r="J11" i="5"/>
  <c r="J10" i="5"/>
  <c r="J9" i="5"/>
  <c r="J8" i="5"/>
  <c r="J7" i="5"/>
  <c r="J6" i="5"/>
  <c r="J5" i="5"/>
  <c r="J4" i="5"/>
  <c r="J3" i="5"/>
  <c r="J2" i="5"/>
  <c r="J66" i="4"/>
  <c r="K66" i="4" s="1"/>
  <c r="L65" i="4"/>
  <c r="J16" i="4" s="1"/>
  <c r="M64" i="4"/>
  <c r="L64" i="4"/>
  <c r="L63" i="4"/>
  <c r="M63" i="4" s="1"/>
  <c r="M62" i="4"/>
  <c r="L62" i="4"/>
  <c r="L61" i="4"/>
  <c r="M61" i="4" s="1"/>
  <c r="J56" i="4"/>
  <c r="J57" i="4" s="1"/>
  <c r="J68" i="4" s="1"/>
  <c r="L55" i="4"/>
  <c r="M55" i="4" s="1"/>
  <c r="M54" i="4"/>
  <c r="L54" i="4"/>
  <c r="K54" i="4"/>
  <c r="L53" i="4"/>
  <c r="J5" i="4" s="1"/>
  <c r="J51" i="4"/>
  <c r="K65" i="4" s="1"/>
  <c r="L49" i="4"/>
  <c r="M49" i="4" s="1"/>
  <c r="J49" i="4"/>
  <c r="K53" i="4" s="1"/>
  <c r="G45" i="4"/>
  <c r="F45" i="4"/>
  <c r="D45" i="4"/>
  <c r="H45" i="6" s="1"/>
  <c r="G43" i="4"/>
  <c r="F43" i="4"/>
  <c r="H30" i="3" s="1"/>
  <c r="F42" i="4"/>
  <c r="G42" i="4" s="1"/>
  <c r="J41" i="4"/>
  <c r="L41" i="4" s="1"/>
  <c r="F41" i="4"/>
  <c r="H28" i="3" s="1"/>
  <c r="F40" i="4"/>
  <c r="G40" i="4" s="1"/>
  <c r="F39" i="4"/>
  <c r="G39" i="4" s="1"/>
  <c r="M38" i="4"/>
  <c r="L38" i="4"/>
  <c r="F38" i="4"/>
  <c r="G38" i="4" s="1"/>
  <c r="M37" i="4"/>
  <c r="L37" i="4"/>
  <c r="F37" i="4"/>
  <c r="G37" i="4" s="1"/>
  <c r="G36" i="4"/>
  <c r="F36" i="4"/>
  <c r="F35" i="4"/>
  <c r="G35" i="4" s="1"/>
  <c r="G34" i="4"/>
  <c r="F34" i="4"/>
  <c r="G33" i="4"/>
  <c r="F33" i="4"/>
  <c r="M31" i="4"/>
  <c r="L31" i="4"/>
  <c r="K31" i="4"/>
  <c r="F31" i="4"/>
  <c r="G31" i="4" s="1"/>
  <c r="G30" i="4"/>
  <c r="F30" i="4"/>
  <c r="L29" i="4"/>
  <c r="M29" i="4" s="1"/>
  <c r="J29" i="4"/>
  <c r="J32" i="4" s="1"/>
  <c r="G29" i="4"/>
  <c r="F29" i="4"/>
  <c r="F28" i="4"/>
  <c r="G28" i="4" s="1"/>
  <c r="G27" i="4"/>
  <c r="F27" i="4"/>
  <c r="F26" i="4"/>
  <c r="G26" i="4" s="1"/>
  <c r="G25" i="4"/>
  <c r="F25" i="4"/>
  <c r="G24" i="4"/>
  <c r="F24" i="4"/>
  <c r="F23" i="4"/>
  <c r="G23" i="4" s="1"/>
  <c r="L22" i="4"/>
  <c r="M22" i="4" s="1"/>
  <c r="N22" i="4" s="1"/>
  <c r="F22" i="4"/>
  <c r="N11" i="3" s="1"/>
  <c r="L21" i="4"/>
  <c r="F21" i="4"/>
  <c r="H14" i="3" s="1"/>
  <c r="G20" i="4"/>
  <c r="F20" i="4"/>
  <c r="F19" i="4"/>
  <c r="G19" i="4" s="1"/>
  <c r="G18" i="4"/>
  <c r="F18" i="4"/>
  <c r="G17" i="4"/>
  <c r="F17" i="4"/>
  <c r="G16" i="4"/>
  <c r="F16" i="4"/>
  <c r="G15" i="4"/>
  <c r="F15" i="4"/>
  <c r="H8" i="3" s="1"/>
  <c r="G14" i="4"/>
  <c r="F14" i="4"/>
  <c r="J12" i="4"/>
  <c r="F12" i="4"/>
  <c r="N9" i="3" s="1"/>
  <c r="L11" i="4"/>
  <c r="J11" i="4"/>
  <c r="F11" i="4"/>
  <c r="G11" i="4" s="1"/>
  <c r="G10" i="4"/>
  <c r="F10" i="4"/>
  <c r="F9" i="4"/>
  <c r="G9" i="4" s="1"/>
  <c r="G8" i="4"/>
  <c r="F8" i="4"/>
  <c r="G7" i="4"/>
  <c r="F7" i="4"/>
  <c r="G6" i="4"/>
  <c r="F6" i="4"/>
  <c r="N4" i="3" s="1"/>
  <c r="G5" i="4"/>
  <c r="F5" i="4"/>
  <c r="J3" i="4"/>
  <c r="L3" i="4" s="1"/>
  <c r="H23" i="3"/>
  <c r="G23" i="3"/>
  <c r="G30" i="3"/>
  <c r="G20" i="3"/>
  <c r="G28" i="3"/>
  <c r="H27" i="3"/>
  <c r="G27" i="3"/>
  <c r="M14" i="3"/>
  <c r="G29" i="3"/>
  <c r="G14" i="3"/>
  <c r="H24" i="3"/>
  <c r="G24" i="3"/>
  <c r="G8" i="3"/>
  <c r="H25" i="3"/>
  <c r="G25" i="3"/>
  <c r="M11" i="3"/>
  <c r="H19" i="3"/>
  <c r="G19" i="3"/>
  <c r="M15" i="3"/>
  <c r="H13" i="3"/>
  <c r="G13" i="3"/>
  <c r="N16" i="3"/>
  <c r="M16" i="3"/>
  <c r="H18" i="3"/>
  <c r="G18" i="3"/>
  <c r="G12" i="3"/>
  <c r="H11" i="3"/>
  <c r="G11" i="3"/>
  <c r="M5" i="3"/>
  <c r="H22" i="3"/>
  <c r="G22" i="3"/>
  <c r="N13" i="3"/>
  <c r="M13" i="3"/>
  <c r="H21" i="3"/>
  <c r="G21" i="3"/>
  <c r="M10" i="3"/>
  <c r="G26" i="3"/>
  <c r="H9" i="3"/>
  <c r="G9" i="3"/>
  <c r="G15" i="3"/>
  <c r="M8" i="3"/>
  <c r="H6" i="3"/>
  <c r="G6" i="3"/>
  <c r="M17" i="3"/>
  <c r="N7" i="3"/>
  <c r="M7" i="3"/>
  <c r="B7" i="3"/>
  <c r="M9" i="3"/>
  <c r="H17" i="3"/>
  <c r="G17" i="3"/>
  <c r="B6" i="3"/>
  <c r="T5" i="3"/>
  <c r="S5" i="3"/>
  <c r="M6" i="3"/>
  <c r="H4" i="3"/>
  <c r="G4" i="3"/>
  <c r="S4" i="3"/>
  <c r="M4" i="3"/>
  <c r="H7" i="3"/>
  <c r="G7" i="3"/>
  <c r="F31" i="2"/>
  <c r="O32" i="2"/>
  <c r="O39" i="2" s="1"/>
  <c r="O31" i="2"/>
  <c r="B31" i="2"/>
  <c r="O29" i="2"/>
  <c r="O28" i="2"/>
  <c r="O25" i="2"/>
  <c r="C25" i="2"/>
  <c r="O24" i="2"/>
  <c r="C24" i="2"/>
  <c r="F28" i="2"/>
  <c r="C23" i="2"/>
  <c r="F27" i="2"/>
  <c r="O21" i="2"/>
  <c r="F26" i="2"/>
  <c r="B19" i="2"/>
  <c r="K17" i="2"/>
  <c r="K16" i="2"/>
  <c r="K15" i="2"/>
  <c r="O14" i="2"/>
  <c r="O15" i="2" s="1"/>
  <c r="O7" i="2"/>
  <c r="K6" i="2"/>
  <c r="C6" i="2"/>
  <c r="K5" i="2"/>
  <c r="C5" i="2"/>
  <c r="O4" i="2"/>
  <c r="C4" i="2"/>
  <c r="C3" i="2"/>
  <c r="O2" i="2"/>
  <c r="C2" i="2"/>
  <c r="J5" i="6" l="1"/>
  <c r="E5" i="6"/>
  <c r="L3" i="2"/>
  <c r="O8" i="2"/>
  <c r="O9" i="11"/>
  <c r="P10" i="11" s="1"/>
  <c r="Y17" i="11"/>
  <c r="G8" i="11"/>
  <c r="F8" i="11"/>
  <c r="G9" i="11" s="1"/>
  <c r="K10" i="11"/>
  <c r="T19" i="11"/>
  <c r="A88" i="11"/>
  <c r="AF23" i="6"/>
  <c r="AF7" i="6"/>
  <c r="AF22" i="6"/>
  <c r="G791" i="10"/>
  <c r="G790" i="10"/>
  <c r="G789" i="10"/>
  <c r="G788" i="10"/>
  <c r="G787" i="10"/>
  <c r="G786" i="10"/>
  <c r="G785" i="10"/>
  <c r="G784" i="10"/>
  <c r="G783" i="10"/>
  <c r="G782" i="10"/>
  <c r="G781" i="10"/>
  <c r="G780" i="10"/>
  <c r="G779" i="10"/>
  <c r="G778" i="10"/>
  <c r="G777" i="10"/>
  <c r="G776" i="10"/>
  <c r="G775" i="10"/>
  <c r="G774" i="10"/>
  <c r="G773" i="10"/>
  <c r="G772" i="10"/>
  <c r="G771" i="10"/>
  <c r="G770" i="10"/>
  <c r="G769" i="10"/>
  <c r="G768" i="10"/>
  <c r="G767" i="10"/>
  <c r="G766" i="10"/>
  <c r="G765" i="10"/>
  <c r="G764" i="10"/>
  <c r="G763" i="10"/>
  <c r="G762" i="10"/>
  <c r="G761" i="10"/>
  <c r="G760" i="10"/>
  <c r="G759" i="10"/>
  <c r="G758" i="10"/>
  <c r="G757" i="10"/>
  <c r="G756" i="10"/>
  <c r="G755" i="10"/>
  <c r="G754" i="10"/>
  <c r="G753" i="10"/>
  <c r="G752" i="10"/>
  <c r="G751" i="10"/>
  <c r="G750" i="10"/>
  <c r="G749" i="10"/>
  <c r="G748" i="10"/>
  <c r="G747" i="10"/>
  <c r="G746" i="10"/>
  <c r="G745" i="10"/>
  <c r="G744" i="10"/>
  <c r="G743" i="10"/>
  <c r="G742" i="10"/>
  <c r="G741" i="10"/>
  <c r="G740" i="10"/>
  <c r="G739" i="10"/>
  <c r="G738" i="10"/>
  <c r="G737" i="10"/>
  <c r="G736" i="10"/>
  <c r="G735" i="10"/>
  <c r="G734" i="10"/>
  <c r="G733" i="10"/>
  <c r="G732" i="10"/>
  <c r="G731" i="10"/>
  <c r="G730" i="10"/>
  <c r="G729" i="10"/>
  <c r="G728" i="10"/>
  <c r="G727" i="10"/>
  <c r="G726" i="10"/>
  <c r="G725" i="10"/>
  <c r="G724" i="10"/>
  <c r="G723" i="10"/>
  <c r="G722" i="10"/>
  <c r="G721" i="10"/>
  <c r="G720" i="10"/>
  <c r="G719" i="10"/>
  <c r="G718" i="10"/>
  <c r="G717" i="10"/>
  <c r="G716" i="10"/>
  <c r="G715" i="10"/>
  <c r="G714" i="10"/>
  <c r="G713" i="10"/>
  <c r="G712" i="10"/>
  <c r="G711" i="10"/>
  <c r="G710" i="10"/>
  <c r="G709" i="10"/>
  <c r="G708" i="10"/>
  <c r="G707" i="10"/>
  <c r="G706" i="10"/>
  <c r="G705" i="10"/>
  <c r="G704" i="10"/>
  <c r="G703" i="10"/>
  <c r="G702" i="10"/>
  <c r="G701" i="10"/>
  <c r="G700" i="10"/>
  <c r="G699" i="10"/>
  <c r="G698" i="10"/>
  <c r="G697" i="10"/>
  <c r="G696" i="10"/>
  <c r="G695" i="10"/>
  <c r="G694" i="10"/>
  <c r="G693" i="10"/>
  <c r="G692" i="10"/>
  <c r="G691" i="10"/>
  <c r="G690" i="10"/>
  <c r="G689" i="10"/>
  <c r="G688" i="10"/>
  <c r="G687" i="10"/>
  <c r="G686" i="10"/>
  <c r="G685" i="10"/>
  <c r="G684" i="10"/>
  <c r="G683" i="10"/>
  <c r="G682" i="10"/>
  <c r="G681" i="10"/>
  <c r="G680" i="10"/>
  <c r="G679" i="10"/>
  <c r="G678" i="10"/>
  <c r="G677" i="10"/>
  <c r="G676" i="10"/>
  <c r="G675" i="10"/>
  <c r="G674" i="10"/>
  <c r="G673" i="10"/>
  <c r="G672" i="10"/>
  <c r="G671" i="10"/>
  <c r="G670" i="10"/>
  <c r="G669" i="10"/>
  <c r="G668" i="10"/>
  <c r="G667" i="10"/>
  <c r="G666" i="10"/>
  <c r="G665" i="10"/>
  <c r="G664" i="10"/>
  <c r="G663" i="10"/>
  <c r="G662" i="10"/>
  <c r="G661" i="10"/>
  <c r="G660" i="10"/>
  <c r="G659" i="10"/>
  <c r="G658" i="10"/>
  <c r="G657" i="10"/>
  <c r="G656" i="10"/>
  <c r="G655" i="10"/>
  <c r="G654" i="10"/>
  <c r="G653" i="10"/>
  <c r="G652" i="10"/>
  <c r="G651" i="10"/>
  <c r="G650" i="10"/>
  <c r="G649" i="10"/>
  <c r="G648" i="10"/>
  <c r="G647" i="10"/>
  <c r="G646" i="10"/>
  <c r="G645" i="10"/>
  <c r="G644" i="10"/>
  <c r="G643" i="10"/>
  <c r="G642" i="10"/>
  <c r="G641" i="10"/>
  <c r="G640" i="10"/>
  <c r="G639" i="10"/>
  <c r="G638" i="10"/>
  <c r="G637" i="10"/>
  <c r="G636" i="10"/>
  <c r="G635" i="10"/>
  <c r="G634" i="10"/>
  <c r="G633" i="10"/>
  <c r="G632" i="10"/>
  <c r="G631" i="10"/>
  <c r="G630" i="10"/>
  <c r="G629" i="10"/>
  <c r="G628" i="10"/>
  <c r="G627" i="10"/>
  <c r="G626" i="10"/>
  <c r="G625" i="10"/>
  <c r="G624" i="10"/>
  <c r="G623" i="10"/>
  <c r="G622" i="10"/>
  <c r="G621" i="10"/>
  <c r="G620" i="10"/>
  <c r="G619" i="10"/>
  <c r="G618" i="10"/>
  <c r="G617" i="10"/>
  <c r="G616" i="10"/>
  <c r="G615" i="10"/>
  <c r="G614" i="10"/>
  <c r="G613" i="10"/>
  <c r="G612" i="10"/>
  <c r="G611" i="10"/>
  <c r="G610" i="10"/>
  <c r="G609" i="10"/>
  <c r="G608" i="10"/>
  <c r="G607" i="10"/>
  <c r="G606" i="10"/>
  <c r="G605" i="10"/>
  <c r="G604" i="10"/>
  <c r="G603" i="10"/>
  <c r="G602" i="10"/>
  <c r="G601" i="10"/>
  <c r="G600" i="10"/>
  <c r="G599" i="10"/>
  <c r="G598" i="10"/>
  <c r="G597" i="10"/>
  <c r="G596" i="10"/>
  <c r="G595" i="10"/>
  <c r="G594" i="10"/>
  <c r="G593" i="10"/>
  <c r="G592" i="10"/>
  <c r="G591" i="10"/>
  <c r="G590" i="10"/>
  <c r="G589" i="10"/>
  <c r="G588" i="10"/>
  <c r="G587" i="10"/>
  <c r="G586" i="10"/>
  <c r="G585" i="10"/>
  <c r="G584" i="10"/>
  <c r="G583" i="10"/>
  <c r="G582" i="10"/>
  <c r="G581" i="10"/>
  <c r="G580" i="10"/>
  <c r="G579" i="10"/>
  <c r="G578" i="10"/>
  <c r="G577" i="10"/>
  <c r="G576" i="10"/>
  <c r="G575" i="10"/>
  <c r="G574" i="10"/>
  <c r="G573" i="10"/>
  <c r="G572" i="10"/>
  <c r="G571" i="10"/>
  <c r="G570" i="10"/>
  <c r="G569" i="10"/>
  <c r="G568" i="10"/>
  <c r="G567" i="10"/>
  <c r="G566" i="10"/>
  <c r="G565" i="10"/>
  <c r="G564" i="10"/>
  <c r="G563" i="10"/>
  <c r="G562" i="10"/>
  <c r="G561" i="10"/>
  <c r="G560" i="10"/>
  <c r="G559" i="10"/>
  <c r="G558" i="10"/>
  <c r="G557" i="10"/>
  <c r="G556" i="10"/>
  <c r="G555" i="10"/>
  <c r="G554" i="10"/>
  <c r="G553" i="10"/>
  <c r="G552" i="10"/>
  <c r="G551" i="10"/>
  <c r="G550" i="10"/>
  <c r="G549" i="10"/>
  <c r="G548" i="10"/>
  <c r="G547" i="10"/>
  <c r="G546" i="10"/>
  <c r="G545" i="10"/>
  <c r="G544" i="10"/>
  <c r="G543" i="10"/>
  <c r="G542" i="10"/>
  <c r="G541" i="10"/>
  <c r="G540" i="10"/>
  <c r="G539" i="10"/>
  <c r="G538" i="10"/>
  <c r="G537" i="10"/>
  <c r="G536" i="10"/>
  <c r="G535" i="10"/>
  <c r="G534" i="10"/>
  <c r="G533" i="10"/>
  <c r="G532" i="10"/>
  <c r="G531" i="10"/>
  <c r="G530" i="10"/>
  <c r="G529" i="10"/>
  <c r="G528" i="10"/>
  <c r="G527" i="10"/>
  <c r="G526" i="10"/>
  <c r="G525" i="10"/>
  <c r="G524" i="10"/>
  <c r="G523" i="10"/>
  <c r="G522" i="10"/>
  <c r="G521" i="10"/>
  <c r="G520" i="10"/>
  <c r="G519" i="10"/>
  <c r="G518" i="10"/>
  <c r="G517" i="10"/>
  <c r="G516" i="10"/>
  <c r="G515" i="10"/>
  <c r="G514" i="10"/>
  <c r="G513" i="10"/>
  <c r="G512" i="10"/>
  <c r="G511" i="10"/>
  <c r="G510" i="10"/>
  <c r="G509" i="10"/>
  <c r="G508" i="10"/>
  <c r="G507" i="10"/>
  <c r="G506" i="10"/>
  <c r="G505" i="10"/>
  <c r="G504" i="10"/>
  <c r="G503" i="10"/>
  <c r="G502" i="10"/>
  <c r="G501" i="10"/>
  <c r="G500" i="10"/>
  <c r="G499" i="10"/>
  <c r="G498" i="10"/>
  <c r="G497" i="10"/>
  <c r="G496" i="10"/>
  <c r="G495" i="10"/>
  <c r="G494" i="10"/>
  <c r="G493" i="10"/>
  <c r="G492" i="10"/>
  <c r="G491" i="10"/>
  <c r="G490" i="10"/>
  <c r="G489" i="10"/>
  <c r="G488" i="10"/>
  <c r="G487" i="10"/>
  <c r="G486" i="10"/>
  <c r="G485" i="10"/>
  <c r="G484" i="10"/>
  <c r="G483" i="10"/>
  <c r="G482" i="10"/>
  <c r="G481" i="10"/>
  <c r="G480" i="10"/>
  <c r="G479" i="10"/>
  <c r="G478" i="10"/>
  <c r="G477" i="10"/>
  <c r="G476" i="10"/>
  <c r="G475" i="10"/>
  <c r="G474" i="10"/>
  <c r="G473" i="10"/>
  <c r="G472" i="10"/>
  <c r="G471" i="10"/>
  <c r="G470" i="10"/>
  <c r="G469" i="10"/>
  <c r="G468" i="10"/>
  <c r="G467" i="10"/>
  <c r="G466" i="10"/>
  <c r="G465" i="10"/>
  <c r="G464" i="10"/>
  <c r="G463" i="10"/>
  <c r="G462" i="10"/>
  <c r="G461" i="10"/>
  <c r="G460" i="10"/>
  <c r="G459" i="10"/>
  <c r="G458" i="10"/>
  <c r="G457" i="10"/>
  <c r="G456" i="10"/>
  <c r="G455" i="10"/>
  <c r="G454" i="10"/>
  <c r="G453" i="10"/>
  <c r="G452" i="10"/>
  <c r="G451" i="10"/>
  <c r="G353" i="10"/>
  <c r="G352" i="10"/>
  <c r="G351" i="10"/>
  <c r="G350" i="10"/>
  <c r="G349" i="10"/>
  <c r="G348" i="10"/>
  <c r="G347" i="10"/>
  <c r="G346" i="10"/>
  <c r="G345" i="10"/>
  <c r="G344" i="10"/>
  <c r="G343" i="10"/>
  <c r="G342" i="10"/>
  <c r="G341" i="10"/>
  <c r="G340" i="10"/>
  <c r="G339" i="10"/>
  <c r="G338" i="10"/>
  <c r="G337" i="10"/>
  <c r="G336" i="10"/>
  <c r="G335" i="10"/>
  <c r="G334" i="10"/>
  <c r="G333" i="10"/>
  <c r="G332" i="10"/>
  <c r="G331" i="10"/>
  <c r="G330" i="10"/>
  <c r="G329" i="10"/>
  <c r="G328" i="10"/>
  <c r="G327" i="10"/>
  <c r="G326" i="10"/>
  <c r="G325" i="10"/>
  <c r="G324" i="10"/>
  <c r="G323" i="10"/>
  <c r="G322" i="10"/>
  <c r="G321" i="10"/>
  <c r="G320" i="10"/>
  <c r="G319" i="10"/>
  <c r="G318" i="10"/>
  <c r="G317" i="10"/>
  <c r="G316" i="10"/>
  <c r="G315" i="10"/>
  <c r="G314" i="10"/>
  <c r="G313" i="10"/>
  <c r="G312" i="10"/>
  <c r="G311" i="10"/>
  <c r="G310" i="10"/>
  <c r="G309" i="10"/>
  <c r="G308" i="10"/>
  <c r="G307" i="10"/>
  <c r="G306" i="10"/>
  <c r="G305" i="10"/>
  <c r="G304" i="10"/>
  <c r="G303" i="10"/>
  <c r="G302" i="10"/>
  <c r="G301" i="10"/>
  <c r="G300" i="10"/>
  <c r="G299" i="10"/>
  <c r="G298" i="10"/>
  <c r="G297" i="10"/>
  <c r="G296" i="10"/>
  <c r="G295" i="10"/>
  <c r="G294" i="10"/>
  <c r="G293" i="10"/>
  <c r="G292" i="10"/>
  <c r="G291" i="10"/>
  <c r="G290" i="10"/>
  <c r="G289" i="10"/>
  <c r="G288" i="10"/>
  <c r="G287" i="10"/>
  <c r="G286" i="10"/>
  <c r="G285" i="10"/>
  <c r="G284" i="10"/>
  <c r="G283" i="10"/>
  <c r="G282" i="10"/>
  <c r="G281" i="10"/>
  <c r="G280" i="10"/>
  <c r="G279" i="10"/>
  <c r="G278" i="10"/>
  <c r="G277" i="10"/>
  <c r="G276" i="10"/>
  <c r="G275" i="10"/>
  <c r="G274" i="10"/>
  <c r="G273" i="10"/>
  <c r="G272" i="10"/>
  <c r="G271" i="10"/>
  <c r="G270" i="10"/>
  <c r="G269" i="10"/>
  <c r="G268" i="10"/>
  <c r="G267" i="10"/>
  <c r="G266" i="10"/>
  <c r="G265" i="10"/>
  <c r="G264" i="10"/>
  <c r="G263" i="10"/>
  <c r="G262" i="10"/>
  <c r="G261" i="10"/>
  <c r="G260" i="10"/>
  <c r="G259" i="10"/>
  <c r="G258" i="10"/>
  <c r="G257" i="10"/>
  <c r="G256" i="10"/>
  <c r="G255" i="10"/>
  <c r="G254" i="10"/>
  <c r="G253" i="10"/>
  <c r="G252" i="10"/>
  <c r="G251" i="10"/>
  <c r="G250" i="10"/>
  <c r="G249" i="10"/>
  <c r="G248" i="10"/>
  <c r="G247" i="10"/>
  <c r="G246" i="10"/>
  <c r="G245" i="10"/>
  <c r="G244" i="10"/>
  <c r="G243" i="10"/>
  <c r="G242" i="10"/>
  <c r="G241" i="10"/>
  <c r="G240" i="10"/>
  <c r="G239" i="10"/>
  <c r="G238" i="10"/>
  <c r="G237" i="10"/>
  <c r="G236" i="10"/>
  <c r="G235" i="10"/>
  <c r="G234" i="10"/>
  <c r="G233" i="10"/>
  <c r="G232" i="10"/>
  <c r="G231" i="10"/>
  <c r="G230" i="10"/>
  <c r="G229" i="10"/>
  <c r="G228" i="10"/>
  <c r="G227" i="10"/>
  <c r="G226" i="10"/>
  <c r="G225" i="10"/>
  <c r="G224" i="10"/>
  <c r="G223" i="10"/>
  <c r="G222" i="10"/>
  <c r="G221" i="10"/>
  <c r="G220" i="10"/>
  <c r="G219" i="10"/>
  <c r="G218" i="10"/>
  <c r="G217" i="10"/>
  <c r="G216" i="10"/>
  <c r="G215" i="10"/>
  <c r="G214" i="10"/>
  <c r="G213" i="10"/>
  <c r="G212" i="10"/>
  <c r="G211" i="10"/>
  <c r="G210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2" i="10"/>
  <c r="G191" i="10"/>
  <c r="G190" i="10"/>
  <c r="G189" i="10"/>
  <c r="G188" i="10"/>
  <c r="G187" i="10"/>
  <c r="G186" i="10"/>
  <c r="G185" i="10"/>
  <c r="G184" i="10"/>
  <c r="G183" i="10"/>
  <c r="G182" i="10"/>
  <c r="G181" i="10"/>
  <c r="G180" i="10"/>
  <c r="G179" i="10"/>
  <c r="G178" i="10"/>
  <c r="G177" i="10"/>
  <c r="G176" i="10"/>
  <c r="G175" i="10"/>
  <c r="G174" i="10"/>
  <c r="G173" i="10"/>
  <c r="G172" i="10"/>
  <c r="G171" i="10"/>
  <c r="G170" i="10"/>
  <c r="G169" i="10"/>
  <c r="G168" i="10"/>
  <c r="G167" i="10"/>
  <c r="G166" i="10"/>
  <c r="G165" i="10"/>
  <c r="G164" i="10"/>
  <c r="G163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L3" i="10"/>
  <c r="K3" i="10"/>
  <c r="AF26" i="6"/>
  <c r="P18" i="3"/>
  <c r="J26" i="3"/>
  <c r="AF5" i="6"/>
  <c r="J32" i="12"/>
  <c r="J31" i="12"/>
  <c r="J29" i="12"/>
  <c r="J28" i="12"/>
  <c r="J26" i="12"/>
  <c r="J24" i="12"/>
  <c r="J23" i="12"/>
  <c r="J21" i="12"/>
  <c r="J19" i="12"/>
  <c r="I33" i="12"/>
  <c r="I27" i="12"/>
  <c r="I20" i="12"/>
  <c r="AF14" i="6"/>
  <c r="AF36" i="6"/>
  <c r="AF15" i="6"/>
  <c r="AF20" i="6"/>
  <c r="AF29" i="6"/>
  <c r="N787" i="10"/>
  <c r="N786" i="10"/>
  <c r="N784" i="10"/>
  <c r="N783" i="10"/>
  <c r="N782" i="10"/>
  <c r="N785" i="10"/>
  <c r="N346" i="10"/>
  <c r="N345" i="10"/>
  <c r="N344" i="10"/>
  <c r="N343" i="10"/>
  <c r="N342" i="10"/>
  <c r="N341" i="10"/>
  <c r="N340" i="10"/>
  <c r="N339" i="10"/>
  <c r="N338" i="10"/>
  <c r="N337" i="10"/>
  <c r="N336" i="10"/>
  <c r="N335" i="10"/>
  <c r="N334" i="10"/>
  <c r="N333" i="10"/>
  <c r="N332" i="10"/>
  <c r="N331" i="10"/>
  <c r="N330" i="10"/>
  <c r="N329" i="10"/>
  <c r="N328" i="10"/>
  <c r="N327" i="10"/>
  <c r="N326" i="10"/>
  <c r="N325" i="10"/>
  <c r="N324" i="10"/>
  <c r="N323" i="10"/>
  <c r="N322" i="10"/>
  <c r="N321" i="10"/>
  <c r="N320" i="10"/>
  <c r="N319" i="10"/>
  <c r="N318" i="10"/>
  <c r="N317" i="10"/>
  <c r="N316" i="10"/>
  <c r="N315" i="10"/>
  <c r="N314" i="10"/>
  <c r="N313" i="10"/>
  <c r="N312" i="10"/>
  <c r="N311" i="10"/>
  <c r="N310" i="10"/>
  <c r="N309" i="10"/>
  <c r="N308" i="10"/>
  <c r="N307" i="10"/>
  <c r="N306" i="10"/>
  <c r="N305" i="10"/>
  <c r="N304" i="10"/>
  <c r="N303" i="10"/>
  <c r="N302" i="10"/>
  <c r="N301" i="10"/>
  <c r="N300" i="10"/>
  <c r="AF8" i="6"/>
  <c r="F21" i="5"/>
  <c r="H21" i="5" s="1"/>
  <c r="F9" i="5"/>
  <c r="L2" i="2"/>
  <c r="O30" i="2"/>
  <c r="O38" i="2" s="1"/>
  <c r="F30" i="2"/>
  <c r="Q2" i="8"/>
  <c r="A3" i="8"/>
  <c r="B6" i="2" s="1"/>
  <c r="K7" i="2" s="1"/>
  <c r="K8" i="2" s="1"/>
  <c r="G1108" i="7"/>
  <c r="G1107" i="7" s="1"/>
  <c r="G1106" i="7" s="1"/>
  <c r="G1105" i="7" s="1"/>
  <c r="G1104" i="7" s="1"/>
  <c r="G1103" i="7" s="1"/>
  <c r="G1102" i="7" s="1"/>
  <c r="G1101" i="7" s="1"/>
  <c r="G1100" i="7" s="1"/>
  <c r="G1099" i="7" s="1"/>
  <c r="G1098" i="7" s="1"/>
  <c r="G1097" i="7" s="1"/>
  <c r="G1096" i="7" s="1"/>
  <c r="G1095" i="7" s="1"/>
  <c r="G1094" i="7" s="1"/>
  <c r="G1093" i="7" s="1"/>
  <c r="G1092" i="7" s="1"/>
  <c r="G1091" i="7" s="1"/>
  <c r="G1090" i="7" s="1"/>
  <c r="G1089" i="7" s="1"/>
  <c r="G1088" i="7" s="1"/>
  <c r="G1087" i="7" s="1"/>
  <c r="G1086" i="7" s="1"/>
  <c r="G1085" i="7" s="1"/>
  <c r="G1084" i="7" s="1"/>
  <c r="G1083" i="7" s="1"/>
  <c r="G1082" i="7" s="1"/>
  <c r="G1081" i="7" s="1"/>
  <c r="F23" i="5"/>
  <c r="AF40" i="6"/>
  <c r="K54" i="6"/>
  <c r="F4" i="5"/>
  <c r="F2" i="5"/>
  <c r="F5" i="5"/>
  <c r="S54" i="6"/>
  <c r="F6" i="5"/>
  <c r="F8" i="5"/>
  <c r="P5" i="5"/>
  <c r="P9" i="5"/>
  <c r="P13" i="5"/>
  <c r="AF27" i="6"/>
  <c r="F31" i="5"/>
  <c r="P8" i="5"/>
  <c r="AF11" i="6"/>
  <c r="AA54" i="6"/>
  <c r="F3" i="5"/>
  <c r="AF16" i="6"/>
  <c r="AF17" i="6"/>
  <c r="AF18" i="6"/>
  <c r="AF10" i="6"/>
  <c r="AF12" i="6"/>
  <c r="F10" i="5"/>
  <c r="P2" i="5"/>
  <c r="P6" i="5"/>
  <c r="P10" i="5"/>
  <c r="F11" i="5"/>
  <c r="P4" i="5"/>
  <c r="P12" i="5"/>
  <c r="F7" i="5"/>
  <c r="P25" i="5"/>
  <c r="Q25" i="5" s="1"/>
  <c r="F12" i="5"/>
  <c r="F13" i="5"/>
  <c r="P30" i="5"/>
  <c r="Q30" i="5" s="1"/>
  <c r="Q3" i="6"/>
  <c r="E38" i="6"/>
  <c r="D38" i="6" s="1"/>
  <c r="AC54" i="6"/>
  <c r="P29" i="5"/>
  <c r="Q29" i="5" s="1"/>
  <c r="P3" i="5"/>
  <c r="P7" i="5"/>
  <c r="P11" i="5"/>
  <c r="AF24" i="6"/>
  <c r="AF43" i="6"/>
  <c r="G3" i="7"/>
  <c r="AF9" i="6"/>
  <c r="AF21" i="6"/>
  <c r="E42" i="6"/>
  <c r="D42" i="6" s="1"/>
  <c r="P22" i="5"/>
  <c r="Q22" i="5" s="1"/>
  <c r="F25" i="5"/>
  <c r="H25" i="5" s="1"/>
  <c r="AF31" i="6"/>
  <c r="AF35" i="6"/>
  <c r="AF39" i="6"/>
  <c r="P20" i="5"/>
  <c r="Q20" i="5" s="1"/>
  <c r="E37" i="6"/>
  <c r="D37" i="6" s="1"/>
  <c r="E43" i="6"/>
  <c r="D43" i="6" s="1"/>
  <c r="E46" i="6"/>
  <c r="D46" i="6" s="1"/>
  <c r="E51" i="6"/>
  <c r="D6" i="3" s="1"/>
  <c r="AF6" i="6"/>
  <c r="AF19" i="6"/>
  <c r="AF25" i="6"/>
  <c r="K26" i="5"/>
  <c r="L26" i="5" s="1"/>
  <c r="F30" i="5"/>
  <c r="G30" i="5" s="1"/>
  <c r="E29" i="6"/>
  <c r="D29" i="6" s="1"/>
  <c r="E31" i="6"/>
  <c r="D31" i="6" s="1"/>
  <c r="P21" i="5"/>
  <c r="Q21" i="5" s="1"/>
  <c r="P24" i="5"/>
  <c r="Q24" i="5" s="1"/>
  <c r="E39" i="6"/>
  <c r="D39" i="6" s="1"/>
  <c r="E45" i="6"/>
  <c r="V5" i="3" s="1"/>
  <c r="AF28" i="6"/>
  <c r="F29" i="5"/>
  <c r="AF30" i="6"/>
  <c r="E33" i="6"/>
  <c r="D33" i="6" s="1"/>
  <c r="P31" i="5"/>
  <c r="Q31" i="5" s="1"/>
  <c r="E35" i="6"/>
  <c r="D35" i="6" s="1"/>
  <c r="E40" i="6"/>
  <c r="D40" i="6" s="1"/>
  <c r="P23" i="5"/>
  <c r="Q23" i="5" s="1"/>
  <c r="P26" i="5"/>
  <c r="Q26" i="5" s="1"/>
  <c r="E36" i="6"/>
  <c r="D36" i="6" s="1"/>
  <c r="E41" i="6"/>
  <c r="D41" i="6" s="1"/>
  <c r="F22" i="5"/>
  <c r="G22" i="5" s="1"/>
  <c r="P28" i="5"/>
  <c r="Q28" i="5" s="1"/>
  <c r="Y3" i="6"/>
  <c r="O3" i="6"/>
  <c r="W3" i="6"/>
  <c r="AE3" i="6"/>
  <c r="F27" i="5"/>
  <c r="E28" i="6"/>
  <c r="R29" i="6"/>
  <c r="V33" i="6"/>
  <c r="AF34" i="6"/>
  <c r="R34" i="6"/>
  <c r="J36" i="6"/>
  <c r="AF38" i="6"/>
  <c r="AF42" i="6"/>
  <c r="M54" i="6"/>
  <c r="U54" i="6"/>
  <c r="AF33" i="6"/>
  <c r="P27" i="5"/>
  <c r="Q27" i="5" s="1"/>
  <c r="AF37" i="6"/>
  <c r="AF41" i="6"/>
  <c r="O54" i="6"/>
  <c r="W54" i="6"/>
  <c r="AE54" i="6"/>
  <c r="E34" i="6"/>
  <c r="D34" i="6" s="1"/>
  <c r="F26" i="5"/>
  <c r="G26" i="5" s="1"/>
  <c r="K30" i="5"/>
  <c r="L30" i="5" s="1"/>
  <c r="K3" i="6"/>
  <c r="S3" i="6"/>
  <c r="AA3" i="6"/>
  <c r="E30" i="6"/>
  <c r="I54" i="6"/>
  <c r="Q54" i="6"/>
  <c r="Y54" i="6"/>
  <c r="E50" i="6"/>
  <c r="D5" i="3" s="1"/>
  <c r="E49" i="6"/>
  <c r="F49" i="6" s="1"/>
  <c r="G49" i="6" s="1"/>
  <c r="E52" i="6"/>
  <c r="D7" i="3" s="1"/>
  <c r="L16" i="4"/>
  <c r="K68" i="4"/>
  <c r="L68" i="4"/>
  <c r="L5" i="4"/>
  <c r="K5" i="4"/>
  <c r="J33" i="4"/>
  <c r="L32" i="4"/>
  <c r="J35" i="4"/>
  <c r="J15" i="4"/>
  <c r="M41" i="4"/>
  <c r="AD45" i="6"/>
  <c r="Z45" i="6"/>
  <c r="V45" i="6"/>
  <c r="R45" i="6"/>
  <c r="N45" i="6"/>
  <c r="J45" i="6"/>
  <c r="AF45" i="6"/>
  <c r="AB45" i="6"/>
  <c r="X45" i="6"/>
  <c r="T45" i="6"/>
  <c r="P45" i="6"/>
  <c r="L45" i="6"/>
  <c r="Q3" i="12"/>
  <c r="R3" i="12" s="1"/>
  <c r="C2" i="12"/>
  <c r="N8" i="13"/>
  <c r="E9" i="9"/>
  <c r="D13" i="9"/>
  <c r="E13" i="9" s="1"/>
  <c r="K22" i="5"/>
  <c r="I3" i="6"/>
  <c r="E8" i="6"/>
  <c r="E11" i="6"/>
  <c r="E18" i="6"/>
  <c r="E19" i="6"/>
  <c r="E20" i="6"/>
  <c r="E21" i="6"/>
  <c r="E23" i="6"/>
  <c r="H20" i="3"/>
  <c r="F24" i="5"/>
  <c r="H24" i="5" s="1"/>
  <c r="K24" i="5"/>
  <c r="M24" i="5" s="1"/>
  <c r="F28" i="5"/>
  <c r="H28" i="5" s="1"/>
  <c r="M3" i="6"/>
  <c r="AC3" i="6"/>
  <c r="E3" i="9"/>
  <c r="E16" i="9"/>
  <c r="E19" i="9" s="1"/>
  <c r="C7" i="10" a="1"/>
  <c r="C7" i="10" s="1"/>
  <c r="D7" i="10" s="1" a="1"/>
  <c r="D7" i="10" s="1"/>
  <c r="K12" i="10"/>
  <c r="E14" i="10"/>
  <c r="I14" i="10"/>
  <c r="K16" i="10"/>
  <c r="E18" i="10"/>
  <c r="I18" i="10"/>
  <c r="K20" i="10"/>
  <c r="E22" i="10"/>
  <c r="I22" i="10"/>
  <c r="K24" i="10"/>
  <c r="E26" i="10"/>
  <c r="I26" i="10"/>
  <c r="K28" i="10"/>
  <c r="E30" i="10"/>
  <c r="I30" i="10"/>
  <c r="K32" i="10"/>
  <c r="E34" i="10"/>
  <c r="I34" i="10"/>
  <c r="K36" i="10"/>
  <c r="E38" i="10"/>
  <c r="I38" i="10"/>
  <c r="K40" i="10"/>
  <c r="E42" i="10"/>
  <c r="I42" i="10"/>
  <c r="K44" i="10"/>
  <c r="E46" i="10"/>
  <c r="I46" i="10"/>
  <c r="K48" i="10"/>
  <c r="E50" i="10"/>
  <c r="I50" i="10"/>
  <c r="K52" i="10"/>
  <c r="E54" i="10"/>
  <c r="I54" i="10"/>
  <c r="K56" i="10"/>
  <c r="E58" i="10"/>
  <c r="I58" i="10"/>
  <c r="K60" i="10"/>
  <c r="E62" i="10"/>
  <c r="I62" i="10"/>
  <c r="K64" i="10"/>
  <c r="E66" i="10"/>
  <c r="I66" i="10"/>
  <c r="K68" i="10"/>
  <c r="E70" i="10"/>
  <c r="I70" i="10"/>
  <c r="K72" i="10"/>
  <c r="E74" i="10"/>
  <c r="I74" i="10"/>
  <c r="K76" i="10"/>
  <c r="E78" i="10"/>
  <c r="I78" i="10"/>
  <c r="E82" i="10"/>
  <c r="I82" i="10"/>
  <c r="E86" i="10"/>
  <c r="I86" i="10"/>
  <c r="E90" i="10"/>
  <c r="I90" i="10"/>
  <c r="E94" i="10"/>
  <c r="I94" i="10"/>
  <c r="E98" i="10"/>
  <c r="I98" i="10"/>
  <c r="E102" i="10"/>
  <c r="I102" i="10"/>
  <c r="E106" i="10"/>
  <c r="I106" i="10"/>
  <c r="E110" i="10"/>
  <c r="I110" i="10"/>
  <c r="E114" i="10"/>
  <c r="I114" i="10"/>
  <c r="E118" i="10"/>
  <c r="I118" i="10"/>
  <c r="E122" i="10"/>
  <c r="I122" i="10"/>
  <c r="E126" i="10"/>
  <c r="I126" i="10"/>
  <c r="E130" i="10"/>
  <c r="I130" i="10"/>
  <c r="E134" i="10"/>
  <c r="I134" i="10"/>
  <c r="E138" i="10"/>
  <c r="I138" i="10"/>
  <c r="E142" i="10"/>
  <c r="I142" i="10"/>
  <c r="E146" i="10"/>
  <c r="I146" i="10"/>
  <c r="E150" i="10"/>
  <c r="I150" i="10"/>
  <c r="E154" i="10"/>
  <c r="I154" i="10"/>
  <c r="E158" i="10"/>
  <c r="I158" i="10"/>
  <c r="E162" i="10"/>
  <c r="I162" i="10"/>
  <c r="E166" i="10"/>
  <c r="I166" i="10"/>
  <c r="E170" i="10"/>
  <c r="I170" i="10"/>
  <c r="E174" i="10"/>
  <c r="I174" i="10"/>
  <c r="E178" i="10"/>
  <c r="I178" i="10"/>
  <c r="E182" i="10"/>
  <c r="I182" i="10"/>
  <c r="E186" i="10"/>
  <c r="I186" i="10"/>
  <c r="E190" i="10"/>
  <c r="I190" i="10"/>
  <c r="E194" i="10"/>
  <c r="I194" i="10"/>
  <c r="E198" i="10"/>
  <c r="I198" i="10"/>
  <c r="E202" i="10"/>
  <c r="I202" i="10"/>
  <c r="E206" i="10"/>
  <c r="I206" i="10"/>
  <c r="E210" i="10"/>
  <c r="I210" i="10"/>
  <c r="E214" i="10"/>
  <c r="I214" i="10"/>
  <c r="E218" i="10"/>
  <c r="I218" i="10"/>
  <c r="E222" i="10"/>
  <c r="I222" i="10"/>
  <c r="E226" i="10"/>
  <c r="I226" i="10"/>
  <c r="E230" i="10"/>
  <c r="I230" i="10"/>
  <c r="E234" i="10"/>
  <c r="I234" i="10"/>
  <c r="E238" i="10"/>
  <c r="I238" i="10"/>
  <c r="E242" i="10"/>
  <c r="I242" i="10"/>
  <c r="E246" i="10"/>
  <c r="I246" i="10"/>
  <c r="E250" i="10"/>
  <c r="I250" i="10"/>
  <c r="E254" i="10"/>
  <c r="I254" i="10"/>
  <c r="E258" i="10"/>
  <c r="I258" i="10"/>
  <c r="E262" i="10"/>
  <c r="I262" i="10"/>
  <c r="E266" i="10"/>
  <c r="I266" i="10"/>
  <c r="E270" i="10"/>
  <c r="I270" i="10"/>
  <c r="E274" i="10"/>
  <c r="I274" i="10"/>
  <c r="E278" i="10"/>
  <c r="I278" i="10"/>
  <c r="E282" i="10"/>
  <c r="I282" i="10"/>
  <c r="E286" i="10"/>
  <c r="I286" i="10"/>
  <c r="E290" i="10"/>
  <c r="I290" i="10"/>
  <c r="E294" i="10"/>
  <c r="I294" i="10"/>
  <c r="E298" i="10"/>
  <c r="I298" i="10"/>
  <c r="E302" i="10"/>
  <c r="I302" i="10"/>
  <c r="E306" i="10"/>
  <c r="I306" i="10"/>
  <c r="E310" i="10"/>
  <c r="I310" i="10"/>
  <c r="E314" i="10"/>
  <c r="I314" i="10"/>
  <c r="E318" i="10"/>
  <c r="I318" i="10"/>
  <c r="E322" i="10"/>
  <c r="I322" i="10"/>
  <c r="E326" i="10"/>
  <c r="I326" i="10"/>
  <c r="E330" i="10"/>
  <c r="I330" i="10"/>
  <c r="E334" i="10"/>
  <c r="I334" i="10"/>
  <c r="E338" i="10"/>
  <c r="I338" i="10"/>
  <c r="E342" i="10"/>
  <c r="I342" i="10"/>
  <c r="E346" i="10"/>
  <c r="I346" i="10"/>
  <c r="E350" i="10"/>
  <c r="I350" i="10"/>
  <c r="E354" i="10"/>
  <c r="I354" i="10"/>
  <c r="E358" i="10"/>
  <c r="I358" i="10"/>
  <c r="E362" i="10"/>
  <c r="I362" i="10"/>
  <c r="E366" i="10"/>
  <c r="I366" i="10"/>
  <c r="E370" i="10"/>
  <c r="I370" i="10"/>
  <c r="E374" i="10"/>
  <c r="I374" i="10"/>
  <c r="E378" i="10"/>
  <c r="I378" i="10"/>
  <c r="E382" i="10"/>
  <c r="I382" i="10"/>
  <c r="E386" i="10"/>
  <c r="I386" i="10"/>
  <c r="E390" i="10"/>
  <c r="I390" i="10"/>
  <c r="E394" i="10"/>
  <c r="I394" i="10"/>
  <c r="E398" i="10"/>
  <c r="I398" i="10"/>
  <c r="E402" i="10"/>
  <c r="I402" i="10"/>
  <c r="E406" i="10"/>
  <c r="I406" i="10"/>
  <c r="E410" i="10"/>
  <c r="I410" i="10"/>
  <c r="E414" i="10"/>
  <c r="I414" i="10"/>
  <c r="E418" i="10"/>
  <c r="I418" i="10"/>
  <c r="E422" i="10"/>
  <c r="I422" i="10"/>
  <c r="E426" i="10"/>
  <c r="I426" i="10"/>
  <c r="E430" i="10"/>
  <c r="I430" i="10"/>
  <c r="E434" i="10"/>
  <c r="I434" i="10"/>
  <c r="E438" i="10"/>
  <c r="I438" i="10"/>
  <c r="E442" i="10"/>
  <c r="I442" i="10"/>
  <c r="E446" i="10"/>
  <c r="I446" i="10"/>
  <c r="E450" i="10"/>
  <c r="I450" i="10"/>
  <c r="E454" i="10"/>
  <c r="I454" i="10"/>
  <c r="E458" i="10"/>
  <c r="I458" i="10"/>
  <c r="E462" i="10"/>
  <c r="I462" i="10"/>
  <c r="E466" i="10"/>
  <c r="I466" i="10"/>
  <c r="E470" i="10"/>
  <c r="I470" i="10"/>
  <c r="E474" i="10"/>
  <c r="I474" i="10"/>
  <c r="E478" i="10"/>
  <c r="I478" i="10"/>
  <c r="E482" i="10"/>
  <c r="I482" i="10"/>
  <c r="E486" i="10"/>
  <c r="I486" i="10"/>
  <c r="E490" i="10"/>
  <c r="I490" i="10"/>
  <c r="E494" i="10"/>
  <c r="I494" i="10"/>
  <c r="E498" i="10"/>
  <c r="I498" i="10"/>
  <c r="E502" i="10"/>
  <c r="I502" i="10"/>
  <c r="E506" i="10"/>
  <c r="I506" i="10"/>
  <c r="E510" i="10"/>
  <c r="I510" i="10"/>
  <c r="E514" i="10"/>
  <c r="I514" i="10"/>
  <c r="E518" i="10"/>
  <c r="I518" i="10"/>
  <c r="E522" i="10"/>
  <c r="I522" i="10"/>
  <c r="E526" i="10"/>
  <c r="I526" i="10"/>
  <c r="E530" i="10"/>
  <c r="I530" i="10"/>
  <c r="E534" i="10"/>
  <c r="I534" i="10"/>
  <c r="E538" i="10"/>
  <c r="I538" i="10"/>
  <c r="E542" i="10"/>
  <c r="I542" i="10"/>
  <c r="E546" i="10"/>
  <c r="I546" i="10"/>
  <c r="E550" i="10"/>
  <c r="I550" i="10"/>
  <c r="E554" i="10"/>
  <c r="I554" i="10"/>
  <c r="E558" i="10"/>
  <c r="I558" i="10"/>
  <c r="E562" i="10"/>
  <c r="I562" i="10"/>
  <c r="E566" i="10"/>
  <c r="I566" i="10"/>
  <c r="E570" i="10"/>
  <c r="I570" i="10"/>
  <c r="E574" i="10"/>
  <c r="I574" i="10"/>
  <c r="E578" i="10"/>
  <c r="I578" i="10"/>
  <c r="E582" i="10"/>
  <c r="I582" i="10"/>
  <c r="E586" i="10"/>
  <c r="I586" i="10"/>
  <c r="E590" i="10"/>
  <c r="I590" i="10"/>
  <c r="E594" i="10"/>
  <c r="I594" i="10"/>
  <c r="E598" i="10"/>
  <c r="I598" i="10"/>
  <c r="E602" i="10"/>
  <c r="I602" i="10"/>
  <c r="E606" i="10"/>
  <c r="I606" i="10"/>
  <c r="E610" i="10"/>
  <c r="I610" i="10"/>
  <c r="E614" i="10"/>
  <c r="I614" i="10"/>
  <c r="E618" i="10"/>
  <c r="I618" i="10"/>
  <c r="E622" i="10"/>
  <c r="I622" i="10"/>
  <c r="E626" i="10"/>
  <c r="I626" i="10"/>
  <c r="E630" i="10"/>
  <c r="I630" i="10"/>
  <c r="E634" i="10"/>
  <c r="I634" i="10"/>
  <c r="E638" i="10"/>
  <c r="I638" i="10"/>
  <c r="E642" i="10"/>
  <c r="I642" i="10"/>
  <c r="E646" i="10"/>
  <c r="I646" i="10"/>
  <c r="E650" i="10"/>
  <c r="I650" i="10"/>
  <c r="E654" i="10"/>
  <c r="I654" i="10"/>
  <c r="E658" i="10"/>
  <c r="I658" i="10"/>
  <c r="E662" i="10"/>
  <c r="I662" i="10"/>
  <c r="E666" i="10"/>
  <c r="I666" i="10"/>
  <c r="E670" i="10"/>
  <c r="I670" i="10"/>
  <c r="E674" i="10"/>
  <c r="I674" i="10"/>
  <c r="E678" i="10"/>
  <c r="I678" i="10"/>
  <c r="E682" i="10"/>
  <c r="I682" i="10"/>
  <c r="E686" i="10"/>
  <c r="I686" i="10"/>
  <c r="E690" i="10"/>
  <c r="I690" i="10"/>
  <c r="E694" i="10"/>
  <c r="I694" i="10"/>
  <c r="E698" i="10"/>
  <c r="I698" i="10"/>
  <c r="E702" i="10"/>
  <c r="I702" i="10"/>
  <c r="E706" i="10"/>
  <c r="I706" i="10"/>
  <c r="E710" i="10"/>
  <c r="I710" i="10"/>
  <c r="E714" i="10"/>
  <c r="I714" i="10"/>
  <c r="E718" i="10"/>
  <c r="I718" i="10"/>
  <c r="E722" i="10"/>
  <c r="I722" i="10"/>
  <c r="E726" i="10"/>
  <c r="I726" i="10"/>
  <c r="E730" i="10"/>
  <c r="I730" i="10"/>
  <c r="E734" i="10"/>
  <c r="I734" i="10"/>
  <c r="E738" i="10"/>
  <c r="I738" i="10"/>
  <c r="E742" i="10"/>
  <c r="I742" i="10"/>
  <c r="E746" i="10"/>
  <c r="I746" i="10"/>
  <c r="E750" i="10"/>
  <c r="I750" i="10"/>
  <c r="E754" i="10"/>
  <c r="I754" i="10"/>
  <c r="E758" i="10"/>
  <c r="I758" i="10"/>
  <c r="E762" i="10"/>
  <c r="I762" i="10"/>
  <c r="E766" i="10"/>
  <c r="I766" i="10"/>
  <c r="E770" i="10"/>
  <c r="I770" i="10"/>
  <c r="E774" i="10"/>
  <c r="I774" i="10"/>
  <c r="E778" i="10"/>
  <c r="I778" i="10"/>
  <c r="E782" i="10"/>
  <c r="I782" i="10"/>
  <c r="E786" i="10"/>
  <c r="I786" i="10"/>
  <c r="E790" i="10"/>
  <c r="I790" i="10"/>
  <c r="E794" i="10"/>
  <c r="I794" i="10"/>
  <c r="E798" i="10"/>
  <c r="I798" i="10"/>
  <c r="E802" i="10"/>
  <c r="I802" i="10"/>
  <c r="E806" i="10"/>
  <c r="I806" i="10"/>
  <c r="E810" i="10"/>
  <c r="I810" i="10"/>
  <c r="E814" i="10"/>
  <c r="I814" i="10"/>
  <c r="E818" i="10"/>
  <c r="I818" i="10"/>
  <c r="E822" i="10"/>
  <c r="I822" i="10"/>
  <c r="E826" i="10"/>
  <c r="I826" i="10"/>
  <c r="E830" i="10"/>
  <c r="I830" i="10"/>
  <c r="E834" i="10"/>
  <c r="I834" i="10"/>
  <c r="E838" i="10"/>
  <c r="I838" i="10"/>
  <c r="E842" i="10"/>
  <c r="I842" i="10"/>
  <c r="E846" i="10"/>
  <c r="I846" i="10"/>
  <c r="E850" i="10"/>
  <c r="I850" i="10"/>
  <c r="E854" i="10"/>
  <c r="I854" i="10"/>
  <c r="E858" i="10"/>
  <c r="I858" i="10"/>
  <c r="E862" i="10"/>
  <c r="I862" i="10"/>
  <c r="E866" i="10"/>
  <c r="I866" i="10"/>
  <c r="E870" i="10"/>
  <c r="I870" i="10"/>
  <c r="E874" i="10"/>
  <c r="I874" i="10"/>
  <c r="E878" i="10"/>
  <c r="I878" i="10"/>
  <c r="E882" i="10"/>
  <c r="I882" i="10"/>
  <c r="E886" i="10"/>
  <c r="I886" i="10"/>
  <c r="E890" i="10"/>
  <c r="I890" i="10"/>
  <c r="E894" i="10"/>
  <c r="I894" i="10"/>
  <c r="E898" i="10"/>
  <c r="I898" i="10"/>
  <c r="E902" i="10"/>
  <c r="I902" i="10"/>
  <c r="E906" i="10"/>
  <c r="I906" i="10"/>
  <c r="E910" i="10"/>
  <c r="I910" i="10"/>
  <c r="E914" i="10"/>
  <c r="I914" i="10"/>
  <c r="E918" i="10"/>
  <c r="I918" i="10"/>
  <c r="E922" i="10"/>
  <c r="I922" i="10"/>
  <c r="E926" i="10"/>
  <c r="I926" i="10"/>
  <c r="E930" i="10"/>
  <c r="I930" i="10"/>
  <c r="E934" i="10"/>
  <c r="I934" i="10"/>
  <c r="E938" i="10"/>
  <c r="I938" i="10"/>
  <c r="E942" i="10"/>
  <c r="I942" i="10"/>
  <c r="E946" i="10"/>
  <c r="I946" i="10"/>
  <c r="E950" i="10"/>
  <c r="I950" i="10"/>
  <c r="E954" i="10"/>
  <c r="I954" i="10"/>
  <c r="E958" i="10"/>
  <c r="I958" i="10"/>
  <c r="E962" i="10"/>
  <c r="I962" i="10"/>
  <c r="E966" i="10"/>
  <c r="I966" i="10"/>
  <c r="E970" i="10"/>
  <c r="I970" i="10"/>
  <c r="E974" i="10"/>
  <c r="I974" i="10"/>
  <c r="E978" i="10"/>
  <c r="I978" i="10"/>
  <c r="E982" i="10"/>
  <c r="I982" i="10"/>
  <c r="E986" i="10"/>
  <c r="I986" i="10"/>
  <c r="E990" i="10"/>
  <c r="I990" i="10"/>
  <c r="E994" i="10"/>
  <c r="I994" i="10"/>
  <c r="E998" i="10"/>
  <c r="I998" i="10"/>
  <c r="E1002" i="10"/>
  <c r="I1002" i="10"/>
  <c r="E1006" i="10"/>
  <c r="I1006" i="10"/>
  <c r="E1010" i="10"/>
  <c r="I1010" i="10"/>
  <c r="E1014" i="10"/>
  <c r="I1014" i="10"/>
  <c r="E1018" i="10"/>
  <c r="I1018" i="10"/>
  <c r="E1022" i="10"/>
  <c r="I1022" i="10"/>
  <c r="E1026" i="10"/>
  <c r="I1026" i="10"/>
  <c r="E1030" i="10"/>
  <c r="I1030" i="10"/>
  <c r="E1034" i="10"/>
  <c r="I1034" i="10"/>
  <c r="E1038" i="10"/>
  <c r="I1038" i="10"/>
  <c r="E1042" i="10"/>
  <c r="I1042" i="10"/>
  <c r="E1046" i="10"/>
  <c r="I1046" i="10"/>
  <c r="E1050" i="10"/>
  <c r="I1050" i="10"/>
  <c r="E1054" i="10"/>
  <c r="I1054" i="10"/>
  <c r="E1058" i="10"/>
  <c r="I1058" i="10"/>
  <c r="E1062" i="10"/>
  <c r="I1062" i="10"/>
  <c r="E1066" i="10"/>
  <c r="I1066" i="10"/>
  <c r="E1070" i="10"/>
  <c r="I1070" i="10"/>
  <c r="E1074" i="10"/>
  <c r="I1074" i="10"/>
  <c r="E1078" i="10"/>
  <c r="I1078" i="10"/>
  <c r="E1082" i="10"/>
  <c r="I1082" i="10"/>
  <c r="E1086" i="10"/>
  <c r="I1086" i="10"/>
  <c r="E1090" i="10"/>
  <c r="I1090" i="10"/>
  <c r="E1094" i="10"/>
  <c r="I1094" i="10"/>
  <c r="E1098" i="10"/>
  <c r="I1098" i="10"/>
  <c r="E1102" i="10"/>
  <c r="I1102" i="10"/>
  <c r="E1106" i="10"/>
  <c r="I1106" i="10"/>
  <c r="E1110" i="10"/>
  <c r="I1110" i="10"/>
  <c r="E1114" i="10"/>
  <c r="I1114" i="10"/>
  <c r="I1119" i="10"/>
  <c r="E1119" i="10"/>
  <c r="I1121" i="10"/>
  <c r="E1121" i="10"/>
  <c r="G58" i="13"/>
  <c r="G59" i="13" s="1"/>
  <c r="G60" i="13" s="1"/>
  <c r="G61" i="13" s="1"/>
  <c r="G62" i="13" s="1"/>
  <c r="G63" i="13" s="1"/>
  <c r="G64" i="13" s="1"/>
  <c r="G65" i="13" s="1"/>
  <c r="G66" i="13" s="1"/>
  <c r="G67" i="13" s="1"/>
  <c r="G68" i="13" s="1"/>
  <c r="G69" i="13" s="1"/>
  <c r="G70" i="13" s="1"/>
  <c r="G71" i="13" s="1"/>
  <c r="G72" i="13" s="1"/>
  <c r="G73" i="13" s="1"/>
  <c r="G74" i="13" s="1"/>
  <c r="G75" i="13" s="1"/>
  <c r="G76" i="13" s="1"/>
  <c r="G77" i="13" s="1"/>
  <c r="G78" i="13" s="1"/>
  <c r="G79" i="13" s="1"/>
  <c r="G80" i="13" s="1"/>
  <c r="G81" i="13" s="1"/>
  <c r="G82" i="13" s="1"/>
  <c r="G83" i="13" s="1"/>
  <c r="G84" i="13" s="1"/>
  <c r="G85" i="13" s="1"/>
  <c r="G86" i="13" s="1"/>
  <c r="G87" i="13" s="1"/>
  <c r="G88" i="13" s="1"/>
  <c r="G89" i="13" s="1"/>
  <c r="G90" i="13" s="1"/>
  <c r="G91" i="13" s="1"/>
  <c r="G92" i="13" s="1"/>
  <c r="G93" i="13" s="1"/>
  <c r="G94" i="13" s="1"/>
  <c r="G95" i="13" s="1"/>
  <c r="G96" i="13" s="1"/>
  <c r="G97" i="13" s="1"/>
  <c r="G98" i="13" s="1"/>
  <c r="G99" i="13" s="1"/>
  <c r="G100" i="13" s="1"/>
  <c r="G101" i="13" s="1"/>
  <c r="G102" i="13" s="1"/>
  <c r="G103" i="13" s="1"/>
  <c r="G104" i="13" s="1"/>
  <c r="G105" i="13" s="1"/>
  <c r="G106" i="13" s="1"/>
  <c r="G107" i="13" s="1"/>
  <c r="G108" i="13" s="1"/>
  <c r="G109" i="13" s="1"/>
  <c r="G110" i="13" s="1"/>
  <c r="G111" i="13" s="1"/>
  <c r="G112" i="13" s="1"/>
  <c r="G113" i="13" s="1"/>
  <c r="G114" i="13" s="1"/>
  <c r="G115" i="13" s="1"/>
  <c r="G116" i="13" s="1"/>
  <c r="G117" i="13" s="1"/>
  <c r="G118" i="13" s="1"/>
  <c r="G119" i="13" s="1"/>
  <c r="G120" i="13" s="1"/>
  <c r="G121" i="13" s="1"/>
  <c r="G122" i="13" s="1"/>
  <c r="G123" i="13" s="1"/>
  <c r="G124" i="13" s="1"/>
  <c r="G125" i="13" s="1"/>
  <c r="G126" i="13" s="1"/>
  <c r="G127" i="13" s="1"/>
  <c r="G128" i="13" s="1"/>
  <c r="G129" i="13" s="1"/>
  <c r="G130" i="13" s="1"/>
  <c r="G131" i="13" s="1"/>
  <c r="G132" i="13" s="1"/>
  <c r="G133" i="13" s="1"/>
  <c r="G134" i="13" s="1"/>
  <c r="G135" i="13" s="1"/>
  <c r="G136" i="13" s="1"/>
  <c r="G137" i="13" s="1"/>
  <c r="G138" i="13" s="1"/>
  <c r="G139" i="13" s="1"/>
  <c r="G140" i="13" s="1"/>
  <c r="G141" i="13" s="1"/>
  <c r="G142" i="13" s="1"/>
  <c r="G143" i="13" s="1"/>
  <c r="G144" i="13" s="1"/>
  <c r="G145" i="13" s="1"/>
  <c r="G146" i="13" s="1"/>
  <c r="G147" i="13" s="1"/>
  <c r="G148" i="13" s="1"/>
  <c r="G149" i="13" s="1"/>
  <c r="G150" i="13" s="1"/>
  <c r="G151" i="13" s="1"/>
  <c r="G152" i="13" s="1"/>
  <c r="G153" i="13" s="1"/>
  <c r="G154" i="13" s="1"/>
  <c r="G155" i="13" s="1"/>
  <c r="G156" i="13" s="1"/>
  <c r="G157" i="13" s="1"/>
  <c r="G158" i="13" s="1"/>
  <c r="G159" i="13" s="1"/>
  <c r="G160" i="13" s="1"/>
  <c r="G161" i="13" s="1"/>
  <c r="G162" i="13" s="1"/>
  <c r="G163" i="13" s="1"/>
  <c r="G164" i="13" s="1"/>
  <c r="G165" i="13" s="1"/>
  <c r="G166" i="13" s="1"/>
  <c r="G167" i="13" s="1"/>
  <c r="G168" i="13" s="1"/>
  <c r="G169" i="13" s="1"/>
  <c r="G170" i="13" s="1"/>
  <c r="G171" i="13" s="1"/>
  <c r="G172" i="13" s="1"/>
  <c r="G173" i="13" s="1"/>
  <c r="G174" i="13" s="1"/>
  <c r="G175" i="13" s="1"/>
  <c r="G176" i="13" s="1"/>
  <c r="G177" i="13" s="1"/>
  <c r="G178" i="13" s="1"/>
  <c r="G179" i="13" s="1"/>
  <c r="G180" i="13" s="1"/>
  <c r="G181" i="13" s="1"/>
  <c r="G182" i="13" s="1"/>
  <c r="G183" i="13" s="1"/>
  <c r="G184" i="13" s="1"/>
  <c r="G185" i="13" s="1"/>
  <c r="G186" i="13" s="1"/>
  <c r="G187" i="13" s="1"/>
  <c r="G188" i="13" s="1"/>
  <c r="G189" i="13" s="1"/>
  <c r="G190" i="13" s="1"/>
  <c r="G191" i="13" s="1"/>
  <c r="G192" i="13" s="1"/>
  <c r="G193" i="13" s="1"/>
  <c r="G194" i="13" s="1"/>
  <c r="G195" i="13" s="1"/>
  <c r="G196" i="13" s="1"/>
  <c r="G197" i="13" s="1"/>
  <c r="G198" i="13" s="1"/>
  <c r="G199" i="13" s="1"/>
  <c r="G200" i="13" s="1"/>
  <c r="G201" i="13" s="1"/>
  <c r="G202" i="13" s="1"/>
  <c r="G203" i="13" s="1"/>
  <c r="G204" i="13" s="1"/>
  <c r="G205" i="13" s="1"/>
  <c r="G206" i="13" s="1"/>
  <c r="G207" i="13" s="1"/>
  <c r="G208" i="13" s="1"/>
  <c r="G209" i="13" s="1"/>
  <c r="G210" i="13" s="1"/>
  <c r="G211" i="13" s="1"/>
  <c r="G212" i="13" s="1"/>
  <c r="G213" i="13" s="1"/>
  <c r="G214" i="13" s="1"/>
  <c r="G215" i="13" s="1"/>
  <c r="G216" i="13" s="1"/>
  <c r="G217" i="13" s="1"/>
  <c r="G218" i="13" s="1"/>
  <c r="G219" i="13" s="1"/>
  <c r="G220" i="13" s="1"/>
  <c r="G221" i="13" s="1"/>
  <c r="G222" i="13" s="1"/>
  <c r="G223" i="13" s="1"/>
  <c r="G224" i="13" s="1"/>
  <c r="G225" i="13" s="1"/>
  <c r="G226" i="13" s="1"/>
  <c r="G227" i="13" s="1"/>
  <c r="G228" i="13" s="1"/>
  <c r="G229" i="13" s="1"/>
  <c r="G230" i="13" s="1"/>
  <c r="G231" i="13" s="1"/>
  <c r="G232" i="13" s="1"/>
  <c r="G233" i="13" s="1"/>
  <c r="G234" i="13" s="1"/>
  <c r="G235" i="13" s="1"/>
  <c r="G236" i="13" s="1"/>
  <c r="G237" i="13" s="1"/>
  <c r="G238" i="13" s="1"/>
  <c r="G239" i="13" s="1"/>
  <c r="G240" i="13" s="1"/>
  <c r="G241" i="13" s="1"/>
  <c r="G242" i="13" s="1"/>
  <c r="G243" i="13" s="1"/>
  <c r="G244" i="13" s="1"/>
  <c r="G245" i="13" s="1"/>
  <c r="G246" i="13" s="1"/>
  <c r="G247" i="13" s="1"/>
  <c r="G248" i="13" s="1"/>
  <c r="G249" i="13" s="1"/>
  <c r="G250" i="13" s="1"/>
  <c r="G251" i="13" s="1"/>
  <c r="G252" i="13" s="1"/>
  <c r="G253" i="13" s="1"/>
  <c r="G254" i="13" s="1"/>
  <c r="G255" i="13" s="1"/>
  <c r="G256" i="13" s="1"/>
  <c r="G257" i="13" s="1"/>
  <c r="G258" i="13" s="1"/>
  <c r="G259" i="13" s="1"/>
  <c r="G260" i="13" s="1"/>
  <c r="G261" i="13" s="1"/>
  <c r="G262" i="13" s="1"/>
  <c r="G263" i="13" s="1"/>
  <c r="G264" i="13" s="1"/>
  <c r="G265" i="13" s="1"/>
  <c r="G266" i="13" s="1"/>
  <c r="G267" i="13" s="1"/>
  <c r="G268" i="13" s="1"/>
  <c r="G269" i="13" s="1"/>
  <c r="G270" i="13" s="1"/>
  <c r="G271" i="13" s="1"/>
  <c r="G272" i="13" s="1"/>
  <c r="G273" i="13" s="1"/>
  <c r="G274" i="13" s="1"/>
  <c r="G275" i="13" s="1"/>
  <c r="G276" i="13" s="1"/>
  <c r="G277" i="13" s="1"/>
  <c r="G278" i="13" s="1"/>
  <c r="G279" i="13" s="1"/>
  <c r="G280" i="13" s="1"/>
  <c r="G281" i="13" s="1"/>
  <c r="G282" i="13" s="1"/>
  <c r="G283" i="13" s="1"/>
  <c r="G284" i="13" s="1"/>
  <c r="G285" i="13" s="1"/>
  <c r="G286" i="13" s="1"/>
  <c r="G287" i="13" s="1"/>
  <c r="G288" i="13" s="1"/>
  <c r="G289" i="13" s="1"/>
  <c r="G290" i="13" s="1"/>
  <c r="G291" i="13" s="1"/>
  <c r="G292" i="13" s="1"/>
  <c r="G293" i="13" s="1"/>
  <c r="G294" i="13" s="1"/>
  <c r="G295" i="13" s="1"/>
  <c r="G296" i="13" s="1"/>
  <c r="G297" i="13" s="1"/>
  <c r="G298" i="13" s="1"/>
  <c r="G299" i="13" s="1"/>
  <c r="G300" i="13" s="1"/>
  <c r="G301" i="13" s="1"/>
  <c r="G302" i="13" s="1"/>
  <c r="G303" i="13" s="1"/>
  <c r="G304" i="13" s="1"/>
  <c r="G305" i="13" s="1"/>
  <c r="G306" i="13" s="1"/>
  <c r="G307" i="13" s="1"/>
  <c r="G308" i="13" s="1"/>
  <c r="G309" i="13" s="1"/>
  <c r="G310" i="13" s="1"/>
  <c r="G311" i="13" s="1"/>
  <c r="G312" i="13" s="1"/>
  <c r="G313" i="13" s="1"/>
  <c r="G314" i="13" s="1"/>
  <c r="G315" i="13" s="1"/>
  <c r="G316" i="13" s="1"/>
  <c r="G317" i="13" s="1"/>
  <c r="G318" i="13" s="1"/>
  <c r="G319" i="13" s="1"/>
  <c r="G320" i="13" s="1"/>
  <c r="G321" i="13" s="1"/>
  <c r="G322" i="13" s="1"/>
  <c r="G323" i="13" s="1"/>
  <c r="G324" i="13" s="1"/>
  <c r="G325" i="13" s="1"/>
  <c r="G326" i="13" s="1"/>
  <c r="G327" i="13" s="1"/>
  <c r="G328" i="13" s="1"/>
  <c r="G329" i="13" s="1"/>
  <c r="G330" i="13" s="1"/>
  <c r="G331" i="13" s="1"/>
  <c r="G332" i="13" s="1"/>
  <c r="G333" i="13" s="1"/>
  <c r="G334" i="13" s="1"/>
  <c r="G335" i="13" s="1"/>
  <c r="G336" i="13" s="1"/>
  <c r="G337" i="13" s="1"/>
  <c r="G338" i="13" s="1"/>
  <c r="G339" i="13" s="1"/>
  <c r="G340" i="13" s="1"/>
  <c r="G341" i="13" s="1"/>
  <c r="G342" i="13" s="1"/>
  <c r="G343" i="13" s="1"/>
  <c r="G344" i="13" s="1"/>
  <c r="G345" i="13" s="1"/>
  <c r="G346" i="13" s="1"/>
  <c r="G347" i="13" s="1"/>
  <c r="G348" i="13" s="1"/>
  <c r="G349" i="13" s="1"/>
  <c r="G350" i="13" s="1"/>
  <c r="G351" i="13" s="1"/>
  <c r="G352" i="13" s="1"/>
  <c r="G353" i="13" s="1"/>
  <c r="G354" i="13" s="1"/>
  <c r="G355" i="13" s="1"/>
  <c r="G356" i="13" s="1"/>
  <c r="G357" i="13" s="1"/>
  <c r="G358" i="13" s="1"/>
  <c r="G359" i="13" s="1"/>
  <c r="G360" i="13" s="1"/>
  <c r="G361" i="13" s="1"/>
  <c r="G362" i="13" s="1"/>
  <c r="G363" i="13" s="1"/>
  <c r="G364" i="13" s="1"/>
  <c r="G365" i="13" s="1"/>
  <c r="G366" i="13" s="1"/>
  <c r="G367" i="13" s="1"/>
  <c r="G368" i="13" s="1"/>
  <c r="G369" i="13" s="1"/>
  <c r="G370" i="13" s="1"/>
  <c r="G371" i="13" s="1"/>
  <c r="G372" i="13" s="1"/>
  <c r="G373" i="13" s="1"/>
  <c r="G374" i="13" s="1"/>
  <c r="G375" i="13" s="1"/>
  <c r="G376" i="13" s="1"/>
  <c r="G377" i="13" s="1"/>
  <c r="G378" i="13" s="1"/>
  <c r="G379" i="13" s="1"/>
  <c r="G380" i="13" s="1"/>
  <c r="G381" i="13" s="1"/>
  <c r="G382" i="13" s="1"/>
  <c r="G383" i="13" s="1"/>
  <c r="G384" i="13" s="1"/>
  <c r="G385" i="13" s="1"/>
  <c r="G386" i="13" s="1"/>
  <c r="G387" i="13" s="1"/>
  <c r="G388" i="13" s="1"/>
  <c r="G389" i="13" s="1"/>
  <c r="G390" i="13" s="1"/>
  <c r="G391" i="13" s="1"/>
  <c r="G392" i="13" s="1"/>
  <c r="G393" i="13" s="1"/>
  <c r="G394" i="13" s="1"/>
  <c r="G395" i="13" s="1"/>
  <c r="G396" i="13" s="1"/>
  <c r="G397" i="13" s="1"/>
  <c r="G398" i="13" s="1"/>
  <c r="G399" i="13" s="1"/>
  <c r="G400" i="13" s="1"/>
  <c r="G401" i="13" s="1"/>
  <c r="G402" i="13" s="1"/>
  <c r="G403" i="13" s="1"/>
  <c r="G404" i="13" s="1"/>
  <c r="G405" i="13" s="1"/>
  <c r="G406" i="13" s="1"/>
  <c r="G407" i="13" s="1"/>
  <c r="G408" i="13" s="1"/>
  <c r="G409" i="13" s="1"/>
  <c r="G410" i="13" s="1"/>
  <c r="G411" i="13" s="1"/>
  <c r="G412" i="13" s="1"/>
  <c r="G413" i="13" s="1"/>
  <c r="G414" i="13" s="1"/>
  <c r="G415" i="13" s="1"/>
  <c r="G416" i="13" s="1"/>
  <c r="G417" i="13" s="1"/>
  <c r="G418" i="13" s="1"/>
  <c r="G419" i="13" s="1"/>
  <c r="G420" i="13" s="1"/>
  <c r="G421" i="13" s="1"/>
  <c r="G422" i="13" s="1"/>
  <c r="G423" i="13" s="1"/>
  <c r="G424" i="13" s="1"/>
  <c r="G425" i="13" s="1"/>
  <c r="G426" i="13" s="1"/>
  <c r="G427" i="13" s="1"/>
  <c r="G428" i="13" s="1"/>
  <c r="G429" i="13" s="1"/>
  <c r="G430" i="13" s="1"/>
  <c r="G431" i="13" s="1"/>
  <c r="G432" i="13" s="1"/>
  <c r="G433" i="13" s="1"/>
  <c r="G434" i="13" s="1"/>
  <c r="G435" i="13" s="1"/>
  <c r="G436" i="13" s="1"/>
  <c r="G437" i="13" s="1"/>
  <c r="G438" i="13" s="1"/>
  <c r="G439" i="13" s="1"/>
  <c r="G440" i="13" s="1"/>
  <c r="G441" i="13" s="1"/>
  <c r="G442" i="13" s="1"/>
  <c r="G443" i="13" s="1"/>
  <c r="G444" i="13" s="1"/>
  <c r="G445" i="13" s="1"/>
  <c r="G446" i="13" s="1"/>
  <c r="G447" i="13" s="1"/>
  <c r="G448" i="13" s="1"/>
  <c r="G449" i="13" s="1"/>
  <c r="G450" i="13" s="1"/>
  <c r="G451" i="13" s="1"/>
  <c r="G452" i="13" s="1"/>
  <c r="G453" i="13" s="1"/>
  <c r="G454" i="13" s="1"/>
  <c r="G455" i="13" s="1"/>
  <c r="G456" i="13" s="1"/>
  <c r="G457" i="13" s="1"/>
  <c r="G458" i="13" s="1"/>
  <c r="G459" i="13" s="1"/>
  <c r="G460" i="13" s="1"/>
  <c r="G461" i="13" s="1"/>
  <c r="G462" i="13" s="1"/>
  <c r="G463" i="13" s="1"/>
  <c r="G464" i="13" s="1"/>
  <c r="G465" i="13" s="1"/>
  <c r="G466" i="13" s="1"/>
  <c r="G467" i="13" s="1"/>
  <c r="G468" i="13" s="1"/>
  <c r="G469" i="13" s="1"/>
  <c r="G470" i="13" s="1"/>
  <c r="G471" i="13" s="1"/>
  <c r="G472" i="13" s="1"/>
  <c r="G473" i="13" s="1"/>
  <c r="G474" i="13" s="1"/>
  <c r="G475" i="13" s="1"/>
  <c r="G476" i="13" s="1"/>
  <c r="G477" i="13" s="1"/>
  <c r="G478" i="13" s="1"/>
  <c r="G479" i="13" s="1"/>
  <c r="G480" i="13" s="1"/>
  <c r="G481" i="13" s="1"/>
  <c r="G482" i="13" s="1"/>
  <c r="G483" i="13" s="1"/>
  <c r="G484" i="13" s="1"/>
  <c r="G485" i="13" s="1"/>
  <c r="G486" i="13" s="1"/>
  <c r="G487" i="13" s="1"/>
  <c r="G488" i="13" s="1"/>
  <c r="G489" i="13" s="1"/>
  <c r="G490" i="13" s="1"/>
  <c r="G491" i="13" s="1"/>
  <c r="G492" i="13" s="1"/>
  <c r="G493" i="13" s="1"/>
  <c r="G494" i="13" s="1"/>
  <c r="G495" i="13" s="1"/>
  <c r="G496" i="13" s="1"/>
  <c r="G497" i="13" s="1"/>
  <c r="G498" i="13" s="1"/>
  <c r="G499" i="13" s="1"/>
  <c r="G500" i="13" s="1"/>
  <c r="G501" i="13" s="1"/>
  <c r="G502" i="13" s="1"/>
  <c r="G503" i="13" s="1"/>
  <c r="G504" i="13" s="1"/>
  <c r="G505" i="13" s="1"/>
  <c r="G506" i="13" s="1"/>
  <c r="G507" i="13" s="1"/>
  <c r="G508" i="13" s="1"/>
  <c r="G509" i="13" s="1"/>
  <c r="G510" i="13" s="1"/>
  <c r="G511" i="13" s="1"/>
  <c r="G512" i="13" s="1"/>
  <c r="G513" i="13" s="1"/>
  <c r="G514" i="13" s="1"/>
  <c r="G515" i="13" s="1"/>
  <c r="G516" i="13" s="1"/>
  <c r="G517" i="13" s="1"/>
  <c r="G518" i="13" s="1"/>
  <c r="G519" i="13" s="1"/>
  <c r="G520" i="13" s="1"/>
  <c r="G521" i="13" s="1"/>
  <c r="G522" i="13" s="1"/>
  <c r="G523" i="13" s="1"/>
  <c r="G524" i="13" s="1"/>
  <c r="G525" i="13" s="1"/>
  <c r="G526" i="13" s="1"/>
  <c r="G527" i="13" s="1"/>
  <c r="G528" i="13" s="1"/>
  <c r="G529" i="13" s="1"/>
  <c r="G530" i="13" s="1"/>
  <c r="G531" i="13" s="1"/>
  <c r="G532" i="13" s="1"/>
  <c r="G533" i="13" s="1"/>
  <c r="G534" i="13" s="1"/>
  <c r="G535" i="13" s="1"/>
  <c r="G536" i="13" s="1"/>
  <c r="G537" i="13" s="1"/>
  <c r="G538" i="13" s="1"/>
  <c r="G539" i="13" s="1"/>
  <c r="G540" i="13" s="1"/>
  <c r="G541" i="13" s="1"/>
  <c r="G542" i="13" s="1"/>
  <c r="G543" i="13" s="1"/>
  <c r="G544" i="13" s="1"/>
  <c r="G545" i="13" s="1"/>
  <c r="G546" i="13" s="1"/>
  <c r="G547" i="13" s="1"/>
  <c r="G548" i="13" s="1"/>
  <c r="G549" i="13" s="1"/>
  <c r="G550" i="13" s="1"/>
  <c r="G551" i="13" s="1"/>
  <c r="G552" i="13" s="1"/>
  <c r="G553" i="13" s="1"/>
  <c r="G554" i="13" s="1"/>
  <c r="G555" i="13" s="1"/>
  <c r="G556" i="13" s="1"/>
  <c r="G557" i="13" s="1"/>
  <c r="G558" i="13" s="1"/>
  <c r="G559" i="13" s="1"/>
  <c r="G560" i="13" s="1"/>
  <c r="G561" i="13" s="1"/>
  <c r="G562" i="13" s="1"/>
  <c r="G563" i="13" s="1"/>
  <c r="G564" i="13" s="1"/>
  <c r="G565" i="13" s="1"/>
  <c r="G566" i="13" s="1"/>
  <c r="G567" i="13" s="1"/>
  <c r="G568" i="13" s="1"/>
  <c r="G569" i="13" s="1"/>
  <c r="G570" i="13" s="1"/>
  <c r="G571" i="13" s="1"/>
  <c r="G572" i="13" s="1"/>
  <c r="G573" i="13" s="1"/>
  <c r="G574" i="13" s="1"/>
  <c r="G575" i="13" s="1"/>
  <c r="G576" i="13" s="1"/>
  <c r="G577" i="13" s="1"/>
  <c r="G578" i="13" s="1"/>
  <c r="G579" i="13" s="1"/>
  <c r="G580" i="13" s="1"/>
  <c r="G581" i="13" s="1"/>
  <c r="G582" i="13" s="1"/>
  <c r="G583" i="13" s="1"/>
  <c r="G584" i="13" s="1"/>
  <c r="G585" i="13" s="1"/>
  <c r="G586" i="13" s="1"/>
  <c r="G587" i="13" s="1"/>
  <c r="G588" i="13" s="1"/>
  <c r="G589" i="13" s="1"/>
  <c r="G590" i="13" s="1"/>
  <c r="G591" i="13" s="1"/>
  <c r="G592" i="13" s="1"/>
  <c r="G593" i="13" s="1"/>
  <c r="G594" i="13" s="1"/>
  <c r="G595" i="13" s="1"/>
  <c r="G596" i="13" s="1"/>
  <c r="G597" i="13" s="1"/>
  <c r="G598" i="13" s="1"/>
  <c r="G599" i="13" s="1"/>
  <c r="G600" i="13" s="1"/>
  <c r="G601" i="13" s="1"/>
  <c r="G602" i="13" s="1"/>
  <c r="G603" i="13" s="1"/>
  <c r="G604" i="13" s="1"/>
  <c r="G605" i="13" s="1"/>
  <c r="G606" i="13" s="1"/>
  <c r="G607" i="13" s="1"/>
  <c r="G608" i="13" s="1"/>
  <c r="G609" i="13" s="1"/>
  <c r="G610" i="13" s="1"/>
  <c r="G611" i="13" s="1"/>
  <c r="G612" i="13" s="1"/>
  <c r="G613" i="13" s="1"/>
  <c r="G614" i="13" s="1"/>
  <c r="G615" i="13" s="1"/>
  <c r="G616" i="13" s="1"/>
  <c r="G617" i="13" s="1"/>
  <c r="G618" i="13" s="1"/>
  <c r="G619" i="13" s="1"/>
  <c r="G620" i="13" s="1"/>
  <c r="G621" i="13" s="1"/>
  <c r="G622" i="13" s="1"/>
  <c r="G623" i="13" s="1"/>
  <c r="G624" i="13" s="1"/>
  <c r="G625" i="13" s="1"/>
  <c r="G626" i="13" s="1"/>
  <c r="G627" i="13" s="1"/>
  <c r="G628" i="13" s="1"/>
  <c r="G629" i="13" s="1"/>
  <c r="G630" i="13" s="1"/>
  <c r="G631" i="13" s="1"/>
  <c r="G632" i="13" s="1"/>
  <c r="G633" i="13" s="1"/>
  <c r="G634" i="13" s="1"/>
  <c r="G635" i="13" s="1"/>
  <c r="G636" i="13" s="1"/>
  <c r="G637" i="13" s="1"/>
  <c r="G638" i="13" s="1"/>
  <c r="G639" i="13" s="1"/>
  <c r="G640" i="13" s="1"/>
  <c r="G641" i="13" s="1"/>
  <c r="G642" i="13" s="1"/>
  <c r="G643" i="13" s="1"/>
  <c r="G644" i="13" s="1"/>
  <c r="G645" i="13" s="1"/>
  <c r="G646" i="13" s="1"/>
  <c r="G647" i="13" s="1"/>
  <c r="G648" i="13" s="1"/>
  <c r="G649" i="13" s="1"/>
  <c r="G650" i="13" s="1"/>
  <c r="G651" i="13" s="1"/>
  <c r="G652" i="13" s="1"/>
  <c r="G653" i="13" s="1"/>
  <c r="G654" i="13" s="1"/>
  <c r="G655" i="13" s="1"/>
  <c r="G656" i="13" s="1"/>
  <c r="G657" i="13" s="1"/>
  <c r="G658" i="13" s="1"/>
  <c r="G659" i="13" s="1"/>
  <c r="G660" i="13" s="1"/>
  <c r="G661" i="13" s="1"/>
  <c r="G662" i="13" s="1"/>
  <c r="G663" i="13" s="1"/>
  <c r="G664" i="13" s="1"/>
  <c r="G665" i="13" s="1"/>
  <c r="G666" i="13" s="1"/>
  <c r="G667" i="13" s="1"/>
  <c r="G668" i="13" s="1"/>
  <c r="G669" i="13" s="1"/>
  <c r="G670" i="13" s="1"/>
  <c r="G671" i="13" s="1"/>
  <c r="G672" i="13" s="1"/>
  <c r="G673" i="13" s="1"/>
  <c r="G674" i="13" s="1"/>
  <c r="G675" i="13" s="1"/>
  <c r="G676" i="13" s="1"/>
  <c r="G677" i="13" s="1"/>
  <c r="G678" i="13" s="1"/>
  <c r="G679" i="13" s="1"/>
  <c r="G680" i="13" s="1"/>
  <c r="G681" i="13" s="1"/>
  <c r="G682" i="13" s="1"/>
  <c r="G683" i="13" s="1"/>
  <c r="G684" i="13" s="1"/>
  <c r="G685" i="13" s="1"/>
  <c r="G686" i="13" s="1"/>
  <c r="G687" i="13" s="1"/>
  <c r="G688" i="13" s="1"/>
  <c r="G689" i="13" s="1"/>
  <c r="G690" i="13" s="1"/>
  <c r="G691" i="13" s="1"/>
  <c r="G692" i="13" s="1"/>
  <c r="G693" i="13" s="1"/>
  <c r="G694" i="13" s="1"/>
  <c r="G695" i="13" s="1"/>
  <c r="G696" i="13" s="1"/>
  <c r="G697" i="13" s="1"/>
  <c r="G698" i="13" s="1"/>
  <c r="G699" i="13" s="1"/>
  <c r="G700" i="13" s="1"/>
  <c r="G701" i="13" s="1"/>
  <c r="G702" i="13" s="1"/>
  <c r="G703" i="13" s="1"/>
  <c r="G704" i="13" s="1"/>
  <c r="G705" i="13" s="1"/>
  <c r="G706" i="13" s="1"/>
  <c r="G707" i="13" s="1"/>
  <c r="G708" i="13" s="1"/>
  <c r="G709" i="13" s="1"/>
  <c r="G710" i="13" s="1"/>
  <c r="G711" i="13" s="1"/>
  <c r="G712" i="13" s="1"/>
  <c r="G713" i="13" s="1"/>
  <c r="G714" i="13" s="1"/>
  <c r="G715" i="13" s="1"/>
  <c r="G716" i="13" s="1"/>
  <c r="G717" i="13" s="1"/>
  <c r="G718" i="13" s="1"/>
  <c r="G719" i="13" s="1"/>
  <c r="G720" i="13" s="1"/>
  <c r="G721" i="13" s="1"/>
  <c r="G722" i="13" s="1"/>
  <c r="G723" i="13" s="1"/>
  <c r="G724" i="13" s="1"/>
  <c r="G725" i="13" s="1"/>
  <c r="G726" i="13" s="1"/>
  <c r="G727" i="13" s="1"/>
  <c r="G728" i="13" s="1"/>
  <c r="G729" i="13" s="1"/>
  <c r="G730" i="13" s="1"/>
  <c r="G731" i="13" s="1"/>
  <c r="G732" i="13" s="1"/>
  <c r="G733" i="13" s="1"/>
  <c r="G734" i="13" s="1"/>
  <c r="G735" i="13" s="1"/>
  <c r="G736" i="13" s="1"/>
  <c r="G737" i="13" s="1"/>
  <c r="G738" i="13" s="1"/>
  <c r="G739" i="13" s="1"/>
  <c r="G740" i="13" s="1"/>
  <c r="G741" i="13" s="1"/>
  <c r="G742" i="13" s="1"/>
  <c r="G743" i="13" s="1"/>
  <c r="G744" i="13" s="1"/>
  <c r="G745" i="13" s="1"/>
  <c r="G746" i="13" s="1"/>
  <c r="G747" i="13" s="1"/>
  <c r="G748" i="13" s="1"/>
  <c r="G749" i="13" s="1"/>
  <c r="G750" i="13" s="1"/>
  <c r="G751" i="13" s="1"/>
  <c r="G752" i="13" s="1"/>
  <c r="G753" i="13" s="1"/>
  <c r="G754" i="13" s="1"/>
  <c r="G755" i="13" s="1"/>
  <c r="G756" i="13" s="1"/>
  <c r="G757" i="13" s="1"/>
  <c r="G758" i="13" s="1"/>
  <c r="G759" i="13" s="1"/>
  <c r="G760" i="13" s="1"/>
  <c r="G761" i="13" s="1"/>
  <c r="G762" i="13" s="1"/>
  <c r="G763" i="13" s="1"/>
  <c r="G764" i="13" s="1"/>
  <c r="G765" i="13" s="1"/>
  <c r="G766" i="13" s="1"/>
  <c r="G767" i="13" s="1"/>
  <c r="G768" i="13" s="1"/>
  <c r="G769" i="13" s="1"/>
  <c r="G770" i="13" s="1"/>
  <c r="G771" i="13" s="1"/>
  <c r="G772" i="13" s="1"/>
  <c r="G773" i="13" s="1"/>
  <c r="G774" i="13" s="1"/>
  <c r="G775" i="13" s="1"/>
  <c r="G776" i="13" s="1"/>
  <c r="G777" i="13" s="1"/>
  <c r="G778" i="13" s="1"/>
  <c r="G779" i="13" s="1"/>
  <c r="G780" i="13" s="1"/>
  <c r="G781" i="13" s="1"/>
  <c r="G782" i="13" s="1"/>
  <c r="G783" i="13" s="1"/>
  <c r="G784" i="13" s="1"/>
  <c r="G785" i="13" s="1"/>
  <c r="G786" i="13" s="1"/>
  <c r="G787" i="13" s="1"/>
  <c r="G788" i="13" s="1"/>
  <c r="G789" i="13" s="1"/>
  <c r="G790" i="13" s="1"/>
  <c r="G791" i="13" s="1"/>
  <c r="G792" i="13" s="1"/>
  <c r="G793" i="13" s="1"/>
  <c r="G794" i="13" s="1"/>
  <c r="G795" i="13" s="1"/>
  <c r="G796" i="13" s="1"/>
  <c r="G797" i="13" s="1"/>
  <c r="G798" i="13" s="1"/>
  <c r="G799" i="13" s="1"/>
  <c r="G800" i="13" s="1"/>
  <c r="G801" i="13" s="1"/>
  <c r="G802" i="13" s="1"/>
  <c r="G803" i="13" s="1"/>
  <c r="G804" i="13" s="1"/>
  <c r="G805" i="13" s="1"/>
  <c r="G806" i="13" s="1"/>
  <c r="G807" i="13" s="1"/>
  <c r="G808" i="13" s="1"/>
  <c r="G809" i="13" s="1"/>
  <c r="G810" i="13" s="1"/>
  <c r="G811" i="13" s="1"/>
  <c r="G812" i="13" s="1"/>
  <c r="G813" i="13" s="1"/>
  <c r="G814" i="13" s="1"/>
  <c r="G815" i="13" s="1"/>
  <c r="G816" i="13" s="1"/>
  <c r="G817" i="13" s="1"/>
  <c r="G818" i="13" s="1"/>
  <c r="G819" i="13" s="1"/>
  <c r="G820" i="13" s="1"/>
  <c r="G821" i="13" s="1"/>
  <c r="G822" i="13" s="1"/>
  <c r="G823" i="13" s="1"/>
  <c r="G824" i="13" s="1"/>
  <c r="G825" i="13" s="1"/>
  <c r="G826" i="13" s="1"/>
  <c r="G827" i="13" s="1"/>
  <c r="G828" i="13" s="1"/>
  <c r="G829" i="13" s="1"/>
  <c r="G830" i="13" s="1"/>
  <c r="G831" i="13" s="1"/>
  <c r="G832" i="13" s="1"/>
  <c r="G833" i="13" s="1"/>
  <c r="G834" i="13" s="1"/>
  <c r="G835" i="13" s="1"/>
  <c r="G836" i="13" s="1"/>
  <c r="G837" i="13" s="1"/>
  <c r="G838" i="13" s="1"/>
  <c r="G839" i="13" s="1"/>
  <c r="G840" i="13" s="1"/>
  <c r="G841" i="13" s="1"/>
  <c r="G842" i="13" s="1"/>
  <c r="G843" i="13" s="1"/>
  <c r="G844" i="13" s="1"/>
  <c r="G845" i="13" s="1"/>
  <c r="G846" i="13" s="1"/>
  <c r="G847" i="13" s="1"/>
  <c r="G848" i="13" s="1"/>
  <c r="G849" i="13" s="1"/>
  <c r="G850" i="13" s="1"/>
  <c r="G851" i="13" s="1"/>
  <c r="G852" i="13" s="1"/>
  <c r="G853" i="13" s="1"/>
  <c r="G854" i="13" s="1"/>
  <c r="G855" i="13" s="1"/>
  <c r="G856" i="13" s="1"/>
  <c r="G857" i="13" s="1"/>
  <c r="G858" i="13" s="1"/>
  <c r="G859" i="13" s="1"/>
  <c r="G860" i="13" s="1"/>
  <c r="G861" i="13" s="1"/>
  <c r="G862" i="13" s="1"/>
  <c r="G863" i="13" s="1"/>
  <c r="G864" i="13" s="1"/>
  <c r="G865" i="13" s="1"/>
  <c r="G866" i="13" s="1"/>
  <c r="G867" i="13" s="1"/>
  <c r="G868" i="13" s="1"/>
  <c r="G869" i="13" s="1"/>
  <c r="G870" i="13" s="1"/>
  <c r="G871" i="13" s="1"/>
  <c r="G872" i="13" s="1"/>
  <c r="G873" i="13" s="1"/>
  <c r="G874" i="13" s="1"/>
  <c r="G875" i="13" s="1"/>
  <c r="G876" i="13" s="1"/>
  <c r="G877" i="13" s="1"/>
  <c r="G878" i="13" s="1"/>
  <c r="G879" i="13" s="1"/>
  <c r="G880" i="13" s="1"/>
  <c r="G881" i="13" s="1"/>
  <c r="G882" i="13" s="1"/>
  <c r="G883" i="13" s="1"/>
  <c r="G884" i="13" s="1"/>
  <c r="G885" i="13" s="1"/>
  <c r="G886" i="13" s="1"/>
  <c r="G887" i="13" s="1"/>
  <c r="G888" i="13" s="1"/>
  <c r="G889" i="13" s="1"/>
  <c r="G890" i="13" s="1"/>
  <c r="G891" i="13" s="1"/>
  <c r="G892" i="13" s="1"/>
  <c r="G893" i="13" s="1"/>
  <c r="G894" i="13" s="1"/>
  <c r="G895" i="13" s="1"/>
  <c r="G896" i="13" s="1"/>
  <c r="G897" i="13" s="1"/>
  <c r="G898" i="13" s="1"/>
  <c r="G899" i="13" s="1"/>
  <c r="G900" i="13" s="1"/>
  <c r="G901" i="13" s="1"/>
  <c r="G902" i="13" s="1"/>
  <c r="G903" i="13" s="1"/>
  <c r="G904" i="13" s="1"/>
  <c r="G905" i="13" s="1"/>
  <c r="G906" i="13" s="1"/>
  <c r="G907" i="13" s="1"/>
  <c r="G908" i="13" s="1"/>
  <c r="G909" i="13" s="1"/>
  <c r="G910" i="13" s="1"/>
  <c r="G911" i="13" s="1"/>
  <c r="G912" i="13" s="1"/>
  <c r="G913" i="13" s="1"/>
  <c r="G914" i="13" s="1"/>
  <c r="G915" i="13" s="1"/>
  <c r="G916" i="13" s="1"/>
  <c r="G917" i="13" s="1"/>
  <c r="G918" i="13" s="1"/>
  <c r="G919" i="13" s="1"/>
  <c r="G920" i="13" s="1"/>
  <c r="G921" i="13" s="1"/>
  <c r="G922" i="13" s="1"/>
  <c r="G923" i="13" s="1"/>
  <c r="G924" i="13" s="1"/>
  <c r="G925" i="13" s="1"/>
  <c r="G926" i="13" s="1"/>
  <c r="G927" i="13" s="1"/>
  <c r="G928" i="13" s="1"/>
  <c r="G929" i="13" s="1"/>
  <c r="G930" i="13" s="1"/>
  <c r="G931" i="13" s="1"/>
  <c r="G932" i="13" s="1"/>
  <c r="G933" i="13" s="1"/>
  <c r="G934" i="13" s="1"/>
  <c r="G935" i="13" s="1"/>
  <c r="G936" i="13" s="1"/>
  <c r="G937" i="13" s="1"/>
  <c r="G938" i="13" s="1"/>
  <c r="G939" i="13" s="1"/>
  <c r="G940" i="13" s="1"/>
  <c r="G941" i="13" s="1"/>
  <c r="G942" i="13" s="1"/>
  <c r="G943" i="13" s="1"/>
  <c r="G944" i="13" s="1"/>
  <c r="G945" i="13" s="1"/>
  <c r="G946" i="13" s="1"/>
  <c r="G947" i="13" s="1"/>
  <c r="G948" i="13" s="1"/>
  <c r="G949" i="13" s="1"/>
  <c r="G950" i="13" s="1"/>
  <c r="G951" i="13" s="1"/>
  <c r="G952" i="13" s="1"/>
  <c r="G953" i="13" s="1"/>
  <c r="G954" i="13" s="1"/>
  <c r="G955" i="13" s="1"/>
  <c r="G956" i="13" s="1"/>
  <c r="G957" i="13" s="1"/>
  <c r="G958" i="13" s="1"/>
  <c r="G959" i="13" s="1"/>
  <c r="G960" i="13" s="1"/>
  <c r="G961" i="13" s="1"/>
  <c r="G962" i="13" s="1"/>
  <c r="G963" i="13" s="1"/>
  <c r="G964" i="13" s="1"/>
  <c r="G965" i="13" s="1"/>
  <c r="G966" i="13" s="1"/>
  <c r="G967" i="13" s="1"/>
  <c r="G968" i="13" s="1"/>
  <c r="G969" i="13" s="1"/>
  <c r="G970" i="13" s="1"/>
  <c r="G971" i="13" s="1"/>
  <c r="G972" i="13" s="1"/>
  <c r="G973" i="13" s="1"/>
  <c r="G974" i="13" s="1"/>
  <c r="G975" i="13" s="1"/>
  <c r="G976" i="13" s="1"/>
  <c r="G977" i="13" s="1"/>
  <c r="G978" i="13" s="1"/>
  <c r="G979" i="13" s="1"/>
  <c r="G980" i="13" s="1"/>
  <c r="G981" i="13" s="1"/>
  <c r="G982" i="13" s="1"/>
  <c r="G983" i="13" s="1"/>
  <c r="G984" i="13" s="1"/>
  <c r="G985" i="13" s="1"/>
  <c r="G986" i="13" s="1"/>
  <c r="G987" i="13" s="1"/>
  <c r="G988" i="13" s="1"/>
  <c r="G989" i="13" s="1"/>
  <c r="G990" i="13" s="1"/>
  <c r="G991" i="13" s="1"/>
  <c r="G992" i="13" s="1"/>
  <c r="G993" i="13" s="1"/>
  <c r="G994" i="13" s="1"/>
  <c r="G995" i="13" s="1"/>
  <c r="G996" i="13" s="1"/>
  <c r="G997" i="13" s="1"/>
  <c r="G998" i="13" s="1"/>
  <c r="G999" i="13" s="1"/>
  <c r="G1000" i="13" s="1"/>
  <c r="G1001" i="13" s="1"/>
  <c r="G1002" i="13" s="1"/>
  <c r="G1003" i="13" s="1"/>
  <c r="G1004" i="13" s="1"/>
  <c r="G1005" i="13" s="1"/>
  <c r="G1006" i="13" s="1"/>
  <c r="G1007" i="13" s="1"/>
  <c r="G1008" i="13" s="1"/>
  <c r="G1009" i="13" s="1"/>
  <c r="G1010" i="13" s="1"/>
  <c r="G1011" i="13" s="1"/>
  <c r="G1012" i="13" s="1"/>
  <c r="G1013" i="13" s="1"/>
  <c r="G1014" i="13" s="1"/>
  <c r="G1015" i="13" s="1"/>
  <c r="G1016" i="13" s="1"/>
  <c r="G1017" i="13" s="1"/>
  <c r="G1018" i="13" s="1"/>
  <c r="G1019" i="13" s="1"/>
  <c r="G1020" i="13" s="1"/>
  <c r="G1021" i="13" s="1"/>
  <c r="G1022" i="13" s="1"/>
  <c r="G1023" i="13" s="1"/>
  <c r="G1024" i="13" s="1"/>
  <c r="G1025" i="13" s="1"/>
  <c r="G1026" i="13" s="1"/>
  <c r="G1027" i="13" s="1"/>
  <c r="G1028" i="13" s="1"/>
  <c r="G1029" i="13" s="1"/>
  <c r="G1030" i="13" s="1"/>
  <c r="G1031" i="13" s="1"/>
  <c r="G1032" i="13" s="1"/>
  <c r="G1033" i="13" s="1"/>
  <c r="G1034" i="13" s="1"/>
  <c r="G1035" i="13" s="1"/>
  <c r="G1036" i="13" s="1"/>
  <c r="G1037" i="13" s="1"/>
  <c r="G1038" i="13" s="1"/>
  <c r="G1039" i="13" s="1"/>
  <c r="G1040" i="13" s="1"/>
  <c r="G1041" i="13" s="1"/>
  <c r="G1042" i="13" s="1"/>
  <c r="G1043" i="13" s="1"/>
  <c r="G1044" i="13" s="1"/>
  <c r="G1045" i="13" s="1"/>
  <c r="G1046" i="13" s="1"/>
  <c r="G1047" i="13" s="1"/>
  <c r="G1048" i="13" s="1"/>
  <c r="G1049" i="13" s="1"/>
  <c r="G1050" i="13" s="1"/>
  <c r="G1051" i="13" s="1"/>
  <c r="G1052" i="13" s="1"/>
  <c r="G1053" i="13" s="1"/>
  <c r="G1054" i="13" s="1"/>
  <c r="G1055" i="13" s="1"/>
  <c r="G1056" i="13" s="1"/>
  <c r="G1057" i="13" s="1"/>
  <c r="G1058" i="13" s="1"/>
  <c r="G1059" i="13" s="1"/>
  <c r="G1060" i="13" s="1"/>
  <c r="G1061" i="13" s="1"/>
  <c r="G1062" i="13" s="1"/>
  <c r="G1063" i="13" s="1"/>
  <c r="G1064" i="13" s="1"/>
  <c r="G1065" i="13" s="1"/>
  <c r="G1066" i="13" s="1"/>
  <c r="G1067" i="13" s="1"/>
  <c r="G1068" i="13" s="1"/>
  <c r="G1069" i="13" s="1"/>
  <c r="G1070" i="13" s="1"/>
  <c r="G1071" i="13" s="1"/>
  <c r="G1072" i="13" s="1"/>
  <c r="G1073" i="13" s="1"/>
  <c r="G1074" i="13" s="1"/>
  <c r="G1075" i="13" s="1"/>
  <c r="G1076" i="13" s="1"/>
  <c r="G1077" i="13" s="1"/>
  <c r="G1078" i="13" s="1"/>
  <c r="G1079" i="13" s="1"/>
  <c r="G1080" i="13" s="1"/>
  <c r="G1081" i="13" s="1"/>
  <c r="G1082" i="13" s="1"/>
  <c r="G1083" i="13" s="1"/>
  <c r="G1084" i="13" s="1"/>
  <c r="G1085" i="13" s="1"/>
  <c r="G1086" i="13" s="1"/>
  <c r="G1087" i="13" s="1"/>
  <c r="G1088" i="13" s="1"/>
  <c r="G1089" i="13" s="1"/>
  <c r="G1090" i="13" s="1"/>
  <c r="G1091" i="13" s="1"/>
  <c r="G1092" i="13" s="1"/>
  <c r="G1093" i="13" s="1"/>
  <c r="G1094" i="13" s="1"/>
  <c r="G1095" i="13" s="1"/>
  <c r="G1096" i="13" s="1"/>
  <c r="G1097" i="13" s="1"/>
  <c r="G1098" i="13" s="1"/>
  <c r="G1099" i="13" s="1"/>
  <c r="G1100" i="13" s="1"/>
  <c r="G1101" i="13" s="1"/>
  <c r="G1102" i="13" s="1"/>
  <c r="G1103" i="13" s="1"/>
  <c r="G1104" i="13" s="1"/>
  <c r="G1105" i="13" s="1"/>
  <c r="G1106" i="13" s="1"/>
  <c r="G1107" i="13" s="1"/>
  <c r="G1108" i="13" s="1"/>
  <c r="G1109" i="13" s="1"/>
  <c r="G1110" i="13" s="1"/>
  <c r="G1111" i="13" s="1"/>
  <c r="G1112" i="13" s="1"/>
  <c r="G1113" i="13" s="1"/>
  <c r="G1114" i="13" s="1"/>
  <c r="G1115" i="13" s="1"/>
  <c r="G1116" i="13" s="1"/>
  <c r="G1117" i="13" s="1"/>
  <c r="G1118" i="13" s="1"/>
  <c r="G1119" i="13" s="1"/>
  <c r="G1120" i="13" s="1"/>
  <c r="G1121" i="13" s="1"/>
  <c r="G1122" i="13" s="1"/>
  <c r="G1123" i="13" s="1"/>
  <c r="G1124" i="13" s="1"/>
  <c r="G1125" i="13" s="1"/>
  <c r="G1126" i="13" s="1"/>
  <c r="G1127" i="13" s="1"/>
  <c r="G1128" i="13" s="1"/>
  <c r="G1129" i="13" s="1"/>
  <c r="G1130" i="13" s="1"/>
  <c r="G1131" i="13" s="1"/>
  <c r="G1132" i="13" s="1"/>
  <c r="G1133" i="13" s="1"/>
  <c r="G1134" i="13" s="1"/>
  <c r="G1135" i="13" s="1"/>
  <c r="G1136" i="13" s="1"/>
  <c r="G1137" i="13" s="1"/>
  <c r="G1138" i="13" s="1"/>
  <c r="G1139" i="13" s="1"/>
  <c r="G1140" i="13" s="1"/>
  <c r="G1141" i="13" s="1"/>
  <c r="G1142" i="13" s="1"/>
  <c r="G1143" i="13" s="1"/>
  <c r="G1144" i="13" s="1"/>
  <c r="G1145" i="13" s="1"/>
  <c r="G1146" i="13" s="1"/>
  <c r="G1147" i="13" s="1"/>
  <c r="G1148" i="13" s="1"/>
  <c r="G1149" i="13" s="1"/>
  <c r="G1150" i="13" s="1"/>
  <c r="G1151" i="13" s="1"/>
  <c r="G1152" i="13" s="1"/>
  <c r="G1153" i="13" s="1"/>
  <c r="G1154" i="13" s="1"/>
  <c r="G1155" i="13" s="1"/>
  <c r="G1156" i="13" s="1"/>
  <c r="G1157" i="13" s="1"/>
  <c r="G1158" i="13" s="1"/>
  <c r="G1159" i="13" s="1"/>
  <c r="G1160" i="13" s="1"/>
  <c r="G1161" i="13" s="1"/>
  <c r="G1162" i="13" s="1"/>
  <c r="G1163" i="13" s="1"/>
  <c r="G1164" i="13" s="1"/>
  <c r="G1165" i="13" s="1"/>
  <c r="G1166" i="13" s="1"/>
  <c r="G1167" i="13" s="1"/>
  <c r="G1168" i="13" s="1"/>
  <c r="G1169" i="13" s="1"/>
  <c r="G1170" i="13" s="1"/>
  <c r="G1171" i="13" s="1"/>
  <c r="G1172" i="13" s="1"/>
  <c r="G1173" i="13" s="1"/>
  <c r="G1174" i="13" s="1"/>
  <c r="G1175" i="13" s="1"/>
  <c r="G1176" i="13" s="1"/>
  <c r="G1177" i="13" s="1"/>
  <c r="G1178" i="13" s="1"/>
  <c r="G1179" i="13" s="1"/>
  <c r="G1180" i="13" s="1"/>
  <c r="G1181" i="13" s="1"/>
  <c r="G1182" i="13" s="1"/>
  <c r="G1183" i="13" s="1"/>
  <c r="G1184" i="13" s="1"/>
  <c r="G1185" i="13" s="1"/>
  <c r="G1186" i="13" s="1"/>
  <c r="G1187" i="13" s="1"/>
  <c r="G1188" i="13" s="1"/>
  <c r="G1189" i="13" s="1"/>
  <c r="G1190" i="13" s="1"/>
  <c r="G1191" i="13" s="1"/>
  <c r="G1192" i="13" s="1"/>
  <c r="G1193" i="13" s="1"/>
  <c r="G1194" i="13" s="1"/>
  <c r="G1195" i="13" s="1"/>
  <c r="G1196" i="13" s="1"/>
  <c r="G1197" i="13" s="1"/>
  <c r="G1198" i="13" s="1"/>
  <c r="G1199" i="13" s="1"/>
  <c r="G1200" i="13" s="1"/>
  <c r="G1201" i="13" s="1"/>
  <c r="G1202" i="13" s="1"/>
  <c r="G1203" i="13" s="1"/>
  <c r="G1204" i="13" s="1"/>
  <c r="G1205" i="13" s="1"/>
  <c r="G1206" i="13" s="1"/>
  <c r="G1207" i="13" s="1"/>
  <c r="G1208" i="13" s="1"/>
  <c r="G1209" i="13" s="1"/>
  <c r="G1210" i="13" s="1"/>
  <c r="G1211" i="13" s="1"/>
  <c r="G1212" i="13" s="1"/>
  <c r="G1213" i="13" s="1"/>
  <c r="G1214" i="13" s="1"/>
  <c r="G1215" i="13" s="1"/>
  <c r="G1216" i="13" s="1"/>
  <c r="G1217" i="13" s="1"/>
  <c r="G1218" i="13" s="1"/>
  <c r="G1219" i="13" s="1"/>
  <c r="C113" i="13"/>
  <c r="C112" i="13"/>
  <c r="C111" i="13"/>
  <c r="C110" i="13"/>
  <c r="C109" i="13"/>
  <c r="E6" i="6"/>
  <c r="E7" i="6"/>
  <c r="E10" i="6"/>
  <c r="E14" i="6"/>
  <c r="E17" i="6"/>
  <c r="E22" i="6"/>
  <c r="E24" i="6"/>
  <c r="E25" i="6"/>
  <c r="N6" i="3"/>
  <c r="H29" i="3"/>
  <c r="L12" i="4"/>
  <c r="J59" i="4"/>
  <c r="K64" i="4"/>
  <c r="F20" i="5"/>
  <c r="K20" i="5"/>
  <c r="K28" i="5"/>
  <c r="M28" i="5" s="1"/>
  <c r="U3" i="6"/>
  <c r="H12" i="3"/>
  <c r="N15" i="3"/>
  <c r="G12" i="4"/>
  <c r="G21" i="4"/>
  <c r="G22" i="4"/>
  <c r="G41" i="4"/>
  <c r="M53" i="4"/>
  <c r="K55" i="4"/>
  <c r="L56" i="4"/>
  <c r="M56" i="4" s="1"/>
  <c r="K63" i="4"/>
  <c r="M65" i="4"/>
  <c r="K23" i="5"/>
  <c r="K27" i="5"/>
  <c r="K31" i="5"/>
  <c r="L5" i="6"/>
  <c r="P5" i="6"/>
  <c r="T5" i="6"/>
  <c r="X5" i="6"/>
  <c r="AB5" i="6"/>
  <c r="L6" i="6"/>
  <c r="P6" i="6"/>
  <c r="T6" i="6"/>
  <c r="X6" i="6"/>
  <c r="AB6" i="6"/>
  <c r="L7" i="6"/>
  <c r="P7" i="6"/>
  <c r="T7" i="6"/>
  <c r="X7" i="6"/>
  <c r="AB7" i="6"/>
  <c r="L8" i="6"/>
  <c r="P8" i="6"/>
  <c r="T8" i="6"/>
  <c r="X8" i="6"/>
  <c r="AB8" i="6"/>
  <c r="L9" i="6"/>
  <c r="P9" i="6"/>
  <c r="T9" i="6"/>
  <c r="X9" i="6"/>
  <c r="AB9" i="6"/>
  <c r="L10" i="6"/>
  <c r="P10" i="6"/>
  <c r="T10" i="6"/>
  <c r="X10" i="6"/>
  <c r="AB10" i="6"/>
  <c r="L11" i="6"/>
  <c r="P11" i="6"/>
  <c r="T11" i="6"/>
  <c r="X11" i="6"/>
  <c r="AB11" i="6"/>
  <c r="L12" i="6"/>
  <c r="P12" i="6"/>
  <c r="T12" i="6"/>
  <c r="X12" i="6"/>
  <c r="AB12" i="6"/>
  <c r="L14" i="6"/>
  <c r="P14" i="6"/>
  <c r="T14" i="6"/>
  <c r="X14" i="6"/>
  <c r="AB14" i="6"/>
  <c r="L15" i="6"/>
  <c r="P15" i="6"/>
  <c r="T15" i="6"/>
  <c r="X15" i="6"/>
  <c r="AB15" i="6"/>
  <c r="L16" i="6"/>
  <c r="P16" i="6"/>
  <c r="T16" i="6"/>
  <c r="X16" i="6"/>
  <c r="AB16" i="6"/>
  <c r="L17" i="6"/>
  <c r="P17" i="6"/>
  <c r="T17" i="6"/>
  <c r="X17" i="6"/>
  <c r="AB17" i="6"/>
  <c r="L18" i="6"/>
  <c r="P18" i="6"/>
  <c r="T18" i="6"/>
  <c r="X18" i="6"/>
  <c r="AB18" i="6"/>
  <c r="L19" i="6"/>
  <c r="P19" i="6"/>
  <c r="T19" i="6"/>
  <c r="X19" i="6"/>
  <c r="AB19" i="6"/>
  <c r="L20" i="6"/>
  <c r="P20" i="6"/>
  <c r="T20" i="6"/>
  <c r="X20" i="6"/>
  <c r="AB20" i="6"/>
  <c r="L21" i="6"/>
  <c r="P21" i="6"/>
  <c r="T21" i="6"/>
  <c r="X21" i="6"/>
  <c r="AB21" i="6"/>
  <c r="L22" i="6"/>
  <c r="P22" i="6"/>
  <c r="T22" i="6"/>
  <c r="X22" i="6"/>
  <c r="AB22" i="6"/>
  <c r="L23" i="6"/>
  <c r="P23" i="6"/>
  <c r="T23" i="6"/>
  <c r="X23" i="6"/>
  <c r="AB23" i="6"/>
  <c r="L24" i="6"/>
  <c r="P24" i="6"/>
  <c r="T24" i="6"/>
  <c r="X24" i="6"/>
  <c r="AB24" i="6"/>
  <c r="L25" i="6"/>
  <c r="P25" i="6"/>
  <c r="T25" i="6"/>
  <c r="X25" i="6"/>
  <c r="AB25" i="6"/>
  <c r="L26" i="6"/>
  <c r="P26" i="6"/>
  <c r="T26" i="6"/>
  <c r="X26" i="6"/>
  <c r="AB26" i="6"/>
  <c r="L27" i="6"/>
  <c r="P27" i="6"/>
  <c r="T27" i="6"/>
  <c r="X27" i="6"/>
  <c r="AB27" i="6"/>
  <c r="L28" i="6"/>
  <c r="P28" i="6"/>
  <c r="T28" i="6"/>
  <c r="X28" i="6"/>
  <c r="AB28" i="6"/>
  <c r="L29" i="6"/>
  <c r="P29" i="6"/>
  <c r="T29" i="6"/>
  <c r="X29" i="6"/>
  <c r="AB29" i="6"/>
  <c r="L30" i="6"/>
  <c r="P30" i="6"/>
  <c r="T30" i="6"/>
  <c r="X30" i="6"/>
  <c r="AB30" i="6"/>
  <c r="L31" i="6"/>
  <c r="P31" i="6"/>
  <c r="T31" i="6"/>
  <c r="X31" i="6"/>
  <c r="AB31" i="6"/>
  <c r="L33" i="6"/>
  <c r="P33" i="6"/>
  <c r="T33" i="6"/>
  <c r="X33" i="6"/>
  <c r="AB33" i="6"/>
  <c r="L34" i="6"/>
  <c r="P34" i="6"/>
  <c r="T34" i="6"/>
  <c r="X34" i="6"/>
  <c r="AB34" i="6"/>
  <c r="L35" i="6"/>
  <c r="P35" i="6"/>
  <c r="T35" i="6"/>
  <c r="X35" i="6"/>
  <c r="AB35" i="6"/>
  <c r="L36" i="6"/>
  <c r="P36" i="6"/>
  <c r="T36" i="6"/>
  <c r="X36" i="6"/>
  <c r="AB36" i="6"/>
  <c r="L37" i="6"/>
  <c r="P37" i="6"/>
  <c r="T37" i="6"/>
  <c r="X37" i="6"/>
  <c r="AB37" i="6"/>
  <c r="L38" i="6"/>
  <c r="P38" i="6"/>
  <c r="T38" i="6"/>
  <c r="X38" i="6"/>
  <c r="AB38" i="6"/>
  <c r="L39" i="6"/>
  <c r="P39" i="6"/>
  <c r="T39" i="6"/>
  <c r="X39" i="6"/>
  <c r="AB39" i="6"/>
  <c r="L40" i="6"/>
  <c r="P40" i="6"/>
  <c r="T40" i="6"/>
  <c r="X40" i="6"/>
  <c r="AB40" i="6"/>
  <c r="L41" i="6"/>
  <c r="P41" i="6"/>
  <c r="T41" i="6"/>
  <c r="X41" i="6"/>
  <c r="AB41" i="6"/>
  <c r="L42" i="6"/>
  <c r="P42" i="6"/>
  <c r="T42" i="6"/>
  <c r="X42" i="6"/>
  <c r="AB42" i="6"/>
  <c r="L43" i="6"/>
  <c r="P43" i="6"/>
  <c r="T43" i="6"/>
  <c r="X43" i="6"/>
  <c r="AB43" i="6"/>
  <c r="E439" i="10"/>
  <c r="I439" i="10"/>
  <c r="E443" i="10"/>
  <c r="I443" i="10"/>
  <c r="E447" i="10"/>
  <c r="I447" i="10"/>
  <c r="E451" i="10"/>
  <c r="I451" i="10"/>
  <c r="E455" i="10"/>
  <c r="I455" i="10"/>
  <c r="E459" i="10"/>
  <c r="I459" i="10"/>
  <c r="E463" i="10"/>
  <c r="I463" i="10"/>
  <c r="E467" i="10"/>
  <c r="I467" i="10"/>
  <c r="E471" i="10"/>
  <c r="I471" i="10"/>
  <c r="E475" i="10"/>
  <c r="I475" i="10"/>
  <c r="E479" i="10"/>
  <c r="I479" i="10"/>
  <c r="E483" i="10"/>
  <c r="I483" i="10"/>
  <c r="E487" i="10"/>
  <c r="I487" i="10"/>
  <c r="E491" i="10"/>
  <c r="I491" i="10"/>
  <c r="E495" i="10"/>
  <c r="I495" i="10"/>
  <c r="E499" i="10"/>
  <c r="I499" i="10"/>
  <c r="E503" i="10"/>
  <c r="I503" i="10"/>
  <c r="E507" i="10"/>
  <c r="I507" i="10"/>
  <c r="E511" i="10"/>
  <c r="I511" i="10"/>
  <c r="E515" i="10"/>
  <c r="I515" i="10"/>
  <c r="E519" i="10"/>
  <c r="I519" i="10"/>
  <c r="E523" i="10"/>
  <c r="I523" i="10"/>
  <c r="E527" i="10"/>
  <c r="I527" i="10"/>
  <c r="E531" i="10"/>
  <c r="I531" i="10"/>
  <c r="E535" i="10"/>
  <c r="I535" i="10"/>
  <c r="E539" i="10"/>
  <c r="I539" i="10"/>
  <c r="E543" i="10"/>
  <c r="I543" i="10"/>
  <c r="E547" i="10"/>
  <c r="I547" i="10"/>
  <c r="E551" i="10"/>
  <c r="I551" i="10"/>
  <c r="E555" i="10"/>
  <c r="I555" i="10"/>
  <c r="E559" i="10"/>
  <c r="I559" i="10"/>
  <c r="E563" i="10"/>
  <c r="I563" i="10"/>
  <c r="E567" i="10"/>
  <c r="I567" i="10"/>
  <c r="E571" i="10"/>
  <c r="I571" i="10"/>
  <c r="E575" i="10"/>
  <c r="I575" i="10"/>
  <c r="E579" i="10"/>
  <c r="I579" i="10"/>
  <c r="E583" i="10"/>
  <c r="I583" i="10"/>
  <c r="E587" i="10"/>
  <c r="I587" i="10"/>
  <c r="E591" i="10"/>
  <c r="I591" i="10"/>
  <c r="E595" i="10"/>
  <c r="I595" i="10"/>
  <c r="E599" i="10"/>
  <c r="I599" i="10"/>
  <c r="E603" i="10"/>
  <c r="I603" i="10"/>
  <c r="E607" i="10"/>
  <c r="I607" i="10"/>
  <c r="E611" i="10"/>
  <c r="I611" i="10"/>
  <c r="E615" i="10"/>
  <c r="I615" i="10"/>
  <c r="E619" i="10"/>
  <c r="I619" i="10"/>
  <c r="E623" i="10"/>
  <c r="I623" i="10"/>
  <c r="E627" i="10"/>
  <c r="I627" i="10"/>
  <c r="E631" i="10"/>
  <c r="I631" i="10"/>
  <c r="E635" i="10"/>
  <c r="I635" i="10"/>
  <c r="E639" i="10"/>
  <c r="I639" i="10"/>
  <c r="E643" i="10"/>
  <c r="I643" i="10"/>
  <c r="E647" i="10"/>
  <c r="I647" i="10"/>
  <c r="E651" i="10"/>
  <c r="I651" i="10"/>
  <c r="E655" i="10"/>
  <c r="I655" i="10"/>
  <c r="E659" i="10"/>
  <c r="I659" i="10"/>
  <c r="E663" i="10"/>
  <c r="I663" i="10"/>
  <c r="E667" i="10"/>
  <c r="I667" i="10"/>
  <c r="E671" i="10"/>
  <c r="I671" i="10"/>
  <c r="E675" i="10"/>
  <c r="I675" i="10"/>
  <c r="E679" i="10"/>
  <c r="I679" i="10"/>
  <c r="E683" i="10"/>
  <c r="I683" i="10"/>
  <c r="E687" i="10"/>
  <c r="I687" i="10"/>
  <c r="E691" i="10"/>
  <c r="I691" i="10"/>
  <c r="E695" i="10"/>
  <c r="I695" i="10"/>
  <c r="E699" i="10"/>
  <c r="I699" i="10"/>
  <c r="E703" i="10"/>
  <c r="I703" i="10"/>
  <c r="E707" i="10"/>
  <c r="I707" i="10"/>
  <c r="E711" i="10"/>
  <c r="I711" i="10"/>
  <c r="E715" i="10"/>
  <c r="I715" i="10"/>
  <c r="E719" i="10"/>
  <c r="I719" i="10"/>
  <c r="E723" i="10"/>
  <c r="I723" i="10"/>
  <c r="E727" i="10"/>
  <c r="I727" i="10"/>
  <c r="E731" i="10"/>
  <c r="I731" i="10"/>
  <c r="E735" i="10"/>
  <c r="I735" i="10"/>
  <c r="E739" i="10"/>
  <c r="I739" i="10"/>
  <c r="E743" i="10"/>
  <c r="I743" i="10"/>
  <c r="E747" i="10"/>
  <c r="I747" i="10"/>
  <c r="E751" i="10"/>
  <c r="I751" i="10"/>
  <c r="E755" i="10"/>
  <c r="I755" i="10"/>
  <c r="E759" i="10"/>
  <c r="I759" i="10"/>
  <c r="E763" i="10"/>
  <c r="I763" i="10"/>
  <c r="E767" i="10"/>
  <c r="I767" i="10"/>
  <c r="E771" i="10"/>
  <c r="I771" i="10"/>
  <c r="E775" i="10"/>
  <c r="I775" i="10"/>
  <c r="E779" i="10"/>
  <c r="I779" i="10"/>
  <c r="E783" i="10"/>
  <c r="I783" i="10"/>
  <c r="E787" i="10"/>
  <c r="I787" i="10"/>
  <c r="E791" i="10"/>
  <c r="I791" i="10"/>
  <c r="E795" i="10"/>
  <c r="I795" i="10"/>
  <c r="E799" i="10"/>
  <c r="I799" i="10"/>
  <c r="E803" i="10"/>
  <c r="I803" i="10"/>
  <c r="E807" i="10"/>
  <c r="I807" i="10"/>
  <c r="E811" i="10"/>
  <c r="I811" i="10"/>
  <c r="E815" i="10"/>
  <c r="I815" i="10"/>
  <c r="E819" i="10"/>
  <c r="I819" i="10"/>
  <c r="E823" i="10"/>
  <c r="I823" i="10"/>
  <c r="E827" i="10"/>
  <c r="I827" i="10"/>
  <c r="E831" i="10"/>
  <c r="I831" i="10"/>
  <c r="E835" i="10"/>
  <c r="I835" i="10"/>
  <c r="E839" i="10"/>
  <c r="I839" i="10"/>
  <c r="E843" i="10"/>
  <c r="I843" i="10"/>
  <c r="E847" i="10"/>
  <c r="I847" i="10"/>
  <c r="E851" i="10"/>
  <c r="I851" i="10"/>
  <c r="E855" i="10"/>
  <c r="I855" i="10"/>
  <c r="E859" i="10"/>
  <c r="I859" i="10"/>
  <c r="E863" i="10"/>
  <c r="I863" i="10"/>
  <c r="E867" i="10"/>
  <c r="I867" i="10"/>
  <c r="E871" i="10"/>
  <c r="I871" i="10"/>
  <c r="E875" i="10"/>
  <c r="I875" i="10"/>
  <c r="E879" i="10"/>
  <c r="I879" i="10"/>
  <c r="E883" i="10"/>
  <c r="I883" i="10"/>
  <c r="E887" i="10"/>
  <c r="I887" i="10"/>
  <c r="E891" i="10"/>
  <c r="I891" i="10"/>
  <c r="E895" i="10"/>
  <c r="I895" i="10"/>
  <c r="E899" i="10"/>
  <c r="I899" i="10"/>
  <c r="E903" i="10"/>
  <c r="I903" i="10"/>
  <c r="E907" i="10"/>
  <c r="I907" i="10"/>
  <c r="E911" i="10"/>
  <c r="I911" i="10"/>
  <c r="E915" i="10"/>
  <c r="I915" i="10"/>
  <c r="E919" i="10"/>
  <c r="I919" i="10"/>
  <c r="E923" i="10"/>
  <c r="I923" i="10"/>
  <c r="E927" i="10"/>
  <c r="I927" i="10"/>
  <c r="E931" i="10"/>
  <c r="I931" i="10"/>
  <c r="E935" i="10"/>
  <c r="I935" i="10"/>
  <c r="E939" i="10"/>
  <c r="I939" i="10"/>
  <c r="E943" i="10"/>
  <c r="I943" i="10"/>
  <c r="E947" i="10"/>
  <c r="I947" i="10"/>
  <c r="E951" i="10"/>
  <c r="I951" i="10"/>
  <c r="E955" i="10"/>
  <c r="I955" i="10"/>
  <c r="E959" i="10"/>
  <c r="I959" i="10"/>
  <c r="E963" i="10"/>
  <c r="I963" i="10"/>
  <c r="E967" i="10"/>
  <c r="I967" i="10"/>
  <c r="E971" i="10"/>
  <c r="I971" i="10"/>
  <c r="E975" i="10"/>
  <c r="I975" i="10"/>
  <c r="E979" i="10"/>
  <c r="I979" i="10"/>
  <c r="E983" i="10"/>
  <c r="I983" i="10"/>
  <c r="E987" i="10"/>
  <c r="I987" i="10"/>
  <c r="E991" i="10"/>
  <c r="I991" i="10"/>
  <c r="E995" i="10"/>
  <c r="I995" i="10"/>
  <c r="E999" i="10"/>
  <c r="I999" i="10"/>
  <c r="E1003" i="10"/>
  <c r="I1003" i="10"/>
  <c r="E1007" i="10"/>
  <c r="I1007" i="10"/>
  <c r="E1011" i="10"/>
  <c r="I1011" i="10"/>
  <c r="E1015" i="10"/>
  <c r="I1015" i="10"/>
  <c r="E1019" i="10"/>
  <c r="I1019" i="10"/>
  <c r="E1023" i="10"/>
  <c r="I1023" i="10"/>
  <c r="E1027" i="10"/>
  <c r="I1027" i="10"/>
  <c r="E1031" i="10"/>
  <c r="I1031" i="10"/>
  <c r="E1035" i="10"/>
  <c r="I1035" i="10"/>
  <c r="E1039" i="10"/>
  <c r="I1039" i="10"/>
  <c r="E1043" i="10"/>
  <c r="I1043" i="10"/>
  <c r="E1047" i="10"/>
  <c r="I1047" i="10"/>
  <c r="E1051" i="10"/>
  <c r="I1051" i="10"/>
  <c r="E1055" i="10"/>
  <c r="I1055" i="10"/>
  <c r="E1059" i="10"/>
  <c r="I1059" i="10"/>
  <c r="E1063" i="10"/>
  <c r="I1063" i="10"/>
  <c r="E1067" i="10"/>
  <c r="I1067" i="10"/>
  <c r="E1071" i="10"/>
  <c r="I1071" i="10"/>
  <c r="E1075" i="10"/>
  <c r="I1075" i="10"/>
  <c r="E1079" i="10"/>
  <c r="I1079" i="10"/>
  <c r="E1083" i="10"/>
  <c r="I1083" i="10"/>
  <c r="E1087" i="10"/>
  <c r="I1087" i="10"/>
  <c r="E1091" i="10"/>
  <c r="I1091" i="10"/>
  <c r="E1095" i="10"/>
  <c r="I1095" i="10"/>
  <c r="E1099" i="10"/>
  <c r="I1099" i="10"/>
  <c r="E1103" i="10"/>
  <c r="I1103" i="10"/>
  <c r="I1125" i="10"/>
  <c r="E1125" i="10"/>
  <c r="E9" i="6"/>
  <c r="E12" i="6"/>
  <c r="E15" i="6"/>
  <c r="E16" i="6"/>
  <c r="E26" i="6"/>
  <c r="E27" i="6"/>
  <c r="E12" i="10"/>
  <c r="E16" i="10"/>
  <c r="E20" i="10"/>
  <c r="E24" i="10"/>
  <c r="E28" i="10"/>
  <c r="E32" i="10"/>
  <c r="E36" i="10"/>
  <c r="E40" i="10"/>
  <c r="E44" i="10"/>
  <c r="E48" i="10"/>
  <c r="E52" i="10"/>
  <c r="E56" i="10"/>
  <c r="E60" i="10"/>
  <c r="E64" i="10"/>
  <c r="E68" i="10"/>
  <c r="E72" i="10"/>
  <c r="E76" i="10"/>
  <c r="E80" i="10"/>
  <c r="E84" i="10"/>
  <c r="E88" i="10"/>
  <c r="E92" i="10"/>
  <c r="E96" i="10"/>
  <c r="E100" i="10"/>
  <c r="E104" i="10"/>
  <c r="E108" i="10"/>
  <c r="E112" i="10"/>
  <c r="E116" i="10"/>
  <c r="E120" i="10"/>
  <c r="E124" i="10"/>
  <c r="E128" i="10"/>
  <c r="E132" i="10"/>
  <c r="E136" i="10"/>
  <c r="E140" i="10"/>
  <c r="E144" i="10"/>
  <c r="E148" i="10"/>
  <c r="E152" i="10"/>
  <c r="E156" i="10"/>
  <c r="E160" i="10"/>
  <c r="E164" i="10"/>
  <c r="E168" i="10"/>
  <c r="E172" i="10"/>
  <c r="E176" i="10"/>
  <c r="E180" i="10"/>
  <c r="E184" i="10"/>
  <c r="E188" i="10"/>
  <c r="E192" i="10"/>
  <c r="E196" i="10"/>
  <c r="E200" i="10"/>
  <c r="E204" i="10"/>
  <c r="E208" i="10"/>
  <c r="E212" i="10"/>
  <c r="E216" i="10"/>
  <c r="E220" i="10"/>
  <c r="E224" i="10"/>
  <c r="E228" i="10"/>
  <c r="E232" i="10"/>
  <c r="E236" i="10"/>
  <c r="E240" i="10"/>
  <c r="E244" i="10"/>
  <c r="E248" i="10"/>
  <c r="E252" i="10"/>
  <c r="E256" i="10"/>
  <c r="E260" i="10"/>
  <c r="E264" i="10"/>
  <c r="E268" i="10"/>
  <c r="E272" i="10"/>
  <c r="E276" i="10"/>
  <c r="E280" i="10"/>
  <c r="E284" i="10"/>
  <c r="E288" i="10"/>
  <c r="E292" i="10"/>
  <c r="E296" i="10"/>
  <c r="E300" i="10"/>
  <c r="E304" i="10"/>
  <c r="E308" i="10"/>
  <c r="E312" i="10"/>
  <c r="E316" i="10"/>
  <c r="E320" i="10"/>
  <c r="E324" i="10"/>
  <c r="E328" i="10"/>
  <c r="E332" i="10"/>
  <c r="E336" i="10"/>
  <c r="E340" i="10"/>
  <c r="E344" i="10"/>
  <c r="E348" i="10"/>
  <c r="E352" i="10"/>
  <c r="E356" i="10"/>
  <c r="E360" i="10"/>
  <c r="E364" i="10"/>
  <c r="E368" i="10"/>
  <c r="E372" i="10"/>
  <c r="E376" i="10"/>
  <c r="E380" i="10"/>
  <c r="E384" i="10"/>
  <c r="E388" i="10"/>
  <c r="E392" i="10"/>
  <c r="E396" i="10"/>
  <c r="E400" i="10"/>
  <c r="E404" i="10"/>
  <c r="E408" i="10"/>
  <c r="E412" i="10"/>
  <c r="E416" i="10"/>
  <c r="E420" i="10"/>
  <c r="E424" i="10"/>
  <c r="E428" i="10"/>
  <c r="E432" i="10"/>
  <c r="E436" i="10"/>
  <c r="E440" i="10"/>
  <c r="E444" i="10"/>
  <c r="E512" i="10"/>
  <c r="E516" i="10"/>
  <c r="E520" i="10"/>
  <c r="E524" i="10"/>
  <c r="E528" i="10"/>
  <c r="E532" i="10"/>
  <c r="E536" i="10"/>
  <c r="E540" i="10"/>
  <c r="E544" i="10"/>
  <c r="E548" i="10"/>
  <c r="E552" i="10"/>
  <c r="E556" i="10"/>
  <c r="E560" i="10"/>
  <c r="E564" i="10"/>
  <c r="E568" i="10"/>
  <c r="E572" i="10"/>
  <c r="E576" i="10"/>
  <c r="E580" i="10"/>
  <c r="E584" i="10"/>
  <c r="E588" i="10"/>
  <c r="E592" i="10"/>
  <c r="E596" i="10"/>
  <c r="E600" i="10"/>
  <c r="E604" i="10"/>
  <c r="E608" i="10"/>
  <c r="E612" i="10"/>
  <c r="E616" i="10"/>
  <c r="E620" i="10"/>
  <c r="E624" i="10"/>
  <c r="E628" i="10"/>
  <c r="E632" i="10"/>
  <c r="E636" i="10"/>
  <c r="E640" i="10"/>
  <c r="E644" i="10"/>
  <c r="E648" i="10"/>
  <c r="E652" i="10"/>
  <c r="E656" i="10"/>
  <c r="E660" i="10"/>
  <c r="E664" i="10"/>
  <c r="E668" i="10"/>
  <c r="E672" i="10"/>
  <c r="E676" i="10"/>
  <c r="E680" i="10"/>
  <c r="E684" i="10"/>
  <c r="E688" i="10"/>
  <c r="E692" i="10"/>
  <c r="E696" i="10"/>
  <c r="E700" i="10"/>
  <c r="E704" i="10"/>
  <c r="E708" i="10"/>
  <c r="E712" i="10"/>
  <c r="E716" i="10"/>
  <c r="E720" i="10"/>
  <c r="E724" i="10"/>
  <c r="E728" i="10"/>
  <c r="E732" i="10"/>
  <c r="E736" i="10"/>
  <c r="E740" i="10"/>
  <c r="E744" i="10"/>
  <c r="E748" i="10"/>
  <c r="E752" i="10"/>
  <c r="E756" i="10"/>
  <c r="E760" i="10"/>
  <c r="E764" i="10"/>
  <c r="E768" i="10"/>
  <c r="E772" i="10"/>
  <c r="E776" i="10"/>
  <c r="E780" i="10"/>
  <c r="E784" i="10"/>
  <c r="E788" i="10"/>
  <c r="E792" i="10"/>
  <c r="E796" i="10"/>
  <c r="E800" i="10"/>
  <c r="E804" i="10"/>
  <c r="E808" i="10"/>
  <c r="E812" i="10"/>
  <c r="E816" i="10"/>
  <c r="E820" i="10"/>
  <c r="E824" i="10"/>
  <c r="E828" i="10"/>
  <c r="E832" i="10"/>
  <c r="E836" i="10"/>
  <c r="E840" i="10"/>
  <c r="E844" i="10"/>
  <c r="E848" i="10"/>
  <c r="E852" i="10"/>
  <c r="E856" i="10"/>
  <c r="E860" i="10"/>
  <c r="E864" i="10"/>
  <c r="E868" i="10"/>
  <c r="E872" i="10"/>
  <c r="E876" i="10"/>
  <c r="E880" i="10"/>
  <c r="E884" i="10"/>
  <c r="E888" i="10"/>
  <c r="E892" i="10"/>
  <c r="E896" i="10"/>
  <c r="E900" i="10"/>
  <c r="E904" i="10"/>
  <c r="E908" i="10"/>
  <c r="E912" i="10"/>
  <c r="E916" i="10"/>
  <c r="E920" i="10"/>
  <c r="E924" i="10"/>
  <c r="E928" i="10"/>
  <c r="E932" i="10"/>
  <c r="E936" i="10"/>
  <c r="E940" i="10"/>
  <c r="E944" i="10"/>
  <c r="E948" i="10"/>
  <c r="E952" i="10"/>
  <c r="E956" i="10"/>
  <c r="E960" i="10"/>
  <c r="E964" i="10"/>
  <c r="E968" i="10"/>
  <c r="E972" i="10"/>
  <c r="E976" i="10"/>
  <c r="E980" i="10"/>
  <c r="E984" i="10"/>
  <c r="E988" i="10"/>
  <c r="E992" i="10"/>
  <c r="E996" i="10"/>
  <c r="E1000" i="10"/>
  <c r="E1004" i="10"/>
  <c r="E1008" i="10"/>
  <c r="E1012" i="10"/>
  <c r="E1016" i="10"/>
  <c r="E1020" i="10"/>
  <c r="E1032" i="10"/>
  <c r="E1036" i="10"/>
  <c r="E1040" i="10"/>
  <c r="E1084" i="10"/>
  <c r="E1088" i="10"/>
  <c r="E1092" i="10"/>
  <c r="E1096" i="10"/>
  <c r="E1100" i="10"/>
  <c r="E1104" i="10"/>
  <c r="E1108" i="10"/>
  <c r="E1112" i="10"/>
  <c r="E1116" i="10"/>
  <c r="N1171" i="10"/>
  <c r="N1167" i="10"/>
  <c r="N1163" i="10"/>
  <c r="N1159" i="10"/>
  <c r="N1155" i="10"/>
  <c r="N1151" i="10"/>
  <c r="N1147" i="10"/>
  <c r="N1143" i="10"/>
  <c r="N1139" i="10"/>
  <c r="N1135" i="10"/>
  <c r="N1131" i="10"/>
  <c r="N1127" i="10"/>
  <c r="N1123" i="10"/>
  <c r="N1170" i="10"/>
  <c r="N1166" i="10"/>
  <c r="N1162" i="10"/>
  <c r="N1158" i="10"/>
  <c r="N1154" i="10"/>
  <c r="N1150" i="10"/>
  <c r="N1146" i="10"/>
  <c r="N1142" i="10"/>
  <c r="N1138" i="10"/>
  <c r="N1134" i="10"/>
  <c r="N1130" i="10"/>
  <c r="N1126" i="10"/>
  <c r="N1122" i="10"/>
  <c r="N1118" i="10"/>
  <c r="N1169" i="10"/>
  <c r="N1165" i="10"/>
  <c r="N1161" i="10"/>
  <c r="N1157" i="10"/>
  <c r="N1153" i="10"/>
  <c r="N1149" i="10"/>
  <c r="N1145" i="10"/>
  <c r="N1141" i="10"/>
  <c r="N1137" i="10"/>
  <c r="N1133" i="10"/>
  <c r="N1129" i="10"/>
  <c r="N1168" i="10"/>
  <c r="N1164" i="10"/>
  <c r="N1160" i="10"/>
  <c r="N1156" i="10"/>
  <c r="N1152" i="10"/>
  <c r="N1148" i="10"/>
  <c r="N1144" i="10"/>
  <c r="N1140" i="10"/>
  <c r="N1136" i="10"/>
  <c r="N1132" i="10"/>
  <c r="N1128" i="10"/>
  <c r="N1124" i="10"/>
  <c r="N1120" i="10"/>
  <c r="N17" i="3"/>
  <c r="N8" i="3"/>
  <c r="K21" i="5"/>
  <c r="K25" i="5"/>
  <c r="K29" i="5"/>
  <c r="K11" i="11"/>
  <c r="J11" i="11"/>
  <c r="M10" i="13"/>
  <c r="E1123" i="10"/>
  <c r="I1123" i="10"/>
  <c r="E1127" i="10"/>
  <c r="I1127" i="10"/>
  <c r="E1131" i="10"/>
  <c r="I1131" i="10"/>
  <c r="E1135" i="10"/>
  <c r="I1135" i="10"/>
  <c r="E1139" i="10"/>
  <c r="I1139" i="10"/>
  <c r="E1143" i="10"/>
  <c r="I1143" i="10"/>
  <c r="E1147" i="10"/>
  <c r="I1147" i="10"/>
  <c r="E1151" i="10"/>
  <c r="I1151" i="10"/>
  <c r="E1155" i="10"/>
  <c r="I1155" i="10"/>
  <c r="E1159" i="10"/>
  <c r="I1159" i="10"/>
  <c r="E1163" i="10"/>
  <c r="I1163" i="10"/>
  <c r="E1167" i="10"/>
  <c r="I1167" i="10"/>
  <c r="E1171" i="10"/>
  <c r="I1171" i="10"/>
  <c r="A92" i="11"/>
  <c r="K20" i="12"/>
  <c r="I22" i="12"/>
  <c r="I25" i="12"/>
  <c r="K27" i="12"/>
  <c r="I30" i="12"/>
  <c r="K33" i="12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G7" i="11"/>
  <c r="K19" i="12"/>
  <c r="I21" i="12"/>
  <c r="J22" i="12"/>
  <c r="K23" i="12"/>
  <c r="I24" i="12"/>
  <c r="J25" i="12"/>
  <c r="K26" i="12"/>
  <c r="I28" i="12"/>
  <c r="I29" i="12"/>
  <c r="J30" i="12"/>
  <c r="K31" i="12"/>
  <c r="K32" i="12"/>
  <c r="E1129" i="10"/>
  <c r="I1129" i="10"/>
  <c r="E1133" i="10"/>
  <c r="I1133" i="10"/>
  <c r="E1137" i="10"/>
  <c r="I1137" i="10"/>
  <c r="E1141" i="10"/>
  <c r="I1141" i="10"/>
  <c r="E1145" i="10"/>
  <c r="I1145" i="10"/>
  <c r="E1149" i="10"/>
  <c r="I1149" i="10"/>
  <c r="E1153" i="10"/>
  <c r="I1153" i="10"/>
  <c r="E1157" i="10"/>
  <c r="I1157" i="10"/>
  <c r="E1161" i="10"/>
  <c r="I1161" i="10"/>
  <c r="E1165" i="10"/>
  <c r="I1165" i="10"/>
  <c r="E1169" i="10"/>
  <c r="I1169" i="10"/>
  <c r="K22" i="12"/>
  <c r="K25" i="12"/>
  <c r="K30" i="12"/>
  <c r="E2" i="12"/>
  <c r="I19" i="12"/>
  <c r="J20" i="12"/>
  <c r="K21" i="12"/>
  <c r="I23" i="12"/>
  <c r="K24" i="12"/>
  <c r="I26" i="12"/>
  <c r="J27" i="12"/>
  <c r="K28" i="12"/>
  <c r="I31" i="12"/>
  <c r="M11" i="14"/>
  <c r="G58" i="14"/>
  <c r="F43" i="6" l="1"/>
  <c r="F39" i="6"/>
  <c r="F35" i="6"/>
  <c r="F30" i="6"/>
  <c r="F26" i="6"/>
  <c r="F22" i="6"/>
  <c r="F18" i="6"/>
  <c r="F14" i="6"/>
  <c r="F9" i="6"/>
  <c r="F42" i="6"/>
  <c r="F38" i="6"/>
  <c r="F34" i="6"/>
  <c r="F29" i="6"/>
  <c r="F25" i="6"/>
  <c r="F21" i="6"/>
  <c r="F17" i="6"/>
  <c r="F41" i="6"/>
  <c r="F37" i="6"/>
  <c r="F33" i="6"/>
  <c r="F28" i="6"/>
  <c r="F24" i="6"/>
  <c r="F20" i="6"/>
  <c r="F16" i="6"/>
  <c r="F11" i="6"/>
  <c r="F7" i="6"/>
  <c r="F12" i="6"/>
  <c r="F8" i="6"/>
  <c r="F40" i="6"/>
  <c r="F31" i="6"/>
  <c r="F27" i="6"/>
  <c r="F23" i="6"/>
  <c r="F19" i="6"/>
  <c r="F15" i="6"/>
  <c r="F10" i="6"/>
  <c r="F6" i="6"/>
  <c r="F5" i="6"/>
  <c r="F45" i="6"/>
  <c r="F36" i="6"/>
  <c r="Y18" i="11"/>
  <c r="Z18" i="11"/>
  <c r="T20" i="11"/>
  <c r="U20" i="11"/>
  <c r="K34" i="5"/>
  <c r="M34" i="5" s="1"/>
  <c r="F16" i="5"/>
  <c r="P16" i="5"/>
  <c r="H29" i="5"/>
  <c r="F34" i="5"/>
  <c r="H34" i="5" s="1"/>
  <c r="G27" i="5"/>
  <c r="O10" i="11"/>
  <c r="F9" i="11"/>
  <c r="G10" i="11" s="1"/>
  <c r="V7" i="3"/>
  <c r="A2" i="8"/>
  <c r="H23" i="5"/>
  <c r="G23" i="5"/>
  <c r="G31" i="5"/>
  <c r="H31" i="5"/>
  <c r="P12" i="3"/>
  <c r="J15" i="3"/>
  <c r="J5" i="3"/>
  <c r="P5" i="3"/>
  <c r="J10" i="3"/>
  <c r="P10" i="3"/>
  <c r="J16" i="3"/>
  <c r="P14" i="3"/>
  <c r="H2" i="3"/>
  <c r="N2" i="3"/>
  <c r="G21" i="5"/>
  <c r="G20" i="5"/>
  <c r="L20" i="5"/>
  <c r="G1080" i="7"/>
  <c r="G1079" i="7" s="1"/>
  <c r="G1078" i="7" s="1"/>
  <c r="G1077" i="7" s="1"/>
  <c r="G1076" i="7" s="1"/>
  <c r="G1075" i="7" s="1"/>
  <c r="G1074" i="7" s="1"/>
  <c r="G1073" i="7" s="1"/>
  <c r="G1072" i="7" s="1"/>
  <c r="G1071" i="7" s="1"/>
  <c r="G1070" i="7" s="1"/>
  <c r="G1069" i="7" s="1"/>
  <c r="K5" i="5"/>
  <c r="L5" i="5" s="1"/>
  <c r="D52" i="6"/>
  <c r="D51" i="6"/>
  <c r="G29" i="5"/>
  <c r="D49" i="6"/>
  <c r="J18" i="3"/>
  <c r="H30" i="5"/>
  <c r="K4" i="5"/>
  <c r="M4" i="5" s="1"/>
  <c r="H22" i="5"/>
  <c r="D50" i="6"/>
  <c r="D4" i="3"/>
  <c r="D2" i="3" s="1"/>
  <c r="Q18" i="3" s="1"/>
  <c r="M26" i="5"/>
  <c r="H27" i="5"/>
  <c r="P34" i="5"/>
  <c r="G25" i="5"/>
  <c r="D45" i="6"/>
  <c r="K8" i="5"/>
  <c r="M8" i="5" s="1"/>
  <c r="V4" i="3"/>
  <c r="J20" i="3"/>
  <c r="H26" i="5"/>
  <c r="Q34" i="5"/>
  <c r="D28" i="6"/>
  <c r="J17" i="3"/>
  <c r="M30" i="5"/>
  <c r="D30" i="6"/>
  <c r="J19" i="3"/>
  <c r="K12" i="5"/>
  <c r="M12" i="5" s="1"/>
  <c r="K2" i="5"/>
  <c r="E54" i="6"/>
  <c r="G59" i="14"/>
  <c r="M12" i="14"/>
  <c r="K3" i="5"/>
  <c r="M21" i="5"/>
  <c r="J8" i="3"/>
  <c r="D15" i="6"/>
  <c r="M31" i="5"/>
  <c r="L31" i="5"/>
  <c r="M20" i="5"/>
  <c r="K61" i="4"/>
  <c r="K62" i="4"/>
  <c r="L59" i="4"/>
  <c r="M59" i="4" s="1"/>
  <c r="K11" i="2"/>
  <c r="L11" i="2" s="1"/>
  <c r="K10" i="2"/>
  <c r="L10" i="2" s="1"/>
  <c r="D17" i="6"/>
  <c r="P4" i="3"/>
  <c r="D6" i="6"/>
  <c r="J12" i="3"/>
  <c r="D19" i="6"/>
  <c r="G24" i="5"/>
  <c r="L28" i="5"/>
  <c r="K37" i="4"/>
  <c r="J39" i="4"/>
  <c r="K35" i="4"/>
  <c r="J40" i="4"/>
  <c r="L40" i="4" s="1"/>
  <c r="K38" i="4"/>
  <c r="L35" i="4"/>
  <c r="L21" i="5"/>
  <c r="D18" i="9"/>
  <c r="E18" i="9" s="1"/>
  <c r="D27" i="6"/>
  <c r="P16" i="3"/>
  <c r="D12" i="6"/>
  <c r="P9" i="3"/>
  <c r="M27" i="5"/>
  <c r="L27" i="5"/>
  <c r="H20" i="5"/>
  <c r="D25" i="6"/>
  <c r="J7" i="3"/>
  <c r="D14" i="6"/>
  <c r="D23" i="6"/>
  <c r="D18" i="6"/>
  <c r="J11" i="3"/>
  <c r="L22" i="5"/>
  <c r="M22" i="5"/>
  <c r="Q4" i="12"/>
  <c r="K6" i="5"/>
  <c r="M32" i="4"/>
  <c r="J6" i="4"/>
  <c r="J12" i="11"/>
  <c r="K12" i="11"/>
  <c r="K11" i="5"/>
  <c r="M29" i="5"/>
  <c r="P15" i="3"/>
  <c r="D26" i="6"/>
  <c r="D9" i="6"/>
  <c r="P6" i="3"/>
  <c r="M23" i="5"/>
  <c r="L23" i="5"/>
  <c r="P13" i="3"/>
  <c r="D24" i="6"/>
  <c r="D10" i="6"/>
  <c r="P7" i="3"/>
  <c r="N8" i="14"/>
  <c r="C4" i="12"/>
  <c r="C5" i="12" s="1"/>
  <c r="D21" i="6"/>
  <c r="J14" i="3"/>
  <c r="D11" i="6"/>
  <c r="P8" i="3"/>
  <c r="N9" i="13"/>
  <c r="K10" i="5"/>
  <c r="G28" i="5"/>
  <c r="M11" i="13"/>
  <c r="K7" i="5"/>
  <c r="M25" i="5"/>
  <c r="J9" i="3"/>
  <c r="D16" i="6"/>
  <c r="D5" i="6"/>
  <c r="J4" i="3"/>
  <c r="E3" i="6"/>
  <c r="D22" i="6"/>
  <c r="P11" i="3"/>
  <c r="D7" i="6"/>
  <c r="D20" i="6"/>
  <c r="J13" i="3"/>
  <c r="D8" i="6"/>
  <c r="J6" i="3"/>
  <c r="K13" i="5"/>
  <c r="L29" i="5"/>
  <c r="C3" i="12"/>
  <c r="B17" i="12"/>
  <c r="B22" i="12" s="1"/>
  <c r="L15" i="4"/>
  <c r="K15" i="4"/>
  <c r="L24" i="5"/>
  <c r="K9" i="5"/>
  <c r="L25" i="5"/>
  <c r="M68" i="4"/>
  <c r="N68" i="4"/>
  <c r="Y19" i="11" l="1"/>
  <c r="Z19" i="11"/>
  <c r="T21" i="11"/>
  <c r="U21" i="11"/>
  <c r="K16" i="5"/>
  <c r="M16" i="5" s="1"/>
  <c r="G34" i="5"/>
  <c r="L34" i="5"/>
  <c r="O11" i="11"/>
  <c r="F10" i="11"/>
  <c r="G11" i="11" s="1"/>
  <c r="P11" i="11"/>
  <c r="G36" i="6"/>
  <c r="G15" i="6"/>
  <c r="G42" i="6"/>
  <c r="G17" i="6"/>
  <c r="G19" i="6"/>
  <c r="G38" i="6"/>
  <c r="G34" i="6"/>
  <c r="G20" i="6"/>
  <c r="G16" i="6"/>
  <c r="G21" i="6"/>
  <c r="G12" i="6"/>
  <c r="G40" i="6"/>
  <c r="G31" i="6"/>
  <c r="G27" i="6"/>
  <c r="G23" i="6"/>
  <c r="G10" i="6"/>
  <c r="G6" i="6"/>
  <c r="G43" i="6"/>
  <c r="G39" i="6"/>
  <c r="G35" i="6"/>
  <c r="G30" i="6"/>
  <c r="G26" i="6"/>
  <c r="G22" i="6"/>
  <c r="G18" i="6"/>
  <c r="G14" i="6"/>
  <c r="G9" i="6"/>
  <c r="G5" i="6"/>
  <c r="G29" i="6"/>
  <c r="G25" i="6"/>
  <c r="G28" i="6"/>
  <c r="G24" i="6"/>
  <c r="G11" i="6"/>
  <c r="G7" i="6"/>
  <c r="G8" i="6"/>
  <c r="G41" i="6"/>
  <c r="G37" i="6"/>
  <c r="G33" i="6"/>
  <c r="G45" i="6"/>
  <c r="Q12" i="3"/>
  <c r="K16" i="3"/>
  <c r="K5" i="3"/>
  <c r="K10" i="3"/>
  <c r="J2" i="3"/>
  <c r="T2" i="5"/>
  <c r="G1068" i="7"/>
  <c r="G1067" i="7" s="1"/>
  <c r="G1066" i="7" s="1"/>
  <c r="G1065" i="7" s="1"/>
  <c r="G1064" i="7" s="1"/>
  <c r="G1063" i="7" s="1"/>
  <c r="G1062" i="7" s="1"/>
  <c r="G1061" i="7" s="1"/>
  <c r="G1060" i="7" s="1"/>
  <c r="G1059" i="7" s="1"/>
  <c r="G1058" i="7" s="1"/>
  <c r="G1057" i="7" s="1"/>
  <c r="G1056" i="7" s="1"/>
  <c r="G1055" i="7" s="1"/>
  <c r="G1054" i="7" s="1"/>
  <c r="G1053" i="7" s="1"/>
  <c r="G1052" i="7" s="1"/>
  <c r="G1051" i="7" s="1"/>
  <c r="G1050" i="7" s="1"/>
  <c r="G1049" i="7" s="1"/>
  <c r="G1048" i="7" s="1"/>
  <c r="G1047" i="7" s="1"/>
  <c r="G1046" i="7" s="1"/>
  <c r="G1045" i="7" s="1"/>
  <c r="G1044" i="7" s="1"/>
  <c r="G1043" i="7" s="1"/>
  <c r="G1042" i="7" s="1"/>
  <c r="G1041" i="7" s="1"/>
  <c r="G1040" i="7" s="1"/>
  <c r="G1039" i="7" s="1"/>
  <c r="G1038" i="7" s="1"/>
  <c r="G1037" i="7" s="1"/>
  <c r="G1036" i="7" s="1"/>
  <c r="G1035" i="7" s="1"/>
  <c r="T5" i="5"/>
  <c r="M5" i="5"/>
  <c r="T8" i="5"/>
  <c r="L4" i="5"/>
  <c r="L8" i="5"/>
  <c r="E4" i="3"/>
  <c r="E7" i="3"/>
  <c r="K6" i="3"/>
  <c r="Q13" i="3"/>
  <c r="Q7" i="3"/>
  <c r="K11" i="3"/>
  <c r="Q8" i="3"/>
  <c r="Q15" i="3"/>
  <c r="Q6" i="3"/>
  <c r="T4" i="5"/>
  <c r="L12" i="5"/>
  <c r="L2" i="5"/>
  <c r="T12" i="5"/>
  <c r="M2" i="5"/>
  <c r="Q11" i="3"/>
  <c r="Q14" i="3"/>
  <c r="K13" i="3"/>
  <c r="Q5" i="3"/>
  <c r="K4" i="3"/>
  <c r="K9" i="3"/>
  <c r="K14" i="3"/>
  <c r="K15" i="3"/>
  <c r="B4" i="3"/>
  <c r="O68" i="4"/>
  <c r="K13" i="11"/>
  <c r="J13" i="11"/>
  <c r="K7" i="3"/>
  <c r="J14" i="4"/>
  <c r="M40" i="4"/>
  <c r="M13" i="14"/>
  <c r="B24" i="12"/>
  <c r="D22" i="12"/>
  <c r="E22" i="12" s="1"/>
  <c r="K2" i="10"/>
  <c r="M7" i="5"/>
  <c r="T7" i="5"/>
  <c r="L7" i="5"/>
  <c r="M10" i="5"/>
  <c r="T10" i="5"/>
  <c r="L10" i="5"/>
  <c r="M13" i="5"/>
  <c r="L13" i="5"/>
  <c r="T13" i="5"/>
  <c r="M12" i="13"/>
  <c r="M11" i="5"/>
  <c r="T11" i="5"/>
  <c r="L11" i="5"/>
  <c r="L6" i="4"/>
  <c r="L7" i="4" s="1"/>
  <c r="K6" i="4"/>
  <c r="J7" i="4"/>
  <c r="K7" i="4" s="1"/>
  <c r="R4" i="12"/>
  <c r="Q5" i="12"/>
  <c r="Q10" i="3"/>
  <c r="K8" i="3"/>
  <c r="N10" i="13"/>
  <c r="J8" i="14" a="1"/>
  <c r="J8" i="14" s="1"/>
  <c r="N9" i="14"/>
  <c r="W7" i="3"/>
  <c r="Q16" i="3"/>
  <c r="M35" i="4"/>
  <c r="J9" i="4"/>
  <c r="L39" i="4"/>
  <c r="J42" i="4"/>
  <c r="K12" i="3"/>
  <c r="M9" i="5"/>
  <c r="T9" i="5"/>
  <c r="L9" i="5"/>
  <c r="M6" i="5"/>
  <c r="T6" i="5"/>
  <c r="L6" i="5"/>
  <c r="K28" i="3"/>
  <c r="W5" i="3"/>
  <c r="K30" i="3"/>
  <c r="E6" i="3"/>
  <c r="K23" i="3"/>
  <c r="K21" i="3"/>
  <c r="K17" i="3"/>
  <c r="K18" i="3"/>
  <c r="K24" i="3"/>
  <c r="K27" i="3"/>
  <c r="E5" i="3"/>
  <c r="K26" i="3"/>
  <c r="K29" i="3"/>
  <c r="K22" i="3"/>
  <c r="K19" i="3"/>
  <c r="K20" i="3"/>
  <c r="W4" i="3"/>
  <c r="K25" i="3"/>
  <c r="Q17" i="3"/>
  <c r="Q9" i="3"/>
  <c r="P2" i="3"/>
  <c r="Q2" i="3" s="1"/>
  <c r="Q4" i="3"/>
  <c r="M3" i="5"/>
  <c r="T3" i="5"/>
  <c r="L3" i="5"/>
  <c r="G60" i="14"/>
  <c r="Y20" i="11" l="1"/>
  <c r="Z20" i="11"/>
  <c r="T22" i="11"/>
  <c r="U22" i="11"/>
  <c r="L16" i="5"/>
  <c r="F11" i="11"/>
  <c r="G12" i="11" s="1"/>
  <c r="P12" i="11"/>
  <c r="O12" i="11"/>
  <c r="K2" i="3"/>
  <c r="G1034" i="7"/>
  <c r="G1033" i="7" s="1"/>
  <c r="G1032" i="7" s="1"/>
  <c r="G1031" i="7" s="1"/>
  <c r="G1030" i="7" s="1"/>
  <c r="G1029" i="7" s="1"/>
  <c r="G1028" i="7" s="1"/>
  <c r="G1027" i="7" s="1"/>
  <c r="G1026" i="7" s="1"/>
  <c r="G1025" i="7" s="1"/>
  <c r="G1024" i="7" s="1"/>
  <c r="G1023" i="7" s="1"/>
  <c r="G1022" i="7" s="1"/>
  <c r="G1021" i="7" s="1"/>
  <c r="G1020" i="7" s="1"/>
  <c r="G1019" i="7" s="1"/>
  <c r="G1018" i="7" s="1"/>
  <c r="G1017" i="7" s="1"/>
  <c r="G1016" i="7" s="1"/>
  <c r="G1015" i="7" s="1"/>
  <c r="G1014" i="7" s="1"/>
  <c r="G1013" i="7" s="1"/>
  <c r="G1012" i="7" s="1"/>
  <c r="G1011" i="7" s="1"/>
  <c r="G1010" i="7" s="1"/>
  <c r="G1009" i="7" s="1"/>
  <c r="G1008" i="7" s="1"/>
  <c r="G1007" i="7" s="1"/>
  <c r="G1006" i="7" s="1"/>
  <c r="G1005" i="7" s="1"/>
  <c r="G1004" i="7" s="1"/>
  <c r="G1003" i="7" s="1"/>
  <c r="G1002" i="7" s="1"/>
  <c r="G1001" i="7" s="1"/>
  <c r="G1000" i="7" s="1"/>
  <c r="G999" i="7" s="1"/>
  <c r="G998" i="7" s="1"/>
  <c r="G997" i="7" s="1"/>
  <c r="G996" i="7" s="1"/>
  <c r="G995" i="7" s="1"/>
  <c r="G994" i="7" s="1"/>
  <c r="G993" i="7" s="1"/>
  <c r="G992" i="7" s="1"/>
  <c r="G991" i="7" s="1"/>
  <c r="G990" i="7" s="1"/>
  <c r="G989" i="7" s="1"/>
  <c r="G988" i="7" s="1"/>
  <c r="G987" i="7" s="1"/>
  <c r="G986" i="7" s="1"/>
  <c r="G985" i="7" s="1"/>
  <c r="G984" i="7" s="1"/>
  <c r="G983" i="7" s="1"/>
  <c r="G982" i="7" s="1"/>
  <c r="G981" i="7" s="1"/>
  <c r="G980" i="7" s="1"/>
  <c r="G979" i="7" s="1"/>
  <c r="G978" i="7" s="1"/>
  <c r="G977" i="7" s="1"/>
  <c r="G976" i="7" s="1"/>
  <c r="G975" i="7" s="1"/>
  <c r="G974" i="7" s="1"/>
  <c r="G973" i="7" s="1"/>
  <c r="G972" i="7" s="1"/>
  <c r="G971" i="7" s="1"/>
  <c r="G970" i="7" s="1"/>
  <c r="G969" i="7" s="1"/>
  <c r="G968" i="7" s="1"/>
  <c r="G967" i="7" s="1"/>
  <c r="G966" i="7" s="1"/>
  <c r="G965" i="7" s="1"/>
  <c r="G964" i="7" s="1"/>
  <c r="G963" i="7" s="1"/>
  <c r="G962" i="7" s="1"/>
  <c r="G961" i="7" s="1"/>
  <c r="G960" i="7" s="1"/>
  <c r="G959" i="7" s="1"/>
  <c r="G958" i="7" s="1"/>
  <c r="G957" i="7" s="1"/>
  <c r="G956" i="7" s="1"/>
  <c r="G955" i="7" s="1"/>
  <c r="G954" i="7" s="1"/>
  <c r="G953" i="7" s="1"/>
  <c r="G952" i="7" s="1"/>
  <c r="G951" i="7" s="1"/>
  <c r="G950" i="7" s="1"/>
  <c r="G949" i="7" s="1"/>
  <c r="G948" i="7" s="1"/>
  <c r="G947" i="7" s="1"/>
  <c r="G946" i="7" s="1"/>
  <c r="G945" i="7" s="1"/>
  <c r="G944" i="7" s="1"/>
  <c r="G943" i="7" s="1"/>
  <c r="G942" i="7" s="1"/>
  <c r="G941" i="7" s="1"/>
  <c r="G940" i="7" s="1"/>
  <c r="G939" i="7" s="1"/>
  <c r="G938" i="7" s="1"/>
  <c r="G937" i="7" s="1"/>
  <c r="G936" i="7" s="1"/>
  <c r="G935" i="7" s="1"/>
  <c r="G934" i="7" s="1"/>
  <c r="G933" i="7" s="1"/>
  <c r="G932" i="7" s="1"/>
  <c r="G931" i="7" s="1"/>
  <c r="G930" i="7" s="1"/>
  <c r="G929" i="7" s="1"/>
  <c r="G928" i="7" s="1"/>
  <c r="G927" i="7" s="1"/>
  <c r="G926" i="7" s="1"/>
  <c r="G925" i="7" s="1"/>
  <c r="G924" i="7" s="1"/>
  <c r="G923" i="7" s="1"/>
  <c r="G922" i="7" s="1"/>
  <c r="G921" i="7" s="1"/>
  <c r="G920" i="7" s="1"/>
  <c r="G919" i="7" s="1"/>
  <c r="G918" i="7" s="1"/>
  <c r="G917" i="7" s="1"/>
  <c r="G916" i="7" s="1"/>
  <c r="G915" i="7" s="1"/>
  <c r="G914" i="7" s="1"/>
  <c r="G913" i="7" s="1"/>
  <c r="G912" i="7" s="1"/>
  <c r="G911" i="7" s="1"/>
  <c r="G910" i="7" s="1"/>
  <c r="G909" i="7" s="1"/>
  <c r="G908" i="7" s="1"/>
  <c r="G907" i="7" s="1"/>
  <c r="G906" i="7" s="1"/>
  <c r="G905" i="7" s="1"/>
  <c r="G904" i="7" s="1"/>
  <c r="G903" i="7" s="1"/>
  <c r="G902" i="7" s="1"/>
  <c r="G901" i="7" s="1"/>
  <c r="G900" i="7" s="1"/>
  <c r="G899" i="7" s="1"/>
  <c r="G898" i="7" s="1"/>
  <c r="G897" i="7" s="1"/>
  <c r="G896" i="7" s="1"/>
  <c r="G895" i="7" s="1"/>
  <c r="G894" i="7" s="1"/>
  <c r="G893" i="7" s="1"/>
  <c r="G892" i="7" s="1"/>
  <c r="G891" i="7" s="1"/>
  <c r="G890" i="7" s="1"/>
  <c r="G889" i="7" s="1"/>
  <c r="G888" i="7" s="1"/>
  <c r="G887" i="7" s="1"/>
  <c r="G886" i="7" s="1"/>
  <c r="G885" i="7" s="1"/>
  <c r="G884" i="7" s="1"/>
  <c r="G883" i="7" s="1"/>
  <c r="G882" i="7" s="1"/>
  <c r="G881" i="7" s="1"/>
  <c r="G880" i="7" s="1"/>
  <c r="G879" i="7" s="1"/>
  <c r="G878" i="7" s="1"/>
  <c r="T16" i="5"/>
  <c r="V6" i="3" s="1"/>
  <c r="V2" i="3" s="1"/>
  <c r="W2" i="3" s="1"/>
  <c r="L9" i="4"/>
  <c r="K12" i="4"/>
  <c r="K16" i="4"/>
  <c r="K11" i="4"/>
  <c r="M13" i="13"/>
  <c r="M14" i="14"/>
  <c r="K14" i="11"/>
  <c r="J14" i="11"/>
  <c r="F1167" i="10"/>
  <c r="O1167" i="10" s="1"/>
  <c r="P1167" i="10" s="1"/>
  <c r="F1163" i="10"/>
  <c r="O1163" i="10" s="1"/>
  <c r="P1163" i="10" s="1"/>
  <c r="F1159" i="10"/>
  <c r="O1159" i="10" s="1"/>
  <c r="P1159" i="10" s="1"/>
  <c r="F1155" i="10"/>
  <c r="O1155" i="10" s="1"/>
  <c r="P1155" i="10" s="1"/>
  <c r="F1151" i="10"/>
  <c r="O1151" i="10" s="1"/>
  <c r="P1151" i="10" s="1"/>
  <c r="F1147" i="10"/>
  <c r="O1147" i="10" s="1"/>
  <c r="P1147" i="10" s="1"/>
  <c r="F1143" i="10"/>
  <c r="O1143" i="10" s="1"/>
  <c r="P1143" i="10" s="1"/>
  <c r="F1139" i="10"/>
  <c r="O1139" i="10" s="1"/>
  <c r="P1139" i="10" s="1"/>
  <c r="F1135" i="10"/>
  <c r="O1135" i="10" s="1"/>
  <c r="P1135" i="10" s="1"/>
  <c r="F1131" i="10"/>
  <c r="O1131" i="10" s="1"/>
  <c r="P1131" i="10" s="1"/>
  <c r="F1127" i="10"/>
  <c r="O1127" i="10" s="1"/>
  <c r="P1127" i="10" s="1"/>
  <c r="D24" i="12"/>
  <c r="F1123" i="10"/>
  <c r="O1123" i="10" s="1"/>
  <c r="P1123" i="10" s="1"/>
  <c r="F1116" i="10"/>
  <c r="O1116" i="10" s="1"/>
  <c r="P1116" i="10" s="1"/>
  <c r="F1112" i="10"/>
  <c r="O1112" i="10" s="1"/>
  <c r="P1112" i="10" s="1"/>
  <c r="F1108" i="10"/>
  <c r="O1108" i="10" s="1"/>
  <c r="P1108" i="10" s="1"/>
  <c r="F1104" i="10"/>
  <c r="O1104" i="10" s="1"/>
  <c r="P1104" i="10" s="1"/>
  <c r="F436" i="10"/>
  <c r="O436" i="10" s="1"/>
  <c r="P436" i="10" s="1"/>
  <c r="F432" i="10"/>
  <c r="O432" i="10" s="1"/>
  <c r="P432" i="10" s="1"/>
  <c r="F428" i="10"/>
  <c r="O428" i="10" s="1"/>
  <c r="P428" i="10" s="1"/>
  <c r="F424" i="10"/>
  <c r="O424" i="10" s="1"/>
  <c r="P424" i="10" s="1"/>
  <c r="F420" i="10"/>
  <c r="O420" i="10" s="1"/>
  <c r="P420" i="10" s="1"/>
  <c r="F416" i="10"/>
  <c r="O416" i="10" s="1"/>
  <c r="P416" i="10" s="1"/>
  <c r="F412" i="10"/>
  <c r="O412" i="10" s="1"/>
  <c r="P412" i="10" s="1"/>
  <c r="F408" i="10"/>
  <c r="O408" i="10" s="1"/>
  <c r="P408" i="10" s="1"/>
  <c r="F404" i="10"/>
  <c r="O404" i="10" s="1"/>
  <c r="P404" i="10" s="1"/>
  <c r="F400" i="10"/>
  <c r="O400" i="10" s="1"/>
  <c r="P400" i="10" s="1"/>
  <c r="F396" i="10"/>
  <c r="O396" i="10" s="1"/>
  <c r="P396" i="10" s="1"/>
  <c r="F392" i="10"/>
  <c r="O392" i="10" s="1"/>
  <c r="P392" i="10" s="1"/>
  <c r="F388" i="10"/>
  <c r="O388" i="10" s="1"/>
  <c r="P388" i="10" s="1"/>
  <c r="F384" i="10"/>
  <c r="O384" i="10" s="1"/>
  <c r="P384" i="10" s="1"/>
  <c r="F380" i="10"/>
  <c r="O380" i="10" s="1"/>
  <c r="P380" i="10" s="1"/>
  <c r="F376" i="10"/>
  <c r="O376" i="10" s="1"/>
  <c r="P376" i="10" s="1"/>
  <c r="F372" i="10"/>
  <c r="O372" i="10" s="1"/>
  <c r="P372" i="10" s="1"/>
  <c r="F368" i="10"/>
  <c r="O368" i="10" s="1"/>
  <c r="P368" i="10" s="1"/>
  <c r="F364" i="10"/>
  <c r="O364" i="10" s="1"/>
  <c r="P364" i="10" s="1"/>
  <c r="F360" i="10"/>
  <c r="O360" i="10" s="1"/>
  <c r="P360" i="10" s="1"/>
  <c r="F356" i="10"/>
  <c r="O356" i="10" s="1"/>
  <c r="P356" i="10" s="1"/>
  <c r="F352" i="10"/>
  <c r="O352" i="10" s="1"/>
  <c r="P352" i="10" s="1"/>
  <c r="F348" i="10"/>
  <c r="O348" i="10" s="1"/>
  <c r="P348" i="10" s="1"/>
  <c r="F344" i="10"/>
  <c r="O344" i="10" s="1"/>
  <c r="P344" i="10" s="1"/>
  <c r="F340" i="10"/>
  <c r="O340" i="10" s="1"/>
  <c r="P340" i="10" s="1"/>
  <c r="F336" i="10"/>
  <c r="O336" i="10" s="1"/>
  <c r="P336" i="10" s="1"/>
  <c r="F332" i="10"/>
  <c r="O332" i="10" s="1"/>
  <c r="P332" i="10" s="1"/>
  <c r="F328" i="10"/>
  <c r="O328" i="10" s="1"/>
  <c r="P328" i="10" s="1"/>
  <c r="F324" i="10"/>
  <c r="O324" i="10" s="1"/>
  <c r="P324" i="10" s="1"/>
  <c r="F320" i="10"/>
  <c r="O320" i="10" s="1"/>
  <c r="P320" i="10" s="1"/>
  <c r="F316" i="10"/>
  <c r="O316" i="10" s="1"/>
  <c r="P316" i="10" s="1"/>
  <c r="F312" i="10"/>
  <c r="O312" i="10" s="1"/>
  <c r="P312" i="10" s="1"/>
  <c r="F308" i="10"/>
  <c r="O308" i="10" s="1"/>
  <c r="P308" i="10" s="1"/>
  <c r="F304" i="10"/>
  <c r="O304" i="10" s="1"/>
  <c r="P304" i="10" s="1"/>
  <c r="F300" i="10"/>
  <c r="O300" i="10" s="1"/>
  <c r="P300" i="10" s="1"/>
  <c r="F296" i="10"/>
  <c r="O296" i="10" s="1"/>
  <c r="P296" i="10" s="1"/>
  <c r="F292" i="10"/>
  <c r="O292" i="10" s="1"/>
  <c r="P292" i="10" s="1"/>
  <c r="F288" i="10"/>
  <c r="O288" i="10" s="1"/>
  <c r="P288" i="10" s="1"/>
  <c r="F284" i="10"/>
  <c r="O284" i="10" s="1"/>
  <c r="P284" i="10" s="1"/>
  <c r="F280" i="10"/>
  <c r="O280" i="10" s="1"/>
  <c r="P280" i="10" s="1"/>
  <c r="F276" i="10"/>
  <c r="O276" i="10" s="1"/>
  <c r="P276" i="10" s="1"/>
  <c r="F272" i="10"/>
  <c r="O272" i="10" s="1"/>
  <c r="P272" i="10" s="1"/>
  <c r="F268" i="10"/>
  <c r="O268" i="10" s="1"/>
  <c r="P268" i="10" s="1"/>
  <c r="F264" i="10"/>
  <c r="O264" i="10" s="1"/>
  <c r="P264" i="10" s="1"/>
  <c r="F260" i="10"/>
  <c r="O260" i="10" s="1"/>
  <c r="P260" i="10" s="1"/>
  <c r="F256" i="10"/>
  <c r="O256" i="10" s="1"/>
  <c r="P256" i="10" s="1"/>
  <c r="F252" i="10"/>
  <c r="O252" i="10" s="1"/>
  <c r="P252" i="10" s="1"/>
  <c r="F248" i="10"/>
  <c r="O248" i="10" s="1"/>
  <c r="P248" i="10" s="1"/>
  <c r="F244" i="10"/>
  <c r="O244" i="10" s="1"/>
  <c r="P244" i="10" s="1"/>
  <c r="F240" i="10"/>
  <c r="O240" i="10" s="1"/>
  <c r="P240" i="10" s="1"/>
  <c r="F236" i="10"/>
  <c r="O236" i="10" s="1"/>
  <c r="P236" i="10" s="1"/>
  <c r="F232" i="10"/>
  <c r="O232" i="10" s="1"/>
  <c r="P232" i="10" s="1"/>
  <c r="F228" i="10"/>
  <c r="O228" i="10" s="1"/>
  <c r="P228" i="10" s="1"/>
  <c r="F224" i="10"/>
  <c r="O224" i="10" s="1"/>
  <c r="P224" i="10" s="1"/>
  <c r="F220" i="10"/>
  <c r="O220" i="10" s="1"/>
  <c r="P220" i="10" s="1"/>
  <c r="F216" i="10"/>
  <c r="O216" i="10" s="1"/>
  <c r="P216" i="10" s="1"/>
  <c r="F212" i="10"/>
  <c r="O212" i="10" s="1"/>
  <c r="P212" i="10" s="1"/>
  <c r="F208" i="10"/>
  <c r="O208" i="10" s="1"/>
  <c r="P208" i="10" s="1"/>
  <c r="F204" i="10"/>
  <c r="O204" i="10" s="1"/>
  <c r="P204" i="10" s="1"/>
  <c r="F200" i="10"/>
  <c r="O200" i="10" s="1"/>
  <c r="P200" i="10" s="1"/>
  <c r="F196" i="10"/>
  <c r="O196" i="10" s="1"/>
  <c r="P196" i="10" s="1"/>
  <c r="F192" i="10"/>
  <c r="O192" i="10" s="1"/>
  <c r="P192" i="10" s="1"/>
  <c r="F188" i="10"/>
  <c r="O188" i="10" s="1"/>
  <c r="P188" i="10" s="1"/>
  <c r="F184" i="10"/>
  <c r="O184" i="10" s="1"/>
  <c r="P184" i="10" s="1"/>
  <c r="F180" i="10"/>
  <c r="O180" i="10" s="1"/>
  <c r="P180" i="10" s="1"/>
  <c r="F176" i="10"/>
  <c r="O176" i="10" s="1"/>
  <c r="P176" i="10" s="1"/>
  <c r="F172" i="10"/>
  <c r="O172" i="10" s="1"/>
  <c r="P172" i="10" s="1"/>
  <c r="F168" i="10"/>
  <c r="O168" i="10" s="1"/>
  <c r="P168" i="10" s="1"/>
  <c r="F164" i="10"/>
  <c r="O164" i="10" s="1"/>
  <c r="P164" i="10" s="1"/>
  <c r="F160" i="10"/>
  <c r="O160" i="10" s="1"/>
  <c r="P160" i="10" s="1"/>
  <c r="F156" i="10"/>
  <c r="O156" i="10" s="1"/>
  <c r="P156" i="10" s="1"/>
  <c r="F152" i="10"/>
  <c r="O152" i="10" s="1"/>
  <c r="P152" i="10" s="1"/>
  <c r="F148" i="10"/>
  <c r="O148" i="10" s="1"/>
  <c r="P148" i="10" s="1"/>
  <c r="F144" i="10"/>
  <c r="O144" i="10" s="1"/>
  <c r="P144" i="10" s="1"/>
  <c r="F140" i="10"/>
  <c r="O140" i="10" s="1"/>
  <c r="P140" i="10" s="1"/>
  <c r="F136" i="10"/>
  <c r="O136" i="10" s="1"/>
  <c r="P136" i="10" s="1"/>
  <c r="F132" i="10"/>
  <c r="O132" i="10" s="1"/>
  <c r="P132" i="10" s="1"/>
  <c r="F128" i="10"/>
  <c r="O128" i="10" s="1"/>
  <c r="P128" i="10" s="1"/>
  <c r="F124" i="10"/>
  <c r="O124" i="10" s="1"/>
  <c r="P124" i="10" s="1"/>
  <c r="F120" i="10"/>
  <c r="O120" i="10" s="1"/>
  <c r="P120" i="10" s="1"/>
  <c r="F116" i="10"/>
  <c r="O116" i="10" s="1"/>
  <c r="P116" i="10" s="1"/>
  <c r="F112" i="10"/>
  <c r="O112" i="10" s="1"/>
  <c r="P112" i="10" s="1"/>
  <c r="F108" i="10"/>
  <c r="O108" i="10" s="1"/>
  <c r="P108" i="10" s="1"/>
  <c r="F104" i="10"/>
  <c r="O104" i="10" s="1"/>
  <c r="P104" i="10" s="1"/>
  <c r="F100" i="10"/>
  <c r="O100" i="10" s="1"/>
  <c r="P100" i="10" s="1"/>
  <c r="F96" i="10"/>
  <c r="O96" i="10" s="1"/>
  <c r="P96" i="10" s="1"/>
  <c r="F92" i="10"/>
  <c r="O92" i="10" s="1"/>
  <c r="P92" i="10" s="1"/>
  <c r="F88" i="10"/>
  <c r="O88" i="10" s="1"/>
  <c r="P88" i="10" s="1"/>
  <c r="F84" i="10"/>
  <c r="O84" i="10" s="1"/>
  <c r="P84" i="10" s="1"/>
  <c r="F80" i="10"/>
  <c r="O80" i="10" s="1"/>
  <c r="P80" i="10" s="1"/>
  <c r="F76" i="10"/>
  <c r="O76" i="10" s="1"/>
  <c r="P76" i="10" s="1"/>
  <c r="J76" i="10" s="1"/>
  <c r="F72" i="10"/>
  <c r="O72" i="10" s="1"/>
  <c r="P72" i="10" s="1"/>
  <c r="J72" i="10" s="1"/>
  <c r="F68" i="10"/>
  <c r="O68" i="10" s="1"/>
  <c r="P68" i="10" s="1"/>
  <c r="J68" i="10" s="1"/>
  <c r="F64" i="10"/>
  <c r="O64" i="10" s="1"/>
  <c r="P64" i="10" s="1"/>
  <c r="J64" i="10" s="1"/>
  <c r="F60" i="10"/>
  <c r="O60" i="10" s="1"/>
  <c r="P60" i="10" s="1"/>
  <c r="J60" i="10" s="1"/>
  <c r="F56" i="10"/>
  <c r="O56" i="10" s="1"/>
  <c r="P56" i="10" s="1"/>
  <c r="J56" i="10" s="1"/>
  <c r="F52" i="10"/>
  <c r="O52" i="10" s="1"/>
  <c r="P52" i="10" s="1"/>
  <c r="J52" i="10" s="1"/>
  <c r="F48" i="10"/>
  <c r="O48" i="10" s="1"/>
  <c r="P48" i="10" s="1"/>
  <c r="J48" i="10" s="1"/>
  <c r="F44" i="10"/>
  <c r="O44" i="10" s="1"/>
  <c r="P44" i="10" s="1"/>
  <c r="J44" i="10" s="1"/>
  <c r="F40" i="10"/>
  <c r="O40" i="10" s="1"/>
  <c r="P40" i="10" s="1"/>
  <c r="J40" i="10" s="1"/>
  <c r="F36" i="10"/>
  <c r="O36" i="10" s="1"/>
  <c r="P36" i="10" s="1"/>
  <c r="J36" i="10" s="1"/>
  <c r="F32" i="10"/>
  <c r="O32" i="10" s="1"/>
  <c r="P32" i="10" s="1"/>
  <c r="J32" i="10" s="1"/>
  <c r="F28" i="10"/>
  <c r="O28" i="10" s="1"/>
  <c r="P28" i="10" s="1"/>
  <c r="J28" i="10" s="1"/>
  <c r="F24" i="10"/>
  <c r="O24" i="10" s="1"/>
  <c r="P24" i="10" s="1"/>
  <c r="J24" i="10" s="1"/>
  <c r="F20" i="10"/>
  <c r="O20" i="10" s="1"/>
  <c r="P20" i="10" s="1"/>
  <c r="J20" i="10" s="1"/>
  <c r="F16" i="10"/>
  <c r="O16" i="10" s="1"/>
  <c r="P16" i="10" s="1"/>
  <c r="J16" i="10" s="1"/>
  <c r="F12" i="10"/>
  <c r="O12" i="10" s="1"/>
  <c r="P12" i="10" s="1"/>
  <c r="J12" i="10" s="1"/>
  <c r="J9" i="13" s="1" a="1"/>
  <c r="J9" i="13" s="1"/>
  <c r="L2" i="10"/>
  <c r="F1077" i="10"/>
  <c r="O1077" i="10" s="1"/>
  <c r="P1077" i="10" s="1"/>
  <c r="F1073" i="10"/>
  <c r="O1073" i="10" s="1"/>
  <c r="P1073" i="10" s="1"/>
  <c r="F1069" i="10"/>
  <c r="O1069" i="10" s="1"/>
  <c r="P1069" i="10" s="1"/>
  <c r="F1065" i="10"/>
  <c r="O1065" i="10" s="1"/>
  <c r="P1065" i="10" s="1"/>
  <c r="F1061" i="10"/>
  <c r="O1061" i="10" s="1"/>
  <c r="P1061" i="10" s="1"/>
  <c r="F1057" i="10"/>
  <c r="O1057" i="10" s="1"/>
  <c r="P1057" i="10" s="1"/>
  <c r="F1053" i="10"/>
  <c r="O1053" i="10" s="1"/>
  <c r="P1053" i="10" s="1"/>
  <c r="F1049" i="10"/>
  <c r="O1049" i="10" s="1"/>
  <c r="P1049" i="10" s="1"/>
  <c r="F1045" i="10"/>
  <c r="O1045" i="10" s="1"/>
  <c r="P1045" i="10" s="1"/>
  <c r="F1041" i="10"/>
  <c r="O1041" i="10" s="1"/>
  <c r="P1041" i="10" s="1"/>
  <c r="F1037" i="10"/>
  <c r="O1037" i="10" s="1"/>
  <c r="P1037" i="10" s="1"/>
  <c r="F1029" i="10"/>
  <c r="O1029" i="10" s="1"/>
  <c r="P1029" i="10" s="1"/>
  <c r="F1025" i="10"/>
  <c r="O1025" i="10" s="1"/>
  <c r="P1025" i="10" s="1"/>
  <c r="F1021" i="10"/>
  <c r="O1021" i="10" s="1"/>
  <c r="P1021" i="10" s="1"/>
  <c r="F1009" i="10"/>
  <c r="O1009" i="10" s="1"/>
  <c r="P1009" i="10" s="1"/>
  <c r="F937" i="10"/>
  <c r="O937" i="10" s="1"/>
  <c r="P937" i="10" s="1"/>
  <c r="F817" i="10"/>
  <c r="O817" i="10" s="1"/>
  <c r="P817" i="10" s="1"/>
  <c r="F805" i="10"/>
  <c r="O805" i="10" s="1"/>
  <c r="P805" i="10" s="1"/>
  <c r="F801" i="10"/>
  <c r="O801" i="10" s="1"/>
  <c r="P801" i="10" s="1"/>
  <c r="F793" i="10"/>
  <c r="O793" i="10" s="1"/>
  <c r="P793" i="10" s="1"/>
  <c r="F789" i="10"/>
  <c r="O789" i="10" s="1"/>
  <c r="P789" i="10" s="1"/>
  <c r="F785" i="10"/>
  <c r="O785" i="10" s="1"/>
  <c r="P785" i="10" s="1"/>
  <c r="F533" i="10"/>
  <c r="O533" i="10" s="1"/>
  <c r="P533" i="10" s="1"/>
  <c r="F529" i="10"/>
  <c r="O529" i="10" s="1"/>
  <c r="P529" i="10" s="1"/>
  <c r="F525" i="10"/>
  <c r="O525" i="10" s="1"/>
  <c r="P525" i="10" s="1"/>
  <c r="F517" i="10"/>
  <c r="O517" i="10" s="1"/>
  <c r="P517" i="10" s="1"/>
  <c r="F513" i="10"/>
  <c r="O513" i="10" s="1"/>
  <c r="P513" i="10" s="1"/>
  <c r="F509" i="10"/>
  <c r="O509" i="10" s="1"/>
  <c r="P509" i="10" s="1"/>
  <c r="F505" i="10"/>
  <c r="O505" i="10" s="1"/>
  <c r="P505" i="10" s="1"/>
  <c r="F501" i="10"/>
  <c r="O501" i="10" s="1"/>
  <c r="P501" i="10" s="1"/>
  <c r="F497" i="10"/>
  <c r="O497" i="10" s="1"/>
  <c r="P497" i="10" s="1"/>
  <c r="F493" i="10"/>
  <c r="O493" i="10" s="1"/>
  <c r="P493" i="10" s="1"/>
  <c r="F489" i="10"/>
  <c r="O489" i="10" s="1"/>
  <c r="P489" i="10" s="1"/>
  <c r="F485" i="10"/>
  <c r="O485" i="10" s="1"/>
  <c r="P485" i="10" s="1"/>
  <c r="F481" i="10"/>
  <c r="O481" i="10" s="1"/>
  <c r="P481" i="10" s="1"/>
  <c r="F477" i="10"/>
  <c r="O477" i="10" s="1"/>
  <c r="P477" i="10" s="1"/>
  <c r="F473" i="10"/>
  <c r="O473" i="10" s="1"/>
  <c r="P473" i="10" s="1"/>
  <c r="F469" i="10"/>
  <c r="O469" i="10" s="1"/>
  <c r="P469" i="10" s="1"/>
  <c r="F465" i="10"/>
  <c r="O465" i="10" s="1"/>
  <c r="P465" i="10" s="1"/>
  <c r="F461" i="10"/>
  <c r="O461" i="10" s="1"/>
  <c r="P461" i="10" s="1"/>
  <c r="F457" i="10"/>
  <c r="O457" i="10" s="1"/>
  <c r="P457" i="10" s="1"/>
  <c r="F453" i="10"/>
  <c r="O453" i="10" s="1"/>
  <c r="P453" i="10" s="1"/>
  <c r="F449" i="10"/>
  <c r="O449" i="10" s="1"/>
  <c r="P449" i="10" s="1"/>
  <c r="F445" i="10"/>
  <c r="O445" i="10" s="1"/>
  <c r="P445" i="10" s="1"/>
  <c r="F37" i="10"/>
  <c r="O37" i="10" s="1"/>
  <c r="P37" i="10" s="1"/>
  <c r="J37" i="10" s="1"/>
  <c r="F53" i="10"/>
  <c r="O53" i="10" s="1"/>
  <c r="P53" i="10" s="1"/>
  <c r="J53" i="10" s="1"/>
  <c r="F103" i="10"/>
  <c r="O103" i="10" s="1"/>
  <c r="P103" i="10" s="1"/>
  <c r="F119" i="10"/>
  <c r="O119" i="10" s="1"/>
  <c r="P119" i="10" s="1"/>
  <c r="F135" i="10"/>
  <c r="O135" i="10" s="1"/>
  <c r="P135" i="10" s="1"/>
  <c r="F151" i="10"/>
  <c r="O151" i="10" s="1"/>
  <c r="P151" i="10" s="1"/>
  <c r="F207" i="10"/>
  <c r="O207" i="10" s="1"/>
  <c r="P207" i="10" s="1"/>
  <c r="F274" i="10"/>
  <c r="O274" i="10" s="1"/>
  <c r="P274" i="10" s="1"/>
  <c r="F410" i="10"/>
  <c r="O410" i="10" s="1"/>
  <c r="P410" i="10" s="1"/>
  <c r="F532" i="10"/>
  <c r="O532" i="10" s="1"/>
  <c r="P532" i="10" s="1"/>
  <c r="F552" i="10"/>
  <c r="O552" i="10" s="1"/>
  <c r="P552" i="10" s="1"/>
  <c r="F568" i="10"/>
  <c r="O568" i="10" s="1"/>
  <c r="P568" i="10" s="1"/>
  <c r="F584" i="10"/>
  <c r="O584" i="10" s="1"/>
  <c r="P584" i="10" s="1"/>
  <c r="F649" i="10"/>
  <c r="O649" i="10" s="1"/>
  <c r="P649" i="10" s="1"/>
  <c r="F729" i="10"/>
  <c r="O729" i="10" s="1"/>
  <c r="P729" i="10" s="1"/>
  <c r="F744" i="10"/>
  <c r="O744" i="10" s="1"/>
  <c r="P744" i="10" s="1"/>
  <c r="F766" i="10"/>
  <c r="O766" i="10" s="1"/>
  <c r="P766" i="10" s="1"/>
  <c r="F790" i="10"/>
  <c r="O790" i="10" s="1"/>
  <c r="P790" i="10" s="1"/>
  <c r="F811" i="10"/>
  <c r="O811" i="10" s="1"/>
  <c r="P811" i="10" s="1"/>
  <c r="F886" i="10"/>
  <c r="O886" i="10" s="1"/>
  <c r="P886" i="10" s="1"/>
  <c r="F902" i="10"/>
  <c r="O902" i="10" s="1"/>
  <c r="P902" i="10" s="1"/>
  <c r="F918" i="10"/>
  <c r="O918" i="10" s="1"/>
  <c r="P918" i="10" s="1"/>
  <c r="F963" i="10"/>
  <c r="O963" i="10" s="1"/>
  <c r="P963" i="10" s="1"/>
  <c r="F979" i="10"/>
  <c r="O979" i="10" s="1"/>
  <c r="P979" i="10" s="1"/>
  <c r="F1017" i="10"/>
  <c r="O1017" i="10" s="1"/>
  <c r="P1017" i="10" s="1"/>
  <c r="F85" i="10"/>
  <c r="O85" i="10" s="1"/>
  <c r="P85" i="10" s="1"/>
  <c r="F117" i="10"/>
  <c r="O117" i="10" s="1"/>
  <c r="P117" i="10" s="1"/>
  <c r="F149" i="10"/>
  <c r="O149" i="10" s="1"/>
  <c r="P149" i="10" s="1"/>
  <c r="F181" i="10"/>
  <c r="O181" i="10" s="1"/>
  <c r="P181" i="10" s="1"/>
  <c r="F213" i="10"/>
  <c r="O213" i="10" s="1"/>
  <c r="P213" i="10" s="1"/>
  <c r="F245" i="10"/>
  <c r="O245" i="10" s="1"/>
  <c r="P245" i="10" s="1"/>
  <c r="F277" i="10"/>
  <c r="O277" i="10" s="1"/>
  <c r="P277" i="10" s="1"/>
  <c r="F309" i="10"/>
  <c r="O309" i="10" s="1"/>
  <c r="P309" i="10" s="1"/>
  <c r="F341" i="10"/>
  <c r="O341" i="10" s="1"/>
  <c r="P341" i="10" s="1"/>
  <c r="F373" i="10"/>
  <c r="O373" i="10" s="1"/>
  <c r="P373" i="10" s="1"/>
  <c r="F405" i="10"/>
  <c r="O405" i="10" s="1"/>
  <c r="P405" i="10" s="1"/>
  <c r="F437" i="10"/>
  <c r="O437" i="10" s="1"/>
  <c r="P437" i="10" s="1"/>
  <c r="F441" i="10"/>
  <c r="O441" i="10" s="1"/>
  <c r="P441" i="10" s="1"/>
  <c r="F450" i="10"/>
  <c r="O450" i="10" s="1"/>
  <c r="P450" i="10" s="1"/>
  <c r="F456" i="10"/>
  <c r="O456" i="10" s="1"/>
  <c r="P456" i="10" s="1"/>
  <c r="F466" i="10"/>
  <c r="O466" i="10" s="1"/>
  <c r="P466" i="10" s="1"/>
  <c r="F472" i="10"/>
  <c r="O472" i="10" s="1"/>
  <c r="P472" i="10" s="1"/>
  <c r="F482" i="10"/>
  <c r="O482" i="10" s="1"/>
  <c r="P482" i="10" s="1"/>
  <c r="F488" i="10"/>
  <c r="O488" i="10" s="1"/>
  <c r="P488" i="10" s="1"/>
  <c r="F498" i="10"/>
  <c r="O498" i="10" s="1"/>
  <c r="P498" i="10" s="1"/>
  <c r="F504" i="10"/>
  <c r="O504" i="10" s="1"/>
  <c r="P504" i="10" s="1"/>
  <c r="F515" i="10"/>
  <c r="O515" i="10" s="1"/>
  <c r="P515" i="10" s="1"/>
  <c r="F520" i="10"/>
  <c r="O520" i="10" s="1"/>
  <c r="P520" i="10" s="1"/>
  <c r="F548" i="10"/>
  <c r="O548" i="10" s="1"/>
  <c r="P548" i="10" s="1"/>
  <c r="F554" i="10"/>
  <c r="O554" i="10" s="1"/>
  <c r="P554" i="10" s="1"/>
  <c r="F580" i="10"/>
  <c r="O580" i="10" s="1"/>
  <c r="P580" i="10" s="1"/>
  <c r="F586" i="10"/>
  <c r="O586" i="10" s="1"/>
  <c r="P586" i="10" s="1"/>
  <c r="F612" i="10"/>
  <c r="O612" i="10" s="1"/>
  <c r="P612" i="10" s="1"/>
  <c r="F618" i="10"/>
  <c r="O618" i="10" s="1"/>
  <c r="P618" i="10" s="1"/>
  <c r="F645" i="10"/>
  <c r="O645" i="10" s="1"/>
  <c r="P645" i="10" s="1"/>
  <c r="F659" i="10"/>
  <c r="O659" i="10" s="1"/>
  <c r="P659" i="10" s="1"/>
  <c r="F677" i="10"/>
  <c r="O677" i="10" s="1"/>
  <c r="P677" i="10" s="1"/>
  <c r="F691" i="10"/>
  <c r="O691" i="10" s="1"/>
  <c r="P691" i="10" s="1"/>
  <c r="F709" i="10"/>
  <c r="O709" i="10" s="1"/>
  <c r="P709" i="10" s="1"/>
  <c r="F723" i="10"/>
  <c r="O723" i="10" s="1"/>
  <c r="P723" i="10" s="1"/>
  <c r="F741" i="10"/>
  <c r="O741" i="10" s="1"/>
  <c r="P741" i="10" s="1"/>
  <c r="F755" i="10"/>
  <c r="O755" i="10" s="1"/>
  <c r="P755" i="10" s="1"/>
  <c r="F773" i="10"/>
  <c r="O773" i="10" s="1"/>
  <c r="P773" i="10" s="1"/>
  <c r="F807" i="10"/>
  <c r="O807" i="10" s="1"/>
  <c r="P807" i="10" s="1"/>
  <c r="F827" i="10"/>
  <c r="O827" i="10" s="1"/>
  <c r="P827" i="10" s="1"/>
  <c r="F845" i="10"/>
  <c r="O845" i="10" s="1"/>
  <c r="P845" i="10" s="1"/>
  <c r="F859" i="10"/>
  <c r="O859" i="10" s="1"/>
  <c r="P859" i="10" s="1"/>
  <c r="F877" i="10"/>
  <c r="O877" i="10" s="1"/>
  <c r="P877" i="10" s="1"/>
  <c r="F891" i="10"/>
  <c r="O891" i="10" s="1"/>
  <c r="P891" i="10" s="1"/>
  <c r="F909" i="10"/>
  <c r="O909" i="10" s="1"/>
  <c r="P909" i="10" s="1"/>
  <c r="F923" i="10"/>
  <c r="O923" i="10" s="1"/>
  <c r="P923" i="10" s="1"/>
  <c r="F943" i="10"/>
  <c r="O943" i="10" s="1"/>
  <c r="P943" i="10" s="1"/>
  <c r="F961" i="10"/>
  <c r="O961" i="10" s="1"/>
  <c r="P961" i="10" s="1"/>
  <c r="F975" i="10"/>
  <c r="O975" i="10" s="1"/>
  <c r="P975" i="10" s="1"/>
  <c r="F993" i="10"/>
  <c r="O993" i="10" s="1"/>
  <c r="P993" i="10" s="1"/>
  <c r="F1007" i="10"/>
  <c r="O1007" i="10" s="1"/>
  <c r="P1007" i="10" s="1"/>
  <c r="F1012" i="10"/>
  <c r="O1012" i="10" s="1"/>
  <c r="P1012" i="10" s="1"/>
  <c r="F1018" i="10"/>
  <c r="O1018" i="10" s="1"/>
  <c r="P1018" i="10" s="1"/>
  <c r="F1039" i="10"/>
  <c r="O1039" i="10" s="1"/>
  <c r="P1039" i="10" s="1"/>
  <c r="F1044" i="10"/>
  <c r="O1044" i="10" s="1"/>
  <c r="P1044" i="10" s="1"/>
  <c r="F1054" i="10"/>
  <c r="O1054" i="10" s="1"/>
  <c r="P1054" i="10" s="1"/>
  <c r="F1060" i="10"/>
  <c r="O1060" i="10" s="1"/>
  <c r="P1060" i="10" s="1"/>
  <c r="F1070" i="10"/>
  <c r="O1070" i="10" s="1"/>
  <c r="P1070" i="10" s="1"/>
  <c r="F1076" i="10"/>
  <c r="O1076" i="10" s="1"/>
  <c r="P1076" i="10" s="1"/>
  <c r="F1081" i="10"/>
  <c r="O1081" i="10" s="1"/>
  <c r="P1081" i="10" s="1"/>
  <c r="F1085" i="10"/>
  <c r="O1085" i="10" s="1"/>
  <c r="P1085" i="10" s="1"/>
  <c r="F1100" i="10"/>
  <c r="O1100" i="10" s="1"/>
  <c r="P1100" i="10" s="1"/>
  <c r="F1113" i="10"/>
  <c r="O1113" i="10" s="1"/>
  <c r="P1113" i="10" s="1"/>
  <c r="F1119" i="10"/>
  <c r="O1119" i="10" s="1"/>
  <c r="P1119" i="10" s="1"/>
  <c r="F13" i="10"/>
  <c r="O13" i="10" s="1"/>
  <c r="P13" i="10" s="1"/>
  <c r="J13" i="10" s="1"/>
  <c r="J10" i="13" s="1" a="1"/>
  <c r="J10" i="13" s="1"/>
  <c r="F51" i="10"/>
  <c r="O51" i="10" s="1"/>
  <c r="P51" i="10" s="1"/>
  <c r="J51" i="10" s="1"/>
  <c r="F95" i="10"/>
  <c r="O95" i="10" s="1"/>
  <c r="P95" i="10" s="1"/>
  <c r="F146" i="10"/>
  <c r="O146" i="10" s="1"/>
  <c r="P146" i="10" s="1"/>
  <c r="F194" i="10"/>
  <c r="O194" i="10" s="1"/>
  <c r="P194" i="10" s="1"/>
  <c r="F226" i="10"/>
  <c r="O226" i="10" s="1"/>
  <c r="P226" i="10" s="1"/>
  <c r="F242" i="10"/>
  <c r="O242" i="10" s="1"/>
  <c r="P242" i="10" s="1"/>
  <c r="F258" i="10"/>
  <c r="O258" i="10" s="1"/>
  <c r="P258" i="10" s="1"/>
  <c r="F290" i="10"/>
  <c r="O290" i="10" s="1"/>
  <c r="P290" i="10" s="1"/>
  <c r="F306" i="10"/>
  <c r="O306" i="10" s="1"/>
  <c r="P306" i="10" s="1"/>
  <c r="F322" i="10"/>
  <c r="O322" i="10" s="1"/>
  <c r="P322" i="10" s="1"/>
  <c r="F338" i="10"/>
  <c r="O338" i="10" s="1"/>
  <c r="P338" i="10" s="1"/>
  <c r="F359" i="10"/>
  <c r="O359" i="10" s="1"/>
  <c r="P359" i="10" s="1"/>
  <c r="F407" i="10"/>
  <c r="O407" i="10" s="1"/>
  <c r="P407" i="10" s="1"/>
  <c r="F418" i="10"/>
  <c r="O418" i="10" s="1"/>
  <c r="P418" i="10" s="1"/>
  <c r="F616" i="10"/>
  <c r="O616" i="10" s="1"/>
  <c r="P616" i="10" s="1"/>
  <c r="F633" i="10"/>
  <c r="O633" i="10" s="1"/>
  <c r="P633" i="10" s="1"/>
  <c r="F647" i="10"/>
  <c r="O647" i="10" s="1"/>
  <c r="P647" i="10" s="1"/>
  <c r="F664" i="10"/>
  <c r="O664" i="10" s="1"/>
  <c r="P664" i="10" s="1"/>
  <c r="F718" i="10"/>
  <c r="O718" i="10" s="1"/>
  <c r="P718" i="10" s="1"/>
  <c r="F812" i="10"/>
  <c r="O812" i="10" s="1"/>
  <c r="P812" i="10" s="1"/>
  <c r="F838" i="10"/>
  <c r="O838" i="10" s="1"/>
  <c r="P838" i="10" s="1"/>
  <c r="F897" i="10"/>
  <c r="O897" i="10" s="1"/>
  <c r="P897" i="10" s="1"/>
  <c r="F934" i="10"/>
  <c r="O934" i="10" s="1"/>
  <c r="P934" i="10" s="1"/>
  <c r="F1015" i="10"/>
  <c r="O1015" i="10" s="1"/>
  <c r="P1015" i="10" s="1"/>
  <c r="F1089" i="10"/>
  <c r="O1089" i="10" s="1"/>
  <c r="P1089" i="10" s="1"/>
  <c r="F1107" i="10"/>
  <c r="O1107" i="10" s="1"/>
  <c r="P1107" i="10" s="1"/>
  <c r="F83" i="10"/>
  <c r="O83" i="10" s="1"/>
  <c r="P83" i="10" s="1"/>
  <c r="F99" i="10"/>
  <c r="O99" i="10" s="1"/>
  <c r="P99" i="10" s="1"/>
  <c r="F115" i="10"/>
  <c r="O115" i="10" s="1"/>
  <c r="P115" i="10" s="1"/>
  <c r="F131" i="10"/>
  <c r="O131" i="10" s="1"/>
  <c r="P131" i="10" s="1"/>
  <c r="F147" i="10"/>
  <c r="O147" i="10" s="1"/>
  <c r="P147" i="10" s="1"/>
  <c r="F163" i="10"/>
  <c r="O163" i="10" s="1"/>
  <c r="P163" i="10" s="1"/>
  <c r="F179" i="10"/>
  <c r="O179" i="10" s="1"/>
  <c r="P179" i="10" s="1"/>
  <c r="F195" i="10"/>
  <c r="O195" i="10" s="1"/>
  <c r="P195" i="10" s="1"/>
  <c r="F211" i="10"/>
  <c r="O211" i="10" s="1"/>
  <c r="P211" i="10" s="1"/>
  <c r="F227" i="10"/>
  <c r="O227" i="10" s="1"/>
  <c r="P227" i="10" s="1"/>
  <c r="F243" i="10"/>
  <c r="O243" i="10" s="1"/>
  <c r="P243" i="10" s="1"/>
  <c r="F259" i="10"/>
  <c r="O259" i="10" s="1"/>
  <c r="P259" i="10" s="1"/>
  <c r="F275" i="10"/>
  <c r="O275" i="10" s="1"/>
  <c r="P275" i="10" s="1"/>
  <c r="F291" i="10"/>
  <c r="O291" i="10" s="1"/>
  <c r="P291" i="10" s="1"/>
  <c r="F307" i="10"/>
  <c r="O307" i="10" s="1"/>
  <c r="P307" i="10" s="1"/>
  <c r="F323" i="10"/>
  <c r="O323" i="10" s="1"/>
  <c r="P323" i="10" s="1"/>
  <c r="F339" i="10"/>
  <c r="O339" i="10" s="1"/>
  <c r="P339" i="10" s="1"/>
  <c r="F355" i="10"/>
  <c r="O355" i="10" s="1"/>
  <c r="P355" i="10" s="1"/>
  <c r="F371" i="10"/>
  <c r="O371" i="10" s="1"/>
  <c r="P371" i="10" s="1"/>
  <c r="F387" i="10"/>
  <c r="O387" i="10" s="1"/>
  <c r="P387" i="10" s="1"/>
  <c r="F403" i="10"/>
  <c r="O403" i="10" s="1"/>
  <c r="P403" i="10" s="1"/>
  <c r="F419" i="10"/>
  <c r="O419" i="10" s="1"/>
  <c r="P419" i="10" s="1"/>
  <c r="F435" i="10"/>
  <c r="O435" i="10" s="1"/>
  <c r="P435" i="10" s="1"/>
  <c r="F522" i="10"/>
  <c r="O522" i="10" s="1"/>
  <c r="P522" i="10" s="1"/>
  <c r="F530" i="10"/>
  <c r="O530" i="10" s="1"/>
  <c r="P530" i="10" s="1"/>
  <c r="F544" i="10"/>
  <c r="O544" i="10" s="1"/>
  <c r="P544" i="10" s="1"/>
  <c r="F550" i="10"/>
  <c r="O550" i="10" s="1"/>
  <c r="P550" i="10" s="1"/>
  <c r="F576" i="10"/>
  <c r="O576" i="10" s="1"/>
  <c r="P576" i="10" s="1"/>
  <c r="F582" i="10"/>
  <c r="O582" i="10" s="1"/>
  <c r="P582" i="10" s="1"/>
  <c r="F608" i="10"/>
  <c r="O608" i="10" s="1"/>
  <c r="P608" i="10" s="1"/>
  <c r="F614" i="10"/>
  <c r="O614" i="10" s="1"/>
  <c r="P614" i="10" s="1"/>
  <c r="F641" i="10"/>
  <c r="O641" i="10" s="1"/>
  <c r="P641" i="10" s="1"/>
  <c r="F655" i="10"/>
  <c r="O655" i="10" s="1"/>
  <c r="P655" i="10" s="1"/>
  <c r="F673" i="10"/>
  <c r="O673" i="10" s="1"/>
  <c r="P673" i="10" s="1"/>
  <c r="F687" i="10"/>
  <c r="O687" i="10" s="1"/>
  <c r="P687" i="10" s="1"/>
  <c r="F705" i="10"/>
  <c r="O705" i="10" s="1"/>
  <c r="P705" i="10" s="1"/>
  <c r="F719" i="10"/>
  <c r="O719" i="10" s="1"/>
  <c r="P719" i="10" s="1"/>
  <c r="F737" i="10"/>
  <c r="O737" i="10" s="1"/>
  <c r="P737" i="10" s="1"/>
  <c r="F751" i="10"/>
  <c r="O751" i="10" s="1"/>
  <c r="P751" i="10" s="1"/>
  <c r="F769" i="10"/>
  <c r="O769" i="10" s="1"/>
  <c r="P769" i="10" s="1"/>
  <c r="F783" i="10"/>
  <c r="O783" i="10" s="1"/>
  <c r="P783" i="10" s="1"/>
  <c r="F788" i="10"/>
  <c r="O788" i="10" s="1"/>
  <c r="P788" i="10" s="1"/>
  <c r="F840" i="10"/>
  <c r="O840" i="10" s="1"/>
  <c r="P840" i="10" s="1"/>
  <c r="F846" i="10"/>
  <c r="O846" i="10" s="1"/>
  <c r="P846" i="10" s="1"/>
  <c r="F872" i="10"/>
  <c r="O872" i="10" s="1"/>
  <c r="P872" i="10" s="1"/>
  <c r="F878" i="10"/>
  <c r="O878" i="10" s="1"/>
  <c r="P878" i="10" s="1"/>
  <c r="F904" i="10"/>
  <c r="O904" i="10" s="1"/>
  <c r="P904" i="10" s="1"/>
  <c r="F910" i="10"/>
  <c r="O910" i="10" s="1"/>
  <c r="P910" i="10" s="1"/>
  <c r="F936" i="10"/>
  <c r="O936" i="10" s="1"/>
  <c r="P936" i="10" s="1"/>
  <c r="F941" i="10"/>
  <c r="O941" i="10" s="1"/>
  <c r="P941" i="10" s="1"/>
  <c r="F955" i="10"/>
  <c r="O955" i="10" s="1"/>
  <c r="P955" i="10" s="1"/>
  <c r="F973" i="10"/>
  <c r="O973" i="10" s="1"/>
  <c r="P973" i="10" s="1"/>
  <c r="F987" i="10"/>
  <c r="O987" i="10" s="1"/>
  <c r="P987" i="10" s="1"/>
  <c r="F1005" i="10"/>
  <c r="O1005" i="10" s="1"/>
  <c r="P1005" i="10" s="1"/>
  <c r="F1026" i="10"/>
  <c r="O1026" i="10" s="1"/>
  <c r="P1026" i="10" s="1"/>
  <c r="F1032" i="10"/>
  <c r="O1032" i="10" s="1"/>
  <c r="P1032" i="10" s="1"/>
  <c r="F1095" i="10"/>
  <c r="O1095" i="10" s="1"/>
  <c r="P1095" i="10" s="1"/>
  <c r="F1102" i="10"/>
  <c r="O1102" i="10" s="1"/>
  <c r="P1102" i="10" s="1"/>
  <c r="F1111" i="10"/>
  <c r="O1111" i="10" s="1"/>
  <c r="P1111" i="10" s="1"/>
  <c r="F11" i="10"/>
  <c r="O11" i="10" s="1"/>
  <c r="P11" i="10" s="1"/>
  <c r="J11" i="10" s="1"/>
  <c r="F27" i="10"/>
  <c r="O27" i="10" s="1"/>
  <c r="P27" i="10" s="1"/>
  <c r="J27" i="10" s="1"/>
  <c r="F43" i="10"/>
  <c r="O43" i="10" s="1"/>
  <c r="P43" i="10" s="1"/>
  <c r="J43" i="10" s="1"/>
  <c r="F63" i="10"/>
  <c r="O63" i="10" s="1"/>
  <c r="P63" i="10" s="1"/>
  <c r="J63" i="10" s="1"/>
  <c r="F79" i="10"/>
  <c r="O79" i="10" s="1"/>
  <c r="P79" i="10" s="1"/>
  <c r="F239" i="10"/>
  <c r="O239" i="10" s="1"/>
  <c r="P239" i="10" s="1"/>
  <c r="F255" i="10"/>
  <c r="O255" i="10" s="1"/>
  <c r="P255" i="10" s="1"/>
  <c r="F266" i="10"/>
  <c r="O266" i="10" s="1"/>
  <c r="P266" i="10" s="1"/>
  <c r="F298" i="10"/>
  <c r="O298" i="10" s="1"/>
  <c r="P298" i="10" s="1"/>
  <c r="F415" i="10"/>
  <c r="O415" i="10" s="1"/>
  <c r="P415" i="10" s="1"/>
  <c r="F527" i="10"/>
  <c r="O527" i="10" s="1"/>
  <c r="P527" i="10" s="1"/>
  <c r="F558" i="10"/>
  <c r="O558" i="10" s="1"/>
  <c r="P558" i="10" s="1"/>
  <c r="F574" i="10"/>
  <c r="O574" i="10" s="1"/>
  <c r="P574" i="10" s="1"/>
  <c r="F697" i="10"/>
  <c r="O697" i="10" s="1"/>
  <c r="P697" i="10" s="1"/>
  <c r="F712" i="10"/>
  <c r="O712" i="10" s="1"/>
  <c r="P712" i="10" s="1"/>
  <c r="F775" i="10"/>
  <c r="O775" i="10" s="1"/>
  <c r="P775" i="10" s="1"/>
  <c r="F794" i="10"/>
  <c r="O794" i="10" s="1"/>
  <c r="P794" i="10" s="1"/>
  <c r="F833" i="10"/>
  <c r="O833" i="10" s="1"/>
  <c r="P833" i="10" s="1"/>
  <c r="F912" i="10"/>
  <c r="O912" i="10" s="1"/>
  <c r="P912" i="10" s="1"/>
  <c r="F1103" i="10"/>
  <c r="O1103" i="10" s="1"/>
  <c r="P1103" i="10" s="1"/>
  <c r="F105" i="10"/>
  <c r="O105" i="10" s="1"/>
  <c r="P105" i="10" s="1"/>
  <c r="F137" i="10"/>
  <c r="O137" i="10" s="1"/>
  <c r="P137" i="10" s="1"/>
  <c r="F169" i="10"/>
  <c r="O169" i="10" s="1"/>
  <c r="P169" i="10" s="1"/>
  <c r="F201" i="10"/>
  <c r="O201" i="10" s="1"/>
  <c r="P201" i="10" s="1"/>
  <c r="F233" i="10"/>
  <c r="O233" i="10" s="1"/>
  <c r="P233" i="10" s="1"/>
  <c r="F265" i="10"/>
  <c r="O265" i="10" s="1"/>
  <c r="P265" i="10" s="1"/>
  <c r="F297" i="10"/>
  <c r="O297" i="10" s="1"/>
  <c r="P297" i="10" s="1"/>
  <c r="F329" i="10"/>
  <c r="O329" i="10" s="1"/>
  <c r="P329" i="10" s="1"/>
  <c r="F361" i="10"/>
  <c r="O361" i="10" s="1"/>
  <c r="P361" i="10" s="1"/>
  <c r="F393" i="10"/>
  <c r="O393" i="10" s="1"/>
  <c r="P393" i="10" s="1"/>
  <c r="F425" i="10"/>
  <c r="O425" i="10" s="1"/>
  <c r="P425" i="10" s="1"/>
  <c r="F442" i="10"/>
  <c r="O442" i="10" s="1"/>
  <c r="P442" i="10" s="1"/>
  <c r="F454" i="10"/>
  <c r="O454" i="10" s="1"/>
  <c r="P454" i="10" s="1"/>
  <c r="F460" i="10"/>
  <c r="O460" i="10" s="1"/>
  <c r="P460" i="10" s="1"/>
  <c r="F470" i="10"/>
  <c r="O470" i="10" s="1"/>
  <c r="P470" i="10" s="1"/>
  <c r="F476" i="10"/>
  <c r="O476" i="10" s="1"/>
  <c r="P476" i="10" s="1"/>
  <c r="F486" i="10"/>
  <c r="O486" i="10" s="1"/>
  <c r="P486" i="10" s="1"/>
  <c r="F492" i="10"/>
  <c r="O492" i="10" s="1"/>
  <c r="P492" i="10" s="1"/>
  <c r="F502" i="10"/>
  <c r="O502" i="10" s="1"/>
  <c r="P502" i="10" s="1"/>
  <c r="F508" i="10"/>
  <c r="O508" i="10" s="1"/>
  <c r="P508" i="10" s="1"/>
  <c r="F514" i="10"/>
  <c r="O514" i="10" s="1"/>
  <c r="P514" i="10" s="1"/>
  <c r="F556" i="10"/>
  <c r="O556" i="10" s="1"/>
  <c r="P556" i="10" s="1"/>
  <c r="F562" i="10"/>
  <c r="O562" i="10" s="1"/>
  <c r="P562" i="10" s="1"/>
  <c r="F588" i="10"/>
  <c r="O588" i="10" s="1"/>
  <c r="P588" i="10" s="1"/>
  <c r="F594" i="10"/>
  <c r="O594" i="10" s="1"/>
  <c r="P594" i="10" s="1"/>
  <c r="F620" i="10"/>
  <c r="O620" i="10" s="1"/>
  <c r="P620" i="10" s="1"/>
  <c r="F626" i="10"/>
  <c r="O626" i="10" s="1"/>
  <c r="P626" i="10" s="1"/>
  <c r="F652" i="10"/>
  <c r="O652" i="10" s="1"/>
  <c r="P652" i="10" s="1"/>
  <c r="F658" i="10"/>
  <c r="O658" i="10" s="1"/>
  <c r="P658" i="10" s="1"/>
  <c r="F684" i="10"/>
  <c r="O684" i="10" s="1"/>
  <c r="P684" i="10" s="1"/>
  <c r="F690" i="10"/>
  <c r="O690" i="10" s="1"/>
  <c r="P690" i="10" s="1"/>
  <c r="F716" i="10"/>
  <c r="O716" i="10" s="1"/>
  <c r="P716" i="10" s="1"/>
  <c r="F722" i="10"/>
  <c r="O722" i="10" s="1"/>
  <c r="P722" i="10" s="1"/>
  <c r="F748" i="10"/>
  <c r="O748" i="10" s="1"/>
  <c r="P748" i="10" s="1"/>
  <c r="F754" i="10"/>
  <c r="O754" i="10" s="1"/>
  <c r="P754" i="10" s="1"/>
  <c r="F780" i="10"/>
  <c r="O780" i="10" s="1"/>
  <c r="P780" i="10" s="1"/>
  <c r="F802" i="10"/>
  <c r="O802" i="10" s="1"/>
  <c r="P802" i="10" s="1"/>
  <c r="F816" i="10"/>
  <c r="O816" i="10" s="1"/>
  <c r="P816" i="10" s="1"/>
  <c r="F821" i="10"/>
  <c r="O821" i="10" s="1"/>
  <c r="P821" i="10" s="1"/>
  <c r="F835" i="10"/>
  <c r="O835" i="10" s="1"/>
  <c r="P835" i="10" s="1"/>
  <c r="F853" i="10"/>
  <c r="O853" i="10" s="1"/>
  <c r="P853" i="10" s="1"/>
  <c r="F867" i="10"/>
  <c r="O867" i="10" s="1"/>
  <c r="P867" i="10" s="1"/>
  <c r="F885" i="10"/>
  <c r="O885" i="10" s="1"/>
  <c r="P885" i="10" s="1"/>
  <c r="F899" i="10"/>
  <c r="O899" i="10" s="1"/>
  <c r="P899" i="10" s="1"/>
  <c r="F917" i="10"/>
  <c r="O917" i="10" s="1"/>
  <c r="P917" i="10" s="1"/>
  <c r="F931" i="10"/>
  <c r="O931" i="10" s="1"/>
  <c r="P931" i="10" s="1"/>
  <c r="F951" i="10"/>
  <c r="O951" i="10" s="1"/>
  <c r="P951" i="10" s="1"/>
  <c r="F969" i="10"/>
  <c r="O969" i="10" s="1"/>
  <c r="P969" i="10" s="1"/>
  <c r="F983" i="10"/>
  <c r="O983" i="10" s="1"/>
  <c r="P983" i="10" s="1"/>
  <c r="F1001" i="10"/>
  <c r="O1001" i="10" s="1"/>
  <c r="P1001" i="10" s="1"/>
  <c r="F1034" i="10"/>
  <c r="O1034" i="10" s="1"/>
  <c r="P1034" i="10" s="1"/>
  <c r="F1042" i="10"/>
  <c r="O1042" i="10" s="1"/>
  <c r="P1042" i="10" s="1"/>
  <c r="F1048" i="10"/>
  <c r="O1048" i="10" s="1"/>
  <c r="P1048" i="10" s="1"/>
  <c r="F1058" i="10"/>
  <c r="O1058" i="10" s="1"/>
  <c r="P1058" i="10" s="1"/>
  <c r="F1064" i="10"/>
  <c r="O1064" i="10" s="1"/>
  <c r="P1064" i="10" s="1"/>
  <c r="F1074" i="10"/>
  <c r="O1074" i="10" s="1"/>
  <c r="P1074" i="10" s="1"/>
  <c r="F1080" i="10"/>
  <c r="O1080" i="10" s="1"/>
  <c r="P1080" i="10" s="1"/>
  <c r="F1091" i="10"/>
  <c r="O1091" i="10" s="1"/>
  <c r="P1091" i="10" s="1"/>
  <c r="F1098" i="10"/>
  <c r="O1098" i="10" s="1"/>
  <c r="P1098" i="10" s="1"/>
  <c r="F1142" i="10"/>
  <c r="O1142" i="10" s="1"/>
  <c r="P1142" i="10" s="1"/>
  <c r="F1124" i="10"/>
  <c r="O1124" i="10" s="1"/>
  <c r="P1124" i="10" s="1"/>
  <c r="F1145" i="10"/>
  <c r="O1145" i="10" s="1"/>
  <c r="P1145" i="10" s="1"/>
  <c r="F1152" i="10"/>
  <c r="O1152" i="10" s="1"/>
  <c r="P1152" i="10" s="1"/>
  <c r="F1130" i="10"/>
  <c r="O1130" i="10" s="1"/>
  <c r="P1130" i="10" s="1"/>
  <c r="F1162" i="10"/>
  <c r="O1162" i="10" s="1"/>
  <c r="P1162" i="10" s="1"/>
  <c r="F1170" i="10"/>
  <c r="O1170" i="10" s="1"/>
  <c r="P1170" i="10" s="1"/>
  <c r="F1132" i="10"/>
  <c r="O1132" i="10" s="1"/>
  <c r="P1132" i="10" s="1"/>
  <c r="F1157" i="10"/>
  <c r="O1157" i="10" s="1"/>
  <c r="P1157" i="10" s="1"/>
  <c r="F1164" i="10"/>
  <c r="O1164" i="10" s="1"/>
  <c r="P1164" i="10" s="1"/>
  <c r="F41" i="10"/>
  <c r="O41" i="10" s="1"/>
  <c r="P41" i="10" s="1"/>
  <c r="J41" i="10" s="1"/>
  <c r="F61" i="10"/>
  <c r="O61" i="10" s="1"/>
  <c r="P61" i="10" s="1"/>
  <c r="J61" i="10" s="1"/>
  <c r="F87" i="10"/>
  <c r="O87" i="10" s="1"/>
  <c r="P87" i="10" s="1"/>
  <c r="F154" i="10"/>
  <c r="O154" i="10" s="1"/>
  <c r="P154" i="10" s="1"/>
  <c r="F178" i="10"/>
  <c r="O178" i="10" s="1"/>
  <c r="P178" i="10" s="1"/>
  <c r="F210" i="10"/>
  <c r="O210" i="10" s="1"/>
  <c r="P210" i="10" s="1"/>
  <c r="F311" i="10"/>
  <c r="O311" i="10" s="1"/>
  <c r="P311" i="10" s="1"/>
  <c r="F327" i="10"/>
  <c r="O327" i="10" s="1"/>
  <c r="P327" i="10" s="1"/>
  <c r="F354" i="10"/>
  <c r="O354" i="10" s="1"/>
  <c r="P354" i="10" s="1"/>
  <c r="F536" i="10"/>
  <c r="O536" i="10" s="1"/>
  <c r="P536" i="10" s="1"/>
  <c r="F713" i="10"/>
  <c r="O713" i="10" s="1"/>
  <c r="P713" i="10" s="1"/>
  <c r="F734" i="10"/>
  <c r="O734" i="10" s="1"/>
  <c r="P734" i="10" s="1"/>
  <c r="F832" i="10"/>
  <c r="O832" i="10" s="1"/>
  <c r="P832" i="10" s="1"/>
  <c r="F948" i="10"/>
  <c r="O948" i="10" s="1"/>
  <c r="P948" i="10" s="1"/>
  <c r="F1002" i="10"/>
  <c r="O1002" i="10" s="1"/>
  <c r="P1002" i="10" s="1"/>
  <c r="F1087" i="10"/>
  <c r="O1087" i="10" s="1"/>
  <c r="P1087" i="10" s="1"/>
  <c r="F109" i="10"/>
  <c r="O109" i="10" s="1"/>
  <c r="P109" i="10" s="1"/>
  <c r="F141" i="10"/>
  <c r="O141" i="10" s="1"/>
  <c r="P141" i="10" s="1"/>
  <c r="F173" i="10"/>
  <c r="O173" i="10" s="1"/>
  <c r="P173" i="10" s="1"/>
  <c r="F205" i="10"/>
  <c r="O205" i="10" s="1"/>
  <c r="P205" i="10" s="1"/>
  <c r="F237" i="10"/>
  <c r="O237" i="10" s="1"/>
  <c r="P237" i="10" s="1"/>
  <c r="F269" i="10"/>
  <c r="O269" i="10" s="1"/>
  <c r="P269" i="10" s="1"/>
  <c r="F301" i="10"/>
  <c r="O301" i="10" s="1"/>
  <c r="P301" i="10" s="1"/>
  <c r="F333" i="10"/>
  <c r="O333" i="10" s="1"/>
  <c r="P333" i="10" s="1"/>
  <c r="F365" i="10"/>
  <c r="O365" i="10" s="1"/>
  <c r="P365" i="10" s="1"/>
  <c r="F397" i="10"/>
  <c r="O397" i="10" s="1"/>
  <c r="P397" i="10" s="1"/>
  <c r="F429" i="10"/>
  <c r="O429" i="10" s="1"/>
  <c r="P429" i="10" s="1"/>
  <c r="F447" i="10"/>
  <c r="O447" i="10" s="1"/>
  <c r="P447" i="10" s="1"/>
  <c r="F463" i="10"/>
  <c r="O463" i="10" s="1"/>
  <c r="P463" i="10" s="1"/>
  <c r="F479" i="10"/>
  <c r="O479" i="10" s="1"/>
  <c r="P479" i="10" s="1"/>
  <c r="F495" i="10"/>
  <c r="O495" i="10" s="1"/>
  <c r="P495" i="10" s="1"/>
  <c r="F511" i="10"/>
  <c r="O511" i="10" s="1"/>
  <c r="P511" i="10" s="1"/>
  <c r="F516" i="10"/>
  <c r="O516" i="10" s="1"/>
  <c r="P516" i="10" s="1"/>
  <c r="F521" i="10"/>
  <c r="O521" i="10" s="1"/>
  <c r="P521" i="10" s="1"/>
  <c r="F549" i="10"/>
  <c r="O549" i="10" s="1"/>
  <c r="P549" i="10" s="1"/>
  <c r="F563" i="10"/>
  <c r="O563" i="10" s="1"/>
  <c r="P563" i="10" s="1"/>
  <c r="F581" i="10"/>
  <c r="O581" i="10" s="1"/>
  <c r="P581" i="10" s="1"/>
  <c r="F595" i="10"/>
  <c r="O595" i="10" s="1"/>
  <c r="P595" i="10" s="1"/>
  <c r="F613" i="10"/>
  <c r="O613" i="10" s="1"/>
  <c r="P613" i="10" s="1"/>
  <c r="F627" i="10"/>
  <c r="O627" i="10" s="1"/>
  <c r="P627" i="10" s="1"/>
  <c r="F634" i="10"/>
  <c r="O634" i="10" s="1"/>
  <c r="P634" i="10" s="1"/>
  <c r="F660" i="10"/>
  <c r="O660" i="10" s="1"/>
  <c r="P660" i="10" s="1"/>
  <c r="F666" i="10"/>
  <c r="O666" i="10" s="1"/>
  <c r="P666" i="10" s="1"/>
  <c r="F692" i="10"/>
  <c r="O692" i="10" s="1"/>
  <c r="P692" i="10" s="1"/>
  <c r="F698" i="10"/>
  <c r="O698" i="10" s="1"/>
  <c r="P698" i="10" s="1"/>
  <c r="F724" i="10"/>
  <c r="O724" i="10" s="1"/>
  <c r="P724" i="10" s="1"/>
  <c r="F730" i="10"/>
  <c r="O730" i="10" s="1"/>
  <c r="P730" i="10" s="1"/>
  <c r="F756" i="10"/>
  <c r="O756" i="10" s="1"/>
  <c r="P756" i="10" s="1"/>
  <c r="F762" i="10"/>
  <c r="O762" i="10" s="1"/>
  <c r="P762" i="10" s="1"/>
  <c r="F803" i="10"/>
  <c r="O803" i="10" s="1"/>
  <c r="P803" i="10" s="1"/>
  <c r="F808" i="10"/>
  <c r="O808" i="10" s="1"/>
  <c r="P808" i="10" s="1"/>
  <c r="F814" i="10"/>
  <c r="O814" i="10" s="1"/>
  <c r="P814" i="10" s="1"/>
  <c r="F828" i="10"/>
  <c r="O828" i="10" s="1"/>
  <c r="P828" i="10" s="1"/>
  <c r="F834" i="10"/>
  <c r="O834" i="10" s="1"/>
  <c r="P834" i="10" s="1"/>
  <c r="F860" i="10"/>
  <c r="O860" i="10" s="1"/>
  <c r="P860" i="10" s="1"/>
  <c r="F866" i="10"/>
  <c r="O866" i="10" s="1"/>
  <c r="P866" i="10" s="1"/>
  <c r="F892" i="10"/>
  <c r="O892" i="10" s="1"/>
  <c r="P892" i="10" s="1"/>
  <c r="F898" i="10"/>
  <c r="O898" i="10" s="1"/>
  <c r="P898" i="10" s="1"/>
  <c r="F924" i="10"/>
  <c r="O924" i="10" s="1"/>
  <c r="P924" i="10" s="1"/>
  <c r="F930" i="10"/>
  <c r="O930" i="10" s="1"/>
  <c r="P930" i="10" s="1"/>
  <c r="F944" i="10"/>
  <c r="O944" i="10" s="1"/>
  <c r="P944" i="10" s="1"/>
  <c r="F950" i="10"/>
  <c r="O950" i="10" s="1"/>
  <c r="P950" i="10" s="1"/>
  <c r="F976" i="10"/>
  <c r="O976" i="10" s="1"/>
  <c r="P976" i="10" s="1"/>
  <c r="F982" i="10"/>
  <c r="O982" i="10" s="1"/>
  <c r="P982" i="10" s="1"/>
  <c r="F1008" i="10"/>
  <c r="O1008" i="10" s="1"/>
  <c r="P1008" i="10" s="1"/>
  <c r="F1013" i="10"/>
  <c r="O1013" i="10" s="1"/>
  <c r="P1013" i="10" s="1"/>
  <c r="F1035" i="10"/>
  <c r="O1035" i="10" s="1"/>
  <c r="P1035" i="10" s="1"/>
  <c r="F1040" i="10"/>
  <c r="O1040" i="10" s="1"/>
  <c r="P1040" i="10" s="1"/>
  <c r="F1051" i="10"/>
  <c r="O1051" i="10" s="1"/>
  <c r="P1051" i="10" s="1"/>
  <c r="F1067" i="10"/>
  <c r="O1067" i="10" s="1"/>
  <c r="P1067" i="10" s="1"/>
  <c r="F1101" i="10"/>
  <c r="O1101" i="10" s="1"/>
  <c r="P1101" i="10" s="1"/>
  <c r="F17" i="10"/>
  <c r="O17" i="10" s="1"/>
  <c r="P17" i="10" s="1"/>
  <c r="J17" i="10" s="1"/>
  <c r="F57" i="10"/>
  <c r="O57" i="10" s="1"/>
  <c r="P57" i="10" s="1"/>
  <c r="J57" i="10" s="1"/>
  <c r="F82" i="10"/>
  <c r="O82" i="10" s="1"/>
  <c r="P82" i="10" s="1"/>
  <c r="F98" i="10"/>
  <c r="O98" i="10" s="1"/>
  <c r="P98" i="10" s="1"/>
  <c r="F114" i="10"/>
  <c r="O114" i="10" s="1"/>
  <c r="P114" i="10" s="1"/>
  <c r="F130" i="10"/>
  <c r="O130" i="10" s="1"/>
  <c r="P130" i="10" s="1"/>
  <c r="F167" i="10"/>
  <c r="O167" i="10" s="1"/>
  <c r="P167" i="10" s="1"/>
  <c r="F279" i="10"/>
  <c r="O279" i="10" s="1"/>
  <c r="P279" i="10" s="1"/>
  <c r="F343" i="10"/>
  <c r="O343" i="10" s="1"/>
  <c r="P343" i="10" s="1"/>
  <c r="F362" i="10"/>
  <c r="O362" i="10" s="1"/>
  <c r="P362" i="10" s="1"/>
  <c r="F535" i="10"/>
  <c r="O535" i="10" s="1"/>
  <c r="P535" i="10" s="1"/>
  <c r="F553" i="10"/>
  <c r="O553" i="10" s="1"/>
  <c r="P553" i="10" s="1"/>
  <c r="F583" i="10"/>
  <c r="O583" i="10" s="1"/>
  <c r="P583" i="10" s="1"/>
  <c r="F600" i="10"/>
  <c r="O600" i="10" s="1"/>
  <c r="P600" i="10" s="1"/>
  <c r="F670" i="10"/>
  <c r="O670" i="10" s="1"/>
  <c r="P670" i="10" s="1"/>
  <c r="F686" i="10"/>
  <c r="O686" i="10" s="1"/>
  <c r="P686" i="10" s="1"/>
  <c r="F743" i="10"/>
  <c r="O743" i="10" s="1"/>
  <c r="P743" i="10" s="1"/>
  <c r="F776" i="10"/>
  <c r="O776" i="10" s="1"/>
  <c r="P776" i="10" s="1"/>
  <c r="F863" i="10"/>
  <c r="O863" i="10" s="1"/>
  <c r="P863" i="10" s="1"/>
  <c r="F879" i="10"/>
  <c r="O879" i="10" s="1"/>
  <c r="P879" i="10" s="1"/>
  <c r="F980" i="10"/>
  <c r="O980" i="10" s="1"/>
  <c r="P980" i="10" s="1"/>
  <c r="F996" i="10"/>
  <c r="O996" i="10" s="1"/>
  <c r="P996" i="10" s="1"/>
  <c r="F1094" i="10"/>
  <c r="O1094" i="10" s="1"/>
  <c r="P1094" i="10" s="1"/>
  <c r="F1110" i="10"/>
  <c r="O1110" i="10" s="1"/>
  <c r="P1110" i="10" s="1"/>
  <c r="F14" i="10"/>
  <c r="O14" i="10" s="1"/>
  <c r="P14" i="10" s="1"/>
  <c r="J14" i="10" s="1"/>
  <c r="F18" i="10"/>
  <c r="O18" i="10" s="1"/>
  <c r="P18" i="10" s="1"/>
  <c r="J18" i="10" s="1"/>
  <c r="F22" i="10"/>
  <c r="O22" i="10" s="1"/>
  <c r="P22" i="10" s="1"/>
  <c r="J22" i="10" s="1"/>
  <c r="F26" i="10"/>
  <c r="O26" i="10" s="1"/>
  <c r="P26" i="10" s="1"/>
  <c r="J26" i="10" s="1"/>
  <c r="F30" i="10"/>
  <c r="O30" i="10" s="1"/>
  <c r="P30" i="10" s="1"/>
  <c r="J30" i="10" s="1"/>
  <c r="F34" i="10"/>
  <c r="O34" i="10" s="1"/>
  <c r="P34" i="10" s="1"/>
  <c r="J34" i="10" s="1"/>
  <c r="F38" i="10"/>
  <c r="O38" i="10" s="1"/>
  <c r="P38" i="10" s="1"/>
  <c r="J38" i="10" s="1"/>
  <c r="F42" i="10"/>
  <c r="O42" i="10" s="1"/>
  <c r="P42" i="10" s="1"/>
  <c r="J42" i="10" s="1"/>
  <c r="F46" i="10"/>
  <c r="O46" i="10" s="1"/>
  <c r="P46" i="10" s="1"/>
  <c r="J46" i="10" s="1"/>
  <c r="F50" i="10"/>
  <c r="O50" i="10" s="1"/>
  <c r="P50" i="10" s="1"/>
  <c r="J50" i="10" s="1"/>
  <c r="F54" i="10"/>
  <c r="O54" i="10" s="1"/>
  <c r="P54" i="10" s="1"/>
  <c r="J54" i="10" s="1"/>
  <c r="F58" i="10"/>
  <c r="O58" i="10" s="1"/>
  <c r="P58" i="10" s="1"/>
  <c r="J58" i="10" s="1"/>
  <c r="F62" i="10"/>
  <c r="O62" i="10" s="1"/>
  <c r="P62" i="10" s="1"/>
  <c r="J62" i="10" s="1"/>
  <c r="F66" i="10"/>
  <c r="O66" i="10" s="1"/>
  <c r="P66" i="10" s="1"/>
  <c r="J66" i="10" s="1"/>
  <c r="F70" i="10"/>
  <c r="O70" i="10" s="1"/>
  <c r="P70" i="10" s="1"/>
  <c r="J70" i="10" s="1"/>
  <c r="F74" i="10"/>
  <c r="O74" i="10" s="1"/>
  <c r="P74" i="10" s="1"/>
  <c r="J74" i="10" s="1"/>
  <c r="F78" i="10"/>
  <c r="O78" i="10" s="1"/>
  <c r="P78" i="10" s="1"/>
  <c r="F94" i="10"/>
  <c r="O94" i="10" s="1"/>
  <c r="P94" i="10" s="1"/>
  <c r="F110" i="10"/>
  <c r="O110" i="10" s="1"/>
  <c r="P110" i="10" s="1"/>
  <c r="F126" i="10"/>
  <c r="O126" i="10" s="1"/>
  <c r="P126" i="10" s="1"/>
  <c r="F142" i="10"/>
  <c r="O142" i="10" s="1"/>
  <c r="P142" i="10" s="1"/>
  <c r="F158" i="10"/>
  <c r="O158" i="10" s="1"/>
  <c r="P158" i="10" s="1"/>
  <c r="F174" i="10"/>
  <c r="O174" i="10" s="1"/>
  <c r="P174" i="10" s="1"/>
  <c r="F190" i="10"/>
  <c r="O190" i="10" s="1"/>
  <c r="P190" i="10" s="1"/>
  <c r="F206" i="10"/>
  <c r="O206" i="10" s="1"/>
  <c r="P206" i="10" s="1"/>
  <c r="F222" i="10"/>
  <c r="O222" i="10" s="1"/>
  <c r="P222" i="10" s="1"/>
  <c r="F238" i="10"/>
  <c r="O238" i="10" s="1"/>
  <c r="P238" i="10" s="1"/>
  <c r="F254" i="10"/>
  <c r="O254" i="10" s="1"/>
  <c r="P254" i="10" s="1"/>
  <c r="F270" i="10"/>
  <c r="O270" i="10" s="1"/>
  <c r="P270" i="10" s="1"/>
  <c r="F286" i="10"/>
  <c r="O286" i="10" s="1"/>
  <c r="P286" i="10" s="1"/>
  <c r="F302" i="10"/>
  <c r="O302" i="10" s="1"/>
  <c r="P302" i="10" s="1"/>
  <c r="F318" i="10"/>
  <c r="O318" i="10" s="1"/>
  <c r="P318" i="10" s="1"/>
  <c r="F334" i="10"/>
  <c r="O334" i="10" s="1"/>
  <c r="P334" i="10" s="1"/>
  <c r="F350" i="10"/>
  <c r="O350" i="10" s="1"/>
  <c r="P350" i="10" s="1"/>
  <c r="F366" i="10"/>
  <c r="O366" i="10" s="1"/>
  <c r="P366" i="10" s="1"/>
  <c r="F382" i="10"/>
  <c r="O382" i="10" s="1"/>
  <c r="P382" i="10" s="1"/>
  <c r="F398" i="10"/>
  <c r="O398" i="10" s="1"/>
  <c r="P398" i="10" s="1"/>
  <c r="F414" i="10"/>
  <c r="O414" i="10" s="1"/>
  <c r="P414" i="10" s="1"/>
  <c r="F430" i="10"/>
  <c r="O430" i="10" s="1"/>
  <c r="P430" i="10" s="1"/>
  <c r="F545" i="10"/>
  <c r="O545" i="10" s="1"/>
  <c r="P545" i="10" s="1"/>
  <c r="F559" i="10"/>
  <c r="O559" i="10" s="1"/>
  <c r="P559" i="10" s="1"/>
  <c r="F577" i="10"/>
  <c r="O577" i="10" s="1"/>
  <c r="P577" i="10" s="1"/>
  <c r="F591" i="10"/>
  <c r="O591" i="10" s="1"/>
  <c r="P591" i="10" s="1"/>
  <c r="F609" i="10"/>
  <c r="O609" i="10" s="1"/>
  <c r="P609" i="10" s="1"/>
  <c r="F623" i="10"/>
  <c r="O623" i="10" s="1"/>
  <c r="P623" i="10" s="1"/>
  <c r="F630" i="10"/>
  <c r="O630" i="10" s="1"/>
  <c r="P630" i="10" s="1"/>
  <c r="F656" i="10"/>
  <c r="O656" i="10" s="1"/>
  <c r="P656" i="10" s="1"/>
  <c r="F662" i="10"/>
  <c r="O662" i="10" s="1"/>
  <c r="P662" i="10" s="1"/>
  <c r="F688" i="10"/>
  <c r="O688" i="10" s="1"/>
  <c r="P688" i="10" s="1"/>
  <c r="F694" i="10"/>
  <c r="O694" i="10" s="1"/>
  <c r="P694" i="10" s="1"/>
  <c r="F720" i="10"/>
  <c r="O720" i="10" s="1"/>
  <c r="P720" i="10" s="1"/>
  <c r="F726" i="10"/>
  <c r="O726" i="10" s="1"/>
  <c r="P726" i="10" s="1"/>
  <c r="F752" i="10"/>
  <c r="O752" i="10" s="1"/>
  <c r="P752" i="10" s="1"/>
  <c r="F758" i="10"/>
  <c r="O758" i="10" s="1"/>
  <c r="P758" i="10" s="1"/>
  <c r="F784" i="10"/>
  <c r="O784" i="10" s="1"/>
  <c r="P784" i="10" s="1"/>
  <c r="F795" i="10"/>
  <c r="O795" i="10" s="1"/>
  <c r="P795" i="10" s="1"/>
  <c r="F823" i="10"/>
  <c r="O823" i="10" s="1"/>
  <c r="P823" i="10" s="1"/>
  <c r="F841" i="10"/>
  <c r="O841" i="10" s="1"/>
  <c r="P841" i="10" s="1"/>
  <c r="F855" i="10"/>
  <c r="O855" i="10" s="1"/>
  <c r="P855" i="10" s="1"/>
  <c r="F873" i="10"/>
  <c r="O873" i="10" s="1"/>
  <c r="P873" i="10" s="1"/>
  <c r="F887" i="10"/>
  <c r="O887" i="10" s="1"/>
  <c r="P887" i="10" s="1"/>
  <c r="F905" i="10"/>
  <c r="O905" i="10" s="1"/>
  <c r="P905" i="10" s="1"/>
  <c r="F919" i="10"/>
  <c r="O919" i="10" s="1"/>
  <c r="P919" i="10" s="1"/>
  <c r="F956" i="10"/>
  <c r="O956" i="10" s="1"/>
  <c r="P956" i="10" s="1"/>
  <c r="F962" i="10"/>
  <c r="O962" i="10" s="1"/>
  <c r="P962" i="10" s="1"/>
  <c r="F988" i="10"/>
  <c r="O988" i="10" s="1"/>
  <c r="P988" i="10" s="1"/>
  <c r="F994" i="10"/>
  <c r="O994" i="10" s="1"/>
  <c r="P994" i="10" s="1"/>
  <c r="F1014" i="10"/>
  <c r="O1014" i="10" s="1"/>
  <c r="P1014" i="10" s="1"/>
  <c r="F1033" i="10"/>
  <c r="O1033" i="10" s="1"/>
  <c r="P1033" i="10" s="1"/>
  <c r="F1096" i="10"/>
  <c r="O1096" i="10" s="1"/>
  <c r="P1096" i="10" s="1"/>
  <c r="F1106" i="10"/>
  <c r="O1106" i="10" s="1"/>
  <c r="P1106" i="10" s="1"/>
  <c r="F1114" i="10"/>
  <c r="O1114" i="10" s="1"/>
  <c r="P1114" i="10" s="1"/>
  <c r="F15" i="10"/>
  <c r="O15" i="10" s="1"/>
  <c r="P15" i="10" s="1"/>
  <c r="J15" i="10" s="1"/>
  <c r="F31" i="10"/>
  <c r="O31" i="10" s="1"/>
  <c r="P31" i="10" s="1"/>
  <c r="J31" i="10" s="1"/>
  <c r="F47" i="10"/>
  <c r="O47" i="10" s="1"/>
  <c r="P47" i="10" s="1"/>
  <c r="J47" i="10" s="1"/>
  <c r="F67" i="10"/>
  <c r="O67" i="10" s="1"/>
  <c r="P67" i="10" s="1"/>
  <c r="J67" i="10" s="1"/>
  <c r="F111" i="10"/>
  <c r="O111" i="10" s="1"/>
  <c r="P111" i="10" s="1"/>
  <c r="F127" i="10"/>
  <c r="O127" i="10" s="1"/>
  <c r="P127" i="10" s="1"/>
  <c r="F138" i="10"/>
  <c r="O138" i="10" s="1"/>
  <c r="P138" i="10" s="1"/>
  <c r="F175" i="10"/>
  <c r="O175" i="10" s="1"/>
  <c r="P175" i="10" s="1"/>
  <c r="F319" i="10"/>
  <c r="O319" i="10" s="1"/>
  <c r="P319" i="10" s="1"/>
  <c r="F335" i="10"/>
  <c r="O335" i="10" s="1"/>
  <c r="P335" i="10" s="1"/>
  <c r="F351" i="10"/>
  <c r="O351" i="10" s="1"/>
  <c r="P351" i="10" s="1"/>
  <c r="F367" i="10"/>
  <c r="O367" i="10" s="1"/>
  <c r="P367" i="10" s="1"/>
  <c r="F399" i="10"/>
  <c r="O399" i="10" s="1"/>
  <c r="P399" i="10" s="1"/>
  <c r="F531" i="10"/>
  <c r="O531" i="10" s="1"/>
  <c r="P531" i="10" s="1"/>
  <c r="F599" i="10"/>
  <c r="O599" i="10" s="1"/>
  <c r="P599" i="10" s="1"/>
  <c r="F617" i="10"/>
  <c r="O617" i="10" s="1"/>
  <c r="P617" i="10" s="1"/>
  <c r="F638" i="10"/>
  <c r="O638" i="10" s="1"/>
  <c r="P638" i="10" s="1"/>
  <c r="F681" i="10"/>
  <c r="O681" i="10" s="1"/>
  <c r="P681" i="10" s="1"/>
  <c r="F761" i="10"/>
  <c r="O761" i="10" s="1"/>
  <c r="P761" i="10" s="1"/>
  <c r="F854" i="10"/>
  <c r="O854" i="10" s="1"/>
  <c r="P854" i="10" s="1"/>
  <c r="F896" i="10"/>
  <c r="O896" i="10" s="1"/>
  <c r="P896" i="10" s="1"/>
  <c r="F938" i="10"/>
  <c r="O938" i="10" s="1"/>
  <c r="P938" i="10" s="1"/>
  <c r="F954" i="10"/>
  <c r="O954" i="10" s="1"/>
  <c r="P954" i="10" s="1"/>
  <c r="F997" i="10"/>
  <c r="O997" i="10" s="1"/>
  <c r="P997" i="10" s="1"/>
  <c r="F1016" i="10"/>
  <c r="O1016" i="10" s="1"/>
  <c r="P1016" i="10" s="1"/>
  <c r="F97" i="10"/>
  <c r="O97" i="10" s="1"/>
  <c r="P97" i="10" s="1"/>
  <c r="F129" i="10"/>
  <c r="O129" i="10" s="1"/>
  <c r="P129" i="10" s="1"/>
  <c r="F161" i="10"/>
  <c r="O161" i="10" s="1"/>
  <c r="P161" i="10" s="1"/>
  <c r="F193" i="10"/>
  <c r="O193" i="10" s="1"/>
  <c r="P193" i="10" s="1"/>
  <c r="F225" i="10"/>
  <c r="O225" i="10" s="1"/>
  <c r="P225" i="10" s="1"/>
  <c r="F257" i="10"/>
  <c r="O257" i="10" s="1"/>
  <c r="P257" i="10" s="1"/>
  <c r="F289" i="10"/>
  <c r="O289" i="10" s="1"/>
  <c r="P289" i="10" s="1"/>
  <c r="F321" i="10"/>
  <c r="O321" i="10" s="1"/>
  <c r="P321" i="10" s="1"/>
  <c r="F353" i="10"/>
  <c r="O353" i="10" s="1"/>
  <c r="P353" i="10" s="1"/>
  <c r="F385" i="10"/>
  <c r="O385" i="10" s="1"/>
  <c r="P385" i="10" s="1"/>
  <c r="F417" i="10"/>
  <c r="O417" i="10" s="1"/>
  <c r="P417" i="10" s="1"/>
  <c r="F451" i="10"/>
  <c r="O451" i="10" s="1"/>
  <c r="P451" i="10" s="1"/>
  <c r="F467" i="10"/>
  <c r="O467" i="10" s="1"/>
  <c r="P467" i="10" s="1"/>
  <c r="F483" i="10"/>
  <c r="O483" i="10" s="1"/>
  <c r="P483" i="10" s="1"/>
  <c r="F499" i="10"/>
  <c r="O499" i="10" s="1"/>
  <c r="P499" i="10" s="1"/>
  <c r="F539" i="10"/>
  <c r="O539" i="10" s="1"/>
  <c r="P539" i="10" s="1"/>
  <c r="F557" i="10"/>
  <c r="O557" i="10" s="1"/>
  <c r="P557" i="10" s="1"/>
  <c r="F571" i="10"/>
  <c r="O571" i="10" s="1"/>
  <c r="P571" i="10" s="1"/>
  <c r="F589" i="10"/>
  <c r="O589" i="10" s="1"/>
  <c r="P589" i="10" s="1"/>
  <c r="F603" i="10"/>
  <c r="O603" i="10" s="1"/>
  <c r="P603" i="10" s="1"/>
  <c r="F621" i="10"/>
  <c r="O621" i="10" s="1"/>
  <c r="P621" i="10" s="1"/>
  <c r="F635" i="10"/>
  <c r="O635" i="10" s="1"/>
  <c r="P635" i="10" s="1"/>
  <c r="F653" i="10"/>
  <c r="O653" i="10" s="1"/>
  <c r="P653" i="10" s="1"/>
  <c r="F667" i="10"/>
  <c r="O667" i="10" s="1"/>
  <c r="P667" i="10" s="1"/>
  <c r="F685" i="10"/>
  <c r="O685" i="10" s="1"/>
  <c r="P685" i="10" s="1"/>
  <c r="F699" i="10"/>
  <c r="O699" i="10" s="1"/>
  <c r="P699" i="10" s="1"/>
  <c r="F717" i="10"/>
  <c r="O717" i="10" s="1"/>
  <c r="P717" i="10" s="1"/>
  <c r="F731" i="10"/>
  <c r="O731" i="10" s="1"/>
  <c r="P731" i="10" s="1"/>
  <c r="F749" i="10"/>
  <c r="O749" i="10" s="1"/>
  <c r="P749" i="10" s="1"/>
  <c r="F763" i="10"/>
  <c r="O763" i="10" s="1"/>
  <c r="P763" i="10" s="1"/>
  <c r="F781" i="10"/>
  <c r="O781" i="10" s="1"/>
  <c r="P781" i="10" s="1"/>
  <c r="F836" i="10"/>
  <c r="O836" i="10" s="1"/>
  <c r="P836" i="10" s="1"/>
  <c r="F842" i="10"/>
  <c r="O842" i="10" s="1"/>
  <c r="P842" i="10" s="1"/>
  <c r="F868" i="10"/>
  <c r="O868" i="10" s="1"/>
  <c r="P868" i="10" s="1"/>
  <c r="F874" i="10"/>
  <c r="O874" i="10" s="1"/>
  <c r="P874" i="10" s="1"/>
  <c r="F900" i="10"/>
  <c r="O900" i="10" s="1"/>
  <c r="P900" i="10" s="1"/>
  <c r="F906" i="10"/>
  <c r="O906" i="10" s="1"/>
  <c r="P906" i="10" s="1"/>
  <c r="F932" i="10"/>
  <c r="O932" i="10" s="1"/>
  <c r="P932" i="10" s="1"/>
  <c r="F952" i="10"/>
  <c r="O952" i="10" s="1"/>
  <c r="P952" i="10" s="1"/>
  <c r="F958" i="10"/>
  <c r="O958" i="10" s="1"/>
  <c r="P958" i="10" s="1"/>
  <c r="F984" i="10"/>
  <c r="O984" i="10" s="1"/>
  <c r="P984" i="10" s="1"/>
  <c r="F990" i="10"/>
  <c r="O990" i="10" s="1"/>
  <c r="P990" i="10" s="1"/>
  <c r="F1010" i="10"/>
  <c r="O1010" i="10" s="1"/>
  <c r="P1010" i="10" s="1"/>
  <c r="F1023" i="10"/>
  <c r="O1023" i="10" s="1"/>
  <c r="P1023" i="10" s="1"/>
  <c r="F1055" i="10"/>
  <c r="O1055" i="10" s="1"/>
  <c r="P1055" i="10" s="1"/>
  <c r="F1071" i="10"/>
  <c r="O1071" i="10" s="1"/>
  <c r="P1071" i="10" s="1"/>
  <c r="F1092" i="10"/>
  <c r="O1092" i="10" s="1"/>
  <c r="P1092" i="10" s="1"/>
  <c r="F1121" i="10"/>
  <c r="O1121" i="10" s="1"/>
  <c r="P1121" i="10" s="1"/>
  <c r="F1134" i="10"/>
  <c r="O1134" i="10" s="1"/>
  <c r="P1134" i="10" s="1"/>
  <c r="F1166" i="10"/>
  <c r="O1166" i="10" s="1"/>
  <c r="P1166" i="10" s="1"/>
  <c r="F1118" i="10"/>
  <c r="O1118" i="10" s="1"/>
  <c r="P1118" i="10" s="1"/>
  <c r="F1128" i="10"/>
  <c r="O1128" i="10" s="1"/>
  <c r="P1128" i="10" s="1"/>
  <c r="F1153" i="10"/>
  <c r="O1153" i="10" s="1"/>
  <c r="P1153" i="10" s="1"/>
  <c r="F1160" i="10"/>
  <c r="O1160" i="10" s="1"/>
  <c r="P1160" i="10" s="1"/>
  <c r="F1154" i="10"/>
  <c r="O1154" i="10" s="1"/>
  <c r="P1154" i="10" s="1"/>
  <c r="F1171" i="10"/>
  <c r="O1171" i="10" s="1"/>
  <c r="P1171" i="10" s="1"/>
  <c r="F1133" i="10"/>
  <c r="O1133" i="10" s="1"/>
  <c r="P1133" i="10" s="1"/>
  <c r="F1140" i="10"/>
  <c r="O1140" i="10" s="1"/>
  <c r="P1140" i="10" s="1"/>
  <c r="F1165" i="10"/>
  <c r="O1165" i="10" s="1"/>
  <c r="P1165" i="10" s="1"/>
  <c r="F29" i="10"/>
  <c r="O29" i="10" s="1"/>
  <c r="P29" i="10" s="1"/>
  <c r="J29" i="10" s="1"/>
  <c r="F45" i="10"/>
  <c r="O45" i="10" s="1"/>
  <c r="P45" i="10" s="1"/>
  <c r="J45" i="10" s="1"/>
  <c r="F65" i="10"/>
  <c r="O65" i="10" s="1"/>
  <c r="P65" i="10" s="1"/>
  <c r="J65" i="10" s="1"/>
  <c r="F90" i="10"/>
  <c r="O90" i="10" s="1"/>
  <c r="P90" i="10" s="1"/>
  <c r="F231" i="10"/>
  <c r="O231" i="10" s="1"/>
  <c r="P231" i="10" s="1"/>
  <c r="F247" i="10"/>
  <c r="O247" i="10" s="1"/>
  <c r="P247" i="10" s="1"/>
  <c r="F263" i="10"/>
  <c r="O263" i="10" s="1"/>
  <c r="P263" i="10" s="1"/>
  <c r="F375" i="10"/>
  <c r="O375" i="10" s="1"/>
  <c r="P375" i="10" s="1"/>
  <c r="F391" i="10"/>
  <c r="O391" i="10" s="1"/>
  <c r="P391" i="10" s="1"/>
  <c r="F402" i="10"/>
  <c r="O402" i="10" s="1"/>
  <c r="P402" i="10" s="1"/>
  <c r="F423" i="10"/>
  <c r="O423" i="10" s="1"/>
  <c r="P423" i="10" s="1"/>
  <c r="F523" i="10"/>
  <c r="O523" i="10" s="1"/>
  <c r="P523" i="10" s="1"/>
  <c r="F615" i="10"/>
  <c r="O615" i="10" s="1"/>
  <c r="P615" i="10" s="1"/>
  <c r="F632" i="10"/>
  <c r="O632" i="10" s="1"/>
  <c r="P632" i="10" s="1"/>
  <c r="F696" i="10"/>
  <c r="O696" i="10" s="1"/>
  <c r="P696" i="10" s="1"/>
  <c r="F759" i="10"/>
  <c r="O759" i="10" s="1"/>
  <c r="P759" i="10" s="1"/>
  <c r="F777" i="10"/>
  <c r="O777" i="10" s="1"/>
  <c r="P777" i="10" s="1"/>
  <c r="F880" i="10"/>
  <c r="O880" i="10" s="1"/>
  <c r="P880" i="10" s="1"/>
  <c r="F895" i="10"/>
  <c r="O895" i="10" s="1"/>
  <c r="P895" i="10" s="1"/>
  <c r="F913" i="10"/>
  <c r="O913" i="10" s="1"/>
  <c r="P913" i="10" s="1"/>
  <c r="F929" i="10"/>
  <c r="O929" i="10" s="1"/>
  <c r="P929" i="10" s="1"/>
  <c r="F970" i="10"/>
  <c r="O970" i="10" s="1"/>
  <c r="P970" i="10" s="1"/>
  <c r="F986" i="10"/>
  <c r="O986" i="10" s="1"/>
  <c r="P986" i="10" s="1"/>
  <c r="F1027" i="10"/>
  <c r="O1027" i="10" s="1"/>
  <c r="P1027" i="10" s="1"/>
  <c r="F1115" i="10"/>
  <c r="O1115" i="10" s="1"/>
  <c r="P1115" i="10" s="1"/>
  <c r="F101" i="10"/>
  <c r="O101" i="10" s="1"/>
  <c r="P101" i="10" s="1"/>
  <c r="F133" i="10"/>
  <c r="O133" i="10" s="1"/>
  <c r="P133" i="10" s="1"/>
  <c r="F165" i="10"/>
  <c r="O165" i="10" s="1"/>
  <c r="P165" i="10" s="1"/>
  <c r="F197" i="10"/>
  <c r="O197" i="10" s="1"/>
  <c r="P197" i="10" s="1"/>
  <c r="F229" i="10"/>
  <c r="O229" i="10" s="1"/>
  <c r="P229" i="10" s="1"/>
  <c r="F261" i="10"/>
  <c r="O261" i="10" s="1"/>
  <c r="P261" i="10" s="1"/>
  <c r="F293" i="10"/>
  <c r="O293" i="10" s="1"/>
  <c r="P293" i="10" s="1"/>
  <c r="F325" i="10"/>
  <c r="O325" i="10" s="1"/>
  <c r="P325" i="10" s="1"/>
  <c r="F357" i="10"/>
  <c r="O357" i="10" s="1"/>
  <c r="P357" i="10" s="1"/>
  <c r="F389" i="10"/>
  <c r="O389" i="10" s="1"/>
  <c r="P389" i="10" s="1"/>
  <c r="F421" i="10"/>
  <c r="O421" i="10" s="1"/>
  <c r="P421" i="10" s="1"/>
  <c r="F439" i="10"/>
  <c r="O439" i="10" s="1"/>
  <c r="P439" i="10" s="1"/>
  <c r="F443" i="10"/>
  <c r="O443" i="10" s="1"/>
  <c r="P443" i="10" s="1"/>
  <c r="F448" i="10"/>
  <c r="O448" i="10" s="1"/>
  <c r="P448" i="10" s="1"/>
  <c r="F458" i="10"/>
  <c r="O458" i="10" s="1"/>
  <c r="P458" i="10" s="1"/>
  <c r="F464" i="10"/>
  <c r="O464" i="10" s="1"/>
  <c r="P464" i="10" s="1"/>
  <c r="F474" i="10"/>
  <c r="O474" i="10" s="1"/>
  <c r="P474" i="10" s="1"/>
  <c r="F480" i="10"/>
  <c r="O480" i="10" s="1"/>
  <c r="P480" i="10" s="1"/>
  <c r="F490" i="10"/>
  <c r="O490" i="10" s="1"/>
  <c r="P490" i="10" s="1"/>
  <c r="F496" i="10"/>
  <c r="O496" i="10" s="1"/>
  <c r="P496" i="10" s="1"/>
  <c r="F506" i="10"/>
  <c r="O506" i="10" s="1"/>
  <c r="P506" i="10" s="1"/>
  <c r="F512" i="10"/>
  <c r="O512" i="10" s="1"/>
  <c r="P512" i="10" s="1"/>
  <c r="F538" i="10"/>
  <c r="O538" i="10" s="1"/>
  <c r="P538" i="10" s="1"/>
  <c r="F564" i="10"/>
  <c r="O564" i="10" s="1"/>
  <c r="P564" i="10" s="1"/>
  <c r="F570" i="10"/>
  <c r="O570" i="10" s="1"/>
  <c r="P570" i="10" s="1"/>
  <c r="F596" i="10"/>
  <c r="O596" i="10" s="1"/>
  <c r="P596" i="10" s="1"/>
  <c r="F602" i="10"/>
  <c r="O602" i="10" s="1"/>
  <c r="P602" i="10" s="1"/>
  <c r="F628" i="10"/>
  <c r="O628" i="10" s="1"/>
  <c r="P628" i="10" s="1"/>
  <c r="F643" i="10"/>
  <c r="O643" i="10" s="1"/>
  <c r="P643" i="10" s="1"/>
  <c r="F661" i="10"/>
  <c r="O661" i="10" s="1"/>
  <c r="P661" i="10" s="1"/>
  <c r="F675" i="10"/>
  <c r="O675" i="10" s="1"/>
  <c r="P675" i="10" s="1"/>
  <c r="F693" i="10"/>
  <c r="O693" i="10" s="1"/>
  <c r="P693" i="10" s="1"/>
  <c r="F707" i="10"/>
  <c r="O707" i="10" s="1"/>
  <c r="P707" i="10" s="1"/>
  <c r="F725" i="10"/>
  <c r="O725" i="10" s="1"/>
  <c r="P725" i="10" s="1"/>
  <c r="F739" i="10"/>
  <c r="O739" i="10" s="1"/>
  <c r="P739" i="10" s="1"/>
  <c r="F757" i="10"/>
  <c r="O757" i="10" s="1"/>
  <c r="P757" i="10" s="1"/>
  <c r="F771" i="10"/>
  <c r="O771" i="10" s="1"/>
  <c r="P771" i="10" s="1"/>
  <c r="F799" i="10"/>
  <c r="O799" i="10" s="1"/>
  <c r="P799" i="10" s="1"/>
  <c r="F804" i="10"/>
  <c r="O804" i="10" s="1"/>
  <c r="P804" i="10" s="1"/>
  <c r="F809" i="10"/>
  <c r="O809" i="10" s="1"/>
  <c r="P809" i="10" s="1"/>
  <c r="F829" i="10"/>
  <c r="O829" i="10" s="1"/>
  <c r="P829" i="10" s="1"/>
  <c r="F843" i="10"/>
  <c r="O843" i="10" s="1"/>
  <c r="P843" i="10" s="1"/>
  <c r="F861" i="10"/>
  <c r="O861" i="10" s="1"/>
  <c r="P861" i="10" s="1"/>
  <c r="F875" i="10"/>
  <c r="O875" i="10" s="1"/>
  <c r="P875" i="10" s="1"/>
  <c r="F893" i="10"/>
  <c r="O893" i="10" s="1"/>
  <c r="P893" i="10" s="1"/>
  <c r="F907" i="10"/>
  <c r="O907" i="10" s="1"/>
  <c r="P907" i="10" s="1"/>
  <c r="F925" i="10"/>
  <c r="O925" i="10" s="1"/>
  <c r="P925" i="10" s="1"/>
  <c r="F945" i="10"/>
  <c r="O945" i="10" s="1"/>
  <c r="P945" i="10" s="1"/>
  <c r="F959" i="10"/>
  <c r="O959" i="10" s="1"/>
  <c r="P959" i="10" s="1"/>
  <c r="F977" i="10"/>
  <c r="O977" i="10" s="1"/>
  <c r="P977" i="10" s="1"/>
  <c r="F991" i="10"/>
  <c r="O991" i="10" s="1"/>
  <c r="P991" i="10" s="1"/>
  <c r="F1022" i="10"/>
  <c r="O1022" i="10" s="1"/>
  <c r="P1022" i="10" s="1"/>
  <c r="F1036" i="10"/>
  <c r="O1036" i="10" s="1"/>
  <c r="P1036" i="10" s="1"/>
  <c r="F1046" i="10"/>
  <c r="O1046" i="10" s="1"/>
  <c r="P1046" i="10" s="1"/>
  <c r="F1052" i="10"/>
  <c r="O1052" i="10" s="1"/>
  <c r="P1052" i="10" s="1"/>
  <c r="F1062" i="10"/>
  <c r="O1062" i="10" s="1"/>
  <c r="P1062" i="10" s="1"/>
  <c r="F1068" i="10"/>
  <c r="O1068" i="10" s="1"/>
  <c r="P1068" i="10" s="1"/>
  <c r="F1078" i="10"/>
  <c r="O1078" i="10" s="1"/>
  <c r="P1078" i="10" s="1"/>
  <c r="F1083" i="10"/>
  <c r="O1083" i="10" s="1"/>
  <c r="P1083" i="10" s="1"/>
  <c r="F1090" i="10"/>
  <c r="O1090" i="10" s="1"/>
  <c r="P1090" i="10" s="1"/>
  <c r="F21" i="10"/>
  <c r="O21" i="10" s="1"/>
  <c r="P21" i="10" s="1"/>
  <c r="J21" i="10" s="1"/>
  <c r="F69" i="10"/>
  <c r="O69" i="10" s="1"/>
  <c r="P69" i="10" s="1"/>
  <c r="J69" i="10" s="1"/>
  <c r="F170" i="10"/>
  <c r="O170" i="10" s="1"/>
  <c r="P170" i="10" s="1"/>
  <c r="F202" i="10"/>
  <c r="O202" i="10" s="1"/>
  <c r="P202" i="10" s="1"/>
  <c r="F234" i="10"/>
  <c r="O234" i="10" s="1"/>
  <c r="P234" i="10" s="1"/>
  <c r="F250" i="10"/>
  <c r="O250" i="10" s="1"/>
  <c r="P250" i="10" s="1"/>
  <c r="F282" i="10"/>
  <c r="O282" i="10" s="1"/>
  <c r="P282" i="10" s="1"/>
  <c r="F314" i="10"/>
  <c r="O314" i="10" s="1"/>
  <c r="P314" i="10" s="1"/>
  <c r="F330" i="10"/>
  <c r="O330" i="10" s="1"/>
  <c r="P330" i="10" s="1"/>
  <c r="F383" i="10"/>
  <c r="O383" i="10" s="1"/>
  <c r="P383" i="10" s="1"/>
  <c r="F431" i="10"/>
  <c r="O431" i="10" s="1"/>
  <c r="P431" i="10" s="1"/>
  <c r="F524" i="10"/>
  <c r="O524" i="10" s="1"/>
  <c r="P524" i="10" s="1"/>
  <c r="F606" i="10"/>
  <c r="O606" i="10" s="1"/>
  <c r="P606" i="10" s="1"/>
  <c r="F654" i="10"/>
  <c r="O654" i="10" s="1"/>
  <c r="P654" i="10" s="1"/>
  <c r="F711" i="10"/>
  <c r="O711" i="10" s="1"/>
  <c r="P711" i="10" s="1"/>
  <c r="F727" i="10"/>
  <c r="O727" i="10" s="1"/>
  <c r="P727" i="10" s="1"/>
  <c r="F760" i="10"/>
  <c r="O760" i="10" s="1"/>
  <c r="P760" i="10" s="1"/>
  <c r="F831" i="10"/>
  <c r="O831" i="10" s="1"/>
  <c r="P831" i="10" s="1"/>
  <c r="F927" i="10"/>
  <c r="O927" i="10" s="1"/>
  <c r="P927" i="10" s="1"/>
  <c r="F965" i="10"/>
  <c r="O965" i="10" s="1"/>
  <c r="P965" i="10" s="1"/>
  <c r="F91" i="10"/>
  <c r="O91" i="10" s="1"/>
  <c r="P91" i="10" s="1"/>
  <c r="F107" i="10"/>
  <c r="O107" i="10" s="1"/>
  <c r="P107" i="10" s="1"/>
  <c r="F123" i="10"/>
  <c r="O123" i="10" s="1"/>
  <c r="P123" i="10" s="1"/>
  <c r="F139" i="10"/>
  <c r="O139" i="10" s="1"/>
  <c r="P139" i="10" s="1"/>
  <c r="F155" i="10"/>
  <c r="O155" i="10" s="1"/>
  <c r="P155" i="10" s="1"/>
  <c r="F171" i="10"/>
  <c r="O171" i="10" s="1"/>
  <c r="P171" i="10" s="1"/>
  <c r="F187" i="10"/>
  <c r="O187" i="10" s="1"/>
  <c r="P187" i="10" s="1"/>
  <c r="F203" i="10"/>
  <c r="O203" i="10" s="1"/>
  <c r="P203" i="10" s="1"/>
  <c r="F219" i="10"/>
  <c r="O219" i="10" s="1"/>
  <c r="P219" i="10" s="1"/>
  <c r="F235" i="10"/>
  <c r="O235" i="10" s="1"/>
  <c r="P235" i="10" s="1"/>
  <c r="F251" i="10"/>
  <c r="O251" i="10" s="1"/>
  <c r="P251" i="10" s="1"/>
  <c r="F267" i="10"/>
  <c r="O267" i="10" s="1"/>
  <c r="P267" i="10" s="1"/>
  <c r="F283" i="10"/>
  <c r="O283" i="10" s="1"/>
  <c r="P283" i="10" s="1"/>
  <c r="F299" i="10"/>
  <c r="O299" i="10" s="1"/>
  <c r="P299" i="10" s="1"/>
  <c r="F315" i="10"/>
  <c r="O315" i="10" s="1"/>
  <c r="P315" i="10" s="1"/>
  <c r="F331" i="10"/>
  <c r="O331" i="10" s="1"/>
  <c r="P331" i="10" s="1"/>
  <c r="F347" i="10"/>
  <c r="O347" i="10" s="1"/>
  <c r="P347" i="10" s="1"/>
  <c r="F363" i="10"/>
  <c r="O363" i="10" s="1"/>
  <c r="P363" i="10" s="1"/>
  <c r="F379" i="10"/>
  <c r="O379" i="10" s="1"/>
  <c r="P379" i="10" s="1"/>
  <c r="F395" i="10"/>
  <c r="O395" i="10" s="1"/>
  <c r="P395" i="10" s="1"/>
  <c r="F411" i="10"/>
  <c r="O411" i="10" s="1"/>
  <c r="P411" i="10" s="1"/>
  <c r="F427" i="10"/>
  <c r="O427" i="10" s="1"/>
  <c r="P427" i="10" s="1"/>
  <c r="F526" i="10"/>
  <c r="O526" i="10" s="1"/>
  <c r="P526" i="10" s="1"/>
  <c r="F534" i="10"/>
  <c r="O534" i="10" s="1"/>
  <c r="P534" i="10" s="1"/>
  <c r="F560" i="10"/>
  <c r="O560" i="10" s="1"/>
  <c r="P560" i="10" s="1"/>
  <c r="F566" i="10"/>
  <c r="O566" i="10" s="1"/>
  <c r="P566" i="10" s="1"/>
  <c r="F592" i="10"/>
  <c r="O592" i="10" s="1"/>
  <c r="P592" i="10" s="1"/>
  <c r="F598" i="10"/>
  <c r="O598" i="10" s="1"/>
  <c r="P598" i="10" s="1"/>
  <c r="F624" i="10"/>
  <c r="O624" i="10" s="1"/>
  <c r="P624" i="10" s="1"/>
  <c r="F639" i="10"/>
  <c r="O639" i="10" s="1"/>
  <c r="P639" i="10" s="1"/>
  <c r="F657" i="10"/>
  <c r="O657" i="10" s="1"/>
  <c r="P657" i="10" s="1"/>
  <c r="F671" i="10"/>
  <c r="O671" i="10" s="1"/>
  <c r="P671" i="10" s="1"/>
  <c r="F689" i="10"/>
  <c r="O689" i="10" s="1"/>
  <c r="P689" i="10" s="1"/>
  <c r="F703" i="10"/>
  <c r="O703" i="10" s="1"/>
  <c r="P703" i="10" s="1"/>
  <c r="F721" i="10"/>
  <c r="O721" i="10" s="1"/>
  <c r="P721" i="10" s="1"/>
  <c r="F735" i="10"/>
  <c r="O735" i="10" s="1"/>
  <c r="P735" i="10" s="1"/>
  <c r="F753" i="10"/>
  <c r="O753" i="10" s="1"/>
  <c r="P753" i="10" s="1"/>
  <c r="F767" i="10"/>
  <c r="O767" i="10" s="1"/>
  <c r="P767" i="10" s="1"/>
  <c r="F791" i="10"/>
  <c r="O791" i="10" s="1"/>
  <c r="P791" i="10" s="1"/>
  <c r="F796" i="10"/>
  <c r="O796" i="10" s="1"/>
  <c r="P796" i="10" s="1"/>
  <c r="F810" i="10"/>
  <c r="O810" i="10" s="1"/>
  <c r="P810" i="10" s="1"/>
  <c r="F824" i="10"/>
  <c r="O824" i="10" s="1"/>
  <c r="P824" i="10" s="1"/>
  <c r="F830" i="10"/>
  <c r="O830" i="10" s="1"/>
  <c r="P830" i="10" s="1"/>
  <c r="F856" i="10"/>
  <c r="O856" i="10" s="1"/>
  <c r="P856" i="10" s="1"/>
  <c r="F862" i="10"/>
  <c r="O862" i="10" s="1"/>
  <c r="P862" i="10" s="1"/>
  <c r="F888" i="10"/>
  <c r="O888" i="10" s="1"/>
  <c r="P888" i="10" s="1"/>
  <c r="F894" i="10"/>
  <c r="O894" i="10" s="1"/>
  <c r="P894" i="10" s="1"/>
  <c r="F920" i="10"/>
  <c r="O920" i="10" s="1"/>
  <c r="P920" i="10" s="1"/>
  <c r="F926" i="10"/>
  <c r="O926" i="10" s="1"/>
  <c r="P926" i="10" s="1"/>
  <c r="F939" i="10"/>
  <c r="O939" i="10" s="1"/>
  <c r="P939" i="10" s="1"/>
  <c r="F957" i="10"/>
  <c r="O957" i="10" s="1"/>
  <c r="P957" i="10" s="1"/>
  <c r="F971" i="10"/>
  <c r="O971" i="10" s="1"/>
  <c r="P971" i="10" s="1"/>
  <c r="F989" i="10"/>
  <c r="O989" i="10" s="1"/>
  <c r="P989" i="10" s="1"/>
  <c r="F1003" i="10"/>
  <c r="O1003" i="10" s="1"/>
  <c r="P1003" i="10" s="1"/>
  <c r="F1097" i="10"/>
  <c r="O1097" i="10" s="1"/>
  <c r="P1097" i="10" s="1"/>
  <c r="F19" i="10"/>
  <c r="O19" i="10" s="1"/>
  <c r="P19" i="10" s="1"/>
  <c r="J19" i="10" s="1"/>
  <c r="F35" i="10"/>
  <c r="O35" i="10" s="1"/>
  <c r="P35" i="10" s="1"/>
  <c r="J35" i="10" s="1"/>
  <c r="F55" i="10"/>
  <c r="O55" i="10" s="1"/>
  <c r="P55" i="10" s="1"/>
  <c r="J55" i="10" s="1"/>
  <c r="F71" i="10"/>
  <c r="O71" i="10" s="1"/>
  <c r="P71" i="10" s="1"/>
  <c r="J71" i="10" s="1"/>
  <c r="F159" i="10"/>
  <c r="O159" i="10" s="1"/>
  <c r="P159" i="10" s="1"/>
  <c r="F183" i="10"/>
  <c r="O183" i="10" s="1"/>
  <c r="P183" i="10" s="1"/>
  <c r="F199" i="10"/>
  <c r="O199" i="10" s="1"/>
  <c r="P199" i="10" s="1"/>
  <c r="F215" i="10"/>
  <c r="O215" i="10" s="1"/>
  <c r="P215" i="10" s="1"/>
  <c r="F370" i="10"/>
  <c r="O370" i="10" s="1"/>
  <c r="P370" i="10" s="1"/>
  <c r="F434" i="10"/>
  <c r="O434" i="10" s="1"/>
  <c r="P434" i="10" s="1"/>
  <c r="F551" i="10"/>
  <c r="O551" i="10" s="1"/>
  <c r="P551" i="10" s="1"/>
  <c r="F567" i="10"/>
  <c r="O567" i="10" s="1"/>
  <c r="P567" i="10" s="1"/>
  <c r="F585" i="10"/>
  <c r="O585" i="10" s="1"/>
  <c r="P585" i="10" s="1"/>
  <c r="F622" i="10"/>
  <c r="O622" i="10" s="1"/>
  <c r="P622" i="10" s="1"/>
  <c r="F665" i="10"/>
  <c r="O665" i="10" s="1"/>
  <c r="P665" i="10" s="1"/>
  <c r="F702" i="10"/>
  <c r="O702" i="10" s="1"/>
  <c r="P702" i="10" s="1"/>
  <c r="F745" i="10"/>
  <c r="O745" i="10" s="1"/>
  <c r="P745" i="10" s="1"/>
  <c r="F782" i="10"/>
  <c r="O782" i="10" s="1"/>
  <c r="P782" i="10" s="1"/>
  <c r="F881" i="10"/>
  <c r="O881" i="10" s="1"/>
  <c r="P881" i="10" s="1"/>
  <c r="F981" i="10"/>
  <c r="O981" i="10" s="1"/>
  <c r="P981" i="10" s="1"/>
  <c r="F89" i="10"/>
  <c r="O89" i="10" s="1"/>
  <c r="P89" i="10" s="1"/>
  <c r="F121" i="10"/>
  <c r="O121" i="10" s="1"/>
  <c r="P121" i="10" s="1"/>
  <c r="F153" i="10"/>
  <c r="O153" i="10" s="1"/>
  <c r="P153" i="10" s="1"/>
  <c r="F185" i="10"/>
  <c r="O185" i="10" s="1"/>
  <c r="P185" i="10" s="1"/>
  <c r="F217" i="10"/>
  <c r="O217" i="10" s="1"/>
  <c r="P217" i="10" s="1"/>
  <c r="F249" i="10"/>
  <c r="O249" i="10" s="1"/>
  <c r="P249" i="10" s="1"/>
  <c r="F281" i="10"/>
  <c r="O281" i="10" s="1"/>
  <c r="P281" i="10" s="1"/>
  <c r="F313" i="10"/>
  <c r="O313" i="10" s="1"/>
  <c r="P313" i="10" s="1"/>
  <c r="F345" i="10"/>
  <c r="O345" i="10" s="1"/>
  <c r="P345" i="10" s="1"/>
  <c r="F377" i="10"/>
  <c r="O377" i="10" s="1"/>
  <c r="P377" i="10" s="1"/>
  <c r="F409" i="10"/>
  <c r="O409" i="10" s="1"/>
  <c r="P409" i="10" s="1"/>
  <c r="F438" i="10"/>
  <c r="O438" i="10" s="1"/>
  <c r="P438" i="10" s="1"/>
  <c r="F446" i="10"/>
  <c r="O446" i="10" s="1"/>
  <c r="P446" i="10" s="1"/>
  <c r="F452" i="10"/>
  <c r="O452" i="10" s="1"/>
  <c r="P452" i="10" s="1"/>
  <c r="F462" i="10"/>
  <c r="O462" i="10" s="1"/>
  <c r="P462" i="10" s="1"/>
  <c r="F468" i="10"/>
  <c r="O468" i="10" s="1"/>
  <c r="P468" i="10" s="1"/>
  <c r="F478" i="10"/>
  <c r="O478" i="10" s="1"/>
  <c r="P478" i="10" s="1"/>
  <c r="F484" i="10"/>
  <c r="O484" i="10" s="1"/>
  <c r="P484" i="10" s="1"/>
  <c r="F494" i="10"/>
  <c r="O494" i="10" s="1"/>
  <c r="P494" i="10" s="1"/>
  <c r="F500" i="10"/>
  <c r="O500" i="10" s="1"/>
  <c r="P500" i="10" s="1"/>
  <c r="F510" i="10"/>
  <c r="O510" i="10" s="1"/>
  <c r="P510" i="10" s="1"/>
  <c r="F518" i="10"/>
  <c r="O518" i="10" s="1"/>
  <c r="P518" i="10" s="1"/>
  <c r="F540" i="10"/>
  <c r="O540" i="10" s="1"/>
  <c r="P540" i="10" s="1"/>
  <c r="F546" i="10"/>
  <c r="O546" i="10" s="1"/>
  <c r="P546" i="10" s="1"/>
  <c r="F572" i="10"/>
  <c r="O572" i="10" s="1"/>
  <c r="P572" i="10" s="1"/>
  <c r="F578" i="10"/>
  <c r="O578" i="10" s="1"/>
  <c r="P578" i="10" s="1"/>
  <c r="F604" i="10"/>
  <c r="O604" i="10" s="1"/>
  <c r="P604" i="10" s="1"/>
  <c r="F610" i="10"/>
  <c r="O610" i="10" s="1"/>
  <c r="P610" i="10" s="1"/>
  <c r="F636" i="10"/>
  <c r="O636" i="10" s="1"/>
  <c r="P636" i="10" s="1"/>
  <c r="F642" i="10"/>
  <c r="O642" i="10" s="1"/>
  <c r="P642" i="10" s="1"/>
  <c r="F668" i="10"/>
  <c r="O668" i="10" s="1"/>
  <c r="P668" i="10" s="1"/>
  <c r="F674" i="10"/>
  <c r="O674" i="10" s="1"/>
  <c r="P674" i="10" s="1"/>
  <c r="F700" i="10"/>
  <c r="O700" i="10" s="1"/>
  <c r="P700" i="10" s="1"/>
  <c r="F706" i="10"/>
  <c r="O706" i="10" s="1"/>
  <c r="P706" i="10" s="1"/>
  <c r="F732" i="10"/>
  <c r="O732" i="10" s="1"/>
  <c r="P732" i="10" s="1"/>
  <c r="F738" i="10"/>
  <c r="O738" i="10" s="1"/>
  <c r="P738" i="10" s="1"/>
  <c r="F764" i="10"/>
  <c r="O764" i="10" s="1"/>
  <c r="P764" i="10" s="1"/>
  <c r="F770" i="10"/>
  <c r="O770" i="10" s="1"/>
  <c r="P770" i="10" s="1"/>
  <c r="F798" i="10"/>
  <c r="O798" i="10" s="1"/>
  <c r="P798" i="10" s="1"/>
  <c r="F806" i="10"/>
  <c r="O806" i="10" s="1"/>
  <c r="P806" i="10" s="1"/>
  <c r="F819" i="10"/>
  <c r="O819" i="10" s="1"/>
  <c r="P819" i="10" s="1"/>
  <c r="F837" i="10"/>
  <c r="O837" i="10" s="1"/>
  <c r="P837" i="10" s="1"/>
  <c r="F851" i="10"/>
  <c r="O851" i="10" s="1"/>
  <c r="P851" i="10" s="1"/>
  <c r="F869" i="10"/>
  <c r="O869" i="10" s="1"/>
  <c r="P869" i="10" s="1"/>
  <c r="F883" i="10"/>
  <c r="O883" i="10" s="1"/>
  <c r="P883" i="10" s="1"/>
  <c r="F901" i="10"/>
  <c r="O901" i="10" s="1"/>
  <c r="P901" i="10" s="1"/>
  <c r="F915" i="10"/>
  <c r="O915" i="10" s="1"/>
  <c r="P915" i="10" s="1"/>
  <c r="F933" i="10"/>
  <c r="O933" i="10" s="1"/>
  <c r="P933" i="10" s="1"/>
  <c r="F953" i="10"/>
  <c r="O953" i="10" s="1"/>
  <c r="P953" i="10" s="1"/>
  <c r="F967" i="10"/>
  <c r="O967" i="10" s="1"/>
  <c r="P967" i="10" s="1"/>
  <c r="F985" i="10"/>
  <c r="O985" i="10" s="1"/>
  <c r="P985" i="10" s="1"/>
  <c r="F999" i="10"/>
  <c r="O999" i="10" s="1"/>
  <c r="P999" i="10" s="1"/>
  <c r="F1019" i="10"/>
  <c r="O1019" i="10" s="1"/>
  <c r="P1019" i="10" s="1"/>
  <c r="F1024" i="10"/>
  <c r="O1024" i="10" s="1"/>
  <c r="P1024" i="10" s="1"/>
  <c r="F1038" i="10"/>
  <c r="O1038" i="10" s="1"/>
  <c r="P1038" i="10" s="1"/>
  <c r="F1050" i="10"/>
  <c r="O1050" i="10" s="1"/>
  <c r="P1050" i="10" s="1"/>
  <c r="F1056" i="10"/>
  <c r="O1056" i="10" s="1"/>
  <c r="P1056" i="10" s="1"/>
  <c r="F1066" i="10"/>
  <c r="O1066" i="10" s="1"/>
  <c r="P1066" i="10" s="1"/>
  <c r="F1072" i="10"/>
  <c r="O1072" i="10" s="1"/>
  <c r="P1072" i="10" s="1"/>
  <c r="F1093" i="10"/>
  <c r="O1093" i="10" s="1"/>
  <c r="P1093" i="10" s="1"/>
  <c r="F1109" i="10"/>
  <c r="O1109" i="10" s="1"/>
  <c r="P1109" i="10" s="1"/>
  <c r="F1158" i="10"/>
  <c r="O1158" i="10" s="1"/>
  <c r="P1158" i="10" s="1"/>
  <c r="F1120" i="10"/>
  <c r="O1120" i="10" s="1"/>
  <c r="P1120" i="10" s="1"/>
  <c r="F1129" i="10"/>
  <c r="O1129" i="10" s="1"/>
  <c r="P1129" i="10" s="1"/>
  <c r="F1136" i="10"/>
  <c r="O1136" i="10" s="1"/>
  <c r="P1136" i="10" s="1"/>
  <c r="F1161" i="10"/>
  <c r="O1161" i="10" s="1"/>
  <c r="P1161" i="10" s="1"/>
  <c r="F1168" i="10"/>
  <c r="O1168" i="10" s="1"/>
  <c r="P1168" i="10" s="1"/>
  <c r="F1126" i="10"/>
  <c r="O1126" i="10" s="1"/>
  <c r="P1126" i="10" s="1"/>
  <c r="F1146" i="10"/>
  <c r="O1146" i="10" s="1"/>
  <c r="P1146" i="10" s="1"/>
  <c r="F1141" i="10"/>
  <c r="O1141" i="10" s="1"/>
  <c r="P1141" i="10" s="1"/>
  <c r="F1148" i="10"/>
  <c r="O1148" i="10" s="1"/>
  <c r="P1148" i="10" s="1"/>
  <c r="F33" i="10"/>
  <c r="O33" i="10" s="1"/>
  <c r="P33" i="10" s="1"/>
  <c r="J33" i="10" s="1"/>
  <c r="F49" i="10"/>
  <c r="O49" i="10" s="1"/>
  <c r="P49" i="10" s="1"/>
  <c r="J49" i="10" s="1"/>
  <c r="F77" i="10"/>
  <c r="O77" i="10" s="1"/>
  <c r="P77" i="10" s="1"/>
  <c r="J77" i="10" s="1"/>
  <c r="F162" i="10"/>
  <c r="O162" i="10" s="1"/>
  <c r="P162" i="10" s="1"/>
  <c r="F271" i="10"/>
  <c r="O271" i="10" s="1"/>
  <c r="P271" i="10" s="1"/>
  <c r="F287" i="10"/>
  <c r="O287" i="10" s="1"/>
  <c r="P287" i="10" s="1"/>
  <c r="F303" i="10"/>
  <c r="O303" i="10" s="1"/>
  <c r="P303" i="10" s="1"/>
  <c r="F346" i="10"/>
  <c r="O346" i="10" s="1"/>
  <c r="P346" i="10" s="1"/>
  <c r="F378" i="10"/>
  <c r="O378" i="10" s="1"/>
  <c r="P378" i="10" s="1"/>
  <c r="F394" i="10"/>
  <c r="O394" i="10" s="1"/>
  <c r="P394" i="10" s="1"/>
  <c r="F426" i="10"/>
  <c r="O426" i="10" s="1"/>
  <c r="P426" i="10" s="1"/>
  <c r="F528" i="10"/>
  <c r="O528" i="10" s="1"/>
  <c r="P528" i="10" s="1"/>
  <c r="F601" i="10"/>
  <c r="O601" i="10" s="1"/>
  <c r="P601" i="10" s="1"/>
  <c r="F663" i="10"/>
  <c r="O663" i="10" s="1"/>
  <c r="P663" i="10" s="1"/>
  <c r="F680" i="10"/>
  <c r="O680" i="10" s="1"/>
  <c r="P680" i="10" s="1"/>
  <c r="F822" i="10"/>
  <c r="O822" i="10" s="1"/>
  <c r="P822" i="10" s="1"/>
  <c r="F848" i="10"/>
  <c r="O848" i="10" s="1"/>
  <c r="P848" i="10" s="1"/>
  <c r="F865" i="10"/>
  <c r="O865" i="10" s="1"/>
  <c r="P865" i="10" s="1"/>
  <c r="F995" i="10"/>
  <c r="O995" i="10" s="1"/>
  <c r="P995" i="10" s="1"/>
  <c r="F1030" i="10"/>
  <c r="O1030" i="10" s="1"/>
  <c r="P1030" i="10" s="1"/>
  <c r="F93" i="10"/>
  <c r="O93" i="10" s="1"/>
  <c r="P93" i="10" s="1"/>
  <c r="F125" i="10"/>
  <c r="O125" i="10" s="1"/>
  <c r="P125" i="10" s="1"/>
  <c r="F157" i="10"/>
  <c r="O157" i="10" s="1"/>
  <c r="P157" i="10" s="1"/>
  <c r="F189" i="10"/>
  <c r="O189" i="10" s="1"/>
  <c r="P189" i="10" s="1"/>
  <c r="F221" i="10"/>
  <c r="O221" i="10" s="1"/>
  <c r="P221" i="10" s="1"/>
  <c r="F253" i="10"/>
  <c r="O253" i="10" s="1"/>
  <c r="P253" i="10" s="1"/>
  <c r="F285" i="10"/>
  <c r="O285" i="10" s="1"/>
  <c r="P285" i="10" s="1"/>
  <c r="F317" i="10"/>
  <c r="O317" i="10" s="1"/>
  <c r="P317" i="10" s="1"/>
  <c r="F349" i="10"/>
  <c r="O349" i="10" s="1"/>
  <c r="P349" i="10" s="1"/>
  <c r="F381" i="10"/>
  <c r="O381" i="10" s="1"/>
  <c r="P381" i="10" s="1"/>
  <c r="F413" i="10"/>
  <c r="O413" i="10" s="1"/>
  <c r="P413" i="10" s="1"/>
  <c r="F440" i="10"/>
  <c r="O440" i="10" s="1"/>
  <c r="P440" i="10" s="1"/>
  <c r="F444" i="10"/>
  <c r="O444" i="10" s="1"/>
  <c r="P444" i="10" s="1"/>
  <c r="F455" i="10"/>
  <c r="O455" i="10" s="1"/>
  <c r="P455" i="10" s="1"/>
  <c r="F471" i="10"/>
  <c r="O471" i="10" s="1"/>
  <c r="P471" i="10" s="1"/>
  <c r="F487" i="10"/>
  <c r="O487" i="10" s="1"/>
  <c r="P487" i="10" s="1"/>
  <c r="F503" i="10"/>
  <c r="O503" i="10" s="1"/>
  <c r="P503" i="10" s="1"/>
  <c r="F519" i="10"/>
  <c r="O519" i="10" s="1"/>
  <c r="P519" i="10" s="1"/>
  <c r="F547" i="10"/>
  <c r="O547" i="10" s="1"/>
  <c r="P547" i="10" s="1"/>
  <c r="F565" i="10"/>
  <c r="O565" i="10" s="1"/>
  <c r="P565" i="10" s="1"/>
  <c r="F579" i="10"/>
  <c r="O579" i="10" s="1"/>
  <c r="P579" i="10" s="1"/>
  <c r="F597" i="10"/>
  <c r="O597" i="10" s="1"/>
  <c r="P597" i="10" s="1"/>
  <c r="F611" i="10"/>
  <c r="O611" i="10" s="1"/>
  <c r="P611" i="10" s="1"/>
  <c r="F629" i="10"/>
  <c r="O629" i="10" s="1"/>
  <c r="P629" i="10" s="1"/>
  <c r="F644" i="10"/>
  <c r="O644" i="10" s="1"/>
  <c r="P644" i="10" s="1"/>
  <c r="F650" i="10"/>
  <c r="O650" i="10" s="1"/>
  <c r="P650" i="10" s="1"/>
  <c r="F676" i="10"/>
  <c r="O676" i="10" s="1"/>
  <c r="P676" i="10" s="1"/>
  <c r="F682" i="10"/>
  <c r="O682" i="10" s="1"/>
  <c r="P682" i="10" s="1"/>
  <c r="F708" i="10"/>
  <c r="O708" i="10" s="1"/>
  <c r="P708" i="10" s="1"/>
  <c r="F714" i="10"/>
  <c r="O714" i="10" s="1"/>
  <c r="P714" i="10" s="1"/>
  <c r="F740" i="10"/>
  <c r="O740" i="10" s="1"/>
  <c r="P740" i="10" s="1"/>
  <c r="F746" i="10"/>
  <c r="O746" i="10" s="1"/>
  <c r="P746" i="10" s="1"/>
  <c r="F772" i="10"/>
  <c r="O772" i="10" s="1"/>
  <c r="P772" i="10" s="1"/>
  <c r="F778" i="10"/>
  <c r="O778" i="10" s="1"/>
  <c r="P778" i="10" s="1"/>
  <c r="F800" i="10"/>
  <c r="O800" i="10" s="1"/>
  <c r="P800" i="10" s="1"/>
  <c r="F818" i="10"/>
  <c r="O818" i="10" s="1"/>
  <c r="P818" i="10" s="1"/>
  <c r="F844" i="10"/>
  <c r="O844" i="10" s="1"/>
  <c r="P844" i="10" s="1"/>
  <c r="F850" i="10"/>
  <c r="O850" i="10" s="1"/>
  <c r="P850" i="10" s="1"/>
  <c r="F876" i="10"/>
  <c r="O876" i="10" s="1"/>
  <c r="P876" i="10" s="1"/>
  <c r="F882" i="10"/>
  <c r="O882" i="10" s="1"/>
  <c r="P882" i="10" s="1"/>
  <c r="F908" i="10"/>
  <c r="O908" i="10" s="1"/>
  <c r="P908" i="10" s="1"/>
  <c r="F914" i="10"/>
  <c r="O914" i="10" s="1"/>
  <c r="P914" i="10" s="1"/>
  <c r="F960" i="10"/>
  <c r="O960" i="10" s="1"/>
  <c r="P960" i="10" s="1"/>
  <c r="F966" i="10"/>
  <c r="O966" i="10" s="1"/>
  <c r="P966" i="10" s="1"/>
  <c r="F992" i="10"/>
  <c r="O992" i="10" s="1"/>
  <c r="P992" i="10" s="1"/>
  <c r="F998" i="10"/>
  <c r="O998" i="10" s="1"/>
  <c r="P998" i="10" s="1"/>
  <c r="F1011" i="10"/>
  <c r="O1011" i="10" s="1"/>
  <c r="P1011" i="10" s="1"/>
  <c r="F1043" i="10"/>
  <c r="O1043" i="10" s="1"/>
  <c r="P1043" i="10" s="1"/>
  <c r="F1059" i="10"/>
  <c r="O1059" i="10" s="1"/>
  <c r="P1059" i="10" s="1"/>
  <c r="F1075" i="10"/>
  <c r="O1075" i="10" s="1"/>
  <c r="P1075" i="10" s="1"/>
  <c r="F1084" i="10"/>
  <c r="O1084" i="10" s="1"/>
  <c r="P1084" i="10" s="1"/>
  <c r="F1099" i="10"/>
  <c r="O1099" i="10" s="1"/>
  <c r="P1099" i="10" s="1"/>
  <c r="F1105" i="10"/>
  <c r="O1105" i="10" s="1"/>
  <c r="P1105" i="10" s="1"/>
  <c r="F25" i="10"/>
  <c r="O25" i="10" s="1"/>
  <c r="P25" i="10" s="1"/>
  <c r="J25" i="10" s="1"/>
  <c r="F73" i="10"/>
  <c r="O73" i="10" s="1"/>
  <c r="P73" i="10" s="1"/>
  <c r="J73" i="10" s="1"/>
  <c r="F106" i="10"/>
  <c r="O106" i="10" s="1"/>
  <c r="P106" i="10" s="1"/>
  <c r="F122" i="10"/>
  <c r="O122" i="10" s="1"/>
  <c r="P122" i="10" s="1"/>
  <c r="F143" i="10"/>
  <c r="O143" i="10" s="1"/>
  <c r="P143" i="10" s="1"/>
  <c r="F191" i="10"/>
  <c r="O191" i="10" s="1"/>
  <c r="P191" i="10" s="1"/>
  <c r="F223" i="10"/>
  <c r="O223" i="10" s="1"/>
  <c r="P223" i="10" s="1"/>
  <c r="F386" i="10"/>
  <c r="O386" i="10" s="1"/>
  <c r="P386" i="10" s="1"/>
  <c r="F542" i="10"/>
  <c r="O542" i="10" s="1"/>
  <c r="P542" i="10" s="1"/>
  <c r="F569" i="10"/>
  <c r="O569" i="10" s="1"/>
  <c r="P569" i="10" s="1"/>
  <c r="F590" i="10"/>
  <c r="O590" i="10" s="1"/>
  <c r="P590" i="10" s="1"/>
  <c r="F679" i="10"/>
  <c r="O679" i="10" s="1"/>
  <c r="P679" i="10" s="1"/>
  <c r="F695" i="10"/>
  <c r="O695" i="10" s="1"/>
  <c r="P695" i="10" s="1"/>
  <c r="F750" i="10"/>
  <c r="O750" i="10" s="1"/>
  <c r="P750" i="10" s="1"/>
  <c r="F786" i="10"/>
  <c r="O786" i="10" s="1"/>
  <c r="P786" i="10" s="1"/>
  <c r="F849" i="10"/>
  <c r="O849" i="10" s="1"/>
  <c r="P849" i="10" s="1"/>
  <c r="F870" i="10"/>
  <c r="O870" i="10" s="1"/>
  <c r="P870" i="10" s="1"/>
  <c r="F911" i="10"/>
  <c r="O911" i="10" s="1"/>
  <c r="P911" i="10" s="1"/>
  <c r="F949" i="10"/>
  <c r="O949" i="10" s="1"/>
  <c r="P949" i="10" s="1"/>
  <c r="F1028" i="10"/>
  <c r="O1028" i="10" s="1"/>
  <c r="P1028" i="10" s="1"/>
  <c r="F86" i="10"/>
  <c r="O86" i="10" s="1"/>
  <c r="P86" i="10" s="1"/>
  <c r="F102" i="10"/>
  <c r="O102" i="10" s="1"/>
  <c r="P102" i="10" s="1"/>
  <c r="F118" i="10"/>
  <c r="O118" i="10" s="1"/>
  <c r="P118" i="10" s="1"/>
  <c r="F134" i="10"/>
  <c r="O134" i="10" s="1"/>
  <c r="P134" i="10" s="1"/>
  <c r="F150" i="10"/>
  <c r="O150" i="10" s="1"/>
  <c r="P150" i="10" s="1"/>
  <c r="F166" i="10"/>
  <c r="O166" i="10" s="1"/>
  <c r="P166" i="10" s="1"/>
  <c r="F182" i="10"/>
  <c r="O182" i="10" s="1"/>
  <c r="P182" i="10" s="1"/>
  <c r="F198" i="10"/>
  <c r="O198" i="10" s="1"/>
  <c r="P198" i="10" s="1"/>
  <c r="F214" i="10"/>
  <c r="O214" i="10" s="1"/>
  <c r="P214" i="10" s="1"/>
  <c r="F230" i="10"/>
  <c r="O230" i="10" s="1"/>
  <c r="P230" i="10" s="1"/>
  <c r="F246" i="10"/>
  <c r="O246" i="10" s="1"/>
  <c r="P246" i="10" s="1"/>
  <c r="F262" i="10"/>
  <c r="O262" i="10" s="1"/>
  <c r="P262" i="10" s="1"/>
  <c r="F278" i="10"/>
  <c r="O278" i="10" s="1"/>
  <c r="P278" i="10" s="1"/>
  <c r="F294" i="10"/>
  <c r="O294" i="10" s="1"/>
  <c r="P294" i="10" s="1"/>
  <c r="F310" i="10"/>
  <c r="O310" i="10" s="1"/>
  <c r="P310" i="10" s="1"/>
  <c r="F326" i="10"/>
  <c r="O326" i="10" s="1"/>
  <c r="P326" i="10" s="1"/>
  <c r="F342" i="10"/>
  <c r="O342" i="10" s="1"/>
  <c r="P342" i="10" s="1"/>
  <c r="F358" i="10"/>
  <c r="O358" i="10" s="1"/>
  <c r="P358" i="10" s="1"/>
  <c r="F374" i="10"/>
  <c r="O374" i="10" s="1"/>
  <c r="P374" i="10" s="1"/>
  <c r="F390" i="10"/>
  <c r="O390" i="10" s="1"/>
  <c r="P390" i="10" s="1"/>
  <c r="F406" i="10"/>
  <c r="O406" i="10" s="1"/>
  <c r="P406" i="10" s="1"/>
  <c r="F422" i="10"/>
  <c r="O422" i="10" s="1"/>
  <c r="P422" i="10" s="1"/>
  <c r="F543" i="10"/>
  <c r="O543" i="10" s="1"/>
  <c r="P543" i="10" s="1"/>
  <c r="F561" i="10"/>
  <c r="O561" i="10" s="1"/>
  <c r="P561" i="10" s="1"/>
  <c r="F575" i="10"/>
  <c r="O575" i="10" s="1"/>
  <c r="P575" i="10" s="1"/>
  <c r="F593" i="10"/>
  <c r="O593" i="10" s="1"/>
  <c r="P593" i="10" s="1"/>
  <c r="F607" i="10"/>
  <c r="O607" i="10" s="1"/>
  <c r="P607" i="10" s="1"/>
  <c r="F625" i="10"/>
  <c r="O625" i="10" s="1"/>
  <c r="P625" i="10" s="1"/>
  <c r="F640" i="10"/>
  <c r="O640" i="10" s="1"/>
  <c r="P640" i="10" s="1"/>
  <c r="F646" i="10"/>
  <c r="O646" i="10" s="1"/>
  <c r="P646" i="10" s="1"/>
  <c r="F672" i="10"/>
  <c r="O672" i="10" s="1"/>
  <c r="P672" i="10" s="1"/>
  <c r="F678" i="10"/>
  <c r="O678" i="10" s="1"/>
  <c r="P678" i="10" s="1"/>
  <c r="F704" i="10"/>
  <c r="O704" i="10" s="1"/>
  <c r="P704" i="10" s="1"/>
  <c r="F710" i="10"/>
  <c r="O710" i="10" s="1"/>
  <c r="P710" i="10" s="1"/>
  <c r="F736" i="10"/>
  <c r="O736" i="10" s="1"/>
  <c r="P736" i="10" s="1"/>
  <c r="F742" i="10"/>
  <c r="O742" i="10" s="1"/>
  <c r="P742" i="10" s="1"/>
  <c r="F768" i="10"/>
  <c r="O768" i="10" s="1"/>
  <c r="P768" i="10" s="1"/>
  <c r="F774" i="10"/>
  <c r="O774" i="10" s="1"/>
  <c r="P774" i="10" s="1"/>
  <c r="F787" i="10"/>
  <c r="O787" i="10" s="1"/>
  <c r="P787" i="10" s="1"/>
  <c r="F792" i="10"/>
  <c r="O792" i="10" s="1"/>
  <c r="P792" i="10" s="1"/>
  <c r="F797" i="10"/>
  <c r="O797" i="10" s="1"/>
  <c r="P797" i="10" s="1"/>
  <c r="F825" i="10"/>
  <c r="O825" i="10" s="1"/>
  <c r="P825" i="10" s="1"/>
  <c r="F839" i="10"/>
  <c r="O839" i="10" s="1"/>
  <c r="P839" i="10" s="1"/>
  <c r="F857" i="10"/>
  <c r="O857" i="10" s="1"/>
  <c r="P857" i="10" s="1"/>
  <c r="F871" i="10"/>
  <c r="O871" i="10" s="1"/>
  <c r="P871" i="10" s="1"/>
  <c r="F889" i="10"/>
  <c r="O889" i="10" s="1"/>
  <c r="P889" i="10" s="1"/>
  <c r="F903" i="10"/>
  <c r="O903" i="10" s="1"/>
  <c r="P903" i="10" s="1"/>
  <c r="F921" i="10"/>
  <c r="O921" i="10" s="1"/>
  <c r="P921" i="10" s="1"/>
  <c r="F935" i="10"/>
  <c r="O935" i="10" s="1"/>
  <c r="P935" i="10" s="1"/>
  <c r="F940" i="10"/>
  <c r="O940" i="10" s="1"/>
  <c r="P940" i="10" s="1"/>
  <c r="F946" i="10"/>
  <c r="O946" i="10" s="1"/>
  <c r="P946" i="10" s="1"/>
  <c r="F972" i="10"/>
  <c r="O972" i="10" s="1"/>
  <c r="P972" i="10" s="1"/>
  <c r="F978" i="10"/>
  <c r="O978" i="10" s="1"/>
  <c r="P978" i="10" s="1"/>
  <c r="F1004" i="10"/>
  <c r="O1004" i="10" s="1"/>
  <c r="P1004" i="10" s="1"/>
  <c r="F1031" i="10"/>
  <c r="O1031" i="10" s="1"/>
  <c r="P1031" i="10" s="1"/>
  <c r="F1086" i="10"/>
  <c r="O1086" i="10" s="1"/>
  <c r="P1086" i="10" s="1"/>
  <c r="F23" i="10"/>
  <c r="O23" i="10" s="1"/>
  <c r="P23" i="10" s="1"/>
  <c r="J23" i="10" s="1"/>
  <c r="F39" i="10"/>
  <c r="O39" i="10" s="1"/>
  <c r="P39" i="10" s="1"/>
  <c r="J39" i="10" s="1"/>
  <c r="F59" i="10"/>
  <c r="O59" i="10" s="1"/>
  <c r="P59" i="10" s="1"/>
  <c r="J59" i="10" s="1"/>
  <c r="F75" i="10"/>
  <c r="O75" i="10" s="1"/>
  <c r="P75" i="10" s="1"/>
  <c r="J75" i="10" s="1"/>
  <c r="F186" i="10"/>
  <c r="O186" i="10" s="1"/>
  <c r="P186" i="10" s="1"/>
  <c r="F218" i="10"/>
  <c r="O218" i="10" s="1"/>
  <c r="P218" i="10" s="1"/>
  <c r="F295" i="10"/>
  <c r="O295" i="10" s="1"/>
  <c r="P295" i="10" s="1"/>
  <c r="F537" i="10"/>
  <c r="O537" i="10" s="1"/>
  <c r="P537" i="10" s="1"/>
  <c r="F631" i="10"/>
  <c r="O631" i="10" s="1"/>
  <c r="P631" i="10" s="1"/>
  <c r="F648" i="10"/>
  <c r="O648" i="10" s="1"/>
  <c r="P648" i="10" s="1"/>
  <c r="F728" i="10"/>
  <c r="O728" i="10" s="1"/>
  <c r="P728" i="10" s="1"/>
  <c r="F813" i="10"/>
  <c r="O813" i="10" s="1"/>
  <c r="P813" i="10" s="1"/>
  <c r="F847" i="10"/>
  <c r="O847" i="10" s="1"/>
  <c r="P847" i="10" s="1"/>
  <c r="F864" i="10"/>
  <c r="O864" i="10" s="1"/>
  <c r="P864" i="10" s="1"/>
  <c r="F928" i="10"/>
  <c r="O928" i="10" s="1"/>
  <c r="P928" i="10" s="1"/>
  <c r="F947" i="10"/>
  <c r="O947" i="10" s="1"/>
  <c r="P947" i="10" s="1"/>
  <c r="F964" i="10"/>
  <c r="O964" i="10" s="1"/>
  <c r="P964" i="10" s="1"/>
  <c r="F1088" i="10"/>
  <c r="O1088" i="10" s="1"/>
  <c r="P1088" i="10" s="1"/>
  <c r="F81" i="10"/>
  <c r="O81" i="10" s="1"/>
  <c r="P81" i="10" s="1"/>
  <c r="F113" i="10"/>
  <c r="O113" i="10" s="1"/>
  <c r="P113" i="10" s="1"/>
  <c r="F145" i="10"/>
  <c r="O145" i="10" s="1"/>
  <c r="P145" i="10" s="1"/>
  <c r="F177" i="10"/>
  <c r="O177" i="10" s="1"/>
  <c r="P177" i="10" s="1"/>
  <c r="F209" i="10"/>
  <c r="O209" i="10" s="1"/>
  <c r="P209" i="10" s="1"/>
  <c r="F241" i="10"/>
  <c r="O241" i="10" s="1"/>
  <c r="P241" i="10" s="1"/>
  <c r="F273" i="10"/>
  <c r="O273" i="10" s="1"/>
  <c r="P273" i="10" s="1"/>
  <c r="F305" i="10"/>
  <c r="O305" i="10" s="1"/>
  <c r="P305" i="10" s="1"/>
  <c r="F337" i="10"/>
  <c r="O337" i="10" s="1"/>
  <c r="P337" i="10" s="1"/>
  <c r="F369" i="10"/>
  <c r="O369" i="10" s="1"/>
  <c r="P369" i="10" s="1"/>
  <c r="F401" i="10"/>
  <c r="O401" i="10" s="1"/>
  <c r="P401" i="10" s="1"/>
  <c r="F433" i="10"/>
  <c r="O433" i="10" s="1"/>
  <c r="P433" i="10" s="1"/>
  <c r="F459" i="10"/>
  <c r="O459" i="10" s="1"/>
  <c r="P459" i="10" s="1"/>
  <c r="F475" i="10"/>
  <c r="O475" i="10" s="1"/>
  <c r="P475" i="10" s="1"/>
  <c r="F491" i="10"/>
  <c r="O491" i="10" s="1"/>
  <c r="P491" i="10" s="1"/>
  <c r="F507" i="10"/>
  <c r="O507" i="10" s="1"/>
  <c r="P507" i="10" s="1"/>
  <c r="F541" i="10"/>
  <c r="O541" i="10" s="1"/>
  <c r="P541" i="10" s="1"/>
  <c r="F555" i="10"/>
  <c r="O555" i="10" s="1"/>
  <c r="P555" i="10" s="1"/>
  <c r="F573" i="10"/>
  <c r="O573" i="10" s="1"/>
  <c r="P573" i="10" s="1"/>
  <c r="F587" i="10"/>
  <c r="O587" i="10" s="1"/>
  <c r="P587" i="10" s="1"/>
  <c r="F605" i="10"/>
  <c r="O605" i="10" s="1"/>
  <c r="P605" i="10" s="1"/>
  <c r="F619" i="10"/>
  <c r="O619" i="10" s="1"/>
  <c r="P619" i="10" s="1"/>
  <c r="F637" i="10"/>
  <c r="O637" i="10" s="1"/>
  <c r="P637" i="10" s="1"/>
  <c r="F651" i="10"/>
  <c r="O651" i="10" s="1"/>
  <c r="P651" i="10" s="1"/>
  <c r="F669" i="10"/>
  <c r="O669" i="10" s="1"/>
  <c r="P669" i="10" s="1"/>
  <c r="F683" i="10"/>
  <c r="O683" i="10" s="1"/>
  <c r="P683" i="10" s="1"/>
  <c r="F701" i="10"/>
  <c r="O701" i="10" s="1"/>
  <c r="P701" i="10" s="1"/>
  <c r="F715" i="10"/>
  <c r="O715" i="10" s="1"/>
  <c r="P715" i="10" s="1"/>
  <c r="F733" i="10"/>
  <c r="O733" i="10" s="1"/>
  <c r="P733" i="10" s="1"/>
  <c r="F747" i="10"/>
  <c r="O747" i="10" s="1"/>
  <c r="P747" i="10" s="1"/>
  <c r="F765" i="10"/>
  <c r="O765" i="10" s="1"/>
  <c r="P765" i="10" s="1"/>
  <c r="F779" i="10"/>
  <c r="O779" i="10" s="1"/>
  <c r="P779" i="10" s="1"/>
  <c r="F815" i="10"/>
  <c r="O815" i="10" s="1"/>
  <c r="P815" i="10" s="1"/>
  <c r="F820" i="10"/>
  <c r="O820" i="10" s="1"/>
  <c r="P820" i="10" s="1"/>
  <c r="F826" i="10"/>
  <c r="O826" i="10" s="1"/>
  <c r="P826" i="10" s="1"/>
  <c r="F852" i="10"/>
  <c r="O852" i="10" s="1"/>
  <c r="P852" i="10" s="1"/>
  <c r="F858" i="10"/>
  <c r="O858" i="10" s="1"/>
  <c r="P858" i="10" s="1"/>
  <c r="F884" i="10"/>
  <c r="O884" i="10" s="1"/>
  <c r="P884" i="10" s="1"/>
  <c r="F890" i="10"/>
  <c r="O890" i="10" s="1"/>
  <c r="P890" i="10" s="1"/>
  <c r="F916" i="10"/>
  <c r="O916" i="10" s="1"/>
  <c r="P916" i="10" s="1"/>
  <c r="F922" i="10"/>
  <c r="O922" i="10" s="1"/>
  <c r="P922" i="10" s="1"/>
  <c r="F942" i="10"/>
  <c r="O942" i="10" s="1"/>
  <c r="P942" i="10" s="1"/>
  <c r="F968" i="10"/>
  <c r="O968" i="10" s="1"/>
  <c r="P968" i="10" s="1"/>
  <c r="F974" i="10"/>
  <c r="O974" i="10" s="1"/>
  <c r="P974" i="10" s="1"/>
  <c r="F1000" i="10"/>
  <c r="O1000" i="10" s="1"/>
  <c r="P1000" i="10" s="1"/>
  <c r="F1006" i="10"/>
  <c r="O1006" i="10" s="1"/>
  <c r="P1006" i="10" s="1"/>
  <c r="F1020" i="10"/>
  <c r="O1020" i="10" s="1"/>
  <c r="P1020" i="10" s="1"/>
  <c r="F1047" i="10"/>
  <c r="O1047" i="10" s="1"/>
  <c r="P1047" i="10" s="1"/>
  <c r="F1063" i="10"/>
  <c r="O1063" i="10" s="1"/>
  <c r="P1063" i="10" s="1"/>
  <c r="F1079" i="10"/>
  <c r="O1079" i="10" s="1"/>
  <c r="P1079" i="10" s="1"/>
  <c r="F1082" i="10"/>
  <c r="O1082" i="10" s="1"/>
  <c r="P1082" i="10" s="1"/>
  <c r="F1117" i="10"/>
  <c r="O1117" i="10" s="1"/>
  <c r="P1117" i="10" s="1"/>
  <c r="F1150" i="10"/>
  <c r="O1150" i="10" s="1"/>
  <c r="P1150" i="10" s="1"/>
  <c r="F1122" i="10"/>
  <c r="O1122" i="10" s="1"/>
  <c r="P1122" i="10" s="1"/>
  <c r="F1137" i="10"/>
  <c r="O1137" i="10" s="1"/>
  <c r="P1137" i="10" s="1"/>
  <c r="F1144" i="10"/>
  <c r="O1144" i="10" s="1"/>
  <c r="P1144" i="10" s="1"/>
  <c r="F1169" i="10"/>
  <c r="O1169" i="10" s="1"/>
  <c r="P1169" i="10" s="1"/>
  <c r="F1138" i="10"/>
  <c r="O1138" i="10" s="1"/>
  <c r="P1138" i="10" s="1"/>
  <c r="F1125" i="10"/>
  <c r="O1125" i="10" s="1"/>
  <c r="P1125" i="10" s="1"/>
  <c r="F1149" i="10"/>
  <c r="O1149" i="10" s="1"/>
  <c r="P1149" i="10" s="1"/>
  <c r="F1156" i="10"/>
  <c r="O1156" i="10" s="1"/>
  <c r="P1156" i="10" s="1"/>
  <c r="G61" i="14"/>
  <c r="K42" i="4"/>
  <c r="J44" i="4"/>
  <c r="N11" i="13"/>
  <c r="R5" i="12"/>
  <c r="Q6" i="12"/>
  <c r="L14" i="4"/>
  <c r="K14" i="4"/>
  <c r="J13" i="4"/>
  <c r="M39" i="4"/>
  <c r="N10" i="14"/>
  <c r="J9" i="14" a="1"/>
  <c r="J9" i="14" s="1"/>
  <c r="Y21" i="11" l="1"/>
  <c r="Z21" i="11"/>
  <c r="T23" i="11"/>
  <c r="U23" i="11"/>
  <c r="P13" i="11"/>
  <c r="F12" i="11"/>
  <c r="G13" i="11" s="1"/>
  <c r="O13" i="11"/>
  <c r="G877" i="7"/>
  <c r="G876" i="7" s="1"/>
  <c r="G875" i="7" s="1"/>
  <c r="G874" i="7" s="1"/>
  <c r="G873" i="7" s="1"/>
  <c r="G872" i="7" s="1"/>
  <c r="G871" i="7" s="1"/>
  <c r="G870" i="7" s="1"/>
  <c r="G869" i="7" s="1"/>
  <c r="G868" i="7" s="1"/>
  <c r="G867" i="7" s="1"/>
  <c r="G866" i="7" s="1"/>
  <c r="G865" i="7" s="1"/>
  <c r="G864" i="7" s="1"/>
  <c r="G863" i="7" s="1"/>
  <c r="G862" i="7" s="1"/>
  <c r="G861" i="7" s="1"/>
  <c r="G860" i="7" s="1"/>
  <c r="G859" i="7" s="1"/>
  <c r="G858" i="7" s="1"/>
  <c r="G857" i="7" s="1"/>
  <c r="G856" i="7" s="1"/>
  <c r="G855" i="7" s="1"/>
  <c r="G854" i="7" s="1"/>
  <c r="G853" i="7" s="1"/>
  <c r="G852" i="7" s="1"/>
  <c r="G851" i="7" s="1"/>
  <c r="G850" i="7" s="1"/>
  <c r="G849" i="7" s="1"/>
  <c r="G848" i="7" s="1"/>
  <c r="G847" i="7" s="1"/>
  <c r="G846" i="7" s="1"/>
  <c r="G845" i="7" s="1"/>
  <c r="G844" i="7" s="1"/>
  <c r="G843" i="7" s="1"/>
  <c r="G842" i="7" s="1"/>
  <c r="G841" i="7" s="1"/>
  <c r="G840" i="7" s="1"/>
  <c r="G839" i="7" s="1"/>
  <c r="G838" i="7" s="1"/>
  <c r="G837" i="7" s="1"/>
  <c r="G836" i="7" s="1"/>
  <c r="G835" i="7" s="1"/>
  <c r="G834" i="7" s="1"/>
  <c r="G833" i="7" s="1"/>
  <c r="G832" i="7" s="1"/>
  <c r="G831" i="7" s="1"/>
  <c r="G830" i="7" s="1"/>
  <c r="G829" i="7" s="1"/>
  <c r="G828" i="7" s="1"/>
  <c r="W6" i="3"/>
  <c r="J442" i="10"/>
  <c r="K442" i="10"/>
  <c r="K329" i="10"/>
  <c r="J329" i="10"/>
  <c r="K201" i="10"/>
  <c r="J201" i="10"/>
  <c r="K1103" i="10"/>
  <c r="J1103" i="10"/>
  <c r="K775" i="10"/>
  <c r="J775" i="10"/>
  <c r="K558" i="10"/>
  <c r="J558" i="10"/>
  <c r="K266" i="10"/>
  <c r="J266" i="10"/>
  <c r="K1111" i="10"/>
  <c r="J1111" i="10"/>
  <c r="K1026" i="10"/>
  <c r="J1026" i="10"/>
  <c r="K955" i="10"/>
  <c r="J955" i="10"/>
  <c r="J904" i="10"/>
  <c r="K904" i="10"/>
  <c r="J840" i="10"/>
  <c r="K840" i="10"/>
  <c r="K751" i="10"/>
  <c r="J751" i="10"/>
  <c r="K687" i="10"/>
  <c r="J687" i="10"/>
  <c r="K614" i="10"/>
  <c r="J614" i="10"/>
  <c r="K550" i="10"/>
  <c r="J550" i="10"/>
  <c r="K435" i="10"/>
  <c r="J435" i="10"/>
  <c r="K371" i="10"/>
  <c r="J371" i="10"/>
  <c r="K307" i="10"/>
  <c r="J307" i="10"/>
  <c r="K243" i="10"/>
  <c r="J243" i="10"/>
  <c r="K179" i="10"/>
  <c r="J179" i="10"/>
  <c r="K115" i="10"/>
  <c r="J115" i="10"/>
  <c r="K1089" i="10"/>
  <c r="J1089" i="10"/>
  <c r="J838" i="10"/>
  <c r="K838" i="10"/>
  <c r="K647" i="10"/>
  <c r="J647" i="10"/>
  <c r="K407" i="10"/>
  <c r="J407" i="10"/>
  <c r="J306" i="10"/>
  <c r="K306" i="10"/>
  <c r="J226" i="10"/>
  <c r="K226" i="10"/>
  <c r="J1100" i="10"/>
  <c r="K1100" i="10"/>
  <c r="K1070" i="10"/>
  <c r="J1070" i="10"/>
  <c r="K1039" i="10"/>
  <c r="J1039" i="10"/>
  <c r="J993" i="10"/>
  <c r="K993" i="10"/>
  <c r="K923" i="10"/>
  <c r="J923" i="10"/>
  <c r="K859" i="10"/>
  <c r="J859" i="10"/>
  <c r="J773" i="10"/>
  <c r="K773" i="10"/>
  <c r="J709" i="10"/>
  <c r="K709" i="10"/>
  <c r="J645" i="10"/>
  <c r="K645" i="10"/>
  <c r="J580" i="10"/>
  <c r="K580" i="10"/>
  <c r="K515" i="10"/>
  <c r="J515" i="10"/>
  <c r="K482" i="10"/>
  <c r="J482" i="10"/>
  <c r="K450" i="10"/>
  <c r="J450" i="10"/>
  <c r="K373" i="10"/>
  <c r="J373" i="10"/>
  <c r="K245" i="10"/>
  <c r="J245" i="10"/>
  <c r="K117" i="10"/>
  <c r="J117" i="10"/>
  <c r="K963" i="10"/>
  <c r="J963" i="10"/>
  <c r="K811" i="10"/>
  <c r="J811" i="10"/>
  <c r="J729" i="10"/>
  <c r="K729" i="10"/>
  <c r="J552" i="10"/>
  <c r="K552" i="10"/>
  <c r="K207" i="10"/>
  <c r="J207" i="10"/>
  <c r="K103" i="10"/>
  <c r="J103" i="10"/>
  <c r="J449" i="10"/>
  <c r="K449" i="10"/>
  <c r="J465" i="10"/>
  <c r="K465" i="10"/>
  <c r="J481" i="10"/>
  <c r="K481" i="10"/>
  <c r="J497" i="10"/>
  <c r="K497" i="10"/>
  <c r="J513" i="10"/>
  <c r="K513" i="10"/>
  <c r="J533" i="10"/>
  <c r="K533" i="10"/>
  <c r="J801" i="10"/>
  <c r="K801" i="10"/>
  <c r="J1009" i="10"/>
  <c r="K1009" i="10"/>
  <c r="J1037" i="10"/>
  <c r="K1037" i="10"/>
  <c r="J1053" i="10"/>
  <c r="K1053" i="10"/>
  <c r="J1069" i="10"/>
  <c r="K1069" i="10"/>
  <c r="J92" i="10"/>
  <c r="K92" i="10"/>
  <c r="J108" i="10"/>
  <c r="K108" i="10"/>
  <c r="J124" i="10"/>
  <c r="K124" i="10"/>
  <c r="J140" i="10"/>
  <c r="K140" i="10"/>
  <c r="J156" i="10"/>
  <c r="K156" i="10"/>
  <c r="J172" i="10"/>
  <c r="K172" i="10"/>
  <c r="J188" i="10"/>
  <c r="K188" i="10"/>
  <c r="J204" i="10"/>
  <c r="K204" i="10"/>
  <c r="J220" i="10"/>
  <c r="K220" i="10"/>
  <c r="J236" i="10"/>
  <c r="K236" i="10"/>
  <c r="J252" i="10"/>
  <c r="K252" i="10"/>
  <c r="J268" i="10"/>
  <c r="K268" i="10"/>
  <c r="J284" i="10"/>
  <c r="K284" i="10"/>
  <c r="J300" i="10"/>
  <c r="K300" i="10"/>
  <c r="J316" i="10"/>
  <c r="K316" i="10"/>
  <c r="J332" i="10"/>
  <c r="K332" i="10"/>
  <c r="J348" i="10"/>
  <c r="K348" i="10"/>
  <c r="J364" i="10"/>
  <c r="K364" i="10"/>
  <c r="J380" i="10"/>
  <c r="K380" i="10"/>
  <c r="J396" i="10"/>
  <c r="K396" i="10"/>
  <c r="J412" i="10"/>
  <c r="K412" i="10"/>
  <c r="J428" i="10"/>
  <c r="K428" i="10"/>
  <c r="J1108" i="10"/>
  <c r="K1108" i="10"/>
  <c r="J1139" i="10"/>
  <c r="K1139" i="10"/>
  <c r="J1155" i="10"/>
  <c r="K1155" i="10"/>
  <c r="M15" i="14"/>
  <c r="J11" i="13" a="1"/>
  <c r="J11" i="13" s="1"/>
  <c r="N12" i="13"/>
  <c r="K1122" i="10"/>
  <c r="J1122" i="10"/>
  <c r="J884" i="10"/>
  <c r="K884" i="10"/>
  <c r="K619" i="10"/>
  <c r="J619" i="10"/>
  <c r="K369" i="10"/>
  <c r="J369" i="10"/>
  <c r="J813" i="10"/>
  <c r="K813" i="10"/>
  <c r="K1086" i="10"/>
  <c r="J1086" i="10"/>
  <c r="J857" i="10"/>
  <c r="K857" i="10"/>
  <c r="J561" i="10"/>
  <c r="K561" i="10"/>
  <c r="K262" i="10"/>
  <c r="J262" i="10"/>
  <c r="J1028" i="10"/>
  <c r="K1028" i="10"/>
  <c r="K122" i="10"/>
  <c r="J122" i="10"/>
  <c r="J992" i="10"/>
  <c r="K992" i="10"/>
  <c r="J708" i="10"/>
  <c r="K708" i="10"/>
  <c r="J444" i="10"/>
  <c r="K444" i="10"/>
  <c r="K93" i="10"/>
  <c r="J93" i="10"/>
  <c r="K271" i="10"/>
  <c r="J271" i="10"/>
  <c r="J1129" i="10"/>
  <c r="K1129" i="10"/>
  <c r="K999" i="10"/>
  <c r="J999" i="10"/>
  <c r="J806" i="10"/>
  <c r="K806" i="10"/>
  <c r="K610" i="10"/>
  <c r="J610" i="10"/>
  <c r="K438" i="10"/>
  <c r="J438" i="10"/>
  <c r="J981" i="10"/>
  <c r="K981" i="10"/>
  <c r="K215" i="10"/>
  <c r="J215" i="10"/>
  <c r="K894" i="10"/>
  <c r="J894" i="10"/>
  <c r="J721" i="10"/>
  <c r="K721" i="10"/>
  <c r="K379" i="10"/>
  <c r="J379" i="10"/>
  <c r="K123" i="10"/>
  <c r="J123" i="10"/>
  <c r="K431" i="10"/>
  <c r="J431" i="10"/>
  <c r="K1083" i="10"/>
  <c r="J1083" i="10"/>
  <c r="J925" i="10"/>
  <c r="K925" i="10"/>
  <c r="K739" i="10"/>
  <c r="J739" i="10"/>
  <c r="K538" i="10"/>
  <c r="J538" i="10"/>
  <c r="K293" i="10"/>
  <c r="J293" i="10"/>
  <c r="J913" i="10"/>
  <c r="K913" i="10"/>
  <c r="K375" i="10"/>
  <c r="J375" i="10"/>
  <c r="J1092" i="10"/>
  <c r="K1092" i="10"/>
  <c r="J874" i="10"/>
  <c r="K874" i="10"/>
  <c r="J653" i="10"/>
  <c r="K653" i="10"/>
  <c r="K417" i="10"/>
  <c r="J417" i="10"/>
  <c r="K854" i="10"/>
  <c r="J854" i="10"/>
  <c r="K175" i="10"/>
  <c r="J175" i="10"/>
  <c r="J956" i="10"/>
  <c r="K956" i="10"/>
  <c r="J726" i="10"/>
  <c r="K726" i="10"/>
  <c r="K382" i="10"/>
  <c r="J382" i="10"/>
  <c r="K190" i="10"/>
  <c r="J190" i="10"/>
  <c r="K879" i="10"/>
  <c r="J879" i="10"/>
  <c r="K279" i="10"/>
  <c r="J279" i="10"/>
  <c r="K1035" i="10"/>
  <c r="J1035" i="10"/>
  <c r="K730" i="10"/>
  <c r="J730" i="10"/>
  <c r="J549" i="10"/>
  <c r="K549" i="10"/>
  <c r="K301" i="10"/>
  <c r="J301" i="10"/>
  <c r="J713" i="10"/>
  <c r="K713" i="10"/>
  <c r="K1130" i="10"/>
  <c r="J1130" i="10"/>
  <c r="J508" i="10"/>
  <c r="K508" i="10"/>
  <c r="J10" i="14" a="1"/>
  <c r="J10" i="14" s="1"/>
  <c r="N11" i="14"/>
  <c r="K1156" i="10"/>
  <c r="J1156" i="10"/>
  <c r="K1169" i="10"/>
  <c r="J1169" i="10"/>
  <c r="K1150" i="10"/>
  <c r="J1150" i="10"/>
  <c r="K1063" i="10"/>
  <c r="J1063" i="10"/>
  <c r="J1000" i="10"/>
  <c r="K1000" i="10"/>
  <c r="J922" i="10"/>
  <c r="K922" i="10"/>
  <c r="J858" i="10"/>
  <c r="K858" i="10"/>
  <c r="K815" i="10"/>
  <c r="J815" i="10"/>
  <c r="J733" i="10"/>
  <c r="K733" i="10"/>
  <c r="J669" i="10"/>
  <c r="K669" i="10"/>
  <c r="J605" i="10"/>
  <c r="K605" i="10"/>
  <c r="J541" i="10"/>
  <c r="K541" i="10"/>
  <c r="K459" i="10"/>
  <c r="J459" i="10"/>
  <c r="K337" i="10"/>
  <c r="J337" i="10"/>
  <c r="K209" i="10"/>
  <c r="J209" i="10"/>
  <c r="K81" i="10"/>
  <c r="J81" i="10"/>
  <c r="J928" i="10"/>
  <c r="K928" i="10"/>
  <c r="J728" i="10"/>
  <c r="K728" i="10"/>
  <c r="K295" i="10"/>
  <c r="J295" i="10"/>
  <c r="K1031" i="10"/>
  <c r="J1031" i="10"/>
  <c r="K946" i="10"/>
  <c r="J946" i="10"/>
  <c r="K903" i="10"/>
  <c r="J903" i="10"/>
  <c r="K839" i="10"/>
  <c r="J839" i="10"/>
  <c r="K787" i="10"/>
  <c r="J787" i="10"/>
  <c r="J736" i="10"/>
  <c r="K736" i="10"/>
  <c r="J672" i="10"/>
  <c r="K672" i="10"/>
  <c r="K607" i="10"/>
  <c r="J607" i="10"/>
  <c r="K543" i="10"/>
  <c r="J543" i="10"/>
  <c r="K374" i="10"/>
  <c r="J374" i="10"/>
  <c r="K310" i="10"/>
  <c r="J310" i="10"/>
  <c r="K246" i="10"/>
  <c r="J246" i="10"/>
  <c r="J182" i="10"/>
  <c r="K182" i="10"/>
  <c r="J118" i="10"/>
  <c r="K118" i="10"/>
  <c r="J949" i="10"/>
  <c r="K949" i="10"/>
  <c r="K786" i="10"/>
  <c r="J786" i="10"/>
  <c r="K590" i="10"/>
  <c r="J590" i="10"/>
  <c r="K223" i="10"/>
  <c r="J223" i="10"/>
  <c r="K106" i="10"/>
  <c r="J106" i="10"/>
  <c r="K1099" i="10"/>
  <c r="J1099" i="10"/>
  <c r="K1043" i="10"/>
  <c r="J1043" i="10"/>
  <c r="K966" i="10"/>
  <c r="J966" i="10"/>
  <c r="K882" i="10"/>
  <c r="J882" i="10"/>
  <c r="K818" i="10"/>
  <c r="J818" i="10"/>
  <c r="J746" i="10"/>
  <c r="K746" i="10"/>
  <c r="J682" i="10"/>
  <c r="K682" i="10"/>
  <c r="K629" i="10"/>
  <c r="J629" i="10"/>
  <c r="J565" i="10"/>
  <c r="K565" i="10"/>
  <c r="K487" i="10"/>
  <c r="J487" i="10"/>
  <c r="J440" i="10"/>
  <c r="K440" i="10"/>
  <c r="K317" i="10"/>
  <c r="J317" i="10"/>
  <c r="K189" i="10"/>
  <c r="J189" i="10"/>
  <c r="J1030" i="10"/>
  <c r="K1030" i="10"/>
  <c r="K822" i="10"/>
  <c r="J822" i="10"/>
  <c r="J528" i="10"/>
  <c r="K528" i="10"/>
  <c r="K346" i="10"/>
  <c r="J346" i="10"/>
  <c r="J162" i="10"/>
  <c r="K162" i="10"/>
  <c r="K1148" i="10"/>
  <c r="J1148" i="10"/>
  <c r="K1168" i="10"/>
  <c r="J1168" i="10"/>
  <c r="K1120" i="10"/>
  <c r="J1120" i="10"/>
  <c r="J1072" i="10"/>
  <c r="K1072" i="10"/>
  <c r="K1038" i="10"/>
  <c r="J1038" i="10"/>
  <c r="J985" i="10"/>
  <c r="K985" i="10"/>
  <c r="K915" i="10"/>
  <c r="J915" i="10"/>
  <c r="K851" i="10"/>
  <c r="J851" i="10"/>
  <c r="K798" i="10"/>
  <c r="J798" i="10"/>
  <c r="J732" i="10"/>
  <c r="K732" i="10"/>
  <c r="J668" i="10"/>
  <c r="K668" i="10"/>
  <c r="J604" i="10"/>
  <c r="K604" i="10"/>
  <c r="J540" i="10"/>
  <c r="K540" i="10"/>
  <c r="K494" i="10"/>
  <c r="J494" i="10"/>
  <c r="K462" i="10"/>
  <c r="J462" i="10"/>
  <c r="K409" i="10"/>
  <c r="J409" i="10"/>
  <c r="K281" i="10"/>
  <c r="J281" i="10"/>
  <c r="K153" i="10"/>
  <c r="J153" i="10"/>
  <c r="J881" i="10"/>
  <c r="K881" i="10"/>
  <c r="J665" i="10"/>
  <c r="K665" i="10"/>
  <c r="K551" i="10"/>
  <c r="J551" i="10"/>
  <c r="K199" i="10"/>
  <c r="J199" i="10"/>
  <c r="K1003" i="10"/>
  <c r="J1003" i="10"/>
  <c r="K939" i="10"/>
  <c r="J939" i="10"/>
  <c r="J888" i="10"/>
  <c r="K888" i="10"/>
  <c r="J824" i="10"/>
  <c r="K824" i="10"/>
  <c r="K767" i="10"/>
  <c r="J767" i="10"/>
  <c r="K703" i="10"/>
  <c r="J703" i="10"/>
  <c r="K639" i="10"/>
  <c r="J639" i="10"/>
  <c r="J566" i="10"/>
  <c r="K566" i="10"/>
  <c r="K427" i="10"/>
  <c r="J427" i="10"/>
  <c r="K363" i="10"/>
  <c r="J363" i="10"/>
  <c r="K299" i="10"/>
  <c r="J299" i="10"/>
  <c r="K235" i="10"/>
  <c r="J235" i="10"/>
  <c r="K171" i="10"/>
  <c r="J171" i="10"/>
  <c r="K107" i="10"/>
  <c r="J107" i="10"/>
  <c r="K831" i="10"/>
  <c r="J831" i="10"/>
  <c r="K654" i="10"/>
  <c r="J654" i="10"/>
  <c r="K383" i="10"/>
  <c r="J383" i="10"/>
  <c r="K250" i="10"/>
  <c r="J250" i="10"/>
  <c r="J1078" i="10"/>
  <c r="K1078" i="10"/>
  <c r="J1046" i="10"/>
  <c r="K1046" i="10"/>
  <c r="J977" i="10"/>
  <c r="K977" i="10"/>
  <c r="K907" i="10"/>
  <c r="J907" i="10"/>
  <c r="K843" i="10"/>
  <c r="J843" i="10"/>
  <c r="K799" i="10"/>
  <c r="J799" i="10"/>
  <c r="J725" i="10"/>
  <c r="K725" i="10"/>
  <c r="J661" i="10"/>
  <c r="K661" i="10"/>
  <c r="J596" i="10"/>
  <c r="K596" i="10"/>
  <c r="J512" i="10"/>
  <c r="K512" i="10"/>
  <c r="J480" i="10"/>
  <c r="K480" i="10"/>
  <c r="J448" i="10"/>
  <c r="K448" i="10"/>
  <c r="K389" i="10"/>
  <c r="J389" i="10"/>
  <c r="K261" i="10"/>
  <c r="J261" i="10"/>
  <c r="K133" i="10"/>
  <c r="J133" i="10"/>
  <c r="J986" i="10"/>
  <c r="K986" i="10"/>
  <c r="K895" i="10"/>
  <c r="J895" i="10"/>
  <c r="J696" i="10"/>
  <c r="K696" i="10"/>
  <c r="K423" i="10"/>
  <c r="J423" i="10"/>
  <c r="K263" i="10"/>
  <c r="J263" i="10"/>
  <c r="K1140" i="10"/>
  <c r="J1140" i="10"/>
  <c r="K1160" i="10"/>
  <c r="J1160" i="10"/>
  <c r="K1166" i="10"/>
  <c r="J1166" i="10"/>
  <c r="K1071" i="10"/>
  <c r="J1071" i="10"/>
  <c r="K990" i="10"/>
  <c r="J990" i="10"/>
  <c r="J932" i="10"/>
  <c r="K932" i="10"/>
  <c r="J868" i="10"/>
  <c r="K868" i="10"/>
  <c r="K763" i="10"/>
  <c r="J763" i="10"/>
  <c r="K699" i="10"/>
  <c r="J699" i="10"/>
  <c r="K635" i="10"/>
  <c r="J635" i="10"/>
  <c r="K571" i="10"/>
  <c r="J571" i="10"/>
  <c r="K483" i="10"/>
  <c r="J483" i="10"/>
  <c r="K385" i="10"/>
  <c r="J385" i="10"/>
  <c r="K257" i="10"/>
  <c r="J257" i="10"/>
  <c r="K129" i="10"/>
  <c r="J129" i="10"/>
  <c r="J954" i="10"/>
  <c r="K954" i="10"/>
  <c r="J761" i="10"/>
  <c r="K761" i="10"/>
  <c r="K599" i="10"/>
  <c r="J599" i="10"/>
  <c r="K351" i="10"/>
  <c r="J351" i="10"/>
  <c r="K138" i="10"/>
  <c r="J138" i="10"/>
  <c r="K1106" i="10"/>
  <c r="J1106" i="10"/>
  <c r="K994" i="10"/>
  <c r="J994" i="10"/>
  <c r="K919" i="10"/>
  <c r="J919" i="10"/>
  <c r="K855" i="10"/>
  <c r="J855" i="10"/>
  <c r="J784" i="10"/>
  <c r="K784" i="10"/>
  <c r="J720" i="10"/>
  <c r="K720" i="10"/>
  <c r="J656" i="10"/>
  <c r="K656" i="10"/>
  <c r="K591" i="10"/>
  <c r="J591" i="10"/>
  <c r="K430" i="10"/>
  <c r="J430" i="10"/>
  <c r="K366" i="10"/>
  <c r="J366" i="10"/>
  <c r="K302" i="10"/>
  <c r="J302" i="10"/>
  <c r="K238" i="10"/>
  <c r="J238" i="10"/>
  <c r="K174" i="10"/>
  <c r="J174" i="10"/>
  <c r="K110" i="10"/>
  <c r="J110" i="10"/>
  <c r="J1094" i="10"/>
  <c r="K1094" i="10"/>
  <c r="K863" i="10"/>
  <c r="J863" i="10"/>
  <c r="K670" i="10"/>
  <c r="J670" i="10"/>
  <c r="K535" i="10"/>
  <c r="J535" i="10"/>
  <c r="K167" i="10"/>
  <c r="J167" i="10"/>
  <c r="J82" i="10"/>
  <c r="K82" i="10"/>
  <c r="K1067" i="10"/>
  <c r="J1067" i="10"/>
  <c r="J1013" i="10"/>
  <c r="K1013" i="10"/>
  <c r="J950" i="10"/>
  <c r="K950" i="10"/>
  <c r="J898" i="10"/>
  <c r="K898" i="10"/>
  <c r="J834" i="10"/>
  <c r="K834" i="10"/>
  <c r="K803" i="10"/>
  <c r="J803" i="10"/>
  <c r="J724" i="10"/>
  <c r="K724" i="10"/>
  <c r="J660" i="10"/>
  <c r="K660" i="10"/>
  <c r="K595" i="10"/>
  <c r="J595" i="10"/>
  <c r="J521" i="10"/>
  <c r="K521" i="10"/>
  <c r="K479" i="10"/>
  <c r="J479" i="10"/>
  <c r="K397" i="10"/>
  <c r="J397" i="10"/>
  <c r="K269" i="10"/>
  <c r="J269" i="10"/>
  <c r="K141" i="10"/>
  <c r="J141" i="10"/>
  <c r="J948" i="10"/>
  <c r="K948" i="10"/>
  <c r="J536" i="10"/>
  <c r="K536" i="10"/>
  <c r="J210" i="10"/>
  <c r="K210" i="10"/>
  <c r="K1132" i="10"/>
  <c r="J1132" i="10"/>
  <c r="K1152" i="10"/>
  <c r="J1152" i="10"/>
  <c r="J1098" i="10"/>
  <c r="K1098" i="10"/>
  <c r="J1064" i="10"/>
  <c r="K1064" i="10"/>
  <c r="K1034" i="10"/>
  <c r="J1034" i="10"/>
  <c r="K951" i="10"/>
  <c r="J951" i="10"/>
  <c r="J885" i="10"/>
  <c r="K885" i="10"/>
  <c r="J821" i="10"/>
  <c r="K821" i="10"/>
  <c r="J754" i="10"/>
  <c r="K754" i="10"/>
  <c r="J690" i="10"/>
  <c r="K690" i="10"/>
  <c r="K626" i="10"/>
  <c r="J626" i="10"/>
  <c r="K562" i="10"/>
  <c r="J562" i="10"/>
  <c r="J502" i="10"/>
  <c r="K502" i="10"/>
  <c r="J470" i="10"/>
  <c r="K470" i="10"/>
  <c r="K425" i="10"/>
  <c r="J425" i="10"/>
  <c r="K297" i="10"/>
  <c r="J297" i="10"/>
  <c r="K169" i="10"/>
  <c r="J169" i="10"/>
  <c r="J912" i="10"/>
  <c r="K912" i="10"/>
  <c r="J712" i="10"/>
  <c r="K712" i="10"/>
  <c r="K527" i="10"/>
  <c r="J527" i="10"/>
  <c r="K255" i="10"/>
  <c r="J255" i="10"/>
  <c r="K1102" i="10"/>
  <c r="J1102" i="10"/>
  <c r="J1005" i="10"/>
  <c r="K1005" i="10"/>
  <c r="J941" i="10"/>
  <c r="K941" i="10"/>
  <c r="K878" i="10"/>
  <c r="J878" i="10"/>
  <c r="J788" i="10"/>
  <c r="K788" i="10"/>
  <c r="J737" i="10"/>
  <c r="K737" i="10"/>
  <c r="J673" i="10"/>
  <c r="K673" i="10"/>
  <c r="J608" i="10"/>
  <c r="K608" i="10"/>
  <c r="J544" i="10"/>
  <c r="K544" i="10"/>
  <c r="K419" i="10"/>
  <c r="J419" i="10"/>
  <c r="K355" i="10"/>
  <c r="J355" i="10"/>
  <c r="K291" i="10"/>
  <c r="J291" i="10"/>
  <c r="K227" i="10"/>
  <c r="J227" i="10"/>
  <c r="K163" i="10"/>
  <c r="J163" i="10"/>
  <c r="K99" i="10"/>
  <c r="J99" i="10"/>
  <c r="K1015" i="10"/>
  <c r="J1015" i="10"/>
  <c r="J812" i="10"/>
  <c r="K812" i="10"/>
  <c r="K633" i="10"/>
  <c r="J633" i="10"/>
  <c r="K359" i="10"/>
  <c r="J359" i="10"/>
  <c r="J290" i="10"/>
  <c r="K290" i="10"/>
  <c r="J194" i="10"/>
  <c r="K194" i="10"/>
  <c r="K1085" i="10"/>
  <c r="J1085" i="10"/>
  <c r="J1060" i="10"/>
  <c r="K1060" i="10"/>
  <c r="J1018" i="10"/>
  <c r="K1018" i="10"/>
  <c r="K975" i="10"/>
  <c r="J975" i="10"/>
  <c r="J909" i="10"/>
  <c r="K909" i="10"/>
  <c r="J845" i="10"/>
  <c r="K845" i="10"/>
  <c r="K755" i="10"/>
  <c r="J755" i="10"/>
  <c r="K691" i="10"/>
  <c r="J691" i="10"/>
  <c r="J618" i="10"/>
  <c r="K618" i="10"/>
  <c r="J554" i="10"/>
  <c r="K554" i="10"/>
  <c r="J504" i="10"/>
  <c r="K504" i="10"/>
  <c r="J472" i="10"/>
  <c r="K472" i="10"/>
  <c r="K441" i="10"/>
  <c r="J441" i="10"/>
  <c r="K341" i="10"/>
  <c r="J341" i="10"/>
  <c r="K213" i="10"/>
  <c r="J213" i="10"/>
  <c r="K85" i="10"/>
  <c r="J85" i="10"/>
  <c r="K918" i="10"/>
  <c r="J918" i="10"/>
  <c r="K790" i="10"/>
  <c r="J790" i="10"/>
  <c r="J649" i="10"/>
  <c r="K649" i="10"/>
  <c r="J532" i="10"/>
  <c r="K532" i="10"/>
  <c r="K151" i="10"/>
  <c r="J151" i="10"/>
  <c r="J453" i="10"/>
  <c r="K453" i="10"/>
  <c r="J469" i="10"/>
  <c r="K469" i="10"/>
  <c r="J485" i="10"/>
  <c r="K485" i="10"/>
  <c r="J501" i="10"/>
  <c r="K501" i="10"/>
  <c r="J517" i="10"/>
  <c r="K517" i="10"/>
  <c r="J785" i="10"/>
  <c r="K785" i="10"/>
  <c r="J805" i="10"/>
  <c r="K805" i="10"/>
  <c r="J1021" i="10"/>
  <c r="K1021" i="10"/>
  <c r="J1041" i="10"/>
  <c r="K1041" i="10"/>
  <c r="J1057" i="10"/>
  <c r="K1057" i="10"/>
  <c r="J1073" i="10"/>
  <c r="K1073" i="10"/>
  <c r="J80" i="10"/>
  <c r="K80" i="10"/>
  <c r="J96" i="10"/>
  <c r="K96" i="10"/>
  <c r="J112" i="10"/>
  <c r="K112" i="10"/>
  <c r="J128" i="10"/>
  <c r="K128" i="10"/>
  <c r="J144" i="10"/>
  <c r="K144" i="10"/>
  <c r="J160" i="10"/>
  <c r="K160" i="10"/>
  <c r="J176" i="10"/>
  <c r="K176" i="10"/>
  <c r="J192" i="10"/>
  <c r="K192" i="10"/>
  <c r="J208" i="10"/>
  <c r="K208" i="10"/>
  <c r="J224" i="10"/>
  <c r="K224" i="10"/>
  <c r="J240" i="10"/>
  <c r="K240" i="10"/>
  <c r="J256" i="10"/>
  <c r="K256" i="10"/>
  <c r="J272" i="10"/>
  <c r="K272" i="10"/>
  <c r="J288" i="10"/>
  <c r="K288" i="10"/>
  <c r="J304" i="10"/>
  <c r="K304" i="10"/>
  <c r="J320" i="10"/>
  <c r="K320" i="10"/>
  <c r="J336" i="10"/>
  <c r="K336" i="10"/>
  <c r="J352" i="10"/>
  <c r="K352" i="10"/>
  <c r="J368" i="10"/>
  <c r="K368" i="10"/>
  <c r="J384" i="10"/>
  <c r="K384" i="10"/>
  <c r="J400" i="10"/>
  <c r="K400" i="10"/>
  <c r="J416" i="10"/>
  <c r="K416" i="10"/>
  <c r="J432" i="10"/>
  <c r="K432" i="10"/>
  <c r="J1112" i="10"/>
  <c r="K1112" i="10"/>
  <c r="J1127" i="10"/>
  <c r="K1127" i="10"/>
  <c r="J1143" i="10"/>
  <c r="K1143" i="10"/>
  <c r="J1159" i="10"/>
  <c r="K1159" i="10"/>
  <c r="K15" i="11"/>
  <c r="J15" i="11"/>
  <c r="M14" i="13"/>
  <c r="K1079" i="10"/>
  <c r="J1079" i="10"/>
  <c r="K942" i="10"/>
  <c r="J942" i="10"/>
  <c r="K747" i="10"/>
  <c r="J747" i="10"/>
  <c r="K555" i="10"/>
  <c r="J555" i="10"/>
  <c r="K241" i="10"/>
  <c r="J241" i="10"/>
  <c r="K947" i="10"/>
  <c r="J947" i="10"/>
  <c r="J921" i="10"/>
  <c r="K921" i="10"/>
  <c r="K742" i="10"/>
  <c r="J742" i="10"/>
  <c r="J625" i="10"/>
  <c r="K625" i="10"/>
  <c r="K326" i="10"/>
  <c r="J326" i="10"/>
  <c r="J134" i="10"/>
  <c r="K134" i="10"/>
  <c r="K679" i="10"/>
  <c r="J679" i="10"/>
  <c r="K1105" i="10"/>
  <c r="J1105" i="10"/>
  <c r="J908" i="10"/>
  <c r="K908" i="10"/>
  <c r="J772" i="10"/>
  <c r="K772" i="10"/>
  <c r="K579" i="10"/>
  <c r="J579" i="10"/>
  <c r="K349" i="10"/>
  <c r="J349" i="10"/>
  <c r="J848" i="10"/>
  <c r="K848" i="10"/>
  <c r="K378" i="10"/>
  <c r="J378" i="10"/>
  <c r="K1126" i="10"/>
  <c r="J1126" i="10"/>
  <c r="K1093" i="10"/>
  <c r="J1093" i="10"/>
  <c r="J869" i="10"/>
  <c r="K869" i="10"/>
  <c r="K674" i="10"/>
  <c r="J674" i="10"/>
  <c r="K546" i="10"/>
  <c r="J546" i="10"/>
  <c r="J468" i="10"/>
  <c r="K468" i="10"/>
  <c r="K702" i="10"/>
  <c r="J702" i="10"/>
  <c r="J957" i="10"/>
  <c r="K957" i="10"/>
  <c r="K830" i="10"/>
  <c r="J830" i="10"/>
  <c r="J657" i="10"/>
  <c r="K657" i="10"/>
  <c r="K526" i="10"/>
  <c r="J526" i="10"/>
  <c r="K251" i="10"/>
  <c r="J251" i="10"/>
  <c r="K927" i="10"/>
  <c r="J927" i="10"/>
  <c r="K282" i="10"/>
  <c r="J282" i="10"/>
  <c r="J1052" i="10"/>
  <c r="K1052" i="10"/>
  <c r="J861" i="10"/>
  <c r="K861" i="10"/>
  <c r="K675" i="10"/>
  <c r="J675" i="10"/>
  <c r="J490" i="10"/>
  <c r="K490" i="10"/>
  <c r="K421" i="10"/>
  <c r="J421" i="10"/>
  <c r="K1027" i="10"/>
  <c r="J1027" i="10"/>
  <c r="K759" i="10"/>
  <c r="J759" i="10"/>
  <c r="K90" i="10"/>
  <c r="J90" i="10"/>
  <c r="K1154" i="10"/>
  <c r="J1154" i="10"/>
  <c r="K1010" i="10"/>
  <c r="J1010" i="10"/>
  <c r="J781" i="10"/>
  <c r="K781" i="10"/>
  <c r="K499" i="10"/>
  <c r="J499" i="10"/>
  <c r="K161" i="10"/>
  <c r="J161" i="10"/>
  <c r="J617" i="10"/>
  <c r="K617" i="10"/>
  <c r="J1014" i="10"/>
  <c r="K1014" i="10"/>
  <c r="K795" i="10"/>
  <c r="J795" i="10"/>
  <c r="J609" i="10"/>
  <c r="K609" i="10"/>
  <c r="K318" i="10"/>
  <c r="J318" i="10"/>
  <c r="K126" i="10"/>
  <c r="J126" i="10"/>
  <c r="K1110" i="10"/>
  <c r="J1110" i="10"/>
  <c r="J553" i="10"/>
  <c r="K553" i="10"/>
  <c r="K1101" i="10"/>
  <c r="J1101" i="10"/>
  <c r="J924" i="10"/>
  <c r="K924" i="10"/>
  <c r="J860" i="10"/>
  <c r="K860" i="10"/>
  <c r="J613" i="10"/>
  <c r="K613" i="10"/>
  <c r="K429" i="10"/>
  <c r="J429" i="10"/>
  <c r="J1002" i="10"/>
  <c r="K1002" i="10"/>
  <c r="K87" i="10"/>
  <c r="J87" i="10"/>
  <c r="K1142" i="10"/>
  <c r="J1142" i="10"/>
  <c r="K1042" i="10"/>
  <c r="J1042" i="10"/>
  <c r="J969" i="10"/>
  <c r="K969" i="10"/>
  <c r="K899" i="10"/>
  <c r="J899" i="10"/>
  <c r="K835" i="10"/>
  <c r="J835" i="10"/>
  <c r="J780" i="10"/>
  <c r="K780" i="10"/>
  <c r="J716" i="10"/>
  <c r="K716" i="10"/>
  <c r="J652" i="10"/>
  <c r="K652" i="10"/>
  <c r="J476" i="10"/>
  <c r="K476" i="10"/>
  <c r="R6" i="12"/>
  <c r="Q7" i="12"/>
  <c r="L44" i="4"/>
  <c r="K44" i="4"/>
  <c r="F50" i="6"/>
  <c r="K1149" i="10"/>
  <c r="J1149" i="10"/>
  <c r="K1144" i="10"/>
  <c r="J1144" i="10"/>
  <c r="K1117" i="10"/>
  <c r="J1117" i="10"/>
  <c r="K1047" i="10"/>
  <c r="J1047" i="10"/>
  <c r="K974" i="10"/>
  <c r="J974" i="10"/>
  <c r="J916" i="10"/>
  <c r="K916" i="10"/>
  <c r="J852" i="10"/>
  <c r="K852" i="10"/>
  <c r="K779" i="10"/>
  <c r="J779" i="10"/>
  <c r="K715" i="10"/>
  <c r="J715" i="10"/>
  <c r="K651" i="10"/>
  <c r="J651" i="10"/>
  <c r="K587" i="10"/>
  <c r="J587" i="10"/>
  <c r="K507" i="10"/>
  <c r="J507" i="10"/>
  <c r="K433" i="10"/>
  <c r="J433" i="10"/>
  <c r="K305" i="10"/>
  <c r="J305" i="10"/>
  <c r="K177" i="10"/>
  <c r="J177" i="10"/>
  <c r="J1088" i="10"/>
  <c r="K1088" i="10"/>
  <c r="J864" i="10"/>
  <c r="K864" i="10"/>
  <c r="J648" i="10"/>
  <c r="K648" i="10"/>
  <c r="K218" i="10"/>
  <c r="J218" i="10"/>
  <c r="J1004" i="10"/>
  <c r="K1004" i="10"/>
  <c r="J940" i="10"/>
  <c r="K940" i="10"/>
  <c r="J889" i="10"/>
  <c r="K889" i="10"/>
  <c r="J825" i="10"/>
  <c r="K825" i="10"/>
  <c r="K774" i="10"/>
  <c r="J774" i="10"/>
  <c r="K710" i="10"/>
  <c r="J710" i="10"/>
  <c r="J646" i="10"/>
  <c r="K646" i="10"/>
  <c r="J593" i="10"/>
  <c r="K593" i="10"/>
  <c r="J422" i="10"/>
  <c r="K422" i="10"/>
  <c r="J358" i="10"/>
  <c r="K358" i="10"/>
  <c r="K294" i="10"/>
  <c r="J294" i="10"/>
  <c r="K230" i="10"/>
  <c r="J230" i="10"/>
  <c r="K166" i="10"/>
  <c r="J166" i="10"/>
  <c r="J102" i="10"/>
  <c r="K102" i="10"/>
  <c r="K911" i="10"/>
  <c r="J911" i="10"/>
  <c r="K750" i="10"/>
  <c r="J750" i="10"/>
  <c r="J569" i="10"/>
  <c r="K569" i="10"/>
  <c r="K191" i="10"/>
  <c r="J191" i="10"/>
  <c r="J1084" i="10"/>
  <c r="K1084" i="10"/>
  <c r="K1011" i="10"/>
  <c r="J1011" i="10"/>
  <c r="J960" i="10"/>
  <c r="K960" i="10"/>
  <c r="J876" i="10"/>
  <c r="K876" i="10"/>
  <c r="J800" i="10"/>
  <c r="K800" i="10"/>
  <c r="J740" i="10"/>
  <c r="K740" i="10"/>
  <c r="J676" i="10"/>
  <c r="K676" i="10"/>
  <c r="K611" i="10"/>
  <c r="J611" i="10"/>
  <c r="K547" i="10"/>
  <c r="J547" i="10"/>
  <c r="K471" i="10"/>
  <c r="J471" i="10"/>
  <c r="K413" i="10"/>
  <c r="J413" i="10"/>
  <c r="K285" i="10"/>
  <c r="J285" i="10"/>
  <c r="K157" i="10"/>
  <c r="J157" i="10"/>
  <c r="K995" i="10"/>
  <c r="J995" i="10"/>
  <c r="J680" i="10"/>
  <c r="K680" i="10"/>
  <c r="K426" i="10"/>
  <c r="J426" i="10"/>
  <c r="K303" i="10"/>
  <c r="J303" i="10"/>
  <c r="J1141" i="10"/>
  <c r="K1141" i="10"/>
  <c r="J1161" i="10"/>
  <c r="K1161" i="10"/>
  <c r="K1158" i="10"/>
  <c r="J1158" i="10"/>
  <c r="K1066" i="10"/>
  <c r="J1066" i="10"/>
  <c r="J1024" i="10"/>
  <c r="K1024" i="10"/>
  <c r="K967" i="10"/>
  <c r="J967" i="10"/>
  <c r="J901" i="10"/>
  <c r="K901" i="10"/>
  <c r="J837" i="10"/>
  <c r="K837" i="10"/>
  <c r="K770" i="10"/>
  <c r="J770" i="10"/>
  <c r="K706" i="10"/>
  <c r="J706" i="10"/>
  <c r="K642" i="10"/>
  <c r="J642" i="10"/>
  <c r="K578" i="10"/>
  <c r="J578" i="10"/>
  <c r="J518" i="10"/>
  <c r="K518" i="10"/>
  <c r="J484" i="10"/>
  <c r="K484" i="10"/>
  <c r="J452" i="10"/>
  <c r="K452" i="10"/>
  <c r="K377" i="10"/>
  <c r="J377" i="10"/>
  <c r="K249" i="10"/>
  <c r="J249" i="10"/>
  <c r="K121" i="10"/>
  <c r="J121" i="10"/>
  <c r="K782" i="10"/>
  <c r="J782" i="10"/>
  <c r="K622" i="10"/>
  <c r="J622" i="10"/>
  <c r="J434" i="10"/>
  <c r="K434" i="10"/>
  <c r="K183" i="10"/>
  <c r="J183" i="10"/>
  <c r="J989" i="10"/>
  <c r="K989" i="10"/>
  <c r="K926" i="10"/>
  <c r="J926" i="10"/>
  <c r="K862" i="10"/>
  <c r="J862" i="10"/>
  <c r="J810" i="10"/>
  <c r="K810" i="10"/>
  <c r="J753" i="10"/>
  <c r="K753" i="10"/>
  <c r="J689" i="10"/>
  <c r="K689" i="10"/>
  <c r="J624" i="10"/>
  <c r="K624" i="10"/>
  <c r="J560" i="10"/>
  <c r="K560" i="10"/>
  <c r="K411" i="10"/>
  <c r="J411" i="10"/>
  <c r="K347" i="10"/>
  <c r="J347" i="10"/>
  <c r="K283" i="10"/>
  <c r="J283" i="10"/>
  <c r="K219" i="10"/>
  <c r="J219" i="10"/>
  <c r="K155" i="10"/>
  <c r="J155" i="10"/>
  <c r="K91" i="10"/>
  <c r="J91" i="10"/>
  <c r="J760" i="10"/>
  <c r="K760" i="10"/>
  <c r="K606" i="10"/>
  <c r="J606" i="10"/>
  <c r="K330" i="10"/>
  <c r="J330" i="10"/>
  <c r="K234" i="10"/>
  <c r="J234" i="10"/>
  <c r="J1068" i="10"/>
  <c r="K1068" i="10"/>
  <c r="J1036" i="10"/>
  <c r="K1036" i="10"/>
  <c r="K959" i="10"/>
  <c r="J959" i="10"/>
  <c r="J893" i="10"/>
  <c r="K893" i="10"/>
  <c r="J829" i="10"/>
  <c r="K829" i="10"/>
  <c r="K771" i="10"/>
  <c r="J771" i="10"/>
  <c r="K707" i="10"/>
  <c r="J707" i="10"/>
  <c r="K643" i="10"/>
  <c r="J643" i="10"/>
  <c r="K570" i="10"/>
  <c r="J570" i="10"/>
  <c r="J506" i="10"/>
  <c r="K506" i="10"/>
  <c r="J474" i="10"/>
  <c r="K474" i="10"/>
  <c r="K443" i="10"/>
  <c r="J443" i="10"/>
  <c r="K357" i="10"/>
  <c r="J357" i="10"/>
  <c r="K229" i="10"/>
  <c r="J229" i="10"/>
  <c r="K101" i="10"/>
  <c r="J101" i="10"/>
  <c r="J970" i="10"/>
  <c r="K970" i="10"/>
  <c r="J880" i="10"/>
  <c r="K880" i="10"/>
  <c r="J632" i="10"/>
  <c r="K632" i="10"/>
  <c r="J402" i="10"/>
  <c r="K402" i="10"/>
  <c r="K247" i="10"/>
  <c r="J247" i="10"/>
  <c r="J1133" i="10"/>
  <c r="K1133" i="10"/>
  <c r="K1153" i="10"/>
  <c r="J1153" i="10"/>
  <c r="K1134" i="10"/>
  <c r="J1134" i="10"/>
  <c r="K1055" i="10"/>
  <c r="J1055" i="10"/>
  <c r="J984" i="10"/>
  <c r="K984" i="10"/>
  <c r="J906" i="10"/>
  <c r="K906" i="10"/>
  <c r="J842" i="10"/>
  <c r="K842" i="10"/>
  <c r="J749" i="10"/>
  <c r="K749" i="10"/>
  <c r="J685" i="10"/>
  <c r="K685" i="10"/>
  <c r="J621" i="10"/>
  <c r="K621" i="10"/>
  <c r="J557" i="10"/>
  <c r="K557" i="10"/>
  <c r="K467" i="10"/>
  <c r="J467" i="10"/>
  <c r="K353" i="10"/>
  <c r="J353" i="10"/>
  <c r="K225" i="10"/>
  <c r="J225" i="10"/>
  <c r="K97" i="10"/>
  <c r="J97" i="10"/>
  <c r="J938" i="10"/>
  <c r="K938" i="10"/>
  <c r="J681" i="10"/>
  <c r="K681" i="10"/>
  <c r="K531" i="10"/>
  <c r="J531" i="10"/>
  <c r="K335" i="10"/>
  <c r="J335" i="10"/>
  <c r="K127" i="10"/>
  <c r="J127" i="10"/>
  <c r="J1096" i="10"/>
  <c r="K1096" i="10"/>
  <c r="J988" i="10"/>
  <c r="K988" i="10"/>
  <c r="J905" i="10"/>
  <c r="K905" i="10"/>
  <c r="J841" i="10"/>
  <c r="K841" i="10"/>
  <c r="K758" i="10"/>
  <c r="J758" i="10"/>
  <c r="J694" i="10"/>
  <c r="K694" i="10"/>
  <c r="K630" i="10"/>
  <c r="J630" i="10"/>
  <c r="J577" i="10"/>
  <c r="K577" i="10"/>
  <c r="K414" i="10"/>
  <c r="J414" i="10"/>
  <c r="K350" i="10"/>
  <c r="J350" i="10"/>
  <c r="K286" i="10"/>
  <c r="J286" i="10"/>
  <c r="K222" i="10"/>
  <c r="J222" i="10"/>
  <c r="K158" i="10"/>
  <c r="J158" i="10"/>
  <c r="K94" i="10"/>
  <c r="J94" i="10"/>
  <c r="J996" i="10"/>
  <c r="K996" i="10"/>
  <c r="J776" i="10"/>
  <c r="K776" i="10"/>
  <c r="J600" i="10"/>
  <c r="K600" i="10"/>
  <c r="K362" i="10"/>
  <c r="J362" i="10"/>
  <c r="J130" i="10"/>
  <c r="K130" i="10"/>
  <c r="K1051" i="10"/>
  <c r="J1051" i="10"/>
  <c r="J1008" i="10"/>
  <c r="K1008" i="10"/>
  <c r="J944" i="10"/>
  <c r="K944" i="10"/>
  <c r="J892" i="10"/>
  <c r="K892" i="10"/>
  <c r="J828" i="10"/>
  <c r="K828" i="10"/>
  <c r="K762" i="10"/>
  <c r="J762" i="10"/>
  <c r="K698" i="10"/>
  <c r="J698" i="10"/>
  <c r="K634" i="10"/>
  <c r="J634" i="10"/>
  <c r="J581" i="10"/>
  <c r="K581" i="10"/>
  <c r="J516" i="10"/>
  <c r="K516" i="10"/>
  <c r="K463" i="10"/>
  <c r="J463" i="10"/>
  <c r="K365" i="10"/>
  <c r="J365" i="10"/>
  <c r="K237" i="10"/>
  <c r="J237" i="10"/>
  <c r="K109" i="10"/>
  <c r="J109" i="10"/>
  <c r="J832" i="10"/>
  <c r="K832" i="10"/>
  <c r="J354" i="10"/>
  <c r="K354" i="10"/>
  <c r="J178" i="10"/>
  <c r="K178" i="10"/>
  <c r="K1170" i="10"/>
  <c r="J1170" i="10"/>
  <c r="J1145" i="10"/>
  <c r="K1145" i="10"/>
  <c r="K1091" i="10"/>
  <c r="J1091" i="10"/>
  <c r="K1058" i="10"/>
  <c r="J1058" i="10"/>
  <c r="J1001" i="10"/>
  <c r="K1001" i="10"/>
  <c r="K931" i="10"/>
  <c r="J931" i="10"/>
  <c r="K867" i="10"/>
  <c r="J867" i="10"/>
  <c r="J816" i="10"/>
  <c r="K816" i="10"/>
  <c r="J748" i="10"/>
  <c r="K748" i="10"/>
  <c r="J684" i="10"/>
  <c r="K684" i="10"/>
  <c r="J620" i="10"/>
  <c r="K620" i="10"/>
  <c r="J556" i="10"/>
  <c r="K556" i="10"/>
  <c r="J492" i="10"/>
  <c r="K492" i="10"/>
  <c r="J460" i="10"/>
  <c r="K460" i="10"/>
  <c r="K393" i="10"/>
  <c r="J393" i="10"/>
  <c r="K265" i="10"/>
  <c r="J265" i="10"/>
  <c r="K137" i="10"/>
  <c r="J137" i="10"/>
  <c r="J833" i="10"/>
  <c r="K833" i="10"/>
  <c r="J697" i="10"/>
  <c r="K697" i="10"/>
  <c r="K415" i="10"/>
  <c r="J415" i="10"/>
  <c r="K239" i="10"/>
  <c r="J239" i="10"/>
  <c r="K1095" i="10"/>
  <c r="J1095" i="10"/>
  <c r="K987" i="10"/>
  <c r="J987" i="10"/>
  <c r="J936" i="10"/>
  <c r="K936" i="10"/>
  <c r="J872" i="10"/>
  <c r="K872" i="10"/>
  <c r="K783" i="10"/>
  <c r="J783" i="10"/>
  <c r="K719" i="10"/>
  <c r="J719" i="10"/>
  <c r="K655" i="10"/>
  <c r="J655" i="10"/>
  <c r="K582" i="10"/>
  <c r="J582" i="10"/>
  <c r="K530" i="10"/>
  <c r="J530" i="10"/>
  <c r="K403" i="10"/>
  <c r="J403" i="10"/>
  <c r="K339" i="10"/>
  <c r="J339" i="10"/>
  <c r="K275" i="10"/>
  <c r="J275" i="10"/>
  <c r="K211" i="10"/>
  <c r="J211" i="10"/>
  <c r="K147" i="10"/>
  <c r="J147" i="10"/>
  <c r="K83" i="10"/>
  <c r="J83" i="10"/>
  <c r="J934" i="10"/>
  <c r="K934" i="10"/>
  <c r="K718" i="10"/>
  <c r="J718" i="10"/>
  <c r="J616" i="10"/>
  <c r="K616" i="10"/>
  <c r="J338" i="10"/>
  <c r="K338" i="10"/>
  <c r="J258" i="10"/>
  <c r="K258" i="10"/>
  <c r="J146" i="10"/>
  <c r="K146" i="10"/>
  <c r="J1119" i="10"/>
  <c r="K1119" i="10"/>
  <c r="J1081" i="10"/>
  <c r="K1081" i="10"/>
  <c r="K1054" i="10"/>
  <c r="J1054" i="10"/>
  <c r="J1012" i="10"/>
  <c r="K1012" i="10"/>
  <c r="J961" i="10"/>
  <c r="K961" i="10"/>
  <c r="K891" i="10"/>
  <c r="J891" i="10"/>
  <c r="K827" i="10"/>
  <c r="J827" i="10"/>
  <c r="J741" i="10"/>
  <c r="K741" i="10"/>
  <c r="J677" i="10"/>
  <c r="K677" i="10"/>
  <c r="J612" i="10"/>
  <c r="K612" i="10"/>
  <c r="J548" i="10"/>
  <c r="K548" i="10"/>
  <c r="K498" i="10"/>
  <c r="J498" i="10"/>
  <c r="K466" i="10"/>
  <c r="J466" i="10"/>
  <c r="K437" i="10"/>
  <c r="J437" i="10"/>
  <c r="K309" i="10"/>
  <c r="J309" i="10"/>
  <c r="K181" i="10"/>
  <c r="J181" i="10"/>
  <c r="J1017" i="10"/>
  <c r="K1017" i="10"/>
  <c r="J902" i="10"/>
  <c r="K902" i="10"/>
  <c r="K766" i="10"/>
  <c r="J766" i="10"/>
  <c r="J584" i="10"/>
  <c r="K584" i="10"/>
  <c r="K410" i="10"/>
  <c r="J410" i="10"/>
  <c r="K135" i="10"/>
  <c r="J135" i="10"/>
  <c r="J457" i="10"/>
  <c r="K457" i="10"/>
  <c r="J473" i="10"/>
  <c r="K473" i="10"/>
  <c r="J489" i="10"/>
  <c r="K489" i="10"/>
  <c r="J505" i="10"/>
  <c r="K505" i="10"/>
  <c r="J525" i="10"/>
  <c r="K525" i="10"/>
  <c r="J789" i="10"/>
  <c r="K789" i="10"/>
  <c r="J817" i="10"/>
  <c r="K817" i="10"/>
  <c r="J1025" i="10"/>
  <c r="K1025" i="10"/>
  <c r="J1045" i="10"/>
  <c r="K1045" i="10"/>
  <c r="J1061" i="10"/>
  <c r="K1061" i="10"/>
  <c r="J1077" i="10"/>
  <c r="K1077" i="10"/>
  <c r="J84" i="10"/>
  <c r="K84" i="10"/>
  <c r="J100" i="10"/>
  <c r="K100" i="10"/>
  <c r="J116" i="10"/>
  <c r="K116" i="10"/>
  <c r="J132" i="10"/>
  <c r="K132" i="10"/>
  <c r="J148" i="10"/>
  <c r="K148" i="10"/>
  <c r="J164" i="10"/>
  <c r="K164" i="10"/>
  <c r="J180" i="10"/>
  <c r="K180" i="10"/>
  <c r="J196" i="10"/>
  <c r="K196" i="10"/>
  <c r="J212" i="10"/>
  <c r="K212" i="10"/>
  <c r="J228" i="10"/>
  <c r="K228" i="10"/>
  <c r="J244" i="10"/>
  <c r="K244" i="10"/>
  <c r="J260" i="10"/>
  <c r="K260" i="10"/>
  <c r="J276" i="10"/>
  <c r="K276" i="10"/>
  <c r="J292" i="10"/>
  <c r="K292" i="10"/>
  <c r="J308" i="10"/>
  <c r="K308" i="10"/>
  <c r="J324" i="10"/>
  <c r="K324" i="10"/>
  <c r="J340" i="10"/>
  <c r="K340" i="10"/>
  <c r="J356" i="10"/>
  <c r="K356" i="10"/>
  <c r="J372" i="10"/>
  <c r="K372" i="10"/>
  <c r="J388" i="10"/>
  <c r="K388" i="10"/>
  <c r="J404" i="10"/>
  <c r="K404" i="10"/>
  <c r="J420" i="10"/>
  <c r="K420" i="10"/>
  <c r="J436" i="10"/>
  <c r="K436" i="10"/>
  <c r="J1116" i="10"/>
  <c r="K1116" i="10"/>
  <c r="J1131" i="10"/>
  <c r="K1131" i="10"/>
  <c r="J1147" i="10"/>
  <c r="K1147" i="10"/>
  <c r="J1163" i="10"/>
  <c r="K1163" i="10"/>
  <c r="K1138" i="10"/>
  <c r="J1138" i="10"/>
  <c r="K1006" i="10"/>
  <c r="J1006" i="10"/>
  <c r="J820" i="10"/>
  <c r="K820" i="10"/>
  <c r="K683" i="10"/>
  <c r="J683" i="10"/>
  <c r="K475" i="10"/>
  <c r="J475" i="10"/>
  <c r="K113" i="10"/>
  <c r="J113" i="10"/>
  <c r="J537" i="10"/>
  <c r="K537" i="10"/>
  <c r="J972" i="10"/>
  <c r="K972" i="10"/>
  <c r="J792" i="10"/>
  <c r="K792" i="10"/>
  <c r="K678" i="10"/>
  <c r="J678" i="10"/>
  <c r="K390" i="10"/>
  <c r="J390" i="10"/>
  <c r="K198" i="10"/>
  <c r="J198" i="10"/>
  <c r="J849" i="10"/>
  <c r="K849" i="10"/>
  <c r="J386" i="10"/>
  <c r="K386" i="10"/>
  <c r="K1059" i="10"/>
  <c r="J1059" i="10"/>
  <c r="J844" i="10"/>
  <c r="K844" i="10"/>
  <c r="J644" i="10"/>
  <c r="K644" i="10"/>
  <c r="K503" i="10"/>
  <c r="J503" i="10"/>
  <c r="K221" i="10"/>
  <c r="J221" i="10"/>
  <c r="J601" i="10"/>
  <c r="K601" i="10"/>
  <c r="K1050" i="10"/>
  <c r="J1050" i="10"/>
  <c r="J933" i="10"/>
  <c r="K933" i="10"/>
  <c r="K738" i="10"/>
  <c r="J738" i="10"/>
  <c r="J500" i="10"/>
  <c r="K500" i="10"/>
  <c r="K313" i="10"/>
  <c r="J313" i="10"/>
  <c r="K185" i="10"/>
  <c r="J185" i="10"/>
  <c r="K567" i="10"/>
  <c r="J567" i="10"/>
  <c r="K1097" i="10"/>
  <c r="J1097" i="10"/>
  <c r="K791" i="10"/>
  <c r="J791" i="10"/>
  <c r="J592" i="10"/>
  <c r="K592" i="10"/>
  <c r="K315" i="10"/>
  <c r="J315" i="10"/>
  <c r="K187" i="10"/>
  <c r="J187" i="10"/>
  <c r="K711" i="10"/>
  <c r="J711" i="10"/>
  <c r="K170" i="10"/>
  <c r="J170" i="10"/>
  <c r="K991" i="10"/>
  <c r="J991" i="10"/>
  <c r="J804" i="10"/>
  <c r="K804" i="10"/>
  <c r="K602" i="10"/>
  <c r="J602" i="10"/>
  <c r="J458" i="10"/>
  <c r="K458" i="10"/>
  <c r="K165" i="10"/>
  <c r="J165" i="10"/>
  <c r="K523" i="10"/>
  <c r="J523" i="10"/>
  <c r="J1165" i="10"/>
  <c r="K1165" i="10"/>
  <c r="J1118" i="10"/>
  <c r="K1118" i="10"/>
  <c r="J952" i="10"/>
  <c r="K952" i="10"/>
  <c r="J717" i="10"/>
  <c r="K717" i="10"/>
  <c r="J589" i="10"/>
  <c r="K589" i="10"/>
  <c r="K289" i="10"/>
  <c r="J289" i="10"/>
  <c r="J997" i="10"/>
  <c r="K997" i="10"/>
  <c r="K367" i="10"/>
  <c r="J367" i="10"/>
  <c r="J1114" i="10"/>
  <c r="K1114" i="10"/>
  <c r="J873" i="10"/>
  <c r="K873" i="10"/>
  <c r="K662" i="10"/>
  <c r="J662" i="10"/>
  <c r="J545" i="10"/>
  <c r="K545" i="10"/>
  <c r="K254" i="10"/>
  <c r="J254" i="10"/>
  <c r="K686" i="10"/>
  <c r="J686" i="10"/>
  <c r="J98" i="10"/>
  <c r="K98" i="10"/>
  <c r="J976" i="10"/>
  <c r="K976" i="10"/>
  <c r="J808" i="10"/>
  <c r="K808" i="10"/>
  <c r="K666" i="10"/>
  <c r="J666" i="10"/>
  <c r="K495" i="10"/>
  <c r="J495" i="10"/>
  <c r="K173" i="10"/>
  <c r="J173" i="10"/>
  <c r="K311" i="10"/>
  <c r="J311" i="10"/>
  <c r="J1157" i="10"/>
  <c r="K1157" i="10"/>
  <c r="K1074" i="10"/>
  <c r="J1074" i="10"/>
  <c r="J588" i="10"/>
  <c r="K588" i="10"/>
  <c r="L13" i="4"/>
  <c r="L17" i="4" s="1"/>
  <c r="K13" i="4"/>
  <c r="J17" i="4"/>
  <c r="K17" i="4" s="1"/>
  <c r="G62" i="14"/>
  <c r="K1125" i="10"/>
  <c r="J1125" i="10"/>
  <c r="K1137" i="10"/>
  <c r="J1137" i="10"/>
  <c r="J1082" i="10"/>
  <c r="K1082" i="10"/>
  <c r="J1020" i="10"/>
  <c r="K1020" i="10"/>
  <c r="J968" i="10"/>
  <c r="K968" i="10"/>
  <c r="J890" i="10"/>
  <c r="K890" i="10"/>
  <c r="J826" i="10"/>
  <c r="K826" i="10"/>
  <c r="J765" i="10"/>
  <c r="K765" i="10"/>
  <c r="J701" i="10"/>
  <c r="K701" i="10"/>
  <c r="J637" i="10"/>
  <c r="K637" i="10"/>
  <c r="J573" i="10"/>
  <c r="K573" i="10"/>
  <c r="K491" i="10"/>
  <c r="J491" i="10"/>
  <c r="K401" i="10"/>
  <c r="J401" i="10"/>
  <c r="K273" i="10"/>
  <c r="J273" i="10"/>
  <c r="K145" i="10"/>
  <c r="J145" i="10"/>
  <c r="J964" i="10"/>
  <c r="K964" i="10"/>
  <c r="K847" i="10"/>
  <c r="J847" i="10"/>
  <c r="K631" i="10"/>
  <c r="J631" i="10"/>
  <c r="K186" i="10"/>
  <c r="J186" i="10"/>
  <c r="K978" i="10"/>
  <c r="J978" i="10"/>
  <c r="K935" i="10"/>
  <c r="J935" i="10"/>
  <c r="K871" i="10"/>
  <c r="J871" i="10"/>
  <c r="J797" i="10"/>
  <c r="K797" i="10"/>
  <c r="J768" i="10"/>
  <c r="K768" i="10"/>
  <c r="J704" i="10"/>
  <c r="K704" i="10"/>
  <c r="J640" i="10"/>
  <c r="K640" i="10"/>
  <c r="K575" i="10"/>
  <c r="J575" i="10"/>
  <c r="J406" i="10"/>
  <c r="K406" i="10"/>
  <c r="J342" i="10"/>
  <c r="K342" i="10"/>
  <c r="K278" i="10"/>
  <c r="J278" i="10"/>
  <c r="K214" i="10"/>
  <c r="J214" i="10"/>
  <c r="K150" i="10"/>
  <c r="J150" i="10"/>
  <c r="J86" i="10"/>
  <c r="K86" i="10"/>
  <c r="J870" i="10"/>
  <c r="K870" i="10"/>
  <c r="K695" i="10"/>
  <c r="J695" i="10"/>
  <c r="K542" i="10"/>
  <c r="J542" i="10"/>
  <c r="K143" i="10"/>
  <c r="J143" i="10"/>
  <c r="K1075" i="10"/>
  <c r="J1075" i="10"/>
  <c r="K998" i="10"/>
  <c r="J998" i="10"/>
  <c r="K914" i="10"/>
  <c r="J914" i="10"/>
  <c r="K850" i="10"/>
  <c r="J850" i="10"/>
  <c r="J778" i="10"/>
  <c r="K778" i="10"/>
  <c r="J714" i="10"/>
  <c r="K714" i="10"/>
  <c r="J650" i="10"/>
  <c r="K650" i="10"/>
  <c r="J597" i="10"/>
  <c r="K597" i="10"/>
  <c r="K519" i="10"/>
  <c r="J519" i="10"/>
  <c r="K455" i="10"/>
  <c r="J455" i="10"/>
  <c r="K381" i="10"/>
  <c r="J381" i="10"/>
  <c r="K253" i="10"/>
  <c r="J253" i="10"/>
  <c r="K125" i="10"/>
  <c r="J125" i="10"/>
  <c r="J865" i="10"/>
  <c r="K865" i="10"/>
  <c r="K663" i="10"/>
  <c r="J663" i="10"/>
  <c r="K394" i="10"/>
  <c r="J394" i="10"/>
  <c r="K287" i="10"/>
  <c r="J287" i="10"/>
  <c r="K1146" i="10"/>
  <c r="J1146" i="10"/>
  <c r="K1136" i="10"/>
  <c r="J1136" i="10"/>
  <c r="K1109" i="10"/>
  <c r="J1109" i="10"/>
  <c r="J1056" i="10"/>
  <c r="K1056" i="10"/>
  <c r="K1019" i="10"/>
  <c r="J1019" i="10"/>
  <c r="J953" i="10"/>
  <c r="K953" i="10"/>
  <c r="K883" i="10"/>
  <c r="J883" i="10"/>
  <c r="K819" i="10"/>
  <c r="J819" i="10"/>
  <c r="J764" i="10"/>
  <c r="K764" i="10"/>
  <c r="J700" i="10"/>
  <c r="K700" i="10"/>
  <c r="J636" i="10"/>
  <c r="K636" i="10"/>
  <c r="J572" i="10"/>
  <c r="K572" i="10"/>
  <c r="K510" i="10"/>
  <c r="J510" i="10"/>
  <c r="K478" i="10"/>
  <c r="J478" i="10"/>
  <c r="K446" i="10"/>
  <c r="J446" i="10"/>
  <c r="K345" i="10"/>
  <c r="J345" i="10"/>
  <c r="K217" i="10"/>
  <c r="J217" i="10"/>
  <c r="K89" i="10"/>
  <c r="J89" i="10"/>
  <c r="J745" i="10"/>
  <c r="K745" i="10"/>
  <c r="J585" i="10"/>
  <c r="K585" i="10"/>
  <c r="J370" i="10"/>
  <c r="K370" i="10"/>
  <c r="K159" i="10"/>
  <c r="J159" i="10"/>
  <c r="K971" i="10"/>
  <c r="J971" i="10"/>
  <c r="J920" i="10"/>
  <c r="K920" i="10"/>
  <c r="J856" i="10"/>
  <c r="K856" i="10"/>
  <c r="J796" i="10"/>
  <c r="K796" i="10"/>
  <c r="K735" i="10"/>
  <c r="J735" i="10"/>
  <c r="K671" i="10"/>
  <c r="J671" i="10"/>
  <c r="J598" i="10"/>
  <c r="K598" i="10"/>
  <c r="J534" i="10"/>
  <c r="K534" i="10"/>
  <c r="K395" i="10"/>
  <c r="J395" i="10"/>
  <c r="K331" i="10"/>
  <c r="J331" i="10"/>
  <c r="K267" i="10"/>
  <c r="J267" i="10"/>
  <c r="K203" i="10"/>
  <c r="J203" i="10"/>
  <c r="K139" i="10"/>
  <c r="J139" i="10"/>
  <c r="J965" i="10"/>
  <c r="K965" i="10"/>
  <c r="K727" i="10"/>
  <c r="J727" i="10"/>
  <c r="J524" i="10"/>
  <c r="K524" i="10"/>
  <c r="K314" i="10"/>
  <c r="J314" i="10"/>
  <c r="K202" i="10"/>
  <c r="J202" i="10"/>
  <c r="J1090" i="10"/>
  <c r="K1090" i="10"/>
  <c r="J1062" i="10"/>
  <c r="K1062" i="10"/>
  <c r="K1022" i="10"/>
  <c r="J1022" i="10"/>
  <c r="J945" i="10"/>
  <c r="K945" i="10"/>
  <c r="K875" i="10"/>
  <c r="J875" i="10"/>
  <c r="J809" i="10"/>
  <c r="K809" i="10"/>
  <c r="J757" i="10"/>
  <c r="K757" i="10"/>
  <c r="J693" i="10"/>
  <c r="K693" i="10"/>
  <c r="J628" i="10"/>
  <c r="K628" i="10"/>
  <c r="J564" i="10"/>
  <c r="K564" i="10"/>
  <c r="J496" i="10"/>
  <c r="K496" i="10"/>
  <c r="J464" i="10"/>
  <c r="K464" i="10"/>
  <c r="K439" i="10"/>
  <c r="J439" i="10"/>
  <c r="K325" i="10"/>
  <c r="J325" i="10"/>
  <c r="K197" i="10"/>
  <c r="J197" i="10"/>
  <c r="K1115" i="10"/>
  <c r="J1115" i="10"/>
  <c r="J929" i="10"/>
  <c r="K929" i="10"/>
  <c r="J777" i="10"/>
  <c r="K777" i="10"/>
  <c r="K615" i="10"/>
  <c r="J615" i="10"/>
  <c r="K391" i="10"/>
  <c r="J391" i="10"/>
  <c r="K231" i="10"/>
  <c r="J231" i="10"/>
  <c r="K1171" i="10"/>
  <c r="J1171" i="10"/>
  <c r="K1128" i="10"/>
  <c r="J1128" i="10"/>
  <c r="J1121" i="10"/>
  <c r="K1121" i="10"/>
  <c r="K1023" i="10"/>
  <c r="J1023" i="10"/>
  <c r="K958" i="10"/>
  <c r="J958" i="10"/>
  <c r="J900" i="10"/>
  <c r="K900" i="10"/>
  <c r="J836" i="10"/>
  <c r="K836" i="10"/>
  <c r="K731" i="10"/>
  <c r="J731" i="10"/>
  <c r="K667" i="10"/>
  <c r="J667" i="10"/>
  <c r="K603" i="10"/>
  <c r="J603" i="10"/>
  <c r="K539" i="10"/>
  <c r="J539" i="10"/>
  <c r="K451" i="10"/>
  <c r="J451" i="10"/>
  <c r="K321" i="10"/>
  <c r="J321" i="10"/>
  <c r="K193" i="10"/>
  <c r="J193" i="10"/>
  <c r="J1016" i="10"/>
  <c r="K1016" i="10"/>
  <c r="J896" i="10"/>
  <c r="K896" i="10"/>
  <c r="K638" i="10"/>
  <c r="J638" i="10"/>
  <c r="K399" i="10"/>
  <c r="J399" i="10"/>
  <c r="K319" i="10"/>
  <c r="J319" i="10"/>
  <c r="K111" i="10"/>
  <c r="J111" i="10"/>
  <c r="J1033" i="10"/>
  <c r="K1033" i="10"/>
  <c r="K962" i="10"/>
  <c r="J962" i="10"/>
  <c r="K887" i="10"/>
  <c r="J887" i="10"/>
  <c r="K823" i="10"/>
  <c r="J823" i="10"/>
  <c r="J752" i="10"/>
  <c r="K752" i="10"/>
  <c r="J688" i="10"/>
  <c r="K688" i="10"/>
  <c r="K623" i="10"/>
  <c r="J623" i="10"/>
  <c r="K559" i="10"/>
  <c r="J559" i="10"/>
  <c r="K398" i="10"/>
  <c r="J398" i="10"/>
  <c r="K334" i="10"/>
  <c r="J334" i="10"/>
  <c r="K270" i="10"/>
  <c r="J270" i="10"/>
  <c r="K206" i="10"/>
  <c r="J206" i="10"/>
  <c r="K142" i="10"/>
  <c r="J142" i="10"/>
  <c r="K78" i="10"/>
  <c r="J78" i="10"/>
  <c r="J980" i="10"/>
  <c r="K980" i="10"/>
  <c r="K743" i="10"/>
  <c r="J743" i="10"/>
  <c r="K583" i="10"/>
  <c r="J583" i="10"/>
  <c r="K343" i="10"/>
  <c r="J343" i="10"/>
  <c r="J114" i="10"/>
  <c r="K114" i="10"/>
  <c r="J1040" i="10"/>
  <c r="K1040" i="10"/>
  <c r="J982" i="10"/>
  <c r="K982" i="10"/>
  <c r="J930" i="10"/>
  <c r="K930" i="10"/>
  <c r="J866" i="10"/>
  <c r="K866" i="10"/>
  <c r="K814" i="10"/>
  <c r="J814" i="10"/>
  <c r="J756" i="10"/>
  <c r="K756" i="10"/>
  <c r="J692" i="10"/>
  <c r="K692" i="10"/>
  <c r="K627" i="10"/>
  <c r="J627" i="10"/>
  <c r="K563" i="10"/>
  <c r="J563" i="10"/>
  <c r="K511" i="10"/>
  <c r="J511" i="10"/>
  <c r="K447" i="10"/>
  <c r="J447" i="10"/>
  <c r="K333" i="10"/>
  <c r="J333" i="10"/>
  <c r="K205" i="10"/>
  <c r="J205" i="10"/>
  <c r="K1087" i="10"/>
  <c r="J1087" i="10"/>
  <c r="K734" i="10"/>
  <c r="J734" i="10"/>
  <c r="K327" i="10"/>
  <c r="J327" i="10"/>
  <c r="K154" i="10"/>
  <c r="J154" i="10"/>
  <c r="K1164" i="10"/>
  <c r="J1164" i="10"/>
  <c r="K1162" i="10"/>
  <c r="J1162" i="10"/>
  <c r="K1124" i="10"/>
  <c r="J1124" i="10"/>
  <c r="J1080" i="10"/>
  <c r="K1080" i="10"/>
  <c r="J1048" i="10"/>
  <c r="K1048" i="10"/>
  <c r="K983" i="10"/>
  <c r="J983" i="10"/>
  <c r="J917" i="10"/>
  <c r="K917" i="10"/>
  <c r="J853" i="10"/>
  <c r="K853" i="10"/>
  <c r="K802" i="10"/>
  <c r="J802" i="10"/>
  <c r="J722" i="10"/>
  <c r="K722" i="10"/>
  <c r="J658" i="10"/>
  <c r="K658" i="10"/>
  <c r="K594" i="10"/>
  <c r="J594" i="10"/>
  <c r="J514" i="10"/>
  <c r="K514" i="10"/>
  <c r="J486" i="10"/>
  <c r="K486" i="10"/>
  <c r="J454" i="10"/>
  <c r="K454" i="10"/>
  <c r="K361" i="10"/>
  <c r="J361" i="10"/>
  <c r="K233" i="10"/>
  <c r="J233" i="10"/>
  <c r="K105" i="10"/>
  <c r="J105" i="10"/>
  <c r="K794" i="10"/>
  <c r="J794" i="10"/>
  <c r="K574" i="10"/>
  <c r="J574" i="10"/>
  <c r="K298" i="10"/>
  <c r="J298" i="10"/>
  <c r="K79" i="10"/>
  <c r="J79" i="10"/>
  <c r="J8" i="13" a="1"/>
  <c r="J8" i="13" s="1"/>
  <c r="J1032" i="10"/>
  <c r="K1032" i="10"/>
  <c r="J973" i="10"/>
  <c r="K973" i="10"/>
  <c r="K910" i="10"/>
  <c r="J910" i="10"/>
  <c r="K846" i="10"/>
  <c r="J846" i="10"/>
  <c r="J769" i="10"/>
  <c r="K769" i="10"/>
  <c r="J705" i="10"/>
  <c r="K705" i="10"/>
  <c r="J641" i="10"/>
  <c r="K641" i="10"/>
  <c r="J576" i="10"/>
  <c r="K576" i="10"/>
  <c r="J522" i="10"/>
  <c r="K522" i="10"/>
  <c r="K387" i="10"/>
  <c r="J387" i="10"/>
  <c r="K323" i="10"/>
  <c r="J323" i="10"/>
  <c r="K259" i="10"/>
  <c r="J259" i="10"/>
  <c r="K195" i="10"/>
  <c r="J195" i="10"/>
  <c r="K131" i="10"/>
  <c r="J131" i="10"/>
  <c r="K1107" i="10"/>
  <c r="J1107" i="10"/>
  <c r="J897" i="10"/>
  <c r="K897" i="10"/>
  <c r="J664" i="10"/>
  <c r="K664" i="10"/>
  <c r="J418" i="10"/>
  <c r="K418" i="10"/>
  <c r="J322" i="10"/>
  <c r="K322" i="10"/>
  <c r="J242" i="10"/>
  <c r="K242" i="10"/>
  <c r="K95" i="10"/>
  <c r="J95" i="10"/>
  <c r="K1113" i="10"/>
  <c r="J1113" i="10"/>
  <c r="J1076" i="10"/>
  <c r="K1076" i="10"/>
  <c r="J1044" i="10"/>
  <c r="K1044" i="10"/>
  <c r="K1007" i="10"/>
  <c r="J1007" i="10"/>
  <c r="K943" i="10"/>
  <c r="J943" i="10"/>
  <c r="J877" i="10"/>
  <c r="K877" i="10"/>
  <c r="K807" i="10"/>
  <c r="J807" i="10"/>
  <c r="K723" i="10"/>
  <c r="J723" i="10"/>
  <c r="K659" i="10"/>
  <c r="J659" i="10"/>
  <c r="J586" i="10"/>
  <c r="K586" i="10"/>
  <c r="J520" i="10"/>
  <c r="K520" i="10"/>
  <c r="J488" i="10"/>
  <c r="K488" i="10"/>
  <c r="J456" i="10"/>
  <c r="K456" i="10"/>
  <c r="K405" i="10"/>
  <c r="J405" i="10"/>
  <c r="K277" i="10"/>
  <c r="J277" i="10"/>
  <c r="K149" i="10"/>
  <c r="J149" i="10"/>
  <c r="K979" i="10"/>
  <c r="J979" i="10"/>
  <c r="K886" i="10"/>
  <c r="J886" i="10"/>
  <c r="J744" i="10"/>
  <c r="K744" i="10"/>
  <c r="J568" i="10"/>
  <c r="K568" i="10"/>
  <c r="J274" i="10"/>
  <c r="K274" i="10"/>
  <c r="K119" i="10"/>
  <c r="J119" i="10"/>
  <c r="J445" i="10"/>
  <c r="K445" i="10"/>
  <c r="J461" i="10"/>
  <c r="K461" i="10"/>
  <c r="J477" i="10"/>
  <c r="K477" i="10"/>
  <c r="J493" i="10"/>
  <c r="K493" i="10"/>
  <c r="J509" i="10"/>
  <c r="K509" i="10"/>
  <c r="J529" i="10"/>
  <c r="K529" i="10"/>
  <c r="J793" i="10"/>
  <c r="K793" i="10"/>
  <c r="J937" i="10"/>
  <c r="K937" i="10"/>
  <c r="J1029" i="10"/>
  <c r="K1029" i="10"/>
  <c r="J1049" i="10"/>
  <c r="K1049" i="10"/>
  <c r="J1065" i="10"/>
  <c r="K1065" i="10"/>
  <c r="J88" i="10"/>
  <c r="K88" i="10"/>
  <c r="J104" i="10"/>
  <c r="K104" i="10"/>
  <c r="J120" i="10"/>
  <c r="K120" i="10"/>
  <c r="J136" i="10"/>
  <c r="K136" i="10"/>
  <c r="J152" i="10"/>
  <c r="K152" i="10"/>
  <c r="J168" i="10"/>
  <c r="K168" i="10"/>
  <c r="J184" i="10"/>
  <c r="K184" i="10"/>
  <c r="J200" i="10"/>
  <c r="K200" i="10"/>
  <c r="J216" i="10"/>
  <c r="K216" i="10"/>
  <c r="J232" i="10"/>
  <c r="K232" i="10"/>
  <c r="J248" i="10"/>
  <c r="K248" i="10"/>
  <c r="J264" i="10"/>
  <c r="K264" i="10"/>
  <c r="J280" i="10"/>
  <c r="K280" i="10"/>
  <c r="J296" i="10"/>
  <c r="K296" i="10"/>
  <c r="J312" i="10"/>
  <c r="K312" i="10"/>
  <c r="J328" i="10"/>
  <c r="K328" i="10"/>
  <c r="J344" i="10"/>
  <c r="K344" i="10"/>
  <c r="J360" i="10"/>
  <c r="K360" i="10"/>
  <c r="J376" i="10"/>
  <c r="K376" i="10"/>
  <c r="J392" i="10"/>
  <c r="K392" i="10"/>
  <c r="J408" i="10"/>
  <c r="K408" i="10"/>
  <c r="J424" i="10"/>
  <c r="K424" i="10"/>
  <c r="J1104" i="10"/>
  <c r="K1104" i="10"/>
  <c r="J1123" i="10"/>
  <c r="K1123" i="10"/>
  <c r="J1135" i="10"/>
  <c r="K1135" i="10"/>
  <c r="J1151" i="10"/>
  <c r="K1151" i="10"/>
  <c r="J1167" i="10"/>
  <c r="K1167" i="10"/>
  <c r="Z22" i="11" l="1"/>
  <c r="Y22" i="11"/>
  <c r="U24" i="11"/>
  <c r="T24" i="11"/>
  <c r="O14" i="11"/>
  <c r="F13" i="11"/>
  <c r="G14" i="11" s="1"/>
  <c r="P14" i="11"/>
  <c r="G827" i="7"/>
  <c r="G826" i="7" s="1"/>
  <c r="G825" i="7" s="1"/>
  <c r="G824" i="7" s="1"/>
  <c r="G823" i="7" s="1"/>
  <c r="G822" i="7" s="1"/>
  <c r="G821" i="7" s="1"/>
  <c r="G820" i="7" s="1"/>
  <c r="G819" i="7" s="1"/>
  <c r="G818" i="7" s="1"/>
  <c r="G817" i="7" s="1"/>
  <c r="G816" i="7" s="1"/>
  <c r="G815" i="7" s="1"/>
  <c r="G814" i="7" s="1"/>
  <c r="G813" i="7" s="1"/>
  <c r="G812" i="7" s="1"/>
  <c r="G811" i="7" s="1"/>
  <c r="G810" i="7" s="1"/>
  <c r="G809" i="7" s="1"/>
  <c r="G808" i="7" s="1"/>
  <c r="G807" i="7" s="1"/>
  <c r="G806" i="7" s="1"/>
  <c r="G805" i="7" s="1"/>
  <c r="G804" i="7" s="1"/>
  <c r="G803" i="7" s="1"/>
  <c r="G802" i="7" s="1"/>
  <c r="G801" i="7" s="1"/>
  <c r="G800" i="7" s="1"/>
  <c r="G799" i="7" s="1"/>
  <c r="G798" i="7" s="1"/>
  <c r="G797" i="7" s="1"/>
  <c r="G796" i="7" s="1"/>
  <c r="G795" i="7" s="1"/>
  <c r="G794" i="7" s="1"/>
  <c r="G793" i="7" s="1"/>
  <c r="G792" i="7" s="1"/>
  <c r="G791" i="7" s="1"/>
  <c r="G790" i="7" s="1"/>
  <c r="G789" i="7" s="1"/>
  <c r="G788" i="7" s="1"/>
  <c r="G787" i="7" s="1"/>
  <c r="G786" i="7" s="1"/>
  <c r="G785" i="7" s="1"/>
  <c r="G784" i="7" s="1"/>
  <c r="G783" i="7" s="1"/>
  <c r="G782" i="7" s="1"/>
  <c r="G781" i="7" s="1"/>
  <c r="G780" i="7" s="1"/>
  <c r="G779" i="7" s="1"/>
  <c r="G778" i="7" s="1"/>
  <c r="G777" i="7" s="1"/>
  <c r="G776" i="7" s="1"/>
  <c r="G775" i="7" s="1"/>
  <c r="G774" i="7" s="1"/>
  <c r="G773" i="7" s="1"/>
  <c r="G772" i="7" s="1"/>
  <c r="G771" i="7" s="1"/>
  <c r="G770" i="7" s="1"/>
  <c r="G769" i="7" s="1"/>
  <c r="G768" i="7" s="1"/>
  <c r="G767" i="7" s="1"/>
  <c r="G766" i="7" s="1"/>
  <c r="G765" i="7" s="1"/>
  <c r="G764" i="7" s="1"/>
  <c r="G763" i="7" s="1"/>
  <c r="G762" i="7" s="1"/>
  <c r="G761" i="7" s="1"/>
  <c r="G760" i="7" s="1"/>
  <c r="G759" i="7" s="1"/>
  <c r="G758" i="7" s="1"/>
  <c r="G757" i="7" s="1"/>
  <c r="J9" i="10"/>
  <c r="N12" i="14"/>
  <c r="J11" i="14" a="1"/>
  <c r="J11" i="14" s="1"/>
  <c r="M16" i="14"/>
  <c r="N44" i="4"/>
  <c r="M44" i="4"/>
  <c r="J19" i="4"/>
  <c r="K9" i="10"/>
  <c r="G63" i="14"/>
  <c r="R7" i="12"/>
  <c r="Q8" i="12"/>
  <c r="J12" i="13" a="1"/>
  <c r="J12" i="13" s="1"/>
  <c r="N13" i="13"/>
  <c r="G50" i="6"/>
  <c r="F54" i="6"/>
  <c r="G54" i="6" s="1"/>
  <c r="M15" i="13"/>
  <c r="J16" i="11"/>
  <c r="K16" i="11"/>
  <c r="Y23" i="11" l="1"/>
  <c r="Z23" i="11"/>
  <c r="T25" i="11"/>
  <c r="U25" i="11"/>
  <c r="P15" i="11"/>
  <c r="F14" i="11"/>
  <c r="G15" i="11" s="1"/>
  <c r="O15" i="11"/>
  <c r="G756" i="7"/>
  <c r="G755" i="7" s="1"/>
  <c r="G754" i="7" s="1"/>
  <c r="G753" i="7" s="1"/>
  <c r="G752" i="7" s="1"/>
  <c r="G751" i="7" s="1"/>
  <c r="G750" i="7" s="1"/>
  <c r="G749" i="7" s="1"/>
  <c r="G748" i="7" s="1"/>
  <c r="G747" i="7" s="1"/>
  <c r="G746" i="7" s="1"/>
  <c r="G745" i="7" s="1"/>
  <c r="G744" i="7" s="1"/>
  <c r="G743" i="7" s="1"/>
  <c r="G742" i="7" s="1"/>
  <c r="G741" i="7" s="1"/>
  <c r="G740" i="7" s="1"/>
  <c r="G739" i="7" s="1"/>
  <c r="G738" i="7" s="1"/>
  <c r="G737" i="7" s="1"/>
  <c r="G736" i="7" s="1"/>
  <c r="G735" i="7" s="1"/>
  <c r="G734" i="7" s="1"/>
  <c r="G733" i="7" s="1"/>
  <c r="G732" i="7" s="1"/>
  <c r="G731" i="7" s="1"/>
  <c r="G730" i="7" s="1"/>
  <c r="G729" i="7" s="1"/>
  <c r="G728" i="7" s="1"/>
  <c r="G727" i="7" s="1"/>
  <c r="G726" i="7" s="1"/>
  <c r="G725" i="7" s="1"/>
  <c r="G724" i="7" s="1"/>
  <c r="G723" i="7" s="1"/>
  <c r="G722" i="7" s="1"/>
  <c r="G721" i="7" s="1"/>
  <c r="G720" i="7" s="1"/>
  <c r="G719" i="7" s="1"/>
  <c r="G718" i="7" s="1"/>
  <c r="G717" i="7" s="1"/>
  <c r="G716" i="7" s="1"/>
  <c r="G715" i="7" s="1"/>
  <c r="G714" i="7" s="1"/>
  <c r="G713" i="7" s="1"/>
  <c r="G712" i="7" s="1"/>
  <c r="G711" i="7" s="1"/>
  <c r="G710" i="7" s="1"/>
  <c r="G709" i="7" s="1"/>
  <c r="G708" i="7" s="1"/>
  <c r="G707" i="7" s="1"/>
  <c r="G706" i="7" s="1"/>
  <c r="G705" i="7" s="1"/>
  <c r="G704" i="7" s="1"/>
  <c r="G703" i="7" s="1"/>
  <c r="G702" i="7" s="1"/>
  <c r="G701" i="7" s="1"/>
  <c r="G700" i="7" s="1"/>
  <c r="G699" i="7" s="1"/>
  <c r="G698" i="7" s="1"/>
  <c r="R8" i="12"/>
  <c r="Q9" i="12"/>
  <c r="R9" i="12" s="1"/>
  <c r="M16" i="13"/>
  <c r="N24" i="4"/>
  <c r="B5" i="3"/>
  <c r="O44" i="4"/>
  <c r="M17" i="14"/>
  <c r="J12" i="14" a="1"/>
  <c r="J12" i="14" s="1"/>
  <c r="N13" i="14"/>
  <c r="G64" i="14"/>
  <c r="K17" i="11"/>
  <c r="J17" i="11"/>
  <c r="N14" i="13"/>
  <c r="J13" i="13" a="1"/>
  <c r="J13" i="13" s="1"/>
  <c r="J24" i="4"/>
  <c r="K19" i="4"/>
  <c r="Y24" i="11" l="1"/>
  <c r="Z24" i="11"/>
  <c r="T26" i="11"/>
  <c r="U26" i="11"/>
  <c r="P16" i="11"/>
  <c r="O16" i="11"/>
  <c r="F15" i="11"/>
  <c r="G16" i="11" s="1"/>
  <c r="G697" i="7"/>
  <c r="G696" i="7" s="1"/>
  <c r="G695" i="7" s="1"/>
  <c r="G694" i="7" s="1"/>
  <c r="G693" i="7" s="1"/>
  <c r="G692" i="7" s="1"/>
  <c r="G691" i="7" s="1"/>
  <c r="G690" i="7" s="1"/>
  <c r="G689" i="7" s="1"/>
  <c r="G688" i="7" s="1"/>
  <c r="G687" i="7" s="1"/>
  <c r="G686" i="7" s="1"/>
  <c r="G685" i="7" s="1"/>
  <c r="G684" i="7" s="1"/>
  <c r="G683" i="7" s="1"/>
  <c r="G682" i="7" s="1"/>
  <c r="G681" i="7" s="1"/>
  <c r="G680" i="7" s="1"/>
  <c r="G679" i="7" s="1"/>
  <c r="G678" i="7" s="1"/>
  <c r="G677" i="7" s="1"/>
  <c r="G676" i="7" s="1"/>
  <c r="G675" i="7" s="1"/>
  <c r="G674" i="7" s="1"/>
  <c r="G673" i="7" s="1"/>
  <c r="G672" i="7" s="1"/>
  <c r="G671" i="7" s="1"/>
  <c r="G670" i="7" s="1"/>
  <c r="G669" i="7" s="1"/>
  <c r="G668" i="7" s="1"/>
  <c r="G667" i="7" s="1"/>
  <c r="G666" i="7" s="1"/>
  <c r="G665" i="7" s="1"/>
  <c r="G664" i="7" s="1"/>
  <c r="G663" i="7" s="1"/>
  <c r="G662" i="7" s="1"/>
  <c r="G65" i="14"/>
  <c r="E10" i="5"/>
  <c r="E6" i="5"/>
  <c r="E4" i="5"/>
  <c r="E13" i="5"/>
  <c r="E11" i="5"/>
  <c r="E2" i="5"/>
  <c r="E8" i="5"/>
  <c r="E5" i="5"/>
  <c r="E3" i="5"/>
  <c r="E12" i="5"/>
  <c r="E9" i="5"/>
  <c r="E7" i="5"/>
  <c r="R1" i="12"/>
  <c r="B2" i="3"/>
  <c r="O18" i="3" s="1"/>
  <c r="K18" i="11"/>
  <c r="J18" i="11"/>
  <c r="L24" i="4"/>
  <c r="K24" i="4"/>
  <c r="M18" i="14"/>
  <c r="O24" i="4"/>
  <c r="F46" i="4"/>
  <c r="J14" i="13" a="1"/>
  <c r="J14" i="13" s="1"/>
  <c r="N15" i="13"/>
  <c r="N14" i="14"/>
  <c r="J13" i="14" a="1"/>
  <c r="J13" i="14" s="1"/>
  <c r="M17" i="13"/>
  <c r="Y25" i="11" l="1"/>
  <c r="Z25" i="11"/>
  <c r="T27" i="11"/>
  <c r="U27" i="11"/>
  <c r="O17" i="11"/>
  <c r="P17" i="11"/>
  <c r="F16" i="11"/>
  <c r="G17" i="11" s="1"/>
  <c r="G661" i="7"/>
  <c r="G660" i="7" s="1"/>
  <c r="G659" i="7" s="1"/>
  <c r="G658" i="7" s="1"/>
  <c r="G657" i="7" s="1"/>
  <c r="O12" i="3"/>
  <c r="I16" i="3"/>
  <c r="I5" i="3"/>
  <c r="I10" i="3"/>
  <c r="O13" i="3"/>
  <c r="C7" i="3"/>
  <c r="U5" i="3"/>
  <c r="I9" i="3"/>
  <c r="I4" i="3"/>
  <c r="O14" i="3"/>
  <c r="C6" i="3"/>
  <c r="O16" i="3"/>
  <c r="O5" i="3"/>
  <c r="O10" i="3"/>
  <c r="I30" i="3"/>
  <c r="I25" i="3"/>
  <c r="O11" i="3"/>
  <c r="I22" i="3"/>
  <c r="I24" i="3"/>
  <c r="O7" i="3"/>
  <c r="I13" i="3"/>
  <c r="I14" i="3"/>
  <c r="O4" i="3"/>
  <c r="I28" i="3"/>
  <c r="I17" i="3"/>
  <c r="I18" i="3"/>
  <c r="I26" i="3"/>
  <c r="O9" i="3"/>
  <c r="I21" i="3"/>
  <c r="I8" i="3"/>
  <c r="I6" i="3"/>
  <c r="I19" i="3"/>
  <c r="I27" i="3"/>
  <c r="I11" i="3"/>
  <c r="I23" i="3"/>
  <c r="I7" i="3"/>
  <c r="O2" i="3"/>
  <c r="I15" i="3"/>
  <c r="O17" i="3"/>
  <c r="O15" i="3"/>
  <c r="O8" i="3"/>
  <c r="I29" i="3"/>
  <c r="I12" i="3"/>
  <c r="O6" i="3"/>
  <c r="I20" i="3"/>
  <c r="I2" i="3"/>
  <c r="C4" i="3"/>
  <c r="O3" i="5"/>
  <c r="Q3" i="5" s="1"/>
  <c r="G3" i="5"/>
  <c r="H3" i="5"/>
  <c r="G11" i="5"/>
  <c r="O11" i="5"/>
  <c r="Q11" i="5" s="1"/>
  <c r="H11" i="5"/>
  <c r="O10" i="5"/>
  <c r="G10" i="5"/>
  <c r="H10" i="5"/>
  <c r="M19" i="14"/>
  <c r="O9" i="5"/>
  <c r="Q9" i="5" s="1"/>
  <c r="G9" i="5"/>
  <c r="H9" i="5"/>
  <c r="O8" i="5"/>
  <c r="Q8" i="5" s="1"/>
  <c r="G8" i="5"/>
  <c r="H8" i="5"/>
  <c r="G4" i="5"/>
  <c r="O4" i="5"/>
  <c r="Q4" i="5" s="1"/>
  <c r="H4" i="5"/>
  <c r="G66" i="14"/>
  <c r="N1" i="12"/>
  <c r="N2" i="10" s="1"/>
  <c r="N3" i="10"/>
  <c r="N6" i="10" s="1"/>
  <c r="O12" i="5"/>
  <c r="Q12" i="5" s="1"/>
  <c r="G12" i="5"/>
  <c r="H12" i="5"/>
  <c r="G2" i="5"/>
  <c r="H16" i="5"/>
  <c r="O2" i="5"/>
  <c r="H2" i="5"/>
  <c r="O6" i="5"/>
  <c r="Q6" i="5" s="1"/>
  <c r="G6" i="5"/>
  <c r="H6" i="5"/>
  <c r="M18" i="13"/>
  <c r="J14" i="14" a="1"/>
  <c r="J14" i="14" s="1"/>
  <c r="N15" i="14"/>
  <c r="J15" i="13" a="1"/>
  <c r="J15" i="13" s="1"/>
  <c r="N16" i="13"/>
  <c r="D46" i="4"/>
  <c r="T4" i="3"/>
  <c r="G46" i="4"/>
  <c r="F3" i="4"/>
  <c r="G3" i="4" s="1"/>
  <c r="E41" i="4"/>
  <c r="E39" i="4"/>
  <c r="E37" i="4"/>
  <c r="E26" i="4"/>
  <c r="E22" i="4"/>
  <c r="E21" i="4"/>
  <c r="E19" i="4"/>
  <c r="E12" i="4"/>
  <c r="E43" i="4"/>
  <c r="E17" i="4"/>
  <c r="E27" i="4"/>
  <c r="E8" i="4"/>
  <c r="E6" i="4"/>
  <c r="E42" i="4"/>
  <c r="E40" i="4"/>
  <c r="E38" i="4"/>
  <c r="E35" i="4"/>
  <c r="E31" i="4"/>
  <c r="E28" i="4"/>
  <c r="E23" i="4"/>
  <c r="E11" i="4"/>
  <c r="E9" i="4"/>
  <c r="E45" i="4"/>
  <c r="E36" i="4"/>
  <c r="E29" i="4"/>
  <c r="E20" i="4"/>
  <c r="E16" i="4"/>
  <c r="E5" i="4"/>
  <c r="E34" i="4"/>
  <c r="E10" i="4"/>
  <c r="E25" i="4"/>
  <c r="E24" i="4"/>
  <c r="E18" i="4"/>
  <c r="E14" i="4"/>
  <c r="E7" i="4"/>
  <c r="E33" i="4"/>
  <c r="E30" i="4"/>
  <c r="E15" i="4"/>
  <c r="K19" i="11"/>
  <c r="J19" i="11"/>
  <c r="C5" i="3"/>
  <c r="G7" i="5"/>
  <c r="O7" i="5"/>
  <c r="Q7" i="5" s="1"/>
  <c r="H7" i="5"/>
  <c r="O5" i="5"/>
  <c r="Q5" i="5" s="1"/>
  <c r="G5" i="5"/>
  <c r="H5" i="5"/>
  <c r="O13" i="5"/>
  <c r="Q13" i="5" s="1"/>
  <c r="G13" i="5"/>
  <c r="H13" i="5"/>
  <c r="Z26" i="11" l="1"/>
  <c r="Y26" i="11"/>
  <c r="U28" i="11"/>
  <c r="T28" i="11"/>
  <c r="G16" i="5"/>
  <c r="Q10" i="5"/>
  <c r="R16" i="5"/>
  <c r="O18" i="11"/>
  <c r="P18" i="11"/>
  <c r="F17" i="11"/>
  <c r="G18" i="11" s="1"/>
  <c r="G656" i="7"/>
  <c r="G655" i="7" s="1"/>
  <c r="G654" i="7" s="1"/>
  <c r="G653" i="7" s="1"/>
  <c r="G652" i="7" s="1"/>
  <c r="G651" i="7" s="1"/>
  <c r="G650" i="7" s="1"/>
  <c r="G649" i="7" s="1"/>
  <c r="G648" i="7" s="1"/>
  <c r="G647" i="7" s="1"/>
  <c r="G646" i="7" s="1"/>
  <c r="G645" i="7" s="1"/>
  <c r="G644" i="7" s="1"/>
  <c r="G643" i="7" s="1"/>
  <c r="G642" i="7" s="1"/>
  <c r="G641" i="7" s="1"/>
  <c r="G640" i="7" s="1"/>
  <c r="G639" i="7" s="1"/>
  <c r="G638" i="7" s="1"/>
  <c r="G637" i="7" s="1"/>
  <c r="G636" i="7" s="1"/>
  <c r="G635" i="7" s="1"/>
  <c r="G634" i="7" s="1"/>
  <c r="G633" i="7" s="1"/>
  <c r="G632" i="7" s="1"/>
  <c r="G631" i="7" s="1"/>
  <c r="G630" i="7" s="1"/>
  <c r="G629" i="7" s="1"/>
  <c r="G628" i="7" s="1"/>
  <c r="G627" i="7" s="1"/>
  <c r="G626" i="7" s="1"/>
  <c r="G625" i="7" s="1"/>
  <c r="G624" i="7" s="1"/>
  <c r="G623" i="7" s="1"/>
  <c r="G622" i="7" s="1"/>
  <c r="G621" i="7" s="1"/>
  <c r="G620" i="7" s="1"/>
  <c r="G619" i="7" s="1"/>
  <c r="G618" i="7" s="1"/>
  <c r="G617" i="7" s="1"/>
  <c r="G616" i="7" s="1"/>
  <c r="G615" i="7" s="1"/>
  <c r="G614" i="7" s="1"/>
  <c r="G613" i="7" s="1"/>
  <c r="G612" i="7" s="1"/>
  <c r="G611" i="7" s="1"/>
  <c r="G610" i="7" s="1"/>
  <c r="G609" i="7" s="1"/>
  <c r="G608" i="7" s="1"/>
  <c r="G607" i="7" s="1"/>
  <c r="G606" i="7" s="1"/>
  <c r="G605" i="7" s="1"/>
  <c r="G604" i="7" s="1"/>
  <c r="G603" i="7" s="1"/>
  <c r="G602" i="7" s="1"/>
  <c r="G601" i="7" s="1"/>
  <c r="G600" i="7" s="1"/>
  <c r="G599" i="7" s="1"/>
  <c r="G598" i="7" s="1"/>
  <c r="G597" i="7" s="1"/>
  <c r="G596" i="7" s="1"/>
  <c r="G595" i="7" s="1"/>
  <c r="G594" i="7" s="1"/>
  <c r="G593" i="7" s="1"/>
  <c r="G592" i="7" s="1"/>
  <c r="G591" i="7" s="1"/>
  <c r="G590" i="7" s="1"/>
  <c r="G589" i="7" s="1"/>
  <c r="G588" i="7" s="1"/>
  <c r="G587" i="7" s="1"/>
  <c r="G586" i="7" s="1"/>
  <c r="G585" i="7" s="1"/>
  <c r="G584" i="7" s="1"/>
  <c r="G583" i="7" s="1"/>
  <c r="G582" i="7" s="1"/>
  <c r="G581" i="7" s="1"/>
  <c r="M19" i="13"/>
  <c r="M20" i="14"/>
  <c r="J20" i="11"/>
  <c r="K20" i="11"/>
  <c r="N16" i="14"/>
  <c r="J15" i="14" a="1"/>
  <c r="J15" i="14" s="1"/>
  <c r="N7" i="10"/>
  <c r="O7" i="10" s="1"/>
  <c r="O6" i="10"/>
  <c r="J16" i="13" a="1"/>
  <c r="J16" i="13" s="1"/>
  <c r="N17" i="13"/>
  <c r="U4" i="3"/>
  <c r="T2" i="3"/>
  <c r="U2" i="3" s="1"/>
  <c r="G67" i="14"/>
  <c r="G68" i="14" s="1"/>
  <c r="G69" i="14" s="1"/>
  <c r="G70" i="14" s="1"/>
  <c r="G71" i="14" s="1"/>
  <c r="G72" i="14" s="1"/>
  <c r="G73" i="14" s="1"/>
  <c r="G74" i="14" s="1"/>
  <c r="G75" i="14" s="1"/>
  <c r="G76" i="14" s="1"/>
  <c r="G77" i="14" s="1"/>
  <c r="G78" i="14" s="1"/>
  <c r="G79" i="14" s="1"/>
  <c r="G80" i="14" s="1"/>
  <c r="G81" i="14" s="1"/>
  <c r="G82" i="14" s="1"/>
  <c r="G83" i="14" s="1"/>
  <c r="G84" i="14" s="1"/>
  <c r="G85" i="14" s="1"/>
  <c r="G86" i="14" s="1"/>
  <c r="G87" i="14" s="1"/>
  <c r="G88" i="14" s="1"/>
  <c r="G89" i="14" s="1"/>
  <c r="G90" i="14" s="1"/>
  <c r="G91" i="14" s="1"/>
  <c r="G92" i="14" s="1"/>
  <c r="G93" i="14" s="1"/>
  <c r="G94" i="14" s="1"/>
  <c r="G95" i="14" s="1"/>
  <c r="G96" i="14" s="1"/>
  <c r="G97" i="14" s="1"/>
  <c r="G98" i="14" s="1"/>
  <c r="G99" i="14" s="1"/>
  <c r="G100" i="14" s="1"/>
  <c r="G101" i="14" s="1"/>
  <c r="G102" i="14" s="1"/>
  <c r="G103" i="14" s="1"/>
  <c r="G104" i="14" s="1"/>
  <c r="G105" i="14" s="1"/>
  <c r="G106" i="14" s="1"/>
  <c r="G107" i="14" s="1"/>
  <c r="G108" i="14" s="1"/>
  <c r="G109" i="14" s="1"/>
  <c r="G110" i="14" s="1"/>
  <c r="G111" i="14" s="1"/>
  <c r="G112" i="14" s="1"/>
  <c r="G113" i="14" s="1"/>
  <c r="G114" i="14" s="1"/>
  <c r="G115" i="14" s="1"/>
  <c r="G116" i="14" s="1"/>
  <c r="G117" i="14" s="1"/>
  <c r="G118" i="14" s="1"/>
  <c r="G119" i="14" s="1"/>
  <c r="G120" i="14" s="1"/>
  <c r="G121" i="14" s="1"/>
  <c r="G122" i="14" s="1"/>
  <c r="G123" i="14" s="1"/>
  <c r="G124" i="14" s="1"/>
  <c r="G125" i="14" s="1"/>
  <c r="G126" i="14" s="1"/>
  <c r="G127" i="14" s="1"/>
  <c r="G128" i="14" s="1"/>
  <c r="G129" i="14" s="1"/>
  <c r="G130" i="14" s="1"/>
  <c r="G131" i="14" s="1"/>
  <c r="G132" i="14" s="1"/>
  <c r="G133" i="14" s="1"/>
  <c r="G134" i="14" s="1"/>
  <c r="G135" i="14" s="1"/>
  <c r="G136" i="14" s="1"/>
  <c r="G137" i="14" s="1"/>
  <c r="G138" i="14" s="1"/>
  <c r="G139" i="14" s="1"/>
  <c r="G140" i="14" s="1"/>
  <c r="G141" i="14" s="1"/>
  <c r="G142" i="14" s="1"/>
  <c r="G143" i="14" s="1"/>
  <c r="G144" i="14" s="1"/>
  <c r="G145" i="14" s="1"/>
  <c r="G146" i="14" s="1"/>
  <c r="G147" i="14" s="1"/>
  <c r="G148" i="14" s="1"/>
  <c r="G149" i="14" s="1"/>
  <c r="G150" i="14" s="1"/>
  <c r="G151" i="14" s="1"/>
  <c r="G152" i="14" s="1"/>
  <c r="G153" i="14" s="1"/>
  <c r="G154" i="14" s="1"/>
  <c r="G155" i="14" s="1"/>
  <c r="G156" i="14" s="1"/>
  <c r="G157" i="14" s="1"/>
  <c r="G158" i="14" s="1"/>
  <c r="G159" i="14" s="1"/>
  <c r="G160" i="14" s="1"/>
  <c r="G161" i="14" s="1"/>
  <c r="G162" i="14" s="1"/>
  <c r="G163" i="14" s="1"/>
  <c r="G164" i="14" s="1"/>
  <c r="G165" i="14" s="1"/>
  <c r="G166" i="14" s="1"/>
  <c r="G167" i="14" s="1"/>
  <c r="G168" i="14" s="1"/>
  <c r="G169" i="14" s="1"/>
  <c r="G170" i="14" s="1"/>
  <c r="G171" i="14" s="1"/>
  <c r="G172" i="14" s="1"/>
  <c r="G173" i="14" s="1"/>
  <c r="G174" i="14" s="1"/>
  <c r="G175" i="14" s="1"/>
  <c r="G176" i="14" s="1"/>
  <c r="G177" i="14" s="1"/>
  <c r="G178" i="14" s="1"/>
  <c r="G179" i="14" s="1"/>
  <c r="G180" i="14" s="1"/>
  <c r="G181" i="14" s="1"/>
  <c r="G182" i="14" s="1"/>
  <c r="G183" i="14" s="1"/>
  <c r="G184" i="14" s="1"/>
  <c r="G185" i="14" s="1"/>
  <c r="G186" i="14" s="1"/>
  <c r="G187" i="14" s="1"/>
  <c r="G188" i="14" s="1"/>
  <c r="G189" i="14" s="1"/>
  <c r="G190" i="14" s="1"/>
  <c r="G191" i="14" s="1"/>
  <c r="G192" i="14" s="1"/>
  <c r="G193" i="14" s="1"/>
  <c r="G194" i="14" s="1"/>
  <c r="G195" i="14" s="1"/>
  <c r="G196" i="14" s="1"/>
  <c r="G197" i="14" s="1"/>
  <c r="G198" i="14" s="1"/>
  <c r="G199" i="14" s="1"/>
  <c r="G200" i="14" s="1"/>
  <c r="G201" i="14" s="1"/>
  <c r="G202" i="14" s="1"/>
  <c r="G203" i="14" s="1"/>
  <c r="G204" i="14" s="1"/>
  <c r="G205" i="14" s="1"/>
  <c r="G206" i="14" s="1"/>
  <c r="G207" i="14" s="1"/>
  <c r="G208" i="14" s="1"/>
  <c r="G209" i="14" s="1"/>
  <c r="G210" i="14" s="1"/>
  <c r="G211" i="14" s="1"/>
  <c r="G212" i="14" s="1"/>
  <c r="G213" i="14" s="1"/>
  <c r="G214" i="14" s="1"/>
  <c r="G215" i="14" s="1"/>
  <c r="G216" i="14" s="1"/>
  <c r="G217" i="14" s="1"/>
  <c r="G218" i="14" s="1"/>
  <c r="G219" i="14" s="1"/>
  <c r="G220" i="14" s="1"/>
  <c r="G221" i="14" s="1"/>
  <c r="G222" i="14" s="1"/>
  <c r="G223" i="14" s="1"/>
  <c r="G224" i="14" s="1"/>
  <c r="G225" i="14" s="1"/>
  <c r="G226" i="14" s="1"/>
  <c r="G227" i="14" s="1"/>
  <c r="G228" i="14" s="1"/>
  <c r="G229" i="14" s="1"/>
  <c r="G230" i="14" s="1"/>
  <c r="G231" i="14" s="1"/>
  <c r="G232" i="14" s="1"/>
  <c r="G233" i="14" s="1"/>
  <c r="G234" i="14" s="1"/>
  <c r="G235" i="14" s="1"/>
  <c r="G236" i="14" s="1"/>
  <c r="G237" i="14" s="1"/>
  <c r="G238" i="14" s="1"/>
  <c r="G239" i="14" s="1"/>
  <c r="G240" i="14" s="1"/>
  <c r="G241" i="14" s="1"/>
  <c r="G242" i="14" s="1"/>
  <c r="G243" i="14" s="1"/>
  <c r="G244" i="14" s="1"/>
  <c r="G245" i="14" s="1"/>
  <c r="G246" i="14" s="1"/>
  <c r="G247" i="14" s="1"/>
  <c r="G248" i="14" s="1"/>
  <c r="G249" i="14" s="1"/>
  <c r="G250" i="14" s="1"/>
  <c r="G251" i="14" s="1"/>
  <c r="G252" i="14" s="1"/>
  <c r="G253" i="14" s="1"/>
  <c r="G254" i="14" s="1"/>
  <c r="G255" i="14" s="1"/>
  <c r="G256" i="14" s="1"/>
  <c r="G257" i="14" s="1"/>
  <c r="G258" i="14" s="1"/>
  <c r="G259" i="14" s="1"/>
  <c r="G260" i="14" s="1"/>
  <c r="G261" i="14" s="1"/>
  <c r="G262" i="14" s="1"/>
  <c r="G263" i="14" s="1"/>
  <c r="G264" i="14" s="1"/>
  <c r="G265" i="14" s="1"/>
  <c r="G266" i="14" s="1"/>
  <c r="G267" i="14" s="1"/>
  <c r="G268" i="14" s="1"/>
  <c r="G269" i="14" s="1"/>
  <c r="G270" i="14" s="1"/>
  <c r="G271" i="14" s="1"/>
  <c r="G272" i="14" s="1"/>
  <c r="G273" i="14" s="1"/>
  <c r="G274" i="14" s="1"/>
  <c r="G275" i="14" s="1"/>
  <c r="G276" i="14" s="1"/>
  <c r="G277" i="14" s="1"/>
  <c r="G278" i="14" s="1"/>
  <c r="G279" i="14" s="1"/>
  <c r="G280" i="14" s="1"/>
  <c r="G281" i="14" s="1"/>
  <c r="G282" i="14" s="1"/>
  <c r="G283" i="14" s="1"/>
  <c r="G284" i="14" s="1"/>
  <c r="G285" i="14" s="1"/>
  <c r="G286" i="14" s="1"/>
  <c r="G287" i="14" s="1"/>
  <c r="G288" i="14" s="1"/>
  <c r="G289" i="14" s="1"/>
  <c r="G290" i="14" s="1"/>
  <c r="G291" i="14" s="1"/>
  <c r="G292" i="14" s="1"/>
  <c r="G293" i="14" s="1"/>
  <c r="G294" i="14" s="1"/>
  <c r="G295" i="14" s="1"/>
  <c r="G296" i="14" s="1"/>
  <c r="G297" i="14" s="1"/>
  <c r="G298" i="14" s="1"/>
  <c r="G299" i="14" s="1"/>
  <c r="G300" i="14" s="1"/>
  <c r="G301" i="14" s="1"/>
  <c r="G302" i="14" s="1"/>
  <c r="G303" i="14" s="1"/>
  <c r="G304" i="14" s="1"/>
  <c r="G305" i="14" s="1"/>
  <c r="G306" i="14" s="1"/>
  <c r="G307" i="14" s="1"/>
  <c r="G308" i="14" s="1"/>
  <c r="G309" i="14" s="1"/>
  <c r="G310" i="14" s="1"/>
  <c r="G311" i="14" s="1"/>
  <c r="G312" i="14" s="1"/>
  <c r="G313" i="14" s="1"/>
  <c r="G314" i="14" s="1"/>
  <c r="G315" i="14" s="1"/>
  <c r="G316" i="14" s="1"/>
  <c r="G317" i="14" s="1"/>
  <c r="G318" i="14" s="1"/>
  <c r="G319" i="14" s="1"/>
  <c r="G320" i="14" s="1"/>
  <c r="G321" i="14" s="1"/>
  <c r="G322" i="14" s="1"/>
  <c r="G323" i="14" s="1"/>
  <c r="G324" i="14" s="1"/>
  <c r="G325" i="14" s="1"/>
  <c r="G326" i="14" s="1"/>
  <c r="G327" i="14" s="1"/>
  <c r="G328" i="14" s="1"/>
  <c r="G329" i="14" s="1"/>
  <c r="G330" i="14" s="1"/>
  <c r="G331" i="14" s="1"/>
  <c r="G332" i="14" s="1"/>
  <c r="G333" i="14" s="1"/>
  <c r="G334" i="14" s="1"/>
  <c r="G335" i="14" s="1"/>
  <c r="G336" i="14" s="1"/>
  <c r="G337" i="14" s="1"/>
  <c r="G338" i="14" s="1"/>
  <c r="G339" i="14" s="1"/>
  <c r="G340" i="14" s="1"/>
  <c r="G341" i="14" s="1"/>
  <c r="G342" i="14" s="1"/>
  <c r="G343" i="14" s="1"/>
  <c r="G344" i="14" s="1"/>
  <c r="G345" i="14" s="1"/>
  <c r="G346" i="14" s="1"/>
  <c r="G347" i="14" s="1"/>
  <c r="G348" i="14" s="1"/>
  <c r="G349" i="14" s="1"/>
  <c r="G350" i="14" s="1"/>
  <c r="G351" i="14" s="1"/>
  <c r="G352" i="14" s="1"/>
  <c r="G353" i="14" s="1"/>
  <c r="G354" i="14" s="1"/>
  <c r="G355" i="14" s="1"/>
  <c r="G356" i="14" s="1"/>
  <c r="G357" i="14" s="1"/>
  <c r="G358" i="14" s="1"/>
  <c r="G359" i="14" s="1"/>
  <c r="G360" i="14" s="1"/>
  <c r="G361" i="14" s="1"/>
  <c r="G362" i="14" s="1"/>
  <c r="G363" i="14" s="1"/>
  <c r="G364" i="14" s="1"/>
  <c r="G365" i="14" s="1"/>
  <c r="G366" i="14" s="1"/>
  <c r="G367" i="14" s="1"/>
  <c r="G368" i="14" s="1"/>
  <c r="G369" i="14" s="1"/>
  <c r="G370" i="14" s="1"/>
  <c r="G371" i="14" s="1"/>
  <c r="G372" i="14" s="1"/>
  <c r="G373" i="14" s="1"/>
  <c r="G374" i="14" s="1"/>
  <c r="G375" i="14" s="1"/>
  <c r="G376" i="14" s="1"/>
  <c r="G377" i="14" s="1"/>
  <c r="G378" i="14" s="1"/>
  <c r="G379" i="14" s="1"/>
  <c r="G380" i="14" s="1"/>
  <c r="G381" i="14" s="1"/>
  <c r="G382" i="14" s="1"/>
  <c r="G383" i="14" s="1"/>
  <c r="G384" i="14" s="1"/>
  <c r="G385" i="14" s="1"/>
  <c r="G386" i="14" s="1"/>
  <c r="G387" i="14" s="1"/>
  <c r="G388" i="14" s="1"/>
  <c r="G389" i="14" s="1"/>
  <c r="G390" i="14" s="1"/>
  <c r="G391" i="14" s="1"/>
  <c r="G392" i="14" s="1"/>
  <c r="G393" i="14" s="1"/>
  <c r="G394" i="14" s="1"/>
  <c r="G395" i="14" s="1"/>
  <c r="G396" i="14" s="1"/>
  <c r="G397" i="14" s="1"/>
  <c r="G398" i="14" s="1"/>
  <c r="G399" i="14" s="1"/>
  <c r="G400" i="14" s="1"/>
  <c r="G401" i="14" s="1"/>
  <c r="G402" i="14" s="1"/>
  <c r="G403" i="14" s="1"/>
  <c r="G404" i="14" s="1"/>
  <c r="G405" i="14" s="1"/>
  <c r="G406" i="14" s="1"/>
  <c r="G407" i="14" s="1"/>
  <c r="G408" i="14" s="1"/>
  <c r="G409" i="14" s="1"/>
  <c r="G410" i="14" s="1"/>
  <c r="G411" i="14" s="1"/>
  <c r="G412" i="14" s="1"/>
  <c r="G413" i="14" s="1"/>
  <c r="G414" i="14" s="1"/>
  <c r="G415" i="14" s="1"/>
  <c r="G416" i="14" s="1"/>
  <c r="G417" i="14" s="1"/>
  <c r="G418" i="14" s="1"/>
  <c r="G419" i="14" s="1"/>
  <c r="G420" i="14" s="1"/>
  <c r="G421" i="14" s="1"/>
  <c r="G422" i="14" s="1"/>
  <c r="G423" i="14" s="1"/>
  <c r="G424" i="14" s="1"/>
  <c r="G425" i="14" s="1"/>
  <c r="G426" i="14" s="1"/>
  <c r="G427" i="14" s="1"/>
  <c r="G428" i="14" s="1"/>
  <c r="G429" i="14" s="1"/>
  <c r="G430" i="14" s="1"/>
  <c r="G431" i="14" s="1"/>
  <c r="G432" i="14" s="1"/>
  <c r="G433" i="14" s="1"/>
  <c r="G434" i="14" s="1"/>
  <c r="G435" i="14" s="1"/>
  <c r="G436" i="14" s="1"/>
  <c r="G437" i="14" s="1"/>
  <c r="G438" i="14" s="1"/>
  <c r="G439" i="14" s="1"/>
  <c r="G440" i="14" s="1"/>
  <c r="G441" i="14" s="1"/>
  <c r="G442" i="14" s="1"/>
  <c r="G443" i="14" s="1"/>
  <c r="G444" i="14" s="1"/>
  <c r="G445" i="14" s="1"/>
  <c r="G446" i="14" s="1"/>
  <c r="G447" i="14" s="1"/>
  <c r="G448" i="14" s="1"/>
  <c r="G449" i="14" s="1"/>
  <c r="G450" i="14" s="1"/>
  <c r="G451" i="14" s="1"/>
  <c r="G452" i="14" s="1"/>
  <c r="G453" i="14" s="1"/>
  <c r="G454" i="14" s="1"/>
  <c r="G455" i="14" s="1"/>
  <c r="G456" i="14" s="1"/>
  <c r="G457" i="14" s="1"/>
  <c r="G458" i="14" s="1"/>
  <c r="G459" i="14" s="1"/>
  <c r="G460" i="14" s="1"/>
  <c r="G461" i="14" s="1"/>
  <c r="G462" i="14" s="1"/>
  <c r="G463" i="14" s="1"/>
  <c r="G464" i="14" s="1"/>
  <c r="G465" i="14" s="1"/>
  <c r="G466" i="14" s="1"/>
  <c r="G467" i="14" s="1"/>
  <c r="G468" i="14" s="1"/>
  <c r="G469" i="14" s="1"/>
  <c r="G470" i="14" s="1"/>
  <c r="G471" i="14" s="1"/>
  <c r="G472" i="14" s="1"/>
  <c r="G473" i="14" s="1"/>
  <c r="G474" i="14" s="1"/>
  <c r="G475" i="14" s="1"/>
  <c r="G476" i="14" s="1"/>
  <c r="G477" i="14" s="1"/>
  <c r="G478" i="14" s="1"/>
  <c r="G479" i="14" s="1"/>
  <c r="G480" i="14" s="1"/>
  <c r="G481" i="14" s="1"/>
  <c r="G482" i="14" s="1"/>
  <c r="G483" i="14" s="1"/>
  <c r="G484" i="14" s="1"/>
  <c r="G485" i="14" s="1"/>
  <c r="G486" i="14" s="1"/>
  <c r="G487" i="14" s="1"/>
  <c r="G488" i="14" s="1"/>
  <c r="G489" i="14" s="1"/>
  <c r="G490" i="14" s="1"/>
  <c r="G491" i="14" s="1"/>
  <c r="G492" i="14" s="1"/>
  <c r="G493" i="14" s="1"/>
  <c r="G494" i="14" s="1"/>
  <c r="G495" i="14" s="1"/>
  <c r="G496" i="14" s="1"/>
  <c r="G497" i="14" s="1"/>
  <c r="G498" i="14" s="1"/>
  <c r="G499" i="14" s="1"/>
  <c r="G500" i="14" s="1"/>
  <c r="G501" i="14" s="1"/>
  <c r="G502" i="14" s="1"/>
  <c r="G503" i="14" s="1"/>
  <c r="G504" i="14" s="1"/>
  <c r="G505" i="14" s="1"/>
  <c r="G506" i="14" s="1"/>
  <c r="G507" i="14" s="1"/>
  <c r="G508" i="14" s="1"/>
  <c r="G509" i="14" s="1"/>
  <c r="G510" i="14" s="1"/>
  <c r="G511" i="14" s="1"/>
  <c r="G512" i="14" s="1"/>
  <c r="G513" i="14" s="1"/>
  <c r="G514" i="14" s="1"/>
  <c r="G515" i="14" s="1"/>
  <c r="G516" i="14" s="1"/>
  <c r="G517" i="14" s="1"/>
  <c r="G518" i="14" s="1"/>
  <c r="G519" i="14" s="1"/>
  <c r="G520" i="14" s="1"/>
  <c r="G521" i="14" s="1"/>
  <c r="G522" i="14" s="1"/>
  <c r="G523" i="14" s="1"/>
  <c r="G524" i="14" s="1"/>
  <c r="G525" i="14" s="1"/>
  <c r="G526" i="14" s="1"/>
  <c r="G527" i="14" s="1"/>
  <c r="G528" i="14" s="1"/>
  <c r="G529" i="14" s="1"/>
  <c r="G530" i="14" s="1"/>
  <c r="G531" i="14" s="1"/>
  <c r="G532" i="14" s="1"/>
  <c r="G533" i="14" s="1"/>
  <c r="G534" i="14" s="1"/>
  <c r="G535" i="14" s="1"/>
  <c r="G536" i="14" s="1"/>
  <c r="G537" i="14" s="1"/>
  <c r="G538" i="14" s="1"/>
  <c r="G539" i="14" s="1"/>
  <c r="G540" i="14" s="1"/>
  <c r="G541" i="14" s="1"/>
  <c r="G542" i="14" s="1"/>
  <c r="G543" i="14" s="1"/>
  <c r="G544" i="14" s="1"/>
  <c r="G545" i="14" s="1"/>
  <c r="G546" i="14" s="1"/>
  <c r="G547" i="14" s="1"/>
  <c r="G548" i="14" s="1"/>
  <c r="G549" i="14" s="1"/>
  <c r="G550" i="14" s="1"/>
  <c r="G551" i="14" s="1"/>
  <c r="G552" i="14" s="1"/>
  <c r="G553" i="14" s="1"/>
  <c r="G554" i="14" s="1"/>
  <c r="G555" i="14" s="1"/>
  <c r="G556" i="14" s="1"/>
  <c r="G557" i="14" s="1"/>
  <c r="G558" i="14" s="1"/>
  <c r="G559" i="14" s="1"/>
  <c r="G560" i="14" s="1"/>
  <c r="G561" i="14" s="1"/>
  <c r="G562" i="14" s="1"/>
  <c r="G563" i="14" s="1"/>
  <c r="G564" i="14" s="1"/>
  <c r="G565" i="14" s="1"/>
  <c r="G566" i="14" s="1"/>
  <c r="G567" i="14" s="1"/>
  <c r="G568" i="14" s="1"/>
  <c r="G569" i="14" s="1"/>
  <c r="G570" i="14" s="1"/>
  <c r="G571" i="14" s="1"/>
  <c r="G572" i="14" s="1"/>
  <c r="G573" i="14" s="1"/>
  <c r="G574" i="14" s="1"/>
  <c r="G575" i="14" s="1"/>
  <c r="G576" i="14" s="1"/>
  <c r="G577" i="14" s="1"/>
  <c r="G578" i="14" s="1"/>
  <c r="G579" i="14" s="1"/>
  <c r="G580" i="14" s="1"/>
  <c r="G581" i="14" s="1"/>
  <c r="G582" i="14" s="1"/>
  <c r="G583" i="14" s="1"/>
  <c r="G584" i="14" s="1"/>
  <c r="G585" i="14" s="1"/>
  <c r="G586" i="14" s="1"/>
  <c r="G587" i="14" s="1"/>
  <c r="G588" i="14" s="1"/>
  <c r="G589" i="14" s="1"/>
  <c r="G590" i="14" s="1"/>
  <c r="G591" i="14" s="1"/>
  <c r="G592" i="14" s="1"/>
  <c r="G593" i="14" s="1"/>
  <c r="G594" i="14" s="1"/>
  <c r="G595" i="14" s="1"/>
  <c r="G596" i="14" s="1"/>
  <c r="G597" i="14" s="1"/>
  <c r="G598" i="14" s="1"/>
  <c r="G599" i="14" s="1"/>
  <c r="G600" i="14" s="1"/>
  <c r="G601" i="14" s="1"/>
  <c r="G602" i="14" s="1"/>
  <c r="G603" i="14" s="1"/>
  <c r="G604" i="14" s="1"/>
  <c r="G605" i="14" s="1"/>
  <c r="G606" i="14" s="1"/>
  <c r="G607" i="14" s="1"/>
  <c r="G608" i="14" s="1"/>
  <c r="G609" i="14" s="1"/>
  <c r="G610" i="14" s="1"/>
  <c r="G611" i="14" s="1"/>
  <c r="G612" i="14" s="1"/>
  <c r="G613" i="14" s="1"/>
  <c r="G614" i="14" s="1"/>
  <c r="G615" i="14" s="1"/>
  <c r="G616" i="14" s="1"/>
  <c r="G617" i="14" s="1"/>
  <c r="G618" i="14" s="1"/>
  <c r="G619" i="14" s="1"/>
  <c r="G620" i="14" s="1"/>
  <c r="G621" i="14" s="1"/>
  <c r="G622" i="14" s="1"/>
  <c r="G623" i="14" s="1"/>
  <c r="G624" i="14" s="1"/>
  <c r="G625" i="14" s="1"/>
  <c r="G626" i="14" s="1"/>
  <c r="G627" i="14" s="1"/>
  <c r="G628" i="14" s="1"/>
  <c r="G629" i="14" s="1"/>
  <c r="G630" i="14" s="1"/>
  <c r="G631" i="14" s="1"/>
  <c r="G632" i="14" s="1"/>
  <c r="G633" i="14" s="1"/>
  <c r="G634" i="14" s="1"/>
  <c r="G635" i="14" s="1"/>
  <c r="G636" i="14" s="1"/>
  <c r="G637" i="14" s="1"/>
  <c r="G638" i="14" s="1"/>
  <c r="G639" i="14" s="1"/>
  <c r="G640" i="14" s="1"/>
  <c r="G641" i="14" s="1"/>
  <c r="G642" i="14" s="1"/>
  <c r="G643" i="14" s="1"/>
  <c r="G644" i="14" s="1"/>
  <c r="G645" i="14" s="1"/>
  <c r="G646" i="14" s="1"/>
  <c r="G647" i="14" s="1"/>
  <c r="G648" i="14" s="1"/>
  <c r="G649" i="14" s="1"/>
  <c r="G650" i="14" s="1"/>
  <c r="G651" i="14" s="1"/>
  <c r="G652" i="14" s="1"/>
  <c r="G653" i="14" s="1"/>
  <c r="G654" i="14" s="1"/>
  <c r="G655" i="14" s="1"/>
  <c r="G656" i="14" s="1"/>
  <c r="G657" i="14" s="1"/>
  <c r="G658" i="14" s="1"/>
  <c r="G659" i="14" s="1"/>
  <c r="G660" i="14" s="1"/>
  <c r="G661" i="14" s="1"/>
  <c r="G662" i="14" s="1"/>
  <c r="G663" i="14" s="1"/>
  <c r="G664" i="14" s="1"/>
  <c r="G665" i="14" s="1"/>
  <c r="G666" i="14" s="1"/>
  <c r="G667" i="14" s="1"/>
  <c r="G668" i="14" s="1"/>
  <c r="G669" i="14" s="1"/>
  <c r="G670" i="14" s="1"/>
  <c r="G671" i="14" s="1"/>
  <c r="G672" i="14" s="1"/>
  <c r="G673" i="14" s="1"/>
  <c r="G674" i="14" s="1"/>
  <c r="G675" i="14" s="1"/>
  <c r="G676" i="14" s="1"/>
  <c r="G677" i="14" s="1"/>
  <c r="G678" i="14" s="1"/>
  <c r="G679" i="14" s="1"/>
  <c r="G680" i="14" s="1"/>
  <c r="G681" i="14" s="1"/>
  <c r="G682" i="14" s="1"/>
  <c r="G683" i="14" s="1"/>
  <c r="G684" i="14" s="1"/>
  <c r="G685" i="14" s="1"/>
  <c r="G686" i="14" s="1"/>
  <c r="G687" i="14" s="1"/>
  <c r="G688" i="14" s="1"/>
  <c r="G689" i="14" s="1"/>
  <c r="G690" i="14" s="1"/>
  <c r="G691" i="14" s="1"/>
  <c r="G692" i="14" s="1"/>
  <c r="G693" i="14" s="1"/>
  <c r="G694" i="14" s="1"/>
  <c r="G695" i="14" s="1"/>
  <c r="G696" i="14" s="1"/>
  <c r="G697" i="14" s="1"/>
  <c r="G698" i="14" s="1"/>
  <c r="G699" i="14" s="1"/>
  <c r="G700" i="14" s="1"/>
  <c r="G701" i="14" s="1"/>
  <c r="G702" i="14" s="1"/>
  <c r="G703" i="14" s="1"/>
  <c r="G704" i="14" s="1"/>
  <c r="G705" i="14" s="1"/>
  <c r="G706" i="14" s="1"/>
  <c r="G707" i="14" s="1"/>
  <c r="G708" i="14" s="1"/>
  <c r="G709" i="14" s="1"/>
  <c r="G710" i="14" s="1"/>
  <c r="G711" i="14" s="1"/>
  <c r="G712" i="14" s="1"/>
  <c r="G713" i="14" s="1"/>
  <c r="G714" i="14" s="1"/>
  <c r="G715" i="14" s="1"/>
  <c r="G716" i="14" s="1"/>
  <c r="G717" i="14" s="1"/>
  <c r="G718" i="14" s="1"/>
  <c r="G719" i="14" s="1"/>
  <c r="G720" i="14" s="1"/>
  <c r="G721" i="14" s="1"/>
  <c r="G722" i="14" s="1"/>
  <c r="G723" i="14" s="1"/>
  <c r="G724" i="14" s="1"/>
  <c r="G725" i="14" s="1"/>
  <c r="G726" i="14" s="1"/>
  <c r="G727" i="14" s="1"/>
  <c r="G728" i="14" s="1"/>
  <c r="G729" i="14" s="1"/>
  <c r="G730" i="14" s="1"/>
  <c r="G731" i="14" s="1"/>
  <c r="G732" i="14" s="1"/>
  <c r="G733" i="14" s="1"/>
  <c r="G734" i="14" s="1"/>
  <c r="G735" i="14" s="1"/>
  <c r="G736" i="14" s="1"/>
  <c r="G737" i="14" s="1"/>
  <c r="G738" i="14" s="1"/>
  <c r="G739" i="14" s="1"/>
  <c r="G740" i="14" s="1"/>
  <c r="G741" i="14" s="1"/>
  <c r="G742" i="14" s="1"/>
  <c r="G743" i="14" s="1"/>
  <c r="G744" i="14" s="1"/>
  <c r="G745" i="14" s="1"/>
  <c r="G746" i="14" s="1"/>
  <c r="G747" i="14" s="1"/>
  <c r="G748" i="14" s="1"/>
  <c r="G749" i="14" s="1"/>
  <c r="G750" i="14" s="1"/>
  <c r="G751" i="14" s="1"/>
  <c r="G752" i="14" s="1"/>
  <c r="G753" i="14" s="1"/>
  <c r="G754" i="14" s="1"/>
  <c r="G755" i="14" s="1"/>
  <c r="G756" i="14" s="1"/>
  <c r="G757" i="14" s="1"/>
  <c r="G758" i="14" s="1"/>
  <c r="G759" i="14" s="1"/>
  <c r="G760" i="14" s="1"/>
  <c r="G761" i="14" s="1"/>
  <c r="G762" i="14" s="1"/>
  <c r="G763" i="14" s="1"/>
  <c r="G764" i="14" s="1"/>
  <c r="G765" i="14" s="1"/>
  <c r="G766" i="14" s="1"/>
  <c r="G767" i="14" s="1"/>
  <c r="G768" i="14" s="1"/>
  <c r="G769" i="14" s="1"/>
  <c r="G770" i="14" s="1"/>
  <c r="G771" i="14" s="1"/>
  <c r="G772" i="14" s="1"/>
  <c r="G773" i="14" s="1"/>
  <c r="G774" i="14" s="1"/>
  <c r="G775" i="14" s="1"/>
  <c r="G776" i="14" s="1"/>
  <c r="G777" i="14" s="1"/>
  <c r="G778" i="14" s="1"/>
  <c r="G779" i="14" s="1"/>
  <c r="G780" i="14" s="1"/>
  <c r="G781" i="14" s="1"/>
  <c r="G782" i="14" s="1"/>
  <c r="G783" i="14" s="1"/>
  <c r="G784" i="14" s="1"/>
  <c r="G785" i="14" s="1"/>
  <c r="G786" i="14" s="1"/>
  <c r="G787" i="14" s="1"/>
  <c r="G788" i="14" s="1"/>
  <c r="G789" i="14" s="1"/>
  <c r="G790" i="14" s="1"/>
  <c r="G791" i="14" s="1"/>
  <c r="G792" i="14" s="1"/>
  <c r="G793" i="14" s="1"/>
  <c r="G794" i="14" s="1"/>
  <c r="G795" i="14" s="1"/>
  <c r="G796" i="14" s="1"/>
  <c r="G797" i="14" s="1"/>
  <c r="G798" i="14" s="1"/>
  <c r="G799" i="14" s="1"/>
  <c r="G800" i="14" s="1"/>
  <c r="G801" i="14" s="1"/>
  <c r="G802" i="14" s="1"/>
  <c r="G803" i="14" s="1"/>
  <c r="G804" i="14" s="1"/>
  <c r="G805" i="14" s="1"/>
  <c r="G806" i="14" s="1"/>
  <c r="G807" i="14" s="1"/>
  <c r="G808" i="14" s="1"/>
  <c r="G809" i="14" s="1"/>
  <c r="G810" i="14" s="1"/>
  <c r="G811" i="14" s="1"/>
  <c r="G812" i="14" s="1"/>
  <c r="G813" i="14" s="1"/>
  <c r="G814" i="14" s="1"/>
  <c r="G815" i="14" s="1"/>
  <c r="G816" i="14" s="1"/>
  <c r="G817" i="14" s="1"/>
  <c r="G818" i="14" s="1"/>
  <c r="G819" i="14" s="1"/>
  <c r="G820" i="14" s="1"/>
  <c r="G821" i="14" s="1"/>
  <c r="G822" i="14" s="1"/>
  <c r="G823" i="14" s="1"/>
  <c r="G824" i="14" s="1"/>
  <c r="G825" i="14" s="1"/>
  <c r="G826" i="14" s="1"/>
  <c r="G827" i="14" s="1"/>
  <c r="G828" i="14" s="1"/>
  <c r="G829" i="14" s="1"/>
  <c r="G830" i="14" s="1"/>
  <c r="G831" i="14" s="1"/>
  <c r="G832" i="14" s="1"/>
  <c r="G833" i="14" s="1"/>
  <c r="G834" i="14" s="1"/>
  <c r="G835" i="14" s="1"/>
  <c r="G836" i="14" s="1"/>
  <c r="G837" i="14" s="1"/>
  <c r="G838" i="14" s="1"/>
  <c r="G839" i="14" s="1"/>
  <c r="G840" i="14" s="1"/>
  <c r="G841" i="14" s="1"/>
  <c r="G842" i="14" s="1"/>
  <c r="G843" i="14" s="1"/>
  <c r="G844" i="14" s="1"/>
  <c r="G845" i="14" s="1"/>
  <c r="G846" i="14" s="1"/>
  <c r="G847" i="14" s="1"/>
  <c r="G848" i="14" s="1"/>
  <c r="G849" i="14" s="1"/>
  <c r="G850" i="14" s="1"/>
  <c r="G851" i="14" s="1"/>
  <c r="G852" i="14" s="1"/>
  <c r="G853" i="14" s="1"/>
  <c r="G854" i="14" s="1"/>
  <c r="G855" i="14" s="1"/>
  <c r="G856" i="14" s="1"/>
  <c r="G857" i="14" s="1"/>
  <c r="G858" i="14" s="1"/>
  <c r="G859" i="14" s="1"/>
  <c r="G860" i="14" s="1"/>
  <c r="G861" i="14" s="1"/>
  <c r="G862" i="14" s="1"/>
  <c r="G863" i="14" s="1"/>
  <c r="G864" i="14" s="1"/>
  <c r="G865" i="14" s="1"/>
  <c r="G866" i="14" s="1"/>
  <c r="G867" i="14" s="1"/>
  <c r="G868" i="14" s="1"/>
  <c r="G869" i="14" s="1"/>
  <c r="G870" i="14" s="1"/>
  <c r="G871" i="14" s="1"/>
  <c r="G872" i="14" s="1"/>
  <c r="G873" i="14" s="1"/>
  <c r="G874" i="14" s="1"/>
  <c r="G875" i="14" s="1"/>
  <c r="G876" i="14" s="1"/>
  <c r="G877" i="14" s="1"/>
  <c r="G878" i="14" s="1"/>
  <c r="G879" i="14" s="1"/>
  <c r="G880" i="14" s="1"/>
  <c r="G881" i="14" s="1"/>
  <c r="G882" i="14" s="1"/>
  <c r="G883" i="14" s="1"/>
  <c r="G884" i="14" s="1"/>
  <c r="G885" i="14" s="1"/>
  <c r="G886" i="14" s="1"/>
  <c r="G887" i="14" s="1"/>
  <c r="G888" i="14" s="1"/>
  <c r="G889" i="14" s="1"/>
  <c r="G890" i="14" s="1"/>
  <c r="G891" i="14" s="1"/>
  <c r="G892" i="14" s="1"/>
  <c r="G893" i="14" s="1"/>
  <c r="G894" i="14" s="1"/>
  <c r="G895" i="14" s="1"/>
  <c r="G896" i="14" s="1"/>
  <c r="G897" i="14" s="1"/>
  <c r="G898" i="14" s="1"/>
  <c r="G899" i="14" s="1"/>
  <c r="G900" i="14" s="1"/>
  <c r="G901" i="14" s="1"/>
  <c r="G902" i="14" s="1"/>
  <c r="G903" i="14" s="1"/>
  <c r="G904" i="14" s="1"/>
  <c r="G905" i="14" s="1"/>
  <c r="G906" i="14" s="1"/>
  <c r="G907" i="14" s="1"/>
  <c r="G908" i="14" s="1"/>
  <c r="G909" i="14" s="1"/>
  <c r="G910" i="14" s="1"/>
  <c r="G911" i="14" s="1"/>
  <c r="G912" i="14" s="1"/>
  <c r="G913" i="14" s="1"/>
  <c r="G914" i="14" s="1"/>
  <c r="G915" i="14" s="1"/>
  <c r="G916" i="14" s="1"/>
  <c r="G917" i="14" s="1"/>
  <c r="G918" i="14" s="1"/>
  <c r="G919" i="14" s="1"/>
  <c r="G920" i="14" s="1"/>
  <c r="G921" i="14" s="1"/>
  <c r="G922" i="14" s="1"/>
  <c r="G923" i="14" s="1"/>
  <c r="G924" i="14" s="1"/>
  <c r="G925" i="14" s="1"/>
  <c r="G926" i="14" s="1"/>
  <c r="G927" i="14" s="1"/>
  <c r="G928" i="14" s="1"/>
  <c r="G929" i="14" s="1"/>
  <c r="G930" i="14" s="1"/>
  <c r="G931" i="14" s="1"/>
  <c r="G932" i="14" s="1"/>
  <c r="G933" i="14" s="1"/>
  <c r="G934" i="14" s="1"/>
  <c r="G935" i="14" s="1"/>
  <c r="G936" i="14" s="1"/>
  <c r="G937" i="14" s="1"/>
  <c r="G938" i="14" s="1"/>
  <c r="G939" i="14" s="1"/>
  <c r="G940" i="14" s="1"/>
  <c r="G941" i="14" s="1"/>
  <c r="G942" i="14" s="1"/>
  <c r="G943" i="14" s="1"/>
  <c r="G944" i="14" s="1"/>
  <c r="G945" i="14" s="1"/>
  <c r="G946" i="14" s="1"/>
  <c r="G947" i="14" s="1"/>
  <c r="G948" i="14" s="1"/>
  <c r="G949" i="14" s="1"/>
  <c r="G950" i="14" s="1"/>
  <c r="G951" i="14" s="1"/>
  <c r="G952" i="14" s="1"/>
  <c r="G953" i="14" s="1"/>
  <c r="G954" i="14" s="1"/>
  <c r="G955" i="14" s="1"/>
  <c r="G956" i="14" s="1"/>
  <c r="G957" i="14" s="1"/>
  <c r="G958" i="14" s="1"/>
  <c r="G959" i="14" s="1"/>
  <c r="G960" i="14" s="1"/>
  <c r="G961" i="14" s="1"/>
  <c r="G962" i="14" s="1"/>
  <c r="G963" i="14" s="1"/>
  <c r="G964" i="14" s="1"/>
  <c r="G965" i="14" s="1"/>
  <c r="G966" i="14" s="1"/>
  <c r="G967" i="14" s="1"/>
  <c r="G968" i="14" s="1"/>
  <c r="G969" i="14" s="1"/>
  <c r="G970" i="14" s="1"/>
  <c r="G971" i="14" s="1"/>
  <c r="G972" i="14" s="1"/>
  <c r="G973" i="14" s="1"/>
  <c r="G974" i="14" s="1"/>
  <c r="G975" i="14" s="1"/>
  <c r="G976" i="14" s="1"/>
  <c r="G977" i="14" s="1"/>
  <c r="G978" i="14" s="1"/>
  <c r="G979" i="14" s="1"/>
  <c r="G980" i="14" s="1"/>
  <c r="G981" i="14" s="1"/>
  <c r="G982" i="14" s="1"/>
  <c r="G983" i="14" s="1"/>
  <c r="G984" i="14" s="1"/>
  <c r="G985" i="14" s="1"/>
  <c r="G986" i="14" s="1"/>
  <c r="G987" i="14" s="1"/>
  <c r="G988" i="14" s="1"/>
  <c r="G989" i="14" s="1"/>
  <c r="G990" i="14" s="1"/>
  <c r="G991" i="14" s="1"/>
  <c r="G992" i="14" s="1"/>
  <c r="G993" i="14" s="1"/>
  <c r="G994" i="14" s="1"/>
  <c r="G995" i="14" s="1"/>
  <c r="G996" i="14" s="1"/>
  <c r="G997" i="14" s="1"/>
  <c r="G998" i="14" s="1"/>
  <c r="G999" i="14" s="1"/>
  <c r="G1000" i="14" s="1"/>
  <c r="G1001" i="14" s="1"/>
  <c r="G1002" i="14" s="1"/>
  <c r="G1003" i="14" s="1"/>
  <c r="D3" i="4"/>
  <c r="H46" i="6"/>
  <c r="E46" i="4"/>
  <c r="E3" i="4" s="1"/>
  <c r="Q2" i="5"/>
  <c r="Z27" i="11" l="1"/>
  <c r="Y27" i="11"/>
  <c r="U29" i="11"/>
  <c r="T29" i="11"/>
  <c r="Q16" i="5"/>
  <c r="G580" i="7"/>
  <c r="G579" i="7" s="1"/>
  <c r="G578" i="7" s="1"/>
  <c r="G577" i="7" s="1"/>
  <c r="G576" i="7" s="1"/>
  <c r="G575" i="7" s="1"/>
  <c r="G574" i="7" s="1"/>
  <c r="G573" i="7" s="1"/>
  <c r="G572" i="7" s="1"/>
  <c r="G571" i="7" s="1"/>
  <c r="G570" i="7" s="1"/>
  <c r="G569" i="7" s="1"/>
  <c r="G568" i="7" s="1"/>
  <c r="G567" i="7" s="1"/>
  <c r="G566" i="7" s="1"/>
  <c r="G565" i="7" s="1"/>
  <c r="G564" i="7" s="1"/>
  <c r="G563" i="7" s="1"/>
  <c r="G562" i="7" s="1"/>
  <c r="G561" i="7" s="1"/>
  <c r="G560" i="7" s="1"/>
  <c r="G559" i="7" s="1"/>
  <c r="G558" i="7" s="1"/>
  <c r="G557" i="7" s="1"/>
  <c r="G556" i="7" s="1"/>
  <c r="G555" i="7" s="1"/>
  <c r="G554" i="7" s="1"/>
  <c r="G553" i="7" s="1"/>
  <c r="G552" i="7" s="1"/>
  <c r="G551" i="7" s="1"/>
  <c r="G550" i="7" s="1"/>
  <c r="G549" i="7" s="1"/>
  <c r="G548" i="7" s="1"/>
  <c r="G547" i="7" s="1"/>
  <c r="G546" i="7" s="1"/>
  <c r="G545" i="7" s="1"/>
  <c r="G544" i="7" s="1"/>
  <c r="G543" i="7" s="1"/>
  <c r="G542" i="7" s="1"/>
  <c r="G541" i="7" s="1"/>
  <c r="G540" i="7" s="1"/>
  <c r="G539" i="7" s="1"/>
  <c r="G538" i="7" s="1"/>
  <c r="G537" i="7" s="1"/>
  <c r="G536" i="7" s="1"/>
  <c r="G535" i="7" s="1"/>
  <c r="G534" i="7" s="1"/>
  <c r="G533" i="7" s="1"/>
  <c r="G532" i="7" s="1"/>
  <c r="G531" i="7" s="1"/>
  <c r="G530" i="7" s="1"/>
  <c r="G529" i="7" s="1"/>
  <c r="G528" i="7" s="1"/>
  <c r="G527" i="7" s="1"/>
  <c r="G526" i="7" s="1"/>
  <c r="G525" i="7" s="1"/>
  <c r="G524" i="7" s="1"/>
  <c r="G523" i="7" s="1"/>
  <c r="G522" i="7" s="1"/>
  <c r="G521" i="7" s="1"/>
  <c r="G520" i="7" s="1"/>
  <c r="G519" i="7" s="1"/>
  <c r="G518" i="7" s="1"/>
  <c r="F18" i="11"/>
  <c r="G19" i="11" s="1"/>
  <c r="O19" i="11"/>
  <c r="P19" i="11"/>
  <c r="K21" i="11"/>
  <c r="J21" i="11"/>
  <c r="M21" i="14"/>
  <c r="M20" i="13"/>
  <c r="N18" i="13"/>
  <c r="J17" i="13" a="1"/>
  <c r="J17" i="13" s="1"/>
  <c r="AD46" i="6"/>
  <c r="Z46" i="6"/>
  <c r="V46" i="6"/>
  <c r="R46" i="6"/>
  <c r="N46" i="6"/>
  <c r="J46" i="6"/>
  <c r="AF46" i="6"/>
  <c r="AB46" i="6"/>
  <c r="X46" i="6"/>
  <c r="T46" i="6"/>
  <c r="P46" i="6"/>
  <c r="L46" i="6"/>
  <c r="H3" i="6"/>
  <c r="J16" i="14" a="1"/>
  <c r="J16" i="14" s="1"/>
  <c r="N17" i="14"/>
  <c r="F46" i="6" l="1"/>
  <c r="Z28" i="11"/>
  <c r="Y28" i="11"/>
  <c r="U30" i="11"/>
  <c r="T30" i="11"/>
  <c r="G517" i="7"/>
  <c r="O20" i="11"/>
  <c r="F19" i="11"/>
  <c r="G20" i="11" s="1"/>
  <c r="P20" i="11"/>
  <c r="J18" i="13" a="1"/>
  <c r="J18" i="13" s="1"/>
  <c r="N19" i="13"/>
  <c r="M22" i="14"/>
  <c r="M21" i="13"/>
  <c r="N18" i="14"/>
  <c r="J17" i="14" a="1"/>
  <c r="J17" i="14" s="1"/>
  <c r="K22" i="11"/>
  <c r="J22" i="11"/>
  <c r="Y29" i="11" l="1"/>
  <c r="Z29" i="11"/>
  <c r="T31" i="11"/>
  <c r="U31" i="11"/>
  <c r="G516" i="7"/>
  <c r="G515" i="7" s="1"/>
  <c r="G514" i="7" s="1"/>
  <c r="G513" i="7" s="1"/>
  <c r="G512" i="7" s="1"/>
  <c r="G511" i="7" s="1"/>
  <c r="G510" i="7" s="1"/>
  <c r="G509" i="7" s="1"/>
  <c r="G508" i="7" s="1"/>
  <c r="G507" i="7" s="1"/>
  <c r="G506" i="7" s="1"/>
  <c r="G505" i="7" s="1"/>
  <c r="G504" i="7" s="1"/>
  <c r="G503" i="7" s="1"/>
  <c r="G502" i="7" s="1"/>
  <c r="G501" i="7" s="1"/>
  <c r="G500" i="7" s="1"/>
  <c r="G499" i="7" s="1"/>
  <c r="G498" i="7" s="1"/>
  <c r="G497" i="7" s="1"/>
  <c r="G496" i="7" s="1"/>
  <c r="G495" i="7" s="1"/>
  <c r="G494" i="7" s="1"/>
  <c r="G493" i="7" s="1"/>
  <c r="G492" i="7" s="1"/>
  <c r="G491" i="7" s="1"/>
  <c r="G490" i="7" s="1"/>
  <c r="G489" i="7" s="1"/>
  <c r="G488" i="7" s="1"/>
  <c r="G487" i="7" s="1"/>
  <c r="G486" i="7" s="1"/>
  <c r="G485" i="7" s="1"/>
  <c r="G484" i="7" s="1"/>
  <c r="G483" i="7" s="1"/>
  <c r="G482" i="7" s="1"/>
  <c r="G481" i="7" s="1"/>
  <c r="G480" i="7" s="1"/>
  <c r="G479" i="7" s="1"/>
  <c r="G478" i="7" s="1"/>
  <c r="G477" i="7" s="1"/>
  <c r="G476" i="7" s="1"/>
  <c r="P21" i="11"/>
  <c r="F20" i="11"/>
  <c r="G21" i="11" s="1"/>
  <c r="O21" i="11"/>
  <c r="J18" i="14" a="1"/>
  <c r="J18" i="14" s="1"/>
  <c r="N19" i="14"/>
  <c r="M22" i="13"/>
  <c r="M23" i="14"/>
  <c r="K23" i="11"/>
  <c r="J23" i="11"/>
  <c r="G46" i="6"/>
  <c r="F3" i="6"/>
  <c r="G3" i="6" s="1"/>
  <c r="J19" i="13" a="1"/>
  <c r="J19" i="13" s="1"/>
  <c r="N20" i="13"/>
  <c r="Z30" i="11" l="1"/>
  <c r="Y30" i="11"/>
  <c r="T32" i="11"/>
  <c r="U32" i="11"/>
  <c r="G475" i="7"/>
  <c r="G474" i="7" s="1"/>
  <c r="G473" i="7" s="1"/>
  <c r="G472" i="7" s="1"/>
  <c r="G471" i="7" s="1"/>
  <c r="G470" i="7" s="1"/>
  <c r="G469" i="7" s="1"/>
  <c r="G468" i="7" s="1"/>
  <c r="G467" i="7" s="1"/>
  <c r="G466" i="7" s="1"/>
  <c r="G465" i="7" s="1"/>
  <c r="G464" i="7" s="1"/>
  <c r="G463" i="7" s="1"/>
  <c r="G462" i="7" s="1"/>
  <c r="G461" i="7" s="1"/>
  <c r="G460" i="7" s="1"/>
  <c r="G459" i="7" s="1"/>
  <c r="G458" i="7" s="1"/>
  <c r="G457" i="7" s="1"/>
  <c r="G456" i="7" s="1"/>
  <c r="G455" i="7" s="1"/>
  <c r="G454" i="7" s="1"/>
  <c r="G453" i="7" s="1"/>
  <c r="G452" i="7" s="1"/>
  <c r="G451" i="7" s="1"/>
  <c r="G450" i="7" s="1"/>
  <c r="G449" i="7" s="1"/>
  <c r="G448" i="7" s="1"/>
  <c r="G447" i="7" s="1"/>
  <c r="G446" i="7" s="1"/>
  <c r="G445" i="7" s="1"/>
  <c r="G444" i="7" s="1"/>
  <c r="G443" i="7" s="1"/>
  <c r="G442" i="7" s="1"/>
  <c r="G441" i="7" s="1"/>
  <c r="G440" i="7" s="1"/>
  <c r="G439" i="7" s="1"/>
  <c r="G438" i="7" s="1"/>
  <c r="G437" i="7" s="1"/>
  <c r="G436" i="7" s="1"/>
  <c r="G435" i="7" s="1"/>
  <c r="G434" i="7" s="1"/>
  <c r="G433" i="7" s="1"/>
  <c r="G432" i="7" s="1"/>
  <c r="G431" i="7" s="1"/>
  <c r="G430" i="7" s="1"/>
  <c r="G429" i="7" s="1"/>
  <c r="G428" i="7" s="1"/>
  <c r="G427" i="7" s="1"/>
  <c r="G426" i="7" s="1"/>
  <c r="G425" i="7" s="1"/>
  <c r="G424" i="7" s="1"/>
  <c r="P22" i="11"/>
  <c r="O22" i="11"/>
  <c r="F21" i="11"/>
  <c r="G22" i="11" s="1"/>
  <c r="M23" i="13"/>
  <c r="N20" i="14"/>
  <c r="J19" i="14" a="1"/>
  <c r="J19" i="14" s="1"/>
  <c r="J24" i="11"/>
  <c r="K24" i="11"/>
  <c r="M24" i="14"/>
  <c r="J20" i="13" a="1"/>
  <c r="J20" i="13" s="1"/>
  <c r="N21" i="13"/>
  <c r="Y31" i="11" l="1"/>
  <c r="Z31" i="11"/>
  <c r="T33" i="11"/>
  <c r="U33" i="11"/>
  <c r="G423" i="7"/>
  <c r="G422" i="7" s="1"/>
  <c r="G421" i="7" s="1"/>
  <c r="G420" i="7" s="1"/>
  <c r="G419" i="7" s="1"/>
  <c r="G418" i="7" s="1"/>
  <c r="G417" i="7" s="1"/>
  <c r="G416" i="7" s="1"/>
  <c r="G415" i="7" s="1"/>
  <c r="G414" i="7" s="1"/>
  <c r="G413" i="7" s="1"/>
  <c r="G412" i="7" s="1"/>
  <c r="G411" i="7" s="1"/>
  <c r="G410" i="7" s="1"/>
  <c r="G409" i="7" s="1"/>
  <c r="G408" i="7" s="1"/>
  <c r="G407" i="7" s="1"/>
  <c r="G406" i="7" s="1"/>
  <c r="G405" i="7" s="1"/>
  <c r="G404" i="7" s="1"/>
  <c r="G403" i="7" s="1"/>
  <c r="G402" i="7" s="1"/>
  <c r="G401" i="7" s="1"/>
  <c r="G400" i="7" s="1"/>
  <c r="G399" i="7" s="1"/>
  <c r="G398" i="7" s="1"/>
  <c r="G397" i="7" s="1"/>
  <c r="G396" i="7" s="1"/>
  <c r="G395" i="7" s="1"/>
  <c r="G394" i="7" s="1"/>
  <c r="G393" i="7" s="1"/>
  <c r="G392" i="7" s="1"/>
  <c r="G391" i="7" s="1"/>
  <c r="G390" i="7" s="1"/>
  <c r="G389" i="7" s="1"/>
  <c r="G388" i="7" s="1"/>
  <c r="G387" i="7" s="1"/>
  <c r="G386" i="7" s="1"/>
  <c r="G385" i="7" s="1"/>
  <c r="G384" i="7" s="1"/>
  <c r="G383" i="7" s="1"/>
  <c r="G382" i="7" s="1"/>
  <c r="G381" i="7" s="1"/>
  <c r="G380" i="7" s="1"/>
  <c r="G379" i="7" s="1"/>
  <c r="G378" i="7" s="1"/>
  <c r="G377" i="7" s="1"/>
  <c r="G376" i="7" s="1"/>
  <c r="G375" i="7" s="1"/>
  <c r="G374" i="7" s="1"/>
  <c r="G373" i="7" s="1"/>
  <c r="G372" i="7" s="1"/>
  <c r="G371" i="7" s="1"/>
  <c r="G370" i="7" s="1"/>
  <c r="G369" i="7" s="1"/>
  <c r="G368" i="7" s="1"/>
  <c r="G367" i="7" s="1"/>
  <c r="G366" i="7" s="1"/>
  <c r="G365" i="7" s="1"/>
  <c r="G364" i="7" s="1"/>
  <c r="G363" i="7" s="1"/>
  <c r="G362" i="7" s="1"/>
  <c r="G361" i="7" s="1"/>
  <c r="G360" i="7" s="1"/>
  <c r="G359" i="7" s="1"/>
  <c r="G358" i="7" s="1"/>
  <c r="F22" i="11"/>
  <c r="G23" i="11" s="1"/>
  <c r="O23" i="11"/>
  <c r="P23" i="11"/>
  <c r="M25" i="14"/>
  <c r="K25" i="11"/>
  <c r="J25" i="11"/>
  <c r="J20" i="14" a="1"/>
  <c r="J20" i="14" s="1"/>
  <c r="N21" i="14"/>
  <c r="N22" i="13"/>
  <c r="J21" i="13" a="1"/>
  <c r="J21" i="13" s="1"/>
  <c r="M24" i="13"/>
  <c r="Y32" i="11" l="1"/>
  <c r="Z32" i="11"/>
  <c r="T34" i="11"/>
  <c r="U34" i="11"/>
  <c r="G357" i="7"/>
  <c r="G356" i="7" s="1"/>
  <c r="G355" i="7" s="1"/>
  <c r="G354" i="7" s="1"/>
  <c r="G353" i="7" s="1"/>
  <c r="G352" i="7" s="1"/>
  <c r="G351" i="7" s="1"/>
  <c r="G350" i="7" s="1"/>
  <c r="G349" i="7" s="1"/>
  <c r="G348" i="7" s="1"/>
  <c r="G347" i="7" s="1"/>
  <c r="G346" i="7" s="1"/>
  <c r="G345" i="7" s="1"/>
  <c r="G344" i="7" s="1"/>
  <c r="G343" i="7" s="1"/>
  <c r="G342" i="7" s="1"/>
  <c r="G341" i="7" s="1"/>
  <c r="G340" i="7" s="1"/>
  <c r="G339" i="7" s="1"/>
  <c r="G338" i="7" s="1"/>
  <c r="G337" i="7" s="1"/>
  <c r="G336" i="7" s="1"/>
  <c r="G335" i="7" s="1"/>
  <c r="G334" i="7" s="1"/>
  <c r="G333" i="7" s="1"/>
  <c r="G332" i="7" s="1"/>
  <c r="G331" i="7" s="1"/>
  <c r="G330" i="7" s="1"/>
  <c r="G329" i="7" s="1"/>
  <c r="G328" i="7" s="1"/>
  <c r="G327" i="7" s="1"/>
  <c r="G326" i="7" s="1"/>
  <c r="G325" i="7" s="1"/>
  <c r="G324" i="7" s="1"/>
  <c r="G323" i="7" s="1"/>
  <c r="G322" i="7" s="1"/>
  <c r="G321" i="7" s="1"/>
  <c r="G320" i="7" s="1"/>
  <c r="G319" i="7" s="1"/>
  <c r="G318" i="7" s="1"/>
  <c r="P24" i="11"/>
  <c r="F23" i="11"/>
  <c r="G24" i="11" s="1"/>
  <c r="O24" i="11"/>
  <c r="K26" i="11"/>
  <c r="J26" i="11"/>
  <c r="M26" i="14"/>
  <c r="J22" i="13" a="1"/>
  <c r="J22" i="13" s="1"/>
  <c r="N23" i="13"/>
  <c r="M25" i="13"/>
  <c r="N22" i="14"/>
  <c r="J21" i="14" a="1"/>
  <c r="J21" i="14" s="1"/>
  <c r="Y33" i="11" l="1"/>
  <c r="Z33" i="11"/>
  <c r="U35" i="11"/>
  <c r="T35" i="11"/>
  <c r="G317" i="7"/>
  <c r="G316" i="7" s="1"/>
  <c r="G315" i="7" s="1"/>
  <c r="O25" i="11"/>
  <c r="P25" i="11"/>
  <c r="F24" i="11"/>
  <c r="G25" i="11" s="1"/>
  <c r="J22" i="14" a="1"/>
  <c r="J22" i="14" s="1"/>
  <c r="N23" i="14"/>
  <c r="J23" i="13" a="1"/>
  <c r="J23" i="13" s="1"/>
  <c r="N24" i="13"/>
  <c r="M26" i="13"/>
  <c r="M27" i="14"/>
  <c r="K27" i="11"/>
  <c r="J27" i="11"/>
  <c r="Z34" i="11" l="1"/>
  <c r="Y34" i="11"/>
  <c r="U36" i="11"/>
  <c r="T36" i="11"/>
  <c r="F25" i="11"/>
  <c r="G26" i="11" s="1"/>
  <c r="O26" i="11"/>
  <c r="P26" i="11"/>
  <c r="M28" i="14"/>
  <c r="J24" i="13" a="1"/>
  <c r="J24" i="13" s="1"/>
  <c r="N25" i="13"/>
  <c r="M27" i="13"/>
  <c r="N24" i="14"/>
  <c r="J23" i="14" a="1"/>
  <c r="J23" i="14" s="1"/>
  <c r="J28" i="11"/>
  <c r="K28" i="11"/>
  <c r="Y35" i="11" l="1"/>
  <c r="Z35" i="11"/>
  <c r="T37" i="11"/>
  <c r="U37" i="11"/>
  <c r="G314" i="7"/>
  <c r="G313" i="7" s="1"/>
  <c r="G312" i="7" s="1"/>
  <c r="G311" i="7" s="1"/>
  <c r="G310" i="7" s="1"/>
  <c r="G309" i="7" s="1"/>
  <c r="G308" i="7" s="1"/>
  <c r="G307" i="7" s="1"/>
  <c r="G306" i="7" s="1"/>
  <c r="G305" i="7" s="1"/>
  <c r="G304" i="7" s="1"/>
  <c r="G303" i="7" s="1"/>
  <c r="G302" i="7" s="1"/>
  <c r="G301" i="7" s="1"/>
  <c r="G300" i="7" s="1"/>
  <c r="G299" i="7" s="1"/>
  <c r="G298" i="7" s="1"/>
  <c r="G297" i="7" s="1"/>
  <c r="G296" i="7" s="1"/>
  <c r="G295" i="7" s="1"/>
  <c r="G294" i="7" s="1"/>
  <c r="G293" i="7" s="1"/>
  <c r="G292" i="7" s="1"/>
  <c r="G291" i="7" s="1"/>
  <c r="G290" i="7" s="1"/>
  <c r="G289" i="7" s="1"/>
  <c r="G288" i="7" s="1"/>
  <c r="G287" i="7" s="1"/>
  <c r="G286" i="7" s="1"/>
  <c r="G285" i="7" s="1"/>
  <c r="G284" i="7" s="1"/>
  <c r="G283" i="7" s="1"/>
  <c r="G282" i="7" s="1"/>
  <c r="G281" i="7" s="1"/>
  <c r="G280" i="7" s="1"/>
  <c r="G279" i="7" s="1"/>
  <c r="G278" i="7" s="1"/>
  <c r="G277" i="7" s="1"/>
  <c r="G276" i="7" s="1"/>
  <c r="G275" i="7" s="1"/>
  <c r="G274" i="7" s="1"/>
  <c r="G273" i="7" s="1"/>
  <c r="G272" i="7" s="1"/>
  <c r="G271" i="7" s="1"/>
  <c r="G270" i="7" s="1"/>
  <c r="G269" i="7" s="1"/>
  <c r="G268" i="7" s="1"/>
  <c r="G267" i="7" s="1"/>
  <c r="G266" i="7" s="1"/>
  <c r="G265" i="7" s="1"/>
  <c r="G264" i="7" s="1"/>
  <c r="G263" i="7" s="1"/>
  <c r="G262" i="7" s="1"/>
  <c r="G261" i="7" s="1"/>
  <c r="G260" i="7" s="1"/>
  <c r="G259" i="7" s="1"/>
  <c r="G258" i="7" s="1"/>
  <c r="G257" i="7" s="1"/>
  <c r="G256" i="7" s="1"/>
  <c r="G255" i="7" s="1"/>
  <c r="G254" i="7" s="1"/>
  <c r="G253" i="7" s="1"/>
  <c r="G252" i="7" s="1"/>
  <c r="G251" i="7" s="1"/>
  <c r="G250" i="7" s="1"/>
  <c r="G249" i="7" s="1"/>
  <c r="G248" i="7" s="1"/>
  <c r="G247" i="7" s="1"/>
  <c r="G246" i="7" s="1"/>
  <c r="G245" i="7" s="1"/>
  <c r="G244" i="7" s="1"/>
  <c r="G243" i="7" s="1"/>
  <c r="G242" i="7" s="1"/>
  <c r="G241" i="7" s="1"/>
  <c r="G240" i="7" s="1"/>
  <c r="G239" i="7" s="1"/>
  <c r="G238" i="7" s="1"/>
  <c r="G237" i="7" s="1"/>
  <c r="G236" i="7" s="1"/>
  <c r="G235" i="7" s="1"/>
  <c r="G234" i="7" s="1"/>
  <c r="G233" i="7" s="1"/>
  <c r="G232" i="7" s="1"/>
  <c r="G231" i="7" s="1"/>
  <c r="G230" i="7" s="1"/>
  <c r="G229" i="7" s="1"/>
  <c r="G228" i="7" s="1"/>
  <c r="G227" i="7" s="1"/>
  <c r="G226" i="7" s="1"/>
  <c r="G225" i="7" s="1"/>
  <c r="G224" i="7" s="1"/>
  <c r="G223" i="7" s="1"/>
  <c r="G222" i="7" s="1"/>
  <c r="G221" i="7" s="1"/>
  <c r="G220" i="7" s="1"/>
  <c r="G219" i="7" s="1"/>
  <c r="G218" i="7" s="1"/>
  <c r="G217" i="7" s="1"/>
  <c r="G216" i="7" s="1"/>
  <c r="G215" i="7" s="1"/>
  <c r="G214" i="7" s="1"/>
  <c r="G213" i="7" s="1"/>
  <c r="G212" i="7" s="1"/>
  <c r="G211" i="7" s="1"/>
  <c r="G210" i="7" s="1"/>
  <c r="G209" i="7" s="1"/>
  <c r="G208" i="7" s="1"/>
  <c r="G207" i="7" s="1"/>
  <c r="G206" i="7" s="1"/>
  <c r="G205" i="7" s="1"/>
  <c r="G204" i="7" s="1"/>
  <c r="G203" i="7" s="1"/>
  <c r="G202" i="7" s="1"/>
  <c r="G201" i="7" s="1"/>
  <c r="G200" i="7" s="1"/>
  <c r="G199" i="7" s="1"/>
  <c r="G198" i="7" s="1"/>
  <c r="G197" i="7" s="1"/>
  <c r="G196" i="7" s="1"/>
  <c r="G195" i="7" s="1"/>
  <c r="G194" i="7" s="1"/>
  <c r="G193" i="7" s="1"/>
  <c r="G192" i="7" s="1"/>
  <c r="G191" i="7" s="1"/>
  <c r="G190" i="7" s="1"/>
  <c r="G189" i="7" s="1"/>
  <c r="G188" i="7" s="1"/>
  <c r="G187" i="7" s="1"/>
  <c r="G186" i="7" s="1"/>
  <c r="G185" i="7" s="1"/>
  <c r="G184" i="7" s="1"/>
  <c r="G183" i="7" s="1"/>
  <c r="G182" i="7" s="1"/>
  <c r="G181" i="7" s="1"/>
  <c r="G180" i="7" s="1"/>
  <c r="G179" i="7" s="1"/>
  <c r="G178" i="7" s="1"/>
  <c r="G177" i="7" s="1"/>
  <c r="G176" i="7" s="1"/>
  <c r="G175" i="7" s="1"/>
  <c r="G174" i="7" s="1"/>
  <c r="G173" i="7" s="1"/>
  <c r="G172" i="7" s="1"/>
  <c r="G171" i="7" s="1"/>
  <c r="G170" i="7" s="1"/>
  <c r="G169" i="7" s="1"/>
  <c r="G168" i="7" s="1"/>
  <c r="G167" i="7" s="1"/>
  <c r="G166" i="7" s="1"/>
  <c r="G165" i="7" s="1"/>
  <c r="G164" i="7" s="1"/>
  <c r="G163" i="7" s="1"/>
  <c r="G162" i="7" s="1"/>
  <c r="G161" i="7" s="1"/>
  <c r="G160" i="7" s="1"/>
  <c r="G159" i="7" s="1"/>
  <c r="G158" i="7" s="1"/>
  <c r="G157" i="7" s="1"/>
  <c r="G156" i="7" s="1"/>
  <c r="G155" i="7" s="1"/>
  <c r="G154" i="7" s="1"/>
  <c r="G153" i="7" s="1"/>
  <c r="G152" i="7" s="1"/>
  <c r="G151" i="7" s="1"/>
  <c r="G150" i="7" s="1"/>
  <c r="G149" i="7" s="1"/>
  <c r="G148" i="7" s="1"/>
  <c r="G147" i="7" s="1"/>
  <c r="G146" i="7" s="1"/>
  <c r="G145" i="7" s="1"/>
  <c r="G144" i="7" s="1"/>
  <c r="G143" i="7" s="1"/>
  <c r="G142" i="7" s="1"/>
  <c r="G141" i="7" s="1"/>
  <c r="G140" i="7" s="1"/>
  <c r="G139" i="7" s="1"/>
  <c r="G138" i="7" s="1"/>
  <c r="G137" i="7" s="1"/>
  <c r="G136" i="7" s="1"/>
  <c r="G135" i="7" s="1"/>
  <c r="G134" i="7" s="1"/>
  <c r="G133" i="7" s="1"/>
  <c r="G132" i="7" s="1"/>
  <c r="G131" i="7" s="1"/>
  <c r="G130" i="7" s="1"/>
  <c r="G129" i="7" s="1"/>
  <c r="G128" i="7" s="1"/>
  <c r="G127" i="7" s="1"/>
  <c r="G126" i="7" s="1"/>
  <c r="G125" i="7" s="1"/>
  <c r="G124" i="7" s="1"/>
  <c r="G123" i="7" s="1"/>
  <c r="G122" i="7" s="1"/>
  <c r="G121" i="7" s="1"/>
  <c r="G120" i="7" s="1"/>
  <c r="G119" i="7" s="1"/>
  <c r="G118" i="7" s="1"/>
  <c r="G117" i="7" s="1"/>
  <c r="G116" i="7" s="1"/>
  <c r="G115" i="7" s="1"/>
  <c r="G114" i="7" s="1"/>
  <c r="G113" i="7" s="1"/>
  <c r="G112" i="7" s="1"/>
  <c r="O27" i="11"/>
  <c r="F26" i="11"/>
  <c r="G27" i="11" s="1"/>
  <c r="P27" i="11"/>
  <c r="M29" i="14"/>
  <c r="N26" i="13"/>
  <c r="J25" i="13" a="1"/>
  <c r="J25" i="13" s="1"/>
  <c r="M28" i="13"/>
  <c r="K29" i="11"/>
  <c r="J29" i="11"/>
  <c r="J24" i="14" a="1"/>
  <c r="J24" i="14" s="1"/>
  <c r="N25" i="14"/>
  <c r="G111" i="7" l="1"/>
  <c r="G110" i="7" s="1"/>
  <c r="G109" i="7" s="1"/>
  <c r="G108" i="7" s="1"/>
  <c r="G107" i="7" s="1"/>
  <c r="G106" i="7" s="1"/>
  <c r="G105" i="7" s="1"/>
  <c r="G104" i="7" s="1"/>
  <c r="G103" i="7" s="1"/>
  <c r="G102" i="7" s="1"/>
  <c r="G101" i="7" s="1"/>
  <c r="G100" i="7" s="1"/>
  <c r="G99" i="7" s="1"/>
  <c r="G98" i="7" s="1"/>
  <c r="G97" i="7" s="1"/>
  <c r="G96" i="7" s="1"/>
  <c r="G95" i="7" s="1"/>
  <c r="G94" i="7" s="1"/>
  <c r="G93" i="7" s="1"/>
  <c r="G92" i="7" s="1"/>
  <c r="G91" i="7" s="1"/>
  <c r="G90" i="7" s="1"/>
  <c r="G89" i="7" s="1"/>
  <c r="G88" i="7" s="1"/>
  <c r="G87" i="7" s="1"/>
  <c r="G86" i="7" s="1"/>
  <c r="G85" i="7" s="1"/>
  <c r="G84" i="7" s="1"/>
  <c r="G83" i="7" s="1"/>
  <c r="G82" i="7" s="1"/>
  <c r="G81" i="7" s="1"/>
  <c r="G80" i="7" s="1"/>
  <c r="G79" i="7" s="1"/>
  <c r="G78" i="7" s="1"/>
  <c r="G77" i="7" s="1"/>
  <c r="G76" i="7" s="1"/>
  <c r="G75" i="7" s="1"/>
  <c r="G74" i="7" s="1"/>
  <c r="G73" i="7" s="1"/>
  <c r="G72" i="7" s="1"/>
  <c r="G71" i="7" s="1"/>
  <c r="G70" i="7" s="1"/>
  <c r="G69" i="7" s="1"/>
  <c r="G68" i="7" s="1"/>
  <c r="G67" i="7" s="1"/>
  <c r="G66" i="7" s="1"/>
  <c r="G65" i="7" s="1"/>
  <c r="G64" i="7" s="1"/>
  <c r="G63" i="7" s="1"/>
  <c r="G62" i="7" s="1"/>
  <c r="G61" i="7" s="1"/>
  <c r="G60" i="7" s="1"/>
  <c r="G59" i="7" s="1"/>
  <c r="G58" i="7" s="1"/>
  <c r="G57" i="7" s="1"/>
  <c r="G56" i="7" s="1"/>
  <c r="G55" i="7" s="1"/>
  <c r="G54" i="7" s="1"/>
  <c r="Z36" i="11"/>
  <c r="Y36" i="11"/>
  <c r="U38" i="11"/>
  <c r="T38" i="11"/>
  <c r="O28" i="11"/>
  <c r="F27" i="11"/>
  <c r="G28" i="11" s="1"/>
  <c r="P28" i="11"/>
  <c r="M29" i="13"/>
  <c r="J26" i="13" a="1"/>
  <c r="J26" i="13" s="1"/>
  <c r="N27" i="13"/>
  <c r="N26" i="14"/>
  <c r="J25" i="14" a="1"/>
  <c r="J25" i="14" s="1"/>
  <c r="K30" i="11"/>
  <c r="J30" i="11"/>
  <c r="M30" i="14"/>
  <c r="G53" i="7" l="1"/>
  <c r="G52" i="7" s="1"/>
  <c r="G51" i="7" s="1"/>
  <c r="G50" i="7" s="1"/>
  <c r="G49" i="7" s="1"/>
  <c r="G48" i="7" s="1"/>
  <c r="G47" i="7" s="1"/>
  <c r="G46" i="7" s="1"/>
  <c r="G45" i="7" s="1"/>
  <c r="G44" i="7" s="1"/>
  <c r="G43" i="7" s="1"/>
  <c r="G42" i="7" s="1"/>
  <c r="G41" i="7" s="1"/>
  <c r="G40" i="7" s="1"/>
  <c r="G39" i="7" s="1"/>
  <c r="G38" i="7" s="1"/>
  <c r="G37" i="7" s="1"/>
  <c r="G36" i="7" s="1"/>
  <c r="G35" i="7" s="1"/>
  <c r="G34" i="7" s="1"/>
  <c r="G33" i="7" s="1"/>
  <c r="G32" i="7" s="1"/>
  <c r="G31" i="7" s="1"/>
  <c r="G30" i="7" s="1"/>
  <c r="G29" i="7" s="1"/>
  <c r="G28" i="7" s="1"/>
  <c r="G27" i="7" s="1"/>
  <c r="G26" i="7" s="1"/>
  <c r="G25" i="7" s="1"/>
  <c r="G24" i="7" s="1"/>
  <c r="G23" i="7" s="1"/>
  <c r="G22" i="7" s="1"/>
  <c r="G21" i="7" s="1"/>
  <c r="G20" i="7" s="1"/>
  <c r="G19" i="7" s="1"/>
  <c r="G18" i="7" s="1"/>
  <c r="G17" i="7" s="1"/>
  <c r="G16" i="7" s="1"/>
  <c r="G15" i="7" s="1"/>
  <c r="G14" i="7" s="1"/>
  <c r="G13" i="7" s="1"/>
  <c r="G12" i="7" s="1"/>
  <c r="Z37" i="11"/>
  <c r="Y37" i="11"/>
  <c r="U39" i="11"/>
  <c r="T39" i="11"/>
  <c r="F28" i="11"/>
  <c r="G29" i="11" s="1"/>
  <c r="P29" i="11"/>
  <c r="O29" i="11"/>
  <c r="K31" i="11"/>
  <c r="J31" i="11"/>
  <c r="M31" i="14"/>
  <c r="M30" i="13"/>
  <c r="J27" i="13" a="1"/>
  <c r="J27" i="13" s="1"/>
  <c r="N28" i="13"/>
  <c r="J26" i="14" a="1"/>
  <c r="J26" i="14" s="1"/>
  <c r="N27" i="14"/>
  <c r="G11" i="7" l="1"/>
  <c r="G10" i="7" s="1"/>
  <c r="G9" i="7" s="1"/>
  <c r="Y38" i="11"/>
  <c r="Z38" i="11"/>
  <c r="U40" i="11"/>
  <c r="T40" i="11"/>
  <c r="P30" i="11"/>
  <c r="F29" i="11"/>
  <c r="G30" i="11" s="1"/>
  <c r="O30" i="11"/>
  <c r="N28" i="14"/>
  <c r="J27" i="14" a="1"/>
  <c r="J27" i="14" s="1"/>
  <c r="M32" i="14"/>
  <c r="J28" i="13" a="1"/>
  <c r="J28" i="13" s="1"/>
  <c r="N29" i="13"/>
  <c r="M31" i="13"/>
  <c r="J32" i="11"/>
  <c r="K32" i="11"/>
  <c r="G8" i="7" l="1"/>
  <c r="G7" i="7" s="1"/>
  <c r="G6" i="7" s="1"/>
  <c r="G5" i="7" s="1"/>
  <c r="Y39" i="11"/>
  <c r="Z39" i="11"/>
  <c r="T41" i="11"/>
  <c r="U41" i="11"/>
  <c r="O31" i="11"/>
  <c r="P31" i="11"/>
  <c r="F30" i="11"/>
  <c r="G31" i="11" s="1"/>
  <c r="M32" i="13"/>
  <c r="J28" i="14" a="1"/>
  <c r="J28" i="14" s="1"/>
  <c r="N29" i="14"/>
  <c r="K33" i="11"/>
  <c r="J33" i="11"/>
  <c r="N30" i="13"/>
  <c r="J29" i="13" a="1"/>
  <c r="J29" i="13" s="1"/>
  <c r="M33" i="14"/>
  <c r="G1" i="7"/>
  <c r="B5" i="2" l="1"/>
  <c r="B7" i="2" s="1"/>
  <c r="F25" i="2" s="1"/>
  <c r="Y40" i="11"/>
  <c r="Z40" i="11"/>
  <c r="T42" i="11"/>
  <c r="U42" i="11"/>
  <c r="P32" i="11"/>
  <c r="O32" i="11"/>
  <c r="F31" i="11"/>
  <c r="G32" i="11" s="1"/>
  <c r="J30" i="13" a="1"/>
  <c r="J30" i="13" s="1"/>
  <c r="N31" i="13"/>
  <c r="K34" i="11"/>
  <c r="J34" i="11"/>
  <c r="M33" i="13"/>
  <c r="M34" i="14"/>
  <c r="N30" i="14"/>
  <c r="J29" i="14" a="1"/>
  <c r="J29" i="14" s="1"/>
  <c r="F16" i="2" l="1"/>
  <c r="Y41" i="11"/>
  <c r="Z41" i="11"/>
  <c r="T43" i="11"/>
  <c r="U43" i="11"/>
  <c r="F32" i="11"/>
  <c r="G33" i="11" s="1"/>
  <c r="P33" i="11"/>
  <c r="O33" i="11"/>
  <c r="M35" i="14"/>
  <c r="J30" i="14" a="1"/>
  <c r="J30" i="14" s="1"/>
  <c r="N31" i="14"/>
  <c r="K35" i="11"/>
  <c r="J35" i="11"/>
  <c r="M34" i="13"/>
  <c r="J31" i="13" a="1"/>
  <c r="J31" i="13" s="1"/>
  <c r="N32" i="13"/>
  <c r="Z42" i="11" l="1"/>
  <c r="Y42" i="11"/>
  <c r="U44" i="11"/>
  <c r="T44" i="11"/>
  <c r="F33" i="11"/>
  <c r="G34" i="11" s="1"/>
  <c r="O34" i="11"/>
  <c r="P34" i="11"/>
  <c r="J36" i="11"/>
  <c r="K36" i="11"/>
  <c r="M36" i="14"/>
  <c r="J32" i="13" a="1"/>
  <c r="J32" i="13" s="1"/>
  <c r="N33" i="13"/>
  <c r="M35" i="13"/>
  <c r="J31" i="14" a="1"/>
  <c r="J31" i="14" s="1"/>
  <c r="N32" i="14"/>
  <c r="Y43" i="11" l="1"/>
  <c r="Z43" i="11"/>
  <c r="T45" i="11"/>
  <c r="U45" i="11"/>
  <c r="O35" i="11"/>
  <c r="F34" i="11"/>
  <c r="G35" i="11" s="1"/>
  <c r="P35" i="11"/>
  <c r="J32" i="14" a="1"/>
  <c r="J32" i="14" s="1"/>
  <c r="N33" i="14"/>
  <c r="M36" i="13"/>
  <c r="N34" i="13"/>
  <c r="J33" i="13" a="1"/>
  <c r="J33" i="13" s="1"/>
  <c r="M37" i="14"/>
  <c r="K37" i="11"/>
  <c r="J37" i="11"/>
  <c r="Y44" i="11" l="1"/>
  <c r="Z44" i="11"/>
  <c r="T46" i="11"/>
  <c r="U46" i="11"/>
  <c r="O36" i="11"/>
  <c r="F35" i="11"/>
  <c r="G36" i="11" s="1"/>
  <c r="P36" i="11"/>
  <c r="J34" i="13" a="1"/>
  <c r="J34" i="13" s="1"/>
  <c r="N35" i="13"/>
  <c r="K38" i="11"/>
  <c r="J38" i="11"/>
  <c r="M38" i="14"/>
  <c r="M37" i="13"/>
  <c r="N34" i="14"/>
  <c r="J33" i="14" a="1"/>
  <c r="J33" i="14" s="1"/>
  <c r="Y45" i="11" l="1"/>
  <c r="Z45" i="11"/>
  <c r="T47" i="11"/>
  <c r="U47" i="11"/>
  <c r="F36" i="11"/>
  <c r="G37" i="11" s="1"/>
  <c r="P37" i="11"/>
  <c r="O37" i="11"/>
  <c r="M39" i="14"/>
  <c r="J34" i="14" a="1"/>
  <c r="J34" i="14" s="1"/>
  <c r="N35" i="14"/>
  <c r="M38" i="13"/>
  <c r="K39" i="11"/>
  <c r="J39" i="11"/>
  <c r="J35" i="13" a="1"/>
  <c r="J35" i="13" s="1"/>
  <c r="N36" i="13"/>
  <c r="Z46" i="11" l="1"/>
  <c r="Y46" i="11"/>
  <c r="U48" i="11"/>
  <c r="T48" i="11"/>
  <c r="O38" i="11"/>
  <c r="F37" i="11"/>
  <c r="G38" i="11" s="1"/>
  <c r="P38" i="11"/>
  <c r="J36" i="13" a="1"/>
  <c r="J36" i="13" s="1"/>
  <c r="N37" i="13"/>
  <c r="J40" i="11"/>
  <c r="K40" i="11"/>
  <c r="M39" i="13"/>
  <c r="M40" i="14"/>
  <c r="J35" i="14" a="1"/>
  <c r="J35" i="14" s="1"/>
  <c r="N36" i="14"/>
  <c r="Y47" i="11" l="1"/>
  <c r="Z47" i="11"/>
  <c r="U49" i="11"/>
  <c r="T49" i="11"/>
  <c r="O39" i="11"/>
  <c r="F38" i="11"/>
  <c r="G39" i="11" s="1"/>
  <c r="P39" i="11"/>
  <c r="J36" i="14" a="1"/>
  <c r="J36" i="14" s="1"/>
  <c r="N37" i="14"/>
  <c r="K41" i="11"/>
  <c r="J41" i="11"/>
  <c r="N38" i="13"/>
  <c r="J37" i="13" a="1"/>
  <c r="J37" i="13" s="1"/>
  <c r="M40" i="13"/>
  <c r="M41" i="14"/>
  <c r="Y48" i="11" l="1"/>
  <c r="Z48" i="11"/>
  <c r="T50" i="11"/>
  <c r="U50" i="11"/>
  <c r="F39" i="11"/>
  <c r="G40" i="11" s="1"/>
  <c r="O40" i="11"/>
  <c r="P40" i="11"/>
  <c r="M42" i="14"/>
  <c r="J38" i="13" a="1"/>
  <c r="J38" i="13" s="1"/>
  <c r="N39" i="13"/>
  <c r="M41" i="13"/>
  <c r="K42" i="11"/>
  <c r="J42" i="11"/>
  <c r="N38" i="14"/>
  <c r="J37" i="14" a="1"/>
  <c r="J37" i="14" s="1"/>
  <c r="Y49" i="11" l="1"/>
  <c r="Z49" i="11"/>
  <c r="U51" i="11"/>
  <c r="T51" i="11"/>
  <c r="F40" i="11"/>
  <c r="G41" i="11" s="1"/>
  <c r="O41" i="11"/>
  <c r="P41" i="11"/>
  <c r="J38" i="14" a="1"/>
  <c r="J38" i="14" s="1"/>
  <c r="N39" i="14"/>
  <c r="K43" i="11"/>
  <c r="J43" i="11"/>
  <c r="M42" i="13"/>
  <c r="M43" i="14"/>
  <c r="J39" i="13" a="1"/>
  <c r="J39" i="13" s="1"/>
  <c r="N40" i="13"/>
  <c r="Z50" i="11" l="1"/>
  <c r="Y50" i="11"/>
  <c r="U52" i="11"/>
  <c r="T52" i="11"/>
  <c r="F41" i="11"/>
  <c r="G42" i="11" s="1"/>
  <c r="P42" i="11"/>
  <c r="O42" i="11"/>
  <c r="J39" i="14" a="1"/>
  <c r="J39" i="14" s="1"/>
  <c r="N40" i="14"/>
  <c r="J40" i="13" a="1"/>
  <c r="J40" i="13" s="1"/>
  <c r="N41" i="13"/>
  <c r="J44" i="11"/>
  <c r="K44" i="11"/>
  <c r="M44" i="14"/>
  <c r="M43" i="13"/>
  <c r="Y51" i="11" l="1"/>
  <c r="Z51" i="11"/>
  <c r="T53" i="11"/>
  <c r="U53" i="11"/>
  <c r="P43" i="11"/>
  <c r="O43" i="11"/>
  <c r="F42" i="11"/>
  <c r="G43" i="11" s="1"/>
  <c r="N42" i="13"/>
  <c r="J41" i="13" a="1"/>
  <c r="J41" i="13" s="1"/>
  <c r="M44" i="13"/>
  <c r="J40" i="14" a="1"/>
  <c r="J40" i="14" s="1"/>
  <c r="N41" i="14"/>
  <c r="M45" i="14"/>
  <c r="K45" i="11"/>
  <c r="J45" i="11"/>
  <c r="Y52" i="11" l="1"/>
  <c r="Z52" i="11"/>
  <c r="T54" i="11"/>
  <c r="U54" i="11"/>
  <c r="P44" i="11"/>
  <c r="F43" i="11"/>
  <c r="G44" i="11" s="1"/>
  <c r="O44" i="11"/>
  <c r="J42" i="13" a="1"/>
  <c r="J42" i="13" s="1"/>
  <c r="N43" i="13"/>
  <c r="N42" i="14"/>
  <c r="J41" i="14" a="1"/>
  <c r="J41" i="14" s="1"/>
  <c r="M45" i="13"/>
  <c r="K46" i="11"/>
  <c r="J46" i="11"/>
  <c r="M46" i="14"/>
  <c r="Y53" i="11" l="1"/>
  <c r="Z53" i="11"/>
  <c r="T55" i="11"/>
  <c r="U55" i="11"/>
  <c r="P45" i="11"/>
  <c r="F44" i="11"/>
  <c r="G45" i="11" s="1"/>
  <c r="O45" i="11"/>
  <c r="M47" i="14"/>
  <c r="M46" i="13"/>
  <c r="J43" i="13" a="1"/>
  <c r="J43" i="13" s="1"/>
  <c r="N44" i="13"/>
  <c r="K47" i="11"/>
  <c r="J47" i="11"/>
  <c r="J42" i="14" a="1"/>
  <c r="J42" i="14" s="1"/>
  <c r="N43" i="14"/>
  <c r="Z54" i="11" l="1"/>
  <c r="Y54" i="11"/>
  <c r="U56" i="11"/>
  <c r="T56" i="11"/>
  <c r="P46" i="11"/>
  <c r="O46" i="11"/>
  <c r="F45" i="11"/>
  <c r="G46" i="11" s="1"/>
  <c r="J43" i="14" a="1"/>
  <c r="J43" i="14" s="1"/>
  <c r="N44" i="14"/>
  <c r="J44" i="13" a="1"/>
  <c r="J44" i="13" s="1"/>
  <c r="N45" i="13"/>
  <c r="M48" i="14"/>
  <c r="J48" i="11"/>
  <c r="K48" i="11"/>
  <c r="M47" i="13"/>
  <c r="Y55" i="11" l="1"/>
  <c r="Z55" i="11"/>
  <c r="T57" i="11"/>
  <c r="U57" i="11"/>
  <c r="P47" i="11"/>
  <c r="F46" i="11"/>
  <c r="G47" i="11" s="1"/>
  <c r="O47" i="11"/>
  <c r="N46" i="13"/>
  <c r="J45" i="13" a="1"/>
  <c r="J45" i="13" s="1"/>
  <c r="M48" i="13"/>
  <c r="M49" i="14"/>
  <c r="J44" i="14" a="1"/>
  <c r="J44" i="14" s="1"/>
  <c r="N45" i="14"/>
  <c r="K49" i="11"/>
  <c r="J49" i="11"/>
  <c r="Y56" i="11" l="1"/>
  <c r="Z56" i="11"/>
  <c r="T58" i="11"/>
  <c r="U58" i="11"/>
  <c r="F47" i="11"/>
  <c r="G48" i="11" s="1"/>
  <c r="O48" i="11"/>
  <c r="P48" i="11"/>
  <c r="M49" i="13"/>
  <c r="J46" i="13" a="1"/>
  <c r="J46" i="13" s="1"/>
  <c r="N47" i="13"/>
  <c r="N46" i="14"/>
  <c r="J45" i="14" a="1"/>
  <c r="J45" i="14" s="1"/>
  <c r="K50" i="11"/>
  <c r="J50" i="11"/>
  <c r="M50" i="14"/>
  <c r="Y57" i="11" l="1"/>
  <c r="Z57" i="11"/>
  <c r="T59" i="11"/>
  <c r="U59" i="11"/>
  <c r="P49" i="11"/>
  <c r="O49" i="11"/>
  <c r="F48" i="11"/>
  <c r="G49" i="11" s="1"/>
  <c r="J47" i="13" a="1"/>
  <c r="J47" i="13" s="1"/>
  <c r="N48" i="13"/>
  <c r="M51" i="14"/>
  <c r="K51" i="11"/>
  <c r="J51" i="11"/>
  <c r="J46" i="14" a="1"/>
  <c r="J46" i="14" s="1"/>
  <c r="N47" i="14"/>
  <c r="M50" i="13"/>
  <c r="Z58" i="11" l="1"/>
  <c r="Y58" i="11"/>
  <c r="T60" i="11"/>
  <c r="U60" i="11"/>
  <c r="P50" i="11"/>
  <c r="O50" i="11"/>
  <c r="F49" i="11"/>
  <c r="G50" i="11" s="1"/>
  <c r="J52" i="11"/>
  <c r="K52" i="11"/>
  <c r="M51" i="13"/>
  <c r="M52" i="14"/>
  <c r="J47" i="14" a="1"/>
  <c r="J47" i="14" s="1"/>
  <c r="N48" i="14"/>
  <c r="J48" i="13" a="1"/>
  <c r="J48" i="13" s="1"/>
  <c r="N49" i="13"/>
  <c r="Y59" i="11" l="1"/>
  <c r="Z59" i="11"/>
  <c r="T61" i="11"/>
  <c r="U61" i="11"/>
  <c r="P51" i="11"/>
  <c r="O51" i="11"/>
  <c r="F50" i="11"/>
  <c r="G51" i="11" s="1"/>
  <c r="M52" i="13"/>
  <c r="N50" i="13"/>
  <c r="J49" i="13" a="1"/>
  <c r="J49" i="13" s="1"/>
  <c r="M53" i="14"/>
  <c r="K53" i="11"/>
  <c r="J53" i="11"/>
  <c r="J48" i="14" a="1"/>
  <c r="J48" i="14" s="1"/>
  <c r="N49" i="14"/>
  <c r="Z60" i="11" l="1"/>
  <c r="Y60" i="11"/>
  <c r="T62" i="11"/>
  <c r="U62" i="11"/>
  <c r="P52" i="11"/>
  <c r="F51" i="11"/>
  <c r="G52" i="11" s="1"/>
  <c r="O52" i="11"/>
  <c r="K54" i="11"/>
  <c r="J54" i="11"/>
  <c r="M54" i="14"/>
  <c r="M53" i="13"/>
  <c r="J50" i="13" a="1"/>
  <c r="J50" i="13" s="1"/>
  <c r="N51" i="13"/>
  <c r="N50" i="14"/>
  <c r="J49" i="14" a="1"/>
  <c r="J49" i="14" s="1"/>
  <c r="Y61" i="11" l="1"/>
  <c r="Z61" i="11"/>
  <c r="T63" i="11"/>
  <c r="U63" i="11"/>
  <c r="P53" i="11"/>
  <c r="F52" i="11"/>
  <c r="G53" i="11" s="1"/>
  <c r="O53" i="11"/>
  <c r="M54" i="13"/>
  <c r="J51" i="13" a="1"/>
  <c r="J51" i="13" s="1"/>
  <c r="N52" i="13"/>
  <c r="J50" i="14" a="1"/>
  <c r="J50" i="14" s="1"/>
  <c r="N51" i="14"/>
  <c r="M55" i="14"/>
  <c r="K55" i="11"/>
  <c r="J55" i="11"/>
  <c r="Z62" i="11" l="1"/>
  <c r="Y62" i="11"/>
  <c r="T64" i="11"/>
  <c r="U64" i="11"/>
  <c r="O54" i="11"/>
  <c r="P54" i="11"/>
  <c r="F53" i="11"/>
  <c r="G54" i="11" s="1"/>
  <c r="M56" i="14"/>
  <c r="J52" i="13" a="1"/>
  <c r="J52" i="13" s="1"/>
  <c r="N53" i="13"/>
  <c r="M55" i="13"/>
  <c r="J56" i="11"/>
  <c r="K56" i="11"/>
  <c r="J51" i="14" a="1"/>
  <c r="J51" i="14" s="1"/>
  <c r="N52" i="14"/>
  <c r="Y63" i="11" l="1"/>
  <c r="Z63" i="11"/>
  <c r="T65" i="11"/>
  <c r="U65" i="11"/>
  <c r="P55" i="11"/>
  <c r="O55" i="11"/>
  <c r="F54" i="11"/>
  <c r="G55" i="11" s="1"/>
  <c r="J52" i="14" a="1"/>
  <c r="J52" i="14" s="1"/>
  <c r="N53" i="14"/>
  <c r="N54" i="13"/>
  <c r="J53" i="13" a="1"/>
  <c r="J53" i="13" s="1"/>
  <c r="M57" i="14"/>
  <c r="K57" i="11"/>
  <c r="J57" i="11"/>
  <c r="M56" i="13"/>
  <c r="Y64" i="11" l="1"/>
  <c r="Z64" i="11"/>
  <c r="T66" i="11"/>
  <c r="U66" i="11"/>
  <c r="F55" i="11"/>
  <c r="G56" i="11" s="1"/>
  <c r="P56" i="11"/>
  <c r="O56" i="11"/>
  <c r="N54" i="14"/>
  <c r="J53" i="14" a="1"/>
  <c r="J53" i="14" s="1"/>
  <c r="J54" i="13" a="1"/>
  <c r="J54" i="13" s="1"/>
  <c r="N55" i="13"/>
  <c r="K58" i="11"/>
  <c r="J58" i="11"/>
  <c r="M57" i="13"/>
  <c r="M58" i="14"/>
  <c r="Y65" i="11" l="1"/>
  <c r="Z65" i="11"/>
  <c r="T67" i="11"/>
  <c r="U67" i="11"/>
  <c r="P57" i="11"/>
  <c r="O57" i="11"/>
  <c r="F56" i="11"/>
  <c r="G57" i="11" s="1"/>
  <c r="K59" i="11"/>
  <c r="J59" i="11"/>
  <c r="N56" i="13"/>
  <c r="J55" i="13" a="1"/>
  <c r="J55" i="13" s="1"/>
  <c r="M59" i="14"/>
  <c r="M58" i="13"/>
  <c r="J54" i="14" a="1"/>
  <c r="J54" i="14" s="1"/>
  <c r="N55" i="14"/>
  <c r="Z66" i="11" l="1"/>
  <c r="Y66" i="11"/>
  <c r="U68" i="11"/>
  <c r="T68" i="11"/>
  <c r="F57" i="11"/>
  <c r="G58" i="11" s="1"/>
  <c r="P58" i="11"/>
  <c r="O58" i="11"/>
  <c r="J60" i="11"/>
  <c r="K60" i="11"/>
  <c r="N56" i="14"/>
  <c r="J55" i="14" a="1"/>
  <c r="J55" i="14" s="1"/>
  <c r="M60" i="14"/>
  <c r="N57" i="13"/>
  <c r="J56" i="13" a="1"/>
  <c r="J56" i="13" s="1"/>
  <c r="M59" i="13"/>
  <c r="Y67" i="11" l="1"/>
  <c r="Z67" i="11"/>
  <c r="U69" i="11"/>
  <c r="T69" i="11"/>
  <c r="F58" i="11"/>
  <c r="G59" i="11" s="1"/>
  <c r="P59" i="11"/>
  <c r="O59" i="11"/>
  <c r="N58" i="13"/>
  <c r="J57" i="13" a="1"/>
  <c r="J57" i="13" s="1"/>
  <c r="M60" i="13"/>
  <c r="K61" i="11"/>
  <c r="J61" i="11"/>
  <c r="N57" i="14"/>
  <c r="J56" i="14" a="1"/>
  <c r="J56" i="14" s="1"/>
  <c r="M61" i="14"/>
  <c r="Y68" i="11" l="1"/>
  <c r="Z68" i="11"/>
  <c r="U70" i="11"/>
  <c r="T70" i="11"/>
  <c r="P60" i="11"/>
  <c r="O60" i="11"/>
  <c r="F59" i="11"/>
  <c r="G60" i="11" s="1"/>
  <c r="N58" i="14"/>
  <c r="J57" i="14" a="1"/>
  <c r="J57" i="14" s="1"/>
  <c r="K62" i="11"/>
  <c r="J62" i="11"/>
  <c r="N59" i="13"/>
  <c r="J58" i="13" a="1"/>
  <c r="J58" i="13" s="1"/>
  <c r="M62" i="14"/>
  <c r="M61" i="13"/>
  <c r="Y69" i="11" l="1"/>
  <c r="Z69" i="11"/>
  <c r="T71" i="11"/>
  <c r="U71" i="11"/>
  <c r="O61" i="11"/>
  <c r="F60" i="11"/>
  <c r="G61" i="11" s="1"/>
  <c r="P61" i="11"/>
  <c r="M62" i="13"/>
  <c r="N60" i="13"/>
  <c r="J59" i="13" a="1"/>
  <c r="J59" i="13" s="1"/>
  <c r="M63" i="14"/>
  <c r="K63" i="11"/>
  <c r="J63" i="11"/>
  <c r="N59" i="14"/>
  <c r="J58" i="14" a="1"/>
  <c r="J58" i="14" s="1"/>
  <c r="Z70" i="11" l="1"/>
  <c r="Y70" i="11"/>
  <c r="U72" i="11"/>
  <c r="T72" i="11"/>
  <c r="O62" i="11"/>
  <c r="P62" i="11"/>
  <c r="F61" i="11"/>
  <c r="G62" i="11" s="1"/>
  <c r="M63" i="13"/>
  <c r="J64" i="11"/>
  <c r="K64" i="11"/>
  <c r="M64" i="14"/>
  <c r="N60" i="14"/>
  <c r="J59" i="14" a="1"/>
  <c r="J59" i="14" s="1"/>
  <c r="N61" i="13"/>
  <c r="J60" i="13" a="1"/>
  <c r="J60" i="13" s="1"/>
  <c r="Y71" i="11" l="1"/>
  <c r="Z71" i="11"/>
  <c r="T73" i="11"/>
  <c r="U73" i="11"/>
  <c r="P63" i="11"/>
  <c r="O63" i="11"/>
  <c r="F62" i="11"/>
  <c r="G63" i="11" s="1"/>
  <c r="M64" i="13"/>
  <c r="N61" i="14"/>
  <c r="J60" i="14" a="1"/>
  <c r="J60" i="14" s="1"/>
  <c r="N62" i="13"/>
  <c r="J61" i="13" a="1"/>
  <c r="J61" i="13" s="1"/>
  <c r="M65" i="14"/>
  <c r="K65" i="11"/>
  <c r="J65" i="11"/>
  <c r="Z72" i="11" l="1"/>
  <c r="Y72" i="11"/>
  <c r="T74" i="11"/>
  <c r="U74" i="11"/>
  <c r="F63" i="11"/>
  <c r="G64" i="11" s="1"/>
  <c r="P64" i="11"/>
  <c r="O64" i="11"/>
  <c r="K66" i="11"/>
  <c r="J66" i="11"/>
  <c r="N62" i="14"/>
  <c r="J61" i="14" a="1"/>
  <c r="J61" i="14" s="1"/>
  <c r="M66" i="14"/>
  <c r="M65" i="13"/>
  <c r="N63" i="13"/>
  <c r="J62" i="13" a="1"/>
  <c r="J62" i="13" s="1"/>
  <c r="Y73" i="11" l="1"/>
  <c r="Z73" i="11"/>
  <c r="T75" i="11"/>
  <c r="U75" i="11"/>
  <c r="P65" i="11"/>
  <c r="F64" i="11"/>
  <c r="G65" i="11" s="1"/>
  <c r="O65" i="11"/>
  <c r="N64" i="13"/>
  <c r="J63" i="13" a="1"/>
  <c r="J63" i="13" s="1"/>
  <c r="M66" i="13"/>
  <c r="M67" i="14"/>
  <c r="K67" i="11"/>
  <c r="J67" i="11"/>
  <c r="N63" i="14"/>
  <c r="J62" i="14" a="1"/>
  <c r="J62" i="14" s="1"/>
  <c r="Z74" i="11" l="1"/>
  <c r="Y74" i="11"/>
  <c r="U76" i="11"/>
  <c r="T76" i="11"/>
  <c r="F65" i="11"/>
  <c r="G66" i="11" s="1"/>
  <c r="O66" i="11"/>
  <c r="P66" i="11"/>
  <c r="M67" i="13"/>
  <c r="N64" i="14"/>
  <c r="J63" i="14" a="1"/>
  <c r="J63" i="14" s="1"/>
  <c r="M68" i="14"/>
  <c r="J68" i="11"/>
  <c r="K68" i="11"/>
  <c r="N65" i="13"/>
  <c r="J64" i="13" a="1"/>
  <c r="J64" i="13" s="1"/>
  <c r="Z75" i="11" l="1"/>
  <c r="Y75" i="11"/>
  <c r="T77" i="11"/>
  <c r="U77" i="11"/>
  <c r="O67" i="11"/>
  <c r="P67" i="11"/>
  <c r="F66" i="11"/>
  <c r="G67" i="11" s="1"/>
  <c r="K69" i="11"/>
  <c r="J69" i="11"/>
  <c r="N65" i="14"/>
  <c r="J64" i="14" a="1"/>
  <c r="J64" i="14" s="1"/>
  <c r="N66" i="13"/>
  <c r="J65" i="13" a="1"/>
  <c r="J65" i="13" s="1"/>
  <c r="M69" i="14"/>
  <c r="M68" i="13"/>
  <c r="Y76" i="11" l="1"/>
  <c r="Z76" i="11"/>
  <c r="U78" i="11"/>
  <c r="T78" i="11"/>
  <c r="O68" i="11"/>
  <c r="F67" i="11"/>
  <c r="G68" i="11" s="1"/>
  <c r="P68" i="11"/>
  <c r="N66" i="14"/>
  <c r="J65" i="14" a="1"/>
  <c r="J65" i="14" s="1"/>
  <c r="M69" i="13"/>
  <c r="M70" i="14"/>
  <c r="N67" i="13"/>
  <c r="J66" i="13" a="1"/>
  <c r="J66" i="13" s="1"/>
  <c r="K70" i="11"/>
  <c r="J70" i="11"/>
  <c r="Y77" i="11" l="1"/>
  <c r="Z77" i="11"/>
  <c r="T79" i="11"/>
  <c r="U79" i="11"/>
  <c r="F68" i="11"/>
  <c r="G69" i="11" s="1"/>
  <c r="O69" i="11"/>
  <c r="P69" i="11"/>
  <c r="N68" i="13"/>
  <c r="J67" i="13" a="1"/>
  <c r="J67" i="13" s="1"/>
  <c r="N67" i="14"/>
  <c r="J66" i="14" a="1"/>
  <c r="J66" i="14" s="1"/>
  <c r="M70" i="13"/>
  <c r="K71" i="11"/>
  <c r="J71" i="11"/>
  <c r="M71" i="14"/>
  <c r="Z78" i="11" l="1"/>
  <c r="Y78" i="11"/>
  <c r="U80" i="11"/>
  <c r="T80" i="11"/>
  <c r="F69" i="11"/>
  <c r="G70" i="11" s="1"/>
  <c r="O70" i="11"/>
  <c r="P70" i="11"/>
  <c r="M71" i="13"/>
  <c r="M72" i="14"/>
  <c r="J72" i="11"/>
  <c r="K72" i="11"/>
  <c r="N69" i="13"/>
  <c r="J68" i="13" a="1"/>
  <c r="J68" i="13" s="1"/>
  <c r="N68" i="14"/>
  <c r="J67" i="14" a="1"/>
  <c r="J67" i="14" s="1"/>
  <c r="Y79" i="11" l="1"/>
  <c r="Z79" i="11"/>
  <c r="T81" i="11"/>
  <c r="U81" i="11"/>
  <c r="F70" i="11"/>
  <c r="G71" i="11" s="1"/>
  <c r="P71" i="11"/>
  <c r="O71" i="11"/>
  <c r="N69" i="14"/>
  <c r="J68" i="14" a="1"/>
  <c r="J68" i="14" s="1"/>
  <c r="M73" i="14"/>
  <c r="K73" i="11"/>
  <c r="J73" i="11"/>
  <c r="M72" i="13"/>
  <c r="N70" i="13"/>
  <c r="J69" i="13" a="1"/>
  <c r="J69" i="13" s="1"/>
  <c r="Y80" i="11" l="1"/>
  <c r="Z80" i="11"/>
  <c r="U82" i="11"/>
  <c r="T82" i="11"/>
  <c r="P72" i="11"/>
  <c r="O72" i="11"/>
  <c r="F71" i="11"/>
  <c r="G72" i="11" s="1"/>
  <c r="N70" i="14"/>
  <c r="J69" i="14" a="1"/>
  <c r="J69" i="14" s="1"/>
  <c r="K74" i="11"/>
  <c r="J74" i="11"/>
  <c r="M74" i="14"/>
  <c r="M73" i="13"/>
  <c r="N71" i="13"/>
  <c r="J70" i="13" a="1"/>
  <c r="J70" i="13" s="1"/>
  <c r="Y81" i="11" l="1"/>
  <c r="Z81" i="11"/>
  <c r="I6" i="12"/>
  <c r="T4" i="11"/>
  <c r="I3" i="12" s="1"/>
  <c r="I8" i="12" s="1"/>
  <c r="B24" i="2"/>
  <c r="P73" i="11"/>
  <c r="F72" i="11"/>
  <c r="G73" i="11" s="1"/>
  <c r="O73" i="11"/>
  <c r="K75" i="11"/>
  <c r="J75" i="11"/>
  <c r="N71" i="14"/>
  <c r="J70" i="14" a="1"/>
  <c r="J70" i="14" s="1"/>
  <c r="M74" i="13"/>
  <c r="N72" i="13"/>
  <c r="J71" i="13" a="1"/>
  <c r="J71" i="13" s="1"/>
  <c r="M75" i="14"/>
  <c r="Y82" i="11" l="1"/>
  <c r="Z82" i="11"/>
  <c r="O74" i="11"/>
  <c r="F73" i="11"/>
  <c r="G74" i="11" s="1"/>
  <c r="P74" i="11"/>
  <c r="M76" i="14"/>
  <c r="M75" i="13"/>
  <c r="N72" i="14"/>
  <c r="J71" i="14" a="1"/>
  <c r="J71" i="14" s="1"/>
  <c r="N73" i="13"/>
  <c r="J72" i="13" a="1"/>
  <c r="J72" i="13" s="1"/>
  <c r="J76" i="11"/>
  <c r="K76" i="11"/>
  <c r="Y4" i="11" l="1"/>
  <c r="K3" i="12" s="1"/>
  <c r="B25" i="2"/>
  <c r="K6" i="12"/>
  <c r="P75" i="11"/>
  <c r="O75" i="11"/>
  <c r="F74" i="11"/>
  <c r="G75" i="11" s="1"/>
  <c r="N74" i="13"/>
  <c r="J73" i="13" a="1"/>
  <c r="J73" i="13" s="1"/>
  <c r="M76" i="13"/>
  <c r="K77" i="11"/>
  <c r="J77" i="11"/>
  <c r="M77" i="14"/>
  <c r="N73" i="14"/>
  <c r="J72" i="14" a="1"/>
  <c r="J72" i="14" s="1"/>
  <c r="K8" i="12" l="1"/>
  <c r="B1" i="14" s="1"/>
  <c r="O23" i="2"/>
  <c r="O20" i="2"/>
  <c r="O27" i="2"/>
  <c r="O76" i="11"/>
  <c r="P76" i="11"/>
  <c r="F75" i="11"/>
  <c r="G76" i="11" s="1"/>
  <c r="M78" i="14"/>
  <c r="M77" i="13"/>
  <c r="K78" i="11"/>
  <c r="J78" i="11"/>
  <c r="N74" i="14"/>
  <c r="J73" i="14" a="1"/>
  <c r="J73" i="14" s="1"/>
  <c r="N75" i="13"/>
  <c r="J74" i="13" a="1"/>
  <c r="J74" i="13" s="1"/>
  <c r="B8" i="14" l="1"/>
  <c r="I8" i="14"/>
  <c r="K8" i="14" s="1"/>
  <c r="L8" i="14" s="1"/>
  <c r="I9" i="14" s="1"/>
  <c r="K9" i="14" s="1"/>
  <c r="L9" i="14" s="1"/>
  <c r="I10" i="14" s="1"/>
  <c r="O77" i="11"/>
  <c r="P77" i="11"/>
  <c r="F76" i="11"/>
  <c r="G77" i="11" s="1"/>
  <c r="M78" i="13"/>
  <c r="K79" i="11"/>
  <c r="J79" i="11"/>
  <c r="N75" i="14"/>
  <c r="J74" i="14" a="1"/>
  <c r="J74" i="14" s="1"/>
  <c r="M79" i="14"/>
  <c r="N76" i="13"/>
  <c r="J75" i="13" a="1"/>
  <c r="J75" i="13" s="1"/>
  <c r="O78" i="11" l="1"/>
  <c r="P78" i="11"/>
  <c r="F77" i="11"/>
  <c r="G78" i="11" s="1"/>
  <c r="M80" i="14"/>
  <c r="J80" i="11"/>
  <c r="K80" i="11"/>
  <c r="N76" i="14"/>
  <c r="J75" i="14" a="1"/>
  <c r="J75" i="14" s="1"/>
  <c r="M79" i="13"/>
  <c r="N77" i="13"/>
  <c r="J76" i="13" a="1"/>
  <c r="J76" i="13" s="1"/>
  <c r="K10" i="14"/>
  <c r="P79" i="11" l="1"/>
  <c r="F78" i="11"/>
  <c r="G79" i="11" s="1"/>
  <c r="O79" i="11"/>
  <c r="K81" i="11"/>
  <c r="J81" i="11"/>
  <c r="N78" i="13"/>
  <c r="J77" i="13" a="1"/>
  <c r="J77" i="13" s="1"/>
  <c r="N77" i="14"/>
  <c r="J76" i="14" a="1"/>
  <c r="J76" i="14" s="1"/>
  <c r="M81" i="14"/>
  <c r="L10" i="14"/>
  <c r="M80" i="13"/>
  <c r="A104" i="11" l="1"/>
  <c r="K82" i="11"/>
  <c r="J82" i="11"/>
  <c r="O80" i="11"/>
  <c r="F79" i="11"/>
  <c r="G80" i="11" s="1"/>
  <c r="P80" i="11"/>
  <c r="N79" i="13"/>
  <c r="J78" i="13" a="1"/>
  <c r="J78" i="13" s="1"/>
  <c r="M81" i="13"/>
  <c r="I11" i="14"/>
  <c r="N78" i="14"/>
  <c r="J77" i="14" a="1"/>
  <c r="J77" i="14" s="1"/>
  <c r="M82" i="14"/>
  <c r="E6" i="12" l="1"/>
  <c r="A98" i="11"/>
  <c r="F80" i="11"/>
  <c r="G81" i="11" s="1"/>
  <c r="P81" i="11"/>
  <c r="O81" i="11"/>
  <c r="M83" i="14"/>
  <c r="M82" i="13"/>
  <c r="N79" i="14"/>
  <c r="J78" i="14" a="1"/>
  <c r="J78" i="14" s="1"/>
  <c r="J4" i="11"/>
  <c r="E3" i="12" s="1"/>
  <c r="B22" i="2"/>
  <c r="K11" i="14"/>
  <c r="L11" i="14" s="1"/>
  <c r="N80" i="13"/>
  <c r="J79" i="13" a="1"/>
  <c r="J79" i="13" s="1"/>
  <c r="P82" i="11" l="1"/>
  <c r="O82" i="11"/>
  <c r="A100" i="11"/>
  <c r="A90" i="11"/>
  <c r="F81" i="11"/>
  <c r="G82" i="11" s="1"/>
  <c r="E8" i="12"/>
  <c r="I12" i="14"/>
  <c r="M83" i="13"/>
  <c r="N81" i="13"/>
  <c r="J80" i="13" a="1"/>
  <c r="J80" i="13" s="1"/>
  <c r="N80" i="14"/>
  <c r="J79" i="14" a="1"/>
  <c r="J79" i="14" s="1"/>
  <c r="M84" i="14"/>
  <c r="F82" i="11" l="1"/>
  <c r="D4" i="11" s="1"/>
  <c r="F2" i="11" s="1"/>
  <c r="G2" i="11" s="1"/>
  <c r="A94" i="11"/>
  <c r="A102" i="11"/>
  <c r="M84" i="13"/>
  <c r="M85" i="14"/>
  <c r="N82" i="13"/>
  <c r="J81" i="13" a="1"/>
  <c r="J81" i="13" s="1"/>
  <c r="N81" i="14"/>
  <c r="J80" i="14" a="1"/>
  <c r="J80" i="14" s="1"/>
  <c r="K12" i="14"/>
  <c r="L12" i="14" s="1"/>
  <c r="B6" i="11" l="1"/>
  <c r="O4" i="11"/>
  <c r="G3" i="12" s="1"/>
  <c r="G8" i="12" s="1"/>
  <c r="C8" i="12" s="1"/>
  <c r="G6" i="12"/>
  <c r="C6" i="12" s="1"/>
  <c r="B23" i="2"/>
  <c r="O26" i="2" s="1"/>
  <c r="O37" i="2" s="1"/>
  <c r="E2" i="11"/>
  <c r="M85" i="13"/>
  <c r="N83" i="13"/>
  <c r="J82" i="13" a="1"/>
  <c r="J82" i="13" s="1"/>
  <c r="M86" i="14"/>
  <c r="I13" i="14"/>
  <c r="N82" i="14"/>
  <c r="J81" i="14" a="1"/>
  <c r="J81" i="14" s="1"/>
  <c r="O19" i="2" l="1"/>
  <c r="O35" i="2" s="1"/>
  <c r="B26" i="2"/>
  <c r="F1" i="2" s="1"/>
  <c r="F3" i="2" s="1"/>
  <c r="O22" i="2"/>
  <c r="O36" i="2" s="1"/>
  <c r="B1" i="13"/>
  <c r="I8" i="13" s="1"/>
  <c r="K8" i="13" s="1"/>
  <c r="L8" i="13" s="1"/>
  <c r="N83" i="14"/>
  <c r="J82" i="14" a="1"/>
  <c r="J82" i="14" s="1"/>
  <c r="M86" i="13"/>
  <c r="K13" i="14"/>
  <c r="L13" i="14" s="1"/>
  <c r="M87" i="14"/>
  <c r="N84" i="13"/>
  <c r="J83" i="13" a="1"/>
  <c r="J83" i="13" s="1"/>
  <c r="O40" i="2" l="1"/>
  <c r="O18" i="2"/>
  <c r="P31" i="2" s="1"/>
  <c r="F29" i="2"/>
  <c r="B8" i="13"/>
  <c r="P22" i="2"/>
  <c r="L17" i="2"/>
  <c r="C19" i="2"/>
  <c r="C7" i="2"/>
  <c r="L16" i="2"/>
  <c r="C31" i="2"/>
  <c r="L8" i="2"/>
  <c r="C40" i="2"/>
  <c r="L15" i="2"/>
  <c r="L12" i="2"/>
  <c r="C26" i="2"/>
  <c r="E20" i="2"/>
  <c r="L5" i="2"/>
  <c r="L6" i="2"/>
  <c r="Q11" i="10" a="1"/>
  <c r="Q11" i="10" s="1"/>
  <c r="I9" i="13"/>
  <c r="M88" i="14"/>
  <c r="I14" i="14"/>
  <c r="M87" i="13"/>
  <c r="N85" i="13"/>
  <c r="J84" i="13" a="1"/>
  <c r="J84" i="13" s="1"/>
  <c r="N84" i="14"/>
  <c r="J83" i="14" a="1"/>
  <c r="J83" i="14" s="1"/>
  <c r="P36" i="2" l="1"/>
  <c r="P20" i="2"/>
  <c r="P26" i="2"/>
  <c r="P30" i="2"/>
  <c r="P25" i="2"/>
  <c r="P21" i="2"/>
  <c r="P27" i="2"/>
  <c r="P19" i="2"/>
  <c r="P35" i="2"/>
  <c r="P37" i="2"/>
  <c r="P32" i="2"/>
  <c r="P28" i="2"/>
  <c r="P39" i="2"/>
  <c r="P23" i="2"/>
  <c r="P29" i="2"/>
  <c r="P24" i="2"/>
  <c r="P38" i="2"/>
  <c r="G29" i="2"/>
  <c r="G26" i="2"/>
  <c r="G28" i="2"/>
  <c r="G30" i="2"/>
  <c r="G25" i="2"/>
  <c r="G31" i="2"/>
  <c r="G27" i="2"/>
  <c r="G20" i="2"/>
  <c r="K24" i="2"/>
  <c r="K23" i="2"/>
  <c r="R2" i="2"/>
  <c r="R3" i="2" s="1"/>
  <c r="R4" i="2" s="1"/>
  <c r="R5" i="2" s="1"/>
  <c r="R6" i="2" s="1"/>
  <c r="R7" i="2" s="1"/>
  <c r="R8" i="2" s="1"/>
  <c r="R9" i="2" s="1"/>
  <c r="R10" i="2" s="1"/>
  <c r="R11" i="2" s="1"/>
  <c r="F20" i="2"/>
  <c r="F22" i="2" s="1"/>
  <c r="G22" i="2" s="1"/>
  <c r="K21" i="2"/>
  <c r="K22" i="2"/>
  <c r="K9" i="13"/>
  <c r="N86" i="13"/>
  <c r="J85" i="13" a="1"/>
  <c r="J85" i="13" s="1"/>
  <c r="K14" i="14"/>
  <c r="L14" i="14" s="1"/>
  <c r="I15" i="14" s="1"/>
  <c r="M88" i="13"/>
  <c r="M89" i="14"/>
  <c r="N85" i="14"/>
  <c r="J84" i="14" a="1"/>
  <c r="J84" i="14" s="1"/>
  <c r="P40" i="2" l="1"/>
  <c r="L9" i="13"/>
  <c r="K15" i="14"/>
  <c r="L15" i="14" s="1"/>
  <c r="I16" i="14" s="1"/>
  <c r="M90" i="14"/>
  <c r="N86" i="14"/>
  <c r="J85" i="14" a="1"/>
  <c r="J85" i="14" s="1"/>
  <c r="M89" i="13"/>
  <c r="N87" i="13"/>
  <c r="J86" i="13" a="1"/>
  <c r="J86" i="13" s="1"/>
  <c r="I10" i="13" l="1"/>
  <c r="Q12" i="10" a="1"/>
  <c r="Q12" i="10" s="1"/>
  <c r="K16" i="14"/>
  <c r="L16" i="14" s="1"/>
  <c r="I17" i="14" s="1"/>
  <c r="M90" i="13"/>
  <c r="M91" i="14"/>
  <c r="N88" i="13"/>
  <c r="J87" i="13" a="1"/>
  <c r="J87" i="13" s="1"/>
  <c r="N87" i="14"/>
  <c r="J86" i="14" a="1"/>
  <c r="J86" i="14" s="1"/>
  <c r="K10" i="13" l="1"/>
  <c r="K17" i="14"/>
  <c r="L17" i="14" s="1"/>
  <c r="I18" i="14" s="1"/>
  <c r="M91" i="13"/>
  <c r="N89" i="13"/>
  <c r="J88" i="13" a="1"/>
  <c r="J88" i="13" s="1"/>
  <c r="N88" i="14"/>
  <c r="J87" i="14" a="1"/>
  <c r="J87" i="14" s="1"/>
  <c r="M92" i="14"/>
  <c r="L10" i="13" l="1"/>
  <c r="K18" i="14"/>
  <c r="L18" i="14" s="1"/>
  <c r="I19" i="14" s="1"/>
  <c r="M92" i="13"/>
  <c r="M93" i="14"/>
  <c r="N89" i="14"/>
  <c r="J88" i="14" a="1"/>
  <c r="J88" i="14" s="1"/>
  <c r="N90" i="13"/>
  <c r="J89" i="13" a="1"/>
  <c r="J89" i="13" s="1"/>
  <c r="I11" i="13" l="1"/>
  <c r="Q13" i="10" a="1"/>
  <c r="Q13" i="10" s="1"/>
  <c r="K19" i="14"/>
  <c r="L19" i="14" s="1"/>
  <c r="I20" i="14" s="1"/>
  <c r="M93" i="13"/>
  <c r="N90" i="14"/>
  <c r="J89" i="14" a="1"/>
  <c r="J89" i="14" s="1"/>
  <c r="M94" i="14"/>
  <c r="N91" i="13"/>
  <c r="J90" i="13" a="1"/>
  <c r="J90" i="13" s="1"/>
  <c r="K11" i="13" l="1"/>
  <c r="L11" i="13" s="1"/>
  <c r="K20" i="14"/>
  <c r="M95" i="14"/>
  <c r="M94" i="13"/>
  <c r="N92" i="13"/>
  <c r="J91" i="13" a="1"/>
  <c r="J91" i="13" s="1"/>
  <c r="N91" i="14"/>
  <c r="J90" i="14" a="1"/>
  <c r="J90" i="14" s="1"/>
  <c r="I12" i="13" l="1"/>
  <c r="Q14" i="10" a="1"/>
  <c r="Q14" i="10" s="1"/>
  <c r="M96" i="14"/>
  <c r="N93" i="13"/>
  <c r="J92" i="13" a="1"/>
  <c r="J92" i="13" s="1"/>
  <c r="M95" i="13"/>
  <c r="N92" i="14"/>
  <c r="J91" i="14" a="1"/>
  <c r="J91" i="14" s="1"/>
  <c r="L20" i="14"/>
  <c r="I21" i="14" s="1"/>
  <c r="K12" i="13" l="1"/>
  <c r="L12" i="13" s="1"/>
  <c r="N94" i="13"/>
  <c r="J93" i="13" a="1"/>
  <c r="J93" i="13" s="1"/>
  <c r="N93" i="14"/>
  <c r="J92" i="14" a="1"/>
  <c r="J92" i="14" s="1"/>
  <c r="M96" i="13"/>
  <c r="K21" i="14"/>
  <c r="M97" i="14"/>
  <c r="Q15" i="10" l="1" a="1"/>
  <c r="Q15" i="10" s="1"/>
  <c r="I13" i="13"/>
  <c r="N95" i="13"/>
  <c r="J94" i="13" a="1"/>
  <c r="J94" i="13" s="1"/>
  <c r="L21" i="14"/>
  <c r="I22" i="14" s="1"/>
  <c r="N94" i="14"/>
  <c r="J93" i="14" a="1"/>
  <c r="J93" i="14" s="1"/>
  <c r="M98" i="14"/>
  <c r="M97" i="13"/>
  <c r="K13" i="13" l="1"/>
  <c r="L13" i="13" s="1"/>
  <c r="I14" i="13" s="1"/>
  <c r="M98" i="13"/>
  <c r="N95" i="14"/>
  <c r="J94" i="14" a="1"/>
  <c r="J94" i="14" s="1"/>
  <c r="N96" i="13"/>
  <c r="J95" i="13" a="1"/>
  <c r="J95" i="13" s="1"/>
  <c r="M99" i="14"/>
  <c r="K22" i="14"/>
  <c r="K14" i="13" l="1"/>
  <c r="L14" i="13" s="1"/>
  <c r="M100" i="14"/>
  <c r="N96" i="14"/>
  <c r="J95" i="14" a="1"/>
  <c r="J95" i="14" s="1"/>
  <c r="M99" i="13"/>
  <c r="L22" i="14"/>
  <c r="I23" i="14" s="1"/>
  <c r="N97" i="13"/>
  <c r="J96" i="13" a="1"/>
  <c r="J96" i="13" s="1"/>
  <c r="Q17" i="10" l="1" a="1"/>
  <c r="Q17" i="10" s="1"/>
  <c r="I15" i="13"/>
  <c r="M100" i="13"/>
  <c r="M101" i="14"/>
  <c r="N98" i="13"/>
  <c r="J97" i="13" a="1"/>
  <c r="J97" i="13" s="1"/>
  <c r="K23" i="14"/>
  <c r="L23" i="14" s="1"/>
  <c r="I24" i="14" s="1"/>
  <c r="N97" i="14"/>
  <c r="J96" i="14" a="1"/>
  <c r="J96" i="14" s="1"/>
  <c r="K15" i="13" l="1"/>
  <c r="L15" i="13" s="1"/>
  <c r="I16" i="13" s="1"/>
  <c r="K24" i="14"/>
  <c r="L24" i="14" s="1"/>
  <c r="I25" i="14" s="1"/>
  <c r="N98" i="14"/>
  <c r="J97" i="14" a="1"/>
  <c r="J97" i="14" s="1"/>
  <c r="M101" i="13"/>
  <c r="M102" i="14"/>
  <c r="N99" i="13"/>
  <c r="J98" i="13" a="1"/>
  <c r="J98" i="13" s="1"/>
  <c r="K16" i="13" l="1"/>
  <c r="L16" i="13" s="1"/>
  <c r="I17" i="13" s="1"/>
  <c r="K25" i="14"/>
  <c r="L25" i="14" s="1"/>
  <c r="I26" i="14" s="1"/>
  <c r="N100" i="13"/>
  <c r="J99" i="13" a="1"/>
  <c r="J99" i="13" s="1"/>
  <c r="N99" i="14"/>
  <c r="J98" i="14" a="1"/>
  <c r="J98" i="14" s="1"/>
  <c r="M103" i="14"/>
  <c r="M102" i="13"/>
  <c r="K17" i="13" l="1"/>
  <c r="L17" i="13" s="1"/>
  <c r="I18" i="13" s="1"/>
  <c r="K26" i="14"/>
  <c r="L26" i="14" s="1"/>
  <c r="I27" i="14" s="1"/>
  <c r="M103" i="13"/>
  <c r="N100" i="14"/>
  <c r="J99" i="14" a="1"/>
  <c r="J99" i="14" s="1"/>
  <c r="M104" i="14"/>
  <c r="N101" i="13"/>
  <c r="J100" i="13" a="1"/>
  <c r="J100" i="13" s="1"/>
  <c r="K18" i="13" l="1"/>
  <c r="L18" i="13" s="1"/>
  <c r="I19" i="13" s="1"/>
  <c r="K27" i="14"/>
  <c r="L27" i="14" s="1"/>
  <c r="I28" i="14" s="1"/>
  <c r="N101" i="14"/>
  <c r="J100" i="14" a="1"/>
  <c r="J100" i="14" s="1"/>
  <c r="M105" i="14"/>
  <c r="N102" i="13"/>
  <c r="J101" i="13" a="1"/>
  <c r="J101" i="13" s="1"/>
  <c r="M104" i="13"/>
  <c r="K19" i="13" l="1"/>
  <c r="L19" i="13" s="1"/>
  <c r="I20" i="13" s="1"/>
  <c r="K28" i="14"/>
  <c r="L28" i="14" s="1"/>
  <c r="I29" i="14" s="1"/>
  <c r="M105" i="13"/>
  <c r="M106" i="14"/>
  <c r="N103" i="13"/>
  <c r="J102" i="13" a="1"/>
  <c r="J102" i="13" s="1"/>
  <c r="N102" i="14"/>
  <c r="J101" i="14" a="1"/>
  <c r="J101" i="14" s="1"/>
  <c r="K20" i="13" l="1"/>
  <c r="K29" i="14"/>
  <c r="L29" i="14" s="1"/>
  <c r="I30" i="14" s="1"/>
  <c r="N103" i="14"/>
  <c r="J102" i="14" a="1"/>
  <c r="J102" i="14" s="1"/>
  <c r="M106" i="13"/>
  <c r="M107" i="14"/>
  <c r="N104" i="13"/>
  <c r="J103" i="13" a="1"/>
  <c r="J103" i="13" s="1"/>
  <c r="L20" i="13" l="1"/>
  <c r="I21" i="13" s="1"/>
  <c r="K30" i="14"/>
  <c r="L30" i="14" s="1"/>
  <c r="I31" i="14" s="1"/>
  <c r="M107" i="13"/>
  <c r="N104" i="14"/>
  <c r="J103" i="14" a="1"/>
  <c r="J103" i="14" s="1"/>
  <c r="M108" i="14"/>
  <c r="N105" i="13"/>
  <c r="J104" i="13" a="1"/>
  <c r="J104" i="13" s="1"/>
  <c r="K21" i="13" l="1"/>
  <c r="K31" i="14"/>
  <c r="L31" i="14" s="1"/>
  <c r="I32" i="14" s="1"/>
  <c r="M109" i="14"/>
  <c r="M108" i="13"/>
  <c r="N106" i="13"/>
  <c r="J105" i="13" a="1"/>
  <c r="J105" i="13" s="1"/>
  <c r="N105" i="14"/>
  <c r="J104" i="14" a="1"/>
  <c r="J104" i="14" s="1"/>
  <c r="L21" i="13" l="1"/>
  <c r="I22" i="13" s="1"/>
  <c r="K32" i="14"/>
  <c r="N107" i="13"/>
  <c r="J106" i="13" a="1"/>
  <c r="J106" i="13" s="1"/>
  <c r="M109" i="13"/>
  <c r="N106" i="14"/>
  <c r="J105" i="14" a="1"/>
  <c r="J105" i="14" s="1"/>
  <c r="M110" i="14"/>
  <c r="K22" i="13" l="1"/>
  <c r="N108" i="13"/>
  <c r="J107" i="13" a="1"/>
  <c r="J107" i="13" s="1"/>
  <c r="M110" i="13"/>
  <c r="M111" i="14"/>
  <c r="N107" i="14"/>
  <c r="J106" i="14" a="1"/>
  <c r="J106" i="14" s="1"/>
  <c r="L32" i="14"/>
  <c r="I33" i="14" s="1"/>
  <c r="L22" i="13" l="1"/>
  <c r="I23" i="13" s="1"/>
  <c r="N108" i="14"/>
  <c r="J107" i="14" a="1"/>
  <c r="J107" i="14" s="1"/>
  <c r="M111" i="13"/>
  <c r="N109" i="13"/>
  <c r="J108" i="13" a="1"/>
  <c r="J108" i="13" s="1"/>
  <c r="K33" i="14"/>
  <c r="M112" i="14"/>
  <c r="K23" i="13" l="1"/>
  <c r="L23" i="13" s="1"/>
  <c r="I24" i="13" s="1"/>
  <c r="M112" i="13"/>
  <c r="M113" i="14"/>
  <c r="N110" i="13"/>
  <c r="J109" i="13" a="1"/>
  <c r="J109" i="13" s="1"/>
  <c r="L33" i="14"/>
  <c r="I34" i="14" s="1"/>
  <c r="N109" i="14"/>
  <c r="J108" i="14" a="1"/>
  <c r="J108" i="14" s="1"/>
  <c r="K24" i="13" l="1"/>
  <c r="L24" i="13" s="1"/>
  <c r="I25" i="13" s="1"/>
  <c r="N111" i="13"/>
  <c r="J110" i="13" a="1"/>
  <c r="J110" i="13" s="1"/>
  <c r="N110" i="14"/>
  <c r="J109" i="14" a="1"/>
  <c r="J109" i="14" s="1"/>
  <c r="K34" i="14"/>
  <c r="L34" i="14" s="1"/>
  <c r="I35" i="14" s="1"/>
  <c r="M114" i="14"/>
  <c r="M113" i="13"/>
  <c r="K25" i="13" l="1"/>
  <c r="L25" i="13" s="1"/>
  <c r="I26" i="13" s="1"/>
  <c r="K35" i="14"/>
  <c r="L35" i="14" s="1"/>
  <c r="I36" i="14" s="1"/>
  <c r="M114" i="13"/>
  <c r="N112" i="13"/>
  <c r="J111" i="13" a="1"/>
  <c r="J111" i="13" s="1"/>
  <c r="M115" i="14"/>
  <c r="N111" i="14"/>
  <c r="J110" i="14" a="1"/>
  <c r="J110" i="14" s="1"/>
  <c r="K26" i="13" l="1"/>
  <c r="L26" i="13" s="1"/>
  <c r="I27" i="13" s="1"/>
  <c r="K36" i="14"/>
  <c r="L36" i="14" s="1"/>
  <c r="I37" i="14" s="1"/>
  <c r="N113" i="13"/>
  <c r="J112" i="13" a="1"/>
  <c r="J112" i="13" s="1"/>
  <c r="N112" i="14"/>
  <c r="J111" i="14" a="1"/>
  <c r="J111" i="14" s="1"/>
  <c r="M116" i="14"/>
  <c r="M115" i="13"/>
  <c r="K27" i="13" l="1"/>
  <c r="L27" i="13" s="1"/>
  <c r="I28" i="13" s="1"/>
  <c r="K37" i="14"/>
  <c r="L37" i="14" s="1"/>
  <c r="I38" i="14" s="1"/>
  <c r="M116" i="13"/>
  <c r="N113" i="14"/>
  <c r="J112" i="14" a="1"/>
  <c r="J112" i="14" s="1"/>
  <c r="M117" i="14"/>
  <c r="N114" i="13"/>
  <c r="J113" i="13" a="1"/>
  <c r="J113" i="13" s="1"/>
  <c r="K28" i="13" l="1"/>
  <c r="L28" i="13" s="1"/>
  <c r="I29" i="13" s="1"/>
  <c r="K38" i="14"/>
  <c r="L38" i="14" s="1"/>
  <c r="I39" i="14" s="1"/>
  <c r="N114" i="14"/>
  <c r="J113" i="14" a="1"/>
  <c r="J113" i="14" s="1"/>
  <c r="M118" i="14"/>
  <c r="N115" i="13"/>
  <c r="J114" i="13" a="1"/>
  <c r="J114" i="13" s="1"/>
  <c r="M117" i="13"/>
  <c r="K29" i="13" l="1"/>
  <c r="L29" i="13" s="1"/>
  <c r="I30" i="13" s="1"/>
  <c r="K39" i="14"/>
  <c r="L39" i="14" s="1"/>
  <c r="I40" i="14" s="1"/>
  <c r="M118" i="13"/>
  <c r="N115" i="14"/>
  <c r="J114" i="14" a="1"/>
  <c r="J114" i="14" s="1"/>
  <c r="N116" i="13"/>
  <c r="J115" i="13" a="1"/>
  <c r="J115" i="13" s="1"/>
  <c r="M119" i="14"/>
  <c r="K30" i="13" l="1"/>
  <c r="L30" i="13" s="1"/>
  <c r="I31" i="13" s="1"/>
  <c r="K40" i="14"/>
  <c r="L40" i="14" s="1"/>
  <c r="I41" i="14" s="1"/>
  <c r="N116" i="14"/>
  <c r="J115" i="14" a="1"/>
  <c r="J115" i="14" s="1"/>
  <c r="M119" i="13"/>
  <c r="M120" i="14"/>
  <c r="N117" i="13"/>
  <c r="J116" i="13" a="1"/>
  <c r="J116" i="13" s="1"/>
  <c r="K31" i="13" l="1"/>
  <c r="L31" i="13" s="1"/>
  <c r="I32" i="13" s="1"/>
  <c r="K41" i="14"/>
  <c r="L41" i="14" s="1"/>
  <c r="I42" i="14" s="1"/>
  <c r="M120" i="13"/>
  <c r="N118" i="13"/>
  <c r="J117" i="13" a="1"/>
  <c r="J117" i="13" s="1"/>
  <c r="M121" i="14"/>
  <c r="N117" i="14"/>
  <c r="J116" i="14" a="1"/>
  <c r="J116" i="14" s="1"/>
  <c r="K32" i="13" l="1"/>
  <c r="K42" i="14"/>
  <c r="L42" i="14" s="1"/>
  <c r="I43" i="14" s="1"/>
  <c r="N118" i="14"/>
  <c r="J117" i="14" a="1"/>
  <c r="J117" i="14" s="1"/>
  <c r="N119" i="13"/>
  <c r="J118" i="13" a="1"/>
  <c r="J118" i="13" s="1"/>
  <c r="M122" i="14"/>
  <c r="M121" i="13"/>
  <c r="L32" i="13" l="1"/>
  <c r="I33" i="13" s="1"/>
  <c r="K43" i="14"/>
  <c r="L43" i="14" s="1"/>
  <c r="I44" i="14" s="1"/>
  <c r="N119" i="14"/>
  <c r="J118" i="14" a="1"/>
  <c r="J118" i="14" s="1"/>
  <c r="M122" i="13"/>
  <c r="N120" i="13"/>
  <c r="J119" i="13" a="1"/>
  <c r="J119" i="13" s="1"/>
  <c r="M123" i="14"/>
  <c r="K33" i="13" l="1"/>
  <c r="K44" i="14"/>
  <c r="N120" i="14"/>
  <c r="J119" i="14" a="1"/>
  <c r="J119" i="14" s="1"/>
  <c r="N121" i="13"/>
  <c r="J120" i="13" a="1"/>
  <c r="J120" i="13" s="1"/>
  <c r="M123" i="13"/>
  <c r="M124" i="14"/>
  <c r="L33" i="13" l="1"/>
  <c r="I34" i="13" s="1"/>
  <c r="M124" i="13"/>
  <c r="N121" i="14"/>
  <c r="J120" i="14" a="1"/>
  <c r="J120" i="14" s="1"/>
  <c r="N122" i="13"/>
  <c r="J121" i="13" a="1"/>
  <c r="J121" i="13" s="1"/>
  <c r="M125" i="14"/>
  <c r="L44" i="14"/>
  <c r="I45" i="14" s="1"/>
  <c r="K34" i="13" l="1"/>
  <c r="N122" i="14"/>
  <c r="J121" i="14" a="1"/>
  <c r="J121" i="14" s="1"/>
  <c r="K45" i="14"/>
  <c r="L45" i="14" s="1"/>
  <c r="I46" i="14" s="1"/>
  <c r="N123" i="13"/>
  <c r="J122" i="13" a="1"/>
  <c r="J122" i="13" s="1"/>
  <c r="M125" i="13"/>
  <c r="M126" i="14"/>
  <c r="L34" i="13" l="1"/>
  <c r="I35" i="13" s="1"/>
  <c r="K46" i="14"/>
  <c r="L46" i="14" s="1"/>
  <c r="I47" i="14" s="1"/>
  <c r="M126" i="13"/>
  <c r="M127" i="14"/>
  <c r="N124" i="13"/>
  <c r="J123" i="13" a="1"/>
  <c r="J123" i="13" s="1"/>
  <c r="N123" i="14"/>
  <c r="J122" i="14" a="1"/>
  <c r="J122" i="14" s="1"/>
  <c r="K35" i="13" l="1"/>
  <c r="L35" i="13" s="1"/>
  <c r="I36" i="13" s="1"/>
  <c r="K47" i="14"/>
  <c r="N125" i="13"/>
  <c r="J124" i="13" a="1"/>
  <c r="J124" i="13" s="1"/>
  <c r="M127" i="13"/>
  <c r="N124" i="14"/>
  <c r="J123" i="14" a="1"/>
  <c r="J123" i="14" s="1"/>
  <c r="M128" i="14"/>
  <c r="K36" i="13" l="1"/>
  <c r="L36" i="13" s="1"/>
  <c r="I37" i="13" s="1"/>
  <c r="M129" i="14"/>
  <c r="M128" i="13"/>
  <c r="L47" i="14"/>
  <c r="I48" i="14" s="1"/>
  <c r="N125" i="14"/>
  <c r="J124" i="14" a="1"/>
  <c r="J124" i="14" s="1"/>
  <c r="N126" i="13"/>
  <c r="J125" i="13" a="1"/>
  <c r="J125" i="13" s="1"/>
  <c r="K37" i="13" l="1"/>
  <c r="L37" i="13" s="1"/>
  <c r="I38" i="13" s="1"/>
  <c r="M130" i="14"/>
  <c r="N127" i="13"/>
  <c r="J126" i="13" a="1"/>
  <c r="J126" i="13" s="1"/>
  <c r="M129" i="13"/>
  <c r="K48" i="14"/>
  <c r="L48" i="14" s="1"/>
  <c r="I49" i="14" s="1"/>
  <c r="N126" i="14"/>
  <c r="J125" i="14" a="1"/>
  <c r="J125" i="14" s="1"/>
  <c r="K38" i="13" l="1"/>
  <c r="L38" i="13" s="1"/>
  <c r="I39" i="13" s="1"/>
  <c r="K49" i="14"/>
  <c r="L49" i="14" s="1"/>
  <c r="I50" i="14" s="1"/>
  <c r="M130" i="13"/>
  <c r="M131" i="14"/>
  <c r="N127" i="14"/>
  <c r="J126" i="14" a="1"/>
  <c r="J126" i="14" s="1"/>
  <c r="N128" i="13"/>
  <c r="J127" i="13" a="1"/>
  <c r="J127" i="13" s="1"/>
  <c r="K39" i="13" l="1"/>
  <c r="L39" i="13" s="1"/>
  <c r="I40" i="13" s="1"/>
  <c r="K50" i="14"/>
  <c r="L50" i="14" s="1"/>
  <c r="I51" i="14" s="1"/>
  <c r="N129" i="13"/>
  <c r="J128" i="13" a="1"/>
  <c r="J128" i="13" s="1"/>
  <c r="M131" i="13"/>
  <c r="M132" i="14"/>
  <c r="N128" i="14"/>
  <c r="J127" i="14" a="1"/>
  <c r="J127" i="14" s="1"/>
  <c r="K40" i="13" l="1"/>
  <c r="L40" i="13" s="1"/>
  <c r="I41" i="13" s="1"/>
  <c r="K51" i="14"/>
  <c r="L51" i="14" s="1"/>
  <c r="I52" i="14" s="1"/>
  <c r="M132" i="13"/>
  <c r="N129" i="14"/>
  <c r="J128" i="14" a="1"/>
  <c r="J128" i="14" s="1"/>
  <c r="M133" i="14"/>
  <c r="N130" i="13"/>
  <c r="J129" i="13" a="1"/>
  <c r="J129" i="13" s="1"/>
  <c r="K41" i="13" l="1"/>
  <c r="L41" i="13" s="1"/>
  <c r="I42" i="13" s="1"/>
  <c r="K52" i="14"/>
  <c r="L52" i="14" s="1"/>
  <c r="I53" i="14" s="1"/>
  <c r="N131" i="13"/>
  <c r="J130" i="13" a="1"/>
  <c r="J130" i="13" s="1"/>
  <c r="N130" i="14"/>
  <c r="J129" i="14" a="1"/>
  <c r="J129" i="14" s="1"/>
  <c r="M134" i="14"/>
  <c r="M133" i="13"/>
  <c r="K42" i="13" l="1"/>
  <c r="L42" i="13" s="1"/>
  <c r="I43" i="13" s="1"/>
  <c r="K53" i="14"/>
  <c r="L53" i="14" s="1"/>
  <c r="I54" i="14" s="1"/>
  <c r="M135" i="14"/>
  <c r="N132" i="13"/>
  <c r="J131" i="13" a="1"/>
  <c r="J131" i="13" s="1"/>
  <c r="M134" i="13"/>
  <c r="N131" i="14"/>
  <c r="J130" i="14" a="1"/>
  <c r="J130" i="14" s="1"/>
  <c r="K43" i="13" l="1"/>
  <c r="L43" i="13" s="1"/>
  <c r="I44" i="13" s="1"/>
  <c r="K54" i="14"/>
  <c r="L54" i="14" s="1"/>
  <c r="I55" i="14" s="1"/>
  <c r="N132" i="14"/>
  <c r="J131" i="14" a="1"/>
  <c r="J131" i="14" s="1"/>
  <c r="N133" i="13"/>
  <c r="J132" i="13" a="1"/>
  <c r="J132" i="13" s="1"/>
  <c r="M135" i="13"/>
  <c r="M136" i="14"/>
  <c r="K44" i="13" l="1"/>
  <c r="M137" i="14"/>
  <c r="N134" i="13"/>
  <c r="J133" i="13" a="1"/>
  <c r="J133" i="13" s="1"/>
  <c r="K55" i="14"/>
  <c r="L55" i="14" s="1"/>
  <c r="I56" i="14" s="1"/>
  <c r="M136" i="13"/>
  <c r="N133" i="14"/>
  <c r="J132" i="14" a="1"/>
  <c r="J132" i="14" s="1"/>
  <c r="L44" i="13" l="1"/>
  <c r="I45" i="13" s="1"/>
  <c r="K56" i="14"/>
  <c r="M137" i="13"/>
  <c r="N135" i="13"/>
  <c r="J134" i="13" a="1"/>
  <c r="J134" i="13" s="1"/>
  <c r="N134" i="14"/>
  <c r="J133" i="14" a="1"/>
  <c r="J133" i="14" s="1"/>
  <c r="M138" i="14"/>
  <c r="K45" i="13" l="1"/>
  <c r="N136" i="13"/>
  <c r="J135" i="13" a="1"/>
  <c r="J135" i="13" s="1"/>
  <c r="M139" i="14"/>
  <c r="M138" i="13"/>
  <c r="N135" i="14"/>
  <c r="J134" i="14" a="1"/>
  <c r="J134" i="14" s="1"/>
  <c r="L56" i="14"/>
  <c r="I57" i="14" s="1"/>
  <c r="L45" i="13" l="1"/>
  <c r="I46" i="13" s="1"/>
  <c r="M140" i="14"/>
  <c r="M139" i="13"/>
  <c r="K57" i="14"/>
  <c r="N136" i="14"/>
  <c r="J135" i="14" a="1"/>
  <c r="J135" i="14" s="1"/>
  <c r="N137" i="13"/>
  <c r="J136" i="13" a="1"/>
  <c r="J136" i="13" s="1"/>
  <c r="K46" i="13" l="1"/>
  <c r="M140" i="13"/>
  <c r="N138" i="13"/>
  <c r="J137" i="13" a="1"/>
  <c r="J137" i="13" s="1"/>
  <c r="M141" i="14"/>
  <c r="N137" i="14"/>
  <c r="J136" i="14" a="1"/>
  <c r="J136" i="14" s="1"/>
  <c r="L57" i="14"/>
  <c r="I58" i="14" s="1"/>
  <c r="L46" i="13" l="1"/>
  <c r="I47" i="13" s="1"/>
  <c r="K58" i="14"/>
  <c r="N139" i="13"/>
  <c r="J138" i="13" a="1"/>
  <c r="J138" i="13" s="1"/>
  <c r="M141" i="13"/>
  <c r="M142" i="14"/>
  <c r="N138" i="14"/>
  <c r="J137" i="14" a="1"/>
  <c r="J137" i="14" s="1"/>
  <c r="K47" i="13" l="1"/>
  <c r="L47" i="13" s="1"/>
  <c r="I48" i="13" s="1"/>
  <c r="M143" i="14"/>
  <c r="N140" i="13"/>
  <c r="J139" i="13" a="1"/>
  <c r="J139" i="13" s="1"/>
  <c r="M142" i="13"/>
  <c r="N139" i="14"/>
  <c r="J138" i="14" a="1"/>
  <c r="J138" i="14" s="1"/>
  <c r="L58" i="14"/>
  <c r="I59" i="14" s="1"/>
  <c r="K48" i="13" l="1"/>
  <c r="L48" i="13" s="1"/>
  <c r="I49" i="13" s="1"/>
  <c r="K59" i="14"/>
  <c r="L59" i="14" s="1"/>
  <c r="I60" i="14" s="1"/>
  <c r="M144" i="14"/>
  <c r="N140" i="14"/>
  <c r="J139" i="14" a="1"/>
  <c r="J139" i="14" s="1"/>
  <c r="M143" i="13"/>
  <c r="N141" i="13"/>
  <c r="J140" i="13" a="1"/>
  <c r="J140" i="13" s="1"/>
  <c r="K49" i="13" l="1"/>
  <c r="L49" i="13" s="1"/>
  <c r="I50" i="13" s="1"/>
  <c r="K60" i="14"/>
  <c r="L60" i="14" s="1"/>
  <c r="I61" i="14" s="1"/>
  <c r="N141" i="14"/>
  <c r="J140" i="14" a="1"/>
  <c r="J140" i="14" s="1"/>
  <c r="N142" i="13"/>
  <c r="J141" i="13" a="1"/>
  <c r="J141" i="13" s="1"/>
  <c r="M144" i="13"/>
  <c r="M145" i="14"/>
  <c r="K50" i="13" l="1"/>
  <c r="L50" i="13" s="1"/>
  <c r="I51" i="13" s="1"/>
  <c r="K61" i="14"/>
  <c r="L61" i="14" s="1"/>
  <c r="I62" i="14" s="1"/>
  <c r="N143" i="13"/>
  <c r="J142" i="13" a="1"/>
  <c r="J142" i="13" s="1"/>
  <c r="M145" i="13"/>
  <c r="M146" i="14"/>
  <c r="N142" i="14"/>
  <c r="J141" i="14" a="1"/>
  <c r="J141" i="14" s="1"/>
  <c r="K51" i="13" l="1"/>
  <c r="L51" i="13" s="1"/>
  <c r="I52" i="13" s="1"/>
  <c r="K62" i="14"/>
  <c r="L62" i="14" s="1"/>
  <c r="I63" i="14" s="1"/>
  <c r="M146" i="13"/>
  <c r="N143" i="14"/>
  <c r="J142" i="14" a="1"/>
  <c r="J142" i="14" s="1"/>
  <c r="M147" i="14"/>
  <c r="N144" i="13"/>
  <c r="J143" i="13" a="1"/>
  <c r="J143" i="13" s="1"/>
  <c r="K52" i="13" l="1"/>
  <c r="L52" i="13" s="1"/>
  <c r="I53" i="13" s="1"/>
  <c r="K63" i="14"/>
  <c r="L63" i="14" s="1"/>
  <c r="I64" i="14" s="1"/>
  <c r="N144" i="14"/>
  <c r="J143" i="14" a="1"/>
  <c r="J143" i="14" s="1"/>
  <c r="M148" i="14"/>
  <c r="M147" i="13"/>
  <c r="N145" i="13"/>
  <c r="J144" i="13" a="1"/>
  <c r="J144" i="13" s="1"/>
  <c r="K53" i="13" l="1"/>
  <c r="L53" i="13" s="1"/>
  <c r="I54" i="13" s="1"/>
  <c r="K64" i="14"/>
  <c r="L64" i="14" s="1"/>
  <c r="I65" i="14" s="1"/>
  <c r="M149" i="14"/>
  <c r="M148" i="13"/>
  <c r="N146" i="13"/>
  <c r="J145" i="13" a="1"/>
  <c r="J145" i="13" s="1"/>
  <c r="N145" i="14"/>
  <c r="J144" i="14" a="1"/>
  <c r="J144" i="14" s="1"/>
  <c r="K54" i="13" l="1"/>
  <c r="L54" i="13" s="1"/>
  <c r="I55" i="13" s="1"/>
  <c r="K65" i="14"/>
  <c r="L65" i="14" s="1"/>
  <c r="I66" i="14" s="1"/>
  <c r="M149" i="13"/>
  <c r="M150" i="14"/>
  <c r="N146" i="14"/>
  <c r="J145" i="14" a="1"/>
  <c r="J145" i="14" s="1"/>
  <c r="N147" i="13"/>
  <c r="J146" i="13" a="1"/>
  <c r="J146" i="13" s="1"/>
  <c r="K55" i="13" l="1"/>
  <c r="L55" i="13" s="1"/>
  <c r="I56" i="13" s="1"/>
  <c r="K66" i="14"/>
  <c r="L66" i="14" s="1"/>
  <c r="I67" i="14" s="1"/>
  <c r="M151" i="14"/>
  <c r="M150" i="13"/>
  <c r="N148" i="13"/>
  <c r="J147" i="13" a="1"/>
  <c r="J147" i="13" s="1"/>
  <c r="N147" i="14"/>
  <c r="J146" i="14" a="1"/>
  <c r="J146" i="14" s="1"/>
  <c r="K56" i="13" l="1"/>
  <c r="K67" i="14"/>
  <c r="L67" i="14" s="1"/>
  <c r="I68" i="14" s="1"/>
  <c r="M151" i="13"/>
  <c r="N148" i="14"/>
  <c r="J147" i="14" a="1"/>
  <c r="J147" i="14" s="1"/>
  <c r="M152" i="14"/>
  <c r="N149" i="13"/>
  <c r="J148" i="13" a="1"/>
  <c r="J148" i="13" s="1"/>
  <c r="L56" i="13" l="1"/>
  <c r="I57" i="13" s="1"/>
  <c r="K68" i="14"/>
  <c r="M152" i="13"/>
  <c r="N150" i="13"/>
  <c r="J149" i="13" a="1"/>
  <c r="J149" i="13" s="1"/>
  <c r="M153" i="14"/>
  <c r="N149" i="14"/>
  <c r="J148" i="14" a="1"/>
  <c r="J148" i="14" s="1"/>
  <c r="K57" i="13" l="1"/>
  <c r="N150" i="14"/>
  <c r="J149" i="14" a="1"/>
  <c r="J149" i="14" s="1"/>
  <c r="N151" i="13"/>
  <c r="J150" i="13" a="1"/>
  <c r="J150" i="13" s="1"/>
  <c r="M154" i="14"/>
  <c r="M153" i="13"/>
  <c r="L68" i="14"/>
  <c r="I69" i="14" s="1"/>
  <c r="L57" i="13" l="1"/>
  <c r="I58" i="13" s="1"/>
  <c r="K69" i="14"/>
  <c r="M155" i="14"/>
  <c r="N152" i="13"/>
  <c r="J151" i="13" a="1"/>
  <c r="J151" i="13" s="1"/>
  <c r="M154" i="13"/>
  <c r="N151" i="14"/>
  <c r="J150" i="14" a="1"/>
  <c r="J150" i="14" s="1"/>
  <c r="K58" i="13" l="1"/>
  <c r="M155" i="13"/>
  <c r="M156" i="14"/>
  <c r="N152" i="14"/>
  <c r="J151" i="14" a="1"/>
  <c r="J151" i="14" s="1"/>
  <c r="N153" i="13"/>
  <c r="J152" i="13" a="1"/>
  <c r="J152" i="13" s="1"/>
  <c r="L69" i="14"/>
  <c r="I70" i="14" s="1"/>
  <c r="L58" i="13" l="1"/>
  <c r="I59" i="13" s="1"/>
  <c r="M157" i="14"/>
  <c r="M156" i="13"/>
  <c r="K70" i="14"/>
  <c r="L70" i="14" s="1"/>
  <c r="I71" i="14" s="1"/>
  <c r="N154" i="13"/>
  <c r="J153" i="13" a="1"/>
  <c r="J153" i="13" s="1"/>
  <c r="N153" i="14"/>
  <c r="J152" i="14" a="1"/>
  <c r="J152" i="14" s="1"/>
  <c r="K59" i="13" l="1"/>
  <c r="L59" i="13" s="1"/>
  <c r="I60" i="13" s="1"/>
  <c r="K71" i="14"/>
  <c r="L71" i="14" s="1"/>
  <c r="I72" i="14" s="1"/>
  <c r="N154" i="14"/>
  <c r="J153" i="14" a="1"/>
  <c r="J153" i="14" s="1"/>
  <c r="N155" i="13"/>
  <c r="J154" i="13" a="1"/>
  <c r="J154" i="13" s="1"/>
  <c r="M157" i="13"/>
  <c r="M158" i="14"/>
  <c r="K60" i="13" l="1"/>
  <c r="L60" i="13" s="1"/>
  <c r="I61" i="13" s="1"/>
  <c r="K72" i="14"/>
  <c r="L72" i="14" s="1"/>
  <c r="I73" i="14" s="1"/>
  <c r="N156" i="13"/>
  <c r="J155" i="13" a="1"/>
  <c r="J155" i="13" s="1"/>
  <c r="M159" i="14"/>
  <c r="M158" i="13"/>
  <c r="N155" i="14"/>
  <c r="J154" i="14" a="1"/>
  <c r="J154" i="14" s="1"/>
  <c r="K61" i="13" l="1"/>
  <c r="L61" i="13" s="1"/>
  <c r="I62" i="13" s="1"/>
  <c r="K73" i="14"/>
  <c r="L73" i="14" s="1"/>
  <c r="I74" i="14" s="1"/>
  <c r="M160" i="14"/>
  <c r="N156" i="14"/>
  <c r="J155" i="14" a="1"/>
  <c r="J155" i="14" s="1"/>
  <c r="M159" i="13"/>
  <c r="N157" i="13"/>
  <c r="J156" i="13" a="1"/>
  <c r="J156" i="13" s="1"/>
  <c r="K62" i="13" l="1"/>
  <c r="L62" i="13" s="1"/>
  <c r="I63" i="13" s="1"/>
  <c r="K74" i="14"/>
  <c r="L74" i="14" s="1"/>
  <c r="I75" i="14" s="1"/>
  <c r="N157" i="14"/>
  <c r="J156" i="14" a="1"/>
  <c r="J156" i="14" s="1"/>
  <c r="M160" i="13"/>
  <c r="M161" i="14"/>
  <c r="N158" i="13"/>
  <c r="J157" i="13" a="1"/>
  <c r="J157" i="13" s="1"/>
  <c r="K63" i="13" l="1"/>
  <c r="L63" i="13" s="1"/>
  <c r="I64" i="13" s="1"/>
  <c r="K75" i="14"/>
  <c r="L75" i="14" s="1"/>
  <c r="I76" i="14" s="1"/>
  <c r="N159" i="13"/>
  <c r="J158" i="13" a="1"/>
  <c r="J158" i="13" s="1"/>
  <c r="M161" i="13"/>
  <c r="M162" i="14"/>
  <c r="N158" i="14"/>
  <c r="J157" i="14" a="1"/>
  <c r="J157" i="14" s="1"/>
  <c r="K64" i="13" l="1"/>
  <c r="L64" i="13" s="1"/>
  <c r="I65" i="13" s="1"/>
  <c r="K76" i="14"/>
  <c r="L76" i="14" s="1"/>
  <c r="I77" i="14" s="1"/>
  <c r="M162" i="13"/>
  <c r="N159" i="14"/>
  <c r="J158" i="14" a="1"/>
  <c r="J158" i="14" s="1"/>
  <c r="M163" i="14"/>
  <c r="N160" i="13"/>
  <c r="J159" i="13" a="1"/>
  <c r="J159" i="13" s="1"/>
  <c r="K65" i="13" l="1"/>
  <c r="L65" i="13" s="1"/>
  <c r="I66" i="13" s="1"/>
  <c r="K77" i="14"/>
  <c r="L77" i="14" s="1"/>
  <c r="I78" i="14" s="1"/>
  <c r="N161" i="13"/>
  <c r="J160" i="13" a="1"/>
  <c r="J160" i="13" s="1"/>
  <c r="N160" i="14"/>
  <c r="J159" i="14" a="1"/>
  <c r="J159" i="14" s="1"/>
  <c r="M164" i="14"/>
  <c r="M163" i="13"/>
  <c r="K66" i="13" l="1"/>
  <c r="L66" i="13" s="1"/>
  <c r="I67" i="13" s="1"/>
  <c r="K78" i="14"/>
  <c r="L78" i="14" s="1"/>
  <c r="I79" i="14" s="1"/>
  <c r="N161" i="14"/>
  <c r="J160" i="14" a="1"/>
  <c r="J160" i="14" s="1"/>
  <c r="M164" i="13"/>
  <c r="M165" i="14"/>
  <c r="N162" i="13"/>
  <c r="J161" i="13" a="1"/>
  <c r="J161" i="13" s="1"/>
  <c r="K67" i="13" l="1"/>
  <c r="L67" i="13" s="1"/>
  <c r="I68" i="13" s="1"/>
  <c r="K79" i="14"/>
  <c r="L79" i="14" s="1"/>
  <c r="I80" i="14" s="1"/>
  <c r="N163" i="13"/>
  <c r="J162" i="13" a="1"/>
  <c r="J162" i="13" s="1"/>
  <c r="M165" i="13"/>
  <c r="M166" i="14"/>
  <c r="N162" i="14"/>
  <c r="J161" i="14" a="1"/>
  <c r="J161" i="14" s="1"/>
  <c r="K68" i="13" l="1"/>
  <c r="K80" i="14"/>
  <c r="M166" i="13"/>
  <c r="N163" i="14"/>
  <c r="J162" i="14" a="1"/>
  <c r="J162" i="14" s="1"/>
  <c r="M167" i="14"/>
  <c r="N164" i="13"/>
  <c r="J163" i="13" a="1"/>
  <c r="J163" i="13" s="1"/>
  <c r="L68" i="13" l="1"/>
  <c r="I69" i="13" s="1"/>
  <c r="N165" i="13"/>
  <c r="J164" i="13" a="1"/>
  <c r="J164" i="13" s="1"/>
  <c r="N164" i="14"/>
  <c r="J163" i="14" a="1"/>
  <c r="J163" i="14" s="1"/>
  <c r="M168" i="14"/>
  <c r="M167" i="13"/>
  <c r="L80" i="14"/>
  <c r="I81" i="14" s="1"/>
  <c r="K69" i="13" l="1"/>
  <c r="M168" i="13"/>
  <c r="M169" i="14"/>
  <c r="K81" i="14"/>
  <c r="N165" i="14"/>
  <c r="J164" i="14" a="1"/>
  <c r="J164" i="14" s="1"/>
  <c r="N166" i="13"/>
  <c r="J165" i="13" a="1"/>
  <c r="J165" i="13" s="1"/>
  <c r="L69" i="13" l="1"/>
  <c r="I70" i="13" s="1"/>
  <c r="N166" i="14"/>
  <c r="J165" i="14" a="1"/>
  <c r="J165" i="14" s="1"/>
  <c r="M170" i="14"/>
  <c r="N167" i="13"/>
  <c r="J166" i="13" a="1"/>
  <c r="J166" i="13" s="1"/>
  <c r="M169" i="13"/>
  <c r="L81" i="14"/>
  <c r="I82" i="14" s="1"/>
  <c r="K70" i="13" l="1"/>
  <c r="L70" i="13" s="1"/>
  <c r="I71" i="13" s="1"/>
  <c r="M171" i="14"/>
  <c r="K82" i="14"/>
  <c r="L82" i="14" s="1"/>
  <c r="I83" i="14" s="1"/>
  <c r="M170" i="13"/>
  <c r="N168" i="13"/>
  <c r="J167" i="13" a="1"/>
  <c r="J167" i="13" s="1"/>
  <c r="N167" i="14"/>
  <c r="J166" i="14" a="1"/>
  <c r="J166" i="14" s="1"/>
  <c r="K71" i="13" l="1"/>
  <c r="L71" i="13" s="1"/>
  <c r="I72" i="13" s="1"/>
  <c r="K83" i="14"/>
  <c r="L83" i="14" s="1"/>
  <c r="I84" i="14" s="1"/>
  <c r="N168" i="14"/>
  <c r="J167" i="14" a="1"/>
  <c r="J167" i="14" s="1"/>
  <c r="N169" i="13"/>
  <c r="J168" i="13" a="1"/>
  <c r="J168" i="13" s="1"/>
  <c r="M171" i="13"/>
  <c r="M172" i="14"/>
  <c r="K72" i="13" l="1"/>
  <c r="L72" i="13" s="1"/>
  <c r="I73" i="13" s="1"/>
  <c r="K84" i="14"/>
  <c r="L84" i="14" s="1"/>
  <c r="I85" i="14" s="1"/>
  <c r="M172" i="13"/>
  <c r="M173" i="14"/>
  <c r="N170" i="13"/>
  <c r="J169" i="13" a="1"/>
  <c r="J169" i="13" s="1"/>
  <c r="N169" i="14"/>
  <c r="J168" i="14" a="1"/>
  <c r="J168" i="14" s="1"/>
  <c r="K73" i="13" l="1"/>
  <c r="L73" i="13" s="1"/>
  <c r="I74" i="13" s="1"/>
  <c r="K85" i="14"/>
  <c r="L85" i="14" s="1"/>
  <c r="I86" i="14" s="1"/>
  <c r="M174" i="14"/>
  <c r="N170" i="14"/>
  <c r="J169" i="14" a="1"/>
  <c r="J169" i="14" s="1"/>
  <c r="M173" i="13"/>
  <c r="N171" i="13"/>
  <c r="J170" i="13" a="1"/>
  <c r="J170" i="13" s="1"/>
  <c r="K74" i="13" l="1"/>
  <c r="L74" i="13" s="1"/>
  <c r="I75" i="13" s="1"/>
  <c r="K86" i="14"/>
  <c r="L86" i="14" s="1"/>
  <c r="I87" i="14" s="1"/>
  <c r="N171" i="14"/>
  <c r="J170" i="14" a="1"/>
  <c r="J170" i="14" s="1"/>
  <c r="N172" i="13"/>
  <c r="J171" i="13" a="1"/>
  <c r="J171" i="13" s="1"/>
  <c r="M174" i="13"/>
  <c r="M175" i="14"/>
  <c r="K75" i="13" l="1"/>
  <c r="L75" i="13" s="1"/>
  <c r="I76" i="13" s="1"/>
  <c r="K87" i="14"/>
  <c r="L87" i="14" s="1"/>
  <c r="I88" i="14" s="1"/>
  <c r="N173" i="13"/>
  <c r="J172" i="13" a="1"/>
  <c r="J172" i="13" s="1"/>
  <c r="M176" i="14"/>
  <c r="M175" i="13"/>
  <c r="N172" i="14"/>
  <c r="J171" i="14" a="1"/>
  <c r="J171" i="14" s="1"/>
  <c r="K76" i="13" l="1"/>
  <c r="L76" i="13" s="1"/>
  <c r="I77" i="13" s="1"/>
  <c r="K88" i="14"/>
  <c r="L88" i="14" s="1"/>
  <c r="I89" i="14" s="1"/>
  <c r="N173" i="14"/>
  <c r="J172" i="14" a="1"/>
  <c r="J172" i="14" s="1"/>
  <c r="M177" i="14"/>
  <c r="M176" i="13"/>
  <c r="N174" i="13"/>
  <c r="J173" i="13" a="1"/>
  <c r="J173" i="13" s="1"/>
  <c r="K77" i="13" l="1"/>
  <c r="L77" i="13" s="1"/>
  <c r="I78" i="13" s="1"/>
  <c r="K89" i="14"/>
  <c r="L89" i="14" s="1"/>
  <c r="I90" i="14" s="1"/>
  <c r="N175" i="13"/>
  <c r="J174" i="13" a="1"/>
  <c r="J174" i="13" s="1"/>
  <c r="M178" i="14"/>
  <c r="M177" i="13"/>
  <c r="N174" i="14"/>
  <c r="J173" i="14" a="1"/>
  <c r="J173" i="14" s="1"/>
  <c r="K78" i="13" l="1"/>
  <c r="L78" i="13" s="1"/>
  <c r="I79" i="13" s="1"/>
  <c r="K90" i="14"/>
  <c r="L90" i="14" s="1"/>
  <c r="I91" i="14" s="1"/>
  <c r="N175" i="14"/>
  <c r="J174" i="14" a="1"/>
  <c r="J174" i="14" s="1"/>
  <c r="M179" i="14"/>
  <c r="M178" i="13"/>
  <c r="N176" i="13"/>
  <c r="J175" i="13" a="1"/>
  <c r="J175" i="13" s="1"/>
  <c r="K79" i="13" l="1"/>
  <c r="L79" i="13" s="1"/>
  <c r="I80" i="13" s="1"/>
  <c r="K91" i="14"/>
  <c r="L91" i="14" s="1"/>
  <c r="I92" i="14" s="1"/>
  <c r="M180" i="14"/>
  <c r="N177" i="13"/>
  <c r="J176" i="13" a="1"/>
  <c r="J176" i="13" s="1"/>
  <c r="M179" i="13"/>
  <c r="N176" i="14"/>
  <c r="J175" i="14" a="1"/>
  <c r="J175" i="14" s="1"/>
  <c r="K80" i="13" l="1"/>
  <c r="K92" i="14"/>
  <c r="N178" i="13"/>
  <c r="J177" i="13" a="1"/>
  <c r="J177" i="13" s="1"/>
  <c r="N177" i="14"/>
  <c r="J176" i="14" a="1"/>
  <c r="J176" i="14" s="1"/>
  <c r="M180" i="13"/>
  <c r="M181" i="14"/>
  <c r="L80" i="13" l="1"/>
  <c r="I81" i="13" s="1"/>
  <c r="N178" i="14"/>
  <c r="J177" i="14" a="1"/>
  <c r="J177" i="14" s="1"/>
  <c r="M181" i="13"/>
  <c r="M182" i="14"/>
  <c r="N179" i="13"/>
  <c r="J178" i="13" a="1"/>
  <c r="J178" i="13" s="1"/>
  <c r="L92" i="14"/>
  <c r="I93" i="14" s="1"/>
  <c r="K81" i="13" l="1"/>
  <c r="L81" i="13" s="1"/>
  <c r="I82" i="13" s="1"/>
  <c r="M182" i="13"/>
  <c r="N180" i="13"/>
  <c r="J179" i="13" a="1"/>
  <c r="J179" i="13" s="1"/>
  <c r="K93" i="14"/>
  <c r="M183" i="14"/>
  <c r="N179" i="14"/>
  <c r="J178" i="14" a="1"/>
  <c r="J178" i="14" s="1"/>
  <c r="K82" i="13" l="1"/>
  <c r="L82" i="13" s="1"/>
  <c r="I83" i="13" s="1"/>
  <c r="N180" i="14"/>
  <c r="J179" i="14" a="1"/>
  <c r="J179" i="14" s="1"/>
  <c r="M184" i="14"/>
  <c r="L93" i="14"/>
  <c r="I94" i="14" s="1"/>
  <c r="M183" i="13"/>
  <c r="N181" i="13"/>
  <c r="J180" i="13" a="1"/>
  <c r="J180" i="13" s="1"/>
  <c r="K83" i="13" l="1"/>
  <c r="L83" i="13" s="1"/>
  <c r="I84" i="13" s="1"/>
  <c r="K94" i="14"/>
  <c r="L94" i="14" s="1"/>
  <c r="I95" i="14" s="1"/>
  <c r="N182" i="13"/>
  <c r="J181" i="13" a="1"/>
  <c r="J181" i="13" s="1"/>
  <c r="M184" i="13"/>
  <c r="M185" i="14"/>
  <c r="N181" i="14"/>
  <c r="J180" i="14" a="1"/>
  <c r="J180" i="14" s="1"/>
  <c r="K84" i="13" l="1"/>
  <c r="L84" i="13" s="1"/>
  <c r="I85" i="13" s="1"/>
  <c r="K95" i="14"/>
  <c r="L95" i="14" s="1"/>
  <c r="I96" i="14" s="1"/>
  <c r="M185" i="13"/>
  <c r="N182" i="14"/>
  <c r="J181" i="14" a="1"/>
  <c r="J181" i="14" s="1"/>
  <c r="M186" i="14"/>
  <c r="N183" i="13"/>
  <c r="J182" i="13" a="1"/>
  <c r="J182" i="13" s="1"/>
  <c r="K85" i="13" l="1"/>
  <c r="L85" i="13" s="1"/>
  <c r="I86" i="13" s="1"/>
  <c r="K96" i="14"/>
  <c r="L96" i="14" s="1"/>
  <c r="I97" i="14" s="1"/>
  <c r="N183" i="14"/>
  <c r="J182" i="14" a="1"/>
  <c r="J182" i="14" s="1"/>
  <c r="N184" i="13"/>
  <c r="J183" i="13" a="1"/>
  <c r="J183" i="13" s="1"/>
  <c r="M187" i="14"/>
  <c r="M186" i="13"/>
  <c r="K86" i="13" l="1"/>
  <c r="L86" i="13" s="1"/>
  <c r="I87" i="13" s="1"/>
  <c r="K97" i="14"/>
  <c r="L97" i="14" s="1"/>
  <c r="I98" i="14" s="1"/>
  <c r="N185" i="13"/>
  <c r="J184" i="13" a="1"/>
  <c r="J184" i="13" s="1"/>
  <c r="M187" i="13"/>
  <c r="M188" i="14"/>
  <c r="N184" i="14"/>
  <c r="J183" i="14" a="1"/>
  <c r="J183" i="14" s="1"/>
  <c r="K87" i="13" l="1"/>
  <c r="L87" i="13" s="1"/>
  <c r="I88" i="13" s="1"/>
  <c r="M188" i="13"/>
  <c r="N185" i="14"/>
  <c r="J184" i="14" a="1"/>
  <c r="J184" i="14" s="1"/>
  <c r="K98" i="14"/>
  <c r="L98" i="14" s="1"/>
  <c r="I99" i="14" s="1"/>
  <c r="M189" i="14"/>
  <c r="N186" i="13"/>
  <c r="J185" i="13" a="1"/>
  <c r="J185" i="13" s="1"/>
  <c r="K88" i="13" l="1"/>
  <c r="L88" i="13" s="1"/>
  <c r="I89" i="13" s="1"/>
  <c r="K99" i="14"/>
  <c r="L99" i="14" s="1"/>
  <c r="I100" i="14" s="1"/>
  <c r="N187" i="13"/>
  <c r="J186" i="13" a="1"/>
  <c r="J186" i="13" s="1"/>
  <c r="M189" i="13"/>
  <c r="M190" i="14"/>
  <c r="N186" i="14"/>
  <c r="J185" i="14" a="1"/>
  <c r="J185" i="14" s="1"/>
  <c r="K89" i="13" l="1"/>
  <c r="L89" i="13" s="1"/>
  <c r="I90" i="13" s="1"/>
  <c r="K100" i="14"/>
  <c r="L100" i="14" s="1"/>
  <c r="I101" i="14" s="1"/>
  <c r="M190" i="13"/>
  <c r="N187" i="14"/>
  <c r="J186" i="14" a="1"/>
  <c r="J186" i="14" s="1"/>
  <c r="M191" i="14"/>
  <c r="N188" i="13"/>
  <c r="J187" i="13" a="1"/>
  <c r="J187" i="13" s="1"/>
  <c r="K90" i="13" l="1"/>
  <c r="L90" i="13" s="1"/>
  <c r="I91" i="13" s="1"/>
  <c r="K101" i="14"/>
  <c r="L101" i="14" s="1"/>
  <c r="I102" i="14" s="1"/>
  <c r="N189" i="13"/>
  <c r="J188" i="13" a="1"/>
  <c r="J188" i="13" s="1"/>
  <c r="N188" i="14"/>
  <c r="J187" i="14" a="1"/>
  <c r="J187" i="14" s="1"/>
  <c r="M192" i="14"/>
  <c r="M191" i="13"/>
  <c r="K91" i="13" l="1"/>
  <c r="L91" i="13" s="1"/>
  <c r="I92" i="13" s="1"/>
  <c r="K102" i="14"/>
  <c r="L102" i="14" s="1"/>
  <c r="I103" i="14" s="1"/>
  <c r="N189" i="14"/>
  <c r="J188" i="14" a="1"/>
  <c r="J188" i="14" s="1"/>
  <c r="M192" i="13"/>
  <c r="M193" i="14"/>
  <c r="N190" i="13"/>
  <c r="J189" i="13" a="1"/>
  <c r="J189" i="13" s="1"/>
  <c r="K92" i="13" l="1"/>
  <c r="K103" i="14"/>
  <c r="L103" i="14" s="1"/>
  <c r="I104" i="14" s="1"/>
  <c r="N191" i="13"/>
  <c r="J190" i="13" a="1"/>
  <c r="J190" i="13" s="1"/>
  <c r="M194" i="14"/>
  <c r="M193" i="13"/>
  <c r="N190" i="14"/>
  <c r="J189" i="14" a="1"/>
  <c r="J189" i="14" s="1"/>
  <c r="L92" i="13" l="1"/>
  <c r="I93" i="13" s="1"/>
  <c r="K104" i="14"/>
  <c r="M195" i="14"/>
  <c r="N192" i="13"/>
  <c r="J191" i="13" a="1"/>
  <c r="J191" i="13" s="1"/>
  <c r="N191" i="14"/>
  <c r="J190" i="14" a="1"/>
  <c r="J190" i="14" s="1"/>
  <c r="M194" i="13"/>
  <c r="K93" i="13" l="1"/>
  <c r="N193" i="13"/>
  <c r="J192" i="13" a="1"/>
  <c r="J192" i="13" s="1"/>
  <c r="M196" i="14"/>
  <c r="M195" i="13"/>
  <c r="N192" i="14"/>
  <c r="J191" i="14" a="1"/>
  <c r="J191" i="14" s="1"/>
  <c r="L104" i="14"/>
  <c r="I105" i="14" s="1"/>
  <c r="L93" i="13" l="1"/>
  <c r="I94" i="13" s="1"/>
  <c r="N193" i="14"/>
  <c r="J192" i="14" a="1"/>
  <c r="J192" i="14" s="1"/>
  <c r="M197" i="14"/>
  <c r="N194" i="13"/>
  <c r="J193" i="13" a="1"/>
  <c r="J193" i="13" s="1"/>
  <c r="M196" i="13"/>
  <c r="K105" i="14"/>
  <c r="K94" i="13" l="1"/>
  <c r="L94" i="13" s="1"/>
  <c r="I95" i="13" s="1"/>
  <c r="L105" i="14"/>
  <c r="I106" i="14" s="1"/>
  <c r="M197" i="13"/>
  <c r="M198" i="14"/>
  <c r="N195" i="13"/>
  <c r="J194" i="13" a="1"/>
  <c r="J194" i="13" s="1"/>
  <c r="N194" i="14"/>
  <c r="J193" i="14" a="1"/>
  <c r="J193" i="14" s="1"/>
  <c r="K95" i="13" l="1"/>
  <c r="L95" i="13" s="1"/>
  <c r="I96" i="13" s="1"/>
  <c r="M198" i="13"/>
  <c r="N195" i="14"/>
  <c r="J194" i="14" a="1"/>
  <c r="J194" i="14" s="1"/>
  <c r="N196" i="13"/>
  <c r="J195" i="13" a="1"/>
  <c r="J195" i="13" s="1"/>
  <c r="M199" i="14"/>
  <c r="K106" i="14"/>
  <c r="L106" i="14" s="1"/>
  <c r="I107" i="14" s="1"/>
  <c r="K96" i="13" l="1"/>
  <c r="L96" i="13" s="1"/>
  <c r="I97" i="13" s="1"/>
  <c r="K107" i="14"/>
  <c r="L107" i="14" s="1"/>
  <c r="I108" i="14" s="1"/>
  <c r="M199" i="13"/>
  <c r="N197" i="13"/>
  <c r="J196" i="13" a="1"/>
  <c r="J196" i="13" s="1"/>
  <c r="M200" i="14"/>
  <c r="N196" i="14"/>
  <c r="J195" i="14" a="1"/>
  <c r="J195" i="14" s="1"/>
  <c r="K97" i="13" l="1"/>
  <c r="L97" i="13" s="1"/>
  <c r="I98" i="13" s="1"/>
  <c r="K108" i="14"/>
  <c r="L108" i="14" s="1"/>
  <c r="I109" i="14" s="1"/>
  <c r="N198" i="13"/>
  <c r="J197" i="13" a="1"/>
  <c r="J197" i="13" s="1"/>
  <c r="M201" i="14"/>
  <c r="N197" i="14"/>
  <c r="J196" i="14" a="1"/>
  <c r="J196" i="14" s="1"/>
  <c r="M200" i="13"/>
  <c r="K98" i="13" l="1"/>
  <c r="L98" i="13" s="1"/>
  <c r="I99" i="13" s="1"/>
  <c r="K109" i="14"/>
  <c r="L109" i="14" s="1"/>
  <c r="I110" i="14" s="1"/>
  <c r="M201" i="13"/>
  <c r="M202" i="14"/>
  <c r="N198" i="14"/>
  <c r="J197" i="14" a="1"/>
  <c r="J197" i="14" s="1"/>
  <c r="N199" i="13"/>
  <c r="J198" i="13" a="1"/>
  <c r="J198" i="13" s="1"/>
  <c r="K99" i="13" l="1"/>
  <c r="L99" i="13" s="1"/>
  <c r="I100" i="13" s="1"/>
  <c r="K110" i="14"/>
  <c r="L110" i="14" s="1"/>
  <c r="I111" i="14" s="1"/>
  <c r="M203" i="14"/>
  <c r="N200" i="13"/>
  <c r="J199" i="13" a="1"/>
  <c r="J199" i="13" s="1"/>
  <c r="M202" i="13"/>
  <c r="N199" i="14"/>
  <c r="J198" i="14" a="1"/>
  <c r="J198" i="14" s="1"/>
  <c r="K100" i="13" l="1"/>
  <c r="L100" i="13" s="1"/>
  <c r="I101" i="13" s="1"/>
  <c r="K111" i="14"/>
  <c r="L111" i="14" s="1"/>
  <c r="I112" i="14" s="1"/>
  <c r="N201" i="13"/>
  <c r="J200" i="13" a="1"/>
  <c r="J200" i="13" s="1"/>
  <c r="N200" i="14"/>
  <c r="J199" i="14" a="1"/>
  <c r="J199" i="14" s="1"/>
  <c r="M203" i="13"/>
  <c r="M204" i="14"/>
  <c r="K101" i="13" l="1"/>
  <c r="L101" i="13" s="1"/>
  <c r="I102" i="13" s="1"/>
  <c r="K112" i="14"/>
  <c r="L112" i="14" s="1"/>
  <c r="I113" i="14" s="1"/>
  <c r="M205" i="14"/>
  <c r="N201" i="14"/>
  <c r="J200" i="14" a="1"/>
  <c r="J200" i="14" s="1"/>
  <c r="M204" i="13"/>
  <c r="N202" i="13"/>
  <c r="J201" i="13" a="1"/>
  <c r="J201" i="13" s="1"/>
  <c r="K102" i="13" l="1"/>
  <c r="L102" i="13" s="1"/>
  <c r="I103" i="13" s="1"/>
  <c r="K113" i="14"/>
  <c r="L113" i="14" s="1"/>
  <c r="I114" i="14" s="1"/>
  <c r="M205" i="13"/>
  <c r="N202" i="14"/>
  <c r="J201" i="14" a="1"/>
  <c r="J201" i="14" s="1"/>
  <c r="N203" i="13"/>
  <c r="J202" i="13" a="1"/>
  <c r="J202" i="13" s="1"/>
  <c r="M206" i="14"/>
  <c r="K103" i="13" l="1"/>
  <c r="L103" i="13" s="1"/>
  <c r="I104" i="13" s="1"/>
  <c r="K114" i="14"/>
  <c r="L114" i="14" s="1"/>
  <c r="I115" i="14" s="1"/>
  <c r="M207" i="14"/>
  <c r="N203" i="14"/>
  <c r="J202" i="14" a="1"/>
  <c r="J202" i="14" s="1"/>
  <c r="M206" i="13"/>
  <c r="N204" i="13"/>
  <c r="J203" i="13" a="1"/>
  <c r="J203" i="13" s="1"/>
  <c r="K104" i="13" l="1"/>
  <c r="K115" i="14"/>
  <c r="L115" i="14" s="1"/>
  <c r="I116" i="14" s="1"/>
  <c r="N204" i="14"/>
  <c r="J203" i="14" a="1"/>
  <c r="J203" i="14" s="1"/>
  <c r="N205" i="13"/>
  <c r="J204" i="13" a="1"/>
  <c r="J204" i="13" s="1"/>
  <c r="M207" i="13"/>
  <c r="M208" i="14"/>
  <c r="L104" i="13" l="1"/>
  <c r="I105" i="13" s="1"/>
  <c r="K116" i="14"/>
  <c r="N205" i="14"/>
  <c r="J204" i="14" a="1"/>
  <c r="J204" i="14" s="1"/>
  <c r="M208" i="13"/>
  <c r="M209" i="14"/>
  <c r="N206" i="13"/>
  <c r="J205" i="13" a="1"/>
  <c r="J205" i="13" s="1"/>
  <c r="K105" i="13" l="1"/>
  <c r="N207" i="13"/>
  <c r="J206" i="13" a="1"/>
  <c r="J206" i="13" s="1"/>
  <c r="N206" i="14"/>
  <c r="J205" i="14" a="1"/>
  <c r="J205" i="14" s="1"/>
  <c r="M210" i="14"/>
  <c r="M209" i="13"/>
  <c r="L116" i="14"/>
  <c r="I117" i="14" s="1"/>
  <c r="L105" i="13" l="1"/>
  <c r="I106" i="13" s="1"/>
  <c r="K117" i="14"/>
  <c r="M211" i="14"/>
  <c r="M210" i="13"/>
  <c r="N207" i="14"/>
  <c r="J206" i="14" a="1"/>
  <c r="J206" i="14" s="1"/>
  <c r="N208" i="13"/>
  <c r="J207" i="13" a="1"/>
  <c r="J207" i="13" s="1"/>
  <c r="K106" i="13" l="1"/>
  <c r="L106" i="13" s="1"/>
  <c r="I107" i="13" s="1"/>
  <c r="M212" i="14"/>
  <c r="N209" i="13"/>
  <c r="J208" i="13" a="1"/>
  <c r="J208" i="13" s="1"/>
  <c r="M211" i="13"/>
  <c r="N208" i="14"/>
  <c r="J207" i="14" a="1"/>
  <c r="J207" i="14" s="1"/>
  <c r="L117" i="14"/>
  <c r="I118" i="14" s="1"/>
  <c r="K107" i="13" l="1"/>
  <c r="L107" i="13" s="1"/>
  <c r="I108" i="13" s="1"/>
  <c r="K118" i="14"/>
  <c r="L118" i="14" s="1"/>
  <c r="I119" i="14" s="1"/>
  <c r="M213" i="14"/>
  <c r="N209" i="14"/>
  <c r="J208" i="14" a="1"/>
  <c r="J208" i="14" s="1"/>
  <c r="M212" i="13"/>
  <c r="N210" i="13"/>
  <c r="J209" i="13" a="1"/>
  <c r="J209" i="13" s="1"/>
  <c r="K108" i="13" l="1"/>
  <c r="L108" i="13" s="1"/>
  <c r="I109" i="13" s="1"/>
  <c r="K119" i="14"/>
  <c r="L119" i="14" s="1"/>
  <c r="I120" i="14" s="1"/>
  <c r="N210" i="14"/>
  <c r="J209" i="14" a="1"/>
  <c r="J209" i="14" s="1"/>
  <c r="N211" i="13"/>
  <c r="J210" i="13" a="1"/>
  <c r="J210" i="13" s="1"/>
  <c r="M213" i="13"/>
  <c r="M214" i="14"/>
  <c r="K109" i="13" l="1"/>
  <c r="L109" i="13" s="1"/>
  <c r="I110" i="13" s="1"/>
  <c r="K120" i="14"/>
  <c r="L120" i="14" s="1"/>
  <c r="I121" i="14" s="1"/>
  <c r="N212" i="13"/>
  <c r="J211" i="13" a="1"/>
  <c r="J211" i="13" s="1"/>
  <c r="M215" i="14"/>
  <c r="M214" i="13"/>
  <c r="N211" i="14"/>
  <c r="J210" i="14" a="1"/>
  <c r="J210" i="14" s="1"/>
  <c r="K110" i="13" l="1"/>
  <c r="L110" i="13" s="1"/>
  <c r="I111" i="13" s="1"/>
  <c r="K121" i="14"/>
  <c r="L121" i="14" s="1"/>
  <c r="I122" i="14" s="1"/>
  <c r="M216" i="14"/>
  <c r="N212" i="14"/>
  <c r="J211" i="14" a="1"/>
  <c r="J211" i="14" s="1"/>
  <c r="M215" i="13"/>
  <c r="N213" i="13"/>
  <c r="J212" i="13" a="1"/>
  <c r="J212" i="13" s="1"/>
  <c r="K111" i="13" l="1"/>
  <c r="L111" i="13" s="1"/>
  <c r="I112" i="13" s="1"/>
  <c r="K122" i="14"/>
  <c r="L122" i="14" s="1"/>
  <c r="I123" i="14" s="1"/>
  <c r="N213" i="14"/>
  <c r="J212" i="14" a="1"/>
  <c r="J212" i="14" s="1"/>
  <c r="N214" i="13"/>
  <c r="J213" i="13" a="1"/>
  <c r="J213" i="13" s="1"/>
  <c r="M216" i="13"/>
  <c r="M217" i="14"/>
  <c r="K112" i="13" l="1"/>
  <c r="L112" i="13" s="1"/>
  <c r="I113" i="13" s="1"/>
  <c r="M218" i="14"/>
  <c r="N215" i="13"/>
  <c r="J214" i="13" a="1"/>
  <c r="J214" i="13" s="1"/>
  <c r="M217" i="13"/>
  <c r="N214" i="14"/>
  <c r="J213" i="14" a="1"/>
  <c r="J213" i="14" s="1"/>
  <c r="K123" i="14"/>
  <c r="L123" i="14" s="1"/>
  <c r="I124" i="14" s="1"/>
  <c r="K113" i="13" l="1"/>
  <c r="L113" i="13" s="1"/>
  <c r="I114" i="13" s="1"/>
  <c r="K124" i="14"/>
  <c r="L124" i="14" s="1"/>
  <c r="I125" i="14" s="1"/>
  <c r="M219" i="14"/>
  <c r="N215" i="14"/>
  <c r="J214" i="14" a="1"/>
  <c r="J214" i="14" s="1"/>
  <c r="M218" i="13"/>
  <c r="N216" i="13"/>
  <c r="J215" i="13" a="1"/>
  <c r="J215" i="13" s="1"/>
  <c r="K114" i="13" l="1"/>
  <c r="L114" i="13" s="1"/>
  <c r="I115" i="13" s="1"/>
  <c r="N216" i="14"/>
  <c r="J215" i="14" a="1"/>
  <c r="J215" i="14" s="1"/>
  <c r="M220" i="14"/>
  <c r="N217" i="13"/>
  <c r="J216" i="13" a="1"/>
  <c r="J216" i="13" s="1"/>
  <c r="K125" i="14"/>
  <c r="L125" i="14" s="1"/>
  <c r="I126" i="14" s="1"/>
  <c r="M219" i="13"/>
  <c r="K115" i="13" l="1"/>
  <c r="L115" i="13" s="1"/>
  <c r="I116" i="13" s="1"/>
  <c r="K126" i="14"/>
  <c r="L126" i="14" s="1"/>
  <c r="I127" i="14" s="1"/>
  <c r="N217" i="14"/>
  <c r="J216" i="14" a="1"/>
  <c r="J216" i="14" s="1"/>
  <c r="M220" i="13"/>
  <c r="N218" i="13"/>
  <c r="J217" i="13" a="1"/>
  <c r="J217" i="13" s="1"/>
  <c r="M221" i="14"/>
  <c r="K116" i="13" l="1"/>
  <c r="N219" i="13"/>
  <c r="J218" i="13" a="1"/>
  <c r="J218" i="13" s="1"/>
  <c r="M222" i="14"/>
  <c r="M221" i="13"/>
  <c r="N218" i="14"/>
  <c r="J217" i="14" a="1"/>
  <c r="J217" i="14" s="1"/>
  <c r="K127" i="14"/>
  <c r="L127" i="14" s="1"/>
  <c r="I128" i="14" s="1"/>
  <c r="L116" i="13" l="1"/>
  <c r="I117" i="13" s="1"/>
  <c r="K128" i="14"/>
  <c r="M223" i="14"/>
  <c r="M222" i="13"/>
  <c r="N219" i="14"/>
  <c r="J218" i="14" a="1"/>
  <c r="J218" i="14" s="1"/>
  <c r="N220" i="13"/>
  <c r="J219" i="13" a="1"/>
  <c r="J219" i="13" s="1"/>
  <c r="K117" i="13" l="1"/>
  <c r="M223" i="13"/>
  <c r="N221" i="13"/>
  <c r="J220" i="13" a="1"/>
  <c r="J220" i="13" s="1"/>
  <c r="M224" i="14"/>
  <c r="N220" i="14"/>
  <c r="J219" i="14" a="1"/>
  <c r="J219" i="14" s="1"/>
  <c r="L128" i="14"/>
  <c r="I129" i="14" s="1"/>
  <c r="L117" i="13" l="1"/>
  <c r="I118" i="13" s="1"/>
  <c r="M224" i="13"/>
  <c r="K129" i="14"/>
  <c r="N221" i="14"/>
  <c r="J220" i="14" a="1"/>
  <c r="J220" i="14" s="1"/>
  <c r="M225" i="14"/>
  <c r="N222" i="13"/>
  <c r="J221" i="13" a="1"/>
  <c r="J221" i="13" s="1"/>
  <c r="K118" i="13" l="1"/>
  <c r="L118" i="13" s="1"/>
  <c r="I119" i="13" s="1"/>
  <c r="M225" i="13"/>
  <c r="N223" i="13"/>
  <c r="J222" i="13" a="1"/>
  <c r="J222" i="13" s="1"/>
  <c r="N222" i="14"/>
  <c r="J221" i="14" a="1"/>
  <c r="J221" i="14" s="1"/>
  <c r="M226" i="14"/>
  <c r="L129" i="14"/>
  <c r="I130" i="14" s="1"/>
  <c r="K119" i="13" l="1"/>
  <c r="L119" i="13" s="1"/>
  <c r="I120" i="13" s="1"/>
  <c r="K130" i="14"/>
  <c r="L130" i="14" s="1"/>
  <c r="I131" i="14" s="1"/>
  <c r="M226" i="13"/>
  <c r="N223" i="14"/>
  <c r="J222" i="14" a="1"/>
  <c r="J222" i="14" s="1"/>
  <c r="M227" i="14"/>
  <c r="N224" i="13"/>
  <c r="J223" i="13" a="1"/>
  <c r="J223" i="13" s="1"/>
  <c r="K120" i="13" l="1"/>
  <c r="L120" i="13" s="1"/>
  <c r="I121" i="13" s="1"/>
  <c r="K131" i="14"/>
  <c r="L131" i="14" s="1"/>
  <c r="I132" i="14" s="1"/>
  <c r="N225" i="13"/>
  <c r="J224" i="13" a="1"/>
  <c r="J224" i="13" s="1"/>
  <c r="N224" i="14"/>
  <c r="J223" i="14" a="1"/>
  <c r="J223" i="14" s="1"/>
  <c r="M228" i="14"/>
  <c r="M227" i="13"/>
  <c r="K121" i="13" l="1"/>
  <c r="L121" i="13" s="1"/>
  <c r="I122" i="13" s="1"/>
  <c r="K132" i="14"/>
  <c r="L132" i="14" s="1"/>
  <c r="I133" i="14" s="1"/>
  <c r="M228" i="13"/>
  <c r="N225" i="14"/>
  <c r="J224" i="14" a="1"/>
  <c r="J224" i="14" s="1"/>
  <c r="M229" i="14"/>
  <c r="N226" i="13"/>
  <c r="J225" i="13" a="1"/>
  <c r="J225" i="13" s="1"/>
  <c r="K122" i="13" l="1"/>
  <c r="L122" i="13" s="1"/>
  <c r="I123" i="13" s="1"/>
  <c r="K133" i="14"/>
  <c r="L133" i="14" s="1"/>
  <c r="I134" i="14" s="1"/>
  <c r="N226" i="14"/>
  <c r="J225" i="14" a="1"/>
  <c r="J225" i="14" s="1"/>
  <c r="N227" i="13"/>
  <c r="J226" i="13" a="1"/>
  <c r="J226" i="13" s="1"/>
  <c r="M230" i="14"/>
  <c r="M229" i="13"/>
  <c r="K123" i="13" l="1"/>
  <c r="L123" i="13" s="1"/>
  <c r="I124" i="13" s="1"/>
  <c r="K134" i="14"/>
  <c r="L134" i="14" s="1"/>
  <c r="I135" i="14" s="1"/>
  <c r="M230" i="13"/>
  <c r="N228" i="13"/>
  <c r="J227" i="13" a="1"/>
  <c r="J227" i="13" s="1"/>
  <c r="M231" i="14"/>
  <c r="N227" i="14"/>
  <c r="J226" i="14" a="1"/>
  <c r="J226" i="14" s="1"/>
  <c r="K124" i="13" l="1"/>
  <c r="L124" i="13" s="1"/>
  <c r="I125" i="13" s="1"/>
  <c r="K135" i="14"/>
  <c r="L135" i="14" s="1"/>
  <c r="I136" i="14" s="1"/>
  <c r="N228" i="14"/>
  <c r="J227" i="14" a="1"/>
  <c r="J227" i="14" s="1"/>
  <c r="M232" i="14"/>
  <c r="N229" i="13"/>
  <c r="J228" i="13" a="1"/>
  <c r="J228" i="13" s="1"/>
  <c r="M231" i="13"/>
  <c r="K125" i="13" l="1"/>
  <c r="L125" i="13" s="1"/>
  <c r="I126" i="13" s="1"/>
  <c r="K136" i="14"/>
  <c r="L136" i="14" s="1"/>
  <c r="I137" i="14" s="1"/>
  <c r="M232" i="13"/>
  <c r="M233" i="14"/>
  <c r="N230" i="13"/>
  <c r="J229" i="13" a="1"/>
  <c r="J229" i="13" s="1"/>
  <c r="N229" i="14"/>
  <c r="J228" i="14" a="1"/>
  <c r="J228" i="14" s="1"/>
  <c r="K126" i="13" l="1"/>
  <c r="L126" i="13" s="1"/>
  <c r="I127" i="13" s="1"/>
  <c r="K137" i="14"/>
  <c r="L137" i="14" s="1"/>
  <c r="I138" i="14" s="1"/>
  <c r="M234" i="14"/>
  <c r="N230" i="14"/>
  <c r="J229" i="14" a="1"/>
  <c r="J229" i="14" s="1"/>
  <c r="M233" i="13"/>
  <c r="N231" i="13"/>
  <c r="J230" i="13" a="1"/>
  <c r="J230" i="13" s="1"/>
  <c r="K127" i="13" l="1"/>
  <c r="L127" i="13" s="1"/>
  <c r="I128" i="13" s="1"/>
  <c r="K138" i="14"/>
  <c r="L138" i="14" s="1"/>
  <c r="I139" i="14" s="1"/>
  <c r="N232" i="13"/>
  <c r="J231" i="13" a="1"/>
  <c r="J231" i="13" s="1"/>
  <c r="N231" i="14"/>
  <c r="J230" i="14" a="1"/>
  <c r="J230" i="14" s="1"/>
  <c r="M234" i="13"/>
  <c r="M235" i="14"/>
  <c r="K128" i="13" l="1"/>
  <c r="K139" i="14"/>
  <c r="L139" i="14" s="1"/>
  <c r="I140" i="14" s="1"/>
  <c r="M235" i="13"/>
  <c r="N233" i="13"/>
  <c r="J232" i="13" a="1"/>
  <c r="J232" i="13" s="1"/>
  <c r="M236" i="14"/>
  <c r="N232" i="14"/>
  <c r="J231" i="14" a="1"/>
  <c r="J231" i="14" s="1"/>
  <c r="L128" i="13" l="1"/>
  <c r="I129" i="13" s="1"/>
  <c r="K140" i="14"/>
  <c r="L140" i="14" s="1"/>
  <c r="I141" i="14" s="1"/>
  <c r="N233" i="14"/>
  <c r="J232" i="14" a="1"/>
  <c r="J232" i="14" s="1"/>
  <c r="M237" i="14"/>
  <c r="N234" i="13"/>
  <c r="J233" i="13" a="1"/>
  <c r="J233" i="13" s="1"/>
  <c r="M236" i="13"/>
  <c r="K129" i="13" l="1"/>
  <c r="K141" i="14"/>
  <c r="L141" i="14" s="1"/>
  <c r="I142" i="14" s="1"/>
  <c r="M237" i="13"/>
  <c r="M238" i="14"/>
  <c r="N235" i="13"/>
  <c r="J234" i="13" a="1"/>
  <c r="J234" i="13" s="1"/>
  <c r="N234" i="14"/>
  <c r="J233" i="14" a="1"/>
  <c r="J233" i="14" s="1"/>
  <c r="L129" i="13" l="1"/>
  <c r="I130" i="13" s="1"/>
  <c r="K142" i="14"/>
  <c r="L142" i="14" s="1"/>
  <c r="I143" i="14" s="1"/>
  <c r="N235" i="14"/>
  <c r="J234" i="14" a="1"/>
  <c r="J234" i="14" s="1"/>
  <c r="M239" i="14"/>
  <c r="N236" i="13"/>
  <c r="J235" i="13" a="1"/>
  <c r="J235" i="13" s="1"/>
  <c r="M238" i="13"/>
  <c r="K130" i="13" l="1"/>
  <c r="L130" i="13" s="1"/>
  <c r="I131" i="13" s="1"/>
  <c r="K143" i="14"/>
  <c r="L143" i="14" s="1"/>
  <c r="I144" i="14" s="1"/>
  <c r="M239" i="13"/>
  <c r="M240" i="14"/>
  <c r="N237" i="13"/>
  <c r="J236" i="13" a="1"/>
  <c r="J236" i="13" s="1"/>
  <c r="N236" i="14"/>
  <c r="J235" i="14" a="1"/>
  <c r="J235" i="14" s="1"/>
  <c r="K131" i="13" l="1"/>
  <c r="L131" i="13" s="1"/>
  <c r="I132" i="13" s="1"/>
  <c r="K144" i="14"/>
  <c r="L144" i="14" s="1"/>
  <c r="I145" i="14" s="1"/>
  <c r="M241" i="14"/>
  <c r="N237" i="14"/>
  <c r="J236" i="14" a="1"/>
  <c r="J236" i="14" s="1"/>
  <c r="M240" i="13"/>
  <c r="N238" i="13"/>
  <c r="J237" i="13" a="1"/>
  <c r="J237" i="13" s="1"/>
  <c r="K132" i="13" l="1"/>
  <c r="L132" i="13" s="1"/>
  <c r="I133" i="13" s="1"/>
  <c r="K145" i="14"/>
  <c r="L145" i="14" s="1"/>
  <c r="I146" i="14" s="1"/>
  <c r="N239" i="13"/>
  <c r="J238" i="13" a="1"/>
  <c r="J238" i="13" s="1"/>
  <c r="M241" i="13"/>
  <c r="N238" i="14"/>
  <c r="J237" i="14" a="1"/>
  <c r="J237" i="14" s="1"/>
  <c r="M242" i="14"/>
  <c r="K133" i="13" l="1"/>
  <c r="L133" i="13" s="1"/>
  <c r="I134" i="13" s="1"/>
  <c r="K146" i="14"/>
  <c r="L146" i="14" s="1"/>
  <c r="I147" i="14" s="1"/>
  <c r="M243" i="14"/>
  <c r="M242" i="13"/>
  <c r="N239" i="14"/>
  <c r="J238" i="14" a="1"/>
  <c r="J238" i="14" s="1"/>
  <c r="N240" i="13"/>
  <c r="J239" i="13" a="1"/>
  <c r="J239" i="13" s="1"/>
  <c r="K134" i="13" l="1"/>
  <c r="L134" i="13" s="1"/>
  <c r="I135" i="13" s="1"/>
  <c r="K147" i="14"/>
  <c r="L147" i="14" s="1"/>
  <c r="I148" i="14" s="1"/>
  <c r="M244" i="14"/>
  <c r="M243" i="13"/>
  <c r="N241" i="13"/>
  <c r="J240" i="13" a="1"/>
  <c r="J240" i="13" s="1"/>
  <c r="N240" i="14"/>
  <c r="J239" i="14" a="1"/>
  <c r="J239" i="14" s="1"/>
  <c r="K135" i="13" l="1"/>
  <c r="L135" i="13" s="1"/>
  <c r="I136" i="13" s="1"/>
  <c r="K148" i="14"/>
  <c r="L148" i="14" s="1"/>
  <c r="I149" i="14" s="1"/>
  <c r="M244" i="13"/>
  <c r="N241" i="14"/>
  <c r="J240" i="14" a="1"/>
  <c r="J240" i="14" s="1"/>
  <c r="M245" i="14"/>
  <c r="N242" i="13"/>
  <c r="J241" i="13" a="1"/>
  <c r="J241" i="13" s="1"/>
  <c r="K136" i="13" l="1"/>
  <c r="L136" i="13" s="1"/>
  <c r="I137" i="13" s="1"/>
  <c r="K149" i="14"/>
  <c r="L149" i="14" s="1"/>
  <c r="I150" i="14" s="1"/>
  <c r="N242" i="14"/>
  <c r="J241" i="14" a="1"/>
  <c r="J241" i="14" s="1"/>
  <c r="N243" i="13"/>
  <c r="J242" i="13" a="1"/>
  <c r="J242" i="13" s="1"/>
  <c r="M246" i="14"/>
  <c r="M245" i="13"/>
  <c r="K137" i="13" l="1"/>
  <c r="L137" i="13" s="1"/>
  <c r="I138" i="13" s="1"/>
  <c r="K150" i="14"/>
  <c r="L150" i="14" s="1"/>
  <c r="I151" i="14" s="1"/>
  <c r="N243" i="14"/>
  <c r="J242" i="14" a="1"/>
  <c r="J242" i="14" s="1"/>
  <c r="M247" i="14"/>
  <c r="M246" i="13"/>
  <c r="N244" i="13"/>
  <c r="J243" i="13" a="1"/>
  <c r="J243" i="13" s="1"/>
  <c r="K138" i="13" l="1"/>
  <c r="L138" i="13" s="1"/>
  <c r="I139" i="13" s="1"/>
  <c r="K151" i="14"/>
  <c r="L151" i="14" s="1"/>
  <c r="I152" i="14" s="1"/>
  <c r="M248" i="14"/>
  <c r="M247" i="13"/>
  <c r="N245" i="13"/>
  <c r="J244" i="13" a="1"/>
  <c r="J244" i="13" s="1"/>
  <c r="N244" i="14"/>
  <c r="J243" i="14" a="1"/>
  <c r="J243" i="14" s="1"/>
  <c r="K139" i="13" l="1"/>
  <c r="L139" i="13" s="1"/>
  <c r="I140" i="13" s="1"/>
  <c r="K152" i="14"/>
  <c r="M248" i="13"/>
  <c r="N245" i="14"/>
  <c r="J244" i="14" a="1"/>
  <c r="J244" i="14" s="1"/>
  <c r="M249" i="14"/>
  <c r="N246" i="13"/>
  <c r="J245" i="13" a="1"/>
  <c r="J245" i="13" s="1"/>
  <c r="K140" i="13" l="1"/>
  <c r="N247" i="13"/>
  <c r="J246" i="13" a="1"/>
  <c r="J246" i="13" s="1"/>
  <c r="N246" i="14"/>
  <c r="J245" i="14" a="1"/>
  <c r="J245" i="14" s="1"/>
  <c r="L152" i="14"/>
  <c r="I153" i="14" s="1"/>
  <c r="M250" i="14"/>
  <c r="M249" i="13"/>
  <c r="L140" i="13" l="1"/>
  <c r="I141" i="13" s="1"/>
  <c r="M251" i="14"/>
  <c r="N247" i="14"/>
  <c r="J246" i="14" a="1"/>
  <c r="J246" i="14" s="1"/>
  <c r="M250" i="13"/>
  <c r="K153" i="14"/>
  <c r="N248" i="13"/>
  <c r="J247" i="13" a="1"/>
  <c r="J247" i="13" s="1"/>
  <c r="K141" i="13" l="1"/>
  <c r="M251" i="13"/>
  <c r="M252" i="14"/>
  <c r="N249" i="13"/>
  <c r="J248" i="13" a="1"/>
  <c r="J248" i="13" s="1"/>
  <c r="L153" i="14"/>
  <c r="I154" i="14" s="1"/>
  <c r="N248" i="14"/>
  <c r="J247" i="14" a="1"/>
  <c r="J247" i="14" s="1"/>
  <c r="L141" i="13" l="1"/>
  <c r="I142" i="13" s="1"/>
  <c r="M252" i="13"/>
  <c r="M253" i="14"/>
  <c r="N249" i="14"/>
  <c r="J248" i="14" a="1"/>
  <c r="J248" i="14" s="1"/>
  <c r="K154" i="14"/>
  <c r="L154" i="14" s="1"/>
  <c r="I155" i="14" s="1"/>
  <c r="N250" i="13"/>
  <c r="J249" i="13" a="1"/>
  <c r="J249" i="13" s="1"/>
  <c r="K142" i="13" l="1"/>
  <c r="L142" i="13" s="1"/>
  <c r="I143" i="13" s="1"/>
  <c r="K155" i="14"/>
  <c r="L155" i="14" s="1"/>
  <c r="I156" i="14" s="1"/>
  <c r="N251" i="13"/>
  <c r="J250" i="13" a="1"/>
  <c r="J250" i="13" s="1"/>
  <c r="N250" i="14"/>
  <c r="J249" i="14" a="1"/>
  <c r="J249" i="14" s="1"/>
  <c r="M254" i="14"/>
  <c r="M253" i="13"/>
  <c r="K143" i="13" l="1"/>
  <c r="L143" i="13" s="1"/>
  <c r="I144" i="13" s="1"/>
  <c r="K156" i="14"/>
  <c r="L156" i="14" s="1"/>
  <c r="I157" i="14" s="1"/>
  <c r="N251" i="14"/>
  <c r="J250" i="14" a="1"/>
  <c r="J250" i="14" s="1"/>
  <c r="M255" i="14"/>
  <c r="M254" i="13"/>
  <c r="N252" i="13"/>
  <c r="J251" i="13" a="1"/>
  <c r="J251" i="13" s="1"/>
  <c r="K144" i="13" l="1"/>
  <c r="L144" i="13" s="1"/>
  <c r="I145" i="13" s="1"/>
  <c r="M256" i="14"/>
  <c r="M255" i="13"/>
  <c r="K157" i="14"/>
  <c r="L157" i="14" s="1"/>
  <c r="I158" i="14" s="1"/>
  <c r="N252" i="14"/>
  <c r="J251" i="14" a="1"/>
  <c r="J251" i="14" s="1"/>
  <c r="N253" i="13"/>
  <c r="J252" i="13" a="1"/>
  <c r="J252" i="13" s="1"/>
  <c r="K145" i="13" l="1"/>
  <c r="L145" i="13" s="1"/>
  <c r="I146" i="13" s="1"/>
  <c r="K158" i="14"/>
  <c r="L158" i="14" s="1"/>
  <c r="I159" i="14" s="1"/>
  <c r="M256" i="13"/>
  <c r="M257" i="14"/>
  <c r="N254" i="13"/>
  <c r="J253" i="13" a="1"/>
  <c r="J253" i="13" s="1"/>
  <c r="N253" i="14"/>
  <c r="J252" i="14" a="1"/>
  <c r="J252" i="14" s="1"/>
  <c r="K146" i="13" l="1"/>
  <c r="L146" i="13" s="1"/>
  <c r="I147" i="13" s="1"/>
  <c r="K159" i="14"/>
  <c r="L159" i="14" s="1"/>
  <c r="I160" i="14" s="1"/>
  <c r="M257" i="13"/>
  <c r="M258" i="14"/>
  <c r="N254" i="14"/>
  <c r="J253" i="14" a="1"/>
  <c r="J253" i="14" s="1"/>
  <c r="N255" i="13"/>
  <c r="J254" i="13" a="1"/>
  <c r="J254" i="13" s="1"/>
  <c r="K147" i="13" l="1"/>
  <c r="L147" i="13" s="1"/>
  <c r="I148" i="13" s="1"/>
  <c r="K160" i="14"/>
  <c r="L160" i="14" s="1"/>
  <c r="I161" i="14" s="1"/>
  <c r="M259" i="14"/>
  <c r="M258" i="13"/>
  <c r="N256" i="13"/>
  <c r="J255" i="13" a="1"/>
  <c r="J255" i="13" s="1"/>
  <c r="N255" i="14"/>
  <c r="J254" i="14" a="1"/>
  <c r="J254" i="14" s="1"/>
  <c r="K148" i="13" l="1"/>
  <c r="L148" i="13" s="1"/>
  <c r="I149" i="13" s="1"/>
  <c r="K161" i="14"/>
  <c r="L161" i="14" s="1"/>
  <c r="I162" i="14" s="1"/>
  <c r="M259" i="13"/>
  <c r="N256" i="14"/>
  <c r="J255" i="14" a="1"/>
  <c r="J255" i="14" s="1"/>
  <c r="M260" i="14"/>
  <c r="N257" i="13"/>
  <c r="J256" i="13" a="1"/>
  <c r="J256" i="13" s="1"/>
  <c r="K149" i="13" l="1"/>
  <c r="L149" i="13" s="1"/>
  <c r="I150" i="13" s="1"/>
  <c r="K162" i="14"/>
  <c r="L162" i="14" s="1"/>
  <c r="I163" i="14" s="1"/>
  <c r="N258" i="13"/>
  <c r="J257" i="13" a="1"/>
  <c r="J257" i="13" s="1"/>
  <c r="N257" i="14"/>
  <c r="J256" i="14" a="1"/>
  <c r="J256" i="14" s="1"/>
  <c r="M261" i="14"/>
  <c r="M260" i="13"/>
  <c r="K150" i="13" l="1"/>
  <c r="L150" i="13" s="1"/>
  <c r="I151" i="13" s="1"/>
  <c r="K163" i="14"/>
  <c r="L163" i="14" s="1"/>
  <c r="I164" i="14" s="1"/>
  <c r="N258" i="14"/>
  <c r="J257" i="14" a="1"/>
  <c r="J257" i="14" s="1"/>
  <c r="M261" i="13"/>
  <c r="M262" i="14"/>
  <c r="N259" i="13"/>
  <c r="J258" i="13" a="1"/>
  <c r="J258" i="13" s="1"/>
  <c r="K151" i="13" l="1"/>
  <c r="L151" i="13" s="1"/>
  <c r="I152" i="13" s="1"/>
  <c r="K164" i="14"/>
  <c r="M262" i="13"/>
  <c r="N260" i="13"/>
  <c r="J259" i="13" a="1"/>
  <c r="J259" i="13" s="1"/>
  <c r="M263" i="14"/>
  <c r="N259" i="14"/>
  <c r="J258" i="14" a="1"/>
  <c r="J258" i="14" s="1"/>
  <c r="K152" i="13" l="1"/>
  <c r="N261" i="13"/>
  <c r="J260" i="13" a="1"/>
  <c r="J260" i="13" s="1"/>
  <c r="N260" i="14"/>
  <c r="J259" i="14" a="1"/>
  <c r="J259" i="14" s="1"/>
  <c r="M264" i="14"/>
  <c r="M263" i="13"/>
  <c r="L164" i="14"/>
  <c r="I165" i="14" s="1"/>
  <c r="L152" i="13" l="1"/>
  <c r="I153" i="13" s="1"/>
  <c r="M264" i="13"/>
  <c r="M265" i="14"/>
  <c r="K165" i="14"/>
  <c r="N261" i="14"/>
  <c r="J260" i="14" a="1"/>
  <c r="J260" i="14" s="1"/>
  <c r="N262" i="13"/>
  <c r="J261" i="13" a="1"/>
  <c r="J261" i="13" s="1"/>
  <c r="K153" i="13" l="1"/>
  <c r="M266" i="14"/>
  <c r="N263" i="13"/>
  <c r="J262" i="13" a="1"/>
  <c r="J262" i="13" s="1"/>
  <c r="N262" i="14"/>
  <c r="J261" i="14" a="1"/>
  <c r="J261" i="14" s="1"/>
  <c r="M265" i="13"/>
  <c r="L165" i="14"/>
  <c r="I166" i="14" s="1"/>
  <c r="L153" i="13" l="1"/>
  <c r="I154" i="13" s="1"/>
  <c r="K166" i="14"/>
  <c r="L166" i="14" s="1"/>
  <c r="I167" i="14" s="1"/>
  <c r="M266" i="13"/>
  <c r="N263" i="14"/>
  <c r="J262" i="14" a="1"/>
  <c r="J262" i="14" s="1"/>
  <c r="M267" i="14"/>
  <c r="N264" i="13"/>
  <c r="J263" i="13" a="1"/>
  <c r="J263" i="13" s="1"/>
  <c r="K154" i="13" l="1"/>
  <c r="L154" i="13" s="1"/>
  <c r="I155" i="13" s="1"/>
  <c r="K167" i="14"/>
  <c r="L167" i="14" s="1"/>
  <c r="I168" i="14" s="1"/>
  <c r="M268" i="14"/>
  <c r="M267" i="13"/>
  <c r="N265" i="13"/>
  <c r="J264" i="13" a="1"/>
  <c r="J264" i="13" s="1"/>
  <c r="N264" i="14"/>
  <c r="J263" i="14" a="1"/>
  <c r="J263" i="14" s="1"/>
  <c r="K155" i="13" l="1"/>
  <c r="L155" i="13" s="1"/>
  <c r="I156" i="13" s="1"/>
  <c r="K168" i="14"/>
  <c r="L168" i="14" s="1"/>
  <c r="I169" i="14" s="1"/>
  <c r="N265" i="14"/>
  <c r="J264" i="14" a="1"/>
  <c r="J264" i="14" s="1"/>
  <c r="M269" i="14"/>
  <c r="M268" i="13"/>
  <c r="N266" i="13"/>
  <c r="J265" i="13" a="1"/>
  <c r="J265" i="13" s="1"/>
  <c r="K156" i="13" l="1"/>
  <c r="L156" i="13" s="1"/>
  <c r="I157" i="13" s="1"/>
  <c r="K169" i="14"/>
  <c r="L169" i="14" s="1"/>
  <c r="I170" i="14" s="1"/>
  <c r="M270" i="14"/>
  <c r="N267" i="13"/>
  <c r="J266" i="13" a="1"/>
  <c r="J266" i="13" s="1"/>
  <c r="M269" i="13"/>
  <c r="N266" i="14"/>
  <c r="J265" i="14" a="1"/>
  <c r="J265" i="14" s="1"/>
  <c r="K157" i="13" l="1"/>
  <c r="L157" i="13" s="1"/>
  <c r="I158" i="13" s="1"/>
  <c r="K170" i="14"/>
  <c r="L170" i="14" s="1"/>
  <c r="I171" i="14" s="1"/>
  <c r="N268" i="13"/>
  <c r="J267" i="13" a="1"/>
  <c r="J267" i="13" s="1"/>
  <c r="N267" i="14"/>
  <c r="J266" i="14" a="1"/>
  <c r="J266" i="14" s="1"/>
  <c r="M270" i="13"/>
  <c r="M271" i="14"/>
  <c r="K158" i="13" l="1"/>
  <c r="L158" i="13" s="1"/>
  <c r="I159" i="13" s="1"/>
  <c r="K171" i="14"/>
  <c r="L171" i="14" s="1"/>
  <c r="I172" i="14" s="1"/>
  <c r="M272" i="14"/>
  <c r="N268" i="14"/>
  <c r="J267" i="14" a="1"/>
  <c r="J267" i="14" s="1"/>
  <c r="M271" i="13"/>
  <c r="N269" i="13"/>
  <c r="J268" i="13" a="1"/>
  <c r="J268" i="13" s="1"/>
  <c r="K159" i="13" l="1"/>
  <c r="L159" i="13" s="1"/>
  <c r="I160" i="13" s="1"/>
  <c r="K172" i="14"/>
  <c r="L172" i="14" s="1"/>
  <c r="I173" i="14" s="1"/>
  <c r="N269" i="14"/>
  <c r="J268" i="14" a="1"/>
  <c r="J268" i="14" s="1"/>
  <c r="M273" i="14"/>
  <c r="N270" i="13"/>
  <c r="J269" i="13" a="1"/>
  <c r="J269" i="13" s="1"/>
  <c r="M272" i="13"/>
  <c r="K160" i="13" l="1"/>
  <c r="L160" i="13" s="1"/>
  <c r="I161" i="13" s="1"/>
  <c r="K173" i="14"/>
  <c r="L173" i="14" s="1"/>
  <c r="I174" i="14" s="1"/>
  <c r="M274" i="14"/>
  <c r="M273" i="13"/>
  <c r="N271" i="13"/>
  <c r="J270" i="13" a="1"/>
  <c r="J270" i="13" s="1"/>
  <c r="N270" i="14"/>
  <c r="J269" i="14" a="1"/>
  <c r="J269" i="14" s="1"/>
  <c r="K161" i="13" l="1"/>
  <c r="L161" i="13" s="1"/>
  <c r="I162" i="13" s="1"/>
  <c r="K174" i="14"/>
  <c r="L174" i="14" s="1"/>
  <c r="I175" i="14" s="1"/>
  <c r="M275" i="14"/>
  <c r="M274" i="13"/>
  <c r="N271" i="14"/>
  <c r="J270" i="14" a="1"/>
  <c r="J270" i="14" s="1"/>
  <c r="N272" i="13"/>
  <c r="J271" i="13" a="1"/>
  <c r="J271" i="13" s="1"/>
  <c r="K162" i="13" l="1"/>
  <c r="L162" i="13" s="1"/>
  <c r="I163" i="13" s="1"/>
  <c r="K175" i="14"/>
  <c r="L175" i="14" s="1"/>
  <c r="I176" i="14" s="1"/>
  <c r="M275" i="13"/>
  <c r="M276" i="14"/>
  <c r="N273" i="13"/>
  <c r="J272" i="13" a="1"/>
  <c r="J272" i="13" s="1"/>
  <c r="N272" i="14"/>
  <c r="J271" i="14" a="1"/>
  <c r="J271" i="14" s="1"/>
  <c r="K163" i="13" l="1"/>
  <c r="L163" i="13" s="1"/>
  <c r="I164" i="13" s="1"/>
  <c r="K176" i="14"/>
  <c r="N273" i="14"/>
  <c r="J272" i="14" a="1"/>
  <c r="J272" i="14" s="1"/>
  <c r="M277" i="14"/>
  <c r="M276" i="13"/>
  <c r="N274" i="13"/>
  <c r="J273" i="13" a="1"/>
  <c r="J273" i="13" s="1"/>
  <c r="K164" i="13" l="1"/>
  <c r="N275" i="13"/>
  <c r="J274" i="13" a="1"/>
  <c r="J274" i="13" s="1"/>
  <c r="M278" i="14"/>
  <c r="M277" i="13"/>
  <c r="N274" i="14"/>
  <c r="J273" i="14" a="1"/>
  <c r="J273" i="14" s="1"/>
  <c r="L176" i="14"/>
  <c r="I177" i="14" s="1"/>
  <c r="L164" i="13" l="1"/>
  <c r="I165" i="13" s="1"/>
  <c r="N276" i="13"/>
  <c r="J275" i="13" a="1"/>
  <c r="J275" i="13" s="1"/>
  <c r="N275" i="14"/>
  <c r="J274" i="14" a="1"/>
  <c r="J274" i="14" s="1"/>
  <c r="M278" i="13"/>
  <c r="K177" i="14"/>
  <c r="L177" i="14" s="1"/>
  <c r="I178" i="14" s="1"/>
  <c r="M279" i="14"/>
  <c r="K165" i="13" l="1"/>
  <c r="K178" i="14"/>
  <c r="L178" i="14" s="1"/>
  <c r="I179" i="14" s="1"/>
  <c r="N276" i="14"/>
  <c r="J275" i="14" a="1"/>
  <c r="J275" i="14" s="1"/>
  <c r="M280" i="14"/>
  <c r="M279" i="13"/>
  <c r="N277" i="13"/>
  <c r="J276" i="13" a="1"/>
  <c r="J276" i="13" s="1"/>
  <c r="L165" i="13" l="1"/>
  <c r="I166" i="13" s="1"/>
  <c r="K179" i="14"/>
  <c r="L179" i="14" s="1"/>
  <c r="I180" i="14" s="1"/>
  <c r="M281" i="14"/>
  <c r="N277" i="14"/>
  <c r="J276" i="14" a="1"/>
  <c r="J276" i="14" s="1"/>
  <c r="M280" i="13"/>
  <c r="N278" i="13"/>
  <c r="J277" i="13" a="1"/>
  <c r="J277" i="13" s="1"/>
  <c r="K166" i="13" l="1"/>
  <c r="L166" i="13" s="1"/>
  <c r="I167" i="13" s="1"/>
  <c r="K180" i="14"/>
  <c r="L180" i="14" s="1"/>
  <c r="I181" i="14" s="1"/>
  <c r="N278" i="14"/>
  <c r="J277" i="14" a="1"/>
  <c r="J277" i="14" s="1"/>
  <c r="M281" i="13"/>
  <c r="N279" i="13"/>
  <c r="J278" i="13" a="1"/>
  <c r="J278" i="13" s="1"/>
  <c r="M282" i="14"/>
  <c r="K167" i="13" l="1"/>
  <c r="L167" i="13" s="1"/>
  <c r="I168" i="13" s="1"/>
  <c r="K181" i="14"/>
  <c r="L181" i="14" s="1"/>
  <c r="I182" i="14" s="1"/>
  <c r="M283" i="14"/>
  <c r="M282" i="13"/>
  <c r="N280" i="13"/>
  <c r="J279" i="13" a="1"/>
  <c r="J279" i="13" s="1"/>
  <c r="N279" i="14"/>
  <c r="J278" i="14" a="1"/>
  <c r="J278" i="14" s="1"/>
  <c r="K168" i="13" l="1"/>
  <c r="L168" i="13" s="1"/>
  <c r="I169" i="13" s="1"/>
  <c r="K182" i="14"/>
  <c r="L182" i="14" s="1"/>
  <c r="I183" i="14" s="1"/>
  <c r="M283" i="13"/>
  <c r="N280" i="14"/>
  <c r="J279" i="14" a="1"/>
  <c r="J279" i="14" s="1"/>
  <c r="M284" i="14"/>
  <c r="N281" i="13"/>
  <c r="J280" i="13" a="1"/>
  <c r="J280" i="13" s="1"/>
  <c r="K169" i="13" l="1"/>
  <c r="L169" i="13" s="1"/>
  <c r="I170" i="13" s="1"/>
  <c r="K183" i="14"/>
  <c r="L183" i="14" s="1"/>
  <c r="I184" i="14" s="1"/>
  <c r="N282" i="13"/>
  <c r="J281" i="13" a="1"/>
  <c r="J281" i="13" s="1"/>
  <c r="M285" i="14"/>
  <c r="N281" i="14"/>
  <c r="J280" i="14" a="1"/>
  <c r="J280" i="14" s="1"/>
  <c r="M284" i="13"/>
  <c r="K170" i="13" l="1"/>
  <c r="L170" i="13" s="1"/>
  <c r="I171" i="13" s="1"/>
  <c r="K184" i="14"/>
  <c r="L184" i="14" s="1"/>
  <c r="I185" i="14" s="1"/>
  <c r="M285" i="13"/>
  <c r="M286" i="14"/>
  <c r="N282" i="14"/>
  <c r="J281" i="14" a="1"/>
  <c r="J281" i="14" s="1"/>
  <c r="N283" i="13"/>
  <c r="J282" i="13" a="1"/>
  <c r="J282" i="13" s="1"/>
  <c r="K171" i="13" l="1"/>
  <c r="L171" i="13" s="1"/>
  <c r="I172" i="13" s="1"/>
  <c r="K185" i="14"/>
  <c r="L185" i="14" s="1"/>
  <c r="I186" i="14" s="1"/>
  <c r="M287" i="14"/>
  <c r="M286" i="13"/>
  <c r="N284" i="13"/>
  <c r="J283" i="13" a="1"/>
  <c r="J283" i="13" s="1"/>
  <c r="N283" i="14"/>
  <c r="J282" i="14" a="1"/>
  <c r="J282" i="14" s="1"/>
  <c r="K172" i="13" l="1"/>
  <c r="L172" i="13" s="1"/>
  <c r="I173" i="13" s="1"/>
  <c r="M287" i="13"/>
  <c r="N284" i="14"/>
  <c r="J283" i="14" a="1"/>
  <c r="J283" i="14" s="1"/>
  <c r="M288" i="14"/>
  <c r="N285" i="13"/>
  <c r="J284" i="13" a="1"/>
  <c r="J284" i="13" s="1"/>
  <c r="K186" i="14"/>
  <c r="L186" i="14" s="1"/>
  <c r="I187" i="14" s="1"/>
  <c r="K173" i="13" l="1"/>
  <c r="L173" i="13" s="1"/>
  <c r="I174" i="13" s="1"/>
  <c r="N286" i="13"/>
  <c r="J285" i="13" a="1"/>
  <c r="J285" i="13" s="1"/>
  <c r="M289" i="14"/>
  <c r="M288" i="13"/>
  <c r="K187" i="14"/>
  <c r="L187" i="14" s="1"/>
  <c r="I188" i="14" s="1"/>
  <c r="N285" i="14"/>
  <c r="J284" i="14" a="1"/>
  <c r="J284" i="14" s="1"/>
  <c r="K174" i="13" l="1"/>
  <c r="L174" i="13" s="1"/>
  <c r="I175" i="13" s="1"/>
  <c r="K188" i="14"/>
  <c r="L188" i="14" s="1"/>
  <c r="I189" i="14" s="1"/>
  <c r="N286" i="14"/>
  <c r="J285" i="14" a="1"/>
  <c r="J285" i="14" s="1"/>
  <c r="M289" i="13"/>
  <c r="M290" i="14"/>
  <c r="N287" i="13"/>
  <c r="J286" i="13" a="1"/>
  <c r="J286" i="13" s="1"/>
  <c r="K175" i="13" l="1"/>
  <c r="L175" i="13" s="1"/>
  <c r="I176" i="13" s="1"/>
  <c r="K189" i="14"/>
  <c r="L189" i="14" s="1"/>
  <c r="I190" i="14" s="1"/>
  <c r="N288" i="13"/>
  <c r="J287" i="13" a="1"/>
  <c r="J287" i="13" s="1"/>
  <c r="M290" i="13"/>
  <c r="M291" i="14"/>
  <c r="N287" i="14"/>
  <c r="J286" i="14" a="1"/>
  <c r="J286" i="14" s="1"/>
  <c r="K176" i="13" l="1"/>
  <c r="K190" i="14"/>
  <c r="M292" i="14"/>
  <c r="N289" i="13"/>
  <c r="J288" i="13" a="1"/>
  <c r="J288" i="13" s="1"/>
  <c r="N288" i="14"/>
  <c r="J287" i="14" a="1"/>
  <c r="J287" i="14" s="1"/>
  <c r="M291" i="13"/>
  <c r="L176" i="13" l="1"/>
  <c r="I177" i="13" s="1"/>
  <c r="M292" i="13"/>
  <c r="M293" i="14"/>
  <c r="N290" i="13"/>
  <c r="J289" i="13" a="1"/>
  <c r="J289" i="13" s="1"/>
  <c r="N289" i="14"/>
  <c r="J288" i="14" a="1"/>
  <c r="J288" i="14" s="1"/>
  <c r="L190" i="14"/>
  <c r="I191" i="14" s="1"/>
  <c r="K177" i="13" l="1"/>
  <c r="L177" i="13" s="1"/>
  <c r="I178" i="13" s="1"/>
  <c r="K191" i="14"/>
  <c r="L191" i="14" s="1"/>
  <c r="I192" i="14" s="1"/>
  <c r="N290" i="14"/>
  <c r="J289" i="14" a="1"/>
  <c r="J289" i="14" s="1"/>
  <c r="N291" i="13"/>
  <c r="J290" i="13" a="1"/>
  <c r="J290" i="13" s="1"/>
  <c r="M293" i="13"/>
  <c r="M294" i="14"/>
  <c r="K178" i="13" l="1"/>
  <c r="L178" i="13" s="1"/>
  <c r="I179" i="13" s="1"/>
  <c r="K192" i="14"/>
  <c r="L192" i="14" s="1"/>
  <c r="I193" i="14" s="1"/>
  <c r="N292" i="13"/>
  <c r="J291" i="13" a="1"/>
  <c r="J291" i="13" s="1"/>
  <c r="M294" i="13"/>
  <c r="M295" i="14"/>
  <c r="N291" i="14"/>
  <c r="J290" i="14" a="1"/>
  <c r="J290" i="14" s="1"/>
  <c r="K179" i="13" l="1"/>
  <c r="L179" i="13" s="1"/>
  <c r="I180" i="13" s="1"/>
  <c r="K193" i="14"/>
  <c r="L193" i="14" s="1"/>
  <c r="I194" i="14" s="1"/>
  <c r="M295" i="13"/>
  <c r="N292" i="14"/>
  <c r="J291" i="14" a="1"/>
  <c r="J291" i="14" s="1"/>
  <c r="M296" i="14"/>
  <c r="N293" i="13"/>
  <c r="J292" i="13" a="1"/>
  <c r="J292" i="13" s="1"/>
  <c r="K180" i="13" l="1"/>
  <c r="L180" i="13" s="1"/>
  <c r="I181" i="13" s="1"/>
  <c r="K194" i="14"/>
  <c r="L194" i="14" s="1"/>
  <c r="I195" i="14" s="1"/>
  <c r="N293" i="14"/>
  <c r="J292" i="14" a="1"/>
  <c r="J292" i="14" s="1"/>
  <c r="N294" i="13"/>
  <c r="J293" i="13" a="1"/>
  <c r="J293" i="13" s="1"/>
  <c r="M297" i="14"/>
  <c r="M296" i="13"/>
  <c r="K181" i="13" l="1"/>
  <c r="L181" i="13" s="1"/>
  <c r="I182" i="13" s="1"/>
  <c r="K195" i="14"/>
  <c r="L195" i="14" s="1"/>
  <c r="I196" i="14" s="1"/>
  <c r="M297" i="13"/>
  <c r="N295" i="13"/>
  <c r="J294" i="13" a="1"/>
  <c r="J294" i="13" s="1"/>
  <c r="M298" i="14"/>
  <c r="N294" i="14"/>
  <c r="J293" i="14" a="1"/>
  <c r="J293" i="14" s="1"/>
  <c r="K182" i="13" l="1"/>
  <c r="L182" i="13" s="1"/>
  <c r="I183" i="13" s="1"/>
  <c r="K196" i="14"/>
  <c r="L196" i="14" s="1"/>
  <c r="I197" i="14" s="1"/>
  <c r="N296" i="13"/>
  <c r="J295" i="13" a="1"/>
  <c r="J295" i="13" s="1"/>
  <c r="M298" i="13"/>
  <c r="N295" i="14"/>
  <c r="J294" i="14" a="1"/>
  <c r="J294" i="14" s="1"/>
  <c r="M299" i="14"/>
  <c r="K183" i="13" l="1"/>
  <c r="L183" i="13" s="1"/>
  <c r="I184" i="13" s="1"/>
  <c r="K197" i="14"/>
  <c r="L197" i="14" s="1"/>
  <c r="I198" i="14" s="1"/>
  <c r="N296" i="14"/>
  <c r="J295" i="14" a="1"/>
  <c r="J295" i="14" s="1"/>
  <c r="M300" i="14"/>
  <c r="M299" i="13"/>
  <c r="N297" i="13"/>
  <c r="J296" i="13" a="1"/>
  <c r="J296" i="13" s="1"/>
  <c r="K184" i="13" l="1"/>
  <c r="L184" i="13" s="1"/>
  <c r="I185" i="13" s="1"/>
  <c r="K198" i="14"/>
  <c r="L198" i="14" s="1"/>
  <c r="I199" i="14" s="1"/>
  <c r="N298" i="13"/>
  <c r="J297" i="13" a="1"/>
  <c r="J297" i="13" s="1"/>
  <c r="M301" i="14"/>
  <c r="M300" i="13"/>
  <c r="N297" i="14"/>
  <c r="J296" i="14" a="1"/>
  <c r="J296" i="14" s="1"/>
  <c r="K185" i="13" l="1"/>
  <c r="L185" i="13" s="1"/>
  <c r="I186" i="13" s="1"/>
  <c r="K199" i="14"/>
  <c r="L199" i="14" s="1"/>
  <c r="I200" i="14" s="1"/>
  <c r="N298" i="14"/>
  <c r="J297" i="14" a="1"/>
  <c r="J297" i="14" s="1"/>
  <c r="M301" i="13"/>
  <c r="M302" i="14"/>
  <c r="N299" i="13"/>
  <c r="J298" i="13" a="1"/>
  <c r="J298" i="13" s="1"/>
  <c r="K186" i="13" l="1"/>
  <c r="L186" i="13" s="1"/>
  <c r="I187" i="13" s="1"/>
  <c r="K200" i="14"/>
  <c r="N299" i="14"/>
  <c r="J298" i="14" a="1"/>
  <c r="J298" i="14" s="1"/>
  <c r="N300" i="13"/>
  <c r="J299" i="13" a="1"/>
  <c r="J299" i="13" s="1"/>
  <c r="M302" i="13"/>
  <c r="M303" i="14"/>
  <c r="K187" i="13" l="1"/>
  <c r="L187" i="13" s="1"/>
  <c r="I188" i="13" s="1"/>
  <c r="M303" i="13"/>
  <c r="M304" i="14"/>
  <c r="N300" i="14"/>
  <c r="J299" i="14" a="1"/>
  <c r="J299" i="14" s="1"/>
  <c r="L200" i="14"/>
  <c r="I201" i="14" s="1"/>
  <c r="N301" i="13"/>
  <c r="J300" i="13" a="1"/>
  <c r="J300" i="13" s="1"/>
  <c r="K188" i="13" l="1"/>
  <c r="L188" i="13" s="1"/>
  <c r="I189" i="13" s="1"/>
  <c r="N301" i="14"/>
  <c r="J300" i="14" a="1"/>
  <c r="J300" i="14" s="1"/>
  <c r="N302" i="13"/>
  <c r="J301" i="13" a="1"/>
  <c r="J301" i="13" s="1"/>
  <c r="M305" i="14"/>
  <c r="K201" i="14"/>
  <c r="M304" i="13"/>
  <c r="K189" i="13" l="1"/>
  <c r="L189" i="13" s="1"/>
  <c r="I190" i="13" s="1"/>
  <c r="N302" i="14"/>
  <c r="J301" i="14" a="1"/>
  <c r="J301" i="14" s="1"/>
  <c r="L201" i="14"/>
  <c r="I202" i="14" s="1"/>
  <c r="M306" i="14"/>
  <c r="M305" i="13"/>
  <c r="N303" i="13"/>
  <c r="J302" i="13" a="1"/>
  <c r="J302" i="13" s="1"/>
  <c r="K190" i="13" l="1"/>
  <c r="K202" i="14"/>
  <c r="L202" i="14" s="1"/>
  <c r="I203" i="14" s="1"/>
  <c r="M307" i="14"/>
  <c r="N303" i="14"/>
  <c r="J302" i="14" a="1"/>
  <c r="J302" i="14" s="1"/>
  <c r="N304" i="13"/>
  <c r="J303" i="13" a="1"/>
  <c r="J303" i="13" s="1"/>
  <c r="M306" i="13"/>
  <c r="L190" i="13" l="1"/>
  <c r="I191" i="13" s="1"/>
  <c r="K203" i="14"/>
  <c r="L203" i="14" s="1"/>
  <c r="I204" i="14" s="1"/>
  <c r="N304" i="14"/>
  <c r="J303" i="14" a="1"/>
  <c r="J303" i="14" s="1"/>
  <c r="N305" i="13"/>
  <c r="J304" i="13" a="1"/>
  <c r="J304" i="13" s="1"/>
  <c r="M307" i="13"/>
  <c r="M308" i="14"/>
  <c r="K191" i="13" l="1"/>
  <c r="L191" i="13" s="1"/>
  <c r="I192" i="13" s="1"/>
  <c r="K204" i="14"/>
  <c r="L204" i="14" s="1"/>
  <c r="I205" i="14" s="1"/>
  <c r="N305" i="14"/>
  <c r="J304" i="14" a="1"/>
  <c r="J304" i="14" s="1"/>
  <c r="M309" i="14"/>
  <c r="N306" i="13"/>
  <c r="J305" i="13" a="1"/>
  <c r="J305" i="13" s="1"/>
  <c r="M308" i="13"/>
  <c r="K192" i="13" l="1"/>
  <c r="L192" i="13" s="1"/>
  <c r="I193" i="13" s="1"/>
  <c r="K205" i="14"/>
  <c r="L205" i="14" s="1"/>
  <c r="I206" i="14" s="1"/>
  <c r="M309" i="13"/>
  <c r="M310" i="14"/>
  <c r="N307" i="13"/>
  <c r="J306" i="13" a="1"/>
  <c r="J306" i="13" s="1"/>
  <c r="N306" i="14"/>
  <c r="J305" i="14" a="1"/>
  <c r="J305" i="14" s="1"/>
  <c r="K193" i="13" l="1"/>
  <c r="L193" i="13" s="1"/>
  <c r="I194" i="13" s="1"/>
  <c r="K206" i="14"/>
  <c r="L206" i="14" s="1"/>
  <c r="I207" i="14" s="1"/>
  <c r="M310" i="13"/>
  <c r="N308" i="13"/>
  <c r="J307" i="13" a="1"/>
  <c r="J307" i="13" s="1"/>
  <c r="M311" i="14"/>
  <c r="N307" i="14"/>
  <c r="J306" i="14" a="1"/>
  <c r="J306" i="14" s="1"/>
  <c r="K194" i="13" l="1"/>
  <c r="L194" i="13" s="1"/>
  <c r="I195" i="13" s="1"/>
  <c r="K207" i="14"/>
  <c r="L207" i="14" s="1"/>
  <c r="I208" i="14" s="1"/>
  <c r="N309" i="13"/>
  <c r="J308" i="13" a="1"/>
  <c r="J308" i="13" s="1"/>
  <c r="N308" i="14"/>
  <c r="J307" i="14" a="1"/>
  <c r="J307" i="14" s="1"/>
  <c r="M312" i="14"/>
  <c r="M311" i="13"/>
  <c r="K195" i="13" l="1"/>
  <c r="L195" i="13" s="1"/>
  <c r="I196" i="13" s="1"/>
  <c r="K208" i="14"/>
  <c r="L208" i="14" s="1"/>
  <c r="I209" i="14" s="1"/>
  <c r="N310" i="13"/>
  <c r="J309" i="13" a="1"/>
  <c r="J309" i="13" s="1"/>
  <c r="M313" i="14"/>
  <c r="M312" i="13"/>
  <c r="N309" i="14"/>
  <c r="J308" i="14" a="1"/>
  <c r="J308" i="14" s="1"/>
  <c r="K196" i="13" l="1"/>
  <c r="L196" i="13" s="1"/>
  <c r="I197" i="13" s="1"/>
  <c r="K209" i="14"/>
  <c r="L209" i="14" s="1"/>
  <c r="I210" i="14" s="1"/>
  <c r="N310" i="14"/>
  <c r="J309" i="14" a="1"/>
  <c r="J309" i="14" s="1"/>
  <c r="M313" i="13"/>
  <c r="M314" i="14"/>
  <c r="N311" i="13"/>
  <c r="J310" i="13" a="1"/>
  <c r="J310" i="13" s="1"/>
  <c r="K197" i="13" l="1"/>
  <c r="L197" i="13" s="1"/>
  <c r="I198" i="13" s="1"/>
  <c r="K210" i="14"/>
  <c r="L210" i="14" s="1"/>
  <c r="I211" i="14" s="1"/>
  <c r="N312" i="13"/>
  <c r="J311" i="13" a="1"/>
  <c r="J311" i="13" s="1"/>
  <c r="M314" i="13"/>
  <c r="M315" i="14"/>
  <c r="N311" i="14"/>
  <c r="J310" i="14" a="1"/>
  <c r="J310" i="14" s="1"/>
  <c r="K198" i="13" l="1"/>
  <c r="L198" i="13" s="1"/>
  <c r="I199" i="13" s="1"/>
  <c r="K211" i="14"/>
  <c r="L211" i="14" s="1"/>
  <c r="I212" i="14" s="1"/>
  <c r="N312" i="14"/>
  <c r="J311" i="14" a="1"/>
  <c r="J311" i="14" s="1"/>
  <c r="M315" i="13"/>
  <c r="M316" i="14"/>
  <c r="N313" i="13"/>
  <c r="J312" i="13" a="1"/>
  <c r="J312" i="13" s="1"/>
  <c r="K199" i="13" l="1"/>
  <c r="L199" i="13" s="1"/>
  <c r="I200" i="13" s="1"/>
  <c r="K212" i="14"/>
  <c r="N314" i="13"/>
  <c r="J313" i="13" a="1"/>
  <c r="J313" i="13" s="1"/>
  <c r="M316" i="13"/>
  <c r="M317" i="14"/>
  <c r="N313" i="14"/>
  <c r="J312" i="14" a="1"/>
  <c r="J312" i="14" s="1"/>
  <c r="K200" i="13" l="1"/>
  <c r="N314" i="14"/>
  <c r="J313" i="14" a="1"/>
  <c r="J313" i="14" s="1"/>
  <c r="M317" i="13"/>
  <c r="M318" i="14"/>
  <c r="N315" i="13"/>
  <c r="J314" i="13" a="1"/>
  <c r="J314" i="13" s="1"/>
  <c r="L212" i="14"/>
  <c r="I213" i="14" s="1"/>
  <c r="L200" i="13" l="1"/>
  <c r="I201" i="13" s="1"/>
  <c r="M318" i="13"/>
  <c r="N316" i="13"/>
  <c r="J315" i="13" a="1"/>
  <c r="J315" i="13" s="1"/>
  <c r="N315" i="14"/>
  <c r="J314" i="14" a="1"/>
  <c r="J314" i="14" s="1"/>
  <c r="K213" i="14"/>
  <c r="M319" i="14"/>
  <c r="K201" i="13" l="1"/>
  <c r="L213" i="14"/>
  <c r="I214" i="14" s="1"/>
  <c r="N317" i="13"/>
  <c r="J316" i="13" a="1"/>
  <c r="J316" i="13" s="1"/>
  <c r="M320" i="14"/>
  <c r="M319" i="13"/>
  <c r="N316" i="14"/>
  <c r="J315" i="14" a="1"/>
  <c r="J315" i="14" s="1"/>
  <c r="L201" i="13" l="1"/>
  <c r="I202" i="13" s="1"/>
  <c r="N317" i="14"/>
  <c r="J316" i="14" a="1"/>
  <c r="J316" i="14" s="1"/>
  <c r="N318" i="13"/>
  <c r="J317" i="13" a="1"/>
  <c r="J317" i="13" s="1"/>
  <c r="M320" i="13"/>
  <c r="M321" i="14"/>
  <c r="K214" i="14"/>
  <c r="L214" i="14" s="1"/>
  <c r="I215" i="14" s="1"/>
  <c r="K202" i="13" l="1"/>
  <c r="L202" i="13" s="1"/>
  <c r="I203" i="13" s="1"/>
  <c r="K215" i="14"/>
  <c r="L215" i="14" s="1"/>
  <c r="I216" i="14" s="1"/>
  <c r="N319" i="13"/>
  <c r="J318" i="13" a="1"/>
  <c r="J318" i="13" s="1"/>
  <c r="M322" i="14"/>
  <c r="M321" i="13"/>
  <c r="N318" i="14"/>
  <c r="J317" i="14" a="1"/>
  <c r="J317" i="14" s="1"/>
  <c r="K203" i="13" l="1"/>
  <c r="L203" i="13" s="1"/>
  <c r="I204" i="13" s="1"/>
  <c r="K216" i="14"/>
  <c r="L216" i="14" s="1"/>
  <c r="I217" i="14" s="1"/>
  <c r="M323" i="14"/>
  <c r="N319" i="14"/>
  <c r="J318" i="14" a="1"/>
  <c r="J318" i="14" s="1"/>
  <c r="M322" i="13"/>
  <c r="N320" i="13"/>
  <c r="J319" i="13" a="1"/>
  <c r="J319" i="13" s="1"/>
  <c r="K204" i="13" l="1"/>
  <c r="L204" i="13" s="1"/>
  <c r="I205" i="13" s="1"/>
  <c r="K217" i="14"/>
  <c r="L217" i="14" s="1"/>
  <c r="I218" i="14" s="1"/>
  <c r="N321" i="13"/>
  <c r="J320" i="13" a="1"/>
  <c r="J320" i="13" s="1"/>
  <c r="N320" i="14"/>
  <c r="J319" i="14" a="1"/>
  <c r="J319" i="14" s="1"/>
  <c r="M323" i="13"/>
  <c r="M324" i="14"/>
  <c r="K205" i="13" l="1"/>
  <c r="L205" i="13" s="1"/>
  <c r="I206" i="13" s="1"/>
  <c r="K218" i="14"/>
  <c r="L218" i="14" s="1"/>
  <c r="I219" i="14" s="1"/>
  <c r="M324" i="13"/>
  <c r="N322" i="13"/>
  <c r="J321" i="13" a="1"/>
  <c r="J321" i="13" s="1"/>
  <c r="M325" i="14"/>
  <c r="N321" i="14"/>
  <c r="J320" i="14" a="1"/>
  <c r="J320" i="14" s="1"/>
  <c r="K206" i="13" l="1"/>
  <c r="L206" i="13" s="1"/>
  <c r="I207" i="13" s="1"/>
  <c r="K219" i="14"/>
  <c r="L219" i="14" s="1"/>
  <c r="I220" i="14" s="1"/>
  <c r="N322" i="14"/>
  <c r="J321" i="14" a="1"/>
  <c r="J321" i="14" s="1"/>
  <c r="M326" i="14"/>
  <c r="M325" i="13"/>
  <c r="N323" i="13"/>
  <c r="J322" i="13" a="1"/>
  <c r="J322" i="13" s="1"/>
  <c r="K207" i="13" l="1"/>
  <c r="L207" i="13" s="1"/>
  <c r="I208" i="13" s="1"/>
  <c r="K220" i="14"/>
  <c r="L220" i="14" s="1"/>
  <c r="I221" i="14" s="1"/>
  <c r="M326" i="13"/>
  <c r="N323" i="14"/>
  <c r="J322" i="14" a="1"/>
  <c r="J322" i="14" s="1"/>
  <c r="N324" i="13"/>
  <c r="J323" i="13" a="1"/>
  <c r="J323" i="13" s="1"/>
  <c r="M327" i="14"/>
  <c r="K208" i="13" l="1"/>
  <c r="L208" i="13" s="1"/>
  <c r="I209" i="13" s="1"/>
  <c r="K221" i="14"/>
  <c r="L221" i="14" s="1"/>
  <c r="I222" i="14" s="1"/>
  <c r="N324" i="14"/>
  <c r="J323" i="14" a="1"/>
  <c r="J323" i="14" s="1"/>
  <c r="M328" i="14"/>
  <c r="M327" i="13"/>
  <c r="N325" i="13"/>
  <c r="J324" i="13" a="1"/>
  <c r="J324" i="13" s="1"/>
  <c r="K209" i="13" l="1"/>
  <c r="L209" i="13" s="1"/>
  <c r="I210" i="13" s="1"/>
  <c r="K222" i="14"/>
  <c r="L222" i="14" s="1"/>
  <c r="I223" i="14" s="1"/>
  <c r="M329" i="14"/>
  <c r="N326" i="13"/>
  <c r="J325" i="13" a="1"/>
  <c r="J325" i="13" s="1"/>
  <c r="M328" i="13"/>
  <c r="N325" i="14"/>
  <c r="J324" i="14" a="1"/>
  <c r="J324" i="14" s="1"/>
  <c r="K210" i="13" l="1"/>
  <c r="L210" i="13" s="1"/>
  <c r="I211" i="13" s="1"/>
  <c r="K223" i="14"/>
  <c r="L223" i="14" s="1"/>
  <c r="I224" i="14" s="1"/>
  <c r="N327" i="13"/>
  <c r="J326" i="13" a="1"/>
  <c r="J326" i="13" s="1"/>
  <c r="M330" i="14"/>
  <c r="N326" i="14"/>
  <c r="J325" i="14" a="1"/>
  <c r="J325" i="14" s="1"/>
  <c r="M329" i="13"/>
  <c r="K211" i="13" l="1"/>
  <c r="L211" i="13" s="1"/>
  <c r="I212" i="13" s="1"/>
  <c r="K224" i="14"/>
  <c r="M331" i="14"/>
  <c r="M330" i="13"/>
  <c r="N327" i="14"/>
  <c r="J326" i="14" a="1"/>
  <c r="J326" i="14" s="1"/>
  <c r="N328" i="13"/>
  <c r="J327" i="13" a="1"/>
  <c r="J327" i="13" s="1"/>
  <c r="K212" i="13" l="1"/>
  <c r="M332" i="14"/>
  <c r="M331" i="13"/>
  <c r="N329" i="13"/>
  <c r="J328" i="13" a="1"/>
  <c r="J328" i="13" s="1"/>
  <c r="L224" i="14"/>
  <c r="I225" i="14" s="1"/>
  <c r="N328" i="14"/>
  <c r="J327" i="14" a="1"/>
  <c r="J327" i="14" s="1"/>
  <c r="L212" i="13" l="1"/>
  <c r="I213" i="13" s="1"/>
  <c r="M333" i="14"/>
  <c r="K225" i="14"/>
  <c r="N329" i="14"/>
  <c r="J328" i="14" a="1"/>
  <c r="J328" i="14" s="1"/>
  <c r="N330" i="13"/>
  <c r="J329" i="13" a="1"/>
  <c r="J329" i="13" s="1"/>
  <c r="M332" i="13"/>
  <c r="K213" i="13" l="1"/>
  <c r="M334" i="14"/>
  <c r="M333" i="13"/>
  <c r="N330" i="14"/>
  <c r="J329" i="14" a="1"/>
  <c r="J329" i="14" s="1"/>
  <c r="N331" i="13"/>
  <c r="J330" i="13" a="1"/>
  <c r="J330" i="13" s="1"/>
  <c r="L225" i="14"/>
  <c r="I226" i="14" s="1"/>
  <c r="L213" i="13" l="1"/>
  <c r="I214" i="13" s="1"/>
  <c r="N331" i="14"/>
  <c r="J330" i="14" a="1"/>
  <c r="J330" i="14" s="1"/>
  <c r="M335" i="14"/>
  <c r="K226" i="14"/>
  <c r="L226" i="14" s="1"/>
  <c r="I227" i="14" s="1"/>
  <c r="N332" i="13"/>
  <c r="J331" i="13" a="1"/>
  <c r="J331" i="13" s="1"/>
  <c r="M334" i="13"/>
  <c r="K214" i="13" l="1"/>
  <c r="L214" i="13" s="1"/>
  <c r="I215" i="13" s="1"/>
  <c r="K227" i="14"/>
  <c r="L227" i="14" s="1"/>
  <c r="I228" i="14" s="1"/>
  <c r="N332" i="14"/>
  <c r="J331" i="14" a="1"/>
  <c r="J331" i="14" s="1"/>
  <c r="M336" i="14"/>
  <c r="M335" i="13"/>
  <c r="N333" i="13"/>
  <c r="J332" i="13" a="1"/>
  <c r="J332" i="13" s="1"/>
  <c r="K215" i="13" l="1"/>
  <c r="L215" i="13" s="1"/>
  <c r="I216" i="13" s="1"/>
  <c r="M337" i="14"/>
  <c r="M336" i="13"/>
  <c r="N334" i="13"/>
  <c r="J333" i="13" a="1"/>
  <c r="J333" i="13" s="1"/>
  <c r="N333" i="14"/>
  <c r="J332" i="14" a="1"/>
  <c r="J332" i="14" s="1"/>
  <c r="K228" i="14"/>
  <c r="L228" i="14" s="1"/>
  <c r="I229" i="14" s="1"/>
  <c r="K216" i="13" l="1"/>
  <c r="L216" i="13" s="1"/>
  <c r="I217" i="13" s="1"/>
  <c r="K229" i="14"/>
  <c r="L229" i="14" s="1"/>
  <c r="I230" i="14" s="1"/>
  <c r="M337" i="13"/>
  <c r="N335" i="13"/>
  <c r="J334" i="13" a="1"/>
  <c r="J334" i="13" s="1"/>
  <c r="N334" i="14"/>
  <c r="J333" i="14" a="1"/>
  <c r="J333" i="14" s="1"/>
  <c r="M338" i="14"/>
  <c r="K217" i="13" l="1"/>
  <c r="L217" i="13" s="1"/>
  <c r="I218" i="13" s="1"/>
  <c r="K230" i="14"/>
  <c r="L230" i="14" s="1"/>
  <c r="I231" i="14" s="1"/>
  <c r="N336" i="13"/>
  <c r="J335" i="13" a="1"/>
  <c r="J335" i="13" s="1"/>
  <c r="N335" i="14"/>
  <c r="J334" i="14" a="1"/>
  <c r="J334" i="14" s="1"/>
  <c r="M338" i="13"/>
  <c r="M339" i="14"/>
  <c r="K218" i="13" l="1"/>
  <c r="L218" i="13" s="1"/>
  <c r="I219" i="13" s="1"/>
  <c r="K231" i="14"/>
  <c r="L231" i="14" s="1"/>
  <c r="I232" i="14" s="1"/>
  <c r="M340" i="14"/>
  <c r="N336" i="14"/>
  <c r="J335" i="14" a="1"/>
  <c r="J335" i="14" s="1"/>
  <c r="M339" i="13"/>
  <c r="N337" i="13"/>
  <c r="J336" i="13" a="1"/>
  <c r="J336" i="13" s="1"/>
  <c r="K219" i="13" l="1"/>
  <c r="L219" i="13" s="1"/>
  <c r="I220" i="13" s="1"/>
  <c r="K232" i="14"/>
  <c r="L232" i="14" s="1"/>
  <c r="I233" i="14" s="1"/>
  <c r="M341" i="14"/>
  <c r="N338" i="13"/>
  <c r="J337" i="13" a="1"/>
  <c r="J337" i="13" s="1"/>
  <c r="M340" i="13"/>
  <c r="N337" i="14"/>
  <c r="J336" i="14" a="1"/>
  <c r="J336" i="14" s="1"/>
  <c r="K220" i="13" l="1"/>
  <c r="L220" i="13" s="1"/>
  <c r="I221" i="13" s="1"/>
  <c r="K233" i="14"/>
  <c r="L233" i="14" s="1"/>
  <c r="I234" i="14" s="1"/>
  <c r="N338" i="14"/>
  <c r="J337" i="14" a="1"/>
  <c r="J337" i="14" s="1"/>
  <c r="N339" i="13"/>
  <c r="J338" i="13" a="1"/>
  <c r="J338" i="13" s="1"/>
  <c r="M341" i="13"/>
  <c r="M342" i="14"/>
  <c r="K221" i="13" l="1"/>
  <c r="L221" i="13" s="1"/>
  <c r="I222" i="13" s="1"/>
  <c r="N339" i="14"/>
  <c r="J338" i="14" a="1"/>
  <c r="J338" i="14" s="1"/>
  <c r="K234" i="14"/>
  <c r="L234" i="14" s="1"/>
  <c r="I235" i="14" s="1"/>
  <c r="M343" i="14"/>
  <c r="N340" i="13"/>
  <c r="J339" i="13" a="1"/>
  <c r="J339" i="13" s="1"/>
  <c r="M342" i="13"/>
  <c r="K222" i="13" l="1"/>
  <c r="L222" i="13" s="1"/>
  <c r="I223" i="13" s="1"/>
  <c r="K235" i="14"/>
  <c r="L235" i="14" s="1"/>
  <c r="I236" i="14" s="1"/>
  <c r="N340" i="14"/>
  <c r="J339" i="14" a="1"/>
  <c r="J339" i="14" s="1"/>
  <c r="M343" i="13"/>
  <c r="M344" i="14"/>
  <c r="N341" i="13"/>
  <c r="J340" i="13" a="1"/>
  <c r="J340" i="13" s="1"/>
  <c r="K223" i="13" l="1"/>
  <c r="L223" i="13" s="1"/>
  <c r="I224" i="13" s="1"/>
  <c r="K236" i="14"/>
  <c r="L236" i="14" s="1"/>
  <c r="I237" i="14" s="1"/>
  <c r="N342" i="13"/>
  <c r="J341" i="13" a="1"/>
  <c r="J341" i="13" s="1"/>
  <c r="M344" i="13"/>
  <c r="M345" i="14"/>
  <c r="N341" i="14"/>
  <c r="J340" i="14" a="1"/>
  <c r="J340" i="14" s="1"/>
  <c r="K224" i="13" l="1"/>
  <c r="K237" i="14"/>
  <c r="L237" i="14" s="1"/>
  <c r="I238" i="14" s="1"/>
  <c r="M345" i="13"/>
  <c r="N342" i="14"/>
  <c r="J341" i="14" a="1"/>
  <c r="J341" i="14" s="1"/>
  <c r="M346" i="14"/>
  <c r="N343" i="13"/>
  <c r="J342" i="13" a="1"/>
  <c r="J342" i="13" s="1"/>
  <c r="L224" i="13" l="1"/>
  <c r="I225" i="13" s="1"/>
  <c r="N344" i="13"/>
  <c r="J343" i="13" a="1"/>
  <c r="J343" i="13" s="1"/>
  <c r="M347" i="14"/>
  <c r="M346" i="13"/>
  <c r="N343" i="14"/>
  <c r="J342" i="14" a="1"/>
  <c r="J342" i="14" s="1"/>
  <c r="K238" i="14"/>
  <c r="L238" i="14" s="1"/>
  <c r="I239" i="14" s="1"/>
  <c r="K225" i="13" l="1"/>
  <c r="K239" i="14"/>
  <c r="L239" i="14" s="1"/>
  <c r="I240" i="14" s="1"/>
  <c r="M347" i="13"/>
  <c r="M348" i="14"/>
  <c r="N344" i="14"/>
  <c r="J343" i="14" a="1"/>
  <c r="J343" i="14" s="1"/>
  <c r="N345" i="13"/>
  <c r="J344" i="13" a="1"/>
  <c r="J344" i="13" s="1"/>
  <c r="L225" i="13" l="1"/>
  <c r="I226" i="13" s="1"/>
  <c r="K240" i="14"/>
  <c r="L240" i="14" s="1"/>
  <c r="I241" i="14" s="1"/>
  <c r="N345" i="14"/>
  <c r="J344" i="14" a="1"/>
  <c r="J344" i="14" s="1"/>
  <c r="M348" i="13"/>
  <c r="N346" i="13"/>
  <c r="J345" i="13" a="1"/>
  <c r="J345" i="13" s="1"/>
  <c r="M349" i="14"/>
  <c r="K226" i="13" l="1"/>
  <c r="L226" i="13" s="1"/>
  <c r="I227" i="13" s="1"/>
  <c r="K241" i="14"/>
  <c r="L241" i="14" s="1"/>
  <c r="I242" i="14" s="1"/>
  <c r="N347" i="13"/>
  <c r="J346" i="13" a="1"/>
  <c r="J346" i="13" s="1"/>
  <c r="N346" i="14"/>
  <c r="J345" i="14" a="1"/>
  <c r="J345" i="14" s="1"/>
  <c r="M349" i="13"/>
  <c r="M350" i="14"/>
  <c r="K227" i="13" l="1"/>
  <c r="L227" i="13" s="1"/>
  <c r="I228" i="13" s="1"/>
  <c r="K242" i="14"/>
  <c r="L242" i="14" s="1"/>
  <c r="I243" i="14" s="1"/>
  <c r="M350" i="13"/>
  <c r="M351" i="14"/>
  <c r="N347" i="14"/>
  <c r="J346" i="14" a="1"/>
  <c r="J346" i="14" s="1"/>
  <c r="N348" i="13"/>
  <c r="J347" i="13" a="1"/>
  <c r="J347" i="13" s="1"/>
  <c r="K228" i="13" l="1"/>
  <c r="L228" i="13" s="1"/>
  <c r="I229" i="13" s="1"/>
  <c r="K243" i="14"/>
  <c r="L243" i="14" s="1"/>
  <c r="I244" i="14" s="1"/>
  <c r="M351" i="13"/>
  <c r="M352" i="14"/>
  <c r="N349" i="13"/>
  <c r="J348" i="13" a="1"/>
  <c r="J348" i="13" s="1"/>
  <c r="N348" i="14"/>
  <c r="J347" i="14" a="1"/>
  <c r="J347" i="14" s="1"/>
  <c r="K229" i="13" l="1"/>
  <c r="L229" i="13" s="1"/>
  <c r="I230" i="13" s="1"/>
  <c r="K244" i="14"/>
  <c r="L244" i="14" s="1"/>
  <c r="I245" i="14" s="1"/>
  <c r="M352" i="13"/>
  <c r="M353" i="14"/>
  <c r="N349" i="14"/>
  <c r="J348" i="14" a="1"/>
  <c r="J348" i="14" s="1"/>
  <c r="N350" i="13"/>
  <c r="J349" i="13" a="1"/>
  <c r="J349" i="13" s="1"/>
  <c r="K230" i="13" l="1"/>
  <c r="L230" i="13" s="1"/>
  <c r="I231" i="13" s="1"/>
  <c r="K245" i="14"/>
  <c r="L245" i="14" s="1"/>
  <c r="I246" i="14" s="1"/>
  <c r="M354" i="14"/>
  <c r="M353" i="13"/>
  <c r="N351" i="13"/>
  <c r="J350" i="13" a="1"/>
  <c r="J350" i="13" s="1"/>
  <c r="N350" i="14"/>
  <c r="J349" i="14" a="1"/>
  <c r="J349" i="14" s="1"/>
  <c r="K231" i="13" l="1"/>
  <c r="L231" i="13" s="1"/>
  <c r="I232" i="13" s="1"/>
  <c r="K246" i="14"/>
  <c r="L246" i="14" s="1"/>
  <c r="I247" i="14" s="1"/>
  <c r="M355" i="14"/>
  <c r="M354" i="13"/>
  <c r="N351" i="14"/>
  <c r="J350" i="14" a="1"/>
  <c r="J350" i="14" s="1"/>
  <c r="N352" i="13"/>
  <c r="J351" i="13" a="1"/>
  <c r="J351" i="13" s="1"/>
  <c r="K232" i="13" l="1"/>
  <c r="L232" i="13" s="1"/>
  <c r="I233" i="13" s="1"/>
  <c r="K247" i="14"/>
  <c r="L247" i="14" s="1"/>
  <c r="I248" i="14" s="1"/>
  <c r="M356" i="14"/>
  <c r="M355" i="13"/>
  <c r="N353" i="13"/>
  <c r="J352" i="13" a="1"/>
  <c r="J352" i="13" s="1"/>
  <c r="N352" i="14"/>
  <c r="J351" i="14" a="1"/>
  <c r="J351" i="14" s="1"/>
  <c r="K233" i="13" l="1"/>
  <c r="L233" i="13" s="1"/>
  <c r="I234" i="13" s="1"/>
  <c r="K248" i="14"/>
  <c r="L248" i="14" s="1"/>
  <c r="I249" i="14" s="1"/>
  <c r="M357" i="14"/>
  <c r="M356" i="13"/>
  <c r="N353" i="14"/>
  <c r="J352" i="14" a="1"/>
  <c r="J352" i="14" s="1"/>
  <c r="N354" i="13"/>
  <c r="J353" i="13" a="1"/>
  <c r="J353" i="13" s="1"/>
  <c r="K234" i="13" l="1"/>
  <c r="L234" i="13" s="1"/>
  <c r="I235" i="13" s="1"/>
  <c r="K249" i="14"/>
  <c r="L249" i="14" s="1"/>
  <c r="I250" i="14" s="1"/>
  <c r="M357" i="13"/>
  <c r="N355" i="13"/>
  <c r="J354" i="13" a="1"/>
  <c r="J354" i="13" s="1"/>
  <c r="M358" i="14"/>
  <c r="N354" i="14"/>
  <c r="J353" i="14" a="1"/>
  <c r="J353" i="14" s="1"/>
  <c r="K235" i="13" l="1"/>
  <c r="L235" i="13" s="1"/>
  <c r="I236" i="13" s="1"/>
  <c r="N356" i="13"/>
  <c r="J355" i="13" a="1"/>
  <c r="J355" i="13" s="1"/>
  <c r="N355" i="14"/>
  <c r="J354" i="14" a="1"/>
  <c r="J354" i="14" s="1"/>
  <c r="M359" i="14"/>
  <c r="M358" i="13"/>
  <c r="K250" i="14"/>
  <c r="L250" i="14" s="1"/>
  <c r="I251" i="14" s="1"/>
  <c r="K236" i="13" l="1"/>
  <c r="K251" i="14"/>
  <c r="L251" i="14" s="1"/>
  <c r="I252" i="14" s="1"/>
  <c r="N357" i="13"/>
  <c r="J356" i="13" a="1"/>
  <c r="J356" i="13" s="1"/>
  <c r="M360" i="14"/>
  <c r="M359" i="13"/>
  <c r="N356" i="14"/>
  <c r="J355" i="14" a="1"/>
  <c r="J355" i="14" s="1"/>
  <c r="L236" i="13" l="1"/>
  <c r="I237" i="13" s="1"/>
  <c r="K252" i="14"/>
  <c r="L252" i="14" s="1"/>
  <c r="I253" i="14" s="1"/>
  <c r="N358" i="13"/>
  <c r="J357" i="13" a="1"/>
  <c r="J357" i="13" s="1"/>
  <c r="N357" i="14"/>
  <c r="J356" i="14" a="1"/>
  <c r="J356" i="14" s="1"/>
  <c r="M360" i="13"/>
  <c r="M361" i="14"/>
  <c r="K237" i="13" l="1"/>
  <c r="K253" i="14"/>
  <c r="L253" i="14" s="1"/>
  <c r="I254" i="14" s="1"/>
  <c r="M361" i="13"/>
  <c r="N359" i="13"/>
  <c r="J358" i="13" a="1"/>
  <c r="J358" i="13" s="1"/>
  <c r="N358" i="14"/>
  <c r="J357" i="14" a="1"/>
  <c r="J357" i="14" s="1"/>
  <c r="M362" i="14"/>
  <c r="L237" i="13" l="1"/>
  <c r="I238" i="13" s="1"/>
  <c r="K254" i="14"/>
  <c r="L254" i="14" s="1"/>
  <c r="I255" i="14" s="1"/>
  <c r="N360" i="13"/>
  <c r="J359" i="13" a="1"/>
  <c r="J359" i="13" s="1"/>
  <c r="N359" i="14"/>
  <c r="J358" i="14" a="1"/>
  <c r="J358" i="14" s="1"/>
  <c r="M363" i="14"/>
  <c r="M362" i="13"/>
  <c r="K238" i="13" l="1"/>
  <c r="L238" i="13" s="1"/>
  <c r="I239" i="13" s="1"/>
  <c r="K255" i="14"/>
  <c r="L255" i="14" s="1"/>
  <c r="I256" i="14" s="1"/>
  <c r="N360" i="14"/>
  <c r="J359" i="14" a="1"/>
  <c r="J359" i="14" s="1"/>
  <c r="M363" i="13"/>
  <c r="M364" i="14"/>
  <c r="N361" i="13"/>
  <c r="J360" i="13" a="1"/>
  <c r="J360" i="13" s="1"/>
  <c r="K239" i="13" l="1"/>
  <c r="L239" i="13" s="1"/>
  <c r="I240" i="13" s="1"/>
  <c r="K256" i="14"/>
  <c r="L256" i="14" s="1"/>
  <c r="I257" i="14" s="1"/>
  <c r="N362" i="13"/>
  <c r="J361" i="13" a="1"/>
  <c r="J361" i="13" s="1"/>
  <c r="M364" i="13"/>
  <c r="M365" i="14"/>
  <c r="N361" i="14"/>
  <c r="J360" i="14" a="1"/>
  <c r="J360" i="14" s="1"/>
  <c r="K240" i="13" l="1"/>
  <c r="L240" i="13" s="1"/>
  <c r="I241" i="13" s="1"/>
  <c r="K257" i="14"/>
  <c r="L257" i="14" s="1"/>
  <c r="I258" i="14" s="1"/>
  <c r="N362" i="14"/>
  <c r="J361" i="14" a="1"/>
  <c r="J361" i="14" s="1"/>
  <c r="M365" i="13"/>
  <c r="M366" i="14"/>
  <c r="N363" i="13"/>
  <c r="J362" i="13" a="1"/>
  <c r="J362" i="13" s="1"/>
  <c r="K241" i="13" l="1"/>
  <c r="L241" i="13" s="1"/>
  <c r="I242" i="13" s="1"/>
  <c r="K258" i="14"/>
  <c r="L258" i="14" s="1"/>
  <c r="I259" i="14" s="1"/>
  <c r="M366" i="13"/>
  <c r="N364" i="13"/>
  <c r="J363" i="13" a="1"/>
  <c r="J363" i="13" s="1"/>
  <c r="M367" i="14"/>
  <c r="N363" i="14"/>
  <c r="J362" i="14" a="1"/>
  <c r="J362" i="14" s="1"/>
  <c r="K242" i="13" l="1"/>
  <c r="L242" i="13" s="1"/>
  <c r="I243" i="13" s="1"/>
  <c r="K259" i="14"/>
  <c r="L259" i="14" s="1"/>
  <c r="I260" i="14" s="1"/>
  <c r="N364" i="14"/>
  <c r="J363" i="14" a="1"/>
  <c r="J363" i="14" s="1"/>
  <c r="N365" i="13"/>
  <c r="J364" i="13" a="1"/>
  <c r="J364" i="13" s="1"/>
  <c r="M368" i="14"/>
  <c r="M367" i="13"/>
  <c r="K243" i="13" l="1"/>
  <c r="L243" i="13" s="1"/>
  <c r="I244" i="13" s="1"/>
  <c r="K260" i="14"/>
  <c r="L260" i="14" s="1"/>
  <c r="I261" i="14" s="1"/>
  <c r="M368" i="13"/>
  <c r="N366" i="13"/>
  <c r="J365" i="13" a="1"/>
  <c r="J365" i="13" s="1"/>
  <c r="M369" i="14"/>
  <c r="N365" i="14"/>
  <c r="J364" i="14" a="1"/>
  <c r="J364" i="14" s="1"/>
  <c r="K244" i="13" l="1"/>
  <c r="L244" i="13" s="1"/>
  <c r="I245" i="13" s="1"/>
  <c r="N366" i="14"/>
  <c r="J365" i="14" a="1"/>
  <c r="J365" i="14" s="1"/>
  <c r="N367" i="13"/>
  <c r="J366" i="13" a="1"/>
  <c r="J366" i="13" s="1"/>
  <c r="M370" i="14"/>
  <c r="M369" i="13"/>
  <c r="K261" i="14"/>
  <c r="L261" i="14" s="1"/>
  <c r="I262" i="14" s="1"/>
  <c r="K245" i="13" l="1"/>
  <c r="L245" i="13" s="1"/>
  <c r="I246" i="13" s="1"/>
  <c r="K262" i="14"/>
  <c r="M371" i="14"/>
  <c r="N367" i="14"/>
  <c r="J366" i="14" a="1"/>
  <c r="J366" i="14" s="1"/>
  <c r="M370" i="13"/>
  <c r="N368" i="13"/>
  <c r="J367" i="13" a="1"/>
  <c r="J367" i="13" s="1"/>
  <c r="K246" i="13" l="1"/>
  <c r="L246" i="13" s="1"/>
  <c r="I247" i="13" s="1"/>
  <c r="N368" i="14"/>
  <c r="J367" i="14" a="1"/>
  <c r="J367" i="14" s="1"/>
  <c r="L262" i="14"/>
  <c r="I263" i="14" s="1"/>
  <c r="M371" i="13"/>
  <c r="N369" i="13"/>
  <c r="J368" i="13" a="1"/>
  <c r="J368" i="13" s="1"/>
  <c r="M372" i="14"/>
  <c r="K247" i="13" l="1"/>
  <c r="L247" i="13" s="1"/>
  <c r="I248" i="13" s="1"/>
  <c r="N370" i="13"/>
  <c r="J369" i="13" a="1"/>
  <c r="J369" i="13" s="1"/>
  <c r="M373" i="14"/>
  <c r="M372" i="13"/>
  <c r="N369" i="14"/>
  <c r="J368" i="14" a="1"/>
  <c r="J368" i="14" s="1"/>
  <c r="K263" i="14"/>
  <c r="L263" i="14" s="1"/>
  <c r="I264" i="14" s="1"/>
  <c r="K248" i="13" l="1"/>
  <c r="N371" i="13"/>
  <c r="J370" i="13" a="1"/>
  <c r="J370" i="13" s="1"/>
  <c r="K264" i="14"/>
  <c r="L264" i="14" s="1"/>
  <c r="I265" i="14" s="1"/>
  <c r="M373" i="13"/>
  <c r="M374" i="14"/>
  <c r="N370" i="14"/>
  <c r="J369" i="14" a="1"/>
  <c r="J369" i="14" s="1"/>
  <c r="L248" i="13" l="1"/>
  <c r="I249" i="13" s="1"/>
  <c r="K265" i="14"/>
  <c r="L265" i="14" s="1"/>
  <c r="I266" i="14" s="1"/>
  <c r="N371" i="14"/>
  <c r="J370" i="14" a="1"/>
  <c r="J370" i="14" s="1"/>
  <c r="M375" i="14"/>
  <c r="M374" i="13"/>
  <c r="N372" i="13"/>
  <c r="J371" i="13" a="1"/>
  <c r="J371" i="13" s="1"/>
  <c r="K249" i="13" l="1"/>
  <c r="K266" i="14"/>
  <c r="L266" i="14" s="1"/>
  <c r="I267" i="14" s="1"/>
  <c r="M375" i="13"/>
  <c r="N373" i="13"/>
  <c r="J372" i="13" a="1"/>
  <c r="J372" i="13" s="1"/>
  <c r="N372" i="14"/>
  <c r="J371" i="14" a="1"/>
  <c r="J371" i="14" s="1"/>
  <c r="M376" i="14"/>
  <c r="L249" i="13" l="1"/>
  <c r="I250" i="13" s="1"/>
  <c r="K267" i="14"/>
  <c r="L267" i="14" s="1"/>
  <c r="I268" i="14" s="1"/>
  <c r="M376" i="13"/>
  <c r="M377" i="14"/>
  <c r="N373" i="14"/>
  <c r="J372" i="14" a="1"/>
  <c r="J372" i="14" s="1"/>
  <c r="N374" i="13"/>
  <c r="J373" i="13" a="1"/>
  <c r="J373" i="13" s="1"/>
  <c r="K250" i="13" l="1"/>
  <c r="L250" i="13" s="1"/>
  <c r="I251" i="13" s="1"/>
  <c r="K268" i="14"/>
  <c r="L268" i="14" s="1"/>
  <c r="I269" i="14" s="1"/>
  <c r="M377" i="13"/>
  <c r="N375" i="13"/>
  <c r="J374" i="13" a="1"/>
  <c r="J374" i="13" s="1"/>
  <c r="N374" i="14"/>
  <c r="J373" i="14" a="1"/>
  <c r="J373" i="14" s="1"/>
  <c r="M378" i="14"/>
  <c r="K251" i="13" l="1"/>
  <c r="L251" i="13" s="1"/>
  <c r="I252" i="13" s="1"/>
  <c r="K269" i="14"/>
  <c r="L269" i="14" s="1"/>
  <c r="I270" i="14" s="1"/>
  <c r="N376" i="13"/>
  <c r="J375" i="13" a="1"/>
  <c r="J375" i="13" s="1"/>
  <c r="M379" i="14"/>
  <c r="M378" i="13"/>
  <c r="N375" i="14"/>
  <c r="J374" i="14" a="1"/>
  <c r="J374" i="14" s="1"/>
  <c r="K252" i="13" l="1"/>
  <c r="L252" i="13" s="1"/>
  <c r="I253" i="13" s="1"/>
  <c r="K270" i="14"/>
  <c r="L270" i="14" s="1"/>
  <c r="I271" i="14" s="1"/>
  <c r="N377" i="13"/>
  <c r="J376" i="13" a="1"/>
  <c r="J376" i="13" s="1"/>
  <c r="M379" i="13"/>
  <c r="M380" i="14"/>
  <c r="N376" i="14"/>
  <c r="J375" i="14" a="1"/>
  <c r="J375" i="14" s="1"/>
  <c r="K253" i="13" l="1"/>
  <c r="L253" i="13" s="1"/>
  <c r="I254" i="13" s="1"/>
  <c r="K271" i="14"/>
  <c r="L271" i="14" s="1"/>
  <c r="I272" i="14" s="1"/>
  <c r="N378" i="13"/>
  <c r="J377" i="13" a="1"/>
  <c r="J377" i="13" s="1"/>
  <c r="M380" i="13"/>
  <c r="N377" i="14"/>
  <c r="J376" i="14" a="1"/>
  <c r="J376" i="14" s="1"/>
  <c r="M381" i="14"/>
  <c r="K254" i="13" l="1"/>
  <c r="L254" i="13" s="1"/>
  <c r="I255" i="13" s="1"/>
  <c r="K272" i="14"/>
  <c r="N378" i="14"/>
  <c r="J377" i="14" a="1"/>
  <c r="J377" i="14" s="1"/>
  <c r="M382" i="14"/>
  <c r="N379" i="13"/>
  <c r="J378" i="13" a="1"/>
  <c r="J378" i="13" s="1"/>
  <c r="M381" i="13"/>
  <c r="K255" i="13" l="1"/>
  <c r="L255" i="13" s="1"/>
  <c r="I256" i="13" s="1"/>
  <c r="M382" i="13"/>
  <c r="M383" i="14"/>
  <c r="L272" i="14"/>
  <c r="I273" i="14" s="1"/>
  <c r="N380" i="13"/>
  <c r="J379" i="13" a="1"/>
  <c r="J379" i="13" s="1"/>
  <c r="N379" i="14"/>
  <c r="J378" i="14" a="1"/>
  <c r="J378" i="14" s="1"/>
  <c r="K256" i="13" l="1"/>
  <c r="L256" i="13" s="1"/>
  <c r="I257" i="13" s="1"/>
  <c r="N380" i="14"/>
  <c r="J379" i="14" a="1"/>
  <c r="J379" i="14" s="1"/>
  <c r="M384" i="14"/>
  <c r="K273" i="14"/>
  <c r="M383" i="13"/>
  <c r="N381" i="13"/>
  <c r="J380" i="13" a="1"/>
  <c r="J380" i="13" s="1"/>
  <c r="K257" i="13" l="1"/>
  <c r="L257" i="13" s="1"/>
  <c r="I258" i="13" s="1"/>
  <c r="N381" i="14"/>
  <c r="J380" i="14" a="1"/>
  <c r="J380" i="14" s="1"/>
  <c r="M384" i="13"/>
  <c r="M385" i="14"/>
  <c r="N382" i="13"/>
  <c r="J381" i="13" a="1"/>
  <c r="J381" i="13" s="1"/>
  <c r="L273" i="14"/>
  <c r="I274" i="14" s="1"/>
  <c r="K258" i="13" l="1"/>
  <c r="L258" i="13" s="1"/>
  <c r="I259" i="13" s="1"/>
  <c r="N382" i="14"/>
  <c r="J381" i="14" a="1"/>
  <c r="J381" i="14" s="1"/>
  <c r="N383" i="13"/>
  <c r="J382" i="13" a="1"/>
  <c r="J382" i="13" s="1"/>
  <c r="M385" i="13"/>
  <c r="K274" i="14"/>
  <c r="L274" i="14" s="1"/>
  <c r="I275" i="14" s="1"/>
  <c r="M386" i="14"/>
  <c r="K259" i="13" l="1"/>
  <c r="L259" i="13" s="1"/>
  <c r="I260" i="13" s="1"/>
  <c r="K275" i="14"/>
  <c r="L275" i="14" s="1"/>
  <c r="I276" i="14" s="1"/>
  <c r="N383" i="14"/>
  <c r="J382" i="14" a="1"/>
  <c r="J382" i="14" s="1"/>
  <c r="N384" i="13"/>
  <c r="J383" i="13" a="1"/>
  <c r="J383" i="13" s="1"/>
  <c r="M387" i="14"/>
  <c r="M386" i="13"/>
  <c r="K260" i="13" l="1"/>
  <c r="L260" i="13" s="1"/>
  <c r="I261" i="13" s="1"/>
  <c r="K276" i="14"/>
  <c r="L276" i="14" s="1"/>
  <c r="I277" i="14" s="1"/>
  <c r="N385" i="13"/>
  <c r="J384" i="13" a="1"/>
  <c r="J384" i="13" s="1"/>
  <c r="M388" i="14"/>
  <c r="N384" i="14"/>
  <c r="J383" i="14" a="1"/>
  <c r="J383" i="14" s="1"/>
  <c r="M387" i="13"/>
  <c r="K261" i="13" l="1"/>
  <c r="L261" i="13" s="1"/>
  <c r="I262" i="13" s="1"/>
  <c r="K277" i="14"/>
  <c r="L277" i="14" s="1"/>
  <c r="I278" i="14" s="1"/>
  <c r="M388" i="13"/>
  <c r="M389" i="14"/>
  <c r="N385" i="14"/>
  <c r="J384" i="14" a="1"/>
  <c r="J384" i="14" s="1"/>
  <c r="N386" i="13"/>
  <c r="J385" i="13" a="1"/>
  <c r="J385" i="13" s="1"/>
  <c r="K262" i="13" l="1"/>
  <c r="K278" i="14"/>
  <c r="L278" i="14" s="1"/>
  <c r="I279" i="14" s="1"/>
  <c r="M390" i="14"/>
  <c r="N387" i="13"/>
  <c r="J386" i="13" a="1"/>
  <c r="J386" i="13" s="1"/>
  <c r="M389" i="13"/>
  <c r="N386" i="14"/>
  <c r="J385" i="14" a="1"/>
  <c r="J385" i="14" s="1"/>
  <c r="L262" i="13" l="1"/>
  <c r="I263" i="13" s="1"/>
  <c r="K279" i="14"/>
  <c r="L279" i="14" s="1"/>
  <c r="I280" i="14" s="1"/>
  <c r="N387" i="14"/>
  <c r="J386" i="14" a="1"/>
  <c r="J386" i="14" s="1"/>
  <c r="M391" i="14"/>
  <c r="M390" i="13"/>
  <c r="N388" i="13"/>
  <c r="J387" i="13" a="1"/>
  <c r="J387" i="13" s="1"/>
  <c r="K263" i="13" l="1"/>
  <c r="L263" i="13" s="1"/>
  <c r="I264" i="13" s="1"/>
  <c r="K280" i="14"/>
  <c r="L280" i="14" s="1"/>
  <c r="I281" i="14" s="1"/>
  <c r="M392" i="14"/>
  <c r="N389" i="13"/>
  <c r="J388" i="13" a="1"/>
  <c r="J388" i="13" s="1"/>
  <c r="N388" i="14"/>
  <c r="J387" i="14" a="1"/>
  <c r="J387" i="14" s="1"/>
  <c r="M391" i="13"/>
  <c r="K264" i="13" l="1"/>
  <c r="L264" i="13" s="1"/>
  <c r="I265" i="13" s="1"/>
  <c r="K281" i="14"/>
  <c r="L281" i="14" s="1"/>
  <c r="I282" i="14" s="1"/>
  <c r="N389" i="14"/>
  <c r="J388" i="14" a="1"/>
  <c r="J388" i="14" s="1"/>
  <c r="M393" i="14"/>
  <c r="M392" i="13"/>
  <c r="N390" i="13"/>
  <c r="J389" i="13" a="1"/>
  <c r="J389" i="13" s="1"/>
  <c r="K265" i="13" l="1"/>
  <c r="L265" i="13" s="1"/>
  <c r="I266" i="13" s="1"/>
  <c r="K282" i="14"/>
  <c r="L282" i="14" s="1"/>
  <c r="I283" i="14" s="1"/>
  <c r="M394" i="14"/>
  <c r="N391" i="13"/>
  <c r="J390" i="13" a="1"/>
  <c r="J390" i="13" s="1"/>
  <c r="M393" i="13"/>
  <c r="N390" i="14"/>
  <c r="J389" i="14" a="1"/>
  <c r="J389" i="14" s="1"/>
  <c r="K266" i="13" l="1"/>
  <c r="L266" i="13" s="1"/>
  <c r="I267" i="13" s="1"/>
  <c r="K283" i="14"/>
  <c r="L283" i="14" s="1"/>
  <c r="I284" i="14" s="1"/>
  <c r="N391" i="14"/>
  <c r="J390" i="14" a="1"/>
  <c r="J390" i="14" s="1"/>
  <c r="N392" i="13"/>
  <c r="J391" i="13" a="1"/>
  <c r="J391" i="13" s="1"/>
  <c r="M394" i="13"/>
  <c r="M395" i="14"/>
  <c r="K267" i="13" l="1"/>
  <c r="L267" i="13" s="1"/>
  <c r="I268" i="13" s="1"/>
  <c r="K284" i="14"/>
  <c r="M396" i="14"/>
  <c r="N393" i="13"/>
  <c r="J392" i="13" a="1"/>
  <c r="J392" i="13" s="1"/>
  <c r="M395" i="13"/>
  <c r="N392" i="14"/>
  <c r="J391" i="14" a="1"/>
  <c r="J391" i="14" s="1"/>
  <c r="K268" i="13" l="1"/>
  <c r="L268" i="13" s="1"/>
  <c r="I269" i="13" s="1"/>
  <c r="N393" i="14"/>
  <c r="J392" i="14" a="1"/>
  <c r="J392" i="14" s="1"/>
  <c r="N394" i="13"/>
  <c r="J393" i="13" a="1"/>
  <c r="J393" i="13" s="1"/>
  <c r="M396" i="13"/>
  <c r="M397" i="14"/>
  <c r="L284" i="14"/>
  <c r="I285" i="14" s="1"/>
  <c r="K269" i="13" l="1"/>
  <c r="L269" i="13" s="1"/>
  <c r="I270" i="13" s="1"/>
  <c r="M398" i="14"/>
  <c r="N395" i="13"/>
  <c r="J394" i="13" a="1"/>
  <c r="J394" i="13" s="1"/>
  <c r="M397" i="13"/>
  <c r="K285" i="14"/>
  <c r="N394" i="14"/>
  <c r="J393" i="14" a="1"/>
  <c r="J393" i="14" s="1"/>
  <c r="K270" i="13" l="1"/>
  <c r="L270" i="13" s="1"/>
  <c r="I271" i="13" s="1"/>
  <c r="N395" i="14"/>
  <c r="J394" i="14" a="1"/>
  <c r="J394" i="14" s="1"/>
  <c r="M399" i="14"/>
  <c r="L285" i="14"/>
  <c r="I286" i="14" s="1"/>
  <c r="N396" i="13"/>
  <c r="J395" i="13" a="1"/>
  <c r="J395" i="13" s="1"/>
  <c r="M398" i="13"/>
  <c r="K271" i="13" l="1"/>
  <c r="L271" i="13" s="1"/>
  <c r="I272" i="13" s="1"/>
  <c r="M400" i="14"/>
  <c r="N397" i="13"/>
  <c r="J396" i="13" a="1"/>
  <c r="J396" i="13" s="1"/>
  <c r="N396" i="14"/>
  <c r="J395" i="14" a="1"/>
  <c r="J395" i="14" s="1"/>
  <c r="M399" i="13"/>
  <c r="K286" i="14"/>
  <c r="L286" i="14" s="1"/>
  <c r="I287" i="14" s="1"/>
  <c r="K272" i="13" l="1"/>
  <c r="K287" i="14"/>
  <c r="L287" i="14" s="1"/>
  <c r="I288" i="14" s="1"/>
  <c r="M401" i="14"/>
  <c r="M400" i="13"/>
  <c r="N397" i="14"/>
  <c r="J396" i="14" a="1"/>
  <c r="J396" i="14" s="1"/>
  <c r="N398" i="13"/>
  <c r="J397" i="13" a="1"/>
  <c r="J397" i="13" s="1"/>
  <c r="L272" i="13" l="1"/>
  <c r="I273" i="13" s="1"/>
  <c r="K288" i="14"/>
  <c r="L288" i="14" s="1"/>
  <c r="I289" i="14" s="1"/>
  <c r="M402" i="14"/>
  <c r="N398" i="14"/>
  <c r="J397" i="14" a="1"/>
  <c r="J397" i="14" s="1"/>
  <c r="N399" i="13"/>
  <c r="J398" i="13" a="1"/>
  <c r="J398" i="13" s="1"/>
  <c r="M401" i="13"/>
  <c r="K273" i="13" l="1"/>
  <c r="M402" i="13"/>
  <c r="M403" i="14"/>
  <c r="N400" i="13"/>
  <c r="J399" i="13" a="1"/>
  <c r="J399" i="13" s="1"/>
  <c r="N399" i="14"/>
  <c r="J398" i="14" a="1"/>
  <c r="J398" i="14" s="1"/>
  <c r="K289" i="14"/>
  <c r="L289" i="14" s="1"/>
  <c r="I290" i="14" s="1"/>
  <c r="L273" i="13" l="1"/>
  <c r="I274" i="13" s="1"/>
  <c r="K290" i="14"/>
  <c r="L290" i="14" s="1"/>
  <c r="I291" i="14" s="1"/>
  <c r="N401" i="13"/>
  <c r="J400" i="13" a="1"/>
  <c r="J400" i="13" s="1"/>
  <c r="M403" i="13"/>
  <c r="N400" i="14"/>
  <c r="J399" i="14" a="1"/>
  <c r="J399" i="14" s="1"/>
  <c r="M404" i="14"/>
  <c r="K274" i="13" l="1"/>
  <c r="L274" i="13" s="1"/>
  <c r="I275" i="13" s="1"/>
  <c r="K291" i="14"/>
  <c r="L291" i="14" s="1"/>
  <c r="I292" i="14" s="1"/>
  <c r="M405" i="14"/>
  <c r="M404" i="13"/>
  <c r="N402" i="13"/>
  <c r="J401" i="13" a="1"/>
  <c r="J401" i="13" s="1"/>
  <c r="N401" i="14"/>
  <c r="J400" i="14" a="1"/>
  <c r="J400" i="14" s="1"/>
  <c r="K275" i="13" l="1"/>
  <c r="L275" i="13" s="1"/>
  <c r="I276" i="13" s="1"/>
  <c r="K292" i="14"/>
  <c r="L292" i="14" s="1"/>
  <c r="I293" i="14" s="1"/>
  <c r="N402" i="14"/>
  <c r="J401" i="14" a="1"/>
  <c r="J401" i="14" s="1"/>
  <c r="M406" i="14"/>
  <c r="M405" i="13"/>
  <c r="N403" i="13"/>
  <c r="J402" i="13" a="1"/>
  <c r="J402" i="13" s="1"/>
  <c r="K276" i="13" l="1"/>
  <c r="L276" i="13" s="1"/>
  <c r="I277" i="13" s="1"/>
  <c r="K293" i="14"/>
  <c r="L293" i="14" s="1"/>
  <c r="I294" i="14" s="1"/>
  <c r="M406" i="13"/>
  <c r="N403" i="14"/>
  <c r="J402" i="14" a="1"/>
  <c r="J402" i="14" s="1"/>
  <c r="M407" i="14"/>
  <c r="N404" i="13"/>
  <c r="J403" i="13" a="1"/>
  <c r="J403" i="13" s="1"/>
  <c r="K277" i="13" l="1"/>
  <c r="L277" i="13" s="1"/>
  <c r="I278" i="13" s="1"/>
  <c r="K294" i="14"/>
  <c r="L294" i="14" s="1"/>
  <c r="I295" i="14" s="1"/>
  <c r="N405" i="13"/>
  <c r="J404" i="13" a="1"/>
  <c r="J404" i="13" s="1"/>
  <c r="N404" i="14"/>
  <c r="J403" i="14" a="1"/>
  <c r="J403" i="14" s="1"/>
  <c r="M408" i="14"/>
  <c r="M407" i="13"/>
  <c r="K278" i="13" l="1"/>
  <c r="L278" i="13" s="1"/>
  <c r="I279" i="13" s="1"/>
  <c r="K295" i="14"/>
  <c r="L295" i="14" s="1"/>
  <c r="I296" i="14" s="1"/>
  <c r="N405" i="14"/>
  <c r="J404" i="14" a="1"/>
  <c r="J404" i="14" s="1"/>
  <c r="M408" i="13"/>
  <c r="M409" i="14"/>
  <c r="N406" i="13"/>
  <c r="J405" i="13" a="1"/>
  <c r="J405" i="13" s="1"/>
  <c r="K279" i="13" l="1"/>
  <c r="L279" i="13" s="1"/>
  <c r="I280" i="13" s="1"/>
  <c r="K296" i="14"/>
  <c r="N407" i="13"/>
  <c r="J406" i="13" a="1"/>
  <c r="J406" i="13" s="1"/>
  <c r="N406" i="14"/>
  <c r="J405" i="14" a="1"/>
  <c r="J405" i="14" s="1"/>
  <c r="M410" i="14"/>
  <c r="M409" i="13"/>
  <c r="K280" i="13" l="1"/>
  <c r="L280" i="13" s="1"/>
  <c r="I281" i="13" s="1"/>
  <c r="M411" i="14"/>
  <c r="N408" i="13"/>
  <c r="J407" i="13" a="1"/>
  <c r="J407" i="13" s="1"/>
  <c r="N407" i="14"/>
  <c r="J406" i="14" a="1"/>
  <c r="J406" i="14" s="1"/>
  <c r="M410" i="13"/>
  <c r="L296" i="14"/>
  <c r="I297" i="14" s="1"/>
  <c r="K281" i="13" l="1"/>
  <c r="L281" i="13" s="1"/>
  <c r="I282" i="13" s="1"/>
  <c r="K297" i="14"/>
  <c r="M411" i="13"/>
  <c r="N408" i="14"/>
  <c r="J407" i="14" a="1"/>
  <c r="J407" i="14" s="1"/>
  <c r="N409" i="13"/>
  <c r="J408" i="13" a="1"/>
  <c r="J408" i="13" s="1"/>
  <c r="M412" i="14"/>
  <c r="K282" i="13" l="1"/>
  <c r="L282" i="13" s="1"/>
  <c r="I283" i="13" s="1"/>
  <c r="M412" i="13"/>
  <c r="M413" i="14"/>
  <c r="N410" i="13"/>
  <c r="J409" i="13" a="1"/>
  <c r="J409" i="13" s="1"/>
  <c r="N409" i="14"/>
  <c r="J408" i="14" a="1"/>
  <c r="J408" i="14" s="1"/>
  <c r="L297" i="14"/>
  <c r="I298" i="14" s="1"/>
  <c r="K283" i="13" l="1"/>
  <c r="L283" i="13" s="1"/>
  <c r="I284" i="13" s="1"/>
  <c r="N411" i="13"/>
  <c r="J410" i="13" a="1"/>
  <c r="J410" i="13" s="1"/>
  <c r="M413" i="13"/>
  <c r="N410" i="14"/>
  <c r="J409" i="14" a="1"/>
  <c r="J409" i="14" s="1"/>
  <c r="M414" i="14"/>
  <c r="K298" i="14"/>
  <c r="L298" i="14" s="1"/>
  <c r="I299" i="14" s="1"/>
  <c r="K284" i="13" l="1"/>
  <c r="K299" i="14"/>
  <c r="L299" i="14" s="1"/>
  <c r="I300" i="14" s="1"/>
  <c r="N411" i="14"/>
  <c r="J410" i="14" a="1"/>
  <c r="J410" i="14" s="1"/>
  <c r="N412" i="13"/>
  <c r="J411" i="13" a="1"/>
  <c r="J411" i="13" s="1"/>
  <c r="M415" i="14"/>
  <c r="M414" i="13"/>
  <c r="L284" i="13" l="1"/>
  <c r="I285" i="13" s="1"/>
  <c r="K300" i="14"/>
  <c r="L300" i="14" s="1"/>
  <c r="I301" i="14" s="1"/>
  <c r="N412" i="14"/>
  <c r="J411" i="14" a="1"/>
  <c r="J411" i="14" s="1"/>
  <c r="M415" i="13"/>
  <c r="N413" i="13"/>
  <c r="J412" i="13" a="1"/>
  <c r="J412" i="13" s="1"/>
  <c r="M416" i="14"/>
  <c r="K285" i="13" l="1"/>
  <c r="L285" i="13" s="1"/>
  <c r="I286" i="13" s="1"/>
  <c r="K301" i="14"/>
  <c r="L301" i="14" s="1"/>
  <c r="I302" i="14" s="1"/>
  <c r="M417" i="14"/>
  <c r="M416" i="13"/>
  <c r="N414" i="13"/>
  <c r="J413" i="13" a="1"/>
  <c r="J413" i="13" s="1"/>
  <c r="N413" i="14"/>
  <c r="J412" i="14" a="1"/>
  <c r="J412" i="14" s="1"/>
  <c r="K286" i="13" l="1"/>
  <c r="L286" i="13" s="1"/>
  <c r="I287" i="13" s="1"/>
  <c r="K302" i="14"/>
  <c r="L302" i="14" s="1"/>
  <c r="I303" i="14" s="1"/>
  <c r="M417" i="13"/>
  <c r="M418" i="14"/>
  <c r="N414" i="14"/>
  <c r="J413" i="14" a="1"/>
  <c r="J413" i="14" s="1"/>
  <c r="N415" i="13"/>
  <c r="J414" i="13" a="1"/>
  <c r="J414" i="13" s="1"/>
  <c r="K287" i="13" l="1"/>
  <c r="L287" i="13" s="1"/>
  <c r="I288" i="13" s="1"/>
  <c r="M418" i="13"/>
  <c r="N415" i="14"/>
  <c r="J414" i="14" a="1"/>
  <c r="J414" i="14" s="1"/>
  <c r="M419" i="14"/>
  <c r="N416" i="13"/>
  <c r="J415" i="13" a="1"/>
  <c r="J415" i="13" s="1"/>
  <c r="K303" i="14"/>
  <c r="L303" i="14" s="1"/>
  <c r="I304" i="14" s="1"/>
  <c r="K288" i="13" l="1"/>
  <c r="L288" i="13" s="1"/>
  <c r="I289" i="13" s="1"/>
  <c r="K304" i="14"/>
  <c r="L304" i="14" s="1"/>
  <c r="I305" i="14" s="1"/>
  <c r="M420" i="14"/>
  <c r="M419" i="13"/>
  <c r="N417" i="13"/>
  <c r="J416" i="13" a="1"/>
  <c r="J416" i="13" s="1"/>
  <c r="N416" i="14"/>
  <c r="J415" i="14" a="1"/>
  <c r="J415" i="14" s="1"/>
  <c r="K289" i="13" l="1"/>
  <c r="L289" i="13" s="1"/>
  <c r="I290" i="13" s="1"/>
  <c r="K305" i="14"/>
  <c r="L305" i="14" s="1"/>
  <c r="I306" i="14" s="1"/>
  <c r="M420" i="13"/>
  <c r="N417" i="14"/>
  <c r="J416" i="14" a="1"/>
  <c r="J416" i="14" s="1"/>
  <c r="M421" i="14"/>
  <c r="N418" i="13"/>
  <c r="J417" i="13" a="1"/>
  <c r="J417" i="13" s="1"/>
  <c r="K290" i="13" l="1"/>
  <c r="L290" i="13" s="1"/>
  <c r="I291" i="13" s="1"/>
  <c r="K306" i="14"/>
  <c r="L306" i="14" s="1"/>
  <c r="I307" i="14" s="1"/>
  <c r="N419" i="13"/>
  <c r="J418" i="13" a="1"/>
  <c r="J418" i="13" s="1"/>
  <c r="M422" i="14"/>
  <c r="N418" i="14"/>
  <c r="J417" i="14" a="1"/>
  <c r="J417" i="14" s="1"/>
  <c r="M421" i="13"/>
  <c r="K291" i="13" l="1"/>
  <c r="L291" i="13" s="1"/>
  <c r="I292" i="13" s="1"/>
  <c r="M422" i="13"/>
  <c r="K307" i="14"/>
  <c r="L307" i="14" s="1"/>
  <c r="I308" i="14" s="1"/>
  <c r="N419" i="14"/>
  <c r="J418" i="14" a="1"/>
  <c r="J418" i="14" s="1"/>
  <c r="N420" i="13"/>
  <c r="J419" i="13" a="1"/>
  <c r="J419" i="13" s="1"/>
  <c r="M423" i="14"/>
  <c r="K292" i="13" l="1"/>
  <c r="L292" i="13" s="1"/>
  <c r="I293" i="13" s="1"/>
  <c r="K308" i="14"/>
  <c r="L308" i="14" s="1"/>
  <c r="I309" i="14" s="1"/>
  <c r="M424" i="14"/>
  <c r="N420" i="14"/>
  <c r="J419" i="14" a="1"/>
  <c r="J419" i="14" s="1"/>
  <c r="M423" i="13"/>
  <c r="N421" i="13"/>
  <c r="J420" i="13" a="1"/>
  <c r="J420" i="13" s="1"/>
  <c r="K293" i="13" l="1"/>
  <c r="L293" i="13" s="1"/>
  <c r="I294" i="13" s="1"/>
  <c r="K309" i="14"/>
  <c r="L309" i="14" s="1"/>
  <c r="I310" i="14" s="1"/>
  <c r="N422" i="13"/>
  <c r="J421" i="13" a="1"/>
  <c r="J421" i="13" s="1"/>
  <c r="M424" i="13"/>
  <c r="N421" i="14"/>
  <c r="J420" i="14" a="1"/>
  <c r="J420" i="14" s="1"/>
  <c r="M425" i="14"/>
  <c r="K294" i="13" l="1"/>
  <c r="L294" i="13" s="1"/>
  <c r="I295" i="13" s="1"/>
  <c r="K310" i="14"/>
  <c r="L310" i="14" s="1"/>
  <c r="I311" i="14" s="1"/>
  <c r="N422" i="14"/>
  <c r="J421" i="14" a="1"/>
  <c r="J421" i="14" s="1"/>
  <c r="M426" i="14"/>
  <c r="M425" i="13"/>
  <c r="N423" i="13"/>
  <c r="J422" i="13" a="1"/>
  <c r="J422" i="13" s="1"/>
  <c r="K295" i="13" l="1"/>
  <c r="L295" i="13" s="1"/>
  <c r="I296" i="13" s="1"/>
  <c r="K311" i="14"/>
  <c r="L311" i="14" s="1"/>
  <c r="I312" i="14" s="1"/>
  <c r="N424" i="13"/>
  <c r="J423" i="13" a="1"/>
  <c r="J423" i="13" s="1"/>
  <c r="M427" i="14"/>
  <c r="M426" i="13"/>
  <c r="N423" i="14"/>
  <c r="J422" i="14" a="1"/>
  <c r="J422" i="14" s="1"/>
  <c r="K296" i="13" l="1"/>
  <c r="L296" i="13" s="1"/>
  <c r="I297" i="13" s="1"/>
  <c r="K312" i="14"/>
  <c r="L312" i="14" s="1"/>
  <c r="I313" i="14" s="1"/>
  <c r="M428" i="14"/>
  <c r="N424" i="14"/>
  <c r="J423" i="14" a="1"/>
  <c r="J423" i="14" s="1"/>
  <c r="M427" i="13"/>
  <c r="N425" i="13"/>
  <c r="J424" i="13" a="1"/>
  <c r="J424" i="13" s="1"/>
  <c r="K297" i="13" l="1"/>
  <c r="L297" i="13" s="1"/>
  <c r="I298" i="13" s="1"/>
  <c r="K313" i="14"/>
  <c r="L313" i="14" s="1"/>
  <c r="I314" i="14" s="1"/>
  <c r="M429" i="14"/>
  <c r="N426" i="13"/>
  <c r="J425" i="13" a="1"/>
  <c r="J425" i="13" s="1"/>
  <c r="M428" i="13"/>
  <c r="N425" i="14"/>
  <c r="J424" i="14" a="1"/>
  <c r="J424" i="14" s="1"/>
  <c r="K298" i="13" l="1"/>
  <c r="K314" i="14"/>
  <c r="L314" i="14" s="1"/>
  <c r="I315" i="14" s="1"/>
  <c r="M430" i="14"/>
  <c r="N426" i="14"/>
  <c r="J425" i="14" a="1"/>
  <c r="J425" i="14" s="1"/>
  <c r="N427" i="13"/>
  <c r="J426" i="13" a="1"/>
  <c r="J426" i="13" s="1"/>
  <c r="M429" i="13"/>
  <c r="L298" i="13" l="1"/>
  <c r="I299" i="13" s="1"/>
  <c r="K315" i="14"/>
  <c r="L315" i="14" s="1"/>
  <c r="I316" i="14" s="1"/>
  <c r="M431" i="14"/>
  <c r="N428" i="13"/>
  <c r="J427" i="13" a="1"/>
  <c r="J427" i="13" s="1"/>
  <c r="M430" i="13"/>
  <c r="N427" i="14"/>
  <c r="J426" i="14" a="1"/>
  <c r="J426" i="14" s="1"/>
  <c r="K299" i="13" l="1"/>
  <c r="L299" i="13" s="1"/>
  <c r="I300" i="13" s="1"/>
  <c r="K316" i="14"/>
  <c r="L316" i="14" s="1"/>
  <c r="I317" i="14" s="1"/>
  <c r="N429" i="13"/>
  <c r="J428" i="13" a="1"/>
  <c r="J428" i="13" s="1"/>
  <c r="M431" i="13"/>
  <c r="N428" i="14"/>
  <c r="J427" i="14" a="1"/>
  <c r="J427" i="14" s="1"/>
  <c r="M432" i="14"/>
  <c r="K300" i="13" l="1"/>
  <c r="L300" i="13" s="1"/>
  <c r="I301" i="13" s="1"/>
  <c r="K317" i="14"/>
  <c r="L317" i="14" s="1"/>
  <c r="I318" i="14" s="1"/>
  <c r="M433" i="14"/>
  <c r="M432" i="13"/>
  <c r="N429" i="14"/>
  <c r="J428" i="14" a="1"/>
  <c r="J428" i="14" s="1"/>
  <c r="N430" i="13"/>
  <c r="J429" i="13" a="1"/>
  <c r="J429" i="13" s="1"/>
  <c r="K301" i="13" l="1"/>
  <c r="L301" i="13" s="1"/>
  <c r="I302" i="13" s="1"/>
  <c r="K318" i="14"/>
  <c r="L318" i="14" s="1"/>
  <c r="I319" i="14" s="1"/>
  <c r="M434" i="14"/>
  <c r="N430" i="14"/>
  <c r="J429" i="14" a="1"/>
  <c r="J429" i="14" s="1"/>
  <c r="N431" i="13"/>
  <c r="J430" i="13" a="1"/>
  <c r="J430" i="13" s="1"/>
  <c r="M433" i="13"/>
  <c r="K302" i="13" l="1"/>
  <c r="L302" i="13" s="1"/>
  <c r="I303" i="13" s="1"/>
  <c r="M435" i="14"/>
  <c r="K319" i="14"/>
  <c r="L319" i="14" s="1"/>
  <c r="I320" i="14" s="1"/>
  <c r="N432" i="13"/>
  <c r="J431" i="13" a="1"/>
  <c r="J431" i="13" s="1"/>
  <c r="M434" i="13"/>
  <c r="N431" i="14"/>
  <c r="J430" i="14" a="1"/>
  <c r="J430" i="14" s="1"/>
  <c r="K303" i="13" l="1"/>
  <c r="L303" i="13" s="1"/>
  <c r="I304" i="13" s="1"/>
  <c r="K320" i="14"/>
  <c r="L320" i="14" s="1"/>
  <c r="I321" i="14" s="1"/>
  <c r="M436" i="14"/>
  <c r="N432" i="14"/>
  <c r="J431" i="14" a="1"/>
  <c r="J431" i="14" s="1"/>
  <c r="N433" i="13"/>
  <c r="J432" i="13" a="1"/>
  <c r="J432" i="13" s="1"/>
  <c r="M435" i="13"/>
  <c r="K304" i="13" l="1"/>
  <c r="L304" i="13" s="1"/>
  <c r="I305" i="13" s="1"/>
  <c r="M436" i="13"/>
  <c r="N433" i="14"/>
  <c r="J432" i="14" a="1"/>
  <c r="J432" i="14" s="1"/>
  <c r="M437" i="14"/>
  <c r="N434" i="13"/>
  <c r="J433" i="13" a="1"/>
  <c r="J433" i="13" s="1"/>
  <c r="K321" i="14"/>
  <c r="L321" i="14" s="1"/>
  <c r="I322" i="14" s="1"/>
  <c r="K305" i="13" l="1"/>
  <c r="L305" i="13" s="1"/>
  <c r="I306" i="13" s="1"/>
  <c r="K322" i="14"/>
  <c r="L322" i="14" s="1"/>
  <c r="I323" i="14" s="1"/>
  <c r="M437" i="13"/>
  <c r="N435" i="13"/>
  <c r="J434" i="13" a="1"/>
  <c r="J434" i="13" s="1"/>
  <c r="M438" i="14"/>
  <c r="N434" i="14"/>
  <c r="J433" i="14" a="1"/>
  <c r="J433" i="14" s="1"/>
  <c r="K306" i="13" l="1"/>
  <c r="L306" i="13" s="1"/>
  <c r="I307" i="13" s="1"/>
  <c r="K323" i="14"/>
  <c r="L323" i="14" s="1"/>
  <c r="I324" i="14" s="1"/>
  <c r="N436" i="13"/>
  <c r="J435" i="13" a="1"/>
  <c r="J435" i="13" s="1"/>
  <c r="M439" i="14"/>
  <c r="M438" i="13"/>
  <c r="N435" i="14"/>
  <c r="J434" i="14" a="1"/>
  <c r="J434" i="14" s="1"/>
  <c r="K307" i="13" l="1"/>
  <c r="L307" i="13" s="1"/>
  <c r="I308" i="13" s="1"/>
  <c r="K324" i="14"/>
  <c r="L324" i="14" s="1"/>
  <c r="I325" i="14" s="1"/>
  <c r="N436" i="14"/>
  <c r="J435" i="14" a="1"/>
  <c r="J435" i="14" s="1"/>
  <c r="M439" i="13"/>
  <c r="M440" i="14"/>
  <c r="N437" i="13"/>
  <c r="J436" i="13" a="1"/>
  <c r="J436" i="13" s="1"/>
  <c r="K308" i="13" l="1"/>
  <c r="K325" i="14"/>
  <c r="L325" i="14" s="1"/>
  <c r="I326" i="14" s="1"/>
  <c r="M440" i="13"/>
  <c r="N438" i="13"/>
  <c r="J437" i="13" a="1"/>
  <c r="J437" i="13" s="1"/>
  <c r="M441" i="14"/>
  <c r="N437" i="14"/>
  <c r="J436" i="14" a="1"/>
  <c r="J436" i="14" s="1"/>
  <c r="L308" i="13" l="1"/>
  <c r="I309" i="13" s="1"/>
  <c r="K326" i="14"/>
  <c r="L326" i="14" s="1"/>
  <c r="I327" i="14" s="1"/>
  <c r="M441" i="13"/>
  <c r="N438" i="14"/>
  <c r="J437" i="14" a="1"/>
  <c r="J437" i="14" s="1"/>
  <c r="M442" i="14"/>
  <c r="N439" i="13"/>
  <c r="J438" i="13" a="1"/>
  <c r="J438" i="13" s="1"/>
  <c r="K309" i="13" l="1"/>
  <c r="L309" i="13" s="1"/>
  <c r="I310" i="13" s="1"/>
  <c r="K327" i="14"/>
  <c r="L327" i="14" s="1"/>
  <c r="I328" i="14" s="1"/>
  <c r="N439" i="14"/>
  <c r="J438" i="14" a="1"/>
  <c r="J438" i="14" s="1"/>
  <c r="N440" i="13"/>
  <c r="J439" i="13" a="1"/>
  <c r="J439" i="13" s="1"/>
  <c r="M443" i="14"/>
  <c r="M442" i="13"/>
  <c r="K310" i="13" l="1"/>
  <c r="L310" i="13" s="1"/>
  <c r="I311" i="13" s="1"/>
  <c r="K328" i="14"/>
  <c r="L328" i="14" s="1"/>
  <c r="I329" i="14" s="1"/>
  <c r="N441" i="13"/>
  <c r="J440" i="13" a="1"/>
  <c r="J440" i="13" s="1"/>
  <c r="M444" i="14"/>
  <c r="M443" i="13"/>
  <c r="N440" i="14"/>
  <c r="J439" i="14" a="1"/>
  <c r="J439" i="14" s="1"/>
  <c r="K311" i="13" l="1"/>
  <c r="L311" i="13" s="1"/>
  <c r="I312" i="13" s="1"/>
  <c r="K329" i="14"/>
  <c r="L329" i="14" s="1"/>
  <c r="I330" i="14" s="1"/>
  <c r="M445" i="14"/>
  <c r="N441" i="14"/>
  <c r="J440" i="14" a="1"/>
  <c r="J440" i="14" s="1"/>
  <c r="M444" i="13"/>
  <c r="N442" i="13"/>
  <c r="J441" i="13" a="1"/>
  <c r="J441" i="13" s="1"/>
  <c r="K312" i="13" l="1"/>
  <c r="L312" i="13" s="1"/>
  <c r="I313" i="13" s="1"/>
  <c r="K330" i="14"/>
  <c r="L330" i="14" s="1"/>
  <c r="I331" i="14" s="1"/>
  <c r="N443" i="13"/>
  <c r="J442" i="13" a="1"/>
  <c r="J442" i="13" s="1"/>
  <c r="M445" i="13"/>
  <c r="N442" i="14"/>
  <c r="J441" i="14" a="1"/>
  <c r="J441" i="14" s="1"/>
  <c r="M446" i="14"/>
  <c r="K313" i="13" l="1"/>
  <c r="L313" i="13" s="1"/>
  <c r="I314" i="13" s="1"/>
  <c r="K331" i="14"/>
  <c r="L331" i="14" s="1"/>
  <c r="I332" i="14" s="1"/>
  <c r="M447" i="14"/>
  <c r="N443" i="14"/>
  <c r="J442" i="14" a="1"/>
  <c r="J442" i="14" s="1"/>
  <c r="N444" i="13"/>
  <c r="J443" i="13" a="1"/>
  <c r="J443" i="13" s="1"/>
  <c r="M446" i="13"/>
  <c r="K314" i="13" l="1"/>
  <c r="L314" i="13" s="1"/>
  <c r="I315" i="13" s="1"/>
  <c r="M448" i="14"/>
  <c r="M447" i="13"/>
  <c r="N445" i="13"/>
  <c r="J444" i="13" a="1"/>
  <c r="J444" i="13" s="1"/>
  <c r="N444" i="14"/>
  <c r="J443" i="14" a="1"/>
  <c r="J443" i="14" s="1"/>
  <c r="K332" i="14"/>
  <c r="L332" i="14" s="1"/>
  <c r="I333" i="14" s="1"/>
  <c r="K315" i="13" l="1"/>
  <c r="L315" i="13" s="1"/>
  <c r="I316" i="13" s="1"/>
  <c r="K333" i="14"/>
  <c r="L333" i="14" s="1"/>
  <c r="I334" i="14" s="1"/>
  <c r="N446" i="13"/>
  <c r="J445" i="13" a="1"/>
  <c r="J445" i="13" s="1"/>
  <c r="M449" i="14"/>
  <c r="M448" i="13"/>
  <c r="N445" i="14"/>
  <c r="J444" i="14" a="1"/>
  <c r="J444" i="14" s="1"/>
  <c r="K316" i="13" l="1"/>
  <c r="L316" i="13" s="1"/>
  <c r="I317" i="13" s="1"/>
  <c r="K334" i="14"/>
  <c r="N446" i="14"/>
  <c r="J445" i="14" a="1"/>
  <c r="J445" i="14" s="1"/>
  <c r="M450" i="14"/>
  <c r="M449" i="13"/>
  <c r="N447" i="13"/>
  <c r="J446" i="13" a="1"/>
  <c r="J446" i="13" s="1"/>
  <c r="K317" i="13" l="1"/>
  <c r="L317" i="13" s="1"/>
  <c r="I318" i="13" s="1"/>
  <c r="L334" i="14"/>
  <c r="I335" i="14" s="1"/>
  <c r="N448" i="13"/>
  <c r="J447" i="13" a="1"/>
  <c r="J447" i="13" s="1"/>
  <c r="M450" i="13"/>
  <c r="N447" i="14"/>
  <c r="J446" i="14" a="1"/>
  <c r="J446" i="14" s="1"/>
  <c r="M451" i="14"/>
  <c r="K318" i="13" l="1"/>
  <c r="L318" i="13" s="1"/>
  <c r="I319" i="13" s="1"/>
  <c r="M452" i="14"/>
  <c r="M451" i="13"/>
  <c r="K335" i="14"/>
  <c r="L335" i="14" s="1"/>
  <c r="I336" i="14" s="1"/>
  <c r="N448" i="14"/>
  <c r="J447" i="14" a="1"/>
  <c r="J447" i="14" s="1"/>
  <c r="N449" i="13"/>
  <c r="J448" i="13" a="1"/>
  <c r="J448" i="13" s="1"/>
  <c r="K319" i="13" l="1"/>
  <c r="L319" i="13" s="1"/>
  <c r="I320" i="13" s="1"/>
  <c r="K336" i="14"/>
  <c r="L336" i="14" s="1"/>
  <c r="I337" i="14" s="1"/>
  <c r="M453" i="14"/>
  <c r="N450" i="13"/>
  <c r="J449" i="13" a="1"/>
  <c r="J449" i="13" s="1"/>
  <c r="M452" i="13"/>
  <c r="N449" i="14"/>
  <c r="J448" i="14" a="1"/>
  <c r="J448" i="14" s="1"/>
  <c r="K320" i="13" l="1"/>
  <c r="K337" i="14"/>
  <c r="L337" i="14" s="1"/>
  <c r="I338" i="14" s="1"/>
  <c r="N450" i="14"/>
  <c r="J449" i="14" a="1"/>
  <c r="J449" i="14" s="1"/>
  <c r="N451" i="13"/>
  <c r="J450" i="13" a="1"/>
  <c r="J450" i="13" s="1"/>
  <c r="M453" i="13"/>
  <c r="M454" i="14"/>
  <c r="L320" i="13" l="1"/>
  <c r="I321" i="13" s="1"/>
  <c r="K338" i="14"/>
  <c r="L338" i="14" s="1"/>
  <c r="I339" i="14" s="1"/>
  <c r="N451" i="14"/>
  <c r="J450" i="14" a="1"/>
  <c r="J450" i="14" s="1"/>
  <c r="N452" i="13"/>
  <c r="J451" i="13" a="1"/>
  <c r="J451" i="13" s="1"/>
  <c r="M454" i="13"/>
  <c r="M455" i="14"/>
  <c r="K321" i="13" l="1"/>
  <c r="K339" i="14"/>
  <c r="L339" i="14" s="1"/>
  <c r="I340" i="14" s="1"/>
  <c r="M456" i="14"/>
  <c r="M455" i="13"/>
  <c r="N452" i="14"/>
  <c r="J451" i="14" a="1"/>
  <c r="J451" i="14" s="1"/>
  <c r="N453" i="13"/>
  <c r="J452" i="13" a="1"/>
  <c r="J452" i="13" s="1"/>
  <c r="L321" i="13" l="1"/>
  <c r="I322" i="13" s="1"/>
  <c r="K340" i="14"/>
  <c r="L340" i="14" s="1"/>
  <c r="I341" i="14" s="1"/>
  <c r="M457" i="14"/>
  <c r="N453" i="14"/>
  <c r="J452" i="14" a="1"/>
  <c r="J452" i="14" s="1"/>
  <c r="N454" i="13"/>
  <c r="J453" i="13" a="1"/>
  <c r="J453" i="13" s="1"/>
  <c r="M456" i="13"/>
  <c r="K322" i="13" l="1"/>
  <c r="L322" i="13" s="1"/>
  <c r="I323" i="13" s="1"/>
  <c r="K341" i="14"/>
  <c r="L341" i="14" s="1"/>
  <c r="I342" i="14" s="1"/>
  <c r="M457" i="13"/>
  <c r="N455" i="13"/>
  <c r="J454" i="13" a="1"/>
  <c r="J454" i="13" s="1"/>
  <c r="M458" i="14"/>
  <c r="N454" i="14"/>
  <c r="J453" i="14" a="1"/>
  <c r="J453" i="14" s="1"/>
  <c r="K323" i="13" l="1"/>
  <c r="L323" i="13" s="1"/>
  <c r="I324" i="13" s="1"/>
  <c r="K342" i="14"/>
  <c r="L342" i="14" s="1"/>
  <c r="I343" i="14" s="1"/>
  <c r="N455" i="14"/>
  <c r="J454" i="14" a="1"/>
  <c r="J454" i="14" s="1"/>
  <c r="N456" i="13"/>
  <c r="J455" i="13" a="1"/>
  <c r="J455" i="13" s="1"/>
  <c r="M459" i="14"/>
  <c r="M458" i="13"/>
  <c r="K324" i="13" l="1"/>
  <c r="L324" i="13" s="1"/>
  <c r="I325" i="13" s="1"/>
  <c r="K343" i="14"/>
  <c r="L343" i="14" s="1"/>
  <c r="I344" i="14" s="1"/>
  <c r="M459" i="13"/>
  <c r="M460" i="14"/>
  <c r="N457" i="13"/>
  <c r="J456" i="13" a="1"/>
  <c r="J456" i="13" s="1"/>
  <c r="N456" i="14"/>
  <c r="J455" i="14" a="1"/>
  <c r="J455" i="14" s="1"/>
  <c r="K325" i="13" l="1"/>
  <c r="L325" i="13" s="1"/>
  <c r="I326" i="13" s="1"/>
  <c r="K344" i="14"/>
  <c r="N457" i="14"/>
  <c r="J456" i="14" a="1"/>
  <c r="J456" i="14" s="1"/>
  <c r="M461" i="14"/>
  <c r="M460" i="13"/>
  <c r="N458" i="13"/>
  <c r="J457" i="13" a="1"/>
  <c r="J457" i="13" s="1"/>
  <c r="K326" i="13" l="1"/>
  <c r="L326" i="13" s="1"/>
  <c r="I327" i="13" s="1"/>
  <c r="M462" i="14"/>
  <c r="M461" i="13"/>
  <c r="N459" i="13"/>
  <c r="J458" i="13" a="1"/>
  <c r="J458" i="13" s="1"/>
  <c r="N458" i="14"/>
  <c r="J457" i="14" a="1"/>
  <c r="J457" i="14" s="1"/>
  <c r="L344" i="14"/>
  <c r="I345" i="14" s="1"/>
  <c r="K327" i="13" l="1"/>
  <c r="L327" i="13" s="1"/>
  <c r="I328" i="13" s="1"/>
  <c r="M463" i="14"/>
  <c r="N460" i="13"/>
  <c r="J459" i="13" a="1"/>
  <c r="J459" i="13" s="1"/>
  <c r="K345" i="14"/>
  <c r="N459" i="14"/>
  <c r="J458" i="14" a="1"/>
  <c r="J458" i="14" s="1"/>
  <c r="M462" i="13"/>
  <c r="K328" i="13" l="1"/>
  <c r="L328" i="13" s="1"/>
  <c r="I329" i="13" s="1"/>
  <c r="M464" i="14"/>
  <c r="N460" i="14"/>
  <c r="J459" i="14" a="1"/>
  <c r="J459" i="14" s="1"/>
  <c r="M463" i="13"/>
  <c r="L345" i="14"/>
  <c r="I346" i="14" s="1"/>
  <c r="N461" i="13"/>
  <c r="J460" i="13" a="1"/>
  <c r="J460" i="13" s="1"/>
  <c r="K329" i="13" l="1"/>
  <c r="L329" i="13" s="1"/>
  <c r="I330" i="13" s="1"/>
  <c r="N462" i="13"/>
  <c r="J461" i="13" a="1"/>
  <c r="J461" i="13" s="1"/>
  <c r="K346" i="14"/>
  <c r="L346" i="14" s="1"/>
  <c r="I347" i="14" s="1"/>
  <c r="N461" i="14"/>
  <c r="J460" i="14" a="1"/>
  <c r="J460" i="14" s="1"/>
  <c r="M464" i="13"/>
  <c r="M465" i="14"/>
  <c r="K330" i="13" l="1"/>
  <c r="L330" i="13" s="1"/>
  <c r="I331" i="13" s="1"/>
  <c r="K347" i="14"/>
  <c r="L347" i="14" s="1"/>
  <c r="I348" i="14" s="1"/>
  <c r="M466" i="14"/>
  <c r="N463" i="13"/>
  <c r="J462" i="13" a="1"/>
  <c r="J462" i="13" s="1"/>
  <c r="N462" i="14"/>
  <c r="J461" i="14" a="1"/>
  <c r="J461" i="14" s="1"/>
  <c r="M465" i="13"/>
  <c r="K331" i="13" l="1"/>
  <c r="L331" i="13" s="1"/>
  <c r="I332" i="13" s="1"/>
  <c r="K348" i="14"/>
  <c r="L348" i="14" s="1"/>
  <c r="I349" i="14" s="1"/>
  <c r="N464" i="13"/>
  <c r="J463" i="13" a="1"/>
  <c r="J463" i="13" s="1"/>
  <c r="M467" i="14"/>
  <c r="M466" i="13"/>
  <c r="N463" i="14"/>
  <c r="J462" i="14" a="1"/>
  <c r="J462" i="14" s="1"/>
  <c r="K332" i="13" l="1"/>
  <c r="L332" i="13" s="1"/>
  <c r="I333" i="13" s="1"/>
  <c r="M468" i="14"/>
  <c r="N464" i="14"/>
  <c r="J463" i="14" a="1"/>
  <c r="J463" i="14" s="1"/>
  <c r="M467" i="13"/>
  <c r="N465" i="13"/>
  <c r="J464" i="13" a="1"/>
  <c r="J464" i="13" s="1"/>
  <c r="K349" i="14"/>
  <c r="L349" i="14" s="1"/>
  <c r="I350" i="14" s="1"/>
  <c r="K333" i="13" l="1"/>
  <c r="L333" i="13" s="1"/>
  <c r="I334" i="13" s="1"/>
  <c r="K350" i="14"/>
  <c r="L350" i="14" s="1"/>
  <c r="I351" i="14" s="1"/>
  <c r="M469" i="14"/>
  <c r="N466" i="13"/>
  <c r="J465" i="13" a="1"/>
  <c r="J465" i="13" s="1"/>
  <c r="M468" i="13"/>
  <c r="N465" i="14"/>
  <c r="J464" i="14" a="1"/>
  <c r="J464" i="14" s="1"/>
  <c r="K334" i="13" l="1"/>
  <c r="K351" i="14"/>
  <c r="L351" i="14" s="1"/>
  <c r="I352" i="14" s="1"/>
  <c r="N467" i="13"/>
  <c r="J466" i="13" a="1"/>
  <c r="J466" i="13" s="1"/>
  <c r="M469" i="13"/>
  <c r="N466" i="14"/>
  <c r="J465" i="14" a="1"/>
  <c r="J465" i="14" s="1"/>
  <c r="M470" i="14"/>
  <c r="L334" i="13" l="1"/>
  <c r="I335" i="13" s="1"/>
  <c r="K352" i="14"/>
  <c r="L352" i="14" s="1"/>
  <c r="I353" i="14" s="1"/>
  <c r="N468" i="13"/>
  <c r="J467" i="13" a="1"/>
  <c r="J467" i="13" s="1"/>
  <c r="N467" i="14"/>
  <c r="J466" i="14" a="1"/>
  <c r="J466" i="14" s="1"/>
  <c r="M471" i="14"/>
  <c r="M470" i="13"/>
  <c r="K335" i="13" l="1"/>
  <c r="L335" i="13" s="1"/>
  <c r="I336" i="13" s="1"/>
  <c r="K353" i="14"/>
  <c r="L353" i="14" s="1"/>
  <c r="I354" i="14" s="1"/>
  <c r="M471" i="13"/>
  <c r="M472" i="14"/>
  <c r="N469" i="13"/>
  <c r="J468" i="13" a="1"/>
  <c r="J468" i="13" s="1"/>
  <c r="N468" i="14"/>
  <c r="J467" i="14" a="1"/>
  <c r="J467" i="14" s="1"/>
  <c r="K336" i="13" l="1"/>
  <c r="L336" i="13" s="1"/>
  <c r="I337" i="13" s="1"/>
  <c r="K354" i="14"/>
  <c r="L354" i="14" s="1"/>
  <c r="I355" i="14" s="1"/>
  <c r="N469" i="14"/>
  <c r="J468" i="14" a="1"/>
  <c r="J468" i="14" s="1"/>
  <c r="M473" i="14"/>
  <c r="M472" i="13"/>
  <c r="N470" i="13"/>
  <c r="J469" i="13" a="1"/>
  <c r="J469" i="13" s="1"/>
  <c r="K337" i="13" l="1"/>
  <c r="L337" i="13" s="1"/>
  <c r="I338" i="13" s="1"/>
  <c r="K355" i="14"/>
  <c r="L355" i="14" s="1"/>
  <c r="I356" i="14" s="1"/>
  <c r="M474" i="14"/>
  <c r="N471" i="13"/>
  <c r="J470" i="13" a="1"/>
  <c r="J470" i="13" s="1"/>
  <c r="M473" i="13"/>
  <c r="N470" i="14"/>
  <c r="J469" i="14" a="1"/>
  <c r="J469" i="14" s="1"/>
  <c r="K338" i="13" l="1"/>
  <c r="L338" i="13" s="1"/>
  <c r="I339" i="13" s="1"/>
  <c r="K356" i="14"/>
  <c r="N472" i="13"/>
  <c r="J471" i="13" a="1"/>
  <c r="J471" i="13" s="1"/>
  <c r="N471" i="14"/>
  <c r="J470" i="14" a="1"/>
  <c r="J470" i="14" s="1"/>
  <c r="M474" i="13"/>
  <c r="M475" i="14"/>
  <c r="K339" i="13" l="1"/>
  <c r="L339" i="13" s="1"/>
  <c r="I340" i="13" s="1"/>
  <c r="M476" i="14"/>
  <c r="N472" i="14"/>
  <c r="J471" i="14" a="1"/>
  <c r="J471" i="14" s="1"/>
  <c r="M475" i="13"/>
  <c r="N473" i="13"/>
  <c r="J472" i="13" a="1"/>
  <c r="J472" i="13" s="1"/>
  <c r="L356" i="14"/>
  <c r="I357" i="14" s="1"/>
  <c r="K340" i="13" l="1"/>
  <c r="L340" i="13" s="1"/>
  <c r="I341" i="13" s="1"/>
  <c r="N474" i="13"/>
  <c r="J473" i="13" a="1"/>
  <c r="J473" i="13" s="1"/>
  <c r="M476" i="13"/>
  <c r="K357" i="14"/>
  <c r="M477" i="14"/>
  <c r="N473" i="14"/>
  <c r="J472" i="14" a="1"/>
  <c r="J472" i="14" s="1"/>
  <c r="K341" i="13" l="1"/>
  <c r="L341" i="13" s="1"/>
  <c r="I342" i="13" s="1"/>
  <c r="N475" i="13"/>
  <c r="J474" i="13" a="1"/>
  <c r="J474" i="13" s="1"/>
  <c r="M478" i="14"/>
  <c r="N474" i="14"/>
  <c r="J473" i="14" a="1"/>
  <c r="J473" i="14" s="1"/>
  <c r="L357" i="14"/>
  <c r="I358" i="14" s="1"/>
  <c r="M477" i="13"/>
  <c r="K342" i="13" l="1"/>
  <c r="L342" i="13" s="1"/>
  <c r="I343" i="13" s="1"/>
  <c r="M478" i="13"/>
  <c r="N475" i="14"/>
  <c r="J474" i="14" a="1"/>
  <c r="J474" i="14" s="1"/>
  <c r="N476" i="13"/>
  <c r="J475" i="13" a="1"/>
  <c r="J475" i="13" s="1"/>
  <c r="M479" i="14"/>
  <c r="K358" i="14"/>
  <c r="L358" i="14" s="1"/>
  <c r="I359" i="14" s="1"/>
  <c r="K343" i="13" l="1"/>
  <c r="L343" i="13" s="1"/>
  <c r="I344" i="13" s="1"/>
  <c r="K359" i="14"/>
  <c r="L359" i="14" s="1"/>
  <c r="I360" i="14" s="1"/>
  <c r="N477" i="13"/>
  <c r="J476" i="13" a="1"/>
  <c r="J476" i="13" s="1"/>
  <c r="M479" i="13"/>
  <c r="M480" i="14"/>
  <c r="N476" i="14"/>
  <c r="J475" i="14" a="1"/>
  <c r="J475" i="14" s="1"/>
  <c r="K344" i="13" l="1"/>
  <c r="K360" i="14"/>
  <c r="L360" i="14" s="1"/>
  <c r="I361" i="14" s="1"/>
  <c r="M480" i="13"/>
  <c r="N477" i="14"/>
  <c r="J476" i="14" a="1"/>
  <c r="J476" i="14" s="1"/>
  <c r="M481" i="14"/>
  <c r="N478" i="13"/>
  <c r="J477" i="13" a="1"/>
  <c r="J477" i="13" s="1"/>
  <c r="L344" i="13" l="1"/>
  <c r="I345" i="13" s="1"/>
  <c r="K361" i="14"/>
  <c r="L361" i="14" s="1"/>
  <c r="I362" i="14" s="1"/>
  <c r="M482" i="14"/>
  <c r="N478" i="14"/>
  <c r="J477" i="14" a="1"/>
  <c r="J477" i="14" s="1"/>
  <c r="N479" i="13"/>
  <c r="J478" i="13" a="1"/>
  <c r="J478" i="13" s="1"/>
  <c r="M481" i="13"/>
  <c r="K345" i="13" l="1"/>
  <c r="L345" i="13" s="1"/>
  <c r="I346" i="13" s="1"/>
  <c r="K362" i="14"/>
  <c r="L362" i="14" s="1"/>
  <c r="I363" i="14" s="1"/>
  <c r="N480" i="13"/>
  <c r="J479" i="13" a="1"/>
  <c r="J479" i="13" s="1"/>
  <c r="N479" i="14"/>
  <c r="J478" i="14" a="1"/>
  <c r="J478" i="14" s="1"/>
  <c r="M482" i="13"/>
  <c r="M483" i="14"/>
  <c r="K346" i="13" l="1"/>
  <c r="L346" i="13" s="1"/>
  <c r="I347" i="13" s="1"/>
  <c r="M483" i="13"/>
  <c r="N480" i="14"/>
  <c r="J479" i="14" a="1"/>
  <c r="J479" i="14" s="1"/>
  <c r="K363" i="14"/>
  <c r="L363" i="14" s="1"/>
  <c r="I364" i="14" s="1"/>
  <c r="M484" i="14"/>
  <c r="N481" i="13"/>
  <c r="J480" i="13" a="1"/>
  <c r="J480" i="13" s="1"/>
  <c r="K347" i="13" l="1"/>
  <c r="L347" i="13" s="1"/>
  <c r="I348" i="13" s="1"/>
  <c r="K364" i="14"/>
  <c r="L364" i="14" s="1"/>
  <c r="I365" i="14" s="1"/>
  <c r="M484" i="13"/>
  <c r="N482" i="13"/>
  <c r="J481" i="13" a="1"/>
  <c r="J481" i="13" s="1"/>
  <c r="M485" i="14"/>
  <c r="N481" i="14"/>
  <c r="J480" i="14" a="1"/>
  <c r="J480" i="14" s="1"/>
  <c r="K348" i="13" l="1"/>
  <c r="L348" i="13" s="1"/>
  <c r="I349" i="13" s="1"/>
  <c r="K365" i="14"/>
  <c r="L365" i="14" s="1"/>
  <c r="I366" i="14" s="1"/>
  <c r="N482" i="14"/>
  <c r="J481" i="14" a="1"/>
  <c r="J481" i="14" s="1"/>
  <c r="N483" i="13"/>
  <c r="J482" i="13" a="1"/>
  <c r="J482" i="13" s="1"/>
  <c r="M486" i="14"/>
  <c r="M485" i="13"/>
  <c r="K349" i="13" l="1"/>
  <c r="L349" i="13" s="1"/>
  <c r="I350" i="13" s="1"/>
  <c r="K366" i="14"/>
  <c r="L366" i="14" s="1"/>
  <c r="I367" i="14" s="1"/>
  <c r="M486" i="13"/>
  <c r="N484" i="13"/>
  <c r="J483" i="13" a="1"/>
  <c r="J483" i="13" s="1"/>
  <c r="M487" i="14"/>
  <c r="N483" i="14"/>
  <c r="J482" i="14" a="1"/>
  <c r="J482" i="14" s="1"/>
  <c r="K350" i="13" l="1"/>
  <c r="L350" i="13" s="1"/>
  <c r="I351" i="13" s="1"/>
  <c r="K367" i="14"/>
  <c r="L367" i="14" s="1"/>
  <c r="I368" i="14" s="1"/>
  <c r="N485" i="13"/>
  <c r="J484" i="13" a="1"/>
  <c r="J484" i="13" s="1"/>
  <c r="N484" i="14"/>
  <c r="J483" i="14" a="1"/>
  <c r="J483" i="14" s="1"/>
  <c r="M487" i="13"/>
  <c r="M488" i="14"/>
  <c r="K351" i="13" l="1"/>
  <c r="L351" i="13" s="1"/>
  <c r="I352" i="13" s="1"/>
  <c r="K368" i="14"/>
  <c r="L368" i="14" s="1"/>
  <c r="I369" i="14" s="1"/>
  <c r="M489" i="14"/>
  <c r="N485" i="14"/>
  <c r="J484" i="14" a="1"/>
  <c r="J484" i="14" s="1"/>
  <c r="M488" i="13"/>
  <c r="N486" i="13"/>
  <c r="J485" i="13" a="1"/>
  <c r="J485" i="13" s="1"/>
  <c r="K352" i="13" l="1"/>
  <c r="L352" i="13" s="1"/>
  <c r="I353" i="13" s="1"/>
  <c r="N487" i="13"/>
  <c r="J486" i="13" a="1"/>
  <c r="J486" i="13" s="1"/>
  <c r="N486" i="14"/>
  <c r="J485" i="14" a="1"/>
  <c r="J485" i="14" s="1"/>
  <c r="M489" i="13"/>
  <c r="M490" i="14"/>
  <c r="K369" i="14"/>
  <c r="L369" i="14" s="1"/>
  <c r="I370" i="14" s="1"/>
  <c r="K353" i="13" l="1"/>
  <c r="L353" i="13" s="1"/>
  <c r="I354" i="13" s="1"/>
  <c r="N487" i="14"/>
  <c r="J486" i="14" a="1"/>
  <c r="J486" i="14" s="1"/>
  <c r="K370" i="14"/>
  <c r="M490" i="13"/>
  <c r="M491" i="14"/>
  <c r="N488" i="13"/>
  <c r="J487" i="13" a="1"/>
  <c r="J487" i="13" s="1"/>
  <c r="K354" i="13" l="1"/>
  <c r="L354" i="13" s="1"/>
  <c r="I355" i="13" s="1"/>
  <c r="N488" i="14"/>
  <c r="J487" i="14" a="1"/>
  <c r="J487" i="14" s="1"/>
  <c r="M491" i="13"/>
  <c r="N489" i="13"/>
  <c r="J488" i="13" a="1"/>
  <c r="J488" i="13" s="1"/>
  <c r="M492" i="14"/>
  <c r="L370" i="14"/>
  <c r="I371" i="14" s="1"/>
  <c r="K355" i="13" l="1"/>
  <c r="L355" i="13" s="1"/>
  <c r="I356" i="13" s="1"/>
  <c r="N489" i="14"/>
  <c r="J488" i="14" a="1"/>
  <c r="J488" i="14" s="1"/>
  <c r="K371" i="14"/>
  <c r="L371" i="14" s="1"/>
  <c r="I372" i="14" s="1"/>
  <c r="N490" i="13"/>
  <c r="J489" i="13" a="1"/>
  <c r="J489" i="13" s="1"/>
  <c r="M493" i="14"/>
  <c r="M492" i="13"/>
  <c r="K356" i="13" l="1"/>
  <c r="N490" i="14"/>
  <c r="J489" i="14" a="1"/>
  <c r="J489" i="14" s="1"/>
  <c r="M494" i="14"/>
  <c r="N491" i="13"/>
  <c r="J490" i="13" a="1"/>
  <c r="J490" i="13" s="1"/>
  <c r="M493" i="13"/>
  <c r="K372" i="14"/>
  <c r="L372" i="14" s="1"/>
  <c r="I373" i="14" s="1"/>
  <c r="L356" i="13" l="1"/>
  <c r="I357" i="13" s="1"/>
  <c r="K373" i="14"/>
  <c r="L373" i="14" s="1"/>
  <c r="I374" i="14" s="1"/>
  <c r="N492" i="13"/>
  <c r="J491" i="13" a="1"/>
  <c r="J491" i="13" s="1"/>
  <c r="M494" i="13"/>
  <c r="M495" i="14"/>
  <c r="N491" i="14"/>
  <c r="J490" i="14" a="1"/>
  <c r="J490" i="14" s="1"/>
  <c r="K357" i="13" l="1"/>
  <c r="K374" i="14"/>
  <c r="L374" i="14" s="1"/>
  <c r="I375" i="14" s="1"/>
  <c r="M496" i="14"/>
  <c r="M495" i="13"/>
  <c r="N493" i="13"/>
  <c r="J492" i="13" a="1"/>
  <c r="J492" i="13" s="1"/>
  <c r="N492" i="14"/>
  <c r="J491" i="14" a="1"/>
  <c r="J491" i="14" s="1"/>
  <c r="L357" i="13" l="1"/>
  <c r="I358" i="13" s="1"/>
  <c r="K375" i="14"/>
  <c r="L375" i="14" s="1"/>
  <c r="I376" i="14" s="1"/>
  <c r="N494" i="13"/>
  <c r="J493" i="13" a="1"/>
  <c r="J493" i="13" s="1"/>
  <c r="M497" i="14"/>
  <c r="N493" i="14"/>
  <c r="J492" i="14" a="1"/>
  <c r="J492" i="14" s="1"/>
  <c r="M496" i="13"/>
  <c r="K358" i="13" l="1"/>
  <c r="L358" i="13" s="1"/>
  <c r="I359" i="13" s="1"/>
  <c r="K376" i="14"/>
  <c r="L376" i="14" s="1"/>
  <c r="I377" i="14" s="1"/>
  <c r="N494" i="14"/>
  <c r="J493" i="14" a="1"/>
  <c r="J493" i="14" s="1"/>
  <c r="M497" i="13"/>
  <c r="M498" i="14"/>
  <c r="N495" i="13"/>
  <c r="J494" i="13" a="1"/>
  <c r="J494" i="13" s="1"/>
  <c r="K359" i="13" l="1"/>
  <c r="L359" i="13" s="1"/>
  <c r="I360" i="13" s="1"/>
  <c r="K377" i="14"/>
  <c r="L377" i="14" s="1"/>
  <c r="I378" i="14" s="1"/>
  <c r="N496" i="13"/>
  <c r="J495" i="13" a="1"/>
  <c r="J495" i="13" s="1"/>
  <c r="M498" i="13"/>
  <c r="M499" i="14"/>
  <c r="N495" i="14"/>
  <c r="J494" i="14" a="1"/>
  <c r="J494" i="14" s="1"/>
  <c r="K360" i="13" l="1"/>
  <c r="L360" i="13" s="1"/>
  <c r="I361" i="13" s="1"/>
  <c r="K378" i="14"/>
  <c r="L378" i="14" s="1"/>
  <c r="I379" i="14" s="1"/>
  <c r="M499" i="13"/>
  <c r="N496" i="14"/>
  <c r="J495" i="14" a="1"/>
  <c r="J495" i="14" s="1"/>
  <c r="M500" i="14"/>
  <c r="N497" i="13"/>
  <c r="J496" i="13" a="1"/>
  <c r="J496" i="13" s="1"/>
  <c r="K361" i="13" l="1"/>
  <c r="L361" i="13" s="1"/>
  <c r="I362" i="13" s="1"/>
  <c r="K379" i="14"/>
  <c r="L379" i="14" s="1"/>
  <c r="I380" i="14" s="1"/>
  <c r="N498" i="13"/>
  <c r="J497" i="13" a="1"/>
  <c r="J497" i="13" s="1"/>
  <c r="N497" i="14"/>
  <c r="J496" i="14" a="1"/>
  <c r="J496" i="14" s="1"/>
  <c r="M501" i="14"/>
  <c r="M500" i="13"/>
  <c r="K362" i="13" l="1"/>
  <c r="L362" i="13" s="1"/>
  <c r="I363" i="13" s="1"/>
  <c r="K380" i="14"/>
  <c r="M502" i="14"/>
  <c r="N499" i="13"/>
  <c r="J498" i="13" a="1"/>
  <c r="J498" i="13" s="1"/>
  <c r="M501" i="13"/>
  <c r="N498" i="14"/>
  <c r="J497" i="14" a="1"/>
  <c r="J497" i="14" s="1"/>
  <c r="K363" i="13" l="1"/>
  <c r="L363" i="13" s="1"/>
  <c r="I364" i="13" s="1"/>
  <c r="N499" i="14"/>
  <c r="J498" i="14" a="1"/>
  <c r="J498" i="14" s="1"/>
  <c r="N500" i="13"/>
  <c r="J499" i="13" a="1"/>
  <c r="J499" i="13" s="1"/>
  <c r="L380" i="14"/>
  <c r="I381" i="14" s="1"/>
  <c r="M502" i="13"/>
  <c r="M503" i="14"/>
  <c r="K364" i="13" l="1"/>
  <c r="L364" i="13" s="1"/>
  <c r="I365" i="13" s="1"/>
  <c r="N500" i="14"/>
  <c r="J499" i="14" a="1"/>
  <c r="J499" i="14" s="1"/>
  <c r="M504" i="14"/>
  <c r="K381" i="14"/>
  <c r="M503" i="13"/>
  <c r="N501" i="13"/>
  <c r="J500" i="13" a="1"/>
  <c r="J500" i="13" s="1"/>
  <c r="K365" i="13" l="1"/>
  <c r="L365" i="13" s="1"/>
  <c r="I366" i="13" s="1"/>
  <c r="N502" i="13"/>
  <c r="J501" i="13" a="1"/>
  <c r="J501" i="13" s="1"/>
  <c r="L381" i="14"/>
  <c r="I382" i="14" s="1"/>
  <c r="M504" i="13"/>
  <c r="N501" i="14"/>
  <c r="J500" i="14" a="1"/>
  <c r="J500" i="14" s="1"/>
  <c r="M505" i="14"/>
  <c r="K366" i="13" l="1"/>
  <c r="L366" i="13" s="1"/>
  <c r="I367" i="13" s="1"/>
  <c r="M505" i="13"/>
  <c r="N503" i="13"/>
  <c r="J502" i="13" a="1"/>
  <c r="J502" i="13" s="1"/>
  <c r="M506" i="14"/>
  <c r="N502" i="14"/>
  <c r="J501" i="14" a="1"/>
  <c r="J501" i="14" s="1"/>
  <c r="K382" i="14"/>
  <c r="L382" i="14" s="1"/>
  <c r="I383" i="14" s="1"/>
  <c r="K367" i="13" l="1"/>
  <c r="L367" i="13" s="1"/>
  <c r="I368" i="13" s="1"/>
  <c r="N503" i="14"/>
  <c r="J502" i="14" a="1"/>
  <c r="J502" i="14" s="1"/>
  <c r="N504" i="13"/>
  <c r="J503" i="13" a="1"/>
  <c r="J503" i="13" s="1"/>
  <c r="K383" i="14"/>
  <c r="L383" i="14" s="1"/>
  <c r="I384" i="14" s="1"/>
  <c r="M507" i="14"/>
  <c r="M506" i="13"/>
  <c r="K368" i="13" l="1"/>
  <c r="K384" i="14"/>
  <c r="L384" i="14" s="1"/>
  <c r="I385" i="14" s="1"/>
  <c r="M508" i="14"/>
  <c r="N505" i="13"/>
  <c r="J504" i="13" a="1"/>
  <c r="J504" i="13" s="1"/>
  <c r="M507" i="13"/>
  <c r="N504" i="14"/>
  <c r="J503" i="14" a="1"/>
  <c r="J503" i="14" s="1"/>
  <c r="L368" i="13" l="1"/>
  <c r="I369" i="13" s="1"/>
  <c r="K385" i="14"/>
  <c r="L385" i="14" s="1"/>
  <c r="I386" i="14" s="1"/>
  <c r="M508" i="13"/>
  <c r="M509" i="14"/>
  <c r="N505" i="14"/>
  <c r="J504" i="14" a="1"/>
  <c r="J504" i="14" s="1"/>
  <c r="N506" i="13"/>
  <c r="J505" i="13" a="1"/>
  <c r="J505" i="13" s="1"/>
  <c r="K369" i="13" l="1"/>
  <c r="L369" i="13" s="1"/>
  <c r="I370" i="13" s="1"/>
  <c r="N507" i="13"/>
  <c r="J506" i="13" a="1"/>
  <c r="J506" i="13" s="1"/>
  <c r="M510" i="14"/>
  <c r="M509" i="13"/>
  <c r="N506" i="14"/>
  <c r="J505" i="14" a="1"/>
  <c r="J505" i="14" s="1"/>
  <c r="K386" i="14"/>
  <c r="L386" i="14" s="1"/>
  <c r="I387" i="14" s="1"/>
  <c r="K370" i="13" l="1"/>
  <c r="L370" i="13" s="1"/>
  <c r="I371" i="13" s="1"/>
  <c r="N507" i="14"/>
  <c r="J506" i="14" a="1"/>
  <c r="J506" i="14" s="1"/>
  <c r="M511" i="14"/>
  <c r="K387" i="14"/>
  <c r="L387" i="14" s="1"/>
  <c r="I388" i="14" s="1"/>
  <c r="M510" i="13"/>
  <c r="N508" i="13"/>
  <c r="J507" i="13" a="1"/>
  <c r="J507" i="13" s="1"/>
  <c r="K371" i="13" l="1"/>
  <c r="L371" i="13" s="1"/>
  <c r="I372" i="13" s="1"/>
  <c r="K388" i="14"/>
  <c r="L388" i="14" s="1"/>
  <c r="I389" i="14" s="1"/>
  <c r="N508" i="14"/>
  <c r="J507" i="14" a="1"/>
  <c r="J507" i="14" s="1"/>
  <c r="N509" i="13"/>
  <c r="J508" i="13" a="1"/>
  <c r="J508" i="13" s="1"/>
  <c r="M511" i="13"/>
  <c r="M512" i="14"/>
  <c r="K372" i="13" l="1"/>
  <c r="L372" i="13" s="1"/>
  <c r="I373" i="13" s="1"/>
  <c r="K389" i="14"/>
  <c r="L389" i="14" s="1"/>
  <c r="I390" i="14" s="1"/>
  <c r="N510" i="13"/>
  <c r="J509" i="13" a="1"/>
  <c r="J509" i="13" s="1"/>
  <c r="M512" i="13"/>
  <c r="M513" i="14"/>
  <c r="N509" i="14"/>
  <c r="J508" i="14" a="1"/>
  <c r="J508" i="14" s="1"/>
  <c r="K373" i="13" l="1"/>
  <c r="L373" i="13" s="1"/>
  <c r="I374" i="13" s="1"/>
  <c r="K390" i="14"/>
  <c r="L390" i="14" s="1"/>
  <c r="I391" i="14" s="1"/>
  <c r="M513" i="13"/>
  <c r="J509" i="14" a="1"/>
  <c r="J509" i="14" s="1"/>
  <c r="N510" i="14"/>
  <c r="M514" i="14"/>
  <c r="N511" i="13"/>
  <c r="J510" i="13" a="1"/>
  <c r="J510" i="13" s="1"/>
  <c r="K374" i="13" l="1"/>
  <c r="L374" i="13" s="1"/>
  <c r="I375" i="13" s="1"/>
  <c r="K391" i="14"/>
  <c r="L391" i="14" s="1"/>
  <c r="I392" i="14" s="1"/>
  <c r="J510" i="14" a="1"/>
  <c r="J510" i="14" s="1"/>
  <c r="N511" i="14"/>
  <c r="N512" i="13"/>
  <c r="J511" i="13" a="1"/>
  <c r="J511" i="13" s="1"/>
  <c r="M515" i="14"/>
  <c r="M514" i="13"/>
  <c r="K375" i="13" l="1"/>
  <c r="L375" i="13" s="1"/>
  <c r="I376" i="13" s="1"/>
  <c r="K392" i="14"/>
  <c r="L392" i="14" s="1"/>
  <c r="I393" i="14" s="1"/>
  <c r="M515" i="13"/>
  <c r="N513" i="13"/>
  <c r="J512" i="13" a="1"/>
  <c r="J512" i="13" s="1"/>
  <c r="M516" i="14"/>
  <c r="J511" i="14" a="1"/>
  <c r="J511" i="14" s="1"/>
  <c r="N512" i="14"/>
  <c r="K376" i="13" l="1"/>
  <c r="L376" i="13" s="1"/>
  <c r="I377" i="13" s="1"/>
  <c r="N514" i="13"/>
  <c r="J513" i="13" a="1"/>
  <c r="J513" i="13" s="1"/>
  <c r="J512" i="14" a="1"/>
  <c r="J512" i="14" s="1"/>
  <c r="N513" i="14"/>
  <c r="M517" i="14"/>
  <c r="M516" i="13"/>
  <c r="K393" i="14"/>
  <c r="L393" i="14" s="1"/>
  <c r="I394" i="14" s="1"/>
  <c r="K377" i="13" l="1"/>
  <c r="L377" i="13" s="1"/>
  <c r="I378" i="13" s="1"/>
  <c r="K394" i="14"/>
  <c r="J513" i="14" a="1"/>
  <c r="J513" i="14" s="1"/>
  <c r="N514" i="14"/>
  <c r="N515" i="13"/>
  <c r="J514" i="13" a="1"/>
  <c r="J514" i="13" s="1"/>
  <c r="M517" i="13"/>
  <c r="M518" i="14"/>
  <c r="K378" i="13" l="1"/>
  <c r="L378" i="13" s="1"/>
  <c r="I379" i="13" s="1"/>
  <c r="M519" i="14"/>
  <c r="N516" i="13"/>
  <c r="J515" i="13" a="1"/>
  <c r="J515" i="13" s="1"/>
  <c r="M518" i="13"/>
  <c r="J514" i="14" a="1"/>
  <c r="J514" i="14" s="1"/>
  <c r="N515" i="14"/>
  <c r="L394" i="14"/>
  <c r="I395" i="14" s="1"/>
  <c r="K379" i="13" l="1"/>
  <c r="L379" i="13" s="1"/>
  <c r="I380" i="13" s="1"/>
  <c r="K395" i="14"/>
  <c r="L395" i="14" s="1"/>
  <c r="I396" i="14" s="1"/>
  <c r="M519" i="13"/>
  <c r="M520" i="14"/>
  <c r="J515" i="14" a="1"/>
  <c r="J515" i="14" s="1"/>
  <c r="N516" i="14"/>
  <c r="N517" i="13"/>
  <c r="J516" i="13" a="1"/>
  <c r="J516" i="13" s="1"/>
  <c r="K380" i="13" l="1"/>
  <c r="N518" i="13"/>
  <c r="J517" i="13" a="1"/>
  <c r="J517" i="13" s="1"/>
  <c r="M521" i="14"/>
  <c r="J516" i="14" a="1"/>
  <c r="J516" i="14" s="1"/>
  <c r="N517" i="14"/>
  <c r="K396" i="14"/>
  <c r="L396" i="14" s="1"/>
  <c r="I397" i="14" s="1"/>
  <c r="M520" i="13"/>
  <c r="L380" i="13" l="1"/>
  <c r="I381" i="13" s="1"/>
  <c r="K397" i="14"/>
  <c r="L397" i="14" s="1"/>
  <c r="I398" i="14" s="1"/>
  <c r="J517" i="14" a="1"/>
  <c r="J517" i="14" s="1"/>
  <c r="N518" i="14"/>
  <c r="M522" i="14"/>
  <c r="M521" i="13"/>
  <c r="N519" i="13"/>
  <c r="J518" i="13" a="1"/>
  <c r="J518" i="13" s="1"/>
  <c r="K381" i="13" l="1"/>
  <c r="K398" i="14"/>
  <c r="L398" i="14" s="1"/>
  <c r="I399" i="14" s="1"/>
  <c r="N520" i="13"/>
  <c r="J519" i="13" a="1"/>
  <c r="J519" i="13" s="1"/>
  <c r="M523" i="14"/>
  <c r="M522" i="13"/>
  <c r="J518" i="14" a="1"/>
  <c r="J518" i="14" s="1"/>
  <c r="N519" i="14"/>
  <c r="L381" i="13" l="1"/>
  <c r="I382" i="13" s="1"/>
  <c r="J519" i="14" a="1"/>
  <c r="J519" i="14" s="1"/>
  <c r="N520" i="14"/>
  <c r="M524" i="14"/>
  <c r="N521" i="13"/>
  <c r="J520" i="13" a="1"/>
  <c r="J520" i="13" s="1"/>
  <c r="M523" i="13"/>
  <c r="K399" i="14"/>
  <c r="L399" i="14" s="1"/>
  <c r="I400" i="14" s="1"/>
  <c r="K382" i="13" l="1"/>
  <c r="L382" i="13" s="1"/>
  <c r="I383" i="13" s="1"/>
  <c r="K400" i="14"/>
  <c r="L400" i="14" s="1"/>
  <c r="I401" i="14" s="1"/>
  <c r="J520" i="14" a="1"/>
  <c r="J520" i="14" s="1"/>
  <c r="N521" i="14"/>
  <c r="M524" i="13"/>
  <c r="M525" i="14"/>
  <c r="N522" i="13"/>
  <c r="J521" i="13" a="1"/>
  <c r="J521" i="13" s="1"/>
  <c r="K383" i="13" l="1"/>
  <c r="L383" i="13" s="1"/>
  <c r="I384" i="13" s="1"/>
  <c r="K401" i="14"/>
  <c r="L401" i="14" s="1"/>
  <c r="I402" i="14" s="1"/>
  <c r="M525" i="13"/>
  <c r="N523" i="13"/>
  <c r="J522" i="13" a="1"/>
  <c r="J522" i="13" s="1"/>
  <c r="M526" i="14"/>
  <c r="J521" i="14" a="1"/>
  <c r="J521" i="14" s="1"/>
  <c r="N522" i="14"/>
  <c r="K384" i="13" l="1"/>
  <c r="L384" i="13" s="1"/>
  <c r="I385" i="13" s="1"/>
  <c r="K402" i="14"/>
  <c r="L402" i="14" s="1"/>
  <c r="I403" i="14" s="1"/>
  <c r="J522" i="14" a="1"/>
  <c r="J522" i="14" s="1"/>
  <c r="N523" i="14"/>
  <c r="M527" i="14"/>
  <c r="M526" i="13"/>
  <c r="N524" i="13"/>
  <c r="J523" i="13" a="1"/>
  <c r="J523" i="13" s="1"/>
  <c r="K385" i="13" l="1"/>
  <c r="L385" i="13" s="1"/>
  <c r="I386" i="13" s="1"/>
  <c r="K403" i="14"/>
  <c r="L403" i="14" s="1"/>
  <c r="I404" i="14" s="1"/>
  <c r="M528" i="14"/>
  <c r="N525" i="13"/>
  <c r="J524" i="13" a="1"/>
  <c r="J524" i="13" s="1"/>
  <c r="M527" i="13"/>
  <c r="J523" i="14" a="1"/>
  <c r="J523" i="14" s="1"/>
  <c r="N524" i="14"/>
  <c r="K386" i="13" l="1"/>
  <c r="L386" i="13" s="1"/>
  <c r="I387" i="13" s="1"/>
  <c r="K404" i="14"/>
  <c r="L404" i="14" s="1"/>
  <c r="I405" i="14" s="1"/>
  <c r="M528" i="13"/>
  <c r="M529" i="14"/>
  <c r="J524" i="14" a="1"/>
  <c r="J524" i="14" s="1"/>
  <c r="N525" i="14"/>
  <c r="N526" i="13"/>
  <c r="J525" i="13" a="1"/>
  <c r="J525" i="13" s="1"/>
  <c r="K387" i="13" l="1"/>
  <c r="L387" i="13" s="1"/>
  <c r="I388" i="13" s="1"/>
  <c r="N527" i="13"/>
  <c r="J526" i="13" a="1"/>
  <c r="J526" i="13" s="1"/>
  <c r="M530" i="14"/>
  <c r="K405" i="14"/>
  <c r="J525" i="14" a="1"/>
  <c r="J525" i="14" s="1"/>
  <c r="N526" i="14"/>
  <c r="M529" i="13"/>
  <c r="K388" i="13" l="1"/>
  <c r="L388" i="13" s="1"/>
  <c r="I389" i="13" s="1"/>
  <c r="L405" i="14"/>
  <c r="I406" i="14" s="1"/>
  <c r="N528" i="13"/>
  <c r="J527" i="13" a="1"/>
  <c r="J527" i="13" s="1"/>
  <c r="M530" i="13"/>
  <c r="J526" i="14" a="1"/>
  <c r="J526" i="14" s="1"/>
  <c r="N527" i="14"/>
  <c r="M531" i="14"/>
  <c r="K389" i="13" l="1"/>
  <c r="L389" i="13" s="1"/>
  <c r="I390" i="13" s="1"/>
  <c r="J527" i="14" a="1"/>
  <c r="J527" i="14" s="1"/>
  <c r="N528" i="14"/>
  <c r="M532" i="14"/>
  <c r="N529" i="13"/>
  <c r="J528" i="13" a="1"/>
  <c r="J528" i="13" s="1"/>
  <c r="M531" i="13"/>
  <c r="K406" i="14"/>
  <c r="L406" i="14" s="1"/>
  <c r="I407" i="14" s="1"/>
  <c r="K390" i="13" l="1"/>
  <c r="L390" i="13" s="1"/>
  <c r="I391" i="13" s="1"/>
  <c r="K407" i="14"/>
  <c r="L407" i="14" s="1"/>
  <c r="I408" i="14" s="1"/>
  <c r="J528" i="14" a="1"/>
  <c r="J528" i="14" s="1"/>
  <c r="N529" i="14"/>
  <c r="M532" i="13"/>
  <c r="N530" i="13"/>
  <c r="J529" i="13" a="1"/>
  <c r="J529" i="13" s="1"/>
  <c r="M533" i="14"/>
  <c r="K391" i="13" l="1"/>
  <c r="L391" i="13" s="1"/>
  <c r="I392" i="13" s="1"/>
  <c r="K408" i="14"/>
  <c r="L408" i="14" s="1"/>
  <c r="I409" i="14" s="1"/>
  <c r="N531" i="13"/>
  <c r="J530" i="13" a="1"/>
  <c r="J530" i="13" s="1"/>
  <c r="M534" i="14"/>
  <c r="M533" i="13"/>
  <c r="J529" i="14" a="1"/>
  <c r="J529" i="14" s="1"/>
  <c r="N530" i="14"/>
  <c r="K392" i="13" l="1"/>
  <c r="K409" i="14"/>
  <c r="L409" i="14" s="1"/>
  <c r="I410" i="14" s="1"/>
  <c r="J530" i="14" a="1"/>
  <c r="J530" i="14" s="1"/>
  <c r="N531" i="14"/>
  <c r="M534" i="13"/>
  <c r="N532" i="13"/>
  <c r="J531" i="13" a="1"/>
  <c r="J531" i="13" s="1"/>
  <c r="M535" i="14"/>
  <c r="L392" i="13" l="1"/>
  <c r="I393" i="13" s="1"/>
  <c r="K410" i="14"/>
  <c r="L410" i="14" s="1"/>
  <c r="I411" i="14" s="1"/>
  <c r="J531" i="14" a="1"/>
  <c r="J531" i="14" s="1"/>
  <c r="N532" i="14"/>
  <c r="M536" i="14"/>
  <c r="N533" i="13"/>
  <c r="J532" i="13" a="1"/>
  <c r="J532" i="13" s="1"/>
  <c r="M535" i="13"/>
  <c r="K393" i="13" l="1"/>
  <c r="K411" i="14"/>
  <c r="L411" i="14" s="1"/>
  <c r="I412" i="14" s="1"/>
  <c r="M536" i="13"/>
  <c r="M537" i="14"/>
  <c r="J532" i="14" a="1"/>
  <c r="J532" i="14" s="1"/>
  <c r="N533" i="14"/>
  <c r="N534" i="13"/>
  <c r="J533" i="13" a="1"/>
  <c r="J533" i="13" s="1"/>
  <c r="L393" i="13" l="1"/>
  <c r="I394" i="13" s="1"/>
  <c r="K412" i="14"/>
  <c r="L412" i="14" s="1"/>
  <c r="I413" i="14" s="1"/>
  <c r="J533" i="14" a="1"/>
  <c r="J533" i="14" s="1"/>
  <c r="N534" i="14"/>
  <c r="M537" i="13"/>
  <c r="N535" i="13"/>
  <c r="J534" i="13" a="1"/>
  <c r="J534" i="13" s="1"/>
  <c r="M538" i="14"/>
  <c r="K394" i="13" l="1"/>
  <c r="L394" i="13" s="1"/>
  <c r="I395" i="13" s="1"/>
  <c r="K413" i="14"/>
  <c r="L413" i="14" s="1"/>
  <c r="I414" i="14" s="1"/>
  <c r="J534" i="14" a="1"/>
  <c r="J534" i="14" s="1"/>
  <c r="N535" i="14"/>
  <c r="M539" i="14"/>
  <c r="M538" i="13"/>
  <c r="N536" i="13"/>
  <c r="J535" i="13" a="1"/>
  <c r="J535" i="13" s="1"/>
  <c r="K395" i="13" l="1"/>
  <c r="L395" i="13" s="1"/>
  <c r="I396" i="13" s="1"/>
  <c r="K414" i="14"/>
  <c r="L414" i="14" s="1"/>
  <c r="I415" i="14" s="1"/>
  <c r="M540" i="14"/>
  <c r="N537" i="13"/>
  <c r="J536" i="13" a="1"/>
  <c r="J536" i="13" s="1"/>
  <c r="M539" i="13"/>
  <c r="J535" i="14" a="1"/>
  <c r="J535" i="14" s="1"/>
  <c r="N536" i="14"/>
  <c r="K396" i="13" l="1"/>
  <c r="L396" i="13" s="1"/>
  <c r="I397" i="13" s="1"/>
  <c r="K415" i="14"/>
  <c r="L415" i="14" s="1"/>
  <c r="I416" i="14" s="1"/>
  <c r="M540" i="13"/>
  <c r="M541" i="14"/>
  <c r="J536" i="14" a="1"/>
  <c r="J536" i="14" s="1"/>
  <c r="N537" i="14"/>
  <c r="N538" i="13"/>
  <c r="J537" i="13" a="1"/>
  <c r="J537" i="13" s="1"/>
  <c r="K397" i="13" l="1"/>
  <c r="L397" i="13" s="1"/>
  <c r="I398" i="13" s="1"/>
  <c r="K416" i="14"/>
  <c r="J537" i="14" a="1"/>
  <c r="J537" i="14" s="1"/>
  <c r="N538" i="14"/>
  <c r="M541" i="13"/>
  <c r="N539" i="13"/>
  <c r="J538" i="13" a="1"/>
  <c r="J538" i="13" s="1"/>
  <c r="M542" i="14"/>
  <c r="K398" i="13" l="1"/>
  <c r="L398" i="13" s="1"/>
  <c r="I399" i="13" s="1"/>
  <c r="J538" i="14" a="1"/>
  <c r="J538" i="14" s="1"/>
  <c r="N539" i="14"/>
  <c r="N540" i="13"/>
  <c r="J539" i="13" a="1"/>
  <c r="J539" i="13" s="1"/>
  <c r="M543" i="14"/>
  <c r="M542" i="13"/>
  <c r="L416" i="14"/>
  <c r="I417" i="14" s="1"/>
  <c r="K399" i="13" l="1"/>
  <c r="L399" i="13" s="1"/>
  <c r="I400" i="13" s="1"/>
  <c r="M544" i="14"/>
  <c r="J539" i="14" a="1"/>
  <c r="J539" i="14" s="1"/>
  <c r="N540" i="14"/>
  <c r="M543" i="13"/>
  <c r="K417" i="14"/>
  <c r="N541" i="13"/>
  <c r="J540" i="13" a="1"/>
  <c r="J540" i="13" s="1"/>
  <c r="K400" i="13" l="1"/>
  <c r="L400" i="13" s="1"/>
  <c r="I401" i="13" s="1"/>
  <c r="M544" i="13"/>
  <c r="M545" i="14"/>
  <c r="N542" i="13"/>
  <c r="J541" i="13" a="1"/>
  <c r="J541" i="13" s="1"/>
  <c r="J540" i="14" a="1"/>
  <c r="J540" i="14" s="1"/>
  <c r="N541" i="14"/>
  <c r="L417" i="14"/>
  <c r="I418" i="14" s="1"/>
  <c r="K401" i="13" l="1"/>
  <c r="L401" i="13" s="1"/>
  <c r="I402" i="13" s="1"/>
  <c r="N543" i="13"/>
  <c r="J542" i="13" a="1"/>
  <c r="J542" i="13" s="1"/>
  <c r="J541" i="14" a="1"/>
  <c r="J541" i="14" s="1"/>
  <c r="N542" i="14"/>
  <c r="M546" i="14"/>
  <c r="K418" i="14"/>
  <c r="L418" i="14" s="1"/>
  <c r="I419" i="14" s="1"/>
  <c r="M545" i="13"/>
  <c r="K402" i="13" l="1"/>
  <c r="L402" i="13" s="1"/>
  <c r="I403" i="13" s="1"/>
  <c r="K419" i="14"/>
  <c r="L419" i="14" s="1"/>
  <c r="I420" i="14" s="1"/>
  <c r="M546" i="13"/>
  <c r="M547" i="14"/>
  <c r="N544" i="13"/>
  <c r="J543" i="13" a="1"/>
  <c r="J543" i="13" s="1"/>
  <c r="J542" i="14" a="1"/>
  <c r="J542" i="14" s="1"/>
  <c r="N543" i="14"/>
  <c r="K403" i="13" l="1"/>
  <c r="L403" i="13" s="1"/>
  <c r="I404" i="13" s="1"/>
  <c r="K420" i="14"/>
  <c r="L420" i="14" s="1"/>
  <c r="I421" i="14" s="1"/>
  <c r="J543" i="14" a="1"/>
  <c r="J543" i="14" s="1"/>
  <c r="N544" i="14"/>
  <c r="M548" i="14"/>
  <c r="M547" i="13"/>
  <c r="N545" i="13"/>
  <c r="J544" i="13" a="1"/>
  <c r="J544" i="13" s="1"/>
  <c r="K404" i="13" l="1"/>
  <c r="K421" i="14"/>
  <c r="L421" i="14" s="1"/>
  <c r="I422" i="14" s="1"/>
  <c r="M549" i="14"/>
  <c r="N546" i="13"/>
  <c r="J545" i="13" a="1"/>
  <c r="J545" i="13" s="1"/>
  <c r="M548" i="13"/>
  <c r="J544" i="14" a="1"/>
  <c r="J544" i="14" s="1"/>
  <c r="N545" i="14"/>
  <c r="L404" i="13" l="1"/>
  <c r="I405" i="13" s="1"/>
  <c r="K422" i="14"/>
  <c r="L422" i="14" s="1"/>
  <c r="I423" i="14" s="1"/>
  <c r="M549" i="13"/>
  <c r="M550" i="14"/>
  <c r="J545" i="14" a="1"/>
  <c r="J545" i="14" s="1"/>
  <c r="N546" i="14"/>
  <c r="N547" i="13"/>
  <c r="J546" i="13" a="1"/>
  <c r="J546" i="13" s="1"/>
  <c r="K405" i="13" l="1"/>
  <c r="K423" i="14"/>
  <c r="L423" i="14" s="1"/>
  <c r="I424" i="14" s="1"/>
  <c r="J546" i="14" a="1"/>
  <c r="J546" i="14" s="1"/>
  <c r="N547" i="14"/>
  <c r="M550" i="13"/>
  <c r="M551" i="14"/>
  <c r="N548" i="13"/>
  <c r="J547" i="13" a="1"/>
  <c r="J547" i="13" s="1"/>
  <c r="L405" i="13" l="1"/>
  <c r="I406" i="13" s="1"/>
  <c r="K424" i="14"/>
  <c r="L424" i="14" s="1"/>
  <c r="I425" i="14" s="1"/>
  <c r="J547" i="14" a="1"/>
  <c r="J547" i="14" s="1"/>
  <c r="N548" i="14"/>
  <c r="M551" i="13"/>
  <c r="N549" i="13"/>
  <c r="J548" i="13" a="1"/>
  <c r="J548" i="13" s="1"/>
  <c r="M552" i="14"/>
  <c r="K406" i="13" l="1"/>
  <c r="L406" i="13" s="1"/>
  <c r="I407" i="13" s="1"/>
  <c r="K425" i="14"/>
  <c r="L425" i="14" s="1"/>
  <c r="I426" i="14" s="1"/>
  <c r="N550" i="13"/>
  <c r="J549" i="13" a="1"/>
  <c r="J549" i="13" s="1"/>
  <c r="M553" i="14"/>
  <c r="M552" i="13"/>
  <c r="J548" i="14" a="1"/>
  <c r="J548" i="14" s="1"/>
  <c r="N549" i="14"/>
  <c r="K407" i="13" l="1"/>
  <c r="L407" i="13" s="1"/>
  <c r="I408" i="13" s="1"/>
  <c r="K426" i="14"/>
  <c r="L426" i="14" s="1"/>
  <c r="I427" i="14" s="1"/>
  <c r="M554" i="14"/>
  <c r="M553" i="13"/>
  <c r="J549" i="14" a="1"/>
  <c r="J549" i="14" s="1"/>
  <c r="N550" i="14"/>
  <c r="N551" i="13"/>
  <c r="J550" i="13" a="1"/>
  <c r="J550" i="13" s="1"/>
  <c r="K408" i="13" l="1"/>
  <c r="L408" i="13" s="1"/>
  <c r="I409" i="13" s="1"/>
  <c r="K427" i="14"/>
  <c r="L427" i="14" s="1"/>
  <c r="I428" i="14" s="1"/>
  <c r="N552" i="13"/>
  <c r="J551" i="13" a="1"/>
  <c r="J551" i="13" s="1"/>
  <c r="M554" i="13"/>
  <c r="J550" i="14" a="1"/>
  <c r="J550" i="14" s="1"/>
  <c r="N551" i="14"/>
  <c r="M555" i="14"/>
  <c r="K409" i="13" l="1"/>
  <c r="L409" i="13" s="1"/>
  <c r="I410" i="13" s="1"/>
  <c r="K428" i="14"/>
  <c r="N553" i="13"/>
  <c r="J552" i="13" a="1"/>
  <c r="J552" i="13" s="1"/>
  <c r="J551" i="14" a="1"/>
  <c r="J551" i="14" s="1"/>
  <c r="N552" i="14"/>
  <c r="M556" i="14"/>
  <c r="M555" i="13"/>
  <c r="K410" i="13" l="1"/>
  <c r="L410" i="13" s="1"/>
  <c r="I411" i="13" s="1"/>
  <c r="M556" i="13"/>
  <c r="J552" i="14" a="1"/>
  <c r="J552" i="14" s="1"/>
  <c r="N553" i="14"/>
  <c r="L428" i="14"/>
  <c r="I429" i="14" s="1"/>
  <c r="M557" i="14"/>
  <c r="N554" i="13"/>
  <c r="J553" i="13" a="1"/>
  <c r="J553" i="13" s="1"/>
  <c r="K411" i="13" l="1"/>
  <c r="L411" i="13" s="1"/>
  <c r="I412" i="13" s="1"/>
  <c r="K429" i="14"/>
  <c r="J553" i="14" a="1"/>
  <c r="J553" i="14" s="1"/>
  <c r="N554" i="14"/>
  <c r="M558" i="14"/>
  <c r="N555" i="13"/>
  <c r="J554" i="13" a="1"/>
  <c r="J554" i="13" s="1"/>
  <c r="M557" i="13"/>
  <c r="K412" i="13" l="1"/>
  <c r="L412" i="13" s="1"/>
  <c r="I413" i="13" s="1"/>
  <c r="N556" i="13"/>
  <c r="J555" i="13" a="1"/>
  <c r="J555" i="13" s="1"/>
  <c r="M558" i="13"/>
  <c r="M559" i="14"/>
  <c r="L429" i="14"/>
  <c r="I430" i="14" s="1"/>
  <c r="J554" i="14" a="1"/>
  <c r="J554" i="14" s="1"/>
  <c r="N555" i="14"/>
  <c r="K413" i="13" l="1"/>
  <c r="L413" i="13" s="1"/>
  <c r="I414" i="13" s="1"/>
  <c r="N557" i="13"/>
  <c r="J556" i="13" a="1"/>
  <c r="J556" i="13" s="1"/>
  <c r="J555" i="14" a="1"/>
  <c r="J555" i="14" s="1"/>
  <c r="N556" i="14"/>
  <c r="M559" i="13"/>
  <c r="K430" i="14"/>
  <c r="L430" i="14" s="1"/>
  <c r="I431" i="14" s="1"/>
  <c r="M560" i="14"/>
  <c r="K414" i="13" l="1"/>
  <c r="L414" i="13" s="1"/>
  <c r="I415" i="13" s="1"/>
  <c r="K431" i="14"/>
  <c r="L431" i="14" s="1"/>
  <c r="I432" i="14" s="1"/>
  <c r="M561" i="14"/>
  <c r="M560" i="13"/>
  <c r="N558" i="13"/>
  <c r="J557" i="13" a="1"/>
  <c r="J557" i="13" s="1"/>
  <c r="J556" i="14" a="1"/>
  <c r="J556" i="14" s="1"/>
  <c r="N557" i="14"/>
  <c r="K415" i="13" l="1"/>
  <c r="L415" i="13" s="1"/>
  <c r="I416" i="13" s="1"/>
  <c r="K432" i="14"/>
  <c r="L432" i="14" s="1"/>
  <c r="I433" i="14" s="1"/>
  <c r="J557" i="14" a="1"/>
  <c r="J557" i="14" s="1"/>
  <c r="N558" i="14"/>
  <c r="M561" i="13"/>
  <c r="M562" i="14"/>
  <c r="N559" i="13"/>
  <c r="J558" i="13" a="1"/>
  <c r="J558" i="13" s="1"/>
  <c r="K416" i="13" l="1"/>
  <c r="K433" i="14"/>
  <c r="L433" i="14" s="1"/>
  <c r="I434" i="14" s="1"/>
  <c r="M562" i="13"/>
  <c r="M563" i="14"/>
  <c r="J558" i="14" a="1"/>
  <c r="J558" i="14" s="1"/>
  <c r="N559" i="14"/>
  <c r="N560" i="13"/>
  <c r="J559" i="13" a="1"/>
  <c r="J559" i="13" s="1"/>
  <c r="L416" i="13" l="1"/>
  <c r="I417" i="13" s="1"/>
  <c r="K434" i="14"/>
  <c r="L434" i="14" s="1"/>
  <c r="I435" i="14" s="1"/>
  <c r="M564" i="14"/>
  <c r="J559" i="14" a="1"/>
  <c r="J559" i="14" s="1"/>
  <c r="N560" i="14"/>
  <c r="M563" i="13"/>
  <c r="N561" i="13"/>
  <c r="J560" i="13" a="1"/>
  <c r="J560" i="13" s="1"/>
  <c r="K417" i="13" l="1"/>
  <c r="K435" i="14"/>
  <c r="L435" i="14" s="1"/>
  <c r="I436" i="14" s="1"/>
  <c r="J560" i="14" a="1"/>
  <c r="J560" i="14" s="1"/>
  <c r="N561" i="14"/>
  <c r="M565" i="14"/>
  <c r="N562" i="13"/>
  <c r="J561" i="13" a="1"/>
  <c r="J561" i="13" s="1"/>
  <c r="M564" i="13"/>
  <c r="L417" i="13" l="1"/>
  <c r="I418" i="13" s="1"/>
  <c r="K436" i="14"/>
  <c r="L436" i="14" s="1"/>
  <c r="I437" i="14" s="1"/>
  <c r="J561" i="14" a="1"/>
  <c r="J561" i="14" s="1"/>
  <c r="N562" i="14"/>
  <c r="M565" i="13"/>
  <c r="N563" i="13"/>
  <c r="J562" i="13" a="1"/>
  <c r="J562" i="13" s="1"/>
  <c r="M566" i="14"/>
  <c r="K418" i="13" l="1"/>
  <c r="L418" i="13" s="1"/>
  <c r="I419" i="13" s="1"/>
  <c r="K437" i="14"/>
  <c r="L437" i="14" s="1"/>
  <c r="I438" i="14" s="1"/>
  <c r="M566" i="13"/>
  <c r="N564" i="13"/>
  <c r="J563" i="13" a="1"/>
  <c r="J563" i="13" s="1"/>
  <c r="J562" i="14" a="1"/>
  <c r="J562" i="14" s="1"/>
  <c r="N563" i="14"/>
  <c r="M567" i="14"/>
  <c r="K419" i="13" l="1"/>
  <c r="L419" i="13" s="1"/>
  <c r="I420" i="13" s="1"/>
  <c r="K438" i="14"/>
  <c r="L438" i="14" s="1"/>
  <c r="I439" i="14" s="1"/>
  <c r="M568" i="14"/>
  <c r="N565" i="13"/>
  <c r="J564" i="13" a="1"/>
  <c r="J564" i="13" s="1"/>
  <c r="J563" i="14" a="1"/>
  <c r="J563" i="14" s="1"/>
  <c r="N564" i="14"/>
  <c r="M567" i="13"/>
  <c r="K420" i="13" l="1"/>
  <c r="L420" i="13" s="1"/>
  <c r="I421" i="13" s="1"/>
  <c r="K439" i="14"/>
  <c r="L439" i="14" s="1"/>
  <c r="I440" i="14" s="1"/>
  <c r="M568" i="13"/>
  <c r="N566" i="13"/>
  <c r="J565" i="13" a="1"/>
  <c r="J565" i="13" s="1"/>
  <c r="J564" i="14" a="1"/>
  <c r="J564" i="14" s="1"/>
  <c r="N565" i="14"/>
  <c r="M569" i="14"/>
  <c r="K421" i="13" l="1"/>
  <c r="L421" i="13" s="1"/>
  <c r="I422" i="13" s="1"/>
  <c r="K440" i="14"/>
  <c r="M570" i="14"/>
  <c r="N567" i="13"/>
  <c r="J566" i="13" a="1"/>
  <c r="J566" i="13" s="1"/>
  <c r="J565" i="14" a="1"/>
  <c r="J565" i="14" s="1"/>
  <c r="N566" i="14"/>
  <c r="M569" i="13"/>
  <c r="K422" i="13" l="1"/>
  <c r="L422" i="13" s="1"/>
  <c r="I423" i="13" s="1"/>
  <c r="M570" i="13"/>
  <c r="N568" i="13"/>
  <c r="J567" i="13" a="1"/>
  <c r="J567" i="13" s="1"/>
  <c r="J566" i="14" a="1"/>
  <c r="J566" i="14" s="1"/>
  <c r="N567" i="14"/>
  <c r="M571" i="14"/>
  <c r="L440" i="14"/>
  <c r="I441" i="14" s="1"/>
  <c r="K423" i="13" l="1"/>
  <c r="L423" i="13" s="1"/>
  <c r="I424" i="13" s="1"/>
  <c r="M572" i="14"/>
  <c r="N569" i="13"/>
  <c r="J568" i="13" a="1"/>
  <c r="J568" i="13" s="1"/>
  <c r="K441" i="14"/>
  <c r="J567" i="14" a="1"/>
  <c r="J567" i="14" s="1"/>
  <c r="N568" i="14"/>
  <c r="M571" i="13"/>
  <c r="K424" i="13" l="1"/>
  <c r="L424" i="13" s="1"/>
  <c r="I425" i="13" s="1"/>
  <c r="M573" i="14"/>
  <c r="L441" i="14"/>
  <c r="I442" i="14" s="1"/>
  <c r="M572" i="13"/>
  <c r="J568" i="14" a="1"/>
  <c r="J568" i="14" s="1"/>
  <c r="N569" i="14"/>
  <c r="N570" i="13"/>
  <c r="J569" i="13" a="1"/>
  <c r="J569" i="13" s="1"/>
  <c r="K425" i="13" l="1"/>
  <c r="L425" i="13" s="1"/>
  <c r="I426" i="13" s="1"/>
  <c r="M573" i="13"/>
  <c r="J569" i="14" a="1"/>
  <c r="J569" i="14" s="1"/>
  <c r="N570" i="14"/>
  <c r="K442" i="14"/>
  <c r="L442" i="14" s="1"/>
  <c r="I443" i="14" s="1"/>
  <c r="N571" i="13"/>
  <c r="J570" i="13" a="1"/>
  <c r="J570" i="13" s="1"/>
  <c r="M574" i="14"/>
  <c r="K426" i="13" l="1"/>
  <c r="L426" i="13" s="1"/>
  <c r="I427" i="13" s="1"/>
  <c r="K443" i="14"/>
  <c r="L443" i="14" s="1"/>
  <c r="I444" i="14" s="1"/>
  <c r="M575" i="14"/>
  <c r="M574" i="13"/>
  <c r="J570" i="14" a="1"/>
  <c r="J570" i="14" s="1"/>
  <c r="N571" i="14"/>
  <c r="N572" i="13"/>
  <c r="J571" i="13" a="1"/>
  <c r="J571" i="13" s="1"/>
  <c r="K427" i="13" l="1"/>
  <c r="L427" i="13" s="1"/>
  <c r="I428" i="13" s="1"/>
  <c r="K444" i="14"/>
  <c r="L444" i="14" s="1"/>
  <c r="I445" i="14" s="1"/>
  <c r="N573" i="13"/>
  <c r="J572" i="13" a="1"/>
  <c r="J572" i="13" s="1"/>
  <c r="J571" i="14" a="1"/>
  <c r="J571" i="14" s="1"/>
  <c r="N572" i="14"/>
  <c r="M576" i="14"/>
  <c r="M575" i="13"/>
  <c r="K428" i="13" l="1"/>
  <c r="K445" i="14"/>
  <c r="L445" i="14" s="1"/>
  <c r="I446" i="14" s="1"/>
  <c r="J572" i="14" a="1"/>
  <c r="J572" i="14" s="1"/>
  <c r="N573" i="14"/>
  <c r="M577" i="14"/>
  <c r="M576" i="13"/>
  <c r="N574" i="13"/>
  <c r="J573" i="13" a="1"/>
  <c r="J573" i="13" s="1"/>
  <c r="L428" i="13" l="1"/>
  <c r="I429" i="13" s="1"/>
  <c r="K446" i="14"/>
  <c r="L446" i="14" s="1"/>
  <c r="I447" i="14" s="1"/>
  <c r="J573" i="14" a="1"/>
  <c r="J573" i="14" s="1"/>
  <c r="N574" i="14"/>
  <c r="N575" i="13"/>
  <c r="J574" i="13" a="1"/>
  <c r="J574" i="13" s="1"/>
  <c r="M578" i="14"/>
  <c r="M577" i="13"/>
  <c r="K429" i="13" l="1"/>
  <c r="L429" i="13" s="1"/>
  <c r="I430" i="13" s="1"/>
  <c r="K447" i="14"/>
  <c r="L447" i="14" s="1"/>
  <c r="I448" i="14" s="1"/>
  <c r="N576" i="13"/>
  <c r="J575" i="13" a="1"/>
  <c r="J575" i="13" s="1"/>
  <c r="M578" i="13"/>
  <c r="M579" i="14"/>
  <c r="J574" i="14" a="1"/>
  <c r="J574" i="14" s="1"/>
  <c r="N575" i="14"/>
  <c r="K430" i="13" l="1"/>
  <c r="L430" i="13" s="1"/>
  <c r="I431" i="13" s="1"/>
  <c r="K448" i="14"/>
  <c r="L448" i="14" s="1"/>
  <c r="I449" i="14" s="1"/>
  <c r="J575" i="14" a="1"/>
  <c r="J575" i="14" s="1"/>
  <c r="N576" i="14"/>
  <c r="M579" i="13"/>
  <c r="M580" i="14"/>
  <c r="N577" i="13"/>
  <c r="J576" i="13" a="1"/>
  <c r="J576" i="13" s="1"/>
  <c r="K431" i="13" l="1"/>
  <c r="L431" i="13" s="1"/>
  <c r="I432" i="13" s="1"/>
  <c r="K449" i="14"/>
  <c r="L449" i="14" s="1"/>
  <c r="I450" i="14" s="1"/>
  <c r="N578" i="13"/>
  <c r="J577" i="13" a="1"/>
  <c r="J577" i="13" s="1"/>
  <c r="J576" i="14" a="1"/>
  <c r="J576" i="14" s="1"/>
  <c r="N577" i="14"/>
  <c r="M580" i="13"/>
  <c r="M581" i="14"/>
  <c r="K432" i="13" l="1"/>
  <c r="L432" i="13" s="1"/>
  <c r="I433" i="13" s="1"/>
  <c r="K450" i="14"/>
  <c r="L450" i="14" s="1"/>
  <c r="I451" i="14" s="1"/>
  <c r="J577" i="14" a="1"/>
  <c r="J577" i="14" s="1"/>
  <c r="N578" i="14"/>
  <c r="M581" i="13"/>
  <c r="M582" i="14"/>
  <c r="N579" i="13"/>
  <c r="J578" i="13" a="1"/>
  <c r="J578" i="13" s="1"/>
  <c r="K433" i="13" l="1"/>
  <c r="L433" i="13" s="1"/>
  <c r="I434" i="13" s="1"/>
  <c r="M582" i="13"/>
  <c r="N580" i="13"/>
  <c r="J579" i="13" a="1"/>
  <c r="J579" i="13" s="1"/>
  <c r="M583" i="14"/>
  <c r="J578" i="14" a="1"/>
  <c r="J578" i="14" s="1"/>
  <c r="N579" i="14"/>
  <c r="K451" i="14"/>
  <c r="L451" i="14" s="1"/>
  <c r="I452" i="14" s="1"/>
  <c r="K434" i="13" l="1"/>
  <c r="L434" i="13" s="1"/>
  <c r="I435" i="13" s="1"/>
  <c r="K452" i="14"/>
  <c r="M584" i="14"/>
  <c r="M583" i="13"/>
  <c r="J579" i="14" a="1"/>
  <c r="J579" i="14" s="1"/>
  <c r="N580" i="14"/>
  <c r="N581" i="13"/>
  <c r="J580" i="13" a="1"/>
  <c r="J580" i="13" s="1"/>
  <c r="K435" i="13" l="1"/>
  <c r="L435" i="13" s="1"/>
  <c r="I436" i="13" s="1"/>
  <c r="M584" i="13"/>
  <c r="N582" i="13"/>
  <c r="J581" i="13" a="1"/>
  <c r="J581" i="13" s="1"/>
  <c r="J580" i="14" a="1"/>
  <c r="J580" i="14" s="1"/>
  <c r="N581" i="14"/>
  <c r="M585" i="14"/>
  <c r="L452" i="14"/>
  <c r="I453" i="14" s="1"/>
  <c r="K436" i="13" l="1"/>
  <c r="L436" i="13" s="1"/>
  <c r="I437" i="13" s="1"/>
  <c r="K453" i="14"/>
  <c r="L453" i="14" s="1"/>
  <c r="I454" i="14" s="1"/>
  <c r="M585" i="13"/>
  <c r="M586" i="14"/>
  <c r="J581" i="14" a="1"/>
  <c r="J581" i="14" s="1"/>
  <c r="N582" i="14"/>
  <c r="N583" i="13"/>
  <c r="J582" i="13" a="1"/>
  <c r="J582" i="13" s="1"/>
  <c r="K437" i="13" l="1"/>
  <c r="L437" i="13" s="1"/>
  <c r="I438" i="13" s="1"/>
  <c r="K454" i="14"/>
  <c r="L454" i="14" s="1"/>
  <c r="I455" i="14" s="1"/>
  <c r="N584" i="13"/>
  <c r="J583" i="13" a="1"/>
  <c r="J583" i="13" s="1"/>
  <c r="J582" i="14" a="1"/>
  <c r="J582" i="14" s="1"/>
  <c r="N583" i="14"/>
  <c r="M586" i="13"/>
  <c r="M587" i="14"/>
  <c r="K438" i="13" l="1"/>
  <c r="L438" i="13" s="1"/>
  <c r="I439" i="13" s="1"/>
  <c r="K455" i="14"/>
  <c r="L455" i="14" s="1"/>
  <c r="I456" i="14" s="1"/>
  <c r="M588" i="14"/>
  <c r="J583" i="14" a="1"/>
  <c r="J583" i="14" s="1"/>
  <c r="N584" i="14"/>
  <c r="N585" i="13"/>
  <c r="J584" i="13" a="1"/>
  <c r="J584" i="13" s="1"/>
  <c r="M587" i="13"/>
  <c r="K439" i="13" l="1"/>
  <c r="L439" i="13" s="1"/>
  <c r="I440" i="13" s="1"/>
  <c r="K456" i="14"/>
  <c r="L456" i="14" s="1"/>
  <c r="I457" i="14" s="1"/>
  <c r="M588" i="13"/>
  <c r="J584" i="14" a="1"/>
  <c r="J584" i="14" s="1"/>
  <c r="N585" i="14"/>
  <c r="M589" i="14"/>
  <c r="N586" i="13"/>
  <c r="J585" i="13" a="1"/>
  <c r="J585" i="13" s="1"/>
  <c r="K440" i="13" l="1"/>
  <c r="L440" i="13" s="1"/>
  <c r="I441" i="13" s="1"/>
  <c r="K457" i="14"/>
  <c r="L457" i="14" s="1"/>
  <c r="I458" i="14" s="1"/>
  <c r="M589" i="13"/>
  <c r="N587" i="13"/>
  <c r="J586" i="13" a="1"/>
  <c r="J586" i="13" s="1"/>
  <c r="J585" i="14" a="1"/>
  <c r="J585" i="14" s="1"/>
  <c r="N586" i="14"/>
  <c r="M590" i="14"/>
  <c r="K441" i="13" l="1"/>
  <c r="L441" i="13" s="1"/>
  <c r="I442" i="13" s="1"/>
  <c r="N588" i="13"/>
  <c r="J587" i="13" a="1"/>
  <c r="J587" i="13" s="1"/>
  <c r="J586" i="14" a="1"/>
  <c r="J586" i="14" s="1"/>
  <c r="N587" i="14"/>
  <c r="M590" i="13"/>
  <c r="M591" i="14"/>
  <c r="K458" i="14"/>
  <c r="L458" i="14" s="1"/>
  <c r="I459" i="14" s="1"/>
  <c r="K442" i="13" l="1"/>
  <c r="K459" i="14"/>
  <c r="L459" i="14" s="1"/>
  <c r="I460" i="14" s="1"/>
  <c r="M592" i="14"/>
  <c r="J587" i="14" a="1"/>
  <c r="J587" i="14" s="1"/>
  <c r="N588" i="14"/>
  <c r="M591" i="13"/>
  <c r="N589" i="13"/>
  <c r="J588" i="13" a="1"/>
  <c r="J588" i="13" s="1"/>
  <c r="L442" i="13" l="1"/>
  <c r="I443" i="13" s="1"/>
  <c r="K460" i="14"/>
  <c r="L460" i="14" s="1"/>
  <c r="I461" i="14" s="1"/>
  <c r="M592" i="13"/>
  <c r="M593" i="14"/>
  <c r="J588" i="14" a="1"/>
  <c r="J588" i="14" s="1"/>
  <c r="N589" i="14"/>
  <c r="N590" i="13"/>
  <c r="J589" i="13" a="1"/>
  <c r="J589" i="13" s="1"/>
  <c r="K443" i="13" l="1"/>
  <c r="L443" i="13" s="1"/>
  <c r="I444" i="13" s="1"/>
  <c r="K461" i="14"/>
  <c r="L461" i="14" s="1"/>
  <c r="I462" i="14" s="1"/>
  <c r="J589" i="14" a="1"/>
  <c r="J589" i="14" s="1"/>
  <c r="N590" i="14"/>
  <c r="M593" i="13"/>
  <c r="N591" i="13"/>
  <c r="J590" i="13" a="1"/>
  <c r="J590" i="13" s="1"/>
  <c r="M594" i="14"/>
  <c r="K444" i="13" l="1"/>
  <c r="L444" i="13" s="1"/>
  <c r="I445" i="13" s="1"/>
  <c r="K462" i="14"/>
  <c r="L462" i="14" s="1"/>
  <c r="I463" i="14" s="1"/>
  <c r="M595" i="14"/>
  <c r="M594" i="13"/>
  <c r="J590" i="14" a="1"/>
  <c r="J590" i="14" s="1"/>
  <c r="N591" i="14"/>
  <c r="N592" i="13"/>
  <c r="J591" i="13" a="1"/>
  <c r="J591" i="13" s="1"/>
  <c r="K445" i="13" l="1"/>
  <c r="L445" i="13" s="1"/>
  <c r="I446" i="13" s="1"/>
  <c r="K463" i="14"/>
  <c r="L463" i="14" s="1"/>
  <c r="I464" i="14" s="1"/>
  <c r="M595" i="13"/>
  <c r="N593" i="13"/>
  <c r="J592" i="13" a="1"/>
  <c r="J592" i="13" s="1"/>
  <c r="J591" i="14" a="1"/>
  <c r="J591" i="14" s="1"/>
  <c r="N592" i="14"/>
  <c r="M596" i="14"/>
  <c r="K446" i="13" l="1"/>
  <c r="L446" i="13" s="1"/>
  <c r="I447" i="13" s="1"/>
  <c r="K464" i="14"/>
  <c r="M597" i="14"/>
  <c r="N594" i="13"/>
  <c r="J593" i="13" a="1"/>
  <c r="J593" i="13" s="1"/>
  <c r="J592" i="14" a="1"/>
  <c r="J592" i="14" s="1"/>
  <c r="N593" i="14"/>
  <c r="M596" i="13"/>
  <c r="K447" i="13" l="1"/>
  <c r="L447" i="13" s="1"/>
  <c r="I448" i="13" s="1"/>
  <c r="M597" i="13"/>
  <c r="N595" i="13"/>
  <c r="J594" i="13" a="1"/>
  <c r="J594" i="13" s="1"/>
  <c r="J593" i="14" a="1"/>
  <c r="J593" i="14" s="1"/>
  <c r="N594" i="14"/>
  <c r="M598" i="14"/>
  <c r="L464" i="14"/>
  <c r="I465" i="14" s="1"/>
  <c r="K448" i="13" l="1"/>
  <c r="L448" i="13" s="1"/>
  <c r="I449" i="13" s="1"/>
  <c r="M598" i="13"/>
  <c r="K465" i="14"/>
  <c r="M599" i="14"/>
  <c r="J594" i="14" a="1"/>
  <c r="J594" i="14" s="1"/>
  <c r="N595" i="14"/>
  <c r="N596" i="13"/>
  <c r="J595" i="13" a="1"/>
  <c r="J595" i="13" s="1"/>
  <c r="K449" i="13" l="1"/>
  <c r="L449" i="13" s="1"/>
  <c r="I450" i="13" s="1"/>
  <c r="M600" i="14"/>
  <c r="M599" i="13"/>
  <c r="N597" i="13"/>
  <c r="J596" i="13" a="1"/>
  <c r="J596" i="13" s="1"/>
  <c r="J595" i="14" a="1"/>
  <c r="J595" i="14" s="1"/>
  <c r="N596" i="14"/>
  <c r="L465" i="14"/>
  <c r="I466" i="14" s="1"/>
  <c r="K450" i="13" l="1"/>
  <c r="L450" i="13" s="1"/>
  <c r="I451" i="13" s="1"/>
  <c r="M601" i="14"/>
  <c r="J596" i="14" a="1"/>
  <c r="J596" i="14" s="1"/>
  <c r="N597" i="14"/>
  <c r="N598" i="13"/>
  <c r="J597" i="13" a="1"/>
  <c r="J597" i="13" s="1"/>
  <c r="K466" i="14"/>
  <c r="L466" i="14" s="1"/>
  <c r="I467" i="14" s="1"/>
  <c r="M600" i="13"/>
  <c r="K451" i="13" l="1"/>
  <c r="L451" i="13" s="1"/>
  <c r="I452" i="13" s="1"/>
  <c r="M602" i="14"/>
  <c r="N599" i="13"/>
  <c r="J598" i="13" a="1"/>
  <c r="J598" i="13" s="1"/>
  <c r="J597" i="14" a="1"/>
  <c r="J597" i="14" s="1"/>
  <c r="N598" i="14"/>
  <c r="K467" i="14"/>
  <c r="L467" i="14" s="1"/>
  <c r="I468" i="14" s="1"/>
  <c r="M601" i="13"/>
  <c r="K452" i="13" l="1"/>
  <c r="L452" i="13" s="1"/>
  <c r="I453" i="13" s="1"/>
  <c r="K468" i="14"/>
  <c r="L468" i="14" s="1"/>
  <c r="I469" i="14" s="1"/>
  <c r="M602" i="13"/>
  <c r="J598" i="14" a="1"/>
  <c r="J598" i="14" s="1"/>
  <c r="N599" i="14"/>
  <c r="M603" i="14"/>
  <c r="N600" i="13"/>
  <c r="J599" i="13" a="1"/>
  <c r="J599" i="13" s="1"/>
  <c r="K453" i="13" l="1"/>
  <c r="L453" i="13" s="1"/>
  <c r="I454" i="13" s="1"/>
  <c r="K469" i="14"/>
  <c r="L469" i="14" s="1"/>
  <c r="I470" i="14" s="1"/>
  <c r="J599" i="14" a="1"/>
  <c r="J599" i="14" s="1"/>
  <c r="N600" i="14"/>
  <c r="N601" i="13"/>
  <c r="J600" i="13" a="1"/>
  <c r="J600" i="13" s="1"/>
  <c r="M604" i="14"/>
  <c r="M603" i="13"/>
  <c r="K454" i="13" l="1"/>
  <c r="K470" i="14"/>
  <c r="L470" i="14" s="1"/>
  <c r="I471" i="14" s="1"/>
  <c r="M604" i="13"/>
  <c r="N602" i="13"/>
  <c r="J601" i="13" a="1"/>
  <c r="J601" i="13" s="1"/>
  <c r="M605" i="14"/>
  <c r="J600" i="14" a="1"/>
  <c r="J600" i="14" s="1"/>
  <c r="N601" i="14"/>
  <c r="L454" i="13" l="1"/>
  <c r="I455" i="13" s="1"/>
  <c r="K471" i="14"/>
  <c r="L471" i="14" s="1"/>
  <c r="I472" i="14" s="1"/>
  <c r="M606" i="14"/>
  <c r="M605" i="13"/>
  <c r="J601" i="14" a="1"/>
  <c r="J601" i="14" s="1"/>
  <c r="N602" i="14"/>
  <c r="N603" i="13"/>
  <c r="J602" i="13" a="1"/>
  <c r="J602" i="13" s="1"/>
  <c r="K455" i="13" l="1"/>
  <c r="L455" i="13" s="1"/>
  <c r="I456" i="13" s="1"/>
  <c r="K472" i="14"/>
  <c r="L472" i="14" s="1"/>
  <c r="I473" i="14" s="1"/>
  <c r="M606" i="13"/>
  <c r="N604" i="13"/>
  <c r="J603" i="13" a="1"/>
  <c r="J603" i="13" s="1"/>
  <c r="J602" i="14" a="1"/>
  <c r="J602" i="14" s="1"/>
  <c r="N603" i="14"/>
  <c r="M607" i="14"/>
  <c r="K456" i="13" l="1"/>
  <c r="L456" i="13" s="1"/>
  <c r="I457" i="13" s="1"/>
  <c r="K473" i="14"/>
  <c r="L473" i="14" s="1"/>
  <c r="I474" i="14" s="1"/>
  <c r="M608" i="14"/>
  <c r="N605" i="13"/>
  <c r="J604" i="13" a="1"/>
  <c r="J604" i="13" s="1"/>
  <c r="J603" i="14" a="1"/>
  <c r="J603" i="14" s="1"/>
  <c r="N604" i="14"/>
  <c r="M607" i="13"/>
  <c r="K457" i="13" l="1"/>
  <c r="L457" i="13" s="1"/>
  <c r="I458" i="13" s="1"/>
  <c r="K474" i="14"/>
  <c r="L474" i="14" s="1"/>
  <c r="I475" i="14" s="1"/>
  <c r="J604" i="14" a="1"/>
  <c r="J604" i="14" s="1"/>
  <c r="N605" i="14"/>
  <c r="M609" i="14"/>
  <c r="M608" i="13"/>
  <c r="N606" i="13"/>
  <c r="J605" i="13" a="1"/>
  <c r="J605" i="13" s="1"/>
  <c r="K458" i="13" l="1"/>
  <c r="L458" i="13" s="1"/>
  <c r="I459" i="13" s="1"/>
  <c r="K475" i="14"/>
  <c r="L475" i="14" s="1"/>
  <c r="I476" i="14" s="1"/>
  <c r="M610" i="14"/>
  <c r="J605" i="14" a="1"/>
  <c r="J605" i="14" s="1"/>
  <c r="N606" i="14"/>
  <c r="N607" i="13"/>
  <c r="J606" i="13" a="1"/>
  <c r="J606" i="13" s="1"/>
  <c r="M609" i="13"/>
  <c r="K459" i="13" l="1"/>
  <c r="L459" i="13" s="1"/>
  <c r="I460" i="13" s="1"/>
  <c r="K476" i="14"/>
  <c r="L476" i="14" s="1"/>
  <c r="I477" i="14" s="1"/>
  <c r="J606" i="14" a="1"/>
  <c r="J606" i="14" s="1"/>
  <c r="N607" i="14"/>
  <c r="M611" i="14"/>
  <c r="M610" i="13"/>
  <c r="N608" i="13"/>
  <c r="J607" i="13" a="1"/>
  <c r="J607" i="13" s="1"/>
  <c r="K460" i="13" l="1"/>
  <c r="L460" i="13" s="1"/>
  <c r="I461" i="13" s="1"/>
  <c r="J607" i="14" a="1"/>
  <c r="J607" i="14" s="1"/>
  <c r="N608" i="14"/>
  <c r="M611" i="13"/>
  <c r="M612" i="14"/>
  <c r="N609" i="13"/>
  <c r="J608" i="13" a="1"/>
  <c r="J608" i="13" s="1"/>
  <c r="K477" i="14"/>
  <c r="L477" i="14" s="1"/>
  <c r="I478" i="14" s="1"/>
  <c r="K461" i="13" l="1"/>
  <c r="L461" i="13" s="1"/>
  <c r="I462" i="13" s="1"/>
  <c r="K478" i="14"/>
  <c r="M613" i="14"/>
  <c r="J608" i="14" a="1"/>
  <c r="J608" i="14" s="1"/>
  <c r="N609" i="14"/>
  <c r="M612" i="13"/>
  <c r="N610" i="13"/>
  <c r="J609" i="13" a="1"/>
  <c r="J609" i="13" s="1"/>
  <c r="K462" i="13" l="1"/>
  <c r="L462" i="13" s="1"/>
  <c r="I463" i="13" s="1"/>
  <c r="N611" i="13"/>
  <c r="J610" i="13" a="1"/>
  <c r="J610" i="13" s="1"/>
  <c r="M613" i="13"/>
  <c r="M614" i="14"/>
  <c r="L478" i="14"/>
  <c r="I479" i="14" s="1"/>
  <c r="J609" i="14" a="1"/>
  <c r="J609" i="14" s="1"/>
  <c r="N610" i="14"/>
  <c r="K463" i="13" l="1"/>
  <c r="L463" i="13" s="1"/>
  <c r="I464" i="13" s="1"/>
  <c r="M614" i="13"/>
  <c r="N612" i="13"/>
  <c r="J611" i="13" a="1"/>
  <c r="J611" i="13" s="1"/>
  <c r="K479" i="14"/>
  <c r="L479" i="14" s="1"/>
  <c r="I480" i="14" s="1"/>
  <c r="J610" i="14" a="1"/>
  <c r="J610" i="14" s="1"/>
  <c r="N611" i="14"/>
  <c r="M615" i="14"/>
  <c r="K464" i="13" l="1"/>
  <c r="K480" i="14"/>
  <c r="L480" i="14" s="1"/>
  <c r="I481" i="14" s="1"/>
  <c r="N613" i="13"/>
  <c r="J612" i="13" a="1"/>
  <c r="J612" i="13" s="1"/>
  <c r="J611" i="14" a="1"/>
  <c r="J611" i="14" s="1"/>
  <c r="N612" i="14"/>
  <c r="M616" i="14"/>
  <c r="M615" i="13"/>
  <c r="L464" i="13" l="1"/>
  <c r="I465" i="13" s="1"/>
  <c r="K481" i="14"/>
  <c r="L481" i="14" s="1"/>
  <c r="I482" i="14" s="1"/>
  <c r="J612" i="14" a="1"/>
  <c r="J612" i="14" s="1"/>
  <c r="N613" i="14"/>
  <c r="M617" i="14"/>
  <c r="M616" i="13"/>
  <c r="N614" i="13"/>
  <c r="J613" i="13" a="1"/>
  <c r="J613" i="13" s="1"/>
  <c r="K465" i="13" l="1"/>
  <c r="K482" i="14"/>
  <c r="L482" i="14" s="1"/>
  <c r="I483" i="14" s="1"/>
  <c r="N615" i="13"/>
  <c r="J614" i="13" a="1"/>
  <c r="J614" i="13" s="1"/>
  <c r="M617" i="13"/>
  <c r="J613" i="14" a="1"/>
  <c r="J613" i="14" s="1"/>
  <c r="N614" i="14"/>
  <c r="M618" i="14"/>
  <c r="L465" i="13" l="1"/>
  <c r="I466" i="13" s="1"/>
  <c r="K483" i="14"/>
  <c r="L483" i="14" s="1"/>
  <c r="I484" i="14" s="1"/>
  <c r="M619" i="14"/>
  <c r="N616" i="13"/>
  <c r="J615" i="13" a="1"/>
  <c r="J615" i="13" s="1"/>
  <c r="M618" i="13"/>
  <c r="J614" i="14" a="1"/>
  <c r="J614" i="14" s="1"/>
  <c r="N615" i="14"/>
  <c r="K466" i="13" l="1"/>
  <c r="L466" i="13" s="1"/>
  <c r="I467" i="13" s="1"/>
  <c r="K484" i="14"/>
  <c r="L484" i="14" s="1"/>
  <c r="I485" i="14" s="1"/>
  <c r="J615" i="14" a="1"/>
  <c r="J615" i="14" s="1"/>
  <c r="N616" i="14"/>
  <c r="M619" i="13"/>
  <c r="M620" i="14"/>
  <c r="N617" i="13"/>
  <c r="J616" i="13" a="1"/>
  <c r="J616" i="13" s="1"/>
  <c r="K467" i="13" l="1"/>
  <c r="L467" i="13" s="1"/>
  <c r="I468" i="13" s="1"/>
  <c r="K485" i="14"/>
  <c r="L485" i="14" s="1"/>
  <c r="I486" i="14" s="1"/>
  <c r="N618" i="13"/>
  <c r="J617" i="13" a="1"/>
  <c r="J617" i="13" s="1"/>
  <c r="M621" i="14"/>
  <c r="J616" i="14" a="1"/>
  <c r="J616" i="14" s="1"/>
  <c r="N617" i="14"/>
  <c r="M620" i="13"/>
  <c r="K468" i="13" l="1"/>
  <c r="L468" i="13" s="1"/>
  <c r="I469" i="13" s="1"/>
  <c r="K486" i="14"/>
  <c r="L486" i="14" s="1"/>
  <c r="I487" i="14" s="1"/>
  <c r="M621" i="13"/>
  <c r="M622" i="14"/>
  <c r="J617" i="14" a="1"/>
  <c r="J617" i="14" s="1"/>
  <c r="N618" i="14"/>
  <c r="N619" i="13"/>
  <c r="J618" i="13" a="1"/>
  <c r="J618" i="13" s="1"/>
  <c r="K469" i="13" l="1"/>
  <c r="L469" i="13" s="1"/>
  <c r="I470" i="13" s="1"/>
  <c r="K487" i="14"/>
  <c r="L487" i="14" s="1"/>
  <c r="I488" i="14" s="1"/>
  <c r="M623" i="14"/>
  <c r="N620" i="13"/>
  <c r="J619" i="13" a="1"/>
  <c r="J619" i="13" s="1"/>
  <c r="J618" i="14" a="1"/>
  <c r="J618" i="14" s="1"/>
  <c r="N619" i="14"/>
  <c r="M622" i="13"/>
  <c r="K470" i="13" l="1"/>
  <c r="L470" i="13" s="1"/>
  <c r="I471" i="13" s="1"/>
  <c r="K488" i="14"/>
  <c r="M623" i="13"/>
  <c r="N621" i="13"/>
  <c r="J620" i="13" a="1"/>
  <c r="J620" i="13" s="1"/>
  <c r="M624" i="14"/>
  <c r="J619" i="14" a="1"/>
  <c r="J619" i="14" s="1"/>
  <c r="N620" i="14"/>
  <c r="K471" i="13" l="1"/>
  <c r="L471" i="13" s="1"/>
  <c r="I472" i="13" s="1"/>
  <c r="L488" i="14"/>
  <c r="I489" i="14" s="1"/>
  <c r="J620" i="14" a="1"/>
  <c r="J620" i="14" s="1"/>
  <c r="N621" i="14"/>
  <c r="M624" i="13"/>
  <c r="N622" i="13"/>
  <c r="J621" i="13" a="1"/>
  <c r="J621" i="13" s="1"/>
  <c r="M625" i="14"/>
  <c r="K472" i="13" l="1"/>
  <c r="L472" i="13" s="1"/>
  <c r="I473" i="13" s="1"/>
  <c r="M626" i="14"/>
  <c r="M625" i="13"/>
  <c r="K489" i="14"/>
  <c r="N623" i="13"/>
  <c r="J622" i="13" a="1"/>
  <c r="J622" i="13" s="1"/>
  <c r="J621" i="14" a="1"/>
  <c r="J621" i="14" s="1"/>
  <c r="N622" i="14"/>
  <c r="K473" i="13" l="1"/>
  <c r="L473" i="13" s="1"/>
  <c r="I474" i="13" s="1"/>
  <c r="J622" i="14" a="1"/>
  <c r="J622" i="14" s="1"/>
  <c r="N623" i="14"/>
  <c r="M626" i="13"/>
  <c r="M627" i="14"/>
  <c r="L489" i="14"/>
  <c r="I490" i="14" s="1"/>
  <c r="N624" i="13"/>
  <c r="J623" i="13" a="1"/>
  <c r="J623" i="13" s="1"/>
  <c r="K474" i="13" l="1"/>
  <c r="L474" i="13" s="1"/>
  <c r="I475" i="13" s="1"/>
  <c r="J623" i="14" a="1"/>
  <c r="J623" i="14" s="1"/>
  <c r="N624" i="14"/>
  <c r="K490" i="14"/>
  <c r="L490" i="14" s="1"/>
  <c r="I491" i="14" s="1"/>
  <c r="M627" i="13"/>
  <c r="M628" i="14"/>
  <c r="N625" i="13"/>
  <c r="J624" i="13" a="1"/>
  <c r="J624" i="13" s="1"/>
  <c r="K475" i="13" l="1"/>
  <c r="L475" i="13" s="1"/>
  <c r="I476" i="13" s="1"/>
  <c r="K491" i="14"/>
  <c r="L491" i="14" s="1"/>
  <c r="I492" i="14" s="1"/>
  <c r="M628" i="13"/>
  <c r="M629" i="14"/>
  <c r="J624" i="14" a="1"/>
  <c r="J624" i="14" s="1"/>
  <c r="N625" i="14"/>
  <c r="N626" i="13"/>
  <c r="J625" i="13" a="1"/>
  <c r="J625" i="13" s="1"/>
  <c r="K476" i="13" l="1"/>
  <c r="K492" i="14"/>
  <c r="L492" i="14" s="1"/>
  <c r="I493" i="14" s="1"/>
  <c r="J625" i="14" a="1"/>
  <c r="J625" i="14" s="1"/>
  <c r="N626" i="14"/>
  <c r="M629" i="13"/>
  <c r="M630" i="14"/>
  <c r="N627" i="13"/>
  <c r="J626" i="13" a="1"/>
  <c r="J626" i="13" s="1"/>
  <c r="L476" i="13" l="1"/>
  <c r="I477" i="13" s="1"/>
  <c r="K493" i="14"/>
  <c r="L493" i="14" s="1"/>
  <c r="I494" i="14" s="1"/>
  <c r="M630" i="13"/>
  <c r="N628" i="13"/>
  <c r="J627" i="13" a="1"/>
  <c r="J627" i="13" s="1"/>
  <c r="M631" i="14"/>
  <c r="J626" i="14" a="1"/>
  <c r="J626" i="14" s="1"/>
  <c r="N627" i="14"/>
  <c r="K477" i="13" l="1"/>
  <c r="L477" i="13" s="1"/>
  <c r="I478" i="13" s="1"/>
  <c r="M631" i="13"/>
  <c r="J627" i="14" a="1"/>
  <c r="J627" i="14" s="1"/>
  <c r="N628" i="14"/>
  <c r="N629" i="13"/>
  <c r="J628" i="13" a="1"/>
  <c r="J628" i="13" s="1"/>
  <c r="M632" i="14"/>
  <c r="K494" i="14"/>
  <c r="L494" i="14" s="1"/>
  <c r="I495" i="14" s="1"/>
  <c r="K478" i="13" l="1"/>
  <c r="L478" i="13" s="1"/>
  <c r="I479" i="13" s="1"/>
  <c r="N630" i="13"/>
  <c r="J629" i="13" a="1"/>
  <c r="J629" i="13" s="1"/>
  <c r="M632" i="13"/>
  <c r="K495" i="14"/>
  <c r="L495" i="14" s="1"/>
  <c r="I496" i="14" s="1"/>
  <c r="M633" i="14"/>
  <c r="J628" i="14" a="1"/>
  <c r="J628" i="14" s="1"/>
  <c r="N629" i="14"/>
  <c r="K479" i="13" l="1"/>
  <c r="L479" i="13" s="1"/>
  <c r="I480" i="13" s="1"/>
  <c r="K496" i="14"/>
  <c r="L496" i="14" s="1"/>
  <c r="I497" i="14" s="1"/>
  <c r="J629" i="14" a="1"/>
  <c r="J629" i="14" s="1"/>
  <c r="N630" i="14"/>
  <c r="N631" i="13"/>
  <c r="J630" i="13" a="1"/>
  <c r="J630" i="13" s="1"/>
  <c r="M634" i="14"/>
  <c r="M633" i="13"/>
  <c r="K480" i="13" l="1"/>
  <c r="L480" i="13" s="1"/>
  <c r="I481" i="13" s="1"/>
  <c r="K497" i="14"/>
  <c r="L497" i="14" s="1"/>
  <c r="I498" i="14" s="1"/>
  <c r="M635" i="14"/>
  <c r="J630" i="14" a="1"/>
  <c r="J630" i="14" s="1"/>
  <c r="N631" i="14"/>
  <c r="M634" i="13"/>
  <c r="N632" i="13"/>
  <c r="J631" i="13" a="1"/>
  <c r="J631" i="13" s="1"/>
  <c r="K481" i="13" l="1"/>
  <c r="L481" i="13" s="1"/>
  <c r="I482" i="13" s="1"/>
  <c r="K498" i="14"/>
  <c r="L498" i="14" s="1"/>
  <c r="I499" i="14" s="1"/>
  <c r="J631" i="14" a="1"/>
  <c r="J631" i="14" s="1"/>
  <c r="N632" i="14"/>
  <c r="N633" i="13"/>
  <c r="J632" i="13" a="1"/>
  <c r="J632" i="13" s="1"/>
  <c r="M636" i="14"/>
  <c r="M635" i="13"/>
  <c r="K482" i="13" l="1"/>
  <c r="L482" i="13" s="1"/>
  <c r="I483" i="13" s="1"/>
  <c r="K499" i="14"/>
  <c r="L499" i="14" s="1"/>
  <c r="I500" i="14" s="1"/>
  <c r="M636" i="13"/>
  <c r="N634" i="13"/>
  <c r="J633" i="13" a="1"/>
  <c r="J633" i="13" s="1"/>
  <c r="M637" i="14"/>
  <c r="J632" i="14" a="1"/>
  <c r="J632" i="14" s="1"/>
  <c r="N633" i="14"/>
  <c r="K483" i="13" l="1"/>
  <c r="L483" i="13" s="1"/>
  <c r="I484" i="13" s="1"/>
  <c r="K500" i="14"/>
  <c r="L500" i="14" s="1"/>
  <c r="I501" i="14" s="1"/>
  <c r="N635" i="13"/>
  <c r="J634" i="13" a="1"/>
  <c r="J634" i="13" s="1"/>
  <c r="M638" i="14"/>
  <c r="M637" i="13"/>
  <c r="J633" i="14" a="1"/>
  <c r="J633" i="14" s="1"/>
  <c r="N634" i="14"/>
  <c r="K484" i="13" l="1"/>
  <c r="L484" i="13" s="1"/>
  <c r="I485" i="13" s="1"/>
  <c r="K501" i="14"/>
  <c r="L501" i="14" s="1"/>
  <c r="I502" i="14" s="1"/>
  <c r="J634" i="14" a="1"/>
  <c r="J634" i="14" s="1"/>
  <c r="N635" i="14"/>
  <c r="M639" i="14"/>
  <c r="M638" i="13"/>
  <c r="N636" i="13"/>
  <c r="J635" i="13" a="1"/>
  <c r="J635" i="13" s="1"/>
  <c r="K485" i="13" l="1"/>
  <c r="L485" i="13" s="1"/>
  <c r="I486" i="13" s="1"/>
  <c r="K502" i="14"/>
  <c r="L502" i="14" s="1"/>
  <c r="I503" i="14" s="1"/>
  <c r="N637" i="13"/>
  <c r="J636" i="13" a="1"/>
  <c r="J636" i="13" s="1"/>
  <c r="M639" i="13"/>
  <c r="J635" i="14" a="1"/>
  <c r="J635" i="14" s="1"/>
  <c r="N636" i="14"/>
  <c r="M640" i="14"/>
  <c r="K486" i="13" l="1"/>
  <c r="L486" i="13" s="1"/>
  <c r="I487" i="13" s="1"/>
  <c r="K503" i="14"/>
  <c r="L503" i="14" s="1"/>
  <c r="I504" i="14" s="1"/>
  <c r="M641" i="14"/>
  <c r="M640" i="13"/>
  <c r="J636" i="14" a="1"/>
  <c r="J636" i="14" s="1"/>
  <c r="N637" i="14"/>
  <c r="N638" i="13"/>
  <c r="J637" i="13" a="1"/>
  <c r="J637" i="13" s="1"/>
  <c r="K487" i="13" l="1"/>
  <c r="L487" i="13" s="1"/>
  <c r="I488" i="13" s="1"/>
  <c r="K504" i="14"/>
  <c r="L504" i="14" s="1"/>
  <c r="I505" i="14" s="1"/>
  <c r="M641" i="13"/>
  <c r="N639" i="13"/>
  <c r="J638" i="13" a="1"/>
  <c r="J638" i="13" s="1"/>
  <c r="J637" i="14" a="1"/>
  <c r="J637" i="14" s="1"/>
  <c r="N638" i="14"/>
  <c r="M642" i="14"/>
  <c r="K488" i="13" l="1"/>
  <c r="K505" i="14"/>
  <c r="L505" i="14" s="1"/>
  <c r="I506" i="14" s="1"/>
  <c r="M643" i="14"/>
  <c r="N640" i="13"/>
  <c r="J639" i="13" a="1"/>
  <c r="J639" i="13" s="1"/>
  <c r="J638" i="14" a="1"/>
  <c r="J638" i="14" s="1"/>
  <c r="N639" i="14"/>
  <c r="M642" i="13"/>
  <c r="L488" i="13" l="1"/>
  <c r="I489" i="13" s="1"/>
  <c r="K506" i="14"/>
  <c r="L506" i="14" s="1"/>
  <c r="I507" i="14" s="1"/>
  <c r="J639" i="14" a="1"/>
  <c r="J639" i="14" s="1"/>
  <c r="N640" i="14"/>
  <c r="M644" i="14"/>
  <c r="M643" i="13"/>
  <c r="N641" i="13"/>
  <c r="J640" i="13" a="1"/>
  <c r="J640" i="13" s="1"/>
  <c r="K489" i="13" l="1"/>
  <c r="K507" i="14"/>
  <c r="L507" i="14" s="1"/>
  <c r="I508" i="14" s="1"/>
  <c r="M645" i="14"/>
  <c r="N642" i="13"/>
  <c r="J641" i="13" a="1"/>
  <c r="J641" i="13" s="1"/>
  <c r="M644" i="13"/>
  <c r="J640" i="14" a="1"/>
  <c r="J640" i="14" s="1"/>
  <c r="N641" i="14"/>
  <c r="L489" i="13" l="1"/>
  <c r="I490" i="13" s="1"/>
  <c r="K508" i="14"/>
  <c r="L508" i="14" s="1"/>
  <c r="I509" i="14" s="1"/>
  <c r="J641" i="14" a="1"/>
  <c r="J641" i="14" s="1"/>
  <c r="N642" i="14"/>
  <c r="M646" i="14"/>
  <c r="M645" i="13"/>
  <c r="N643" i="13"/>
  <c r="J642" i="13" a="1"/>
  <c r="J642" i="13" s="1"/>
  <c r="K490" i="13" l="1"/>
  <c r="L490" i="13" s="1"/>
  <c r="I491" i="13" s="1"/>
  <c r="K509" i="14"/>
  <c r="L509" i="14" s="1"/>
  <c r="I510" i="14" s="1"/>
  <c r="M647" i="14"/>
  <c r="J642" i="14" a="1"/>
  <c r="J642" i="14" s="1"/>
  <c r="N643" i="14"/>
  <c r="N644" i="13"/>
  <c r="J643" i="13" a="1"/>
  <c r="J643" i="13" s="1"/>
  <c r="M646" i="13"/>
  <c r="K491" i="13" l="1"/>
  <c r="L491" i="13" s="1"/>
  <c r="I492" i="13" s="1"/>
  <c r="K510" i="14"/>
  <c r="L510" i="14" s="1"/>
  <c r="I511" i="14" s="1"/>
  <c r="M647" i="13"/>
  <c r="J643" i="14" a="1"/>
  <c r="J643" i="14" s="1"/>
  <c r="N644" i="14"/>
  <c r="M648" i="14"/>
  <c r="N645" i="13"/>
  <c r="J644" i="13" a="1"/>
  <c r="J644" i="13" s="1"/>
  <c r="K492" i="13" l="1"/>
  <c r="L492" i="13" s="1"/>
  <c r="I493" i="13" s="1"/>
  <c r="K511" i="14"/>
  <c r="L511" i="14" s="1"/>
  <c r="I512" i="14" s="1"/>
  <c r="J644" i="14" a="1"/>
  <c r="J644" i="14" s="1"/>
  <c r="N645" i="14"/>
  <c r="N646" i="13"/>
  <c r="J645" i="13" a="1"/>
  <c r="J645" i="13" s="1"/>
  <c r="M649" i="14"/>
  <c r="M648" i="13"/>
  <c r="K493" i="13" l="1"/>
  <c r="L493" i="13" s="1"/>
  <c r="I494" i="13" s="1"/>
  <c r="K512" i="14"/>
  <c r="N647" i="13"/>
  <c r="J646" i="13" a="1"/>
  <c r="J646" i="13" s="1"/>
  <c r="M650" i="14"/>
  <c r="J645" i="14" a="1"/>
  <c r="J645" i="14" s="1"/>
  <c r="N646" i="14"/>
  <c r="M649" i="13"/>
  <c r="K494" i="13" l="1"/>
  <c r="L494" i="13" s="1"/>
  <c r="I495" i="13" s="1"/>
  <c r="J646" i="14" a="1"/>
  <c r="J646" i="14" s="1"/>
  <c r="N647" i="14"/>
  <c r="M650" i="13"/>
  <c r="M651" i="14"/>
  <c r="N648" i="13"/>
  <c r="J647" i="13" a="1"/>
  <c r="J647" i="13" s="1"/>
  <c r="L512" i="14"/>
  <c r="I513" i="14" s="1"/>
  <c r="K495" i="13" l="1"/>
  <c r="L495" i="13" s="1"/>
  <c r="I496" i="13" s="1"/>
  <c r="M652" i="14"/>
  <c r="M651" i="13"/>
  <c r="J647" i="14" a="1"/>
  <c r="J647" i="14" s="1"/>
  <c r="N648" i="14"/>
  <c r="N649" i="13"/>
  <c r="J648" i="13" a="1"/>
  <c r="J648" i="13" s="1"/>
  <c r="K513" i="14"/>
  <c r="L513" i="14" s="1"/>
  <c r="I514" i="14" s="1"/>
  <c r="K496" i="13" l="1"/>
  <c r="L496" i="13" s="1"/>
  <c r="I497" i="13" s="1"/>
  <c r="K514" i="14"/>
  <c r="L514" i="14" s="1"/>
  <c r="I515" i="14" s="1"/>
  <c r="M652" i="13"/>
  <c r="N650" i="13"/>
  <c r="J649" i="13" a="1"/>
  <c r="J649" i="13" s="1"/>
  <c r="J648" i="14" a="1"/>
  <c r="J648" i="14" s="1"/>
  <c r="N649" i="14"/>
  <c r="M653" i="14"/>
  <c r="K497" i="13" l="1"/>
  <c r="L497" i="13" s="1"/>
  <c r="I498" i="13" s="1"/>
  <c r="K515" i="14"/>
  <c r="L515" i="14" s="1"/>
  <c r="I516" i="14" s="1"/>
  <c r="N651" i="13"/>
  <c r="J650" i="13" a="1"/>
  <c r="J650" i="13" s="1"/>
  <c r="M653" i="13"/>
  <c r="J649" i="14" a="1"/>
  <c r="J649" i="14" s="1"/>
  <c r="N650" i="14"/>
  <c r="M654" i="14"/>
  <c r="K498" i="13" l="1"/>
  <c r="L498" i="13" s="1"/>
  <c r="I499" i="13" s="1"/>
  <c r="K516" i="14"/>
  <c r="L516" i="14" s="1"/>
  <c r="I517" i="14" s="1"/>
  <c r="M655" i="14"/>
  <c r="M654" i="13"/>
  <c r="J650" i="14" a="1"/>
  <c r="J650" i="14" s="1"/>
  <c r="N651" i="14"/>
  <c r="N652" i="13"/>
  <c r="J651" i="13" a="1"/>
  <c r="J651" i="13" s="1"/>
  <c r="K499" i="13" l="1"/>
  <c r="L499" i="13" s="1"/>
  <c r="I500" i="13" s="1"/>
  <c r="K517" i="14"/>
  <c r="L517" i="14" s="1"/>
  <c r="I518" i="14" s="1"/>
  <c r="M655" i="13"/>
  <c r="N653" i="13"/>
  <c r="J652" i="13" a="1"/>
  <c r="J652" i="13" s="1"/>
  <c r="J651" i="14" a="1"/>
  <c r="J651" i="14" s="1"/>
  <c r="N652" i="14"/>
  <c r="M656" i="14"/>
  <c r="K500" i="13" l="1"/>
  <c r="K518" i="14"/>
  <c r="L518" i="14" s="1"/>
  <c r="I519" i="14" s="1"/>
  <c r="N654" i="13"/>
  <c r="J653" i="13" a="1"/>
  <c r="J653" i="13" s="1"/>
  <c r="M657" i="14"/>
  <c r="J652" i="14" a="1"/>
  <c r="J652" i="14" s="1"/>
  <c r="N653" i="14"/>
  <c r="M656" i="13"/>
  <c r="L500" i="13" l="1"/>
  <c r="I501" i="13" s="1"/>
  <c r="K519" i="14"/>
  <c r="L519" i="14" s="1"/>
  <c r="I520" i="14" s="1"/>
  <c r="M657" i="13"/>
  <c r="M658" i="14"/>
  <c r="N655" i="13"/>
  <c r="J654" i="13" a="1"/>
  <c r="J654" i="13" s="1"/>
  <c r="J653" i="14" a="1"/>
  <c r="J653" i="14" s="1"/>
  <c r="N654" i="14"/>
  <c r="K501" i="13" l="1"/>
  <c r="K520" i="14"/>
  <c r="L520" i="14" s="1"/>
  <c r="I521" i="14" s="1"/>
  <c r="M658" i="13"/>
  <c r="J654" i="14" a="1"/>
  <c r="J654" i="14" s="1"/>
  <c r="N655" i="14"/>
  <c r="N656" i="13"/>
  <c r="J655" i="13" a="1"/>
  <c r="J655" i="13" s="1"/>
  <c r="M659" i="14"/>
  <c r="L501" i="13" l="1"/>
  <c r="I502" i="13" s="1"/>
  <c r="M659" i="13"/>
  <c r="M660" i="14"/>
  <c r="N657" i="13"/>
  <c r="J656" i="13" a="1"/>
  <c r="J656" i="13" s="1"/>
  <c r="J655" i="14" a="1"/>
  <c r="J655" i="14" s="1"/>
  <c r="N656" i="14"/>
  <c r="K521" i="14"/>
  <c r="L521" i="14" s="1"/>
  <c r="I522" i="14" s="1"/>
  <c r="K502" i="13" l="1"/>
  <c r="L502" i="13" s="1"/>
  <c r="I503" i="13" s="1"/>
  <c r="K522" i="14"/>
  <c r="L522" i="14" s="1"/>
  <c r="I523" i="14" s="1"/>
  <c r="M660" i="13"/>
  <c r="N658" i="13"/>
  <c r="J657" i="13" a="1"/>
  <c r="J657" i="13" s="1"/>
  <c r="J656" i="14" a="1"/>
  <c r="J656" i="14" s="1"/>
  <c r="N657" i="14"/>
  <c r="M661" i="14"/>
  <c r="K503" i="13" l="1"/>
  <c r="L503" i="13" s="1"/>
  <c r="I504" i="13" s="1"/>
  <c r="K523" i="14"/>
  <c r="L523" i="14" s="1"/>
  <c r="I524" i="14" s="1"/>
  <c r="N659" i="13"/>
  <c r="J658" i="13" a="1"/>
  <c r="J658" i="13" s="1"/>
  <c r="J657" i="14" a="1"/>
  <c r="J657" i="14" s="1"/>
  <c r="N658" i="14"/>
  <c r="M661" i="13"/>
  <c r="M662" i="14"/>
  <c r="K504" i="13" l="1"/>
  <c r="L504" i="13" s="1"/>
  <c r="I505" i="13" s="1"/>
  <c r="J658" i="14" a="1"/>
  <c r="J658" i="14" s="1"/>
  <c r="N659" i="14"/>
  <c r="M663" i="14"/>
  <c r="N660" i="13"/>
  <c r="J659" i="13" a="1"/>
  <c r="J659" i="13" s="1"/>
  <c r="M662" i="13"/>
  <c r="K524" i="14"/>
  <c r="L524" i="14" s="1"/>
  <c r="I525" i="14" s="1"/>
  <c r="K505" i="13" l="1"/>
  <c r="L505" i="13" s="1"/>
  <c r="I506" i="13" s="1"/>
  <c r="K525" i="14"/>
  <c r="L525" i="14" s="1"/>
  <c r="I526" i="14" s="1"/>
  <c r="N661" i="13"/>
  <c r="J660" i="13" a="1"/>
  <c r="J660" i="13" s="1"/>
  <c r="M663" i="13"/>
  <c r="M664" i="14"/>
  <c r="J659" i="14" a="1"/>
  <c r="J659" i="14" s="1"/>
  <c r="N660" i="14"/>
  <c r="K506" i="13" l="1"/>
  <c r="L506" i="13" s="1"/>
  <c r="I507" i="13" s="1"/>
  <c r="K526" i="14"/>
  <c r="M665" i="14"/>
  <c r="J660" i="14" a="1"/>
  <c r="J660" i="14" s="1"/>
  <c r="N661" i="14"/>
  <c r="N662" i="13"/>
  <c r="J661" i="13" a="1"/>
  <c r="J661" i="13" s="1"/>
  <c r="M664" i="13"/>
  <c r="K507" i="13" l="1"/>
  <c r="L507" i="13" s="1"/>
  <c r="I508" i="13" s="1"/>
  <c r="M665" i="13"/>
  <c r="J661" i="14" a="1"/>
  <c r="J661" i="14" s="1"/>
  <c r="N662" i="14"/>
  <c r="M666" i="14"/>
  <c r="N663" i="13"/>
  <c r="J662" i="13" a="1"/>
  <c r="J662" i="13" s="1"/>
  <c r="L526" i="14"/>
  <c r="I527" i="14" s="1"/>
  <c r="K508" i="13" l="1"/>
  <c r="L508" i="13" s="1"/>
  <c r="I509" i="13" s="1"/>
  <c r="J662" i="14" a="1"/>
  <c r="J662" i="14" s="1"/>
  <c r="N663" i="14"/>
  <c r="K527" i="14"/>
  <c r="L527" i="14" s="1"/>
  <c r="I528" i="14" s="1"/>
  <c r="N664" i="13"/>
  <c r="J663" i="13" a="1"/>
  <c r="J663" i="13" s="1"/>
  <c r="M666" i="13"/>
  <c r="M667" i="14"/>
  <c r="K509" i="13" l="1"/>
  <c r="L509" i="13" s="1"/>
  <c r="I510" i="13" s="1"/>
  <c r="K528" i="14"/>
  <c r="L528" i="14" s="1"/>
  <c r="I529" i="14" s="1"/>
  <c r="M668" i="14"/>
  <c r="N665" i="13"/>
  <c r="J664" i="13" a="1"/>
  <c r="J664" i="13" s="1"/>
  <c r="J663" i="14" a="1"/>
  <c r="J663" i="14" s="1"/>
  <c r="N664" i="14"/>
  <c r="M667" i="13"/>
  <c r="K510" i="13" l="1"/>
  <c r="L510" i="13" s="1"/>
  <c r="I511" i="13" s="1"/>
  <c r="K529" i="14"/>
  <c r="L529" i="14" s="1"/>
  <c r="I530" i="14" s="1"/>
  <c r="N666" i="13"/>
  <c r="J665" i="13" a="1"/>
  <c r="J665" i="13" s="1"/>
  <c r="M668" i="13"/>
  <c r="J664" i="14" a="1"/>
  <c r="J664" i="14" s="1"/>
  <c r="N665" i="14"/>
  <c r="M669" i="14"/>
  <c r="K511" i="13" l="1"/>
  <c r="L511" i="13" s="1"/>
  <c r="I512" i="13" s="1"/>
  <c r="K530" i="14"/>
  <c r="L530" i="14" s="1"/>
  <c r="I531" i="14" s="1"/>
  <c r="J665" i="14" a="1"/>
  <c r="J665" i="14" s="1"/>
  <c r="N666" i="14"/>
  <c r="M670" i="14"/>
  <c r="M669" i="13"/>
  <c r="N667" i="13"/>
  <c r="J666" i="13" a="1"/>
  <c r="J666" i="13" s="1"/>
  <c r="K512" i="13" l="1"/>
  <c r="K531" i="14"/>
  <c r="L531" i="14" s="1"/>
  <c r="I532" i="14" s="1"/>
  <c r="N668" i="13"/>
  <c r="J667" i="13" a="1"/>
  <c r="J667" i="13" s="1"/>
  <c r="M670" i="13"/>
  <c r="J666" i="14" a="1"/>
  <c r="J666" i="14" s="1"/>
  <c r="N667" i="14"/>
  <c r="M671" i="14"/>
  <c r="L512" i="13" l="1"/>
  <c r="I513" i="13" s="1"/>
  <c r="N669" i="13"/>
  <c r="J668" i="13" a="1"/>
  <c r="J668" i="13" s="1"/>
  <c r="M672" i="14"/>
  <c r="M671" i="13"/>
  <c r="J667" i="14" a="1"/>
  <c r="J667" i="14" s="1"/>
  <c r="N668" i="14"/>
  <c r="K532" i="14"/>
  <c r="L532" i="14" s="1"/>
  <c r="I533" i="14" s="1"/>
  <c r="K513" i="13" l="1"/>
  <c r="K533" i="14"/>
  <c r="L533" i="14" s="1"/>
  <c r="I534" i="14" s="1"/>
  <c r="J668" i="14" a="1"/>
  <c r="J668" i="14" s="1"/>
  <c r="N669" i="14"/>
  <c r="M673" i="14"/>
  <c r="M672" i="13"/>
  <c r="N670" i="13"/>
  <c r="J669" i="13" a="1"/>
  <c r="J669" i="13" s="1"/>
  <c r="L513" i="13" l="1"/>
  <c r="I514" i="13" s="1"/>
  <c r="K534" i="14"/>
  <c r="L534" i="14" s="1"/>
  <c r="I535" i="14" s="1"/>
  <c r="N671" i="13"/>
  <c r="J670" i="13" a="1"/>
  <c r="J670" i="13" s="1"/>
  <c r="M673" i="13"/>
  <c r="M674" i="14"/>
  <c r="J669" i="14" a="1"/>
  <c r="J669" i="14" s="1"/>
  <c r="N670" i="14"/>
  <c r="K514" i="13" l="1"/>
  <c r="L514" i="13" s="1"/>
  <c r="I515" i="13" s="1"/>
  <c r="K535" i="14"/>
  <c r="L535" i="14" s="1"/>
  <c r="I536" i="14" s="1"/>
  <c r="J670" i="14" a="1"/>
  <c r="J670" i="14" s="1"/>
  <c r="N671" i="14"/>
  <c r="M674" i="13"/>
  <c r="N672" i="13"/>
  <c r="J671" i="13" a="1"/>
  <c r="J671" i="13" s="1"/>
  <c r="M675" i="14"/>
  <c r="K515" i="13" l="1"/>
  <c r="L515" i="13" s="1"/>
  <c r="I516" i="13" s="1"/>
  <c r="K536" i="14"/>
  <c r="L536" i="14" s="1"/>
  <c r="I537" i="14" s="1"/>
  <c r="M675" i="13"/>
  <c r="J671" i="14" a="1"/>
  <c r="J671" i="14" s="1"/>
  <c r="N672" i="14"/>
  <c r="M676" i="14"/>
  <c r="N673" i="13"/>
  <c r="J672" i="13" a="1"/>
  <c r="J672" i="13" s="1"/>
  <c r="K516" i="13" l="1"/>
  <c r="L516" i="13" s="1"/>
  <c r="I517" i="13" s="1"/>
  <c r="K537" i="14"/>
  <c r="L537" i="14" s="1"/>
  <c r="I538" i="14" s="1"/>
  <c r="J672" i="14" a="1"/>
  <c r="J672" i="14" s="1"/>
  <c r="N673" i="14"/>
  <c r="N674" i="13"/>
  <c r="J673" i="13" a="1"/>
  <c r="J673" i="13" s="1"/>
  <c r="M677" i="14"/>
  <c r="M676" i="13"/>
  <c r="K517" i="13" l="1"/>
  <c r="L517" i="13" s="1"/>
  <c r="I518" i="13" s="1"/>
  <c r="K538" i="14"/>
  <c r="J673" i="14" a="1"/>
  <c r="J673" i="14" s="1"/>
  <c r="N674" i="14"/>
  <c r="M677" i="13"/>
  <c r="M678" i="14"/>
  <c r="N675" i="13"/>
  <c r="J674" i="13" a="1"/>
  <c r="J674" i="13" s="1"/>
  <c r="K518" i="13" l="1"/>
  <c r="L518" i="13" s="1"/>
  <c r="I519" i="13" s="1"/>
  <c r="J674" i="14" a="1"/>
  <c r="J674" i="14" s="1"/>
  <c r="N675" i="14"/>
  <c r="N676" i="13"/>
  <c r="J675" i="13" a="1"/>
  <c r="J675" i="13" s="1"/>
  <c r="M679" i="14"/>
  <c r="M678" i="13"/>
  <c r="L538" i="14"/>
  <c r="I539" i="14" s="1"/>
  <c r="K519" i="13" l="1"/>
  <c r="L519" i="13" s="1"/>
  <c r="I520" i="13" s="1"/>
  <c r="M680" i="14"/>
  <c r="J675" i="14" a="1"/>
  <c r="J675" i="14" s="1"/>
  <c r="N676" i="14"/>
  <c r="M679" i="13"/>
  <c r="K539" i="14"/>
  <c r="L539" i="14" s="1"/>
  <c r="I540" i="14" s="1"/>
  <c r="N677" i="13"/>
  <c r="J676" i="13" a="1"/>
  <c r="J676" i="13" s="1"/>
  <c r="K520" i="13" l="1"/>
  <c r="L520" i="13" s="1"/>
  <c r="I521" i="13" s="1"/>
  <c r="K540" i="14"/>
  <c r="L540" i="14" s="1"/>
  <c r="I541" i="14" s="1"/>
  <c r="M680" i="13"/>
  <c r="N678" i="13"/>
  <c r="J677" i="13" a="1"/>
  <c r="J677" i="13" s="1"/>
  <c r="J676" i="14" a="1"/>
  <c r="J676" i="14" s="1"/>
  <c r="N677" i="14"/>
  <c r="M681" i="14"/>
  <c r="K521" i="13" l="1"/>
  <c r="L521" i="13" s="1"/>
  <c r="I522" i="13" s="1"/>
  <c r="K541" i="14"/>
  <c r="L541" i="14" s="1"/>
  <c r="I542" i="14" s="1"/>
  <c r="N679" i="13"/>
  <c r="J678" i="13" a="1"/>
  <c r="J678" i="13" s="1"/>
  <c r="M682" i="14"/>
  <c r="J677" i="14" a="1"/>
  <c r="J677" i="14" s="1"/>
  <c r="N678" i="14"/>
  <c r="M681" i="13"/>
  <c r="K522" i="13" l="1"/>
  <c r="L522" i="13" s="1"/>
  <c r="I523" i="13" s="1"/>
  <c r="K542" i="14"/>
  <c r="L542" i="14" s="1"/>
  <c r="I543" i="14" s="1"/>
  <c r="J678" i="14" a="1"/>
  <c r="J678" i="14" s="1"/>
  <c r="N679" i="14"/>
  <c r="M682" i="13"/>
  <c r="M683" i="14"/>
  <c r="N680" i="13"/>
  <c r="J679" i="13" a="1"/>
  <c r="J679" i="13" s="1"/>
  <c r="K523" i="13" l="1"/>
  <c r="L523" i="13" s="1"/>
  <c r="I524" i="13" s="1"/>
  <c r="K543" i="14"/>
  <c r="L543" i="14" s="1"/>
  <c r="I544" i="14" s="1"/>
  <c r="N681" i="13"/>
  <c r="J680" i="13" a="1"/>
  <c r="J680" i="13" s="1"/>
  <c r="M683" i="13"/>
  <c r="M684" i="14"/>
  <c r="J679" i="14" a="1"/>
  <c r="J679" i="14" s="1"/>
  <c r="N680" i="14"/>
  <c r="K524" i="13" l="1"/>
  <c r="L524" i="13" s="1"/>
  <c r="I525" i="13" s="1"/>
  <c r="K544" i="14"/>
  <c r="L544" i="14" s="1"/>
  <c r="I545" i="14" s="1"/>
  <c r="J680" i="14" a="1"/>
  <c r="J680" i="14" s="1"/>
  <c r="N681" i="14"/>
  <c r="M684" i="13"/>
  <c r="M685" i="14"/>
  <c r="N682" i="13"/>
  <c r="J681" i="13" a="1"/>
  <c r="J681" i="13" s="1"/>
  <c r="K525" i="13" l="1"/>
  <c r="L525" i="13" s="1"/>
  <c r="I526" i="13" s="1"/>
  <c r="K545" i="14"/>
  <c r="L545" i="14" s="1"/>
  <c r="I546" i="14" s="1"/>
  <c r="M686" i="14"/>
  <c r="M685" i="13"/>
  <c r="N683" i="13"/>
  <c r="J682" i="13" a="1"/>
  <c r="J682" i="13" s="1"/>
  <c r="J681" i="14" a="1"/>
  <c r="J681" i="14" s="1"/>
  <c r="N682" i="14"/>
  <c r="K526" i="13" l="1"/>
  <c r="K546" i="14"/>
  <c r="L546" i="14" s="1"/>
  <c r="I547" i="14" s="1"/>
  <c r="M687" i="14"/>
  <c r="J682" i="14" a="1"/>
  <c r="J682" i="14" s="1"/>
  <c r="N683" i="14"/>
  <c r="M686" i="13"/>
  <c r="N684" i="13"/>
  <c r="J683" i="13" a="1"/>
  <c r="J683" i="13" s="1"/>
  <c r="L526" i="13" l="1"/>
  <c r="I527" i="13" s="1"/>
  <c r="K547" i="14"/>
  <c r="L547" i="14" s="1"/>
  <c r="I548" i="14" s="1"/>
  <c r="N685" i="13"/>
  <c r="J684" i="13" a="1"/>
  <c r="J684" i="13" s="1"/>
  <c r="J683" i="14" a="1"/>
  <c r="J683" i="14" s="1"/>
  <c r="N684" i="14"/>
  <c r="M687" i="13"/>
  <c r="M688" i="14"/>
  <c r="K527" i="13" l="1"/>
  <c r="L527" i="13" s="1"/>
  <c r="I528" i="13" s="1"/>
  <c r="K548" i="14"/>
  <c r="N686" i="13"/>
  <c r="J685" i="13" a="1"/>
  <c r="J685" i="13" s="1"/>
  <c r="J684" i="14" a="1"/>
  <c r="J684" i="14" s="1"/>
  <c r="N685" i="14"/>
  <c r="M688" i="13"/>
  <c r="M689" i="14"/>
  <c r="K528" i="13" l="1"/>
  <c r="L528" i="13" s="1"/>
  <c r="I529" i="13" s="1"/>
  <c r="M690" i="14"/>
  <c r="J685" i="14" a="1"/>
  <c r="J685" i="14" s="1"/>
  <c r="N686" i="14"/>
  <c r="N687" i="13"/>
  <c r="J686" i="13" a="1"/>
  <c r="J686" i="13" s="1"/>
  <c r="M689" i="13"/>
  <c r="L548" i="14"/>
  <c r="I549" i="14" s="1"/>
  <c r="K529" i="13" l="1"/>
  <c r="L529" i="13" s="1"/>
  <c r="I530" i="13" s="1"/>
  <c r="N688" i="13"/>
  <c r="J687" i="13" a="1"/>
  <c r="J687" i="13" s="1"/>
  <c r="M691" i="14"/>
  <c r="M690" i="13"/>
  <c r="J686" i="14" a="1"/>
  <c r="J686" i="14" s="1"/>
  <c r="N687" i="14"/>
  <c r="K549" i="14"/>
  <c r="L549" i="14" s="1"/>
  <c r="I550" i="14" s="1"/>
  <c r="K530" i="13" l="1"/>
  <c r="L530" i="13" s="1"/>
  <c r="I531" i="13" s="1"/>
  <c r="K550" i="14"/>
  <c r="L550" i="14" s="1"/>
  <c r="I551" i="14" s="1"/>
  <c r="J687" i="14" a="1"/>
  <c r="J687" i="14" s="1"/>
  <c r="N688" i="14"/>
  <c r="M692" i="14"/>
  <c r="M691" i="13"/>
  <c r="N689" i="13"/>
  <c r="J688" i="13" a="1"/>
  <c r="J688" i="13" s="1"/>
  <c r="K531" i="13" l="1"/>
  <c r="L531" i="13" s="1"/>
  <c r="I532" i="13" s="1"/>
  <c r="K551" i="14"/>
  <c r="L551" i="14" s="1"/>
  <c r="I552" i="14" s="1"/>
  <c r="N690" i="13"/>
  <c r="J689" i="13" a="1"/>
  <c r="J689" i="13" s="1"/>
  <c r="M693" i="14"/>
  <c r="M692" i="13"/>
  <c r="J688" i="14" a="1"/>
  <c r="J688" i="14" s="1"/>
  <c r="N689" i="14"/>
  <c r="K532" i="13" l="1"/>
  <c r="L532" i="13" s="1"/>
  <c r="I533" i="13" s="1"/>
  <c r="K552" i="14"/>
  <c r="L552" i="14" s="1"/>
  <c r="I553" i="14" s="1"/>
  <c r="J689" i="14" a="1"/>
  <c r="J689" i="14" s="1"/>
  <c r="N690" i="14"/>
  <c r="M694" i="14"/>
  <c r="M693" i="13"/>
  <c r="N691" i="13"/>
  <c r="J690" i="13" a="1"/>
  <c r="J690" i="13" s="1"/>
  <c r="K533" i="13" l="1"/>
  <c r="L533" i="13" s="1"/>
  <c r="I534" i="13" s="1"/>
  <c r="K553" i="14"/>
  <c r="L553" i="14" s="1"/>
  <c r="I554" i="14" s="1"/>
  <c r="N692" i="13"/>
  <c r="J691" i="13" a="1"/>
  <c r="J691" i="13" s="1"/>
  <c r="M695" i="14"/>
  <c r="M694" i="13"/>
  <c r="J690" i="14" a="1"/>
  <c r="J690" i="14" s="1"/>
  <c r="N691" i="14"/>
  <c r="K534" i="13" l="1"/>
  <c r="L534" i="13" s="1"/>
  <c r="I535" i="13" s="1"/>
  <c r="K554" i="14"/>
  <c r="L554" i="14" s="1"/>
  <c r="I555" i="14" s="1"/>
  <c r="J691" i="14" a="1"/>
  <c r="J691" i="14" s="1"/>
  <c r="N692" i="14"/>
  <c r="M696" i="14"/>
  <c r="M695" i="13"/>
  <c r="N693" i="13"/>
  <c r="J692" i="13" a="1"/>
  <c r="J692" i="13" s="1"/>
  <c r="K535" i="13" l="1"/>
  <c r="L535" i="13" s="1"/>
  <c r="I536" i="13" s="1"/>
  <c r="K555" i="14"/>
  <c r="L555" i="14" s="1"/>
  <c r="I556" i="14" s="1"/>
  <c r="M697" i="14"/>
  <c r="N694" i="13"/>
  <c r="J693" i="13" a="1"/>
  <c r="J693" i="13" s="1"/>
  <c r="M696" i="13"/>
  <c r="J692" i="14" a="1"/>
  <c r="J692" i="14" s="1"/>
  <c r="N693" i="14"/>
  <c r="K536" i="13" l="1"/>
  <c r="L536" i="13" s="1"/>
  <c r="I537" i="13" s="1"/>
  <c r="M698" i="14"/>
  <c r="J693" i="14" a="1"/>
  <c r="J693" i="14" s="1"/>
  <c r="N694" i="14"/>
  <c r="M697" i="13"/>
  <c r="N695" i="13"/>
  <c r="J694" i="13" a="1"/>
  <c r="J694" i="13" s="1"/>
  <c r="K556" i="14"/>
  <c r="L556" i="14" s="1"/>
  <c r="I557" i="14" s="1"/>
  <c r="K537" i="13" l="1"/>
  <c r="L537" i="13" s="1"/>
  <c r="I538" i="13" s="1"/>
  <c r="K557" i="14"/>
  <c r="L557" i="14" s="1"/>
  <c r="I558" i="14" s="1"/>
  <c r="M699" i="14"/>
  <c r="N696" i="13"/>
  <c r="J695" i="13" a="1"/>
  <c r="J695" i="13" s="1"/>
  <c r="M698" i="13"/>
  <c r="N695" i="14"/>
  <c r="J694" i="14" a="1"/>
  <c r="J694" i="14" s="1"/>
  <c r="K538" i="13" l="1"/>
  <c r="K558" i="14"/>
  <c r="L558" i="14" s="1"/>
  <c r="I559" i="14" s="1"/>
  <c r="N696" i="14"/>
  <c r="J695" i="14" a="1"/>
  <c r="J695" i="14" s="1"/>
  <c r="N697" i="13"/>
  <c r="J696" i="13" a="1"/>
  <c r="J696" i="13" s="1"/>
  <c r="M699" i="13"/>
  <c r="M700" i="14"/>
  <c r="L538" i="13" l="1"/>
  <c r="I539" i="13" s="1"/>
  <c r="K559" i="14"/>
  <c r="L559" i="14" s="1"/>
  <c r="I560" i="14" s="1"/>
  <c r="N697" i="14"/>
  <c r="J696" i="14" a="1"/>
  <c r="J696" i="14" s="1"/>
  <c r="M700" i="13"/>
  <c r="M701" i="14"/>
  <c r="N698" i="13"/>
  <c r="J697" i="13" a="1"/>
  <c r="J697" i="13" s="1"/>
  <c r="K539" i="13" l="1"/>
  <c r="L539" i="13" s="1"/>
  <c r="I540" i="13" s="1"/>
  <c r="M701" i="13"/>
  <c r="N699" i="13"/>
  <c r="J698" i="13" a="1"/>
  <c r="J698" i="13" s="1"/>
  <c r="N698" i="14"/>
  <c r="J697" i="14" a="1"/>
  <c r="J697" i="14" s="1"/>
  <c r="M702" i="14"/>
  <c r="K560" i="14"/>
  <c r="K540" i="13" l="1"/>
  <c r="L540" i="13" s="1"/>
  <c r="I541" i="13" s="1"/>
  <c r="M703" i="14"/>
  <c r="N700" i="13"/>
  <c r="J699" i="13" a="1"/>
  <c r="J699" i="13" s="1"/>
  <c r="L560" i="14"/>
  <c r="I561" i="14" s="1"/>
  <c r="M702" i="13"/>
  <c r="N699" i="14"/>
  <c r="J698" i="14" a="1"/>
  <c r="J698" i="14" s="1"/>
  <c r="K541" i="13" l="1"/>
  <c r="L541" i="13" s="1"/>
  <c r="I542" i="13" s="1"/>
  <c r="N701" i="13"/>
  <c r="J700" i="13" a="1"/>
  <c r="J700" i="13" s="1"/>
  <c r="N700" i="14"/>
  <c r="J699" i="14" a="1"/>
  <c r="J699" i="14" s="1"/>
  <c r="M704" i="14"/>
  <c r="M703" i="13"/>
  <c r="K561" i="14"/>
  <c r="L561" i="14" s="1"/>
  <c r="I562" i="14" s="1"/>
  <c r="K542" i="13" l="1"/>
  <c r="L542" i="13" s="1"/>
  <c r="I543" i="13" s="1"/>
  <c r="K562" i="14"/>
  <c r="L562" i="14" s="1"/>
  <c r="I563" i="14" s="1"/>
  <c r="N702" i="13"/>
  <c r="J701" i="13" a="1"/>
  <c r="J701" i="13" s="1"/>
  <c r="M705" i="14"/>
  <c r="M704" i="13"/>
  <c r="N701" i="14"/>
  <c r="J700" i="14" a="1"/>
  <c r="J700" i="14" s="1"/>
  <c r="K543" i="13" l="1"/>
  <c r="L543" i="13" s="1"/>
  <c r="I544" i="13" s="1"/>
  <c r="K563" i="14"/>
  <c r="L563" i="14" s="1"/>
  <c r="I564" i="14" s="1"/>
  <c r="N702" i="14"/>
  <c r="J701" i="14" a="1"/>
  <c r="J701" i="14" s="1"/>
  <c r="M706" i="14"/>
  <c r="M705" i="13"/>
  <c r="N703" i="13"/>
  <c r="J702" i="13" a="1"/>
  <c r="J702" i="13" s="1"/>
  <c r="K544" i="13" l="1"/>
  <c r="L544" i="13" s="1"/>
  <c r="I545" i="13" s="1"/>
  <c r="K564" i="14"/>
  <c r="L564" i="14" s="1"/>
  <c r="I565" i="14" s="1"/>
  <c r="N704" i="13"/>
  <c r="J703" i="13" a="1"/>
  <c r="J703" i="13" s="1"/>
  <c r="M707" i="14"/>
  <c r="M706" i="13"/>
  <c r="N703" i="14"/>
  <c r="J702" i="14" a="1"/>
  <c r="J702" i="14" s="1"/>
  <c r="K545" i="13" l="1"/>
  <c r="L545" i="13" s="1"/>
  <c r="I546" i="13" s="1"/>
  <c r="K565" i="14"/>
  <c r="L565" i="14" s="1"/>
  <c r="I566" i="14" s="1"/>
  <c r="M708" i="14"/>
  <c r="N704" i="14"/>
  <c r="J703" i="14" a="1"/>
  <c r="J703" i="14" s="1"/>
  <c r="M707" i="13"/>
  <c r="N705" i="13"/>
  <c r="J704" i="13" a="1"/>
  <c r="J704" i="13" s="1"/>
  <c r="K546" i="13" l="1"/>
  <c r="L546" i="13" s="1"/>
  <c r="I547" i="13" s="1"/>
  <c r="K566" i="14"/>
  <c r="L566" i="14" s="1"/>
  <c r="I567" i="14" s="1"/>
  <c r="N705" i="14"/>
  <c r="J704" i="14" a="1"/>
  <c r="J704" i="14" s="1"/>
  <c r="N706" i="13"/>
  <c r="J705" i="13" a="1"/>
  <c r="J705" i="13" s="1"/>
  <c r="M708" i="13"/>
  <c r="M709" i="14"/>
  <c r="K547" i="13" l="1"/>
  <c r="L547" i="13" s="1"/>
  <c r="I548" i="13" s="1"/>
  <c r="K567" i="14"/>
  <c r="L567" i="14" s="1"/>
  <c r="I568" i="14" s="1"/>
  <c r="M709" i="13"/>
  <c r="M710" i="14"/>
  <c r="N707" i="13"/>
  <c r="J706" i="13" a="1"/>
  <c r="J706" i="13" s="1"/>
  <c r="N706" i="14"/>
  <c r="J705" i="14" a="1"/>
  <c r="J705" i="14" s="1"/>
  <c r="K548" i="13" l="1"/>
  <c r="K568" i="14"/>
  <c r="L568" i="14" s="1"/>
  <c r="I569" i="14" s="1"/>
  <c r="M710" i="13"/>
  <c r="N707" i="14"/>
  <c r="J706" i="14" a="1"/>
  <c r="J706" i="14" s="1"/>
  <c r="M711" i="14"/>
  <c r="N708" i="13"/>
  <c r="J707" i="13" a="1"/>
  <c r="J707" i="13" s="1"/>
  <c r="L548" i="13" l="1"/>
  <c r="I549" i="13" s="1"/>
  <c r="K569" i="14"/>
  <c r="L569" i="14" s="1"/>
  <c r="I570" i="14" s="1"/>
  <c r="N708" i="14"/>
  <c r="J707" i="14" a="1"/>
  <c r="J707" i="14" s="1"/>
  <c r="N709" i="13"/>
  <c r="J708" i="13" a="1"/>
  <c r="J708" i="13" s="1"/>
  <c r="M712" i="14"/>
  <c r="M711" i="13"/>
  <c r="K549" i="13" l="1"/>
  <c r="K570" i="14"/>
  <c r="L570" i="14" s="1"/>
  <c r="I571" i="14" s="1"/>
  <c r="M712" i="13"/>
  <c r="N710" i="13"/>
  <c r="J709" i="13" a="1"/>
  <c r="J709" i="13" s="1"/>
  <c r="N709" i="14"/>
  <c r="J708" i="14" a="1"/>
  <c r="J708" i="14" s="1"/>
  <c r="M713" i="14"/>
  <c r="L549" i="13" l="1"/>
  <c r="I550" i="13" s="1"/>
  <c r="K571" i="14"/>
  <c r="L571" i="14" s="1"/>
  <c r="I572" i="14" s="1"/>
  <c r="N710" i="14"/>
  <c r="J709" i="14" a="1"/>
  <c r="J709" i="14" s="1"/>
  <c r="M714" i="14"/>
  <c r="N711" i="13"/>
  <c r="J710" i="13" a="1"/>
  <c r="J710" i="13" s="1"/>
  <c r="M713" i="13"/>
  <c r="K550" i="13" l="1"/>
  <c r="L550" i="13" s="1"/>
  <c r="I551" i="13" s="1"/>
  <c r="K572" i="14"/>
  <c r="M715" i="14"/>
  <c r="N712" i="13"/>
  <c r="J711" i="13" a="1"/>
  <c r="J711" i="13" s="1"/>
  <c r="M714" i="13"/>
  <c r="N711" i="14"/>
  <c r="J710" i="14" a="1"/>
  <c r="J710" i="14" s="1"/>
  <c r="K551" i="13" l="1"/>
  <c r="L551" i="13" s="1"/>
  <c r="I552" i="13" s="1"/>
  <c r="L572" i="14"/>
  <c r="I573" i="14" s="1"/>
  <c r="N712" i="14"/>
  <c r="J711" i="14" a="1"/>
  <c r="J711" i="14" s="1"/>
  <c r="M715" i="13"/>
  <c r="N713" i="13"/>
  <c r="J712" i="13" a="1"/>
  <c r="J712" i="13" s="1"/>
  <c r="M716" i="14"/>
  <c r="K552" i="13" l="1"/>
  <c r="L552" i="13" s="1"/>
  <c r="I553" i="13" s="1"/>
  <c r="N714" i="13"/>
  <c r="J713" i="13" a="1"/>
  <c r="J713" i="13" s="1"/>
  <c r="M717" i="14"/>
  <c r="M716" i="13"/>
  <c r="K573" i="14"/>
  <c r="N713" i="14"/>
  <c r="J712" i="14" a="1"/>
  <c r="J712" i="14" s="1"/>
  <c r="K553" i="13" l="1"/>
  <c r="L553" i="13" s="1"/>
  <c r="I554" i="13" s="1"/>
  <c r="M717" i="13"/>
  <c r="N715" i="13"/>
  <c r="J714" i="13" a="1"/>
  <c r="J714" i="13" s="1"/>
  <c r="N714" i="14"/>
  <c r="J713" i="14" a="1"/>
  <c r="J713" i="14" s="1"/>
  <c r="M718" i="14"/>
  <c r="L573" i="14"/>
  <c r="I574" i="14" s="1"/>
  <c r="K554" i="13" l="1"/>
  <c r="L554" i="13" s="1"/>
  <c r="I555" i="13" s="1"/>
  <c r="K574" i="14"/>
  <c r="L574" i="14" s="1"/>
  <c r="I575" i="14" s="1"/>
  <c r="N715" i="14"/>
  <c r="J714" i="14" a="1"/>
  <c r="J714" i="14" s="1"/>
  <c r="M718" i="13"/>
  <c r="M719" i="14"/>
  <c r="N716" i="13"/>
  <c r="J715" i="13" a="1"/>
  <c r="J715" i="13" s="1"/>
  <c r="K555" i="13" l="1"/>
  <c r="L555" i="13" s="1"/>
  <c r="I556" i="13" s="1"/>
  <c r="M719" i="13"/>
  <c r="K575" i="14"/>
  <c r="L575" i="14" s="1"/>
  <c r="I576" i="14" s="1"/>
  <c r="N717" i="13"/>
  <c r="J716" i="13" a="1"/>
  <c r="J716" i="13" s="1"/>
  <c r="M720" i="14"/>
  <c r="N716" i="14"/>
  <c r="J715" i="14" a="1"/>
  <c r="J715" i="14" s="1"/>
  <c r="K556" i="13" l="1"/>
  <c r="L556" i="13" s="1"/>
  <c r="I557" i="13" s="1"/>
  <c r="K576" i="14"/>
  <c r="L576" i="14" s="1"/>
  <c r="I577" i="14" s="1"/>
  <c r="M720" i="13"/>
  <c r="N718" i="13"/>
  <c r="J717" i="13" a="1"/>
  <c r="J717" i="13" s="1"/>
  <c r="M721" i="14"/>
  <c r="N717" i="14"/>
  <c r="J716" i="14" a="1"/>
  <c r="J716" i="14" s="1"/>
  <c r="K557" i="13" l="1"/>
  <c r="L557" i="13" s="1"/>
  <c r="I558" i="13" s="1"/>
  <c r="K577" i="14"/>
  <c r="L577" i="14" s="1"/>
  <c r="I578" i="14" s="1"/>
  <c r="N719" i="13"/>
  <c r="J718" i="13" a="1"/>
  <c r="J718" i="13" s="1"/>
  <c r="N718" i="14"/>
  <c r="J717" i="14" a="1"/>
  <c r="J717" i="14" s="1"/>
  <c r="M722" i="14"/>
  <c r="M721" i="13"/>
  <c r="K558" i="13" l="1"/>
  <c r="L558" i="13" s="1"/>
  <c r="I559" i="13" s="1"/>
  <c r="K578" i="14"/>
  <c r="L578" i="14" s="1"/>
  <c r="I579" i="14" s="1"/>
  <c r="N720" i="13"/>
  <c r="J719" i="13" a="1"/>
  <c r="J719" i="13" s="1"/>
  <c r="M722" i="13"/>
  <c r="N719" i="14"/>
  <c r="J718" i="14" a="1"/>
  <c r="J718" i="14" s="1"/>
  <c r="M723" i="14"/>
  <c r="K559" i="13" l="1"/>
  <c r="L559" i="13" s="1"/>
  <c r="I560" i="13" s="1"/>
  <c r="K579" i="14"/>
  <c r="L579" i="14" s="1"/>
  <c r="I580" i="14" s="1"/>
  <c r="M724" i="14"/>
  <c r="M723" i="13"/>
  <c r="N721" i="13"/>
  <c r="J720" i="13" a="1"/>
  <c r="J720" i="13" s="1"/>
  <c r="N720" i="14"/>
  <c r="J719" i="14" a="1"/>
  <c r="J719" i="14" s="1"/>
  <c r="K560" i="13" l="1"/>
  <c r="K580" i="14"/>
  <c r="L580" i="14" s="1"/>
  <c r="I581" i="14" s="1"/>
  <c r="N721" i="14"/>
  <c r="J720" i="14" a="1"/>
  <c r="J720" i="14" s="1"/>
  <c r="M724" i="13"/>
  <c r="M725" i="14"/>
  <c r="N722" i="13"/>
  <c r="J721" i="13" a="1"/>
  <c r="J721" i="13" s="1"/>
  <c r="L560" i="13" l="1"/>
  <c r="I561" i="13" s="1"/>
  <c r="K581" i="14"/>
  <c r="L581" i="14" s="1"/>
  <c r="I582" i="14" s="1"/>
  <c r="M725" i="13"/>
  <c r="N722" i="14"/>
  <c r="J721" i="14" a="1"/>
  <c r="J721" i="14" s="1"/>
  <c r="N723" i="13"/>
  <c r="J722" i="13" a="1"/>
  <c r="J722" i="13" s="1"/>
  <c r="M726" i="14"/>
  <c r="K561" i="13" l="1"/>
  <c r="K582" i="14"/>
  <c r="L582" i="14" s="1"/>
  <c r="I583" i="14" s="1"/>
  <c r="M726" i="13"/>
  <c r="N724" i="13"/>
  <c r="J723" i="13" a="1"/>
  <c r="J723" i="13" s="1"/>
  <c r="M727" i="14"/>
  <c r="N723" i="14"/>
  <c r="J722" i="14" a="1"/>
  <c r="J722" i="14" s="1"/>
  <c r="L561" i="13" l="1"/>
  <c r="I562" i="13" s="1"/>
  <c r="K583" i="14"/>
  <c r="L583" i="14" s="1"/>
  <c r="I584" i="14" s="1"/>
  <c r="M727" i="13"/>
  <c r="N724" i="14"/>
  <c r="J723" i="14" a="1"/>
  <c r="J723" i="14" s="1"/>
  <c r="M728" i="14"/>
  <c r="N725" i="13"/>
  <c r="J724" i="13" a="1"/>
  <c r="J724" i="13" s="1"/>
  <c r="K562" i="13" l="1"/>
  <c r="L562" i="13" s="1"/>
  <c r="I563" i="13" s="1"/>
  <c r="K584" i="14"/>
  <c r="N726" i="13"/>
  <c r="J725" i="13" a="1"/>
  <c r="J725" i="13" s="1"/>
  <c r="N725" i="14"/>
  <c r="J724" i="14" a="1"/>
  <c r="J724" i="14" s="1"/>
  <c r="M729" i="14"/>
  <c r="M728" i="13"/>
  <c r="K563" i="13" l="1"/>
  <c r="L563" i="13" s="1"/>
  <c r="I564" i="13" s="1"/>
  <c r="M729" i="13"/>
  <c r="N726" i="14"/>
  <c r="J725" i="14" a="1"/>
  <c r="J725" i="14" s="1"/>
  <c r="L584" i="14"/>
  <c r="I585" i="14" s="1"/>
  <c r="M730" i="14"/>
  <c r="N727" i="13"/>
  <c r="J726" i="13" a="1"/>
  <c r="J726" i="13" s="1"/>
  <c r="K564" i="13" l="1"/>
  <c r="L564" i="13" s="1"/>
  <c r="I565" i="13" s="1"/>
  <c r="K585" i="14"/>
  <c r="N728" i="13"/>
  <c r="J727" i="13" a="1"/>
  <c r="J727" i="13" s="1"/>
  <c r="M731" i="14"/>
  <c r="N727" i="14"/>
  <c r="J726" i="14" a="1"/>
  <c r="J726" i="14" s="1"/>
  <c r="M730" i="13"/>
  <c r="K565" i="13" l="1"/>
  <c r="L565" i="13" s="1"/>
  <c r="I566" i="13" s="1"/>
  <c r="M731" i="13"/>
  <c r="M732" i="14"/>
  <c r="L585" i="14"/>
  <c r="I586" i="14" s="1"/>
  <c r="N728" i="14"/>
  <c r="J727" i="14" a="1"/>
  <c r="J727" i="14" s="1"/>
  <c r="N729" i="13"/>
  <c r="J728" i="13" a="1"/>
  <c r="J728" i="13" s="1"/>
  <c r="K566" i="13" l="1"/>
  <c r="L566" i="13" s="1"/>
  <c r="I567" i="13" s="1"/>
  <c r="K586" i="14"/>
  <c r="L586" i="14" s="1"/>
  <c r="I587" i="14" s="1"/>
  <c r="N730" i="13"/>
  <c r="J729" i="13" a="1"/>
  <c r="J729" i="13" s="1"/>
  <c r="M733" i="14"/>
  <c r="N729" i="14"/>
  <c r="J728" i="14" a="1"/>
  <c r="J728" i="14" s="1"/>
  <c r="M732" i="13"/>
  <c r="K567" i="13" l="1"/>
  <c r="L567" i="13" s="1"/>
  <c r="I568" i="13" s="1"/>
  <c r="K587" i="14"/>
  <c r="L587" i="14" s="1"/>
  <c r="I588" i="14" s="1"/>
  <c r="N730" i="14"/>
  <c r="J729" i="14" a="1"/>
  <c r="J729" i="14" s="1"/>
  <c r="M733" i="13"/>
  <c r="M734" i="14"/>
  <c r="N731" i="13"/>
  <c r="J730" i="13" a="1"/>
  <c r="J730" i="13" s="1"/>
  <c r="K568" i="13" l="1"/>
  <c r="L568" i="13" s="1"/>
  <c r="I569" i="13" s="1"/>
  <c r="K588" i="14"/>
  <c r="L588" i="14" s="1"/>
  <c r="I589" i="14" s="1"/>
  <c r="M734" i="13"/>
  <c r="N732" i="13"/>
  <c r="J731" i="13" a="1"/>
  <c r="J731" i="13" s="1"/>
  <c r="M735" i="14"/>
  <c r="N731" i="14"/>
  <c r="J730" i="14" a="1"/>
  <c r="J730" i="14" s="1"/>
  <c r="K569" i="13" l="1"/>
  <c r="L569" i="13" s="1"/>
  <c r="I570" i="13" s="1"/>
  <c r="K589" i="14"/>
  <c r="L589" i="14" s="1"/>
  <c r="I590" i="14" s="1"/>
  <c r="N732" i="14"/>
  <c r="J731" i="14" a="1"/>
  <c r="J731" i="14" s="1"/>
  <c r="M736" i="14"/>
  <c r="N733" i="13"/>
  <c r="J732" i="13" a="1"/>
  <c r="J732" i="13" s="1"/>
  <c r="M735" i="13"/>
  <c r="K570" i="13" l="1"/>
  <c r="L570" i="13" s="1"/>
  <c r="I571" i="13" s="1"/>
  <c r="K590" i="14"/>
  <c r="L590" i="14" s="1"/>
  <c r="I591" i="14" s="1"/>
  <c r="M737" i="14"/>
  <c r="M736" i="13"/>
  <c r="N734" i="13"/>
  <c r="J733" i="13" a="1"/>
  <c r="J733" i="13" s="1"/>
  <c r="N733" i="14"/>
  <c r="J732" i="14" a="1"/>
  <c r="J732" i="14" s="1"/>
  <c r="K571" i="13" l="1"/>
  <c r="L571" i="13" s="1"/>
  <c r="I572" i="13" s="1"/>
  <c r="K591" i="14"/>
  <c r="L591" i="14" s="1"/>
  <c r="I592" i="14" s="1"/>
  <c r="M737" i="13"/>
  <c r="M738" i="14"/>
  <c r="N734" i="14"/>
  <c r="J733" i="14" a="1"/>
  <c r="J733" i="14" s="1"/>
  <c r="N735" i="13"/>
  <c r="J734" i="13" a="1"/>
  <c r="J734" i="13" s="1"/>
  <c r="K572" i="13" l="1"/>
  <c r="L572" i="13" s="1"/>
  <c r="I573" i="13" s="1"/>
  <c r="M738" i="13"/>
  <c r="N735" i="14"/>
  <c r="J734" i="14" a="1"/>
  <c r="J734" i="14" s="1"/>
  <c r="M739" i="14"/>
  <c r="N736" i="13"/>
  <c r="J735" i="13" a="1"/>
  <c r="J735" i="13" s="1"/>
  <c r="K592" i="14"/>
  <c r="L592" i="14" s="1"/>
  <c r="I593" i="14" s="1"/>
  <c r="K573" i="13" l="1"/>
  <c r="L573" i="13" s="1"/>
  <c r="I574" i="13" s="1"/>
  <c r="K593" i="14"/>
  <c r="L593" i="14" s="1"/>
  <c r="I594" i="14" s="1"/>
  <c r="N737" i="13"/>
  <c r="J736" i="13" a="1"/>
  <c r="J736" i="13" s="1"/>
  <c r="N736" i="14"/>
  <c r="J735" i="14" a="1"/>
  <c r="J735" i="14" s="1"/>
  <c r="M740" i="14"/>
  <c r="M739" i="13"/>
  <c r="K574" i="13" l="1"/>
  <c r="N737" i="14"/>
  <c r="J736" i="14" a="1"/>
  <c r="J736" i="14" s="1"/>
  <c r="M740" i="13"/>
  <c r="M741" i="14"/>
  <c r="N738" i="13"/>
  <c r="J737" i="13" a="1"/>
  <c r="J737" i="13" s="1"/>
  <c r="K594" i="14"/>
  <c r="L594" i="14" s="1"/>
  <c r="I595" i="14" s="1"/>
  <c r="L574" i="13" l="1"/>
  <c r="I575" i="13" s="1"/>
  <c r="K595" i="14"/>
  <c r="L595" i="14" s="1"/>
  <c r="I596" i="14" s="1"/>
  <c r="M742" i="14"/>
  <c r="N739" i="13"/>
  <c r="J738" i="13" a="1"/>
  <c r="J738" i="13" s="1"/>
  <c r="M741" i="13"/>
  <c r="N738" i="14"/>
  <c r="J737" i="14" a="1"/>
  <c r="J737" i="14" s="1"/>
  <c r="K575" i="13" l="1"/>
  <c r="L575" i="13" s="1"/>
  <c r="I576" i="13" s="1"/>
  <c r="K596" i="14"/>
  <c r="N740" i="13"/>
  <c r="J739" i="13" a="1"/>
  <c r="J739" i="13" s="1"/>
  <c r="M743" i="14"/>
  <c r="M742" i="13"/>
  <c r="N739" i="14"/>
  <c r="J738" i="14" a="1"/>
  <c r="J738" i="14" s="1"/>
  <c r="K576" i="13" l="1"/>
  <c r="L576" i="13" s="1"/>
  <c r="I577" i="13" s="1"/>
  <c r="N740" i="14"/>
  <c r="J739" i="14" a="1"/>
  <c r="J739" i="14" s="1"/>
  <c r="L596" i="14"/>
  <c r="I597" i="14" s="1"/>
  <c r="M744" i="14"/>
  <c r="M743" i="13"/>
  <c r="N741" i="13"/>
  <c r="J740" i="13" a="1"/>
  <c r="J740" i="13" s="1"/>
  <c r="K577" i="13" l="1"/>
  <c r="L577" i="13" s="1"/>
  <c r="I578" i="13" s="1"/>
  <c r="M745" i="14"/>
  <c r="N741" i="14"/>
  <c r="J740" i="14" a="1"/>
  <c r="J740" i="14" s="1"/>
  <c r="N742" i="13"/>
  <c r="J741" i="13" a="1"/>
  <c r="J741" i="13" s="1"/>
  <c r="M744" i="13"/>
  <c r="K597" i="14"/>
  <c r="L597" i="14" s="1"/>
  <c r="I598" i="14" s="1"/>
  <c r="K578" i="13" l="1"/>
  <c r="L578" i="13" s="1"/>
  <c r="I579" i="13" s="1"/>
  <c r="K598" i="14"/>
  <c r="L598" i="14" s="1"/>
  <c r="I599" i="14" s="1"/>
  <c r="N743" i="13"/>
  <c r="J742" i="13" a="1"/>
  <c r="J742" i="13" s="1"/>
  <c r="M745" i="13"/>
  <c r="N742" i="14"/>
  <c r="J741" i="14" a="1"/>
  <c r="J741" i="14" s="1"/>
  <c r="M746" i="14"/>
  <c r="K579" i="13" l="1"/>
  <c r="L579" i="13" s="1"/>
  <c r="I580" i="13" s="1"/>
  <c r="K599" i="14"/>
  <c r="L599" i="14" s="1"/>
  <c r="I600" i="14" s="1"/>
  <c r="M747" i="14"/>
  <c r="N743" i="14"/>
  <c r="J742" i="14" a="1"/>
  <c r="J742" i="14" s="1"/>
  <c r="N744" i="13"/>
  <c r="J743" i="13" a="1"/>
  <c r="J743" i="13" s="1"/>
  <c r="M746" i="13"/>
  <c r="K580" i="13" l="1"/>
  <c r="L580" i="13" s="1"/>
  <c r="I581" i="13" s="1"/>
  <c r="K600" i="14"/>
  <c r="L600" i="14" s="1"/>
  <c r="I601" i="14" s="1"/>
  <c r="N744" i="14"/>
  <c r="J743" i="14" a="1"/>
  <c r="J743" i="14" s="1"/>
  <c r="M748" i="14"/>
  <c r="N745" i="13"/>
  <c r="J744" i="13" a="1"/>
  <c r="J744" i="13" s="1"/>
  <c r="M747" i="13"/>
  <c r="K581" i="13" l="1"/>
  <c r="L581" i="13" s="1"/>
  <c r="I582" i="13" s="1"/>
  <c r="N745" i="14"/>
  <c r="J744" i="14" a="1"/>
  <c r="J744" i="14" s="1"/>
  <c r="M748" i="13"/>
  <c r="N746" i="13"/>
  <c r="J745" i="13" a="1"/>
  <c r="J745" i="13" s="1"/>
  <c r="M749" i="14"/>
  <c r="K601" i="14"/>
  <c r="L601" i="14" s="1"/>
  <c r="I602" i="14" s="1"/>
  <c r="K582" i="13" l="1"/>
  <c r="L582" i="13" s="1"/>
  <c r="I583" i="13" s="1"/>
  <c r="K602" i="14"/>
  <c r="L602" i="14" s="1"/>
  <c r="I603" i="14" s="1"/>
  <c r="N747" i="13"/>
  <c r="J746" i="13" a="1"/>
  <c r="J746" i="13" s="1"/>
  <c r="M750" i="14"/>
  <c r="M749" i="13"/>
  <c r="N746" i="14"/>
  <c r="J745" i="14" a="1"/>
  <c r="J745" i="14" s="1"/>
  <c r="K583" i="13" l="1"/>
  <c r="L583" i="13" s="1"/>
  <c r="I584" i="13" s="1"/>
  <c r="K603" i="14"/>
  <c r="L603" i="14" s="1"/>
  <c r="I604" i="14" s="1"/>
  <c r="M751" i="14"/>
  <c r="N747" i="14"/>
  <c r="J746" i="14" a="1"/>
  <c r="J746" i="14" s="1"/>
  <c r="M750" i="13"/>
  <c r="N748" i="13"/>
  <c r="J747" i="13" a="1"/>
  <c r="J747" i="13" s="1"/>
  <c r="K584" i="13" l="1"/>
  <c r="K604" i="14"/>
  <c r="L604" i="14" s="1"/>
  <c r="I605" i="14" s="1"/>
  <c r="N749" i="13"/>
  <c r="J748" i="13" a="1"/>
  <c r="J748" i="13" s="1"/>
  <c r="N748" i="14"/>
  <c r="J747" i="14" a="1"/>
  <c r="J747" i="14" s="1"/>
  <c r="M751" i="13"/>
  <c r="M752" i="14"/>
  <c r="L584" i="13" l="1"/>
  <c r="I585" i="13" s="1"/>
  <c r="K605" i="14"/>
  <c r="L605" i="14" s="1"/>
  <c r="I606" i="14" s="1"/>
  <c r="M753" i="14"/>
  <c r="M752" i="13"/>
  <c r="N750" i="13"/>
  <c r="J749" i="13" a="1"/>
  <c r="J749" i="13" s="1"/>
  <c r="N749" i="14"/>
  <c r="J748" i="14" a="1"/>
  <c r="J748" i="14" s="1"/>
  <c r="K585" i="13" l="1"/>
  <c r="L585" i="13" s="1"/>
  <c r="I586" i="13" s="1"/>
  <c r="K606" i="14"/>
  <c r="L606" i="14" s="1"/>
  <c r="I607" i="14" s="1"/>
  <c r="M754" i="14"/>
  <c r="N750" i="14"/>
  <c r="J749" i="14" a="1"/>
  <c r="J749" i="14" s="1"/>
  <c r="M753" i="13"/>
  <c r="N751" i="13"/>
  <c r="J750" i="13" a="1"/>
  <c r="J750" i="13" s="1"/>
  <c r="K586" i="13" l="1"/>
  <c r="L586" i="13" s="1"/>
  <c r="I587" i="13" s="1"/>
  <c r="K607" i="14"/>
  <c r="L607" i="14" s="1"/>
  <c r="I608" i="14" s="1"/>
  <c r="N752" i="13"/>
  <c r="J751" i="13" a="1"/>
  <c r="J751" i="13" s="1"/>
  <c r="N751" i="14"/>
  <c r="J750" i="14" a="1"/>
  <c r="J750" i="14" s="1"/>
  <c r="M754" i="13"/>
  <c r="M755" i="14"/>
  <c r="K587" i="13" l="1"/>
  <c r="L587" i="13" s="1"/>
  <c r="I588" i="13" s="1"/>
  <c r="K608" i="14"/>
  <c r="M755" i="13"/>
  <c r="M756" i="14"/>
  <c r="N752" i="14"/>
  <c r="J751" i="14" a="1"/>
  <c r="J751" i="14" s="1"/>
  <c r="N753" i="13"/>
  <c r="J752" i="13" a="1"/>
  <c r="J752" i="13" s="1"/>
  <c r="K588" i="13" l="1"/>
  <c r="L588" i="13" s="1"/>
  <c r="I589" i="13" s="1"/>
  <c r="M757" i="14"/>
  <c r="N754" i="13"/>
  <c r="J753" i="13" a="1"/>
  <c r="J753" i="13" s="1"/>
  <c r="M756" i="13"/>
  <c r="N753" i="14"/>
  <c r="J752" i="14" a="1"/>
  <c r="J752" i="14" s="1"/>
  <c r="L608" i="14"/>
  <c r="I609" i="14" s="1"/>
  <c r="K589" i="13" l="1"/>
  <c r="L589" i="13" s="1"/>
  <c r="I590" i="13" s="1"/>
  <c r="N754" i="14"/>
  <c r="J753" i="14" a="1"/>
  <c r="J753" i="14" s="1"/>
  <c r="M757" i="13"/>
  <c r="N755" i="13"/>
  <c r="J754" i="13" a="1"/>
  <c r="J754" i="13" s="1"/>
  <c r="K609" i="14"/>
  <c r="M758" i="14"/>
  <c r="K590" i="13" l="1"/>
  <c r="L590" i="13" s="1"/>
  <c r="I591" i="13" s="1"/>
  <c r="M758" i="13"/>
  <c r="L609" i="14"/>
  <c r="I610" i="14" s="1"/>
  <c r="N756" i="13"/>
  <c r="J755" i="13" a="1"/>
  <c r="J755" i="13" s="1"/>
  <c r="N755" i="14"/>
  <c r="J754" i="14" a="1"/>
  <c r="J754" i="14" s="1"/>
  <c r="M759" i="14"/>
  <c r="K591" i="13" l="1"/>
  <c r="L591" i="13" s="1"/>
  <c r="I592" i="13" s="1"/>
  <c r="N756" i="14"/>
  <c r="J755" i="14" a="1"/>
  <c r="J755" i="14" s="1"/>
  <c r="K610" i="14"/>
  <c r="L610" i="14" s="1"/>
  <c r="I611" i="14" s="1"/>
  <c r="M760" i="14"/>
  <c r="M759" i="13"/>
  <c r="N757" i="13"/>
  <c r="J756" i="13" a="1"/>
  <c r="J756" i="13" s="1"/>
  <c r="K592" i="13" l="1"/>
  <c r="L592" i="13" s="1"/>
  <c r="I593" i="13" s="1"/>
  <c r="M761" i="14"/>
  <c r="M760" i="13"/>
  <c r="K611" i="14"/>
  <c r="L611" i="14" s="1"/>
  <c r="I612" i="14" s="1"/>
  <c r="N758" i="13"/>
  <c r="J757" i="13" a="1"/>
  <c r="J757" i="13" s="1"/>
  <c r="N757" i="14"/>
  <c r="J756" i="14" a="1"/>
  <c r="J756" i="14" s="1"/>
  <c r="K593" i="13" l="1"/>
  <c r="L593" i="13" s="1"/>
  <c r="I594" i="13" s="1"/>
  <c r="K612" i="14"/>
  <c r="L612" i="14" s="1"/>
  <c r="I613" i="14" s="1"/>
  <c r="M761" i="13"/>
  <c r="N758" i="14"/>
  <c r="J757" i="14" a="1"/>
  <c r="J757" i="14" s="1"/>
  <c r="M762" i="14"/>
  <c r="N759" i="13"/>
  <c r="J758" i="13" a="1"/>
  <c r="J758" i="13" s="1"/>
  <c r="K594" i="13" l="1"/>
  <c r="L594" i="13" s="1"/>
  <c r="I595" i="13" s="1"/>
  <c r="K613" i="14"/>
  <c r="L613" i="14" s="1"/>
  <c r="I614" i="14" s="1"/>
  <c r="M762" i="13"/>
  <c r="N760" i="13"/>
  <c r="J759" i="13" a="1"/>
  <c r="J759" i="13" s="1"/>
  <c r="N759" i="14"/>
  <c r="J758" i="14" a="1"/>
  <c r="J758" i="14" s="1"/>
  <c r="M763" i="14"/>
  <c r="K595" i="13" l="1"/>
  <c r="L595" i="13" s="1"/>
  <c r="I596" i="13" s="1"/>
  <c r="M763" i="13"/>
  <c r="M764" i="14"/>
  <c r="N761" i="13"/>
  <c r="J760" i="13" a="1"/>
  <c r="J760" i="13" s="1"/>
  <c r="K614" i="14"/>
  <c r="L614" i="14" s="1"/>
  <c r="I615" i="14" s="1"/>
  <c r="N760" i="14"/>
  <c r="J759" i="14" a="1"/>
  <c r="J759" i="14" s="1"/>
  <c r="K596" i="13" l="1"/>
  <c r="K615" i="14"/>
  <c r="L615" i="14" s="1"/>
  <c r="I616" i="14" s="1"/>
  <c r="M764" i="13"/>
  <c r="N762" i="13"/>
  <c r="J761" i="13" a="1"/>
  <c r="J761" i="13" s="1"/>
  <c r="N761" i="14"/>
  <c r="J760" i="14" a="1"/>
  <c r="J760" i="14" s="1"/>
  <c r="M765" i="14"/>
  <c r="L596" i="13" l="1"/>
  <c r="I597" i="13" s="1"/>
  <c r="N762" i="14"/>
  <c r="J761" i="14" a="1"/>
  <c r="J761" i="14" s="1"/>
  <c r="M765" i="13"/>
  <c r="M766" i="14"/>
  <c r="N763" i="13"/>
  <c r="J762" i="13" a="1"/>
  <c r="J762" i="13" s="1"/>
  <c r="K616" i="14"/>
  <c r="L616" i="14" s="1"/>
  <c r="I617" i="14" s="1"/>
  <c r="K597" i="13" l="1"/>
  <c r="K617" i="14"/>
  <c r="L617" i="14" s="1"/>
  <c r="I618" i="14" s="1"/>
  <c r="M767" i="14"/>
  <c r="N763" i="14"/>
  <c r="J762" i="14" a="1"/>
  <c r="J762" i="14" s="1"/>
  <c r="M766" i="13"/>
  <c r="N764" i="13"/>
  <c r="J763" i="13" a="1"/>
  <c r="J763" i="13" s="1"/>
  <c r="L597" i="13" l="1"/>
  <c r="I598" i="13" s="1"/>
  <c r="K618" i="14"/>
  <c r="L618" i="14" s="1"/>
  <c r="I619" i="14" s="1"/>
  <c r="M768" i="14"/>
  <c r="N765" i="13"/>
  <c r="J764" i="13" a="1"/>
  <c r="J764" i="13" s="1"/>
  <c r="M767" i="13"/>
  <c r="N764" i="14"/>
  <c r="J763" i="14" a="1"/>
  <c r="J763" i="14" s="1"/>
  <c r="K598" i="13" l="1"/>
  <c r="L598" i="13" s="1"/>
  <c r="I599" i="13" s="1"/>
  <c r="K619" i="14"/>
  <c r="L619" i="14" s="1"/>
  <c r="I620" i="14" s="1"/>
  <c r="M769" i="14"/>
  <c r="N766" i="13"/>
  <c r="J765" i="13" a="1"/>
  <c r="J765" i="13" s="1"/>
  <c r="N765" i="14"/>
  <c r="J764" i="14" a="1"/>
  <c r="J764" i="14" s="1"/>
  <c r="M768" i="13"/>
  <c r="K599" i="13" l="1"/>
  <c r="L599" i="13" s="1"/>
  <c r="I600" i="13" s="1"/>
  <c r="K620" i="14"/>
  <c r="N767" i="13"/>
  <c r="J766" i="13" a="1"/>
  <c r="J766" i="13" s="1"/>
  <c r="M770" i="14"/>
  <c r="M769" i="13"/>
  <c r="N766" i="14"/>
  <c r="J765" i="14" a="1"/>
  <c r="J765" i="14" s="1"/>
  <c r="K600" i="13" l="1"/>
  <c r="L600" i="13" s="1"/>
  <c r="I601" i="13" s="1"/>
  <c r="M770" i="13"/>
  <c r="N767" i="14"/>
  <c r="J766" i="14" a="1"/>
  <c r="J766" i="14" s="1"/>
  <c r="M771" i="14"/>
  <c r="N768" i="13"/>
  <c r="J767" i="13" a="1"/>
  <c r="J767" i="13" s="1"/>
  <c r="L620" i="14"/>
  <c r="I621" i="14" s="1"/>
  <c r="K601" i="13" l="1"/>
  <c r="L601" i="13" s="1"/>
  <c r="I602" i="13" s="1"/>
  <c r="M771" i="13"/>
  <c r="N769" i="13"/>
  <c r="J768" i="13" a="1"/>
  <c r="J768" i="13" s="1"/>
  <c r="M772" i="14"/>
  <c r="K621" i="14"/>
  <c r="L621" i="14" s="1"/>
  <c r="I622" i="14" s="1"/>
  <c r="N768" i="14"/>
  <c r="J767" i="14" a="1"/>
  <c r="J767" i="14" s="1"/>
  <c r="K602" i="13" l="1"/>
  <c r="L602" i="13" s="1"/>
  <c r="I603" i="13" s="1"/>
  <c r="K622" i="14"/>
  <c r="L622" i="14" s="1"/>
  <c r="I623" i="14" s="1"/>
  <c r="M773" i="14"/>
  <c r="N769" i="14"/>
  <c r="J768" i="14" a="1"/>
  <c r="J768" i="14" s="1"/>
  <c r="M772" i="13"/>
  <c r="N770" i="13"/>
  <c r="J769" i="13" a="1"/>
  <c r="J769" i="13" s="1"/>
  <c r="K603" i="13" l="1"/>
  <c r="L603" i="13" s="1"/>
  <c r="I604" i="13" s="1"/>
  <c r="K623" i="14"/>
  <c r="L623" i="14" s="1"/>
  <c r="I624" i="14" s="1"/>
  <c r="N771" i="13"/>
  <c r="J770" i="13" a="1"/>
  <c r="J770" i="13" s="1"/>
  <c r="N770" i="14"/>
  <c r="J769" i="14" a="1"/>
  <c r="J769" i="14" s="1"/>
  <c r="M773" i="13"/>
  <c r="M774" i="14"/>
  <c r="K604" i="13" l="1"/>
  <c r="L604" i="13" s="1"/>
  <c r="I605" i="13" s="1"/>
  <c r="K624" i="14"/>
  <c r="L624" i="14" s="1"/>
  <c r="I625" i="14" s="1"/>
  <c r="M774" i="13"/>
  <c r="M775" i="14"/>
  <c r="N772" i="13"/>
  <c r="J771" i="13" a="1"/>
  <c r="J771" i="13" s="1"/>
  <c r="N771" i="14"/>
  <c r="J770" i="14" a="1"/>
  <c r="J770" i="14" s="1"/>
  <c r="K605" i="13" l="1"/>
  <c r="L605" i="13" s="1"/>
  <c r="I606" i="13" s="1"/>
  <c r="M776" i="14"/>
  <c r="M775" i="13"/>
  <c r="N772" i="14"/>
  <c r="J771" i="14" a="1"/>
  <c r="J771" i="14" s="1"/>
  <c r="K625" i="14"/>
  <c r="L625" i="14" s="1"/>
  <c r="I626" i="14" s="1"/>
  <c r="N773" i="13"/>
  <c r="J772" i="13" a="1"/>
  <c r="J772" i="13" s="1"/>
  <c r="K606" i="13" l="1"/>
  <c r="L606" i="13" s="1"/>
  <c r="I607" i="13" s="1"/>
  <c r="K626" i="14"/>
  <c r="L626" i="14" s="1"/>
  <c r="I627" i="14" s="1"/>
  <c r="M777" i="14"/>
  <c r="N773" i="14"/>
  <c r="J772" i="14" a="1"/>
  <c r="J772" i="14" s="1"/>
  <c r="N774" i="13"/>
  <c r="J773" i="13" a="1"/>
  <c r="J773" i="13" s="1"/>
  <c r="M776" i="13"/>
  <c r="K607" i="13" l="1"/>
  <c r="L607" i="13" s="1"/>
  <c r="I608" i="13" s="1"/>
  <c r="K627" i="14"/>
  <c r="L627" i="14" s="1"/>
  <c r="I628" i="14" s="1"/>
  <c r="N774" i="14"/>
  <c r="J773" i="14" a="1"/>
  <c r="J773" i="14" s="1"/>
  <c r="M778" i="14"/>
  <c r="M777" i="13"/>
  <c r="N775" i="13"/>
  <c r="J774" i="13" a="1"/>
  <c r="J774" i="13" s="1"/>
  <c r="K608" i="13" l="1"/>
  <c r="K628" i="14"/>
  <c r="L628" i="14" s="1"/>
  <c r="I629" i="14" s="1"/>
  <c r="M778" i="13"/>
  <c r="M779" i="14"/>
  <c r="N776" i="13"/>
  <c r="J775" i="13" a="1"/>
  <c r="J775" i="13" s="1"/>
  <c r="N775" i="14"/>
  <c r="J774" i="14" a="1"/>
  <c r="J774" i="14" s="1"/>
  <c r="L608" i="13" l="1"/>
  <c r="I609" i="13" s="1"/>
  <c r="K629" i="14"/>
  <c r="L629" i="14" s="1"/>
  <c r="I630" i="14" s="1"/>
  <c r="N777" i="13"/>
  <c r="J776" i="13" a="1"/>
  <c r="J776" i="13" s="1"/>
  <c r="M779" i="13"/>
  <c r="N776" i="14"/>
  <c r="J775" i="14" a="1"/>
  <c r="J775" i="14" s="1"/>
  <c r="M780" i="14"/>
  <c r="K609" i="13" l="1"/>
  <c r="K630" i="14"/>
  <c r="L630" i="14" s="1"/>
  <c r="I631" i="14" s="1"/>
  <c r="M781" i="14"/>
  <c r="M780" i="13"/>
  <c r="N777" i="14"/>
  <c r="J776" i="14" a="1"/>
  <c r="J776" i="14" s="1"/>
  <c r="N778" i="13"/>
  <c r="J777" i="13" a="1"/>
  <c r="J777" i="13" s="1"/>
  <c r="L609" i="13" l="1"/>
  <c r="I610" i="13" s="1"/>
  <c r="K631" i="14"/>
  <c r="L631" i="14" s="1"/>
  <c r="I632" i="14" s="1"/>
  <c r="N779" i="13"/>
  <c r="J778" i="13" a="1"/>
  <c r="J778" i="13" s="1"/>
  <c r="M781" i="13"/>
  <c r="N778" i="14"/>
  <c r="J777" i="14" a="1"/>
  <c r="J777" i="14" s="1"/>
  <c r="M782" i="14"/>
  <c r="K610" i="13" l="1"/>
  <c r="L610" i="13" s="1"/>
  <c r="I611" i="13" s="1"/>
  <c r="K632" i="14"/>
  <c r="M783" i="14"/>
  <c r="M782" i="13"/>
  <c r="N780" i="13"/>
  <c r="J779" i="13" a="1"/>
  <c r="J779" i="13" s="1"/>
  <c r="N779" i="14"/>
  <c r="J778" i="14" a="1"/>
  <c r="J778" i="14" s="1"/>
  <c r="K611" i="13" l="1"/>
  <c r="L611" i="13" s="1"/>
  <c r="I612" i="13" s="1"/>
  <c r="N780" i="14"/>
  <c r="J779" i="14" a="1"/>
  <c r="J779" i="14" s="1"/>
  <c r="M784" i="14"/>
  <c r="L632" i="14"/>
  <c r="I633" i="14" s="1"/>
  <c r="N781" i="13"/>
  <c r="J780" i="13" a="1"/>
  <c r="J780" i="13" s="1"/>
  <c r="M783" i="13"/>
  <c r="K612" i="13" l="1"/>
  <c r="L612" i="13" s="1"/>
  <c r="I613" i="13" s="1"/>
  <c r="M784" i="13"/>
  <c r="K633" i="14"/>
  <c r="L633" i="14" s="1"/>
  <c r="I634" i="14" s="1"/>
  <c r="N781" i="14"/>
  <c r="J780" i="14" a="1"/>
  <c r="J780" i="14" s="1"/>
  <c r="M785" i="14"/>
  <c r="N782" i="13"/>
  <c r="J781" i="13" a="1"/>
  <c r="J781" i="13" s="1"/>
  <c r="K613" i="13" l="1"/>
  <c r="L613" i="13" s="1"/>
  <c r="I614" i="13" s="1"/>
  <c r="M785" i="13"/>
  <c r="N782" i="14"/>
  <c r="J781" i="14" a="1"/>
  <c r="J781" i="14" s="1"/>
  <c r="N783" i="13"/>
  <c r="J782" i="13" a="1"/>
  <c r="J782" i="13" s="1"/>
  <c r="M786" i="14"/>
  <c r="K634" i="14"/>
  <c r="L634" i="14" s="1"/>
  <c r="I635" i="14" s="1"/>
  <c r="K614" i="13" l="1"/>
  <c r="L614" i="13" s="1"/>
  <c r="I615" i="13" s="1"/>
  <c r="K635" i="14"/>
  <c r="L635" i="14" s="1"/>
  <c r="I636" i="14" s="1"/>
  <c r="N784" i="13"/>
  <c r="J783" i="13" a="1"/>
  <c r="J783" i="13" s="1"/>
  <c r="M786" i="13"/>
  <c r="M787" i="14"/>
  <c r="N783" i="14"/>
  <c r="J782" i="14" a="1"/>
  <c r="J782" i="14" s="1"/>
  <c r="K615" i="13" l="1"/>
  <c r="L615" i="13" s="1"/>
  <c r="I616" i="13" s="1"/>
  <c r="K636" i="14"/>
  <c r="L636" i="14" s="1"/>
  <c r="I637" i="14" s="1"/>
  <c r="M787" i="13"/>
  <c r="N784" i="14"/>
  <c r="J783" i="14" a="1"/>
  <c r="J783" i="14" s="1"/>
  <c r="M788" i="14"/>
  <c r="N785" i="13"/>
  <c r="J784" i="13" a="1"/>
  <c r="J784" i="13" s="1"/>
  <c r="K616" i="13" l="1"/>
  <c r="L616" i="13" s="1"/>
  <c r="I617" i="13" s="1"/>
  <c r="K637" i="14"/>
  <c r="L637" i="14" s="1"/>
  <c r="I638" i="14" s="1"/>
  <c r="N785" i="14"/>
  <c r="J784" i="14" a="1"/>
  <c r="J784" i="14" s="1"/>
  <c r="N786" i="13"/>
  <c r="J785" i="13" a="1"/>
  <c r="J785" i="13" s="1"/>
  <c r="M789" i="14"/>
  <c r="M788" i="13"/>
  <c r="K617" i="13" l="1"/>
  <c r="L617" i="13" s="1"/>
  <c r="I618" i="13" s="1"/>
  <c r="K638" i="14"/>
  <c r="L638" i="14" s="1"/>
  <c r="I639" i="14" s="1"/>
  <c r="M789" i="13"/>
  <c r="N787" i="13"/>
  <c r="J786" i="13" a="1"/>
  <c r="J786" i="13" s="1"/>
  <c r="M790" i="14"/>
  <c r="N786" i="14"/>
  <c r="J785" i="14" a="1"/>
  <c r="J785" i="14" s="1"/>
  <c r="K618" i="13" l="1"/>
  <c r="L618" i="13" s="1"/>
  <c r="I619" i="13" s="1"/>
  <c r="K639" i="14"/>
  <c r="L639" i="14" s="1"/>
  <c r="I640" i="14" s="1"/>
  <c r="N788" i="13"/>
  <c r="J787" i="13" a="1"/>
  <c r="J787" i="13" s="1"/>
  <c r="N787" i="14"/>
  <c r="J786" i="14" a="1"/>
  <c r="J786" i="14" s="1"/>
  <c r="M791" i="14"/>
  <c r="M790" i="13"/>
  <c r="K619" i="13" l="1"/>
  <c r="L619" i="13" s="1"/>
  <c r="I620" i="13" s="1"/>
  <c r="K640" i="14"/>
  <c r="L640" i="14" s="1"/>
  <c r="I641" i="14" s="1"/>
  <c r="N788" i="14"/>
  <c r="J787" i="14" a="1"/>
  <c r="J787" i="14" s="1"/>
  <c r="M791" i="13"/>
  <c r="M792" i="14"/>
  <c r="N789" i="13"/>
  <c r="J788" i="13" a="1"/>
  <c r="J788" i="13" s="1"/>
  <c r="K620" i="13" l="1"/>
  <c r="K641" i="14"/>
  <c r="L641" i="14" s="1"/>
  <c r="I642" i="14" s="1"/>
  <c r="M792" i="13"/>
  <c r="N790" i="13"/>
  <c r="J789" i="13" a="1"/>
  <c r="J789" i="13" s="1"/>
  <c r="M793" i="14"/>
  <c r="N789" i="14"/>
  <c r="J788" i="14" a="1"/>
  <c r="J788" i="14" s="1"/>
  <c r="L620" i="13" l="1"/>
  <c r="I621" i="13" s="1"/>
  <c r="K642" i="14"/>
  <c r="L642" i="14" s="1"/>
  <c r="I643" i="14" s="1"/>
  <c r="M794" i="14"/>
  <c r="N790" i="14"/>
  <c r="J789" i="14" a="1"/>
  <c r="J789" i="14" s="1"/>
  <c r="N791" i="13"/>
  <c r="J790" i="13" a="1"/>
  <c r="J790" i="13" s="1"/>
  <c r="M793" i="13"/>
  <c r="K621" i="13" l="1"/>
  <c r="K643" i="14"/>
  <c r="L643" i="14" s="1"/>
  <c r="I644" i="14" s="1"/>
  <c r="M795" i="14"/>
  <c r="N792" i="13"/>
  <c r="J791" i="13" a="1"/>
  <c r="J791" i="13" s="1"/>
  <c r="M794" i="13"/>
  <c r="N791" i="14"/>
  <c r="J790" i="14" a="1"/>
  <c r="J790" i="14" s="1"/>
  <c r="L621" i="13" l="1"/>
  <c r="I622" i="13" s="1"/>
  <c r="K644" i="14"/>
  <c r="N792" i="14"/>
  <c r="J791" i="14" a="1"/>
  <c r="J791" i="14" s="1"/>
  <c r="N793" i="13"/>
  <c r="J792" i="13" a="1"/>
  <c r="J792" i="13" s="1"/>
  <c r="M795" i="13"/>
  <c r="M796" i="14"/>
  <c r="K622" i="13" l="1"/>
  <c r="L622" i="13" s="1"/>
  <c r="I623" i="13" s="1"/>
  <c r="M797" i="14"/>
  <c r="N793" i="14"/>
  <c r="J792" i="14" a="1"/>
  <c r="J792" i="14" s="1"/>
  <c r="M796" i="13"/>
  <c r="N794" i="13"/>
  <c r="J793" i="13" a="1"/>
  <c r="J793" i="13" s="1"/>
  <c r="L644" i="14"/>
  <c r="I645" i="14" s="1"/>
  <c r="K623" i="13" l="1"/>
  <c r="L623" i="13" s="1"/>
  <c r="I624" i="13" s="1"/>
  <c r="N795" i="13"/>
  <c r="J794" i="13" a="1"/>
  <c r="J794" i="13" s="1"/>
  <c r="K645" i="14"/>
  <c r="M798" i="14"/>
  <c r="M797" i="13"/>
  <c r="N794" i="14"/>
  <c r="J793" i="14" a="1"/>
  <c r="J793" i="14" s="1"/>
  <c r="K624" i="13" l="1"/>
  <c r="L624" i="13" s="1"/>
  <c r="I625" i="13" s="1"/>
  <c r="N796" i="13"/>
  <c r="J795" i="13" a="1"/>
  <c r="J795" i="13" s="1"/>
  <c r="M799" i="14"/>
  <c r="N795" i="14"/>
  <c r="J794" i="14" a="1"/>
  <c r="J794" i="14" s="1"/>
  <c r="M798" i="13"/>
  <c r="L645" i="14"/>
  <c r="I646" i="14" s="1"/>
  <c r="K625" i="13" l="1"/>
  <c r="L625" i="13" s="1"/>
  <c r="I626" i="13" s="1"/>
  <c r="K646" i="14"/>
  <c r="L646" i="14" s="1"/>
  <c r="I647" i="14" s="1"/>
  <c r="N797" i="13"/>
  <c r="J796" i="13" a="1"/>
  <c r="J796" i="13" s="1"/>
  <c r="N796" i="14"/>
  <c r="J795" i="14" a="1"/>
  <c r="J795" i="14" s="1"/>
  <c r="M799" i="13"/>
  <c r="M800" i="14"/>
  <c r="K626" i="13" l="1"/>
  <c r="L626" i="13" s="1"/>
  <c r="I627" i="13" s="1"/>
  <c r="K647" i="14"/>
  <c r="L647" i="14" s="1"/>
  <c r="I648" i="14" s="1"/>
  <c r="M801" i="14"/>
  <c r="N797" i="14"/>
  <c r="J796" i="14" a="1"/>
  <c r="J796" i="14" s="1"/>
  <c r="M800" i="13"/>
  <c r="N798" i="13"/>
  <c r="J797" i="13" a="1"/>
  <c r="J797" i="13" s="1"/>
  <c r="K627" i="13" l="1"/>
  <c r="L627" i="13" s="1"/>
  <c r="I628" i="13" s="1"/>
  <c r="K648" i="14"/>
  <c r="L648" i="14" s="1"/>
  <c r="I649" i="14" s="1"/>
  <c r="N799" i="13"/>
  <c r="J798" i="13" a="1"/>
  <c r="J798" i="13" s="1"/>
  <c r="N798" i="14"/>
  <c r="J797" i="14" a="1"/>
  <c r="J797" i="14" s="1"/>
  <c r="M801" i="13"/>
  <c r="M802" i="14"/>
  <c r="K628" i="13" l="1"/>
  <c r="L628" i="13" s="1"/>
  <c r="I629" i="13" s="1"/>
  <c r="K649" i="14"/>
  <c r="L649" i="14" s="1"/>
  <c r="I650" i="14" s="1"/>
  <c r="M803" i="14"/>
  <c r="N799" i="14"/>
  <c r="J798" i="14" a="1"/>
  <c r="J798" i="14" s="1"/>
  <c r="M802" i="13"/>
  <c r="N800" i="13"/>
  <c r="J799" i="13" a="1"/>
  <c r="J799" i="13" s="1"/>
  <c r="K629" i="13" l="1"/>
  <c r="L629" i="13" s="1"/>
  <c r="I630" i="13" s="1"/>
  <c r="K650" i="14"/>
  <c r="L650" i="14" s="1"/>
  <c r="I651" i="14" s="1"/>
  <c r="N800" i="14"/>
  <c r="J799" i="14" a="1"/>
  <c r="J799" i="14" s="1"/>
  <c r="N801" i="13"/>
  <c r="J800" i="13" a="1"/>
  <c r="J800" i="13" s="1"/>
  <c r="M803" i="13"/>
  <c r="M804" i="14"/>
  <c r="K630" i="13" l="1"/>
  <c r="L630" i="13" s="1"/>
  <c r="I631" i="13" s="1"/>
  <c r="K651" i="14"/>
  <c r="L651" i="14" s="1"/>
  <c r="I652" i="14" s="1"/>
  <c r="M805" i="14"/>
  <c r="N802" i="13"/>
  <c r="J801" i="13" a="1"/>
  <c r="J801" i="13" s="1"/>
  <c r="M804" i="13"/>
  <c r="N801" i="14"/>
  <c r="J800" i="14" a="1"/>
  <c r="J800" i="14" s="1"/>
  <c r="K631" i="13" l="1"/>
  <c r="L631" i="13" s="1"/>
  <c r="I632" i="13" s="1"/>
  <c r="K652" i="14"/>
  <c r="L652" i="14" s="1"/>
  <c r="I653" i="14" s="1"/>
  <c r="N803" i="13"/>
  <c r="J802" i="13" a="1"/>
  <c r="J802" i="13" s="1"/>
  <c r="M805" i="13"/>
  <c r="M806" i="14"/>
  <c r="N802" i="14"/>
  <c r="J801" i="14" a="1"/>
  <c r="J801" i="14" s="1"/>
  <c r="K632" i="13" l="1"/>
  <c r="K653" i="14"/>
  <c r="L653" i="14" s="1"/>
  <c r="I654" i="14" s="1"/>
  <c r="M806" i="13"/>
  <c r="N803" i="14"/>
  <c r="J802" i="14" a="1"/>
  <c r="J802" i="14" s="1"/>
  <c r="M807" i="14"/>
  <c r="N804" i="13"/>
  <c r="J803" i="13" a="1"/>
  <c r="J803" i="13" s="1"/>
  <c r="L632" i="13" l="1"/>
  <c r="I633" i="13" s="1"/>
  <c r="K654" i="14"/>
  <c r="L654" i="14" s="1"/>
  <c r="I655" i="14" s="1"/>
  <c r="N805" i="13"/>
  <c r="J804" i="13" a="1"/>
  <c r="J804" i="13" s="1"/>
  <c r="N804" i="14"/>
  <c r="J803" i="14" a="1"/>
  <c r="J803" i="14" s="1"/>
  <c r="M808" i="14"/>
  <c r="M807" i="13"/>
  <c r="K633" i="13" l="1"/>
  <c r="L633" i="13" s="1"/>
  <c r="I634" i="13" s="1"/>
  <c r="K655" i="14"/>
  <c r="L655" i="14" s="1"/>
  <c r="I656" i="14" s="1"/>
  <c r="N806" i="13"/>
  <c r="J805" i="13" a="1"/>
  <c r="J805" i="13" s="1"/>
  <c r="M809" i="14"/>
  <c r="M808" i="13"/>
  <c r="N805" i="14"/>
  <c r="J804" i="14" a="1"/>
  <c r="J804" i="14" s="1"/>
  <c r="K634" i="13" l="1"/>
  <c r="L634" i="13" s="1"/>
  <c r="I635" i="13" s="1"/>
  <c r="M810" i="14"/>
  <c r="N806" i="14"/>
  <c r="J805" i="14" a="1"/>
  <c r="J805" i="14" s="1"/>
  <c r="M809" i="13"/>
  <c r="K656" i="14"/>
  <c r="N807" i="13"/>
  <c r="J806" i="13" a="1"/>
  <c r="J806" i="13" s="1"/>
  <c r="K635" i="13" l="1"/>
  <c r="L635" i="13" s="1"/>
  <c r="I636" i="13" s="1"/>
  <c r="M810" i="13"/>
  <c r="M811" i="14"/>
  <c r="N808" i="13"/>
  <c r="J807" i="13" a="1"/>
  <c r="J807" i="13" s="1"/>
  <c r="L656" i="14"/>
  <c r="I657" i="14" s="1"/>
  <c r="N807" i="14"/>
  <c r="J806" i="14" a="1"/>
  <c r="J806" i="14" s="1"/>
  <c r="K636" i="13" l="1"/>
  <c r="L636" i="13" s="1"/>
  <c r="I637" i="13" s="1"/>
  <c r="N808" i="14"/>
  <c r="J807" i="14" a="1"/>
  <c r="J807" i="14" s="1"/>
  <c r="N809" i="13"/>
  <c r="J808" i="13" a="1"/>
  <c r="J808" i="13" s="1"/>
  <c r="M811" i="13"/>
  <c r="K657" i="14"/>
  <c r="M812" i="14"/>
  <c r="K637" i="13" l="1"/>
  <c r="L637" i="13" s="1"/>
  <c r="I638" i="13" s="1"/>
  <c r="N809" i="14"/>
  <c r="J808" i="14" a="1"/>
  <c r="J808" i="14" s="1"/>
  <c r="M813" i="14"/>
  <c r="M812" i="13"/>
  <c r="L657" i="14"/>
  <c r="I658" i="14" s="1"/>
  <c r="N810" i="13"/>
  <c r="J809" i="13" a="1"/>
  <c r="J809" i="13" s="1"/>
  <c r="K638" i="13" l="1"/>
  <c r="L638" i="13" s="1"/>
  <c r="I639" i="13" s="1"/>
  <c r="M813" i="13"/>
  <c r="N811" i="13"/>
  <c r="J810" i="13" a="1"/>
  <c r="J810" i="13" s="1"/>
  <c r="N810" i="14"/>
  <c r="J809" i="14" a="1"/>
  <c r="J809" i="14" s="1"/>
  <c r="K658" i="14"/>
  <c r="L658" i="14" s="1"/>
  <c r="I659" i="14" s="1"/>
  <c r="M814" i="14"/>
  <c r="K639" i="13" l="1"/>
  <c r="L639" i="13" s="1"/>
  <c r="I640" i="13" s="1"/>
  <c r="M814" i="13"/>
  <c r="N811" i="14"/>
  <c r="J810" i="14" a="1"/>
  <c r="J810" i="14" s="1"/>
  <c r="M815" i="14"/>
  <c r="K659" i="14"/>
  <c r="L659" i="14" s="1"/>
  <c r="I660" i="14" s="1"/>
  <c r="N812" i="13"/>
  <c r="J811" i="13" a="1"/>
  <c r="J811" i="13" s="1"/>
  <c r="K640" i="13" l="1"/>
  <c r="L640" i="13" s="1"/>
  <c r="I641" i="13" s="1"/>
  <c r="K660" i="14"/>
  <c r="L660" i="14" s="1"/>
  <c r="I661" i="14" s="1"/>
  <c r="M816" i="14"/>
  <c r="M815" i="13"/>
  <c r="N812" i="14"/>
  <c r="J811" i="14" a="1"/>
  <c r="J811" i="14" s="1"/>
  <c r="N813" i="13"/>
  <c r="J812" i="13" a="1"/>
  <c r="J812" i="13" s="1"/>
  <c r="K641" i="13" l="1"/>
  <c r="L641" i="13" s="1"/>
  <c r="I642" i="13" s="1"/>
  <c r="K661" i="14"/>
  <c r="L661" i="14" s="1"/>
  <c r="I662" i="14" s="1"/>
  <c r="M816" i="13"/>
  <c r="N814" i="13"/>
  <c r="J813" i="13" a="1"/>
  <c r="J813" i="13" s="1"/>
  <c r="M817" i="14"/>
  <c r="N813" i="14"/>
  <c r="J812" i="14" a="1"/>
  <c r="J812" i="14" s="1"/>
  <c r="K642" i="13" l="1"/>
  <c r="L642" i="13" s="1"/>
  <c r="I643" i="13" s="1"/>
  <c r="K662" i="14"/>
  <c r="L662" i="14" s="1"/>
  <c r="I663" i="14" s="1"/>
  <c r="N814" i="14"/>
  <c r="J813" i="14" a="1"/>
  <c r="J813" i="14" s="1"/>
  <c r="N815" i="13"/>
  <c r="J814" i="13" a="1"/>
  <c r="J814" i="13" s="1"/>
  <c r="M818" i="14"/>
  <c r="M817" i="13"/>
  <c r="K643" i="13" l="1"/>
  <c r="L643" i="13" s="1"/>
  <c r="I644" i="13" s="1"/>
  <c r="N816" i="13"/>
  <c r="J815" i="13" a="1"/>
  <c r="J815" i="13" s="1"/>
  <c r="M819" i="14"/>
  <c r="M818" i="13"/>
  <c r="N815" i="14"/>
  <c r="J814" i="14" a="1"/>
  <c r="J814" i="14" s="1"/>
  <c r="K663" i="14"/>
  <c r="L663" i="14" s="1"/>
  <c r="I664" i="14" s="1"/>
  <c r="K644" i="13" l="1"/>
  <c r="K664" i="14"/>
  <c r="L664" i="14" s="1"/>
  <c r="I665" i="14" s="1"/>
  <c r="M820" i="14"/>
  <c r="N817" i="13"/>
  <c r="J816" i="13" a="1"/>
  <c r="J816" i="13" s="1"/>
  <c r="N816" i="14"/>
  <c r="J815" i="14" a="1"/>
  <c r="J815" i="14" s="1"/>
  <c r="M819" i="13"/>
  <c r="L644" i="13" l="1"/>
  <c r="I645" i="13" s="1"/>
  <c r="N817" i="14"/>
  <c r="J816" i="14" a="1"/>
  <c r="J816" i="14" s="1"/>
  <c r="M821" i="14"/>
  <c r="M820" i="13"/>
  <c r="N818" i="13"/>
  <c r="J817" i="13" a="1"/>
  <c r="J817" i="13" s="1"/>
  <c r="K665" i="14"/>
  <c r="L665" i="14" s="1"/>
  <c r="I666" i="14" s="1"/>
  <c r="K645" i="13" l="1"/>
  <c r="K666" i="14"/>
  <c r="L666" i="14" s="1"/>
  <c r="I667" i="14" s="1"/>
  <c r="M821" i="13"/>
  <c r="N818" i="14"/>
  <c r="J817" i="14" a="1"/>
  <c r="J817" i="14" s="1"/>
  <c r="M822" i="14"/>
  <c r="N819" i="13"/>
  <c r="J818" i="13" a="1"/>
  <c r="J818" i="13" s="1"/>
  <c r="L645" i="13" l="1"/>
  <c r="I646" i="13" s="1"/>
  <c r="K667" i="14"/>
  <c r="L667" i="14" s="1"/>
  <c r="I668" i="14" s="1"/>
  <c r="N820" i="13"/>
  <c r="J819" i="13" a="1"/>
  <c r="J819" i="13" s="1"/>
  <c r="N819" i="14"/>
  <c r="J818" i="14" a="1"/>
  <c r="J818" i="14" s="1"/>
  <c r="M822" i="13"/>
  <c r="M823" i="14"/>
  <c r="K646" i="13" l="1"/>
  <c r="L646" i="13" s="1"/>
  <c r="I647" i="13" s="1"/>
  <c r="M824" i="14"/>
  <c r="N821" i="13"/>
  <c r="J820" i="13" a="1"/>
  <c r="J820" i="13" s="1"/>
  <c r="M823" i="13"/>
  <c r="N820" i="14"/>
  <c r="J819" i="14" a="1"/>
  <c r="J819" i="14" s="1"/>
  <c r="K668" i="14"/>
  <c r="K647" i="13" l="1"/>
  <c r="L647" i="13" s="1"/>
  <c r="I648" i="13" s="1"/>
  <c r="M824" i="13"/>
  <c r="M825" i="14"/>
  <c r="L668" i="14"/>
  <c r="I669" i="14" s="1"/>
  <c r="N821" i="14"/>
  <c r="J820" i="14" a="1"/>
  <c r="J820" i="14" s="1"/>
  <c r="N822" i="13"/>
  <c r="J821" i="13" a="1"/>
  <c r="J821" i="13" s="1"/>
  <c r="K648" i="13" l="1"/>
  <c r="L648" i="13" s="1"/>
  <c r="I649" i="13" s="1"/>
  <c r="K669" i="14"/>
  <c r="N823" i="13"/>
  <c r="J822" i="13" a="1"/>
  <c r="J822" i="13" s="1"/>
  <c r="M826" i="14"/>
  <c r="N822" i="14"/>
  <c r="J821" i="14" a="1"/>
  <c r="J821" i="14" s="1"/>
  <c r="M825" i="13"/>
  <c r="K649" i="13" l="1"/>
  <c r="L649" i="13" s="1"/>
  <c r="I650" i="13" s="1"/>
  <c r="L669" i="14"/>
  <c r="I670" i="14" s="1"/>
  <c r="M826" i="13"/>
  <c r="M827" i="14"/>
  <c r="N823" i="14"/>
  <c r="J822" i="14" a="1"/>
  <c r="J822" i="14" s="1"/>
  <c r="N824" i="13"/>
  <c r="J823" i="13" a="1"/>
  <c r="J823" i="13" s="1"/>
  <c r="K650" i="13" l="1"/>
  <c r="L650" i="13" s="1"/>
  <c r="I651" i="13" s="1"/>
  <c r="M828" i="14"/>
  <c r="K670" i="14"/>
  <c r="L670" i="14" s="1"/>
  <c r="I671" i="14" s="1"/>
  <c r="N825" i="13"/>
  <c r="J824" i="13" a="1"/>
  <c r="J824" i="13" s="1"/>
  <c r="M827" i="13"/>
  <c r="N824" i="14"/>
  <c r="J823" i="14" a="1"/>
  <c r="J823" i="14" s="1"/>
  <c r="K651" i="13" l="1"/>
  <c r="L651" i="13" s="1"/>
  <c r="I652" i="13" s="1"/>
  <c r="K671" i="14"/>
  <c r="L671" i="14" s="1"/>
  <c r="I672" i="14" s="1"/>
  <c r="N826" i="13"/>
  <c r="J825" i="13" a="1"/>
  <c r="J825" i="13" s="1"/>
  <c r="N825" i="14"/>
  <c r="J824" i="14" a="1"/>
  <c r="J824" i="14" s="1"/>
  <c r="M828" i="13"/>
  <c r="M829" i="14"/>
  <c r="K652" i="13" l="1"/>
  <c r="L652" i="13" s="1"/>
  <c r="I653" i="13" s="1"/>
  <c r="K672" i="14"/>
  <c r="L672" i="14" s="1"/>
  <c r="I673" i="14" s="1"/>
  <c r="N826" i="14"/>
  <c r="J825" i="14" a="1"/>
  <c r="J825" i="14" s="1"/>
  <c r="M829" i="13"/>
  <c r="M830" i="14"/>
  <c r="N827" i="13"/>
  <c r="J826" i="13" a="1"/>
  <c r="J826" i="13" s="1"/>
  <c r="K653" i="13" l="1"/>
  <c r="L653" i="13" s="1"/>
  <c r="I654" i="13" s="1"/>
  <c r="K673" i="14"/>
  <c r="L673" i="14" s="1"/>
  <c r="I674" i="14" s="1"/>
  <c r="N828" i="13"/>
  <c r="J827" i="13" a="1"/>
  <c r="J827" i="13" s="1"/>
  <c r="M831" i="14"/>
  <c r="N827" i="14"/>
  <c r="J826" i="14" a="1"/>
  <c r="J826" i="14" s="1"/>
  <c r="M830" i="13"/>
  <c r="K654" i="13" l="1"/>
  <c r="L654" i="13" s="1"/>
  <c r="I655" i="13" s="1"/>
  <c r="K674" i="14"/>
  <c r="L674" i="14" s="1"/>
  <c r="I675" i="14" s="1"/>
  <c r="M831" i="13"/>
  <c r="M832" i="14"/>
  <c r="N828" i="14"/>
  <c r="J827" i="14" a="1"/>
  <c r="J827" i="14" s="1"/>
  <c r="N829" i="13"/>
  <c r="J828" i="13" a="1"/>
  <c r="J828" i="13" s="1"/>
  <c r="K655" i="13" l="1"/>
  <c r="L655" i="13" s="1"/>
  <c r="I656" i="13" s="1"/>
  <c r="K675" i="14"/>
  <c r="L675" i="14" s="1"/>
  <c r="I676" i="14" s="1"/>
  <c r="M833" i="14"/>
  <c r="N830" i="13"/>
  <c r="J829" i="13" a="1"/>
  <c r="J829" i="13" s="1"/>
  <c r="M832" i="13"/>
  <c r="N829" i="14"/>
  <c r="J828" i="14" a="1"/>
  <c r="J828" i="14" s="1"/>
  <c r="K656" i="13" l="1"/>
  <c r="K676" i="14"/>
  <c r="L676" i="14" s="1"/>
  <c r="I677" i="14" s="1"/>
  <c r="N831" i="13"/>
  <c r="J830" i="13" a="1"/>
  <c r="J830" i="13" s="1"/>
  <c r="N830" i="14"/>
  <c r="J829" i="14" a="1"/>
  <c r="J829" i="14" s="1"/>
  <c r="M833" i="13"/>
  <c r="M834" i="14"/>
  <c r="L656" i="13" l="1"/>
  <c r="I657" i="13" s="1"/>
  <c r="K677" i="14"/>
  <c r="L677" i="14" s="1"/>
  <c r="I678" i="14" s="1"/>
  <c r="N832" i="13"/>
  <c r="J831" i="13" a="1"/>
  <c r="J831" i="13" s="1"/>
  <c r="M835" i="14"/>
  <c r="N831" i="14"/>
  <c r="J830" i="14" a="1"/>
  <c r="J830" i="14" s="1"/>
  <c r="M834" i="13"/>
  <c r="K657" i="13" l="1"/>
  <c r="K678" i="14"/>
  <c r="L678" i="14" s="1"/>
  <c r="I679" i="14" s="1"/>
  <c r="M835" i="13"/>
  <c r="N832" i="14"/>
  <c r="J831" i="14" a="1"/>
  <c r="J831" i="14" s="1"/>
  <c r="N833" i="13"/>
  <c r="J832" i="13" a="1"/>
  <c r="J832" i="13" s="1"/>
  <c r="M836" i="14"/>
  <c r="L657" i="13" l="1"/>
  <c r="I658" i="13" s="1"/>
  <c r="K679" i="14"/>
  <c r="L679" i="14" s="1"/>
  <c r="I680" i="14" s="1"/>
  <c r="M836" i="13"/>
  <c r="M837" i="14"/>
  <c r="N834" i="13"/>
  <c r="J833" i="13" a="1"/>
  <c r="J833" i="13" s="1"/>
  <c r="N833" i="14"/>
  <c r="J832" i="14" a="1"/>
  <c r="J832" i="14" s="1"/>
  <c r="K658" i="13" l="1"/>
  <c r="L658" i="13" s="1"/>
  <c r="I659" i="13" s="1"/>
  <c r="K680" i="14"/>
  <c r="M838" i="14"/>
  <c r="N834" i="14"/>
  <c r="J833" i="14" a="1"/>
  <c r="J833" i="14" s="1"/>
  <c r="M837" i="13"/>
  <c r="N835" i="13"/>
  <c r="J834" i="13" a="1"/>
  <c r="J834" i="13" s="1"/>
  <c r="K659" i="13" l="1"/>
  <c r="L659" i="13" s="1"/>
  <c r="I660" i="13" s="1"/>
  <c r="N835" i="14"/>
  <c r="J834" i="14" a="1"/>
  <c r="J834" i="14" s="1"/>
  <c r="N836" i="13"/>
  <c r="J835" i="13" a="1"/>
  <c r="J835" i="13" s="1"/>
  <c r="M838" i="13"/>
  <c r="M839" i="14"/>
  <c r="L680" i="14"/>
  <c r="I681" i="14" s="1"/>
  <c r="K660" i="13" l="1"/>
  <c r="L660" i="13" s="1"/>
  <c r="I661" i="13" s="1"/>
  <c r="M840" i="14"/>
  <c r="N836" i="14"/>
  <c r="J835" i="14" a="1"/>
  <c r="J835" i="14" s="1"/>
  <c r="M839" i="13"/>
  <c r="K681" i="14"/>
  <c r="N837" i="13"/>
  <c r="J836" i="13" a="1"/>
  <c r="J836" i="13" s="1"/>
  <c r="K661" i="13" l="1"/>
  <c r="L661" i="13" s="1"/>
  <c r="I662" i="13" s="1"/>
  <c r="M840" i="13"/>
  <c r="M841" i="14"/>
  <c r="L681" i="14"/>
  <c r="I682" i="14" s="1"/>
  <c r="N837" i="14"/>
  <c r="J836" i="14" a="1"/>
  <c r="J836" i="14" s="1"/>
  <c r="N838" i="13"/>
  <c r="J837" i="13" a="1"/>
  <c r="J837" i="13" s="1"/>
  <c r="K662" i="13" l="1"/>
  <c r="L662" i="13" s="1"/>
  <c r="I663" i="13" s="1"/>
  <c r="M842" i="14"/>
  <c r="N838" i="14"/>
  <c r="J837" i="14" a="1"/>
  <c r="J837" i="14" s="1"/>
  <c r="N839" i="13"/>
  <c r="J838" i="13" a="1"/>
  <c r="J838" i="13" s="1"/>
  <c r="K682" i="14"/>
  <c r="L682" i="14" s="1"/>
  <c r="I683" i="14" s="1"/>
  <c r="M841" i="13"/>
  <c r="K663" i="13" l="1"/>
  <c r="L663" i="13" s="1"/>
  <c r="I664" i="13" s="1"/>
  <c r="K683" i="14"/>
  <c r="L683" i="14" s="1"/>
  <c r="I684" i="14" s="1"/>
  <c r="M843" i="14"/>
  <c r="N839" i="14"/>
  <c r="J838" i="14" a="1"/>
  <c r="J838" i="14" s="1"/>
  <c r="M842" i="13"/>
  <c r="N840" i="13"/>
  <c r="J839" i="13" a="1"/>
  <c r="J839" i="13" s="1"/>
  <c r="K664" i="13" l="1"/>
  <c r="L664" i="13" s="1"/>
  <c r="I665" i="13" s="1"/>
  <c r="K684" i="14"/>
  <c r="L684" i="14" s="1"/>
  <c r="I685" i="14" s="1"/>
  <c r="N841" i="13"/>
  <c r="J840" i="13" a="1"/>
  <c r="J840" i="13" s="1"/>
  <c r="N840" i="14"/>
  <c r="J839" i="14" a="1"/>
  <c r="J839" i="14" s="1"/>
  <c r="M843" i="13"/>
  <c r="M844" i="14"/>
  <c r="K665" i="13" l="1"/>
  <c r="L665" i="13" s="1"/>
  <c r="I666" i="13" s="1"/>
  <c r="K685" i="14"/>
  <c r="L685" i="14" s="1"/>
  <c r="I686" i="14" s="1"/>
  <c r="N841" i="14"/>
  <c r="J840" i="14" a="1"/>
  <c r="J840" i="14" s="1"/>
  <c r="M845" i="14"/>
  <c r="M844" i="13"/>
  <c r="N842" i="13"/>
  <c r="J841" i="13" a="1"/>
  <c r="J841" i="13" s="1"/>
  <c r="K666" i="13" l="1"/>
  <c r="L666" i="13" s="1"/>
  <c r="I667" i="13" s="1"/>
  <c r="K686" i="14"/>
  <c r="L686" i="14" s="1"/>
  <c r="I687" i="14" s="1"/>
  <c r="N843" i="13"/>
  <c r="J842" i="13" a="1"/>
  <c r="J842" i="13" s="1"/>
  <c r="M846" i="14"/>
  <c r="M845" i="13"/>
  <c r="N842" i="14"/>
  <c r="J841" i="14" a="1"/>
  <c r="J841" i="14" s="1"/>
  <c r="K667" i="13" l="1"/>
  <c r="L667" i="13" s="1"/>
  <c r="I668" i="13" s="1"/>
  <c r="K687" i="14"/>
  <c r="L687" i="14" s="1"/>
  <c r="I688" i="14" s="1"/>
  <c r="N843" i="14"/>
  <c r="J842" i="14" a="1"/>
  <c r="J842" i="14" s="1"/>
  <c r="M847" i="14"/>
  <c r="M846" i="13"/>
  <c r="N844" i="13"/>
  <c r="J843" i="13" a="1"/>
  <c r="J843" i="13" s="1"/>
  <c r="K668" i="13" l="1"/>
  <c r="K688" i="14"/>
  <c r="L688" i="14" s="1"/>
  <c r="I689" i="14" s="1"/>
  <c r="M848" i="14"/>
  <c r="N845" i="13"/>
  <c r="J844" i="13" a="1"/>
  <c r="J844" i="13" s="1"/>
  <c r="M847" i="13"/>
  <c r="N844" i="14"/>
  <c r="J843" i="14" a="1"/>
  <c r="J843" i="14" s="1"/>
  <c r="L668" i="13" l="1"/>
  <c r="I669" i="13" s="1"/>
  <c r="K689" i="14"/>
  <c r="L689" i="14" s="1"/>
  <c r="I690" i="14" s="1"/>
  <c r="M849" i="14"/>
  <c r="N845" i="14"/>
  <c r="J844" i="14" a="1"/>
  <c r="J844" i="14" s="1"/>
  <c r="M848" i="13"/>
  <c r="N846" i="13"/>
  <c r="J845" i="13" a="1"/>
  <c r="J845" i="13" s="1"/>
  <c r="K669" i="13" l="1"/>
  <c r="K690" i="14"/>
  <c r="L690" i="14" s="1"/>
  <c r="I691" i="14" s="1"/>
  <c r="N847" i="13"/>
  <c r="J846" i="13" a="1"/>
  <c r="J846" i="13" s="1"/>
  <c r="N846" i="14"/>
  <c r="J845" i="14" a="1"/>
  <c r="J845" i="14" s="1"/>
  <c r="M849" i="13"/>
  <c r="M850" i="14"/>
  <c r="L669" i="13" l="1"/>
  <c r="I670" i="13" s="1"/>
  <c r="K691" i="14"/>
  <c r="L691" i="14" s="1"/>
  <c r="I692" i="14" s="1"/>
  <c r="N848" i="13"/>
  <c r="J847" i="13" a="1"/>
  <c r="J847" i="13" s="1"/>
  <c r="M850" i="13"/>
  <c r="N847" i="14"/>
  <c r="J846" i="14" a="1"/>
  <c r="J846" i="14" s="1"/>
  <c r="M851" i="14"/>
  <c r="K670" i="13" l="1"/>
  <c r="L670" i="13" s="1"/>
  <c r="I671" i="13" s="1"/>
  <c r="K692" i="14"/>
  <c r="N848" i="14"/>
  <c r="J847" i="14" a="1"/>
  <c r="J847" i="14" s="1"/>
  <c r="N849" i="13"/>
  <c r="J848" i="13" a="1"/>
  <c r="J848" i="13" s="1"/>
  <c r="M852" i="14"/>
  <c r="M851" i="13"/>
  <c r="K671" i="13" l="1"/>
  <c r="L671" i="13" s="1"/>
  <c r="I672" i="13" s="1"/>
  <c r="M852" i="13"/>
  <c r="N850" i="13"/>
  <c r="J849" i="13" a="1"/>
  <c r="J849" i="13" s="1"/>
  <c r="M853" i="14"/>
  <c r="N849" i="14"/>
  <c r="J848" i="14" a="1"/>
  <c r="J848" i="14" s="1"/>
  <c r="L692" i="14"/>
  <c r="I693" i="14" s="1"/>
  <c r="K672" i="13" l="1"/>
  <c r="L672" i="13" s="1"/>
  <c r="I673" i="13" s="1"/>
  <c r="N850" i="14"/>
  <c r="J849" i="14" a="1"/>
  <c r="J849" i="14" s="1"/>
  <c r="M853" i="13"/>
  <c r="N851" i="13"/>
  <c r="J850" i="13" a="1"/>
  <c r="J850" i="13" s="1"/>
  <c r="M854" i="14"/>
  <c r="K693" i="14"/>
  <c r="K673" i="13" l="1"/>
  <c r="L673" i="13" s="1"/>
  <c r="I674" i="13" s="1"/>
  <c r="N852" i="13"/>
  <c r="J851" i="13" a="1"/>
  <c r="J851" i="13" s="1"/>
  <c r="L693" i="14"/>
  <c r="I694" i="14" s="1"/>
  <c r="N851" i="14"/>
  <c r="J850" i="14" a="1"/>
  <c r="J850" i="14" s="1"/>
  <c r="M855" i="14"/>
  <c r="M854" i="13"/>
  <c r="K674" i="13" l="1"/>
  <c r="L674" i="13" s="1"/>
  <c r="I675" i="13" s="1"/>
  <c r="M855" i="13"/>
  <c r="N853" i="13"/>
  <c r="J852" i="13" a="1"/>
  <c r="J852" i="13" s="1"/>
  <c r="N852" i="14"/>
  <c r="J851" i="14" a="1"/>
  <c r="J851" i="14" s="1"/>
  <c r="M856" i="14"/>
  <c r="K694" i="14"/>
  <c r="L694" i="14" s="1"/>
  <c r="I695" i="14" s="1"/>
  <c r="K675" i="13" l="1"/>
  <c r="L675" i="13" s="1"/>
  <c r="I676" i="13" s="1"/>
  <c r="K695" i="14"/>
  <c r="L695" i="14" s="1"/>
  <c r="I696" i="14" s="1"/>
  <c r="M856" i="13"/>
  <c r="N853" i="14"/>
  <c r="J852" i="14" a="1"/>
  <c r="J852" i="14" s="1"/>
  <c r="M857" i="14"/>
  <c r="N854" i="13"/>
  <c r="J853" i="13" a="1"/>
  <c r="J853" i="13" s="1"/>
  <c r="K676" i="13" l="1"/>
  <c r="L676" i="13" s="1"/>
  <c r="I677" i="13" s="1"/>
  <c r="K696" i="14"/>
  <c r="L696" i="14" s="1"/>
  <c r="I697" i="14" s="1"/>
  <c r="N854" i="14"/>
  <c r="J853" i="14" a="1"/>
  <c r="J853" i="14" s="1"/>
  <c r="N855" i="13"/>
  <c r="J854" i="13" a="1"/>
  <c r="J854" i="13" s="1"/>
  <c r="M858" i="14"/>
  <c r="M857" i="13"/>
  <c r="K677" i="13" l="1"/>
  <c r="L677" i="13" s="1"/>
  <c r="I678" i="13" s="1"/>
  <c r="K697" i="14"/>
  <c r="L697" i="14" s="1"/>
  <c r="I698" i="14" s="1"/>
  <c r="N856" i="13"/>
  <c r="J855" i="13" a="1"/>
  <c r="J855" i="13" s="1"/>
  <c r="M858" i="13"/>
  <c r="M859" i="14"/>
  <c r="N855" i="14"/>
  <c r="J854" i="14" a="1"/>
  <c r="J854" i="14" s="1"/>
  <c r="K678" i="13" l="1"/>
  <c r="L678" i="13" s="1"/>
  <c r="I679" i="13" s="1"/>
  <c r="K698" i="14"/>
  <c r="L698" i="14" s="1"/>
  <c r="I699" i="14" s="1"/>
  <c r="M859" i="13"/>
  <c r="N856" i="14"/>
  <c r="J855" i="14" a="1"/>
  <c r="J855" i="14" s="1"/>
  <c r="M860" i="14"/>
  <c r="N857" i="13"/>
  <c r="J856" i="13" a="1"/>
  <c r="J856" i="13" s="1"/>
  <c r="K679" i="13" l="1"/>
  <c r="L679" i="13" s="1"/>
  <c r="I680" i="13" s="1"/>
  <c r="K699" i="14"/>
  <c r="L699" i="14" s="1"/>
  <c r="I700" i="14" s="1"/>
  <c r="N857" i="14"/>
  <c r="J856" i="14" a="1"/>
  <c r="J856" i="14" s="1"/>
  <c r="N858" i="13"/>
  <c r="J857" i="13" a="1"/>
  <c r="J857" i="13" s="1"/>
  <c r="M861" i="14"/>
  <c r="M860" i="13"/>
  <c r="K680" i="13" l="1"/>
  <c r="K700" i="14"/>
  <c r="L700" i="14" s="1"/>
  <c r="I701" i="14" s="1"/>
  <c r="N859" i="13"/>
  <c r="J858" i="13" a="1"/>
  <c r="J858" i="13" s="1"/>
  <c r="M861" i="13"/>
  <c r="M862" i="14"/>
  <c r="N858" i="14"/>
  <c r="J857" i="14" a="1"/>
  <c r="J857" i="14" s="1"/>
  <c r="L680" i="13" l="1"/>
  <c r="I681" i="13" s="1"/>
  <c r="K701" i="14"/>
  <c r="L701" i="14" s="1"/>
  <c r="I702" i="14" s="1"/>
  <c r="M862" i="13"/>
  <c r="N860" i="13"/>
  <c r="J859" i="13" a="1"/>
  <c r="J859" i="13" s="1"/>
  <c r="M863" i="14"/>
  <c r="N859" i="14"/>
  <c r="J858" i="14" a="1"/>
  <c r="J858" i="14" s="1"/>
  <c r="K681" i="13" l="1"/>
  <c r="K702" i="14"/>
  <c r="L702" i="14" s="1"/>
  <c r="I703" i="14" s="1"/>
  <c r="M864" i="14"/>
  <c r="M863" i="13"/>
  <c r="N860" i="14"/>
  <c r="J859" i="14" a="1"/>
  <c r="J859" i="14" s="1"/>
  <c r="N861" i="13"/>
  <c r="J860" i="13" a="1"/>
  <c r="J860" i="13" s="1"/>
  <c r="L681" i="13" l="1"/>
  <c r="I682" i="13" s="1"/>
  <c r="K703" i="14"/>
  <c r="L703" i="14" s="1"/>
  <c r="I704" i="14" s="1"/>
  <c r="N861" i="14"/>
  <c r="J860" i="14" a="1"/>
  <c r="J860" i="14" s="1"/>
  <c r="N862" i="13"/>
  <c r="J861" i="13" a="1"/>
  <c r="J861" i="13" s="1"/>
  <c r="M864" i="13"/>
  <c r="M865" i="14"/>
  <c r="K682" i="13" l="1"/>
  <c r="L682" i="13" s="1"/>
  <c r="I683" i="13" s="1"/>
  <c r="K704" i="14"/>
  <c r="N862" i="14"/>
  <c r="J861" i="14" a="1"/>
  <c r="J861" i="14" s="1"/>
  <c r="M865" i="13"/>
  <c r="M866" i="14"/>
  <c r="N863" i="13"/>
  <c r="J862" i="13" a="1"/>
  <c r="J862" i="13" s="1"/>
  <c r="K683" i="13" l="1"/>
  <c r="L683" i="13" s="1"/>
  <c r="I684" i="13" s="1"/>
  <c r="N864" i="13"/>
  <c r="J863" i="13" a="1"/>
  <c r="J863" i="13" s="1"/>
  <c r="L704" i="14"/>
  <c r="I705" i="14" s="1"/>
  <c r="M866" i="13"/>
  <c r="M867" i="14"/>
  <c r="N863" i="14"/>
  <c r="J862" i="14" a="1"/>
  <c r="J862" i="14" s="1"/>
  <c r="K684" i="13" l="1"/>
  <c r="L684" i="13" s="1"/>
  <c r="I685" i="13" s="1"/>
  <c r="N864" i="14"/>
  <c r="J863" i="14" a="1"/>
  <c r="J863" i="14" s="1"/>
  <c r="N865" i="13"/>
  <c r="J864" i="13" a="1"/>
  <c r="J864" i="13" s="1"/>
  <c r="M868" i="14"/>
  <c r="K705" i="14"/>
  <c r="M867" i="13"/>
  <c r="K685" i="13" l="1"/>
  <c r="L685" i="13" s="1"/>
  <c r="I686" i="13" s="1"/>
  <c r="L705" i="14"/>
  <c r="I706" i="14" s="1"/>
  <c r="N866" i="13"/>
  <c r="J865" i="13" a="1"/>
  <c r="J865" i="13" s="1"/>
  <c r="M868" i="13"/>
  <c r="M869" i="14"/>
  <c r="N865" i="14"/>
  <c r="J864" i="14" a="1"/>
  <c r="J864" i="14" s="1"/>
  <c r="K686" i="13" l="1"/>
  <c r="L686" i="13" s="1"/>
  <c r="I687" i="13" s="1"/>
  <c r="M869" i="13"/>
  <c r="K706" i="14"/>
  <c r="L706" i="14" s="1"/>
  <c r="I707" i="14" s="1"/>
  <c r="N866" i="14"/>
  <c r="J865" i="14" a="1"/>
  <c r="J865" i="14" s="1"/>
  <c r="M870" i="14"/>
  <c r="N867" i="13"/>
  <c r="J866" i="13" a="1"/>
  <c r="J866" i="13" s="1"/>
  <c r="K687" i="13" l="1"/>
  <c r="L687" i="13" s="1"/>
  <c r="I688" i="13" s="1"/>
  <c r="K707" i="14"/>
  <c r="L707" i="14" s="1"/>
  <c r="I708" i="14" s="1"/>
  <c r="M870" i="13"/>
  <c r="N868" i="13"/>
  <c r="J867" i="13" a="1"/>
  <c r="J867" i="13" s="1"/>
  <c r="M871" i="14"/>
  <c r="N867" i="14"/>
  <c r="J866" i="14" a="1"/>
  <c r="J866" i="14" s="1"/>
  <c r="K688" i="13" l="1"/>
  <c r="L688" i="13" s="1"/>
  <c r="I689" i="13" s="1"/>
  <c r="K708" i="14"/>
  <c r="L708" i="14" s="1"/>
  <c r="I709" i="14" s="1"/>
  <c r="N869" i="13"/>
  <c r="J868" i="13" a="1"/>
  <c r="J868" i="13" s="1"/>
  <c r="M871" i="13"/>
  <c r="N868" i="14"/>
  <c r="J867" i="14" a="1"/>
  <c r="J867" i="14" s="1"/>
  <c r="M872" i="14"/>
  <c r="K689" i="13" l="1"/>
  <c r="L689" i="13" s="1"/>
  <c r="I690" i="13" s="1"/>
  <c r="K709" i="14"/>
  <c r="L709" i="14" s="1"/>
  <c r="I710" i="14" s="1"/>
  <c r="M872" i="13"/>
  <c r="N869" i="14"/>
  <c r="J868" i="14" a="1"/>
  <c r="J868" i="14" s="1"/>
  <c r="M873" i="14"/>
  <c r="N870" i="13"/>
  <c r="J869" i="13" a="1"/>
  <c r="J869" i="13" s="1"/>
  <c r="K690" i="13" l="1"/>
  <c r="L690" i="13" s="1"/>
  <c r="I691" i="13" s="1"/>
  <c r="K710" i="14"/>
  <c r="L710" i="14" s="1"/>
  <c r="I711" i="14" s="1"/>
  <c r="N871" i="13"/>
  <c r="J870" i="13" a="1"/>
  <c r="J870" i="13" s="1"/>
  <c r="M874" i="14"/>
  <c r="M873" i="13"/>
  <c r="N870" i="14"/>
  <c r="J869" i="14" a="1"/>
  <c r="J869" i="14" s="1"/>
  <c r="K691" i="13" l="1"/>
  <c r="L691" i="13" s="1"/>
  <c r="I692" i="13" s="1"/>
  <c r="K711" i="14"/>
  <c r="L711" i="14" s="1"/>
  <c r="I712" i="14" s="1"/>
  <c r="M875" i="14"/>
  <c r="M874" i="13"/>
  <c r="N871" i="14"/>
  <c r="J870" i="14" a="1"/>
  <c r="J870" i="14" s="1"/>
  <c r="N872" i="13"/>
  <c r="J871" i="13" a="1"/>
  <c r="J871" i="13" s="1"/>
  <c r="K692" i="13" l="1"/>
  <c r="L692" i="13" s="1"/>
  <c r="I693" i="13" s="1"/>
  <c r="K712" i="14"/>
  <c r="L712" i="14" s="1"/>
  <c r="I713" i="14" s="1"/>
  <c r="M875" i="13"/>
  <c r="N873" i="13"/>
  <c r="J872" i="13" a="1"/>
  <c r="J872" i="13" s="1"/>
  <c r="M876" i="14"/>
  <c r="N872" i="14"/>
  <c r="J871" i="14" a="1"/>
  <c r="J871" i="14" s="1"/>
  <c r="K693" i="13" l="1"/>
  <c r="L693" i="13" s="1"/>
  <c r="I694" i="13" s="1"/>
  <c r="N873" i="14"/>
  <c r="J872" i="14" a="1"/>
  <c r="J872" i="14" s="1"/>
  <c r="K713" i="14"/>
  <c r="L713" i="14" s="1"/>
  <c r="I714" i="14" s="1"/>
  <c r="M877" i="14"/>
  <c r="M876" i="13"/>
  <c r="N874" i="13"/>
  <c r="J873" i="13" a="1"/>
  <c r="J873" i="13" s="1"/>
  <c r="K694" i="13" l="1"/>
  <c r="K714" i="14"/>
  <c r="L714" i="14" s="1"/>
  <c r="I715" i="14" s="1"/>
  <c r="M878" i="14"/>
  <c r="N875" i="13"/>
  <c r="J874" i="13" a="1"/>
  <c r="J874" i="13" s="1"/>
  <c r="N874" i="14"/>
  <c r="J873" i="14" a="1"/>
  <c r="J873" i="14" s="1"/>
  <c r="M877" i="13"/>
  <c r="L694" i="13" l="1"/>
  <c r="I695" i="13" s="1"/>
  <c r="K715" i="14"/>
  <c r="L715" i="14" s="1"/>
  <c r="I716" i="14" s="1"/>
  <c r="M879" i="14"/>
  <c r="M878" i="13"/>
  <c r="N875" i="14"/>
  <c r="J874" i="14" a="1"/>
  <c r="J874" i="14" s="1"/>
  <c r="N876" i="13"/>
  <c r="J875" i="13" a="1"/>
  <c r="J875" i="13" s="1"/>
  <c r="K695" i="13" l="1"/>
  <c r="L695" i="13" s="1"/>
  <c r="I696" i="13" s="1"/>
  <c r="K716" i="14"/>
  <c r="L716" i="14" s="1"/>
  <c r="I717" i="14" s="1"/>
  <c r="M879" i="13"/>
  <c r="N877" i="13"/>
  <c r="J876" i="13" a="1"/>
  <c r="J876" i="13" s="1"/>
  <c r="M880" i="14"/>
  <c r="N876" i="14"/>
  <c r="J875" i="14" a="1"/>
  <c r="J875" i="14" s="1"/>
  <c r="K696" i="13" l="1"/>
  <c r="L696" i="13" s="1"/>
  <c r="I697" i="13" s="1"/>
  <c r="N877" i="14"/>
  <c r="J876" i="14" a="1"/>
  <c r="J876" i="14" s="1"/>
  <c r="M881" i="14"/>
  <c r="N878" i="13"/>
  <c r="J877" i="13" a="1"/>
  <c r="J877" i="13" s="1"/>
  <c r="K717" i="14"/>
  <c r="M880" i="13"/>
  <c r="K697" i="13" l="1"/>
  <c r="L697" i="13" s="1"/>
  <c r="I698" i="13" s="1"/>
  <c r="N878" i="14"/>
  <c r="J877" i="14" a="1"/>
  <c r="J877" i="14" s="1"/>
  <c r="M882" i="14"/>
  <c r="L717" i="14"/>
  <c r="I718" i="14" s="1"/>
  <c r="N879" i="13"/>
  <c r="J878" i="13" a="1"/>
  <c r="J878" i="13" s="1"/>
  <c r="M881" i="13"/>
  <c r="K698" i="13" l="1"/>
  <c r="L698" i="13" s="1"/>
  <c r="I699" i="13" s="1"/>
  <c r="M883" i="14"/>
  <c r="N879" i="14"/>
  <c r="J878" i="14" a="1"/>
  <c r="J878" i="14" s="1"/>
  <c r="M882" i="13"/>
  <c r="K718" i="14"/>
  <c r="N880" i="13"/>
  <c r="J879" i="13" a="1"/>
  <c r="J879" i="13" s="1"/>
  <c r="K699" i="13" l="1"/>
  <c r="L699" i="13" s="1"/>
  <c r="I700" i="13" s="1"/>
  <c r="M883" i="13"/>
  <c r="M884" i="14"/>
  <c r="N881" i="13"/>
  <c r="J880" i="13" a="1"/>
  <c r="J880" i="13" s="1"/>
  <c r="L718" i="14"/>
  <c r="I719" i="14" s="1"/>
  <c r="N880" i="14"/>
  <c r="J879" i="14" a="1"/>
  <c r="J879" i="14" s="1"/>
  <c r="K700" i="13" l="1"/>
  <c r="L700" i="13" s="1"/>
  <c r="I701" i="13" s="1"/>
  <c r="M884" i="13"/>
  <c r="N882" i="13"/>
  <c r="J881" i="13" a="1"/>
  <c r="J881" i="13" s="1"/>
  <c r="N881" i="14"/>
  <c r="J880" i="14" a="1"/>
  <c r="J880" i="14" s="1"/>
  <c r="K719" i="14"/>
  <c r="M885" i="14"/>
  <c r="K701" i="13" l="1"/>
  <c r="L701" i="13" s="1"/>
  <c r="I702" i="13" s="1"/>
  <c r="M885" i="13"/>
  <c r="N882" i="14"/>
  <c r="J881" i="14" a="1"/>
  <c r="J881" i="14" s="1"/>
  <c r="M886" i="14"/>
  <c r="L719" i="14"/>
  <c r="I720" i="14" s="1"/>
  <c r="N883" i="13"/>
  <c r="J882" i="13" a="1"/>
  <c r="J882" i="13" s="1"/>
  <c r="K702" i="13" l="1"/>
  <c r="L702" i="13" s="1"/>
  <c r="I703" i="13" s="1"/>
  <c r="M887" i="14"/>
  <c r="M886" i="13"/>
  <c r="N884" i="13"/>
  <c r="J883" i="13" a="1"/>
  <c r="J883" i="13" s="1"/>
  <c r="K720" i="14"/>
  <c r="N883" i="14"/>
  <c r="J882" i="14" a="1"/>
  <c r="J882" i="14" s="1"/>
  <c r="K703" i="13" l="1"/>
  <c r="L703" i="13" s="1"/>
  <c r="I704" i="13" s="1"/>
  <c r="M888" i="14"/>
  <c r="N884" i="14"/>
  <c r="J883" i="14" a="1"/>
  <c r="J883" i="14" s="1"/>
  <c r="N885" i="13"/>
  <c r="J884" i="13" a="1"/>
  <c r="J884" i="13" s="1"/>
  <c r="M887" i="13"/>
  <c r="L720" i="14"/>
  <c r="I721" i="14" s="1"/>
  <c r="K704" i="13" l="1"/>
  <c r="M889" i="14"/>
  <c r="K721" i="14"/>
  <c r="L721" i="14" s="1"/>
  <c r="I722" i="14" s="1"/>
  <c r="M888" i="13"/>
  <c r="N886" i="13"/>
  <c r="J885" i="13" a="1"/>
  <c r="J885" i="13" s="1"/>
  <c r="N885" i="14"/>
  <c r="J884" i="14" a="1"/>
  <c r="J884" i="14" s="1"/>
  <c r="L704" i="13" l="1"/>
  <c r="I705" i="13" s="1"/>
  <c r="K722" i="14"/>
  <c r="L722" i="14" s="1"/>
  <c r="I723" i="14" s="1"/>
  <c r="N887" i="13"/>
  <c r="J886" i="13" a="1"/>
  <c r="J886" i="13" s="1"/>
  <c r="N886" i="14"/>
  <c r="J885" i="14" a="1"/>
  <c r="J885" i="14" s="1"/>
  <c r="M889" i="13"/>
  <c r="M890" i="14"/>
  <c r="K705" i="13" l="1"/>
  <c r="K723" i="14"/>
  <c r="L723" i="14" s="1"/>
  <c r="I724" i="14" s="1"/>
  <c r="M890" i="13"/>
  <c r="N888" i="13"/>
  <c r="J887" i="13" a="1"/>
  <c r="J887" i="13" s="1"/>
  <c r="N887" i="14"/>
  <c r="J886" i="14" a="1"/>
  <c r="J886" i="14" s="1"/>
  <c r="M891" i="14"/>
  <c r="L705" i="13" l="1"/>
  <c r="I706" i="13" s="1"/>
  <c r="M892" i="14"/>
  <c r="N889" i="13"/>
  <c r="J888" i="13" a="1"/>
  <c r="J888" i="13" s="1"/>
  <c r="N888" i="14"/>
  <c r="J887" i="14" a="1"/>
  <c r="J887" i="14" s="1"/>
  <c r="M891" i="13"/>
  <c r="K724" i="14"/>
  <c r="L724" i="14" s="1"/>
  <c r="I725" i="14" s="1"/>
  <c r="K706" i="13" l="1"/>
  <c r="L706" i="13" s="1"/>
  <c r="I707" i="13" s="1"/>
  <c r="K725" i="14"/>
  <c r="L725" i="14" s="1"/>
  <c r="I726" i="14" s="1"/>
  <c r="N890" i="13"/>
  <c r="J889" i="13" a="1"/>
  <c r="J889" i="13" s="1"/>
  <c r="N889" i="14"/>
  <c r="J888" i="14" a="1"/>
  <c r="J888" i="14" s="1"/>
  <c r="M892" i="13"/>
  <c r="M893" i="14"/>
  <c r="K707" i="13" l="1"/>
  <c r="L707" i="13" s="1"/>
  <c r="I708" i="13" s="1"/>
  <c r="K726" i="14"/>
  <c r="L726" i="14" s="1"/>
  <c r="I727" i="14" s="1"/>
  <c r="N890" i="14"/>
  <c r="J889" i="14" a="1"/>
  <c r="J889" i="14" s="1"/>
  <c r="M894" i="14"/>
  <c r="M893" i="13"/>
  <c r="N891" i="13"/>
  <c r="J890" i="13" a="1"/>
  <c r="J890" i="13" s="1"/>
  <c r="K708" i="13" l="1"/>
  <c r="L708" i="13" s="1"/>
  <c r="I709" i="13" s="1"/>
  <c r="K727" i="14"/>
  <c r="L727" i="14" s="1"/>
  <c r="I728" i="14" s="1"/>
  <c r="M895" i="14"/>
  <c r="N892" i="13"/>
  <c r="J891" i="13" a="1"/>
  <c r="J891" i="13" s="1"/>
  <c r="M894" i="13"/>
  <c r="N891" i="14"/>
  <c r="J890" i="14" a="1"/>
  <c r="J890" i="14" s="1"/>
  <c r="K709" i="13" l="1"/>
  <c r="L709" i="13" s="1"/>
  <c r="I710" i="13" s="1"/>
  <c r="K728" i="14"/>
  <c r="L728" i="14" s="1"/>
  <c r="I729" i="14" s="1"/>
  <c r="N893" i="13"/>
  <c r="J892" i="13" a="1"/>
  <c r="J892" i="13" s="1"/>
  <c r="M896" i="14"/>
  <c r="N892" i="14"/>
  <c r="J891" i="14" a="1"/>
  <c r="J891" i="14" s="1"/>
  <c r="M895" i="13"/>
  <c r="K710" i="13" l="1"/>
  <c r="L710" i="13" s="1"/>
  <c r="I711" i="13" s="1"/>
  <c r="K729" i="14"/>
  <c r="L729" i="14" s="1"/>
  <c r="I730" i="14" s="1"/>
  <c r="M896" i="13"/>
  <c r="M897" i="14"/>
  <c r="N893" i="14"/>
  <c r="J892" i="14" a="1"/>
  <c r="J892" i="14" s="1"/>
  <c r="N894" i="13"/>
  <c r="J893" i="13" a="1"/>
  <c r="J893" i="13" s="1"/>
  <c r="K711" i="13" l="1"/>
  <c r="L711" i="13" s="1"/>
  <c r="I712" i="13" s="1"/>
  <c r="K730" i="14"/>
  <c r="L730" i="14" s="1"/>
  <c r="I731" i="14" s="1"/>
  <c r="M898" i="14"/>
  <c r="N895" i="13"/>
  <c r="J894" i="13" a="1"/>
  <c r="J894" i="13" s="1"/>
  <c r="M897" i="13"/>
  <c r="N894" i="14"/>
  <c r="J893" i="14" a="1"/>
  <c r="J893" i="14" s="1"/>
  <c r="K712" i="13" l="1"/>
  <c r="L712" i="13" s="1"/>
  <c r="I713" i="13" s="1"/>
  <c r="K731" i="14"/>
  <c r="L731" i="14" s="1"/>
  <c r="I732" i="14" s="1"/>
  <c r="N896" i="13"/>
  <c r="J895" i="13" a="1"/>
  <c r="J895" i="13" s="1"/>
  <c r="N895" i="14"/>
  <c r="J894" i="14" a="1"/>
  <c r="J894" i="14" s="1"/>
  <c r="M898" i="13"/>
  <c r="M899" i="14"/>
  <c r="K713" i="13" l="1"/>
  <c r="L713" i="13" s="1"/>
  <c r="I714" i="13" s="1"/>
  <c r="K732" i="14"/>
  <c r="L732" i="14" s="1"/>
  <c r="I733" i="14" s="1"/>
  <c r="M900" i="14"/>
  <c r="N896" i="14"/>
  <c r="J895" i="14" a="1"/>
  <c r="J895" i="14" s="1"/>
  <c r="M899" i="13"/>
  <c r="N897" i="13"/>
  <c r="J896" i="13" a="1"/>
  <c r="J896" i="13" s="1"/>
  <c r="K714" i="13" l="1"/>
  <c r="L714" i="13" s="1"/>
  <c r="I715" i="13" s="1"/>
  <c r="K733" i="14"/>
  <c r="L733" i="14" s="1"/>
  <c r="I734" i="14" s="1"/>
  <c r="N897" i="14"/>
  <c r="J896" i="14" a="1"/>
  <c r="J896" i="14" s="1"/>
  <c r="M900" i="13"/>
  <c r="N898" i="13"/>
  <c r="J897" i="13" a="1"/>
  <c r="J897" i="13" s="1"/>
  <c r="M901" i="14"/>
  <c r="K715" i="13" l="1"/>
  <c r="L715" i="13" s="1"/>
  <c r="I716" i="13" s="1"/>
  <c r="K734" i="14"/>
  <c r="L734" i="14" s="1"/>
  <c r="I735" i="14" s="1"/>
  <c r="M902" i="14"/>
  <c r="M901" i="13"/>
  <c r="N899" i="13"/>
  <c r="J898" i="13" a="1"/>
  <c r="J898" i="13" s="1"/>
  <c r="N898" i="14"/>
  <c r="J897" i="14" a="1"/>
  <c r="J897" i="14" s="1"/>
  <c r="K716" i="13" l="1"/>
  <c r="K735" i="14"/>
  <c r="L735" i="14" s="1"/>
  <c r="I736" i="14" s="1"/>
  <c r="M902" i="13"/>
  <c r="N899" i="14"/>
  <c r="J898" i="14" a="1"/>
  <c r="J898" i="14" s="1"/>
  <c r="M903" i="14"/>
  <c r="N900" i="13"/>
  <c r="J899" i="13" a="1"/>
  <c r="J899" i="13" s="1"/>
  <c r="L716" i="13" l="1"/>
  <c r="I717" i="13" s="1"/>
  <c r="K736" i="14"/>
  <c r="L736" i="14" s="1"/>
  <c r="I737" i="14" s="1"/>
  <c r="M903" i="13"/>
  <c r="N901" i="13"/>
  <c r="J900" i="13" a="1"/>
  <c r="J900" i="13" s="1"/>
  <c r="M904" i="14"/>
  <c r="N900" i="14"/>
  <c r="J899" i="14" a="1"/>
  <c r="J899" i="14" s="1"/>
  <c r="K717" i="13" l="1"/>
  <c r="K737" i="14"/>
  <c r="L737" i="14" s="1"/>
  <c r="I738" i="14" s="1"/>
  <c r="M904" i="13"/>
  <c r="M905" i="14"/>
  <c r="N901" i="14"/>
  <c r="J900" i="14" a="1"/>
  <c r="J900" i="14" s="1"/>
  <c r="N902" i="13"/>
  <c r="J901" i="13" a="1"/>
  <c r="J901" i="13" s="1"/>
  <c r="L717" i="13" l="1"/>
  <c r="I718" i="13" s="1"/>
  <c r="K738" i="14"/>
  <c r="L738" i="14" s="1"/>
  <c r="I739" i="14" s="1"/>
  <c r="N903" i="13"/>
  <c r="J902" i="13" a="1"/>
  <c r="J902" i="13" s="1"/>
  <c r="M906" i="14"/>
  <c r="M905" i="13"/>
  <c r="N902" i="14"/>
  <c r="J901" i="14" a="1"/>
  <c r="J901" i="14" s="1"/>
  <c r="K718" i="13" l="1"/>
  <c r="K739" i="14"/>
  <c r="L739" i="14" s="1"/>
  <c r="I740" i="14" s="1"/>
  <c r="N904" i="13"/>
  <c r="J903" i="13" a="1"/>
  <c r="J903" i="13" s="1"/>
  <c r="N903" i="14"/>
  <c r="J902" i="14" a="1"/>
  <c r="J902" i="14" s="1"/>
  <c r="M906" i="13"/>
  <c r="M907" i="14"/>
  <c r="L718" i="13" l="1"/>
  <c r="I719" i="13" s="1"/>
  <c r="K740" i="14"/>
  <c r="L740" i="14" s="1"/>
  <c r="I741" i="14" s="1"/>
  <c r="N904" i="14"/>
  <c r="J903" i="14" a="1"/>
  <c r="J903" i="14" s="1"/>
  <c r="M907" i="13"/>
  <c r="M908" i="14"/>
  <c r="N905" i="13"/>
  <c r="J904" i="13" a="1"/>
  <c r="J904" i="13" s="1"/>
  <c r="K719" i="13" l="1"/>
  <c r="K741" i="14"/>
  <c r="L741" i="14" s="1"/>
  <c r="I742" i="14" s="1"/>
  <c r="M909" i="14"/>
  <c r="N905" i="14"/>
  <c r="J904" i="14" a="1"/>
  <c r="J904" i="14" s="1"/>
  <c r="N906" i="13"/>
  <c r="J905" i="13" a="1"/>
  <c r="J905" i="13" s="1"/>
  <c r="M908" i="13"/>
  <c r="L719" i="13" l="1"/>
  <c r="I720" i="13" s="1"/>
  <c r="K742" i="14"/>
  <c r="L742" i="14" s="1"/>
  <c r="I743" i="14" s="1"/>
  <c r="M910" i="14"/>
  <c r="M909" i="13"/>
  <c r="N907" i="13"/>
  <c r="J906" i="13" a="1"/>
  <c r="J906" i="13" s="1"/>
  <c r="N906" i="14"/>
  <c r="J905" i="14" a="1"/>
  <c r="J905" i="14" s="1"/>
  <c r="K720" i="13" l="1"/>
  <c r="L720" i="13" s="1"/>
  <c r="I721" i="13" s="1"/>
  <c r="K743" i="14"/>
  <c r="L743" i="14" s="1"/>
  <c r="I744" i="14" s="1"/>
  <c r="M910" i="13"/>
  <c r="M911" i="14"/>
  <c r="N907" i="14"/>
  <c r="J906" i="14" a="1"/>
  <c r="J906" i="14" s="1"/>
  <c r="N908" i="13"/>
  <c r="J907" i="13" a="1"/>
  <c r="J907" i="13" s="1"/>
  <c r="K721" i="13" l="1"/>
  <c r="L721" i="13" s="1"/>
  <c r="I722" i="13" s="1"/>
  <c r="K744" i="14"/>
  <c r="L744" i="14" s="1"/>
  <c r="I745" i="14" s="1"/>
  <c r="M912" i="14"/>
  <c r="N909" i="13"/>
  <c r="J908" i="13" a="1"/>
  <c r="J908" i="13" s="1"/>
  <c r="M911" i="13"/>
  <c r="N908" i="14"/>
  <c r="J907" i="14" a="1"/>
  <c r="J907" i="14" s="1"/>
  <c r="K722" i="13" l="1"/>
  <c r="L722" i="13" s="1"/>
  <c r="I723" i="13" s="1"/>
  <c r="K745" i="14"/>
  <c r="L745" i="14" s="1"/>
  <c r="I746" i="14" s="1"/>
  <c r="N909" i="14"/>
  <c r="J908" i="14" a="1"/>
  <c r="J908" i="14" s="1"/>
  <c r="N910" i="13"/>
  <c r="J909" i="13" a="1"/>
  <c r="J909" i="13" s="1"/>
  <c r="M912" i="13"/>
  <c r="M913" i="14"/>
  <c r="K723" i="13" l="1"/>
  <c r="L723" i="13" s="1"/>
  <c r="I724" i="13" s="1"/>
  <c r="K746" i="14"/>
  <c r="L746" i="14" s="1"/>
  <c r="I747" i="14" s="1"/>
  <c r="N911" i="13"/>
  <c r="J910" i="13" a="1"/>
  <c r="J910" i="13" s="1"/>
  <c r="M913" i="13"/>
  <c r="N910" i="14"/>
  <c r="J909" i="14" a="1"/>
  <c r="J909" i="14" s="1"/>
  <c r="M914" i="14"/>
  <c r="K724" i="13" l="1"/>
  <c r="L724" i="13" s="1"/>
  <c r="I725" i="13" s="1"/>
  <c r="K747" i="14"/>
  <c r="L747" i="14" s="1"/>
  <c r="I748" i="14" s="1"/>
  <c r="N911" i="14"/>
  <c r="J910" i="14" a="1"/>
  <c r="J910" i="14" s="1"/>
  <c r="N912" i="13"/>
  <c r="J911" i="13" a="1"/>
  <c r="J911" i="13" s="1"/>
  <c r="M915" i="14"/>
  <c r="M914" i="13"/>
  <c r="K725" i="13" l="1"/>
  <c r="L725" i="13" s="1"/>
  <c r="I726" i="13" s="1"/>
  <c r="K748" i="14"/>
  <c r="L748" i="14" s="1"/>
  <c r="I749" i="14" s="1"/>
  <c r="M915" i="13"/>
  <c r="N912" i="14"/>
  <c r="J911" i="14" a="1"/>
  <c r="J911" i="14" s="1"/>
  <c r="M916" i="14"/>
  <c r="N913" i="13"/>
  <c r="J912" i="13" a="1"/>
  <c r="J912" i="13" s="1"/>
  <c r="K726" i="13" l="1"/>
  <c r="L726" i="13" s="1"/>
  <c r="I727" i="13" s="1"/>
  <c r="K749" i="14"/>
  <c r="L749" i="14" s="1"/>
  <c r="I750" i="14" s="1"/>
  <c r="N913" i="14"/>
  <c r="J912" i="14" a="1"/>
  <c r="J912" i="14" s="1"/>
  <c r="N914" i="13"/>
  <c r="J913" i="13" a="1"/>
  <c r="J913" i="13" s="1"/>
  <c r="M917" i="14"/>
  <c r="M916" i="13"/>
  <c r="K727" i="13" l="1"/>
  <c r="L727" i="13" s="1"/>
  <c r="I728" i="13" s="1"/>
  <c r="M917" i="13"/>
  <c r="N915" i="13"/>
  <c r="J914" i="13" a="1"/>
  <c r="J914" i="13" s="1"/>
  <c r="M918" i="14"/>
  <c r="N914" i="14"/>
  <c r="J913" i="14" a="1"/>
  <c r="J913" i="14" s="1"/>
  <c r="K750" i="14"/>
  <c r="L750" i="14" s="1"/>
  <c r="I751" i="14" s="1"/>
  <c r="K728" i="13" l="1"/>
  <c r="L728" i="13" s="1"/>
  <c r="I729" i="13" s="1"/>
  <c r="K751" i="14"/>
  <c r="L751" i="14" s="1"/>
  <c r="I752" i="14" s="1"/>
  <c r="M918" i="13"/>
  <c r="M919" i="14"/>
  <c r="N915" i="14"/>
  <c r="J914" i="14" a="1"/>
  <c r="J914" i="14" s="1"/>
  <c r="N916" i="13"/>
  <c r="J915" i="13" a="1"/>
  <c r="J915" i="13" s="1"/>
  <c r="K729" i="13" l="1"/>
  <c r="L729" i="13" s="1"/>
  <c r="I730" i="13" s="1"/>
  <c r="K752" i="14"/>
  <c r="L752" i="14" s="1"/>
  <c r="I753" i="14" s="1"/>
  <c r="M919" i="13"/>
  <c r="M920" i="14"/>
  <c r="N917" i="13"/>
  <c r="J916" i="13" a="1"/>
  <c r="J916" i="13" s="1"/>
  <c r="N916" i="14"/>
  <c r="J915" i="14" a="1"/>
  <c r="J915" i="14" s="1"/>
  <c r="K730" i="13" l="1"/>
  <c r="L730" i="13" s="1"/>
  <c r="I731" i="13" s="1"/>
  <c r="K753" i="14"/>
  <c r="L753" i="14" s="1"/>
  <c r="I754" i="14" s="1"/>
  <c r="M920" i="13"/>
  <c r="M921" i="14"/>
  <c r="N917" i="14"/>
  <c r="J916" i="14" a="1"/>
  <c r="J916" i="14" s="1"/>
  <c r="N918" i="13"/>
  <c r="J917" i="13" a="1"/>
  <c r="J917" i="13" s="1"/>
  <c r="K731" i="13" l="1"/>
  <c r="L731" i="13" s="1"/>
  <c r="I732" i="13" s="1"/>
  <c r="K754" i="14"/>
  <c r="L754" i="14" s="1"/>
  <c r="I755" i="14" s="1"/>
  <c r="M922" i="14"/>
  <c r="M921" i="13"/>
  <c r="N919" i="13"/>
  <c r="J918" i="13" a="1"/>
  <c r="J918" i="13" s="1"/>
  <c r="N918" i="14"/>
  <c r="J917" i="14" a="1"/>
  <c r="J917" i="14" s="1"/>
  <c r="K732" i="13" l="1"/>
  <c r="L732" i="13" s="1"/>
  <c r="I733" i="13" s="1"/>
  <c r="K755" i="14"/>
  <c r="L755" i="14" s="1"/>
  <c r="I756" i="14" s="1"/>
  <c r="N919" i="14"/>
  <c r="J918" i="14" a="1"/>
  <c r="J918" i="14" s="1"/>
  <c r="M922" i="13"/>
  <c r="M923" i="14"/>
  <c r="N920" i="13"/>
  <c r="J919" i="13" a="1"/>
  <c r="J919" i="13" s="1"/>
  <c r="K733" i="13" l="1"/>
  <c r="L733" i="13" s="1"/>
  <c r="I734" i="13" s="1"/>
  <c r="K756" i="14"/>
  <c r="L756" i="14" s="1"/>
  <c r="I757" i="14" s="1"/>
  <c r="N921" i="13"/>
  <c r="J920" i="13" a="1"/>
  <c r="J920" i="13" s="1"/>
  <c r="M923" i="13"/>
  <c r="M924" i="14"/>
  <c r="N920" i="14"/>
  <c r="J919" i="14" a="1"/>
  <c r="J919" i="14" s="1"/>
  <c r="K734" i="13" l="1"/>
  <c r="L734" i="13" s="1"/>
  <c r="I735" i="13" s="1"/>
  <c r="K757" i="14"/>
  <c r="L757" i="14" s="1"/>
  <c r="I758" i="14" s="1"/>
  <c r="M924" i="13"/>
  <c r="N921" i="14"/>
  <c r="J920" i="14" a="1"/>
  <c r="J920" i="14" s="1"/>
  <c r="M925" i="14"/>
  <c r="N922" i="13"/>
  <c r="J921" i="13" a="1"/>
  <c r="J921" i="13" s="1"/>
  <c r="K735" i="13" l="1"/>
  <c r="L735" i="13" s="1"/>
  <c r="I736" i="13" s="1"/>
  <c r="K758" i="14"/>
  <c r="L758" i="14" s="1"/>
  <c r="I759" i="14" s="1"/>
  <c r="M925" i="13"/>
  <c r="N923" i="13"/>
  <c r="J922" i="13" a="1"/>
  <c r="J922" i="13" s="1"/>
  <c r="M926" i="14"/>
  <c r="N922" i="14"/>
  <c r="J921" i="14" a="1"/>
  <c r="J921" i="14" s="1"/>
  <c r="K736" i="13" l="1"/>
  <c r="L736" i="13" s="1"/>
  <c r="I737" i="13" s="1"/>
  <c r="K759" i="14"/>
  <c r="L759" i="14" s="1"/>
  <c r="I760" i="14" s="1"/>
  <c r="N923" i="14"/>
  <c r="J922" i="14" a="1"/>
  <c r="J922" i="14" s="1"/>
  <c r="N924" i="13"/>
  <c r="J923" i="13" a="1"/>
  <c r="J923" i="13" s="1"/>
  <c r="M926" i="13"/>
  <c r="M927" i="14"/>
  <c r="K737" i="13" l="1"/>
  <c r="L737" i="13" s="1"/>
  <c r="I738" i="13" s="1"/>
  <c r="K760" i="14"/>
  <c r="L760" i="14" s="1"/>
  <c r="I761" i="14" s="1"/>
  <c r="M928" i="14"/>
  <c r="M927" i="13"/>
  <c r="N925" i="13"/>
  <c r="J924" i="13" a="1"/>
  <c r="J924" i="13" s="1"/>
  <c r="N924" i="14"/>
  <c r="J923" i="14" a="1"/>
  <c r="J923" i="14" s="1"/>
  <c r="K738" i="13" l="1"/>
  <c r="L738" i="13" s="1"/>
  <c r="I739" i="13" s="1"/>
  <c r="K761" i="14"/>
  <c r="L761" i="14" s="1"/>
  <c r="I762" i="14" s="1"/>
  <c r="M928" i="13"/>
  <c r="N925" i="14"/>
  <c r="J924" i="14" a="1"/>
  <c r="J924" i="14" s="1"/>
  <c r="M929" i="14"/>
  <c r="N926" i="13"/>
  <c r="J925" i="13" a="1"/>
  <c r="J925" i="13" s="1"/>
  <c r="K739" i="13" l="1"/>
  <c r="L739" i="13" s="1"/>
  <c r="I740" i="13" s="1"/>
  <c r="K762" i="14"/>
  <c r="L762" i="14" s="1"/>
  <c r="I763" i="14" s="1"/>
  <c r="N926" i="14"/>
  <c r="J925" i="14" a="1"/>
  <c r="J925" i="14" s="1"/>
  <c r="M930" i="14"/>
  <c r="N927" i="13"/>
  <c r="J926" i="13" a="1"/>
  <c r="J926" i="13" s="1"/>
  <c r="M929" i="13"/>
  <c r="K740" i="13" l="1"/>
  <c r="L740" i="13" s="1"/>
  <c r="I741" i="13" s="1"/>
  <c r="K763" i="14"/>
  <c r="L763" i="14" s="1"/>
  <c r="I764" i="14" s="1"/>
  <c r="M930" i="13"/>
  <c r="M931" i="14"/>
  <c r="N928" i="13"/>
  <c r="J927" i="13" a="1"/>
  <c r="J927" i="13" s="1"/>
  <c r="N927" i="14"/>
  <c r="J926" i="14" a="1"/>
  <c r="J926" i="14" s="1"/>
  <c r="K741" i="13" l="1"/>
  <c r="L741" i="13" s="1"/>
  <c r="I742" i="13" s="1"/>
  <c r="K764" i="14"/>
  <c r="L764" i="14" s="1"/>
  <c r="I765" i="14" s="1"/>
  <c r="M932" i="14"/>
  <c r="M931" i="13"/>
  <c r="N928" i="14"/>
  <c r="J927" i="14" a="1"/>
  <c r="J927" i="14" s="1"/>
  <c r="N929" i="13"/>
  <c r="J928" i="13" a="1"/>
  <c r="J928" i="13" s="1"/>
  <c r="K742" i="13" l="1"/>
  <c r="L742" i="13" s="1"/>
  <c r="I743" i="13" s="1"/>
  <c r="K765" i="14"/>
  <c r="L765" i="14" s="1"/>
  <c r="I766" i="14" s="1"/>
  <c r="M932" i="13"/>
  <c r="N930" i="13"/>
  <c r="J929" i="13" a="1"/>
  <c r="J929" i="13" s="1"/>
  <c r="M933" i="14"/>
  <c r="N929" i="14"/>
  <c r="J928" i="14" a="1"/>
  <c r="J928" i="14" s="1"/>
  <c r="K743" i="13" l="1"/>
  <c r="L743" i="13" s="1"/>
  <c r="I744" i="13" s="1"/>
  <c r="K766" i="14"/>
  <c r="L766" i="14" s="1"/>
  <c r="I767" i="14" s="1"/>
  <c r="N931" i="13"/>
  <c r="J930" i="13" a="1"/>
  <c r="J930" i="13" s="1"/>
  <c r="M933" i="13"/>
  <c r="J929" i="14" a="1"/>
  <c r="J929" i="14" s="1"/>
  <c r="N930" i="14"/>
  <c r="M934" i="14"/>
  <c r="K744" i="13" l="1"/>
  <c r="L744" i="13" s="1"/>
  <c r="I745" i="13" s="1"/>
  <c r="K767" i="14"/>
  <c r="L767" i="14" s="1"/>
  <c r="I768" i="14" s="1"/>
  <c r="N931" i="14"/>
  <c r="J930" i="14" a="1"/>
  <c r="J930" i="14" s="1"/>
  <c r="M935" i="14"/>
  <c r="M934" i="13"/>
  <c r="N932" i="13"/>
  <c r="J931" i="13" a="1"/>
  <c r="J931" i="13" s="1"/>
  <c r="K745" i="13" l="1"/>
  <c r="L745" i="13" s="1"/>
  <c r="I746" i="13" s="1"/>
  <c r="K768" i="14"/>
  <c r="L768" i="14" s="1"/>
  <c r="I769" i="14" s="1"/>
  <c r="N933" i="13"/>
  <c r="J932" i="13" a="1"/>
  <c r="J932" i="13" s="1"/>
  <c r="M936" i="14"/>
  <c r="M935" i="13"/>
  <c r="J931" i="14" a="1"/>
  <c r="J931" i="14" s="1"/>
  <c r="N932" i="14"/>
  <c r="K746" i="13" l="1"/>
  <c r="L746" i="13" s="1"/>
  <c r="I747" i="13" s="1"/>
  <c r="N933" i="14"/>
  <c r="J932" i="14" a="1"/>
  <c r="J932" i="14" s="1"/>
  <c r="M937" i="14"/>
  <c r="M936" i="13"/>
  <c r="N934" i="13"/>
  <c r="J933" i="13" a="1"/>
  <c r="J933" i="13" s="1"/>
  <c r="K769" i="14"/>
  <c r="L769" i="14" s="1"/>
  <c r="I770" i="14" s="1"/>
  <c r="K747" i="13" l="1"/>
  <c r="L747" i="13" s="1"/>
  <c r="I748" i="13" s="1"/>
  <c r="K770" i="14"/>
  <c r="L770" i="14" s="1"/>
  <c r="I771" i="14" s="1"/>
  <c r="N935" i="13"/>
  <c r="J934" i="13" a="1"/>
  <c r="J934" i="13" s="1"/>
  <c r="J933" i="14" a="1"/>
  <c r="J933" i="14" s="1"/>
  <c r="N934" i="14"/>
  <c r="M938" i="14"/>
  <c r="M937" i="13"/>
  <c r="K748" i="13" l="1"/>
  <c r="L748" i="13" s="1"/>
  <c r="I749" i="13" s="1"/>
  <c r="K771" i="14"/>
  <c r="L771" i="14" s="1"/>
  <c r="I772" i="14" s="1"/>
  <c r="M939" i="14"/>
  <c r="N936" i="13"/>
  <c r="J935" i="13" a="1"/>
  <c r="J935" i="13" s="1"/>
  <c r="M938" i="13"/>
  <c r="N935" i="14"/>
  <c r="J934" i="14" a="1"/>
  <c r="J934" i="14" s="1"/>
  <c r="K749" i="13" l="1"/>
  <c r="L749" i="13" s="1"/>
  <c r="I750" i="13" s="1"/>
  <c r="K772" i="14"/>
  <c r="L772" i="14" s="1"/>
  <c r="I773" i="14" s="1"/>
  <c r="J935" i="14" a="1"/>
  <c r="J935" i="14" s="1"/>
  <c r="N936" i="14"/>
  <c r="N937" i="13"/>
  <c r="J936" i="13" a="1"/>
  <c r="J936" i="13" s="1"/>
  <c r="M939" i="13"/>
  <c r="M940" i="14"/>
  <c r="K750" i="13" l="1"/>
  <c r="L750" i="13" s="1"/>
  <c r="I751" i="13" s="1"/>
  <c r="K773" i="14"/>
  <c r="L773" i="14" s="1"/>
  <c r="I774" i="14" s="1"/>
  <c r="N938" i="13"/>
  <c r="J937" i="13" a="1"/>
  <c r="J937" i="13" s="1"/>
  <c r="M941" i="14"/>
  <c r="M940" i="13"/>
  <c r="N937" i="14"/>
  <c r="J936" i="14" a="1"/>
  <c r="J936" i="14" s="1"/>
  <c r="K751" i="13" l="1"/>
  <c r="L751" i="13" s="1"/>
  <c r="I752" i="13" s="1"/>
  <c r="K774" i="14"/>
  <c r="L774" i="14" s="1"/>
  <c r="I775" i="14" s="1"/>
  <c r="J937" i="14" a="1"/>
  <c r="J937" i="14" s="1"/>
  <c r="N938" i="14"/>
  <c r="M942" i="14"/>
  <c r="M941" i="13"/>
  <c r="N939" i="13"/>
  <c r="J938" i="13" a="1"/>
  <c r="J938" i="13" s="1"/>
  <c r="K752" i="13" l="1"/>
  <c r="L752" i="13" s="1"/>
  <c r="I753" i="13" s="1"/>
  <c r="K775" i="14"/>
  <c r="L775" i="14" s="1"/>
  <c r="I776" i="14" s="1"/>
  <c r="N939" i="14"/>
  <c r="J938" i="14" a="1"/>
  <c r="J938" i="14" s="1"/>
  <c r="M943" i="14"/>
  <c r="M942" i="13"/>
  <c r="N940" i="13"/>
  <c r="J939" i="13" a="1"/>
  <c r="J939" i="13" s="1"/>
  <c r="K753" i="13" l="1"/>
  <c r="L753" i="13" s="1"/>
  <c r="I754" i="13" s="1"/>
  <c r="K776" i="14"/>
  <c r="L776" i="14" s="1"/>
  <c r="I777" i="14" s="1"/>
  <c r="M944" i="14"/>
  <c r="N941" i="13"/>
  <c r="J940" i="13" a="1"/>
  <c r="J940" i="13" s="1"/>
  <c r="M943" i="13"/>
  <c r="J939" i="14" a="1"/>
  <c r="J939" i="14" s="1"/>
  <c r="N940" i="14"/>
  <c r="K754" i="13" l="1"/>
  <c r="L754" i="13" s="1"/>
  <c r="I755" i="13" s="1"/>
  <c r="K777" i="14"/>
  <c r="L777" i="14" s="1"/>
  <c r="I778" i="14" s="1"/>
  <c r="N941" i="14"/>
  <c r="J940" i="14" a="1"/>
  <c r="J940" i="14" s="1"/>
  <c r="N942" i="13"/>
  <c r="J941" i="13" a="1"/>
  <c r="J941" i="13" s="1"/>
  <c r="M944" i="13"/>
  <c r="M945" i="14"/>
  <c r="K755" i="13" l="1"/>
  <c r="L755" i="13" s="1"/>
  <c r="I756" i="13" s="1"/>
  <c r="K778" i="14"/>
  <c r="L778" i="14" s="1"/>
  <c r="I779" i="14" s="1"/>
  <c r="M946" i="14"/>
  <c r="N943" i="13"/>
  <c r="J942" i="13" a="1"/>
  <c r="J942" i="13" s="1"/>
  <c r="M945" i="13"/>
  <c r="J941" i="14" a="1"/>
  <c r="J941" i="14" s="1"/>
  <c r="N942" i="14"/>
  <c r="K756" i="13" l="1"/>
  <c r="L756" i="13" s="1"/>
  <c r="I757" i="13" s="1"/>
  <c r="K779" i="14"/>
  <c r="L779" i="14" s="1"/>
  <c r="I780" i="14" s="1"/>
  <c r="N943" i="14"/>
  <c r="J942" i="14" a="1"/>
  <c r="J942" i="14" s="1"/>
  <c r="M947" i="14"/>
  <c r="N944" i="13"/>
  <c r="J943" i="13" a="1"/>
  <c r="J943" i="13" s="1"/>
  <c r="M946" i="13"/>
  <c r="K757" i="13" l="1"/>
  <c r="L757" i="13" s="1"/>
  <c r="I758" i="13" s="1"/>
  <c r="M947" i="13"/>
  <c r="M948" i="14"/>
  <c r="N945" i="13"/>
  <c r="J944" i="13" a="1"/>
  <c r="J944" i="13" s="1"/>
  <c r="J943" i="14" a="1"/>
  <c r="J943" i="14" s="1"/>
  <c r="N944" i="14"/>
  <c r="K780" i="14"/>
  <c r="L780" i="14" s="1"/>
  <c r="I781" i="14" s="1"/>
  <c r="K758" i="13" l="1"/>
  <c r="L758" i="13" s="1"/>
  <c r="I759" i="13" s="1"/>
  <c r="K781" i="14"/>
  <c r="L781" i="14" s="1"/>
  <c r="I782" i="14" s="1"/>
  <c r="M948" i="13"/>
  <c r="N945" i="14"/>
  <c r="J944" i="14" a="1"/>
  <c r="J944" i="14" s="1"/>
  <c r="M949" i="14"/>
  <c r="N946" i="13"/>
  <c r="J945" i="13" a="1"/>
  <c r="J945" i="13" s="1"/>
  <c r="K759" i="13" l="1"/>
  <c r="L759" i="13" s="1"/>
  <c r="I760" i="13" s="1"/>
  <c r="K782" i="14"/>
  <c r="L782" i="14" s="1"/>
  <c r="I783" i="14" s="1"/>
  <c r="N947" i="13"/>
  <c r="J946" i="13" a="1"/>
  <c r="J946" i="13" s="1"/>
  <c r="J945" i="14" a="1"/>
  <c r="J945" i="14" s="1"/>
  <c r="N946" i="14"/>
  <c r="M950" i="14"/>
  <c r="M949" i="13"/>
  <c r="K760" i="13" l="1"/>
  <c r="L760" i="13" s="1"/>
  <c r="I761" i="13" s="1"/>
  <c r="K783" i="14"/>
  <c r="L783" i="14" s="1"/>
  <c r="I784" i="14" s="1"/>
  <c r="M950" i="13"/>
  <c r="N947" i="14"/>
  <c r="J946" i="14" a="1"/>
  <c r="J946" i="14" s="1"/>
  <c r="M951" i="14"/>
  <c r="N948" i="13"/>
  <c r="J947" i="13" a="1"/>
  <c r="J947" i="13" s="1"/>
  <c r="K761" i="13" l="1"/>
  <c r="L761" i="13" s="1"/>
  <c r="I762" i="13" s="1"/>
  <c r="K784" i="14"/>
  <c r="L784" i="14" s="1"/>
  <c r="I785" i="14" s="1"/>
  <c r="N949" i="13"/>
  <c r="J948" i="13" a="1"/>
  <c r="J948" i="13" s="1"/>
  <c r="J947" i="14" a="1"/>
  <c r="J947" i="14" s="1"/>
  <c r="N948" i="14"/>
  <c r="M952" i="14"/>
  <c r="M951" i="13"/>
  <c r="K762" i="13" l="1"/>
  <c r="L762" i="13" s="1"/>
  <c r="I763" i="13" s="1"/>
  <c r="K785" i="14"/>
  <c r="L785" i="14" s="1"/>
  <c r="I786" i="14" s="1"/>
  <c r="M953" i="14"/>
  <c r="M952" i="13"/>
  <c r="N949" i="14"/>
  <c r="J948" i="14" a="1"/>
  <c r="J948" i="14" s="1"/>
  <c r="N950" i="13"/>
  <c r="J949" i="13" a="1"/>
  <c r="J949" i="13" s="1"/>
  <c r="K763" i="13" l="1"/>
  <c r="L763" i="13" s="1"/>
  <c r="I764" i="13" s="1"/>
  <c r="K786" i="14"/>
  <c r="L786" i="14" s="1"/>
  <c r="I787" i="14" s="1"/>
  <c r="M953" i="13"/>
  <c r="N951" i="13"/>
  <c r="J950" i="13" a="1"/>
  <c r="J950" i="13" s="1"/>
  <c r="M954" i="14"/>
  <c r="J949" i="14" a="1"/>
  <c r="J949" i="14" s="1"/>
  <c r="N950" i="14"/>
  <c r="K764" i="13" l="1"/>
  <c r="L764" i="13" s="1"/>
  <c r="I765" i="13" s="1"/>
  <c r="K787" i="14"/>
  <c r="L787" i="14" s="1"/>
  <c r="I788" i="14" s="1"/>
  <c r="N952" i="13"/>
  <c r="J951" i="13" a="1"/>
  <c r="J951" i="13" s="1"/>
  <c r="N951" i="14"/>
  <c r="J950" i="14" a="1"/>
  <c r="J950" i="14" s="1"/>
  <c r="M955" i="14"/>
  <c r="M954" i="13"/>
  <c r="K765" i="13" l="1"/>
  <c r="L765" i="13" s="1"/>
  <c r="I766" i="13" s="1"/>
  <c r="K788" i="14"/>
  <c r="L788" i="14" s="1"/>
  <c r="I789" i="14" s="1"/>
  <c r="J951" i="14" a="1"/>
  <c r="J951" i="14" s="1"/>
  <c r="N952" i="14"/>
  <c r="M955" i="13"/>
  <c r="M956" i="14"/>
  <c r="N953" i="13"/>
  <c r="J952" i="13" a="1"/>
  <c r="J952" i="13" s="1"/>
  <c r="K766" i="13" l="1"/>
  <c r="L766" i="13" s="1"/>
  <c r="I767" i="13" s="1"/>
  <c r="M956" i="13"/>
  <c r="N954" i="13"/>
  <c r="J953" i="13" a="1"/>
  <c r="J953" i="13" s="1"/>
  <c r="K789" i="14"/>
  <c r="L789" i="14" s="1"/>
  <c r="I790" i="14" s="1"/>
  <c r="M957" i="14"/>
  <c r="N953" i="14"/>
  <c r="J952" i="14" a="1"/>
  <c r="J952" i="14" s="1"/>
  <c r="K767" i="13" l="1"/>
  <c r="L767" i="13" s="1"/>
  <c r="I768" i="13" s="1"/>
  <c r="M957" i="13"/>
  <c r="K790" i="14"/>
  <c r="L790" i="14" s="1"/>
  <c r="I791" i="14" s="1"/>
  <c r="M958" i="14"/>
  <c r="J953" i="14" a="1"/>
  <c r="J953" i="14" s="1"/>
  <c r="N954" i="14"/>
  <c r="N955" i="13"/>
  <c r="J954" i="13" a="1"/>
  <c r="J954" i="13" s="1"/>
  <c r="K768" i="13" l="1"/>
  <c r="L768" i="13" s="1"/>
  <c r="I769" i="13" s="1"/>
  <c r="K791" i="14"/>
  <c r="L791" i="14" s="1"/>
  <c r="I792" i="14" s="1"/>
  <c r="M959" i="14"/>
  <c r="M958" i="13"/>
  <c r="N956" i="13"/>
  <c r="J955" i="13" a="1"/>
  <c r="J955" i="13" s="1"/>
  <c r="N955" i="14"/>
  <c r="J954" i="14" a="1"/>
  <c r="J954" i="14" s="1"/>
  <c r="K769" i="13" l="1"/>
  <c r="L769" i="13" s="1"/>
  <c r="I770" i="13" s="1"/>
  <c r="K792" i="14"/>
  <c r="L792" i="14" s="1"/>
  <c r="I793" i="14" s="1"/>
  <c r="M959" i="13"/>
  <c r="M960" i="14"/>
  <c r="J955" i="14" a="1"/>
  <c r="J955" i="14" s="1"/>
  <c r="N956" i="14"/>
  <c r="N957" i="13"/>
  <c r="J956" i="13" a="1"/>
  <c r="J956" i="13" s="1"/>
  <c r="K770" i="13" l="1"/>
  <c r="L770" i="13" s="1"/>
  <c r="I771" i="13" s="1"/>
  <c r="K793" i="14"/>
  <c r="L793" i="14" s="1"/>
  <c r="I794" i="14" s="1"/>
  <c r="M961" i="14"/>
  <c r="M960" i="13"/>
  <c r="N958" i="13"/>
  <c r="J957" i="13" a="1"/>
  <c r="J957" i="13" s="1"/>
  <c r="N957" i="14"/>
  <c r="J956" i="14" a="1"/>
  <c r="J956" i="14" s="1"/>
  <c r="K771" i="13" l="1"/>
  <c r="L771" i="13" s="1"/>
  <c r="I772" i="13" s="1"/>
  <c r="K794" i="14"/>
  <c r="L794" i="14" s="1"/>
  <c r="I795" i="14" s="1"/>
  <c r="M962" i="14"/>
  <c r="M961" i="13"/>
  <c r="J957" i="14" a="1"/>
  <c r="J957" i="14" s="1"/>
  <c r="N958" i="14"/>
  <c r="N959" i="13"/>
  <c r="J958" i="13" a="1"/>
  <c r="J958" i="13" s="1"/>
  <c r="K772" i="13" l="1"/>
  <c r="L772" i="13" s="1"/>
  <c r="I773" i="13" s="1"/>
  <c r="K795" i="14"/>
  <c r="L795" i="14" s="1"/>
  <c r="I796" i="14" s="1"/>
  <c r="N960" i="13"/>
  <c r="J959" i="13" a="1"/>
  <c r="J959" i="13" s="1"/>
  <c r="N959" i="14"/>
  <c r="J958" i="14" a="1"/>
  <c r="J958" i="14" s="1"/>
  <c r="M963" i="14"/>
  <c r="M962" i="13"/>
  <c r="K773" i="13" l="1"/>
  <c r="L773" i="13" s="1"/>
  <c r="I774" i="13" s="1"/>
  <c r="K796" i="14"/>
  <c r="L796" i="14" s="1"/>
  <c r="I797" i="14" s="1"/>
  <c r="M964" i="14"/>
  <c r="M963" i="13"/>
  <c r="J959" i="14" a="1"/>
  <c r="J959" i="14" s="1"/>
  <c r="N960" i="14"/>
  <c r="N961" i="13"/>
  <c r="J960" i="13" a="1"/>
  <c r="J960" i="13" s="1"/>
  <c r="K774" i="13" l="1"/>
  <c r="L774" i="13" s="1"/>
  <c r="I775" i="13" s="1"/>
  <c r="K797" i="14"/>
  <c r="L797" i="14" s="1"/>
  <c r="I798" i="14" s="1"/>
  <c r="N961" i="14"/>
  <c r="J960" i="14" a="1"/>
  <c r="J960" i="14" s="1"/>
  <c r="M965" i="14"/>
  <c r="N962" i="13"/>
  <c r="J961" i="13" a="1"/>
  <c r="J961" i="13" s="1"/>
  <c r="M964" i="13"/>
  <c r="K775" i="13" l="1"/>
  <c r="L775" i="13" s="1"/>
  <c r="I776" i="13" s="1"/>
  <c r="K798" i="14"/>
  <c r="L798" i="14" s="1"/>
  <c r="I799" i="14" s="1"/>
  <c r="M965" i="13"/>
  <c r="M966" i="14"/>
  <c r="N963" i="13"/>
  <c r="J962" i="13" a="1"/>
  <c r="J962" i="13" s="1"/>
  <c r="J961" i="14" a="1"/>
  <c r="J961" i="14" s="1"/>
  <c r="N962" i="14"/>
  <c r="K776" i="13" l="1"/>
  <c r="L776" i="13" s="1"/>
  <c r="I777" i="13" s="1"/>
  <c r="K799" i="14"/>
  <c r="L799" i="14" s="1"/>
  <c r="I800" i="14" s="1"/>
  <c r="N963" i="14"/>
  <c r="J962" i="14" a="1"/>
  <c r="J962" i="14" s="1"/>
  <c r="M967" i="14"/>
  <c r="M966" i="13"/>
  <c r="N964" i="13"/>
  <c r="J963" i="13" a="1"/>
  <c r="J963" i="13" s="1"/>
  <c r="K777" i="13" l="1"/>
  <c r="L777" i="13" s="1"/>
  <c r="I778" i="13" s="1"/>
  <c r="K800" i="14"/>
  <c r="L800" i="14" s="1"/>
  <c r="I801" i="14" s="1"/>
  <c r="M968" i="14"/>
  <c r="N965" i="13"/>
  <c r="J964" i="13" a="1"/>
  <c r="J964" i="13" s="1"/>
  <c r="M967" i="13"/>
  <c r="J963" i="14" a="1"/>
  <c r="J963" i="14" s="1"/>
  <c r="N964" i="14"/>
  <c r="K778" i="13" l="1"/>
  <c r="L778" i="13" s="1"/>
  <c r="I779" i="13" s="1"/>
  <c r="K801" i="14"/>
  <c r="L801" i="14" s="1"/>
  <c r="I802" i="14" s="1"/>
  <c r="N965" i="14"/>
  <c r="J964" i="14" a="1"/>
  <c r="J964" i="14" s="1"/>
  <c r="N966" i="13"/>
  <c r="J965" i="13" a="1"/>
  <c r="J965" i="13" s="1"/>
  <c r="M968" i="13"/>
  <c r="M969" i="14"/>
  <c r="K779" i="13" l="1"/>
  <c r="L779" i="13" s="1"/>
  <c r="I780" i="13" s="1"/>
  <c r="K802" i="14"/>
  <c r="L802" i="14" s="1"/>
  <c r="I803" i="14" s="1"/>
  <c r="N967" i="13"/>
  <c r="J966" i="13" a="1"/>
  <c r="J966" i="13" s="1"/>
  <c r="M970" i="14"/>
  <c r="M969" i="13"/>
  <c r="J965" i="14" a="1"/>
  <c r="J965" i="14" s="1"/>
  <c r="N966" i="14"/>
  <c r="K780" i="13" l="1"/>
  <c r="L780" i="13" s="1"/>
  <c r="I781" i="13" s="1"/>
  <c r="K803" i="14"/>
  <c r="L803" i="14" s="1"/>
  <c r="I804" i="14" s="1"/>
  <c r="M970" i="13"/>
  <c r="N967" i="14"/>
  <c r="J966" i="14" a="1"/>
  <c r="J966" i="14" s="1"/>
  <c r="M971" i="14"/>
  <c r="N968" i="13"/>
  <c r="J967" i="13" a="1"/>
  <c r="J967" i="13" s="1"/>
  <c r="K781" i="13" l="1"/>
  <c r="L781" i="13" s="1"/>
  <c r="I782" i="13" s="1"/>
  <c r="K804" i="14"/>
  <c r="L804" i="14" s="1"/>
  <c r="I805" i="14" s="1"/>
  <c r="M972" i="14"/>
  <c r="M971" i="13"/>
  <c r="N969" i="13"/>
  <c r="J968" i="13" a="1"/>
  <c r="J968" i="13" s="1"/>
  <c r="J967" i="14" a="1"/>
  <c r="J967" i="14" s="1"/>
  <c r="N968" i="14"/>
  <c r="K782" i="13" l="1"/>
  <c r="L782" i="13" s="1"/>
  <c r="I783" i="13" s="1"/>
  <c r="K805" i="14"/>
  <c r="L805" i="14" s="1"/>
  <c r="I806" i="14" s="1"/>
  <c r="N969" i="14"/>
  <c r="J968" i="14" a="1"/>
  <c r="J968" i="14" s="1"/>
  <c r="M973" i="14"/>
  <c r="M972" i="13"/>
  <c r="N970" i="13"/>
  <c r="J969" i="13" a="1"/>
  <c r="J969" i="13" s="1"/>
  <c r="K783" i="13" l="1"/>
  <c r="L783" i="13" s="1"/>
  <c r="I784" i="13" s="1"/>
  <c r="K806" i="14"/>
  <c r="L806" i="14" s="1"/>
  <c r="I807" i="14" s="1"/>
  <c r="N971" i="13"/>
  <c r="J970" i="13" a="1"/>
  <c r="J970" i="13" s="1"/>
  <c r="M973" i="13"/>
  <c r="M974" i="14"/>
  <c r="J969" i="14" a="1"/>
  <c r="J969" i="14" s="1"/>
  <c r="N970" i="14"/>
  <c r="K784" i="13" l="1"/>
  <c r="L784" i="13" s="1"/>
  <c r="I785" i="13" s="1"/>
  <c r="K807" i="14"/>
  <c r="L807" i="14" s="1"/>
  <c r="I808" i="14" s="1"/>
  <c r="N971" i="14"/>
  <c r="J970" i="14" a="1"/>
  <c r="J970" i="14" s="1"/>
  <c r="M974" i="13"/>
  <c r="M975" i="14"/>
  <c r="N972" i="13"/>
  <c r="J971" i="13" a="1"/>
  <c r="J971" i="13" s="1"/>
  <c r="K785" i="13" l="1"/>
  <c r="L785" i="13" s="1"/>
  <c r="I786" i="13" s="1"/>
  <c r="K808" i="14"/>
  <c r="L808" i="14" s="1"/>
  <c r="I809" i="14" s="1"/>
  <c r="N973" i="13"/>
  <c r="J972" i="13" a="1"/>
  <c r="J972" i="13" s="1"/>
  <c r="M975" i="13"/>
  <c r="M976" i="14"/>
  <c r="J971" i="14" a="1"/>
  <c r="J971" i="14" s="1"/>
  <c r="N972" i="14"/>
  <c r="K786" i="13" l="1"/>
  <c r="L786" i="13" s="1"/>
  <c r="I787" i="13" s="1"/>
  <c r="K809" i="14"/>
  <c r="L809" i="14" s="1"/>
  <c r="I810" i="14" s="1"/>
  <c r="M977" i="14"/>
  <c r="N973" i="14"/>
  <c r="J972" i="14" a="1"/>
  <c r="J972" i="14" s="1"/>
  <c r="M976" i="13"/>
  <c r="N974" i="13"/>
  <c r="J973" i="13" a="1"/>
  <c r="J973" i="13" s="1"/>
  <c r="K787" i="13" l="1"/>
  <c r="L787" i="13" s="1"/>
  <c r="I788" i="13" s="1"/>
  <c r="K810" i="14"/>
  <c r="L810" i="14" s="1"/>
  <c r="I811" i="14" s="1"/>
  <c r="M977" i="13"/>
  <c r="M978" i="14"/>
  <c r="N975" i="13"/>
  <c r="J974" i="13" a="1"/>
  <c r="J974" i="13" s="1"/>
  <c r="J973" i="14" a="1"/>
  <c r="J973" i="14" s="1"/>
  <c r="N974" i="14"/>
  <c r="K788" i="13" l="1"/>
  <c r="L788" i="13" s="1"/>
  <c r="I789" i="13" s="1"/>
  <c r="K811" i="14"/>
  <c r="L811" i="14" s="1"/>
  <c r="I812" i="14" s="1"/>
  <c r="N975" i="14"/>
  <c r="J974" i="14" a="1"/>
  <c r="J974" i="14" s="1"/>
  <c r="M978" i="13"/>
  <c r="M979" i="14"/>
  <c r="N976" i="13"/>
  <c r="J975" i="13" a="1"/>
  <c r="J975" i="13" s="1"/>
  <c r="K789" i="13" l="1"/>
  <c r="L789" i="13" s="1"/>
  <c r="I790" i="13" s="1"/>
  <c r="K812" i="14"/>
  <c r="L812" i="14" s="1"/>
  <c r="I813" i="14" s="1"/>
  <c r="M979" i="13"/>
  <c r="M980" i="14"/>
  <c r="N977" i="13"/>
  <c r="J976" i="13" a="1"/>
  <c r="J976" i="13" s="1"/>
  <c r="J975" i="14" a="1"/>
  <c r="J975" i="14" s="1"/>
  <c r="N976" i="14"/>
  <c r="K790" i="13" l="1"/>
  <c r="L790" i="13" s="1"/>
  <c r="I791" i="13" s="1"/>
  <c r="K813" i="14"/>
  <c r="L813" i="14" s="1"/>
  <c r="I814" i="14" s="1"/>
  <c r="N977" i="14"/>
  <c r="J976" i="14" a="1"/>
  <c r="J976" i="14" s="1"/>
  <c r="M981" i="14"/>
  <c r="M980" i="13"/>
  <c r="N978" i="13"/>
  <c r="J977" i="13" a="1"/>
  <c r="J977" i="13" s="1"/>
  <c r="K791" i="13" l="1"/>
  <c r="L791" i="13" s="1"/>
  <c r="I792" i="13" s="1"/>
  <c r="K814" i="14"/>
  <c r="L814" i="14" s="1"/>
  <c r="I815" i="14" s="1"/>
  <c r="M982" i="14"/>
  <c r="N979" i="13"/>
  <c r="J978" i="13" a="1"/>
  <c r="J978" i="13" s="1"/>
  <c r="M981" i="13"/>
  <c r="J977" i="14" a="1"/>
  <c r="J977" i="14" s="1"/>
  <c r="N978" i="14"/>
  <c r="K792" i="13" l="1"/>
  <c r="L792" i="13" s="1"/>
  <c r="I793" i="13" s="1"/>
  <c r="K815" i="14"/>
  <c r="L815" i="14" s="1"/>
  <c r="I816" i="14" s="1"/>
  <c r="N979" i="14"/>
  <c r="J978" i="14" a="1"/>
  <c r="J978" i="14" s="1"/>
  <c r="N980" i="13"/>
  <c r="J979" i="13" a="1"/>
  <c r="J979" i="13" s="1"/>
  <c r="M982" i="13"/>
  <c r="M983" i="14"/>
  <c r="K793" i="13" l="1"/>
  <c r="L793" i="13" s="1"/>
  <c r="I794" i="13" s="1"/>
  <c r="K816" i="14"/>
  <c r="L816" i="14" s="1"/>
  <c r="I817" i="14" s="1"/>
  <c r="N981" i="13"/>
  <c r="J980" i="13" a="1"/>
  <c r="J980" i="13" s="1"/>
  <c r="M984" i="14"/>
  <c r="M983" i="13"/>
  <c r="J979" i="14" a="1"/>
  <c r="J979" i="14" s="1"/>
  <c r="N980" i="14"/>
  <c r="K794" i="13" l="1"/>
  <c r="L794" i="13" s="1"/>
  <c r="I795" i="13" s="1"/>
  <c r="K817" i="14"/>
  <c r="L817" i="14" s="1"/>
  <c r="I818" i="14" s="1"/>
  <c r="M984" i="13"/>
  <c r="N982" i="13"/>
  <c r="J981" i="13" a="1"/>
  <c r="J981" i="13" s="1"/>
  <c r="N981" i="14"/>
  <c r="J980" i="14" a="1"/>
  <c r="J980" i="14" s="1"/>
  <c r="M985" i="14"/>
  <c r="K795" i="13" l="1"/>
  <c r="L795" i="13" s="1"/>
  <c r="I796" i="13" s="1"/>
  <c r="K818" i="14"/>
  <c r="L818" i="14" s="1"/>
  <c r="I819" i="14" s="1"/>
  <c r="N983" i="13"/>
  <c r="J982" i="13" a="1"/>
  <c r="J982" i="13" s="1"/>
  <c r="J981" i="14" a="1"/>
  <c r="J981" i="14" s="1"/>
  <c r="N982" i="14"/>
  <c r="M985" i="13"/>
  <c r="M986" i="14"/>
  <c r="K796" i="13" l="1"/>
  <c r="L796" i="13" s="1"/>
  <c r="I797" i="13" s="1"/>
  <c r="K819" i="14"/>
  <c r="L819" i="14" s="1"/>
  <c r="I820" i="14" s="1"/>
  <c r="M986" i="13"/>
  <c r="M987" i="14"/>
  <c r="N983" i="14"/>
  <c r="J982" i="14" a="1"/>
  <c r="J982" i="14" s="1"/>
  <c r="N984" i="13"/>
  <c r="J983" i="13" a="1"/>
  <c r="J983" i="13" s="1"/>
  <c r="K797" i="13" l="1"/>
  <c r="L797" i="13" s="1"/>
  <c r="I798" i="13" s="1"/>
  <c r="K820" i="14"/>
  <c r="L820" i="14" s="1"/>
  <c r="I821" i="14" s="1"/>
  <c r="N985" i="13"/>
  <c r="J984" i="13" a="1"/>
  <c r="J984" i="13" s="1"/>
  <c r="M987" i="13"/>
  <c r="M988" i="14"/>
  <c r="J983" i="14" a="1"/>
  <c r="J983" i="14" s="1"/>
  <c r="N984" i="14"/>
  <c r="K798" i="13" l="1"/>
  <c r="L798" i="13" s="1"/>
  <c r="I799" i="13" s="1"/>
  <c r="K821" i="14"/>
  <c r="L821" i="14" s="1"/>
  <c r="I822" i="14" s="1"/>
  <c r="N985" i="14"/>
  <c r="J984" i="14" a="1"/>
  <c r="J984" i="14" s="1"/>
  <c r="M988" i="13"/>
  <c r="M989" i="14"/>
  <c r="N986" i="13"/>
  <c r="J985" i="13" a="1"/>
  <c r="J985" i="13" s="1"/>
  <c r="K799" i="13" l="1"/>
  <c r="L799" i="13" s="1"/>
  <c r="I800" i="13" s="1"/>
  <c r="K822" i="14"/>
  <c r="L822" i="14" s="1"/>
  <c r="I823" i="14" s="1"/>
  <c r="M990" i="14"/>
  <c r="J985" i="14" a="1"/>
  <c r="J985" i="14" s="1"/>
  <c r="N986" i="14"/>
  <c r="M989" i="13"/>
  <c r="N987" i="13"/>
  <c r="J986" i="13" a="1"/>
  <c r="J986" i="13" s="1"/>
  <c r="K800" i="13" l="1"/>
  <c r="L800" i="13" s="1"/>
  <c r="I801" i="13" s="1"/>
  <c r="K823" i="14"/>
  <c r="L823" i="14" s="1"/>
  <c r="I824" i="14" s="1"/>
  <c r="N987" i="14"/>
  <c r="J986" i="14" a="1"/>
  <c r="J986" i="14" s="1"/>
  <c r="N988" i="13"/>
  <c r="J987" i="13" a="1"/>
  <c r="J987" i="13" s="1"/>
  <c r="M990" i="13"/>
  <c r="M991" i="14"/>
  <c r="K801" i="13" l="1"/>
  <c r="L801" i="13" s="1"/>
  <c r="I802" i="13" s="1"/>
  <c r="K824" i="14"/>
  <c r="L824" i="14" s="1"/>
  <c r="I825" i="14" s="1"/>
  <c r="N989" i="13"/>
  <c r="J988" i="13" a="1"/>
  <c r="J988" i="13" s="1"/>
  <c r="M992" i="14"/>
  <c r="M991" i="13"/>
  <c r="J987" i="14" a="1"/>
  <c r="J987" i="14" s="1"/>
  <c r="N988" i="14"/>
  <c r="K802" i="13" l="1"/>
  <c r="L802" i="13" s="1"/>
  <c r="I803" i="13" s="1"/>
  <c r="K825" i="14"/>
  <c r="L825" i="14" s="1"/>
  <c r="I826" i="14" s="1"/>
  <c r="N990" i="13"/>
  <c r="J989" i="13" a="1"/>
  <c r="J989" i="13" s="1"/>
  <c r="N989" i="14"/>
  <c r="J988" i="14" a="1"/>
  <c r="J988" i="14" s="1"/>
  <c r="M993" i="14"/>
  <c r="M992" i="13"/>
  <c r="K803" i="13" l="1"/>
  <c r="L803" i="13" s="1"/>
  <c r="I804" i="13" s="1"/>
  <c r="K826" i="14"/>
  <c r="L826" i="14" s="1"/>
  <c r="I827" i="14" s="1"/>
  <c r="M994" i="14"/>
  <c r="M993" i="13"/>
  <c r="J989" i="14" a="1"/>
  <c r="J989" i="14" s="1"/>
  <c r="N990" i="14"/>
  <c r="N991" i="13"/>
  <c r="J990" i="13" a="1"/>
  <c r="J990" i="13" s="1"/>
  <c r="K804" i="13" l="1"/>
  <c r="L804" i="13" s="1"/>
  <c r="I805" i="13" s="1"/>
  <c r="M994" i="13"/>
  <c r="N992" i="13"/>
  <c r="J991" i="13" a="1"/>
  <c r="J991" i="13" s="1"/>
  <c r="K827" i="14"/>
  <c r="L827" i="14" s="1"/>
  <c r="I828" i="14" s="1"/>
  <c r="N991" i="14"/>
  <c r="J990" i="14" a="1"/>
  <c r="J990" i="14" s="1"/>
  <c r="M995" i="14"/>
  <c r="K805" i="13" l="1"/>
  <c r="L805" i="13" s="1"/>
  <c r="I806" i="13" s="1"/>
  <c r="K828" i="14"/>
  <c r="L828" i="14" s="1"/>
  <c r="I829" i="14" s="1"/>
  <c r="M995" i="13"/>
  <c r="J991" i="14" a="1"/>
  <c r="J991" i="14" s="1"/>
  <c r="N992" i="14"/>
  <c r="M996" i="14"/>
  <c r="N993" i="13"/>
  <c r="J992" i="13" a="1"/>
  <c r="J992" i="13" s="1"/>
  <c r="K806" i="13" l="1"/>
  <c r="L806" i="13" s="1"/>
  <c r="I807" i="13" s="1"/>
  <c r="K829" i="14"/>
  <c r="L829" i="14" s="1"/>
  <c r="I830" i="14" s="1"/>
  <c r="N993" i="14"/>
  <c r="J992" i="14" a="1"/>
  <c r="J992" i="14" s="1"/>
  <c r="M997" i="14"/>
  <c r="M996" i="13"/>
  <c r="N994" i="13"/>
  <c r="J993" i="13" a="1"/>
  <c r="J993" i="13" s="1"/>
  <c r="K807" i="13" l="1"/>
  <c r="L807" i="13" s="1"/>
  <c r="I808" i="13" s="1"/>
  <c r="N995" i="13"/>
  <c r="J994" i="13" a="1"/>
  <c r="J994" i="13" s="1"/>
  <c r="M997" i="13"/>
  <c r="K830" i="14"/>
  <c r="L830" i="14" s="1"/>
  <c r="I831" i="14" s="1"/>
  <c r="M998" i="14"/>
  <c r="J993" i="14" a="1"/>
  <c r="J993" i="14" s="1"/>
  <c r="N994" i="14"/>
  <c r="K808" i="13" l="1"/>
  <c r="L808" i="13" s="1"/>
  <c r="I809" i="13" s="1"/>
  <c r="K831" i="14"/>
  <c r="L831" i="14" s="1"/>
  <c r="I832" i="14" s="1"/>
  <c r="N996" i="13"/>
  <c r="J995" i="13" a="1"/>
  <c r="J995" i="13" s="1"/>
  <c r="M999" i="14"/>
  <c r="M998" i="13"/>
  <c r="N995" i="14"/>
  <c r="J994" i="14" a="1"/>
  <c r="J994" i="14" s="1"/>
  <c r="K809" i="13" l="1"/>
  <c r="L809" i="13" s="1"/>
  <c r="I810" i="13" s="1"/>
  <c r="M1000" i="14"/>
  <c r="J995" i="14" a="1"/>
  <c r="J995" i="14" s="1"/>
  <c r="N996" i="14"/>
  <c r="M999" i="13"/>
  <c r="N997" i="13"/>
  <c r="J996" i="13" a="1"/>
  <c r="J996" i="13" s="1"/>
  <c r="K832" i="14"/>
  <c r="L832" i="14" s="1"/>
  <c r="I833" i="14" s="1"/>
  <c r="K810" i="13" l="1"/>
  <c r="L810" i="13" s="1"/>
  <c r="I811" i="13" s="1"/>
  <c r="K833" i="14"/>
  <c r="L833" i="14" s="1"/>
  <c r="I834" i="14" s="1"/>
  <c r="N998" i="13"/>
  <c r="J997" i="13" a="1"/>
  <c r="J997" i="13" s="1"/>
  <c r="M1000" i="13"/>
  <c r="M1001" i="14"/>
  <c r="N997" i="14"/>
  <c r="J996" i="14" a="1"/>
  <c r="J996" i="14" s="1"/>
  <c r="K811" i="13" l="1"/>
  <c r="L811" i="13" s="1"/>
  <c r="I812" i="13" s="1"/>
  <c r="M1001" i="13"/>
  <c r="J997" i="14" a="1"/>
  <c r="J997" i="14" s="1"/>
  <c r="N998" i="14"/>
  <c r="M1002" i="14"/>
  <c r="N999" i="13"/>
  <c r="J998" i="13" a="1"/>
  <c r="J998" i="13" s="1"/>
  <c r="K834" i="14"/>
  <c r="L834" i="14" s="1"/>
  <c r="I835" i="14" s="1"/>
  <c r="K812" i="13" l="1"/>
  <c r="L812" i="13" s="1"/>
  <c r="I813" i="13" s="1"/>
  <c r="K835" i="14"/>
  <c r="L835" i="14" s="1"/>
  <c r="I836" i="14" s="1"/>
  <c r="N1000" i="13"/>
  <c r="J999" i="13" a="1"/>
  <c r="J999" i="13" s="1"/>
  <c r="M1003" i="14"/>
  <c r="M1002" i="13"/>
  <c r="N999" i="14"/>
  <c r="J998" i="14" a="1"/>
  <c r="J998" i="14" s="1"/>
  <c r="K813" i="13" l="1"/>
  <c r="L813" i="13" s="1"/>
  <c r="I814" i="13" s="1"/>
  <c r="J999" i="14" a="1"/>
  <c r="J999" i="14" s="1"/>
  <c r="N1000" i="14"/>
  <c r="M1004" i="14"/>
  <c r="M1003" i="13"/>
  <c r="N1001" i="13"/>
  <c r="J1000" i="13" a="1"/>
  <c r="J1000" i="13" s="1"/>
  <c r="K836" i="14"/>
  <c r="L836" i="14" s="1"/>
  <c r="I837" i="14" s="1"/>
  <c r="K814" i="13" l="1"/>
  <c r="L814" i="13" s="1"/>
  <c r="I815" i="13" s="1"/>
  <c r="K837" i="14"/>
  <c r="L837" i="14" s="1"/>
  <c r="I838" i="14" s="1"/>
  <c r="M1004" i="13"/>
  <c r="N1001" i="14"/>
  <c r="J1000" i="14" a="1"/>
  <c r="J1000" i="14" s="1"/>
  <c r="M1005" i="14"/>
  <c r="N1002" i="13"/>
  <c r="J1001" i="13" a="1"/>
  <c r="J1001" i="13" s="1"/>
  <c r="K815" i="13" l="1"/>
  <c r="L815" i="13" s="1"/>
  <c r="I816" i="13" s="1"/>
  <c r="J1001" i="14" a="1"/>
  <c r="J1001" i="14" s="1"/>
  <c r="N1002" i="14"/>
  <c r="N1003" i="13"/>
  <c r="J1002" i="13" a="1"/>
  <c r="J1002" i="13" s="1"/>
  <c r="M1005" i="13"/>
  <c r="M1006" i="14"/>
  <c r="K838" i="14"/>
  <c r="L838" i="14" s="1"/>
  <c r="I839" i="14" s="1"/>
  <c r="K816" i="13" l="1"/>
  <c r="L816" i="13" s="1"/>
  <c r="I817" i="13" s="1"/>
  <c r="K839" i="14"/>
  <c r="L839" i="14" s="1"/>
  <c r="I840" i="14" s="1"/>
  <c r="M1006" i="13"/>
  <c r="N1003" i="14"/>
  <c r="J1002" i="14" a="1"/>
  <c r="J1002" i="14" s="1"/>
  <c r="M1007" i="14"/>
  <c r="N1004" i="13"/>
  <c r="J1003" i="13" a="1"/>
  <c r="J1003" i="13" s="1"/>
  <c r="K817" i="13" l="1"/>
  <c r="L817" i="13" s="1"/>
  <c r="I818" i="13" s="1"/>
  <c r="K840" i="14"/>
  <c r="L840" i="14" s="1"/>
  <c r="I841" i="14" s="1"/>
  <c r="N1004" i="14"/>
  <c r="J1003" i="14" a="1"/>
  <c r="J1003" i="14" s="1"/>
  <c r="N1005" i="13"/>
  <c r="J1004" i="13" a="1"/>
  <c r="J1004" i="13" s="1"/>
  <c r="M1008" i="14"/>
  <c r="M1007" i="13"/>
  <c r="K818" i="13" l="1"/>
  <c r="L818" i="13" s="1"/>
  <c r="I819" i="13" s="1"/>
  <c r="K841" i="14"/>
  <c r="L841" i="14" s="1"/>
  <c r="I842" i="14" s="1"/>
  <c r="M1008" i="13"/>
  <c r="N1006" i="13"/>
  <c r="J1005" i="13" a="1"/>
  <c r="J1005" i="13" s="1"/>
  <c r="M1009" i="14"/>
  <c r="N1005" i="14"/>
  <c r="J1004" i="14" a="1"/>
  <c r="J1004" i="14" s="1"/>
  <c r="K819" i="13" l="1"/>
  <c r="L819" i="13" s="1"/>
  <c r="I820" i="13" s="1"/>
  <c r="N1007" i="13"/>
  <c r="J1006" i="13" a="1"/>
  <c r="J1006" i="13" s="1"/>
  <c r="M1009" i="13"/>
  <c r="N1006" i="14"/>
  <c r="J1005" i="14" a="1"/>
  <c r="J1005" i="14" s="1"/>
  <c r="M1010" i="14"/>
  <c r="K842" i="14"/>
  <c r="L842" i="14" s="1"/>
  <c r="I843" i="14" s="1"/>
  <c r="K820" i="13" l="1"/>
  <c r="L820" i="13" s="1"/>
  <c r="I821" i="13" s="1"/>
  <c r="K843" i="14"/>
  <c r="L843" i="14" s="1"/>
  <c r="I844" i="14" s="1"/>
  <c r="J1006" i="14" a="1"/>
  <c r="J1006" i="14" s="1"/>
  <c r="N1007" i="14"/>
  <c r="N1008" i="13"/>
  <c r="J1007" i="13" a="1"/>
  <c r="J1007" i="13" s="1"/>
  <c r="M1010" i="13"/>
  <c r="M1011" i="14"/>
  <c r="K821" i="13" l="1"/>
  <c r="L821" i="13" s="1"/>
  <c r="I822" i="13" s="1"/>
  <c r="K844" i="14"/>
  <c r="L844" i="14" s="1"/>
  <c r="I845" i="14" s="1"/>
  <c r="M1011" i="13"/>
  <c r="N1009" i="13"/>
  <c r="J1008" i="13" a="1"/>
  <c r="J1008" i="13" s="1"/>
  <c r="M1012" i="14"/>
  <c r="N1008" i="14"/>
  <c r="J1007" i="14" a="1"/>
  <c r="J1007" i="14" s="1"/>
  <c r="K822" i="13" l="1"/>
  <c r="L822" i="13" s="1"/>
  <c r="I823" i="13" s="1"/>
  <c r="N1010" i="13"/>
  <c r="J1009" i="13" a="1"/>
  <c r="J1009" i="13" s="1"/>
  <c r="N1009" i="14"/>
  <c r="J1008" i="14" a="1"/>
  <c r="J1008" i="14" s="1"/>
  <c r="M1013" i="14"/>
  <c r="M1012" i="13"/>
  <c r="K845" i="14"/>
  <c r="L845" i="14" s="1"/>
  <c r="I846" i="14" s="1"/>
  <c r="K823" i="13" l="1"/>
  <c r="L823" i="13" s="1"/>
  <c r="I824" i="13" s="1"/>
  <c r="K846" i="14"/>
  <c r="L846" i="14" s="1"/>
  <c r="I847" i="14" s="1"/>
  <c r="M1014" i="14"/>
  <c r="N1011" i="13"/>
  <c r="J1010" i="13" a="1"/>
  <c r="J1010" i="13" s="1"/>
  <c r="M1013" i="13"/>
  <c r="N1010" i="14"/>
  <c r="J1009" i="14" a="1"/>
  <c r="J1009" i="14" s="1"/>
  <c r="K824" i="13" l="1"/>
  <c r="L824" i="13" s="1"/>
  <c r="I825" i="13" s="1"/>
  <c r="K847" i="14"/>
  <c r="L847" i="14" s="1"/>
  <c r="I848" i="14" s="1"/>
  <c r="N1012" i="13"/>
  <c r="J1011" i="13" a="1"/>
  <c r="J1011" i="13" s="1"/>
  <c r="J1010" i="14" a="1"/>
  <c r="J1010" i="14" s="1"/>
  <c r="N1011" i="14"/>
  <c r="M1014" i="13"/>
  <c r="M1015" i="14"/>
  <c r="K825" i="13" l="1"/>
  <c r="L825" i="13" s="1"/>
  <c r="I826" i="13" s="1"/>
  <c r="K848" i="14"/>
  <c r="L848" i="14" s="1"/>
  <c r="I849" i="14" s="1"/>
  <c r="M1016" i="14"/>
  <c r="N1012" i="14"/>
  <c r="J1011" i="14" a="1"/>
  <c r="J1011" i="14" s="1"/>
  <c r="M1015" i="13"/>
  <c r="N1013" i="13"/>
  <c r="J1012" i="13" a="1"/>
  <c r="J1012" i="13" s="1"/>
  <c r="K826" i="13" l="1"/>
  <c r="L826" i="13" s="1"/>
  <c r="I827" i="13" s="1"/>
  <c r="K849" i="14"/>
  <c r="L849" i="14" s="1"/>
  <c r="I850" i="14" s="1"/>
  <c r="N1013" i="14"/>
  <c r="J1012" i="14" a="1"/>
  <c r="J1012" i="14" s="1"/>
  <c r="N1014" i="13"/>
  <c r="J1013" i="13" a="1"/>
  <c r="J1013" i="13" s="1"/>
  <c r="M1016" i="13"/>
  <c r="M1017" i="14"/>
  <c r="K827" i="13" l="1"/>
  <c r="L827" i="13" s="1"/>
  <c r="I828" i="13" s="1"/>
  <c r="K850" i="14"/>
  <c r="L850" i="14" s="1"/>
  <c r="I851" i="14" s="1"/>
  <c r="N1015" i="13"/>
  <c r="J1014" i="13" a="1"/>
  <c r="J1014" i="13" s="1"/>
  <c r="M1018" i="14"/>
  <c r="M1017" i="13"/>
  <c r="N1014" i="14"/>
  <c r="J1013" i="14" a="1"/>
  <c r="J1013" i="14" s="1"/>
  <c r="K828" i="13" l="1"/>
  <c r="L828" i="13" s="1"/>
  <c r="I829" i="13" s="1"/>
  <c r="K851" i="14"/>
  <c r="L851" i="14" s="1"/>
  <c r="I852" i="14" s="1"/>
  <c r="M1018" i="13"/>
  <c r="N1016" i="13"/>
  <c r="J1015" i="13" a="1"/>
  <c r="J1015" i="13" s="1"/>
  <c r="M1019" i="14"/>
  <c r="J1014" i="14" a="1"/>
  <c r="J1014" i="14" s="1"/>
  <c r="N1015" i="14"/>
  <c r="K829" i="13" l="1"/>
  <c r="L829" i="13" s="1"/>
  <c r="I830" i="13" s="1"/>
  <c r="K852" i="14"/>
  <c r="L852" i="14" s="1"/>
  <c r="I853" i="14" s="1"/>
  <c r="N1017" i="13"/>
  <c r="J1016" i="13" a="1"/>
  <c r="J1016" i="13" s="1"/>
  <c r="M1019" i="13"/>
  <c r="N1016" i="14"/>
  <c r="J1015" i="14" a="1"/>
  <c r="J1015" i="14" s="1"/>
  <c r="M1020" i="14"/>
  <c r="K830" i="13" l="1"/>
  <c r="L830" i="13" s="1"/>
  <c r="I831" i="13" s="1"/>
  <c r="K853" i="14"/>
  <c r="L853" i="14" s="1"/>
  <c r="I854" i="14" s="1"/>
  <c r="N1017" i="14"/>
  <c r="J1016" i="14" a="1"/>
  <c r="J1016" i="14" s="1"/>
  <c r="M1021" i="14"/>
  <c r="M1020" i="13"/>
  <c r="N1018" i="13"/>
  <c r="J1017" i="13" a="1"/>
  <c r="J1017" i="13" s="1"/>
  <c r="K831" i="13" l="1"/>
  <c r="L831" i="13" s="1"/>
  <c r="I832" i="13" s="1"/>
  <c r="K854" i="14"/>
  <c r="L854" i="14" s="1"/>
  <c r="I855" i="14" s="1"/>
  <c r="N1019" i="13"/>
  <c r="J1018" i="13" a="1"/>
  <c r="J1018" i="13" s="1"/>
  <c r="M1022" i="14"/>
  <c r="M1021" i="13"/>
  <c r="N1018" i="14"/>
  <c r="J1017" i="14" a="1"/>
  <c r="J1017" i="14" s="1"/>
  <c r="K832" i="13" l="1"/>
  <c r="L832" i="13" s="1"/>
  <c r="I833" i="13" s="1"/>
  <c r="K855" i="14"/>
  <c r="L855" i="14" s="1"/>
  <c r="I856" i="14" s="1"/>
  <c r="J1018" i="14" a="1"/>
  <c r="J1018" i="14" s="1"/>
  <c r="N1019" i="14"/>
  <c r="M1022" i="13"/>
  <c r="N1020" i="13"/>
  <c r="J1019" i="13" a="1"/>
  <c r="J1019" i="13" s="1"/>
  <c r="M1023" i="14"/>
  <c r="K833" i="13" l="1"/>
  <c r="L833" i="13" s="1"/>
  <c r="I834" i="13" s="1"/>
  <c r="N1021" i="13"/>
  <c r="J1020" i="13" a="1"/>
  <c r="J1020" i="13" s="1"/>
  <c r="M1024" i="14"/>
  <c r="M1023" i="13"/>
  <c r="K856" i="14"/>
  <c r="L856" i="14" s="1"/>
  <c r="I857" i="14" s="1"/>
  <c r="N1020" i="14"/>
  <c r="J1019" i="14" a="1"/>
  <c r="J1019" i="14" s="1"/>
  <c r="K834" i="13" l="1"/>
  <c r="L834" i="13" s="1"/>
  <c r="I835" i="13" s="1"/>
  <c r="K857" i="14"/>
  <c r="L857" i="14" s="1"/>
  <c r="I858" i="14" s="1"/>
  <c r="M1024" i="13"/>
  <c r="N1022" i="13"/>
  <c r="J1021" i="13" a="1"/>
  <c r="J1021" i="13" s="1"/>
  <c r="N1021" i="14"/>
  <c r="J1020" i="14" a="1"/>
  <c r="J1020" i="14" s="1"/>
  <c r="M1025" i="14"/>
  <c r="K835" i="13" l="1"/>
  <c r="L835" i="13" s="1"/>
  <c r="I836" i="13" s="1"/>
  <c r="K858" i="14"/>
  <c r="L858" i="14" s="1"/>
  <c r="I859" i="14" s="1"/>
  <c r="M1026" i="14"/>
  <c r="N1023" i="13"/>
  <c r="J1022" i="13" a="1"/>
  <c r="J1022" i="13" s="1"/>
  <c r="M1025" i="13"/>
  <c r="N1022" i="14"/>
  <c r="J1021" i="14" a="1"/>
  <c r="J1021" i="14" s="1"/>
  <c r="K836" i="13" l="1"/>
  <c r="L836" i="13" s="1"/>
  <c r="I837" i="13" s="1"/>
  <c r="K859" i="14"/>
  <c r="L859" i="14" s="1"/>
  <c r="I860" i="14" s="1"/>
  <c r="N1024" i="13"/>
  <c r="J1023" i="13" a="1"/>
  <c r="J1023" i="13" s="1"/>
  <c r="J1022" i="14" a="1"/>
  <c r="J1022" i="14" s="1"/>
  <c r="N1023" i="14"/>
  <c r="M1026" i="13"/>
  <c r="M1027" i="14"/>
  <c r="K837" i="13" l="1"/>
  <c r="L837" i="13" s="1"/>
  <c r="I838" i="13" s="1"/>
  <c r="K860" i="14"/>
  <c r="L860" i="14" s="1"/>
  <c r="I861" i="14" s="1"/>
  <c r="M1028" i="14"/>
  <c r="N1024" i="14"/>
  <c r="J1023" i="14" a="1"/>
  <c r="J1023" i="14" s="1"/>
  <c r="M1027" i="13"/>
  <c r="N1025" i="13"/>
  <c r="J1024" i="13" a="1"/>
  <c r="J1024" i="13" s="1"/>
  <c r="K838" i="13" l="1"/>
  <c r="L838" i="13" s="1"/>
  <c r="I839" i="13" s="1"/>
  <c r="K861" i="14"/>
  <c r="L861" i="14" s="1"/>
  <c r="I862" i="14" s="1"/>
  <c r="N1026" i="13"/>
  <c r="J1025" i="13" a="1"/>
  <c r="J1025" i="13" s="1"/>
  <c r="N1025" i="14"/>
  <c r="J1024" i="14" a="1"/>
  <c r="J1024" i="14" s="1"/>
  <c r="M1028" i="13"/>
  <c r="M1029" i="14"/>
  <c r="K839" i="13" l="1"/>
  <c r="L839" i="13" s="1"/>
  <c r="I840" i="13" s="1"/>
  <c r="K862" i="14"/>
  <c r="L862" i="14" s="1"/>
  <c r="I863" i="14" s="1"/>
  <c r="J1025" i="14" a="1"/>
  <c r="J1025" i="14" s="1"/>
  <c r="N1026" i="14"/>
  <c r="M1030" i="14"/>
  <c r="M1029" i="13"/>
  <c r="N1027" i="13"/>
  <c r="J1026" i="13" a="1"/>
  <c r="J1026" i="13" s="1"/>
  <c r="K840" i="13" l="1"/>
  <c r="L840" i="13" s="1"/>
  <c r="I841" i="13" s="1"/>
  <c r="K863" i="14"/>
  <c r="L863" i="14" s="1"/>
  <c r="I864" i="14" s="1"/>
  <c r="M1030" i="13"/>
  <c r="N1028" i="13"/>
  <c r="J1027" i="13" a="1"/>
  <c r="J1027" i="13" s="1"/>
  <c r="M1031" i="14"/>
  <c r="J1026" i="14" a="1"/>
  <c r="J1026" i="14" s="1"/>
  <c r="N1027" i="14"/>
  <c r="K841" i="13" l="1"/>
  <c r="L841" i="13" s="1"/>
  <c r="I842" i="13" s="1"/>
  <c r="K864" i="14"/>
  <c r="L864" i="14" s="1"/>
  <c r="I865" i="14" s="1"/>
  <c r="N1029" i="13"/>
  <c r="J1028" i="13" a="1"/>
  <c r="J1028" i="13" s="1"/>
  <c r="M1032" i="14"/>
  <c r="M1031" i="13"/>
  <c r="N1028" i="14"/>
  <c r="J1027" i="14" a="1"/>
  <c r="J1027" i="14" s="1"/>
  <c r="K842" i="13" l="1"/>
  <c r="L842" i="13" s="1"/>
  <c r="I843" i="13" s="1"/>
  <c r="K865" i="14"/>
  <c r="L865" i="14" s="1"/>
  <c r="I866" i="14" s="1"/>
  <c r="N1029" i="14"/>
  <c r="J1028" i="14" a="1"/>
  <c r="J1028" i="14" s="1"/>
  <c r="M1033" i="14"/>
  <c r="M1032" i="13"/>
  <c r="N1030" i="13"/>
  <c r="J1029" i="13" a="1"/>
  <c r="J1029" i="13" s="1"/>
  <c r="K843" i="13" l="1"/>
  <c r="L843" i="13" s="1"/>
  <c r="I844" i="13" s="1"/>
  <c r="K866" i="14"/>
  <c r="L866" i="14" s="1"/>
  <c r="I867" i="14" s="1"/>
  <c r="N1031" i="13"/>
  <c r="J1030" i="13" a="1"/>
  <c r="J1030" i="13" s="1"/>
  <c r="M1033" i="13"/>
  <c r="M1034" i="14"/>
  <c r="J1029" i="14" a="1"/>
  <c r="J1029" i="14" s="1"/>
  <c r="N1030" i="14"/>
  <c r="K844" i="13" l="1"/>
  <c r="L844" i="13" s="1"/>
  <c r="I845" i="13" s="1"/>
  <c r="K867" i="14"/>
  <c r="L867" i="14" s="1"/>
  <c r="I868" i="14" s="1"/>
  <c r="M1035" i="14"/>
  <c r="J1030" i="14" a="1"/>
  <c r="J1030" i="14" s="1"/>
  <c r="N1031" i="14"/>
  <c r="M1034" i="13"/>
  <c r="N1032" i="13"/>
  <c r="J1031" i="13" a="1"/>
  <c r="J1031" i="13" s="1"/>
  <c r="K845" i="13" l="1"/>
  <c r="L845" i="13" s="1"/>
  <c r="I846" i="13" s="1"/>
  <c r="K868" i="14"/>
  <c r="L868" i="14" s="1"/>
  <c r="I869" i="14" s="1"/>
  <c r="N1033" i="13"/>
  <c r="J1032" i="13" a="1"/>
  <c r="J1032" i="13" s="1"/>
  <c r="J1031" i="14" a="1"/>
  <c r="J1031" i="14" s="1"/>
  <c r="N1032" i="14"/>
  <c r="M1035" i="13"/>
  <c r="M1036" i="14"/>
  <c r="K846" i="13" l="1"/>
  <c r="L846" i="13" s="1"/>
  <c r="I847" i="13" s="1"/>
  <c r="K869" i="14"/>
  <c r="L869" i="14" s="1"/>
  <c r="I870" i="14" s="1"/>
  <c r="N1033" i="14"/>
  <c r="J1032" i="14" a="1"/>
  <c r="J1032" i="14" s="1"/>
  <c r="M1037" i="14"/>
  <c r="M1036" i="13"/>
  <c r="N1034" i="13"/>
  <c r="J1033" i="13" a="1"/>
  <c r="J1033" i="13" s="1"/>
  <c r="K847" i="13" l="1"/>
  <c r="L847" i="13" s="1"/>
  <c r="I848" i="13" s="1"/>
  <c r="K870" i="14"/>
  <c r="L870" i="14" s="1"/>
  <c r="I871" i="14" s="1"/>
  <c r="N1035" i="13"/>
  <c r="J1034" i="13" a="1"/>
  <c r="J1034" i="13" s="1"/>
  <c r="M1038" i="14"/>
  <c r="M1037" i="13"/>
  <c r="J1033" i="14" a="1"/>
  <c r="J1033" i="14" s="1"/>
  <c r="N1034" i="14"/>
  <c r="K848" i="13" l="1"/>
  <c r="L848" i="13" s="1"/>
  <c r="I849" i="13" s="1"/>
  <c r="M1039" i="14"/>
  <c r="N1036" i="13"/>
  <c r="J1035" i="13" a="1"/>
  <c r="J1035" i="13" s="1"/>
  <c r="M1038" i="13"/>
  <c r="J1034" i="14" a="1"/>
  <c r="J1034" i="14" s="1"/>
  <c r="N1035" i="14"/>
  <c r="K871" i="14"/>
  <c r="L871" i="14" s="1"/>
  <c r="I872" i="14" s="1"/>
  <c r="K849" i="13" l="1"/>
  <c r="L849" i="13" s="1"/>
  <c r="I850" i="13" s="1"/>
  <c r="K872" i="14"/>
  <c r="L872" i="14" s="1"/>
  <c r="I873" i="14" s="1"/>
  <c r="N1036" i="14"/>
  <c r="J1035" i="14" a="1"/>
  <c r="J1035" i="14" s="1"/>
  <c r="M1039" i="13"/>
  <c r="M1040" i="14"/>
  <c r="N1037" i="13"/>
  <c r="J1036" i="13" a="1"/>
  <c r="J1036" i="13" s="1"/>
  <c r="K850" i="13" l="1"/>
  <c r="L850" i="13" s="1"/>
  <c r="I851" i="13" s="1"/>
  <c r="M1040" i="13"/>
  <c r="N1038" i="13"/>
  <c r="J1037" i="13" a="1"/>
  <c r="J1037" i="13" s="1"/>
  <c r="M1041" i="14"/>
  <c r="N1037" i="14"/>
  <c r="J1036" i="14" a="1"/>
  <c r="J1036" i="14" s="1"/>
  <c r="K873" i="14"/>
  <c r="L873" i="14" s="1"/>
  <c r="I874" i="14" s="1"/>
  <c r="K851" i="13" l="1"/>
  <c r="L851" i="13" s="1"/>
  <c r="I852" i="13" s="1"/>
  <c r="K874" i="14"/>
  <c r="L874" i="14" s="1"/>
  <c r="I875" i="14" s="1"/>
  <c r="M1042" i="14"/>
  <c r="N1039" i="13"/>
  <c r="J1038" i="13" a="1"/>
  <c r="J1038" i="13" s="1"/>
  <c r="M1041" i="13"/>
  <c r="J1037" i="14" a="1"/>
  <c r="J1037" i="14" s="1"/>
  <c r="N1038" i="14"/>
  <c r="K852" i="13" l="1"/>
  <c r="L852" i="13" s="1"/>
  <c r="I853" i="13" s="1"/>
  <c r="N1040" i="13"/>
  <c r="J1039" i="13" a="1"/>
  <c r="J1039" i="13" s="1"/>
  <c r="K875" i="14"/>
  <c r="L875" i="14" s="1"/>
  <c r="I876" i="14" s="1"/>
  <c r="M1042" i="13"/>
  <c r="M1043" i="14"/>
  <c r="J1038" i="14" a="1"/>
  <c r="J1038" i="14" s="1"/>
  <c r="N1039" i="14"/>
  <c r="K853" i="13" l="1"/>
  <c r="L853" i="13" s="1"/>
  <c r="I854" i="13" s="1"/>
  <c r="K876" i="14"/>
  <c r="L876" i="14" s="1"/>
  <c r="I877" i="14" s="1"/>
  <c r="M1043" i="13"/>
  <c r="M1044" i="14"/>
  <c r="N1040" i="14"/>
  <c r="J1039" i="14" a="1"/>
  <c r="J1039" i="14" s="1"/>
  <c r="N1041" i="13"/>
  <c r="J1040" i="13" a="1"/>
  <c r="J1040" i="13" s="1"/>
  <c r="K854" i="13" l="1"/>
  <c r="L854" i="13" s="1"/>
  <c r="I855" i="13" s="1"/>
  <c r="K877" i="14"/>
  <c r="L877" i="14" s="1"/>
  <c r="I878" i="14" s="1"/>
  <c r="M1044" i="13"/>
  <c r="N1042" i="13"/>
  <c r="J1041" i="13" a="1"/>
  <c r="J1041" i="13" s="1"/>
  <c r="M1045" i="14"/>
  <c r="N1041" i="14"/>
  <c r="J1040" i="14" a="1"/>
  <c r="J1040" i="14" s="1"/>
  <c r="K855" i="13" l="1"/>
  <c r="L855" i="13" s="1"/>
  <c r="I856" i="13" s="1"/>
  <c r="K878" i="14"/>
  <c r="L878" i="14" s="1"/>
  <c r="I879" i="14" s="1"/>
  <c r="J1041" i="14" a="1"/>
  <c r="J1041" i="14" s="1"/>
  <c r="N1042" i="14"/>
  <c r="M1045" i="13"/>
  <c r="N1043" i="13"/>
  <c r="J1042" i="13" a="1"/>
  <c r="J1042" i="13" s="1"/>
  <c r="M1046" i="14"/>
  <c r="K856" i="13" l="1"/>
  <c r="L856" i="13" s="1"/>
  <c r="I857" i="13" s="1"/>
  <c r="K879" i="14"/>
  <c r="L879" i="14" s="1"/>
  <c r="I880" i="14" s="1"/>
  <c r="J1042" i="14" a="1"/>
  <c r="J1042" i="14" s="1"/>
  <c r="N1043" i="14"/>
  <c r="M1047" i="14"/>
  <c r="N1044" i="13"/>
  <c r="J1043" i="13" a="1"/>
  <c r="J1043" i="13" s="1"/>
  <c r="M1046" i="13"/>
  <c r="K857" i="13" l="1"/>
  <c r="L857" i="13" s="1"/>
  <c r="I858" i="13" s="1"/>
  <c r="K880" i="14"/>
  <c r="L880" i="14" s="1"/>
  <c r="I881" i="14" s="1"/>
  <c r="N1045" i="13"/>
  <c r="J1044" i="13" a="1"/>
  <c r="J1044" i="13" s="1"/>
  <c r="M1047" i="13"/>
  <c r="M1048" i="14"/>
  <c r="N1044" i="14"/>
  <c r="J1043" i="14" a="1"/>
  <c r="J1043" i="14" s="1"/>
  <c r="K858" i="13" l="1"/>
  <c r="L858" i="13" s="1"/>
  <c r="I859" i="13" s="1"/>
  <c r="K881" i="14"/>
  <c r="L881" i="14" s="1"/>
  <c r="I882" i="14" s="1"/>
  <c r="M1048" i="13"/>
  <c r="N1045" i="14"/>
  <c r="J1044" i="14" a="1"/>
  <c r="J1044" i="14" s="1"/>
  <c r="M1049" i="14"/>
  <c r="N1046" i="13"/>
  <c r="J1045" i="13" a="1"/>
  <c r="J1045" i="13" s="1"/>
  <c r="K859" i="13" l="1"/>
  <c r="L859" i="13" s="1"/>
  <c r="I860" i="13" s="1"/>
  <c r="K882" i="14"/>
  <c r="L882" i="14" s="1"/>
  <c r="I883" i="14" s="1"/>
  <c r="N1047" i="13"/>
  <c r="J1046" i="13" a="1"/>
  <c r="J1046" i="13" s="1"/>
  <c r="J1045" i="14" a="1"/>
  <c r="J1045" i="14" s="1"/>
  <c r="N1046" i="14"/>
  <c r="M1049" i="13"/>
  <c r="M1050" i="14"/>
  <c r="K860" i="13" l="1"/>
  <c r="L860" i="13" s="1"/>
  <c r="I861" i="13" s="1"/>
  <c r="K883" i="14"/>
  <c r="L883" i="14" s="1"/>
  <c r="I884" i="14" s="1"/>
  <c r="M1050" i="13"/>
  <c r="N1048" i="13"/>
  <c r="J1047" i="13" a="1"/>
  <c r="J1047" i="13" s="1"/>
  <c r="M1051" i="14"/>
  <c r="J1046" i="14" a="1"/>
  <c r="J1046" i="14" s="1"/>
  <c r="N1047" i="14"/>
  <c r="K861" i="13" l="1"/>
  <c r="L861" i="13" s="1"/>
  <c r="I862" i="13" s="1"/>
  <c r="K884" i="14"/>
  <c r="L884" i="14" s="1"/>
  <c r="I885" i="14" s="1"/>
  <c r="N1049" i="13"/>
  <c r="J1048" i="13" a="1"/>
  <c r="J1048" i="13" s="1"/>
  <c r="M1051" i="13"/>
  <c r="N1048" i="14"/>
  <c r="J1047" i="14" a="1"/>
  <c r="J1047" i="14" s="1"/>
  <c r="M1052" i="14"/>
  <c r="K862" i="13" l="1"/>
  <c r="L862" i="13" s="1"/>
  <c r="I863" i="13" s="1"/>
  <c r="M1053" i="14"/>
  <c r="K885" i="14"/>
  <c r="L885" i="14" s="1"/>
  <c r="I886" i="14" s="1"/>
  <c r="N1049" i="14"/>
  <c r="J1048" i="14" a="1"/>
  <c r="J1048" i="14" s="1"/>
  <c r="M1052" i="13"/>
  <c r="N1050" i="13"/>
  <c r="J1049" i="13" a="1"/>
  <c r="J1049" i="13" s="1"/>
  <c r="K863" i="13" l="1"/>
  <c r="L863" i="13" s="1"/>
  <c r="I864" i="13" s="1"/>
  <c r="K886" i="14"/>
  <c r="L886" i="14" s="1"/>
  <c r="I887" i="14" s="1"/>
  <c r="N1051" i="13"/>
  <c r="J1050" i="13" a="1"/>
  <c r="J1050" i="13" s="1"/>
  <c r="J1049" i="14" a="1"/>
  <c r="J1049" i="14" s="1"/>
  <c r="N1050" i="14"/>
  <c r="M1054" i="14"/>
  <c r="M1053" i="13"/>
  <c r="K864" i="13" l="1"/>
  <c r="L864" i="13" s="1"/>
  <c r="I865" i="13" s="1"/>
  <c r="K887" i="14"/>
  <c r="L887" i="14" s="1"/>
  <c r="I888" i="14" s="1"/>
  <c r="J1050" i="14" a="1"/>
  <c r="J1050" i="14" s="1"/>
  <c r="N1051" i="14"/>
  <c r="M1054" i="13"/>
  <c r="M1055" i="14"/>
  <c r="N1052" i="13"/>
  <c r="J1051" i="13" a="1"/>
  <c r="J1051" i="13" s="1"/>
  <c r="K865" i="13" l="1"/>
  <c r="L865" i="13" s="1"/>
  <c r="I866" i="13" s="1"/>
  <c r="M1055" i="13"/>
  <c r="N1053" i="13"/>
  <c r="J1052" i="13" a="1"/>
  <c r="J1052" i="13" s="1"/>
  <c r="M1056" i="14"/>
  <c r="N1052" i="14"/>
  <c r="J1051" i="14" a="1"/>
  <c r="J1051" i="14" s="1"/>
  <c r="K888" i="14"/>
  <c r="L888" i="14" s="1"/>
  <c r="I889" i="14" s="1"/>
  <c r="K866" i="13" l="1"/>
  <c r="L866" i="13" s="1"/>
  <c r="I867" i="13" s="1"/>
  <c r="K889" i="14"/>
  <c r="L889" i="14" s="1"/>
  <c r="I890" i="14" s="1"/>
  <c r="M1056" i="13"/>
  <c r="M1057" i="14"/>
  <c r="N1053" i="14"/>
  <c r="J1052" i="14" a="1"/>
  <c r="J1052" i="14" s="1"/>
  <c r="N1054" i="13"/>
  <c r="J1053" i="13" a="1"/>
  <c r="J1053" i="13" s="1"/>
  <c r="K867" i="13" l="1"/>
  <c r="L867" i="13" s="1"/>
  <c r="I868" i="13" s="1"/>
  <c r="K890" i="14"/>
  <c r="L890" i="14" s="1"/>
  <c r="I891" i="14" s="1"/>
  <c r="J1053" i="14" a="1"/>
  <c r="J1053" i="14" s="1"/>
  <c r="N1054" i="14"/>
  <c r="N1055" i="13"/>
  <c r="J1054" i="13" a="1"/>
  <c r="J1054" i="13" s="1"/>
  <c r="M1058" i="14"/>
  <c r="M1057" i="13"/>
  <c r="K868" i="13" l="1"/>
  <c r="L868" i="13" s="1"/>
  <c r="I869" i="13" s="1"/>
  <c r="K891" i="14"/>
  <c r="L891" i="14" s="1"/>
  <c r="I892" i="14" s="1"/>
  <c r="J1054" i="14" a="1"/>
  <c r="J1054" i="14" s="1"/>
  <c r="N1055" i="14"/>
  <c r="N1056" i="13"/>
  <c r="J1055" i="13" a="1"/>
  <c r="J1055" i="13" s="1"/>
  <c r="M1059" i="14"/>
  <c r="M1058" i="13"/>
  <c r="K869" i="13" l="1"/>
  <c r="L869" i="13" s="1"/>
  <c r="I870" i="13" s="1"/>
  <c r="K892" i="14"/>
  <c r="L892" i="14" s="1"/>
  <c r="I893" i="14" s="1"/>
  <c r="M1059" i="13"/>
  <c r="N1057" i="13"/>
  <c r="J1056" i="13" a="1"/>
  <c r="J1056" i="13" s="1"/>
  <c r="M1060" i="14"/>
  <c r="N1056" i="14"/>
  <c r="J1055" i="14" a="1"/>
  <c r="J1055" i="14" s="1"/>
  <c r="K870" i="13" l="1"/>
  <c r="L870" i="13" s="1"/>
  <c r="I871" i="13" s="1"/>
  <c r="K893" i="14"/>
  <c r="L893" i="14" s="1"/>
  <c r="I894" i="14" s="1"/>
  <c r="N1058" i="13"/>
  <c r="J1057" i="13" a="1"/>
  <c r="J1057" i="13" s="1"/>
  <c r="N1057" i="14"/>
  <c r="J1056" i="14" a="1"/>
  <c r="J1056" i="14" s="1"/>
  <c r="M1060" i="13"/>
  <c r="M1061" i="14"/>
  <c r="K871" i="13" l="1"/>
  <c r="L871" i="13" s="1"/>
  <c r="I872" i="13" s="1"/>
  <c r="K894" i="14"/>
  <c r="L894" i="14" s="1"/>
  <c r="I895" i="14" s="1"/>
  <c r="M1062" i="14"/>
  <c r="N1059" i="13"/>
  <c r="J1058" i="13" a="1"/>
  <c r="J1058" i="13" s="1"/>
  <c r="M1061" i="13"/>
  <c r="J1057" i="14" a="1"/>
  <c r="J1057" i="14" s="1"/>
  <c r="N1058" i="14"/>
  <c r="K872" i="13" l="1"/>
  <c r="L872" i="13" s="1"/>
  <c r="I873" i="13" s="1"/>
  <c r="K895" i="14"/>
  <c r="L895" i="14" s="1"/>
  <c r="I896" i="14" s="1"/>
  <c r="J1058" i="14" a="1"/>
  <c r="J1058" i="14" s="1"/>
  <c r="N1059" i="14"/>
  <c r="N1060" i="13"/>
  <c r="J1059" i="13" a="1"/>
  <c r="J1059" i="13" s="1"/>
  <c r="M1062" i="13"/>
  <c r="M1063" i="14"/>
  <c r="K873" i="13" l="1"/>
  <c r="L873" i="13" s="1"/>
  <c r="I874" i="13" s="1"/>
  <c r="K896" i="14"/>
  <c r="L896" i="14" s="1"/>
  <c r="I897" i="14" s="1"/>
  <c r="N1061" i="13"/>
  <c r="J1060" i="13" a="1"/>
  <c r="J1060" i="13" s="1"/>
  <c r="M1064" i="14"/>
  <c r="M1063" i="13"/>
  <c r="N1060" i="14"/>
  <c r="J1059" i="14" a="1"/>
  <c r="J1059" i="14" s="1"/>
  <c r="K874" i="13" l="1"/>
  <c r="L874" i="13" s="1"/>
  <c r="I875" i="13" s="1"/>
  <c r="K897" i="14"/>
  <c r="L897" i="14" s="1"/>
  <c r="I898" i="14" s="1"/>
  <c r="N1061" i="14"/>
  <c r="J1060" i="14" a="1"/>
  <c r="J1060" i="14" s="1"/>
  <c r="M1065" i="14"/>
  <c r="M1064" i="13"/>
  <c r="N1062" i="13"/>
  <c r="J1061" i="13" a="1"/>
  <c r="J1061" i="13" s="1"/>
  <c r="K875" i="13" l="1"/>
  <c r="L875" i="13" s="1"/>
  <c r="I876" i="13" s="1"/>
  <c r="K898" i="14"/>
  <c r="L898" i="14" s="1"/>
  <c r="I899" i="14" s="1"/>
  <c r="J1061" i="14" a="1"/>
  <c r="J1061" i="14" s="1"/>
  <c r="N1062" i="14"/>
  <c r="M1065" i="13"/>
  <c r="N1063" i="13"/>
  <c r="J1062" i="13" a="1"/>
  <c r="J1062" i="13" s="1"/>
  <c r="M1066" i="14"/>
  <c r="K876" i="13" l="1"/>
  <c r="L876" i="13" s="1"/>
  <c r="I877" i="13" s="1"/>
  <c r="K899" i="14"/>
  <c r="L899" i="14" s="1"/>
  <c r="I900" i="14" s="1"/>
  <c r="M1067" i="14"/>
  <c r="M1066" i="13"/>
  <c r="J1062" i="14" a="1"/>
  <c r="J1062" i="14" s="1"/>
  <c r="N1063" i="14"/>
  <c r="N1064" i="13"/>
  <c r="J1063" i="13" a="1"/>
  <c r="J1063" i="13" s="1"/>
  <c r="K877" i="13" l="1"/>
  <c r="L877" i="13" s="1"/>
  <c r="I878" i="13" s="1"/>
  <c r="K900" i="14"/>
  <c r="L900" i="14" s="1"/>
  <c r="I901" i="14" s="1"/>
  <c r="M1067" i="13"/>
  <c r="N1065" i="13"/>
  <c r="J1064" i="13" a="1"/>
  <c r="J1064" i="13" s="1"/>
  <c r="N1064" i="14"/>
  <c r="J1063" i="14" a="1"/>
  <c r="J1063" i="14" s="1"/>
  <c r="M1068" i="14"/>
  <c r="K878" i="13" l="1"/>
  <c r="L878" i="13" s="1"/>
  <c r="I879" i="13" s="1"/>
  <c r="K901" i="14"/>
  <c r="L901" i="14" s="1"/>
  <c r="I902" i="14" s="1"/>
  <c r="M1069" i="14"/>
  <c r="N1066" i="13"/>
  <c r="J1065" i="13" a="1"/>
  <c r="J1065" i="13" s="1"/>
  <c r="M1068" i="13"/>
  <c r="N1065" i="14"/>
  <c r="J1064" i="14" a="1"/>
  <c r="J1064" i="14" s="1"/>
  <c r="K879" i="13" l="1"/>
  <c r="L879" i="13" s="1"/>
  <c r="I880" i="13" s="1"/>
  <c r="K902" i="14"/>
  <c r="L902" i="14" s="1"/>
  <c r="I903" i="14" s="1"/>
  <c r="J1065" i="14" a="1"/>
  <c r="J1065" i="14" s="1"/>
  <c r="N1066" i="14"/>
  <c r="N1067" i="13"/>
  <c r="J1066" i="13" a="1"/>
  <c r="J1066" i="13" s="1"/>
  <c r="M1069" i="13"/>
  <c r="M1070" i="14"/>
  <c r="K880" i="13" l="1"/>
  <c r="L880" i="13" s="1"/>
  <c r="I881" i="13" s="1"/>
  <c r="K903" i="14"/>
  <c r="L903" i="14" s="1"/>
  <c r="I904" i="14" s="1"/>
  <c r="M1071" i="14"/>
  <c r="N1068" i="13"/>
  <c r="J1067" i="13" a="1"/>
  <c r="J1067" i="13" s="1"/>
  <c r="M1070" i="13"/>
  <c r="J1066" i="14" a="1"/>
  <c r="J1066" i="14" s="1"/>
  <c r="N1067" i="14"/>
  <c r="K881" i="13" l="1"/>
  <c r="L881" i="13" s="1"/>
  <c r="I882" i="13" s="1"/>
  <c r="K904" i="14"/>
  <c r="L904" i="14" s="1"/>
  <c r="I905" i="14" s="1"/>
  <c r="N1068" i="14"/>
  <c r="J1067" i="14" a="1"/>
  <c r="J1067" i="14" s="1"/>
  <c r="N1069" i="13"/>
  <c r="J1068" i="13" a="1"/>
  <c r="J1068" i="13" s="1"/>
  <c r="M1071" i="13"/>
  <c r="M1072" i="14"/>
  <c r="K882" i="13" l="1"/>
  <c r="L882" i="13" s="1"/>
  <c r="I883" i="13" s="1"/>
  <c r="K905" i="14"/>
  <c r="L905" i="14" s="1"/>
  <c r="I906" i="14" s="1"/>
  <c r="N1070" i="13"/>
  <c r="J1069" i="13" a="1"/>
  <c r="J1069" i="13" s="1"/>
  <c r="M1073" i="14"/>
  <c r="M1072" i="13"/>
  <c r="N1069" i="14"/>
  <c r="J1068" i="14" a="1"/>
  <c r="J1068" i="14" s="1"/>
  <c r="K883" i="13" l="1"/>
  <c r="L883" i="13" s="1"/>
  <c r="I884" i="13" s="1"/>
  <c r="K906" i="14"/>
  <c r="L906" i="14" s="1"/>
  <c r="I907" i="14" s="1"/>
  <c r="J1069" i="14" a="1"/>
  <c r="J1069" i="14" s="1"/>
  <c r="N1070" i="14"/>
  <c r="M1074" i="14"/>
  <c r="M1073" i="13"/>
  <c r="N1071" i="13"/>
  <c r="J1070" i="13" a="1"/>
  <c r="J1070" i="13" s="1"/>
  <c r="K884" i="13" l="1"/>
  <c r="L884" i="13" s="1"/>
  <c r="I885" i="13" s="1"/>
  <c r="K907" i="14"/>
  <c r="L907" i="14" s="1"/>
  <c r="I908" i="14" s="1"/>
  <c r="M1075" i="14"/>
  <c r="N1072" i="13"/>
  <c r="J1071" i="13" a="1"/>
  <c r="J1071" i="13" s="1"/>
  <c r="M1074" i="13"/>
  <c r="J1070" i="14" a="1"/>
  <c r="J1070" i="14" s="1"/>
  <c r="N1071" i="14"/>
  <c r="K885" i="13" l="1"/>
  <c r="L885" i="13" s="1"/>
  <c r="I886" i="13" s="1"/>
  <c r="M1076" i="14"/>
  <c r="N1073" i="13"/>
  <c r="J1072" i="13" a="1"/>
  <c r="J1072" i="13" s="1"/>
  <c r="M1075" i="13"/>
  <c r="N1072" i="14"/>
  <c r="J1071" i="14" a="1"/>
  <c r="J1071" i="14" s="1"/>
  <c r="K908" i="14"/>
  <c r="L908" i="14" s="1"/>
  <c r="I909" i="14" s="1"/>
  <c r="K886" i="13" l="1"/>
  <c r="L886" i="13" s="1"/>
  <c r="I887" i="13" s="1"/>
  <c r="K909" i="14"/>
  <c r="L909" i="14" s="1"/>
  <c r="I910" i="14" s="1"/>
  <c r="N1074" i="13"/>
  <c r="J1073" i="13" a="1"/>
  <c r="J1073" i="13" s="1"/>
  <c r="N1073" i="14"/>
  <c r="J1072" i="14" a="1"/>
  <c r="J1072" i="14" s="1"/>
  <c r="M1076" i="13"/>
  <c r="M1077" i="14"/>
  <c r="K887" i="13" l="1"/>
  <c r="L887" i="13" s="1"/>
  <c r="I888" i="13" s="1"/>
  <c r="K910" i="14"/>
  <c r="L910" i="14" s="1"/>
  <c r="I911" i="14" s="1"/>
  <c r="M1078" i="14"/>
  <c r="J1073" i="14" a="1"/>
  <c r="J1073" i="14" s="1"/>
  <c r="N1074" i="14"/>
  <c r="M1077" i="13"/>
  <c r="N1075" i="13"/>
  <c r="J1074" i="13" a="1"/>
  <c r="J1074" i="13" s="1"/>
  <c r="K888" i="13" l="1"/>
  <c r="L888" i="13" s="1"/>
  <c r="I889" i="13" s="1"/>
  <c r="K911" i="14"/>
  <c r="L911" i="14" s="1"/>
  <c r="I912" i="14" s="1"/>
  <c r="J1074" i="14" a="1"/>
  <c r="J1074" i="14" s="1"/>
  <c r="N1075" i="14"/>
  <c r="N1076" i="13"/>
  <c r="J1075" i="13" a="1"/>
  <c r="J1075" i="13" s="1"/>
  <c r="M1078" i="13"/>
  <c r="M1079" i="14"/>
  <c r="K889" i="13" l="1"/>
  <c r="L889" i="13" s="1"/>
  <c r="I890" i="13" s="1"/>
  <c r="K912" i="14"/>
  <c r="L912" i="14" s="1"/>
  <c r="I913" i="14" s="1"/>
  <c r="N1077" i="13"/>
  <c r="J1076" i="13" a="1"/>
  <c r="J1076" i="13" s="1"/>
  <c r="M1080" i="14"/>
  <c r="N1076" i="14"/>
  <c r="J1075" i="14" a="1"/>
  <c r="J1075" i="14" s="1"/>
  <c r="M1079" i="13"/>
  <c r="K890" i="13" l="1"/>
  <c r="L890" i="13" s="1"/>
  <c r="I891" i="13" s="1"/>
  <c r="K913" i="14"/>
  <c r="L913" i="14" s="1"/>
  <c r="I914" i="14" s="1"/>
  <c r="M1080" i="13"/>
  <c r="M1081" i="14"/>
  <c r="N1077" i="14"/>
  <c r="J1076" i="14" a="1"/>
  <c r="J1076" i="14" s="1"/>
  <c r="N1078" i="13"/>
  <c r="J1077" i="13" a="1"/>
  <c r="J1077" i="13" s="1"/>
  <c r="K891" i="13" l="1"/>
  <c r="L891" i="13" s="1"/>
  <c r="I892" i="13" s="1"/>
  <c r="K914" i="14"/>
  <c r="L914" i="14" s="1"/>
  <c r="I915" i="14" s="1"/>
  <c r="N1079" i="13"/>
  <c r="J1078" i="13" a="1"/>
  <c r="J1078" i="13" s="1"/>
  <c r="M1082" i="14"/>
  <c r="J1077" i="14" a="1"/>
  <c r="J1077" i="14" s="1"/>
  <c r="N1078" i="14"/>
  <c r="M1081" i="13"/>
  <c r="K892" i="13" l="1"/>
  <c r="L892" i="13" s="1"/>
  <c r="I893" i="13" s="1"/>
  <c r="K915" i="14"/>
  <c r="L915" i="14" s="1"/>
  <c r="I916" i="14" s="1"/>
  <c r="N1080" i="13"/>
  <c r="J1079" i="13" a="1"/>
  <c r="J1079" i="13" s="1"/>
  <c r="J1078" i="14" a="1"/>
  <c r="J1078" i="14" s="1"/>
  <c r="N1079" i="14"/>
  <c r="M1082" i="13"/>
  <c r="M1083" i="14"/>
  <c r="K893" i="13" l="1"/>
  <c r="L893" i="13" s="1"/>
  <c r="I894" i="13" s="1"/>
  <c r="K916" i="14"/>
  <c r="L916" i="14" s="1"/>
  <c r="I917" i="14" s="1"/>
  <c r="M1083" i="13"/>
  <c r="M1084" i="14"/>
  <c r="N1080" i="14"/>
  <c r="J1079" i="14" a="1"/>
  <c r="J1079" i="14" s="1"/>
  <c r="N1081" i="13"/>
  <c r="J1080" i="13" a="1"/>
  <c r="J1080" i="13" s="1"/>
  <c r="K894" i="13" l="1"/>
  <c r="L894" i="13" s="1"/>
  <c r="I895" i="13" s="1"/>
  <c r="K917" i="14"/>
  <c r="L917" i="14" s="1"/>
  <c r="I918" i="14" s="1"/>
  <c r="N1082" i="13"/>
  <c r="J1081" i="13" a="1"/>
  <c r="J1081" i="13" s="1"/>
  <c r="M1085" i="14"/>
  <c r="M1084" i="13"/>
  <c r="N1081" i="14"/>
  <c r="J1080" i="14" a="1"/>
  <c r="J1080" i="14" s="1"/>
  <c r="K895" i="13" l="1"/>
  <c r="L895" i="13" s="1"/>
  <c r="I896" i="13" s="1"/>
  <c r="K918" i="14"/>
  <c r="L918" i="14" s="1"/>
  <c r="I919" i="14" s="1"/>
  <c r="M1085" i="13"/>
  <c r="J1081" i="14" a="1"/>
  <c r="J1081" i="14" s="1"/>
  <c r="N1082" i="14"/>
  <c r="M1086" i="14"/>
  <c r="N1083" i="13"/>
  <c r="J1082" i="13" a="1"/>
  <c r="J1082" i="13" s="1"/>
  <c r="K896" i="13" l="1"/>
  <c r="L896" i="13" s="1"/>
  <c r="I897" i="13" s="1"/>
  <c r="K919" i="14"/>
  <c r="L919" i="14" s="1"/>
  <c r="I920" i="14" s="1"/>
  <c r="J1082" i="14" a="1"/>
  <c r="J1082" i="14" s="1"/>
  <c r="N1083" i="14"/>
  <c r="N1084" i="13"/>
  <c r="J1083" i="13" a="1"/>
  <c r="J1083" i="13" s="1"/>
  <c r="M1086" i="13"/>
  <c r="M1087" i="14"/>
  <c r="K897" i="13" l="1"/>
  <c r="L897" i="13" s="1"/>
  <c r="I898" i="13" s="1"/>
  <c r="K920" i="14"/>
  <c r="L920" i="14" s="1"/>
  <c r="I921" i="14" s="1"/>
  <c r="M1088" i="14"/>
  <c r="N1085" i="13"/>
  <c r="J1084" i="13" a="1"/>
  <c r="J1084" i="13" s="1"/>
  <c r="M1087" i="13"/>
  <c r="N1084" i="14"/>
  <c r="J1083" i="14" a="1"/>
  <c r="J1083" i="14" s="1"/>
  <c r="K898" i="13" l="1"/>
  <c r="L898" i="13" s="1"/>
  <c r="I899" i="13" s="1"/>
  <c r="K921" i="14"/>
  <c r="L921" i="14" s="1"/>
  <c r="I922" i="14" s="1"/>
  <c r="M1088" i="13"/>
  <c r="M1089" i="14"/>
  <c r="N1085" i="14"/>
  <c r="J1084" i="14" a="1"/>
  <c r="J1084" i="14" s="1"/>
  <c r="N1086" i="13"/>
  <c r="J1085" i="13" a="1"/>
  <c r="J1085" i="13" s="1"/>
  <c r="K899" i="13" l="1"/>
  <c r="L899" i="13" s="1"/>
  <c r="I900" i="13" s="1"/>
  <c r="K922" i="14"/>
  <c r="L922" i="14" s="1"/>
  <c r="I923" i="14" s="1"/>
  <c r="N1087" i="13"/>
  <c r="J1086" i="13" a="1"/>
  <c r="J1086" i="13" s="1"/>
  <c r="M1090" i="14"/>
  <c r="M1089" i="13"/>
  <c r="J1085" i="14" a="1"/>
  <c r="J1085" i="14" s="1"/>
  <c r="N1086" i="14"/>
  <c r="K900" i="13" l="1"/>
  <c r="L900" i="13" s="1"/>
  <c r="I901" i="13" s="1"/>
  <c r="K923" i="14"/>
  <c r="L923" i="14" s="1"/>
  <c r="I924" i="14" s="1"/>
  <c r="M1091" i="14"/>
  <c r="J1086" i="14" a="1"/>
  <c r="J1086" i="14" s="1"/>
  <c r="N1087" i="14"/>
  <c r="M1090" i="13"/>
  <c r="N1088" i="13"/>
  <c r="J1087" i="13" a="1"/>
  <c r="J1087" i="13" s="1"/>
  <c r="K901" i="13" l="1"/>
  <c r="L901" i="13" s="1"/>
  <c r="I902" i="13" s="1"/>
  <c r="K924" i="14"/>
  <c r="L924" i="14" s="1"/>
  <c r="I925" i="14" s="1"/>
  <c r="N1088" i="14"/>
  <c r="J1087" i="14" a="1"/>
  <c r="J1087" i="14" s="1"/>
  <c r="M1091" i="13"/>
  <c r="N1089" i="13"/>
  <c r="J1088" i="13" a="1"/>
  <c r="J1088" i="13" s="1"/>
  <c r="M1092" i="14"/>
  <c r="K902" i="13" l="1"/>
  <c r="L902" i="13" s="1"/>
  <c r="I903" i="13" s="1"/>
  <c r="N1090" i="13"/>
  <c r="J1089" i="13" a="1"/>
  <c r="J1089" i="13" s="1"/>
  <c r="M1092" i="13"/>
  <c r="M1093" i="14"/>
  <c r="N1089" i="14"/>
  <c r="J1088" i="14" a="1"/>
  <c r="J1088" i="14" s="1"/>
  <c r="K925" i="14"/>
  <c r="L925" i="14" s="1"/>
  <c r="I926" i="14" s="1"/>
  <c r="K903" i="13" l="1"/>
  <c r="L903" i="13" s="1"/>
  <c r="I904" i="13" s="1"/>
  <c r="K926" i="14"/>
  <c r="L926" i="14" s="1"/>
  <c r="I927" i="14" s="1"/>
  <c r="M1094" i="14"/>
  <c r="N1091" i="13"/>
  <c r="J1090" i="13" a="1"/>
  <c r="J1090" i="13" s="1"/>
  <c r="J1089" i="14" a="1"/>
  <c r="J1089" i="14" s="1"/>
  <c r="N1090" i="14"/>
  <c r="M1093" i="13"/>
  <c r="K904" i="13" l="1"/>
  <c r="L904" i="13" s="1"/>
  <c r="I905" i="13" s="1"/>
  <c r="K927" i="14"/>
  <c r="L927" i="14" s="1"/>
  <c r="I928" i="14" s="1"/>
  <c r="J1090" i="14" a="1"/>
  <c r="J1090" i="14" s="1"/>
  <c r="N1091" i="14"/>
  <c r="M1095" i="14"/>
  <c r="M1094" i="13"/>
  <c r="N1092" i="13"/>
  <c r="J1091" i="13" a="1"/>
  <c r="J1091" i="13" s="1"/>
  <c r="K905" i="13" l="1"/>
  <c r="L905" i="13" s="1"/>
  <c r="I906" i="13" s="1"/>
  <c r="K928" i="14"/>
  <c r="L928" i="14" s="1"/>
  <c r="I929" i="14" s="1"/>
  <c r="N1093" i="13"/>
  <c r="J1092" i="13" a="1"/>
  <c r="J1092" i="13" s="1"/>
  <c r="M1096" i="14"/>
  <c r="M1095" i="13"/>
  <c r="N1092" i="14"/>
  <c r="J1091" i="14" a="1"/>
  <c r="J1091" i="14" s="1"/>
  <c r="K906" i="13" l="1"/>
  <c r="L906" i="13" s="1"/>
  <c r="I907" i="13" s="1"/>
  <c r="K929" i="14"/>
  <c r="L929" i="14" s="1"/>
  <c r="I930" i="14" s="1"/>
  <c r="M1096" i="13"/>
  <c r="N1094" i="13"/>
  <c r="J1093" i="13" a="1"/>
  <c r="J1093" i="13" s="1"/>
  <c r="N1093" i="14"/>
  <c r="J1092" i="14" a="1"/>
  <c r="J1092" i="14" s="1"/>
  <c r="M1097" i="14"/>
  <c r="K907" i="13" l="1"/>
  <c r="L907" i="13" s="1"/>
  <c r="I908" i="13" s="1"/>
  <c r="K930" i="14"/>
  <c r="L930" i="14" s="1"/>
  <c r="I931" i="14" s="1"/>
  <c r="M1098" i="14"/>
  <c r="N1095" i="13"/>
  <c r="J1094" i="13" a="1"/>
  <c r="J1094" i="13" s="1"/>
  <c r="M1097" i="13"/>
  <c r="J1093" i="14" a="1"/>
  <c r="J1093" i="14" s="1"/>
  <c r="N1094" i="14"/>
  <c r="K908" i="13" l="1"/>
  <c r="L908" i="13" s="1"/>
  <c r="I909" i="13" s="1"/>
  <c r="K931" i="14"/>
  <c r="L931" i="14" s="1"/>
  <c r="I932" i="14" s="1"/>
  <c r="N1096" i="13"/>
  <c r="J1095" i="13" a="1"/>
  <c r="J1095" i="13" s="1"/>
  <c r="J1094" i="14" a="1"/>
  <c r="J1094" i="14" s="1"/>
  <c r="N1095" i="14"/>
  <c r="M1098" i="13"/>
  <c r="M1099" i="14"/>
  <c r="K909" i="13" l="1"/>
  <c r="L909" i="13" s="1"/>
  <c r="I910" i="13" s="1"/>
  <c r="K932" i="14"/>
  <c r="L932" i="14" s="1"/>
  <c r="I933" i="14" s="1"/>
  <c r="N1096" i="14"/>
  <c r="J1095" i="14" a="1"/>
  <c r="J1095" i="14" s="1"/>
  <c r="M1100" i="14"/>
  <c r="M1099" i="13"/>
  <c r="N1097" i="13"/>
  <c r="J1096" i="13" a="1"/>
  <c r="J1096" i="13" s="1"/>
  <c r="K910" i="13" l="1"/>
  <c r="L910" i="13" s="1"/>
  <c r="I911" i="13" s="1"/>
  <c r="K933" i="14"/>
  <c r="L933" i="14" s="1"/>
  <c r="I934" i="14" s="1"/>
  <c r="N1098" i="13"/>
  <c r="J1097" i="13" a="1"/>
  <c r="J1097" i="13" s="1"/>
  <c r="M1101" i="14"/>
  <c r="M1100" i="13"/>
  <c r="N1097" i="14"/>
  <c r="J1096" i="14" a="1"/>
  <c r="J1096" i="14" s="1"/>
  <c r="K911" i="13" l="1"/>
  <c r="L911" i="13" s="1"/>
  <c r="I912" i="13" s="1"/>
  <c r="K934" i="14"/>
  <c r="L934" i="14" s="1"/>
  <c r="I935" i="14" s="1"/>
  <c r="J1097" i="14" a="1"/>
  <c r="J1097" i="14" s="1"/>
  <c r="N1098" i="14"/>
  <c r="M1102" i="14"/>
  <c r="M1101" i="13"/>
  <c r="N1099" i="13"/>
  <c r="J1098" i="13" a="1"/>
  <c r="J1098" i="13" s="1"/>
  <c r="K912" i="13" l="1"/>
  <c r="L912" i="13" s="1"/>
  <c r="I913" i="13" s="1"/>
  <c r="N1100" i="13"/>
  <c r="J1099" i="13" a="1"/>
  <c r="J1099" i="13" s="1"/>
  <c r="M1103" i="14"/>
  <c r="M1102" i="13"/>
  <c r="J1098" i="14" a="1"/>
  <c r="J1098" i="14" s="1"/>
  <c r="N1099" i="14"/>
  <c r="K935" i="14"/>
  <c r="L935" i="14" s="1"/>
  <c r="I936" i="14" s="1"/>
  <c r="K913" i="13" l="1"/>
  <c r="L913" i="13" s="1"/>
  <c r="I914" i="13" s="1"/>
  <c r="K936" i="14"/>
  <c r="L936" i="14" s="1"/>
  <c r="I937" i="14" s="1"/>
  <c r="M1103" i="13"/>
  <c r="N1101" i="13"/>
  <c r="J1100" i="13" a="1"/>
  <c r="J1100" i="13" s="1"/>
  <c r="N1100" i="14"/>
  <c r="J1099" i="14" a="1"/>
  <c r="J1099" i="14" s="1"/>
  <c r="M1104" i="14"/>
  <c r="K914" i="13" l="1"/>
  <c r="L914" i="13" s="1"/>
  <c r="I915" i="13" s="1"/>
  <c r="K937" i="14"/>
  <c r="L937" i="14" s="1"/>
  <c r="I938" i="14" s="1"/>
  <c r="N1101" i="14"/>
  <c r="J1100" i="14" a="1"/>
  <c r="J1100" i="14" s="1"/>
  <c r="M1104" i="13"/>
  <c r="M1105" i="14"/>
  <c r="N1102" i="13"/>
  <c r="J1101" i="13" a="1"/>
  <c r="J1101" i="13" s="1"/>
  <c r="K915" i="13" l="1"/>
  <c r="L915" i="13" s="1"/>
  <c r="I916" i="13" s="1"/>
  <c r="M1106" i="14"/>
  <c r="N1103" i="13"/>
  <c r="J1102" i="13" a="1"/>
  <c r="J1102" i="13" s="1"/>
  <c r="K938" i="14"/>
  <c r="L938" i="14" s="1"/>
  <c r="I939" i="14" s="1"/>
  <c r="M1105" i="13"/>
  <c r="J1101" i="14" a="1"/>
  <c r="J1101" i="14" s="1"/>
  <c r="N1102" i="14"/>
  <c r="K916" i="13" l="1"/>
  <c r="L916" i="13" s="1"/>
  <c r="I917" i="13" s="1"/>
  <c r="K939" i="14"/>
  <c r="L939" i="14" s="1"/>
  <c r="I940" i="14" s="1"/>
  <c r="J1102" i="14" a="1"/>
  <c r="J1102" i="14" s="1"/>
  <c r="N1103" i="14"/>
  <c r="M1107" i="14"/>
  <c r="M1106" i="13"/>
  <c r="N1104" i="13"/>
  <c r="J1103" i="13" a="1"/>
  <c r="J1103" i="13" s="1"/>
  <c r="K917" i="13" l="1"/>
  <c r="L917" i="13" s="1"/>
  <c r="I918" i="13" s="1"/>
  <c r="K940" i="14"/>
  <c r="L940" i="14" s="1"/>
  <c r="I941" i="14" s="1"/>
  <c r="N1105" i="13"/>
  <c r="J1104" i="13" a="1"/>
  <c r="J1104" i="13" s="1"/>
  <c r="M1108" i="14"/>
  <c r="M1107" i="13"/>
  <c r="N1104" i="14"/>
  <c r="J1103" i="14" a="1"/>
  <c r="J1103" i="14" s="1"/>
  <c r="K918" i="13" l="1"/>
  <c r="L918" i="13" s="1"/>
  <c r="I919" i="13" s="1"/>
  <c r="K941" i="14"/>
  <c r="L941" i="14" s="1"/>
  <c r="I942" i="14" s="1"/>
  <c r="M1108" i="13"/>
  <c r="N1105" i="14"/>
  <c r="J1104" i="14" a="1"/>
  <c r="J1104" i="14" s="1"/>
  <c r="M1109" i="14"/>
  <c r="N1106" i="13"/>
  <c r="J1105" i="13" a="1"/>
  <c r="J1105" i="13" s="1"/>
  <c r="K919" i="13" l="1"/>
  <c r="L919" i="13" s="1"/>
  <c r="I920" i="13" s="1"/>
  <c r="K942" i="14"/>
  <c r="L942" i="14" s="1"/>
  <c r="I943" i="14" s="1"/>
  <c r="N1107" i="13"/>
  <c r="J1106" i="13" a="1"/>
  <c r="J1106" i="13" s="1"/>
  <c r="J1105" i="14" a="1"/>
  <c r="J1105" i="14" s="1"/>
  <c r="N1106" i="14"/>
  <c r="M1109" i="13"/>
  <c r="M1110" i="14"/>
  <c r="K920" i="13" l="1"/>
  <c r="L920" i="13" s="1"/>
  <c r="I921" i="13" s="1"/>
  <c r="K943" i="14"/>
  <c r="L943" i="14" s="1"/>
  <c r="I944" i="14" s="1"/>
  <c r="M1110" i="13"/>
  <c r="M1111" i="14"/>
  <c r="J1106" i="14" a="1"/>
  <c r="J1106" i="14" s="1"/>
  <c r="N1107" i="14"/>
  <c r="N1108" i="13"/>
  <c r="J1107" i="13" a="1"/>
  <c r="J1107" i="13" s="1"/>
  <c r="K921" i="13" l="1"/>
  <c r="L921" i="13" s="1"/>
  <c r="I922" i="13" s="1"/>
  <c r="K944" i="14"/>
  <c r="L944" i="14" s="1"/>
  <c r="I945" i="14" s="1"/>
  <c r="M1112" i="14"/>
  <c r="N1109" i="13"/>
  <c r="J1108" i="13" a="1"/>
  <c r="J1108" i="13" s="1"/>
  <c r="N1108" i="14"/>
  <c r="J1107" i="14" a="1"/>
  <c r="J1107" i="14" s="1"/>
  <c r="M1111" i="13"/>
  <c r="K922" i="13" l="1"/>
  <c r="L922" i="13" s="1"/>
  <c r="I923" i="13" s="1"/>
  <c r="K945" i="14"/>
  <c r="L945" i="14" s="1"/>
  <c r="I946" i="14" s="1"/>
  <c r="M1112" i="13"/>
  <c r="N1110" i="13"/>
  <c r="J1109" i="13" a="1"/>
  <c r="J1109" i="13" s="1"/>
  <c r="N1109" i="14"/>
  <c r="J1108" i="14" a="1"/>
  <c r="J1108" i="14" s="1"/>
  <c r="M1113" i="14"/>
  <c r="K923" i="13" l="1"/>
  <c r="L923" i="13" s="1"/>
  <c r="I924" i="13" s="1"/>
  <c r="K946" i="14"/>
  <c r="L946" i="14" s="1"/>
  <c r="I947" i="14" s="1"/>
  <c r="M1114" i="14"/>
  <c r="N1111" i="13"/>
  <c r="J1110" i="13" a="1"/>
  <c r="J1110" i="13" s="1"/>
  <c r="M1113" i="13"/>
  <c r="J1109" i="14" a="1"/>
  <c r="J1109" i="14" s="1"/>
  <c r="N1110" i="14"/>
  <c r="K924" i="13" l="1"/>
  <c r="L924" i="13" s="1"/>
  <c r="I925" i="13" s="1"/>
  <c r="J1110" i="14" a="1"/>
  <c r="J1110" i="14" s="1"/>
  <c r="N1111" i="14"/>
  <c r="K947" i="14"/>
  <c r="L947" i="14" s="1"/>
  <c r="I948" i="14" s="1"/>
  <c r="N1112" i="13"/>
  <c r="J1111" i="13" a="1"/>
  <c r="J1111" i="13" s="1"/>
  <c r="M1114" i="13"/>
  <c r="M1115" i="14"/>
  <c r="K925" i="13" l="1"/>
  <c r="L925" i="13" s="1"/>
  <c r="I926" i="13" s="1"/>
  <c r="K948" i="14"/>
  <c r="L948" i="14" s="1"/>
  <c r="I949" i="14" s="1"/>
  <c r="N1112" i="14"/>
  <c r="J1111" i="14" a="1"/>
  <c r="J1111" i="14" s="1"/>
  <c r="N1113" i="13"/>
  <c r="J1112" i="13" a="1"/>
  <c r="J1112" i="13" s="1"/>
  <c r="M1115" i="13"/>
  <c r="M1116" i="14"/>
  <c r="K926" i="13" l="1"/>
  <c r="L926" i="13" s="1"/>
  <c r="I927" i="13" s="1"/>
  <c r="K949" i="14"/>
  <c r="L949" i="14" s="1"/>
  <c r="I950" i="14" s="1"/>
  <c r="N1114" i="13"/>
  <c r="J1113" i="13" a="1"/>
  <c r="J1113" i="13" s="1"/>
  <c r="M1117" i="14"/>
  <c r="M1116" i="13"/>
  <c r="N1113" i="14"/>
  <c r="J1112" i="14" a="1"/>
  <c r="J1112" i="14" s="1"/>
  <c r="K927" i="13" l="1"/>
  <c r="L927" i="13" s="1"/>
  <c r="I928" i="13" s="1"/>
  <c r="J1113" i="14" a="1"/>
  <c r="J1113" i="14" s="1"/>
  <c r="N1114" i="14"/>
  <c r="M1118" i="14"/>
  <c r="M1117" i="13"/>
  <c r="K950" i="14"/>
  <c r="L950" i="14" s="1"/>
  <c r="I951" i="14" s="1"/>
  <c r="N1115" i="13"/>
  <c r="J1114" i="13" a="1"/>
  <c r="J1114" i="13" s="1"/>
  <c r="K928" i="13" l="1"/>
  <c r="L928" i="13" s="1"/>
  <c r="I929" i="13" s="1"/>
  <c r="K951" i="14"/>
  <c r="L951" i="14" s="1"/>
  <c r="I952" i="14" s="1"/>
  <c r="M1119" i="14"/>
  <c r="N1116" i="13"/>
  <c r="J1115" i="13" a="1"/>
  <c r="J1115" i="13" s="1"/>
  <c r="M1118" i="13"/>
  <c r="J1114" i="14" a="1"/>
  <c r="J1114" i="14" s="1"/>
  <c r="N1115" i="14"/>
  <c r="K929" i="13" l="1"/>
  <c r="L929" i="13" s="1"/>
  <c r="I930" i="13" s="1"/>
  <c r="K952" i="14"/>
  <c r="L952" i="14" s="1"/>
  <c r="I953" i="14" s="1"/>
  <c r="N1116" i="14"/>
  <c r="J1115" i="14" a="1"/>
  <c r="J1115" i="14" s="1"/>
  <c r="N1117" i="13"/>
  <c r="J1116" i="13" a="1"/>
  <c r="J1116" i="13" s="1"/>
  <c r="M1119" i="13"/>
  <c r="M1120" i="14"/>
  <c r="K930" i="13" l="1"/>
  <c r="L930" i="13" s="1"/>
  <c r="I931" i="13" s="1"/>
  <c r="K953" i="14"/>
  <c r="L953" i="14" s="1"/>
  <c r="I954" i="14" s="1"/>
  <c r="N1118" i="13"/>
  <c r="J1117" i="13" a="1"/>
  <c r="J1117" i="13" s="1"/>
  <c r="M1121" i="14"/>
  <c r="M1120" i="13"/>
  <c r="N1117" i="14"/>
  <c r="J1116" i="14" a="1"/>
  <c r="J1116" i="14" s="1"/>
  <c r="K931" i="13" l="1"/>
  <c r="L931" i="13" s="1"/>
  <c r="I932" i="13" s="1"/>
  <c r="K954" i="14"/>
  <c r="L954" i="14" s="1"/>
  <c r="I955" i="14" s="1"/>
  <c r="J1117" i="14" a="1"/>
  <c r="J1117" i="14" s="1"/>
  <c r="N1118" i="14"/>
  <c r="M1122" i="14"/>
  <c r="M1121" i="13"/>
  <c r="N1119" i="13"/>
  <c r="J1118" i="13" a="1"/>
  <c r="J1118" i="13" s="1"/>
  <c r="K932" i="13" l="1"/>
  <c r="L932" i="13" s="1"/>
  <c r="I933" i="13" s="1"/>
  <c r="K955" i="14"/>
  <c r="L955" i="14" s="1"/>
  <c r="I956" i="14" s="1"/>
  <c r="M1123" i="14"/>
  <c r="M1122" i="13"/>
  <c r="N1120" i="13"/>
  <c r="J1119" i="13" a="1"/>
  <c r="J1119" i="13" s="1"/>
  <c r="J1118" i="14" a="1"/>
  <c r="J1118" i="14" s="1"/>
  <c r="N1119" i="14"/>
  <c r="K933" i="13" l="1"/>
  <c r="L933" i="13" s="1"/>
  <c r="I934" i="13" s="1"/>
  <c r="N1120" i="14"/>
  <c r="J1119" i="14" a="1"/>
  <c r="J1119" i="14" s="1"/>
  <c r="M1123" i="13"/>
  <c r="K956" i="14"/>
  <c r="L956" i="14" s="1"/>
  <c r="I957" i="14" s="1"/>
  <c r="M1124" i="14"/>
  <c r="N1121" i="13"/>
  <c r="J1120" i="13" a="1"/>
  <c r="J1120" i="13" s="1"/>
  <c r="K934" i="13" l="1"/>
  <c r="L934" i="13" s="1"/>
  <c r="I935" i="13" s="1"/>
  <c r="K957" i="14"/>
  <c r="L957" i="14" s="1"/>
  <c r="I958" i="14" s="1"/>
  <c r="N1121" i="14"/>
  <c r="J1120" i="14" a="1"/>
  <c r="J1120" i="14" s="1"/>
  <c r="N1122" i="13"/>
  <c r="J1121" i="13" a="1"/>
  <c r="J1121" i="13" s="1"/>
  <c r="M1124" i="13"/>
  <c r="M1125" i="14"/>
  <c r="K935" i="13" l="1"/>
  <c r="L935" i="13" s="1"/>
  <c r="I936" i="13" s="1"/>
  <c r="K958" i="14"/>
  <c r="L958" i="14" s="1"/>
  <c r="I959" i="14" s="1"/>
  <c r="N1123" i="13"/>
  <c r="J1122" i="13" a="1"/>
  <c r="J1122" i="13" s="1"/>
  <c r="M1126" i="14"/>
  <c r="M1125" i="13"/>
  <c r="J1121" i="14" a="1"/>
  <c r="J1121" i="14" s="1"/>
  <c r="N1122" i="14"/>
  <c r="K936" i="13" l="1"/>
  <c r="L936" i="13" s="1"/>
  <c r="I937" i="13" s="1"/>
  <c r="K959" i="14"/>
  <c r="L959" i="14" s="1"/>
  <c r="I960" i="14" s="1"/>
  <c r="M1127" i="14"/>
  <c r="M1126" i="13"/>
  <c r="J1122" i="14" a="1"/>
  <c r="J1122" i="14" s="1"/>
  <c r="N1123" i="14"/>
  <c r="N1124" i="13"/>
  <c r="J1123" i="13" a="1"/>
  <c r="J1123" i="13" s="1"/>
  <c r="K937" i="13" l="1"/>
  <c r="L937" i="13" s="1"/>
  <c r="I938" i="13" s="1"/>
  <c r="K960" i="14"/>
  <c r="L960" i="14" s="1"/>
  <c r="I961" i="14" s="1"/>
  <c r="M1127" i="13"/>
  <c r="N1125" i="13"/>
  <c r="J1124" i="13" a="1"/>
  <c r="J1124" i="13" s="1"/>
  <c r="M1128" i="14"/>
  <c r="N1124" i="14"/>
  <c r="J1123" i="14" a="1"/>
  <c r="J1123" i="14" s="1"/>
  <c r="K938" i="13" l="1"/>
  <c r="L938" i="13" s="1"/>
  <c r="I939" i="13" s="1"/>
  <c r="K961" i="14"/>
  <c r="L961" i="14" s="1"/>
  <c r="I962" i="14" s="1"/>
  <c r="N1126" i="13"/>
  <c r="J1125" i="13" a="1"/>
  <c r="J1125" i="13" s="1"/>
  <c r="M1128" i="13"/>
  <c r="N1125" i="14"/>
  <c r="J1124" i="14" a="1"/>
  <c r="J1124" i="14" s="1"/>
  <c r="M1129" i="14"/>
  <c r="K939" i="13" l="1"/>
  <c r="L939" i="13" s="1"/>
  <c r="I940" i="13" s="1"/>
  <c r="K962" i="14"/>
  <c r="L962" i="14" s="1"/>
  <c r="I963" i="14" s="1"/>
  <c r="J1125" i="14" a="1"/>
  <c r="J1125" i="14" s="1"/>
  <c r="N1126" i="14"/>
  <c r="M1130" i="14"/>
  <c r="M1129" i="13"/>
  <c r="N1127" i="13"/>
  <c r="J1126" i="13" a="1"/>
  <c r="J1126" i="13" s="1"/>
  <c r="K940" i="13" l="1"/>
  <c r="L940" i="13" s="1"/>
  <c r="I941" i="13" s="1"/>
  <c r="K963" i="14"/>
  <c r="L963" i="14" s="1"/>
  <c r="I964" i="14" s="1"/>
  <c r="M1131" i="14"/>
  <c r="N1128" i="13"/>
  <c r="J1127" i="13" a="1"/>
  <c r="J1127" i="13" s="1"/>
  <c r="J1126" i="14" a="1"/>
  <c r="J1126" i="14" s="1"/>
  <c r="N1127" i="14"/>
  <c r="M1130" i="13"/>
  <c r="K941" i="13" l="1"/>
  <c r="L941" i="13" s="1"/>
  <c r="I942" i="13" s="1"/>
  <c r="N1129" i="13"/>
  <c r="J1128" i="13" a="1"/>
  <c r="J1128" i="13" s="1"/>
  <c r="M1131" i="13"/>
  <c r="N1128" i="14"/>
  <c r="J1127" i="14" a="1"/>
  <c r="J1127" i="14" s="1"/>
  <c r="M1132" i="14"/>
  <c r="K964" i="14"/>
  <c r="L964" i="14" s="1"/>
  <c r="I965" i="14" s="1"/>
  <c r="K942" i="13" l="1"/>
  <c r="L942" i="13" s="1"/>
  <c r="I943" i="13" s="1"/>
  <c r="K965" i="14"/>
  <c r="L965" i="14" s="1"/>
  <c r="I966" i="14" s="1"/>
  <c r="N1130" i="13"/>
  <c r="J1129" i="13" a="1"/>
  <c r="J1129" i="13" s="1"/>
  <c r="N1129" i="14"/>
  <c r="J1128" i="14" a="1"/>
  <c r="J1128" i="14" s="1"/>
  <c r="M1132" i="13"/>
  <c r="M1133" i="14"/>
  <c r="K943" i="13" l="1"/>
  <c r="L943" i="13" s="1"/>
  <c r="I944" i="13" s="1"/>
  <c r="M1134" i="14"/>
  <c r="J1129" i="14" a="1"/>
  <c r="J1129" i="14" s="1"/>
  <c r="N1130" i="14"/>
  <c r="M1133" i="13"/>
  <c r="N1131" i="13"/>
  <c r="J1130" i="13" a="1"/>
  <c r="J1130" i="13" s="1"/>
  <c r="K966" i="14"/>
  <c r="L966" i="14" s="1"/>
  <c r="I967" i="14" s="1"/>
  <c r="K944" i="13" l="1"/>
  <c r="L944" i="13" s="1"/>
  <c r="I945" i="13" s="1"/>
  <c r="N1132" i="13"/>
  <c r="J1131" i="13" a="1"/>
  <c r="J1131" i="13" s="1"/>
  <c r="M1134" i="13"/>
  <c r="K967" i="14"/>
  <c r="L967" i="14" s="1"/>
  <c r="I968" i="14" s="1"/>
  <c r="M1135" i="14"/>
  <c r="J1130" i="14" a="1"/>
  <c r="J1130" i="14" s="1"/>
  <c r="N1131" i="14"/>
  <c r="K945" i="13" l="1"/>
  <c r="L945" i="13" s="1"/>
  <c r="I946" i="13" s="1"/>
  <c r="K968" i="14"/>
  <c r="L968" i="14" s="1"/>
  <c r="I969" i="14" s="1"/>
  <c r="N1133" i="13"/>
  <c r="J1132" i="13" a="1"/>
  <c r="J1132" i="13" s="1"/>
  <c r="N1132" i="14"/>
  <c r="J1131" i="14" a="1"/>
  <c r="J1131" i="14" s="1"/>
  <c r="M1136" i="14"/>
  <c r="M1135" i="13"/>
  <c r="K946" i="13" l="1"/>
  <c r="L946" i="13" s="1"/>
  <c r="I947" i="13" s="1"/>
  <c r="K969" i="14"/>
  <c r="L969" i="14" s="1"/>
  <c r="I970" i="14" s="1"/>
  <c r="N1133" i="14"/>
  <c r="J1132" i="14" a="1"/>
  <c r="J1132" i="14" s="1"/>
  <c r="M1136" i="13"/>
  <c r="M1137" i="14"/>
  <c r="N1134" i="13"/>
  <c r="J1133" i="13" a="1"/>
  <c r="J1133" i="13" s="1"/>
  <c r="K947" i="13" l="1"/>
  <c r="L947" i="13" s="1"/>
  <c r="I948" i="13" s="1"/>
  <c r="K970" i="14"/>
  <c r="L970" i="14" s="1"/>
  <c r="I971" i="14" s="1"/>
  <c r="N1135" i="13"/>
  <c r="J1134" i="13" a="1"/>
  <c r="J1134" i="13" s="1"/>
  <c r="M1137" i="13"/>
  <c r="M1138" i="14"/>
  <c r="J1133" i="14" a="1"/>
  <c r="J1133" i="14" s="1"/>
  <c r="N1134" i="14"/>
  <c r="K948" i="13" l="1"/>
  <c r="L948" i="13" s="1"/>
  <c r="I949" i="13" s="1"/>
  <c r="K971" i="14"/>
  <c r="L971" i="14" s="1"/>
  <c r="I972" i="14" s="1"/>
  <c r="J1134" i="14" a="1"/>
  <c r="J1134" i="14" s="1"/>
  <c r="N1135" i="14"/>
  <c r="M1138" i="13"/>
  <c r="M1139" i="14"/>
  <c r="N1136" i="13"/>
  <c r="J1135" i="13" a="1"/>
  <c r="J1135" i="13" s="1"/>
  <c r="K949" i="13" l="1"/>
  <c r="L949" i="13" s="1"/>
  <c r="I950" i="13" s="1"/>
  <c r="K972" i="14"/>
  <c r="L972" i="14" s="1"/>
  <c r="I973" i="14" s="1"/>
  <c r="N1137" i="13"/>
  <c r="J1136" i="13" a="1"/>
  <c r="J1136" i="13" s="1"/>
  <c r="M1139" i="13"/>
  <c r="M1140" i="14"/>
  <c r="N1136" i="14"/>
  <c r="J1135" i="14" a="1"/>
  <c r="J1135" i="14" s="1"/>
  <c r="K950" i="13" l="1"/>
  <c r="L950" i="13" s="1"/>
  <c r="I951" i="13" s="1"/>
  <c r="K973" i="14"/>
  <c r="L973" i="14" s="1"/>
  <c r="I974" i="14" s="1"/>
  <c r="N1137" i="14"/>
  <c r="J1136" i="14" a="1"/>
  <c r="J1136" i="14" s="1"/>
  <c r="M1140" i="13"/>
  <c r="M1141" i="14"/>
  <c r="N1138" i="13"/>
  <c r="J1137" i="13" a="1"/>
  <c r="J1137" i="13" s="1"/>
  <c r="K951" i="13" l="1"/>
  <c r="L951" i="13" s="1"/>
  <c r="I952" i="13" s="1"/>
  <c r="K974" i="14"/>
  <c r="L974" i="14" s="1"/>
  <c r="I975" i="14" s="1"/>
  <c r="N1139" i="13"/>
  <c r="J1138" i="13" a="1"/>
  <c r="J1138" i="13" s="1"/>
  <c r="M1142" i="14"/>
  <c r="M1141" i="13"/>
  <c r="J1137" i="14" a="1"/>
  <c r="J1137" i="14" s="1"/>
  <c r="N1138" i="14"/>
  <c r="K952" i="13" l="1"/>
  <c r="L952" i="13" s="1"/>
  <c r="I953" i="13" s="1"/>
  <c r="K975" i="14"/>
  <c r="L975" i="14" s="1"/>
  <c r="I976" i="14" s="1"/>
  <c r="M1143" i="14"/>
  <c r="N1140" i="13"/>
  <c r="J1139" i="13" a="1"/>
  <c r="J1139" i="13" s="1"/>
  <c r="M1142" i="13"/>
  <c r="J1138" i="14" a="1"/>
  <c r="J1138" i="14" s="1"/>
  <c r="N1139" i="14"/>
  <c r="K953" i="13" l="1"/>
  <c r="L953" i="13" s="1"/>
  <c r="I954" i="13" s="1"/>
  <c r="K976" i="14"/>
  <c r="L976" i="14" s="1"/>
  <c r="I977" i="14" s="1"/>
  <c r="N1141" i="13"/>
  <c r="J1140" i="13" a="1"/>
  <c r="J1140" i="13" s="1"/>
  <c r="M1143" i="13"/>
  <c r="M1144" i="14"/>
  <c r="N1140" i="14"/>
  <c r="J1139" i="14" a="1"/>
  <c r="J1139" i="14" s="1"/>
  <c r="K954" i="13" l="1"/>
  <c r="L954" i="13" s="1"/>
  <c r="I955" i="13" s="1"/>
  <c r="K977" i="14"/>
  <c r="L977" i="14" s="1"/>
  <c r="I978" i="14" s="1"/>
  <c r="M1144" i="13"/>
  <c r="N1141" i="14"/>
  <c r="J1140" i="14" a="1"/>
  <c r="J1140" i="14" s="1"/>
  <c r="M1145" i="14"/>
  <c r="N1142" i="13"/>
  <c r="J1141" i="13" a="1"/>
  <c r="J1141" i="13" s="1"/>
  <c r="K955" i="13" l="1"/>
  <c r="L955" i="13" s="1"/>
  <c r="I956" i="13" s="1"/>
  <c r="K978" i="14"/>
  <c r="L978" i="14" s="1"/>
  <c r="I979" i="14" s="1"/>
  <c r="J1141" i="14" a="1"/>
  <c r="J1141" i="14" s="1"/>
  <c r="N1142" i="14"/>
  <c r="N1143" i="13"/>
  <c r="J1142" i="13" a="1"/>
  <c r="J1142" i="13" s="1"/>
  <c r="M1145" i="13"/>
  <c r="M1146" i="14"/>
  <c r="K956" i="13" l="1"/>
  <c r="L956" i="13" s="1"/>
  <c r="I957" i="13" s="1"/>
  <c r="K979" i="14"/>
  <c r="L979" i="14" s="1"/>
  <c r="I980" i="14" s="1"/>
  <c r="M1146" i="13"/>
  <c r="J1142" i="14" a="1"/>
  <c r="J1142" i="14" s="1"/>
  <c r="N1143" i="14"/>
  <c r="M1147" i="14"/>
  <c r="N1144" i="13"/>
  <c r="J1143" i="13" a="1"/>
  <c r="J1143" i="13" s="1"/>
  <c r="K957" i="13" l="1"/>
  <c r="L957" i="13" s="1"/>
  <c r="I958" i="13" s="1"/>
  <c r="K980" i="14"/>
  <c r="L980" i="14" s="1"/>
  <c r="I981" i="14" s="1"/>
  <c r="N1144" i="14"/>
  <c r="J1143" i="14" a="1"/>
  <c r="J1143" i="14" s="1"/>
  <c r="N1145" i="13"/>
  <c r="J1144" i="13" a="1"/>
  <c r="J1144" i="13" s="1"/>
  <c r="M1148" i="14"/>
  <c r="M1147" i="13"/>
  <c r="K958" i="13" l="1"/>
  <c r="L958" i="13" s="1"/>
  <c r="I959" i="13" s="1"/>
  <c r="K981" i="14"/>
  <c r="L981" i="14" s="1"/>
  <c r="I982" i="14" s="1"/>
  <c r="N1146" i="13"/>
  <c r="J1145" i="13" a="1"/>
  <c r="J1145" i="13" s="1"/>
  <c r="M1148" i="13"/>
  <c r="M1149" i="14"/>
  <c r="N1145" i="14"/>
  <c r="J1144" i="14" a="1"/>
  <c r="J1144" i="14" s="1"/>
  <c r="K959" i="13" l="1"/>
  <c r="L959" i="13" s="1"/>
  <c r="I960" i="13" s="1"/>
  <c r="M1149" i="13"/>
  <c r="K982" i="14"/>
  <c r="L982" i="14" s="1"/>
  <c r="I983" i="14" s="1"/>
  <c r="J1145" i="14" a="1"/>
  <c r="J1145" i="14" s="1"/>
  <c r="N1146" i="14"/>
  <c r="M1150" i="14"/>
  <c r="N1147" i="13"/>
  <c r="J1146" i="13" a="1"/>
  <c r="J1146" i="13" s="1"/>
  <c r="K960" i="13" l="1"/>
  <c r="L960" i="13" s="1"/>
  <c r="I961" i="13" s="1"/>
  <c r="K983" i="14"/>
  <c r="L983" i="14" s="1"/>
  <c r="I984" i="14" s="1"/>
  <c r="J1146" i="14" a="1"/>
  <c r="J1146" i="14" s="1"/>
  <c r="N1147" i="14"/>
  <c r="M1150" i="13"/>
  <c r="N1148" i="13"/>
  <c r="J1147" i="13" a="1"/>
  <c r="J1147" i="13" s="1"/>
  <c r="M1151" i="14"/>
  <c r="K961" i="13" l="1"/>
  <c r="L961" i="13" s="1"/>
  <c r="I962" i="13" s="1"/>
  <c r="M1152" i="14"/>
  <c r="M1151" i="13"/>
  <c r="N1149" i="13"/>
  <c r="J1148" i="13" a="1"/>
  <c r="J1148" i="13" s="1"/>
  <c r="N1148" i="14"/>
  <c r="J1147" i="14" a="1"/>
  <c r="J1147" i="14" s="1"/>
  <c r="K984" i="14"/>
  <c r="L984" i="14" s="1"/>
  <c r="I985" i="14" s="1"/>
  <c r="K962" i="13" l="1"/>
  <c r="L962" i="13" s="1"/>
  <c r="I963" i="13" s="1"/>
  <c r="K985" i="14"/>
  <c r="L985" i="14" s="1"/>
  <c r="I986" i="14" s="1"/>
  <c r="N1150" i="13"/>
  <c r="J1149" i="13" a="1"/>
  <c r="J1149" i="13" s="1"/>
  <c r="M1153" i="14"/>
  <c r="M1152" i="13"/>
  <c r="N1149" i="14"/>
  <c r="J1148" i="14" a="1"/>
  <c r="J1148" i="14" s="1"/>
  <c r="K963" i="13" l="1"/>
  <c r="L963" i="13" s="1"/>
  <c r="I964" i="13" s="1"/>
  <c r="K986" i="14"/>
  <c r="L986" i="14" s="1"/>
  <c r="I987" i="14" s="1"/>
  <c r="J1149" i="14" a="1"/>
  <c r="J1149" i="14" s="1"/>
  <c r="N1150" i="14"/>
  <c r="M1154" i="14"/>
  <c r="M1153" i="13"/>
  <c r="N1151" i="13"/>
  <c r="J1150" i="13" a="1"/>
  <c r="J1150" i="13" s="1"/>
  <c r="K964" i="13" l="1"/>
  <c r="L964" i="13" s="1"/>
  <c r="I965" i="13" s="1"/>
  <c r="K987" i="14"/>
  <c r="L987" i="14" s="1"/>
  <c r="I988" i="14" s="1"/>
  <c r="M1155" i="14"/>
  <c r="N1152" i="13"/>
  <c r="J1151" i="13" a="1"/>
  <c r="J1151" i="13" s="1"/>
  <c r="M1154" i="13"/>
  <c r="J1150" i="14" a="1"/>
  <c r="J1150" i="14" s="1"/>
  <c r="N1151" i="14"/>
  <c r="K965" i="13" l="1"/>
  <c r="L965" i="13" s="1"/>
  <c r="I966" i="13" s="1"/>
  <c r="K988" i="14"/>
  <c r="L988" i="14" s="1"/>
  <c r="I989" i="14" s="1"/>
  <c r="N1153" i="13"/>
  <c r="J1152" i="13" a="1"/>
  <c r="J1152" i="13" s="1"/>
  <c r="M1155" i="13"/>
  <c r="M1156" i="14"/>
  <c r="N1152" i="14"/>
  <c r="J1151" i="14" a="1"/>
  <c r="J1151" i="14" s="1"/>
  <c r="K966" i="13" l="1"/>
  <c r="L966" i="13" s="1"/>
  <c r="I967" i="13" s="1"/>
  <c r="K989" i="14"/>
  <c r="L989" i="14" s="1"/>
  <c r="I990" i="14" s="1"/>
  <c r="M1156" i="13"/>
  <c r="N1153" i="14"/>
  <c r="J1152" i="14" a="1"/>
  <c r="J1152" i="14" s="1"/>
  <c r="M1157" i="14"/>
  <c r="N1154" i="13"/>
  <c r="J1153" i="13" a="1"/>
  <c r="J1153" i="13" s="1"/>
  <c r="K967" i="13" l="1"/>
  <c r="L967" i="13" s="1"/>
  <c r="I968" i="13" s="1"/>
  <c r="K990" i="14"/>
  <c r="L990" i="14" s="1"/>
  <c r="I991" i="14" s="1"/>
  <c r="N1155" i="13"/>
  <c r="J1154" i="13" a="1"/>
  <c r="J1154" i="13" s="1"/>
  <c r="J1153" i="14" a="1"/>
  <c r="J1153" i="14" s="1"/>
  <c r="N1154" i="14"/>
  <c r="M1157" i="13"/>
  <c r="M1158" i="14"/>
  <c r="K968" i="13" l="1"/>
  <c r="L968" i="13" s="1"/>
  <c r="I969" i="13" s="1"/>
  <c r="K991" i="14"/>
  <c r="L991" i="14" s="1"/>
  <c r="I992" i="14" s="1"/>
  <c r="J1154" i="14" a="1"/>
  <c r="J1154" i="14" s="1"/>
  <c r="N1155" i="14"/>
  <c r="M1158" i="13"/>
  <c r="M1159" i="14"/>
  <c r="N1156" i="13"/>
  <c r="J1155" i="13" a="1"/>
  <c r="J1155" i="13" s="1"/>
  <c r="K969" i="13" l="1"/>
  <c r="L969" i="13" s="1"/>
  <c r="I970" i="13" s="1"/>
  <c r="K992" i="14"/>
  <c r="L992" i="14" s="1"/>
  <c r="I993" i="14" s="1"/>
  <c r="M1160" i="14"/>
  <c r="M1159" i="13"/>
  <c r="N1157" i="13"/>
  <c r="J1156" i="13" a="1"/>
  <c r="J1156" i="13" s="1"/>
  <c r="N1156" i="14"/>
  <c r="J1155" i="14" a="1"/>
  <c r="J1155" i="14" s="1"/>
  <c r="K970" i="13" l="1"/>
  <c r="L970" i="13" s="1"/>
  <c r="I971" i="13" s="1"/>
  <c r="M1160" i="13"/>
  <c r="N1157" i="14"/>
  <c r="J1156" i="14" a="1"/>
  <c r="J1156" i="14" s="1"/>
  <c r="K993" i="14"/>
  <c r="L993" i="14" s="1"/>
  <c r="I994" i="14" s="1"/>
  <c r="N1158" i="13"/>
  <c r="J1157" i="13" a="1"/>
  <c r="J1157" i="13" s="1"/>
  <c r="M1161" i="14"/>
  <c r="K971" i="13" l="1"/>
  <c r="L971" i="13" s="1"/>
  <c r="I972" i="13" s="1"/>
  <c r="K994" i="14"/>
  <c r="L994" i="14" s="1"/>
  <c r="I995" i="14" s="1"/>
  <c r="M1161" i="13"/>
  <c r="M1162" i="14"/>
  <c r="N1159" i="13"/>
  <c r="J1158" i="13" a="1"/>
  <c r="J1158" i="13" s="1"/>
  <c r="J1157" i="14" a="1"/>
  <c r="J1157" i="14" s="1"/>
  <c r="N1158" i="14"/>
  <c r="K972" i="13" l="1"/>
  <c r="L972" i="13" s="1"/>
  <c r="I973" i="13" s="1"/>
  <c r="K995" i="14"/>
  <c r="L995" i="14" s="1"/>
  <c r="I996" i="14" s="1"/>
  <c r="M1163" i="14"/>
  <c r="M1162" i="13"/>
  <c r="J1158" i="14" a="1"/>
  <c r="J1158" i="14" s="1"/>
  <c r="N1159" i="14"/>
  <c r="N1160" i="13"/>
  <c r="J1159" i="13" a="1"/>
  <c r="J1159" i="13" s="1"/>
  <c r="K973" i="13" l="1"/>
  <c r="L973" i="13" s="1"/>
  <c r="I974" i="13" s="1"/>
  <c r="K996" i="14"/>
  <c r="L996" i="14" s="1"/>
  <c r="I997" i="14" s="1"/>
  <c r="M1163" i="13"/>
  <c r="N1161" i="13"/>
  <c r="J1160" i="13" a="1"/>
  <c r="J1160" i="13" s="1"/>
  <c r="N1160" i="14"/>
  <c r="J1159" i="14" a="1"/>
  <c r="J1159" i="14" s="1"/>
  <c r="M1164" i="14"/>
  <c r="K974" i="13" l="1"/>
  <c r="L974" i="13" s="1"/>
  <c r="I975" i="13" s="1"/>
  <c r="K997" i="14"/>
  <c r="L997" i="14" s="1"/>
  <c r="I998" i="14" s="1"/>
  <c r="N1162" i="13"/>
  <c r="J1161" i="13" a="1"/>
  <c r="J1161" i="13" s="1"/>
  <c r="M1164" i="13"/>
  <c r="M1165" i="14"/>
  <c r="N1161" i="14"/>
  <c r="J1160" i="14" a="1"/>
  <c r="J1160" i="14" s="1"/>
  <c r="K975" i="13" l="1"/>
  <c r="L975" i="13" s="1"/>
  <c r="I976" i="13" s="1"/>
  <c r="K998" i="14"/>
  <c r="L998" i="14" s="1"/>
  <c r="I999" i="14" s="1"/>
  <c r="M1165" i="13"/>
  <c r="J1161" i="14" a="1"/>
  <c r="J1161" i="14" s="1"/>
  <c r="N1162" i="14"/>
  <c r="N1163" i="13"/>
  <c r="J1162" i="13" a="1"/>
  <c r="J1162" i="13" s="1"/>
  <c r="M1166" i="14"/>
  <c r="K976" i="13" l="1"/>
  <c r="L976" i="13" s="1"/>
  <c r="I977" i="13" s="1"/>
  <c r="K999" i="14"/>
  <c r="L999" i="14" s="1"/>
  <c r="I1000" i="14" s="1"/>
  <c r="M1166" i="13"/>
  <c r="J1162" i="14" a="1"/>
  <c r="J1162" i="14" s="1"/>
  <c r="N1163" i="14"/>
  <c r="M1167" i="14"/>
  <c r="N1164" i="13"/>
  <c r="J1163" i="13" a="1"/>
  <c r="J1163" i="13" s="1"/>
  <c r="K977" i="13" l="1"/>
  <c r="L977" i="13" s="1"/>
  <c r="I978" i="13" s="1"/>
  <c r="K1000" i="14"/>
  <c r="L1000" i="14" s="1"/>
  <c r="I1001" i="14" s="1"/>
  <c r="N1164" i="14"/>
  <c r="J1163" i="14" a="1"/>
  <c r="J1163" i="14" s="1"/>
  <c r="N1165" i="13"/>
  <c r="J1164" i="13" a="1"/>
  <c r="J1164" i="13" s="1"/>
  <c r="M1168" i="14"/>
  <c r="M1167" i="13"/>
  <c r="K978" i="13" l="1"/>
  <c r="L978" i="13" s="1"/>
  <c r="I979" i="13" s="1"/>
  <c r="K1001" i="14"/>
  <c r="L1001" i="14" s="1"/>
  <c r="I1002" i="14" s="1"/>
  <c r="M1168" i="13"/>
  <c r="N1166" i="13"/>
  <c r="J1165" i="13" a="1"/>
  <c r="J1165" i="13" s="1"/>
  <c r="M1169" i="14"/>
  <c r="N1165" i="14"/>
  <c r="J1164" i="14" a="1"/>
  <c r="J1164" i="14" s="1"/>
  <c r="K979" i="13" l="1"/>
  <c r="L979" i="13" s="1"/>
  <c r="I980" i="13" s="1"/>
  <c r="K1002" i="14"/>
  <c r="L1002" i="14" s="1"/>
  <c r="I1003" i="14" s="1"/>
  <c r="N1167" i="13"/>
  <c r="J1166" i="13" a="1"/>
  <c r="J1166" i="13" s="1"/>
  <c r="M1169" i="13"/>
  <c r="J1165" i="14" a="1"/>
  <c r="J1165" i="14" s="1"/>
  <c r="N1166" i="14"/>
  <c r="M1170" i="14"/>
  <c r="K980" i="13" l="1"/>
  <c r="L980" i="13" s="1"/>
  <c r="I981" i="13" s="1"/>
  <c r="K1003" i="14"/>
  <c r="L1003" i="14" s="1"/>
  <c r="I1004" i="14" s="1"/>
  <c r="J1166" i="14" a="1"/>
  <c r="J1166" i="14" s="1"/>
  <c r="N1167" i="14"/>
  <c r="M1170" i="13"/>
  <c r="M1171" i="14"/>
  <c r="N1168" i="13"/>
  <c r="J1167" i="13" a="1"/>
  <c r="J1167" i="13" s="1"/>
  <c r="K981" i="13" l="1"/>
  <c r="L981" i="13" s="1"/>
  <c r="I982" i="13" s="1"/>
  <c r="K1004" i="14"/>
  <c r="L1004" i="14" s="1"/>
  <c r="I1005" i="14" s="1"/>
  <c r="J1167" i="14" a="1"/>
  <c r="J1167" i="14" s="1"/>
  <c r="N1168" i="14"/>
  <c r="M1171" i="13"/>
  <c r="M1172" i="14"/>
  <c r="N1169" i="13"/>
  <c r="J1168" i="13" a="1"/>
  <c r="J1168" i="13" s="1"/>
  <c r="K982" i="13" l="1"/>
  <c r="L982" i="13" s="1"/>
  <c r="I983" i="13" s="1"/>
  <c r="K1005" i="14"/>
  <c r="L1005" i="14" s="1"/>
  <c r="I1006" i="14" s="1"/>
  <c r="M1172" i="13"/>
  <c r="N1170" i="13"/>
  <c r="J1169" i="13" a="1"/>
  <c r="J1169" i="13" s="1"/>
  <c r="N1169" i="14"/>
  <c r="J1168" i="14" a="1"/>
  <c r="J1168" i="14" s="1"/>
  <c r="M1173" i="14"/>
  <c r="K983" i="13" l="1"/>
  <c r="L983" i="13" s="1"/>
  <c r="I984" i="13" s="1"/>
  <c r="K1006" i="14"/>
  <c r="L1006" i="14" s="1"/>
  <c r="I1007" i="14" s="1"/>
  <c r="M1174" i="14"/>
  <c r="N1171" i="13"/>
  <c r="J1170" i="13" a="1"/>
  <c r="J1170" i="13" s="1"/>
  <c r="M1173" i="13"/>
  <c r="J1169" i="14" a="1"/>
  <c r="J1169" i="14" s="1"/>
  <c r="N1170" i="14"/>
  <c r="K984" i="13" l="1"/>
  <c r="L984" i="13" s="1"/>
  <c r="I985" i="13" s="1"/>
  <c r="K1007" i="14"/>
  <c r="L1007" i="14" s="1"/>
  <c r="I1008" i="14" s="1"/>
  <c r="J1170" i="14" a="1"/>
  <c r="J1170" i="14" s="1"/>
  <c r="N1171" i="14"/>
  <c r="N1172" i="13"/>
  <c r="J1171" i="13" a="1"/>
  <c r="J1171" i="13" s="1"/>
  <c r="M1174" i="13"/>
  <c r="M1175" i="14"/>
  <c r="K985" i="13" l="1"/>
  <c r="L985" i="13" s="1"/>
  <c r="I986" i="13" s="1"/>
  <c r="K1008" i="14"/>
  <c r="L1008" i="14" s="1"/>
  <c r="I1009" i="14" s="1"/>
  <c r="N1173" i="13"/>
  <c r="J1172" i="13" a="1"/>
  <c r="J1172" i="13" s="1"/>
  <c r="M1176" i="14"/>
  <c r="M1175" i="13"/>
  <c r="N1172" i="14"/>
  <c r="J1171" i="14" a="1"/>
  <c r="J1171" i="14" s="1"/>
  <c r="K986" i="13" l="1"/>
  <c r="L986" i="13" s="1"/>
  <c r="I987" i="13" s="1"/>
  <c r="K1009" i="14"/>
  <c r="L1009" i="14" s="1"/>
  <c r="I1010" i="14" s="1"/>
  <c r="N1173" i="14"/>
  <c r="J1172" i="14" a="1"/>
  <c r="J1172" i="14" s="1"/>
  <c r="M1177" i="14"/>
  <c r="M1176" i="13"/>
  <c r="N1174" i="13"/>
  <c r="J1173" i="13" a="1"/>
  <c r="J1173" i="13" s="1"/>
  <c r="K987" i="13" l="1"/>
  <c r="L987" i="13" s="1"/>
  <c r="I988" i="13" s="1"/>
  <c r="K1010" i="14"/>
  <c r="L1010" i="14" s="1"/>
  <c r="I1011" i="14" s="1"/>
  <c r="N1175" i="13"/>
  <c r="J1174" i="13" a="1"/>
  <c r="J1174" i="13" s="1"/>
  <c r="M1178" i="14"/>
  <c r="J1173" i="14" a="1"/>
  <c r="J1173" i="14" s="1"/>
  <c r="N1174" i="14"/>
  <c r="M1177" i="13"/>
  <c r="K988" i="13" l="1"/>
  <c r="L988" i="13" s="1"/>
  <c r="I989" i="13" s="1"/>
  <c r="K1011" i="14"/>
  <c r="L1011" i="14" s="1"/>
  <c r="I1012" i="14" s="1"/>
  <c r="M1179" i="14"/>
  <c r="J1174" i="14" a="1"/>
  <c r="J1174" i="14" s="1"/>
  <c r="N1175" i="14"/>
  <c r="M1178" i="13"/>
  <c r="N1176" i="13"/>
  <c r="J1175" i="13" a="1"/>
  <c r="J1175" i="13" s="1"/>
  <c r="K989" i="13" l="1"/>
  <c r="L989" i="13" s="1"/>
  <c r="I990" i="13" s="1"/>
  <c r="K1012" i="14"/>
  <c r="L1012" i="14" s="1"/>
  <c r="I1013" i="14" s="1"/>
  <c r="N1177" i="13"/>
  <c r="J1176" i="13" a="1"/>
  <c r="J1176" i="13" s="1"/>
  <c r="J1175" i="14" a="1"/>
  <c r="J1175" i="14" s="1"/>
  <c r="N1176" i="14"/>
  <c r="M1179" i="13"/>
  <c r="M1180" i="14"/>
  <c r="K990" i="13" l="1"/>
  <c r="L990" i="13" s="1"/>
  <c r="I991" i="13" s="1"/>
  <c r="K1013" i="14"/>
  <c r="L1013" i="14" s="1"/>
  <c r="I1014" i="14" s="1"/>
  <c r="M1181" i="14"/>
  <c r="N1177" i="14"/>
  <c r="J1176" i="14" a="1"/>
  <c r="J1176" i="14" s="1"/>
  <c r="M1180" i="13"/>
  <c r="N1178" i="13"/>
  <c r="J1177" i="13" a="1"/>
  <c r="J1177" i="13" s="1"/>
  <c r="K991" i="13" l="1"/>
  <c r="L991" i="13" s="1"/>
  <c r="I992" i="13" s="1"/>
  <c r="K1014" i="14"/>
  <c r="L1014" i="14" s="1"/>
  <c r="I1015" i="14" s="1"/>
  <c r="N1179" i="13"/>
  <c r="J1178" i="13" a="1"/>
  <c r="J1178" i="13" s="1"/>
  <c r="J1177" i="14" a="1"/>
  <c r="J1177" i="14" s="1"/>
  <c r="N1178" i="14"/>
  <c r="M1181" i="13"/>
  <c r="M1182" i="14"/>
  <c r="K992" i="13" l="1"/>
  <c r="L992" i="13" s="1"/>
  <c r="I993" i="13" s="1"/>
  <c r="K1015" i="14"/>
  <c r="L1015" i="14" s="1"/>
  <c r="I1016" i="14" s="1"/>
  <c r="J1178" i="14" a="1"/>
  <c r="J1178" i="14" s="1"/>
  <c r="N1179" i="14"/>
  <c r="M1183" i="14"/>
  <c r="M1182" i="13"/>
  <c r="N1180" i="13"/>
  <c r="J1179" i="13" a="1"/>
  <c r="J1179" i="13" s="1"/>
  <c r="K993" i="13" l="1"/>
  <c r="L993" i="13" s="1"/>
  <c r="I994" i="13" s="1"/>
  <c r="K1016" i="14"/>
  <c r="L1016" i="14" s="1"/>
  <c r="I1017" i="14" s="1"/>
  <c r="N1181" i="13"/>
  <c r="J1180" i="13" a="1"/>
  <c r="J1180" i="13" s="1"/>
  <c r="M1183" i="13"/>
  <c r="N1180" i="14"/>
  <c r="J1179" i="14" a="1"/>
  <c r="J1179" i="14" s="1"/>
  <c r="M1184" i="14"/>
  <c r="K994" i="13" l="1"/>
  <c r="L994" i="13" s="1"/>
  <c r="I995" i="13" s="1"/>
  <c r="M1185" i="14"/>
  <c r="N1181" i="14"/>
  <c r="J1180" i="14" a="1"/>
  <c r="J1180" i="14" s="1"/>
  <c r="N1182" i="13"/>
  <c r="J1181" i="13" a="1"/>
  <c r="J1181" i="13" s="1"/>
  <c r="M1184" i="13"/>
  <c r="K1017" i="14"/>
  <c r="L1017" i="14" s="1"/>
  <c r="I1018" i="14" s="1"/>
  <c r="K995" i="13" l="1"/>
  <c r="L995" i="13" s="1"/>
  <c r="I996" i="13" s="1"/>
  <c r="K1018" i="14"/>
  <c r="L1018" i="14" s="1"/>
  <c r="I1019" i="14" s="1"/>
  <c r="N1183" i="13"/>
  <c r="J1182" i="13" a="1"/>
  <c r="J1182" i="13" s="1"/>
  <c r="M1186" i="14"/>
  <c r="M1185" i="13"/>
  <c r="J1181" i="14" a="1"/>
  <c r="J1181" i="14" s="1"/>
  <c r="N1182" i="14"/>
  <c r="K996" i="13" l="1"/>
  <c r="L996" i="13" s="1"/>
  <c r="I997" i="13" s="1"/>
  <c r="K1019" i="14"/>
  <c r="L1019" i="14" s="1"/>
  <c r="I1020" i="14" s="1"/>
  <c r="J1182" i="14" a="1"/>
  <c r="J1182" i="14" s="1"/>
  <c r="N1183" i="14"/>
  <c r="M1187" i="14"/>
  <c r="M1186" i="13"/>
  <c r="N1184" i="13"/>
  <c r="J1183" i="13" a="1"/>
  <c r="J1183" i="13" s="1"/>
  <c r="K997" i="13" l="1"/>
  <c r="L997" i="13" s="1"/>
  <c r="I998" i="13" s="1"/>
  <c r="K1020" i="14"/>
  <c r="L1020" i="14" s="1"/>
  <c r="I1021" i="14" s="1"/>
  <c r="M1188" i="14"/>
  <c r="N1185" i="13"/>
  <c r="J1184" i="13" a="1"/>
  <c r="J1184" i="13" s="1"/>
  <c r="J1183" i="14" a="1"/>
  <c r="J1183" i="14" s="1"/>
  <c r="N1184" i="14"/>
  <c r="M1187" i="13"/>
  <c r="K998" i="13" l="1"/>
  <c r="L998" i="13" s="1"/>
  <c r="I999" i="13" s="1"/>
  <c r="K1021" i="14"/>
  <c r="L1021" i="14" s="1"/>
  <c r="I1022" i="14" s="1"/>
  <c r="N1186" i="13"/>
  <c r="J1185" i="13" a="1"/>
  <c r="J1185" i="13" s="1"/>
  <c r="M1188" i="13"/>
  <c r="N1185" i="14"/>
  <c r="J1184" i="14" a="1"/>
  <c r="J1184" i="14" s="1"/>
  <c r="M1189" i="14"/>
  <c r="K999" i="13" l="1"/>
  <c r="L999" i="13" s="1"/>
  <c r="I1000" i="13" s="1"/>
  <c r="K1022" i="14"/>
  <c r="L1022" i="14" s="1"/>
  <c r="I1023" i="14" s="1"/>
  <c r="M1190" i="14"/>
  <c r="J1185" i="14" a="1"/>
  <c r="J1185" i="14" s="1"/>
  <c r="N1186" i="14"/>
  <c r="N1187" i="13"/>
  <c r="J1186" i="13" a="1"/>
  <c r="J1186" i="13" s="1"/>
  <c r="M1189" i="13"/>
  <c r="K1000" i="13" l="1"/>
  <c r="L1000" i="13" s="1"/>
  <c r="I1001" i="13" s="1"/>
  <c r="K1023" i="14"/>
  <c r="L1023" i="14" s="1"/>
  <c r="I1024" i="14" s="1"/>
  <c r="J1186" i="14" a="1"/>
  <c r="J1186" i="14" s="1"/>
  <c r="N1187" i="14"/>
  <c r="M1190" i="13"/>
  <c r="N1188" i="13"/>
  <c r="J1187" i="13" a="1"/>
  <c r="J1187" i="13" s="1"/>
  <c r="M1191" i="14"/>
  <c r="K1001" i="13" l="1"/>
  <c r="L1001" i="13" s="1"/>
  <c r="I1002" i="13" s="1"/>
  <c r="K1024" i="14"/>
  <c r="L1024" i="14" s="1"/>
  <c r="I1025" i="14" s="1"/>
  <c r="N1189" i="13"/>
  <c r="J1188" i="13" a="1"/>
  <c r="J1188" i="13" s="1"/>
  <c r="J1187" i="14" a="1"/>
  <c r="J1187" i="14" s="1"/>
  <c r="N1188" i="14"/>
  <c r="M1192" i="14"/>
  <c r="M1191" i="13"/>
  <c r="K1002" i="13" l="1"/>
  <c r="L1002" i="13" s="1"/>
  <c r="I1003" i="13" s="1"/>
  <c r="K1025" i="14"/>
  <c r="L1025" i="14" s="1"/>
  <c r="I1026" i="14" s="1"/>
  <c r="M1192" i="13"/>
  <c r="N1189" i="14"/>
  <c r="J1188" i="14" a="1"/>
  <c r="J1188" i="14" s="1"/>
  <c r="M1193" i="14"/>
  <c r="N1190" i="13"/>
  <c r="J1189" i="13" a="1"/>
  <c r="J1189" i="13" s="1"/>
  <c r="K1003" i="13" l="1"/>
  <c r="L1003" i="13" s="1"/>
  <c r="I1004" i="13" s="1"/>
  <c r="K1026" i="14"/>
  <c r="L1026" i="14" s="1"/>
  <c r="I1027" i="14" s="1"/>
  <c r="N1191" i="13"/>
  <c r="J1190" i="13" a="1"/>
  <c r="J1190" i="13" s="1"/>
  <c r="J1189" i="14" a="1"/>
  <c r="J1189" i="14" s="1"/>
  <c r="N1190" i="14"/>
  <c r="M1193" i="13"/>
  <c r="M1194" i="14"/>
  <c r="K1004" i="13" l="1"/>
  <c r="L1004" i="13" s="1"/>
  <c r="I1005" i="13" s="1"/>
  <c r="K1027" i="14"/>
  <c r="L1027" i="14" s="1"/>
  <c r="I1028" i="14" s="1"/>
  <c r="J1190" i="14" a="1"/>
  <c r="J1190" i="14" s="1"/>
  <c r="N1191" i="14"/>
  <c r="M1195" i="14"/>
  <c r="M1194" i="13"/>
  <c r="N1192" i="13"/>
  <c r="J1191" i="13" a="1"/>
  <c r="J1191" i="13" s="1"/>
  <c r="K1005" i="13" l="1"/>
  <c r="L1005" i="13" s="1"/>
  <c r="I1006" i="13" s="1"/>
  <c r="K1028" i="14"/>
  <c r="L1028" i="14" s="1"/>
  <c r="I1029" i="14" s="1"/>
  <c r="M1196" i="14"/>
  <c r="N1193" i="13"/>
  <c r="J1192" i="13" a="1"/>
  <c r="J1192" i="13" s="1"/>
  <c r="J1191" i="14" a="1"/>
  <c r="J1191" i="14" s="1"/>
  <c r="N1192" i="14"/>
  <c r="M1195" i="13"/>
  <c r="K1006" i="13" l="1"/>
  <c r="L1006" i="13" s="1"/>
  <c r="I1007" i="13" s="1"/>
  <c r="K1029" i="14"/>
  <c r="L1029" i="14" s="1"/>
  <c r="I1030" i="14" s="1"/>
  <c r="N1194" i="13"/>
  <c r="J1193" i="13" a="1"/>
  <c r="J1193" i="13" s="1"/>
  <c r="N1193" i="14"/>
  <c r="J1192" i="14" a="1"/>
  <c r="J1192" i="14" s="1"/>
  <c r="M1196" i="13"/>
  <c r="M1197" i="14"/>
  <c r="K1007" i="13" l="1"/>
  <c r="L1007" i="13" s="1"/>
  <c r="I1008" i="13" s="1"/>
  <c r="K1030" i="14"/>
  <c r="L1030" i="14" s="1"/>
  <c r="I1031" i="14" s="1"/>
  <c r="J1193" i="14" a="1"/>
  <c r="J1193" i="14" s="1"/>
  <c r="N1194" i="14"/>
  <c r="M1198" i="14"/>
  <c r="M1197" i="13"/>
  <c r="N1195" i="13"/>
  <c r="J1194" i="13" a="1"/>
  <c r="J1194" i="13" s="1"/>
  <c r="K1008" i="13" l="1"/>
  <c r="L1008" i="13" s="1"/>
  <c r="I1009" i="13" s="1"/>
  <c r="K1031" i="14"/>
  <c r="L1031" i="14" s="1"/>
  <c r="I1032" i="14" s="1"/>
  <c r="N1196" i="13"/>
  <c r="J1195" i="13" a="1"/>
  <c r="J1195" i="13" s="1"/>
  <c r="M1199" i="14"/>
  <c r="M1198" i="13"/>
  <c r="J1194" i="14" a="1"/>
  <c r="J1194" i="14" s="1"/>
  <c r="N1195" i="14"/>
  <c r="K1009" i="13" l="1"/>
  <c r="L1009" i="13" s="1"/>
  <c r="I1010" i="13" s="1"/>
  <c r="K1032" i="14"/>
  <c r="L1032" i="14" s="1"/>
  <c r="I1033" i="14" s="1"/>
  <c r="J1195" i="14" a="1"/>
  <c r="J1195" i="14" s="1"/>
  <c r="N1196" i="14"/>
  <c r="M1200" i="14"/>
  <c r="M1199" i="13"/>
  <c r="N1197" i="13"/>
  <c r="J1196" i="13" a="1"/>
  <c r="J1196" i="13" s="1"/>
  <c r="K1010" i="13" l="1"/>
  <c r="L1010" i="13" s="1"/>
  <c r="I1011" i="13" s="1"/>
  <c r="K1033" i="14"/>
  <c r="L1033" i="14" s="1"/>
  <c r="I1034" i="14" s="1"/>
  <c r="N1198" i="13"/>
  <c r="J1197" i="13" a="1"/>
  <c r="J1197" i="13" s="1"/>
  <c r="M1201" i="14"/>
  <c r="N1197" i="14"/>
  <c r="J1196" i="14" a="1"/>
  <c r="J1196" i="14" s="1"/>
  <c r="M1200" i="13"/>
  <c r="K1011" i="13" l="1"/>
  <c r="L1011" i="13" s="1"/>
  <c r="I1012" i="13" s="1"/>
  <c r="K1034" i="14"/>
  <c r="L1034" i="14" s="1"/>
  <c r="I1035" i="14" s="1"/>
  <c r="M1201" i="13"/>
  <c r="J1197" i="14" a="1"/>
  <c r="J1197" i="14" s="1"/>
  <c r="N1198" i="14"/>
  <c r="M1202" i="14"/>
  <c r="N1199" i="13"/>
  <c r="J1198" i="13" a="1"/>
  <c r="J1198" i="13" s="1"/>
  <c r="K1012" i="13" l="1"/>
  <c r="L1012" i="13" s="1"/>
  <c r="I1013" i="13" s="1"/>
  <c r="K1035" i="14"/>
  <c r="L1035" i="14" s="1"/>
  <c r="I1036" i="14" s="1"/>
  <c r="J1198" i="14" a="1"/>
  <c r="J1198" i="14" s="1"/>
  <c r="N1199" i="14"/>
  <c r="N1200" i="13"/>
  <c r="J1199" i="13" a="1"/>
  <c r="J1199" i="13" s="1"/>
  <c r="M1202" i="13"/>
  <c r="M1203" i="14"/>
  <c r="K1013" i="13" l="1"/>
  <c r="L1013" i="13" s="1"/>
  <c r="I1014" i="13" s="1"/>
  <c r="K1036" i="14"/>
  <c r="L1036" i="14" s="1"/>
  <c r="I1037" i="14" s="1"/>
  <c r="M1204" i="14"/>
  <c r="N1201" i="13"/>
  <c r="J1200" i="13" a="1"/>
  <c r="J1200" i="13" s="1"/>
  <c r="J1199" i="14" a="1"/>
  <c r="J1199" i="14" s="1"/>
  <c r="N1200" i="14"/>
  <c r="M1203" i="13"/>
  <c r="K1014" i="13" l="1"/>
  <c r="L1014" i="13" s="1"/>
  <c r="I1015" i="13" s="1"/>
  <c r="N1202" i="13"/>
  <c r="J1201" i="13" a="1"/>
  <c r="J1201" i="13" s="1"/>
  <c r="K1037" i="14"/>
  <c r="L1037" i="14" s="1"/>
  <c r="I1038" i="14" s="1"/>
  <c r="M1204" i="13"/>
  <c r="N1201" i="14"/>
  <c r="J1200" i="14" a="1"/>
  <c r="J1200" i="14" s="1"/>
  <c r="M1205" i="14"/>
  <c r="K1015" i="13" l="1"/>
  <c r="L1015" i="13" s="1"/>
  <c r="I1016" i="13" s="1"/>
  <c r="K1038" i="14"/>
  <c r="L1038" i="14" s="1"/>
  <c r="I1039" i="14" s="1"/>
  <c r="M1205" i="13"/>
  <c r="M1206" i="14"/>
  <c r="N1203" i="13"/>
  <c r="J1202" i="13" a="1"/>
  <c r="J1202" i="13" s="1"/>
  <c r="J1201" i="14" a="1"/>
  <c r="J1201" i="14" s="1"/>
  <c r="N1202" i="14"/>
  <c r="K1016" i="13" l="1"/>
  <c r="L1016" i="13" s="1"/>
  <c r="I1017" i="13" s="1"/>
  <c r="K1039" i="14"/>
  <c r="L1039" i="14" s="1"/>
  <c r="I1040" i="14" s="1"/>
  <c r="M1207" i="14"/>
  <c r="M1206" i="13"/>
  <c r="J1202" i="14" a="1"/>
  <c r="J1202" i="14" s="1"/>
  <c r="N1203" i="14"/>
  <c r="N1204" i="13"/>
  <c r="J1203" i="13" a="1"/>
  <c r="J1203" i="13" s="1"/>
  <c r="K1017" i="13" l="1"/>
  <c r="L1017" i="13" s="1"/>
  <c r="I1018" i="13" s="1"/>
  <c r="K1040" i="14"/>
  <c r="L1040" i="14" s="1"/>
  <c r="I1041" i="14" s="1"/>
  <c r="M1207" i="13"/>
  <c r="N1205" i="13"/>
  <c r="J1204" i="13" a="1"/>
  <c r="J1204" i="13" s="1"/>
  <c r="M1208" i="14"/>
  <c r="J1203" i="14" a="1"/>
  <c r="J1203" i="14" s="1"/>
  <c r="N1204" i="14"/>
  <c r="K1018" i="13" l="1"/>
  <c r="L1018" i="13" s="1"/>
  <c r="I1019" i="13" s="1"/>
  <c r="K1041" i="14"/>
  <c r="L1041" i="14" s="1"/>
  <c r="I1042" i="14" s="1"/>
  <c r="N1205" i="14"/>
  <c r="J1204" i="14" a="1"/>
  <c r="J1204" i="14" s="1"/>
  <c r="N1206" i="13"/>
  <c r="J1205" i="13" a="1"/>
  <c r="J1205" i="13" s="1"/>
  <c r="M1208" i="13"/>
  <c r="M1209" i="14"/>
  <c r="K1019" i="13" l="1"/>
  <c r="L1019" i="13" s="1"/>
  <c r="I1020" i="13" s="1"/>
  <c r="K1042" i="14"/>
  <c r="L1042" i="14" s="1"/>
  <c r="I1043" i="14" s="1"/>
  <c r="N1207" i="13"/>
  <c r="J1206" i="13" a="1"/>
  <c r="J1206" i="13" s="1"/>
  <c r="M1210" i="14"/>
  <c r="M1209" i="13"/>
  <c r="J1205" i="14" a="1"/>
  <c r="J1205" i="14" s="1"/>
  <c r="N1206" i="14"/>
  <c r="K1020" i="13" l="1"/>
  <c r="L1020" i="13" s="1"/>
  <c r="I1021" i="13" s="1"/>
  <c r="K1043" i="14"/>
  <c r="L1043" i="14" s="1"/>
  <c r="I1044" i="14" s="1"/>
  <c r="J1206" i="14" a="1"/>
  <c r="J1206" i="14" s="1"/>
  <c r="N1207" i="14"/>
  <c r="M1211" i="14"/>
  <c r="M1210" i="13"/>
  <c r="N1208" i="13"/>
  <c r="J1207" i="13" a="1"/>
  <c r="J1207" i="13" s="1"/>
  <c r="K1021" i="13" l="1"/>
  <c r="L1021" i="13" s="1"/>
  <c r="I1022" i="13" s="1"/>
  <c r="K1044" i="14"/>
  <c r="L1044" i="14" s="1"/>
  <c r="I1045" i="14" s="1"/>
  <c r="N1209" i="13"/>
  <c r="J1208" i="13" a="1"/>
  <c r="J1208" i="13" s="1"/>
  <c r="M1212" i="14"/>
  <c r="J1207" i="14" a="1"/>
  <c r="J1207" i="14" s="1"/>
  <c r="N1208" i="14"/>
  <c r="M1211" i="13"/>
  <c r="K1022" i="13" l="1"/>
  <c r="L1022" i="13" s="1"/>
  <c r="I1023" i="13" s="1"/>
  <c r="K1045" i="14"/>
  <c r="L1045" i="14" s="1"/>
  <c r="I1046" i="14" s="1"/>
  <c r="N1209" i="14"/>
  <c r="J1208" i="14" a="1"/>
  <c r="J1208" i="14" s="1"/>
  <c r="M1212" i="13"/>
  <c r="M1213" i="14"/>
  <c r="N1210" i="13"/>
  <c r="J1209" i="13" a="1"/>
  <c r="J1209" i="13" s="1"/>
  <c r="K1023" i="13" l="1"/>
  <c r="L1023" i="13" s="1"/>
  <c r="I1024" i="13" s="1"/>
  <c r="K1046" i="14"/>
  <c r="L1046" i="14" s="1"/>
  <c r="I1047" i="14" s="1"/>
  <c r="N1211" i="13"/>
  <c r="J1210" i="13" a="1"/>
  <c r="J1210" i="13" s="1"/>
  <c r="M1213" i="13"/>
  <c r="M1214" i="14"/>
  <c r="J1209" i="14" a="1"/>
  <c r="J1209" i="14" s="1"/>
  <c r="N1210" i="14"/>
  <c r="K1024" i="13" l="1"/>
  <c r="L1024" i="13" s="1"/>
  <c r="I1025" i="13" s="1"/>
  <c r="K1047" i="14"/>
  <c r="L1047" i="14" s="1"/>
  <c r="I1048" i="14" s="1"/>
  <c r="J1210" i="14" a="1"/>
  <c r="J1210" i="14" s="1"/>
  <c r="N1211" i="14"/>
  <c r="M1214" i="13"/>
  <c r="M1215" i="14"/>
  <c r="N1212" i="13"/>
  <c r="J1211" i="13" a="1"/>
  <c r="J1211" i="13" s="1"/>
  <c r="K1025" i="13" l="1"/>
  <c r="L1025" i="13" s="1"/>
  <c r="I1026" i="13" s="1"/>
  <c r="K1048" i="14"/>
  <c r="L1048" i="14" s="1"/>
  <c r="I1049" i="14" s="1"/>
  <c r="N1213" i="13"/>
  <c r="J1212" i="13" a="1"/>
  <c r="J1212" i="13" s="1"/>
  <c r="M1215" i="13"/>
  <c r="M1216" i="14"/>
  <c r="J1211" i="14" a="1"/>
  <c r="J1211" i="14" s="1"/>
  <c r="N1212" i="14"/>
  <c r="K1026" i="13" l="1"/>
  <c r="L1026" i="13" s="1"/>
  <c r="I1027" i="13" s="1"/>
  <c r="K1049" i="14"/>
  <c r="L1049" i="14" s="1"/>
  <c r="I1050" i="14" s="1"/>
  <c r="N1213" i="14"/>
  <c r="J1212" i="14" a="1"/>
  <c r="J1212" i="14" s="1"/>
  <c r="M1216" i="13"/>
  <c r="M1217" i="14"/>
  <c r="N1214" i="13"/>
  <c r="J1213" i="13" a="1"/>
  <c r="J1213" i="13" s="1"/>
  <c r="K1027" i="13" l="1"/>
  <c r="L1027" i="13" s="1"/>
  <c r="I1028" i="13" s="1"/>
  <c r="K1050" i="14"/>
  <c r="L1050" i="14" s="1"/>
  <c r="I1051" i="14" s="1"/>
  <c r="N1215" i="13"/>
  <c r="J1214" i="13" a="1"/>
  <c r="J1214" i="13" s="1"/>
  <c r="M1217" i="13"/>
  <c r="M1218" i="14"/>
  <c r="J1213" i="14" a="1"/>
  <c r="J1213" i="14" s="1"/>
  <c r="N1214" i="14"/>
  <c r="K1028" i="13" l="1"/>
  <c r="L1028" i="13" s="1"/>
  <c r="I1029" i="13" s="1"/>
  <c r="K1051" i="14"/>
  <c r="L1051" i="14" s="1"/>
  <c r="I1052" i="14" s="1"/>
  <c r="J1214" i="14" a="1"/>
  <c r="J1214" i="14" s="1"/>
  <c r="N1215" i="14"/>
  <c r="M1218" i="13"/>
  <c r="M1219" i="14"/>
  <c r="N1216" i="13"/>
  <c r="J1215" i="13" a="1"/>
  <c r="J1215" i="13" s="1"/>
  <c r="K1029" i="13" l="1"/>
  <c r="L1029" i="13" s="1"/>
  <c r="I1030" i="13" s="1"/>
  <c r="K1052" i="14"/>
  <c r="L1052" i="14" s="1"/>
  <c r="I1053" i="14" s="1"/>
  <c r="M1219" i="13"/>
  <c r="N1217" i="13"/>
  <c r="J1216" i="13" a="1"/>
  <c r="J1216" i="13" s="1"/>
  <c r="J1215" i="14" a="1"/>
  <c r="J1215" i="14" s="1"/>
  <c r="N1216" i="14"/>
  <c r="M1220" i="14"/>
  <c r="K1030" i="13" l="1"/>
  <c r="L1030" i="13" s="1"/>
  <c r="I1031" i="13" s="1"/>
  <c r="K1053" i="14"/>
  <c r="L1053" i="14" s="1"/>
  <c r="I1054" i="14" s="1"/>
  <c r="N1218" i="13"/>
  <c r="J1217" i="13" a="1"/>
  <c r="J1217" i="13" s="1"/>
  <c r="N1217" i="14"/>
  <c r="J1216" i="14" a="1"/>
  <c r="J1216" i="14" s="1"/>
  <c r="M1220" i="13"/>
  <c r="M1221" i="14"/>
  <c r="K1031" i="13" l="1"/>
  <c r="L1031" i="13" s="1"/>
  <c r="I1032" i="13" s="1"/>
  <c r="K1054" i="14"/>
  <c r="L1054" i="14" s="1"/>
  <c r="I1055" i="14" s="1"/>
  <c r="M1222" i="14"/>
  <c r="J1217" i="14" a="1"/>
  <c r="J1217" i="14" s="1"/>
  <c r="N1218" i="14"/>
  <c r="M1221" i="13"/>
  <c r="N1219" i="13"/>
  <c r="J1218" i="13" a="1"/>
  <c r="J1218" i="13" s="1"/>
  <c r="K1032" i="13" l="1"/>
  <c r="L1032" i="13" s="1"/>
  <c r="I1033" i="13" s="1"/>
  <c r="K1055" i="14"/>
  <c r="L1055" i="14" s="1"/>
  <c r="I1056" i="14" s="1"/>
  <c r="J1218" i="14" a="1"/>
  <c r="J1218" i="14" s="1"/>
  <c r="N1219" i="14"/>
  <c r="J1219" i="13" a="1"/>
  <c r="J1219" i="13" s="1"/>
  <c r="N1220" i="13"/>
  <c r="M1222" i="13"/>
  <c r="M1223" i="14"/>
  <c r="K1033" i="13" l="1"/>
  <c r="L1033" i="13" s="1"/>
  <c r="I1034" i="13" s="1"/>
  <c r="K1056" i="14"/>
  <c r="L1056" i="14" s="1"/>
  <c r="I1057" i="14" s="1"/>
  <c r="J1220" i="13" a="1"/>
  <c r="J1220" i="13" s="1"/>
  <c r="N1221" i="13"/>
  <c r="J1219" i="14" a="1"/>
  <c r="J1219" i="14" s="1"/>
  <c r="N1220" i="14"/>
  <c r="M1224" i="14"/>
  <c r="M1223" i="13"/>
  <c r="K1034" i="13" l="1"/>
  <c r="L1034" i="13" s="1"/>
  <c r="I1035" i="13" s="1"/>
  <c r="K1057" i="14"/>
  <c r="L1057" i="14" s="1"/>
  <c r="I1058" i="14" s="1"/>
  <c r="N1221" i="14"/>
  <c r="J1220" i="14" a="1"/>
  <c r="J1220" i="14" s="1"/>
  <c r="N1222" i="13"/>
  <c r="J1221" i="13" a="1"/>
  <c r="J1221" i="13" s="1"/>
  <c r="M1224" i="13"/>
  <c r="M1225" i="14"/>
  <c r="K1035" i="13" l="1"/>
  <c r="L1035" i="13" s="1"/>
  <c r="I1036" i="13" s="1"/>
  <c r="K1058" i="14"/>
  <c r="L1058" i="14" s="1"/>
  <c r="I1059" i="14" s="1"/>
  <c r="M1226" i="14"/>
  <c r="J1222" i="13" a="1"/>
  <c r="J1222" i="13" s="1"/>
  <c r="N1223" i="13"/>
  <c r="M1225" i="13"/>
  <c r="J1221" i="14" a="1"/>
  <c r="J1221" i="14" s="1"/>
  <c r="N1222" i="14"/>
  <c r="K1036" i="13" l="1"/>
  <c r="L1036" i="13" s="1"/>
  <c r="I1037" i="13" s="1"/>
  <c r="K1059" i="14"/>
  <c r="L1059" i="14" s="1"/>
  <c r="I1060" i="14" s="1"/>
  <c r="J1223" i="13" a="1"/>
  <c r="J1223" i="13" s="1"/>
  <c r="N1224" i="13"/>
  <c r="J1222" i="14" a="1"/>
  <c r="J1222" i="14" s="1"/>
  <c r="N1223" i="14"/>
  <c r="M1226" i="13"/>
  <c r="M1227" i="14"/>
  <c r="K1037" i="13" l="1"/>
  <c r="L1037" i="13" s="1"/>
  <c r="I1038" i="13" s="1"/>
  <c r="K1060" i="14"/>
  <c r="L1060" i="14" s="1"/>
  <c r="I1061" i="14" s="1"/>
  <c r="J1223" i="14" a="1"/>
  <c r="J1223" i="14" s="1"/>
  <c r="N1224" i="14"/>
  <c r="J1224" i="13" a="1"/>
  <c r="J1224" i="13" s="1"/>
  <c r="N1225" i="13"/>
  <c r="M1228" i="14"/>
  <c r="M1227" i="13"/>
  <c r="K1038" i="13" l="1"/>
  <c r="L1038" i="13" s="1"/>
  <c r="I1039" i="13" s="1"/>
  <c r="K1061" i="14"/>
  <c r="L1061" i="14" s="1"/>
  <c r="I1062" i="14" s="1"/>
  <c r="M1228" i="13"/>
  <c r="N1226" i="13"/>
  <c r="J1225" i="13" a="1"/>
  <c r="J1225" i="13" s="1"/>
  <c r="N1225" i="14"/>
  <c r="J1224" i="14" a="1"/>
  <c r="J1224" i="14" s="1"/>
  <c r="M1229" i="14"/>
  <c r="K1039" i="13" l="1"/>
  <c r="L1039" i="13" s="1"/>
  <c r="I1040" i="13" s="1"/>
  <c r="K1062" i="14"/>
  <c r="L1062" i="14" s="1"/>
  <c r="I1063" i="14" s="1"/>
  <c r="M1230" i="14"/>
  <c r="J1226" i="13" a="1"/>
  <c r="J1226" i="13" s="1"/>
  <c r="N1227" i="13"/>
  <c r="M1229" i="13"/>
  <c r="J1225" i="14" a="1"/>
  <c r="J1225" i="14" s="1"/>
  <c r="N1226" i="14"/>
  <c r="K1040" i="13" l="1"/>
  <c r="L1040" i="13" s="1"/>
  <c r="I1041" i="13" s="1"/>
  <c r="K1063" i="14"/>
  <c r="L1063" i="14" s="1"/>
  <c r="I1064" i="14" s="1"/>
  <c r="J1227" i="13" a="1"/>
  <c r="J1227" i="13" s="1"/>
  <c r="N1228" i="13"/>
  <c r="J1226" i="14" a="1"/>
  <c r="J1226" i="14" s="1"/>
  <c r="N1227" i="14"/>
  <c r="M1230" i="13"/>
  <c r="M1231" i="14"/>
  <c r="K1041" i="13" l="1"/>
  <c r="L1041" i="13" s="1"/>
  <c r="I1042" i="13" s="1"/>
  <c r="K1064" i="14"/>
  <c r="L1064" i="14" s="1"/>
  <c r="I1065" i="14" s="1"/>
  <c r="J1227" i="14" a="1"/>
  <c r="J1227" i="14" s="1"/>
  <c r="N1228" i="14"/>
  <c r="M1232" i="14"/>
  <c r="J1228" i="13" a="1"/>
  <c r="J1228" i="13" s="1"/>
  <c r="N1229" i="13"/>
  <c r="M1231" i="13"/>
  <c r="K1042" i="13" l="1"/>
  <c r="L1042" i="13" s="1"/>
  <c r="I1043" i="13" s="1"/>
  <c r="K1065" i="14"/>
  <c r="L1065" i="14" s="1"/>
  <c r="I1066" i="14" s="1"/>
  <c r="N1230" i="13"/>
  <c r="J1229" i="13" a="1"/>
  <c r="J1229" i="13" s="1"/>
  <c r="M1232" i="13"/>
  <c r="M1233" i="14"/>
  <c r="N1229" i="14"/>
  <c r="J1228" i="14" a="1"/>
  <c r="J1228" i="14" s="1"/>
  <c r="K1043" i="13" l="1"/>
  <c r="L1043" i="13" s="1"/>
  <c r="I1044" i="13" s="1"/>
  <c r="K1066" i="14"/>
  <c r="L1066" i="14" s="1"/>
  <c r="I1067" i="14" s="1"/>
  <c r="M1233" i="13"/>
  <c r="J1229" i="14" a="1"/>
  <c r="J1229" i="14" s="1"/>
  <c r="N1230" i="14"/>
  <c r="M1234" i="14"/>
  <c r="J1230" i="13" a="1"/>
  <c r="J1230" i="13" s="1"/>
  <c r="N1231" i="13"/>
  <c r="K1044" i="13" l="1"/>
  <c r="L1044" i="13" s="1"/>
  <c r="I1045" i="13" s="1"/>
  <c r="K1067" i="14"/>
  <c r="L1067" i="14" s="1"/>
  <c r="I1068" i="14" s="1"/>
  <c r="J1231" i="13" a="1"/>
  <c r="J1231" i="13" s="1"/>
  <c r="N1232" i="13"/>
  <c r="M1234" i="13"/>
  <c r="J1230" i="14" a="1"/>
  <c r="J1230" i="14" s="1"/>
  <c r="N1231" i="14"/>
  <c r="M1235" i="14"/>
  <c r="K1045" i="13" l="1"/>
  <c r="L1045" i="13" s="1"/>
  <c r="I1046" i="13" s="1"/>
  <c r="K1068" i="14"/>
  <c r="L1068" i="14" s="1"/>
  <c r="I1069" i="14" s="1"/>
  <c r="M1236" i="14"/>
  <c r="M1235" i="13"/>
  <c r="J1232" i="13" a="1"/>
  <c r="J1232" i="13" s="1"/>
  <c r="N1233" i="13"/>
  <c r="J1231" i="14" a="1"/>
  <c r="J1231" i="14" s="1"/>
  <c r="N1232" i="14"/>
  <c r="K1046" i="13" l="1"/>
  <c r="L1046" i="13" s="1"/>
  <c r="I1047" i="13" s="1"/>
  <c r="K1069" i="14"/>
  <c r="L1069" i="14" s="1"/>
  <c r="I1070" i="14" s="1"/>
  <c r="M1236" i="13"/>
  <c r="N1234" i="13"/>
  <c r="J1233" i="13" a="1"/>
  <c r="J1233" i="13" s="1"/>
  <c r="N1233" i="14"/>
  <c r="J1232" i="14" a="1"/>
  <c r="J1232" i="14" s="1"/>
  <c r="M1237" i="14"/>
  <c r="K1047" i="13" l="1"/>
  <c r="L1047" i="13" s="1"/>
  <c r="I1048" i="13" s="1"/>
  <c r="K1070" i="14"/>
  <c r="L1070" i="14" s="1"/>
  <c r="I1071" i="14" s="1"/>
  <c r="J1234" i="13" a="1"/>
  <c r="J1234" i="13" s="1"/>
  <c r="N1235" i="13"/>
  <c r="M1237" i="13"/>
  <c r="M1238" i="14"/>
  <c r="J1233" i="14" a="1"/>
  <c r="J1233" i="14" s="1"/>
  <c r="N1234" i="14"/>
  <c r="K1048" i="13" l="1"/>
  <c r="L1048" i="13" s="1"/>
  <c r="I1049" i="13" s="1"/>
  <c r="K1071" i="14"/>
  <c r="L1071" i="14" s="1"/>
  <c r="I1072" i="14" s="1"/>
  <c r="J1234" i="14" a="1"/>
  <c r="J1234" i="14" s="1"/>
  <c r="N1235" i="14"/>
  <c r="M1238" i="13"/>
  <c r="J1235" i="13" a="1"/>
  <c r="J1235" i="13" s="1"/>
  <c r="N1236" i="13"/>
  <c r="M1239" i="14"/>
  <c r="K1049" i="13" l="1"/>
  <c r="L1049" i="13" s="1"/>
  <c r="I1050" i="13" s="1"/>
  <c r="K1072" i="14"/>
  <c r="L1072" i="14" s="1"/>
  <c r="I1073" i="14" s="1"/>
  <c r="M1240" i="14"/>
  <c r="M1239" i="13"/>
  <c r="J1235" i="14" a="1"/>
  <c r="J1235" i="14" s="1"/>
  <c r="N1236" i="14"/>
  <c r="J1236" i="13" a="1"/>
  <c r="J1236" i="13" s="1"/>
  <c r="N1237" i="13"/>
  <c r="K1050" i="13" l="1"/>
  <c r="L1050" i="13" s="1"/>
  <c r="I1051" i="13" s="1"/>
  <c r="K1073" i="14"/>
  <c r="L1073" i="14" s="1"/>
  <c r="I1074" i="14" s="1"/>
  <c r="M1240" i="13"/>
  <c r="N1238" i="13"/>
  <c r="J1237" i="13" a="1"/>
  <c r="J1237" i="13" s="1"/>
  <c r="N1237" i="14"/>
  <c r="J1236" i="14" a="1"/>
  <c r="J1236" i="14" s="1"/>
  <c r="M1241" i="14"/>
  <c r="K1051" i="13" l="1"/>
  <c r="L1051" i="13" s="1"/>
  <c r="I1052" i="13" s="1"/>
  <c r="K1074" i="14"/>
  <c r="L1074" i="14" s="1"/>
  <c r="I1075" i="14" s="1"/>
  <c r="J1238" i="13" a="1"/>
  <c r="J1238" i="13" s="1"/>
  <c r="N1239" i="13"/>
  <c r="M1241" i="13"/>
  <c r="M1242" i="14"/>
  <c r="J1237" i="14" a="1"/>
  <c r="J1237" i="14" s="1"/>
  <c r="N1238" i="14"/>
  <c r="K1052" i="13" l="1"/>
  <c r="L1052" i="13" s="1"/>
  <c r="I1053" i="13" s="1"/>
  <c r="K1075" i="14"/>
  <c r="L1075" i="14" s="1"/>
  <c r="I1076" i="14" s="1"/>
  <c r="J1238" i="14" a="1"/>
  <c r="J1238" i="14" s="1"/>
  <c r="N1239" i="14"/>
  <c r="J1239" i="13" a="1"/>
  <c r="J1239" i="13" s="1"/>
  <c r="N1240" i="13"/>
  <c r="M1242" i="13"/>
  <c r="M1243" i="14"/>
  <c r="K1053" i="13" l="1"/>
  <c r="L1053" i="13" s="1"/>
  <c r="I1054" i="13" s="1"/>
  <c r="K1076" i="14"/>
  <c r="L1076" i="14" s="1"/>
  <c r="I1077" i="14" s="1"/>
  <c r="J1240" i="13" a="1"/>
  <c r="J1240" i="13" s="1"/>
  <c r="N1241" i="13"/>
  <c r="J1239" i="14" a="1"/>
  <c r="J1239" i="14" s="1"/>
  <c r="N1240" i="14"/>
  <c r="M1244" i="14"/>
  <c r="M1243" i="13"/>
  <c r="K1054" i="13" l="1"/>
  <c r="L1054" i="13" s="1"/>
  <c r="I1055" i="13" s="1"/>
  <c r="K1077" i="14"/>
  <c r="L1077" i="14" s="1"/>
  <c r="I1078" i="14" s="1"/>
  <c r="N1241" i="14"/>
  <c r="J1240" i="14" a="1"/>
  <c r="J1240" i="14" s="1"/>
  <c r="M1244" i="13"/>
  <c r="N1242" i="13"/>
  <c r="J1241" i="13" a="1"/>
  <c r="J1241" i="13" s="1"/>
  <c r="M1245" i="14"/>
  <c r="K1055" i="13" l="1"/>
  <c r="L1055" i="13" s="1"/>
  <c r="I1056" i="13" s="1"/>
  <c r="K1078" i="14"/>
  <c r="L1078" i="14" s="1"/>
  <c r="I1079" i="14" s="1"/>
  <c r="J1242" i="13" a="1"/>
  <c r="J1242" i="13" s="1"/>
  <c r="N1243" i="13"/>
  <c r="M1245" i="13"/>
  <c r="M1246" i="14"/>
  <c r="J1241" i="14" a="1"/>
  <c r="J1241" i="14" s="1"/>
  <c r="N1242" i="14"/>
  <c r="K1056" i="13" l="1"/>
  <c r="L1056" i="13" s="1"/>
  <c r="I1057" i="13" s="1"/>
  <c r="J1242" i="14" a="1"/>
  <c r="J1242" i="14" s="1"/>
  <c r="N1243" i="14"/>
  <c r="M1246" i="13"/>
  <c r="K1079" i="14"/>
  <c r="L1079" i="14" s="1"/>
  <c r="I1080" i="14" s="1"/>
  <c r="J1243" i="13" a="1"/>
  <c r="J1243" i="13" s="1"/>
  <c r="N1244" i="13"/>
  <c r="M1247" i="14"/>
  <c r="K1057" i="13" l="1"/>
  <c r="L1057" i="13" s="1"/>
  <c r="I1058" i="13" s="1"/>
  <c r="K1080" i="14"/>
  <c r="L1080" i="14" s="1"/>
  <c r="I1081" i="14" s="1"/>
  <c r="J1243" i="14" a="1"/>
  <c r="J1243" i="14" s="1"/>
  <c r="N1244" i="14"/>
  <c r="J1244" i="13" a="1"/>
  <c r="J1244" i="13" s="1"/>
  <c r="N1245" i="13"/>
  <c r="M1248" i="14"/>
  <c r="M1247" i="13"/>
  <c r="K1058" i="13" l="1"/>
  <c r="L1058" i="13" s="1"/>
  <c r="I1059" i="13" s="1"/>
  <c r="K1081" i="14"/>
  <c r="L1081" i="14" s="1"/>
  <c r="I1082" i="14" s="1"/>
  <c r="N1246" i="13"/>
  <c r="J1245" i="13" a="1"/>
  <c r="J1245" i="13" s="1"/>
  <c r="N1245" i="14"/>
  <c r="J1244" i="14" a="1"/>
  <c r="J1244" i="14" s="1"/>
  <c r="M1248" i="13"/>
  <c r="M1249" i="14"/>
  <c r="K1059" i="13" l="1"/>
  <c r="L1059" i="13" s="1"/>
  <c r="I1060" i="13" s="1"/>
  <c r="K1082" i="14"/>
  <c r="L1082" i="14" s="1"/>
  <c r="I1083" i="14" s="1"/>
  <c r="J1245" i="14" a="1"/>
  <c r="J1245" i="14" s="1"/>
  <c r="N1246" i="14"/>
  <c r="M1250" i="14"/>
  <c r="M1249" i="13"/>
  <c r="J1246" i="13" a="1"/>
  <c r="J1246" i="13" s="1"/>
  <c r="N1247" i="13"/>
  <c r="K1060" i="13" l="1"/>
  <c r="L1060" i="13" s="1"/>
  <c r="I1061" i="13" s="1"/>
  <c r="K1083" i="14"/>
  <c r="L1083" i="14" s="1"/>
  <c r="I1084" i="14" s="1"/>
  <c r="J1247" i="13" a="1"/>
  <c r="J1247" i="13" s="1"/>
  <c r="N1248" i="13"/>
  <c r="M1251" i="14"/>
  <c r="J1246" i="14" a="1"/>
  <c r="J1246" i="14" s="1"/>
  <c r="N1247" i="14"/>
  <c r="M1250" i="13"/>
  <c r="K1061" i="13" l="1"/>
  <c r="L1061" i="13" s="1"/>
  <c r="I1062" i="13" s="1"/>
  <c r="K1084" i="14"/>
  <c r="L1084" i="14" s="1"/>
  <c r="I1085" i="14" s="1"/>
  <c r="M1252" i="14"/>
  <c r="M1251" i="13"/>
  <c r="J1248" i="13" a="1"/>
  <c r="J1248" i="13" s="1"/>
  <c r="N1249" i="13"/>
  <c r="J1247" i="14" a="1"/>
  <c r="J1247" i="14" s="1"/>
  <c r="N1248" i="14"/>
  <c r="K1062" i="13" l="1"/>
  <c r="L1062" i="13" s="1"/>
  <c r="I1063" i="13" s="1"/>
  <c r="K1085" i="14"/>
  <c r="L1085" i="14" s="1"/>
  <c r="I1086" i="14" s="1"/>
  <c r="N1249" i="14"/>
  <c r="J1248" i="14" a="1"/>
  <c r="J1248" i="14" s="1"/>
  <c r="M1252" i="13"/>
  <c r="N1250" i="13"/>
  <c r="J1249" i="13" a="1"/>
  <c r="J1249" i="13" s="1"/>
  <c r="M1253" i="14"/>
  <c r="K1063" i="13" l="1"/>
  <c r="L1063" i="13" s="1"/>
  <c r="I1064" i="13" s="1"/>
  <c r="K1086" i="14"/>
  <c r="L1086" i="14" s="1"/>
  <c r="I1087" i="14" s="1"/>
  <c r="M1253" i="13"/>
  <c r="M1254" i="14"/>
  <c r="J1250" i="13" a="1"/>
  <c r="J1250" i="13" s="1"/>
  <c r="N1251" i="13"/>
  <c r="J1249" i="14" a="1"/>
  <c r="J1249" i="14" s="1"/>
  <c r="N1250" i="14"/>
  <c r="K1064" i="13" l="1"/>
  <c r="L1064" i="13" s="1"/>
  <c r="I1065" i="13" s="1"/>
  <c r="K1087" i="14"/>
  <c r="L1087" i="14" s="1"/>
  <c r="I1088" i="14" s="1"/>
  <c r="J1250" i="14" a="1"/>
  <c r="J1250" i="14" s="1"/>
  <c r="N1251" i="14"/>
  <c r="M1255" i="14"/>
  <c r="J1251" i="13" a="1"/>
  <c r="J1251" i="13" s="1"/>
  <c r="N1252" i="13"/>
  <c r="M1254" i="13"/>
  <c r="K1065" i="13" l="1"/>
  <c r="L1065" i="13" s="1"/>
  <c r="I1066" i="13" s="1"/>
  <c r="K1088" i="14"/>
  <c r="L1088" i="14" s="1"/>
  <c r="I1089" i="14" s="1"/>
  <c r="J1252" i="13" a="1"/>
  <c r="J1252" i="13" s="1"/>
  <c r="N1253" i="13"/>
  <c r="M1256" i="14"/>
  <c r="M1255" i="13"/>
  <c r="J1251" i="14" a="1"/>
  <c r="J1251" i="14" s="1"/>
  <c r="N1252" i="14"/>
  <c r="K1066" i="13" l="1"/>
  <c r="L1066" i="13" s="1"/>
  <c r="I1067" i="13" s="1"/>
  <c r="K1089" i="14"/>
  <c r="L1089" i="14" s="1"/>
  <c r="I1090" i="14" s="1"/>
  <c r="M1257" i="14"/>
  <c r="N1254" i="13"/>
  <c r="J1253" i="13" a="1"/>
  <c r="J1253" i="13" s="1"/>
  <c r="N1253" i="14"/>
  <c r="J1252" i="14" a="1"/>
  <c r="J1252" i="14" s="1"/>
  <c r="M1256" i="13"/>
  <c r="K1067" i="13" l="1"/>
  <c r="L1067" i="13" s="1"/>
  <c r="I1068" i="13" s="1"/>
  <c r="K1090" i="14"/>
  <c r="L1090" i="14" s="1"/>
  <c r="I1091" i="14" s="1"/>
  <c r="J1254" i="13" a="1"/>
  <c r="J1254" i="13" s="1"/>
  <c r="N1255" i="13"/>
  <c r="M1257" i="13"/>
  <c r="J1253" i="14" a="1"/>
  <c r="J1253" i="14" s="1"/>
  <c r="N1254" i="14"/>
  <c r="M1258" i="14"/>
  <c r="K1068" i="13" l="1"/>
  <c r="L1068" i="13" s="1"/>
  <c r="I1069" i="13" s="1"/>
  <c r="K1091" i="14"/>
  <c r="L1091" i="14" s="1"/>
  <c r="I1092" i="14" s="1"/>
  <c r="J1254" i="14" a="1"/>
  <c r="J1254" i="14" s="1"/>
  <c r="N1255" i="14"/>
  <c r="M1259" i="14"/>
  <c r="M1258" i="13"/>
  <c r="J1255" i="13" a="1"/>
  <c r="J1255" i="13" s="1"/>
  <c r="N1256" i="13"/>
  <c r="K1069" i="13" l="1"/>
  <c r="L1069" i="13" s="1"/>
  <c r="I1070" i="13" s="1"/>
  <c r="K1092" i="14"/>
  <c r="L1092" i="14" s="1"/>
  <c r="I1093" i="14" s="1"/>
  <c r="M1260" i="14"/>
  <c r="J1256" i="13" a="1"/>
  <c r="J1256" i="13" s="1"/>
  <c r="N1257" i="13"/>
  <c r="J1255" i="14" a="1"/>
  <c r="J1255" i="14" s="1"/>
  <c r="N1256" i="14"/>
  <c r="M1259" i="13"/>
  <c r="K1070" i="13" l="1"/>
  <c r="L1070" i="13" s="1"/>
  <c r="I1071" i="13" s="1"/>
  <c r="K1093" i="14"/>
  <c r="L1093" i="14" s="1"/>
  <c r="I1094" i="14" s="1"/>
  <c r="N1258" i="13"/>
  <c r="J1257" i="13" a="1"/>
  <c r="J1257" i="13" s="1"/>
  <c r="M1260" i="13"/>
  <c r="N1257" i="14"/>
  <c r="J1256" i="14" a="1"/>
  <c r="J1256" i="14" s="1"/>
  <c r="M1261" i="14"/>
  <c r="K1071" i="13" l="1"/>
  <c r="L1071" i="13" s="1"/>
  <c r="I1072" i="13" s="1"/>
  <c r="K1094" i="14"/>
  <c r="L1094" i="14" s="1"/>
  <c r="I1095" i="14" s="1"/>
  <c r="M1261" i="13"/>
  <c r="M1262" i="14"/>
  <c r="J1257" i="14" a="1"/>
  <c r="J1257" i="14" s="1"/>
  <c r="N1258" i="14"/>
  <c r="J1258" i="13" a="1"/>
  <c r="J1258" i="13" s="1"/>
  <c r="N1259" i="13"/>
  <c r="K1072" i="13" l="1"/>
  <c r="L1072" i="13" s="1"/>
  <c r="I1073" i="13" s="1"/>
  <c r="K1095" i="14"/>
  <c r="L1095" i="14" s="1"/>
  <c r="I1096" i="14" s="1"/>
  <c r="M1263" i="14"/>
  <c r="J1258" i="14" a="1"/>
  <c r="J1258" i="14" s="1"/>
  <c r="N1259" i="14"/>
  <c r="J1259" i="13" a="1"/>
  <c r="J1259" i="13" s="1"/>
  <c r="N1260" i="13"/>
  <c r="M1262" i="13"/>
  <c r="K1073" i="13" l="1"/>
  <c r="L1073" i="13" s="1"/>
  <c r="I1074" i="13" s="1"/>
  <c r="K1096" i="14"/>
  <c r="L1096" i="14" s="1"/>
  <c r="I1097" i="14" s="1"/>
  <c r="J1259" i="14" a="1"/>
  <c r="J1259" i="14" s="1"/>
  <c r="N1260" i="14"/>
  <c r="J1260" i="13" a="1"/>
  <c r="J1260" i="13" s="1"/>
  <c r="N1261" i="13"/>
  <c r="M1264" i="14"/>
  <c r="M1263" i="13"/>
  <c r="K1074" i="13" l="1"/>
  <c r="L1074" i="13" s="1"/>
  <c r="I1075" i="13" s="1"/>
  <c r="K1097" i="14"/>
  <c r="L1097" i="14" s="1"/>
  <c r="I1098" i="14" s="1"/>
  <c r="N1262" i="13"/>
  <c r="J1261" i="13" a="1"/>
  <c r="J1261" i="13" s="1"/>
  <c r="M1265" i="14"/>
  <c r="M1264" i="13"/>
  <c r="N1261" i="14"/>
  <c r="J1260" i="14" a="1"/>
  <c r="J1260" i="14" s="1"/>
  <c r="K1075" i="13" l="1"/>
  <c r="L1075" i="13" s="1"/>
  <c r="I1076" i="13" s="1"/>
  <c r="K1098" i="14"/>
  <c r="L1098" i="14" s="1"/>
  <c r="I1099" i="14" s="1"/>
  <c r="J1261" i="14" a="1"/>
  <c r="J1261" i="14" s="1"/>
  <c r="N1262" i="14"/>
  <c r="M1266" i="14"/>
  <c r="M1265" i="13"/>
  <c r="J1262" i="13" a="1"/>
  <c r="J1262" i="13" s="1"/>
  <c r="N1263" i="13"/>
  <c r="K1076" i="13" l="1"/>
  <c r="L1076" i="13" s="1"/>
  <c r="I1077" i="13" s="1"/>
  <c r="K1099" i="14"/>
  <c r="L1099" i="14" s="1"/>
  <c r="I1100" i="14" s="1"/>
  <c r="M1267" i="14"/>
  <c r="J1263" i="13" a="1"/>
  <c r="J1263" i="13" s="1"/>
  <c r="N1264" i="13"/>
  <c r="J1262" i="14" a="1"/>
  <c r="J1262" i="14" s="1"/>
  <c r="N1263" i="14"/>
  <c r="M1266" i="13"/>
  <c r="K1077" i="13" l="1"/>
  <c r="L1077" i="13" s="1"/>
  <c r="I1078" i="13" s="1"/>
  <c r="K1100" i="14"/>
  <c r="L1100" i="14" s="1"/>
  <c r="I1101" i="14" s="1"/>
  <c r="J1264" i="13" a="1"/>
  <c r="J1264" i="13" s="1"/>
  <c r="N1265" i="13"/>
  <c r="J1263" i="14" a="1"/>
  <c r="J1263" i="14" s="1"/>
  <c r="N1264" i="14"/>
  <c r="M1268" i="14"/>
  <c r="M1267" i="13"/>
  <c r="K1078" i="13" l="1"/>
  <c r="L1078" i="13" s="1"/>
  <c r="I1079" i="13" s="1"/>
  <c r="M1269" i="14"/>
  <c r="N1265" i="14"/>
  <c r="J1264" i="14" a="1"/>
  <c r="J1264" i="14" s="1"/>
  <c r="K1101" i="14"/>
  <c r="L1101" i="14" s="1"/>
  <c r="I1102" i="14" s="1"/>
  <c r="M1268" i="13"/>
  <c r="N1266" i="13"/>
  <c r="J1265" i="13" a="1"/>
  <c r="J1265" i="13" s="1"/>
  <c r="K1079" i="13" l="1"/>
  <c r="L1079" i="13" s="1"/>
  <c r="I1080" i="13" s="1"/>
  <c r="K1102" i="14"/>
  <c r="L1102" i="14" s="1"/>
  <c r="I1103" i="14" s="1"/>
  <c r="M1269" i="13"/>
  <c r="J1265" i="14" a="1"/>
  <c r="J1265" i="14" s="1"/>
  <c r="N1266" i="14"/>
  <c r="J1266" i="13" a="1"/>
  <c r="J1266" i="13" s="1"/>
  <c r="N1267" i="13"/>
  <c r="M1270" i="14"/>
  <c r="K1080" i="13" l="1"/>
  <c r="L1080" i="13" s="1"/>
  <c r="I1081" i="13" s="1"/>
  <c r="K1103" i="14"/>
  <c r="L1103" i="14" s="1"/>
  <c r="I1104" i="14" s="1"/>
  <c r="J1267" i="13" a="1"/>
  <c r="J1267" i="13" s="1"/>
  <c r="N1268" i="13"/>
  <c r="J1266" i="14" a="1"/>
  <c r="J1266" i="14" s="1"/>
  <c r="N1267" i="14"/>
  <c r="M1271" i="14"/>
  <c r="M1270" i="13"/>
  <c r="K1081" i="13" l="1"/>
  <c r="L1081" i="13" s="1"/>
  <c r="I1082" i="13" s="1"/>
  <c r="K1104" i="14"/>
  <c r="L1104" i="14" s="1"/>
  <c r="I1105" i="14" s="1"/>
  <c r="J1267" i="14" a="1"/>
  <c r="J1267" i="14" s="1"/>
  <c r="N1268" i="14"/>
  <c r="M1271" i="13"/>
  <c r="J1268" i="13" a="1"/>
  <c r="J1268" i="13" s="1"/>
  <c r="N1269" i="13"/>
  <c r="M1272" i="14"/>
  <c r="K1082" i="13" l="1"/>
  <c r="L1082" i="13" s="1"/>
  <c r="I1083" i="13" s="1"/>
  <c r="K1105" i="14"/>
  <c r="L1105" i="14" s="1"/>
  <c r="I1106" i="14" s="1"/>
  <c r="N1269" i="14"/>
  <c r="J1268" i="14" a="1"/>
  <c r="J1268" i="14" s="1"/>
  <c r="M1273" i="14"/>
  <c r="N1270" i="13"/>
  <c r="J1269" i="13" a="1"/>
  <c r="J1269" i="13" s="1"/>
  <c r="M1272" i="13"/>
  <c r="K1083" i="13" l="1"/>
  <c r="L1083" i="13" s="1"/>
  <c r="I1084" i="13" s="1"/>
  <c r="K1106" i="14"/>
  <c r="L1106" i="14" s="1"/>
  <c r="I1107" i="14" s="1"/>
  <c r="M1273" i="13"/>
  <c r="M1274" i="14"/>
  <c r="J1270" i="13" a="1"/>
  <c r="J1270" i="13" s="1"/>
  <c r="N1271" i="13"/>
  <c r="J1269" i="14" a="1"/>
  <c r="J1269" i="14" s="1"/>
  <c r="N1270" i="14"/>
  <c r="K1084" i="13" l="1"/>
  <c r="L1084" i="13" s="1"/>
  <c r="I1085" i="13" s="1"/>
  <c r="K1107" i="14"/>
  <c r="L1107" i="14" s="1"/>
  <c r="I1108" i="14" s="1"/>
  <c r="J1270" i="14" a="1"/>
  <c r="J1270" i="14" s="1"/>
  <c r="N1271" i="14"/>
  <c r="J1271" i="13" a="1"/>
  <c r="J1271" i="13" s="1"/>
  <c r="N1272" i="13"/>
  <c r="M1275" i="14"/>
  <c r="M1274" i="13"/>
  <c r="K1085" i="13" l="1"/>
  <c r="L1085" i="13" s="1"/>
  <c r="I1086" i="13" s="1"/>
  <c r="K1108" i="14"/>
  <c r="L1108" i="14" s="1"/>
  <c r="I1109" i="14" s="1"/>
  <c r="J1272" i="13" a="1"/>
  <c r="J1272" i="13" s="1"/>
  <c r="N1273" i="13"/>
  <c r="J1271" i="14" a="1"/>
  <c r="J1271" i="14" s="1"/>
  <c r="N1272" i="14"/>
  <c r="M1275" i="13"/>
  <c r="M1276" i="14"/>
  <c r="K1086" i="13" l="1"/>
  <c r="L1086" i="13" s="1"/>
  <c r="I1087" i="13" s="1"/>
  <c r="K1109" i="14"/>
  <c r="L1109" i="14" s="1"/>
  <c r="I1110" i="14" s="1"/>
  <c r="N1273" i="14"/>
  <c r="J1272" i="14" a="1"/>
  <c r="J1272" i="14" s="1"/>
  <c r="N1274" i="13"/>
  <c r="J1273" i="13" a="1"/>
  <c r="J1273" i="13" s="1"/>
  <c r="M1277" i="14"/>
  <c r="M1276" i="13"/>
  <c r="K1087" i="13" l="1"/>
  <c r="L1087" i="13" s="1"/>
  <c r="I1088" i="13" s="1"/>
  <c r="K1110" i="14"/>
  <c r="L1110" i="14" s="1"/>
  <c r="I1111" i="14" s="1"/>
  <c r="M1277" i="13"/>
  <c r="J1274" i="13" a="1"/>
  <c r="J1274" i="13" s="1"/>
  <c r="N1275" i="13"/>
  <c r="M1278" i="14"/>
  <c r="J1273" i="14" a="1"/>
  <c r="J1273" i="14" s="1"/>
  <c r="N1274" i="14"/>
  <c r="K1088" i="13" l="1"/>
  <c r="L1088" i="13" s="1"/>
  <c r="I1089" i="13" s="1"/>
  <c r="K1111" i="14"/>
  <c r="L1111" i="14" s="1"/>
  <c r="I1112" i="14" s="1"/>
  <c r="J1275" i="13" a="1"/>
  <c r="J1275" i="13" s="1"/>
  <c r="N1276" i="13"/>
  <c r="J1274" i="14" a="1"/>
  <c r="J1274" i="14" s="1"/>
  <c r="N1275" i="14"/>
  <c r="M1279" i="14"/>
  <c r="M1278" i="13"/>
  <c r="K1089" i="13" l="1"/>
  <c r="L1089" i="13" s="1"/>
  <c r="I1090" i="13" s="1"/>
  <c r="K1112" i="14"/>
  <c r="L1112" i="14" s="1"/>
  <c r="I1113" i="14" s="1"/>
  <c r="J1275" i="14" a="1"/>
  <c r="J1275" i="14" s="1"/>
  <c r="N1276" i="14"/>
  <c r="J1276" i="13" a="1"/>
  <c r="J1276" i="13" s="1"/>
  <c r="N1277" i="13"/>
  <c r="M1279" i="13"/>
  <c r="M1280" i="14"/>
  <c r="K1090" i="13" l="1"/>
  <c r="L1090" i="13" s="1"/>
  <c r="I1091" i="13" s="1"/>
  <c r="K1113" i="14"/>
  <c r="L1113" i="14" s="1"/>
  <c r="I1114" i="14" s="1"/>
  <c r="N1278" i="13"/>
  <c r="J1277" i="13" a="1"/>
  <c r="J1277" i="13" s="1"/>
  <c r="M1281" i="14"/>
  <c r="N1277" i="14"/>
  <c r="J1276" i="14" a="1"/>
  <c r="J1276" i="14" s="1"/>
  <c r="M1280" i="13"/>
  <c r="K1091" i="13" l="1"/>
  <c r="L1091" i="13" s="1"/>
  <c r="I1092" i="13" s="1"/>
  <c r="K1114" i="14"/>
  <c r="L1114" i="14" s="1"/>
  <c r="I1115" i="14" s="1"/>
  <c r="M1281" i="13"/>
  <c r="M1282" i="14"/>
  <c r="J1277" i="14" a="1"/>
  <c r="J1277" i="14" s="1"/>
  <c r="N1278" i="14"/>
  <c r="J1278" i="13" a="1"/>
  <c r="J1278" i="13" s="1"/>
  <c r="N1279" i="13"/>
  <c r="K1092" i="13" l="1"/>
  <c r="L1092" i="13" s="1"/>
  <c r="I1093" i="13" s="1"/>
  <c r="K1115" i="14"/>
  <c r="L1115" i="14" s="1"/>
  <c r="I1116" i="14" s="1"/>
  <c r="M1283" i="14"/>
  <c r="J1278" i="14" a="1"/>
  <c r="J1278" i="14" s="1"/>
  <c r="N1279" i="14"/>
  <c r="J1279" i="13" a="1"/>
  <c r="J1279" i="13" s="1"/>
  <c r="N1280" i="13"/>
  <c r="M1282" i="13"/>
  <c r="K1093" i="13" l="1"/>
  <c r="L1093" i="13" s="1"/>
  <c r="I1094" i="13" s="1"/>
  <c r="K1116" i="14"/>
  <c r="L1116" i="14" s="1"/>
  <c r="I1117" i="14" s="1"/>
  <c r="J1279" i="14" a="1"/>
  <c r="J1279" i="14" s="1"/>
  <c r="N1280" i="14"/>
  <c r="M1283" i="13"/>
  <c r="J1280" i="13" a="1"/>
  <c r="J1280" i="13" s="1"/>
  <c r="N1281" i="13"/>
  <c r="M1284" i="14"/>
  <c r="K1094" i="13" l="1"/>
  <c r="L1094" i="13" s="1"/>
  <c r="I1095" i="13" s="1"/>
  <c r="K1117" i="14"/>
  <c r="L1117" i="14" s="1"/>
  <c r="I1118" i="14" s="1"/>
  <c r="N1282" i="13"/>
  <c r="J1281" i="13" a="1"/>
  <c r="J1281" i="13" s="1"/>
  <c r="M1285" i="14"/>
  <c r="M1284" i="13"/>
  <c r="N1281" i="14"/>
  <c r="J1280" i="14" a="1"/>
  <c r="J1280" i="14" s="1"/>
  <c r="K1095" i="13" l="1"/>
  <c r="L1095" i="13" s="1"/>
  <c r="I1096" i="13" s="1"/>
  <c r="K1118" i="14"/>
  <c r="L1118" i="14" s="1"/>
  <c r="I1119" i="14" s="1"/>
  <c r="J1281" i="14" a="1"/>
  <c r="J1281" i="14" s="1"/>
  <c r="N1282" i="14"/>
  <c r="M1286" i="14"/>
  <c r="M1285" i="13"/>
  <c r="J1282" i="13" a="1"/>
  <c r="J1282" i="13" s="1"/>
  <c r="N1283" i="13"/>
  <c r="K1096" i="13" l="1"/>
  <c r="L1096" i="13" s="1"/>
  <c r="I1097" i="13" s="1"/>
  <c r="K1119" i="14"/>
  <c r="L1119" i="14" s="1"/>
  <c r="I1120" i="14" s="1"/>
  <c r="M1287" i="14"/>
  <c r="J1282" i="14" a="1"/>
  <c r="J1282" i="14" s="1"/>
  <c r="N1283" i="14"/>
  <c r="J1283" i="13" a="1"/>
  <c r="J1283" i="13" s="1"/>
  <c r="N1284" i="13"/>
  <c r="M1286" i="13"/>
  <c r="K1097" i="13" l="1"/>
  <c r="L1097" i="13" s="1"/>
  <c r="I1098" i="13" s="1"/>
  <c r="K1120" i="14"/>
  <c r="L1120" i="14" s="1"/>
  <c r="I1121" i="14" s="1"/>
  <c r="J1283" i="14" a="1"/>
  <c r="J1283" i="14" s="1"/>
  <c r="N1284" i="14"/>
  <c r="M1287" i="13"/>
  <c r="J1284" i="13" a="1"/>
  <c r="J1284" i="13" s="1"/>
  <c r="N1285" i="13"/>
  <c r="M1288" i="14"/>
  <c r="K1098" i="13" l="1"/>
  <c r="L1098" i="13" s="1"/>
  <c r="I1099" i="13" s="1"/>
  <c r="K1121" i="14"/>
  <c r="L1121" i="14" s="1"/>
  <c r="I1122" i="14" s="1"/>
  <c r="M1289" i="14"/>
  <c r="M1288" i="13"/>
  <c r="N1286" i="13"/>
  <c r="J1285" i="13" a="1"/>
  <c r="J1285" i="13" s="1"/>
  <c r="N1285" i="14"/>
  <c r="J1284" i="14" a="1"/>
  <c r="J1284" i="14" s="1"/>
  <c r="K1099" i="13" l="1"/>
  <c r="L1099" i="13" s="1"/>
  <c r="I1100" i="13" s="1"/>
  <c r="K1122" i="14"/>
  <c r="L1122" i="14" s="1"/>
  <c r="I1123" i="14" s="1"/>
  <c r="M1289" i="13"/>
  <c r="J1285" i="14" a="1"/>
  <c r="J1285" i="14" s="1"/>
  <c r="N1286" i="14"/>
  <c r="J1286" i="13" a="1"/>
  <c r="J1286" i="13" s="1"/>
  <c r="N1287" i="13"/>
  <c r="M1290" i="14"/>
  <c r="K1100" i="13" l="1"/>
  <c r="L1100" i="13" s="1"/>
  <c r="I1101" i="13" s="1"/>
  <c r="K1123" i="14"/>
  <c r="L1123" i="14" s="1"/>
  <c r="I1124" i="14" s="1"/>
  <c r="J1286" i="14" a="1"/>
  <c r="J1286" i="14" s="1"/>
  <c r="N1287" i="14"/>
  <c r="J1287" i="13" a="1"/>
  <c r="J1287" i="13" s="1"/>
  <c r="N1288" i="13"/>
  <c r="M1291" i="14"/>
  <c r="M1290" i="13"/>
  <c r="K1101" i="13" l="1"/>
  <c r="L1101" i="13" s="1"/>
  <c r="I1102" i="13" s="1"/>
  <c r="K1124" i="14"/>
  <c r="L1124" i="14" s="1"/>
  <c r="I1125" i="14" s="1"/>
  <c r="J1288" i="13" a="1"/>
  <c r="J1288" i="13" s="1"/>
  <c r="N1289" i="13"/>
  <c r="M1291" i="13"/>
  <c r="M1292" i="14"/>
  <c r="J1287" i="14" a="1"/>
  <c r="J1287" i="14" s="1"/>
  <c r="N1288" i="14"/>
  <c r="K1102" i="13" l="1"/>
  <c r="L1102" i="13" s="1"/>
  <c r="I1103" i="13" s="1"/>
  <c r="K1125" i="14"/>
  <c r="L1125" i="14" s="1"/>
  <c r="I1126" i="14" s="1"/>
  <c r="N1290" i="13"/>
  <c r="J1289" i="13" a="1"/>
  <c r="J1289" i="13" s="1"/>
  <c r="M1293" i="14"/>
  <c r="N1289" i="14"/>
  <c r="J1288" i="14" a="1"/>
  <c r="J1288" i="14" s="1"/>
  <c r="M1292" i="13"/>
  <c r="K1103" i="13" l="1"/>
  <c r="L1103" i="13" s="1"/>
  <c r="I1104" i="13" s="1"/>
  <c r="K1126" i="14"/>
  <c r="L1126" i="14" s="1"/>
  <c r="I1127" i="14" s="1"/>
  <c r="M1293" i="13"/>
  <c r="M1294" i="14"/>
  <c r="J1289" i="14" a="1"/>
  <c r="J1289" i="14" s="1"/>
  <c r="N1290" i="14"/>
  <c r="J1290" i="13" a="1"/>
  <c r="J1290" i="13" s="1"/>
  <c r="N1291" i="13"/>
  <c r="K1104" i="13" l="1"/>
  <c r="L1104" i="13" s="1"/>
  <c r="I1105" i="13" s="1"/>
  <c r="K1127" i="14"/>
  <c r="L1127" i="14" s="1"/>
  <c r="I1128" i="14" s="1"/>
  <c r="M1295" i="14"/>
  <c r="J1290" i="14" a="1"/>
  <c r="J1290" i="14" s="1"/>
  <c r="N1291" i="14"/>
  <c r="J1291" i="13" a="1"/>
  <c r="J1291" i="13" s="1"/>
  <c r="N1292" i="13"/>
  <c r="M1294" i="13"/>
  <c r="K1105" i="13" l="1"/>
  <c r="L1105" i="13" s="1"/>
  <c r="I1106" i="13" s="1"/>
  <c r="K1128" i="14"/>
  <c r="L1128" i="14" s="1"/>
  <c r="I1129" i="14" s="1"/>
  <c r="J1291" i="14" a="1"/>
  <c r="J1291" i="14" s="1"/>
  <c r="N1292" i="14"/>
  <c r="J1292" i="13" a="1"/>
  <c r="J1292" i="13" s="1"/>
  <c r="N1293" i="13"/>
  <c r="M1296" i="14"/>
  <c r="M1295" i="13"/>
  <c r="K1106" i="13" l="1"/>
  <c r="L1106" i="13" s="1"/>
  <c r="I1107" i="13" s="1"/>
  <c r="K1129" i="14"/>
  <c r="L1129" i="14" s="1"/>
  <c r="I1130" i="14" s="1"/>
  <c r="N1294" i="13"/>
  <c r="J1293" i="13" a="1"/>
  <c r="J1293" i="13" s="1"/>
  <c r="N1293" i="14"/>
  <c r="J1292" i="14" a="1"/>
  <c r="J1292" i="14" s="1"/>
  <c r="M1296" i="13"/>
  <c r="M1297" i="14"/>
  <c r="K1107" i="13" l="1"/>
  <c r="L1107" i="13" s="1"/>
  <c r="I1108" i="13" s="1"/>
  <c r="K1130" i="14"/>
  <c r="L1130" i="14" s="1"/>
  <c r="I1131" i="14" s="1"/>
  <c r="M1298" i="14"/>
  <c r="J1293" i="14" a="1"/>
  <c r="J1293" i="14" s="1"/>
  <c r="N1294" i="14"/>
  <c r="M1297" i="13"/>
  <c r="J1294" i="13" a="1"/>
  <c r="J1294" i="13" s="1"/>
  <c r="N1295" i="13"/>
  <c r="K1108" i="13" l="1"/>
  <c r="L1108" i="13" s="1"/>
  <c r="I1109" i="13" s="1"/>
  <c r="K1131" i="14"/>
  <c r="L1131" i="14" s="1"/>
  <c r="I1132" i="14" s="1"/>
  <c r="J1294" i="14" a="1"/>
  <c r="J1294" i="14" s="1"/>
  <c r="N1295" i="14"/>
  <c r="J1295" i="13" a="1"/>
  <c r="J1295" i="13" s="1"/>
  <c r="N1296" i="13"/>
  <c r="M1298" i="13"/>
  <c r="M1299" i="14"/>
  <c r="K1109" i="13" l="1"/>
  <c r="L1109" i="13" s="1"/>
  <c r="I1110" i="13" s="1"/>
  <c r="K1132" i="14"/>
  <c r="L1132" i="14" s="1"/>
  <c r="I1133" i="14" s="1"/>
  <c r="M1300" i="14"/>
  <c r="J1296" i="13" a="1"/>
  <c r="J1296" i="13" s="1"/>
  <c r="N1297" i="13"/>
  <c r="J1295" i="14" a="1"/>
  <c r="J1295" i="14" s="1"/>
  <c r="N1296" i="14"/>
  <c r="M1299" i="13"/>
  <c r="K1110" i="13" l="1"/>
  <c r="L1110" i="13" s="1"/>
  <c r="I1111" i="13" s="1"/>
  <c r="K1133" i="14"/>
  <c r="L1133" i="14" s="1"/>
  <c r="I1134" i="14" s="1"/>
  <c r="M1300" i="13"/>
  <c r="N1298" i="13"/>
  <c r="J1297" i="13" a="1"/>
  <c r="J1297" i="13" s="1"/>
  <c r="N1297" i="14"/>
  <c r="J1296" i="14" a="1"/>
  <c r="J1296" i="14" s="1"/>
  <c r="M1301" i="14"/>
  <c r="K1111" i="13" l="1"/>
  <c r="L1111" i="13" s="1"/>
  <c r="I1112" i="13" s="1"/>
  <c r="K1134" i="14"/>
  <c r="L1134" i="14" s="1"/>
  <c r="I1135" i="14" s="1"/>
  <c r="J1298" i="13" a="1"/>
  <c r="J1298" i="13" s="1"/>
  <c r="N1299" i="13"/>
  <c r="M1302" i="14"/>
  <c r="M1301" i="13"/>
  <c r="J1297" i="14" a="1"/>
  <c r="J1297" i="14" s="1"/>
  <c r="N1298" i="14"/>
  <c r="K1112" i="13" l="1"/>
  <c r="L1112" i="13" s="1"/>
  <c r="I1113" i="13" s="1"/>
  <c r="K1135" i="14"/>
  <c r="L1135" i="14" s="1"/>
  <c r="I1136" i="14" s="1"/>
  <c r="J1298" i="14" a="1"/>
  <c r="J1298" i="14" s="1"/>
  <c r="N1299" i="14"/>
  <c r="M1303" i="14"/>
  <c r="J1299" i="13" a="1"/>
  <c r="J1299" i="13" s="1"/>
  <c r="N1300" i="13"/>
  <c r="M1302" i="13"/>
  <c r="K1113" i="13" l="1"/>
  <c r="L1113" i="13" s="1"/>
  <c r="I1114" i="13" s="1"/>
  <c r="K1136" i="14"/>
  <c r="L1136" i="14" s="1"/>
  <c r="I1137" i="14" s="1"/>
  <c r="M1304" i="14"/>
  <c r="M1303" i="13"/>
  <c r="J1300" i="13" a="1"/>
  <c r="J1300" i="13" s="1"/>
  <c r="N1301" i="13"/>
  <c r="J1299" i="14" a="1"/>
  <c r="J1299" i="14" s="1"/>
  <c r="N1300" i="14"/>
  <c r="K1114" i="13" l="1"/>
  <c r="L1114" i="13" s="1"/>
  <c r="I1115" i="13" s="1"/>
  <c r="K1137" i="14"/>
  <c r="L1137" i="14" s="1"/>
  <c r="I1138" i="14" s="1"/>
  <c r="M1304" i="13"/>
  <c r="N1301" i="14"/>
  <c r="J1300" i="14" a="1"/>
  <c r="J1300" i="14" s="1"/>
  <c r="N1302" i="13"/>
  <c r="J1301" i="13" a="1"/>
  <c r="J1301" i="13" s="1"/>
  <c r="M1305" i="14"/>
  <c r="K1115" i="13" l="1"/>
  <c r="L1115" i="13" s="1"/>
  <c r="I1116" i="13" s="1"/>
  <c r="K1138" i="14"/>
  <c r="L1138" i="14" s="1"/>
  <c r="I1139" i="14" s="1"/>
  <c r="J1301" i="14" a="1"/>
  <c r="J1301" i="14" s="1"/>
  <c r="N1302" i="14"/>
  <c r="M1305" i="13"/>
  <c r="M1306" i="14"/>
  <c r="J1302" i="13" a="1"/>
  <c r="J1302" i="13" s="1"/>
  <c r="N1303" i="13"/>
  <c r="K1116" i="13" l="1"/>
  <c r="L1116" i="13" s="1"/>
  <c r="I1117" i="13" s="1"/>
  <c r="K1139" i="14"/>
  <c r="L1139" i="14" s="1"/>
  <c r="I1140" i="14" s="1"/>
  <c r="J1303" i="13" a="1"/>
  <c r="J1303" i="13" s="1"/>
  <c r="N1304" i="13"/>
  <c r="M1306" i="13"/>
  <c r="J1302" i="14" a="1"/>
  <c r="J1302" i="14" s="1"/>
  <c r="N1303" i="14"/>
  <c r="M1307" i="14"/>
  <c r="K1117" i="13" l="1"/>
  <c r="L1117" i="13" s="1"/>
  <c r="I1118" i="13" s="1"/>
  <c r="K1140" i="14"/>
  <c r="L1140" i="14" s="1"/>
  <c r="I1141" i="14" s="1"/>
  <c r="M1308" i="14"/>
  <c r="M1307" i="13"/>
  <c r="J1304" i="13" a="1"/>
  <c r="J1304" i="13" s="1"/>
  <c r="N1305" i="13"/>
  <c r="J1303" i="14" a="1"/>
  <c r="J1303" i="14" s="1"/>
  <c r="N1304" i="14"/>
  <c r="K1118" i="13" l="1"/>
  <c r="L1118" i="13" s="1"/>
  <c r="I1119" i="13" s="1"/>
  <c r="K1141" i="14"/>
  <c r="L1141" i="14" s="1"/>
  <c r="I1142" i="14" s="1"/>
  <c r="M1308" i="13"/>
  <c r="N1305" i="14"/>
  <c r="J1304" i="14" a="1"/>
  <c r="J1304" i="14" s="1"/>
  <c r="N1306" i="13"/>
  <c r="J1305" i="13" a="1"/>
  <c r="J1305" i="13" s="1"/>
  <c r="M1309" i="14"/>
  <c r="K1119" i="13" l="1"/>
  <c r="L1119" i="13" s="1"/>
  <c r="I1120" i="13" s="1"/>
  <c r="K1142" i="14"/>
  <c r="L1142" i="14" s="1"/>
  <c r="I1143" i="14" s="1"/>
  <c r="J1305" i="14" a="1"/>
  <c r="J1305" i="14" s="1"/>
  <c r="N1306" i="14"/>
  <c r="M1309" i="13"/>
  <c r="M1310" i="14"/>
  <c r="J1306" i="13" a="1"/>
  <c r="J1306" i="13" s="1"/>
  <c r="N1307" i="13"/>
  <c r="K1120" i="13" l="1"/>
  <c r="L1120" i="13" s="1"/>
  <c r="I1121" i="13" s="1"/>
  <c r="K1143" i="14"/>
  <c r="L1143" i="14" s="1"/>
  <c r="I1144" i="14" s="1"/>
  <c r="J1307" i="13" a="1"/>
  <c r="J1307" i="13" s="1"/>
  <c r="N1308" i="13"/>
  <c r="M1310" i="13"/>
  <c r="J1306" i="14" a="1"/>
  <c r="J1306" i="14" s="1"/>
  <c r="N1307" i="14"/>
  <c r="M1311" i="14"/>
  <c r="K1121" i="13" l="1"/>
  <c r="L1121" i="13" s="1"/>
  <c r="I1122" i="13" s="1"/>
  <c r="K1144" i="14"/>
  <c r="L1144" i="14" s="1"/>
  <c r="I1145" i="14" s="1"/>
  <c r="M1311" i="13"/>
  <c r="J1307" i="14" a="1"/>
  <c r="J1307" i="14" s="1"/>
  <c r="N1308" i="14"/>
  <c r="J1308" i="13" a="1"/>
  <c r="J1308" i="13" s="1"/>
  <c r="N1309" i="13"/>
  <c r="M1312" i="14"/>
  <c r="K1122" i="13" l="1"/>
  <c r="L1122" i="13" s="1"/>
  <c r="I1123" i="13" s="1"/>
  <c r="K1145" i="14"/>
  <c r="L1145" i="14" s="1"/>
  <c r="I1146" i="14" s="1"/>
  <c r="N1310" i="13"/>
  <c r="J1309" i="13" a="1"/>
  <c r="J1309" i="13" s="1"/>
  <c r="N1309" i="14"/>
  <c r="J1308" i="14" a="1"/>
  <c r="J1308" i="14" s="1"/>
  <c r="M1313" i="14"/>
  <c r="M1312" i="13"/>
  <c r="K1123" i="13" l="1"/>
  <c r="L1123" i="13" s="1"/>
  <c r="I1124" i="13" s="1"/>
  <c r="K1146" i="14"/>
  <c r="L1146" i="14" s="1"/>
  <c r="I1147" i="14" s="1"/>
  <c r="M1313" i="13"/>
  <c r="J1309" i="14" a="1"/>
  <c r="J1309" i="14" s="1"/>
  <c r="N1310" i="14"/>
  <c r="M1314" i="14"/>
  <c r="J1310" i="13" a="1"/>
  <c r="J1310" i="13" s="1"/>
  <c r="N1311" i="13"/>
  <c r="K1124" i="13" l="1"/>
  <c r="L1124" i="13" s="1"/>
  <c r="I1125" i="13" s="1"/>
  <c r="K1147" i="14"/>
  <c r="L1147" i="14" s="1"/>
  <c r="I1148" i="14" s="1"/>
  <c r="J1311" i="13" a="1"/>
  <c r="J1311" i="13" s="1"/>
  <c r="N1312" i="13"/>
  <c r="J1310" i="14" a="1"/>
  <c r="J1310" i="14" s="1"/>
  <c r="N1311" i="14"/>
  <c r="M1315" i="14"/>
  <c r="M1314" i="13"/>
  <c r="K1125" i="13" l="1"/>
  <c r="L1125" i="13" s="1"/>
  <c r="I1126" i="13" s="1"/>
  <c r="K1148" i="14"/>
  <c r="L1148" i="14" s="1"/>
  <c r="I1149" i="14" s="1"/>
  <c r="J1311" i="14" a="1"/>
  <c r="J1311" i="14" s="1"/>
  <c r="N1312" i="14"/>
  <c r="J1312" i="13" a="1"/>
  <c r="J1312" i="13" s="1"/>
  <c r="N1313" i="13"/>
  <c r="M1315" i="13"/>
  <c r="M1316" i="14"/>
  <c r="K1126" i="13" l="1"/>
  <c r="L1126" i="13" s="1"/>
  <c r="I1127" i="13" s="1"/>
  <c r="K1149" i="14"/>
  <c r="L1149" i="14" s="1"/>
  <c r="I1150" i="14" s="1"/>
  <c r="N1314" i="13"/>
  <c r="J1313" i="13" a="1"/>
  <c r="J1313" i="13" s="1"/>
  <c r="N1313" i="14"/>
  <c r="J1312" i="14" a="1"/>
  <c r="J1312" i="14" s="1"/>
  <c r="M1317" i="14"/>
  <c r="M1316" i="13"/>
  <c r="K1127" i="13" l="1"/>
  <c r="L1127" i="13" s="1"/>
  <c r="I1128" i="13" s="1"/>
  <c r="K1150" i="14"/>
  <c r="L1150" i="14" s="1"/>
  <c r="I1151" i="14" s="1"/>
  <c r="J1313" i="14" a="1"/>
  <c r="J1313" i="14" s="1"/>
  <c r="N1314" i="14"/>
  <c r="M1317" i="13"/>
  <c r="M1318" i="14"/>
  <c r="J1314" i="13" a="1"/>
  <c r="J1314" i="13" s="1"/>
  <c r="N1315" i="13"/>
  <c r="K1128" i="13" l="1"/>
  <c r="L1128" i="13" s="1"/>
  <c r="I1129" i="13" s="1"/>
  <c r="K1151" i="14"/>
  <c r="L1151" i="14" s="1"/>
  <c r="I1152" i="14" s="1"/>
  <c r="M1318" i="13"/>
  <c r="J1315" i="13" a="1"/>
  <c r="J1315" i="13" s="1"/>
  <c r="N1316" i="13"/>
  <c r="J1314" i="14" a="1"/>
  <c r="J1314" i="14" s="1"/>
  <c r="N1315" i="14"/>
  <c r="M1319" i="14"/>
  <c r="K1129" i="13" l="1"/>
  <c r="L1129" i="13" s="1"/>
  <c r="I1130" i="13" s="1"/>
  <c r="K1152" i="14"/>
  <c r="L1152" i="14" s="1"/>
  <c r="I1153" i="14" s="1"/>
  <c r="J1316" i="13" a="1"/>
  <c r="J1316" i="13" s="1"/>
  <c r="N1317" i="13"/>
  <c r="M1320" i="14"/>
  <c r="J1315" i="14" a="1"/>
  <c r="J1315" i="14" s="1"/>
  <c r="N1316" i="14"/>
  <c r="M1319" i="13"/>
  <c r="K1130" i="13" l="1"/>
  <c r="L1130" i="13" s="1"/>
  <c r="I1131" i="13" s="1"/>
  <c r="K1153" i="14"/>
  <c r="L1153" i="14" s="1"/>
  <c r="I1154" i="14" s="1"/>
  <c r="M1320" i="13"/>
  <c r="M1321" i="14"/>
  <c r="N1317" i="14"/>
  <c r="J1316" i="14" a="1"/>
  <c r="J1316" i="14" s="1"/>
  <c r="N1318" i="13"/>
  <c r="J1317" i="13" a="1"/>
  <c r="J1317" i="13" s="1"/>
  <c r="K1131" i="13" l="1"/>
  <c r="L1131" i="13" s="1"/>
  <c r="I1132" i="13" s="1"/>
  <c r="K1154" i="14"/>
  <c r="L1154" i="14" s="1"/>
  <c r="I1155" i="14" s="1"/>
  <c r="J1318" i="13" a="1"/>
  <c r="J1318" i="13" s="1"/>
  <c r="N1319" i="13"/>
  <c r="M1322" i="14"/>
  <c r="M1321" i="13"/>
  <c r="J1317" i="14" a="1"/>
  <c r="J1317" i="14" s="1"/>
  <c r="N1318" i="14"/>
  <c r="K1132" i="13" l="1"/>
  <c r="L1132" i="13" s="1"/>
  <c r="I1133" i="13" s="1"/>
  <c r="K1155" i="14"/>
  <c r="L1155" i="14" s="1"/>
  <c r="I1156" i="14" s="1"/>
  <c r="J1318" i="14" a="1"/>
  <c r="J1318" i="14" s="1"/>
  <c r="N1319" i="14"/>
  <c r="M1323" i="14"/>
  <c r="J1319" i="13" a="1"/>
  <c r="J1319" i="13" s="1"/>
  <c r="N1320" i="13"/>
  <c r="M1322" i="13"/>
  <c r="K1133" i="13" l="1"/>
  <c r="L1133" i="13" s="1"/>
  <c r="I1134" i="13" s="1"/>
  <c r="K1156" i="14"/>
  <c r="L1156" i="14" s="1"/>
  <c r="I1157" i="14" s="1"/>
  <c r="M1324" i="14"/>
  <c r="M1323" i="13"/>
  <c r="J1320" i="13" a="1"/>
  <c r="J1320" i="13" s="1"/>
  <c r="N1321" i="13"/>
  <c r="J1319" i="14" a="1"/>
  <c r="J1319" i="14" s="1"/>
  <c r="N1320" i="14"/>
  <c r="K1134" i="13" l="1"/>
  <c r="L1134" i="13" s="1"/>
  <c r="I1135" i="13" s="1"/>
  <c r="K1157" i="14"/>
  <c r="L1157" i="14" s="1"/>
  <c r="I1158" i="14" s="1"/>
  <c r="N1321" i="14"/>
  <c r="J1320" i="14" a="1"/>
  <c r="J1320" i="14" s="1"/>
  <c r="M1324" i="13"/>
  <c r="N1322" i="13"/>
  <c r="J1321" i="13" a="1"/>
  <c r="J1321" i="13" s="1"/>
  <c r="M1325" i="14"/>
  <c r="K1135" i="13" l="1"/>
  <c r="L1135" i="13" s="1"/>
  <c r="I1136" i="13" s="1"/>
  <c r="K1158" i="14"/>
  <c r="L1158" i="14" s="1"/>
  <c r="I1159" i="14" s="1"/>
  <c r="M1325" i="13"/>
  <c r="M1326" i="14"/>
  <c r="J1322" i="13" a="1"/>
  <c r="J1322" i="13" s="1"/>
  <c r="N1323" i="13"/>
  <c r="J1321" i="14" a="1"/>
  <c r="J1321" i="14" s="1"/>
  <c r="N1322" i="14"/>
  <c r="K1136" i="13" l="1"/>
  <c r="L1136" i="13" s="1"/>
  <c r="I1137" i="13" s="1"/>
  <c r="K1159" i="14"/>
  <c r="L1159" i="14" s="1"/>
  <c r="I1160" i="14" s="1"/>
  <c r="J1322" i="14" a="1"/>
  <c r="J1322" i="14" s="1"/>
  <c r="N1323" i="14"/>
  <c r="M1327" i="14"/>
  <c r="J1323" i="13" a="1"/>
  <c r="J1323" i="13" s="1"/>
  <c r="N1324" i="13"/>
  <c r="M1326" i="13"/>
  <c r="K1137" i="13" l="1"/>
  <c r="L1137" i="13" s="1"/>
  <c r="I1138" i="13" s="1"/>
  <c r="K1160" i="14"/>
  <c r="L1160" i="14" s="1"/>
  <c r="I1161" i="14" s="1"/>
  <c r="M1328" i="14"/>
  <c r="M1327" i="13"/>
  <c r="J1324" i="13" a="1"/>
  <c r="J1324" i="13" s="1"/>
  <c r="N1325" i="13"/>
  <c r="J1323" i="14" a="1"/>
  <c r="J1323" i="14" s="1"/>
  <c r="N1324" i="14"/>
  <c r="K1138" i="13" l="1"/>
  <c r="L1138" i="13" s="1"/>
  <c r="I1139" i="13" s="1"/>
  <c r="K1161" i="14"/>
  <c r="L1161" i="14" s="1"/>
  <c r="I1162" i="14" s="1"/>
  <c r="N1325" i="14"/>
  <c r="J1324" i="14" a="1"/>
  <c r="J1324" i="14" s="1"/>
  <c r="M1328" i="13"/>
  <c r="N1326" i="13"/>
  <c r="J1325" i="13" a="1"/>
  <c r="J1325" i="13" s="1"/>
  <c r="M1329" i="14"/>
  <c r="K1139" i="13" l="1"/>
  <c r="L1139" i="13" s="1"/>
  <c r="I1140" i="13" s="1"/>
  <c r="M1329" i="13"/>
  <c r="K1162" i="14"/>
  <c r="L1162" i="14" s="1"/>
  <c r="I1163" i="14" s="1"/>
  <c r="M1330" i="14"/>
  <c r="J1326" i="13" a="1"/>
  <c r="J1326" i="13" s="1"/>
  <c r="N1327" i="13"/>
  <c r="J1325" i="14" a="1"/>
  <c r="J1325" i="14" s="1"/>
  <c r="N1326" i="14"/>
  <c r="K1140" i="13" l="1"/>
  <c r="L1140" i="13" s="1"/>
  <c r="I1141" i="13" s="1"/>
  <c r="K1163" i="14"/>
  <c r="L1163" i="14" s="1"/>
  <c r="I1164" i="14" s="1"/>
  <c r="M1330" i="13"/>
  <c r="J1326" i="14" a="1"/>
  <c r="J1326" i="14" s="1"/>
  <c r="N1327" i="14"/>
  <c r="M1331" i="14"/>
  <c r="J1327" i="13" a="1"/>
  <c r="J1327" i="13" s="1"/>
  <c r="N1328" i="13"/>
  <c r="K1141" i="13" l="1"/>
  <c r="L1141" i="13" s="1"/>
  <c r="I1142" i="13" s="1"/>
  <c r="K1164" i="14"/>
  <c r="L1164" i="14" s="1"/>
  <c r="I1165" i="14" s="1"/>
  <c r="J1328" i="13" a="1"/>
  <c r="J1328" i="13" s="1"/>
  <c r="N1329" i="13"/>
  <c r="J1327" i="14" a="1"/>
  <c r="J1327" i="14" s="1"/>
  <c r="N1328" i="14"/>
  <c r="M1332" i="14"/>
  <c r="M1331" i="13"/>
  <c r="K1142" i="13" l="1"/>
  <c r="L1142" i="13" s="1"/>
  <c r="I1143" i="13" s="1"/>
  <c r="K1165" i="14"/>
  <c r="L1165" i="14" s="1"/>
  <c r="I1166" i="14" s="1"/>
  <c r="M1332" i="13"/>
  <c r="N1330" i="13"/>
  <c r="J1329" i="13" a="1"/>
  <c r="J1329" i="13" s="1"/>
  <c r="N1329" i="14"/>
  <c r="J1328" i="14" a="1"/>
  <c r="J1328" i="14" s="1"/>
  <c r="M1333" i="14"/>
  <c r="K1143" i="13" l="1"/>
  <c r="L1143" i="13" s="1"/>
  <c r="I1144" i="13" s="1"/>
  <c r="K1166" i="14"/>
  <c r="L1166" i="14" s="1"/>
  <c r="I1167" i="14" s="1"/>
  <c r="M1334" i="14"/>
  <c r="J1330" i="13" a="1"/>
  <c r="J1330" i="13" s="1"/>
  <c r="N1331" i="13"/>
  <c r="M1333" i="13"/>
  <c r="J1329" i="14" a="1"/>
  <c r="J1329" i="14" s="1"/>
  <c r="N1330" i="14"/>
  <c r="K1144" i="13" l="1"/>
  <c r="L1144" i="13" s="1"/>
  <c r="I1145" i="13" s="1"/>
  <c r="K1167" i="14"/>
  <c r="L1167" i="14" s="1"/>
  <c r="I1168" i="14" s="1"/>
  <c r="J1330" i="14" a="1"/>
  <c r="J1330" i="14" s="1"/>
  <c r="N1331" i="14"/>
  <c r="J1331" i="13" a="1"/>
  <c r="J1331" i="13" s="1"/>
  <c r="N1332" i="13"/>
  <c r="M1334" i="13"/>
  <c r="M1335" i="14"/>
  <c r="K1145" i="13" l="1"/>
  <c r="L1145" i="13" s="1"/>
  <c r="I1146" i="13" s="1"/>
  <c r="K1168" i="14"/>
  <c r="L1168" i="14" s="1"/>
  <c r="I1169" i="14" s="1"/>
  <c r="J1332" i="13" a="1"/>
  <c r="J1332" i="13" s="1"/>
  <c r="N1333" i="13"/>
  <c r="J1331" i="14" a="1"/>
  <c r="J1331" i="14" s="1"/>
  <c r="N1332" i="14"/>
  <c r="M1336" i="14"/>
  <c r="M1335" i="13"/>
  <c r="K1146" i="13" l="1"/>
  <c r="L1146" i="13" s="1"/>
  <c r="I1147" i="13" s="1"/>
  <c r="K1169" i="14"/>
  <c r="L1169" i="14" s="1"/>
  <c r="I1170" i="14" s="1"/>
  <c r="N1333" i="14"/>
  <c r="J1332" i="14" a="1"/>
  <c r="J1332" i="14" s="1"/>
  <c r="N1334" i="13"/>
  <c r="J1333" i="13" a="1"/>
  <c r="J1333" i="13" s="1"/>
  <c r="M1336" i="13"/>
  <c r="M1337" i="14"/>
  <c r="K1147" i="13" l="1"/>
  <c r="L1147" i="13" s="1"/>
  <c r="I1148" i="13" s="1"/>
  <c r="K1170" i="14"/>
  <c r="L1170" i="14" s="1"/>
  <c r="I1171" i="14" s="1"/>
  <c r="M1338" i="14"/>
  <c r="J1334" i="13" a="1"/>
  <c r="J1334" i="13" s="1"/>
  <c r="N1335" i="13"/>
  <c r="M1337" i="13"/>
  <c r="J1333" i="14" a="1"/>
  <c r="J1333" i="14" s="1"/>
  <c r="N1334" i="14"/>
  <c r="K1148" i="13" l="1"/>
  <c r="L1148" i="13" s="1"/>
  <c r="I1149" i="13" s="1"/>
  <c r="K1171" i="14"/>
  <c r="L1171" i="14" s="1"/>
  <c r="I1172" i="14" s="1"/>
  <c r="J1334" i="14" a="1"/>
  <c r="J1334" i="14" s="1"/>
  <c r="N1335" i="14"/>
  <c r="J1335" i="13" a="1"/>
  <c r="J1335" i="13" s="1"/>
  <c r="N1336" i="13"/>
  <c r="M1338" i="13"/>
  <c r="M1339" i="14"/>
  <c r="K1149" i="13" l="1"/>
  <c r="L1149" i="13" s="1"/>
  <c r="I1150" i="13" s="1"/>
  <c r="K1172" i="14"/>
  <c r="L1172" i="14" s="1"/>
  <c r="I1173" i="14" s="1"/>
  <c r="J1336" i="13" a="1"/>
  <c r="J1336" i="13" s="1"/>
  <c r="N1337" i="13"/>
  <c r="J1335" i="14" a="1"/>
  <c r="J1335" i="14" s="1"/>
  <c r="N1336" i="14"/>
  <c r="M1340" i="14"/>
  <c r="M1339" i="13"/>
  <c r="K1150" i="13" l="1"/>
  <c r="L1150" i="13" s="1"/>
  <c r="I1151" i="13" s="1"/>
  <c r="K1173" i="14"/>
  <c r="L1173" i="14" s="1"/>
  <c r="I1174" i="14" s="1"/>
  <c r="N1337" i="14"/>
  <c r="J1336" i="14" a="1"/>
  <c r="J1336" i="14" s="1"/>
  <c r="N1338" i="13"/>
  <c r="J1337" i="13" a="1"/>
  <c r="J1337" i="13" s="1"/>
  <c r="M1340" i="13"/>
  <c r="M1341" i="14"/>
  <c r="K1151" i="13" l="1"/>
  <c r="L1151" i="13" s="1"/>
  <c r="I1152" i="13" s="1"/>
  <c r="K1174" i="14"/>
  <c r="L1174" i="14" s="1"/>
  <c r="I1175" i="14" s="1"/>
  <c r="M1342" i="14"/>
  <c r="J1338" i="13" a="1"/>
  <c r="J1338" i="13" s="1"/>
  <c r="N1339" i="13"/>
  <c r="M1341" i="13"/>
  <c r="J1337" i="14" a="1"/>
  <c r="J1337" i="14" s="1"/>
  <c r="N1338" i="14"/>
  <c r="K1152" i="13" l="1"/>
  <c r="L1152" i="13" s="1"/>
  <c r="I1153" i="13" s="1"/>
  <c r="K1175" i="14"/>
  <c r="L1175" i="14" s="1"/>
  <c r="I1176" i="14" s="1"/>
  <c r="J1339" i="13" a="1"/>
  <c r="J1339" i="13" s="1"/>
  <c r="N1340" i="13"/>
  <c r="J1338" i="14" a="1"/>
  <c r="J1338" i="14" s="1"/>
  <c r="N1339" i="14"/>
  <c r="M1342" i="13"/>
  <c r="M1343" i="14"/>
  <c r="K1153" i="13" l="1"/>
  <c r="L1153" i="13" s="1"/>
  <c r="I1154" i="13" s="1"/>
  <c r="K1176" i="14"/>
  <c r="L1176" i="14" s="1"/>
  <c r="I1177" i="14" s="1"/>
  <c r="M1344" i="14"/>
  <c r="J1340" i="13" a="1"/>
  <c r="J1340" i="13" s="1"/>
  <c r="N1341" i="13"/>
  <c r="J1339" i="14" a="1"/>
  <c r="J1339" i="14" s="1"/>
  <c r="N1340" i="14"/>
  <c r="M1343" i="13"/>
  <c r="K1154" i="13" l="1"/>
  <c r="L1154" i="13" s="1"/>
  <c r="I1155" i="13" s="1"/>
  <c r="K1177" i="14"/>
  <c r="L1177" i="14" s="1"/>
  <c r="I1178" i="14" s="1"/>
  <c r="N1342" i="13"/>
  <c r="J1341" i="13" a="1"/>
  <c r="J1341" i="13" s="1"/>
  <c r="M1344" i="13"/>
  <c r="N1341" i="14"/>
  <c r="J1340" i="14" a="1"/>
  <c r="J1340" i="14" s="1"/>
  <c r="M1345" i="14"/>
  <c r="K1155" i="13" l="1"/>
  <c r="L1155" i="13" s="1"/>
  <c r="I1156" i="13" s="1"/>
  <c r="K1178" i="14"/>
  <c r="L1178" i="14" s="1"/>
  <c r="I1179" i="14" s="1"/>
  <c r="M1345" i="13"/>
  <c r="M1346" i="14"/>
  <c r="J1341" i="14" a="1"/>
  <c r="J1341" i="14" s="1"/>
  <c r="N1342" i="14"/>
  <c r="J1342" i="13" a="1"/>
  <c r="J1342" i="13" s="1"/>
  <c r="N1343" i="13"/>
  <c r="K1156" i="13" l="1"/>
  <c r="L1156" i="13" s="1"/>
  <c r="I1157" i="13" s="1"/>
  <c r="K1179" i="14"/>
  <c r="L1179" i="14" s="1"/>
  <c r="I1180" i="14" s="1"/>
  <c r="J1343" i="13" a="1"/>
  <c r="J1343" i="13" s="1"/>
  <c r="N1344" i="13"/>
  <c r="M1347" i="14"/>
  <c r="J1342" i="14" a="1"/>
  <c r="J1342" i="14" s="1"/>
  <c r="N1343" i="14"/>
  <c r="M1346" i="13"/>
  <c r="K1157" i="13" l="1"/>
  <c r="L1157" i="13" s="1"/>
  <c r="I1158" i="13" s="1"/>
  <c r="K1180" i="14"/>
  <c r="L1180" i="14" s="1"/>
  <c r="I1181" i="14" s="1"/>
  <c r="M1348" i="14"/>
  <c r="M1347" i="13"/>
  <c r="J1343" i="14" a="1"/>
  <c r="J1343" i="14" s="1"/>
  <c r="N1344" i="14"/>
  <c r="J1344" i="13" a="1"/>
  <c r="J1344" i="13" s="1"/>
  <c r="N1345" i="13"/>
  <c r="K1158" i="13" l="1"/>
  <c r="L1158" i="13" s="1"/>
  <c r="I1159" i="13" s="1"/>
  <c r="K1181" i="14"/>
  <c r="L1181" i="14" s="1"/>
  <c r="I1182" i="14" s="1"/>
  <c r="M1348" i="13"/>
  <c r="N1345" i="14"/>
  <c r="J1344" i="14" a="1"/>
  <c r="J1344" i="14" s="1"/>
  <c r="N1346" i="13"/>
  <c r="J1345" i="13" a="1"/>
  <c r="J1345" i="13" s="1"/>
  <c r="M1349" i="14"/>
  <c r="K1159" i="13" l="1"/>
  <c r="L1159" i="13" s="1"/>
  <c r="I1160" i="13" s="1"/>
  <c r="K1182" i="14"/>
  <c r="L1182" i="14" s="1"/>
  <c r="I1183" i="14" s="1"/>
  <c r="M1350" i="14"/>
  <c r="J1345" i="14" a="1"/>
  <c r="J1345" i="14" s="1"/>
  <c r="N1346" i="14"/>
  <c r="M1349" i="13"/>
  <c r="J1346" i="13" a="1"/>
  <c r="J1346" i="13" s="1"/>
  <c r="N1347" i="13"/>
  <c r="K1160" i="13" l="1"/>
  <c r="L1160" i="13" s="1"/>
  <c r="I1161" i="13" s="1"/>
  <c r="K1183" i="14"/>
  <c r="L1183" i="14" s="1"/>
  <c r="I1184" i="14" s="1"/>
  <c r="J1347" i="13" a="1"/>
  <c r="J1347" i="13" s="1"/>
  <c r="N1348" i="13"/>
  <c r="J1346" i="14" a="1"/>
  <c r="J1346" i="14" s="1"/>
  <c r="N1347" i="14"/>
  <c r="M1350" i="13"/>
  <c r="M1351" i="14"/>
  <c r="K1161" i="13" l="1"/>
  <c r="L1161" i="13" s="1"/>
  <c r="I1162" i="13" s="1"/>
  <c r="K1184" i="14"/>
  <c r="L1184" i="14" s="1"/>
  <c r="I1185" i="14" s="1"/>
  <c r="J1347" i="14" a="1"/>
  <c r="J1347" i="14" s="1"/>
  <c r="N1348" i="14"/>
  <c r="J1348" i="13" a="1"/>
  <c r="J1348" i="13" s="1"/>
  <c r="N1349" i="13"/>
  <c r="M1352" i="14"/>
  <c r="M1351" i="13"/>
  <c r="K1162" i="13" l="1"/>
  <c r="L1162" i="13" s="1"/>
  <c r="I1163" i="13" s="1"/>
  <c r="K1185" i="14"/>
  <c r="L1185" i="14" s="1"/>
  <c r="I1186" i="14" s="1"/>
  <c r="N1350" i="13"/>
  <c r="J1349" i="13" a="1"/>
  <c r="J1349" i="13" s="1"/>
  <c r="M1352" i="13"/>
  <c r="N1349" i="14"/>
  <c r="J1348" i="14" a="1"/>
  <c r="J1348" i="14" s="1"/>
  <c r="M1353" i="14"/>
  <c r="K1163" i="13" l="1"/>
  <c r="L1163" i="13" s="1"/>
  <c r="I1164" i="13" s="1"/>
  <c r="K1186" i="14"/>
  <c r="L1186" i="14" s="1"/>
  <c r="I1187" i="14" s="1"/>
  <c r="M1354" i="14"/>
  <c r="M1353" i="13"/>
  <c r="J1349" i="14" a="1"/>
  <c r="J1349" i="14" s="1"/>
  <c r="N1350" i="14"/>
  <c r="J1350" i="13" a="1"/>
  <c r="J1350" i="13" s="1"/>
  <c r="N1351" i="13"/>
  <c r="K1164" i="13" l="1"/>
  <c r="L1164" i="13" s="1"/>
  <c r="I1165" i="13" s="1"/>
  <c r="K1187" i="14"/>
  <c r="L1187" i="14" s="1"/>
  <c r="I1188" i="14" s="1"/>
  <c r="J1351" i="13" a="1"/>
  <c r="J1351" i="13" s="1"/>
  <c r="N1352" i="13"/>
  <c r="M1354" i="13"/>
  <c r="J1350" i="14" a="1"/>
  <c r="J1350" i="14" s="1"/>
  <c r="N1351" i="14"/>
  <c r="M1355" i="14"/>
  <c r="K1165" i="13" l="1"/>
  <c r="L1165" i="13" s="1"/>
  <c r="I1166" i="13" s="1"/>
  <c r="K1188" i="14"/>
  <c r="L1188" i="14" s="1"/>
  <c r="I1189" i="14" s="1"/>
  <c r="M1356" i="14"/>
  <c r="M1355" i="13"/>
  <c r="J1351" i="14" a="1"/>
  <c r="J1351" i="14" s="1"/>
  <c r="N1352" i="14"/>
  <c r="J1352" i="13" a="1"/>
  <c r="J1352" i="13" s="1"/>
  <c r="N1353" i="13"/>
  <c r="K1166" i="13" l="1"/>
  <c r="L1166" i="13" s="1"/>
  <c r="I1167" i="13" s="1"/>
  <c r="K1189" i="14"/>
  <c r="L1189" i="14" s="1"/>
  <c r="I1190" i="14" s="1"/>
  <c r="N1354" i="13"/>
  <c r="J1353" i="13" a="1"/>
  <c r="J1353" i="13" s="1"/>
  <c r="M1356" i="13"/>
  <c r="N1353" i="14"/>
  <c r="J1352" i="14" a="1"/>
  <c r="J1352" i="14" s="1"/>
  <c r="M1357" i="14"/>
  <c r="K1167" i="13" l="1"/>
  <c r="L1167" i="13" s="1"/>
  <c r="I1168" i="13" s="1"/>
  <c r="K1190" i="14"/>
  <c r="L1190" i="14" s="1"/>
  <c r="I1191" i="14" s="1"/>
  <c r="J1353" i="14" a="1"/>
  <c r="J1353" i="14" s="1"/>
  <c r="N1354" i="14"/>
  <c r="J1354" i="13" a="1"/>
  <c r="J1354" i="13" s="1"/>
  <c r="N1355" i="13"/>
  <c r="M1357" i="13"/>
  <c r="M1358" i="14"/>
  <c r="K1168" i="13" l="1"/>
  <c r="L1168" i="13" s="1"/>
  <c r="I1169" i="13" s="1"/>
  <c r="K1191" i="14"/>
  <c r="L1191" i="14" s="1"/>
  <c r="I1192" i="14" s="1"/>
  <c r="J1355" i="13" a="1"/>
  <c r="J1355" i="13" s="1"/>
  <c r="N1356" i="13"/>
  <c r="M1359" i="14"/>
  <c r="J1354" i="14" a="1"/>
  <c r="J1354" i="14" s="1"/>
  <c r="N1355" i="14"/>
  <c r="M1358" i="13"/>
  <c r="K1169" i="13" l="1"/>
  <c r="L1169" i="13" s="1"/>
  <c r="I1170" i="13" s="1"/>
  <c r="K1192" i="14"/>
  <c r="L1192" i="14" s="1"/>
  <c r="I1193" i="14" s="1"/>
  <c r="M1360" i="14"/>
  <c r="M1359" i="13"/>
  <c r="J1355" i="14" a="1"/>
  <c r="J1355" i="14" s="1"/>
  <c r="N1356" i="14"/>
  <c r="J1356" i="13" a="1"/>
  <c r="J1356" i="13" s="1"/>
  <c r="N1357" i="13"/>
  <c r="K1170" i="13" l="1"/>
  <c r="L1170" i="13" s="1"/>
  <c r="I1171" i="13" s="1"/>
  <c r="K1193" i="14"/>
  <c r="L1193" i="14" s="1"/>
  <c r="I1194" i="14" s="1"/>
  <c r="N1358" i="13"/>
  <c r="J1357" i="13" a="1"/>
  <c r="J1357" i="13" s="1"/>
  <c r="M1360" i="13"/>
  <c r="N1357" i="14"/>
  <c r="J1356" i="14" a="1"/>
  <c r="J1356" i="14" s="1"/>
  <c r="M1361" i="14"/>
  <c r="K1171" i="13" l="1"/>
  <c r="L1171" i="13" s="1"/>
  <c r="I1172" i="13" s="1"/>
  <c r="K1194" i="14"/>
  <c r="L1194" i="14" s="1"/>
  <c r="I1195" i="14" s="1"/>
  <c r="M1361" i="13"/>
  <c r="M1362" i="14"/>
  <c r="J1357" i="14" a="1"/>
  <c r="J1357" i="14" s="1"/>
  <c r="N1358" i="14"/>
  <c r="J1358" i="13" a="1"/>
  <c r="J1358" i="13" s="1"/>
  <c r="N1359" i="13"/>
  <c r="K1172" i="13" l="1"/>
  <c r="L1172" i="13" s="1"/>
  <c r="I1173" i="13" s="1"/>
  <c r="K1195" i="14"/>
  <c r="L1195" i="14" s="1"/>
  <c r="I1196" i="14" s="1"/>
  <c r="J1359" i="13" a="1"/>
  <c r="J1359" i="13" s="1"/>
  <c r="N1360" i="13"/>
  <c r="J1358" i="14" a="1"/>
  <c r="J1358" i="14" s="1"/>
  <c r="N1359" i="14"/>
  <c r="M1363" i="14"/>
  <c r="M1362" i="13"/>
  <c r="K1173" i="13" l="1"/>
  <c r="L1173" i="13" s="1"/>
  <c r="I1174" i="13" s="1"/>
  <c r="K1196" i="14"/>
  <c r="L1196" i="14" s="1"/>
  <c r="I1197" i="14" s="1"/>
  <c r="J1359" i="14" a="1"/>
  <c r="J1359" i="14" s="1"/>
  <c r="N1360" i="14"/>
  <c r="M1363" i="13"/>
  <c r="M1364" i="14"/>
  <c r="J1360" i="13" a="1"/>
  <c r="J1360" i="13" s="1"/>
  <c r="N1361" i="13"/>
  <c r="K1174" i="13" l="1"/>
  <c r="L1174" i="13" s="1"/>
  <c r="I1175" i="13" s="1"/>
  <c r="K1197" i="14"/>
  <c r="L1197" i="14" s="1"/>
  <c r="I1198" i="14" s="1"/>
  <c r="N1362" i="13"/>
  <c r="J1361" i="13" a="1"/>
  <c r="J1361" i="13" s="1"/>
  <c r="M1364" i="13"/>
  <c r="N1361" i="14"/>
  <c r="J1360" i="14" a="1"/>
  <c r="J1360" i="14" s="1"/>
  <c r="M1365" i="14"/>
  <c r="K1175" i="13" l="1"/>
  <c r="L1175" i="13" s="1"/>
  <c r="I1176" i="13" s="1"/>
  <c r="M1365" i="13"/>
  <c r="M1366" i="14"/>
  <c r="J1361" i="14" a="1"/>
  <c r="J1361" i="14" s="1"/>
  <c r="N1362" i="14"/>
  <c r="J1362" i="13" a="1"/>
  <c r="J1362" i="13" s="1"/>
  <c r="N1363" i="13"/>
  <c r="K1198" i="14"/>
  <c r="L1198" i="14" s="1"/>
  <c r="I1199" i="14" s="1"/>
  <c r="K1176" i="13" l="1"/>
  <c r="L1176" i="13" s="1"/>
  <c r="I1177" i="13" s="1"/>
  <c r="K1199" i="14"/>
  <c r="L1199" i="14" s="1"/>
  <c r="I1200" i="14" s="1"/>
  <c r="M1366" i="13"/>
  <c r="J1362" i="14" a="1"/>
  <c r="J1362" i="14" s="1"/>
  <c r="N1363" i="14"/>
  <c r="J1363" i="13" a="1"/>
  <c r="J1363" i="13" s="1"/>
  <c r="N1364" i="13"/>
  <c r="M1367" i="14"/>
  <c r="K1177" i="13" l="1"/>
  <c r="L1177" i="13" s="1"/>
  <c r="I1178" i="13" s="1"/>
  <c r="K1200" i="14"/>
  <c r="L1200" i="14" s="1"/>
  <c r="I1201" i="14" s="1"/>
  <c r="M1368" i="14"/>
  <c r="J1363" i="14" a="1"/>
  <c r="J1363" i="14" s="1"/>
  <c r="N1364" i="14"/>
  <c r="J1364" i="13" a="1"/>
  <c r="J1364" i="13" s="1"/>
  <c r="N1365" i="13"/>
  <c r="M1367" i="13"/>
  <c r="K1178" i="13" l="1"/>
  <c r="L1178" i="13" s="1"/>
  <c r="I1179" i="13" s="1"/>
  <c r="K1201" i="14"/>
  <c r="L1201" i="14" s="1"/>
  <c r="I1202" i="14" s="1"/>
  <c r="N1365" i="14"/>
  <c r="J1364" i="14" a="1"/>
  <c r="J1364" i="14" s="1"/>
  <c r="M1368" i="13"/>
  <c r="N1366" i="13"/>
  <c r="J1365" i="13" a="1"/>
  <c r="J1365" i="13" s="1"/>
  <c r="M1369" i="14"/>
  <c r="K1179" i="13" l="1"/>
  <c r="L1179" i="13" s="1"/>
  <c r="I1180" i="13" s="1"/>
  <c r="K1202" i="14"/>
  <c r="L1202" i="14" s="1"/>
  <c r="I1203" i="14" s="1"/>
  <c r="M1369" i="13"/>
  <c r="M1370" i="14"/>
  <c r="J1366" i="13" a="1"/>
  <c r="J1366" i="13" s="1"/>
  <c r="N1367" i="13"/>
  <c r="J1365" i="14" a="1"/>
  <c r="J1365" i="14" s="1"/>
  <c r="N1366" i="14"/>
  <c r="K1180" i="13" l="1"/>
  <c r="L1180" i="13" s="1"/>
  <c r="I1181" i="13" s="1"/>
  <c r="K1203" i="14"/>
  <c r="L1203" i="14" s="1"/>
  <c r="I1204" i="14" s="1"/>
  <c r="M1370" i="13"/>
  <c r="M1371" i="14"/>
  <c r="J1366" i="14" a="1"/>
  <c r="J1366" i="14" s="1"/>
  <c r="N1367" i="14"/>
  <c r="J1367" i="13" a="1"/>
  <c r="J1367" i="13" s="1"/>
  <c r="N1368" i="13"/>
  <c r="K1181" i="13" l="1"/>
  <c r="L1181" i="13" s="1"/>
  <c r="I1182" i="13" s="1"/>
  <c r="J1368" i="13" a="1"/>
  <c r="J1368" i="13" s="1"/>
  <c r="N1369" i="13"/>
  <c r="M1372" i="14"/>
  <c r="M1371" i="13"/>
  <c r="K1204" i="14"/>
  <c r="L1204" i="14" s="1"/>
  <c r="I1205" i="14" s="1"/>
  <c r="J1367" i="14" a="1"/>
  <c r="J1367" i="14" s="1"/>
  <c r="N1368" i="14"/>
  <c r="K1182" i="13" l="1"/>
  <c r="L1182" i="13" s="1"/>
  <c r="I1183" i="13" s="1"/>
  <c r="K1205" i="14"/>
  <c r="L1205" i="14" s="1"/>
  <c r="I1206" i="14" s="1"/>
  <c r="N1370" i="13"/>
  <c r="J1369" i="13" a="1"/>
  <c r="J1369" i="13" s="1"/>
  <c r="N1369" i="14"/>
  <c r="J1368" i="14" a="1"/>
  <c r="J1368" i="14" s="1"/>
  <c r="M1373" i="14"/>
  <c r="M1372" i="13"/>
  <c r="K1183" i="13" l="1"/>
  <c r="L1183" i="13" s="1"/>
  <c r="I1184" i="13" s="1"/>
  <c r="K1206" i="14"/>
  <c r="L1206" i="14" s="1"/>
  <c r="I1207" i="14" s="1"/>
  <c r="M1373" i="13"/>
  <c r="J1369" i="14" a="1"/>
  <c r="J1369" i="14" s="1"/>
  <c r="N1370" i="14"/>
  <c r="M1374" i="14"/>
  <c r="J1370" i="13" a="1"/>
  <c r="J1370" i="13" s="1"/>
  <c r="N1371" i="13"/>
  <c r="K1184" i="13" l="1"/>
  <c r="L1184" i="13" s="1"/>
  <c r="I1185" i="13" s="1"/>
  <c r="K1207" i="14"/>
  <c r="L1207" i="14" s="1"/>
  <c r="I1208" i="14" s="1"/>
  <c r="J1371" i="13" a="1"/>
  <c r="J1371" i="13" s="1"/>
  <c r="N1372" i="13"/>
  <c r="J1370" i="14" a="1"/>
  <c r="J1370" i="14" s="1"/>
  <c r="N1371" i="14"/>
  <c r="M1375" i="14"/>
  <c r="M1374" i="13"/>
  <c r="K1185" i="13" l="1"/>
  <c r="L1185" i="13" s="1"/>
  <c r="I1186" i="13" s="1"/>
  <c r="K1208" i="14"/>
  <c r="L1208" i="14" s="1"/>
  <c r="I1209" i="14" s="1"/>
  <c r="M1375" i="13"/>
  <c r="M1376" i="14"/>
  <c r="J1372" i="13" a="1"/>
  <c r="J1372" i="13" s="1"/>
  <c r="N1373" i="13"/>
  <c r="J1371" i="14" a="1"/>
  <c r="J1371" i="14" s="1"/>
  <c r="N1372" i="14"/>
  <c r="K1186" i="13" l="1"/>
  <c r="L1186" i="13" s="1"/>
  <c r="I1187" i="13" s="1"/>
  <c r="K1209" i="14"/>
  <c r="L1209" i="14" s="1"/>
  <c r="I1210" i="14" s="1"/>
  <c r="N1373" i="14"/>
  <c r="J1372" i="14" a="1"/>
  <c r="J1372" i="14" s="1"/>
  <c r="M1377" i="14"/>
  <c r="N1374" i="13"/>
  <c r="J1373" i="13" a="1"/>
  <c r="J1373" i="13" s="1"/>
  <c r="M1376" i="13"/>
  <c r="K1187" i="13" l="1"/>
  <c r="L1187" i="13" s="1"/>
  <c r="I1188" i="13" s="1"/>
  <c r="K1210" i="14"/>
  <c r="L1210" i="14" s="1"/>
  <c r="I1211" i="14" s="1"/>
  <c r="M1377" i="13"/>
  <c r="M1378" i="14"/>
  <c r="J1374" i="13" a="1"/>
  <c r="J1374" i="13" s="1"/>
  <c r="N1375" i="13"/>
  <c r="J1373" i="14" a="1"/>
  <c r="J1373" i="14" s="1"/>
  <c r="N1374" i="14"/>
  <c r="K1188" i="13" l="1"/>
  <c r="L1188" i="13" s="1"/>
  <c r="I1189" i="13" s="1"/>
  <c r="K1211" i="14"/>
  <c r="L1211" i="14" s="1"/>
  <c r="I1212" i="14" s="1"/>
  <c r="J1374" i="14" a="1"/>
  <c r="J1374" i="14" s="1"/>
  <c r="N1375" i="14"/>
  <c r="M1379" i="14"/>
  <c r="J1375" i="13" a="1"/>
  <c r="J1375" i="13" s="1"/>
  <c r="N1376" i="13"/>
  <c r="M1378" i="13"/>
  <c r="K1189" i="13" l="1"/>
  <c r="L1189" i="13" s="1"/>
  <c r="I1190" i="13" s="1"/>
  <c r="K1212" i="14"/>
  <c r="L1212" i="14" s="1"/>
  <c r="I1213" i="14" s="1"/>
  <c r="J1375" i="14" a="1"/>
  <c r="J1375" i="14" s="1"/>
  <c r="N1376" i="14"/>
  <c r="M1380" i="14"/>
  <c r="M1379" i="13"/>
  <c r="J1376" i="13" a="1"/>
  <c r="J1376" i="13" s="1"/>
  <c r="N1377" i="13"/>
  <c r="K1190" i="13" l="1"/>
  <c r="L1190" i="13" s="1"/>
  <c r="I1191" i="13" s="1"/>
  <c r="K1213" i="14"/>
  <c r="L1213" i="14" s="1"/>
  <c r="I1214" i="14" s="1"/>
  <c r="N1378" i="13"/>
  <c r="J1377" i="13" a="1"/>
  <c r="J1377" i="13" s="1"/>
  <c r="M1381" i="14"/>
  <c r="N1377" i="14"/>
  <c r="J1376" i="14" a="1"/>
  <c r="J1376" i="14" s="1"/>
  <c r="M1380" i="13"/>
  <c r="K1191" i="13" l="1"/>
  <c r="L1191" i="13" s="1"/>
  <c r="I1192" i="13" s="1"/>
  <c r="K1214" i="14"/>
  <c r="L1214" i="14" s="1"/>
  <c r="I1215" i="14" s="1"/>
  <c r="M1381" i="13"/>
  <c r="M1382" i="14"/>
  <c r="J1377" i="14" a="1"/>
  <c r="J1377" i="14" s="1"/>
  <c r="N1378" i="14"/>
  <c r="J1378" i="13" a="1"/>
  <c r="J1378" i="13" s="1"/>
  <c r="N1379" i="13"/>
  <c r="K1192" i="13" l="1"/>
  <c r="L1192" i="13" s="1"/>
  <c r="I1193" i="13" s="1"/>
  <c r="K1215" i="14"/>
  <c r="L1215" i="14" s="1"/>
  <c r="I1216" i="14" s="1"/>
  <c r="M1383" i="14"/>
  <c r="J1379" i="13" a="1"/>
  <c r="J1379" i="13" s="1"/>
  <c r="N1380" i="13"/>
  <c r="J1378" i="14" a="1"/>
  <c r="J1378" i="14" s="1"/>
  <c r="N1379" i="14"/>
  <c r="M1382" i="13"/>
  <c r="K1193" i="13" l="1"/>
  <c r="L1193" i="13" s="1"/>
  <c r="I1194" i="13" s="1"/>
  <c r="K1216" i="14"/>
  <c r="L1216" i="14" s="1"/>
  <c r="I1217" i="14" s="1"/>
  <c r="J1380" i="13" a="1"/>
  <c r="J1380" i="13" s="1"/>
  <c r="N1381" i="13"/>
  <c r="J1379" i="14" a="1"/>
  <c r="J1379" i="14" s="1"/>
  <c r="N1380" i="14"/>
  <c r="M1384" i="14"/>
  <c r="M1383" i="13"/>
  <c r="K1194" i="13" l="1"/>
  <c r="L1194" i="13" s="1"/>
  <c r="I1195" i="13" s="1"/>
  <c r="K1217" i="14"/>
  <c r="L1217" i="14" s="1"/>
  <c r="I1218" i="14" s="1"/>
  <c r="N1382" i="13"/>
  <c r="J1381" i="13" a="1"/>
  <c r="J1381" i="13" s="1"/>
  <c r="N1381" i="14"/>
  <c r="J1380" i="14" a="1"/>
  <c r="J1380" i="14" s="1"/>
  <c r="M1384" i="13"/>
  <c r="M1385" i="14"/>
  <c r="K1195" i="13" l="1"/>
  <c r="L1195" i="13" s="1"/>
  <c r="I1196" i="13" s="1"/>
  <c r="K1218" i="14"/>
  <c r="L1218" i="14" s="1"/>
  <c r="I1219" i="14" s="1"/>
  <c r="J1381" i="14" a="1"/>
  <c r="J1381" i="14" s="1"/>
  <c r="N1382" i="14"/>
  <c r="M1386" i="14"/>
  <c r="M1385" i="13"/>
  <c r="J1382" i="13" a="1"/>
  <c r="J1382" i="13" s="1"/>
  <c r="N1383" i="13"/>
  <c r="K1196" i="13" l="1"/>
  <c r="L1196" i="13" s="1"/>
  <c r="I1197" i="13" s="1"/>
  <c r="K1219" i="14"/>
  <c r="L1219" i="14" s="1"/>
  <c r="I1220" i="14" s="1"/>
  <c r="J1383" i="13" a="1"/>
  <c r="J1383" i="13" s="1"/>
  <c r="N1384" i="13"/>
  <c r="M1387" i="14"/>
  <c r="M1386" i="13"/>
  <c r="J1382" i="14" a="1"/>
  <c r="J1382" i="14" s="1"/>
  <c r="N1383" i="14"/>
  <c r="K1197" i="13" l="1"/>
  <c r="L1197" i="13" s="1"/>
  <c r="I1198" i="13" s="1"/>
  <c r="K1220" i="14"/>
  <c r="L1220" i="14" s="1"/>
  <c r="I1221" i="14" s="1"/>
  <c r="J1384" i="13" a="1"/>
  <c r="J1384" i="13" s="1"/>
  <c r="N1385" i="13"/>
  <c r="M1387" i="13"/>
  <c r="J1383" i="14" a="1"/>
  <c r="J1383" i="14" s="1"/>
  <c r="N1384" i="14"/>
  <c r="M1388" i="14"/>
  <c r="K1198" i="13" l="1"/>
  <c r="L1198" i="13" s="1"/>
  <c r="I1199" i="13" s="1"/>
  <c r="M1389" i="14"/>
  <c r="M1388" i="13"/>
  <c r="K1221" i="14"/>
  <c r="L1221" i="14" s="1"/>
  <c r="I1222" i="14" s="1"/>
  <c r="N1385" i="14"/>
  <c r="J1384" i="14" a="1"/>
  <c r="J1384" i="14" s="1"/>
  <c r="N1386" i="13"/>
  <c r="J1385" i="13" a="1"/>
  <c r="J1385" i="13" s="1"/>
  <c r="K1199" i="13" l="1"/>
  <c r="L1199" i="13" s="1"/>
  <c r="I1200" i="13" s="1"/>
  <c r="K1222" i="14"/>
  <c r="L1222" i="14" s="1"/>
  <c r="I1223" i="14" s="1"/>
  <c r="J1386" i="13" a="1"/>
  <c r="J1386" i="13" s="1"/>
  <c r="N1387" i="13"/>
  <c r="M1390" i="14"/>
  <c r="M1389" i="13"/>
  <c r="J1385" i="14" a="1"/>
  <c r="J1385" i="14" s="1"/>
  <c r="N1386" i="14"/>
  <c r="K1200" i="13" l="1"/>
  <c r="L1200" i="13" s="1"/>
  <c r="I1201" i="13" s="1"/>
  <c r="K1223" i="14"/>
  <c r="L1223" i="14" s="1"/>
  <c r="I1224" i="14" s="1"/>
  <c r="J1386" i="14" a="1"/>
  <c r="J1386" i="14" s="1"/>
  <c r="N1387" i="14"/>
  <c r="M1391" i="14"/>
  <c r="J1387" i="13" a="1"/>
  <c r="J1387" i="13" s="1"/>
  <c r="N1388" i="13"/>
  <c r="M1390" i="13"/>
  <c r="K1201" i="13" l="1"/>
  <c r="L1201" i="13" s="1"/>
  <c r="I1202" i="13" s="1"/>
  <c r="K1224" i="14"/>
  <c r="L1224" i="14" s="1"/>
  <c r="I1225" i="14" s="1"/>
  <c r="M1392" i="14"/>
  <c r="J1388" i="13" a="1"/>
  <c r="J1388" i="13" s="1"/>
  <c r="N1389" i="13"/>
  <c r="M1391" i="13"/>
  <c r="J1387" i="14" a="1"/>
  <c r="J1387" i="14" s="1"/>
  <c r="N1388" i="14"/>
  <c r="K1202" i="13" l="1"/>
  <c r="L1202" i="13" s="1"/>
  <c r="I1203" i="13" s="1"/>
  <c r="K1225" i="14"/>
  <c r="L1225" i="14" s="1"/>
  <c r="I1226" i="14" s="1"/>
  <c r="N1389" i="14"/>
  <c r="J1388" i="14" a="1"/>
  <c r="J1388" i="14" s="1"/>
  <c r="N1390" i="13"/>
  <c r="J1389" i="13" a="1"/>
  <c r="J1389" i="13" s="1"/>
  <c r="M1392" i="13"/>
  <c r="M1393" i="14"/>
  <c r="K1203" i="13" l="1"/>
  <c r="L1203" i="13" s="1"/>
  <c r="I1204" i="13" s="1"/>
  <c r="K1226" i="14"/>
  <c r="L1226" i="14" s="1"/>
  <c r="I1227" i="14" s="1"/>
  <c r="J1390" i="13" a="1"/>
  <c r="J1390" i="13" s="1"/>
  <c r="N1391" i="13"/>
  <c r="M1394" i="14"/>
  <c r="M1393" i="13"/>
  <c r="J1389" i="14" a="1"/>
  <c r="J1389" i="14" s="1"/>
  <c r="N1390" i="14"/>
  <c r="K1204" i="13" l="1"/>
  <c r="L1204" i="13" s="1"/>
  <c r="I1205" i="13" s="1"/>
  <c r="K1227" i="14"/>
  <c r="L1227" i="14" s="1"/>
  <c r="I1228" i="14" s="1"/>
  <c r="J1390" i="14" a="1"/>
  <c r="J1390" i="14" s="1"/>
  <c r="N1391" i="14"/>
  <c r="M1395" i="14"/>
  <c r="J1391" i="13" a="1"/>
  <c r="J1391" i="13" s="1"/>
  <c r="N1392" i="13"/>
  <c r="M1394" i="13"/>
  <c r="K1205" i="13" l="1"/>
  <c r="L1205" i="13" s="1"/>
  <c r="I1206" i="13" s="1"/>
  <c r="K1228" i="14"/>
  <c r="L1228" i="14" s="1"/>
  <c r="I1229" i="14" s="1"/>
  <c r="J1392" i="13" a="1"/>
  <c r="J1392" i="13" s="1"/>
  <c r="N1393" i="13"/>
  <c r="M1396" i="14"/>
  <c r="M1395" i="13"/>
  <c r="J1391" i="14" a="1"/>
  <c r="J1391" i="14" s="1"/>
  <c r="N1392" i="14"/>
  <c r="K1206" i="13" l="1"/>
  <c r="L1206" i="13" s="1"/>
  <c r="I1207" i="13" s="1"/>
  <c r="K1229" i="14"/>
  <c r="L1229" i="14" s="1"/>
  <c r="I1230" i="14" s="1"/>
  <c r="M1397" i="14"/>
  <c r="N1393" i="14"/>
  <c r="J1392" i="14" a="1"/>
  <c r="J1392" i="14" s="1"/>
  <c r="N1394" i="13"/>
  <c r="J1393" i="13" a="1"/>
  <c r="J1393" i="13" s="1"/>
  <c r="M1396" i="13"/>
  <c r="K1207" i="13" l="1"/>
  <c r="L1207" i="13" s="1"/>
  <c r="I1208" i="13" s="1"/>
  <c r="K1230" i="14"/>
  <c r="L1230" i="14" s="1"/>
  <c r="I1231" i="14" s="1"/>
  <c r="M1397" i="13"/>
  <c r="J1393" i="14" a="1"/>
  <c r="J1393" i="14" s="1"/>
  <c r="N1394" i="14"/>
  <c r="J1394" i="13" a="1"/>
  <c r="J1394" i="13" s="1"/>
  <c r="N1395" i="13"/>
  <c r="M1398" i="14"/>
  <c r="K1208" i="13" l="1"/>
  <c r="L1208" i="13" s="1"/>
  <c r="I1209" i="13" s="1"/>
  <c r="K1231" i="14"/>
  <c r="L1231" i="14" s="1"/>
  <c r="I1232" i="14" s="1"/>
  <c r="J1394" i="14" a="1"/>
  <c r="J1394" i="14" s="1"/>
  <c r="N1395" i="14"/>
  <c r="J1395" i="13" a="1"/>
  <c r="J1395" i="13" s="1"/>
  <c r="N1396" i="13"/>
  <c r="M1399" i="14"/>
  <c r="M1398" i="13"/>
  <c r="K1209" i="13" l="1"/>
  <c r="L1209" i="13" s="1"/>
  <c r="I1210" i="13" s="1"/>
  <c r="K1232" i="14"/>
  <c r="L1232" i="14" s="1"/>
  <c r="I1233" i="14" s="1"/>
  <c r="J1396" i="13" a="1"/>
  <c r="J1396" i="13" s="1"/>
  <c r="N1397" i="13"/>
  <c r="J1395" i="14" a="1"/>
  <c r="J1395" i="14" s="1"/>
  <c r="N1396" i="14"/>
  <c r="M1399" i="13"/>
  <c r="M1400" i="14"/>
  <c r="K1210" i="13" l="1"/>
  <c r="L1210" i="13" s="1"/>
  <c r="I1211" i="13" s="1"/>
  <c r="K1233" i="14"/>
  <c r="L1233" i="14" s="1"/>
  <c r="I1234" i="14" s="1"/>
  <c r="N1397" i="14"/>
  <c r="J1396" i="14" a="1"/>
  <c r="J1396" i="14" s="1"/>
  <c r="N1398" i="13"/>
  <c r="J1397" i="13" a="1"/>
  <c r="J1397" i="13" s="1"/>
  <c r="M1401" i="14"/>
  <c r="M1400" i="13"/>
  <c r="K1211" i="13" l="1"/>
  <c r="L1211" i="13" s="1"/>
  <c r="I1212" i="13" s="1"/>
  <c r="K1234" i="14"/>
  <c r="L1234" i="14" s="1"/>
  <c r="I1235" i="14" s="1"/>
  <c r="J1398" i="13" a="1"/>
  <c r="J1398" i="13" s="1"/>
  <c r="N1399" i="13"/>
  <c r="M1401" i="13"/>
  <c r="M1402" i="14"/>
  <c r="J1397" i="14" a="1"/>
  <c r="J1397" i="14" s="1"/>
  <c r="N1398" i="14"/>
  <c r="K1212" i="13" l="1"/>
  <c r="L1212" i="13" s="1"/>
  <c r="I1213" i="13" s="1"/>
  <c r="K1235" i="14"/>
  <c r="L1235" i="14" s="1"/>
  <c r="I1236" i="14" s="1"/>
  <c r="J1398" i="14" a="1"/>
  <c r="J1398" i="14" s="1"/>
  <c r="N1399" i="14"/>
  <c r="M1402" i="13"/>
  <c r="J1399" i="13" a="1"/>
  <c r="J1399" i="13" s="1"/>
  <c r="N1400" i="13"/>
  <c r="M1403" i="14"/>
  <c r="K1213" i="13" l="1"/>
  <c r="L1213" i="13" s="1"/>
  <c r="I1214" i="13" s="1"/>
  <c r="K1236" i="14"/>
  <c r="L1236" i="14" s="1"/>
  <c r="I1237" i="14" s="1"/>
  <c r="M1403" i="13"/>
  <c r="J1400" i="13" a="1"/>
  <c r="J1400" i="13" s="1"/>
  <c r="N1401" i="13"/>
  <c r="J1399" i="14" a="1"/>
  <c r="J1399" i="14" s="1"/>
  <c r="N1400" i="14"/>
  <c r="M1404" i="14"/>
  <c r="K1214" i="13" l="1"/>
  <c r="L1214" i="13" s="1"/>
  <c r="I1215" i="13" s="1"/>
  <c r="K1237" i="14"/>
  <c r="L1237" i="14" s="1"/>
  <c r="I1238" i="14" s="1"/>
  <c r="N1402" i="13"/>
  <c r="J1401" i="13" a="1"/>
  <c r="J1401" i="13" s="1"/>
  <c r="M1405" i="14"/>
  <c r="N1401" i="14"/>
  <c r="J1400" i="14" a="1"/>
  <c r="J1400" i="14" s="1"/>
  <c r="M1404" i="13"/>
  <c r="K1215" i="13" l="1"/>
  <c r="L1215" i="13" s="1"/>
  <c r="I1216" i="13" s="1"/>
  <c r="K1238" i="14"/>
  <c r="L1238" i="14" s="1"/>
  <c r="I1239" i="14" s="1"/>
  <c r="M1405" i="13"/>
  <c r="M1406" i="14"/>
  <c r="J1401" i="14" a="1"/>
  <c r="J1401" i="14" s="1"/>
  <c r="N1402" i="14"/>
  <c r="J1402" i="13" a="1"/>
  <c r="J1402" i="13" s="1"/>
  <c r="N1403" i="13"/>
  <c r="K1216" i="13" l="1"/>
  <c r="L1216" i="13" s="1"/>
  <c r="I1217" i="13" s="1"/>
  <c r="K1239" i="14"/>
  <c r="L1239" i="14" s="1"/>
  <c r="I1240" i="14" s="1"/>
  <c r="M1407" i="14"/>
  <c r="J1402" i="14" a="1"/>
  <c r="J1402" i="14" s="1"/>
  <c r="N1403" i="14"/>
  <c r="J1403" i="13" a="1"/>
  <c r="J1403" i="13" s="1"/>
  <c r="N1404" i="13"/>
  <c r="M1406" i="13"/>
  <c r="K1217" i="13" l="1"/>
  <c r="L1217" i="13" s="1"/>
  <c r="I1218" i="13" s="1"/>
  <c r="K1240" i="14"/>
  <c r="L1240" i="14" s="1"/>
  <c r="I1241" i="14" s="1"/>
  <c r="J1403" i="14" a="1"/>
  <c r="J1403" i="14" s="1"/>
  <c r="N1404" i="14"/>
  <c r="J1404" i="13" a="1"/>
  <c r="J1404" i="13" s="1"/>
  <c r="N1405" i="13"/>
  <c r="M1408" i="14"/>
  <c r="M1407" i="13"/>
  <c r="K1218" i="13" l="1"/>
  <c r="L1218" i="13" s="1"/>
  <c r="I1219" i="13" s="1"/>
  <c r="K1241" i="14"/>
  <c r="L1241" i="14" s="1"/>
  <c r="I1242" i="14" s="1"/>
  <c r="N1406" i="13"/>
  <c r="J1405" i="13" a="1"/>
  <c r="J1405" i="13" s="1"/>
  <c r="N1405" i="14"/>
  <c r="J1404" i="14" a="1"/>
  <c r="J1404" i="14" s="1"/>
  <c r="M1408" i="13"/>
  <c r="M1409" i="14"/>
  <c r="K1219" i="13" l="1"/>
  <c r="L1219" i="13" s="1"/>
  <c r="I1220" i="13" s="1"/>
  <c r="K1242" i="14"/>
  <c r="L1242" i="14" s="1"/>
  <c r="I1243" i="14" s="1"/>
  <c r="J1405" i="14" a="1"/>
  <c r="J1405" i="14" s="1"/>
  <c r="N1406" i="14"/>
  <c r="M1410" i="14"/>
  <c r="M1409" i="13"/>
  <c r="J1406" i="13" a="1"/>
  <c r="J1406" i="13" s="1"/>
  <c r="N1407" i="13"/>
  <c r="K1220" i="13" l="1"/>
  <c r="L1220" i="13" s="1"/>
  <c r="I1221" i="13" s="1"/>
  <c r="K1243" i="14"/>
  <c r="L1243" i="14" s="1"/>
  <c r="I1244" i="14" s="1"/>
  <c r="M1411" i="14"/>
  <c r="J1407" i="13" a="1"/>
  <c r="J1407" i="13" s="1"/>
  <c r="N1408" i="13"/>
  <c r="J1406" i="14" a="1"/>
  <c r="J1406" i="14" s="1"/>
  <c r="N1407" i="14"/>
  <c r="M1410" i="13"/>
  <c r="K1221" i="13" l="1"/>
  <c r="L1221" i="13" s="1"/>
  <c r="I1222" i="13" s="1"/>
  <c r="K1244" i="14"/>
  <c r="L1244" i="14" s="1"/>
  <c r="I1245" i="14" s="1"/>
  <c r="J1408" i="13" a="1"/>
  <c r="J1408" i="13" s="1"/>
  <c r="N1409" i="13"/>
  <c r="J1407" i="14" a="1"/>
  <c r="J1407" i="14" s="1"/>
  <c r="N1408" i="14"/>
  <c r="M1412" i="14"/>
  <c r="M1411" i="13"/>
  <c r="K1222" i="13" l="1"/>
  <c r="L1222" i="13" s="1"/>
  <c r="I1223" i="13" s="1"/>
  <c r="K1245" i="14"/>
  <c r="L1245" i="14" s="1"/>
  <c r="I1246" i="14" s="1"/>
  <c r="N1410" i="13"/>
  <c r="J1409" i="13" a="1"/>
  <c r="J1409" i="13" s="1"/>
  <c r="N1409" i="14"/>
  <c r="J1408" i="14" a="1"/>
  <c r="J1408" i="14" s="1"/>
  <c r="M1412" i="13"/>
  <c r="M1413" i="14"/>
  <c r="K1223" i="13" l="1"/>
  <c r="L1223" i="13" s="1"/>
  <c r="I1224" i="13" s="1"/>
  <c r="K1246" i="14"/>
  <c r="L1246" i="14" s="1"/>
  <c r="I1247" i="14" s="1"/>
  <c r="J1409" i="14" a="1"/>
  <c r="J1409" i="14" s="1"/>
  <c r="N1410" i="14"/>
  <c r="M1414" i="14"/>
  <c r="M1413" i="13"/>
  <c r="J1410" i="13" a="1"/>
  <c r="J1410" i="13" s="1"/>
  <c r="N1411" i="13"/>
  <c r="K1224" i="13" l="1"/>
  <c r="L1224" i="13" s="1"/>
  <c r="I1225" i="13" s="1"/>
  <c r="K1247" i="14"/>
  <c r="L1247" i="14" s="1"/>
  <c r="I1248" i="14" s="1"/>
  <c r="M1415" i="14"/>
  <c r="J1411" i="13" a="1"/>
  <c r="J1411" i="13" s="1"/>
  <c r="N1412" i="13"/>
  <c r="J1410" i="14" a="1"/>
  <c r="J1410" i="14" s="1"/>
  <c r="N1411" i="14"/>
  <c r="M1414" i="13"/>
  <c r="K1225" i="13" l="1"/>
  <c r="L1225" i="13" s="1"/>
  <c r="I1226" i="13" s="1"/>
  <c r="K1248" i="14"/>
  <c r="L1248" i="14" s="1"/>
  <c r="I1249" i="14" s="1"/>
  <c r="J1412" i="13" a="1"/>
  <c r="J1412" i="13" s="1"/>
  <c r="N1413" i="13"/>
  <c r="J1411" i="14" a="1"/>
  <c r="J1411" i="14" s="1"/>
  <c r="N1412" i="14"/>
  <c r="M1416" i="14"/>
  <c r="M1415" i="13"/>
  <c r="K1226" i="13" l="1"/>
  <c r="L1226" i="13" s="1"/>
  <c r="I1227" i="13" s="1"/>
  <c r="K1249" i="14"/>
  <c r="L1249" i="14" s="1"/>
  <c r="I1250" i="14" s="1"/>
  <c r="N1413" i="14"/>
  <c r="J1412" i="14" a="1"/>
  <c r="J1412" i="14" s="1"/>
  <c r="N1414" i="13"/>
  <c r="J1413" i="13" a="1"/>
  <c r="J1413" i="13" s="1"/>
  <c r="M1416" i="13"/>
  <c r="M1417" i="14"/>
  <c r="K1227" i="13" l="1"/>
  <c r="L1227" i="13" s="1"/>
  <c r="I1228" i="13" s="1"/>
  <c r="K1250" i="14"/>
  <c r="L1250" i="14" s="1"/>
  <c r="I1251" i="14" s="1"/>
  <c r="J1414" i="13" a="1"/>
  <c r="J1414" i="13" s="1"/>
  <c r="N1415" i="13"/>
  <c r="M1418" i="14"/>
  <c r="M1417" i="13"/>
  <c r="J1413" i="14" a="1"/>
  <c r="J1413" i="14" s="1"/>
  <c r="N1414" i="14"/>
  <c r="K1228" i="13" l="1"/>
  <c r="L1228" i="13" s="1"/>
  <c r="I1229" i="13" s="1"/>
  <c r="K1251" i="14"/>
  <c r="L1251" i="14" s="1"/>
  <c r="I1252" i="14" s="1"/>
  <c r="J1414" i="14" a="1"/>
  <c r="J1414" i="14" s="1"/>
  <c r="N1415" i="14"/>
  <c r="M1419" i="14"/>
  <c r="J1415" i="13" a="1"/>
  <c r="J1415" i="13" s="1"/>
  <c r="N1416" i="13"/>
  <c r="M1418" i="13"/>
  <c r="K1229" i="13" l="1"/>
  <c r="L1229" i="13" s="1"/>
  <c r="I1230" i="13" s="1"/>
  <c r="K1252" i="14"/>
  <c r="L1252" i="14" s="1"/>
  <c r="I1253" i="14" s="1"/>
  <c r="J1416" i="13" a="1"/>
  <c r="J1416" i="13" s="1"/>
  <c r="N1417" i="13"/>
  <c r="J1415" i="14" a="1"/>
  <c r="J1415" i="14" s="1"/>
  <c r="N1416" i="14"/>
  <c r="M1420" i="14"/>
  <c r="M1419" i="13"/>
  <c r="K1230" i="13" l="1"/>
  <c r="L1230" i="13" s="1"/>
  <c r="I1231" i="13" s="1"/>
  <c r="K1253" i="14"/>
  <c r="L1253" i="14" s="1"/>
  <c r="I1254" i="14" s="1"/>
  <c r="N1418" i="13"/>
  <c r="J1417" i="13" a="1"/>
  <c r="J1417" i="13" s="1"/>
  <c r="N1417" i="14"/>
  <c r="J1416" i="14" a="1"/>
  <c r="J1416" i="14" s="1"/>
  <c r="M1420" i="13"/>
  <c r="M1421" i="14"/>
  <c r="K1231" i="13" l="1"/>
  <c r="L1231" i="13" s="1"/>
  <c r="I1232" i="13" s="1"/>
  <c r="K1254" i="14"/>
  <c r="L1254" i="14" s="1"/>
  <c r="I1255" i="14" s="1"/>
  <c r="M1422" i="14"/>
  <c r="J1417" i="14" a="1"/>
  <c r="J1417" i="14" s="1"/>
  <c r="N1418" i="14"/>
  <c r="M1421" i="13"/>
  <c r="J1418" i="13" a="1"/>
  <c r="J1418" i="13" s="1"/>
  <c r="N1419" i="13"/>
  <c r="K1232" i="13" l="1"/>
  <c r="L1232" i="13" s="1"/>
  <c r="I1233" i="13" s="1"/>
  <c r="K1255" i="14"/>
  <c r="L1255" i="14" s="1"/>
  <c r="I1256" i="14" s="1"/>
  <c r="J1418" i="14" a="1"/>
  <c r="J1418" i="14" s="1"/>
  <c r="N1419" i="14"/>
  <c r="J1419" i="13" a="1"/>
  <c r="J1419" i="13" s="1"/>
  <c r="N1420" i="13"/>
  <c r="M1422" i="13"/>
  <c r="M1423" i="14"/>
  <c r="K1233" i="13" l="1"/>
  <c r="L1233" i="13" s="1"/>
  <c r="I1234" i="13" s="1"/>
  <c r="K1256" i="14"/>
  <c r="L1256" i="14" s="1"/>
  <c r="I1257" i="14" s="1"/>
  <c r="J1420" i="13" a="1"/>
  <c r="J1420" i="13" s="1"/>
  <c r="N1421" i="13"/>
  <c r="J1419" i="14" a="1"/>
  <c r="J1419" i="14" s="1"/>
  <c r="N1420" i="14"/>
  <c r="M1424" i="14"/>
  <c r="M1423" i="13"/>
  <c r="K1234" i="13" l="1"/>
  <c r="L1234" i="13" s="1"/>
  <c r="I1235" i="13" s="1"/>
  <c r="K1257" i="14"/>
  <c r="L1257" i="14" s="1"/>
  <c r="I1258" i="14" s="1"/>
  <c r="M1424" i="13"/>
  <c r="N1422" i="13"/>
  <c r="J1421" i="13" a="1"/>
  <c r="J1421" i="13" s="1"/>
  <c r="N1421" i="14"/>
  <c r="J1420" i="14" a="1"/>
  <c r="J1420" i="14" s="1"/>
  <c r="M1425" i="14"/>
  <c r="K1235" i="13" l="1"/>
  <c r="L1235" i="13" s="1"/>
  <c r="I1236" i="13" s="1"/>
  <c r="K1258" i="14"/>
  <c r="L1258" i="14" s="1"/>
  <c r="I1259" i="14" s="1"/>
  <c r="M1426" i="14"/>
  <c r="M1425" i="13"/>
  <c r="J1422" i="13" a="1"/>
  <c r="J1422" i="13" s="1"/>
  <c r="N1423" i="13"/>
  <c r="J1421" i="14" a="1"/>
  <c r="J1421" i="14" s="1"/>
  <c r="N1422" i="14"/>
  <c r="K1236" i="13" l="1"/>
  <c r="L1236" i="13" s="1"/>
  <c r="I1237" i="13" s="1"/>
  <c r="K1259" i="14"/>
  <c r="L1259" i="14" s="1"/>
  <c r="I1260" i="14" s="1"/>
  <c r="J1423" i="13" a="1"/>
  <c r="J1423" i="13" s="1"/>
  <c r="N1424" i="13"/>
  <c r="J1422" i="14" a="1"/>
  <c r="J1422" i="14" s="1"/>
  <c r="N1423" i="14"/>
  <c r="M1426" i="13"/>
  <c r="M1427" i="14"/>
  <c r="K1237" i="13" l="1"/>
  <c r="L1237" i="13" s="1"/>
  <c r="I1238" i="13" s="1"/>
  <c r="K1260" i="14"/>
  <c r="L1260" i="14" s="1"/>
  <c r="I1261" i="14" s="1"/>
  <c r="J1423" i="14" a="1"/>
  <c r="J1423" i="14" s="1"/>
  <c r="N1424" i="14"/>
  <c r="J1424" i="13" a="1"/>
  <c r="J1424" i="13" s="1"/>
  <c r="N1425" i="13"/>
  <c r="M1428" i="14"/>
  <c r="M1427" i="13"/>
  <c r="K1238" i="13" l="1"/>
  <c r="L1238" i="13" s="1"/>
  <c r="I1239" i="13" s="1"/>
  <c r="N1426" i="13"/>
  <c r="J1425" i="13" a="1"/>
  <c r="J1425" i="13" s="1"/>
  <c r="N1425" i="14"/>
  <c r="J1424" i="14" a="1"/>
  <c r="J1424" i="14" s="1"/>
  <c r="M1429" i="14"/>
  <c r="M1428" i="13"/>
  <c r="K1261" i="14"/>
  <c r="L1261" i="14" s="1"/>
  <c r="I1262" i="14" s="1"/>
  <c r="K1239" i="13" l="1"/>
  <c r="L1239" i="13" s="1"/>
  <c r="I1240" i="13" s="1"/>
  <c r="K1262" i="14"/>
  <c r="L1262" i="14" s="1"/>
  <c r="I1263" i="14" s="1"/>
  <c r="M1430" i="14"/>
  <c r="J1426" i="13" a="1"/>
  <c r="J1426" i="13" s="1"/>
  <c r="N1427" i="13"/>
  <c r="M1429" i="13"/>
  <c r="J1425" i="14" a="1"/>
  <c r="J1425" i="14" s="1"/>
  <c r="N1426" i="14"/>
  <c r="K1240" i="13" l="1"/>
  <c r="L1240" i="13" s="1"/>
  <c r="I1241" i="13" s="1"/>
  <c r="J1426" i="14" a="1"/>
  <c r="J1426" i="14" s="1"/>
  <c r="N1427" i="14"/>
  <c r="J1427" i="13" a="1"/>
  <c r="J1427" i="13" s="1"/>
  <c r="N1428" i="13"/>
  <c r="M1430" i="13"/>
  <c r="M1431" i="14"/>
  <c r="K1263" i="14"/>
  <c r="L1263" i="14" s="1"/>
  <c r="I1264" i="14" s="1"/>
  <c r="K1241" i="13" l="1"/>
  <c r="L1241" i="13" s="1"/>
  <c r="I1242" i="13" s="1"/>
  <c r="K1264" i="14"/>
  <c r="L1264" i="14" s="1"/>
  <c r="I1265" i="14" s="1"/>
  <c r="J1427" i="14" a="1"/>
  <c r="J1427" i="14" s="1"/>
  <c r="N1428" i="14"/>
  <c r="M1431" i="13"/>
  <c r="J1428" i="13" a="1"/>
  <c r="J1428" i="13" s="1"/>
  <c r="N1429" i="13"/>
  <c r="M1432" i="14"/>
  <c r="K1242" i="13" l="1"/>
  <c r="L1242" i="13" s="1"/>
  <c r="I1243" i="13" s="1"/>
  <c r="K1265" i="14"/>
  <c r="L1265" i="14" s="1"/>
  <c r="I1266" i="14" s="1"/>
  <c r="M1432" i="13"/>
  <c r="N1430" i="13"/>
  <c r="J1429" i="13" a="1"/>
  <c r="J1429" i="13" s="1"/>
  <c r="N1429" i="14"/>
  <c r="J1428" i="14" a="1"/>
  <c r="J1428" i="14" s="1"/>
  <c r="M1433" i="14"/>
  <c r="K1243" i="13" l="1"/>
  <c r="L1243" i="13" s="1"/>
  <c r="I1244" i="13" s="1"/>
  <c r="K1266" i="14"/>
  <c r="L1266" i="14" s="1"/>
  <c r="I1267" i="14" s="1"/>
  <c r="M1434" i="14"/>
  <c r="M1433" i="13"/>
  <c r="J1430" i="13" a="1"/>
  <c r="J1430" i="13" s="1"/>
  <c r="N1431" i="13"/>
  <c r="J1429" i="14" a="1"/>
  <c r="J1429" i="14" s="1"/>
  <c r="N1430" i="14"/>
  <c r="K1244" i="13" l="1"/>
  <c r="L1244" i="13" s="1"/>
  <c r="I1245" i="13" s="1"/>
  <c r="K1267" i="14"/>
  <c r="L1267" i="14" s="1"/>
  <c r="I1268" i="14" s="1"/>
  <c r="M1434" i="13"/>
  <c r="J1431" i="13" a="1"/>
  <c r="J1431" i="13" s="1"/>
  <c r="N1432" i="13"/>
  <c r="J1430" i="14" a="1"/>
  <c r="J1430" i="14" s="1"/>
  <c r="N1431" i="14"/>
  <c r="M1435" i="14"/>
  <c r="K1245" i="13" l="1"/>
  <c r="L1245" i="13" s="1"/>
  <c r="I1246" i="13" s="1"/>
  <c r="K1268" i="14"/>
  <c r="L1268" i="14" s="1"/>
  <c r="I1269" i="14" s="1"/>
  <c r="M1436" i="14"/>
  <c r="J1431" i="14" a="1"/>
  <c r="J1431" i="14" s="1"/>
  <c r="N1432" i="14"/>
  <c r="J1432" i="13" a="1"/>
  <c r="J1432" i="13" s="1"/>
  <c r="N1433" i="13"/>
  <c r="M1435" i="13"/>
  <c r="K1246" i="13" l="1"/>
  <c r="L1246" i="13" s="1"/>
  <c r="I1247" i="13" s="1"/>
  <c r="K1269" i="14"/>
  <c r="L1269" i="14" s="1"/>
  <c r="I1270" i="14" s="1"/>
  <c r="N1433" i="14"/>
  <c r="J1432" i="14" a="1"/>
  <c r="J1432" i="14" s="1"/>
  <c r="M1436" i="13"/>
  <c r="N1434" i="13"/>
  <c r="J1433" i="13" a="1"/>
  <c r="J1433" i="13" s="1"/>
  <c r="M1437" i="14"/>
  <c r="K1247" i="13" l="1"/>
  <c r="L1247" i="13" s="1"/>
  <c r="I1248" i="13" s="1"/>
  <c r="K1270" i="14"/>
  <c r="L1270" i="14" s="1"/>
  <c r="I1271" i="14" s="1"/>
  <c r="M1437" i="13"/>
  <c r="M1438" i="14"/>
  <c r="J1434" i="13" a="1"/>
  <c r="J1434" i="13" s="1"/>
  <c r="N1435" i="13"/>
  <c r="J1433" i="14" a="1"/>
  <c r="J1433" i="14" s="1"/>
  <c r="N1434" i="14"/>
  <c r="K1248" i="13" l="1"/>
  <c r="L1248" i="13" s="1"/>
  <c r="I1249" i="13" s="1"/>
  <c r="K1271" i="14"/>
  <c r="L1271" i="14" s="1"/>
  <c r="I1272" i="14" s="1"/>
  <c r="J1434" i="14" a="1"/>
  <c r="J1434" i="14" s="1"/>
  <c r="N1435" i="14"/>
  <c r="M1439" i="14"/>
  <c r="J1435" i="13" a="1"/>
  <c r="J1435" i="13" s="1"/>
  <c r="N1436" i="13"/>
  <c r="M1438" i="13"/>
  <c r="K1249" i="13" l="1"/>
  <c r="L1249" i="13" s="1"/>
  <c r="I1250" i="13" s="1"/>
  <c r="K1272" i="14"/>
  <c r="L1272" i="14" s="1"/>
  <c r="I1273" i="14" s="1"/>
  <c r="M1440" i="14"/>
  <c r="M1439" i="13"/>
  <c r="J1436" i="13" a="1"/>
  <c r="J1436" i="13" s="1"/>
  <c r="N1437" i="13"/>
  <c r="J1435" i="14" a="1"/>
  <c r="J1435" i="14" s="1"/>
  <c r="N1436" i="14"/>
  <c r="K1250" i="13" l="1"/>
  <c r="L1250" i="13" s="1"/>
  <c r="I1251" i="13" s="1"/>
  <c r="K1273" i="14"/>
  <c r="L1273" i="14" s="1"/>
  <c r="I1274" i="14" s="1"/>
  <c r="M1440" i="13"/>
  <c r="N1438" i="13"/>
  <c r="J1437" i="13" a="1"/>
  <c r="J1437" i="13" s="1"/>
  <c r="N1437" i="14"/>
  <c r="J1436" i="14" a="1"/>
  <c r="J1436" i="14" s="1"/>
  <c r="M1441" i="14"/>
  <c r="K1251" i="13" l="1"/>
  <c r="L1251" i="13" s="1"/>
  <c r="I1252" i="13" s="1"/>
  <c r="K1274" i="14"/>
  <c r="L1274" i="14" s="1"/>
  <c r="I1275" i="14" s="1"/>
  <c r="J1438" i="13" a="1"/>
  <c r="J1438" i="13" s="1"/>
  <c r="N1439" i="13"/>
  <c r="M1441" i="13"/>
  <c r="M1442" i="14"/>
  <c r="J1437" i="14" a="1"/>
  <c r="J1437" i="14" s="1"/>
  <c r="N1438" i="14"/>
  <c r="K1252" i="13" l="1"/>
  <c r="L1252" i="13" s="1"/>
  <c r="I1253" i="13" s="1"/>
  <c r="K1275" i="14"/>
  <c r="L1275" i="14" s="1"/>
  <c r="I1276" i="14" s="1"/>
  <c r="J1439" i="13" a="1"/>
  <c r="J1439" i="13" s="1"/>
  <c r="N1440" i="13"/>
  <c r="J1438" i="14" a="1"/>
  <c r="J1438" i="14" s="1"/>
  <c r="N1439" i="14"/>
  <c r="M1442" i="13"/>
  <c r="M1443" i="14"/>
  <c r="K1253" i="13" l="1"/>
  <c r="L1253" i="13" s="1"/>
  <c r="I1254" i="13" s="1"/>
  <c r="K1276" i="14"/>
  <c r="L1276" i="14" s="1"/>
  <c r="I1277" i="14" s="1"/>
  <c r="M1444" i="14"/>
  <c r="J1440" i="13" a="1"/>
  <c r="J1440" i="13" s="1"/>
  <c r="N1441" i="13"/>
  <c r="J1439" i="14" a="1"/>
  <c r="J1439" i="14" s="1"/>
  <c r="N1440" i="14"/>
  <c r="M1443" i="13"/>
  <c r="K1254" i="13" l="1"/>
  <c r="L1254" i="13" s="1"/>
  <c r="I1255" i="13" s="1"/>
  <c r="K1277" i="14"/>
  <c r="L1277" i="14" s="1"/>
  <c r="I1278" i="14" s="1"/>
  <c r="N1442" i="13"/>
  <c r="J1441" i="13" a="1"/>
  <c r="J1441" i="13" s="1"/>
  <c r="M1444" i="13"/>
  <c r="N1441" i="14"/>
  <c r="J1440" i="14" a="1"/>
  <c r="J1440" i="14" s="1"/>
  <c r="M1445" i="14"/>
  <c r="K1255" i="13" l="1"/>
  <c r="L1255" i="13" s="1"/>
  <c r="I1256" i="13" s="1"/>
  <c r="K1278" i="14"/>
  <c r="L1278" i="14" s="1"/>
  <c r="I1279" i="14" s="1"/>
  <c r="M1445" i="13"/>
  <c r="M1446" i="14"/>
  <c r="J1441" i="14" a="1"/>
  <c r="J1441" i="14" s="1"/>
  <c r="N1442" i="14"/>
  <c r="J1442" i="13" a="1"/>
  <c r="J1442" i="13" s="1"/>
  <c r="N1443" i="13"/>
  <c r="K1256" i="13" l="1"/>
  <c r="L1256" i="13" s="1"/>
  <c r="I1257" i="13" s="1"/>
  <c r="K1279" i="14"/>
  <c r="L1279" i="14" s="1"/>
  <c r="I1280" i="14" s="1"/>
  <c r="J1443" i="13" a="1"/>
  <c r="J1443" i="13" s="1"/>
  <c r="N1444" i="13"/>
  <c r="M1447" i="14"/>
  <c r="J1442" i="14" a="1"/>
  <c r="J1442" i="14" s="1"/>
  <c r="N1443" i="14"/>
  <c r="M1446" i="13"/>
  <c r="K1257" i="13" l="1"/>
  <c r="L1257" i="13" s="1"/>
  <c r="I1258" i="13" s="1"/>
  <c r="K1280" i="14"/>
  <c r="L1280" i="14" s="1"/>
  <c r="I1281" i="14" s="1"/>
  <c r="J1443" i="14" a="1"/>
  <c r="J1443" i="14" s="1"/>
  <c r="N1444" i="14"/>
  <c r="M1448" i="14"/>
  <c r="M1447" i="13"/>
  <c r="J1444" i="13" a="1"/>
  <c r="J1444" i="13" s="1"/>
  <c r="N1445" i="13"/>
  <c r="K1258" i="13" l="1"/>
  <c r="L1258" i="13" s="1"/>
  <c r="I1259" i="13" s="1"/>
  <c r="K1281" i="14"/>
  <c r="L1281" i="14" s="1"/>
  <c r="I1282" i="14" s="1"/>
  <c r="N1446" i="13"/>
  <c r="J1445" i="13" a="1"/>
  <c r="J1445" i="13" s="1"/>
  <c r="M1449" i="14"/>
  <c r="M1448" i="13"/>
  <c r="N1445" i="14"/>
  <c r="J1444" i="14" a="1"/>
  <c r="J1444" i="14" s="1"/>
  <c r="K1259" i="13" l="1"/>
  <c r="L1259" i="13" s="1"/>
  <c r="I1260" i="13" s="1"/>
  <c r="K1282" i="14"/>
  <c r="L1282" i="14" s="1"/>
  <c r="I1283" i="14" s="1"/>
  <c r="J1445" i="14" a="1"/>
  <c r="J1445" i="14" s="1"/>
  <c r="N1446" i="14"/>
  <c r="M1450" i="14"/>
  <c r="M1449" i="13"/>
  <c r="J1446" i="13" a="1"/>
  <c r="J1446" i="13" s="1"/>
  <c r="N1447" i="13"/>
  <c r="K1260" i="13" l="1"/>
  <c r="L1260" i="13" s="1"/>
  <c r="I1261" i="13" s="1"/>
  <c r="K1283" i="14"/>
  <c r="L1283" i="14" s="1"/>
  <c r="I1284" i="14" s="1"/>
  <c r="M1451" i="14"/>
  <c r="J1446" i="14" a="1"/>
  <c r="J1446" i="14" s="1"/>
  <c r="N1447" i="14"/>
  <c r="J1447" i="13" a="1"/>
  <c r="J1447" i="13" s="1"/>
  <c r="N1448" i="13"/>
  <c r="M1450" i="13"/>
  <c r="K1261" i="13" l="1"/>
  <c r="L1261" i="13" s="1"/>
  <c r="I1262" i="13" s="1"/>
  <c r="K1284" i="14"/>
  <c r="L1284" i="14" s="1"/>
  <c r="I1285" i="14" s="1"/>
  <c r="J1447" i="14" a="1"/>
  <c r="J1447" i="14" s="1"/>
  <c r="N1448" i="14"/>
  <c r="J1448" i="13" a="1"/>
  <c r="J1448" i="13" s="1"/>
  <c r="N1449" i="13"/>
  <c r="M1452" i="14"/>
  <c r="M1451" i="13"/>
  <c r="K1262" i="13" l="1"/>
  <c r="L1262" i="13" s="1"/>
  <c r="I1263" i="13" s="1"/>
  <c r="K1285" i="14"/>
  <c r="L1285" i="14" s="1"/>
  <c r="I1286" i="14" s="1"/>
  <c r="N1450" i="13"/>
  <c r="J1449" i="13" a="1"/>
  <c r="J1449" i="13" s="1"/>
  <c r="N1449" i="14"/>
  <c r="J1448" i="14" a="1"/>
  <c r="J1448" i="14" s="1"/>
  <c r="M1452" i="13"/>
  <c r="M1453" i="14"/>
  <c r="K1263" i="13" l="1"/>
  <c r="L1263" i="13" s="1"/>
  <c r="I1264" i="13" s="1"/>
  <c r="K1286" i="14"/>
  <c r="L1286" i="14" s="1"/>
  <c r="I1287" i="14" s="1"/>
  <c r="J1449" i="14" a="1"/>
  <c r="J1449" i="14" s="1"/>
  <c r="N1450" i="14"/>
  <c r="M1454" i="14"/>
  <c r="M1453" i="13"/>
  <c r="J1450" i="13" a="1"/>
  <c r="J1450" i="13" s="1"/>
  <c r="N1451" i="13"/>
  <c r="K1264" i="13" l="1"/>
  <c r="L1264" i="13" s="1"/>
  <c r="I1265" i="13" s="1"/>
  <c r="K1287" i="14"/>
  <c r="L1287" i="14" s="1"/>
  <c r="I1288" i="14" s="1"/>
  <c r="M1454" i="13"/>
  <c r="J1451" i="13" a="1"/>
  <c r="J1451" i="13" s="1"/>
  <c r="N1452" i="13"/>
  <c r="M1455" i="14"/>
  <c r="J1450" i="14" a="1"/>
  <c r="J1450" i="14" s="1"/>
  <c r="N1451" i="14"/>
  <c r="K1265" i="13" l="1"/>
  <c r="L1265" i="13" s="1"/>
  <c r="I1266" i="13" s="1"/>
  <c r="K1288" i="14"/>
  <c r="L1288" i="14" s="1"/>
  <c r="I1289" i="14" s="1"/>
  <c r="M1456" i="14"/>
  <c r="M1455" i="13"/>
  <c r="J1452" i="13" a="1"/>
  <c r="J1452" i="13" s="1"/>
  <c r="N1453" i="13"/>
  <c r="J1451" i="14" a="1"/>
  <c r="J1451" i="14" s="1"/>
  <c r="N1452" i="14"/>
  <c r="K1266" i="13" l="1"/>
  <c r="L1266" i="13" s="1"/>
  <c r="I1267" i="13" s="1"/>
  <c r="K1289" i="14"/>
  <c r="L1289" i="14" s="1"/>
  <c r="I1290" i="14" s="1"/>
  <c r="M1456" i="13"/>
  <c r="N1453" i="14"/>
  <c r="J1452" i="14" a="1"/>
  <c r="J1452" i="14" s="1"/>
  <c r="N1454" i="13"/>
  <c r="J1453" i="13" a="1"/>
  <c r="J1453" i="13" s="1"/>
  <c r="M1457" i="14"/>
  <c r="K1267" i="13" l="1"/>
  <c r="L1267" i="13" s="1"/>
  <c r="I1268" i="13" s="1"/>
  <c r="K1290" i="14"/>
  <c r="L1290" i="14" s="1"/>
  <c r="I1291" i="14" s="1"/>
  <c r="J1453" i="14" a="1"/>
  <c r="J1453" i="14" s="1"/>
  <c r="N1454" i="14"/>
  <c r="M1457" i="13"/>
  <c r="M1458" i="14"/>
  <c r="J1454" i="13" a="1"/>
  <c r="J1454" i="13" s="1"/>
  <c r="N1455" i="13"/>
  <c r="K1268" i="13" l="1"/>
  <c r="L1268" i="13" s="1"/>
  <c r="I1269" i="13" s="1"/>
  <c r="K1291" i="14"/>
  <c r="L1291" i="14" s="1"/>
  <c r="I1292" i="14" s="1"/>
  <c r="M1458" i="13"/>
  <c r="J1454" i="14" a="1"/>
  <c r="J1454" i="14" s="1"/>
  <c r="N1455" i="14"/>
  <c r="J1455" i="13" a="1"/>
  <c r="J1455" i="13" s="1"/>
  <c r="N1456" i="13"/>
  <c r="M1459" i="14"/>
  <c r="K1269" i="13" l="1"/>
  <c r="L1269" i="13" s="1"/>
  <c r="I1270" i="13" s="1"/>
  <c r="K1292" i="14"/>
  <c r="L1292" i="14" s="1"/>
  <c r="I1293" i="14" s="1"/>
  <c r="M1460" i="14"/>
  <c r="J1456" i="13" a="1"/>
  <c r="J1456" i="13" s="1"/>
  <c r="N1457" i="13"/>
  <c r="J1455" i="14" a="1"/>
  <c r="J1455" i="14" s="1"/>
  <c r="N1456" i="14"/>
  <c r="M1459" i="13"/>
  <c r="K1270" i="13" l="1"/>
  <c r="L1270" i="13" s="1"/>
  <c r="I1271" i="13" s="1"/>
  <c r="K1293" i="14"/>
  <c r="L1293" i="14" s="1"/>
  <c r="I1294" i="14" s="1"/>
  <c r="N1457" i="14"/>
  <c r="J1456" i="14" a="1"/>
  <c r="J1456" i="14" s="1"/>
  <c r="N1458" i="13"/>
  <c r="J1457" i="13" a="1"/>
  <c r="J1457" i="13" s="1"/>
  <c r="M1460" i="13"/>
  <c r="M1461" i="14"/>
  <c r="K1271" i="13" l="1"/>
  <c r="L1271" i="13" s="1"/>
  <c r="I1272" i="13" s="1"/>
  <c r="K1294" i="14"/>
  <c r="L1294" i="14" s="1"/>
  <c r="I1295" i="14" s="1"/>
  <c r="M1462" i="14"/>
  <c r="J1458" i="13" a="1"/>
  <c r="J1458" i="13" s="1"/>
  <c r="N1459" i="13"/>
  <c r="M1461" i="13"/>
  <c r="J1457" i="14" a="1"/>
  <c r="J1457" i="14" s="1"/>
  <c r="N1458" i="14"/>
  <c r="K1272" i="13" l="1"/>
  <c r="L1272" i="13" s="1"/>
  <c r="I1273" i="13" s="1"/>
  <c r="K1295" i="14"/>
  <c r="L1295" i="14" s="1"/>
  <c r="I1296" i="14" s="1"/>
  <c r="J1459" i="13" a="1"/>
  <c r="J1459" i="13" s="1"/>
  <c r="N1460" i="13"/>
  <c r="J1458" i="14" a="1"/>
  <c r="J1458" i="14" s="1"/>
  <c r="N1459" i="14"/>
  <c r="M1462" i="13"/>
  <c r="M1463" i="14"/>
  <c r="K1273" i="13" l="1"/>
  <c r="L1273" i="13" s="1"/>
  <c r="I1274" i="13" s="1"/>
  <c r="K1296" i="14"/>
  <c r="L1296" i="14" s="1"/>
  <c r="I1297" i="14" s="1"/>
  <c r="M1464" i="14"/>
  <c r="J1460" i="13" a="1"/>
  <c r="J1460" i="13" s="1"/>
  <c r="N1461" i="13"/>
  <c r="J1459" i="14" a="1"/>
  <c r="J1459" i="14" s="1"/>
  <c r="N1460" i="14"/>
  <c r="M1463" i="13"/>
  <c r="K1274" i="13" l="1"/>
  <c r="L1274" i="13" s="1"/>
  <c r="I1275" i="13" s="1"/>
  <c r="K1297" i="14"/>
  <c r="L1297" i="14" s="1"/>
  <c r="I1298" i="14" s="1"/>
  <c r="M1464" i="13"/>
  <c r="N1461" i="14"/>
  <c r="J1460" i="14" a="1"/>
  <c r="J1460" i="14" s="1"/>
  <c r="N1462" i="13"/>
  <c r="J1461" i="13" a="1"/>
  <c r="J1461" i="13" s="1"/>
  <c r="M1465" i="14"/>
  <c r="K1275" i="13" l="1"/>
  <c r="L1275" i="13" s="1"/>
  <c r="I1276" i="13" s="1"/>
  <c r="K1298" i="14"/>
  <c r="L1298" i="14" s="1"/>
  <c r="I1299" i="14" s="1"/>
  <c r="J1461" i="14" a="1"/>
  <c r="J1461" i="14" s="1"/>
  <c r="N1462" i="14"/>
  <c r="M1465" i="13"/>
  <c r="M1466" i="14"/>
  <c r="J1462" i="13" a="1"/>
  <c r="J1462" i="13" s="1"/>
  <c r="N1463" i="13"/>
  <c r="K1276" i="13" l="1"/>
  <c r="L1276" i="13" s="1"/>
  <c r="I1277" i="13" s="1"/>
  <c r="K1299" i="14"/>
  <c r="L1299" i="14" s="1"/>
  <c r="I1300" i="14" s="1"/>
  <c r="M1466" i="13"/>
  <c r="J1463" i="13" a="1"/>
  <c r="J1463" i="13" s="1"/>
  <c r="N1464" i="13"/>
  <c r="J1462" i="14" a="1"/>
  <c r="J1462" i="14" s="1"/>
  <c r="N1463" i="14"/>
  <c r="M1467" i="14"/>
  <c r="K1277" i="13" l="1"/>
  <c r="L1277" i="13" s="1"/>
  <c r="I1278" i="13" s="1"/>
  <c r="K1300" i="14"/>
  <c r="L1300" i="14" s="1"/>
  <c r="I1301" i="14" s="1"/>
  <c r="M1468" i="14"/>
  <c r="J1463" i="14" a="1"/>
  <c r="J1463" i="14" s="1"/>
  <c r="N1464" i="14"/>
  <c r="J1464" i="13" a="1"/>
  <c r="J1464" i="13" s="1"/>
  <c r="N1465" i="13"/>
  <c r="M1467" i="13"/>
  <c r="K1278" i="13" l="1"/>
  <c r="L1278" i="13" s="1"/>
  <c r="I1279" i="13" s="1"/>
  <c r="K1301" i="14"/>
  <c r="L1301" i="14" s="1"/>
  <c r="I1302" i="14" s="1"/>
  <c r="N1465" i="14"/>
  <c r="J1464" i="14" a="1"/>
  <c r="J1464" i="14" s="1"/>
  <c r="N1466" i="13"/>
  <c r="J1465" i="13" a="1"/>
  <c r="J1465" i="13" s="1"/>
  <c r="M1468" i="13"/>
  <c r="M1469" i="14"/>
  <c r="K1279" i="13" l="1"/>
  <c r="L1279" i="13" s="1"/>
  <c r="I1280" i="13" s="1"/>
  <c r="K1302" i="14"/>
  <c r="L1302" i="14" s="1"/>
  <c r="I1303" i="14" s="1"/>
  <c r="M1470" i="14"/>
  <c r="J1466" i="13" a="1"/>
  <c r="J1466" i="13" s="1"/>
  <c r="N1467" i="13"/>
  <c r="M1469" i="13"/>
  <c r="J1465" i="14" a="1"/>
  <c r="J1465" i="14" s="1"/>
  <c r="N1466" i="14"/>
  <c r="K1280" i="13" l="1"/>
  <c r="L1280" i="13" s="1"/>
  <c r="I1281" i="13" s="1"/>
  <c r="K1303" i="14"/>
  <c r="L1303" i="14" s="1"/>
  <c r="I1304" i="14" s="1"/>
  <c r="J1467" i="13" a="1"/>
  <c r="J1467" i="13" s="1"/>
  <c r="N1468" i="13"/>
  <c r="J1466" i="14" a="1"/>
  <c r="J1466" i="14" s="1"/>
  <c r="N1467" i="14"/>
  <c r="M1470" i="13"/>
  <c r="M1471" i="14"/>
  <c r="K1281" i="13" l="1"/>
  <c r="L1281" i="13" s="1"/>
  <c r="I1282" i="13" s="1"/>
  <c r="K1304" i="14"/>
  <c r="L1304" i="14" s="1"/>
  <c r="I1305" i="14" s="1"/>
  <c r="M1472" i="14"/>
  <c r="J1467" i="14" a="1"/>
  <c r="J1467" i="14" s="1"/>
  <c r="N1468" i="14"/>
  <c r="J1468" i="13" a="1"/>
  <c r="J1468" i="13" s="1"/>
  <c r="N1469" i="13"/>
  <c r="M1471" i="13"/>
  <c r="K1282" i="13" l="1"/>
  <c r="L1282" i="13" s="1"/>
  <c r="I1283" i="13" s="1"/>
  <c r="K1305" i="14"/>
  <c r="L1305" i="14" s="1"/>
  <c r="I1306" i="14" s="1"/>
  <c r="N1469" i="14"/>
  <c r="J1468" i="14" a="1"/>
  <c r="J1468" i="14" s="1"/>
  <c r="M1472" i="13"/>
  <c r="N1470" i="13"/>
  <c r="J1469" i="13" a="1"/>
  <c r="J1469" i="13" s="1"/>
  <c r="M1473" i="14"/>
  <c r="K1283" i="13" l="1"/>
  <c r="L1283" i="13" s="1"/>
  <c r="I1284" i="13" s="1"/>
  <c r="K1306" i="14"/>
  <c r="L1306" i="14" s="1"/>
  <c r="I1307" i="14" s="1"/>
  <c r="M1473" i="13"/>
  <c r="M1474" i="14"/>
  <c r="J1470" i="13" a="1"/>
  <c r="J1470" i="13" s="1"/>
  <c r="N1471" i="13"/>
  <c r="J1469" i="14" a="1"/>
  <c r="J1469" i="14" s="1"/>
  <c r="N1470" i="14"/>
  <c r="K1284" i="13" l="1"/>
  <c r="L1284" i="13" s="1"/>
  <c r="I1285" i="13" s="1"/>
  <c r="K1307" i="14"/>
  <c r="L1307" i="14" s="1"/>
  <c r="I1308" i="14" s="1"/>
  <c r="M1475" i="14"/>
  <c r="J1470" i="14" a="1"/>
  <c r="J1470" i="14" s="1"/>
  <c r="N1471" i="14"/>
  <c r="J1471" i="13" a="1"/>
  <c r="J1471" i="13" s="1"/>
  <c r="N1472" i="13"/>
  <c r="M1474" i="13"/>
  <c r="K1285" i="13" l="1"/>
  <c r="L1285" i="13" s="1"/>
  <c r="I1286" i="13" s="1"/>
  <c r="K1308" i="14"/>
  <c r="L1308" i="14" s="1"/>
  <c r="I1309" i="14" s="1"/>
  <c r="J1471" i="14" a="1"/>
  <c r="J1471" i="14" s="1"/>
  <c r="N1472" i="14"/>
  <c r="J1472" i="13" a="1"/>
  <c r="J1472" i="13" s="1"/>
  <c r="N1473" i="13"/>
  <c r="M1476" i="14"/>
  <c r="M1475" i="13"/>
  <c r="K1286" i="13" l="1"/>
  <c r="L1286" i="13" s="1"/>
  <c r="I1287" i="13" s="1"/>
  <c r="K1309" i="14"/>
  <c r="L1309" i="14" s="1"/>
  <c r="I1310" i="14" s="1"/>
  <c r="M1476" i="13"/>
  <c r="N1473" i="14"/>
  <c r="J1472" i="14" a="1"/>
  <c r="J1472" i="14" s="1"/>
  <c r="N1474" i="13"/>
  <c r="J1473" i="13" a="1"/>
  <c r="J1473" i="13" s="1"/>
  <c r="M1477" i="14"/>
  <c r="K1287" i="13" l="1"/>
  <c r="L1287" i="13" s="1"/>
  <c r="I1288" i="13" s="1"/>
  <c r="K1310" i="14"/>
  <c r="L1310" i="14" s="1"/>
  <c r="I1311" i="14" s="1"/>
  <c r="J1473" i="14" a="1"/>
  <c r="J1473" i="14" s="1"/>
  <c r="N1474" i="14"/>
  <c r="M1478" i="14"/>
  <c r="M1477" i="13"/>
  <c r="J1474" i="13" a="1"/>
  <c r="J1474" i="13" s="1"/>
  <c r="N1475" i="13"/>
  <c r="K1288" i="13" l="1"/>
  <c r="L1288" i="13" s="1"/>
  <c r="I1289" i="13" s="1"/>
  <c r="K1311" i="14"/>
  <c r="L1311" i="14" s="1"/>
  <c r="I1312" i="14" s="1"/>
  <c r="J1475" i="13" a="1"/>
  <c r="J1475" i="13" s="1"/>
  <c r="N1476" i="13"/>
  <c r="J1474" i="14" a="1"/>
  <c r="J1474" i="14" s="1"/>
  <c r="N1475" i="14"/>
  <c r="M1479" i="14"/>
  <c r="M1478" i="13"/>
  <c r="K1289" i="13" l="1"/>
  <c r="L1289" i="13" s="1"/>
  <c r="I1290" i="13" s="1"/>
  <c r="K1312" i="14"/>
  <c r="L1312" i="14" s="1"/>
  <c r="I1313" i="14" s="1"/>
  <c r="M1479" i="13"/>
  <c r="M1480" i="14"/>
  <c r="J1476" i="13" a="1"/>
  <c r="J1476" i="13" s="1"/>
  <c r="N1477" i="13"/>
  <c r="J1475" i="14" a="1"/>
  <c r="J1475" i="14" s="1"/>
  <c r="N1476" i="14"/>
  <c r="K1290" i="13" l="1"/>
  <c r="L1290" i="13" s="1"/>
  <c r="I1291" i="13" s="1"/>
  <c r="K1313" i="14"/>
  <c r="L1313" i="14" s="1"/>
  <c r="I1314" i="14" s="1"/>
  <c r="N1477" i="14"/>
  <c r="J1476" i="14" a="1"/>
  <c r="J1476" i="14" s="1"/>
  <c r="M1481" i="14"/>
  <c r="N1478" i="13"/>
  <c r="J1477" i="13" a="1"/>
  <c r="J1477" i="13" s="1"/>
  <c r="M1480" i="13"/>
  <c r="K1291" i="13" l="1"/>
  <c r="L1291" i="13" s="1"/>
  <c r="I1292" i="13" s="1"/>
  <c r="K1314" i="14"/>
  <c r="L1314" i="14" s="1"/>
  <c r="I1315" i="14" s="1"/>
  <c r="M1481" i="13"/>
  <c r="M1482" i="14"/>
  <c r="J1478" i="13" a="1"/>
  <c r="J1478" i="13" s="1"/>
  <c r="N1479" i="13"/>
  <c r="J1477" i="14" a="1"/>
  <c r="J1477" i="14" s="1"/>
  <c r="N1478" i="14"/>
  <c r="K1292" i="13" l="1"/>
  <c r="L1292" i="13" s="1"/>
  <c r="I1293" i="13" s="1"/>
  <c r="K1315" i="14"/>
  <c r="L1315" i="14" s="1"/>
  <c r="I1316" i="14" s="1"/>
  <c r="J1478" i="14" a="1"/>
  <c r="J1478" i="14" s="1"/>
  <c r="N1479" i="14"/>
  <c r="M1483" i="14"/>
  <c r="J1479" i="13" a="1"/>
  <c r="J1479" i="13" s="1"/>
  <c r="N1480" i="13"/>
  <c r="M1482" i="13"/>
  <c r="K1293" i="13" l="1"/>
  <c r="L1293" i="13" s="1"/>
  <c r="I1294" i="13" s="1"/>
  <c r="K1316" i="14"/>
  <c r="L1316" i="14" s="1"/>
  <c r="I1317" i="14" s="1"/>
  <c r="J1480" i="13" a="1"/>
  <c r="J1480" i="13" s="1"/>
  <c r="N1481" i="13"/>
  <c r="M1484" i="14"/>
  <c r="M1483" i="13"/>
  <c r="J1479" i="14" a="1"/>
  <c r="J1479" i="14" s="1"/>
  <c r="N1480" i="14"/>
  <c r="K1294" i="13" l="1"/>
  <c r="L1294" i="13" s="1"/>
  <c r="I1295" i="13" s="1"/>
  <c r="K1317" i="14"/>
  <c r="L1317" i="14" s="1"/>
  <c r="I1318" i="14" s="1"/>
  <c r="N1481" i="14"/>
  <c r="J1480" i="14" a="1"/>
  <c r="J1480" i="14" s="1"/>
  <c r="M1485" i="14"/>
  <c r="N1482" i="13"/>
  <c r="J1481" i="13" a="1"/>
  <c r="J1481" i="13" s="1"/>
  <c r="M1484" i="13"/>
  <c r="K1295" i="13" l="1"/>
  <c r="L1295" i="13" s="1"/>
  <c r="I1296" i="13" s="1"/>
  <c r="K1318" i="14"/>
  <c r="L1318" i="14" s="1"/>
  <c r="I1319" i="14" s="1"/>
  <c r="M1485" i="13"/>
  <c r="M1486" i="14"/>
  <c r="J1482" i="13" a="1"/>
  <c r="J1482" i="13" s="1"/>
  <c r="N1483" i="13"/>
  <c r="J1481" i="14" a="1"/>
  <c r="J1481" i="14" s="1"/>
  <c r="N1482" i="14"/>
  <c r="K1296" i="13" l="1"/>
  <c r="L1296" i="13" s="1"/>
  <c r="I1297" i="13" s="1"/>
  <c r="K1319" i="14"/>
  <c r="L1319" i="14" s="1"/>
  <c r="I1320" i="14" s="1"/>
  <c r="J1482" i="14" a="1"/>
  <c r="J1482" i="14" s="1"/>
  <c r="N1483" i="14"/>
  <c r="M1487" i="14"/>
  <c r="J1483" i="13" a="1"/>
  <c r="J1483" i="13" s="1"/>
  <c r="N1484" i="13"/>
  <c r="M1486" i="13"/>
  <c r="K1297" i="13" l="1"/>
  <c r="L1297" i="13" s="1"/>
  <c r="I1298" i="13" s="1"/>
  <c r="K1320" i="14"/>
  <c r="L1320" i="14" s="1"/>
  <c r="I1321" i="14" s="1"/>
  <c r="M1488" i="14"/>
  <c r="M1487" i="13"/>
  <c r="J1483" i="14" a="1"/>
  <c r="J1483" i="14" s="1"/>
  <c r="N1484" i="14"/>
  <c r="J1484" i="13" a="1"/>
  <c r="J1484" i="13" s="1"/>
  <c r="N1485" i="13"/>
  <c r="K1298" i="13" l="1"/>
  <c r="L1298" i="13" s="1"/>
  <c r="I1299" i="13" s="1"/>
  <c r="K1321" i="14"/>
  <c r="L1321" i="14" s="1"/>
  <c r="I1322" i="14" s="1"/>
  <c r="N1486" i="13"/>
  <c r="J1485" i="13" a="1"/>
  <c r="J1485" i="13" s="1"/>
  <c r="M1488" i="13"/>
  <c r="N1485" i="14"/>
  <c r="J1484" i="14" a="1"/>
  <c r="J1484" i="14" s="1"/>
  <c r="M1489" i="14"/>
  <c r="K1299" i="13" l="1"/>
  <c r="L1299" i="13" s="1"/>
  <c r="I1300" i="13" s="1"/>
  <c r="K1322" i="14"/>
  <c r="L1322" i="14" s="1"/>
  <c r="I1323" i="14" s="1"/>
  <c r="M1489" i="13"/>
  <c r="M1490" i="14"/>
  <c r="J1485" i="14" a="1"/>
  <c r="J1485" i="14" s="1"/>
  <c r="N1486" i="14"/>
  <c r="J1486" i="13" a="1"/>
  <c r="J1486" i="13" s="1"/>
  <c r="N1487" i="13"/>
  <c r="K1300" i="13" l="1"/>
  <c r="L1300" i="13" s="1"/>
  <c r="I1301" i="13" s="1"/>
  <c r="K1323" i="14"/>
  <c r="L1323" i="14" s="1"/>
  <c r="I1324" i="14" s="1"/>
  <c r="M1491" i="14"/>
  <c r="J1486" i="14" a="1"/>
  <c r="J1486" i="14" s="1"/>
  <c r="N1487" i="14"/>
  <c r="J1487" i="13" a="1"/>
  <c r="J1487" i="13" s="1"/>
  <c r="N1488" i="13"/>
  <c r="M1490" i="13"/>
  <c r="K1301" i="13" l="1"/>
  <c r="L1301" i="13" s="1"/>
  <c r="I1302" i="13" s="1"/>
  <c r="K1324" i="14"/>
  <c r="L1324" i="14" s="1"/>
  <c r="I1325" i="14" s="1"/>
  <c r="J1487" i="14" a="1"/>
  <c r="J1487" i="14" s="1"/>
  <c r="N1488" i="14"/>
  <c r="J1488" i="13" a="1"/>
  <c r="J1488" i="13" s="1"/>
  <c r="N1489" i="13"/>
  <c r="M1492" i="14"/>
  <c r="M1491" i="13"/>
  <c r="K1302" i="13" l="1"/>
  <c r="L1302" i="13" s="1"/>
  <c r="I1303" i="13" s="1"/>
  <c r="K1325" i="14"/>
  <c r="L1325" i="14" s="1"/>
  <c r="I1326" i="14" s="1"/>
  <c r="N1490" i="13"/>
  <c r="J1489" i="13" a="1"/>
  <c r="J1489" i="13" s="1"/>
  <c r="M1492" i="13"/>
  <c r="N1489" i="14"/>
  <c r="J1488" i="14" a="1"/>
  <c r="J1488" i="14" s="1"/>
  <c r="M1493" i="14"/>
  <c r="K1303" i="13" l="1"/>
  <c r="L1303" i="13" s="1"/>
  <c r="I1304" i="13" s="1"/>
  <c r="K1326" i="14"/>
  <c r="L1326" i="14" s="1"/>
  <c r="I1327" i="14" s="1"/>
  <c r="M1493" i="13"/>
  <c r="M1494" i="14"/>
  <c r="J1489" i="14" a="1"/>
  <c r="J1489" i="14" s="1"/>
  <c r="N1490" i="14"/>
  <c r="J1490" i="13" a="1"/>
  <c r="J1490" i="13" s="1"/>
  <c r="N1491" i="13"/>
  <c r="K1304" i="13" l="1"/>
  <c r="L1304" i="13" s="1"/>
  <c r="I1305" i="13" s="1"/>
  <c r="K1327" i="14"/>
  <c r="L1327" i="14" s="1"/>
  <c r="I1328" i="14" s="1"/>
  <c r="J1491" i="13" a="1"/>
  <c r="J1491" i="13" s="1"/>
  <c r="N1492" i="13"/>
  <c r="M1495" i="14"/>
  <c r="J1490" i="14" a="1"/>
  <c r="J1490" i="14" s="1"/>
  <c r="N1491" i="14"/>
  <c r="M1494" i="13"/>
  <c r="K1305" i="13" l="1"/>
  <c r="L1305" i="13" s="1"/>
  <c r="I1306" i="13" s="1"/>
  <c r="K1328" i="14"/>
  <c r="L1328" i="14" s="1"/>
  <c r="I1329" i="14" s="1"/>
  <c r="M1496" i="14"/>
  <c r="J1491" i="14" a="1"/>
  <c r="J1491" i="14" s="1"/>
  <c r="N1492" i="14"/>
  <c r="M1495" i="13"/>
  <c r="J1492" i="13" a="1"/>
  <c r="J1492" i="13" s="1"/>
  <c r="N1493" i="13"/>
  <c r="K1306" i="13" l="1"/>
  <c r="L1306" i="13" s="1"/>
  <c r="I1307" i="13" s="1"/>
  <c r="K1329" i="14"/>
  <c r="L1329" i="14" s="1"/>
  <c r="I1330" i="14" s="1"/>
  <c r="N1493" i="14"/>
  <c r="J1492" i="14" a="1"/>
  <c r="J1492" i="14" s="1"/>
  <c r="N1494" i="13"/>
  <c r="J1493" i="13" a="1"/>
  <c r="J1493" i="13" s="1"/>
  <c r="M1496" i="13"/>
  <c r="M1497" i="14"/>
  <c r="K1307" i="13" l="1"/>
  <c r="L1307" i="13" s="1"/>
  <c r="I1308" i="13" s="1"/>
  <c r="K1330" i="14"/>
  <c r="L1330" i="14" s="1"/>
  <c r="I1331" i="14" s="1"/>
  <c r="J1494" i="13" a="1"/>
  <c r="J1494" i="13" s="1"/>
  <c r="N1495" i="13"/>
  <c r="M1498" i="14"/>
  <c r="M1497" i="13"/>
  <c r="J1493" i="14" a="1"/>
  <c r="J1493" i="14" s="1"/>
  <c r="N1494" i="14"/>
  <c r="K1308" i="13" l="1"/>
  <c r="L1308" i="13" s="1"/>
  <c r="I1309" i="13" s="1"/>
  <c r="K1331" i="14"/>
  <c r="L1331" i="14" s="1"/>
  <c r="I1332" i="14" s="1"/>
  <c r="J1494" i="14" a="1"/>
  <c r="J1494" i="14" s="1"/>
  <c r="N1495" i="14"/>
  <c r="M1499" i="14"/>
  <c r="J1495" i="13" a="1"/>
  <c r="J1495" i="13" s="1"/>
  <c r="N1496" i="13"/>
  <c r="M1498" i="13"/>
  <c r="K1309" i="13" l="1"/>
  <c r="L1309" i="13" s="1"/>
  <c r="I1310" i="13" s="1"/>
  <c r="K1332" i="14"/>
  <c r="L1332" i="14" s="1"/>
  <c r="I1333" i="14" s="1"/>
  <c r="J1496" i="13" a="1"/>
  <c r="J1496" i="13" s="1"/>
  <c r="N1497" i="13"/>
  <c r="M1500" i="14"/>
  <c r="M1499" i="13"/>
  <c r="J1495" i="14" a="1"/>
  <c r="J1495" i="14" s="1"/>
  <c r="N1496" i="14"/>
  <c r="K1310" i="13" l="1"/>
  <c r="L1310" i="13" s="1"/>
  <c r="I1311" i="13" s="1"/>
  <c r="K1333" i="14"/>
  <c r="L1333" i="14" s="1"/>
  <c r="I1334" i="14" s="1"/>
  <c r="M1501" i="14"/>
  <c r="N1498" i="13"/>
  <c r="J1497" i="13" a="1"/>
  <c r="J1497" i="13" s="1"/>
  <c r="N1497" i="14"/>
  <c r="J1496" i="14" a="1"/>
  <c r="J1496" i="14" s="1"/>
  <c r="M1500" i="13"/>
  <c r="K1311" i="13" l="1"/>
  <c r="L1311" i="13" s="1"/>
  <c r="I1312" i="13" s="1"/>
  <c r="K1334" i="14"/>
  <c r="L1334" i="14" s="1"/>
  <c r="I1335" i="14" s="1"/>
  <c r="M1501" i="13"/>
  <c r="J1498" i="13" a="1"/>
  <c r="J1498" i="13" s="1"/>
  <c r="N1499" i="13"/>
  <c r="J1497" i="14" a="1"/>
  <c r="J1497" i="14" s="1"/>
  <c r="N1498" i="14"/>
  <c r="M1502" i="14"/>
  <c r="K1312" i="13" l="1"/>
  <c r="L1312" i="13" s="1"/>
  <c r="I1313" i="13" s="1"/>
  <c r="K1335" i="14"/>
  <c r="L1335" i="14" s="1"/>
  <c r="I1336" i="14" s="1"/>
  <c r="M1503" i="14"/>
  <c r="J1499" i="13" a="1"/>
  <c r="J1499" i="13" s="1"/>
  <c r="N1500" i="13"/>
  <c r="J1498" i="14" a="1"/>
  <c r="J1498" i="14" s="1"/>
  <c r="N1499" i="14"/>
  <c r="M1502" i="13"/>
  <c r="K1313" i="13" l="1"/>
  <c r="L1313" i="13" s="1"/>
  <c r="I1314" i="13" s="1"/>
  <c r="K1336" i="14"/>
  <c r="L1336" i="14" s="1"/>
  <c r="I1337" i="14" s="1"/>
  <c r="M1503" i="13"/>
  <c r="J1499" i="14" a="1"/>
  <c r="J1499" i="14" s="1"/>
  <c r="N1500" i="14"/>
  <c r="M1504" i="14"/>
  <c r="J1500" i="13" a="1"/>
  <c r="J1500" i="13" s="1"/>
  <c r="N1501" i="13"/>
  <c r="K1314" i="13" l="1"/>
  <c r="L1314" i="13" s="1"/>
  <c r="I1315" i="13" s="1"/>
  <c r="K1337" i="14"/>
  <c r="L1337" i="14" s="1"/>
  <c r="I1338" i="14" s="1"/>
  <c r="N1501" i="14"/>
  <c r="J1500" i="14" a="1"/>
  <c r="J1500" i="14" s="1"/>
  <c r="N1502" i="13"/>
  <c r="J1501" i="13" a="1"/>
  <c r="J1501" i="13" s="1"/>
  <c r="M1505" i="14"/>
  <c r="M1504" i="13"/>
  <c r="K1315" i="13" l="1"/>
  <c r="L1315" i="13" s="1"/>
  <c r="I1316" i="13" s="1"/>
  <c r="J1502" i="13" a="1"/>
  <c r="J1502" i="13" s="1"/>
  <c r="N1503" i="13"/>
  <c r="M1506" i="14"/>
  <c r="M1505" i="13"/>
  <c r="J1501" i="14" a="1"/>
  <c r="J1501" i="14" s="1"/>
  <c r="N1502" i="14"/>
  <c r="K1338" i="14"/>
  <c r="L1338" i="14" s="1"/>
  <c r="I1339" i="14" s="1"/>
  <c r="K1316" i="13" l="1"/>
  <c r="L1316" i="13" s="1"/>
  <c r="I1317" i="13" s="1"/>
  <c r="K1339" i="14"/>
  <c r="L1339" i="14" s="1"/>
  <c r="I1340" i="14" s="1"/>
  <c r="J1503" i="13" a="1"/>
  <c r="J1503" i="13" s="1"/>
  <c r="N1504" i="13"/>
  <c r="M1506" i="13"/>
  <c r="J1502" i="14" a="1"/>
  <c r="J1502" i="14" s="1"/>
  <c r="N1503" i="14"/>
  <c r="M1507" i="14"/>
  <c r="K1317" i="13" l="1"/>
  <c r="L1317" i="13" s="1"/>
  <c r="I1318" i="13" s="1"/>
  <c r="K1340" i="14"/>
  <c r="L1340" i="14" s="1"/>
  <c r="I1341" i="14" s="1"/>
  <c r="M1508" i="14"/>
  <c r="M1507" i="13"/>
  <c r="J1503" i="14" a="1"/>
  <c r="J1503" i="14" s="1"/>
  <c r="N1504" i="14"/>
  <c r="J1504" i="13" a="1"/>
  <c r="J1504" i="13" s="1"/>
  <c r="N1505" i="13"/>
  <c r="K1318" i="13" l="1"/>
  <c r="L1318" i="13" s="1"/>
  <c r="I1319" i="13" s="1"/>
  <c r="K1341" i="14"/>
  <c r="L1341" i="14" s="1"/>
  <c r="I1342" i="14" s="1"/>
  <c r="N1506" i="13"/>
  <c r="J1505" i="13" a="1"/>
  <c r="J1505" i="13" s="1"/>
  <c r="M1508" i="13"/>
  <c r="N1505" i="14"/>
  <c r="J1504" i="14" a="1"/>
  <c r="J1504" i="14" s="1"/>
  <c r="M1509" i="14"/>
  <c r="K1319" i="13" l="1"/>
  <c r="L1319" i="13" s="1"/>
  <c r="I1320" i="13" s="1"/>
  <c r="K1342" i="14"/>
  <c r="L1342" i="14" s="1"/>
  <c r="I1343" i="14" s="1"/>
  <c r="J1505" i="14" a="1"/>
  <c r="J1505" i="14" s="1"/>
  <c r="N1506" i="14"/>
  <c r="M1509" i="13"/>
  <c r="M1510" i="14"/>
  <c r="J1506" i="13" a="1"/>
  <c r="J1506" i="13" s="1"/>
  <c r="N1507" i="13"/>
  <c r="K1320" i="13" l="1"/>
  <c r="L1320" i="13" s="1"/>
  <c r="I1321" i="13" s="1"/>
  <c r="M1511" i="14"/>
  <c r="J1507" i="13" a="1"/>
  <c r="J1507" i="13" s="1"/>
  <c r="N1508" i="13"/>
  <c r="M1510" i="13"/>
  <c r="K1343" i="14"/>
  <c r="L1343" i="14" s="1"/>
  <c r="I1344" i="14" s="1"/>
  <c r="J1506" i="14" a="1"/>
  <c r="J1506" i="14" s="1"/>
  <c r="N1507" i="14"/>
  <c r="K1321" i="13" l="1"/>
  <c r="L1321" i="13" s="1"/>
  <c r="I1322" i="13" s="1"/>
  <c r="K1344" i="14"/>
  <c r="L1344" i="14" s="1"/>
  <c r="I1345" i="14" s="1"/>
  <c r="J1507" i="14" a="1"/>
  <c r="J1507" i="14" s="1"/>
  <c r="N1508" i="14"/>
  <c r="M1512" i="14"/>
  <c r="M1511" i="13"/>
  <c r="J1508" i="13" a="1"/>
  <c r="J1508" i="13" s="1"/>
  <c r="N1509" i="13"/>
  <c r="K1322" i="13" l="1"/>
  <c r="L1322" i="13" s="1"/>
  <c r="I1323" i="13" s="1"/>
  <c r="K1345" i="14"/>
  <c r="L1345" i="14" s="1"/>
  <c r="I1346" i="14" s="1"/>
  <c r="N1510" i="13"/>
  <c r="J1509" i="13" a="1"/>
  <c r="J1509" i="13" s="1"/>
  <c r="N1509" i="14"/>
  <c r="J1508" i="14" a="1"/>
  <c r="J1508" i="14" s="1"/>
  <c r="M1512" i="13"/>
  <c r="M1513" i="14"/>
  <c r="K1323" i="13" l="1"/>
  <c r="L1323" i="13" s="1"/>
  <c r="I1324" i="13" s="1"/>
  <c r="K1346" i="14"/>
  <c r="L1346" i="14" s="1"/>
  <c r="I1347" i="14" s="1"/>
  <c r="M1513" i="13"/>
  <c r="M1514" i="14"/>
  <c r="J1509" i="14" a="1"/>
  <c r="J1509" i="14" s="1"/>
  <c r="N1510" i="14"/>
  <c r="J1510" i="13" a="1"/>
  <c r="J1510" i="13" s="1"/>
  <c r="N1511" i="13"/>
  <c r="K1324" i="13" l="1"/>
  <c r="L1324" i="13" s="1"/>
  <c r="I1325" i="13" s="1"/>
  <c r="K1347" i="14"/>
  <c r="L1347" i="14" s="1"/>
  <c r="I1348" i="14" s="1"/>
  <c r="M1515" i="14"/>
  <c r="J1511" i="13" a="1"/>
  <c r="J1511" i="13" s="1"/>
  <c r="N1512" i="13"/>
  <c r="J1510" i="14" a="1"/>
  <c r="J1510" i="14" s="1"/>
  <c r="N1511" i="14"/>
  <c r="M1514" i="13"/>
  <c r="K1325" i="13" l="1"/>
  <c r="L1325" i="13" s="1"/>
  <c r="I1326" i="13" s="1"/>
  <c r="K1348" i="14"/>
  <c r="L1348" i="14" s="1"/>
  <c r="I1349" i="14" s="1"/>
  <c r="J1512" i="13" a="1"/>
  <c r="J1512" i="13" s="1"/>
  <c r="N1513" i="13"/>
  <c r="M1516" i="14"/>
  <c r="M1515" i="13"/>
  <c r="J1511" i="14" a="1"/>
  <c r="J1511" i="14" s="1"/>
  <c r="N1512" i="14"/>
  <c r="K1326" i="13" l="1"/>
  <c r="L1326" i="13" s="1"/>
  <c r="I1327" i="13" s="1"/>
  <c r="N1513" i="14"/>
  <c r="J1512" i="14" a="1"/>
  <c r="J1512" i="14" s="1"/>
  <c r="K1349" i="14"/>
  <c r="L1349" i="14" s="1"/>
  <c r="I1350" i="14" s="1"/>
  <c r="M1517" i="14"/>
  <c r="N1514" i="13"/>
  <c r="J1513" i="13" a="1"/>
  <c r="J1513" i="13" s="1"/>
  <c r="M1516" i="13"/>
  <c r="K1327" i="13" l="1"/>
  <c r="L1327" i="13" s="1"/>
  <c r="I1328" i="13" s="1"/>
  <c r="K1350" i="14"/>
  <c r="L1350" i="14" s="1"/>
  <c r="I1351" i="14" s="1"/>
  <c r="M1517" i="13"/>
  <c r="M1518" i="14"/>
  <c r="J1513" i="14" a="1"/>
  <c r="J1513" i="14" s="1"/>
  <c r="N1514" i="14"/>
  <c r="J1514" i="13" a="1"/>
  <c r="J1514" i="13" s="1"/>
  <c r="N1515" i="13"/>
  <c r="K1328" i="13" l="1"/>
  <c r="L1328" i="13" s="1"/>
  <c r="I1329" i="13" s="1"/>
  <c r="K1351" i="14"/>
  <c r="L1351" i="14" s="1"/>
  <c r="I1352" i="14" s="1"/>
  <c r="J1515" i="13" a="1"/>
  <c r="J1515" i="13" s="1"/>
  <c r="N1516" i="13"/>
  <c r="M1519" i="14"/>
  <c r="J1514" i="14" a="1"/>
  <c r="J1514" i="14" s="1"/>
  <c r="N1515" i="14"/>
  <c r="M1518" i="13"/>
  <c r="K1329" i="13" l="1"/>
  <c r="L1329" i="13" s="1"/>
  <c r="I1330" i="13" s="1"/>
  <c r="K1352" i="14"/>
  <c r="L1352" i="14" s="1"/>
  <c r="I1353" i="14" s="1"/>
  <c r="M1520" i="14"/>
  <c r="M1519" i="13"/>
  <c r="J1515" i="14" a="1"/>
  <c r="J1515" i="14" s="1"/>
  <c r="N1516" i="14"/>
  <c r="J1516" i="13" a="1"/>
  <c r="J1516" i="13" s="1"/>
  <c r="N1517" i="13"/>
  <c r="K1330" i="13" l="1"/>
  <c r="L1330" i="13" s="1"/>
  <c r="I1331" i="13" s="1"/>
  <c r="K1353" i="14"/>
  <c r="L1353" i="14" s="1"/>
  <c r="I1354" i="14" s="1"/>
  <c r="N1517" i="14"/>
  <c r="J1516" i="14" a="1"/>
  <c r="J1516" i="14" s="1"/>
  <c r="N1518" i="13"/>
  <c r="J1517" i="13" a="1"/>
  <c r="J1517" i="13" s="1"/>
  <c r="M1520" i="13"/>
  <c r="M1521" i="14"/>
  <c r="K1331" i="13" l="1"/>
  <c r="L1331" i="13" s="1"/>
  <c r="I1332" i="13" s="1"/>
  <c r="K1354" i="14"/>
  <c r="L1354" i="14" s="1"/>
  <c r="I1355" i="14" s="1"/>
  <c r="M1522" i="14"/>
  <c r="J1518" i="13" a="1"/>
  <c r="J1518" i="13" s="1"/>
  <c r="N1519" i="13"/>
  <c r="M1521" i="13"/>
  <c r="J1517" i="14" a="1"/>
  <c r="J1517" i="14" s="1"/>
  <c r="N1518" i="14"/>
  <c r="K1332" i="13" l="1"/>
  <c r="L1332" i="13" s="1"/>
  <c r="I1333" i="13" s="1"/>
  <c r="K1355" i="14"/>
  <c r="L1355" i="14" s="1"/>
  <c r="I1356" i="14" s="1"/>
  <c r="J1519" i="13" a="1"/>
  <c r="J1519" i="13" s="1"/>
  <c r="N1520" i="13"/>
  <c r="J1518" i="14" a="1"/>
  <c r="J1518" i="14" s="1"/>
  <c r="N1519" i="14"/>
  <c r="M1522" i="13"/>
  <c r="M1523" i="14"/>
  <c r="K1333" i="13" l="1"/>
  <c r="L1333" i="13" s="1"/>
  <c r="I1334" i="13" s="1"/>
  <c r="K1356" i="14"/>
  <c r="L1356" i="14" s="1"/>
  <c r="I1357" i="14" s="1"/>
  <c r="J1519" i="14" a="1"/>
  <c r="J1519" i="14" s="1"/>
  <c r="N1520" i="14"/>
  <c r="M1523" i="13"/>
  <c r="M1524" i="14"/>
  <c r="J1520" i="13" a="1"/>
  <c r="J1520" i="13" s="1"/>
  <c r="N1521" i="13"/>
  <c r="K1334" i="13" l="1"/>
  <c r="L1334" i="13" s="1"/>
  <c r="I1335" i="13" s="1"/>
  <c r="K1357" i="14"/>
  <c r="L1357" i="14" s="1"/>
  <c r="I1358" i="14" s="1"/>
  <c r="N1522" i="13"/>
  <c r="J1521" i="13" a="1"/>
  <c r="J1521" i="13" s="1"/>
  <c r="M1524" i="13"/>
  <c r="N1521" i="14"/>
  <c r="J1520" i="14" a="1"/>
  <c r="J1520" i="14" s="1"/>
  <c r="M1525" i="14"/>
  <c r="K1335" i="13" l="1"/>
  <c r="L1335" i="13" s="1"/>
  <c r="I1336" i="13" s="1"/>
  <c r="J1522" i="13" a="1"/>
  <c r="J1522" i="13" s="1"/>
  <c r="N1523" i="13"/>
  <c r="K1358" i="14"/>
  <c r="L1358" i="14" s="1"/>
  <c r="I1359" i="14" s="1"/>
  <c r="M1525" i="13"/>
  <c r="J1521" i="14" a="1"/>
  <c r="J1521" i="14" s="1"/>
  <c r="N1522" i="14"/>
  <c r="M1526" i="14"/>
  <c r="K1336" i="13" l="1"/>
  <c r="L1336" i="13" s="1"/>
  <c r="I1337" i="13" s="1"/>
  <c r="K1359" i="14"/>
  <c r="L1359" i="14" s="1"/>
  <c r="I1360" i="14" s="1"/>
  <c r="J1522" i="14" a="1"/>
  <c r="J1522" i="14" s="1"/>
  <c r="N1523" i="14"/>
  <c r="J1523" i="13" a="1"/>
  <c r="J1523" i="13" s="1"/>
  <c r="N1524" i="13"/>
  <c r="M1527" i="14"/>
  <c r="M1526" i="13"/>
  <c r="K1337" i="13" l="1"/>
  <c r="L1337" i="13" s="1"/>
  <c r="I1338" i="13" s="1"/>
  <c r="J1524" i="13" a="1"/>
  <c r="J1524" i="13" s="1"/>
  <c r="N1525" i="13"/>
  <c r="M1527" i="13"/>
  <c r="K1360" i="14"/>
  <c r="L1360" i="14" s="1"/>
  <c r="I1361" i="14" s="1"/>
  <c r="J1523" i="14" a="1"/>
  <c r="J1523" i="14" s="1"/>
  <c r="N1524" i="14"/>
  <c r="M1528" i="14"/>
  <c r="K1338" i="13" l="1"/>
  <c r="L1338" i="13" s="1"/>
  <c r="I1339" i="13" s="1"/>
  <c r="M1529" i="14"/>
  <c r="N1526" i="13"/>
  <c r="J1525" i="13" a="1"/>
  <c r="J1525" i="13" s="1"/>
  <c r="N1525" i="14"/>
  <c r="J1524" i="14" a="1"/>
  <c r="J1524" i="14" s="1"/>
  <c r="K1361" i="14"/>
  <c r="L1361" i="14" s="1"/>
  <c r="I1362" i="14" s="1"/>
  <c r="M1528" i="13"/>
  <c r="K1339" i="13" l="1"/>
  <c r="L1339" i="13" s="1"/>
  <c r="I1340" i="13" s="1"/>
  <c r="K1362" i="14"/>
  <c r="L1362" i="14" s="1"/>
  <c r="I1363" i="14" s="1"/>
  <c r="M1529" i="13"/>
  <c r="J1525" i="14" a="1"/>
  <c r="J1525" i="14" s="1"/>
  <c r="N1526" i="14"/>
  <c r="M1530" i="14"/>
  <c r="J1526" i="13" a="1"/>
  <c r="J1526" i="13" s="1"/>
  <c r="N1527" i="13"/>
  <c r="K1340" i="13" l="1"/>
  <c r="L1340" i="13" s="1"/>
  <c r="I1341" i="13" s="1"/>
  <c r="K1363" i="14"/>
  <c r="L1363" i="14" s="1"/>
  <c r="I1364" i="14" s="1"/>
  <c r="J1526" i="14" a="1"/>
  <c r="J1526" i="14" s="1"/>
  <c r="N1527" i="14"/>
  <c r="J1527" i="13" a="1"/>
  <c r="J1527" i="13" s="1"/>
  <c r="N1528" i="13"/>
  <c r="M1531" i="14"/>
  <c r="M1530" i="13"/>
  <c r="K1341" i="13" l="1"/>
  <c r="L1341" i="13" s="1"/>
  <c r="I1342" i="13" s="1"/>
  <c r="K1364" i="14"/>
  <c r="L1364" i="14" s="1"/>
  <c r="I1365" i="14" s="1"/>
  <c r="M1532" i="14"/>
  <c r="J1528" i="13" a="1"/>
  <c r="J1528" i="13" s="1"/>
  <c r="N1529" i="13"/>
  <c r="M1531" i="13"/>
  <c r="J1527" i="14" a="1"/>
  <c r="J1527" i="14" s="1"/>
  <c r="N1528" i="14"/>
  <c r="K1342" i="13" l="1"/>
  <c r="L1342" i="13" s="1"/>
  <c r="I1343" i="13" s="1"/>
  <c r="K1365" i="14"/>
  <c r="L1365" i="14" s="1"/>
  <c r="I1366" i="14" s="1"/>
  <c r="N1530" i="13"/>
  <c r="J1529" i="13" a="1"/>
  <c r="J1529" i="13" s="1"/>
  <c r="N1529" i="14"/>
  <c r="J1528" i="14" a="1"/>
  <c r="J1528" i="14" s="1"/>
  <c r="M1532" i="13"/>
  <c r="M1533" i="14"/>
  <c r="K1343" i="13" l="1"/>
  <c r="L1343" i="13" s="1"/>
  <c r="I1344" i="13" s="1"/>
  <c r="K1366" i="14"/>
  <c r="L1366" i="14" s="1"/>
  <c r="I1367" i="14" s="1"/>
  <c r="J1529" i="14" a="1"/>
  <c r="J1529" i="14" s="1"/>
  <c r="N1530" i="14"/>
  <c r="M1534" i="14"/>
  <c r="M1533" i="13"/>
  <c r="J1530" i="13" a="1"/>
  <c r="J1530" i="13" s="1"/>
  <c r="N1531" i="13"/>
  <c r="K1344" i="13" l="1"/>
  <c r="L1344" i="13" s="1"/>
  <c r="I1345" i="13" s="1"/>
  <c r="K1367" i="14"/>
  <c r="L1367" i="14" s="1"/>
  <c r="I1368" i="14" s="1"/>
  <c r="M1535" i="14"/>
  <c r="J1530" i="14" a="1"/>
  <c r="J1530" i="14" s="1"/>
  <c r="N1531" i="14"/>
  <c r="J1531" i="13" a="1"/>
  <c r="J1531" i="13" s="1"/>
  <c r="N1532" i="13"/>
  <c r="M1534" i="13"/>
  <c r="K1345" i="13" l="1"/>
  <c r="L1345" i="13" s="1"/>
  <c r="I1346" i="13" s="1"/>
  <c r="K1368" i="14"/>
  <c r="L1368" i="14" s="1"/>
  <c r="I1369" i="14" s="1"/>
  <c r="J1531" i="14" a="1"/>
  <c r="J1531" i="14" s="1"/>
  <c r="N1532" i="14"/>
  <c r="M1535" i="13"/>
  <c r="J1532" i="13" a="1"/>
  <c r="J1532" i="13" s="1"/>
  <c r="N1533" i="13"/>
  <c r="M1536" i="14"/>
  <c r="K1346" i="13" l="1"/>
  <c r="L1346" i="13" s="1"/>
  <c r="I1347" i="13" s="1"/>
  <c r="K1369" i="14"/>
  <c r="L1369" i="14" s="1"/>
  <c r="I1370" i="14" s="1"/>
  <c r="N1534" i="13"/>
  <c r="J1533" i="13" a="1"/>
  <c r="J1533" i="13" s="1"/>
  <c r="N1533" i="14"/>
  <c r="J1532" i="14" a="1"/>
  <c r="J1532" i="14" s="1"/>
  <c r="M1537" i="14"/>
  <c r="M1536" i="13"/>
  <c r="K1347" i="13" l="1"/>
  <c r="L1347" i="13" s="1"/>
  <c r="I1348" i="13" s="1"/>
  <c r="K1370" i="14"/>
  <c r="L1370" i="14" s="1"/>
  <c r="I1371" i="14" s="1"/>
  <c r="M1537" i="13"/>
  <c r="J1533" i="14" a="1"/>
  <c r="J1533" i="14" s="1"/>
  <c r="N1534" i="14"/>
  <c r="M1538" i="14"/>
  <c r="J1534" i="13" a="1"/>
  <c r="J1534" i="13" s="1"/>
  <c r="N1535" i="13"/>
  <c r="K1348" i="13" l="1"/>
  <c r="L1348" i="13" s="1"/>
  <c r="I1349" i="13" s="1"/>
  <c r="K1371" i="14"/>
  <c r="L1371" i="14" s="1"/>
  <c r="I1372" i="14" s="1"/>
  <c r="J1534" i="14" a="1"/>
  <c r="J1534" i="14" s="1"/>
  <c r="N1535" i="14"/>
  <c r="J1535" i="13" a="1"/>
  <c r="J1535" i="13" s="1"/>
  <c r="N1536" i="13"/>
  <c r="M1539" i="14"/>
  <c r="M1538" i="13"/>
  <c r="K1349" i="13" l="1"/>
  <c r="L1349" i="13" s="1"/>
  <c r="I1350" i="13" s="1"/>
  <c r="K1372" i="14"/>
  <c r="L1372" i="14" s="1"/>
  <c r="I1373" i="14" s="1"/>
  <c r="J1536" i="13" a="1"/>
  <c r="J1536" i="13" s="1"/>
  <c r="N1537" i="13"/>
  <c r="J1535" i="14" a="1"/>
  <c r="J1535" i="14" s="1"/>
  <c r="N1536" i="14"/>
  <c r="M1539" i="13"/>
  <c r="M1540" i="14"/>
  <c r="K1350" i="13" l="1"/>
  <c r="L1350" i="13" s="1"/>
  <c r="I1351" i="13" s="1"/>
  <c r="K1373" i="14"/>
  <c r="L1373" i="14" s="1"/>
  <c r="I1374" i="14" s="1"/>
  <c r="N1537" i="14"/>
  <c r="J1536" i="14" a="1"/>
  <c r="J1536" i="14" s="1"/>
  <c r="N1538" i="13"/>
  <c r="J1537" i="13" a="1"/>
  <c r="J1537" i="13" s="1"/>
  <c r="M1541" i="14"/>
  <c r="M1540" i="13"/>
  <c r="K1351" i="13" l="1"/>
  <c r="L1351" i="13" s="1"/>
  <c r="I1352" i="13" s="1"/>
  <c r="K1374" i="14"/>
  <c r="L1374" i="14" s="1"/>
  <c r="I1375" i="14" s="1"/>
  <c r="M1542" i="14"/>
  <c r="J1537" i="14" a="1"/>
  <c r="J1537" i="14" s="1"/>
  <c r="N1538" i="14"/>
  <c r="M1541" i="13"/>
  <c r="J1538" i="13" a="1"/>
  <c r="J1538" i="13" s="1"/>
  <c r="N1539" i="13"/>
  <c r="K1352" i="13" l="1"/>
  <c r="L1352" i="13" s="1"/>
  <c r="I1353" i="13" s="1"/>
  <c r="J1539" i="13" a="1"/>
  <c r="J1539" i="13" s="1"/>
  <c r="N1540" i="13"/>
  <c r="J1538" i="14" a="1"/>
  <c r="J1538" i="14" s="1"/>
  <c r="N1539" i="14"/>
  <c r="K1375" i="14"/>
  <c r="L1375" i="14" s="1"/>
  <c r="I1376" i="14" s="1"/>
  <c r="M1542" i="13"/>
  <c r="M1543" i="14"/>
  <c r="K1353" i="13" l="1"/>
  <c r="L1353" i="13" s="1"/>
  <c r="I1354" i="13" s="1"/>
  <c r="M1543" i="13"/>
  <c r="M1544" i="14"/>
  <c r="J1540" i="13" a="1"/>
  <c r="J1540" i="13" s="1"/>
  <c r="N1541" i="13"/>
  <c r="K1376" i="14"/>
  <c r="L1376" i="14" s="1"/>
  <c r="I1377" i="14" s="1"/>
  <c r="J1539" i="14" a="1"/>
  <c r="J1539" i="14" s="1"/>
  <c r="N1540" i="14"/>
  <c r="K1354" i="13" l="1"/>
  <c r="L1354" i="13" s="1"/>
  <c r="I1355" i="13" s="1"/>
  <c r="K1377" i="14"/>
  <c r="L1377" i="14" s="1"/>
  <c r="I1378" i="14" s="1"/>
  <c r="N1542" i="13"/>
  <c r="J1541" i="13" a="1"/>
  <c r="J1541" i="13" s="1"/>
  <c r="M1544" i="13"/>
  <c r="N1541" i="14"/>
  <c r="J1540" i="14" a="1"/>
  <c r="J1540" i="14" s="1"/>
  <c r="M1545" i="14"/>
  <c r="K1355" i="13" l="1"/>
  <c r="L1355" i="13" s="1"/>
  <c r="I1356" i="13" s="1"/>
  <c r="K1378" i="14"/>
  <c r="L1378" i="14" s="1"/>
  <c r="I1379" i="14" s="1"/>
  <c r="M1545" i="13"/>
  <c r="M1546" i="14"/>
  <c r="J1541" i="14" a="1"/>
  <c r="J1541" i="14" s="1"/>
  <c r="N1542" i="14"/>
  <c r="J1542" i="13" a="1"/>
  <c r="J1542" i="13" s="1"/>
  <c r="N1543" i="13"/>
  <c r="K1356" i="13" l="1"/>
  <c r="L1356" i="13" s="1"/>
  <c r="I1357" i="13" s="1"/>
  <c r="K1379" i="14"/>
  <c r="L1379" i="14" s="1"/>
  <c r="I1380" i="14" s="1"/>
  <c r="J1543" i="13" a="1"/>
  <c r="J1543" i="13" s="1"/>
  <c r="N1544" i="13"/>
  <c r="M1547" i="14"/>
  <c r="J1542" i="14" a="1"/>
  <c r="J1542" i="14" s="1"/>
  <c r="N1543" i="14"/>
  <c r="M1546" i="13"/>
  <c r="K1357" i="13" l="1"/>
  <c r="L1357" i="13" s="1"/>
  <c r="I1358" i="13" s="1"/>
  <c r="K1380" i="14"/>
  <c r="L1380" i="14" s="1"/>
  <c r="I1381" i="14" s="1"/>
  <c r="M1548" i="14"/>
  <c r="M1547" i="13"/>
  <c r="J1544" i="13" a="1"/>
  <c r="J1544" i="13" s="1"/>
  <c r="N1545" i="13"/>
  <c r="J1543" i="14" a="1"/>
  <c r="J1543" i="14" s="1"/>
  <c r="N1544" i="14"/>
  <c r="K1358" i="13" l="1"/>
  <c r="L1358" i="13" s="1"/>
  <c r="I1359" i="13" s="1"/>
  <c r="K1381" i="14"/>
  <c r="L1381" i="14" s="1"/>
  <c r="I1382" i="14" s="1"/>
  <c r="N1545" i="14"/>
  <c r="J1544" i="14" a="1"/>
  <c r="J1544" i="14" s="1"/>
  <c r="M1549" i="14"/>
  <c r="N1546" i="13"/>
  <c r="J1545" i="13" a="1"/>
  <c r="J1545" i="13" s="1"/>
  <c r="M1548" i="13"/>
  <c r="K1359" i="13" l="1"/>
  <c r="L1359" i="13" s="1"/>
  <c r="I1360" i="13" s="1"/>
  <c r="K1382" i="14"/>
  <c r="L1382" i="14" s="1"/>
  <c r="I1383" i="14" s="1"/>
  <c r="M1549" i="13"/>
  <c r="M1550" i="14"/>
  <c r="J1546" i="13" a="1"/>
  <c r="J1546" i="13" s="1"/>
  <c r="N1547" i="13"/>
  <c r="J1545" i="14" a="1"/>
  <c r="J1545" i="14" s="1"/>
  <c r="N1546" i="14"/>
  <c r="K1360" i="13" l="1"/>
  <c r="L1360" i="13" s="1"/>
  <c r="I1361" i="13" s="1"/>
  <c r="K1383" i="14"/>
  <c r="L1383" i="14" s="1"/>
  <c r="I1384" i="14" s="1"/>
  <c r="J1546" i="14" a="1"/>
  <c r="J1546" i="14" s="1"/>
  <c r="N1547" i="14"/>
  <c r="M1551" i="14"/>
  <c r="J1547" i="13" a="1"/>
  <c r="J1547" i="13" s="1"/>
  <c r="N1548" i="13"/>
  <c r="M1550" i="13"/>
  <c r="K1361" i="13" l="1"/>
  <c r="L1361" i="13" s="1"/>
  <c r="I1362" i="13" s="1"/>
  <c r="K1384" i="14"/>
  <c r="L1384" i="14" s="1"/>
  <c r="I1385" i="14" s="1"/>
  <c r="J1547" i="14" a="1"/>
  <c r="J1547" i="14" s="1"/>
  <c r="N1548" i="14"/>
  <c r="J1548" i="13" a="1"/>
  <c r="J1548" i="13" s="1"/>
  <c r="N1549" i="13"/>
  <c r="M1552" i="14"/>
  <c r="M1551" i="13"/>
  <c r="K1362" i="13" l="1"/>
  <c r="L1362" i="13" s="1"/>
  <c r="I1363" i="13" s="1"/>
  <c r="K1385" i="14"/>
  <c r="L1385" i="14" s="1"/>
  <c r="I1386" i="14" s="1"/>
  <c r="N1550" i="13"/>
  <c r="J1549" i="13" a="1"/>
  <c r="J1549" i="13" s="1"/>
  <c r="N1549" i="14"/>
  <c r="J1548" i="14" a="1"/>
  <c r="J1548" i="14" s="1"/>
  <c r="M1552" i="13"/>
  <c r="M1553" i="14"/>
  <c r="K1363" i="13" l="1"/>
  <c r="L1363" i="13" s="1"/>
  <c r="I1364" i="13" s="1"/>
  <c r="K1386" i="14"/>
  <c r="L1386" i="14" s="1"/>
  <c r="I1387" i="14" s="1"/>
  <c r="M1553" i="13"/>
  <c r="M1554" i="14"/>
  <c r="J1549" i="14" a="1"/>
  <c r="J1549" i="14" s="1"/>
  <c r="N1550" i="14"/>
  <c r="J1550" i="13" a="1"/>
  <c r="J1550" i="13" s="1"/>
  <c r="N1551" i="13"/>
  <c r="K1364" i="13" l="1"/>
  <c r="L1364" i="13" s="1"/>
  <c r="I1365" i="13" s="1"/>
  <c r="K1387" i="14"/>
  <c r="L1387" i="14" s="1"/>
  <c r="I1388" i="14" s="1"/>
  <c r="M1555" i="14"/>
  <c r="J1551" i="13" a="1"/>
  <c r="J1551" i="13" s="1"/>
  <c r="N1552" i="13"/>
  <c r="J1550" i="14" a="1"/>
  <c r="J1550" i="14" s="1"/>
  <c r="N1551" i="14"/>
  <c r="M1554" i="13"/>
  <c r="K1365" i="13" l="1"/>
  <c r="L1365" i="13" s="1"/>
  <c r="I1366" i="13" s="1"/>
  <c r="J1552" i="13" a="1"/>
  <c r="J1552" i="13" s="1"/>
  <c r="N1553" i="13"/>
  <c r="M1555" i="13"/>
  <c r="J1551" i="14" a="1"/>
  <c r="J1551" i="14" s="1"/>
  <c r="N1552" i="14"/>
  <c r="M1556" i="14"/>
  <c r="K1388" i="14"/>
  <c r="L1388" i="14" s="1"/>
  <c r="I1389" i="14" s="1"/>
  <c r="K1366" i="13" l="1"/>
  <c r="L1366" i="13" s="1"/>
  <c r="I1367" i="13" s="1"/>
  <c r="K1389" i="14"/>
  <c r="L1389" i="14" s="1"/>
  <c r="I1390" i="14" s="1"/>
  <c r="N1553" i="14"/>
  <c r="J1552" i="14" a="1"/>
  <c r="J1552" i="14" s="1"/>
  <c r="N1554" i="13"/>
  <c r="J1553" i="13" a="1"/>
  <c r="J1553" i="13" s="1"/>
  <c r="M1557" i="14"/>
  <c r="M1556" i="13"/>
  <c r="K1367" i="13" l="1"/>
  <c r="L1367" i="13" s="1"/>
  <c r="I1368" i="13" s="1"/>
  <c r="K1390" i="14"/>
  <c r="L1390" i="14" s="1"/>
  <c r="I1391" i="14" s="1"/>
  <c r="M1557" i="13"/>
  <c r="J1554" i="13" a="1"/>
  <c r="J1554" i="13" s="1"/>
  <c r="N1555" i="13"/>
  <c r="M1558" i="14"/>
  <c r="J1553" i="14" a="1"/>
  <c r="J1553" i="14" s="1"/>
  <c r="N1554" i="14"/>
  <c r="K1368" i="13" l="1"/>
  <c r="L1368" i="13" s="1"/>
  <c r="I1369" i="13" s="1"/>
  <c r="K1391" i="14"/>
  <c r="L1391" i="14" s="1"/>
  <c r="I1392" i="14" s="1"/>
  <c r="J1555" i="13" a="1"/>
  <c r="J1555" i="13" s="1"/>
  <c r="N1556" i="13"/>
  <c r="J1554" i="14" a="1"/>
  <c r="J1554" i="14" s="1"/>
  <c r="N1555" i="14"/>
  <c r="M1559" i="14"/>
  <c r="M1558" i="13"/>
  <c r="K1369" i="13" l="1"/>
  <c r="L1369" i="13" s="1"/>
  <c r="I1370" i="13" s="1"/>
  <c r="K1392" i="14"/>
  <c r="L1392" i="14" s="1"/>
  <c r="I1393" i="14" s="1"/>
  <c r="M1560" i="14"/>
  <c r="J1555" i="14" a="1"/>
  <c r="J1555" i="14" s="1"/>
  <c r="N1556" i="14"/>
  <c r="M1559" i="13"/>
  <c r="J1556" i="13" a="1"/>
  <c r="J1556" i="13" s="1"/>
  <c r="N1557" i="13"/>
  <c r="K1370" i="13" l="1"/>
  <c r="L1370" i="13" s="1"/>
  <c r="I1371" i="13" s="1"/>
  <c r="K1393" i="14"/>
  <c r="L1393" i="14" s="1"/>
  <c r="I1394" i="14" s="1"/>
  <c r="N1557" i="14"/>
  <c r="J1556" i="14" a="1"/>
  <c r="J1556" i="14" s="1"/>
  <c r="N1558" i="13"/>
  <c r="J1557" i="13" a="1"/>
  <c r="J1557" i="13" s="1"/>
  <c r="M1560" i="13"/>
  <c r="M1561" i="14"/>
  <c r="K1371" i="13" l="1"/>
  <c r="L1371" i="13" s="1"/>
  <c r="I1372" i="13" s="1"/>
  <c r="K1394" i="14"/>
  <c r="L1394" i="14" s="1"/>
  <c r="I1395" i="14" s="1"/>
  <c r="J1558" i="13" a="1"/>
  <c r="J1558" i="13" s="1"/>
  <c r="N1559" i="13"/>
  <c r="M1562" i="14"/>
  <c r="M1561" i="13"/>
  <c r="J1557" i="14" a="1"/>
  <c r="J1557" i="14" s="1"/>
  <c r="N1558" i="14"/>
  <c r="K1372" i="13" l="1"/>
  <c r="L1372" i="13" s="1"/>
  <c r="I1373" i="13" s="1"/>
  <c r="K1395" i="14"/>
  <c r="L1395" i="14" s="1"/>
  <c r="I1396" i="14" s="1"/>
  <c r="M1563" i="14"/>
  <c r="J1558" i="14" a="1"/>
  <c r="J1558" i="14" s="1"/>
  <c r="N1559" i="14"/>
  <c r="J1559" i="13" a="1"/>
  <c r="J1559" i="13" s="1"/>
  <c r="N1560" i="13"/>
  <c r="M1562" i="13"/>
  <c r="K1373" i="13" l="1"/>
  <c r="L1373" i="13" s="1"/>
  <c r="I1374" i="13" s="1"/>
  <c r="K1396" i="14"/>
  <c r="L1396" i="14" s="1"/>
  <c r="I1397" i="14" s="1"/>
  <c r="J1560" i="13" a="1"/>
  <c r="J1560" i="13" s="1"/>
  <c r="N1561" i="13"/>
  <c r="M1564" i="14"/>
  <c r="J1559" i="14" a="1"/>
  <c r="J1559" i="14" s="1"/>
  <c r="N1560" i="14"/>
  <c r="M1563" i="13"/>
  <c r="K1374" i="13" l="1"/>
  <c r="L1374" i="13" s="1"/>
  <c r="I1375" i="13" s="1"/>
  <c r="K1397" i="14"/>
  <c r="L1397" i="14" s="1"/>
  <c r="I1398" i="14" s="1"/>
  <c r="M1564" i="13"/>
  <c r="M1565" i="14"/>
  <c r="N1562" i="13"/>
  <c r="J1561" i="13" a="1"/>
  <c r="J1561" i="13" s="1"/>
  <c r="N1561" i="14"/>
  <c r="J1560" i="14" a="1"/>
  <c r="J1560" i="14" s="1"/>
  <c r="K1375" i="13" l="1"/>
  <c r="L1375" i="13" s="1"/>
  <c r="I1376" i="13" s="1"/>
  <c r="K1398" i="14"/>
  <c r="L1398" i="14" s="1"/>
  <c r="I1399" i="14" s="1"/>
  <c r="J1561" i="14" a="1"/>
  <c r="J1561" i="14" s="1"/>
  <c r="N1562" i="14"/>
  <c r="M1566" i="14"/>
  <c r="M1565" i="13"/>
  <c r="J1562" i="13" a="1"/>
  <c r="J1562" i="13" s="1"/>
  <c r="N1563" i="13"/>
  <c r="K1376" i="13" l="1"/>
  <c r="L1376" i="13" s="1"/>
  <c r="I1377" i="13" s="1"/>
  <c r="K1399" i="14"/>
  <c r="L1399" i="14" s="1"/>
  <c r="I1400" i="14" s="1"/>
  <c r="M1566" i="13"/>
  <c r="J1563" i="13" a="1"/>
  <c r="J1563" i="13" s="1"/>
  <c r="N1564" i="13"/>
  <c r="M1567" i="14"/>
  <c r="J1562" i="14" a="1"/>
  <c r="J1562" i="14" s="1"/>
  <c r="N1563" i="14"/>
  <c r="K1377" i="13" l="1"/>
  <c r="L1377" i="13" s="1"/>
  <c r="I1378" i="13" s="1"/>
  <c r="K1400" i="14"/>
  <c r="L1400" i="14" s="1"/>
  <c r="I1401" i="14" s="1"/>
  <c r="J1564" i="13" a="1"/>
  <c r="J1564" i="13" s="1"/>
  <c r="N1565" i="13"/>
  <c r="J1563" i="14" a="1"/>
  <c r="J1563" i="14" s="1"/>
  <c r="N1564" i="14"/>
  <c r="M1568" i="14"/>
  <c r="M1567" i="13"/>
  <c r="K1378" i="13" l="1"/>
  <c r="L1378" i="13" s="1"/>
  <c r="I1379" i="13" s="1"/>
  <c r="K1401" i="14"/>
  <c r="L1401" i="14" s="1"/>
  <c r="I1402" i="14" s="1"/>
  <c r="M1569" i="14"/>
  <c r="N1565" i="14"/>
  <c r="J1564" i="14" a="1"/>
  <c r="J1564" i="14" s="1"/>
  <c r="M1568" i="13"/>
  <c r="N1566" i="13"/>
  <c r="J1565" i="13" a="1"/>
  <c r="J1565" i="13" s="1"/>
  <c r="K1379" i="13" l="1"/>
  <c r="L1379" i="13" s="1"/>
  <c r="I1380" i="13" s="1"/>
  <c r="K1402" i="14"/>
  <c r="L1402" i="14" s="1"/>
  <c r="I1403" i="14" s="1"/>
  <c r="M1569" i="13"/>
  <c r="J1566" i="13" a="1"/>
  <c r="J1566" i="13" s="1"/>
  <c r="N1567" i="13"/>
  <c r="M1570" i="14"/>
  <c r="J1565" i="14" a="1"/>
  <c r="J1565" i="14" s="1"/>
  <c r="N1566" i="14"/>
  <c r="K1380" i="13" l="1"/>
  <c r="L1380" i="13" s="1"/>
  <c r="I1381" i="13" s="1"/>
  <c r="K1403" i="14"/>
  <c r="L1403" i="14" s="1"/>
  <c r="I1404" i="14" s="1"/>
  <c r="J1567" i="13" a="1"/>
  <c r="J1567" i="13" s="1"/>
  <c r="N1568" i="13"/>
  <c r="J1566" i="14" a="1"/>
  <c r="J1566" i="14" s="1"/>
  <c r="N1567" i="14"/>
  <c r="M1571" i="14"/>
  <c r="M1570" i="13"/>
  <c r="K1381" i="13" l="1"/>
  <c r="L1381" i="13" s="1"/>
  <c r="I1382" i="13" s="1"/>
  <c r="K1404" i="14"/>
  <c r="L1404" i="14" s="1"/>
  <c r="I1405" i="14" s="1"/>
  <c r="J1567" i="14" a="1"/>
  <c r="J1567" i="14" s="1"/>
  <c r="N1568" i="14"/>
  <c r="J1568" i="13" a="1"/>
  <c r="J1568" i="13" s="1"/>
  <c r="N1569" i="13"/>
  <c r="M1571" i="13"/>
  <c r="M1572" i="14"/>
  <c r="K1382" i="13" l="1"/>
  <c r="L1382" i="13" s="1"/>
  <c r="I1383" i="13" s="1"/>
  <c r="K1405" i="14"/>
  <c r="L1405" i="14" s="1"/>
  <c r="I1406" i="14" s="1"/>
  <c r="N1570" i="13"/>
  <c r="J1569" i="13" a="1"/>
  <c r="J1569" i="13" s="1"/>
  <c r="N1569" i="14"/>
  <c r="J1568" i="14" a="1"/>
  <c r="J1568" i="14" s="1"/>
  <c r="M1573" i="14"/>
  <c r="M1572" i="13"/>
  <c r="K1383" i="13" l="1"/>
  <c r="L1383" i="13" s="1"/>
  <c r="I1384" i="13" s="1"/>
  <c r="K1406" i="14"/>
  <c r="L1406" i="14" s="1"/>
  <c r="I1407" i="14" s="1"/>
  <c r="M1573" i="13"/>
  <c r="J1569" i="14" a="1"/>
  <c r="J1569" i="14" s="1"/>
  <c r="N1570" i="14"/>
  <c r="M1574" i="14"/>
  <c r="J1570" i="13" a="1"/>
  <c r="J1570" i="13" s="1"/>
  <c r="N1571" i="13"/>
  <c r="K1384" i="13" l="1"/>
  <c r="L1384" i="13" s="1"/>
  <c r="I1385" i="13" s="1"/>
  <c r="K1407" i="14"/>
  <c r="L1407" i="14" s="1"/>
  <c r="I1408" i="14" s="1"/>
  <c r="J1570" i="14" a="1"/>
  <c r="J1570" i="14" s="1"/>
  <c r="N1571" i="14"/>
  <c r="J1571" i="13" a="1"/>
  <c r="J1571" i="13" s="1"/>
  <c r="N1572" i="13"/>
  <c r="M1574" i="13"/>
  <c r="M1575" i="14"/>
  <c r="K1385" i="13" l="1"/>
  <c r="L1385" i="13" s="1"/>
  <c r="I1386" i="13" s="1"/>
  <c r="K1408" i="14"/>
  <c r="L1408" i="14" s="1"/>
  <c r="I1409" i="14" s="1"/>
  <c r="M1576" i="14"/>
  <c r="J1572" i="13" a="1"/>
  <c r="J1572" i="13" s="1"/>
  <c r="N1573" i="13"/>
  <c r="J1571" i="14" a="1"/>
  <c r="J1571" i="14" s="1"/>
  <c r="N1572" i="14"/>
  <c r="M1575" i="13"/>
  <c r="K1386" i="13" l="1"/>
  <c r="L1386" i="13" s="1"/>
  <c r="I1387" i="13" s="1"/>
  <c r="K1409" i="14"/>
  <c r="L1409" i="14" s="1"/>
  <c r="I1410" i="14" s="1"/>
  <c r="N1574" i="13"/>
  <c r="J1573" i="13" a="1"/>
  <c r="J1573" i="13" s="1"/>
  <c r="M1576" i="13"/>
  <c r="M1577" i="14"/>
  <c r="N1573" i="14"/>
  <c r="J1572" i="14" a="1"/>
  <c r="J1572" i="14" s="1"/>
  <c r="K1387" i="13" l="1"/>
  <c r="L1387" i="13" s="1"/>
  <c r="I1388" i="13" s="1"/>
  <c r="K1410" i="14"/>
  <c r="L1410" i="14" s="1"/>
  <c r="I1411" i="14" s="1"/>
  <c r="M1577" i="13"/>
  <c r="J1573" i="14" a="1"/>
  <c r="J1573" i="14" s="1"/>
  <c r="N1574" i="14"/>
  <c r="M1578" i="14"/>
  <c r="J1574" i="13" a="1"/>
  <c r="J1574" i="13" s="1"/>
  <c r="N1575" i="13"/>
  <c r="K1388" i="13" l="1"/>
  <c r="L1388" i="13" s="1"/>
  <c r="I1389" i="13" s="1"/>
  <c r="J1575" i="13" a="1"/>
  <c r="J1575" i="13" s="1"/>
  <c r="N1576" i="13"/>
  <c r="J1574" i="14" a="1"/>
  <c r="J1574" i="14" s="1"/>
  <c r="N1575" i="14"/>
  <c r="M1579" i="14"/>
  <c r="M1578" i="13"/>
  <c r="K1411" i="14"/>
  <c r="L1411" i="14" s="1"/>
  <c r="I1412" i="14" s="1"/>
  <c r="K1389" i="13" l="1"/>
  <c r="L1389" i="13" s="1"/>
  <c r="I1390" i="13" s="1"/>
  <c r="M1579" i="13"/>
  <c r="M1580" i="14"/>
  <c r="J1576" i="13" a="1"/>
  <c r="J1576" i="13" s="1"/>
  <c r="N1577" i="13"/>
  <c r="J1575" i="14" a="1"/>
  <c r="J1575" i="14" s="1"/>
  <c r="N1576" i="14"/>
  <c r="K1412" i="14"/>
  <c r="L1412" i="14" s="1"/>
  <c r="I1413" i="14" s="1"/>
  <c r="K1390" i="13" l="1"/>
  <c r="L1390" i="13" s="1"/>
  <c r="I1391" i="13" s="1"/>
  <c r="K1413" i="14"/>
  <c r="L1413" i="14" s="1"/>
  <c r="I1414" i="14" s="1"/>
  <c r="M1580" i="13"/>
  <c r="N1578" i="13"/>
  <c r="J1577" i="13" a="1"/>
  <c r="J1577" i="13" s="1"/>
  <c r="N1577" i="14"/>
  <c r="J1576" i="14" a="1"/>
  <c r="J1576" i="14" s="1"/>
  <c r="M1581" i="14"/>
  <c r="K1391" i="13" l="1"/>
  <c r="L1391" i="13" s="1"/>
  <c r="I1392" i="13" s="1"/>
  <c r="K1414" i="14"/>
  <c r="L1414" i="14" s="1"/>
  <c r="I1415" i="14" s="1"/>
  <c r="M1582" i="14"/>
  <c r="J1578" i="13" a="1"/>
  <c r="J1578" i="13" s="1"/>
  <c r="N1579" i="13"/>
  <c r="M1581" i="13"/>
  <c r="J1577" i="14" a="1"/>
  <c r="J1577" i="14" s="1"/>
  <c r="N1578" i="14"/>
  <c r="K1392" i="13" l="1"/>
  <c r="L1392" i="13" s="1"/>
  <c r="I1393" i="13" s="1"/>
  <c r="K1415" i="14"/>
  <c r="L1415" i="14" s="1"/>
  <c r="I1416" i="14" s="1"/>
  <c r="J1578" i="14" a="1"/>
  <c r="J1578" i="14" s="1"/>
  <c r="N1579" i="14"/>
  <c r="J1579" i="13" a="1"/>
  <c r="J1579" i="13" s="1"/>
  <c r="N1580" i="13"/>
  <c r="M1582" i="13"/>
  <c r="M1583" i="14"/>
  <c r="K1393" i="13" l="1"/>
  <c r="L1393" i="13" s="1"/>
  <c r="I1394" i="13" s="1"/>
  <c r="K1416" i="14"/>
  <c r="L1416" i="14" s="1"/>
  <c r="I1417" i="14" s="1"/>
  <c r="M1584" i="14"/>
  <c r="J1580" i="13" a="1"/>
  <c r="J1580" i="13" s="1"/>
  <c r="N1581" i="13"/>
  <c r="J1579" i="14" a="1"/>
  <c r="J1579" i="14" s="1"/>
  <c r="N1580" i="14"/>
  <c r="M1583" i="13"/>
  <c r="K1394" i="13" l="1"/>
  <c r="L1394" i="13" s="1"/>
  <c r="I1395" i="13" s="1"/>
  <c r="N1581" i="14"/>
  <c r="J1580" i="14" a="1"/>
  <c r="J1580" i="14" s="1"/>
  <c r="N1582" i="13"/>
  <c r="J1581" i="13" a="1"/>
  <c r="J1581" i="13" s="1"/>
  <c r="K1417" i="14"/>
  <c r="L1417" i="14" s="1"/>
  <c r="I1418" i="14" s="1"/>
  <c r="M1584" i="13"/>
  <c r="M1585" i="14"/>
  <c r="K1395" i="13" l="1"/>
  <c r="L1395" i="13" s="1"/>
  <c r="I1396" i="13" s="1"/>
  <c r="K1418" i="14"/>
  <c r="L1418" i="14" s="1"/>
  <c r="I1419" i="14" s="1"/>
  <c r="J1581" i="14" a="1"/>
  <c r="J1581" i="14" s="1"/>
  <c r="N1582" i="14"/>
  <c r="M1586" i="14"/>
  <c r="M1585" i="13"/>
  <c r="J1582" i="13" a="1"/>
  <c r="J1582" i="13" s="1"/>
  <c r="N1583" i="13"/>
  <c r="K1396" i="13" l="1"/>
  <c r="L1396" i="13" s="1"/>
  <c r="I1397" i="13" s="1"/>
  <c r="K1419" i="14"/>
  <c r="L1419" i="14" s="1"/>
  <c r="I1420" i="14" s="1"/>
  <c r="J1583" i="13" a="1"/>
  <c r="J1583" i="13" s="1"/>
  <c r="N1584" i="13"/>
  <c r="M1587" i="14"/>
  <c r="J1582" i="14" a="1"/>
  <c r="J1582" i="14" s="1"/>
  <c r="N1583" i="14"/>
  <c r="M1586" i="13"/>
  <c r="K1397" i="13" l="1"/>
  <c r="L1397" i="13" s="1"/>
  <c r="I1398" i="13" s="1"/>
  <c r="K1420" i="14"/>
  <c r="L1420" i="14" s="1"/>
  <c r="I1421" i="14" s="1"/>
  <c r="J1584" i="13" a="1"/>
  <c r="J1584" i="13" s="1"/>
  <c r="N1585" i="13"/>
  <c r="M1588" i="14"/>
  <c r="M1587" i="13"/>
  <c r="J1583" i="14" a="1"/>
  <c r="J1583" i="14" s="1"/>
  <c r="N1584" i="14"/>
  <c r="K1398" i="13" l="1"/>
  <c r="L1398" i="13" s="1"/>
  <c r="I1399" i="13" s="1"/>
  <c r="K1421" i="14"/>
  <c r="L1421" i="14" s="1"/>
  <c r="I1422" i="14" s="1"/>
  <c r="N1585" i="14"/>
  <c r="J1584" i="14" a="1"/>
  <c r="J1584" i="14" s="1"/>
  <c r="M1588" i="13"/>
  <c r="M1589" i="14"/>
  <c r="N1586" i="13"/>
  <c r="J1585" i="13" a="1"/>
  <c r="J1585" i="13" s="1"/>
  <c r="K1399" i="13" l="1"/>
  <c r="L1399" i="13" s="1"/>
  <c r="I1400" i="13" s="1"/>
  <c r="K1422" i="14"/>
  <c r="L1422" i="14" s="1"/>
  <c r="I1423" i="14" s="1"/>
  <c r="M1590" i="14"/>
  <c r="J1585" i="14" a="1"/>
  <c r="J1585" i="14" s="1"/>
  <c r="N1586" i="14"/>
  <c r="M1589" i="13"/>
  <c r="J1586" i="13" a="1"/>
  <c r="J1586" i="13" s="1"/>
  <c r="N1587" i="13"/>
  <c r="K1400" i="13" l="1"/>
  <c r="L1400" i="13" s="1"/>
  <c r="I1401" i="13" s="1"/>
  <c r="K1423" i="14"/>
  <c r="L1423" i="14" s="1"/>
  <c r="I1424" i="14" s="1"/>
  <c r="J1586" i="14" a="1"/>
  <c r="J1586" i="14" s="1"/>
  <c r="N1587" i="14"/>
  <c r="J1587" i="13" a="1"/>
  <c r="J1587" i="13" s="1"/>
  <c r="N1588" i="13"/>
  <c r="M1590" i="13"/>
  <c r="M1591" i="14"/>
  <c r="K1401" i="13" l="1"/>
  <c r="L1401" i="13" s="1"/>
  <c r="I1402" i="13" s="1"/>
  <c r="K1424" i="14"/>
  <c r="L1424" i="14" s="1"/>
  <c r="I1425" i="14" s="1"/>
  <c r="M1592" i="14"/>
  <c r="J1588" i="13" a="1"/>
  <c r="J1588" i="13" s="1"/>
  <c r="N1589" i="13"/>
  <c r="J1587" i="14" a="1"/>
  <c r="J1587" i="14" s="1"/>
  <c r="N1588" i="14"/>
  <c r="M1591" i="13"/>
  <c r="K1402" i="13" l="1"/>
  <c r="L1402" i="13" s="1"/>
  <c r="I1403" i="13" s="1"/>
  <c r="K1425" i="14"/>
  <c r="L1425" i="14" s="1"/>
  <c r="I1426" i="14" s="1"/>
  <c r="N1590" i="13"/>
  <c r="J1589" i="13" a="1"/>
  <c r="J1589" i="13" s="1"/>
  <c r="M1592" i="13"/>
  <c r="N1589" i="14"/>
  <c r="J1588" i="14" a="1"/>
  <c r="J1588" i="14" s="1"/>
  <c r="M1593" i="14"/>
  <c r="K1403" i="13" l="1"/>
  <c r="L1403" i="13" s="1"/>
  <c r="I1404" i="13" s="1"/>
  <c r="K1426" i="14"/>
  <c r="L1426" i="14" s="1"/>
  <c r="I1427" i="14" s="1"/>
  <c r="J1589" i="14" a="1"/>
  <c r="J1589" i="14" s="1"/>
  <c r="N1590" i="14"/>
  <c r="M1593" i="13"/>
  <c r="M1594" i="14"/>
  <c r="J1590" i="13" a="1"/>
  <c r="J1590" i="13" s="1"/>
  <c r="N1591" i="13"/>
  <c r="K1404" i="13" l="1"/>
  <c r="L1404" i="13" s="1"/>
  <c r="I1405" i="13" s="1"/>
  <c r="K1427" i="14"/>
  <c r="L1427" i="14" s="1"/>
  <c r="I1428" i="14" s="1"/>
  <c r="M1594" i="13"/>
  <c r="J1590" i="14" a="1"/>
  <c r="J1590" i="14" s="1"/>
  <c r="N1591" i="14"/>
  <c r="J1591" i="13" a="1"/>
  <c r="J1591" i="13" s="1"/>
  <c r="N1592" i="13"/>
  <c r="M1595" i="14"/>
  <c r="K1405" i="13" l="1"/>
  <c r="L1405" i="13" s="1"/>
  <c r="I1406" i="13" s="1"/>
  <c r="K1428" i="14"/>
  <c r="L1428" i="14" s="1"/>
  <c r="I1429" i="14" s="1"/>
  <c r="J1592" i="13" a="1"/>
  <c r="J1592" i="13" s="1"/>
  <c r="N1593" i="13"/>
  <c r="M1596" i="14"/>
  <c r="J1591" i="14" a="1"/>
  <c r="J1591" i="14" s="1"/>
  <c r="N1592" i="14"/>
  <c r="M1595" i="13"/>
  <c r="K1406" i="13" l="1"/>
  <c r="L1406" i="13" s="1"/>
  <c r="I1407" i="13" s="1"/>
  <c r="K1429" i="14"/>
  <c r="L1429" i="14" s="1"/>
  <c r="I1430" i="14" s="1"/>
  <c r="N1594" i="13"/>
  <c r="J1593" i="13" a="1"/>
  <c r="J1593" i="13" s="1"/>
  <c r="M1596" i="13"/>
  <c r="M1597" i="14"/>
  <c r="N1593" i="14"/>
  <c r="J1592" i="14" a="1"/>
  <c r="J1592" i="14" s="1"/>
  <c r="K1407" i="13" l="1"/>
  <c r="L1407" i="13" s="1"/>
  <c r="I1408" i="13" s="1"/>
  <c r="K1430" i="14"/>
  <c r="L1430" i="14" s="1"/>
  <c r="I1431" i="14" s="1"/>
  <c r="M1597" i="13"/>
  <c r="J1593" i="14" a="1"/>
  <c r="J1593" i="14" s="1"/>
  <c r="N1594" i="14"/>
  <c r="M1598" i="14"/>
  <c r="J1594" i="13" a="1"/>
  <c r="J1594" i="13" s="1"/>
  <c r="N1595" i="13"/>
  <c r="K1408" i="13" l="1"/>
  <c r="L1408" i="13" s="1"/>
  <c r="I1409" i="13" s="1"/>
  <c r="K1431" i="14"/>
  <c r="L1431" i="14" s="1"/>
  <c r="I1432" i="14" s="1"/>
  <c r="M1599" i="14"/>
  <c r="J1595" i="13" a="1"/>
  <c r="J1595" i="13" s="1"/>
  <c r="N1596" i="13"/>
  <c r="M1598" i="13"/>
  <c r="J1594" i="14" a="1"/>
  <c r="J1594" i="14" s="1"/>
  <c r="N1595" i="14"/>
  <c r="K1409" i="13" l="1"/>
  <c r="L1409" i="13" s="1"/>
  <c r="I1410" i="13" s="1"/>
  <c r="K1432" i="14"/>
  <c r="L1432" i="14" s="1"/>
  <c r="I1433" i="14" s="1"/>
  <c r="M1600" i="14"/>
  <c r="J1596" i="13" a="1"/>
  <c r="J1596" i="13" s="1"/>
  <c r="N1597" i="13"/>
  <c r="J1595" i="14" a="1"/>
  <c r="J1595" i="14" s="1"/>
  <c r="N1596" i="14"/>
  <c r="M1599" i="13"/>
  <c r="K1410" i="13" l="1"/>
  <c r="L1410" i="13" s="1"/>
  <c r="I1411" i="13" s="1"/>
  <c r="N1598" i="13"/>
  <c r="J1597" i="13" a="1"/>
  <c r="J1597" i="13" s="1"/>
  <c r="N1597" i="14"/>
  <c r="J1596" i="14" a="1"/>
  <c r="J1596" i="14" s="1"/>
  <c r="M1600" i="13"/>
  <c r="K1433" i="14"/>
  <c r="L1433" i="14" s="1"/>
  <c r="I1434" i="14" s="1"/>
  <c r="M1601" i="14"/>
  <c r="K1411" i="13" l="1"/>
  <c r="L1411" i="13" s="1"/>
  <c r="I1412" i="13" s="1"/>
  <c r="K1434" i="14"/>
  <c r="L1434" i="14" s="1"/>
  <c r="I1435" i="14" s="1"/>
  <c r="M1602" i="14"/>
  <c r="J1598" i="13" a="1"/>
  <c r="J1598" i="13" s="1"/>
  <c r="N1599" i="13"/>
  <c r="M1601" i="13"/>
  <c r="J1597" i="14" a="1"/>
  <c r="J1597" i="14" s="1"/>
  <c r="N1598" i="14"/>
  <c r="K1412" i="13" l="1"/>
  <c r="L1412" i="13" s="1"/>
  <c r="I1413" i="13" s="1"/>
  <c r="K1435" i="14"/>
  <c r="L1435" i="14" s="1"/>
  <c r="I1436" i="14" s="1"/>
  <c r="J1599" i="13" a="1"/>
  <c r="J1599" i="13" s="1"/>
  <c r="N1600" i="13"/>
  <c r="J1598" i="14" a="1"/>
  <c r="J1598" i="14" s="1"/>
  <c r="N1599" i="14"/>
  <c r="M1602" i="13"/>
  <c r="M1603" i="14"/>
  <c r="K1413" i="13" l="1"/>
  <c r="L1413" i="13" s="1"/>
  <c r="I1414" i="13" s="1"/>
  <c r="K1436" i="14"/>
  <c r="L1436" i="14" s="1"/>
  <c r="I1437" i="14" s="1"/>
  <c r="M1604" i="14"/>
  <c r="J1600" i="13" a="1"/>
  <c r="J1600" i="13" s="1"/>
  <c r="N1601" i="13"/>
  <c r="J1599" i="14" a="1"/>
  <c r="J1599" i="14" s="1"/>
  <c r="N1600" i="14"/>
  <c r="M1603" i="13"/>
  <c r="K1414" i="13" l="1"/>
  <c r="L1414" i="13" s="1"/>
  <c r="I1415" i="13" s="1"/>
  <c r="K1437" i="14"/>
  <c r="L1437" i="14" s="1"/>
  <c r="I1438" i="14" s="1"/>
  <c r="N1601" i="14"/>
  <c r="J1600" i="14" a="1"/>
  <c r="J1600" i="14" s="1"/>
  <c r="M1605" i="14"/>
  <c r="N1602" i="13"/>
  <c r="J1601" i="13" a="1"/>
  <c r="J1601" i="13" s="1"/>
  <c r="M1604" i="13"/>
  <c r="K1415" i="13" l="1"/>
  <c r="L1415" i="13" s="1"/>
  <c r="I1416" i="13" s="1"/>
  <c r="K1438" i="14"/>
  <c r="L1438" i="14" s="1"/>
  <c r="I1439" i="14" s="1"/>
  <c r="J1601" i="14" a="1"/>
  <c r="J1601" i="14" s="1"/>
  <c r="N1602" i="14"/>
  <c r="J1602" i="13" a="1"/>
  <c r="J1602" i="13" s="1"/>
  <c r="N1603" i="13"/>
  <c r="M1605" i="13"/>
  <c r="M1606" i="14"/>
  <c r="K1416" i="13" l="1"/>
  <c r="L1416" i="13" s="1"/>
  <c r="I1417" i="13" s="1"/>
  <c r="K1439" i="14"/>
  <c r="L1439" i="14" s="1"/>
  <c r="I1440" i="14" s="1"/>
  <c r="J1603" i="13" a="1"/>
  <c r="J1603" i="13" s="1"/>
  <c r="N1604" i="13"/>
  <c r="M1606" i="13"/>
  <c r="M1607" i="14"/>
  <c r="J1602" i="14" a="1"/>
  <c r="J1602" i="14" s="1"/>
  <c r="N1603" i="14"/>
  <c r="K1417" i="13" l="1"/>
  <c r="L1417" i="13" s="1"/>
  <c r="I1418" i="13" s="1"/>
  <c r="K1440" i="14"/>
  <c r="L1440" i="14" s="1"/>
  <c r="I1441" i="14" s="1"/>
  <c r="M1607" i="13"/>
  <c r="J1604" i="13" a="1"/>
  <c r="J1604" i="13" s="1"/>
  <c r="N1605" i="13"/>
  <c r="J1603" i="14" a="1"/>
  <c r="J1603" i="14" s="1"/>
  <c r="N1604" i="14"/>
  <c r="M1608" i="14"/>
  <c r="K1418" i="13" l="1"/>
  <c r="L1418" i="13" s="1"/>
  <c r="I1419" i="13" s="1"/>
  <c r="K1441" i="14"/>
  <c r="L1441" i="14" s="1"/>
  <c r="I1442" i="14" s="1"/>
  <c r="N1605" i="14"/>
  <c r="J1604" i="14" a="1"/>
  <c r="J1604" i="14" s="1"/>
  <c r="M1609" i="14"/>
  <c r="M1608" i="13"/>
  <c r="N1606" i="13"/>
  <c r="J1605" i="13" a="1"/>
  <c r="J1605" i="13" s="1"/>
  <c r="K1419" i="13" l="1"/>
  <c r="L1419" i="13" s="1"/>
  <c r="I1420" i="13" s="1"/>
  <c r="K1442" i="14"/>
  <c r="L1442" i="14" s="1"/>
  <c r="I1443" i="14" s="1"/>
  <c r="J1606" i="13" a="1"/>
  <c r="J1606" i="13" s="1"/>
  <c r="N1607" i="13"/>
  <c r="M1610" i="14"/>
  <c r="M1609" i="13"/>
  <c r="J1605" i="14" a="1"/>
  <c r="J1605" i="14" s="1"/>
  <c r="N1606" i="14"/>
  <c r="K1420" i="13" l="1"/>
  <c r="L1420" i="13" s="1"/>
  <c r="I1421" i="13" s="1"/>
  <c r="K1443" i="14"/>
  <c r="L1443" i="14" s="1"/>
  <c r="I1444" i="14" s="1"/>
  <c r="M1611" i="14"/>
  <c r="J1607" i="13" a="1"/>
  <c r="J1607" i="13" s="1"/>
  <c r="N1608" i="13"/>
  <c r="J1606" i="14" a="1"/>
  <c r="J1606" i="14" s="1"/>
  <c r="N1607" i="14"/>
  <c r="M1610" i="13"/>
  <c r="K1421" i="13" l="1"/>
  <c r="L1421" i="13" s="1"/>
  <c r="I1422" i="13" s="1"/>
  <c r="J1608" i="13" a="1"/>
  <c r="J1608" i="13" s="1"/>
  <c r="N1609" i="13"/>
  <c r="M1611" i="13"/>
  <c r="J1607" i="14" a="1"/>
  <c r="J1607" i="14" s="1"/>
  <c r="N1608" i="14"/>
  <c r="M1612" i="14"/>
  <c r="K1444" i="14"/>
  <c r="L1444" i="14" s="1"/>
  <c r="I1445" i="14" s="1"/>
  <c r="K1422" i="13" l="1"/>
  <c r="L1422" i="13" s="1"/>
  <c r="I1423" i="13" s="1"/>
  <c r="K1445" i="14"/>
  <c r="L1445" i="14" s="1"/>
  <c r="I1446" i="14" s="1"/>
  <c r="N1609" i="14"/>
  <c r="J1608" i="14" a="1"/>
  <c r="J1608" i="14" s="1"/>
  <c r="N1610" i="13"/>
  <c r="J1609" i="13" a="1"/>
  <c r="J1609" i="13" s="1"/>
  <c r="M1613" i="14"/>
  <c r="M1612" i="13"/>
  <c r="K1423" i="13" l="1"/>
  <c r="L1423" i="13" s="1"/>
  <c r="I1424" i="13" s="1"/>
  <c r="K1446" i="14"/>
  <c r="L1446" i="14" s="1"/>
  <c r="I1447" i="14" s="1"/>
  <c r="M1614" i="14"/>
  <c r="M1613" i="13"/>
  <c r="J1610" i="13" a="1"/>
  <c r="J1610" i="13" s="1"/>
  <c r="N1611" i="13"/>
  <c r="J1609" i="14" a="1"/>
  <c r="J1609" i="14" s="1"/>
  <c r="N1610" i="14"/>
  <c r="K1424" i="13" l="1"/>
  <c r="L1424" i="13" s="1"/>
  <c r="I1425" i="13" s="1"/>
  <c r="K1447" i="14"/>
  <c r="L1447" i="14" s="1"/>
  <c r="I1448" i="14" s="1"/>
  <c r="J1610" i="14" a="1"/>
  <c r="J1610" i="14" s="1"/>
  <c r="N1611" i="14"/>
  <c r="M1615" i="14"/>
  <c r="J1611" i="13" a="1"/>
  <c r="J1611" i="13" s="1"/>
  <c r="N1612" i="13"/>
  <c r="M1614" i="13"/>
  <c r="K1425" i="13" l="1"/>
  <c r="L1425" i="13" s="1"/>
  <c r="I1426" i="13" s="1"/>
  <c r="K1448" i="14"/>
  <c r="L1448" i="14" s="1"/>
  <c r="I1449" i="14" s="1"/>
  <c r="M1616" i="14"/>
  <c r="J1612" i="13" a="1"/>
  <c r="J1612" i="13" s="1"/>
  <c r="N1613" i="13"/>
  <c r="M1615" i="13"/>
  <c r="J1611" i="14" a="1"/>
  <c r="J1611" i="14" s="1"/>
  <c r="N1612" i="14"/>
  <c r="K1426" i="13" l="1"/>
  <c r="L1426" i="13" s="1"/>
  <c r="I1427" i="13" s="1"/>
  <c r="K1449" i="14"/>
  <c r="L1449" i="14" s="1"/>
  <c r="I1450" i="14" s="1"/>
  <c r="N1613" i="14"/>
  <c r="J1612" i="14" a="1"/>
  <c r="J1612" i="14" s="1"/>
  <c r="N1614" i="13"/>
  <c r="J1613" i="13" a="1"/>
  <c r="J1613" i="13" s="1"/>
  <c r="M1616" i="13"/>
  <c r="M1617" i="14"/>
  <c r="K1427" i="13" l="1"/>
  <c r="L1427" i="13" s="1"/>
  <c r="I1428" i="13" s="1"/>
  <c r="K1450" i="14"/>
  <c r="L1450" i="14" s="1"/>
  <c r="I1451" i="14" s="1"/>
  <c r="M1618" i="14"/>
  <c r="J1614" i="13" a="1"/>
  <c r="J1614" i="13" s="1"/>
  <c r="N1615" i="13"/>
  <c r="M1617" i="13"/>
  <c r="J1613" i="14" a="1"/>
  <c r="J1613" i="14" s="1"/>
  <c r="N1614" i="14"/>
  <c r="K1428" i="13" l="1"/>
  <c r="L1428" i="13" s="1"/>
  <c r="I1429" i="13" s="1"/>
  <c r="K1451" i="14"/>
  <c r="L1451" i="14" s="1"/>
  <c r="I1452" i="14" s="1"/>
  <c r="J1614" i="14" a="1"/>
  <c r="J1614" i="14" s="1"/>
  <c r="N1615" i="14"/>
  <c r="J1615" i="13" a="1"/>
  <c r="J1615" i="13" s="1"/>
  <c r="N1616" i="13"/>
  <c r="M1618" i="13"/>
  <c r="M1619" i="14"/>
  <c r="K1429" i="13" l="1"/>
  <c r="L1429" i="13" s="1"/>
  <c r="I1430" i="13" s="1"/>
  <c r="K1452" i="14"/>
  <c r="L1452" i="14" s="1"/>
  <c r="I1453" i="14" s="1"/>
  <c r="M1620" i="14"/>
  <c r="J1616" i="13" a="1"/>
  <c r="J1616" i="13" s="1"/>
  <c r="N1617" i="13"/>
  <c r="J1615" i="14" a="1"/>
  <c r="J1615" i="14" s="1"/>
  <c r="N1616" i="14"/>
  <c r="M1619" i="13"/>
  <c r="K1430" i="13" l="1"/>
  <c r="L1430" i="13" s="1"/>
  <c r="I1431" i="13" s="1"/>
  <c r="K1453" i="14"/>
  <c r="L1453" i="14" s="1"/>
  <c r="I1454" i="14" s="1"/>
  <c r="N1618" i="13"/>
  <c r="J1617" i="13" a="1"/>
  <c r="J1617" i="13" s="1"/>
  <c r="N1617" i="14"/>
  <c r="J1616" i="14" a="1"/>
  <c r="J1616" i="14" s="1"/>
  <c r="M1620" i="13"/>
  <c r="M1621" i="14"/>
  <c r="K1431" i="13" l="1"/>
  <c r="L1431" i="13" s="1"/>
  <c r="I1432" i="13" s="1"/>
  <c r="K1454" i="14"/>
  <c r="L1454" i="14" s="1"/>
  <c r="I1455" i="14" s="1"/>
  <c r="J1617" i="14" a="1"/>
  <c r="J1617" i="14" s="1"/>
  <c r="N1618" i="14"/>
  <c r="M1622" i="14"/>
  <c r="M1621" i="13"/>
  <c r="J1618" i="13" a="1"/>
  <c r="J1618" i="13" s="1"/>
  <c r="N1619" i="13"/>
  <c r="K1432" i="13" l="1"/>
  <c r="L1432" i="13" s="1"/>
  <c r="I1433" i="13" s="1"/>
  <c r="K1455" i="14"/>
  <c r="L1455" i="14" s="1"/>
  <c r="I1456" i="14" s="1"/>
  <c r="J1619" i="13" a="1"/>
  <c r="J1619" i="13" s="1"/>
  <c r="N1620" i="13"/>
  <c r="M1623" i="14"/>
  <c r="J1618" i="14" a="1"/>
  <c r="J1618" i="14" s="1"/>
  <c r="N1619" i="14"/>
  <c r="M1622" i="13"/>
  <c r="K1433" i="13" l="1"/>
  <c r="L1433" i="13" s="1"/>
  <c r="I1434" i="13" s="1"/>
  <c r="K1456" i="14"/>
  <c r="L1456" i="14" s="1"/>
  <c r="I1457" i="14" s="1"/>
  <c r="J1620" i="13" a="1"/>
  <c r="J1620" i="13" s="1"/>
  <c r="N1621" i="13"/>
  <c r="M1624" i="14"/>
  <c r="J1619" i="14" a="1"/>
  <c r="J1619" i="14" s="1"/>
  <c r="N1620" i="14"/>
  <c r="M1623" i="13"/>
  <c r="K1434" i="13" l="1"/>
  <c r="L1434" i="13" s="1"/>
  <c r="I1435" i="13" s="1"/>
  <c r="K1457" i="14"/>
  <c r="L1457" i="14" s="1"/>
  <c r="I1458" i="14" s="1"/>
  <c r="N1621" i="14"/>
  <c r="J1620" i="14" a="1"/>
  <c r="J1620" i="14" s="1"/>
  <c r="N1622" i="13"/>
  <c r="J1621" i="13" a="1"/>
  <c r="J1621" i="13" s="1"/>
  <c r="M1624" i="13"/>
  <c r="M1625" i="14"/>
  <c r="K1435" i="13" l="1"/>
  <c r="L1435" i="13" s="1"/>
  <c r="I1436" i="13" s="1"/>
  <c r="J1622" i="13" a="1"/>
  <c r="J1622" i="13" s="1"/>
  <c r="N1623" i="13"/>
  <c r="M1626" i="14"/>
  <c r="K1458" i="14"/>
  <c r="L1458" i="14" s="1"/>
  <c r="I1459" i="14" s="1"/>
  <c r="M1625" i="13"/>
  <c r="J1621" i="14" a="1"/>
  <c r="J1621" i="14" s="1"/>
  <c r="N1622" i="14"/>
  <c r="K1436" i="13" l="1"/>
  <c r="L1436" i="13" s="1"/>
  <c r="I1437" i="13" s="1"/>
  <c r="K1459" i="14"/>
  <c r="L1459" i="14" s="1"/>
  <c r="I1460" i="14" s="1"/>
  <c r="J1623" i="13" a="1"/>
  <c r="J1623" i="13" s="1"/>
  <c r="N1624" i="13"/>
  <c r="J1622" i="14" a="1"/>
  <c r="J1622" i="14" s="1"/>
  <c r="N1623" i="14"/>
  <c r="M1626" i="13"/>
  <c r="M1627" i="14"/>
  <c r="K1437" i="13" l="1"/>
  <c r="L1437" i="13" s="1"/>
  <c r="I1438" i="13" s="1"/>
  <c r="K1460" i="14"/>
  <c r="L1460" i="14" s="1"/>
  <c r="I1461" i="14" s="1"/>
  <c r="M1628" i="14"/>
  <c r="J1623" i="14" a="1"/>
  <c r="J1623" i="14" s="1"/>
  <c r="N1624" i="14"/>
  <c r="J1624" i="13" a="1"/>
  <c r="J1624" i="13" s="1"/>
  <c r="N1625" i="13"/>
  <c r="M1627" i="13"/>
  <c r="K1438" i="13" l="1"/>
  <c r="L1438" i="13" s="1"/>
  <c r="I1439" i="13" s="1"/>
  <c r="K1461" i="14"/>
  <c r="L1461" i="14" s="1"/>
  <c r="I1462" i="14" s="1"/>
  <c r="N1625" i="14"/>
  <c r="J1624" i="14" a="1"/>
  <c r="J1624" i="14" s="1"/>
  <c r="M1628" i="13"/>
  <c r="N1626" i="13"/>
  <c r="J1625" i="13" a="1"/>
  <c r="J1625" i="13" s="1"/>
  <c r="M1629" i="14"/>
  <c r="K1439" i="13" l="1"/>
  <c r="L1439" i="13" s="1"/>
  <c r="I1440" i="13" s="1"/>
  <c r="K1462" i="14"/>
  <c r="L1462" i="14" s="1"/>
  <c r="I1463" i="14" s="1"/>
  <c r="J1626" i="13" a="1"/>
  <c r="J1626" i="13" s="1"/>
  <c r="N1627" i="13"/>
  <c r="M1629" i="13"/>
  <c r="M1630" i="14"/>
  <c r="J1625" i="14" a="1"/>
  <c r="J1625" i="14" s="1"/>
  <c r="N1626" i="14"/>
  <c r="K1440" i="13" l="1"/>
  <c r="L1440" i="13" s="1"/>
  <c r="I1441" i="13" s="1"/>
  <c r="K1463" i="14"/>
  <c r="L1463" i="14" s="1"/>
  <c r="I1464" i="14" s="1"/>
  <c r="J1626" i="14" a="1"/>
  <c r="J1626" i="14" s="1"/>
  <c r="N1627" i="14"/>
  <c r="M1630" i="13"/>
  <c r="J1627" i="13" a="1"/>
  <c r="J1627" i="13" s="1"/>
  <c r="N1628" i="13"/>
  <c r="M1631" i="14"/>
  <c r="K1441" i="13" l="1"/>
  <c r="L1441" i="13" s="1"/>
  <c r="I1442" i="13" s="1"/>
  <c r="K1464" i="14"/>
  <c r="L1464" i="14" s="1"/>
  <c r="I1465" i="14" s="1"/>
  <c r="M1631" i="13"/>
  <c r="J1628" i="13" a="1"/>
  <c r="J1628" i="13" s="1"/>
  <c r="N1629" i="13"/>
  <c r="J1627" i="14" a="1"/>
  <c r="J1627" i="14" s="1"/>
  <c r="N1628" i="14"/>
  <c r="M1632" i="14"/>
  <c r="K1442" i="13" l="1"/>
  <c r="L1442" i="13" s="1"/>
  <c r="I1443" i="13" s="1"/>
  <c r="K1465" i="14"/>
  <c r="L1465" i="14" s="1"/>
  <c r="I1466" i="14" s="1"/>
  <c r="N1630" i="13"/>
  <c r="J1629" i="13" a="1"/>
  <c r="J1629" i="13" s="1"/>
  <c r="M1633" i="14"/>
  <c r="N1629" i="14"/>
  <c r="J1628" i="14" a="1"/>
  <c r="J1628" i="14" s="1"/>
  <c r="M1632" i="13"/>
  <c r="K1443" i="13" l="1"/>
  <c r="L1443" i="13" s="1"/>
  <c r="I1444" i="13" s="1"/>
  <c r="K1466" i="14"/>
  <c r="L1466" i="14" s="1"/>
  <c r="I1467" i="14" s="1"/>
  <c r="J1630" i="13" a="1"/>
  <c r="J1630" i="13" s="1"/>
  <c r="N1631" i="13"/>
  <c r="J1629" i="14" a="1"/>
  <c r="J1629" i="14" s="1"/>
  <c r="N1630" i="14"/>
  <c r="M1633" i="13"/>
  <c r="M1634" i="14"/>
  <c r="K1444" i="13" l="1"/>
  <c r="L1444" i="13" s="1"/>
  <c r="I1445" i="13" s="1"/>
  <c r="K1467" i="14"/>
  <c r="L1467" i="14" s="1"/>
  <c r="I1468" i="14" s="1"/>
  <c r="M1635" i="14"/>
  <c r="J1630" i="14" a="1"/>
  <c r="J1630" i="14" s="1"/>
  <c r="N1631" i="14"/>
  <c r="J1631" i="13" a="1"/>
  <c r="J1631" i="13" s="1"/>
  <c r="N1632" i="13"/>
  <c r="M1634" i="13"/>
  <c r="K1445" i="13" l="1"/>
  <c r="L1445" i="13" s="1"/>
  <c r="I1446" i="13" s="1"/>
  <c r="K1468" i="14"/>
  <c r="L1468" i="14" s="1"/>
  <c r="I1469" i="14" s="1"/>
  <c r="M1635" i="13"/>
  <c r="M1636" i="14"/>
  <c r="J1631" i="14" a="1"/>
  <c r="J1631" i="14" s="1"/>
  <c r="N1632" i="14"/>
  <c r="J1632" i="13" a="1"/>
  <c r="J1632" i="13" s="1"/>
  <c r="N1633" i="13"/>
  <c r="K1446" i="13" l="1"/>
  <c r="L1446" i="13" s="1"/>
  <c r="I1447" i="13" s="1"/>
  <c r="K1469" i="14"/>
  <c r="L1469" i="14" s="1"/>
  <c r="I1470" i="14" s="1"/>
  <c r="M1636" i="13"/>
  <c r="N1633" i="14"/>
  <c r="J1632" i="14" a="1"/>
  <c r="J1632" i="14" s="1"/>
  <c r="N1634" i="13"/>
  <c r="J1633" i="13" a="1"/>
  <c r="J1633" i="13" s="1"/>
  <c r="M1637" i="14"/>
  <c r="K1447" i="13" l="1"/>
  <c r="L1447" i="13" s="1"/>
  <c r="I1448" i="13" s="1"/>
  <c r="K1470" i="14"/>
  <c r="L1470" i="14" s="1"/>
  <c r="I1471" i="14" s="1"/>
  <c r="J1633" i="14" a="1"/>
  <c r="J1633" i="14" s="1"/>
  <c r="N1634" i="14"/>
  <c r="M1637" i="13"/>
  <c r="M1638" i="14"/>
  <c r="J1634" i="13" a="1"/>
  <c r="J1634" i="13" s="1"/>
  <c r="N1635" i="13"/>
  <c r="K1448" i="13" l="1"/>
  <c r="L1448" i="13" s="1"/>
  <c r="I1449" i="13" s="1"/>
  <c r="K1471" i="14"/>
  <c r="L1471" i="14" s="1"/>
  <c r="I1472" i="14" s="1"/>
  <c r="M1639" i="14"/>
  <c r="J1635" i="13" a="1"/>
  <c r="J1635" i="13" s="1"/>
  <c r="N1636" i="13"/>
  <c r="M1638" i="13"/>
  <c r="J1634" i="14" a="1"/>
  <c r="J1634" i="14" s="1"/>
  <c r="N1635" i="14"/>
  <c r="K1449" i="13" l="1"/>
  <c r="L1449" i="13" s="1"/>
  <c r="I1450" i="13" s="1"/>
  <c r="K1472" i="14"/>
  <c r="L1472" i="14" s="1"/>
  <c r="I1473" i="14" s="1"/>
  <c r="J1635" i="14" a="1"/>
  <c r="J1635" i="14" s="1"/>
  <c r="N1636" i="14"/>
  <c r="M1640" i="14"/>
  <c r="M1639" i="13"/>
  <c r="J1636" i="13" a="1"/>
  <c r="J1636" i="13" s="1"/>
  <c r="N1637" i="13"/>
  <c r="K1450" i="13" l="1"/>
  <c r="L1450" i="13" s="1"/>
  <c r="I1451" i="13" s="1"/>
  <c r="K1473" i="14"/>
  <c r="L1473" i="14" s="1"/>
  <c r="I1474" i="14" s="1"/>
  <c r="N1638" i="13"/>
  <c r="J1637" i="13" a="1"/>
  <c r="J1637" i="13" s="1"/>
  <c r="N1637" i="14"/>
  <c r="J1636" i="14" a="1"/>
  <c r="J1636" i="14" s="1"/>
  <c r="M1641" i="14"/>
  <c r="M1640" i="13"/>
  <c r="K1451" i="13" l="1"/>
  <c r="L1451" i="13" s="1"/>
  <c r="I1452" i="13" s="1"/>
  <c r="K1474" i="14"/>
  <c r="L1474" i="14" s="1"/>
  <c r="I1475" i="14" s="1"/>
  <c r="J1637" i="14" a="1"/>
  <c r="J1637" i="14" s="1"/>
  <c r="N1638" i="14"/>
  <c r="M1641" i="13"/>
  <c r="M1642" i="14"/>
  <c r="J1638" i="13" a="1"/>
  <c r="J1638" i="13" s="1"/>
  <c r="N1639" i="13"/>
  <c r="K1452" i="13" l="1"/>
  <c r="L1452" i="13" s="1"/>
  <c r="I1453" i="13" s="1"/>
  <c r="K1475" i="14"/>
  <c r="L1475" i="14" s="1"/>
  <c r="I1476" i="14" s="1"/>
  <c r="J1639" i="13" a="1"/>
  <c r="J1639" i="13" s="1"/>
  <c r="N1640" i="13"/>
  <c r="M1642" i="13"/>
  <c r="J1638" i="14" a="1"/>
  <c r="J1638" i="14" s="1"/>
  <c r="N1639" i="14"/>
  <c r="M1643" i="14"/>
  <c r="K1453" i="13" l="1"/>
  <c r="L1453" i="13" s="1"/>
  <c r="I1454" i="13" s="1"/>
  <c r="K1476" i="14"/>
  <c r="L1476" i="14" s="1"/>
  <c r="I1477" i="14" s="1"/>
  <c r="J1639" i="14" a="1"/>
  <c r="J1639" i="14" s="1"/>
  <c r="N1640" i="14"/>
  <c r="M1644" i="14"/>
  <c r="M1643" i="13"/>
  <c r="J1640" i="13" a="1"/>
  <c r="J1640" i="13" s="1"/>
  <c r="N1641" i="13"/>
  <c r="K1454" i="13" l="1"/>
  <c r="L1454" i="13" s="1"/>
  <c r="I1455" i="13" s="1"/>
  <c r="K1477" i="14"/>
  <c r="L1477" i="14" s="1"/>
  <c r="I1478" i="14" s="1"/>
  <c r="N1642" i="13"/>
  <c r="J1641" i="13" a="1"/>
  <c r="J1641" i="13" s="1"/>
  <c r="M1645" i="14"/>
  <c r="N1641" i="14"/>
  <c r="J1640" i="14" a="1"/>
  <c r="J1640" i="14" s="1"/>
  <c r="M1644" i="13"/>
  <c r="K1455" i="13" l="1"/>
  <c r="L1455" i="13" s="1"/>
  <c r="I1456" i="13" s="1"/>
  <c r="K1478" i="14"/>
  <c r="L1478" i="14" s="1"/>
  <c r="I1479" i="14" s="1"/>
  <c r="J1641" i="14" a="1"/>
  <c r="J1641" i="14" s="1"/>
  <c r="N1642" i="14"/>
  <c r="M1645" i="13"/>
  <c r="M1646" i="14"/>
  <c r="J1642" i="13" a="1"/>
  <c r="J1642" i="13" s="1"/>
  <c r="N1643" i="13"/>
  <c r="K1456" i="13" l="1"/>
  <c r="L1456" i="13" s="1"/>
  <c r="I1457" i="13" s="1"/>
  <c r="K1479" i="14"/>
  <c r="L1479" i="14" s="1"/>
  <c r="I1480" i="14" s="1"/>
  <c r="J1643" i="13" a="1"/>
  <c r="J1643" i="13" s="1"/>
  <c r="N1644" i="13"/>
  <c r="M1646" i="13"/>
  <c r="J1642" i="14" a="1"/>
  <c r="J1642" i="14" s="1"/>
  <c r="N1643" i="14"/>
  <c r="M1647" i="14"/>
  <c r="K1457" i="13" l="1"/>
  <c r="L1457" i="13" s="1"/>
  <c r="I1458" i="13" s="1"/>
  <c r="K1480" i="14"/>
  <c r="L1480" i="14" s="1"/>
  <c r="I1481" i="14" s="1"/>
  <c r="M1648" i="14"/>
  <c r="M1647" i="13"/>
  <c r="J1643" i="14" a="1"/>
  <c r="J1643" i="14" s="1"/>
  <c r="N1644" i="14"/>
  <c r="J1644" i="13" a="1"/>
  <c r="J1644" i="13" s="1"/>
  <c r="N1645" i="13"/>
  <c r="K1458" i="13" l="1"/>
  <c r="L1458" i="13" s="1"/>
  <c r="I1459" i="13" s="1"/>
  <c r="K1481" i="14"/>
  <c r="L1481" i="14" s="1"/>
  <c r="I1482" i="14" s="1"/>
  <c r="M1648" i="13"/>
  <c r="N1646" i="13"/>
  <c r="J1645" i="13" a="1"/>
  <c r="J1645" i="13" s="1"/>
  <c r="N1645" i="14"/>
  <c r="J1644" i="14" a="1"/>
  <c r="J1644" i="14" s="1"/>
  <c r="M1649" i="14"/>
  <c r="K1459" i="13" l="1"/>
  <c r="L1459" i="13" s="1"/>
  <c r="I1460" i="13" s="1"/>
  <c r="K1482" i="14"/>
  <c r="L1482" i="14" s="1"/>
  <c r="I1483" i="14" s="1"/>
  <c r="J1646" i="13" a="1"/>
  <c r="J1646" i="13" s="1"/>
  <c r="N1647" i="13"/>
  <c r="M1649" i="13"/>
  <c r="M1650" i="14"/>
  <c r="J1645" i="14" a="1"/>
  <c r="J1645" i="14" s="1"/>
  <c r="N1646" i="14"/>
  <c r="K1460" i="13" l="1"/>
  <c r="L1460" i="13" s="1"/>
  <c r="I1461" i="13" s="1"/>
  <c r="K1483" i="14"/>
  <c r="L1483" i="14" s="1"/>
  <c r="I1484" i="14" s="1"/>
  <c r="J1647" i="13" a="1"/>
  <c r="J1647" i="13" s="1"/>
  <c r="N1648" i="13"/>
  <c r="J1646" i="14" a="1"/>
  <c r="J1646" i="14" s="1"/>
  <c r="N1647" i="14"/>
  <c r="M1651" i="14"/>
  <c r="M1650" i="13"/>
  <c r="K1461" i="13" l="1"/>
  <c r="L1461" i="13" s="1"/>
  <c r="I1462" i="13" s="1"/>
  <c r="J1647" i="14" a="1"/>
  <c r="J1647" i="14" s="1"/>
  <c r="N1648" i="14"/>
  <c r="K1484" i="14"/>
  <c r="L1484" i="14" s="1"/>
  <c r="I1485" i="14" s="1"/>
  <c r="M1652" i="14"/>
  <c r="J1648" i="13" a="1"/>
  <c r="J1648" i="13" s="1"/>
  <c r="N1649" i="13"/>
  <c r="M1651" i="13"/>
  <c r="K1462" i="13" l="1"/>
  <c r="L1462" i="13" s="1"/>
  <c r="I1463" i="13" s="1"/>
  <c r="K1485" i="14"/>
  <c r="L1485" i="14" s="1"/>
  <c r="I1486" i="14" s="1"/>
  <c r="M1652" i="13"/>
  <c r="M1653" i="14"/>
  <c r="N1649" i="14"/>
  <c r="J1648" i="14" a="1"/>
  <c r="J1648" i="14" s="1"/>
  <c r="N1650" i="13"/>
  <c r="J1649" i="13" a="1"/>
  <c r="J1649" i="13" s="1"/>
  <c r="K1463" i="13" l="1"/>
  <c r="L1463" i="13" s="1"/>
  <c r="I1464" i="13" s="1"/>
  <c r="K1486" i="14"/>
  <c r="L1486" i="14" s="1"/>
  <c r="I1487" i="14" s="1"/>
  <c r="J1650" i="13" a="1"/>
  <c r="J1650" i="13" s="1"/>
  <c r="N1651" i="13"/>
  <c r="M1654" i="14"/>
  <c r="M1653" i="13"/>
  <c r="J1649" i="14" a="1"/>
  <c r="J1649" i="14" s="1"/>
  <c r="N1650" i="14"/>
  <c r="K1464" i="13" l="1"/>
  <c r="L1464" i="13" s="1"/>
  <c r="I1465" i="13" s="1"/>
  <c r="K1487" i="14"/>
  <c r="L1487" i="14" s="1"/>
  <c r="I1488" i="14" s="1"/>
  <c r="J1650" i="14" a="1"/>
  <c r="J1650" i="14" s="1"/>
  <c r="N1651" i="14"/>
  <c r="J1651" i="13" a="1"/>
  <c r="J1651" i="13" s="1"/>
  <c r="N1652" i="13"/>
  <c r="M1654" i="13"/>
  <c r="M1655" i="14"/>
  <c r="K1465" i="13" l="1"/>
  <c r="L1465" i="13" s="1"/>
  <c r="I1466" i="13" s="1"/>
  <c r="K1488" i="14"/>
  <c r="L1488" i="14" s="1"/>
  <c r="I1489" i="14" s="1"/>
  <c r="J1652" i="13" a="1"/>
  <c r="J1652" i="13" s="1"/>
  <c r="N1653" i="13"/>
  <c r="J1651" i="14" a="1"/>
  <c r="J1651" i="14" s="1"/>
  <c r="N1652" i="14"/>
  <c r="M1656" i="14"/>
  <c r="M1655" i="13"/>
  <c r="K1466" i="13" l="1"/>
  <c r="L1466" i="13" s="1"/>
  <c r="I1467" i="13" s="1"/>
  <c r="K1489" i="14"/>
  <c r="L1489" i="14" s="1"/>
  <c r="I1490" i="14" s="1"/>
  <c r="M1656" i="13"/>
  <c r="N1654" i="13"/>
  <c r="J1653" i="13" a="1"/>
  <c r="J1653" i="13" s="1"/>
  <c r="N1653" i="14"/>
  <c r="J1652" i="14" a="1"/>
  <c r="J1652" i="14" s="1"/>
  <c r="M1657" i="14"/>
  <c r="K1467" i="13" l="1"/>
  <c r="L1467" i="13" s="1"/>
  <c r="I1468" i="13" s="1"/>
  <c r="K1490" i="14"/>
  <c r="L1490" i="14" s="1"/>
  <c r="I1491" i="14" s="1"/>
  <c r="M1658" i="14"/>
  <c r="J1654" i="13" a="1"/>
  <c r="J1654" i="13" s="1"/>
  <c r="N1655" i="13"/>
  <c r="M1657" i="13"/>
  <c r="J1653" i="14" a="1"/>
  <c r="J1653" i="14" s="1"/>
  <c r="N1654" i="14"/>
  <c r="K1468" i="13" l="1"/>
  <c r="L1468" i="13" s="1"/>
  <c r="I1469" i="13" s="1"/>
  <c r="K1491" i="14"/>
  <c r="L1491" i="14" s="1"/>
  <c r="I1492" i="14" s="1"/>
  <c r="J1655" i="13" a="1"/>
  <c r="J1655" i="13" s="1"/>
  <c r="N1656" i="13"/>
  <c r="J1654" i="14" a="1"/>
  <c r="J1654" i="14" s="1"/>
  <c r="N1655" i="14"/>
  <c r="M1658" i="13"/>
  <c r="M1659" i="14"/>
  <c r="K1469" i="13" l="1"/>
  <c r="L1469" i="13" s="1"/>
  <c r="I1470" i="13" s="1"/>
  <c r="M1660" i="14"/>
  <c r="J1655" i="14" a="1"/>
  <c r="J1655" i="14" s="1"/>
  <c r="N1656" i="14"/>
  <c r="J1656" i="13" a="1"/>
  <c r="J1656" i="13" s="1"/>
  <c r="N1657" i="13"/>
  <c r="M1659" i="13"/>
  <c r="K1492" i="14"/>
  <c r="L1492" i="14" s="1"/>
  <c r="I1493" i="14" s="1"/>
  <c r="K1470" i="13" l="1"/>
  <c r="L1470" i="13" s="1"/>
  <c r="I1471" i="13" s="1"/>
  <c r="K1493" i="14"/>
  <c r="L1493" i="14" s="1"/>
  <c r="I1494" i="14" s="1"/>
  <c r="M1661" i="14"/>
  <c r="N1657" i="14"/>
  <c r="J1656" i="14" a="1"/>
  <c r="J1656" i="14" s="1"/>
  <c r="N1658" i="13"/>
  <c r="J1657" i="13" a="1"/>
  <c r="J1657" i="13" s="1"/>
  <c r="M1660" i="13"/>
  <c r="K1471" i="13" l="1"/>
  <c r="L1471" i="13" s="1"/>
  <c r="I1472" i="13" s="1"/>
  <c r="K1494" i="14"/>
  <c r="L1494" i="14" s="1"/>
  <c r="I1495" i="14" s="1"/>
  <c r="J1658" i="13" a="1"/>
  <c r="J1658" i="13" s="1"/>
  <c r="N1659" i="13"/>
  <c r="M1662" i="14"/>
  <c r="M1661" i="13"/>
  <c r="J1657" i="14" a="1"/>
  <c r="J1657" i="14" s="1"/>
  <c r="N1658" i="14"/>
  <c r="K1472" i="13" l="1"/>
  <c r="L1472" i="13" s="1"/>
  <c r="I1473" i="13" s="1"/>
  <c r="K1495" i="14"/>
  <c r="L1495" i="14" s="1"/>
  <c r="I1496" i="14" s="1"/>
  <c r="J1658" i="14" a="1"/>
  <c r="J1658" i="14" s="1"/>
  <c r="N1659" i="14"/>
  <c r="M1663" i="14"/>
  <c r="J1659" i="13" a="1"/>
  <c r="J1659" i="13" s="1"/>
  <c r="N1660" i="13"/>
  <c r="M1662" i="13"/>
  <c r="K1473" i="13" l="1"/>
  <c r="L1473" i="13" s="1"/>
  <c r="I1474" i="13" s="1"/>
  <c r="K1496" i="14"/>
  <c r="L1496" i="14" s="1"/>
  <c r="I1497" i="14" s="1"/>
  <c r="M1664" i="14"/>
  <c r="M1663" i="13"/>
  <c r="J1660" i="13" a="1"/>
  <c r="J1660" i="13" s="1"/>
  <c r="N1661" i="13"/>
  <c r="J1659" i="14" a="1"/>
  <c r="J1659" i="14" s="1"/>
  <c r="N1660" i="14"/>
  <c r="K1474" i="13" l="1"/>
  <c r="L1474" i="13" s="1"/>
  <c r="I1475" i="13" s="1"/>
  <c r="N1662" i="13"/>
  <c r="J1661" i="13" a="1"/>
  <c r="J1661" i="13" s="1"/>
  <c r="M1665" i="14"/>
  <c r="N1661" i="14"/>
  <c r="J1660" i="14" a="1"/>
  <c r="J1660" i="14" s="1"/>
  <c r="M1664" i="13"/>
  <c r="K1497" i="14"/>
  <c r="L1497" i="14" s="1"/>
  <c r="I1498" i="14" s="1"/>
  <c r="K1475" i="13" l="1"/>
  <c r="L1475" i="13" s="1"/>
  <c r="I1476" i="13" s="1"/>
  <c r="K1498" i="14"/>
  <c r="L1498" i="14" s="1"/>
  <c r="I1499" i="14" s="1"/>
  <c r="M1666" i="14"/>
  <c r="J1661" i="14" a="1"/>
  <c r="J1661" i="14" s="1"/>
  <c r="N1662" i="14"/>
  <c r="J1662" i="13" a="1"/>
  <c r="J1662" i="13" s="1"/>
  <c r="N1663" i="13"/>
  <c r="M1665" i="13"/>
  <c r="K1476" i="13" l="1"/>
  <c r="L1476" i="13" s="1"/>
  <c r="I1477" i="13" s="1"/>
  <c r="K1499" i="14"/>
  <c r="L1499" i="14" s="1"/>
  <c r="I1500" i="14" s="1"/>
  <c r="J1663" i="13" a="1"/>
  <c r="J1663" i="13" s="1"/>
  <c r="N1664" i="13"/>
  <c r="M1667" i="14"/>
  <c r="J1662" i="14" a="1"/>
  <c r="J1662" i="14" s="1"/>
  <c r="N1663" i="14"/>
  <c r="M1666" i="13"/>
  <c r="K1477" i="13" l="1"/>
  <c r="L1477" i="13" s="1"/>
  <c r="I1478" i="13" s="1"/>
  <c r="K1500" i="14"/>
  <c r="L1500" i="14" s="1"/>
  <c r="I1501" i="14" s="1"/>
  <c r="M1668" i="14"/>
  <c r="M1667" i="13"/>
  <c r="J1663" i="14" a="1"/>
  <c r="J1663" i="14" s="1"/>
  <c r="N1664" i="14"/>
  <c r="J1664" i="13" a="1"/>
  <c r="J1664" i="13" s="1"/>
  <c r="N1665" i="13"/>
  <c r="K1478" i="13" l="1"/>
  <c r="L1478" i="13" s="1"/>
  <c r="I1479" i="13" s="1"/>
  <c r="M1669" i="14"/>
  <c r="N1666" i="13"/>
  <c r="J1665" i="13" a="1"/>
  <c r="J1665" i="13" s="1"/>
  <c r="N1665" i="14"/>
  <c r="J1664" i="14" a="1"/>
  <c r="J1664" i="14" s="1"/>
  <c r="M1668" i="13"/>
  <c r="K1501" i="14"/>
  <c r="L1501" i="14" s="1"/>
  <c r="I1502" i="14" s="1"/>
  <c r="K1479" i="13" l="1"/>
  <c r="L1479" i="13" s="1"/>
  <c r="I1480" i="13" s="1"/>
  <c r="K1502" i="14"/>
  <c r="L1502" i="14" s="1"/>
  <c r="I1503" i="14" s="1"/>
  <c r="J1665" i="14" a="1"/>
  <c r="J1665" i="14" s="1"/>
  <c r="N1666" i="14"/>
  <c r="M1670" i="14"/>
  <c r="M1669" i="13"/>
  <c r="J1666" i="13" a="1"/>
  <c r="J1666" i="13" s="1"/>
  <c r="N1667" i="13"/>
  <c r="K1480" i="13" l="1"/>
  <c r="L1480" i="13" s="1"/>
  <c r="I1481" i="13" s="1"/>
  <c r="M1670" i="13"/>
  <c r="J1667" i="13" a="1"/>
  <c r="J1667" i="13" s="1"/>
  <c r="N1668" i="13"/>
  <c r="M1671" i="14"/>
  <c r="J1666" i="14" a="1"/>
  <c r="J1666" i="14" s="1"/>
  <c r="N1667" i="14"/>
  <c r="K1503" i="14"/>
  <c r="L1503" i="14" s="1"/>
  <c r="I1504" i="14" s="1"/>
  <c r="K1481" i="13" l="1"/>
  <c r="L1481" i="13" s="1"/>
  <c r="I1482" i="13" s="1"/>
  <c r="K1504" i="14"/>
  <c r="L1504" i="14" s="1"/>
  <c r="I1505" i="14" s="1"/>
  <c r="M1671" i="13"/>
  <c r="J1667" i="14" a="1"/>
  <c r="J1667" i="14" s="1"/>
  <c r="N1668" i="14"/>
  <c r="J1668" i="13" a="1"/>
  <c r="J1668" i="13" s="1"/>
  <c r="N1669" i="13"/>
  <c r="M1672" i="14"/>
  <c r="K1482" i="13" l="1"/>
  <c r="L1482" i="13" s="1"/>
  <c r="I1483" i="13" s="1"/>
  <c r="K1505" i="14"/>
  <c r="L1505" i="14" s="1"/>
  <c r="I1506" i="14" s="1"/>
  <c r="M1673" i="14"/>
  <c r="N1670" i="13"/>
  <c r="J1669" i="13" a="1"/>
  <c r="J1669" i="13" s="1"/>
  <c r="N1669" i="14"/>
  <c r="J1668" i="14" a="1"/>
  <c r="J1668" i="14" s="1"/>
  <c r="M1672" i="13"/>
  <c r="K1483" i="13" l="1"/>
  <c r="L1483" i="13" s="1"/>
  <c r="I1484" i="13" s="1"/>
  <c r="K1506" i="14"/>
  <c r="L1506" i="14" s="1"/>
  <c r="I1507" i="14" s="1"/>
  <c r="M1673" i="13"/>
  <c r="J1670" i="13" a="1"/>
  <c r="J1670" i="13" s="1"/>
  <c r="N1671" i="13"/>
  <c r="J1669" i="14" a="1"/>
  <c r="J1669" i="14" s="1"/>
  <c r="N1670" i="14"/>
  <c r="M1674" i="14"/>
  <c r="K1484" i="13" l="1"/>
  <c r="L1484" i="13" s="1"/>
  <c r="I1485" i="13" s="1"/>
  <c r="K1507" i="14"/>
  <c r="L1507" i="14" s="1"/>
  <c r="I1508" i="14" s="1"/>
  <c r="J1670" i="14" a="1"/>
  <c r="J1670" i="14" s="1"/>
  <c r="N1671" i="14"/>
  <c r="J1671" i="13" a="1"/>
  <c r="J1671" i="13" s="1"/>
  <c r="N1672" i="13"/>
  <c r="M1674" i="13"/>
  <c r="M1675" i="14"/>
  <c r="K1485" i="13" l="1"/>
  <c r="L1485" i="13" s="1"/>
  <c r="I1486" i="13" s="1"/>
  <c r="M1676" i="14"/>
  <c r="J1671" i="14" a="1"/>
  <c r="J1671" i="14" s="1"/>
  <c r="N1672" i="14"/>
  <c r="J1672" i="13" a="1"/>
  <c r="J1672" i="13" s="1"/>
  <c r="N1673" i="13"/>
  <c r="M1675" i="13"/>
  <c r="K1508" i="14"/>
  <c r="L1508" i="14" s="1"/>
  <c r="I1509" i="14" s="1"/>
  <c r="K1486" i="13" l="1"/>
  <c r="L1486" i="13" s="1"/>
  <c r="I1487" i="13" s="1"/>
  <c r="K1509" i="14"/>
  <c r="L1509" i="14" s="1"/>
  <c r="I1510" i="14" s="1"/>
  <c r="N1674" i="13"/>
  <c r="J1673" i="13" a="1"/>
  <c r="J1673" i="13" s="1"/>
  <c r="M1677" i="14"/>
  <c r="N1673" i="14"/>
  <c r="J1672" i="14" a="1"/>
  <c r="J1672" i="14" s="1"/>
  <c r="M1676" i="13"/>
  <c r="K1487" i="13" l="1"/>
  <c r="L1487" i="13" s="1"/>
  <c r="I1488" i="13" s="1"/>
  <c r="K1510" i="14"/>
  <c r="L1510" i="14" s="1"/>
  <c r="I1511" i="14" s="1"/>
  <c r="M1678" i="14"/>
  <c r="M1677" i="13"/>
  <c r="J1673" i="14" a="1"/>
  <c r="J1673" i="14" s="1"/>
  <c r="N1674" i="14"/>
  <c r="J1674" i="13" a="1"/>
  <c r="J1674" i="13" s="1"/>
  <c r="N1675" i="13"/>
  <c r="K1488" i="13" l="1"/>
  <c r="L1488" i="13" s="1"/>
  <c r="I1489" i="13" s="1"/>
  <c r="K1511" i="14"/>
  <c r="L1511" i="14" s="1"/>
  <c r="I1512" i="14" s="1"/>
  <c r="M1678" i="13"/>
  <c r="J1674" i="14" a="1"/>
  <c r="J1674" i="14" s="1"/>
  <c r="N1675" i="14"/>
  <c r="J1675" i="13" a="1"/>
  <c r="J1675" i="13" s="1"/>
  <c r="N1676" i="13"/>
  <c r="M1679" i="14"/>
  <c r="K1489" i="13" l="1"/>
  <c r="L1489" i="13" s="1"/>
  <c r="I1490" i="13" s="1"/>
  <c r="K1512" i="14"/>
  <c r="L1512" i="14" s="1"/>
  <c r="I1513" i="14" s="1"/>
  <c r="M1680" i="14"/>
  <c r="J1676" i="13" a="1"/>
  <c r="J1676" i="13" s="1"/>
  <c r="N1677" i="13"/>
  <c r="J1675" i="14" a="1"/>
  <c r="J1675" i="14" s="1"/>
  <c r="N1676" i="14"/>
  <c r="M1679" i="13"/>
  <c r="K1490" i="13" l="1"/>
  <c r="L1490" i="13" s="1"/>
  <c r="I1491" i="13" s="1"/>
  <c r="M1680" i="13"/>
  <c r="N1677" i="14"/>
  <c r="J1676" i="14" a="1"/>
  <c r="J1676" i="14" s="1"/>
  <c r="M1681" i="14"/>
  <c r="N1678" i="13"/>
  <c r="J1677" i="13" a="1"/>
  <c r="J1677" i="13" s="1"/>
  <c r="K1513" i="14"/>
  <c r="L1513" i="14" s="1"/>
  <c r="I1514" i="14" s="1"/>
  <c r="K1491" i="13" l="1"/>
  <c r="L1491" i="13" s="1"/>
  <c r="I1492" i="13" s="1"/>
  <c r="K1514" i="14"/>
  <c r="L1514" i="14" s="1"/>
  <c r="I1515" i="14" s="1"/>
  <c r="M1681" i="13"/>
  <c r="M1682" i="14"/>
  <c r="J1678" i="13" a="1"/>
  <c r="J1678" i="13" s="1"/>
  <c r="N1679" i="13"/>
  <c r="J1677" i="14" a="1"/>
  <c r="J1677" i="14" s="1"/>
  <c r="N1678" i="14"/>
  <c r="K1492" i="13" l="1"/>
  <c r="L1492" i="13" s="1"/>
  <c r="I1493" i="13" s="1"/>
  <c r="K1515" i="14"/>
  <c r="L1515" i="14" s="1"/>
  <c r="I1516" i="14" s="1"/>
  <c r="M1683" i="14"/>
  <c r="J1679" i="13" a="1"/>
  <c r="J1679" i="13" s="1"/>
  <c r="N1680" i="13"/>
  <c r="J1678" i="14" a="1"/>
  <c r="J1678" i="14" s="1"/>
  <c r="N1679" i="14"/>
  <c r="M1682" i="13"/>
  <c r="K1493" i="13" l="1"/>
  <c r="L1493" i="13" s="1"/>
  <c r="I1494" i="13" s="1"/>
  <c r="K1516" i="14"/>
  <c r="L1516" i="14" s="1"/>
  <c r="I1517" i="14" s="1"/>
  <c r="J1680" i="13" a="1"/>
  <c r="J1680" i="13" s="1"/>
  <c r="N1681" i="13"/>
  <c r="M1683" i="13"/>
  <c r="J1679" i="14" a="1"/>
  <c r="J1679" i="14" s="1"/>
  <c r="N1680" i="14"/>
  <c r="M1684" i="14"/>
  <c r="K1494" i="13" l="1"/>
  <c r="L1494" i="13" s="1"/>
  <c r="I1495" i="13" s="1"/>
  <c r="M1685" i="14"/>
  <c r="M1684" i="13"/>
  <c r="N1681" i="14"/>
  <c r="J1680" i="14" a="1"/>
  <c r="J1680" i="14" s="1"/>
  <c r="N1682" i="13"/>
  <c r="J1681" i="13" a="1"/>
  <c r="J1681" i="13" s="1"/>
  <c r="K1517" i="14"/>
  <c r="L1517" i="14" s="1"/>
  <c r="I1518" i="14" s="1"/>
  <c r="K1495" i="13" l="1"/>
  <c r="L1495" i="13" s="1"/>
  <c r="I1496" i="13" s="1"/>
  <c r="K1518" i="14"/>
  <c r="L1518" i="14" s="1"/>
  <c r="I1519" i="14" s="1"/>
  <c r="J1681" i="14" a="1"/>
  <c r="J1681" i="14" s="1"/>
  <c r="N1682" i="14"/>
  <c r="M1686" i="14"/>
  <c r="M1685" i="13"/>
  <c r="J1682" i="13" a="1"/>
  <c r="J1682" i="13" s="1"/>
  <c r="N1683" i="13"/>
  <c r="K1496" i="13" l="1"/>
  <c r="L1496" i="13" s="1"/>
  <c r="I1497" i="13" s="1"/>
  <c r="K1519" i="14"/>
  <c r="L1519" i="14" s="1"/>
  <c r="I1520" i="14" s="1"/>
  <c r="J1683" i="13" a="1"/>
  <c r="J1683" i="13" s="1"/>
  <c r="N1684" i="13"/>
  <c r="M1687" i="14"/>
  <c r="J1682" i="14" a="1"/>
  <c r="J1682" i="14" s="1"/>
  <c r="N1683" i="14"/>
  <c r="M1686" i="13"/>
  <c r="K1497" i="13" l="1"/>
  <c r="L1497" i="13" s="1"/>
  <c r="I1498" i="13" s="1"/>
  <c r="K1520" i="14"/>
  <c r="L1520" i="14" s="1"/>
  <c r="I1521" i="14" s="1"/>
  <c r="M1688" i="14"/>
  <c r="M1687" i="13"/>
  <c r="J1684" i="13" a="1"/>
  <c r="J1684" i="13" s="1"/>
  <c r="N1685" i="13"/>
  <c r="J1683" i="14" a="1"/>
  <c r="J1683" i="14" s="1"/>
  <c r="N1684" i="14"/>
  <c r="K1498" i="13" l="1"/>
  <c r="L1498" i="13" s="1"/>
  <c r="I1499" i="13" s="1"/>
  <c r="K1521" i="14"/>
  <c r="L1521" i="14" s="1"/>
  <c r="I1522" i="14" s="1"/>
  <c r="M1688" i="13"/>
  <c r="N1685" i="14"/>
  <c r="J1684" i="14" a="1"/>
  <c r="J1684" i="14" s="1"/>
  <c r="N1686" i="13"/>
  <c r="J1685" i="13" a="1"/>
  <c r="J1685" i="13" s="1"/>
  <c r="M1689" i="14"/>
  <c r="K1499" i="13" l="1"/>
  <c r="L1499" i="13" s="1"/>
  <c r="I1500" i="13" s="1"/>
  <c r="K1522" i="14"/>
  <c r="L1522" i="14" s="1"/>
  <c r="I1523" i="14" s="1"/>
  <c r="M1690" i="14"/>
  <c r="J1685" i="14" a="1"/>
  <c r="J1685" i="14" s="1"/>
  <c r="N1686" i="14"/>
  <c r="M1689" i="13"/>
  <c r="J1686" i="13" a="1"/>
  <c r="J1686" i="13" s="1"/>
  <c r="N1687" i="13"/>
  <c r="K1500" i="13" l="1"/>
  <c r="L1500" i="13" s="1"/>
  <c r="I1501" i="13" s="1"/>
  <c r="K1523" i="14"/>
  <c r="L1523" i="14" s="1"/>
  <c r="I1524" i="14" s="1"/>
  <c r="J1686" i="14" a="1"/>
  <c r="J1686" i="14" s="1"/>
  <c r="N1687" i="14"/>
  <c r="J1687" i="13" a="1"/>
  <c r="J1687" i="13" s="1"/>
  <c r="N1688" i="13"/>
  <c r="M1690" i="13"/>
  <c r="M1691" i="14"/>
  <c r="K1501" i="13" l="1"/>
  <c r="L1501" i="13" s="1"/>
  <c r="I1502" i="13" s="1"/>
  <c r="K1524" i="14"/>
  <c r="L1524" i="14" s="1"/>
  <c r="I1525" i="14" s="1"/>
  <c r="M1692" i="14"/>
  <c r="J1687" i="14" a="1"/>
  <c r="J1687" i="14" s="1"/>
  <c r="N1688" i="14"/>
  <c r="J1688" i="13" a="1"/>
  <c r="J1688" i="13" s="1"/>
  <c r="N1689" i="13"/>
  <c r="M1691" i="13"/>
  <c r="K1502" i="13" l="1"/>
  <c r="L1502" i="13" s="1"/>
  <c r="I1503" i="13" s="1"/>
  <c r="K1525" i="14"/>
  <c r="L1525" i="14" s="1"/>
  <c r="I1526" i="14" s="1"/>
  <c r="M1692" i="13"/>
  <c r="N1690" i="13"/>
  <c r="J1689" i="13" a="1"/>
  <c r="J1689" i="13" s="1"/>
  <c r="N1689" i="14"/>
  <c r="J1688" i="14" a="1"/>
  <c r="J1688" i="14" s="1"/>
  <c r="M1693" i="14"/>
  <c r="K1503" i="13" l="1"/>
  <c r="L1503" i="13" s="1"/>
  <c r="I1504" i="13" s="1"/>
  <c r="K1526" i="14"/>
  <c r="L1526" i="14" s="1"/>
  <c r="I1527" i="14" s="1"/>
  <c r="J1690" i="13" a="1"/>
  <c r="J1690" i="13" s="1"/>
  <c r="N1691" i="13"/>
  <c r="M1693" i="13"/>
  <c r="M1694" i="14"/>
  <c r="J1689" i="14" a="1"/>
  <c r="J1689" i="14" s="1"/>
  <c r="N1690" i="14"/>
  <c r="K1504" i="13" l="1"/>
  <c r="L1504" i="13" s="1"/>
  <c r="I1505" i="13" s="1"/>
  <c r="J1691" i="13" a="1"/>
  <c r="J1691" i="13" s="1"/>
  <c r="N1692" i="13"/>
  <c r="M1695" i="14"/>
  <c r="J1690" i="14" a="1"/>
  <c r="J1690" i="14" s="1"/>
  <c r="N1691" i="14"/>
  <c r="M1694" i="13"/>
  <c r="K1527" i="14"/>
  <c r="L1527" i="14" s="1"/>
  <c r="I1528" i="14" s="1"/>
  <c r="K1505" i="13" l="1"/>
  <c r="L1505" i="13" s="1"/>
  <c r="I1506" i="13" s="1"/>
  <c r="K1528" i="14"/>
  <c r="L1528" i="14" s="1"/>
  <c r="I1529" i="14" s="1"/>
  <c r="J1692" i="13" a="1"/>
  <c r="J1692" i="13" s="1"/>
  <c r="N1693" i="13"/>
  <c r="M1696" i="14"/>
  <c r="J1691" i="14" a="1"/>
  <c r="J1691" i="14" s="1"/>
  <c r="N1692" i="14"/>
  <c r="M1695" i="13"/>
  <c r="K1506" i="13" l="1"/>
  <c r="L1506" i="13" s="1"/>
  <c r="I1507" i="13" s="1"/>
  <c r="K1529" i="14"/>
  <c r="L1529" i="14" s="1"/>
  <c r="I1530" i="14" s="1"/>
  <c r="M1696" i="13"/>
  <c r="M1697" i="14"/>
  <c r="N1693" i="14"/>
  <c r="J1692" i="14" a="1"/>
  <c r="J1692" i="14" s="1"/>
  <c r="N1694" i="13"/>
  <c r="J1693" i="13" a="1"/>
  <c r="J1693" i="13" s="1"/>
  <c r="K1507" i="13" l="1"/>
  <c r="L1507" i="13" s="1"/>
  <c r="I1508" i="13" s="1"/>
  <c r="K1530" i="14"/>
  <c r="L1530" i="14" s="1"/>
  <c r="I1531" i="14" s="1"/>
  <c r="M1697" i="13"/>
  <c r="J1693" i="14" a="1"/>
  <c r="J1693" i="14" s="1"/>
  <c r="N1694" i="14"/>
  <c r="J1694" i="13" a="1"/>
  <c r="J1694" i="13" s="1"/>
  <c r="N1695" i="13"/>
  <c r="M1698" i="14"/>
  <c r="K1508" i="13" l="1"/>
  <c r="L1508" i="13" s="1"/>
  <c r="I1509" i="13" s="1"/>
  <c r="K1531" i="14"/>
  <c r="L1531" i="14" s="1"/>
  <c r="I1532" i="14" s="1"/>
  <c r="J1694" i="14" a="1"/>
  <c r="J1694" i="14" s="1"/>
  <c r="N1695" i="14"/>
  <c r="M1699" i="14"/>
  <c r="J1695" i="13" a="1"/>
  <c r="J1695" i="13" s="1"/>
  <c r="N1696" i="13"/>
  <c r="M1698" i="13"/>
  <c r="K1509" i="13" l="1"/>
  <c r="L1509" i="13" s="1"/>
  <c r="I1510" i="13" s="1"/>
  <c r="K1532" i="14"/>
  <c r="L1532" i="14" s="1"/>
  <c r="I1533" i="14" s="1"/>
  <c r="M1700" i="14"/>
  <c r="M1699" i="13"/>
  <c r="J1696" i="13" a="1"/>
  <c r="J1696" i="13" s="1"/>
  <c r="N1697" i="13"/>
  <c r="J1695" i="14" a="1"/>
  <c r="J1695" i="14" s="1"/>
  <c r="N1696" i="14"/>
  <c r="K1510" i="13" l="1"/>
  <c r="L1510" i="13" s="1"/>
  <c r="I1511" i="13" s="1"/>
  <c r="K1533" i="14"/>
  <c r="L1533" i="14" s="1"/>
  <c r="I1534" i="14" s="1"/>
  <c r="M1700" i="13"/>
  <c r="N1698" i="13"/>
  <c r="J1697" i="13" a="1"/>
  <c r="J1697" i="13" s="1"/>
  <c r="N1697" i="14"/>
  <c r="J1696" i="14" a="1"/>
  <c r="J1696" i="14" s="1"/>
  <c r="M1701" i="14"/>
  <c r="K1511" i="13" l="1"/>
  <c r="L1511" i="13" s="1"/>
  <c r="I1512" i="13" s="1"/>
  <c r="K1534" i="14"/>
  <c r="L1534" i="14" s="1"/>
  <c r="I1535" i="14" s="1"/>
  <c r="M1702" i="14"/>
  <c r="J1698" i="13" a="1"/>
  <c r="J1698" i="13" s="1"/>
  <c r="N1699" i="13"/>
  <c r="M1701" i="13"/>
  <c r="J1697" i="14" a="1"/>
  <c r="J1697" i="14" s="1"/>
  <c r="N1698" i="14"/>
  <c r="K1512" i="13" l="1"/>
  <c r="L1512" i="13" s="1"/>
  <c r="I1513" i="13" s="1"/>
  <c r="K1535" i="14"/>
  <c r="L1535" i="14" s="1"/>
  <c r="I1536" i="14" s="1"/>
  <c r="J1699" i="13" a="1"/>
  <c r="J1699" i="13" s="1"/>
  <c r="N1700" i="13"/>
  <c r="J1698" i="14" a="1"/>
  <c r="J1698" i="14" s="1"/>
  <c r="N1699" i="14"/>
  <c r="M1702" i="13"/>
  <c r="M1703" i="14"/>
  <c r="K1513" i="13" l="1"/>
  <c r="L1513" i="13" s="1"/>
  <c r="I1514" i="13" s="1"/>
  <c r="K1536" i="14"/>
  <c r="L1536" i="14" s="1"/>
  <c r="I1537" i="14" s="1"/>
  <c r="J1699" i="14" a="1"/>
  <c r="J1699" i="14" s="1"/>
  <c r="N1700" i="14"/>
  <c r="M1704" i="14"/>
  <c r="J1700" i="13" a="1"/>
  <c r="J1700" i="13" s="1"/>
  <c r="N1701" i="13"/>
  <c r="M1703" i="13"/>
  <c r="K1514" i="13" l="1"/>
  <c r="L1514" i="13" s="1"/>
  <c r="I1515" i="13" s="1"/>
  <c r="K1537" i="14"/>
  <c r="L1537" i="14" s="1"/>
  <c r="I1538" i="14" s="1"/>
  <c r="M1704" i="13"/>
  <c r="M1705" i="14"/>
  <c r="N1701" i="14"/>
  <c r="J1700" i="14" a="1"/>
  <c r="J1700" i="14" s="1"/>
  <c r="N1702" i="13"/>
  <c r="J1701" i="13" a="1"/>
  <c r="J1701" i="13" s="1"/>
  <c r="K1515" i="13" l="1"/>
  <c r="L1515" i="13" s="1"/>
  <c r="I1516" i="13" s="1"/>
  <c r="K1538" i="14"/>
  <c r="L1538" i="14" s="1"/>
  <c r="I1539" i="14" s="1"/>
  <c r="J1702" i="13" a="1"/>
  <c r="J1702" i="13" s="1"/>
  <c r="N1703" i="13"/>
  <c r="M1706" i="14"/>
  <c r="M1705" i="13"/>
  <c r="J1701" i="14" a="1"/>
  <c r="J1701" i="14" s="1"/>
  <c r="N1702" i="14"/>
  <c r="K1516" i="13" l="1"/>
  <c r="L1516" i="13" s="1"/>
  <c r="I1517" i="13" s="1"/>
  <c r="K1539" i="14"/>
  <c r="L1539" i="14" s="1"/>
  <c r="I1540" i="14" s="1"/>
  <c r="M1707" i="14"/>
  <c r="J1702" i="14" a="1"/>
  <c r="J1702" i="14" s="1"/>
  <c r="N1703" i="14"/>
  <c r="J1703" i="13" a="1"/>
  <c r="J1703" i="13" s="1"/>
  <c r="N1704" i="13"/>
  <c r="M1706" i="13"/>
  <c r="K1517" i="13" l="1"/>
  <c r="L1517" i="13" s="1"/>
  <c r="I1518" i="13" s="1"/>
  <c r="K1540" i="14"/>
  <c r="L1540" i="14" s="1"/>
  <c r="I1541" i="14" s="1"/>
  <c r="J1703" i="14" a="1"/>
  <c r="J1703" i="14" s="1"/>
  <c r="N1704" i="14"/>
  <c r="M1707" i="13"/>
  <c r="J1704" i="13" a="1"/>
  <c r="J1704" i="13" s="1"/>
  <c r="N1705" i="13"/>
  <c r="M1708" i="14"/>
  <c r="K1518" i="13" l="1"/>
  <c r="L1518" i="13" s="1"/>
  <c r="I1519" i="13" s="1"/>
  <c r="K1541" i="14"/>
  <c r="L1541" i="14" s="1"/>
  <c r="I1542" i="14" s="1"/>
  <c r="N1706" i="13"/>
  <c r="J1705" i="13" a="1"/>
  <c r="J1705" i="13" s="1"/>
  <c r="M1709" i="14"/>
  <c r="M1708" i="13"/>
  <c r="N1705" i="14"/>
  <c r="J1704" i="14" a="1"/>
  <c r="J1704" i="14" s="1"/>
  <c r="K1519" i="13" l="1"/>
  <c r="L1519" i="13" s="1"/>
  <c r="I1520" i="13" s="1"/>
  <c r="K1542" i="14"/>
  <c r="L1542" i="14" s="1"/>
  <c r="I1543" i="14" s="1"/>
  <c r="J1705" i="14" a="1"/>
  <c r="J1705" i="14" s="1"/>
  <c r="N1706" i="14"/>
  <c r="M1710" i="14"/>
  <c r="M1709" i="13"/>
  <c r="J1706" i="13" a="1"/>
  <c r="J1706" i="13" s="1"/>
  <c r="N1707" i="13"/>
  <c r="K1520" i="13" l="1"/>
  <c r="L1520" i="13" s="1"/>
  <c r="I1521" i="13" s="1"/>
  <c r="K1543" i="14"/>
  <c r="L1543" i="14" s="1"/>
  <c r="I1544" i="14" s="1"/>
  <c r="M1711" i="14"/>
  <c r="J1706" i="14" a="1"/>
  <c r="J1706" i="14" s="1"/>
  <c r="N1707" i="14"/>
  <c r="J1707" i="13" a="1"/>
  <c r="J1707" i="13" s="1"/>
  <c r="N1708" i="13"/>
  <c r="M1710" i="13"/>
  <c r="K1521" i="13" l="1"/>
  <c r="L1521" i="13" s="1"/>
  <c r="I1522" i="13" s="1"/>
  <c r="K1544" i="14"/>
  <c r="L1544" i="14" s="1"/>
  <c r="I1545" i="14" s="1"/>
  <c r="J1707" i="14" a="1"/>
  <c r="J1707" i="14" s="1"/>
  <c r="N1708" i="14"/>
  <c r="J1708" i="13" a="1"/>
  <c r="J1708" i="13" s="1"/>
  <c r="N1709" i="13"/>
  <c r="M1712" i="14"/>
  <c r="M1711" i="13"/>
  <c r="K1522" i="13" l="1"/>
  <c r="L1522" i="13" s="1"/>
  <c r="I1523" i="13" s="1"/>
  <c r="K1545" i="14"/>
  <c r="L1545" i="14" s="1"/>
  <c r="I1546" i="14" s="1"/>
  <c r="M1712" i="13"/>
  <c r="N1710" i="13"/>
  <c r="J1709" i="13" a="1"/>
  <c r="J1709" i="13" s="1"/>
  <c r="N1709" i="14"/>
  <c r="J1708" i="14" a="1"/>
  <c r="J1708" i="14" s="1"/>
  <c r="M1713" i="14"/>
  <c r="K1523" i="13" l="1"/>
  <c r="L1523" i="13" s="1"/>
  <c r="I1524" i="13" s="1"/>
  <c r="K1546" i="14"/>
  <c r="L1546" i="14" s="1"/>
  <c r="I1547" i="14" s="1"/>
  <c r="M1714" i="14"/>
  <c r="J1710" i="13" a="1"/>
  <c r="J1710" i="13" s="1"/>
  <c r="N1711" i="13"/>
  <c r="M1713" i="13"/>
  <c r="J1709" i="14" a="1"/>
  <c r="J1709" i="14" s="1"/>
  <c r="N1710" i="14"/>
  <c r="K1524" i="13" l="1"/>
  <c r="L1524" i="13" s="1"/>
  <c r="I1525" i="13" s="1"/>
  <c r="K1547" i="14"/>
  <c r="L1547" i="14" s="1"/>
  <c r="I1548" i="14" s="1"/>
  <c r="J1710" i="14" a="1"/>
  <c r="J1710" i="14" s="1"/>
  <c r="N1711" i="14"/>
  <c r="J1711" i="13" a="1"/>
  <c r="J1711" i="13" s="1"/>
  <c r="N1712" i="13"/>
  <c r="M1714" i="13"/>
  <c r="M1715" i="14"/>
  <c r="K1525" i="13" l="1"/>
  <c r="L1525" i="13" s="1"/>
  <c r="I1526" i="13" s="1"/>
  <c r="K1548" i="14"/>
  <c r="L1548" i="14" s="1"/>
  <c r="I1549" i="14" s="1"/>
  <c r="J1712" i="13" a="1"/>
  <c r="J1712" i="13" s="1"/>
  <c r="N1713" i="13"/>
  <c r="M1716" i="14"/>
  <c r="M1715" i="13"/>
  <c r="J1711" i="14" a="1"/>
  <c r="J1711" i="14" s="1"/>
  <c r="N1712" i="14"/>
  <c r="K1526" i="13" l="1"/>
  <c r="L1526" i="13" s="1"/>
  <c r="I1527" i="13" s="1"/>
  <c r="K1549" i="14"/>
  <c r="L1549" i="14" s="1"/>
  <c r="I1550" i="14" s="1"/>
  <c r="N1713" i="14"/>
  <c r="J1712" i="14" a="1"/>
  <c r="J1712" i="14" s="1"/>
  <c r="M1717" i="14"/>
  <c r="N1714" i="13"/>
  <c r="J1713" i="13" a="1"/>
  <c r="J1713" i="13" s="1"/>
  <c r="M1716" i="13"/>
  <c r="K1527" i="13" l="1"/>
  <c r="L1527" i="13" s="1"/>
  <c r="I1528" i="13" s="1"/>
  <c r="K1550" i="14"/>
  <c r="L1550" i="14" s="1"/>
  <c r="I1551" i="14" s="1"/>
  <c r="M1717" i="13"/>
  <c r="M1718" i="14"/>
  <c r="J1714" i="13" a="1"/>
  <c r="J1714" i="13" s="1"/>
  <c r="N1715" i="13"/>
  <c r="J1713" i="14" a="1"/>
  <c r="J1713" i="14" s="1"/>
  <c r="N1714" i="14"/>
  <c r="K1528" i="13" l="1"/>
  <c r="L1528" i="13" s="1"/>
  <c r="I1529" i="13" s="1"/>
  <c r="N1715" i="14"/>
  <c r="J1714" i="14" a="1"/>
  <c r="J1714" i="14" s="1"/>
  <c r="K1551" i="14"/>
  <c r="L1551" i="14" s="1"/>
  <c r="I1552" i="14" s="1"/>
  <c r="J1715" i="13" a="1"/>
  <c r="J1715" i="13" s="1"/>
  <c r="N1716" i="13"/>
  <c r="M1719" i="14"/>
  <c r="M1718" i="13"/>
  <c r="K1529" i="13" l="1"/>
  <c r="L1529" i="13" s="1"/>
  <c r="I1530" i="13" s="1"/>
  <c r="K1552" i="14"/>
  <c r="L1552" i="14" s="1"/>
  <c r="I1553" i="14" s="1"/>
  <c r="N1716" i="14"/>
  <c r="J1715" i="14" a="1"/>
  <c r="J1715" i="14" s="1"/>
  <c r="J1716" i="13" a="1"/>
  <c r="J1716" i="13" s="1"/>
  <c r="N1717" i="13"/>
  <c r="M1719" i="13"/>
  <c r="M1720" i="14"/>
  <c r="K1530" i="13" l="1"/>
  <c r="L1530" i="13" s="1"/>
  <c r="I1531" i="13" s="1"/>
  <c r="K1553" i="14"/>
  <c r="L1553" i="14" s="1"/>
  <c r="I1554" i="14" s="1"/>
  <c r="N1718" i="13"/>
  <c r="J1717" i="13" a="1"/>
  <c r="J1717" i="13" s="1"/>
  <c r="M1721" i="14"/>
  <c r="M1720" i="13"/>
  <c r="J1716" i="14" a="1"/>
  <c r="J1716" i="14" s="1"/>
  <c r="N1717" i="14"/>
  <c r="K1531" i="13" l="1"/>
  <c r="L1531" i="13" s="1"/>
  <c r="I1532" i="13" s="1"/>
  <c r="K1554" i="14"/>
  <c r="L1554" i="14" s="1"/>
  <c r="I1555" i="14" s="1"/>
  <c r="N1718" i="14"/>
  <c r="J1717" i="14" a="1"/>
  <c r="J1717" i="14" s="1"/>
  <c r="M1722" i="14"/>
  <c r="M1721" i="13"/>
  <c r="J1718" i="13" a="1"/>
  <c r="J1718" i="13" s="1"/>
  <c r="N1719" i="13"/>
  <c r="K1532" i="13" l="1"/>
  <c r="L1532" i="13" s="1"/>
  <c r="I1533" i="13" s="1"/>
  <c r="J1719" i="13" a="1"/>
  <c r="J1719" i="13" s="1"/>
  <c r="N1720" i="13"/>
  <c r="M1723" i="14"/>
  <c r="M1722" i="13"/>
  <c r="J1718" i="14" a="1"/>
  <c r="J1718" i="14" s="1"/>
  <c r="N1719" i="14"/>
  <c r="K1555" i="14"/>
  <c r="L1555" i="14" s="1"/>
  <c r="I1556" i="14" s="1"/>
  <c r="K1533" i="13" l="1"/>
  <c r="L1533" i="13" s="1"/>
  <c r="I1534" i="13" s="1"/>
  <c r="K1556" i="14"/>
  <c r="L1556" i="14" s="1"/>
  <c r="I1557" i="14" s="1"/>
  <c r="M1723" i="13"/>
  <c r="M1724" i="14"/>
  <c r="N1720" i="14"/>
  <c r="J1719" i="14" a="1"/>
  <c r="J1719" i="14" s="1"/>
  <c r="J1720" i="13" a="1"/>
  <c r="J1720" i="13" s="1"/>
  <c r="N1721" i="13"/>
  <c r="K1534" i="13" l="1"/>
  <c r="L1534" i="13" s="1"/>
  <c r="I1535" i="13" s="1"/>
  <c r="K1557" i="14"/>
  <c r="L1557" i="14" s="1"/>
  <c r="I1558" i="14" s="1"/>
  <c r="N1722" i="13"/>
  <c r="J1721" i="13" a="1"/>
  <c r="J1721" i="13" s="1"/>
  <c r="M1725" i="14"/>
  <c r="J1720" i="14" a="1"/>
  <c r="J1720" i="14" s="1"/>
  <c r="N1721" i="14"/>
  <c r="M1724" i="13"/>
  <c r="K1535" i="13" l="1"/>
  <c r="L1535" i="13" s="1"/>
  <c r="I1536" i="13" s="1"/>
  <c r="M1725" i="13"/>
  <c r="M1726" i="14"/>
  <c r="K1558" i="14"/>
  <c r="L1558" i="14" s="1"/>
  <c r="I1559" i="14" s="1"/>
  <c r="J1721" i="14" a="1"/>
  <c r="J1721" i="14" s="1"/>
  <c r="N1722" i="14"/>
  <c r="J1722" i="13" a="1"/>
  <c r="J1722" i="13" s="1"/>
  <c r="N1723" i="13"/>
  <c r="K1536" i="13" l="1"/>
  <c r="L1536" i="13" s="1"/>
  <c r="I1537" i="13" s="1"/>
  <c r="K1559" i="14"/>
  <c r="L1559" i="14" s="1"/>
  <c r="I1560" i="14" s="1"/>
  <c r="J1723" i="13" a="1"/>
  <c r="J1723" i="13" s="1"/>
  <c r="N1724" i="13"/>
  <c r="M1726" i="13"/>
  <c r="J1722" i="14" a="1"/>
  <c r="J1722" i="14" s="1"/>
  <c r="N1723" i="14"/>
  <c r="M1727" i="14"/>
  <c r="K1537" i="13" l="1"/>
  <c r="L1537" i="13" s="1"/>
  <c r="I1538" i="13" s="1"/>
  <c r="K1560" i="14"/>
  <c r="L1560" i="14" s="1"/>
  <c r="I1561" i="14" s="1"/>
  <c r="N1724" i="14"/>
  <c r="J1723" i="14" a="1"/>
  <c r="J1723" i="14" s="1"/>
  <c r="M1728" i="14"/>
  <c r="M1727" i="13"/>
  <c r="J1724" i="13" a="1"/>
  <c r="J1724" i="13" s="1"/>
  <c r="N1725" i="13"/>
  <c r="K1538" i="13" l="1"/>
  <c r="L1538" i="13" s="1"/>
  <c r="I1539" i="13" s="1"/>
  <c r="N1726" i="13"/>
  <c r="J1725" i="13" a="1"/>
  <c r="J1725" i="13" s="1"/>
  <c r="K1561" i="14"/>
  <c r="L1561" i="14" s="1"/>
  <c r="I1562" i="14" s="1"/>
  <c r="M1729" i="14"/>
  <c r="M1728" i="13"/>
  <c r="J1724" i="14" a="1"/>
  <c r="J1724" i="14" s="1"/>
  <c r="N1725" i="14"/>
  <c r="K1539" i="13" l="1"/>
  <c r="L1539" i="13" s="1"/>
  <c r="I1540" i="13" s="1"/>
  <c r="K1562" i="14"/>
  <c r="L1562" i="14" s="1"/>
  <c r="I1563" i="14" s="1"/>
  <c r="J1726" i="13" a="1"/>
  <c r="J1726" i="13" s="1"/>
  <c r="N1727" i="13"/>
  <c r="J1725" i="14" a="1"/>
  <c r="J1725" i="14" s="1"/>
  <c r="N1726" i="14"/>
  <c r="M1730" i="14"/>
  <c r="M1729" i="13"/>
  <c r="K1540" i="13" l="1"/>
  <c r="L1540" i="13" s="1"/>
  <c r="I1541" i="13" s="1"/>
  <c r="K1563" i="14"/>
  <c r="L1563" i="14" s="1"/>
  <c r="I1564" i="14" s="1"/>
  <c r="J1726" i="14" a="1"/>
  <c r="J1726" i="14" s="1"/>
  <c r="N1727" i="14"/>
  <c r="M1730" i="13"/>
  <c r="J1727" i="13" a="1"/>
  <c r="J1727" i="13" s="1"/>
  <c r="N1728" i="13"/>
  <c r="M1731" i="14"/>
  <c r="K1541" i="13" l="1"/>
  <c r="L1541" i="13" s="1"/>
  <c r="I1542" i="13" s="1"/>
  <c r="K1564" i="14"/>
  <c r="L1564" i="14" s="1"/>
  <c r="I1565" i="14" s="1"/>
  <c r="M1732" i="14"/>
  <c r="M1731" i="13"/>
  <c r="N1728" i="14"/>
  <c r="J1727" i="14" a="1"/>
  <c r="J1727" i="14" s="1"/>
  <c r="J1728" i="13" a="1"/>
  <c r="J1728" i="13" s="1"/>
  <c r="N1729" i="13"/>
  <c r="K1542" i="13" l="1"/>
  <c r="L1542" i="13" s="1"/>
  <c r="I1543" i="13" s="1"/>
  <c r="K1565" i="14"/>
  <c r="L1565" i="14" s="1"/>
  <c r="I1566" i="14" s="1"/>
  <c r="N1730" i="13"/>
  <c r="J1729" i="13" a="1"/>
  <c r="J1729" i="13" s="1"/>
  <c r="M1732" i="13"/>
  <c r="J1728" i="14" a="1"/>
  <c r="J1728" i="14" s="1"/>
  <c r="N1729" i="14"/>
  <c r="M1733" i="14"/>
  <c r="K1543" i="13" l="1"/>
  <c r="L1543" i="13" s="1"/>
  <c r="I1544" i="13" s="1"/>
  <c r="K1566" i="14"/>
  <c r="L1566" i="14" s="1"/>
  <c r="I1567" i="14" s="1"/>
  <c r="J1729" i="14" a="1"/>
  <c r="J1729" i="14" s="1"/>
  <c r="N1730" i="14"/>
  <c r="M1733" i="13"/>
  <c r="M1734" i="14"/>
  <c r="J1730" i="13" a="1"/>
  <c r="J1730" i="13" s="1"/>
  <c r="N1731" i="13"/>
  <c r="K1544" i="13" l="1"/>
  <c r="L1544" i="13" s="1"/>
  <c r="I1545" i="13" s="1"/>
  <c r="K1567" i="14"/>
  <c r="L1567" i="14" s="1"/>
  <c r="I1568" i="14" s="1"/>
  <c r="M1734" i="13"/>
  <c r="J1730" i="14" a="1"/>
  <c r="J1730" i="14" s="1"/>
  <c r="N1731" i="14"/>
  <c r="J1731" i="13" a="1"/>
  <c r="J1731" i="13" s="1"/>
  <c r="N1732" i="13"/>
  <c r="M1735" i="14"/>
  <c r="K1545" i="13" l="1"/>
  <c r="L1545" i="13" s="1"/>
  <c r="I1546" i="13" s="1"/>
  <c r="K1568" i="14"/>
  <c r="L1568" i="14" s="1"/>
  <c r="I1569" i="14" s="1"/>
  <c r="N1732" i="14"/>
  <c r="J1731" i="14" a="1"/>
  <c r="J1731" i="14" s="1"/>
  <c r="J1732" i="13" a="1"/>
  <c r="J1732" i="13" s="1"/>
  <c r="N1733" i="13"/>
  <c r="M1736" i="14"/>
  <c r="M1735" i="13"/>
  <c r="K1546" i="13" l="1"/>
  <c r="L1546" i="13" s="1"/>
  <c r="I1547" i="13" s="1"/>
  <c r="N1734" i="13"/>
  <c r="J1733" i="13" a="1"/>
  <c r="J1733" i="13" s="1"/>
  <c r="K1569" i="14"/>
  <c r="L1569" i="14" s="1"/>
  <c r="I1570" i="14" s="1"/>
  <c r="M1736" i="13"/>
  <c r="M1737" i="14"/>
  <c r="J1732" i="14" a="1"/>
  <c r="J1732" i="14" s="1"/>
  <c r="N1733" i="14"/>
  <c r="K1547" i="13" l="1"/>
  <c r="L1547" i="13" s="1"/>
  <c r="I1548" i="13" s="1"/>
  <c r="K1570" i="14"/>
  <c r="L1570" i="14" s="1"/>
  <c r="I1571" i="14" s="1"/>
  <c r="J1733" i="14" a="1"/>
  <c r="J1733" i="14" s="1"/>
  <c r="N1734" i="14"/>
  <c r="M1737" i="13"/>
  <c r="J1734" i="13" a="1"/>
  <c r="J1734" i="13" s="1"/>
  <c r="N1735" i="13"/>
  <c r="M1738" i="14"/>
  <c r="K1548" i="13" l="1"/>
  <c r="L1548" i="13" s="1"/>
  <c r="I1549" i="13" s="1"/>
  <c r="K1571" i="14"/>
  <c r="L1571" i="14" s="1"/>
  <c r="I1572" i="14" s="1"/>
  <c r="J1734" i="14" a="1"/>
  <c r="J1734" i="14" s="1"/>
  <c r="N1735" i="14"/>
  <c r="M1739" i="14"/>
  <c r="M1738" i="13"/>
  <c r="J1735" i="13" a="1"/>
  <c r="J1735" i="13" s="1"/>
  <c r="N1736" i="13"/>
  <c r="K1549" i="13" l="1"/>
  <c r="L1549" i="13" s="1"/>
  <c r="I1550" i="13" s="1"/>
  <c r="K1572" i="14"/>
  <c r="L1572" i="14" s="1"/>
  <c r="I1573" i="14" s="1"/>
  <c r="J1736" i="13" a="1"/>
  <c r="J1736" i="13" s="1"/>
  <c r="N1737" i="13"/>
  <c r="M1740" i="14"/>
  <c r="N1736" i="14"/>
  <c r="J1735" i="14" a="1"/>
  <c r="J1735" i="14" s="1"/>
  <c r="M1739" i="13"/>
  <c r="K1550" i="13" l="1"/>
  <c r="L1550" i="13" s="1"/>
  <c r="I1551" i="13" s="1"/>
  <c r="K1573" i="14"/>
  <c r="L1573" i="14" s="1"/>
  <c r="I1574" i="14" s="1"/>
  <c r="M1740" i="13"/>
  <c r="M1741" i="14"/>
  <c r="N1738" i="13"/>
  <c r="J1737" i="13" a="1"/>
  <c r="J1737" i="13" s="1"/>
  <c r="J1736" i="14" a="1"/>
  <c r="J1736" i="14" s="1"/>
  <c r="N1737" i="14"/>
  <c r="K1551" i="13" l="1"/>
  <c r="L1551" i="13" s="1"/>
  <c r="I1552" i="13" s="1"/>
  <c r="K1574" i="14"/>
  <c r="L1574" i="14" s="1"/>
  <c r="I1575" i="14" s="1"/>
  <c r="J1737" i="14" a="1"/>
  <c r="J1737" i="14" s="1"/>
  <c r="N1738" i="14"/>
  <c r="M1742" i="14"/>
  <c r="M1741" i="13"/>
  <c r="J1738" i="13" a="1"/>
  <c r="J1738" i="13" s="1"/>
  <c r="N1739" i="13"/>
  <c r="K1552" i="13" l="1"/>
  <c r="L1552" i="13" s="1"/>
  <c r="I1553" i="13" s="1"/>
  <c r="K1575" i="14"/>
  <c r="L1575" i="14" s="1"/>
  <c r="I1576" i="14" s="1"/>
  <c r="J1739" i="13" a="1"/>
  <c r="J1739" i="13" s="1"/>
  <c r="N1740" i="13"/>
  <c r="M1743" i="14"/>
  <c r="J1738" i="14" a="1"/>
  <c r="J1738" i="14" s="1"/>
  <c r="N1739" i="14"/>
  <c r="M1742" i="13"/>
  <c r="K1553" i="13" l="1"/>
  <c r="L1553" i="13" s="1"/>
  <c r="I1554" i="13" s="1"/>
  <c r="K1576" i="14"/>
  <c r="L1576" i="14" s="1"/>
  <c r="I1577" i="14" s="1"/>
  <c r="M1743" i="13"/>
  <c r="J1740" i="13" a="1"/>
  <c r="J1740" i="13" s="1"/>
  <c r="N1741" i="13"/>
  <c r="N1740" i="14"/>
  <c r="J1739" i="14" a="1"/>
  <c r="J1739" i="14" s="1"/>
  <c r="M1744" i="14"/>
  <c r="K1554" i="13" l="1"/>
  <c r="L1554" i="13" s="1"/>
  <c r="I1555" i="13" s="1"/>
  <c r="J1740" i="14" a="1"/>
  <c r="J1740" i="14" s="1"/>
  <c r="N1741" i="14"/>
  <c r="K1577" i="14"/>
  <c r="L1577" i="14" s="1"/>
  <c r="I1578" i="14" s="1"/>
  <c r="N1742" i="13"/>
  <c r="J1741" i="13" a="1"/>
  <c r="J1741" i="13" s="1"/>
  <c r="M1744" i="13"/>
  <c r="M1745" i="14"/>
  <c r="K1555" i="13" l="1"/>
  <c r="L1555" i="13" s="1"/>
  <c r="I1556" i="13" s="1"/>
  <c r="K1578" i="14"/>
  <c r="L1578" i="14" s="1"/>
  <c r="I1579" i="14" s="1"/>
  <c r="M1746" i="14"/>
  <c r="J1742" i="13" a="1"/>
  <c r="J1742" i="13" s="1"/>
  <c r="N1743" i="13"/>
  <c r="M1745" i="13"/>
  <c r="J1741" i="14" a="1"/>
  <c r="J1741" i="14" s="1"/>
  <c r="N1742" i="14"/>
  <c r="K1556" i="13" l="1"/>
  <c r="L1556" i="13" s="1"/>
  <c r="I1557" i="13" s="1"/>
  <c r="K1579" i="14"/>
  <c r="L1579" i="14" s="1"/>
  <c r="I1580" i="14" s="1"/>
  <c r="J1743" i="13" a="1"/>
  <c r="J1743" i="13" s="1"/>
  <c r="N1744" i="13"/>
  <c r="J1742" i="14" a="1"/>
  <c r="J1742" i="14" s="1"/>
  <c r="N1743" i="14"/>
  <c r="M1747" i="14"/>
  <c r="M1746" i="13"/>
  <c r="K1557" i="13" l="1"/>
  <c r="L1557" i="13" s="1"/>
  <c r="I1558" i="13" s="1"/>
  <c r="K1580" i="14"/>
  <c r="L1580" i="14" s="1"/>
  <c r="I1581" i="14" s="1"/>
  <c r="N1744" i="14"/>
  <c r="J1743" i="14" a="1"/>
  <c r="J1743" i="14" s="1"/>
  <c r="J1744" i="13" a="1"/>
  <c r="J1744" i="13" s="1"/>
  <c r="N1745" i="13"/>
  <c r="M1747" i="13"/>
  <c r="M1748" i="14"/>
  <c r="K1558" i="13" l="1"/>
  <c r="L1558" i="13" s="1"/>
  <c r="I1559" i="13" s="1"/>
  <c r="K1581" i="14"/>
  <c r="L1581" i="14" s="1"/>
  <c r="I1582" i="14" s="1"/>
  <c r="N1746" i="13"/>
  <c r="J1745" i="13" a="1"/>
  <c r="J1745" i="13" s="1"/>
  <c r="M1749" i="14"/>
  <c r="M1748" i="13"/>
  <c r="J1744" i="14" a="1"/>
  <c r="J1744" i="14" s="1"/>
  <c r="N1745" i="14"/>
  <c r="K1559" i="13" l="1"/>
  <c r="L1559" i="13" s="1"/>
  <c r="I1560" i="13" s="1"/>
  <c r="K1582" i="14"/>
  <c r="L1582" i="14" s="1"/>
  <c r="I1583" i="14" s="1"/>
  <c r="J1745" i="14" a="1"/>
  <c r="J1745" i="14" s="1"/>
  <c r="N1746" i="14"/>
  <c r="M1750" i="14"/>
  <c r="M1749" i="13"/>
  <c r="J1746" i="13" a="1"/>
  <c r="J1746" i="13" s="1"/>
  <c r="N1747" i="13"/>
  <c r="K1560" i="13" l="1"/>
  <c r="L1560" i="13" s="1"/>
  <c r="I1561" i="13" s="1"/>
  <c r="K1583" i="14"/>
  <c r="L1583" i="14" s="1"/>
  <c r="I1584" i="14" s="1"/>
  <c r="J1747" i="13" a="1"/>
  <c r="J1747" i="13" s="1"/>
  <c r="N1748" i="13"/>
  <c r="M1751" i="14"/>
  <c r="J1746" i="14" a="1"/>
  <c r="J1746" i="14" s="1"/>
  <c r="N1747" i="14"/>
  <c r="M1750" i="13"/>
  <c r="K1561" i="13" l="1"/>
  <c r="L1561" i="13" s="1"/>
  <c r="I1562" i="13" s="1"/>
  <c r="K1584" i="14"/>
  <c r="L1584" i="14" s="1"/>
  <c r="I1585" i="14" s="1"/>
  <c r="N1748" i="14"/>
  <c r="J1747" i="14" a="1"/>
  <c r="J1747" i="14" s="1"/>
  <c r="M1752" i="14"/>
  <c r="M1751" i="13"/>
  <c r="J1748" i="13" a="1"/>
  <c r="J1748" i="13" s="1"/>
  <c r="N1749" i="13"/>
  <c r="K1562" i="13" l="1"/>
  <c r="L1562" i="13" s="1"/>
  <c r="I1563" i="13" s="1"/>
  <c r="K1585" i="14"/>
  <c r="L1585" i="14" s="1"/>
  <c r="I1586" i="14" s="1"/>
  <c r="N1750" i="13"/>
  <c r="J1749" i="13" a="1"/>
  <c r="J1749" i="13" s="1"/>
  <c r="M1753" i="14"/>
  <c r="M1752" i="13"/>
  <c r="J1748" i="14" a="1"/>
  <c r="J1748" i="14" s="1"/>
  <c r="N1749" i="14"/>
  <c r="K1563" i="13" l="1"/>
  <c r="L1563" i="13" s="1"/>
  <c r="I1564" i="13" s="1"/>
  <c r="K1586" i="14"/>
  <c r="L1586" i="14" s="1"/>
  <c r="I1587" i="14" s="1"/>
  <c r="J1749" i="14" a="1"/>
  <c r="J1749" i="14" s="1"/>
  <c r="N1750" i="14"/>
  <c r="M1753" i="13"/>
  <c r="M1754" i="14"/>
  <c r="J1750" i="13" a="1"/>
  <c r="J1750" i="13" s="1"/>
  <c r="N1751" i="13"/>
  <c r="K1564" i="13" l="1"/>
  <c r="L1564" i="13" s="1"/>
  <c r="I1565" i="13" s="1"/>
  <c r="K1587" i="14"/>
  <c r="L1587" i="14" s="1"/>
  <c r="I1588" i="14" s="1"/>
  <c r="M1755" i="14"/>
  <c r="J1751" i="13" a="1"/>
  <c r="J1751" i="13" s="1"/>
  <c r="N1752" i="13"/>
  <c r="J1750" i="14" a="1"/>
  <c r="J1750" i="14" s="1"/>
  <c r="N1751" i="14"/>
  <c r="M1754" i="13"/>
  <c r="K1565" i="13" l="1"/>
  <c r="L1565" i="13" s="1"/>
  <c r="I1566" i="13" s="1"/>
  <c r="N1752" i="14"/>
  <c r="J1751" i="14" a="1"/>
  <c r="J1751" i="14" s="1"/>
  <c r="J1752" i="13" a="1"/>
  <c r="J1752" i="13" s="1"/>
  <c r="N1753" i="13"/>
  <c r="K1588" i="14"/>
  <c r="L1588" i="14" s="1"/>
  <c r="I1589" i="14" s="1"/>
  <c r="M1755" i="13"/>
  <c r="M1756" i="14"/>
  <c r="K1566" i="13" l="1"/>
  <c r="L1566" i="13" s="1"/>
  <c r="I1567" i="13" s="1"/>
  <c r="M1757" i="14"/>
  <c r="J1752" i="14" a="1"/>
  <c r="J1752" i="14" s="1"/>
  <c r="N1753" i="14"/>
  <c r="N1754" i="13"/>
  <c r="J1753" i="13" a="1"/>
  <c r="J1753" i="13" s="1"/>
  <c r="K1589" i="14"/>
  <c r="L1589" i="14" s="1"/>
  <c r="I1590" i="14" s="1"/>
  <c r="M1756" i="13"/>
  <c r="K1567" i="13" l="1"/>
  <c r="L1567" i="13" s="1"/>
  <c r="I1568" i="13" s="1"/>
  <c r="K1590" i="14"/>
  <c r="L1590" i="14" s="1"/>
  <c r="I1591" i="14" s="1"/>
  <c r="J1754" i="13" a="1"/>
  <c r="J1754" i="13" s="1"/>
  <c r="N1755" i="13"/>
  <c r="M1758" i="14"/>
  <c r="J1753" i="14" a="1"/>
  <c r="J1753" i="14" s="1"/>
  <c r="N1754" i="14"/>
  <c r="M1757" i="13"/>
  <c r="K1568" i="13" l="1"/>
  <c r="L1568" i="13" s="1"/>
  <c r="I1569" i="13" s="1"/>
  <c r="K1591" i="14"/>
  <c r="L1591" i="14" s="1"/>
  <c r="I1592" i="14" s="1"/>
  <c r="J1754" i="14" a="1"/>
  <c r="J1754" i="14" s="1"/>
  <c r="N1755" i="14"/>
  <c r="M1759" i="14"/>
  <c r="M1758" i="13"/>
  <c r="J1755" i="13" a="1"/>
  <c r="J1755" i="13" s="1"/>
  <c r="N1756" i="13"/>
  <c r="K1569" i="13" l="1"/>
  <c r="L1569" i="13" s="1"/>
  <c r="I1570" i="13" s="1"/>
  <c r="K1592" i="14"/>
  <c r="L1592" i="14" s="1"/>
  <c r="I1593" i="14" s="1"/>
  <c r="N1756" i="14"/>
  <c r="J1755" i="14" a="1"/>
  <c r="J1755" i="14" s="1"/>
  <c r="M1759" i="13"/>
  <c r="J1756" i="13" a="1"/>
  <c r="J1756" i="13" s="1"/>
  <c r="N1757" i="13"/>
  <c r="M1760" i="14"/>
  <c r="K1570" i="13" l="1"/>
  <c r="L1570" i="13" s="1"/>
  <c r="I1571" i="13" s="1"/>
  <c r="K1593" i="14"/>
  <c r="L1593" i="14" s="1"/>
  <c r="I1594" i="14" s="1"/>
  <c r="M1761" i="14"/>
  <c r="M1760" i="13"/>
  <c r="N1758" i="13"/>
  <c r="J1757" i="13" a="1"/>
  <c r="J1757" i="13" s="1"/>
  <c r="J1756" i="14" a="1"/>
  <c r="J1756" i="14" s="1"/>
  <c r="N1757" i="14"/>
  <c r="K1571" i="13" l="1"/>
  <c r="L1571" i="13" s="1"/>
  <c r="I1572" i="13" s="1"/>
  <c r="K1594" i="14"/>
  <c r="L1594" i="14" s="1"/>
  <c r="I1595" i="14" s="1"/>
  <c r="J1757" i="14" a="1"/>
  <c r="J1757" i="14" s="1"/>
  <c r="N1758" i="14"/>
  <c r="M1761" i="13"/>
  <c r="J1758" i="13" a="1"/>
  <c r="J1758" i="13" s="1"/>
  <c r="N1759" i="13"/>
  <c r="M1762" i="14"/>
  <c r="K1572" i="13" l="1"/>
  <c r="L1572" i="13" s="1"/>
  <c r="I1573" i="13" s="1"/>
  <c r="K1595" i="14"/>
  <c r="L1595" i="14" s="1"/>
  <c r="I1596" i="14" s="1"/>
  <c r="M1763" i="14"/>
  <c r="J1758" i="14" a="1"/>
  <c r="J1758" i="14" s="1"/>
  <c r="N1759" i="14"/>
  <c r="J1759" i="13" a="1"/>
  <c r="J1759" i="13" s="1"/>
  <c r="N1760" i="13"/>
  <c r="M1762" i="13"/>
  <c r="K1573" i="13" l="1"/>
  <c r="L1573" i="13" s="1"/>
  <c r="I1574" i="13" s="1"/>
  <c r="K1596" i="14"/>
  <c r="L1596" i="14" s="1"/>
  <c r="I1597" i="14" s="1"/>
  <c r="J1760" i="13" a="1"/>
  <c r="J1760" i="13" s="1"/>
  <c r="N1761" i="13"/>
  <c r="M1763" i="13"/>
  <c r="M1764" i="14"/>
  <c r="N1760" i="14"/>
  <c r="J1759" i="14" a="1"/>
  <c r="J1759" i="14" s="1"/>
  <c r="K1574" i="13" l="1"/>
  <c r="L1574" i="13" s="1"/>
  <c r="I1575" i="13" s="1"/>
  <c r="K1597" i="14"/>
  <c r="L1597" i="14" s="1"/>
  <c r="I1598" i="14" s="1"/>
  <c r="M1764" i="13"/>
  <c r="N1762" i="13"/>
  <c r="J1761" i="13" a="1"/>
  <c r="J1761" i="13" s="1"/>
  <c r="J1760" i="14" a="1"/>
  <c r="J1760" i="14" s="1"/>
  <c r="N1761" i="14"/>
  <c r="M1765" i="14"/>
  <c r="K1575" i="13" l="1"/>
  <c r="L1575" i="13" s="1"/>
  <c r="I1576" i="13" s="1"/>
  <c r="K1598" i="14"/>
  <c r="L1598" i="14" s="1"/>
  <c r="I1599" i="14" s="1"/>
  <c r="J1762" i="13" a="1"/>
  <c r="J1762" i="13" s="1"/>
  <c r="N1763" i="13"/>
  <c r="J1761" i="14" a="1"/>
  <c r="J1761" i="14" s="1"/>
  <c r="N1762" i="14"/>
  <c r="M1765" i="13"/>
  <c r="M1766" i="14"/>
  <c r="K1576" i="13" l="1"/>
  <c r="L1576" i="13" s="1"/>
  <c r="I1577" i="13" s="1"/>
  <c r="K1599" i="14"/>
  <c r="L1599" i="14" s="1"/>
  <c r="I1600" i="14" s="1"/>
  <c r="J1762" i="14" a="1"/>
  <c r="J1762" i="14" s="1"/>
  <c r="N1763" i="14"/>
  <c r="M1767" i="14"/>
  <c r="J1763" i="13" a="1"/>
  <c r="J1763" i="13" s="1"/>
  <c r="N1764" i="13"/>
  <c r="M1766" i="13"/>
  <c r="K1577" i="13" l="1"/>
  <c r="L1577" i="13" s="1"/>
  <c r="I1578" i="13" s="1"/>
  <c r="K1600" i="14"/>
  <c r="L1600" i="14" s="1"/>
  <c r="I1601" i="14" s="1"/>
  <c r="M1767" i="13"/>
  <c r="M1768" i="14"/>
  <c r="J1764" i="13" a="1"/>
  <c r="J1764" i="13" s="1"/>
  <c r="N1765" i="13"/>
  <c r="N1764" i="14"/>
  <c r="J1763" i="14" a="1"/>
  <c r="J1763" i="14" s="1"/>
  <c r="K1578" i="13" l="1"/>
  <c r="L1578" i="13" s="1"/>
  <c r="I1579" i="13" s="1"/>
  <c r="K1601" i="14"/>
  <c r="L1601" i="14" s="1"/>
  <c r="I1602" i="14" s="1"/>
  <c r="J1764" i="14" a="1"/>
  <c r="J1764" i="14" s="1"/>
  <c r="N1765" i="14"/>
  <c r="M1769" i="14"/>
  <c r="N1766" i="13"/>
  <c r="J1765" i="13" a="1"/>
  <c r="J1765" i="13" s="1"/>
  <c r="M1768" i="13"/>
  <c r="K1579" i="13" l="1"/>
  <c r="L1579" i="13" s="1"/>
  <c r="I1580" i="13" s="1"/>
  <c r="K1602" i="14"/>
  <c r="L1602" i="14" s="1"/>
  <c r="I1603" i="14" s="1"/>
  <c r="J1766" i="13" a="1"/>
  <c r="J1766" i="13" s="1"/>
  <c r="N1767" i="13"/>
  <c r="M1769" i="13"/>
  <c r="M1770" i="14"/>
  <c r="J1765" i="14" a="1"/>
  <c r="J1765" i="14" s="1"/>
  <c r="N1766" i="14"/>
  <c r="K1580" i="13" l="1"/>
  <c r="L1580" i="13" s="1"/>
  <c r="I1581" i="13" s="1"/>
  <c r="K1603" i="14"/>
  <c r="L1603" i="14" s="1"/>
  <c r="I1604" i="14" s="1"/>
  <c r="J1766" i="14" a="1"/>
  <c r="J1766" i="14" s="1"/>
  <c r="N1767" i="14"/>
  <c r="M1770" i="13"/>
  <c r="M1771" i="14"/>
  <c r="J1767" i="13" a="1"/>
  <c r="J1767" i="13" s="1"/>
  <c r="N1768" i="13"/>
  <c r="K1581" i="13" l="1"/>
  <c r="L1581" i="13" s="1"/>
  <c r="I1582" i="13" s="1"/>
  <c r="K1604" i="14"/>
  <c r="L1604" i="14" s="1"/>
  <c r="I1605" i="14" s="1"/>
  <c r="J1768" i="13" a="1"/>
  <c r="J1768" i="13" s="1"/>
  <c r="N1769" i="13"/>
  <c r="M1771" i="13"/>
  <c r="N1768" i="14"/>
  <c r="J1767" i="14" a="1"/>
  <c r="J1767" i="14" s="1"/>
  <c r="M1772" i="14"/>
  <c r="K1582" i="13" l="1"/>
  <c r="L1582" i="13" s="1"/>
  <c r="I1583" i="13" s="1"/>
  <c r="M1773" i="14"/>
  <c r="M1772" i="13"/>
  <c r="K1605" i="14"/>
  <c r="L1605" i="14" s="1"/>
  <c r="I1606" i="14" s="1"/>
  <c r="N1770" i="13"/>
  <c r="J1769" i="13" a="1"/>
  <c r="J1769" i="13" s="1"/>
  <c r="J1768" i="14" a="1"/>
  <c r="J1768" i="14" s="1"/>
  <c r="N1769" i="14"/>
  <c r="K1583" i="13" l="1"/>
  <c r="L1583" i="13" s="1"/>
  <c r="I1584" i="13" s="1"/>
  <c r="J1769" i="14" a="1"/>
  <c r="J1769" i="14" s="1"/>
  <c r="N1770" i="14"/>
  <c r="M1774" i="14"/>
  <c r="M1773" i="13"/>
  <c r="K1606" i="14"/>
  <c r="L1606" i="14" s="1"/>
  <c r="I1607" i="14" s="1"/>
  <c r="J1770" i="13" a="1"/>
  <c r="J1770" i="13" s="1"/>
  <c r="N1771" i="13"/>
  <c r="K1584" i="13" l="1"/>
  <c r="L1584" i="13" s="1"/>
  <c r="I1585" i="13" s="1"/>
  <c r="K1607" i="14"/>
  <c r="L1607" i="14" s="1"/>
  <c r="I1608" i="14" s="1"/>
  <c r="J1770" i="14" a="1"/>
  <c r="J1770" i="14" s="1"/>
  <c r="N1771" i="14"/>
  <c r="M1774" i="13"/>
  <c r="J1771" i="13" a="1"/>
  <c r="J1771" i="13" s="1"/>
  <c r="N1772" i="13"/>
  <c r="M1775" i="14"/>
  <c r="K1585" i="13" l="1"/>
  <c r="L1585" i="13" s="1"/>
  <c r="I1586" i="13" s="1"/>
  <c r="K1608" i="14"/>
  <c r="L1608" i="14" s="1"/>
  <c r="I1609" i="14" s="1"/>
  <c r="J1772" i="13" a="1"/>
  <c r="J1772" i="13" s="1"/>
  <c r="N1773" i="13"/>
  <c r="M1776" i="14"/>
  <c r="M1775" i="13"/>
  <c r="N1772" i="14"/>
  <c r="J1771" i="14" a="1"/>
  <c r="J1771" i="14" s="1"/>
  <c r="K1586" i="13" l="1"/>
  <c r="L1586" i="13" s="1"/>
  <c r="I1587" i="13" s="1"/>
  <c r="K1609" i="14"/>
  <c r="L1609" i="14" s="1"/>
  <c r="I1610" i="14" s="1"/>
  <c r="J1772" i="14" a="1"/>
  <c r="J1772" i="14" s="1"/>
  <c r="N1773" i="14"/>
  <c r="M1777" i="14"/>
  <c r="N1774" i="13"/>
  <c r="J1773" i="13" a="1"/>
  <c r="J1773" i="13" s="1"/>
  <c r="M1776" i="13"/>
  <c r="K1587" i="13" l="1"/>
  <c r="L1587" i="13" s="1"/>
  <c r="I1588" i="13" s="1"/>
  <c r="K1610" i="14"/>
  <c r="L1610" i="14" s="1"/>
  <c r="I1611" i="14" s="1"/>
  <c r="M1777" i="13"/>
  <c r="M1778" i="14"/>
  <c r="J1773" i="14" a="1"/>
  <c r="J1773" i="14" s="1"/>
  <c r="N1774" i="14"/>
  <c r="J1774" i="13" a="1"/>
  <c r="J1774" i="13" s="1"/>
  <c r="N1775" i="13"/>
  <c r="K1588" i="13" l="1"/>
  <c r="L1588" i="13" s="1"/>
  <c r="I1589" i="13" s="1"/>
  <c r="K1611" i="14"/>
  <c r="L1611" i="14" s="1"/>
  <c r="I1612" i="14" s="1"/>
  <c r="J1775" i="13" a="1"/>
  <c r="J1775" i="13" s="1"/>
  <c r="N1776" i="13"/>
  <c r="M1778" i="13"/>
  <c r="J1774" i="14" a="1"/>
  <c r="J1774" i="14" s="1"/>
  <c r="N1775" i="14"/>
  <c r="M1779" i="14"/>
  <c r="K1589" i="13" l="1"/>
  <c r="L1589" i="13" s="1"/>
  <c r="I1590" i="13" s="1"/>
  <c r="K1612" i="14"/>
  <c r="L1612" i="14" s="1"/>
  <c r="I1613" i="14" s="1"/>
  <c r="N1776" i="14"/>
  <c r="J1775" i="14" a="1"/>
  <c r="J1775" i="14" s="1"/>
  <c r="M1780" i="14"/>
  <c r="M1779" i="13"/>
  <c r="J1776" i="13" a="1"/>
  <c r="J1776" i="13" s="1"/>
  <c r="N1777" i="13"/>
  <c r="K1590" i="13" l="1"/>
  <c r="L1590" i="13" s="1"/>
  <c r="I1591" i="13" s="1"/>
  <c r="K1613" i="14"/>
  <c r="L1613" i="14" s="1"/>
  <c r="I1614" i="14" s="1"/>
  <c r="N1778" i="13"/>
  <c r="J1777" i="13" a="1"/>
  <c r="J1777" i="13" s="1"/>
  <c r="M1781" i="14"/>
  <c r="M1780" i="13"/>
  <c r="J1776" i="14" a="1"/>
  <c r="J1776" i="14" s="1"/>
  <c r="N1777" i="14"/>
  <c r="K1591" i="13" l="1"/>
  <c r="L1591" i="13" s="1"/>
  <c r="I1592" i="13" s="1"/>
  <c r="J1777" i="14" a="1"/>
  <c r="J1777" i="14" s="1"/>
  <c r="N1778" i="14"/>
  <c r="K1614" i="14"/>
  <c r="L1614" i="14" s="1"/>
  <c r="I1615" i="14" s="1"/>
  <c r="M1782" i="14"/>
  <c r="M1781" i="13"/>
  <c r="J1778" i="13" a="1"/>
  <c r="J1778" i="13" s="1"/>
  <c r="N1779" i="13"/>
  <c r="K1592" i="13" l="1"/>
  <c r="L1592" i="13" s="1"/>
  <c r="I1593" i="13" s="1"/>
  <c r="J1779" i="13" a="1"/>
  <c r="J1779" i="13" s="1"/>
  <c r="N1780" i="13"/>
  <c r="J1778" i="14" a="1"/>
  <c r="J1778" i="14" s="1"/>
  <c r="N1779" i="14"/>
  <c r="M1783" i="14"/>
  <c r="M1782" i="13"/>
  <c r="K1615" i="14"/>
  <c r="L1615" i="14" s="1"/>
  <c r="I1616" i="14" s="1"/>
  <c r="K1593" i="13" l="1"/>
  <c r="L1593" i="13" s="1"/>
  <c r="I1594" i="13" s="1"/>
  <c r="J1780" i="13" a="1"/>
  <c r="J1780" i="13" s="1"/>
  <c r="N1781" i="13"/>
  <c r="M1784" i="14"/>
  <c r="N1780" i="14"/>
  <c r="J1779" i="14" a="1"/>
  <c r="J1779" i="14" s="1"/>
  <c r="K1616" i="14"/>
  <c r="L1616" i="14" s="1"/>
  <c r="I1617" i="14" s="1"/>
  <c r="M1783" i="13"/>
  <c r="K1594" i="13" l="1"/>
  <c r="L1594" i="13" s="1"/>
  <c r="I1595" i="13" s="1"/>
  <c r="K1617" i="14"/>
  <c r="L1617" i="14" s="1"/>
  <c r="I1618" i="14" s="1"/>
  <c r="N1782" i="13"/>
  <c r="J1781" i="13" a="1"/>
  <c r="J1781" i="13" s="1"/>
  <c r="M1784" i="13"/>
  <c r="J1780" i="14" a="1"/>
  <c r="J1780" i="14" s="1"/>
  <c r="N1781" i="14"/>
  <c r="M1785" i="14"/>
  <c r="K1595" i="13" l="1"/>
  <c r="L1595" i="13" s="1"/>
  <c r="I1596" i="13" s="1"/>
  <c r="K1618" i="14"/>
  <c r="L1618" i="14" s="1"/>
  <c r="I1619" i="14" s="1"/>
  <c r="J1781" i="14" a="1"/>
  <c r="J1781" i="14" s="1"/>
  <c r="N1782" i="14"/>
  <c r="M1785" i="13"/>
  <c r="M1786" i="14"/>
  <c r="J1782" i="13" a="1"/>
  <c r="J1782" i="13" s="1"/>
  <c r="N1783" i="13"/>
  <c r="K1596" i="13" l="1"/>
  <c r="L1596" i="13" s="1"/>
  <c r="I1597" i="13" s="1"/>
  <c r="K1619" i="14"/>
  <c r="L1619" i="14" s="1"/>
  <c r="I1620" i="14" s="1"/>
  <c r="J1783" i="13" a="1"/>
  <c r="J1783" i="13" s="1"/>
  <c r="N1784" i="13"/>
  <c r="M1786" i="13"/>
  <c r="J1782" i="14" a="1"/>
  <c r="J1782" i="14" s="1"/>
  <c r="N1783" i="14"/>
  <c r="M1787" i="14"/>
  <c r="K1597" i="13" l="1"/>
  <c r="L1597" i="13" s="1"/>
  <c r="I1598" i="13" s="1"/>
  <c r="N1784" i="14"/>
  <c r="J1783" i="14" a="1"/>
  <c r="J1783" i="14" s="1"/>
  <c r="M1788" i="14"/>
  <c r="M1787" i="13"/>
  <c r="J1784" i="13" a="1"/>
  <c r="J1784" i="13" s="1"/>
  <c r="N1785" i="13"/>
  <c r="K1620" i="14"/>
  <c r="L1620" i="14" s="1"/>
  <c r="I1621" i="14" s="1"/>
  <c r="K1598" i="13" l="1"/>
  <c r="L1598" i="13" s="1"/>
  <c r="I1599" i="13" s="1"/>
  <c r="K1621" i="14"/>
  <c r="L1621" i="14" s="1"/>
  <c r="I1622" i="14" s="1"/>
  <c r="N1786" i="13"/>
  <c r="J1785" i="13" a="1"/>
  <c r="J1785" i="13" s="1"/>
  <c r="M1788" i="13"/>
  <c r="M1789" i="14"/>
  <c r="J1784" i="14" a="1"/>
  <c r="J1784" i="14" s="1"/>
  <c r="N1785" i="14"/>
  <c r="K1599" i="13" l="1"/>
  <c r="L1599" i="13" s="1"/>
  <c r="I1600" i="13" s="1"/>
  <c r="K1622" i="14"/>
  <c r="L1622" i="14" s="1"/>
  <c r="I1623" i="14" s="1"/>
  <c r="J1785" i="14" a="1"/>
  <c r="J1785" i="14" s="1"/>
  <c r="N1786" i="14"/>
  <c r="M1789" i="13"/>
  <c r="M1790" i="14"/>
  <c r="J1786" i="13" a="1"/>
  <c r="J1786" i="13" s="1"/>
  <c r="N1787" i="13"/>
  <c r="K1600" i="13" l="1"/>
  <c r="L1600" i="13" s="1"/>
  <c r="I1601" i="13" s="1"/>
  <c r="K1623" i="14"/>
  <c r="L1623" i="14" s="1"/>
  <c r="I1624" i="14" s="1"/>
  <c r="J1787" i="13" a="1"/>
  <c r="J1787" i="13" s="1"/>
  <c r="N1788" i="13"/>
  <c r="M1790" i="13"/>
  <c r="J1786" i="14" a="1"/>
  <c r="J1786" i="14" s="1"/>
  <c r="N1787" i="14"/>
  <c r="M1791" i="14"/>
  <c r="K1601" i="13" l="1"/>
  <c r="L1601" i="13" s="1"/>
  <c r="I1602" i="13" s="1"/>
  <c r="K1624" i="14"/>
  <c r="L1624" i="14" s="1"/>
  <c r="I1625" i="14" s="1"/>
  <c r="M1792" i="14"/>
  <c r="M1791" i="13"/>
  <c r="J1788" i="13" a="1"/>
  <c r="J1788" i="13" s="1"/>
  <c r="N1789" i="13"/>
  <c r="N1788" i="14"/>
  <c r="J1787" i="14" a="1"/>
  <c r="J1787" i="14" s="1"/>
  <c r="K1602" i="13" l="1"/>
  <c r="L1602" i="13" s="1"/>
  <c r="I1603" i="13" s="1"/>
  <c r="K1625" i="14"/>
  <c r="L1625" i="14" s="1"/>
  <c r="I1626" i="14" s="1"/>
  <c r="J1788" i="14" a="1"/>
  <c r="J1788" i="14" s="1"/>
  <c r="N1789" i="14"/>
  <c r="M1792" i="13"/>
  <c r="N1790" i="13"/>
  <c r="J1789" i="13" a="1"/>
  <c r="J1789" i="13" s="1"/>
  <c r="M1793" i="14"/>
  <c r="K1603" i="13" l="1"/>
  <c r="L1603" i="13" s="1"/>
  <c r="I1604" i="13" s="1"/>
  <c r="K1626" i="14"/>
  <c r="L1626" i="14" s="1"/>
  <c r="I1627" i="14" s="1"/>
  <c r="M1793" i="13"/>
  <c r="J1790" i="13" a="1"/>
  <c r="J1790" i="13" s="1"/>
  <c r="N1791" i="13"/>
  <c r="M1794" i="14"/>
  <c r="J1789" i="14" a="1"/>
  <c r="J1789" i="14" s="1"/>
  <c r="N1790" i="14"/>
  <c r="K1604" i="13" l="1"/>
  <c r="L1604" i="13" s="1"/>
  <c r="I1605" i="13" s="1"/>
  <c r="K1627" i="14"/>
  <c r="L1627" i="14" s="1"/>
  <c r="I1628" i="14" s="1"/>
  <c r="J1790" i="14" a="1"/>
  <c r="J1790" i="14" s="1"/>
  <c r="N1791" i="14"/>
  <c r="J1791" i="13" a="1"/>
  <c r="J1791" i="13" s="1"/>
  <c r="N1792" i="13"/>
  <c r="M1795" i="14"/>
  <c r="M1794" i="13"/>
  <c r="K1605" i="13" l="1"/>
  <c r="L1605" i="13" s="1"/>
  <c r="I1606" i="13" s="1"/>
  <c r="K1628" i="14"/>
  <c r="L1628" i="14" s="1"/>
  <c r="I1629" i="14" s="1"/>
  <c r="N1792" i="14"/>
  <c r="J1791" i="14" a="1"/>
  <c r="J1791" i="14" s="1"/>
  <c r="M1796" i="14"/>
  <c r="J1792" i="13" a="1"/>
  <c r="J1792" i="13" s="1"/>
  <c r="N1793" i="13"/>
  <c r="M1795" i="13"/>
  <c r="K1606" i="13" l="1"/>
  <c r="L1606" i="13" s="1"/>
  <c r="I1607" i="13" s="1"/>
  <c r="K1629" i="14"/>
  <c r="L1629" i="14" s="1"/>
  <c r="I1630" i="14" s="1"/>
  <c r="N1794" i="13"/>
  <c r="J1793" i="13" a="1"/>
  <c r="J1793" i="13" s="1"/>
  <c r="M1796" i="13"/>
  <c r="M1797" i="14"/>
  <c r="J1792" i="14" a="1"/>
  <c r="J1792" i="14" s="1"/>
  <c r="N1793" i="14"/>
  <c r="K1607" i="13" l="1"/>
  <c r="L1607" i="13" s="1"/>
  <c r="I1608" i="13" s="1"/>
  <c r="K1630" i="14"/>
  <c r="L1630" i="14" s="1"/>
  <c r="I1631" i="14" s="1"/>
  <c r="J1793" i="14" a="1"/>
  <c r="J1793" i="14" s="1"/>
  <c r="N1794" i="14"/>
  <c r="M1797" i="13"/>
  <c r="M1798" i="14"/>
  <c r="J1794" i="13" a="1"/>
  <c r="J1794" i="13" s="1"/>
  <c r="N1795" i="13"/>
  <c r="K1608" i="13" l="1"/>
  <c r="L1608" i="13" s="1"/>
  <c r="I1609" i="13" s="1"/>
  <c r="K1631" i="14"/>
  <c r="L1631" i="14" s="1"/>
  <c r="I1632" i="14" s="1"/>
  <c r="M1799" i="14"/>
  <c r="J1795" i="13" a="1"/>
  <c r="J1795" i="13" s="1"/>
  <c r="N1796" i="13"/>
  <c r="M1798" i="13"/>
  <c r="J1794" i="14" a="1"/>
  <c r="J1794" i="14" s="1"/>
  <c r="N1795" i="14"/>
  <c r="K1609" i="13" l="1"/>
  <c r="L1609" i="13" s="1"/>
  <c r="I1610" i="13" s="1"/>
  <c r="K1632" i="14"/>
  <c r="L1632" i="14" s="1"/>
  <c r="I1633" i="14" s="1"/>
  <c r="M1799" i="13"/>
  <c r="N1796" i="14"/>
  <c r="J1795" i="14" a="1"/>
  <c r="J1795" i="14" s="1"/>
  <c r="M1800" i="14"/>
  <c r="J1796" i="13" a="1"/>
  <c r="J1796" i="13" s="1"/>
  <c r="N1797" i="13"/>
  <c r="K1610" i="13" l="1"/>
  <c r="L1610" i="13" s="1"/>
  <c r="I1611" i="13" s="1"/>
  <c r="K1633" i="14"/>
  <c r="L1633" i="14" s="1"/>
  <c r="I1634" i="14" s="1"/>
  <c r="N1798" i="13"/>
  <c r="J1797" i="13" a="1"/>
  <c r="J1797" i="13" s="1"/>
  <c r="M1800" i="13"/>
  <c r="M1801" i="14"/>
  <c r="J1796" i="14" a="1"/>
  <c r="J1796" i="14" s="1"/>
  <c r="N1797" i="14"/>
  <c r="K1611" i="13" l="1"/>
  <c r="L1611" i="13" s="1"/>
  <c r="I1612" i="13" s="1"/>
  <c r="K1634" i="14"/>
  <c r="L1634" i="14" s="1"/>
  <c r="I1635" i="14" s="1"/>
  <c r="J1797" i="14" a="1"/>
  <c r="J1797" i="14" s="1"/>
  <c r="N1798" i="14"/>
  <c r="M1801" i="13"/>
  <c r="M1802" i="14"/>
  <c r="J1798" i="13" a="1"/>
  <c r="J1798" i="13" s="1"/>
  <c r="N1799" i="13"/>
  <c r="K1612" i="13" l="1"/>
  <c r="L1612" i="13" s="1"/>
  <c r="I1613" i="13" s="1"/>
  <c r="K1635" i="14"/>
  <c r="L1635" i="14" s="1"/>
  <c r="I1636" i="14" s="1"/>
  <c r="J1799" i="13" a="1"/>
  <c r="J1799" i="13" s="1"/>
  <c r="N1800" i="13"/>
  <c r="M1802" i="13"/>
  <c r="J1798" i="14" a="1"/>
  <c r="J1798" i="14" s="1"/>
  <c r="N1799" i="14"/>
  <c r="M1803" i="14"/>
  <c r="K1613" i="13" l="1"/>
  <c r="L1613" i="13" s="1"/>
  <c r="I1614" i="13" s="1"/>
  <c r="M1803" i="13"/>
  <c r="N1800" i="14"/>
  <c r="J1799" i="14" a="1"/>
  <c r="J1799" i="14" s="1"/>
  <c r="M1804" i="14"/>
  <c r="K1636" i="14"/>
  <c r="L1636" i="14" s="1"/>
  <c r="I1637" i="14" s="1"/>
  <c r="J1800" i="13" a="1"/>
  <c r="J1800" i="13" s="1"/>
  <c r="N1801" i="13"/>
  <c r="K1614" i="13" l="1"/>
  <c r="L1614" i="13" s="1"/>
  <c r="I1615" i="13" s="1"/>
  <c r="K1637" i="14"/>
  <c r="L1637" i="14" s="1"/>
  <c r="I1638" i="14" s="1"/>
  <c r="N1802" i="13"/>
  <c r="J1801" i="13" a="1"/>
  <c r="J1801" i="13" s="1"/>
  <c r="M1805" i="14"/>
  <c r="M1804" i="13"/>
  <c r="J1800" i="14" a="1"/>
  <c r="J1800" i="14" s="1"/>
  <c r="N1801" i="14"/>
  <c r="K1615" i="13" l="1"/>
  <c r="L1615" i="13" s="1"/>
  <c r="I1616" i="13" s="1"/>
  <c r="K1638" i="14"/>
  <c r="L1638" i="14" s="1"/>
  <c r="I1639" i="14" s="1"/>
  <c r="J1801" i="14" a="1"/>
  <c r="J1801" i="14" s="1"/>
  <c r="N1802" i="14"/>
  <c r="M1806" i="14"/>
  <c r="M1805" i="13"/>
  <c r="J1802" i="13" a="1"/>
  <c r="J1802" i="13" s="1"/>
  <c r="N1803" i="13"/>
  <c r="K1616" i="13" l="1"/>
  <c r="L1616" i="13" s="1"/>
  <c r="I1617" i="13" s="1"/>
  <c r="K1639" i="14"/>
  <c r="L1639" i="14" s="1"/>
  <c r="I1640" i="14" s="1"/>
  <c r="J1803" i="13" a="1"/>
  <c r="J1803" i="13" s="1"/>
  <c r="N1804" i="13"/>
  <c r="M1807" i="14"/>
  <c r="J1802" i="14" a="1"/>
  <c r="J1802" i="14" s="1"/>
  <c r="N1803" i="14"/>
  <c r="M1806" i="13"/>
  <c r="K1617" i="13" l="1"/>
  <c r="L1617" i="13" s="1"/>
  <c r="I1618" i="13" s="1"/>
  <c r="K1640" i="14"/>
  <c r="L1640" i="14" s="1"/>
  <c r="I1641" i="14" s="1"/>
  <c r="N1804" i="14"/>
  <c r="J1803" i="14" a="1"/>
  <c r="J1803" i="14" s="1"/>
  <c r="M1807" i="13"/>
  <c r="M1808" i="14"/>
  <c r="J1804" i="13" a="1"/>
  <c r="J1804" i="13" s="1"/>
  <c r="N1805" i="13"/>
  <c r="K1618" i="13" l="1"/>
  <c r="L1618" i="13" s="1"/>
  <c r="I1619" i="13" s="1"/>
  <c r="K1641" i="14"/>
  <c r="L1641" i="14" s="1"/>
  <c r="I1642" i="14" s="1"/>
  <c r="M1808" i="13"/>
  <c r="N1806" i="13"/>
  <c r="J1805" i="13" a="1"/>
  <c r="J1805" i="13" s="1"/>
  <c r="M1809" i="14"/>
  <c r="J1804" i="14" a="1"/>
  <c r="J1804" i="14" s="1"/>
  <c r="N1805" i="14"/>
  <c r="K1619" i="13" l="1"/>
  <c r="L1619" i="13" s="1"/>
  <c r="I1620" i="13" s="1"/>
  <c r="K1642" i="14"/>
  <c r="L1642" i="14" s="1"/>
  <c r="I1643" i="14" s="1"/>
  <c r="J1806" i="13" a="1"/>
  <c r="J1806" i="13" s="1"/>
  <c r="N1807" i="13"/>
  <c r="M1809" i="13"/>
  <c r="J1805" i="14" a="1"/>
  <c r="J1805" i="14" s="1"/>
  <c r="N1806" i="14"/>
  <c r="M1810" i="14"/>
  <c r="K1620" i="13" l="1"/>
  <c r="L1620" i="13" s="1"/>
  <c r="I1621" i="13" s="1"/>
  <c r="K1643" i="14"/>
  <c r="L1643" i="14" s="1"/>
  <c r="I1644" i="14" s="1"/>
  <c r="M1811" i="14"/>
  <c r="M1810" i="13"/>
  <c r="J1806" i="14" a="1"/>
  <c r="J1806" i="14" s="1"/>
  <c r="N1807" i="14"/>
  <c r="J1807" i="13" a="1"/>
  <c r="J1807" i="13" s="1"/>
  <c r="N1808" i="13"/>
  <c r="K1621" i="13" l="1"/>
  <c r="L1621" i="13" s="1"/>
  <c r="I1622" i="13" s="1"/>
  <c r="K1644" i="14"/>
  <c r="L1644" i="14" s="1"/>
  <c r="I1645" i="14" s="1"/>
  <c r="J1808" i="13" a="1"/>
  <c r="J1808" i="13" s="1"/>
  <c r="N1809" i="13"/>
  <c r="M1811" i="13"/>
  <c r="N1808" i="14"/>
  <c r="J1807" i="14" a="1"/>
  <c r="J1807" i="14" s="1"/>
  <c r="M1812" i="14"/>
  <c r="K1622" i="13" l="1"/>
  <c r="L1622" i="13" s="1"/>
  <c r="I1623" i="13" s="1"/>
  <c r="K1645" i="14"/>
  <c r="L1645" i="14" s="1"/>
  <c r="I1646" i="14" s="1"/>
  <c r="J1808" i="14" a="1"/>
  <c r="J1808" i="14" s="1"/>
  <c r="N1809" i="14"/>
  <c r="M1813" i="14"/>
  <c r="M1812" i="13"/>
  <c r="N1810" i="13"/>
  <c r="J1809" i="13" a="1"/>
  <c r="J1809" i="13" s="1"/>
  <c r="K1623" i="13" l="1"/>
  <c r="L1623" i="13" s="1"/>
  <c r="I1624" i="13" s="1"/>
  <c r="K1646" i="14"/>
  <c r="L1646" i="14" s="1"/>
  <c r="I1647" i="14" s="1"/>
  <c r="J1810" i="13" a="1"/>
  <c r="J1810" i="13" s="1"/>
  <c r="N1811" i="13"/>
  <c r="M1814" i="14"/>
  <c r="M1813" i="13"/>
  <c r="J1809" i="14" a="1"/>
  <c r="J1809" i="14" s="1"/>
  <c r="N1810" i="14"/>
  <c r="K1624" i="13" l="1"/>
  <c r="L1624" i="13" s="1"/>
  <c r="I1625" i="13" s="1"/>
  <c r="K1647" i="14"/>
  <c r="L1647" i="14" s="1"/>
  <c r="I1648" i="14" s="1"/>
  <c r="J1810" i="14" a="1"/>
  <c r="J1810" i="14" s="1"/>
  <c r="N1811" i="14"/>
  <c r="M1815" i="14"/>
  <c r="J1811" i="13" a="1"/>
  <c r="J1811" i="13" s="1"/>
  <c r="N1812" i="13"/>
  <c r="M1814" i="13"/>
  <c r="K1625" i="13" l="1"/>
  <c r="L1625" i="13" s="1"/>
  <c r="I1626" i="13" s="1"/>
  <c r="K1648" i="14"/>
  <c r="L1648" i="14" s="1"/>
  <c r="I1649" i="14" s="1"/>
  <c r="J1812" i="13" a="1"/>
  <c r="J1812" i="13" s="1"/>
  <c r="N1813" i="13"/>
  <c r="M1815" i="13"/>
  <c r="M1816" i="14"/>
  <c r="N1812" i="14"/>
  <c r="J1811" i="14" a="1"/>
  <c r="J1811" i="14" s="1"/>
  <c r="K1626" i="13" l="1"/>
  <c r="L1626" i="13" s="1"/>
  <c r="I1627" i="13" s="1"/>
  <c r="K1649" i="14"/>
  <c r="L1649" i="14" s="1"/>
  <c r="I1650" i="14" s="1"/>
  <c r="J1812" i="14" a="1"/>
  <c r="J1812" i="14" s="1"/>
  <c r="N1813" i="14"/>
  <c r="M1816" i="13"/>
  <c r="N1814" i="13"/>
  <c r="J1813" i="13" a="1"/>
  <c r="J1813" i="13" s="1"/>
  <c r="M1817" i="14"/>
  <c r="K1627" i="13" l="1"/>
  <c r="L1627" i="13" s="1"/>
  <c r="I1628" i="13" s="1"/>
  <c r="K1650" i="14"/>
  <c r="L1650" i="14" s="1"/>
  <c r="I1651" i="14" s="1"/>
  <c r="M1817" i="13"/>
  <c r="M1818" i="14"/>
  <c r="J1813" i="14" a="1"/>
  <c r="J1813" i="14" s="1"/>
  <c r="N1814" i="14"/>
  <c r="J1814" i="13" a="1"/>
  <c r="J1814" i="13" s="1"/>
  <c r="N1815" i="13"/>
  <c r="K1628" i="13" l="1"/>
  <c r="L1628" i="13" s="1"/>
  <c r="I1629" i="13" s="1"/>
  <c r="K1651" i="14"/>
  <c r="L1651" i="14" s="1"/>
  <c r="I1652" i="14" s="1"/>
  <c r="J1815" i="13" a="1"/>
  <c r="J1815" i="13" s="1"/>
  <c r="N1816" i="13"/>
  <c r="M1819" i="14"/>
  <c r="J1814" i="14" a="1"/>
  <c r="J1814" i="14" s="1"/>
  <c r="N1815" i="14"/>
  <c r="M1818" i="13"/>
  <c r="K1629" i="13" l="1"/>
  <c r="L1629" i="13" s="1"/>
  <c r="I1630" i="13" s="1"/>
  <c r="K1652" i="14"/>
  <c r="L1652" i="14" s="1"/>
  <c r="I1653" i="14" s="1"/>
  <c r="J1816" i="13" a="1"/>
  <c r="J1816" i="13" s="1"/>
  <c r="N1817" i="13"/>
  <c r="N1816" i="14"/>
  <c r="J1815" i="14" a="1"/>
  <c r="J1815" i="14" s="1"/>
  <c r="M1819" i="13"/>
  <c r="M1820" i="14"/>
  <c r="K1630" i="13" l="1"/>
  <c r="L1630" i="13" s="1"/>
  <c r="I1631" i="13" s="1"/>
  <c r="K1653" i="14"/>
  <c r="L1653" i="14" s="1"/>
  <c r="I1654" i="14" s="1"/>
  <c r="M1821" i="14"/>
  <c r="J1816" i="14" a="1"/>
  <c r="J1816" i="14" s="1"/>
  <c r="N1817" i="14"/>
  <c r="N1818" i="13"/>
  <c r="J1817" i="13" a="1"/>
  <c r="J1817" i="13" s="1"/>
  <c r="M1820" i="13"/>
  <c r="K1631" i="13" l="1"/>
  <c r="L1631" i="13" s="1"/>
  <c r="I1632" i="13" s="1"/>
  <c r="K1654" i="14"/>
  <c r="L1654" i="14" s="1"/>
  <c r="I1655" i="14" s="1"/>
  <c r="M1821" i="13"/>
  <c r="J1817" i="14" a="1"/>
  <c r="J1817" i="14" s="1"/>
  <c r="N1818" i="14"/>
  <c r="J1818" i="13" a="1"/>
  <c r="J1818" i="13" s="1"/>
  <c r="N1819" i="13"/>
  <c r="M1822" i="14"/>
  <c r="K1632" i="13" l="1"/>
  <c r="L1632" i="13" s="1"/>
  <c r="I1633" i="13" s="1"/>
  <c r="K1655" i="14"/>
  <c r="L1655" i="14" s="1"/>
  <c r="I1656" i="14" s="1"/>
  <c r="J1819" i="13" a="1"/>
  <c r="J1819" i="13" s="1"/>
  <c r="N1820" i="13"/>
  <c r="M1823" i="14"/>
  <c r="M1822" i="13"/>
  <c r="J1818" i="14" a="1"/>
  <c r="J1818" i="14" s="1"/>
  <c r="N1819" i="14"/>
  <c r="K1633" i="13" l="1"/>
  <c r="L1633" i="13" s="1"/>
  <c r="I1634" i="13" s="1"/>
  <c r="K1656" i="14"/>
  <c r="L1656" i="14" s="1"/>
  <c r="I1657" i="14" s="1"/>
  <c r="N1820" i="14"/>
  <c r="J1819" i="14" a="1"/>
  <c r="J1819" i="14" s="1"/>
  <c r="M1824" i="14"/>
  <c r="J1820" i="13" a="1"/>
  <c r="J1820" i="13" s="1"/>
  <c r="N1821" i="13"/>
  <c r="M1823" i="13"/>
  <c r="K1634" i="13" l="1"/>
  <c r="L1634" i="13" s="1"/>
  <c r="I1635" i="13" s="1"/>
  <c r="K1657" i="14"/>
  <c r="L1657" i="14" s="1"/>
  <c r="I1658" i="14" s="1"/>
  <c r="M1824" i="13"/>
  <c r="M1825" i="14"/>
  <c r="N1822" i="13"/>
  <c r="J1821" i="13" a="1"/>
  <c r="J1821" i="13" s="1"/>
  <c r="J1820" i="14" a="1"/>
  <c r="J1820" i="14" s="1"/>
  <c r="N1821" i="14"/>
  <c r="K1635" i="13" l="1"/>
  <c r="L1635" i="13" s="1"/>
  <c r="I1636" i="13" s="1"/>
  <c r="K1658" i="14"/>
  <c r="L1658" i="14" s="1"/>
  <c r="I1659" i="14" s="1"/>
  <c r="J1821" i="14" a="1"/>
  <c r="J1821" i="14" s="1"/>
  <c r="N1822" i="14"/>
  <c r="M1826" i="14"/>
  <c r="M1825" i="13"/>
  <c r="J1822" i="13" a="1"/>
  <c r="J1822" i="13" s="1"/>
  <c r="N1823" i="13"/>
  <c r="K1636" i="13" l="1"/>
  <c r="L1636" i="13" s="1"/>
  <c r="I1637" i="13" s="1"/>
  <c r="K1659" i="14"/>
  <c r="L1659" i="14" s="1"/>
  <c r="I1660" i="14" s="1"/>
  <c r="J1823" i="13" a="1"/>
  <c r="J1823" i="13" s="1"/>
  <c r="N1824" i="13"/>
  <c r="M1827" i="14"/>
  <c r="J1822" i="14" a="1"/>
  <c r="J1822" i="14" s="1"/>
  <c r="N1823" i="14"/>
  <c r="M1826" i="13"/>
  <c r="K1637" i="13" l="1"/>
  <c r="L1637" i="13" s="1"/>
  <c r="I1638" i="13" s="1"/>
  <c r="K1660" i="14"/>
  <c r="L1660" i="14" s="1"/>
  <c r="I1661" i="14" s="1"/>
  <c r="M1827" i="13"/>
  <c r="M1828" i="14"/>
  <c r="N1824" i="14"/>
  <c r="J1823" i="14" a="1"/>
  <c r="J1823" i="14" s="1"/>
  <c r="J1824" i="13" a="1"/>
  <c r="J1824" i="13" s="1"/>
  <c r="N1825" i="13"/>
  <c r="K1638" i="13" l="1"/>
  <c r="L1638" i="13" s="1"/>
  <c r="I1639" i="13" s="1"/>
  <c r="K1661" i="14"/>
  <c r="L1661" i="14" s="1"/>
  <c r="I1662" i="14" s="1"/>
  <c r="M1829" i="14"/>
  <c r="N1826" i="13"/>
  <c r="J1825" i="13" a="1"/>
  <c r="J1825" i="13" s="1"/>
  <c r="J1824" i="14" a="1"/>
  <c r="J1824" i="14" s="1"/>
  <c r="N1825" i="14"/>
  <c r="M1828" i="13"/>
  <c r="K1639" i="13" l="1"/>
  <c r="L1639" i="13" s="1"/>
  <c r="I1640" i="13" s="1"/>
  <c r="K1662" i="14"/>
  <c r="L1662" i="14" s="1"/>
  <c r="I1663" i="14" s="1"/>
  <c r="J1826" i="13" a="1"/>
  <c r="J1826" i="13" s="1"/>
  <c r="N1827" i="13"/>
  <c r="M1829" i="13"/>
  <c r="J1825" i="14" a="1"/>
  <c r="J1825" i="14" s="1"/>
  <c r="N1826" i="14"/>
  <c r="M1830" i="14"/>
  <c r="K1640" i="13" l="1"/>
  <c r="L1640" i="13" s="1"/>
  <c r="I1641" i="13" s="1"/>
  <c r="K1663" i="14"/>
  <c r="L1663" i="14" s="1"/>
  <c r="I1664" i="14" s="1"/>
  <c r="J1826" i="14" a="1"/>
  <c r="J1826" i="14" s="1"/>
  <c r="N1827" i="14"/>
  <c r="M1831" i="14"/>
  <c r="M1830" i="13"/>
  <c r="J1827" i="13" a="1"/>
  <c r="J1827" i="13" s="1"/>
  <c r="N1828" i="13"/>
  <c r="K1641" i="13" l="1"/>
  <c r="L1641" i="13" s="1"/>
  <c r="I1642" i="13" s="1"/>
  <c r="K1664" i="14"/>
  <c r="L1664" i="14" s="1"/>
  <c r="I1665" i="14" s="1"/>
  <c r="M1832" i="14"/>
  <c r="N1828" i="14"/>
  <c r="J1827" i="14" a="1"/>
  <c r="J1827" i="14" s="1"/>
  <c r="J1828" i="13" a="1"/>
  <c r="J1828" i="13" s="1"/>
  <c r="N1829" i="13"/>
  <c r="M1831" i="13"/>
  <c r="K1642" i="13" l="1"/>
  <c r="L1642" i="13" s="1"/>
  <c r="I1643" i="13" s="1"/>
  <c r="K1665" i="14"/>
  <c r="L1665" i="14" s="1"/>
  <c r="I1666" i="14" s="1"/>
  <c r="J1828" i="14" a="1"/>
  <c r="J1828" i="14" s="1"/>
  <c r="N1829" i="14"/>
  <c r="N1830" i="13"/>
  <c r="J1829" i="13" a="1"/>
  <c r="J1829" i="13" s="1"/>
  <c r="M1832" i="13"/>
  <c r="M1833" i="14"/>
  <c r="K1643" i="13" l="1"/>
  <c r="L1643" i="13" s="1"/>
  <c r="I1644" i="13" s="1"/>
  <c r="K1666" i="14"/>
  <c r="L1666" i="14" s="1"/>
  <c r="I1667" i="14" s="1"/>
  <c r="M1834" i="14"/>
  <c r="J1830" i="13" a="1"/>
  <c r="J1830" i="13" s="1"/>
  <c r="N1831" i="13"/>
  <c r="J1829" i="14" a="1"/>
  <c r="J1829" i="14" s="1"/>
  <c r="N1830" i="14"/>
  <c r="M1833" i="13"/>
  <c r="K1644" i="13" l="1"/>
  <c r="L1644" i="13" s="1"/>
  <c r="I1645" i="13" s="1"/>
  <c r="K1667" i="14"/>
  <c r="L1667" i="14" s="1"/>
  <c r="I1668" i="14" s="1"/>
  <c r="J1831" i="13" a="1"/>
  <c r="J1831" i="13" s="1"/>
  <c r="N1832" i="13"/>
  <c r="J1830" i="14" a="1"/>
  <c r="J1830" i="14" s="1"/>
  <c r="N1831" i="14"/>
  <c r="M1835" i="14"/>
  <c r="M1834" i="13"/>
  <c r="K1645" i="13" l="1"/>
  <c r="L1645" i="13" s="1"/>
  <c r="I1646" i="13" s="1"/>
  <c r="K1668" i="14"/>
  <c r="L1668" i="14" s="1"/>
  <c r="I1669" i="14" s="1"/>
  <c r="N1832" i="14"/>
  <c r="J1831" i="14" a="1"/>
  <c r="J1831" i="14" s="1"/>
  <c r="M1835" i="13"/>
  <c r="J1832" i="13" a="1"/>
  <c r="J1832" i="13" s="1"/>
  <c r="N1833" i="13"/>
  <c r="M1836" i="14"/>
  <c r="K1646" i="13" l="1"/>
  <c r="L1646" i="13" s="1"/>
  <c r="I1647" i="13" s="1"/>
  <c r="K1669" i="14"/>
  <c r="L1669" i="14" s="1"/>
  <c r="I1670" i="14" s="1"/>
  <c r="N1834" i="13"/>
  <c r="J1833" i="13" a="1"/>
  <c r="J1833" i="13" s="1"/>
  <c r="M1837" i="14"/>
  <c r="M1836" i="13"/>
  <c r="J1832" i="14" a="1"/>
  <c r="J1832" i="14" s="1"/>
  <c r="N1833" i="14"/>
  <c r="K1647" i="13" l="1"/>
  <c r="L1647" i="13" s="1"/>
  <c r="I1648" i="13" s="1"/>
  <c r="K1670" i="14"/>
  <c r="L1670" i="14" s="1"/>
  <c r="I1671" i="14" s="1"/>
  <c r="M1838" i="14"/>
  <c r="J1833" i="14" a="1"/>
  <c r="J1833" i="14" s="1"/>
  <c r="N1834" i="14"/>
  <c r="M1837" i="13"/>
  <c r="J1834" i="13" a="1"/>
  <c r="J1834" i="13" s="1"/>
  <c r="N1835" i="13"/>
  <c r="K1648" i="13" l="1"/>
  <c r="L1648" i="13" s="1"/>
  <c r="I1649" i="13" s="1"/>
  <c r="K1671" i="14"/>
  <c r="L1671" i="14" s="1"/>
  <c r="I1672" i="14" s="1"/>
  <c r="J1834" i="14" a="1"/>
  <c r="J1834" i="14" s="1"/>
  <c r="N1835" i="14"/>
  <c r="J1835" i="13" a="1"/>
  <c r="J1835" i="13" s="1"/>
  <c r="N1836" i="13"/>
  <c r="M1839" i="14"/>
  <c r="M1838" i="13"/>
  <c r="K1649" i="13" l="1"/>
  <c r="L1649" i="13" s="1"/>
  <c r="I1650" i="13" s="1"/>
  <c r="K1672" i="14"/>
  <c r="L1672" i="14" s="1"/>
  <c r="I1673" i="14" s="1"/>
  <c r="M1839" i="13"/>
  <c r="N1836" i="14"/>
  <c r="J1835" i="14" a="1"/>
  <c r="J1835" i="14" s="1"/>
  <c r="J1836" i="13" a="1"/>
  <c r="J1836" i="13" s="1"/>
  <c r="N1837" i="13"/>
  <c r="M1840" i="14"/>
  <c r="K1650" i="13" l="1"/>
  <c r="L1650" i="13" s="1"/>
  <c r="I1651" i="13" s="1"/>
  <c r="K1673" i="14"/>
  <c r="L1673" i="14" s="1"/>
  <c r="I1674" i="14" s="1"/>
  <c r="M1841" i="14"/>
  <c r="J1836" i="14" a="1"/>
  <c r="J1836" i="14" s="1"/>
  <c r="N1837" i="14"/>
  <c r="N1838" i="13"/>
  <c r="J1837" i="13" a="1"/>
  <c r="J1837" i="13" s="1"/>
  <c r="M1840" i="13"/>
  <c r="K1651" i="13" l="1"/>
  <c r="L1651" i="13" s="1"/>
  <c r="I1652" i="13" s="1"/>
  <c r="K1674" i="14"/>
  <c r="L1674" i="14" s="1"/>
  <c r="I1675" i="14" s="1"/>
  <c r="J1837" i="14" a="1"/>
  <c r="J1837" i="14" s="1"/>
  <c r="N1838" i="14"/>
  <c r="M1841" i="13"/>
  <c r="J1838" i="13" a="1"/>
  <c r="J1838" i="13" s="1"/>
  <c r="N1839" i="13"/>
  <c r="M1842" i="14"/>
  <c r="K1652" i="13" l="1"/>
  <c r="L1652" i="13" s="1"/>
  <c r="I1653" i="13" s="1"/>
  <c r="K1675" i="14"/>
  <c r="L1675" i="14" s="1"/>
  <c r="I1676" i="14" s="1"/>
  <c r="M1843" i="14"/>
  <c r="M1842" i="13"/>
  <c r="J1839" i="13" a="1"/>
  <c r="J1839" i="13" s="1"/>
  <c r="N1840" i="13"/>
  <c r="J1838" i="14" a="1"/>
  <c r="J1838" i="14" s="1"/>
  <c r="N1839" i="14"/>
  <c r="K1653" i="13" l="1"/>
  <c r="L1653" i="13" s="1"/>
  <c r="I1654" i="13" s="1"/>
  <c r="K1676" i="14"/>
  <c r="L1676" i="14" s="1"/>
  <c r="I1677" i="14" s="1"/>
  <c r="M1843" i="13"/>
  <c r="J1840" i="13" a="1"/>
  <c r="J1840" i="13" s="1"/>
  <c r="N1841" i="13"/>
  <c r="N1840" i="14"/>
  <c r="J1839" i="14" a="1"/>
  <c r="J1839" i="14" s="1"/>
  <c r="M1844" i="14"/>
  <c r="K1654" i="13" l="1"/>
  <c r="L1654" i="13" s="1"/>
  <c r="I1655" i="13" s="1"/>
  <c r="K1677" i="14"/>
  <c r="L1677" i="14" s="1"/>
  <c r="I1678" i="14" s="1"/>
  <c r="N1842" i="13"/>
  <c r="J1841" i="13" a="1"/>
  <c r="J1841" i="13" s="1"/>
  <c r="M1845" i="14"/>
  <c r="J1840" i="14" a="1"/>
  <c r="J1840" i="14" s="1"/>
  <c r="N1841" i="14"/>
  <c r="M1844" i="13"/>
  <c r="K1655" i="13" l="1"/>
  <c r="L1655" i="13" s="1"/>
  <c r="I1656" i="13" s="1"/>
  <c r="K1678" i="14"/>
  <c r="L1678" i="14" s="1"/>
  <c r="I1679" i="14" s="1"/>
  <c r="J1841" i="14" a="1"/>
  <c r="J1841" i="14" s="1"/>
  <c r="N1842" i="14"/>
  <c r="M1845" i="13"/>
  <c r="M1846" i="14"/>
  <c r="J1842" i="13" a="1"/>
  <c r="J1842" i="13" s="1"/>
  <c r="N1843" i="13"/>
  <c r="K1656" i="13" l="1"/>
  <c r="L1656" i="13" s="1"/>
  <c r="I1657" i="13" s="1"/>
  <c r="K1679" i="14"/>
  <c r="L1679" i="14" s="1"/>
  <c r="I1680" i="14" s="1"/>
  <c r="J1843" i="13" a="1"/>
  <c r="J1843" i="13" s="1"/>
  <c r="N1844" i="13"/>
  <c r="M1846" i="13"/>
  <c r="M1847" i="14"/>
  <c r="J1842" i="14" a="1"/>
  <c r="J1842" i="14" s="1"/>
  <c r="N1843" i="14"/>
  <c r="K1657" i="13" l="1"/>
  <c r="L1657" i="13" s="1"/>
  <c r="I1658" i="13" s="1"/>
  <c r="K1680" i="14"/>
  <c r="L1680" i="14" s="1"/>
  <c r="I1681" i="14" s="1"/>
  <c r="M1847" i="13"/>
  <c r="N1844" i="14"/>
  <c r="J1843" i="14" a="1"/>
  <c r="J1843" i="14" s="1"/>
  <c r="J1844" i="13" a="1"/>
  <c r="J1844" i="13" s="1"/>
  <c r="N1845" i="13"/>
  <c r="M1848" i="14"/>
  <c r="K1658" i="13" l="1"/>
  <c r="L1658" i="13" s="1"/>
  <c r="I1659" i="13" s="1"/>
  <c r="K1681" i="14"/>
  <c r="L1681" i="14" s="1"/>
  <c r="I1682" i="14" s="1"/>
  <c r="M1849" i="14"/>
  <c r="J1844" i="14" a="1"/>
  <c r="J1844" i="14" s="1"/>
  <c r="N1845" i="14"/>
  <c r="N1846" i="13"/>
  <c r="J1845" i="13" a="1"/>
  <c r="J1845" i="13" s="1"/>
  <c r="M1848" i="13"/>
  <c r="K1659" i="13" l="1"/>
  <c r="L1659" i="13" s="1"/>
  <c r="I1660" i="13" s="1"/>
  <c r="K1682" i="14"/>
  <c r="L1682" i="14" s="1"/>
  <c r="I1683" i="14" s="1"/>
  <c r="J1845" i="14" a="1"/>
  <c r="J1845" i="14" s="1"/>
  <c r="N1846" i="14"/>
  <c r="M1849" i="13"/>
  <c r="J1846" i="13" a="1"/>
  <c r="J1846" i="13" s="1"/>
  <c r="N1847" i="13"/>
  <c r="M1850" i="14"/>
  <c r="K1660" i="13" l="1"/>
  <c r="L1660" i="13" s="1"/>
  <c r="I1661" i="13" s="1"/>
  <c r="K1683" i="14"/>
  <c r="L1683" i="14" s="1"/>
  <c r="I1684" i="14" s="1"/>
  <c r="M1851" i="14"/>
  <c r="M1850" i="13"/>
  <c r="J1847" i="13" a="1"/>
  <c r="J1847" i="13" s="1"/>
  <c r="N1848" i="13"/>
  <c r="J1846" i="14" a="1"/>
  <c r="J1846" i="14" s="1"/>
  <c r="N1847" i="14"/>
  <c r="K1661" i="13" l="1"/>
  <c r="L1661" i="13" s="1"/>
  <c r="I1662" i="13" s="1"/>
  <c r="M1852" i="14"/>
  <c r="K1684" i="14"/>
  <c r="L1684" i="14" s="1"/>
  <c r="I1685" i="14" s="1"/>
  <c r="M1851" i="13"/>
  <c r="N1848" i="14"/>
  <c r="J1847" i="14" a="1"/>
  <c r="J1847" i="14" s="1"/>
  <c r="J1848" i="13" a="1"/>
  <c r="J1848" i="13" s="1"/>
  <c r="N1849" i="13"/>
  <c r="K1662" i="13" l="1"/>
  <c r="L1662" i="13" s="1"/>
  <c r="I1663" i="13" s="1"/>
  <c r="K1685" i="14"/>
  <c r="L1685" i="14" s="1"/>
  <c r="I1686" i="14" s="1"/>
  <c r="M1852" i="13"/>
  <c r="M1853" i="14"/>
  <c r="N1850" i="13"/>
  <c r="J1849" i="13" a="1"/>
  <c r="J1849" i="13" s="1"/>
  <c r="J1848" i="14" a="1"/>
  <c r="J1848" i="14" s="1"/>
  <c r="N1849" i="14"/>
  <c r="K1663" i="13" l="1"/>
  <c r="L1663" i="13" s="1"/>
  <c r="I1664" i="13" s="1"/>
  <c r="K1686" i="14"/>
  <c r="L1686" i="14" s="1"/>
  <c r="I1687" i="14" s="1"/>
  <c r="M1854" i="14"/>
  <c r="M1853" i="13"/>
  <c r="J1849" i="14" a="1"/>
  <c r="J1849" i="14" s="1"/>
  <c r="N1850" i="14"/>
  <c r="J1850" i="13" a="1"/>
  <c r="J1850" i="13" s="1"/>
  <c r="N1851" i="13"/>
  <c r="K1664" i="13" l="1"/>
  <c r="L1664" i="13" s="1"/>
  <c r="I1665" i="13" s="1"/>
  <c r="K1687" i="14"/>
  <c r="L1687" i="14" s="1"/>
  <c r="I1688" i="14" s="1"/>
  <c r="J1851" i="13" a="1"/>
  <c r="J1851" i="13" s="1"/>
  <c r="N1852" i="13"/>
  <c r="M1854" i="13"/>
  <c r="J1850" i="14" a="1"/>
  <c r="J1850" i="14" s="1"/>
  <c r="N1851" i="14"/>
  <c r="M1855" i="14"/>
  <c r="K1665" i="13" l="1"/>
  <c r="L1665" i="13" s="1"/>
  <c r="I1666" i="13" s="1"/>
  <c r="K1688" i="14"/>
  <c r="L1688" i="14" s="1"/>
  <c r="I1689" i="14" s="1"/>
  <c r="N1852" i="14"/>
  <c r="J1851" i="14" a="1"/>
  <c r="J1851" i="14" s="1"/>
  <c r="J1852" i="13" a="1"/>
  <c r="J1852" i="13" s="1"/>
  <c r="N1853" i="13"/>
  <c r="M1856" i="14"/>
  <c r="M1855" i="13"/>
  <c r="K1666" i="13" l="1"/>
  <c r="L1666" i="13" s="1"/>
  <c r="I1667" i="13" s="1"/>
  <c r="K1689" i="14"/>
  <c r="L1689" i="14" s="1"/>
  <c r="I1690" i="14" s="1"/>
  <c r="N1854" i="13"/>
  <c r="J1853" i="13" a="1"/>
  <c r="J1853" i="13" s="1"/>
  <c r="M1856" i="13"/>
  <c r="M1857" i="14"/>
  <c r="J1852" i="14" a="1"/>
  <c r="J1852" i="14" s="1"/>
  <c r="N1853" i="14"/>
  <c r="K1667" i="13" l="1"/>
  <c r="L1667" i="13" s="1"/>
  <c r="I1668" i="13" s="1"/>
  <c r="K1690" i="14"/>
  <c r="L1690" i="14" s="1"/>
  <c r="I1691" i="14" s="1"/>
  <c r="J1853" i="14" a="1"/>
  <c r="J1853" i="14" s="1"/>
  <c r="N1854" i="14"/>
  <c r="M1858" i="14"/>
  <c r="M1857" i="13"/>
  <c r="J1854" i="13" a="1"/>
  <c r="J1854" i="13" s="1"/>
  <c r="N1855" i="13"/>
  <c r="K1668" i="13" l="1"/>
  <c r="L1668" i="13" s="1"/>
  <c r="I1669" i="13" s="1"/>
  <c r="K1691" i="14"/>
  <c r="L1691" i="14" s="1"/>
  <c r="I1692" i="14" s="1"/>
  <c r="J1855" i="13" a="1"/>
  <c r="J1855" i="13" s="1"/>
  <c r="N1856" i="13"/>
  <c r="M1859" i="14"/>
  <c r="J1854" i="14" a="1"/>
  <c r="J1854" i="14" s="1"/>
  <c r="N1855" i="14"/>
  <c r="M1858" i="13"/>
  <c r="K1669" i="13" l="1"/>
  <c r="L1669" i="13" s="1"/>
  <c r="I1670" i="13" s="1"/>
  <c r="K1692" i="14"/>
  <c r="L1692" i="14" s="1"/>
  <c r="I1693" i="14" s="1"/>
  <c r="M1859" i="13"/>
  <c r="M1860" i="14"/>
  <c r="J1856" i="13" a="1"/>
  <c r="J1856" i="13" s="1"/>
  <c r="N1857" i="13"/>
  <c r="N1856" i="14"/>
  <c r="J1855" i="14" a="1"/>
  <c r="J1855" i="14" s="1"/>
  <c r="K1670" i="13" l="1"/>
  <c r="L1670" i="13" s="1"/>
  <c r="I1671" i="13" s="1"/>
  <c r="K1693" i="14"/>
  <c r="L1693" i="14" s="1"/>
  <c r="I1694" i="14" s="1"/>
  <c r="J1856" i="14" a="1"/>
  <c r="J1856" i="14" s="1"/>
  <c r="N1857" i="14"/>
  <c r="M1861" i="14"/>
  <c r="N1858" i="13"/>
  <c r="J1857" i="13" a="1"/>
  <c r="J1857" i="13" s="1"/>
  <c r="M1860" i="13"/>
  <c r="K1671" i="13" l="1"/>
  <c r="L1671" i="13" s="1"/>
  <c r="I1672" i="13" s="1"/>
  <c r="K1694" i="14"/>
  <c r="L1694" i="14" s="1"/>
  <c r="I1695" i="14" s="1"/>
  <c r="J1858" i="13" a="1"/>
  <c r="J1858" i="13" s="1"/>
  <c r="N1859" i="13"/>
  <c r="M1861" i="13"/>
  <c r="M1862" i="14"/>
  <c r="J1857" i="14" a="1"/>
  <c r="J1857" i="14" s="1"/>
  <c r="N1858" i="14"/>
  <c r="K1672" i="13" l="1"/>
  <c r="L1672" i="13" s="1"/>
  <c r="I1673" i="13" s="1"/>
  <c r="K1695" i="14"/>
  <c r="L1695" i="14" s="1"/>
  <c r="I1696" i="14" s="1"/>
  <c r="M1862" i="13"/>
  <c r="J1858" i="14" a="1"/>
  <c r="J1858" i="14" s="1"/>
  <c r="N1859" i="14"/>
  <c r="M1863" i="14"/>
  <c r="J1859" i="13" a="1"/>
  <c r="J1859" i="13" s="1"/>
  <c r="N1860" i="13"/>
  <c r="K1673" i="13" l="1"/>
  <c r="L1673" i="13" s="1"/>
  <c r="I1674" i="13" s="1"/>
  <c r="K1696" i="14"/>
  <c r="L1696" i="14" s="1"/>
  <c r="I1697" i="14" s="1"/>
  <c r="J1860" i="13" a="1"/>
  <c r="J1860" i="13" s="1"/>
  <c r="N1861" i="13"/>
  <c r="N1860" i="14"/>
  <c r="J1859" i="14" a="1"/>
  <c r="J1859" i="14" s="1"/>
  <c r="M1864" i="14"/>
  <c r="M1863" i="13"/>
  <c r="K1674" i="13" l="1"/>
  <c r="L1674" i="13" s="1"/>
  <c r="I1675" i="13" s="1"/>
  <c r="K1697" i="14"/>
  <c r="L1697" i="14" s="1"/>
  <c r="I1698" i="14" s="1"/>
  <c r="M1864" i="13"/>
  <c r="J1860" i="14" a="1"/>
  <c r="J1860" i="14" s="1"/>
  <c r="N1861" i="14"/>
  <c r="N1862" i="13"/>
  <c r="J1861" i="13" a="1"/>
  <c r="J1861" i="13" s="1"/>
  <c r="M1865" i="14"/>
  <c r="K1675" i="13" l="1"/>
  <c r="L1675" i="13" s="1"/>
  <c r="I1676" i="13" s="1"/>
  <c r="K1698" i="14"/>
  <c r="L1698" i="14" s="1"/>
  <c r="I1699" i="14" s="1"/>
  <c r="J1861" i="14" a="1"/>
  <c r="J1861" i="14" s="1"/>
  <c r="N1862" i="14"/>
  <c r="M1866" i="14"/>
  <c r="M1865" i="13"/>
  <c r="J1862" i="13" a="1"/>
  <c r="J1862" i="13" s="1"/>
  <c r="N1863" i="13"/>
  <c r="K1676" i="13" l="1"/>
  <c r="L1676" i="13" s="1"/>
  <c r="I1677" i="13" s="1"/>
  <c r="M1866" i="13"/>
  <c r="J1862" i="14" a="1"/>
  <c r="J1862" i="14" s="1"/>
  <c r="N1863" i="14"/>
  <c r="J1863" i="13" a="1"/>
  <c r="J1863" i="13" s="1"/>
  <c r="N1864" i="13"/>
  <c r="M1867" i="14"/>
  <c r="K1699" i="14"/>
  <c r="L1699" i="14" s="1"/>
  <c r="I1700" i="14" s="1"/>
  <c r="K1677" i="13" l="1"/>
  <c r="L1677" i="13" s="1"/>
  <c r="I1678" i="13" s="1"/>
  <c r="K1700" i="14"/>
  <c r="L1700" i="14" s="1"/>
  <c r="I1701" i="14" s="1"/>
  <c r="J1864" i="13" a="1"/>
  <c r="J1864" i="13" s="1"/>
  <c r="N1865" i="13"/>
  <c r="M1867" i="13"/>
  <c r="N1864" i="14"/>
  <c r="J1863" i="14" a="1"/>
  <c r="J1863" i="14" s="1"/>
  <c r="M1868" i="14"/>
  <c r="K1678" i="13" l="1"/>
  <c r="L1678" i="13" s="1"/>
  <c r="I1679" i="13" s="1"/>
  <c r="K1701" i="14"/>
  <c r="L1701" i="14" s="1"/>
  <c r="I1702" i="14" s="1"/>
  <c r="J1864" i="14" a="1"/>
  <c r="J1864" i="14" s="1"/>
  <c r="N1865" i="14"/>
  <c r="M1869" i="14"/>
  <c r="M1868" i="13"/>
  <c r="N1866" i="13"/>
  <c r="J1865" i="13" a="1"/>
  <c r="J1865" i="13" s="1"/>
  <c r="K1679" i="13" l="1"/>
  <c r="L1679" i="13" s="1"/>
  <c r="I1680" i="13" s="1"/>
  <c r="K1702" i="14"/>
  <c r="L1702" i="14" s="1"/>
  <c r="I1703" i="14" s="1"/>
  <c r="J1866" i="13" a="1"/>
  <c r="J1866" i="13" s="1"/>
  <c r="N1867" i="13"/>
  <c r="M1870" i="14"/>
  <c r="M1869" i="13"/>
  <c r="J1865" i="14" a="1"/>
  <c r="J1865" i="14" s="1"/>
  <c r="N1866" i="14"/>
  <c r="K1680" i="13" l="1"/>
  <c r="L1680" i="13" s="1"/>
  <c r="I1681" i="13" s="1"/>
  <c r="K1703" i="14"/>
  <c r="L1703" i="14" s="1"/>
  <c r="I1704" i="14" s="1"/>
  <c r="J1866" i="14" a="1"/>
  <c r="J1866" i="14" s="1"/>
  <c r="N1867" i="14"/>
  <c r="M1871" i="14"/>
  <c r="J1867" i="13" a="1"/>
  <c r="J1867" i="13" s="1"/>
  <c r="N1868" i="13"/>
  <c r="M1870" i="13"/>
  <c r="K1681" i="13" l="1"/>
  <c r="L1681" i="13" s="1"/>
  <c r="I1682" i="13" s="1"/>
  <c r="K1704" i="14"/>
  <c r="L1704" i="14" s="1"/>
  <c r="I1705" i="14" s="1"/>
  <c r="M1871" i="13"/>
  <c r="M1872" i="14"/>
  <c r="J1868" i="13" a="1"/>
  <c r="J1868" i="13" s="1"/>
  <c r="N1869" i="13"/>
  <c r="N1868" i="14"/>
  <c r="J1867" i="14" a="1"/>
  <c r="J1867" i="14" s="1"/>
  <c r="K1682" i="13" l="1"/>
  <c r="L1682" i="13" s="1"/>
  <c r="I1683" i="13" s="1"/>
  <c r="K1705" i="14"/>
  <c r="L1705" i="14" s="1"/>
  <c r="I1706" i="14" s="1"/>
  <c r="J1868" i="14" a="1"/>
  <c r="J1868" i="14" s="1"/>
  <c r="N1869" i="14"/>
  <c r="M1873" i="14"/>
  <c r="N1870" i="13"/>
  <c r="J1869" i="13" a="1"/>
  <c r="J1869" i="13" s="1"/>
  <c r="M1872" i="13"/>
  <c r="K1683" i="13" l="1"/>
  <c r="L1683" i="13" s="1"/>
  <c r="I1684" i="13" s="1"/>
  <c r="K1706" i="14"/>
  <c r="L1706" i="14" s="1"/>
  <c r="I1707" i="14" s="1"/>
  <c r="M1873" i="13"/>
  <c r="M1874" i="14"/>
  <c r="J1869" i="14" a="1"/>
  <c r="J1869" i="14" s="1"/>
  <c r="N1870" i="14"/>
  <c r="J1870" i="13" a="1"/>
  <c r="J1870" i="13" s="1"/>
  <c r="N1871" i="13"/>
  <c r="K1684" i="13" l="1"/>
  <c r="L1684" i="13" s="1"/>
  <c r="I1685" i="13" s="1"/>
  <c r="K1707" i="14"/>
  <c r="L1707" i="14" s="1"/>
  <c r="I1708" i="14" s="1"/>
  <c r="J1871" i="13" a="1"/>
  <c r="J1871" i="13" s="1"/>
  <c r="N1872" i="13"/>
  <c r="M1875" i="14"/>
  <c r="J1870" i="14" a="1"/>
  <c r="J1870" i="14" s="1"/>
  <c r="N1871" i="14"/>
  <c r="M1874" i="13"/>
  <c r="K1685" i="13" l="1"/>
  <c r="L1685" i="13" s="1"/>
  <c r="I1686" i="13" s="1"/>
  <c r="K1708" i="14"/>
  <c r="L1708" i="14" s="1"/>
  <c r="I1709" i="14" s="1"/>
  <c r="M1875" i="13"/>
  <c r="M1876" i="14"/>
  <c r="J1872" i="13" a="1"/>
  <c r="J1872" i="13" s="1"/>
  <c r="N1873" i="13"/>
  <c r="N1872" i="14"/>
  <c r="J1871" i="14" a="1"/>
  <c r="J1871" i="14" s="1"/>
  <c r="K1686" i="13" l="1"/>
  <c r="L1686" i="13" s="1"/>
  <c r="I1687" i="13" s="1"/>
  <c r="K1709" i="14"/>
  <c r="L1709" i="14" s="1"/>
  <c r="I1710" i="14" s="1"/>
  <c r="J1872" i="14" a="1"/>
  <c r="J1872" i="14" s="1"/>
  <c r="N1873" i="14"/>
  <c r="M1877" i="14"/>
  <c r="N1874" i="13"/>
  <c r="J1873" i="13" a="1"/>
  <c r="J1873" i="13" s="1"/>
  <c r="M1876" i="13"/>
  <c r="K1687" i="13" l="1"/>
  <c r="L1687" i="13" s="1"/>
  <c r="I1688" i="13" s="1"/>
  <c r="K1710" i="14"/>
  <c r="L1710" i="14" s="1"/>
  <c r="I1711" i="14" s="1"/>
  <c r="J1874" i="13" a="1"/>
  <c r="J1874" i="13" s="1"/>
  <c r="N1875" i="13"/>
  <c r="M1877" i="13"/>
  <c r="M1878" i="14"/>
  <c r="J1873" i="14" a="1"/>
  <c r="J1873" i="14" s="1"/>
  <c r="N1874" i="14"/>
  <c r="K1688" i="13" l="1"/>
  <c r="L1688" i="13" s="1"/>
  <c r="I1689" i="13" s="1"/>
  <c r="M1878" i="13"/>
  <c r="J1874" i="14" a="1"/>
  <c r="J1874" i="14" s="1"/>
  <c r="N1875" i="14"/>
  <c r="M1879" i="14"/>
  <c r="J1875" i="13" a="1"/>
  <c r="J1875" i="13" s="1"/>
  <c r="N1876" i="13"/>
  <c r="K1711" i="14"/>
  <c r="L1711" i="14" s="1"/>
  <c r="I1712" i="14" s="1"/>
  <c r="K1689" i="13" l="1"/>
  <c r="L1689" i="13" s="1"/>
  <c r="I1690" i="13" s="1"/>
  <c r="M1880" i="14"/>
  <c r="K1712" i="14"/>
  <c r="L1712" i="14" s="1"/>
  <c r="I1713" i="14" s="1"/>
  <c r="M1879" i="13"/>
  <c r="N1876" i="14"/>
  <c r="J1875" i="14" a="1"/>
  <c r="J1875" i="14" s="1"/>
  <c r="J1876" i="13" a="1"/>
  <c r="J1876" i="13" s="1"/>
  <c r="N1877" i="13"/>
  <c r="K1690" i="13" l="1"/>
  <c r="L1690" i="13" s="1"/>
  <c r="I1691" i="13" s="1"/>
  <c r="K1713" i="14"/>
  <c r="L1713" i="14" s="1"/>
  <c r="I1714" i="14" s="1"/>
  <c r="N1878" i="13"/>
  <c r="J1877" i="13" a="1"/>
  <c r="J1877" i="13" s="1"/>
  <c r="M1880" i="13"/>
  <c r="M1881" i="14"/>
  <c r="J1876" i="14" a="1"/>
  <c r="J1876" i="14" s="1"/>
  <c r="N1877" i="14"/>
  <c r="K1691" i="13" l="1"/>
  <c r="L1691" i="13" s="1"/>
  <c r="I1692" i="13" s="1"/>
  <c r="M1882" i="14"/>
  <c r="J1877" i="14" a="1"/>
  <c r="J1877" i="14" s="1"/>
  <c r="N1878" i="14"/>
  <c r="M1881" i="13"/>
  <c r="J1878" i="13" a="1"/>
  <c r="J1878" i="13" s="1"/>
  <c r="N1879" i="13"/>
  <c r="K1714" i="14"/>
  <c r="L1714" i="14" s="1"/>
  <c r="I1715" i="14" s="1"/>
  <c r="K1692" i="13" l="1"/>
  <c r="L1692" i="13" s="1"/>
  <c r="I1693" i="13" s="1"/>
  <c r="K1715" i="14"/>
  <c r="L1715" i="14" s="1"/>
  <c r="I1716" i="14" s="1"/>
  <c r="J1878" i="14" a="1"/>
  <c r="J1878" i="14" s="1"/>
  <c r="N1879" i="14"/>
  <c r="J1879" i="13" a="1"/>
  <c r="J1879" i="13" s="1"/>
  <c r="N1880" i="13"/>
  <c r="M1883" i="14"/>
  <c r="M1882" i="13"/>
  <c r="K1693" i="13" l="1"/>
  <c r="L1693" i="13" s="1"/>
  <c r="I1694" i="13" s="1"/>
  <c r="K1716" i="14"/>
  <c r="L1716" i="14" s="1"/>
  <c r="I1717" i="14" s="1"/>
  <c r="M1884" i="14"/>
  <c r="J1880" i="13" a="1"/>
  <c r="J1880" i="13" s="1"/>
  <c r="N1881" i="13"/>
  <c r="N1880" i="14"/>
  <c r="J1879" i="14" a="1"/>
  <c r="J1879" i="14" s="1"/>
  <c r="M1883" i="13"/>
  <c r="K1694" i="13" l="1"/>
  <c r="L1694" i="13" s="1"/>
  <c r="I1695" i="13" s="1"/>
  <c r="K1717" i="14"/>
  <c r="L1717" i="14" s="1"/>
  <c r="I1718" i="14" s="1"/>
  <c r="N1882" i="13"/>
  <c r="J1881" i="13" a="1"/>
  <c r="J1881" i="13" s="1"/>
  <c r="M1884" i="13"/>
  <c r="J1880" i="14" a="1"/>
  <c r="J1880" i="14" s="1"/>
  <c r="N1881" i="14"/>
  <c r="M1885" i="14"/>
  <c r="K1695" i="13" l="1"/>
  <c r="L1695" i="13" s="1"/>
  <c r="I1696" i="13" s="1"/>
  <c r="K1718" i="14"/>
  <c r="L1718" i="14" s="1"/>
  <c r="I1719" i="14" s="1"/>
  <c r="J1881" i="14" a="1"/>
  <c r="J1881" i="14" s="1"/>
  <c r="N1882" i="14"/>
  <c r="M1886" i="14"/>
  <c r="J1882" i="13" a="1"/>
  <c r="J1882" i="13" s="1"/>
  <c r="N1883" i="13"/>
  <c r="M1885" i="13"/>
  <c r="K1696" i="13" l="1"/>
  <c r="L1696" i="13" s="1"/>
  <c r="I1697" i="13" s="1"/>
  <c r="K1719" i="14"/>
  <c r="L1719" i="14" s="1"/>
  <c r="I1720" i="14" s="1"/>
  <c r="J1882" i="14" a="1"/>
  <c r="J1882" i="14" s="1"/>
  <c r="N1883" i="14"/>
  <c r="M1887" i="14"/>
  <c r="M1886" i="13"/>
  <c r="J1883" i="13" a="1"/>
  <c r="J1883" i="13" s="1"/>
  <c r="N1884" i="13"/>
  <c r="K1697" i="13" l="1"/>
  <c r="L1697" i="13" s="1"/>
  <c r="I1698" i="13" s="1"/>
  <c r="K1720" i="14"/>
  <c r="L1720" i="14" s="1"/>
  <c r="I1721" i="14" s="1"/>
  <c r="M1888" i="14"/>
  <c r="J1884" i="13" a="1"/>
  <c r="J1884" i="13" s="1"/>
  <c r="N1885" i="13"/>
  <c r="N1884" i="14"/>
  <c r="J1883" i="14" a="1"/>
  <c r="J1883" i="14" s="1"/>
  <c r="M1887" i="13"/>
  <c r="K1698" i="13" l="1"/>
  <c r="L1698" i="13" s="1"/>
  <c r="I1699" i="13" s="1"/>
  <c r="N1886" i="13"/>
  <c r="J1885" i="13" a="1"/>
  <c r="J1885" i="13" s="1"/>
  <c r="K1721" i="14"/>
  <c r="L1721" i="14" s="1"/>
  <c r="I1722" i="14" s="1"/>
  <c r="M1888" i="13"/>
  <c r="J1884" i="14" a="1"/>
  <c r="J1884" i="14" s="1"/>
  <c r="N1885" i="14"/>
  <c r="M1889" i="14"/>
  <c r="K1699" i="13" l="1"/>
  <c r="L1699" i="13" s="1"/>
  <c r="I1700" i="13" s="1"/>
  <c r="K1722" i="14"/>
  <c r="L1722" i="14" s="1"/>
  <c r="I1723" i="14" s="1"/>
  <c r="J1885" i="14" a="1"/>
  <c r="J1885" i="14" s="1"/>
  <c r="N1886" i="14"/>
  <c r="M1889" i="13"/>
  <c r="J1886" i="13" a="1"/>
  <c r="J1886" i="13" s="1"/>
  <c r="N1887" i="13"/>
  <c r="M1890" i="14"/>
  <c r="K1700" i="13" l="1"/>
  <c r="L1700" i="13" s="1"/>
  <c r="I1701" i="13" s="1"/>
  <c r="K1723" i="14"/>
  <c r="L1723" i="14" s="1"/>
  <c r="I1724" i="14" s="1"/>
  <c r="M1891" i="14"/>
  <c r="M1890" i="13"/>
  <c r="J1886" i="14" a="1"/>
  <c r="J1886" i="14" s="1"/>
  <c r="N1887" i="14"/>
  <c r="J1887" i="13" a="1"/>
  <c r="J1887" i="13" s="1"/>
  <c r="N1888" i="13"/>
  <c r="K1701" i="13" l="1"/>
  <c r="L1701" i="13" s="1"/>
  <c r="I1702" i="13" s="1"/>
  <c r="J1888" i="13" a="1"/>
  <c r="J1888" i="13" s="1"/>
  <c r="N1889" i="13"/>
  <c r="M1891" i="13"/>
  <c r="K1724" i="14"/>
  <c r="L1724" i="14" s="1"/>
  <c r="I1725" i="14" s="1"/>
  <c r="N1888" i="14"/>
  <c r="J1887" i="14" a="1"/>
  <c r="J1887" i="14" s="1"/>
  <c r="M1892" i="14"/>
  <c r="K1702" i="13" l="1"/>
  <c r="L1702" i="13" s="1"/>
  <c r="I1703" i="13" s="1"/>
  <c r="M1893" i="14"/>
  <c r="N1890" i="13"/>
  <c r="J1889" i="13" a="1"/>
  <c r="J1889" i="13" s="1"/>
  <c r="K1725" i="14"/>
  <c r="L1725" i="14" s="1"/>
  <c r="I1726" i="14" s="1"/>
  <c r="J1888" i="14" a="1"/>
  <c r="J1888" i="14" s="1"/>
  <c r="N1889" i="14"/>
  <c r="M1892" i="13"/>
  <c r="K1703" i="13" l="1"/>
  <c r="L1703" i="13" s="1"/>
  <c r="I1704" i="13" s="1"/>
  <c r="J1889" i="14" a="1"/>
  <c r="J1889" i="14" s="1"/>
  <c r="N1890" i="14"/>
  <c r="M1893" i="13"/>
  <c r="K1726" i="14"/>
  <c r="L1726" i="14" s="1"/>
  <c r="I1727" i="14" s="1"/>
  <c r="M1894" i="14"/>
  <c r="J1890" i="13" a="1"/>
  <c r="J1890" i="13" s="1"/>
  <c r="N1891" i="13"/>
  <c r="K1704" i="13" l="1"/>
  <c r="L1704" i="13" s="1"/>
  <c r="I1705" i="13" s="1"/>
  <c r="K1727" i="14"/>
  <c r="L1727" i="14" s="1"/>
  <c r="I1728" i="14" s="1"/>
  <c r="J1890" i="14" a="1"/>
  <c r="J1890" i="14" s="1"/>
  <c r="N1891" i="14"/>
  <c r="J1891" i="13" a="1"/>
  <c r="J1891" i="13" s="1"/>
  <c r="N1892" i="13"/>
  <c r="M1895" i="14"/>
  <c r="M1894" i="13"/>
  <c r="K1705" i="13" l="1"/>
  <c r="L1705" i="13" s="1"/>
  <c r="I1706" i="13" s="1"/>
  <c r="K1728" i="14"/>
  <c r="L1728" i="14" s="1"/>
  <c r="I1729" i="14" s="1"/>
  <c r="N1892" i="14"/>
  <c r="J1891" i="14" a="1"/>
  <c r="J1891" i="14" s="1"/>
  <c r="M1896" i="14"/>
  <c r="J1892" i="13" a="1"/>
  <c r="J1892" i="13" s="1"/>
  <c r="N1893" i="13"/>
  <c r="M1895" i="13"/>
  <c r="K1706" i="13" l="1"/>
  <c r="L1706" i="13" s="1"/>
  <c r="I1707" i="13" s="1"/>
  <c r="K1729" i="14"/>
  <c r="L1729" i="14" s="1"/>
  <c r="I1730" i="14" s="1"/>
  <c r="N1894" i="13"/>
  <c r="J1893" i="13" a="1"/>
  <c r="J1893" i="13" s="1"/>
  <c r="J1892" i="14" a="1"/>
  <c r="J1892" i="14" s="1"/>
  <c r="N1893" i="14"/>
  <c r="M1896" i="13"/>
  <c r="M1897" i="14"/>
  <c r="K1707" i="13" l="1"/>
  <c r="L1707" i="13" s="1"/>
  <c r="I1708" i="13" s="1"/>
  <c r="J1893" i="14" a="1"/>
  <c r="J1893" i="14" s="1"/>
  <c r="N1894" i="14"/>
  <c r="M1898" i="14"/>
  <c r="K1730" i="14"/>
  <c r="L1730" i="14" s="1"/>
  <c r="I1731" i="14" s="1"/>
  <c r="M1897" i="13"/>
  <c r="J1894" i="13" a="1"/>
  <c r="J1894" i="13" s="1"/>
  <c r="N1895" i="13"/>
  <c r="K1708" i="13" l="1"/>
  <c r="L1708" i="13" s="1"/>
  <c r="I1709" i="13" s="1"/>
  <c r="K1731" i="14"/>
  <c r="L1731" i="14" s="1"/>
  <c r="I1732" i="14" s="1"/>
  <c r="J1895" i="13" a="1"/>
  <c r="J1895" i="13" s="1"/>
  <c r="N1896" i="13"/>
  <c r="J1894" i="14" a="1"/>
  <c r="J1894" i="14" s="1"/>
  <c r="N1895" i="14"/>
  <c r="M1899" i="14"/>
  <c r="M1898" i="13"/>
  <c r="K1709" i="13" l="1"/>
  <c r="L1709" i="13" s="1"/>
  <c r="I1710" i="13" s="1"/>
  <c r="K1732" i="14"/>
  <c r="L1732" i="14" s="1"/>
  <c r="I1733" i="14" s="1"/>
  <c r="N1896" i="14"/>
  <c r="J1895" i="14" a="1"/>
  <c r="J1895" i="14" s="1"/>
  <c r="M1899" i="13"/>
  <c r="J1896" i="13" a="1"/>
  <c r="J1896" i="13" s="1"/>
  <c r="N1897" i="13"/>
  <c r="M1900" i="14"/>
  <c r="K1710" i="13" l="1"/>
  <c r="L1710" i="13" s="1"/>
  <c r="I1711" i="13" s="1"/>
  <c r="K1733" i="14"/>
  <c r="L1733" i="14" s="1"/>
  <c r="I1734" i="14" s="1"/>
  <c r="M1901" i="14"/>
  <c r="M1900" i="13"/>
  <c r="J1896" i="14" a="1"/>
  <c r="J1896" i="14" s="1"/>
  <c r="N1897" i="14"/>
  <c r="N1898" i="13"/>
  <c r="J1897" i="13" a="1"/>
  <c r="J1897" i="13" s="1"/>
  <c r="K1711" i="13" l="1"/>
  <c r="L1711" i="13" s="1"/>
  <c r="I1712" i="13" s="1"/>
  <c r="K1734" i="14"/>
  <c r="L1734" i="14" s="1"/>
  <c r="I1735" i="14" s="1"/>
  <c r="M1901" i="13"/>
  <c r="J1898" i="13" a="1"/>
  <c r="J1898" i="13" s="1"/>
  <c r="N1899" i="13"/>
  <c r="J1897" i="14" a="1"/>
  <c r="J1897" i="14" s="1"/>
  <c r="N1898" i="14"/>
  <c r="M1902" i="14"/>
  <c r="K1712" i="13" l="1"/>
  <c r="L1712" i="13" s="1"/>
  <c r="I1713" i="13" s="1"/>
  <c r="K1735" i="14"/>
  <c r="L1735" i="14" s="1"/>
  <c r="I1736" i="14" s="1"/>
  <c r="J1899" i="13" a="1"/>
  <c r="J1899" i="13" s="1"/>
  <c r="N1900" i="13"/>
  <c r="J1898" i="14" a="1"/>
  <c r="J1898" i="14" s="1"/>
  <c r="N1899" i="14"/>
  <c r="M1902" i="13"/>
  <c r="M1903" i="14"/>
  <c r="K1713" i="13" l="1"/>
  <c r="L1713" i="13" s="1"/>
  <c r="I1714" i="13" s="1"/>
  <c r="J1900" i="13" a="1"/>
  <c r="J1900" i="13" s="1"/>
  <c r="N1901" i="13"/>
  <c r="M1903" i="13"/>
  <c r="N1900" i="14"/>
  <c r="J1899" i="14" a="1"/>
  <c r="J1899" i="14" s="1"/>
  <c r="M1904" i="14"/>
  <c r="K1736" i="14"/>
  <c r="L1736" i="14" s="1"/>
  <c r="I1737" i="14" s="1"/>
  <c r="K1714" i="13" l="1"/>
  <c r="L1714" i="13" s="1"/>
  <c r="I1715" i="13" s="1"/>
  <c r="K1737" i="14"/>
  <c r="L1737" i="14" s="1"/>
  <c r="I1738" i="14" s="1"/>
  <c r="N1902" i="13"/>
  <c r="J1901" i="13" a="1"/>
  <c r="J1901" i="13" s="1"/>
  <c r="J1900" i="14" a="1"/>
  <c r="J1900" i="14" s="1"/>
  <c r="N1901" i="14"/>
  <c r="M1905" i="14"/>
  <c r="M1904" i="13"/>
  <c r="K1715" i="13" l="1"/>
  <c r="L1715" i="13" s="1"/>
  <c r="I1716" i="13" s="1"/>
  <c r="K1738" i="14"/>
  <c r="L1738" i="14" s="1"/>
  <c r="I1739" i="14" s="1"/>
  <c r="M1906" i="14"/>
  <c r="M1905" i="13"/>
  <c r="J1901" i="14" a="1"/>
  <c r="J1901" i="14" s="1"/>
  <c r="N1902" i="14"/>
  <c r="J1902" i="13" a="1"/>
  <c r="J1902" i="13" s="1"/>
  <c r="N1903" i="13"/>
  <c r="K1716" i="13" l="1"/>
  <c r="L1716" i="13" s="1"/>
  <c r="I1717" i="13" s="1"/>
  <c r="K1739" i="14"/>
  <c r="L1739" i="14" s="1"/>
  <c r="I1740" i="14" s="1"/>
  <c r="J1902" i="14" a="1"/>
  <c r="J1902" i="14" s="1"/>
  <c r="N1903" i="14"/>
  <c r="M1907" i="14"/>
  <c r="J1903" i="13" a="1"/>
  <c r="J1903" i="13" s="1"/>
  <c r="N1904" i="13"/>
  <c r="M1906" i="13"/>
  <c r="K1717" i="13" l="1"/>
  <c r="L1717" i="13" s="1"/>
  <c r="I1718" i="13" s="1"/>
  <c r="N1904" i="14"/>
  <c r="J1903" i="14" a="1"/>
  <c r="J1903" i="14" s="1"/>
  <c r="K1740" i="14"/>
  <c r="L1740" i="14" s="1"/>
  <c r="I1741" i="14" s="1"/>
  <c r="J1904" i="13" a="1"/>
  <c r="J1904" i="13" s="1"/>
  <c r="N1905" i="13"/>
  <c r="M1907" i="13"/>
  <c r="M1908" i="14"/>
  <c r="K1718" i="13" l="1"/>
  <c r="L1718" i="13" s="1"/>
  <c r="I1719" i="13" s="1"/>
  <c r="K1741" i="14"/>
  <c r="L1741" i="14" s="1"/>
  <c r="I1742" i="14" s="1"/>
  <c r="J1904" i="14" a="1"/>
  <c r="J1904" i="14" s="1"/>
  <c r="N1905" i="14"/>
  <c r="N1906" i="13"/>
  <c r="J1905" i="13" a="1"/>
  <c r="J1905" i="13" s="1"/>
  <c r="M1909" i="14"/>
  <c r="M1908" i="13"/>
  <c r="K1719" i="13" l="1"/>
  <c r="L1719" i="13" s="1"/>
  <c r="I1720" i="13" s="1"/>
  <c r="K1742" i="14"/>
  <c r="L1742" i="14" s="1"/>
  <c r="I1743" i="14" s="1"/>
  <c r="M1909" i="13"/>
  <c r="J1905" i="14" a="1"/>
  <c r="J1905" i="14" s="1"/>
  <c r="N1906" i="14"/>
  <c r="J1906" i="13" a="1"/>
  <c r="J1906" i="13" s="1"/>
  <c r="N1907" i="13"/>
  <c r="M1910" i="14"/>
  <c r="K1720" i="13" l="1"/>
  <c r="L1720" i="13" s="1"/>
  <c r="I1721" i="13" s="1"/>
  <c r="K1743" i="14"/>
  <c r="L1743" i="14" s="1"/>
  <c r="I1744" i="14" s="1"/>
  <c r="J1906" i="14" a="1"/>
  <c r="J1906" i="14" s="1"/>
  <c r="N1907" i="14"/>
  <c r="J1907" i="13" a="1"/>
  <c r="J1907" i="13" s="1"/>
  <c r="N1908" i="13"/>
  <c r="M1911" i="14"/>
  <c r="M1910" i="13"/>
  <c r="K1721" i="13" l="1"/>
  <c r="L1721" i="13" s="1"/>
  <c r="I1722" i="13" s="1"/>
  <c r="K1744" i="14"/>
  <c r="L1744" i="14" s="1"/>
  <c r="I1745" i="14" s="1"/>
  <c r="M1911" i="13"/>
  <c r="M1912" i="14"/>
  <c r="J1908" i="13" a="1"/>
  <c r="J1908" i="13" s="1"/>
  <c r="N1909" i="13"/>
  <c r="N1908" i="14"/>
  <c r="J1907" i="14" a="1"/>
  <c r="J1907" i="14" s="1"/>
  <c r="K1722" i="13" l="1"/>
  <c r="L1722" i="13" s="1"/>
  <c r="I1723" i="13" s="1"/>
  <c r="K1745" i="14"/>
  <c r="L1745" i="14" s="1"/>
  <c r="I1746" i="14" s="1"/>
  <c r="N1910" i="13"/>
  <c r="J1909" i="13" a="1"/>
  <c r="J1909" i="13" s="1"/>
  <c r="M1912" i="13"/>
  <c r="J1908" i="14" a="1"/>
  <c r="J1908" i="14" s="1"/>
  <c r="N1909" i="14"/>
  <c r="M1913" i="14"/>
  <c r="K1723" i="13" l="1"/>
  <c r="L1723" i="13" s="1"/>
  <c r="I1724" i="13" s="1"/>
  <c r="M1913" i="13"/>
  <c r="J1909" i="14" a="1"/>
  <c r="J1909" i="14" s="1"/>
  <c r="N1910" i="14"/>
  <c r="M1914" i="14"/>
  <c r="K1746" i="14"/>
  <c r="L1746" i="14" s="1"/>
  <c r="I1747" i="14" s="1"/>
  <c r="J1910" i="13" a="1"/>
  <c r="J1910" i="13" s="1"/>
  <c r="N1911" i="13"/>
  <c r="K1724" i="13" l="1"/>
  <c r="L1724" i="13" s="1"/>
  <c r="I1725" i="13" s="1"/>
  <c r="K1747" i="14"/>
  <c r="L1747" i="14" s="1"/>
  <c r="I1748" i="14" s="1"/>
  <c r="J1911" i="13" a="1"/>
  <c r="J1911" i="13" s="1"/>
  <c r="N1912" i="13"/>
  <c r="M1915" i="14"/>
  <c r="M1914" i="13"/>
  <c r="J1910" i="14" a="1"/>
  <c r="J1910" i="14" s="1"/>
  <c r="N1911" i="14"/>
  <c r="K1725" i="13" l="1"/>
  <c r="L1725" i="13" s="1"/>
  <c r="I1726" i="13" s="1"/>
  <c r="K1748" i="14"/>
  <c r="L1748" i="14" s="1"/>
  <c r="I1749" i="14" s="1"/>
  <c r="M1915" i="13"/>
  <c r="N1912" i="14"/>
  <c r="J1911" i="14" a="1"/>
  <c r="J1911" i="14" s="1"/>
  <c r="M1916" i="14"/>
  <c r="J1912" i="13" a="1"/>
  <c r="J1912" i="13" s="1"/>
  <c r="N1913" i="13"/>
  <c r="K1726" i="13" l="1"/>
  <c r="L1726" i="13" s="1"/>
  <c r="I1727" i="13" s="1"/>
  <c r="K1749" i="14"/>
  <c r="L1749" i="14" s="1"/>
  <c r="I1750" i="14" s="1"/>
  <c r="N1914" i="13"/>
  <c r="J1913" i="13" a="1"/>
  <c r="J1913" i="13" s="1"/>
  <c r="M1916" i="13"/>
  <c r="M1917" i="14"/>
  <c r="J1912" i="14" a="1"/>
  <c r="J1912" i="14" s="1"/>
  <c r="N1913" i="14"/>
  <c r="K1727" i="13" l="1"/>
  <c r="L1727" i="13" s="1"/>
  <c r="I1728" i="13" s="1"/>
  <c r="K1750" i="14"/>
  <c r="L1750" i="14" s="1"/>
  <c r="I1751" i="14" s="1"/>
  <c r="J1914" i="13" a="1"/>
  <c r="J1914" i="13" s="1"/>
  <c r="N1915" i="13"/>
  <c r="J1913" i="14" a="1"/>
  <c r="J1913" i="14" s="1"/>
  <c r="N1914" i="14"/>
  <c r="M1917" i="13"/>
  <c r="M1918" i="14"/>
  <c r="K1728" i="13" l="1"/>
  <c r="L1728" i="13" s="1"/>
  <c r="I1729" i="13" s="1"/>
  <c r="M1918" i="13"/>
  <c r="M1919" i="14"/>
  <c r="J1914" i="14" a="1"/>
  <c r="J1914" i="14" s="1"/>
  <c r="N1915" i="14"/>
  <c r="K1751" i="14"/>
  <c r="L1751" i="14" s="1"/>
  <c r="I1752" i="14" s="1"/>
  <c r="J1915" i="13" a="1"/>
  <c r="J1915" i="13" s="1"/>
  <c r="N1916" i="13"/>
  <c r="K1729" i="13" l="1"/>
  <c r="L1729" i="13" s="1"/>
  <c r="I1730" i="13" s="1"/>
  <c r="K1752" i="14"/>
  <c r="L1752" i="14" s="1"/>
  <c r="I1753" i="14" s="1"/>
  <c r="J1916" i="13" a="1"/>
  <c r="J1916" i="13" s="1"/>
  <c r="N1917" i="13"/>
  <c r="M1920" i="14"/>
  <c r="N1916" i="14"/>
  <c r="J1915" i="14" a="1"/>
  <c r="J1915" i="14" s="1"/>
  <c r="M1919" i="13"/>
  <c r="K1730" i="13" l="1"/>
  <c r="L1730" i="13" s="1"/>
  <c r="I1731" i="13" s="1"/>
  <c r="K1753" i="14"/>
  <c r="L1753" i="14" s="1"/>
  <c r="I1754" i="14" s="1"/>
  <c r="N1918" i="13"/>
  <c r="J1917" i="13" a="1"/>
  <c r="J1917" i="13" s="1"/>
  <c r="J1916" i="14" a="1"/>
  <c r="J1916" i="14" s="1"/>
  <c r="N1917" i="14"/>
  <c r="M1920" i="13"/>
  <c r="M1921" i="14"/>
  <c r="K1731" i="13" l="1"/>
  <c r="L1731" i="13" s="1"/>
  <c r="I1732" i="13" s="1"/>
  <c r="K1754" i="14"/>
  <c r="L1754" i="14" s="1"/>
  <c r="I1755" i="14" s="1"/>
  <c r="M1922" i="14"/>
  <c r="M1921" i="13"/>
  <c r="J1917" i="14" a="1"/>
  <c r="J1917" i="14" s="1"/>
  <c r="N1918" i="14"/>
  <c r="J1918" i="13" a="1"/>
  <c r="J1918" i="13" s="1"/>
  <c r="N1919" i="13"/>
  <c r="K1732" i="13" l="1"/>
  <c r="L1732" i="13" s="1"/>
  <c r="I1733" i="13" s="1"/>
  <c r="K1755" i="14"/>
  <c r="L1755" i="14" s="1"/>
  <c r="I1756" i="14" s="1"/>
  <c r="J1919" i="13" a="1"/>
  <c r="J1919" i="13" s="1"/>
  <c r="N1920" i="13"/>
  <c r="M1922" i="13"/>
  <c r="J1918" i="14" a="1"/>
  <c r="J1918" i="14" s="1"/>
  <c r="N1919" i="14"/>
  <c r="M1923" i="14"/>
  <c r="K1733" i="13" l="1"/>
  <c r="L1733" i="13" s="1"/>
  <c r="I1734" i="13" s="1"/>
  <c r="K1756" i="14"/>
  <c r="L1756" i="14" s="1"/>
  <c r="I1757" i="14" s="1"/>
  <c r="J1920" i="13" a="1"/>
  <c r="J1920" i="13" s="1"/>
  <c r="N1921" i="13"/>
  <c r="N1920" i="14"/>
  <c r="J1919" i="14" a="1"/>
  <c r="J1919" i="14" s="1"/>
  <c r="M1924" i="14"/>
  <c r="M1923" i="13"/>
  <c r="K1734" i="13" l="1"/>
  <c r="L1734" i="13" s="1"/>
  <c r="I1735" i="13" s="1"/>
  <c r="K1757" i="14"/>
  <c r="L1757" i="14" s="1"/>
  <c r="I1758" i="14" s="1"/>
  <c r="M1924" i="13"/>
  <c r="N1922" i="13"/>
  <c r="J1921" i="13" a="1"/>
  <c r="J1921" i="13" s="1"/>
  <c r="J1920" i="14" a="1"/>
  <c r="J1920" i="14" s="1"/>
  <c r="N1921" i="14"/>
  <c r="M1925" i="14"/>
  <c r="K1735" i="13" l="1"/>
  <c r="L1735" i="13" s="1"/>
  <c r="I1736" i="13" s="1"/>
  <c r="K1758" i="14"/>
  <c r="L1758" i="14" s="1"/>
  <c r="I1759" i="14" s="1"/>
  <c r="M1926" i="14"/>
  <c r="M1925" i="13"/>
  <c r="J1921" i="14" a="1"/>
  <c r="J1921" i="14" s="1"/>
  <c r="N1922" i="14"/>
  <c r="J1922" i="13" a="1"/>
  <c r="J1922" i="13" s="1"/>
  <c r="N1923" i="13"/>
  <c r="K1736" i="13" l="1"/>
  <c r="L1736" i="13" s="1"/>
  <c r="I1737" i="13" s="1"/>
  <c r="K1759" i="14"/>
  <c r="L1759" i="14" s="1"/>
  <c r="I1760" i="14" s="1"/>
  <c r="J1923" i="13" a="1"/>
  <c r="J1923" i="13" s="1"/>
  <c r="N1924" i="13"/>
  <c r="M1926" i="13"/>
  <c r="J1922" i="14" a="1"/>
  <c r="J1922" i="14" s="1"/>
  <c r="N1923" i="14"/>
  <c r="M1927" i="14"/>
  <c r="K1737" i="13" l="1"/>
  <c r="L1737" i="13" s="1"/>
  <c r="I1738" i="13" s="1"/>
  <c r="K1760" i="14"/>
  <c r="L1760" i="14" s="1"/>
  <c r="I1761" i="14" s="1"/>
  <c r="J1924" i="13" a="1"/>
  <c r="J1924" i="13" s="1"/>
  <c r="N1925" i="13"/>
  <c r="M1928" i="14"/>
  <c r="M1927" i="13"/>
  <c r="N1924" i="14"/>
  <c r="J1923" i="14" a="1"/>
  <c r="J1923" i="14" s="1"/>
  <c r="K1738" i="13" l="1"/>
  <c r="L1738" i="13" s="1"/>
  <c r="I1739" i="13" s="1"/>
  <c r="K1761" i="14"/>
  <c r="L1761" i="14" s="1"/>
  <c r="I1762" i="14" s="1"/>
  <c r="M1929" i="14"/>
  <c r="N1926" i="13"/>
  <c r="J1925" i="13" a="1"/>
  <c r="J1925" i="13" s="1"/>
  <c r="J1924" i="14" a="1"/>
  <c r="J1924" i="14" s="1"/>
  <c r="N1925" i="14"/>
  <c r="M1928" i="13"/>
  <c r="K1739" i="13" l="1"/>
  <c r="L1739" i="13" s="1"/>
  <c r="I1740" i="13" s="1"/>
  <c r="K1762" i="14"/>
  <c r="L1762" i="14" s="1"/>
  <c r="I1763" i="14" s="1"/>
  <c r="M1929" i="13"/>
  <c r="J1926" i="13" a="1"/>
  <c r="J1926" i="13" s="1"/>
  <c r="N1927" i="13"/>
  <c r="J1925" i="14" a="1"/>
  <c r="J1925" i="14" s="1"/>
  <c r="N1926" i="14"/>
  <c r="M1930" i="14"/>
  <c r="K1740" i="13" l="1"/>
  <c r="L1740" i="13" s="1"/>
  <c r="I1741" i="13" s="1"/>
  <c r="M1931" i="14"/>
  <c r="J1927" i="13" a="1"/>
  <c r="J1927" i="13" s="1"/>
  <c r="N1928" i="13"/>
  <c r="J1926" i="14" a="1"/>
  <c r="J1926" i="14" s="1"/>
  <c r="N1927" i="14"/>
  <c r="M1930" i="13"/>
  <c r="K1763" i="14"/>
  <c r="L1763" i="14" s="1"/>
  <c r="I1764" i="14" s="1"/>
  <c r="K1741" i="13" l="1"/>
  <c r="L1741" i="13" s="1"/>
  <c r="I1742" i="13" s="1"/>
  <c r="K1764" i="14"/>
  <c r="L1764" i="14" s="1"/>
  <c r="I1765" i="14" s="1"/>
  <c r="N1928" i="14"/>
  <c r="J1927" i="14" a="1"/>
  <c r="J1927" i="14" s="1"/>
  <c r="M1932" i="14"/>
  <c r="J1928" i="13" a="1"/>
  <c r="J1928" i="13" s="1"/>
  <c r="N1929" i="13"/>
  <c r="M1931" i="13"/>
  <c r="K1742" i="13" l="1"/>
  <c r="L1742" i="13" s="1"/>
  <c r="I1743" i="13" s="1"/>
  <c r="J1928" i="14" a="1"/>
  <c r="J1928" i="14" s="1"/>
  <c r="N1929" i="14"/>
  <c r="N1930" i="13"/>
  <c r="J1929" i="13" a="1"/>
  <c r="J1929" i="13" s="1"/>
  <c r="M1932" i="13"/>
  <c r="M1933" i="14"/>
  <c r="K1765" i="14"/>
  <c r="L1765" i="14" s="1"/>
  <c r="I1766" i="14" s="1"/>
  <c r="K1743" i="13" l="1"/>
  <c r="L1743" i="13" s="1"/>
  <c r="I1744" i="13" s="1"/>
  <c r="K1766" i="14"/>
  <c r="L1766" i="14" s="1"/>
  <c r="I1767" i="14" s="1"/>
  <c r="J1929" i="14" a="1"/>
  <c r="J1929" i="14" s="1"/>
  <c r="N1930" i="14"/>
  <c r="M1933" i="13"/>
  <c r="M1934" i="14"/>
  <c r="J1930" i="13" a="1"/>
  <c r="J1930" i="13" s="1"/>
  <c r="N1931" i="13"/>
  <c r="K1744" i="13" l="1"/>
  <c r="L1744" i="13" s="1"/>
  <c r="I1745" i="13" s="1"/>
  <c r="K1767" i="14"/>
  <c r="L1767" i="14" s="1"/>
  <c r="I1768" i="14" s="1"/>
  <c r="J1931" i="13" a="1"/>
  <c r="J1931" i="13" s="1"/>
  <c r="N1932" i="13"/>
  <c r="M1934" i="13"/>
  <c r="M1935" i="14"/>
  <c r="J1930" i="14" a="1"/>
  <c r="J1930" i="14" s="1"/>
  <c r="N1931" i="14"/>
  <c r="K1745" i="13" l="1"/>
  <c r="L1745" i="13" s="1"/>
  <c r="I1746" i="13" s="1"/>
  <c r="K1768" i="14"/>
  <c r="L1768" i="14" s="1"/>
  <c r="I1769" i="14" s="1"/>
  <c r="M1935" i="13"/>
  <c r="N1932" i="14"/>
  <c r="J1931" i="14" a="1"/>
  <c r="J1931" i="14" s="1"/>
  <c r="J1932" i="13" a="1"/>
  <c r="J1932" i="13" s="1"/>
  <c r="N1933" i="13"/>
  <c r="M1936" i="14"/>
  <c r="K1746" i="13" l="1"/>
  <c r="L1746" i="13" s="1"/>
  <c r="I1747" i="13" s="1"/>
  <c r="K1769" i="14"/>
  <c r="L1769" i="14" s="1"/>
  <c r="I1770" i="14" s="1"/>
  <c r="J1932" i="14" a="1"/>
  <c r="J1932" i="14" s="1"/>
  <c r="N1933" i="14"/>
  <c r="M1937" i="14"/>
  <c r="N1934" i="13"/>
  <c r="J1933" i="13" a="1"/>
  <c r="J1933" i="13" s="1"/>
  <c r="M1936" i="13"/>
  <c r="K1747" i="13" l="1"/>
  <c r="L1747" i="13" s="1"/>
  <c r="I1748" i="13" s="1"/>
  <c r="K1770" i="14"/>
  <c r="L1770" i="14" s="1"/>
  <c r="I1771" i="14" s="1"/>
  <c r="J1934" i="13" a="1"/>
  <c r="J1934" i="13" s="1"/>
  <c r="N1935" i="13"/>
  <c r="M1937" i="13"/>
  <c r="M1938" i="14"/>
  <c r="J1933" i="14" a="1"/>
  <c r="J1933" i="14" s="1"/>
  <c r="N1934" i="14"/>
  <c r="K1748" i="13" l="1"/>
  <c r="L1748" i="13" s="1"/>
  <c r="I1749" i="13" s="1"/>
  <c r="K1771" i="14"/>
  <c r="L1771" i="14" s="1"/>
  <c r="I1772" i="14" s="1"/>
  <c r="M1938" i="13"/>
  <c r="J1935" i="13" a="1"/>
  <c r="J1935" i="13" s="1"/>
  <c r="N1936" i="13"/>
  <c r="J1934" i="14" a="1"/>
  <c r="J1934" i="14" s="1"/>
  <c r="N1935" i="14"/>
  <c r="M1939" i="14"/>
  <c r="K1749" i="13" l="1"/>
  <c r="L1749" i="13" s="1"/>
  <c r="I1750" i="13" s="1"/>
  <c r="K1772" i="14"/>
  <c r="L1772" i="14" s="1"/>
  <c r="I1773" i="14" s="1"/>
  <c r="M1940" i="14"/>
  <c r="N1936" i="14"/>
  <c r="J1935" i="14" a="1"/>
  <c r="J1935" i="14" s="1"/>
  <c r="J1936" i="13" a="1"/>
  <c r="J1936" i="13" s="1"/>
  <c r="N1937" i="13"/>
  <c r="M1939" i="13"/>
  <c r="K1750" i="13" l="1"/>
  <c r="L1750" i="13" s="1"/>
  <c r="I1751" i="13" s="1"/>
  <c r="K1773" i="14"/>
  <c r="L1773" i="14" s="1"/>
  <c r="I1774" i="14" s="1"/>
  <c r="M1940" i="13"/>
  <c r="J1936" i="14" a="1"/>
  <c r="J1936" i="14" s="1"/>
  <c r="N1937" i="14"/>
  <c r="N1938" i="13"/>
  <c r="J1937" i="13" a="1"/>
  <c r="J1937" i="13" s="1"/>
  <c r="M1941" i="14"/>
  <c r="K1751" i="13" l="1"/>
  <c r="L1751" i="13" s="1"/>
  <c r="I1752" i="13" s="1"/>
  <c r="K1774" i="14"/>
  <c r="L1774" i="14" s="1"/>
  <c r="I1775" i="14" s="1"/>
  <c r="J1937" i="14" a="1"/>
  <c r="J1937" i="14" s="1"/>
  <c r="N1938" i="14"/>
  <c r="M1942" i="14"/>
  <c r="M1941" i="13"/>
  <c r="J1938" i="13" a="1"/>
  <c r="J1938" i="13" s="1"/>
  <c r="N1939" i="13"/>
  <c r="K1752" i="13" l="1"/>
  <c r="L1752" i="13" s="1"/>
  <c r="I1753" i="13" s="1"/>
  <c r="K1775" i="14"/>
  <c r="L1775" i="14" s="1"/>
  <c r="I1776" i="14" s="1"/>
  <c r="J1939" i="13" a="1"/>
  <c r="J1939" i="13" s="1"/>
  <c r="N1940" i="13"/>
  <c r="M1943" i="14"/>
  <c r="J1938" i="14" a="1"/>
  <c r="J1938" i="14" s="1"/>
  <c r="N1939" i="14"/>
  <c r="M1942" i="13"/>
  <c r="K1753" i="13" l="1"/>
  <c r="L1753" i="13" s="1"/>
  <c r="I1754" i="13" s="1"/>
  <c r="K1776" i="14"/>
  <c r="L1776" i="14" s="1"/>
  <c r="I1777" i="14" s="1"/>
  <c r="N1940" i="14"/>
  <c r="J1939" i="14" a="1"/>
  <c r="J1939" i="14" s="1"/>
  <c r="M1943" i="13"/>
  <c r="M1944" i="14"/>
  <c r="J1940" i="13" a="1"/>
  <c r="J1940" i="13" s="1"/>
  <c r="N1941" i="13"/>
  <c r="K1754" i="13" l="1"/>
  <c r="L1754" i="13" s="1"/>
  <c r="I1755" i="13" s="1"/>
  <c r="K1777" i="14"/>
  <c r="L1777" i="14" s="1"/>
  <c r="I1778" i="14" s="1"/>
  <c r="N1942" i="13"/>
  <c r="J1941" i="13" a="1"/>
  <c r="J1941" i="13" s="1"/>
  <c r="M1944" i="13"/>
  <c r="M1945" i="14"/>
  <c r="J1940" i="14" a="1"/>
  <c r="J1940" i="14" s="1"/>
  <c r="N1941" i="14"/>
  <c r="K1755" i="13" l="1"/>
  <c r="L1755" i="13" s="1"/>
  <c r="I1756" i="13" s="1"/>
  <c r="K1778" i="14"/>
  <c r="L1778" i="14" s="1"/>
  <c r="I1779" i="14" s="1"/>
  <c r="M1946" i="14"/>
  <c r="J1942" i="13" a="1"/>
  <c r="J1942" i="13" s="1"/>
  <c r="N1943" i="13"/>
  <c r="J1941" i="14" a="1"/>
  <c r="J1941" i="14" s="1"/>
  <c r="N1942" i="14"/>
  <c r="M1945" i="13"/>
  <c r="K1756" i="13" l="1"/>
  <c r="L1756" i="13" s="1"/>
  <c r="I1757" i="13" s="1"/>
  <c r="K1779" i="14"/>
  <c r="L1779" i="14" s="1"/>
  <c r="I1780" i="14" s="1"/>
  <c r="J1943" i="13" a="1"/>
  <c r="J1943" i="13" s="1"/>
  <c r="N1944" i="13"/>
  <c r="M1946" i="13"/>
  <c r="J1942" i="14" a="1"/>
  <c r="J1942" i="14" s="1"/>
  <c r="N1943" i="14"/>
  <c r="M1947" i="14"/>
  <c r="K1757" i="13" l="1"/>
  <c r="L1757" i="13" s="1"/>
  <c r="I1758" i="13" s="1"/>
  <c r="K1780" i="14"/>
  <c r="L1780" i="14" s="1"/>
  <c r="I1781" i="14" s="1"/>
  <c r="N1944" i="14"/>
  <c r="J1943" i="14" a="1"/>
  <c r="J1943" i="14" s="1"/>
  <c r="M1948" i="14"/>
  <c r="M1947" i="13"/>
  <c r="J1944" i="13" a="1"/>
  <c r="J1944" i="13" s="1"/>
  <c r="N1945" i="13"/>
  <c r="K1758" i="13" l="1"/>
  <c r="L1758" i="13" s="1"/>
  <c r="I1759" i="13" s="1"/>
  <c r="K1781" i="14"/>
  <c r="L1781" i="14" s="1"/>
  <c r="I1782" i="14" s="1"/>
  <c r="M1949" i="14"/>
  <c r="N1946" i="13"/>
  <c r="J1945" i="13" a="1"/>
  <c r="J1945" i="13" s="1"/>
  <c r="M1948" i="13"/>
  <c r="J1944" i="14" a="1"/>
  <c r="J1944" i="14" s="1"/>
  <c r="N1945" i="14"/>
  <c r="K1759" i="13" l="1"/>
  <c r="L1759" i="13" s="1"/>
  <c r="I1760" i="13" s="1"/>
  <c r="K1782" i="14"/>
  <c r="L1782" i="14" s="1"/>
  <c r="I1783" i="14" s="1"/>
  <c r="J1946" i="13" a="1"/>
  <c r="J1946" i="13" s="1"/>
  <c r="N1947" i="13"/>
  <c r="J1945" i="14" a="1"/>
  <c r="J1945" i="14" s="1"/>
  <c r="N1946" i="14"/>
  <c r="M1949" i="13"/>
  <c r="M1950" i="14"/>
  <c r="K1760" i="13" l="1"/>
  <c r="L1760" i="13" s="1"/>
  <c r="I1761" i="13" s="1"/>
  <c r="K1783" i="14"/>
  <c r="L1783" i="14" s="1"/>
  <c r="I1784" i="14" s="1"/>
  <c r="J1946" i="14" a="1"/>
  <c r="J1946" i="14" s="1"/>
  <c r="N1947" i="14"/>
  <c r="J1947" i="13" a="1"/>
  <c r="J1947" i="13" s="1"/>
  <c r="N1948" i="13"/>
  <c r="M1951" i="14"/>
  <c r="M1950" i="13"/>
  <c r="K1761" i="13" l="1"/>
  <c r="L1761" i="13" s="1"/>
  <c r="I1762" i="13" s="1"/>
  <c r="K1784" i="14"/>
  <c r="L1784" i="14" s="1"/>
  <c r="I1785" i="14" s="1"/>
  <c r="J1948" i="13" a="1"/>
  <c r="J1948" i="13" s="1"/>
  <c r="N1949" i="13"/>
  <c r="N1948" i="14"/>
  <c r="J1947" i="14" a="1"/>
  <c r="J1947" i="14" s="1"/>
  <c r="M1951" i="13"/>
  <c r="M1952" i="14"/>
  <c r="K1762" i="13" l="1"/>
  <c r="L1762" i="13" s="1"/>
  <c r="I1763" i="13" s="1"/>
  <c r="K1785" i="14"/>
  <c r="L1785" i="14" s="1"/>
  <c r="I1786" i="14" s="1"/>
  <c r="J1948" i="14" a="1"/>
  <c r="J1948" i="14" s="1"/>
  <c r="N1949" i="14"/>
  <c r="N1950" i="13"/>
  <c r="J1949" i="13" a="1"/>
  <c r="J1949" i="13" s="1"/>
  <c r="M1953" i="14"/>
  <c r="M1952" i="13"/>
  <c r="K1763" i="13" l="1"/>
  <c r="L1763" i="13" s="1"/>
  <c r="I1764" i="13" s="1"/>
  <c r="K1786" i="14"/>
  <c r="L1786" i="14" s="1"/>
  <c r="I1787" i="14" s="1"/>
  <c r="J1950" i="13" a="1"/>
  <c r="J1950" i="13" s="1"/>
  <c r="N1951" i="13"/>
  <c r="M1953" i="13"/>
  <c r="J1949" i="14" a="1"/>
  <c r="J1949" i="14" s="1"/>
  <c r="N1950" i="14"/>
  <c r="M1954" i="14"/>
  <c r="K1764" i="13" l="1"/>
  <c r="L1764" i="13" s="1"/>
  <c r="I1765" i="13" s="1"/>
  <c r="K1787" i="14"/>
  <c r="L1787" i="14" s="1"/>
  <c r="I1788" i="14" s="1"/>
  <c r="J1950" i="14" a="1"/>
  <c r="J1950" i="14" s="1"/>
  <c r="N1951" i="14"/>
  <c r="M1955" i="14"/>
  <c r="M1954" i="13"/>
  <c r="J1951" i="13" a="1"/>
  <c r="J1951" i="13" s="1"/>
  <c r="N1952" i="13"/>
  <c r="K1765" i="13" l="1"/>
  <c r="L1765" i="13" s="1"/>
  <c r="I1766" i="13" s="1"/>
  <c r="K1788" i="14"/>
  <c r="L1788" i="14" s="1"/>
  <c r="I1789" i="14" s="1"/>
  <c r="J1952" i="13" a="1"/>
  <c r="J1952" i="13" s="1"/>
  <c r="N1953" i="13"/>
  <c r="M1956" i="14"/>
  <c r="N1952" i="14"/>
  <c r="J1951" i="14" a="1"/>
  <c r="J1951" i="14" s="1"/>
  <c r="M1955" i="13"/>
  <c r="K1766" i="13" l="1"/>
  <c r="L1766" i="13" s="1"/>
  <c r="I1767" i="13" s="1"/>
  <c r="K1789" i="14"/>
  <c r="L1789" i="14" s="1"/>
  <c r="I1790" i="14" s="1"/>
  <c r="N1954" i="13"/>
  <c r="J1953" i="13" a="1"/>
  <c r="J1953" i="13" s="1"/>
  <c r="J1952" i="14" a="1"/>
  <c r="J1952" i="14" s="1"/>
  <c r="N1953" i="14"/>
  <c r="M1956" i="13"/>
  <c r="M1957" i="14"/>
  <c r="K1767" i="13" l="1"/>
  <c r="L1767" i="13" s="1"/>
  <c r="I1768" i="13" s="1"/>
  <c r="K1790" i="14"/>
  <c r="L1790" i="14" s="1"/>
  <c r="I1791" i="14" s="1"/>
  <c r="J1953" i="14" a="1"/>
  <c r="J1953" i="14" s="1"/>
  <c r="N1954" i="14"/>
  <c r="M1958" i="14"/>
  <c r="M1957" i="13"/>
  <c r="J1954" i="13" a="1"/>
  <c r="J1954" i="13" s="1"/>
  <c r="N1955" i="13"/>
  <c r="K1768" i="13" l="1"/>
  <c r="L1768" i="13" s="1"/>
  <c r="I1769" i="13" s="1"/>
  <c r="K1791" i="14"/>
  <c r="L1791" i="14" s="1"/>
  <c r="I1792" i="14" s="1"/>
  <c r="J1954" i="14" a="1"/>
  <c r="J1954" i="14" s="1"/>
  <c r="N1955" i="14"/>
  <c r="J1955" i="13" a="1"/>
  <c r="J1955" i="13" s="1"/>
  <c r="N1956" i="13"/>
  <c r="M1959" i="14"/>
  <c r="M1958" i="13"/>
  <c r="K1769" i="13" l="1"/>
  <c r="L1769" i="13" s="1"/>
  <c r="I1770" i="13" s="1"/>
  <c r="K1792" i="14"/>
  <c r="L1792" i="14" s="1"/>
  <c r="I1793" i="14" s="1"/>
  <c r="M1959" i="13"/>
  <c r="J1956" i="13" a="1"/>
  <c r="J1956" i="13" s="1"/>
  <c r="N1957" i="13"/>
  <c r="N1956" i="14"/>
  <c r="J1955" i="14" a="1"/>
  <c r="J1955" i="14" s="1"/>
  <c r="M1960" i="14"/>
  <c r="K1770" i="13" l="1"/>
  <c r="L1770" i="13" s="1"/>
  <c r="I1771" i="13" s="1"/>
  <c r="K1793" i="14"/>
  <c r="L1793" i="14" s="1"/>
  <c r="I1794" i="14" s="1"/>
  <c r="N1958" i="13"/>
  <c r="J1957" i="13" a="1"/>
  <c r="J1957" i="13" s="1"/>
  <c r="M1961" i="14"/>
  <c r="J1956" i="14" a="1"/>
  <c r="J1956" i="14" s="1"/>
  <c r="N1957" i="14"/>
  <c r="M1960" i="13"/>
  <c r="K1771" i="13" l="1"/>
  <c r="L1771" i="13" s="1"/>
  <c r="I1772" i="13" s="1"/>
  <c r="K1794" i="14"/>
  <c r="L1794" i="14" s="1"/>
  <c r="I1795" i="14" s="1"/>
  <c r="M1961" i="13"/>
  <c r="M1962" i="14"/>
  <c r="J1957" i="14" a="1"/>
  <c r="J1957" i="14" s="1"/>
  <c r="N1958" i="14"/>
  <c r="J1958" i="13" a="1"/>
  <c r="J1958" i="13" s="1"/>
  <c r="N1959" i="13"/>
  <c r="K1772" i="13" l="1"/>
  <c r="L1772" i="13" s="1"/>
  <c r="I1773" i="13" s="1"/>
  <c r="K1795" i="14"/>
  <c r="L1795" i="14" s="1"/>
  <c r="I1796" i="14" s="1"/>
  <c r="J1959" i="13" a="1"/>
  <c r="J1959" i="13" s="1"/>
  <c r="N1960" i="13"/>
  <c r="M1963" i="14"/>
  <c r="J1958" i="14" a="1"/>
  <c r="J1958" i="14" s="1"/>
  <c r="N1959" i="14"/>
  <c r="M1962" i="13"/>
  <c r="K1773" i="13" l="1"/>
  <c r="L1773" i="13" s="1"/>
  <c r="I1774" i="13" s="1"/>
  <c r="N1960" i="14"/>
  <c r="J1959" i="14" a="1"/>
  <c r="J1959" i="14" s="1"/>
  <c r="M1963" i="13"/>
  <c r="M1964" i="14"/>
  <c r="K1796" i="14"/>
  <c r="L1796" i="14" s="1"/>
  <c r="I1797" i="14" s="1"/>
  <c r="J1960" i="13" a="1"/>
  <c r="J1960" i="13" s="1"/>
  <c r="N1961" i="13"/>
  <c r="K1774" i="13" l="1"/>
  <c r="L1774" i="13" s="1"/>
  <c r="I1775" i="13" s="1"/>
  <c r="K1797" i="14"/>
  <c r="L1797" i="14" s="1"/>
  <c r="I1798" i="14" s="1"/>
  <c r="M1965" i="14"/>
  <c r="J1960" i="14" a="1"/>
  <c r="J1960" i="14" s="1"/>
  <c r="N1961" i="14"/>
  <c r="N1962" i="13"/>
  <c r="J1961" i="13" a="1"/>
  <c r="J1961" i="13" s="1"/>
  <c r="M1964" i="13"/>
  <c r="K1775" i="13" l="1"/>
  <c r="L1775" i="13" s="1"/>
  <c r="I1776" i="13" s="1"/>
  <c r="K1798" i="14"/>
  <c r="L1798" i="14" s="1"/>
  <c r="I1799" i="14" s="1"/>
  <c r="J1961" i="14" a="1"/>
  <c r="J1961" i="14" s="1"/>
  <c r="N1962" i="14"/>
  <c r="M1965" i="13"/>
  <c r="J1962" i="13" a="1"/>
  <c r="J1962" i="13" s="1"/>
  <c r="N1963" i="13"/>
  <c r="M1966" i="14"/>
  <c r="K1776" i="13" l="1"/>
  <c r="L1776" i="13" s="1"/>
  <c r="I1777" i="13" s="1"/>
  <c r="K1799" i="14"/>
  <c r="L1799" i="14" s="1"/>
  <c r="I1800" i="14" s="1"/>
  <c r="M1967" i="14"/>
  <c r="M1966" i="13"/>
  <c r="J1962" i="14" a="1"/>
  <c r="J1962" i="14" s="1"/>
  <c r="N1963" i="14"/>
  <c r="J1963" i="13" a="1"/>
  <c r="J1963" i="13" s="1"/>
  <c r="N1964" i="13"/>
  <c r="K1777" i="13" l="1"/>
  <c r="L1777" i="13" s="1"/>
  <c r="I1778" i="13" s="1"/>
  <c r="M1967" i="13"/>
  <c r="J1964" i="13" a="1"/>
  <c r="J1964" i="13" s="1"/>
  <c r="N1965" i="13"/>
  <c r="N1964" i="14"/>
  <c r="J1963" i="14" a="1"/>
  <c r="J1963" i="14" s="1"/>
  <c r="M1968" i="14"/>
  <c r="K1800" i="14"/>
  <c r="L1800" i="14" s="1"/>
  <c r="I1801" i="14" s="1"/>
  <c r="K1778" i="13" l="1"/>
  <c r="L1778" i="13" s="1"/>
  <c r="I1779" i="13" s="1"/>
  <c r="K1801" i="14"/>
  <c r="L1801" i="14" s="1"/>
  <c r="I1802" i="14" s="1"/>
  <c r="J1964" i="14" a="1"/>
  <c r="J1964" i="14" s="1"/>
  <c r="N1965" i="14"/>
  <c r="M1968" i="13"/>
  <c r="N1966" i="13"/>
  <c r="J1965" i="13" a="1"/>
  <c r="J1965" i="13" s="1"/>
  <c r="M1969" i="14"/>
  <c r="K1779" i="13" l="1"/>
  <c r="L1779" i="13" s="1"/>
  <c r="I1780" i="13" s="1"/>
  <c r="K1802" i="14"/>
  <c r="L1802" i="14" s="1"/>
  <c r="I1803" i="14" s="1"/>
  <c r="J1965" i="14" a="1"/>
  <c r="J1965" i="14" s="1"/>
  <c r="N1966" i="14"/>
  <c r="J1966" i="13" a="1"/>
  <c r="J1966" i="13" s="1"/>
  <c r="N1967" i="13"/>
  <c r="M1969" i="13"/>
  <c r="M1970" i="14"/>
  <c r="K1780" i="13" l="1"/>
  <c r="L1780" i="13" s="1"/>
  <c r="I1781" i="13" s="1"/>
  <c r="K1803" i="14"/>
  <c r="L1803" i="14" s="1"/>
  <c r="I1804" i="14" s="1"/>
  <c r="M1970" i="13"/>
  <c r="M1971" i="14"/>
  <c r="J1967" i="13" a="1"/>
  <c r="J1967" i="13" s="1"/>
  <c r="N1968" i="13"/>
  <c r="J1966" i="14" a="1"/>
  <c r="J1966" i="14" s="1"/>
  <c r="N1967" i="14"/>
  <c r="K1781" i="13" l="1"/>
  <c r="L1781" i="13" s="1"/>
  <c r="I1782" i="13" s="1"/>
  <c r="K1804" i="14"/>
  <c r="L1804" i="14" s="1"/>
  <c r="I1805" i="14" s="1"/>
  <c r="N1968" i="14"/>
  <c r="J1967" i="14" a="1"/>
  <c r="J1967" i="14" s="1"/>
  <c r="M1972" i="14"/>
  <c r="J1968" i="13" a="1"/>
  <c r="J1968" i="13" s="1"/>
  <c r="N1969" i="13"/>
  <c r="M1971" i="13"/>
  <c r="K1782" i="13" l="1"/>
  <c r="L1782" i="13" s="1"/>
  <c r="I1783" i="13" s="1"/>
  <c r="M1972" i="13"/>
  <c r="M1973" i="14"/>
  <c r="K1805" i="14"/>
  <c r="L1805" i="14" s="1"/>
  <c r="I1806" i="14" s="1"/>
  <c r="N1970" i="13"/>
  <c r="J1969" i="13" a="1"/>
  <c r="J1969" i="13" s="1"/>
  <c r="J1968" i="14" a="1"/>
  <c r="J1968" i="14" s="1"/>
  <c r="N1969" i="14"/>
  <c r="K1783" i="13" l="1"/>
  <c r="L1783" i="13" s="1"/>
  <c r="I1784" i="13" s="1"/>
  <c r="K1806" i="14"/>
  <c r="L1806" i="14" s="1"/>
  <c r="I1807" i="14" s="1"/>
  <c r="M1973" i="13"/>
  <c r="J1969" i="14" a="1"/>
  <c r="J1969" i="14" s="1"/>
  <c r="N1970" i="14"/>
  <c r="J1970" i="13" a="1"/>
  <c r="J1970" i="13" s="1"/>
  <c r="N1971" i="13"/>
  <c r="M1974" i="14"/>
  <c r="K1784" i="13" l="1"/>
  <c r="L1784" i="13" s="1"/>
  <c r="I1785" i="13" s="1"/>
  <c r="K1807" i="14"/>
  <c r="L1807" i="14" s="1"/>
  <c r="I1808" i="14" s="1"/>
  <c r="J1970" i="14" a="1"/>
  <c r="J1970" i="14" s="1"/>
  <c r="N1971" i="14"/>
  <c r="M1975" i="14"/>
  <c r="J1971" i="13" a="1"/>
  <c r="J1971" i="13" s="1"/>
  <c r="N1972" i="13"/>
  <c r="M1974" i="13"/>
  <c r="K1785" i="13" l="1"/>
  <c r="L1785" i="13" s="1"/>
  <c r="I1786" i="13" s="1"/>
  <c r="K1808" i="14"/>
  <c r="L1808" i="14" s="1"/>
  <c r="I1809" i="14" s="1"/>
  <c r="N1972" i="14"/>
  <c r="J1971" i="14" a="1"/>
  <c r="J1971" i="14" s="1"/>
  <c r="M1975" i="13"/>
  <c r="J1972" i="13" a="1"/>
  <c r="J1972" i="13" s="1"/>
  <c r="N1973" i="13"/>
  <c r="M1976" i="14"/>
  <c r="K1786" i="13" l="1"/>
  <c r="L1786" i="13" s="1"/>
  <c r="I1787" i="13" s="1"/>
  <c r="K1809" i="14"/>
  <c r="L1809" i="14" s="1"/>
  <c r="I1810" i="14" s="1"/>
  <c r="N1974" i="13"/>
  <c r="J1973" i="13" a="1"/>
  <c r="J1973" i="13" s="1"/>
  <c r="M1977" i="14"/>
  <c r="M1976" i="13"/>
  <c r="J1972" i="14" a="1"/>
  <c r="J1972" i="14" s="1"/>
  <c r="N1973" i="14"/>
  <c r="K1787" i="13" l="1"/>
  <c r="L1787" i="13" s="1"/>
  <c r="I1788" i="13" s="1"/>
  <c r="K1810" i="14"/>
  <c r="L1810" i="14" s="1"/>
  <c r="I1811" i="14" s="1"/>
  <c r="J1973" i="14" a="1"/>
  <c r="J1973" i="14" s="1"/>
  <c r="N1974" i="14"/>
  <c r="M1978" i="14"/>
  <c r="M1977" i="13"/>
  <c r="J1974" i="13" a="1"/>
  <c r="J1974" i="13" s="1"/>
  <c r="N1975" i="13"/>
  <c r="K1788" i="13" l="1"/>
  <c r="L1788" i="13" s="1"/>
  <c r="I1789" i="13" s="1"/>
  <c r="J1975" i="13" a="1"/>
  <c r="J1975" i="13" s="1"/>
  <c r="N1976" i="13"/>
  <c r="M1979" i="14"/>
  <c r="K1811" i="14"/>
  <c r="L1811" i="14" s="1"/>
  <c r="I1812" i="14" s="1"/>
  <c r="J1974" i="14" a="1"/>
  <c r="J1974" i="14" s="1"/>
  <c r="N1975" i="14"/>
  <c r="M1978" i="13"/>
  <c r="K1789" i="13" l="1"/>
  <c r="L1789" i="13" s="1"/>
  <c r="I1790" i="13" s="1"/>
  <c r="K1812" i="14"/>
  <c r="L1812" i="14" s="1"/>
  <c r="I1813" i="14" s="1"/>
  <c r="J1976" i="13" a="1"/>
  <c r="J1976" i="13" s="1"/>
  <c r="N1977" i="13"/>
  <c r="M1979" i="13"/>
  <c r="N1976" i="14"/>
  <c r="J1975" i="14" a="1"/>
  <c r="J1975" i="14" s="1"/>
  <c r="M1980" i="14"/>
  <c r="K1790" i="13" l="1"/>
  <c r="L1790" i="13" s="1"/>
  <c r="I1791" i="13" s="1"/>
  <c r="J1976" i="14" a="1"/>
  <c r="J1976" i="14" s="1"/>
  <c r="N1977" i="14"/>
  <c r="M1981" i="14"/>
  <c r="M1980" i="13"/>
  <c r="K1813" i="14"/>
  <c r="L1813" i="14" s="1"/>
  <c r="I1814" i="14" s="1"/>
  <c r="N1978" i="13"/>
  <c r="J1977" i="13" a="1"/>
  <c r="J1977" i="13" s="1"/>
  <c r="K1791" i="13" l="1"/>
  <c r="L1791" i="13" s="1"/>
  <c r="I1792" i="13" s="1"/>
  <c r="K1814" i="14"/>
  <c r="L1814" i="14" s="1"/>
  <c r="I1815" i="14" s="1"/>
  <c r="J1977" i="14" a="1"/>
  <c r="J1977" i="14" s="1"/>
  <c r="N1978" i="14"/>
  <c r="M1981" i="13"/>
  <c r="J1978" i="13" a="1"/>
  <c r="J1978" i="13" s="1"/>
  <c r="N1979" i="13"/>
  <c r="M1982" i="14"/>
  <c r="K1792" i="13" l="1"/>
  <c r="L1792" i="13" s="1"/>
  <c r="I1793" i="13" s="1"/>
  <c r="K1815" i="14"/>
  <c r="L1815" i="14" s="1"/>
  <c r="I1816" i="14" s="1"/>
  <c r="J1979" i="13" a="1"/>
  <c r="J1979" i="13" s="1"/>
  <c r="N1980" i="13"/>
  <c r="J1978" i="14" a="1"/>
  <c r="J1978" i="14" s="1"/>
  <c r="N1979" i="14"/>
  <c r="M1983" i="14"/>
  <c r="M1982" i="13"/>
  <c r="K1793" i="13" l="1"/>
  <c r="L1793" i="13" s="1"/>
  <c r="I1794" i="13" s="1"/>
  <c r="K1816" i="14"/>
  <c r="L1816" i="14" s="1"/>
  <c r="I1817" i="14" s="1"/>
  <c r="N1980" i="14"/>
  <c r="J1979" i="14" a="1"/>
  <c r="J1979" i="14" s="1"/>
  <c r="M1983" i="13"/>
  <c r="J1980" i="13" a="1"/>
  <c r="J1980" i="13" s="1"/>
  <c r="N1981" i="13"/>
  <c r="M1984" i="14"/>
  <c r="K1794" i="13" l="1"/>
  <c r="L1794" i="13" s="1"/>
  <c r="I1795" i="13" s="1"/>
  <c r="M1984" i="13"/>
  <c r="K1817" i="14"/>
  <c r="L1817" i="14" s="1"/>
  <c r="I1818" i="14" s="1"/>
  <c r="M1985" i="14"/>
  <c r="N1982" i="13"/>
  <c r="J1981" i="13" a="1"/>
  <c r="J1981" i="13" s="1"/>
  <c r="J1980" i="14" a="1"/>
  <c r="J1980" i="14" s="1"/>
  <c r="N1981" i="14"/>
  <c r="K1795" i="13" l="1"/>
  <c r="L1795" i="13" s="1"/>
  <c r="I1796" i="13" s="1"/>
  <c r="K1818" i="14"/>
  <c r="L1818" i="14" s="1"/>
  <c r="I1819" i="14" s="1"/>
  <c r="J1981" i="14" a="1"/>
  <c r="J1981" i="14" s="1"/>
  <c r="N1982" i="14"/>
  <c r="M1985" i="13"/>
  <c r="M1986" i="14"/>
  <c r="J1982" i="13" a="1"/>
  <c r="J1982" i="13" s="1"/>
  <c r="N1983" i="13"/>
  <c r="K1796" i="13" l="1"/>
  <c r="L1796" i="13" s="1"/>
  <c r="I1797" i="13" s="1"/>
  <c r="K1819" i="14"/>
  <c r="L1819" i="14" s="1"/>
  <c r="I1820" i="14" s="1"/>
  <c r="J1982" i="14" a="1"/>
  <c r="J1982" i="14" s="1"/>
  <c r="N1983" i="14"/>
  <c r="J1983" i="13" a="1"/>
  <c r="J1983" i="13" s="1"/>
  <c r="N1984" i="13"/>
  <c r="M1986" i="13"/>
  <c r="M1987" i="14"/>
  <c r="K1797" i="13" l="1"/>
  <c r="L1797" i="13" s="1"/>
  <c r="I1798" i="13" s="1"/>
  <c r="K1820" i="14"/>
  <c r="L1820" i="14" s="1"/>
  <c r="I1821" i="14" s="1"/>
  <c r="J1984" i="13" a="1"/>
  <c r="J1984" i="13" s="1"/>
  <c r="N1985" i="13"/>
  <c r="M1988" i="14"/>
  <c r="N1984" i="14"/>
  <c r="J1983" i="14" a="1"/>
  <c r="J1983" i="14" s="1"/>
  <c r="M1987" i="13"/>
  <c r="K1798" i="13" l="1"/>
  <c r="L1798" i="13" s="1"/>
  <c r="I1799" i="13" s="1"/>
  <c r="K1821" i="14"/>
  <c r="L1821" i="14" s="1"/>
  <c r="I1822" i="14" s="1"/>
  <c r="M1988" i="13"/>
  <c r="M1989" i="14"/>
  <c r="N1986" i="13"/>
  <c r="J1985" i="13" a="1"/>
  <c r="J1985" i="13" s="1"/>
  <c r="J1984" i="14" a="1"/>
  <c r="J1984" i="14" s="1"/>
  <c r="N1985" i="14"/>
  <c r="K1799" i="13" l="1"/>
  <c r="L1799" i="13" s="1"/>
  <c r="I1800" i="13" s="1"/>
  <c r="K1822" i="14"/>
  <c r="L1822" i="14" s="1"/>
  <c r="I1823" i="14" s="1"/>
  <c r="M1990" i="14"/>
  <c r="J1985" i="14" a="1"/>
  <c r="J1985" i="14" s="1"/>
  <c r="N1986" i="14"/>
  <c r="M1989" i="13"/>
  <c r="J1986" i="13" a="1"/>
  <c r="J1986" i="13" s="1"/>
  <c r="N1987" i="13"/>
  <c r="K1800" i="13" l="1"/>
  <c r="L1800" i="13" s="1"/>
  <c r="I1801" i="13" s="1"/>
  <c r="K1823" i="14"/>
  <c r="L1823" i="14" s="1"/>
  <c r="I1824" i="14" s="1"/>
  <c r="J1986" i="14" a="1"/>
  <c r="J1986" i="14" s="1"/>
  <c r="N1987" i="14"/>
  <c r="J1987" i="13" a="1"/>
  <c r="J1987" i="13" s="1"/>
  <c r="N1988" i="13"/>
  <c r="M1991" i="14"/>
  <c r="M1990" i="13"/>
  <c r="K1801" i="13" l="1"/>
  <c r="L1801" i="13" s="1"/>
  <c r="I1802" i="13" s="1"/>
  <c r="K1824" i="14"/>
  <c r="L1824" i="14" s="1"/>
  <c r="I1825" i="14" s="1"/>
  <c r="N1988" i="14"/>
  <c r="J1987" i="14" a="1"/>
  <c r="J1987" i="14" s="1"/>
  <c r="M1992" i="14"/>
  <c r="J1988" i="13" a="1"/>
  <c r="J1988" i="13" s="1"/>
  <c r="N1989" i="13"/>
  <c r="M1991" i="13"/>
  <c r="K1802" i="13" l="1"/>
  <c r="L1802" i="13" s="1"/>
  <c r="I1803" i="13" s="1"/>
  <c r="K1825" i="14"/>
  <c r="L1825" i="14" s="1"/>
  <c r="I1826" i="14" s="1"/>
  <c r="N1990" i="13"/>
  <c r="J1989" i="13" a="1"/>
  <c r="J1989" i="13" s="1"/>
  <c r="J1988" i="14" a="1"/>
  <c r="J1988" i="14" s="1"/>
  <c r="N1989" i="14"/>
  <c r="M1992" i="13"/>
  <c r="M1993" i="14"/>
  <c r="K1803" i="13" l="1"/>
  <c r="L1803" i="13" s="1"/>
  <c r="I1804" i="13" s="1"/>
  <c r="K1826" i="14"/>
  <c r="L1826" i="14" s="1"/>
  <c r="I1827" i="14" s="1"/>
  <c r="M1993" i="13"/>
  <c r="J1989" i="14" a="1"/>
  <c r="J1989" i="14" s="1"/>
  <c r="N1990" i="14"/>
  <c r="M1994" i="14"/>
  <c r="J1990" i="13" a="1"/>
  <c r="J1990" i="13" s="1"/>
  <c r="N1991" i="13"/>
  <c r="K1804" i="13" l="1"/>
  <c r="L1804" i="13" s="1"/>
  <c r="I1805" i="13" s="1"/>
  <c r="K1827" i="14"/>
  <c r="L1827" i="14" s="1"/>
  <c r="I1828" i="14" s="1"/>
  <c r="J1991" i="13" a="1"/>
  <c r="J1991" i="13" s="1"/>
  <c r="N1992" i="13"/>
  <c r="J1990" i="14" a="1"/>
  <c r="J1990" i="14" s="1"/>
  <c r="N1991" i="14"/>
  <c r="M1995" i="14"/>
  <c r="M1994" i="13"/>
  <c r="K1805" i="13" l="1"/>
  <c r="L1805" i="13" s="1"/>
  <c r="I1806" i="13" s="1"/>
  <c r="K1828" i="14"/>
  <c r="L1828" i="14" s="1"/>
  <c r="I1829" i="14" s="1"/>
  <c r="N1992" i="14"/>
  <c r="J1991" i="14" a="1"/>
  <c r="J1991" i="14" s="1"/>
  <c r="M1996" i="14"/>
  <c r="M1995" i="13"/>
  <c r="J1992" i="13" a="1"/>
  <c r="J1992" i="13" s="1"/>
  <c r="N1993" i="13"/>
  <c r="K1806" i="13" l="1"/>
  <c r="L1806" i="13" s="1"/>
  <c r="I1807" i="13" s="1"/>
  <c r="M1996" i="13"/>
  <c r="N1994" i="13"/>
  <c r="J1993" i="13" a="1"/>
  <c r="J1993" i="13" s="1"/>
  <c r="M1997" i="14"/>
  <c r="J1992" i="14" a="1"/>
  <c r="J1992" i="14" s="1"/>
  <c r="N1993" i="14"/>
  <c r="K1829" i="14"/>
  <c r="L1829" i="14" s="1"/>
  <c r="I1830" i="14" s="1"/>
  <c r="K1807" i="13" l="1"/>
  <c r="L1807" i="13" s="1"/>
  <c r="I1808" i="13" s="1"/>
  <c r="K1830" i="14"/>
  <c r="L1830" i="14" s="1"/>
  <c r="I1831" i="14" s="1"/>
  <c r="J1993" i="14" a="1"/>
  <c r="J1993" i="14" s="1"/>
  <c r="N1994" i="14"/>
  <c r="M1997" i="13"/>
  <c r="M1998" i="14"/>
  <c r="J1994" i="13" a="1"/>
  <c r="J1994" i="13" s="1"/>
  <c r="N1995" i="13"/>
  <c r="K1808" i="13" l="1"/>
  <c r="L1808" i="13" s="1"/>
  <c r="I1809" i="13" s="1"/>
  <c r="K1831" i="14"/>
  <c r="L1831" i="14" s="1"/>
  <c r="I1832" i="14" s="1"/>
  <c r="J1995" i="13" a="1"/>
  <c r="J1995" i="13" s="1"/>
  <c r="N1996" i="13"/>
  <c r="M1998" i="13"/>
  <c r="M1999" i="14"/>
  <c r="J1994" i="14" a="1"/>
  <c r="J1994" i="14" s="1"/>
  <c r="N1995" i="14"/>
  <c r="K1809" i="13" l="1"/>
  <c r="L1809" i="13" s="1"/>
  <c r="I1810" i="13" s="1"/>
  <c r="N1996" i="14"/>
  <c r="J1995" i="14" a="1"/>
  <c r="J1995" i="14" s="1"/>
  <c r="M1999" i="13"/>
  <c r="K1832" i="14"/>
  <c r="L1832" i="14" s="1"/>
  <c r="I1833" i="14" s="1"/>
  <c r="J1996" i="13" a="1"/>
  <c r="J1996" i="13" s="1"/>
  <c r="N1997" i="13"/>
  <c r="M2000" i="14"/>
  <c r="K1810" i="13" l="1"/>
  <c r="L1810" i="13" s="1"/>
  <c r="I1811" i="13" s="1"/>
  <c r="K1833" i="14"/>
  <c r="L1833" i="14" s="1"/>
  <c r="I1834" i="14" s="1"/>
  <c r="N1998" i="13"/>
  <c r="J1997" i="13" a="1"/>
  <c r="J1997" i="13" s="1"/>
  <c r="M2001" i="14"/>
  <c r="J1996" i="14" a="1"/>
  <c r="J1996" i="14" s="1"/>
  <c r="N1997" i="14"/>
  <c r="M2000" i="13"/>
  <c r="K1811" i="13" l="1"/>
  <c r="L1811" i="13" s="1"/>
  <c r="I1812" i="13" s="1"/>
  <c r="K1834" i="14"/>
  <c r="L1834" i="14" s="1"/>
  <c r="I1835" i="14" s="1"/>
  <c r="J1997" i="14" a="1"/>
  <c r="J1997" i="14" s="1"/>
  <c r="N1998" i="14"/>
  <c r="M2001" i="13"/>
  <c r="M2002" i="14"/>
  <c r="J1998" i="13" a="1"/>
  <c r="J1998" i="13" s="1"/>
  <c r="N1999" i="13"/>
  <c r="K1812" i="13" l="1"/>
  <c r="L1812" i="13" s="1"/>
  <c r="I1813" i="13" s="1"/>
  <c r="K1835" i="14"/>
  <c r="L1835" i="14" s="1"/>
  <c r="I1836" i="14" s="1"/>
  <c r="J1999" i="13" a="1"/>
  <c r="J1999" i="13" s="1"/>
  <c r="N2000" i="13"/>
  <c r="J1998" i="14" a="1"/>
  <c r="J1998" i="14" s="1"/>
  <c r="N1999" i="14"/>
  <c r="M2002" i="13"/>
  <c r="M2003" i="14"/>
  <c r="K1813" i="13" l="1"/>
  <c r="L1813" i="13" s="1"/>
  <c r="I1814" i="13" s="1"/>
  <c r="K1836" i="14"/>
  <c r="L1836" i="14" s="1"/>
  <c r="I1837" i="14" s="1"/>
  <c r="N2000" i="14"/>
  <c r="J1999" i="14" a="1"/>
  <c r="J1999" i="14" s="1"/>
  <c r="M2003" i="13"/>
  <c r="M2004" i="14"/>
  <c r="J2000" i="13" a="1"/>
  <c r="J2000" i="13" s="1"/>
  <c r="N2001" i="13"/>
  <c r="K1814" i="13" l="1"/>
  <c r="L1814" i="13" s="1"/>
  <c r="I1815" i="13" s="1"/>
  <c r="K1837" i="14"/>
  <c r="L1837" i="14" s="1"/>
  <c r="I1838" i="14" s="1"/>
  <c r="N2002" i="13"/>
  <c r="J2001" i="13" a="1"/>
  <c r="J2001" i="13" s="1"/>
  <c r="M2004" i="13"/>
  <c r="M2005" i="14"/>
  <c r="J2000" i="14" a="1"/>
  <c r="J2000" i="14" s="1"/>
  <c r="N2001" i="14"/>
  <c r="K1815" i="13" l="1"/>
  <c r="L1815" i="13" s="1"/>
  <c r="I1816" i="13" s="1"/>
  <c r="K1838" i="14"/>
  <c r="L1838" i="14" s="1"/>
  <c r="I1839" i="14" s="1"/>
  <c r="M2006" i="14"/>
  <c r="J2002" i="13" a="1"/>
  <c r="J2002" i="13" s="1"/>
  <c r="N2003" i="13"/>
  <c r="M2005" i="13"/>
  <c r="J2001" i="14" a="1"/>
  <c r="J2001" i="14" s="1"/>
  <c r="N2002" i="14"/>
  <c r="K1816" i="13" l="1"/>
  <c r="L1816" i="13" s="1"/>
  <c r="I1817" i="13" s="1"/>
  <c r="K1839" i="14"/>
  <c r="L1839" i="14" s="1"/>
  <c r="I1840" i="14" s="1"/>
  <c r="J2002" i="14" a="1"/>
  <c r="J2002" i="14" s="1"/>
  <c r="N2003" i="14"/>
  <c r="J2003" i="13" a="1"/>
  <c r="J2003" i="13" s="1"/>
  <c r="N2004" i="13"/>
  <c r="M2007" i="14"/>
  <c r="M2006" i="13"/>
  <c r="K1817" i="13" l="1"/>
  <c r="L1817" i="13" s="1"/>
  <c r="I1818" i="13" s="1"/>
  <c r="K1840" i="14"/>
  <c r="L1840" i="14" s="1"/>
  <c r="I1841" i="14" s="1"/>
  <c r="J2004" i="13" a="1"/>
  <c r="J2004" i="13" s="1"/>
  <c r="N2005" i="13"/>
  <c r="M2008" i="14"/>
  <c r="M2007" i="13"/>
  <c r="N2004" i="14"/>
  <c r="J2003" i="14" a="1"/>
  <c r="J2003" i="14" s="1"/>
  <c r="K1818" i="13" l="1"/>
  <c r="L1818" i="13" s="1"/>
  <c r="I1819" i="13" s="1"/>
  <c r="K1841" i="14"/>
  <c r="L1841" i="14" s="1"/>
  <c r="I1842" i="14" s="1"/>
  <c r="N2006" i="13"/>
  <c r="J2005" i="13" a="1"/>
  <c r="J2005" i="13" s="1"/>
  <c r="M2008" i="13"/>
  <c r="J2004" i="14" a="1"/>
  <c r="J2004" i="14" s="1"/>
  <c r="N2005" i="14"/>
  <c r="M2009" i="14"/>
  <c r="K1819" i="13" l="1"/>
  <c r="L1819" i="13" s="1"/>
  <c r="I1820" i="13" s="1"/>
  <c r="K1842" i="14"/>
  <c r="L1842" i="14" s="1"/>
  <c r="I1843" i="14" s="1"/>
  <c r="M2009" i="13"/>
  <c r="M2010" i="14"/>
  <c r="J2005" i="14" a="1"/>
  <c r="J2005" i="14" s="1"/>
  <c r="N2006" i="14"/>
  <c r="J2006" i="13" a="1"/>
  <c r="J2006" i="13" s="1"/>
  <c r="N2007" i="13"/>
  <c r="K1820" i="13" l="1"/>
  <c r="L1820" i="13" s="1"/>
  <c r="I1821" i="13" s="1"/>
  <c r="K1843" i="14"/>
  <c r="L1843" i="14" s="1"/>
  <c r="I1844" i="14" s="1"/>
  <c r="M2011" i="14"/>
  <c r="J2007" i="13" a="1"/>
  <c r="J2007" i="13" s="1"/>
  <c r="N2008" i="13"/>
  <c r="J2006" i="14" a="1"/>
  <c r="J2006" i="14" s="1"/>
  <c r="N2007" i="14"/>
  <c r="M2010" i="13"/>
  <c r="K1821" i="13" l="1"/>
  <c r="L1821" i="13" s="1"/>
  <c r="I1822" i="13" s="1"/>
  <c r="K1844" i="14"/>
  <c r="L1844" i="14" s="1"/>
  <c r="I1845" i="14" s="1"/>
  <c r="J2008" i="13" a="1"/>
  <c r="J2008" i="13" s="1"/>
  <c r="N2009" i="13"/>
  <c r="N2008" i="14"/>
  <c r="J2007" i="14" a="1"/>
  <c r="J2007" i="14" s="1"/>
  <c r="M2011" i="13"/>
  <c r="M2012" i="14"/>
  <c r="K1822" i="13" l="1"/>
  <c r="L1822" i="13" s="1"/>
  <c r="I1823" i="13" s="1"/>
  <c r="K1845" i="14"/>
  <c r="L1845" i="14" s="1"/>
  <c r="I1846" i="14" s="1"/>
  <c r="M2012" i="13"/>
  <c r="M2013" i="14"/>
  <c r="J2008" i="14" a="1"/>
  <c r="J2008" i="14" s="1"/>
  <c r="N2009" i="14"/>
  <c r="N2010" i="13"/>
  <c r="J2009" i="13" a="1"/>
  <c r="J2009" i="13" s="1"/>
  <c r="K1823" i="13" l="1"/>
  <c r="L1823" i="13" s="1"/>
  <c r="I1824" i="13" s="1"/>
  <c r="K1846" i="14"/>
  <c r="L1846" i="14" s="1"/>
  <c r="I1847" i="14" s="1"/>
  <c r="J2010" i="13" a="1"/>
  <c r="J2010" i="13" s="1"/>
  <c r="N2011" i="13"/>
  <c r="M2014" i="14"/>
  <c r="J2009" i="14" a="1"/>
  <c r="J2009" i="14" s="1"/>
  <c r="N2010" i="14"/>
  <c r="M2013" i="13"/>
  <c r="K1824" i="13" l="1"/>
  <c r="L1824" i="13" s="1"/>
  <c r="I1825" i="13" s="1"/>
  <c r="K1847" i="14"/>
  <c r="L1847" i="14" s="1"/>
  <c r="I1848" i="14" s="1"/>
  <c r="J2010" i="14" a="1"/>
  <c r="J2010" i="14" s="1"/>
  <c r="N2011" i="14"/>
  <c r="M2015" i="14"/>
  <c r="M2014" i="13"/>
  <c r="J2011" i="13" a="1"/>
  <c r="J2011" i="13" s="1"/>
  <c r="N2012" i="13"/>
  <c r="K1825" i="13" l="1"/>
  <c r="L1825" i="13" s="1"/>
  <c r="I1826" i="13" s="1"/>
  <c r="K1848" i="14"/>
  <c r="L1848" i="14" s="1"/>
  <c r="I1849" i="14" s="1"/>
  <c r="J2012" i="13" a="1"/>
  <c r="J2012" i="13" s="1"/>
  <c r="N2013" i="13"/>
  <c r="M2016" i="14"/>
  <c r="N2012" i="14"/>
  <c r="J2011" i="14" a="1"/>
  <c r="J2011" i="14" s="1"/>
  <c r="M2015" i="13"/>
  <c r="K1826" i="13" l="1"/>
  <c r="L1826" i="13" s="1"/>
  <c r="I1827" i="13" s="1"/>
  <c r="K1849" i="14"/>
  <c r="L1849" i="14" s="1"/>
  <c r="I1850" i="14" s="1"/>
  <c r="M2016" i="13"/>
  <c r="M2017" i="14"/>
  <c r="N2014" i="13"/>
  <c r="J2013" i="13" a="1"/>
  <c r="J2013" i="13" s="1"/>
  <c r="J2012" i="14" a="1"/>
  <c r="J2012" i="14" s="1"/>
  <c r="N2013" i="14"/>
  <c r="K1827" i="13" l="1"/>
  <c r="L1827" i="13" s="1"/>
  <c r="I1828" i="13" s="1"/>
  <c r="K1850" i="14"/>
  <c r="L1850" i="14" s="1"/>
  <c r="I1851" i="14" s="1"/>
  <c r="M2018" i="14"/>
  <c r="M2017" i="13"/>
  <c r="J2013" i="14" a="1"/>
  <c r="J2013" i="14" s="1"/>
  <c r="N2014" i="14"/>
  <c r="J2014" i="13" a="1"/>
  <c r="J2014" i="13" s="1"/>
  <c r="N2015" i="13"/>
  <c r="K1828" i="13" l="1"/>
  <c r="L1828" i="13" s="1"/>
  <c r="I1829" i="13" s="1"/>
  <c r="K1851" i="14"/>
  <c r="L1851" i="14" s="1"/>
  <c r="I1852" i="14" s="1"/>
  <c r="J2015" i="13" a="1"/>
  <c r="J2015" i="13" s="1"/>
  <c r="N2016" i="13"/>
  <c r="M2018" i="13"/>
  <c r="J2014" i="14" a="1"/>
  <c r="J2014" i="14" s="1"/>
  <c r="N2015" i="14"/>
  <c r="M2019" i="14"/>
  <c r="K1829" i="13" l="1"/>
  <c r="L1829" i="13" s="1"/>
  <c r="I1830" i="13" s="1"/>
  <c r="K1852" i="14"/>
  <c r="L1852" i="14" s="1"/>
  <c r="I1853" i="14" s="1"/>
  <c r="N2016" i="14"/>
  <c r="J2015" i="14" a="1"/>
  <c r="J2015" i="14" s="1"/>
  <c r="M2020" i="14"/>
  <c r="M2019" i="13"/>
  <c r="J2016" i="13" a="1"/>
  <c r="J2016" i="13" s="1"/>
  <c r="N2017" i="13"/>
  <c r="K1830" i="13" l="1"/>
  <c r="L1830" i="13" s="1"/>
  <c r="I1831" i="13" s="1"/>
  <c r="K1853" i="14"/>
  <c r="L1853" i="14" s="1"/>
  <c r="I1854" i="14" s="1"/>
  <c r="M2021" i="14"/>
  <c r="N2018" i="13"/>
  <c r="J2017" i="13" a="1"/>
  <c r="J2017" i="13" s="1"/>
  <c r="M2020" i="13"/>
  <c r="J2016" i="14" a="1"/>
  <c r="J2016" i="14" s="1"/>
  <c r="N2017" i="14"/>
  <c r="K1831" i="13" l="1"/>
  <c r="L1831" i="13" s="1"/>
  <c r="I1832" i="13" s="1"/>
  <c r="K1854" i="14"/>
  <c r="L1854" i="14" s="1"/>
  <c r="I1855" i="14" s="1"/>
  <c r="J2017" i="14" a="1"/>
  <c r="J2017" i="14" s="1"/>
  <c r="N2018" i="14"/>
  <c r="J2018" i="13" a="1"/>
  <c r="J2018" i="13" s="1"/>
  <c r="N2019" i="13"/>
  <c r="M2021" i="13"/>
  <c r="M2022" i="14"/>
  <c r="K1832" i="13" l="1"/>
  <c r="L1832" i="13" s="1"/>
  <c r="I1833" i="13" s="1"/>
  <c r="K1855" i="14"/>
  <c r="L1855" i="14" s="1"/>
  <c r="I1856" i="14" s="1"/>
  <c r="M2023" i="14"/>
  <c r="J2019" i="13" a="1"/>
  <c r="J2019" i="13" s="1"/>
  <c r="N2020" i="13"/>
  <c r="M2022" i="13"/>
  <c r="J2018" i="14" a="1"/>
  <c r="J2018" i="14" s="1"/>
  <c r="N2019" i="14"/>
  <c r="K1833" i="13" l="1"/>
  <c r="L1833" i="13" s="1"/>
  <c r="I1834" i="13" s="1"/>
  <c r="K1856" i="14"/>
  <c r="L1856" i="14" s="1"/>
  <c r="I1857" i="14" s="1"/>
  <c r="J2020" i="13" a="1"/>
  <c r="J2020" i="13" s="1"/>
  <c r="N2021" i="13"/>
  <c r="N2020" i="14"/>
  <c r="J2019" i="14" a="1"/>
  <c r="J2019" i="14" s="1"/>
  <c r="M2023" i="13"/>
  <c r="M2024" i="14"/>
  <c r="K1834" i="13" l="1"/>
  <c r="L1834" i="13" s="1"/>
  <c r="I1835" i="13" s="1"/>
  <c r="K1857" i="14"/>
  <c r="L1857" i="14" s="1"/>
  <c r="I1858" i="14" s="1"/>
  <c r="J2020" i="14" a="1"/>
  <c r="J2020" i="14" s="1"/>
  <c r="N2021" i="14"/>
  <c r="N2022" i="13"/>
  <c r="J2021" i="13" a="1"/>
  <c r="J2021" i="13" s="1"/>
  <c r="M2025" i="14"/>
  <c r="M2024" i="13"/>
  <c r="K1835" i="13" l="1"/>
  <c r="L1835" i="13" s="1"/>
  <c r="I1836" i="13" s="1"/>
  <c r="K1858" i="14"/>
  <c r="L1858" i="14" s="1"/>
  <c r="I1859" i="14" s="1"/>
  <c r="M2025" i="13"/>
  <c r="J2022" i="13" a="1"/>
  <c r="J2022" i="13" s="1"/>
  <c r="N2023" i="13"/>
  <c r="J2021" i="14" a="1"/>
  <c r="J2021" i="14" s="1"/>
  <c r="N2022" i="14"/>
  <c r="M2026" i="14"/>
  <c r="K1836" i="13" l="1"/>
  <c r="L1836" i="13" s="1"/>
  <c r="I1837" i="13" s="1"/>
  <c r="K1859" i="14"/>
  <c r="L1859" i="14" s="1"/>
  <c r="I1860" i="14" s="1"/>
  <c r="J2023" i="13" a="1"/>
  <c r="J2023" i="13" s="1"/>
  <c r="N2024" i="13"/>
  <c r="J2022" i="14" a="1"/>
  <c r="J2022" i="14" s="1"/>
  <c r="N2023" i="14"/>
  <c r="M2027" i="14"/>
  <c r="M2026" i="13"/>
  <c r="K1837" i="13" l="1"/>
  <c r="L1837" i="13" s="1"/>
  <c r="I1838" i="13" s="1"/>
  <c r="K1860" i="14"/>
  <c r="L1860" i="14" s="1"/>
  <c r="I1861" i="14" s="1"/>
  <c r="M2028" i="14"/>
  <c r="N2024" i="14"/>
  <c r="J2023" i="14" a="1"/>
  <c r="J2023" i="14" s="1"/>
  <c r="M2027" i="13"/>
  <c r="J2024" i="13" a="1"/>
  <c r="J2024" i="13" s="1"/>
  <c r="N2025" i="13"/>
  <c r="K1838" i="13" l="1"/>
  <c r="L1838" i="13" s="1"/>
  <c r="I1839" i="13" s="1"/>
  <c r="K1861" i="14"/>
  <c r="L1861" i="14" s="1"/>
  <c r="I1862" i="14" s="1"/>
  <c r="N2026" i="13"/>
  <c r="J2025" i="13" a="1"/>
  <c r="J2025" i="13" s="1"/>
  <c r="J2024" i="14" a="1"/>
  <c r="J2024" i="14" s="1"/>
  <c r="N2025" i="14"/>
  <c r="M2028" i="13"/>
  <c r="M2029" i="14"/>
  <c r="K1839" i="13" l="1"/>
  <c r="L1839" i="13" s="1"/>
  <c r="I1840" i="13" s="1"/>
  <c r="K1862" i="14"/>
  <c r="L1862" i="14" s="1"/>
  <c r="I1863" i="14" s="1"/>
  <c r="J2025" i="14" a="1"/>
  <c r="J2025" i="14" s="1"/>
  <c r="N2026" i="14"/>
  <c r="M2030" i="14"/>
  <c r="M2029" i="13"/>
  <c r="J2026" i="13" a="1"/>
  <c r="J2026" i="13" s="1"/>
  <c r="N2027" i="13"/>
  <c r="K1840" i="13" l="1"/>
  <c r="L1840" i="13" s="1"/>
  <c r="I1841" i="13" s="1"/>
  <c r="K1863" i="14"/>
  <c r="L1863" i="14" s="1"/>
  <c r="I1864" i="14" s="1"/>
  <c r="J2027" i="13" a="1"/>
  <c r="J2027" i="13" s="1"/>
  <c r="N2028" i="13"/>
  <c r="M2031" i="14"/>
  <c r="J2026" i="14" a="1"/>
  <c r="J2026" i="14" s="1"/>
  <c r="N2027" i="14"/>
  <c r="M2030" i="13"/>
  <c r="K1841" i="13" l="1"/>
  <c r="L1841" i="13" s="1"/>
  <c r="I1842" i="13" s="1"/>
  <c r="K1864" i="14"/>
  <c r="L1864" i="14" s="1"/>
  <c r="I1865" i="14" s="1"/>
  <c r="N2028" i="14"/>
  <c r="J2027" i="14" a="1"/>
  <c r="J2027" i="14" s="1"/>
  <c r="J2028" i="13" a="1"/>
  <c r="J2028" i="13" s="1"/>
  <c r="N2029" i="13"/>
  <c r="M2031" i="13"/>
  <c r="M2032" i="14"/>
  <c r="K1842" i="13" l="1"/>
  <c r="L1842" i="13" s="1"/>
  <c r="I1843" i="13" s="1"/>
  <c r="M2032" i="13"/>
  <c r="N2030" i="13"/>
  <c r="J2029" i="13" a="1"/>
  <c r="J2029" i="13" s="1"/>
  <c r="K1865" i="14"/>
  <c r="L1865" i="14" s="1"/>
  <c r="I1866" i="14" s="1"/>
  <c r="M2033" i="14"/>
  <c r="J2028" i="14" a="1"/>
  <c r="J2028" i="14" s="1"/>
  <c r="N2029" i="14"/>
  <c r="K1843" i="13" l="1"/>
  <c r="L1843" i="13" s="1"/>
  <c r="I1844" i="13" s="1"/>
  <c r="K1866" i="14"/>
  <c r="L1866" i="14" s="1"/>
  <c r="I1867" i="14" s="1"/>
  <c r="M2033" i="13"/>
  <c r="M2034" i="14"/>
  <c r="J2029" i="14" a="1"/>
  <c r="J2029" i="14" s="1"/>
  <c r="N2030" i="14"/>
  <c r="J2030" i="13" a="1"/>
  <c r="J2030" i="13" s="1"/>
  <c r="N2031" i="13"/>
  <c r="K1844" i="13" l="1"/>
  <c r="L1844" i="13" s="1"/>
  <c r="I1845" i="13" s="1"/>
  <c r="J2031" i="13" a="1"/>
  <c r="J2031" i="13" s="1"/>
  <c r="N2032" i="13"/>
  <c r="M2035" i="14"/>
  <c r="J2030" i="14" a="1"/>
  <c r="J2030" i="14" s="1"/>
  <c r="N2031" i="14"/>
  <c r="M2034" i="13"/>
  <c r="K1867" i="14"/>
  <c r="L1867" i="14" s="1"/>
  <c r="I1868" i="14" s="1"/>
  <c r="K1845" i="13" l="1"/>
  <c r="L1845" i="13" s="1"/>
  <c r="I1846" i="13" s="1"/>
  <c r="K1868" i="14"/>
  <c r="L1868" i="14" s="1"/>
  <c r="I1869" i="14" s="1"/>
  <c r="J2032" i="13" a="1"/>
  <c r="J2032" i="13" s="1"/>
  <c r="N2033" i="13"/>
  <c r="N2032" i="14"/>
  <c r="J2031" i="14" a="1"/>
  <c r="J2031" i="14" s="1"/>
  <c r="M2035" i="13"/>
  <c r="M2036" i="14"/>
  <c r="K1846" i="13" l="1"/>
  <c r="L1846" i="13" s="1"/>
  <c r="I1847" i="13" s="1"/>
  <c r="K1869" i="14"/>
  <c r="L1869" i="14" s="1"/>
  <c r="I1870" i="14" s="1"/>
  <c r="N2034" i="13"/>
  <c r="J2033" i="13" a="1"/>
  <c r="J2033" i="13" s="1"/>
  <c r="M2036" i="13"/>
  <c r="M2037" i="14"/>
  <c r="J2032" i="14" a="1"/>
  <c r="J2032" i="14" s="1"/>
  <c r="N2033" i="14"/>
  <c r="K1847" i="13" l="1"/>
  <c r="L1847" i="13" s="1"/>
  <c r="I1848" i="13" s="1"/>
  <c r="K1870" i="14"/>
  <c r="L1870" i="14" s="1"/>
  <c r="I1871" i="14" s="1"/>
  <c r="J2033" i="14" a="1"/>
  <c r="J2033" i="14" s="1"/>
  <c r="N2034" i="14"/>
  <c r="M2037" i="13"/>
  <c r="M2038" i="14"/>
  <c r="J2034" i="13" a="1"/>
  <c r="J2034" i="13" s="1"/>
  <c r="N2035" i="13"/>
  <c r="K1848" i="13" l="1"/>
  <c r="L1848" i="13" s="1"/>
  <c r="I1849" i="13" s="1"/>
  <c r="K1871" i="14"/>
  <c r="L1871" i="14" s="1"/>
  <c r="I1872" i="14" s="1"/>
  <c r="J2035" i="13" a="1"/>
  <c r="J2035" i="13" s="1"/>
  <c r="N2036" i="13"/>
  <c r="M2038" i="13"/>
  <c r="J2034" i="14" a="1"/>
  <c r="J2034" i="14" s="1"/>
  <c r="N2035" i="14"/>
  <c r="M2039" i="14"/>
  <c r="K1849" i="13" l="1"/>
  <c r="L1849" i="13" s="1"/>
  <c r="I1850" i="13" s="1"/>
  <c r="K1872" i="14"/>
  <c r="L1872" i="14" s="1"/>
  <c r="I1873" i="14" s="1"/>
  <c r="J2036" i="13" a="1"/>
  <c r="J2036" i="13" s="1"/>
  <c r="N2037" i="13"/>
  <c r="N2036" i="14"/>
  <c r="J2035" i="14" a="1"/>
  <c r="J2035" i="14" s="1"/>
  <c r="M2040" i="14"/>
  <c r="M2039" i="13"/>
  <c r="K1850" i="13" l="1"/>
  <c r="L1850" i="13" s="1"/>
  <c r="I1851" i="13" s="1"/>
  <c r="K1873" i="14"/>
  <c r="L1873" i="14" s="1"/>
  <c r="I1874" i="14" s="1"/>
  <c r="N2038" i="13"/>
  <c r="J2037" i="13" a="1"/>
  <c r="J2037" i="13" s="1"/>
  <c r="M2041" i="14"/>
  <c r="M2040" i="13"/>
  <c r="J2036" i="14" a="1"/>
  <c r="J2036" i="14" s="1"/>
  <c r="N2037" i="14"/>
  <c r="K1851" i="13" l="1"/>
  <c r="L1851" i="13" s="1"/>
  <c r="I1852" i="13" s="1"/>
  <c r="K1874" i="14"/>
  <c r="L1874" i="14" s="1"/>
  <c r="I1875" i="14" s="1"/>
  <c r="J2037" i="14" a="1"/>
  <c r="J2037" i="14" s="1"/>
  <c r="N2038" i="14"/>
  <c r="M2042" i="14"/>
  <c r="M2041" i="13"/>
  <c r="J2038" i="13" a="1"/>
  <c r="J2038" i="13" s="1"/>
  <c r="N2039" i="13"/>
  <c r="K1852" i="13" l="1"/>
  <c r="L1852" i="13" s="1"/>
  <c r="I1853" i="13" s="1"/>
  <c r="K1875" i="14"/>
  <c r="L1875" i="14" s="1"/>
  <c r="I1876" i="14" s="1"/>
  <c r="J2039" i="13" a="1"/>
  <c r="J2039" i="13" s="1"/>
  <c r="N2040" i="13"/>
  <c r="M2043" i="14"/>
  <c r="J2038" i="14" a="1"/>
  <c r="J2038" i="14" s="1"/>
  <c r="N2039" i="14"/>
  <c r="M2042" i="13"/>
  <c r="K1853" i="13" l="1"/>
  <c r="L1853" i="13" s="1"/>
  <c r="I1854" i="13" s="1"/>
  <c r="K1876" i="14"/>
  <c r="L1876" i="14" s="1"/>
  <c r="I1877" i="14" s="1"/>
  <c r="N2040" i="14"/>
  <c r="J2039" i="14" a="1"/>
  <c r="J2039" i="14" s="1"/>
  <c r="J2040" i="13" a="1"/>
  <c r="J2040" i="13" s="1"/>
  <c r="N2041" i="13"/>
  <c r="M2043" i="13"/>
  <c r="M2044" i="14"/>
  <c r="K1854" i="13" l="1"/>
  <c r="L1854" i="13" s="1"/>
  <c r="I1855" i="13" s="1"/>
  <c r="K1877" i="14"/>
  <c r="L1877" i="14" s="1"/>
  <c r="I1878" i="14" s="1"/>
  <c r="N2042" i="13"/>
  <c r="J2041" i="13" a="1"/>
  <c r="J2041" i="13" s="1"/>
  <c r="M2045" i="14"/>
  <c r="M2044" i="13"/>
  <c r="J2040" i="14" a="1"/>
  <c r="J2040" i="14" s="1"/>
  <c r="N2041" i="14"/>
  <c r="K1855" i="13" l="1"/>
  <c r="L1855" i="13" s="1"/>
  <c r="I1856" i="13" s="1"/>
  <c r="K1878" i="14"/>
  <c r="L1878" i="14" s="1"/>
  <c r="I1879" i="14" s="1"/>
  <c r="J2041" i="14" a="1"/>
  <c r="J2041" i="14" s="1"/>
  <c r="N2042" i="14"/>
  <c r="M2046" i="14"/>
  <c r="M2045" i="13"/>
  <c r="J2042" i="13" a="1"/>
  <c r="J2042" i="13" s="1"/>
  <c r="N2043" i="13"/>
  <c r="K1856" i="13" l="1"/>
  <c r="L1856" i="13" s="1"/>
  <c r="I1857" i="13" s="1"/>
  <c r="K1879" i="14"/>
  <c r="L1879" i="14" s="1"/>
  <c r="I1880" i="14" s="1"/>
  <c r="M2046" i="13"/>
  <c r="J2043" i="13" a="1"/>
  <c r="J2043" i="13" s="1"/>
  <c r="N2044" i="13"/>
  <c r="M2047" i="14"/>
  <c r="J2042" i="14" a="1"/>
  <c r="J2042" i="14" s="1"/>
  <c r="N2043" i="14"/>
  <c r="K1857" i="13" l="1"/>
  <c r="L1857" i="13" s="1"/>
  <c r="I1858" i="13" s="1"/>
  <c r="K1880" i="14"/>
  <c r="L1880" i="14" s="1"/>
  <c r="I1881" i="14" s="1"/>
  <c r="N2044" i="14"/>
  <c r="J2043" i="14" a="1"/>
  <c r="J2043" i="14" s="1"/>
  <c r="J2044" i="13" a="1"/>
  <c r="J2044" i="13" s="1"/>
  <c r="N2045" i="13"/>
  <c r="M2048" i="14"/>
  <c r="M2047" i="13"/>
  <c r="K1858" i="13" l="1"/>
  <c r="L1858" i="13" s="1"/>
  <c r="I1859" i="13" s="1"/>
  <c r="K1881" i="14"/>
  <c r="L1881" i="14" s="1"/>
  <c r="I1882" i="14" s="1"/>
  <c r="N2046" i="13"/>
  <c r="J2045" i="13" a="1"/>
  <c r="J2045" i="13" s="1"/>
  <c r="M2049" i="14"/>
  <c r="M2048" i="13"/>
  <c r="J2044" i="14" a="1"/>
  <c r="J2044" i="14" s="1"/>
  <c r="N2045" i="14"/>
  <c r="K1859" i="13" l="1"/>
  <c r="L1859" i="13" s="1"/>
  <c r="I1860" i="13" s="1"/>
  <c r="K1882" i="14"/>
  <c r="L1882" i="14" s="1"/>
  <c r="I1883" i="14" s="1"/>
  <c r="J2045" i="14" a="1"/>
  <c r="J2045" i="14" s="1"/>
  <c r="N2046" i="14"/>
  <c r="M2049" i="13"/>
  <c r="J2046" i="13" a="1"/>
  <c r="J2046" i="13" s="1"/>
  <c r="N2047" i="13"/>
  <c r="M2050" i="14"/>
  <c r="K1860" i="13" l="1"/>
  <c r="L1860" i="13" s="1"/>
  <c r="I1861" i="13" s="1"/>
  <c r="K1883" i="14"/>
  <c r="L1883" i="14" s="1"/>
  <c r="I1884" i="14" s="1"/>
  <c r="M2051" i="14"/>
  <c r="M2050" i="13"/>
  <c r="J2047" i="13" a="1"/>
  <c r="J2047" i="13" s="1"/>
  <c r="N2048" i="13"/>
  <c r="J2046" i="14" a="1"/>
  <c r="J2046" i="14" s="1"/>
  <c r="N2047" i="14"/>
  <c r="K1861" i="13" l="1"/>
  <c r="L1861" i="13" s="1"/>
  <c r="I1862" i="13" s="1"/>
  <c r="K1884" i="14"/>
  <c r="L1884" i="14" s="1"/>
  <c r="I1885" i="14" s="1"/>
  <c r="N2048" i="14"/>
  <c r="J2047" i="14" a="1"/>
  <c r="J2047" i="14" s="1"/>
  <c r="M2051" i="13"/>
  <c r="J2048" i="13" a="1"/>
  <c r="J2048" i="13" s="1"/>
  <c r="N2049" i="13"/>
  <c r="M2052" i="14"/>
  <c r="K1862" i="13" l="1"/>
  <c r="L1862" i="13" s="1"/>
  <c r="I1863" i="13" s="1"/>
  <c r="K1885" i="14"/>
  <c r="L1885" i="14" s="1"/>
  <c r="I1886" i="14" s="1"/>
  <c r="N2050" i="13"/>
  <c r="J2049" i="13" a="1"/>
  <c r="J2049" i="13" s="1"/>
  <c r="M2053" i="14"/>
  <c r="M2052" i="13"/>
  <c r="J2048" i="14" a="1"/>
  <c r="J2048" i="14" s="1"/>
  <c r="N2049" i="14"/>
  <c r="K1863" i="13" l="1"/>
  <c r="L1863" i="13" s="1"/>
  <c r="I1864" i="13" s="1"/>
  <c r="K1886" i="14"/>
  <c r="L1886" i="14" s="1"/>
  <c r="I1887" i="14" s="1"/>
  <c r="J2049" i="14" a="1"/>
  <c r="J2049" i="14" s="1"/>
  <c r="N2050" i="14"/>
  <c r="M2054" i="14"/>
  <c r="M2053" i="13"/>
  <c r="J2050" i="13" a="1"/>
  <c r="J2050" i="13" s="1"/>
  <c r="N2051" i="13"/>
  <c r="K1864" i="13" l="1"/>
  <c r="L1864" i="13" s="1"/>
  <c r="I1865" i="13" s="1"/>
  <c r="K1887" i="14"/>
  <c r="L1887" i="14" s="1"/>
  <c r="I1888" i="14" s="1"/>
  <c r="M2054" i="13"/>
  <c r="M2055" i="14"/>
  <c r="J2051" i="13" a="1"/>
  <c r="J2051" i="13" s="1"/>
  <c r="N2052" i="13"/>
  <c r="J2050" i="14" a="1"/>
  <c r="J2050" i="14" s="1"/>
  <c r="N2051" i="14"/>
  <c r="K1865" i="13" l="1"/>
  <c r="L1865" i="13" s="1"/>
  <c r="I1866" i="13" s="1"/>
  <c r="N2052" i="14"/>
  <c r="J2051" i="14" a="1"/>
  <c r="J2051" i="14" s="1"/>
  <c r="M2056" i="14"/>
  <c r="J2052" i="13" a="1"/>
  <c r="J2052" i="13" s="1"/>
  <c r="N2053" i="13"/>
  <c r="M2055" i="13"/>
  <c r="K1888" i="14"/>
  <c r="L1888" i="14" s="1"/>
  <c r="I1889" i="14" s="1"/>
  <c r="K1866" i="13" l="1"/>
  <c r="L1866" i="13" s="1"/>
  <c r="I1867" i="13" s="1"/>
  <c r="K1889" i="14"/>
  <c r="L1889" i="14" s="1"/>
  <c r="I1890" i="14" s="1"/>
  <c r="N2054" i="13"/>
  <c r="J2053" i="13" a="1"/>
  <c r="J2053" i="13" s="1"/>
  <c r="J2052" i="14" a="1"/>
  <c r="J2052" i="14" s="1"/>
  <c r="N2053" i="14"/>
  <c r="M2056" i="13"/>
  <c r="M2057" i="14"/>
  <c r="K1867" i="13" l="1"/>
  <c r="L1867" i="13" s="1"/>
  <c r="I1868" i="13" s="1"/>
  <c r="K1890" i="14"/>
  <c r="L1890" i="14" s="1"/>
  <c r="I1891" i="14" s="1"/>
  <c r="J2053" i="14" a="1"/>
  <c r="J2053" i="14" s="1"/>
  <c r="N2054" i="14"/>
  <c r="M2058" i="14"/>
  <c r="M2057" i="13"/>
  <c r="J2054" i="13" a="1"/>
  <c r="J2054" i="13" s="1"/>
  <c r="N2055" i="13"/>
  <c r="K1868" i="13" l="1"/>
  <c r="L1868" i="13" s="1"/>
  <c r="I1869" i="13" s="1"/>
  <c r="K1891" i="14"/>
  <c r="L1891" i="14" s="1"/>
  <c r="I1892" i="14" s="1"/>
  <c r="J2054" i="14" a="1"/>
  <c r="J2054" i="14" s="1"/>
  <c r="N2055" i="14"/>
  <c r="M2058" i="13"/>
  <c r="J2055" i="13" a="1"/>
  <c r="J2055" i="13" s="1"/>
  <c r="N2056" i="13"/>
  <c r="M2059" i="14"/>
  <c r="K1869" i="13" l="1"/>
  <c r="L1869" i="13" s="1"/>
  <c r="I1870" i="13" s="1"/>
  <c r="K1892" i="14"/>
  <c r="L1892" i="14" s="1"/>
  <c r="I1893" i="14" s="1"/>
  <c r="M2060" i="14"/>
  <c r="M2059" i="13"/>
  <c r="J2056" i="13" a="1"/>
  <c r="J2056" i="13" s="1"/>
  <c r="N2057" i="13"/>
  <c r="N2056" i="14"/>
  <c r="J2055" i="14" a="1"/>
  <c r="J2055" i="14" s="1"/>
  <c r="K1870" i="13" l="1"/>
  <c r="L1870" i="13" s="1"/>
  <c r="I1871" i="13" s="1"/>
  <c r="N2058" i="13"/>
  <c r="J2057" i="13" a="1"/>
  <c r="J2057" i="13" s="1"/>
  <c r="M2061" i="14"/>
  <c r="J2056" i="14" a="1"/>
  <c r="J2056" i="14" s="1"/>
  <c r="N2057" i="14"/>
  <c r="M2060" i="13"/>
  <c r="K1893" i="14"/>
  <c r="L1893" i="14" s="1"/>
  <c r="I1894" i="14" s="1"/>
  <c r="K1871" i="13" l="1"/>
  <c r="L1871" i="13" s="1"/>
  <c r="I1872" i="13" s="1"/>
  <c r="K1894" i="14"/>
  <c r="L1894" i="14" s="1"/>
  <c r="I1895" i="14" s="1"/>
  <c r="J2058" i="13" a="1"/>
  <c r="J2058" i="13" s="1"/>
  <c r="N2059" i="13"/>
  <c r="J2057" i="14" a="1"/>
  <c r="J2057" i="14" s="1"/>
  <c r="N2058" i="14"/>
  <c r="M2061" i="13"/>
  <c r="M2062" i="14"/>
  <c r="K1872" i="13" l="1"/>
  <c r="L1872" i="13" s="1"/>
  <c r="I1873" i="13" s="1"/>
  <c r="K1895" i="14"/>
  <c r="L1895" i="14" s="1"/>
  <c r="I1896" i="14" s="1"/>
  <c r="J2058" i="14" a="1"/>
  <c r="J2058" i="14" s="1"/>
  <c r="N2059" i="14"/>
  <c r="M2062" i="13"/>
  <c r="M2063" i="14"/>
  <c r="J2059" i="13" a="1"/>
  <c r="J2059" i="13" s="1"/>
  <c r="N2060" i="13"/>
  <c r="K1873" i="13" l="1"/>
  <c r="L1873" i="13" s="1"/>
  <c r="I1874" i="13" s="1"/>
  <c r="N2060" i="14"/>
  <c r="J2059" i="14" a="1"/>
  <c r="J2059" i="14" s="1"/>
  <c r="M2064" i="14"/>
  <c r="J2060" i="13" a="1"/>
  <c r="J2060" i="13" s="1"/>
  <c r="N2061" i="13"/>
  <c r="M2063" i="13"/>
  <c r="K1896" i="14"/>
  <c r="L1896" i="14" s="1"/>
  <c r="I1897" i="14" s="1"/>
  <c r="K1874" i="13" l="1"/>
  <c r="L1874" i="13" s="1"/>
  <c r="I1875" i="13" s="1"/>
  <c r="K1897" i="14"/>
  <c r="L1897" i="14" s="1"/>
  <c r="I1898" i="14" s="1"/>
  <c r="N2062" i="13"/>
  <c r="J2061" i="13" a="1"/>
  <c r="J2061" i="13" s="1"/>
  <c r="J2060" i="14" a="1"/>
  <c r="J2060" i="14" s="1"/>
  <c r="N2061" i="14"/>
  <c r="M2064" i="13"/>
  <c r="M2065" i="14"/>
  <c r="K1875" i="13" l="1"/>
  <c r="L1875" i="13" s="1"/>
  <c r="I1876" i="13" s="1"/>
  <c r="K1898" i="14"/>
  <c r="L1898" i="14" s="1"/>
  <c r="I1899" i="14" s="1"/>
  <c r="J2061" i="14" a="1"/>
  <c r="J2061" i="14" s="1"/>
  <c r="N2062" i="14"/>
  <c r="M2066" i="14"/>
  <c r="M2065" i="13"/>
  <c r="J2062" i="13" a="1"/>
  <c r="J2062" i="13" s="1"/>
  <c r="N2063" i="13"/>
  <c r="K1876" i="13" l="1"/>
  <c r="L1876" i="13" s="1"/>
  <c r="I1877" i="13" s="1"/>
  <c r="J2062" i="14" a="1"/>
  <c r="J2062" i="14" s="1"/>
  <c r="N2063" i="14"/>
  <c r="M2066" i="13"/>
  <c r="J2063" i="13" a="1"/>
  <c r="J2063" i="13" s="1"/>
  <c r="N2064" i="13"/>
  <c r="M2067" i="14"/>
  <c r="K1899" i="14"/>
  <c r="L1899" i="14" s="1"/>
  <c r="I1900" i="14" s="1"/>
  <c r="K1877" i="13" l="1"/>
  <c r="L1877" i="13" s="1"/>
  <c r="I1878" i="13" s="1"/>
  <c r="K1900" i="14"/>
  <c r="L1900" i="14" s="1"/>
  <c r="I1901" i="14" s="1"/>
  <c r="J2064" i="13" a="1"/>
  <c r="J2064" i="13" s="1"/>
  <c r="N2065" i="13"/>
  <c r="N2064" i="14"/>
  <c r="J2063" i="14" a="1"/>
  <c r="J2063" i="14" s="1"/>
  <c r="M2068" i="14"/>
  <c r="M2067" i="13"/>
  <c r="K1878" i="13" l="1"/>
  <c r="L1878" i="13" s="1"/>
  <c r="I1879" i="13" s="1"/>
  <c r="K1901" i="14"/>
  <c r="L1901" i="14" s="1"/>
  <c r="I1902" i="14" s="1"/>
  <c r="N2066" i="13"/>
  <c r="J2065" i="13" a="1"/>
  <c r="J2065" i="13" s="1"/>
  <c r="M2069" i="14"/>
  <c r="M2068" i="13"/>
  <c r="J2064" i="14" a="1"/>
  <c r="J2064" i="14" s="1"/>
  <c r="N2065" i="14"/>
  <c r="K1879" i="13" l="1"/>
  <c r="L1879" i="13" s="1"/>
  <c r="I1880" i="13" s="1"/>
  <c r="K1902" i="14"/>
  <c r="L1902" i="14" s="1"/>
  <c r="I1903" i="14" s="1"/>
  <c r="J2065" i="14" a="1"/>
  <c r="J2065" i="14" s="1"/>
  <c r="N2066" i="14"/>
  <c r="M2070" i="14"/>
  <c r="M2069" i="13"/>
  <c r="J2066" i="13" a="1"/>
  <c r="J2066" i="13" s="1"/>
  <c r="N2067" i="13"/>
  <c r="K1880" i="13" l="1"/>
  <c r="L1880" i="13" s="1"/>
  <c r="I1881" i="13" s="1"/>
  <c r="K1903" i="14"/>
  <c r="L1903" i="14" s="1"/>
  <c r="I1904" i="14" s="1"/>
  <c r="J2066" i="14" a="1"/>
  <c r="J2066" i="14" s="1"/>
  <c r="N2067" i="14"/>
  <c r="M2070" i="13"/>
  <c r="M2071" i="14"/>
  <c r="J2067" i="13" a="1"/>
  <c r="J2067" i="13" s="1"/>
  <c r="N2068" i="13"/>
  <c r="K1881" i="13" l="1"/>
  <c r="L1881" i="13" s="1"/>
  <c r="I1882" i="13" s="1"/>
  <c r="K1904" i="14"/>
  <c r="L1904" i="14" s="1"/>
  <c r="I1905" i="14" s="1"/>
  <c r="M2072" i="14"/>
  <c r="M2071" i="13"/>
  <c r="J2068" i="13" a="1"/>
  <c r="J2068" i="13" s="1"/>
  <c r="N2069" i="13"/>
  <c r="N2068" i="14"/>
  <c r="J2067" i="14" a="1"/>
  <c r="J2067" i="14" s="1"/>
  <c r="K1882" i="13" l="1"/>
  <c r="L1882" i="13" s="1"/>
  <c r="I1883" i="13" s="1"/>
  <c r="K1905" i="14"/>
  <c r="L1905" i="14" s="1"/>
  <c r="I1906" i="14" s="1"/>
  <c r="M2072" i="13"/>
  <c r="N2070" i="13"/>
  <c r="J2069" i="13" a="1"/>
  <c r="J2069" i="13" s="1"/>
  <c r="J2068" i="14" a="1"/>
  <c r="J2068" i="14" s="1"/>
  <c r="N2069" i="14"/>
  <c r="M2073" i="14"/>
  <c r="K1883" i="13" l="1"/>
  <c r="L1883" i="13" s="1"/>
  <c r="I1884" i="13" s="1"/>
  <c r="M2074" i="14"/>
  <c r="J2070" i="13" a="1"/>
  <c r="J2070" i="13" s="1"/>
  <c r="N2071" i="13"/>
  <c r="J2069" i="14" a="1"/>
  <c r="J2069" i="14" s="1"/>
  <c r="N2070" i="14"/>
  <c r="M2073" i="13"/>
  <c r="K1906" i="14"/>
  <c r="L1906" i="14" s="1"/>
  <c r="I1907" i="14" s="1"/>
  <c r="K1884" i="13" l="1"/>
  <c r="L1884" i="13" s="1"/>
  <c r="I1885" i="13" s="1"/>
  <c r="K1907" i="14"/>
  <c r="L1907" i="14" s="1"/>
  <c r="I1908" i="14" s="1"/>
  <c r="J2070" i="14" a="1"/>
  <c r="J2070" i="14" s="1"/>
  <c r="N2071" i="14"/>
  <c r="M2075" i="14"/>
  <c r="J2071" i="13" a="1"/>
  <c r="J2071" i="13" s="1"/>
  <c r="N2072" i="13"/>
  <c r="M2074" i="13"/>
  <c r="K1885" i="13" l="1"/>
  <c r="L1885" i="13" s="1"/>
  <c r="I1886" i="13" s="1"/>
  <c r="K1908" i="14"/>
  <c r="L1908" i="14" s="1"/>
  <c r="I1909" i="14" s="1"/>
  <c r="J2072" i="13" a="1"/>
  <c r="J2072" i="13" s="1"/>
  <c r="N2073" i="13"/>
  <c r="M2075" i="13"/>
  <c r="M2076" i="14"/>
  <c r="N2072" i="14"/>
  <c r="J2071" i="14" a="1"/>
  <c r="J2071" i="14" s="1"/>
  <c r="K1886" i="13" l="1"/>
  <c r="L1886" i="13" s="1"/>
  <c r="I1887" i="13" s="1"/>
  <c r="K1909" i="14"/>
  <c r="L1909" i="14" s="1"/>
  <c r="I1910" i="14" s="1"/>
  <c r="J2072" i="14" a="1"/>
  <c r="J2072" i="14" s="1"/>
  <c r="N2073" i="14"/>
  <c r="M2076" i="13"/>
  <c r="M2077" i="14"/>
  <c r="N2074" i="13"/>
  <c r="J2073" i="13" a="1"/>
  <c r="J2073" i="13" s="1"/>
  <c r="K1887" i="13" l="1"/>
  <c r="L1887" i="13" s="1"/>
  <c r="I1888" i="13" s="1"/>
  <c r="J2073" i="14" a="1"/>
  <c r="J2073" i="14" s="1"/>
  <c r="N2074" i="14"/>
  <c r="M2078" i="14"/>
  <c r="M2077" i="13"/>
  <c r="J2074" i="13" a="1"/>
  <c r="J2074" i="13" s="1"/>
  <c r="N2075" i="13"/>
  <c r="K1910" i="14"/>
  <c r="L1910" i="14" s="1"/>
  <c r="I1911" i="14" s="1"/>
  <c r="K1888" i="13" l="1"/>
  <c r="L1888" i="13" s="1"/>
  <c r="I1889" i="13" s="1"/>
  <c r="K1911" i="14"/>
  <c r="L1911" i="14" s="1"/>
  <c r="I1912" i="14" s="1"/>
  <c r="J2074" i="14" a="1"/>
  <c r="J2074" i="14" s="1"/>
  <c r="N2075" i="14"/>
  <c r="M2078" i="13"/>
  <c r="J2075" i="13" a="1"/>
  <c r="J2075" i="13" s="1"/>
  <c r="N2076" i="13"/>
  <c r="M2079" i="14"/>
  <c r="K1889" i="13" l="1"/>
  <c r="L1889" i="13" s="1"/>
  <c r="I1890" i="13" s="1"/>
  <c r="K1912" i="14"/>
  <c r="L1912" i="14" s="1"/>
  <c r="I1913" i="14" s="1"/>
  <c r="J2076" i="13" a="1"/>
  <c r="J2076" i="13" s="1"/>
  <c r="N2077" i="13"/>
  <c r="M2080" i="14"/>
  <c r="M2079" i="13"/>
  <c r="N2076" i="14"/>
  <c r="J2075" i="14" a="1"/>
  <c r="J2075" i="14" s="1"/>
  <c r="K1890" i="13" l="1"/>
  <c r="L1890" i="13" s="1"/>
  <c r="I1891" i="13" s="1"/>
  <c r="K1913" i="14"/>
  <c r="L1913" i="14" s="1"/>
  <c r="I1914" i="14" s="1"/>
  <c r="N2078" i="13"/>
  <c r="J2077" i="13" a="1"/>
  <c r="J2077" i="13" s="1"/>
  <c r="J2076" i="14" a="1"/>
  <c r="J2076" i="14" s="1"/>
  <c r="N2077" i="14"/>
  <c r="M2080" i="13"/>
  <c r="M2081" i="14"/>
  <c r="K1891" i="13" l="1"/>
  <c r="L1891" i="13" s="1"/>
  <c r="I1892" i="13" s="1"/>
  <c r="J2077" i="14" a="1"/>
  <c r="J2077" i="14" s="1"/>
  <c r="N2078" i="14"/>
  <c r="K1914" i="14"/>
  <c r="L1914" i="14" s="1"/>
  <c r="I1915" i="14" s="1"/>
  <c r="M2082" i="14"/>
  <c r="M2081" i="13"/>
  <c r="J2078" i="13" a="1"/>
  <c r="J2078" i="13" s="1"/>
  <c r="N2079" i="13"/>
  <c r="K1892" i="13" l="1"/>
  <c r="L1892" i="13" s="1"/>
  <c r="I1893" i="13" s="1"/>
  <c r="K1915" i="14"/>
  <c r="L1915" i="14" s="1"/>
  <c r="I1916" i="14" s="1"/>
  <c r="J2079" i="13" a="1"/>
  <c r="J2079" i="13" s="1"/>
  <c r="N2080" i="13"/>
  <c r="M2083" i="14"/>
  <c r="J2078" i="14" a="1"/>
  <c r="J2078" i="14" s="1"/>
  <c r="N2079" i="14"/>
  <c r="M2082" i="13"/>
  <c r="K1893" i="13" l="1"/>
  <c r="L1893" i="13" s="1"/>
  <c r="I1894" i="13" s="1"/>
  <c r="K1916" i="14"/>
  <c r="L1916" i="14" s="1"/>
  <c r="I1917" i="14" s="1"/>
  <c r="J2080" i="13" a="1"/>
  <c r="J2080" i="13" s="1"/>
  <c r="N2081" i="13"/>
  <c r="N2080" i="14"/>
  <c r="J2079" i="14" a="1"/>
  <c r="J2079" i="14" s="1"/>
  <c r="M2083" i="13"/>
  <c r="M2084" i="14"/>
  <c r="K1894" i="13" l="1"/>
  <c r="L1894" i="13" s="1"/>
  <c r="I1895" i="13" s="1"/>
  <c r="K1917" i="14"/>
  <c r="L1917" i="14" s="1"/>
  <c r="I1918" i="14" s="1"/>
  <c r="N2082" i="13"/>
  <c r="J2081" i="13" a="1"/>
  <c r="J2081" i="13" s="1"/>
  <c r="M2085" i="14"/>
  <c r="J2080" i="14" a="1"/>
  <c r="J2080" i="14" s="1"/>
  <c r="N2081" i="14"/>
  <c r="M2084" i="13"/>
  <c r="K1895" i="13" l="1"/>
  <c r="L1895" i="13" s="1"/>
  <c r="I1896" i="13" s="1"/>
  <c r="K1918" i="14"/>
  <c r="L1918" i="14" s="1"/>
  <c r="I1919" i="14" s="1"/>
  <c r="J2081" i="14" a="1"/>
  <c r="J2081" i="14" s="1"/>
  <c r="N2082" i="14"/>
  <c r="M2085" i="13"/>
  <c r="M2086" i="14"/>
  <c r="J2082" i="13" a="1"/>
  <c r="J2082" i="13" s="1"/>
  <c r="N2083" i="13"/>
  <c r="K1896" i="13" l="1"/>
  <c r="L1896" i="13" s="1"/>
  <c r="I1897" i="13" s="1"/>
  <c r="K1919" i="14"/>
  <c r="L1919" i="14" s="1"/>
  <c r="I1920" i="14" s="1"/>
  <c r="J2083" i="13" a="1"/>
  <c r="J2083" i="13" s="1"/>
  <c r="N2084" i="13"/>
  <c r="M2086" i="13"/>
  <c r="M2087" i="14"/>
  <c r="J2082" i="14" a="1"/>
  <c r="J2082" i="14" s="1"/>
  <c r="N2083" i="14"/>
  <c r="K1897" i="13" l="1"/>
  <c r="L1897" i="13" s="1"/>
  <c r="I1898" i="13" s="1"/>
  <c r="K1920" i="14"/>
  <c r="L1920" i="14" s="1"/>
  <c r="I1921" i="14" s="1"/>
  <c r="J2084" i="13" a="1"/>
  <c r="J2084" i="13" s="1"/>
  <c r="N2085" i="13"/>
  <c r="N2084" i="14"/>
  <c r="J2083" i="14" a="1"/>
  <c r="J2083" i="14" s="1"/>
  <c r="M2088" i="14"/>
  <c r="M2087" i="13"/>
  <c r="K1898" i="13" l="1"/>
  <c r="L1898" i="13" s="1"/>
  <c r="I1899" i="13" s="1"/>
  <c r="J2084" i="14" a="1"/>
  <c r="J2084" i="14" s="1"/>
  <c r="N2085" i="14"/>
  <c r="K1921" i="14"/>
  <c r="L1921" i="14" s="1"/>
  <c r="I1922" i="14" s="1"/>
  <c r="N2086" i="13"/>
  <c r="J2085" i="13" a="1"/>
  <c r="J2085" i="13" s="1"/>
  <c r="M2088" i="13"/>
  <c r="M2089" i="14"/>
  <c r="K1899" i="13" l="1"/>
  <c r="L1899" i="13" s="1"/>
  <c r="I1900" i="13" s="1"/>
  <c r="K1922" i="14"/>
  <c r="L1922" i="14" s="1"/>
  <c r="I1923" i="14" s="1"/>
  <c r="J2085" i="14" a="1"/>
  <c r="J2085" i="14" s="1"/>
  <c r="N2086" i="14"/>
  <c r="J2086" i="13" a="1"/>
  <c r="J2086" i="13" s="1"/>
  <c r="N2087" i="13"/>
  <c r="M2089" i="13"/>
  <c r="M2090" i="14"/>
  <c r="K1900" i="13" l="1"/>
  <c r="L1900" i="13" s="1"/>
  <c r="I1901" i="13" s="1"/>
  <c r="K1923" i="14"/>
  <c r="L1923" i="14" s="1"/>
  <c r="I1924" i="14" s="1"/>
  <c r="M2091" i="14"/>
  <c r="J2087" i="13" a="1"/>
  <c r="J2087" i="13" s="1"/>
  <c r="N2088" i="13"/>
  <c r="M2090" i="13"/>
  <c r="J2086" i="14" a="1"/>
  <c r="J2086" i="14" s="1"/>
  <c r="N2087" i="14"/>
  <c r="K1901" i="13" l="1"/>
  <c r="L1901" i="13" s="1"/>
  <c r="I1902" i="13" s="1"/>
  <c r="N2088" i="14"/>
  <c r="J2087" i="14" a="1"/>
  <c r="J2087" i="14" s="1"/>
  <c r="J2088" i="13" a="1"/>
  <c r="J2088" i="13" s="1"/>
  <c r="N2089" i="13"/>
  <c r="K1924" i="14"/>
  <c r="L1924" i="14" s="1"/>
  <c r="I1925" i="14" s="1"/>
  <c r="M2091" i="13"/>
  <c r="M2092" i="14"/>
  <c r="K1902" i="13" l="1"/>
  <c r="L1902" i="13" s="1"/>
  <c r="I1903" i="13" s="1"/>
  <c r="K1925" i="14"/>
  <c r="L1925" i="14" s="1"/>
  <c r="I1926" i="14" s="1"/>
  <c r="J2088" i="14" a="1"/>
  <c r="J2088" i="14" s="1"/>
  <c r="N2089" i="14"/>
  <c r="M2093" i="14"/>
  <c r="N2090" i="13"/>
  <c r="J2089" i="13" a="1"/>
  <c r="J2089" i="13" s="1"/>
  <c r="M2092" i="13"/>
  <c r="K1903" i="13" l="1"/>
  <c r="L1903" i="13" s="1"/>
  <c r="I1904" i="13" s="1"/>
  <c r="K1926" i="14"/>
  <c r="L1926" i="14" s="1"/>
  <c r="I1927" i="14" s="1"/>
  <c r="J2090" i="13" a="1"/>
  <c r="J2090" i="13" s="1"/>
  <c r="N2091" i="13"/>
  <c r="M2093" i="13"/>
  <c r="M2094" i="14"/>
  <c r="J2089" i="14" a="1"/>
  <c r="J2089" i="14" s="1"/>
  <c r="N2090" i="14"/>
  <c r="K1904" i="13" l="1"/>
  <c r="L1904" i="13" s="1"/>
  <c r="I1905" i="13" s="1"/>
  <c r="K1927" i="14"/>
  <c r="L1927" i="14" s="1"/>
  <c r="I1928" i="14" s="1"/>
  <c r="J2090" i="14" a="1"/>
  <c r="J2090" i="14" s="1"/>
  <c r="N2091" i="14"/>
  <c r="M2094" i="13"/>
  <c r="M2095" i="14"/>
  <c r="J2091" i="13" a="1"/>
  <c r="J2091" i="13" s="1"/>
  <c r="N2092" i="13"/>
  <c r="K1905" i="13" l="1"/>
  <c r="L1905" i="13" s="1"/>
  <c r="I1906" i="13" s="1"/>
  <c r="K1928" i="14"/>
  <c r="L1928" i="14" s="1"/>
  <c r="I1929" i="14" s="1"/>
  <c r="M2096" i="14"/>
  <c r="M2095" i="13"/>
  <c r="J2092" i="13" a="1"/>
  <c r="J2092" i="13" s="1"/>
  <c r="N2093" i="13"/>
  <c r="N2092" i="14"/>
  <c r="J2091" i="14" a="1"/>
  <c r="J2091" i="14" s="1"/>
  <c r="K1906" i="13" l="1"/>
  <c r="L1906" i="13" s="1"/>
  <c r="I1907" i="13" s="1"/>
  <c r="K1929" i="14"/>
  <c r="L1929" i="14" s="1"/>
  <c r="I1930" i="14" s="1"/>
  <c r="J2092" i="14" a="1"/>
  <c r="J2092" i="14" s="1"/>
  <c r="N2093" i="14"/>
  <c r="M2096" i="13"/>
  <c r="N2094" i="13"/>
  <c r="J2093" i="13" a="1"/>
  <c r="J2093" i="13" s="1"/>
  <c r="M2097" i="14"/>
  <c r="K1907" i="13" l="1"/>
  <c r="L1907" i="13" s="1"/>
  <c r="I1908" i="13" s="1"/>
  <c r="K1930" i="14"/>
  <c r="L1930" i="14" s="1"/>
  <c r="I1931" i="14" s="1"/>
  <c r="J2094" i="13" a="1"/>
  <c r="J2094" i="13" s="1"/>
  <c r="N2095" i="13"/>
  <c r="M2097" i="13"/>
  <c r="M2098" i="14"/>
  <c r="J2093" i="14" a="1"/>
  <c r="J2093" i="14" s="1"/>
  <c r="N2094" i="14"/>
  <c r="K1908" i="13" l="1"/>
  <c r="L1908" i="13" s="1"/>
  <c r="I1909" i="13" s="1"/>
  <c r="K1931" i="14"/>
  <c r="L1931" i="14" s="1"/>
  <c r="I1932" i="14" s="1"/>
  <c r="J2094" i="14" a="1"/>
  <c r="J2094" i="14" s="1"/>
  <c r="N2095" i="14"/>
  <c r="M2098" i="13"/>
  <c r="J2095" i="13" a="1"/>
  <c r="J2095" i="13" s="1"/>
  <c r="N2096" i="13"/>
  <c r="M2099" i="14"/>
  <c r="K1909" i="13" l="1"/>
  <c r="L1909" i="13" s="1"/>
  <c r="I1910" i="13" s="1"/>
  <c r="M2100" i="14"/>
  <c r="M2099" i="13"/>
  <c r="K1932" i="14"/>
  <c r="L1932" i="14" s="1"/>
  <c r="I1933" i="14" s="1"/>
  <c r="N2096" i="14"/>
  <c r="J2095" i="14" a="1"/>
  <c r="J2095" i="14" s="1"/>
  <c r="J2096" i="13" a="1"/>
  <c r="J2096" i="13" s="1"/>
  <c r="N2097" i="13"/>
  <c r="K1910" i="13" l="1"/>
  <c r="L1910" i="13" s="1"/>
  <c r="I1911" i="13" s="1"/>
  <c r="N2098" i="13"/>
  <c r="J2097" i="13" a="1"/>
  <c r="J2097" i="13" s="1"/>
  <c r="K1933" i="14"/>
  <c r="L1933" i="14" s="1"/>
  <c r="I1934" i="14" s="1"/>
  <c r="M2101" i="14"/>
  <c r="J2096" i="14" a="1"/>
  <c r="J2096" i="14" s="1"/>
  <c r="N2097" i="14"/>
  <c r="M2100" i="13"/>
  <c r="K1911" i="13" l="1"/>
  <c r="L1911" i="13" s="1"/>
  <c r="I1912" i="13" s="1"/>
  <c r="K1934" i="14"/>
  <c r="L1934" i="14" s="1"/>
  <c r="I1935" i="14" s="1"/>
  <c r="J2097" i="14" a="1"/>
  <c r="J2097" i="14" s="1"/>
  <c r="N2098" i="14"/>
  <c r="M2101" i="13"/>
  <c r="M2102" i="14"/>
  <c r="J2098" i="13" a="1"/>
  <c r="J2098" i="13" s="1"/>
  <c r="N2099" i="13"/>
  <c r="K1912" i="13" l="1"/>
  <c r="L1912" i="13" s="1"/>
  <c r="I1913" i="13" s="1"/>
  <c r="K1935" i="14"/>
  <c r="L1935" i="14" s="1"/>
  <c r="I1936" i="14" s="1"/>
  <c r="J2099" i="13" a="1"/>
  <c r="J2099" i="13" s="1"/>
  <c r="N2100" i="13"/>
  <c r="J2098" i="14" a="1"/>
  <c r="J2098" i="14" s="1"/>
  <c r="N2099" i="14"/>
  <c r="M2102" i="13"/>
  <c r="M2103" i="14"/>
  <c r="K1913" i="13" l="1"/>
  <c r="L1913" i="13" s="1"/>
  <c r="I1914" i="13" s="1"/>
  <c r="K1936" i="14"/>
  <c r="L1936" i="14" s="1"/>
  <c r="I1937" i="14" s="1"/>
  <c r="J2100" i="13" a="1"/>
  <c r="J2100" i="13" s="1"/>
  <c r="N2101" i="13"/>
  <c r="N2100" i="14"/>
  <c r="J2099" i="14" a="1"/>
  <c r="J2099" i="14" s="1"/>
  <c r="M2103" i="13"/>
  <c r="M2104" i="14"/>
  <c r="K1914" i="13" l="1"/>
  <c r="L1914" i="13" s="1"/>
  <c r="I1915" i="13" s="1"/>
  <c r="K1937" i="14"/>
  <c r="L1937" i="14" s="1"/>
  <c r="I1938" i="14" s="1"/>
  <c r="J2100" i="14" a="1"/>
  <c r="J2100" i="14" s="1"/>
  <c r="N2101" i="14"/>
  <c r="M2105" i="14"/>
  <c r="N2102" i="13"/>
  <c r="J2101" i="13" a="1"/>
  <c r="J2101" i="13" s="1"/>
  <c r="M2104" i="13"/>
  <c r="K1915" i="13" l="1"/>
  <c r="L1915" i="13" s="1"/>
  <c r="I1916" i="13" s="1"/>
  <c r="K1938" i="14"/>
  <c r="L1938" i="14" s="1"/>
  <c r="I1939" i="14" s="1"/>
  <c r="J2101" i="14" a="1"/>
  <c r="J2101" i="14" s="1"/>
  <c r="N2102" i="14"/>
  <c r="J2102" i="13" a="1"/>
  <c r="J2102" i="13" s="1"/>
  <c r="N2103" i="13"/>
  <c r="M2105" i="13"/>
  <c r="M2106" i="14"/>
  <c r="K1916" i="13" l="1"/>
  <c r="L1916" i="13" s="1"/>
  <c r="I1917" i="13" s="1"/>
  <c r="K1939" i="14"/>
  <c r="L1939" i="14" s="1"/>
  <c r="I1940" i="14" s="1"/>
  <c r="J2102" i="14" a="1"/>
  <c r="J2102" i="14" s="1"/>
  <c r="N2103" i="14"/>
  <c r="M2106" i="13"/>
  <c r="M2107" i="14"/>
  <c r="J2103" i="13" a="1"/>
  <c r="J2103" i="13" s="1"/>
  <c r="N2104" i="13"/>
  <c r="K1917" i="13" l="1"/>
  <c r="L1917" i="13" s="1"/>
  <c r="I1918" i="13" s="1"/>
  <c r="N2104" i="14"/>
  <c r="J2103" i="14" a="1"/>
  <c r="J2103" i="14" s="1"/>
  <c r="M2108" i="14"/>
  <c r="J2104" i="13" a="1"/>
  <c r="J2104" i="13" s="1"/>
  <c r="N2105" i="13"/>
  <c r="M2107" i="13"/>
  <c r="K1940" i="14"/>
  <c r="L1940" i="14" s="1"/>
  <c r="I1941" i="14" s="1"/>
  <c r="K1918" i="13" l="1"/>
  <c r="L1918" i="13" s="1"/>
  <c r="I1919" i="13" s="1"/>
  <c r="K1941" i="14"/>
  <c r="L1941" i="14" s="1"/>
  <c r="I1942" i="14" s="1"/>
  <c r="N2106" i="13"/>
  <c r="J2105" i="13" a="1"/>
  <c r="J2105" i="13" s="1"/>
  <c r="J2104" i="14" a="1"/>
  <c r="J2104" i="14" s="1"/>
  <c r="N2105" i="14"/>
  <c r="M2108" i="13"/>
  <c r="M2109" i="14"/>
  <c r="K1919" i="13" l="1"/>
  <c r="L1919" i="13" s="1"/>
  <c r="I1920" i="13" s="1"/>
  <c r="K1942" i="14"/>
  <c r="L1942" i="14" s="1"/>
  <c r="I1943" i="14" s="1"/>
  <c r="J2105" i="14" a="1"/>
  <c r="J2105" i="14" s="1"/>
  <c r="N2106" i="14"/>
  <c r="M2110" i="14"/>
  <c r="M2109" i="13"/>
  <c r="J2106" i="13" a="1"/>
  <c r="J2106" i="13" s="1"/>
  <c r="N2107" i="13"/>
  <c r="K1920" i="13" l="1"/>
  <c r="L1920" i="13" s="1"/>
  <c r="I1921" i="13" s="1"/>
  <c r="M2110" i="13"/>
  <c r="J2107" i="13" a="1"/>
  <c r="J2107" i="13" s="1"/>
  <c r="N2108" i="13"/>
  <c r="M2111" i="14"/>
  <c r="K1943" i="14"/>
  <c r="L1943" i="14" s="1"/>
  <c r="I1944" i="14" s="1"/>
  <c r="J2106" i="14" a="1"/>
  <c r="J2106" i="14" s="1"/>
  <c r="N2107" i="14"/>
  <c r="K1921" i="13" l="1"/>
  <c r="L1921" i="13" s="1"/>
  <c r="I1922" i="13" s="1"/>
  <c r="K1944" i="14"/>
  <c r="L1944" i="14" s="1"/>
  <c r="I1945" i="14" s="1"/>
  <c r="N2108" i="14"/>
  <c r="J2107" i="14" a="1"/>
  <c r="J2107" i="14" s="1"/>
  <c r="M2112" i="14"/>
  <c r="M2111" i="13"/>
  <c r="J2108" i="13" a="1"/>
  <c r="J2108" i="13" s="1"/>
  <c r="N2109" i="13"/>
  <c r="K1922" i="13" l="1"/>
  <c r="L1922" i="13" s="1"/>
  <c r="I1923" i="13" s="1"/>
  <c r="K1945" i="14"/>
  <c r="L1945" i="14" s="1"/>
  <c r="I1946" i="14" s="1"/>
  <c r="N2110" i="13"/>
  <c r="J2109" i="13" a="1"/>
  <c r="J2109" i="13" s="1"/>
  <c r="M2113" i="14"/>
  <c r="M2112" i="13"/>
  <c r="J2108" i="14" a="1"/>
  <c r="J2108" i="14" s="1"/>
  <c r="N2109" i="14"/>
  <c r="K1923" i="13" l="1"/>
  <c r="L1923" i="13" s="1"/>
  <c r="I1924" i="13" s="1"/>
  <c r="K1946" i="14"/>
  <c r="L1946" i="14" s="1"/>
  <c r="I1947" i="14" s="1"/>
  <c r="J2109" i="14" a="1"/>
  <c r="J2109" i="14" s="1"/>
  <c r="N2110" i="14"/>
  <c r="M2114" i="14"/>
  <c r="M2113" i="13"/>
  <c r="J2110" i="13" a="1"/>
  <c r="J2110" i="13" s="1"/>
  <c r="N2111" i="13"/>
  <c r="K1924" i="13" l="1"/>
  <c r="L1924" i="13" s="1"/>
  <c r="I1925" i="13" s="1"/>
  <c r="K1947" i="14"/>
  <c r="L1947" i="14" s="1"/>
  <c r="I1948" i="14" s="1"/>
  <c r="J2111" i="13" a="1"/>
  <c r="J2111" i="13" s="1"/>
  <c r="N2112" i="13"/>
  <c r="M2115" i="14"/>
  <c r="J2110" i="14" a="1"/>
  <c r="J2110" i="14" s="1"/>
  <c r="N2111" i="14"/>
  <c r="M2114" i="13"/>
  <c r="K1925" i="13" l="1"/>
  <c r="L1925" i="13" s="1"/>
  <c r="I1926" i="13" s="1"/>
  <c r="M2115" i="13"/>
  <c r="M2116" i="14"/>
  <c r="K1948" i="14"/>
  <c r="L1948" i="14" s="1"/>
  <c r="I1949" i="14" s="1"/>
  <c r="J2112" i="13" a="1"/>
  <c r="J2112" i="13" s="1"/>
  <c r="N2113" i="13"/>
  <c r="N2112" i="14"/>
  <c r="J2111" i="14" a="1"/>
  <c r="J2111" i="14" s="1"/>
  <c r="K1926" i="13" l="1"/>
  <c r="L1926" i="13" s="1"/>
  <c r="I1927" i="13" s="1"/>
  <c r="K1949" i="14"/>
  <c r="L1949" i="14" s="1"/>
  <c r="I1950" i="14" s="1"/>
  <c r="M2116" i="13"/>
  <c r="J2112" i="14" a="1"/>
  <c r="J2112" i="14" s="1"/>
  <c r="N2113" i="14"/>
  <c r="N2114" i="13"/>
  <c r="J2113" i="13" a="1"/>
  <c r="J2113" i="13" s="1"/>
  <c r="M2117" i="14"/>
  <c r="K1927" i="13" l="1"/>
  <c r="L1927" i="13" s="1"/>
  <c r="I1928" i="13" s="1"/>
  <c r="K1950" i="14"/>
  <c r="L1950" i="14" s="1"/>
  <c r="I1951" i="14" s="1"/>
  <c r="J2113" i="14" a="1"/>
  <c r="J2113" i="14" s="1"/>
  <c r="N2114" i="14"/>
  <c r="M2118" i="14"/>
  <c r="M2117" i="13"/>
  <c r="J2114" i="13" a="1"/>
  <c r="J2114" i="13" s="1"/>
  <c r="N2115" i="13"/>
  <c r="K1928" i="13" l="1"/>
  <c r="L1928" i="13" s="1"/>
  <c r="I1929" i="13" s="1"/>
  <c r="K1951" i="14"/>
  <c r="L1951" i="14" s="1"/>
  <c r="I1952" i="14" s="1"/>
  <c r="J2114" i="14" a="1"/>
  <c r="J2114" i="14" s="1"/>
  <c r="N2115" i="14"/>
  <c r="J2115" i="13" a="1"/>
  <c r="J2115" i="13" s="1"/>
  <c r="N2116" i="13"/>
  <c r="M2118" i="13"/>
  <c r="M2119" i="14"/>
  <c r="K1929" i="13" l="1"/>
  <c r="L1929" i="13" s="1"/>
  <c r="I1930" i="13" s="1"/>
  <c r="K1952" i="14"/>
  <c r="L1952" i="14" s="1"/>
  <c r="I1953" i="14" s="1"/>
  <c r="J2116" i="13" a="1"/>
  <c r="J2116" i="13" s="1"/>
  <c r="N2117" i="13"/>
  <c r="N2116" i="14"/>
  <c r="J2115" i="14" a="1"/>
  <c r="J2115" i="14" s="1"/>
  <c r="M2120" i="14"/>
  <c r="M2119" i="13"/>
  <c r="K1930" i="13" l="1"/>
  <c r="L1930" i="13" s="1"/>
  <c r="I1931" i="13" s="1"/>
  <c r="K1953" i="14"/>
  <c r="L1953" i="14" s="1"/>
  <c r="I1954" i="14" s="1"/>
  <c r="J2116" i="14" a="1"/>
  <c r="J2116" i="14" s="1"/>
  <c r="N2117" i="14"/>
  <c r="M2121" i="14"/>
  <c r="M2120" i="13"/>
  <c r="N2118" i="13"/>
  <c r="J2117" i="13" a="1"/>
  <c r="J2117" i="13" s="1"/>
  <c r="K1931" i="13" l="1"/>
  <c r="L1931" i="13" s="1"/>
  <c r="I1932" i="13" s="1"/>
  <c r="K1954" i="14"/>
  <c r="L1954" i="14" s="1"/>
  <c r="I1955" i="14" s="1"/>
  <c r="J2117" i="14" a="1"/>
  <c r="J2117" i="14" s="1"/>
  <c r="N2118" i="14"/>
  <c r="M2122" i="14"/>
  <c r="J2118" i="13" a="1"/>
  <c r="J2118" i="13" s="1"/>
  <c r="N2119" i="13"/>
  <c r="M2121" i="13"/>
  <c r="K1932" i="13" l="1"/>
  <c r="L1932" i="13" s="1"/>
  <c r="I1933" i="13" s="1"/>
  <c r="M2123" i="14"/>
  <c r="M2122" i="13"/>
  <c r="K1955" i="14"/>
  <c r="L1955" i="14" s="1"/>
  <c r="I1956" i="14" s="1"/>
  <c r="J2118" i="14" a="1"/>
  <c r="J2118" i="14" s="1"/>
  <c r="N2119" i="14"/>
  <c r="J2119" i="13" a="1"/>
  <c r="J2119" i="13" s="1"/>
  <c r="N2120" i="13"/>
  <c r="K1933" i="13" l="1"/>
  <c r="L1933" i="13" s="1"/>
  <c r="I1934" i="13" s="1"/>
  <c r="J2120" i="13" a="1"/>
  <c r="J2120" i="13" s="1"/>
  <c r="N2121" i="13"/>
  <c r="M2124" i="14"/>
  <c r="K1956" i="14"/>
  <c r="L1956" i="14" s="1"/>
  <c r="I1957" i="14" s="1"/>
  <c r="N2120" i="14"/>
  <c r="J2119" i="14" a="1"/>
  <c r="J2119" i="14" s="1"/>
  <c r="M2123" i="13"/>
  <c r="K1934" i="13" l="1"/>
  <c r="L1934" i="13" s="1"/>
  <c r="I1935" i="13" s="1"/>
  <c r="K1957" i="14"/>
  <c r="L1957" i="14" s="1"/>
  <c r="I1958" i="14" s="1"/>
  <c r="N2122" i="13"/>
  <c r="J2121" i="13" a="1"/>
  <c r="J2121" i="13" s="1"/>
  <c r="M2124" i="13"/>
  <c r="J2120" i="14" a="1"/>
  <c r="J2120" i="14" s="1"/>
  <c r="N2121" i="14"/>
  <c r="M2125" i="14"/>
  <c r="K1935" i="13" l="1"/>
  <c r="L1935" i="13" s="1"/>
  <c r="I1936" i="13" s="1"/>
  <c r="M2125" i="13"/>
  <c r="J2122" i="13" a="1"/>
  <c r="J2122" i="13" s="1"/>
  <c r="N2123" i="13"/>
  <c r="M2126" i="14"/>
  <c r="J2121" i="14" a="1"/>
  <c r="J2121" i="14" s="1"/>
  <c r="N2122" i="14"/>
  <c r="K1958" i="14"/>
  <c r="L1958" i="14" s="1"/>
  <c r="I1959" i="14" s="1"/>
  <c r="K1936" i="13" l="1"/>
  <c r="L1936" i="13" s="1"/>
  <c r="I1937" i="13" s="1"/>
  <c r="K1959" i="14"/>
  <c r="L1959" i="14" s="1"/>
  <c r="I1960" i="14" s="1"/>
  <c r="J2123" i="13" a="1"/>
  <c r="J2123" i="13" s="1"/>
  <c r="N2124" i="13"/>
  <c r="M2127" i="14"/>
  <c r="M2126" i="13"/>
  <c r="J2122" i="14" a="1"/>
  <c r="J2122" i="14" s="1"/>
  <c r="N2123" i="14"/>
  <c r="K1937" i="13" l="1"/>
  <c r="L1937" i="13" s="1"/>
  <c r="I1938" i="13" s="1"/>
  <c r="K1960" i="14"/>
  <c r="L1960" i="14" s="1"/>
  <c r="I1961" i="14" s="1"/>
  <c r="N2124" i="14"/>
  <c r="J2123" i="14" a="1"/>
  <c r="J2123" i="14" s="1"/>
  <c r="M2128" i="14"/>
  <c r="M2127" i="13"/>
  <c r="J2124" i="13" a="1"/>
  <c r="J2124" i="13" s="1"/>
  <c r="N2125" i="13"/>
  <c r="K1938" i="13" l="1"/>
  <c r="L1938" i="13" s="1"/>
  <c r="I1939" i="13" s="1"/>
  <c r="K1961" i="14"/>
  <c r="L1961" i="14" s="1"/>
  <c r="I1962" i="14" s="1"/>
  <c r="N2126" i="13"/>
  <c r="J2125" i="13" a="1"/>
  <c r="J2125" i="13" s="1"/>
  <c r="M2129" i="14"/>
  <c r="M2128" i="13"/>
  <c r="J2124" i="14" a="1"/>
  <c r="J2124" i="14" s="1"/>
  <c r="N2125" i="14"/>
  <c r="K1939" i="13" l="1"/>
  <c r="L1939" i="13" s="1"/>
  <c r="I1940" i="13" s="1"/>
  <c r="K1962" i="14"/>
  <c r="L1962" i="14" s="1"/>
  <c r="I1963" i="14" s="1"/>
  <c r="J2125" i="14" a="1"/>
  <c r="J2125" i="14" s="1"/>
  <c r="N2126" i="14"/>
  <c r="M2130" i="14"/>
  <c r="M2129" i="13"/>
  <c r="J2126" i="13" a="1"/>
  <c r="J2126" i="13" s="1"/>
  <c r="N2127" i="13"/>
  <c r="K1940" i="13" l="1"/>
  <c r="L1940" i="13" s="1"/>
  <c r="I1941" i="13" s="1"/>
  <c r="J2127" i="13" a="1"/>
  <c r="J2127" i="13" s="1"/>
  <c r="N2128" i="13"/>
  <c r="M2131" i="14"/>
  <c r="K1963" i="14"/>
  <c r="L1963" i="14" s="1"/>
  <c r="I1964" i="14" s="1"/>
  <c r="J2126" i="14" a="1"/>
  <c r="J2126" i="14" s="1"/>
  <c r="N2127" i="14"/>
  <c r="M2130" i="13"/>
  <c r="K1941" i="13" l="1"/>
  <c r="L1941" i="13" s="1"/>
  <c r="I1942" i="13" s="1"/>
  <c r="M2131" i="13"/>
  <c r="J2128" i="13" a="1"/>
  <c r="J2128" i="13" s="1"/>
  <c r="N2129" i="13"/>
  <c r="N2128" i="14"/>
  <c r="J2127" i="14" a="1"/>
  <c r="J2127" i="14" s="1"/>
  <c r="K1964" i="14"/>
  <c r="L1964" i="14" s="1"/>
  <c r="I1965" i="14" s="1"/>
  <c r="M2132" i="14"/>
  <c r="K1942" i="13" l="1"/>
  <c r="L1942" i="13" s="1"/>
  <c r="I1943" i="13" s="1"/>
  <c r="M2133" i="14"/>
  <c r="J2128" i="14" a="1"/>
  <c r="J2128" i="14" s="1"/>
  <c r="N2129" i="14"/>
  <c r="M2132" i="13"/>
  <c r="N2130" i="13"/>
  <c r="J2129" i="13" a="1"/>
  <c r="J2129" i="13" s="1"/>
  <c r="K1965" i="14"/>
  <c r="L1965" i="14" s="1"/>
  <c r="I1966" i="14" s="1"/>
  <c r="K1943" i="13" l="1"/>
  <c r="L1943" i="13" s="1"/>
  <c r="I1944" i="13" s="1"/>
  <c r="J2130" i="13" a="1"/>
  <c r="J2130" i="13" s="1"/>
  <c r="N2131" i="13"/>
  <c r="M2133" i="13"/>
  <c r="K1966" i="14"/>
  <c r="L1966" i="14" s="1"/>
  <c r="I1967" i="14" s="1"/>
  <c r="M2134" i="14"/>
  <c r="J2129" i="14" a="1"/>
  <c r="J2129" i="14" s="1"/>
  <c r="N2130" i="14"/>
  <c r="K1944" i="13" l="1"/>
  <c r="L1944" i="13" s="1"/>
  <c r="I1945" i="13" s="1"/>
  <c r="K1967" i="14"/>
  <c r="L1967" i="14" s="1"/>
  <c r="I1968" i="14" s="1"/>
  <c r="J2131" i="13" a="1"/>
  <c r="J2131" i="13" s="1"/>
  <c r="N2132" i="13"/>
  <c r="J2130" i="14" a="1"/>
  <c r="J2130" i="14" s="1"/>
  <c r="N2131" i="14"/>
  <c r="M2135" i="14"/>
  <c r="M2134" i="13"/>
  <c r="K1945" i="13" l="1"/>
  <c r="L1945" i="13" s="1"/>
  <c r="I1946" i="13" s="1"/>
  <c r="K1968" i="14"/>
  <c r="L1968" i="14" s="1"/>
  <c r="I1969" i="14" s="1"/>
  <c r="J2132" i="13" a="1"/>
  <c r="J2132" i="13" s="1"/>
  <c r="N2133" i="13"/>
  <c r="M2136" i="14"/>
  <c r="N2132" i="14"/>
  <c r="J2131" i="14" a="1"/>
  <c r="J2131" i="14" s="1"/>
  <c r="M2135" i="13"/>
  <c r="K1946" i="13" l="1"/>
  <c r="L1946" i="13" s="1"/>
  <c r="I1947" i="13" s="1"/>
  <c r="K1969" i="14"/>
  <c r="L1969" i="14" s="1"/>
  <c r="I1970" i="14" s="1"/>
  <c r="N2134" i="13"/>
  <c r="J2133" i="13" a="1"/>
  <c r="J2133" i="13" s="1"/>
  <c r="J2132" i="14" a="1"/>
  <c r="J2132" i="14" s="1"/>
  <c r="N2133" i="14"/>
  <c r="M2136" i="13"/>
  <c r="M2137" i="14"/>
  <c r="K1947" i="13" l="1"/>
  <c r="L1947" i="13" s="1"/>
  <c r="I1948" i="13" s="1"/>
  <c r="K1970" i="14"/>
  <c r="L1970" i="14" s="1"/>
  <c r="I1971" i="14" s="1"/>
  <c r="J2133" i="14" a="1"/>
  <c r="J2133" i="14" s="1"/>
  <c r="N2134" i="14"/>
  <c r="M2138" i="14"/>
  <c r="M2137" i="13"/>
  <c r="J2134" i="13" a="1"/>
  <c r="J2134" i="13" s="1"/>
  <c r="N2135" i="13"/>
  <c r="K1948" i="13" l="1"/>
  <c r="L1948" i="13" s="1"/>
  <c r="I1949" i="13" s="1"/>
  <c r="K1971" i="14"/>
  <c r="L1971" i="14" s="1"/>
  <c r="I1972" i="14" s="1"/>
  <c r="J2135" i="13" a="1"/>
  <c r="J2135" i="13" s="1"/>
  <c r="N2136" i="13"/>
  <c r="M2139" i="14"/>
  <c r="J2134" i="14" a="1"/>
  <c r="J2134" i="14" s="1"/>
  <c r="N2135" i="14"/>
  <c r="M2138" i="13"/>
  <c r="K1949" i="13" l="1"/>
  <c r="L1949" i="13" s="1"/>
  <c r="I1950" i="13" s="1"/>
  <c r="K1972" i="14"/>
  <c r="L1972" i="14" s="1"/>
  <c r="I1973" i="14" s="1"/>
  <c r="M2139" i="13"/>
  <c r="M2140" i="14"/>
  <c r="J2136" i="13" a="1"/>
  <c r="J2136" i="13" s="1"/>
  <c r="N2137" i="13"/>
  <c r="N2136" i="14"/>
  <c r="J2135" i="14" a="1"/>
  <c r="J2135" i="14" s="1"/>
  <c r="K1950" i="13" l="1"/>
  <c r="L1950" i="13" s="1"/>
  <c r="I1951" i="13" s="1"/>
  <c r="K1973" i="14"/>
  <c r="L1973" i="14" s="1"/>
  <c r="I1974" i="14" s="1"/>
  <c r="M2141" i="14"/>
  <c r="J2136" i="14" a="1"/>
  <c r="J2136" i="14" s="1"/>
  <c r="N2137" i="14"/>
  <c r="N2138" i="13"/>
  <c r="J2137" i="13" a="1"/>
  <c r="J2137" i="13" s="1"/>
  <c r="M2140" i="13"/>
  <c r="K1951" i="13" l="1"/>
  <c r="L1951" i="13" s="1"/>
  <c r="I1952" i="13" s="1"/>
  <c r="M2141" i="13"/>
  <c r="J2137" i="14" a="1"/>
  <c r="J2137" i="14" s="1"/>
  <c r="N2138" i="14"/>
  <c r="K1974" i="14"/>
  <c r="L1974" i="14" s="1"/>
  <c r="I1975" i="14" s="1"/>
  <c r="J2138" i="13" a="1"/>
  <c r="J2138" i="13" s="1"/>
  <c r="N2139" i="13"/>
  <c r="M2142" i="14"/>
  <c r="K1952" i="13" l="1"/>
  <c r="L1952" i="13" s="1"/>
  <c r="I1953" i="13" s="1"/>
  <c r="K1975" i="14"/>
  <c r="L1975" i="14" s="1"/>
  <c r="I1976" i="14" s="1"/>
  <c r="M2143" i="14"/>
  <c r="M2142" i="13"/>
  <c r="J2139" i="13" a="1"/>
  <c r="J2139" i="13" s="1"/>
  <c r="N2140" i="13"/>
  <c r="J2138" i="14" a="1"/>
  <c r="J2138" i="14" s="1"/>
  <c r="N2139" i="14"/>
  <c r="K1953" i="13" l="1"/>
  <c r="L1953" i="13" s="1"/>
  <c r="I1954" i="13" s="1"/>
  <c r="K1976" i="14"/>
  <c r="L1976" i="14" s="1"/>
  <c r="I1977" i="14" s="1"/>
  <c r="N2140" i="14"/>
  <c r="J2139" i="14" a="1"/>
  <c r="J2139" i="14" s="1"/>
  <c r="J2140" i="13" a="1"/>
  <c r="J2140" i="13" s="1"/>
  <c r="N2141" i="13"/>
  <c r="M2143" i="13"/>
  <c r="M2144" i="14"/>
  <c r="K1954" i="13" l="1"/>
  <c r="L1954" i="13" s="1"/>
  <c r="I1955" i="13" s="1"/>
  <c r="K1977" i="14"/>
  <c r="L1977" i="14" s="1"/>
  <c r="I1978" i="14" s="1"/>
  <c r="J2140" i="14" a="1"/>
  <c r="J2140" i="14" s="1"/>
  <c r="N2141" i="14"/>
  <c r="N2142" i="13"/>
  <c r="J2141" i="13" a="1"/>
  <c r="J2141" i="13" s="1"/>
  <c r="M2145" i="14"/>
  <c r="M2144" i="13"/>
  <c r="K1955" i="13" l="1"/>
  <c r="L1955" i="13" s="1"/>
  <c r="I1956" i="13" s="1"/>
  <c r="M2145" i="13"/>
  <c r="J2142" i="13" a="1"/>
  <c r="J2142" i="13" s="1"/>
  <c r="N2143" i="13"/>
  <c r="K1978" i="14"/>
  <c r="L1978" i="14" s="1"/>
  <c r="I1979" i="14" s="1"/>
  <c r="J2141" i="14" a="1"/>
  <c r="J2141" i="14" s="1"/>
  <c r="N2142" i="14"/>
  <c r="M2146" i="14"/>
  <c r="K1956" i="13" l="1"/>
  <c r="L1956" i="13" s="1"/>
  <c r="I1957" i="13" s="1"/>
  <c r="M2147" i="14"/>
  <c r="K1979" i="14"/>
  <c r="L1979" i="14" s="1"/>
  <c r="I1980" i="14" s="1"/>
  <c r="M2146" i="13"/>
  <c r="J2142" i="14" a="1"/>
  <c r="J2142" i="14" s="1"/>
  <c r="N2143" i="14"/>
  <c r="J2143" i="13" a="1"/>
  <c r="J2143" i="13" s="1"/>
  <c r="N2144" i="13"/>
  <c r="K1957" i="13" l="1"/>
  <c r="L1957" i="13" s="1"/>
  <c r="I1958" i="13" s="1"/>
  <c r="K1980" i="14"/>
  <c r="L1980" i="14" s="1"/>
  <c r="I1981" i="14" s="1"/>
  <c r="J2144" i="13" a="1"/>
  <c r="J2144" i="13" s="1"/>
  <c r="N2145" i="13"/>
  <c r="M2147" i="13"/>
  <c r="M2148" i="14"/>
  <c r="N2144" i="14"/>
  <c r="J2143" i="14" a="1"/>
  <c r="J2143" i="14" s="1"/>
  <c r="K1958" i="13" l="1"/>
  <c r="L1958" i="13" s="1"/>
  <c r="I1959" i="13" s="1"/>
  <c r="K1981" i="14"/>
  <c r="L1981" i="14" s="1"/>
  <c r="I1982" i="14" s="1"/>
  <c r="N2146" i="13"/>
  <c r="J2145" i="13" a="1"/>
  <c r="J2145" i="13" s="1"/>
  <c r="J2144" i="14" a="1"/>
  <c r="J2144" i="14" s="1"/>
  <c r="N2145" i="14"/>
  <c r="M2148" i="13"/>
  <c r="M2149" i="14"/>
  <c r="K1959" i="13" l="1"/>
  <c r="L1959" i="13" s="1"/>
  <c r="I1960" i="13" s="1"/>
  <c r="K1982" i="14"/>
  <c r="L1982" i="14" s="1"/>
  <c r="I1983" i="14" s="1"/>
  <c r="M2150" i="14"/>
  <c r="J2145" i="14" a="1"/>
  <c r="J2145" i="14" s="1"/>
  <c r="N2146" i="14"/>
  <c r="M2149" i="13"/>
  <c r="J2146" i="13" a="1"/>
  <c r="J2146" i="13" s="1"/>
  <c r="N2147" i="13"/>
  <c r="K1960" i="13" l="1"/>
  <c r="L1960" i="13" s="1"/>
  <c r="I1961" i="13" s="1"/>
  <c r="K1983" i="14"/>
  <c r="L1983" i="14" s="1"/>
  <c r="I1984" i="14" s="1"/>
  <c r="J2146" i="14" a="1"/>
  <c r="J2146" i="14" s="1"/>
  <c r="N2147" i="14"/>
  <c r="J2147" i="13" a="1"/>
  <c r="J2147" i="13" s="1"/>
  <c r="N2148" i="13"/>
  <c r="M2151" i="14"/>
  <c r="M2150" i="13"/>
  <c r="K1961" i="13" l="1"/>
  <c r="L1961" i="13" s="1"/>
  <c r="I1962" i="13" s="1"/>
  <c r="K1984" i="14"/>
  <c r="L1984" i="14" s="1"/>
  <c r="I1985" i="14" s="1"/>
  <c r="J2148" i="13" a="1"/>
  <c r="J2148" i="13" s="1"/>
  <c r="N2149" i="13"/>
  <c r="N2148" i="14"/>
  <c r="J2147" i="14" a="1"/>
  <c r="J2147" i="14" s="1"/>
  <c r="M2151" i="13"/>
  <c r="M2152" i="14"/>
  <c r="K1962" i="13" l="1"/>
  <c r="L1962" i="13" s="1"/>
  <c r="I1963" i="13" s="1"/>
  <c r="J2148" i="14" a="1"/>
  <c r="J2148" i="14" s="1"/>
  <c r="N2149" i="14"/>
  <c r="K1985" i="14"/>
  <c r="L1985" i="14" s="1"/>
  <c r="I1986" i="14" s="1"/>
  <c r="M2152" i="13"/>
  <c r="M2153" i="14"/>
  <c r="N2150" i="13"/>
  <c r="J2149" i="13" a="1"/>
  <c r="J2149" i="13" s="1"/>
  <c r="K1963" i="13" l="1"/>
  <c r="L1963" i="13" s="1"/>
  <c r="I1964" i="13" s="1"/>
  <c r="K1986" i="14"/>
  <c r="L1986" i="14" s="1"/>
  <c r="I1987" i="14" s="1"/>
  <c r="M2153" i="13"/>
  <c r="J2149" i="14" a="1"/>
  <c r="J2149" i="14" s="1"/>
  <c r="N2150" i="14"/>
  <c r="J2150" i="13" a="1"/>
  <c r="J2150" i="13" s="1"/>
  <c r="N2151" i="13"/>
  <c r="M2154" i="14"/>
  <c r="K1964" i="13" l="1"/>
  <c r="L1964" i="13" s="1"/>
  <c r="I1965" i="13" s="1"/>
  <c r="K1987" i="14"/>
  <c r="L1987" i="14" s="1"/>
  <c r="I1988" i="14" s="1"/>
  <c r="J2151" i="13" a="1"/>
  <c r="J2151" i="13" s="1"/>
  <c r="N2152" i="13"/>
  <c r="M2155" i="14"/>
  <c r="J2150" i="14" a="1"/>
  <c r="J2150" i="14" s="1"/>
  <c r="N2151" i="14"/>
  <c r="M2154" i="13"/>
  <c r="K1965" i="13" l="1"/>
  <c r="L1965" i="13" s="1"/>
  <c r="I1966" i="13" s="1"/>
  <c r="K1988" i="14"/>
  <c r="L1988" i="14" s="1"/>
  <c r="I1989" i="14" s="1"/>
  <c r="J2152" i="13" a="1"/>
  <c r="J2152" i="13" s="1"/>
  <c r="N2153" i="13"/>
  <c r="N2152" i="14"/>
  <c r="J2151" i="14" a="1"/>
  <c r="J2151" i="14" s="1"/>
  <c r="M2155" i="13"/>
  <c r="M2156" i="14"/>
  <c r="K1966" i="13" l="1"/>
  <c r="L1966" i="13" s="1"/>
  <c r="I1967" i="13" s="1"/>
  <c r="J2152" i="14" a="1"/>
  <c r="J2152" i="14" s="1"/>
  <c r="N2153" i="14"/>
  <c r="K1989" i="14"/>
  <c r="L1989" i="14" s="1"/>
  <c r="I1990" i="14" s="1"/>
  <c r="M2157" i="14"/>
  <c r="N2154" i="13"/>
  <c r="J2153" i="13" a="1"/>
  <c r="J2153" i="13" s="1"/>
  <c r="M2156" i="13"/>
  <c r="K1967" i="13" l="1"/>
  <c r="L1967" i="13" s="1"/>
  <c r="I1968" i="13" s="1"/>
  <c r="K1990" i="14"/>
  <c r="L1990" i="14" s="1"/>
  <c r="I1991" i="14" s="1"/>
  <c r="M2157" i="13"/>
  <c r="J2153" i="14" a="1"/>
  <c r="J2153" i="14" s="1"/>
  <c r="N2154" i="14"/>
  <c r="M2158" i="14"/>
  <c r="J2154" i="13" a="1"/>
  <c r="J2154" i="13" s="1"/>
  <c r="N2155" i="13"/>
  <c r="K1968" i="13" l="1"/>
  <c r="L1968" i="13" s="1"/>
  <c r="I1969" i="13" s="1"/>
  <c r="K1991" i="14"/>
  <c r="L1991" i="14" s="1"/>
  <c r="I1992" i="14" s="1"/>
  <c r="J2154" i="14" a="1"/>
  <c r="J2154" i="14" s="1"/>
  <c r="N2155" i="14"/>
  <c r="J2155" i="13" a="1"/>
  <c r="J2155" i="13" s="1"/>
  <c r="N2156" i="13"/>
  <c r="M2159" i="14"/>
  <c r="M2158" i="13"/>
  <c r="K1969" i="13" l="1"/>
  <c r="L1969" i="13" s="1"/>
  <c r="I1970" i="13" s="1"/>
  <c r="K1992" i="14"/>
  <c r="L1992" i="14" s="1"/>
  <c r="I1993" i="14" s="1"/>
  <c r="J2156" i="13" a="1"/>
  <c r="J2156" i="13" s="1"/>
  <c r="N2157" i="13"/>
  <c r="M2159" i="13"/>
  <c r="N2156" i="14"/>
  <c r="J2155" i="14" a="1"/>
  <c r="J2155" i="14" s="1"/>
  <c r="M2160" i="14"/>
  <c r="K1970" i="13" l="1"/>
  <c r="L1970" i="13" s="1"/>
  <c r="I1971" i="13" s="1"/>
  <c r="K1993" i="14"/>
  <c r="L1993" i="14" s="1"/>
  <c r="I1994" i="14" s="1"/>
  <c r="N2158" i="13"/>
  <c r="J2157" i="13" a="1"/>
  <c r="J2157" i="13" s="1"/>
  <c r="J2156" i="14" a="1"/>
  <c r="J2156" i="14" s="1"/>
  <c r="N2157" i="14"/>
  <c r="M2161" i="14"/>
  <c r="M2160" i="13"/>
  <c r="K1971" i="13" l="1"/>
  <c r="L1971" i="13" s="1"/>
  <c r="I1972" i="13" s="1"/>
  <c r="K1994" i="14"/>
  <c r="L1994" i="14" s="1"/>
  <c r="I1995" i="14" s="1"/>
  <c r="M2161" i="13"/>
  <c r="J2157" i="14" a="1"/>
  <c r="J2157" i="14" s="1"/>
  <c r="N2158" i="14"/>
  <c r="M2162" i="14"/>
  <c r="J2158" i="13" a="1"/>
  <c r="J2158" i="13" s="1"/>
  <c r="N2159" i="13"/>
  <c r="K1972" i="13" l="1"/>
  <c r="L1972" i="13" s="1"/>
  <c r="I1973" i="13" s="1"/>
  <c r="K1995" i="14"/>
  <c r="L1995" i="14" s="1"/>
  <c r="I1996" i="14" s="1"/>
  <c r="J2159" i="13" a="1"/>
  <c r="J2159" i="13" s="1"/>
  <c r="N2160" i="13"/>
  <c r="M2162" i="13"/>
  <c r="M2163" i="14"/>
  <c r="J2158" i="14" a="1"/>
  <c r="J2158" i="14" s="1"/>
  <c r="N2159" i="14"/>
  <c r="K1973" i="13" l="1"/>
  <c r="L1973" i="13" s="1"/>
  <c r="I1974" i="13" s="1"/>
  <c r="K1996" i="14"/>
  <c r="L1996" i="14" s="1"/>
  <c r="I1997" i="14" s="1"/>
  <c r="N2160" i="14"/>
  <c r="J2159" i="14" a="1"/>
  <c r="J2159" i="14" s="1"/>
  <c r="J2160" i="13" a="1"/>
  <c r="J2160" i="13" s="1"/>
  <c r="N2161" i="13"/>
  <c r="M2163" i="13"/>
  <c r="M2164" i="14"/>
  <c r="K1974" i="13" l="1"/>
  <c r="L1974" i="13" s="1"/>
  <c r="I1975" i="13" s="1"/>
  <c r="N2162" i="13"/>
  <c r="J2161" i="13" a="1"/>
  <c r="J2161" i="13" s="1"/>
  <c r="M2165" i="14"/>
  <c r="K1997" i="14"/>
  <c r="L1997" i="14" s="1"/>
  <c r="I1998" i="14" s="1"/>
  <c r="M2164" i="13"/>
  <c r="J2160" i="14" a="1"/>
  <c r="J2160" i="14" s="1"/>
  <c r="N2161" i="14"/>
  <c r="K1975" i="13" l="1"/>
  <c r="L1975" i="13" s="1"/>
  <c r="I1976" i="13" s="1"/>
  <c r="K1998" i="14"/>
  <c r="L1998" i="14" s="1"/>
  <c r="I1999" i="14" s="1"/>
  <c r="J2161" i="14" a="1"/>
  <c r="J2161" i="14" s="1"/>
  <c r="N2162" i="14"/>
  <c r="J2162" i="13" a="1"/>
  <c r="J2162" i="13" s="1"/>
  <c r="N2163" i="13"/>
  <c r="M2165" i="13"/>
  <c r="M2166" i="14"/>
  <c r="K1976" i="13" l="1"/>
  <c r="L1976" i="13" s="1"/>
  <c r="I1977" i="13" s="1"/>
  <c r="K1999" i="14"/>
  <c r="L1999" i="14" s="1"/>
  <c r="I2000" i="14" s="1"/>
  <c r="M2167" i="14"/>
  <c r="J2163" i="13" a="1"/>
  <c r="J2163" i="13" s="1"/>
  <c r="N2164" i="13"/>
  <c r="J2162" i="14" a="1"/>
  <c r="J2162" i="14" s="1"/>
  <c r="N2163" i="14"/>
  <c r="M2166" i="13"/>
  <c r="K1977" i="13" l="1"/>
  <c r="L1977" i="13" s="1"/>
  <c r="I1978" i="13" s="1"/>
  <c r="K2000" i="14"/>
  <c r="L2000" i="14" s="1"/>
  <c r="I2001" i="14" s="1"/>
  <c r="N2164" i="14"/>
  <c r="J2163" i="14" a="1"/>
  <c r="J2163" i="14" s="1"/>
  <c r="M2167" i="13"/>
  <c r="M2168" i="14"/>
  <c r="J2164" i="13" a="1"/>
  <c r="J2164" i="13" s="1"/>
  <c r="N2165" i="13"/>
  <c r="K1978" i="13" l="1"/>
  <c r="L1978" i="13" s="1"/>
  <c r="I1979" i="13" s="1"/>
  <c r="K2001" i="14"/>
  <c r="L2001" i="14" s="1"/>
  <c r="I2002" i="14" s="1"/>
  <c r="N2166" i="13"/>
  <c r="J2165" i="13" a="1"/>
  <c r="J2165" i="13" s="1"/>
  <c r="M2168" i="13"/>
  <c r="M2169" i="14"/>
  <c r="J2164" i="14" a="1"/>
  <c r="J2164" i="14" s="1"/>
  <c r="N2165" i="14"/>
  <c r="K1979" i="13" l="1"/>
  <c r="L1979" i="13" s="1"/>
  <c r="I1980" i="13" s="1"/>
  <c r="K2002" i="14"/>
  <c r="L2002" i="14" s="1"/>
  <c r="I2003" i="14" s="1"/>
  <c r="M2170" i="14"/>
  <c r="J2165" i="14" a="1"/>
  <c r="J2165" i="14" s="1"/>
  <c r="N2166" i="14"/>
  <c r="M2169" i="13"/>
  <c r="J2166" i="13" a="1"/>
  <c r="J2166" i="13" s="1"/>
  <c r="N2167" i="13"/>
  <c r="K1980" i="13" l="1"/>
  <c r="L1980" i="13" s="1"/>
  <c r="I1981" i="13" s="1"/>
  <c r="K2003" i="14"/>
  <c r="L2003" i="14" s="1"/>
  <c r="I2004" i="14" s="1"/>
  <c r="J2167" i="13" a="1"/>
  <c r="J2167" i="13" s="1"/>
  <c r="N2168" i="13"/>
  <c r="J2166" i="14" a="1"/>
  <c r="J2166" i="14" s="1"/>
  <c r="N2167" i="14"/>
  <c r="M2171" i="14"/>
  <c r="M2170" i="13"/>
  <c r="K1981" i="13" l="1"/>
  <c r="L1981" i="13" s="1"/>
  <c r="I1982" i="13" s="1"/>
  <c r="K2004" i="14"/>
  <c r="L2004" i="14" s="1"/>
  <c r="I2005" i="14" s="1"/>
  <c r="N2168" i="14"/>
  <c r="J2167" i="14" a="1"/>
  <c r="J2167" i="14" s="1"/>
  <c r="J2168" i="13" a="1"/>
  <c r="J2168" i="13" s="1"/>
  <c r="N2169" i="13"/>
  <c r="M2171" i="13"/>
  <c r="M2172" i="14"/>
  <c r="K1982" i="13" l="1"/>
  <c r="L1982" i="13" s="1"/>
  <c r="I1983" i="13" s="1"/>
  <c r="K2005" i="14"/>
  <c r="L2005" i="14" s="1"/>
  <c r="I2006" i="14" s="1"/>
  <c r="J2168" i="14" a="1"/>
  <c r="J2168" i="14" s="1"/>
  <c r="N2169" i="14"/>
  <c r="N2170" i="13"/>
  <c r="J2169" i="13" a="1"/>
  <c r="J2169" i="13" s="1"/>
  <c r="M2173" i="14"/>
  <c r="M2172" i="13"/>
  <c r="K1983" i="13" l="1"/>
  <c r="L1983" i="13" s="1"/>
  <c r="I1984" i="13" s="1"/>
  <c r="K2006" i="14"/>
  <c r="L2006" i="14" s="1"/>
  <c r="I2007" i="14" s="1"/>
  <c r="M2173" i="13"/>
  <c r="J2170" i="13" a="1"/>
  <c r="J2170" i="13" s="1"/>
  <c r="N2171" i="13"/>
  <c r="J2169" i="14" a="1"/>
  <c r="J2169" i="14" s="1"/>
  <c r="N2170" i="14"/>
  <c r="M2174" i="14"/>
  <c r="K1984" i="13" l="1"/>
  <c r="L1984" i="13" s="1"/>
  <c r="I1985" i="13" s="1"/>
  <c r="K2007" i="14"/>
  <c r="L2007" i="14" s="1"/>
  <c r="I2008" i="14" s="1"/>
  <c r="M2175" i="14"/>
  <c r="J2171" i="13" a="1"/>
  <c r="J2171" i="13" s="1"/>
  <c r="N2172" i="13"/>
  <c r="J2170" i="14" a="1"/>
  <c r="J2170" i="14" s="1"/>
  <c r="N2171" i="14"/>
  <c r="M2174" i="13"/>
  <c r="K1985" i="13" l="1"/>
  <c r="L1985" i="13" s="1"/>
  <c r="I1986" i="13" s="1"/>
  <c r="K2008" i="14"/>
  <c r="L2008" i="14" s="1"/>
  <c r="I2009" i="14" s="1"/>
  <c r="N2172" i="14"/>
  <c r="J2171" i="14" a="1"/>
  <c r="J2171" i="14" s="1"/>
  <c r="J2172" i="13" a="1"/>
  <c r="J2172" i="13" s="1"/>
  <c r="N2173" i="13"/>
  <c r="M2175" i="13"/>
  <c r="M2176" i="14"/>
  <c r="K1986" i="13" l="1"/>
  <c r="L1986" i="13" s="1"/>
  <c r="I1987" i="13" s="1"/>
  <c r="K2009" i="14"/>
  <c r="L2009" i="14" s="1"/>
  <c r="I2010" i="14" s="1"/>
  <c r="N2174" i="13"/>
  <c r="J2173" i="13" a="1"/>
  <c r="J2173" i="13" s="1"/>
  <c r="M2176" i="13"/>
  <c r="M2177" i="14"/>
  <c r="J2172" i="14" a="1"/>
  <c r="J2172" i="14" s="1"/>
  <c r="N2173" i="14"/>
  <c r="K1987" i="13" l="1"/>
  <c r="L1987" i="13" s="1"/>
  <c r="I1988" i="13" s="1"/>
  <c r="K2010" i="14"/>
  <c r="L2010" i="14" s="1"/>
  <c r="I2011" i="14" s="1"/>
  <c r="J2173" i="14" a="1"/>
  <c r="J2173" i="14" s="1"/>
  <c r="N2174" i="14"/>
  <c r="M2177" i="13"/>
  <c r="M2178" i="14"/>
  <c r="J2174" i="13" a="1"/>
  <c r="J2174" i="13" s="1"/>
  <c r="N2175" i="13"/>
  <c r="K1988" i="13" l="1"/>
  <c r="L1988" i="13" s="1"/>
  <c r="I1989" i="13" s="1"/>
  <c r="K2011" i="14"/>
  <c r="L2011" i="14" s="1"/>
  <c r="I2012" i="14" s="1"/>
  <c r="J2174" i="14" a="1"/>
  <c r="J2174" i="14" s="1"/>
  <c r="N2175" i="14"/>
  <c r="J2175" i="13" a="1"/>
  <c r="J2175" i="13" s="1"/>
  <c r="N2176" i="13"/>
  <c r="M2179" i="14"/>
  <c r="M2178" i="13"/>
  <c r="K1989" i="13" l="1"/>
  <c r="L1989" i="13" s="1"/>
  <c r="I1990" i="13" s="1"/>
  <c r="K2012" i="14"/>
  <c r="L2012" i="14" s="1"/>
  <c r="I2013" i="14" s="1"/>
  <c r="M2179" i="13"/>
  <c r="M2180" i="14"/>
  <c r="J2176" i="13" a="1"/>
  <c r="J2176" i="13" s="1"/>
  <c r="N2177" i="13"/>
  <c r="N2176" i="14"/>
  <c r="J2175" i="14" a="1"/>
  <c r="J2175" i="14" s="1"/>
  <c r="K1990" i="13" l="1"/>
  <c r="L1990" i="13" s="1"/>
  <c r="I1991" i="13" s="1"/>
  <c r="K2013" i="14"/>
  <c r="L2013" i="14" s="1"/>
  <c r="I2014" i="14" s="1"/>
  <c r="N2178" i="13"/>
  <c r="J2177" i="13" a="1"/>
  <c r="J2177" i="13" s="1"/>
  <c r="J2176" i="14" a="1"/>
  <c r="J2176" i="14" s="1"/>
  <c r="N2177" i="14"/>
  <c r="M2181" i="14"/>
  <c r="M2180" i="13"/>
  <c r="K1991" i="13" l="1"/>
  <c r="L1991" i="13" s="1"/>
  <c r="I1992" i="13" s="1"/>
  <c r="M2181" i="13"/>
  <c r="J2177" i="14" a="1"/>
  <c r="J2177" i="14" s="1"/>
  <c r="N2178" i="14"/>
  <c r="K2014" i="14"/>
  <c r="L2014" i="14" s="1"/>
  <c r="I2015" i="14" s="1"/>
  <c r="M2182" i="14"/>
  <c r="J2178" i="13" a="1"/>
  <c r="J2178" i="13" s="1"/>
  <c r="N2179" i="13"/>
  <c r="K1992" i="13" l="1"/>
  <c r="L1992" i="13" s="1"/>
  <c r="I1993" i="13" s="1"/>
  <c r="J2179" i="13" a="1"/>
  <c r="J2179" i="13" s="1"/>
  <c r="N2180" i="13"/>
  <c r="M2182" i="13"/>
  <c r="J2178" i="14" a="1"/>
  <c r="J2178" i="14" s="1"/>
  <c r="N2179" i="14"/>
  <c r="K2015" i="14"/>
  <c r="L2015" i="14" s="1"/>
  <c r="I2016" i="14" s="1"/>
  <c r="M2183" i="14"/>
  <c r="K1993" i="13" l="1"/>
  <c r="L1993" i="13" s="1"/>
  <c r="I1994" i="13" s="1"/>
  <c r="K2016" i="14"/>
  <c r="L2016" i="14" s="1"/>
  <c r="I2017" i="14" s="1"/>
  <c r="N2180" i="14"/>
  <c r="J2179" i="14" a="1"/>
  <c r="J2179" i="14" s="1"/>
  <c r="J2180" i="13" a="1"/>
  <c r="J2180" i="13" s="1"/>
  <c r="N2181" i="13"/>
  <c r="M2184" i="14"/>
  <c r="M2183" i="13"/>
  <c r="K1994" i="13" l="1"/>
  <c r="L1994" i="13" s="1"/>
  <c r="I1995" i="13" s="1"/>
  <c r="N2182" i="13"/>
  <c r="J2181" i="13" a="1"/>
  <c r="J2181" i="13" s="1"/>
  <c r="M2184" i="13"/>
  <c r="M2185" i="14"/>
  <c r="J2180" i="14" a="1"/>
  <c r="J2180" i="14" s="1"/>
  <c r="N2181" i="14"/>
  <c r="K2017" i="14"/>
  <c r="L2017" i="14" s="1"/>
  <c r="I2018" i="14" s="1"/>
  <c r="K1995" i="13" l="1"/>
  <c r="L1995" i="13" s="1"/>
  <c r="I1996" i="13" s="1"/>
  <c r="K2018" i="14"/>
  <c r="L2018" i="14" s="1"/>
  <c r="I2019" i="14" s="1"/>
  <c r="M2186" i="14"/>
  <c r="J2182" i="13" a="1"/>
  <c r="J2182" i="13" s="1"/>
  <c r="N2183" i="13"/>
  <c r="J2181" i="14" a="1"/>
  <c r="J2181" i="14" s="1"/>
  <c r="N2182" i="14"/>
  <c r="M2185" i="13"/>
  <c r="K1996" i="13" l="1"/>
  <c r="L1996" i="13" s="1"/>
  <c r="I1997" i="13" s="1"/>
  <c r="M2186" i="13"/>
  <c r="J2183" i="13" a="1"/>
  <c r="J2183" i="13" s="1"/>
  <c r="N2184" i="13"/>
  <c r="K2019" i="14"/>
  <c r="L2019" i="14" s="1"/>
  <c r="I2020" i="14" s="1"/>
  <c r="J2182" i="14" a="1"/>
  <c r="J2182" i="14" s="1"/>
  <c r="N2183" i="14"/>
  <c r="M2187" i="14"/>
  <c r="K1997" i="13" l="1"/>
  <c r="L1997" i="13" s="1"/>
  <c r="I1998" i="13" s="1"/>
  <c r="N2184" i="14"/>
  <c r="J2183" i="14" a="1"/>
  <c r="J2183" i="14" s="1"/>
  <c r="K2020" i="14"/>
  <c r="L2020" i="14" s="1"/>
  <c r="I2021" i="14" s="1"/>
  <c r="M2187" i="13"/>
  <c r="M2188" i="14"/>
  <c r="J2184" i="13" a="1"/>
  <c r="J2184" i="13" s="1"/>
  <c r="N2185" i="13"/>
  <c r="K1998" i="13" l="1"/>
  <c r="L1998" i="13" s="1"/>
  <c r="I1999" i="13" s="1"/>
  <c r="K2021" i="14"/>
  <c r="L2021" i="14" s="1"/>
  <c r="I2022" i="14" s="1"/>
  <c r="N2186" i="13"/>
  <c r="J2185" i="13" a="1"/>
  <c r="J2185" i="13" s="1"/>
  <c r="J2184" i="14" a="1"/>
  <c r="J2184" i="14" s="1"/>
  <c r="N2185" i="14"/>
  <c r="M2188" i="13"/>
  <c r="M2189" i="14"/>
  <c r="K1999" i="13" l="1"/>
  <c r="L1999" i="13" s="1"/>
  <c r="I2000" i="13" s="1"/>
  <c r="K2022" i="14"/>
  <c r="L2022" i="14" s="1"/>
  <c r="I2023" i="14" s="1"/>
  <c r="J2185" i="14" a="1"/>
  <c r="J2185" i="14" s="1"/>
  <c r="N2186" i="14"/>
  <c r="M2190" i="14"/>
  <c r="M2189" i="13"/>
  <c r="J2186" i="13" a="1"/>
  <c r="J2186" i="13" s="1"/>
  <c r="N2187" i="13"/>
  <c r="K2000" i="13" l="1"/>
  <c r="L2000" i="13" s="1"/>
  <c r="I2001" i="13" s="1"/>
  <c r="K2023" i="14"/>
  <c r="L2023" i="14" s="1"/>
  <c r="I2024" i="14" s="1"/>
  <c r="J2187" i="13" a="1"/>
  <c r="J2187" i="13" s="1"/>
  <c r="N2188" i="13"/>
  <c r="J2186" i="14" a="1"/>
  <c r="J2186" i="14" s="1"/>
  <c r="N2187" i="14"/>
  <c r="M2191" i="14"/>
  <c r="M2190" i="13"/>
  <c r="K2001" i="13" l="1"/>
  <c r="L2001" i="13" s="1"/>
  <c r="I2002" i="13" s="1"/>
  <c r="K2024" i="14"/>
  <c r="L2024" i="14" s="1"/>
  <c r="I2025" i="14" s="1"/>
  <c r="N2188" i="14"/>
  <c r="J2187" i="14" a="1"/>
  <c r="J2187" i="14" s="1"/>
  <c r="J2188" i="13" a="1"/>
  <c r="J2188" i="13" s="1"/>
  <c r="N2189" i="13"/>
  <c r="M2191" i="13"/>
  <c r="M2192" i="14"/>
  <c r="K2002" i="13" l="1"/>
  <c r="L2002" i="13" s="1"/>
  <c r="I2003" i="13" s="1"/>
  <c r="K2025" i="14"/>
  <c r="L2025" i="14" s="1"/>
  <c r="I2026" i="14" s="1"/>
  <c r="N2190" i="13"/>
  <c r="J2189" i="13" a="1"/>
  <c r="J2189" i="13" s="1"/>
  <c r="M2193" i="14"/>
  <c r="M2192" i="13"/>
  <c r="J2188" i="14" a="1"/>
  <c r="J2188" i="14" s="1"/>
  <c r="N2189" i="14"/>
  <c r="K2003" i="13" l="1"/>
  <c r="L2003" i="13" s="1"/>
  <c r="I2004" i="13" s="1"/>
  <c r="K2026" i="14"/>
  <c r="L2026" i="14" s="1"/>
  <c r="I2027" i="14" s="1"/>
  <c r="M2193" i="13"/>
  <c r="J2189" i="14" a="1"/>
  <c r="J2189" i="14" s="1"/>
  <c r="N2190" i="14"/>
  <c r="M2194" i="14"/>
  <c r="J2190" i="13" a="1"/>
  <c r="J2190" i="13" s="1"/>
  <c r="N2191" i="13"/>
  <c r="K2004" i="13" l="1"/>
  <c r="L2004" i="13" s="1"/>
  <c r="I2005" i="13" s="1"/>
  <c r="K2027" i="14"/>
  <c r="L2027" i="14" s="1"/>
  <c r="I2028" i="14" s="1"/>
  <c r="J2191" i="13" a="1"/>
  <c r="J2191" i="13" s="1"/>
  <c r="N2192" i="13"/>
  <c r="J2190" i="14" a="1"/>
  <c r="J2190" i="14" s="1"/>
  <c r="N2191" i="14"/>
  <c r="M2195" i="14"/>
  <c r="M2194" i="13"/>
  <c r="K2005" i="13" l="1"/>
  <c r="L2005" i="13" s="1"/>
  <c r="I2006" i="13" s="1"/>
  <c r="K2028" i="14"/>
  <c r="L2028" i="14" s="1"/>
  <c r="I2029" i="14" s="1"/>
  <c r="N2192" i="14"/>
  <c r="J2191" i="14" a="1"/>
  <c r="J2191" i="14" s="1"/>
  <c r="M2196" i="14"/>
  <c r="M2195" i="13"/>
  <c r="J2192" i="13" a="1"/>
  <c r="J2192" i="13" s="1"/>
  <c r="N2193" i="13"/>
  <c r="K2006" i="13" l="1"/>
  <c r="L2006" i="13" s="1"/>
  <c r="I2007" i="13" s="1"/>
  <c r="K2029" i="14"/>
  <c r="L2029" i="14" s="1"/>
  <c r="I2030" i="14" s="1"/>
  <c r="N2194" i="13"/>
  <c r="J2193" i="13" a="1"/>
  <c r="J2193" i="13" s="1"/>
  <c r="M2197" i="14"/>
  <c r="M2196" i="13"/>
  <c r="J2192" i="14" a="1"/>
  <c r="J2192" i="14" s="1"/>
  <c r="N2193" i="14"/>
  <c r="K2007" i="13" l="1"/>
  <c r="L2007" i="13" s="1"/>
  <c r="I2008" i="13" s="1"/>
  <c r="K2030" i="14"/>
  <c r="L2030" i="14" s="1"/>
  <c r="I2031" i="14" s="1"/>
  <c r="M2198" i="14"/>
  <c r="J2193" i="14" a="1"/>
  <c r="J2193" i="14" s="1"/>
  <c r="N2194" i="14"/>
  <c r="M2197" i="13"/>
  <c r="J2194" i="13" a="1"/>
  <c r="J2194" i="13" s="1"/>
  <c r="N2195" i="13"/>
  <c r="K2008" i="13" l="1"/>
  <c r="L2008" i="13" s="1"/>
  <c r="I2009" i="13" s="1"/>
  <c r="J2195" i="13" a="1"/>
  <c r="J2195" i="13" s="1"/>
  <c r="N2196" i="13"/>
  <c r="M2199" i="14"/>
  <c r="J2194" i="14" a="1"/>
  <c r="J2194" i="14" s="1"/>
  <c r="N2195" i="14"/>
  <c r="M2198" i="13"/>
  <c r="K2031" i="14"/>
  <c r="L2031" i="14" s="1"/>
  <c r="I2032" i="14" s="1"/>
  <c r="K2009" i="13" l="1"/>
  <c r="L2009" i="13" s="1"/>
  <c r="I2010" i="13" s="1"/>
  <c r="K2032" i="14"/>
  <c r="L2032" i="14" s="1"/>
  <c r="I2033" i="14" s="1"/>
  <c r="N2196" i="14"/>
  <c r="J2195" i="14" a="1"/>
  <c r="J2195" i="14" s="1"/>
  <c r="J2196" i="13" a="1"/>
  <c r="J2196" i="13" s="1"/>
  <c r="N2197" i="13"/>
  <c r="M2199" i="13"/>
  <c r="M2200" i="14"/>
  <c r="K2010" i="13" l="1"/>
  <c r="L2010" i="13" s="1"/>
  <c r="I2011" i="13" s="1"/>
  <c r="K2033" i="14"/>
  <c r="L2033" i="14" s="1"/>
  <c r="I2034" i="14" s="1"/>
  <c r="M2200" i="13"/>
  <c r="N2198" i="13"/>
  <c r="J2197" i="13" a="1"/>
  <c r="J2197" i="13" s="1"/>
  <c r="M2201" i="14"/>
  <c r="J2196" i="14" a="1"/>
  <c r="J2196" i="14" s="1"/>
  <c r="N2197" i="14"/>
  <c r="K2011" i="13" l="1"/>
  <c r="L2011" i="13" s="1"/>
  <c r="I2012" i="13" s="1"/>
  <c r="K2034" i="14"/>
  <c r="L2034" i="14" s="1"/>
  <c r="I2035" i="14" s="1"/>
  <c r="J2197" i="14" a="1"/>
  <c r="J2197" i="14" s="1"/>
  <c r="N2198" i="14"/>
  <c r="M2201" i="13"/>
  <c r="M2202" i="14"/>
  <c r="J2198" i="13" a="1"/>
  <c r="J2198" i="13" s="1"/>
  <c r="N2199" i="13"/>
  <c r="K2012" i="13" l="1"/>
  <c r="L2012" i="13" s="1"/>
  <c r="I2013" i="13" s="1"/>
  <c r="K2035" i="14"/>
  <c r="L2035" i="14" s="1"/>
  <c r="I2036" i="14" s="1"/>
  <c r="M2203" i="14"/>
  <c r="J2199" i="13" a="1"/>
  <c r="J2199" i="13" s="1"/>
  <c r="N2200" i="13"/>
  <c r="J2198" i="14" a="1"/>
  <c r="J2198" i="14" s="1"/>
  <c r="N2199" i="14"/>
  <c r="M2202" i="13"/>
  <c r="K2013" i="13" l="1"/>
  <c r="L2013" i="13" s="1"/>
  <c r="I2014" i="13" s="1"/>
  <c r="K2036" i="14"/>
  <c r="L2036" i="14" s="1"/>
  <c r="I2037" i="14" s="1"/>
  <c r="M2203" i="13"/>
  <c r="M2204" i="14"/>
  <c r="J2200" i="13" a="1"/>
  <c r="J2200" i="13" s="1"/>
  <c r="N2201" i="13"/>
  <c r="N2200" i="14"/>
  <c r="J2199" i="14" a="1"/>
  <c r="J2199" i="14" s="1"/>
  <c r="K2014" i="13" l="1"/>
  <c r="L2014" i="13" s="1"/>
  <c r="I2015" i="13" s="1"/>
  <c r="K2037" i="14"/>
  <c r="L2037" i="14" s="1"/>
  <c r="I2038" i="14" s="1"/>
  <c r="J2200" i="14" a="1"/>
  <c r="J2200" i="14" s="1"/>
  <c r="N2201" i="14"/>
  <c r="M2205" i="14"/>
  <c r="M2204" i="13"/>
  <c r="N2202" i="13"/>
  <c r="J2201" i="13" a="1"/>
  <c r="J2201" i="13" s="1"/>
  <c r="K2015" i="13" l="1"/>
  <c r="L2015" i="13" s="1"/>
  <c r="I2016" i="13" s="1"/>
  <c r="K2038" i="14"/>
  <c r="L2038" i="14" s="1"/>
  <c r="I2039" i="14" s="1"/>
  <c r="J2202" i="13" a="1"/>
  <c r="J2202" i="13" s="1"/>
  <c r="N2203" i="13"/>
  <c r="M2206" i="14"/>
  <c r="M2205" i="13"/>
  <c r="J2201" i="14" a="1"/>
  <c r="J2201" i="14" s="1"/>
  <c r="N2202" i="14"/>
  <c r="K2016" i="13" l="1"/>
  <c r="L2016" i="13" s="1"/>
  <c r="I2017" i="13" s="1"/>
  <c r="K2039" i="14"/>
  <c r="L2039" i="14" s="1"/>
  <c r="I2040" i="14" s="1"/>
  <c r="J2203" i="13" a="1"/>
  <c r="J2203" i="13" s="1"/>
  <c r="N2204" i="13"/>
  <c r="J2202" i="14" a="1"/>
  <c r="J2202" i="14" s="1"/>
  <c r="N2203" i="14"/>
  <c r="M2207" i="14"/>
  <c r="M2206" i="13"/>
  <c r="K2017" i="13" l="1"/>
  <c r="L2017" i="13" s="1"/>
  <c r="I2018" i="13" s="1"/>
  <c r="N2204" i="14"/>
  <c r="J2203" i="14" a="1"/>
  <c r="J2203" i="14" s="1"/>
  <c r="K2040" i="14"/>
  <c r="L2040" i="14" s="1"/>
  <c r="I2041" i="14" s="1"/>
  <c r="M2207" i="13"/>
  <c r="J2204" i="13" a="1"/>
  <c r="J2204" i="13" s="1"/>
  <c r="N2205" i="13"/>
  <c r="M2208" i="14"/>
  <c r="K2018" i="13" l="1"/>
  <c r="L2018" i="13" s="1"/>
  <c r="I2019" i="13" s="1"/>
  <c r="M2209" i="14"/>
  <c r="J2204" i="14" a="1"/>
  <c r="J2204" i="14" s="1"/>
  <c r="N2205" i="14"/>
  <c r="N2206" i="13"/>
  <c r="J2205" i="13" a="1"/>
  <c r="J2205" i="13" s="1"/>
  <c r="M2208" i="13"/>
  <c r="K2041" i="14"/>
  <c r="L2041" i="14" s="1"/>
  <c r="I2042" i="14" s="1"/>
  <c r="K2019" i="13" l="1"/>
  <c r="L2019" i="13" s="1"/>
  <c r="I2020" i="13" s="1"/>
  <c r="K2042" i="14"/>
  <c r="L2042" i="14" s="1"/>
  <c r="I2043" i="14" s="1"/>
  <c r="J2206" i="13" a="1"/>
  <c r="J2206" i="13" s="1"/>
  <c r="N2207" i="13"/>
  <c r="M2210" i="14"/>
  <c r="J2205" i="14" a="1"/>
  <c r="J2205" i="14" s="1"/>
  <c r="N2206" i="14"/>
  <c r="M2209" i="13"/>
  <c r="K2020" i="13" l="1"/>
  <c r="L2020" i="13" s="1"/>
  <c r="I2021" i="13" s="1"/>
  <c r="M2211" i="14"/>
  <c r="K2043" i="14"/>
  <c r="L2043" i="14" s="1"/>
  <c r="I2044" i="14" s="1"/>
  <c r="M2210" i="13"/>
  <c r="J2206" i="14" a="1"/>
  <c r="J2206" i="14" s="1"/>
  <c r="N2207" i="14"/>
  <c r="J2207" i="13" a="1"/>
  <c r="J2207" i="13" s="1"/>
  <c r="N2208" i="13"/>
  <c r="K2021" i="13" l="1"/>
  <c r="L2021" i="13" s="1"/>
  <c r="I2022" i="13" s="1"/>
  <c r="K2044" i="14"/>
  <c r="L2044" i="14" s="1"/>
  <c r="I2045" i="14" s="1"/>
  <c r="N2208" i="14"/>
  <c r="J2207" i="14" a="1"/>
  <c r="J2207" i="14" s="1"/>
  <c r="J2208" i="13" a="1"/>
  <c r="J2208" i="13" s="1"/>
  <c r="N2209" i="13"/>
  <c r="M2211" i="13"/>
  <c r="M2212" i="14"/>
  <c r="K2022" i="13" l="1"/>
  <c r="L2022" i="13" s="1"/>
  <c r="I2023" i="13" s="1"/>
  <c r="N2210" i="13"/>
  <c r="J2209" i="13" a="1"/>
  <c r="J2209" i="13" s="1"/>
  <c r="M2212" i="13"/>
  <c r="M2213" i="14"/>
  <c r="J2208" i="14" a="1"/>
  <c r="J2208" i="14" s="1"/>
  <c r="N2209" i="14"/>
  <c r="K2045" i="14"/>
  <c r="L2045" i="14" s="1"/>
  <c r="I2046" i="14" s="1"/>
  <c r="K2023" i="13" l="1"/>
  <c r="L2023" i="13" s="1"/>
  <c r="I2024" i="13" s="1"/>
  <c r="J2209" i="14" a="1"/>
  <c r="J2209" i="14" s="1"/>
  <c r="N2210" i="14"/>
  <c r="M2213" i="13"/>
  <c r="K2046" i="14"/>
  <c r="L2046" i="14" s="1"/>
  <c r="I2047" i="14" s="1"/>
  <c r="M2214" i="14"/>
  <c r="J2210" i="13" a="1"/>
  <c r="J2210" i="13" s="1"/>
  <c r="N2211" i="13"/>
  <c r="K2024" i="13" l="1"/>
  <c r="L2024" i="13" s="1"/>
  <c r="I2025" i="13" s="1"/>
  <c r="K2047" i="14"/>
  <c r="L2047" i="14" s="1"/>
  <c r="I2048" i="14" s="1"/>
  <c r="M2215" i="14"/>
  <c r="J2211" i="13" a="1"/>
  <c r="J2211" i="13" s="1"/>
  <c r="N2212" i="13"/>
  <c r="M2214" i="13"/>
  <c r="J2210" i="14" a="1"/>
  <c r="J2210" i="14" s="1"/>
  <c r="N2211" i="14"/>
  <c r="K2025" i="13" l="1"/>
  <c r="L2025" i="13" s="1"/>
  <c r="I2026" i="13" s="1"/>
  <c r="K2048" i="14"/>
  <c r="L2048" i="14" s="1"/>
  <c r="I2049" i="14" s="1"/>
  <c r="M2215" i="13"/>
  <c r="M2216" i="14"/>
  <c r="N2212" i="14"/>
  <c r="J2211" i="14" a="1"/>
  <c r="J2211" i="14" s="1"/>
  <c r="J2212" i="13" a="1"/>
  <c r="J2212" i="13" s="1"/>
  <c r="N2213" i="13"/>
  <c r="K2026" i="13" l="1"/>
  <c r="L2026" i="13" s="1"/>
  <c r="I2027" i="13" s="1"/>
  <c r="N2214" i="13"/>
  <c r="J2213" i="13" a="1"/>
  <c r="J2213" i="13" s="1"/>
  <c r="M2217" i="14"/>
  <c r="J2212" i="14" a="1"/>
  <c r="J2212" i="14" s="1"/>
  <c r="N2213" i="14"/>
  <c r="M2216" i="13"/>
  <c r="K2049" i="14"/>
  <c r="L2049" i="14" s="1"/>
  <c r="I2050" i="14" s="1"/>
  <c r="K2027" i="13" l="1"/>
  <c r="L2027" i="13" s="1"/>
  <c r="I2028" i="13" s="1"/>
  <c r="K2050" i="14"/>
  <c r="L2050" i="14" s="1"/>
  <c r="I2051" i="14" s="1"/>
  <c r="J2214" i="13" a="1"/>
  <c r="J2214" i="13" s="1"/>
  <c r="N2215" i="13"/>
  <c r="J2213" i="14" a="1"/>
  <c r="J2213" i="14" s="1"/>
  <c r="N2214" i="14"/>
  <c r="M2217" i="13"/>
  <c r="M2218" i="14"/>
  <c r="K2028" i="13" l="1"/>
  <c r="L2028" i="13" s="1"/>
  <c r="I2029" i="13" s="1"/>
  <c r="K2051" i="14"/>
  <c r="L2051" i="14" s="1"/>
  <c r="I2052" i="14" s="1"/>
  <c r="M2218" i="13"/>
  <c r="M2219" i="14"/>
  <c r="J2214" i="14" a="1"/>
  <c r="J2214" i="14" s="1"/>
  <c r="N2215" i="14"/>
  <c r="J2215" i="13" a="1"/>
  <c r="J2215" i="13" s="1"/>
  <c r="N2216" i="13"/>
  <c r="K2029" i="13" l="1"/>
  <c r="L2029" i="13" s="1"/>
  <c r="I2030" i="13" s="1"/>
  <c r="M2220" i="14"/>
  <c r="J2216" i="13" a="1"/>
  <c r="J2216" i="13" s="1"/>
  <c r="N2217" i="13"/>
  <c r="K2052" i="14"/>
  <c r="L2052" i="14" s="1"/>
  <c r="I2053" i="14" s="1"/>
  <c r="N2216" i="14"/>
  <c r="J2215" i="14" a="1"/>
  <c r="J2215" i="14" s="1"/>
  <c r="M2219" i="13"/>
  <c r="K2030" i="13" l="1"/>
  <c r="L2030" i="13" s="1"/>
  <c r="I2031" i="13" s="1"/>
  <c r="K2053" i="14"/>
  <c r="L2053" i="14" s="1"/>
  <c r="I2054" i="14" s="1"/>
  <c r="M2220" i="13"/>
  <c r="M2221" i="14"/>
  <c r="N2218" i="13"/>
  <c r="J2217" i="13" a="1"/>
  <c r="J2217" i="13" s="1"/>
  <c r="J2216" i="14" a="1"/>
  <c r="J2216" i="14" s="1"/>
  <c r="N2217" i="14"/>
  <c r="K2031" i="13" l="1"/>
  <c r="L2031" i="13" s="1"/>
  <c r="I2032" i="13" s="1"/>
  <c r="K2054" i="14"/>
  <c r="L2054" i="14" s="1"/>
  <c r="I2055" i="14" s="1"/>
  <c r="J2217" i="14" a="1"/>
  <c r="J2217" i="14" s="1"/>
  <c r="N2218" i="14"/>
  <c r="M2222" i="14"/>
  <c r="M2221" i="13"/>
  <c r="J2218" i="13" a="1"/>
  <c r="J2218" i="13" s="1"/>
  <c r="N2219" i="13"/>
  <c r="K2032" i="13" l="1"/>
  <c r="L2032" i="13" s="1"/>
  <c r="I2033" i="13" s="1"/>
  <c r="K2055" i="14"/>
  <c r="L2055" i="14" s="1"/>
  <c r="I2056" i="14" s="1"/>
  <c r="J2219" i="13" a="1"/>
  <c r="J2219" i="13" s="1"/>
  <c r="N2220" i="13"/>
  <c r="M2223" i="14"/>
  <c r="J2218" i="14" a="1"/>
  <c r="J2218" i="14" s="1"/>
  <c r="N2219" i="14"/>
  <c r="M2222" i="13"/>
  <c r="K2033" i="13" l="1"/>
  <c r="L2033" i="13" s="1"/>
  <c r="I2034" i="13" s="1"/>
  <c r="K2056" i="14"/>
  <c r="L2056" i="14" s="1"/>
  <c r="I2057" i="14" s="1"/>
  <c r="M2223" i="13"/>
  <c r="M2224" i="14"/>
  <c r="N2220" i="14"/>
  <c r="J2219" i="14" a="1"/>
  <c r="J2219" i="14" s="1"/>
  <c r="J2220" i="13" a="1"/>
  <c r="J2220" i="13" s="1"/>
  <c r="N2221" i="13"/>
  <c r="K2034" i="13" l="1"/>
  <c r="L2034" i="13" s="1"/>
  <c r="I2035" i="13" s="1"/>
  <c r="K2057" i="14"/>
  <c r="L2057" i="14" s="1"/>
  <c r="I2058" i="14" s="1"/>
  <c r="N2222" i="13"/>
  <c r="J2221" i="13" a="1"/>
  <c r="J2221" i="13" s="1"/>
  <c r="M2225" i="14"/>
  <c r="J2220" i="14" a="1"/>
  <c r="J2220" i="14" s="1"/>
  <c r="N2221" i="14"/>
  <c r="M2224" i="13"/>
  <c r="K2035" i="13" l="1"/>
  <c r="L2035" i="13" s="1"/>
  <c r="I2036" i="13" s="1"/>
  <c r="J2221" i="14" a="1"/>
  <c r="J2221" i="14" s="1"/>
  <c r="N2222" i="14"/>
  <c r="M2225" i="13"/>
  <c r="M2226" i="14"/>
  <c r="K2058" i="14"/>
  <c r="L2058" i="14" s="1"/>
  <c r="I2059" i="14" s="1"/>
  <c r="J2222" i="13" a="1"/>
  <c r="J2222" i="13" s="1"/>
  <c r="N2223" i="13"/>
  <c r="K2036" i="13" l="1"/>
  <c r="L2036" i="13" s="1"/>
  <c r="I2037" i="13" s="1"/>
  <c r="K2059" i="14"/>
  <c r="L2059" i="14" s="1"/>
  <c r="I2060" i="14" s="1"/>
  <c r="J2223" i="13" a="1"/>
  <c r="J2223" i="13" s="1"/>
  <c r="N2224" i="13"/>
  <c r="M2227" i="14"/>
  <c r="J2222" i="14" a="1"/>
  <c r="J2222" i="14" s="1"/>
  <c r="N2223" i="14"/>
  <c r="M2226" i="13"/>
  <c r="K2037" i="13" l="1"/>
  <c r="L2037" i="13" s="1"/>
  <c r="I2038" i="13" s="1"/>
  <c r="K2060" i="14"/>
  <c r="L2060" i="14" s="1"/>
  <c r="I2061" i="14" s="1"/>
  <c r="N2224" i="14"/>
  <c r="J2223" i="14" a="1"/>
  <c r="J2223" i="14" s="1"/>
  <c r="J2224" i="13" a="1"/>
  <c r="J2224" i="13" s="1"/>
  <c r="N2225" i="13"/>
  <c r="M2227" i="13"/>
  <c r="M2228" i="14"/>
  <c r="K2038" i="13" l="1"/>
  <c r="L2038" i="13" s="1"/>
  <c r="I2039" i="13" s="1"/>
  <c r="K2061" i="14"/>
  <c r="L2061" i="14" s="1"/>
  <c r="I2062" i="14" s="1"/>
  <c r="M2229" i="14"/>
  <c r="N2226" i="13"/>
  <c r="J2225" i="13" a="1"/>
  <c r="J2225" i="13" s="1"/>
  <c r="M2228" i="13"/>
  <c r="J2224" i="14" a="1"/>
  <c r="J2224" i="14" s="1"/>
  <c r="N2225" i="14"/>
  <c r="K2039" i="13" l="1"/>
  <c r="L2039" i="13" s="1"/>
  <c r="I2040" i="13" s="1"/>
  <c r="K2062" i="14"/>
  <c r="L2062" i="14" s="1"/>
  <c r="I2063" i="14" s="1"/>
  <c r="J2225" i="14" a="1"/>
  <c r="J2225" i="14" s="1"/>
  <c r="N2226" i="14"/>
  <c r="M2230" i="14"/>
  <c r="M2229" i="13"/>
  <c r="J2226" i="13" a="1"/>
  <c r="J2226" i="13" s="1"/>
  <c r="N2227" i="13"/>
  <c r="K2040" i="13" l="1"/>
  <c r="L2040" i="13" s="1"/>
  <c r="I2041" i="13" s="1"/>
  <c r="K2063" i="14"/>
  <c r="L2063" i="14" s="1"/>
  <c r="I2064" i="14" s="1"/>
  <c r="M2231" i="14"/>
  <c r="J2227" i="13" a="1"/>
  <c r="J2227" i="13" s="1"/>
  <c r="N2228" i="13"/>
  <c r="J2226" i="14" a="1"/>
  <c r="J2226" i="14" s="1"/>
  <c r="N2227" i="14"/>
  <c r="M2230" i="13"/>
  <c r="K2041" i="13" l="1"/>
  <c r="L2041" i="13" s="1"/>
  <c r="I2042" i="13" s="1"/>
  <c r="K2064" i="14"/>
  <c r="L2064" i="14" s="1"/>
  <c r="I2065" i="14" s="1"/>
  <c r="M2231" i="13"/>
  <c r="N2228" i="14"/>
  <c r="J2227" i="14" a="1"/>
  <c r="J2227" i="14" s="1"/>
  <c r="J2228" i="13" a="1"/>
  <c r="J2228" i="13" s="1"/>
  <c r="N2229" i="13"/>
  <c r="M2232" i="14"/>
  <c r="K2042" i="13" l="1"/>
  <c r="L2042" i="13" s="1"/>
  <c r="I2043" i="13" s="1"/>
  <c r="K2065" i="14"/>
  <c r="L2065" i="14" s="1"/>
  <c r="I2066" i="14" s="1"/>
  <c r="M2233" i="14"/>
  <c r="J2228" i="14" a="1"/>
  <c r="J2228" i="14" s="1"/>
  <c r="N2229" i="14"/>
  <c r="N2230" i="13"/>
  <c r="J2229" i="13" a="1"/>
  <c r="J2229" i="13" s="1"/>
  <c r="M2232" i="13"/>
  <c r="K2043" i="13" l="1"/>
  <c r="L2043" i="13" s="1"/>
  <c r="I2044" i="13" s="1"/>
  <c r="M2233" i="13"/>
  <c r="J2229" i="14" a="1"/>
  <c r="J2229" i="14" s="1"/>
  <c r="N2230" i="14"/>
  <c r="K2066" i="14"/>
  <c r="L2066" i="14" s="1"/>
  <c r="I2067" i="14" s="1"/>
  <c r="J2230" i="13" a="1"/>
  <c r="J2230" i="13" s="1"/>
  <c r="N2231" i="13"/>
  <c r="M2234" i="14"/>
  <c r="K2044" i="13" l="1"/>
  <c r="L2044" i="13" s="1"/>
  <c r="I2045" i="13" s="1"/>
  <c r="M2235" i="14"/>
  <c r="K2067" i="14"/>
  <c r="L2067" i="14" s="1"/>
  <c r="I2068" i="14" s="1"/>
  <c r="M2234" i="13"/>
  <c r="J2230" i="14" a="1"/>
  <c r="J2230" i="14" s="1"/>
  <c r="N2231" i="14"/>
  <c r="J2231" i="13" a="1"/>
  <c r="J2231" i="13" s="1"/>
  <c r="N2232" i="13"/>
  <c r="K2045" i="13" l="1"/>
  <c r="L2045" i="13" s="1"/>
  <c r="I2046" i="13" s="1"/>
  <c r="K2068" i="14"/>
  <c r="L2068" i="14" s="1"/>
  <c r="I2069" i="14" s="1"/>
  <c r="J2232" i="13" a="1"/>
  <c r="J2232" i="13" s="1"/>
  <c r="N2233" i="13"/>
  <c r="M2236" i="14"/>
  <c r="M2235" i="13"/>
  <c r="N2232" i="14"/>
  <c r="J2231" i="14" a="1"/>
  <c r="J2231" i="14" s="1"/>
  <c r="K2046" i="13" l="1"/>
  <c r="L2046" i="13" s="1"/>
  <c r="I2047" i="13" s="1"/>
  <c r="K2069" i="14"/>
  <c r="L2069" i="14" s="1"/>
  <c r="I2070" i="14" s="1"/>
  <c r="N2233" i="14"/>
  <c r="J2232" i="14" a="1"/>
  <c r="J2232" i="14" s="1"/>
  <c r="M2237" i="14"/>
  <c r="N2234" i="13"/>
  <c r="J2233" i="13" a="1"/>
  <c r="J2233" i="13" s="1"/>
  <c r="M2236" i="13"/>
  <c r="K2047" i="13" l="1"/>
  <c r="L2047" i="13" s="1"/>
  <c r="I2048" i="13" s="1"/>
  <c r="K2070" i="14"/>
  <c r="L2070" i="14" s="1"/>
  <c r="I2071" i="14" s="1"/>
  <c r="M2237" i="13"/>
  <c r="N2234" i="14"/>
  <c r="J2233" i="14" a="1"/>
  <c r="J2233" i="14" s="1"/>
  <c r="M2238" i="14"/>
  <c r="J2234" i="13" a="1"/>
  <c r="J2234" i="13" s="1"/>
  <c r="N2235" i="13"/>
  <c r="K2048" i="13" l="1"/>
  <c r="L2048" i="13" s="1"/>
  <c r="I2049" i="13" s="1"/>
  <c r="K2071" i="14"/>
  <c r="L2071" i="14" s="1"/>
  <c r="I2072" i="14" s="1"/>
  <c r="J2235" i="13" a="1"/>
  <c r="J2235" i="13" s="1"/>
  <c r="N2236" i="13"/>
  <c r="J2234" i="14" a="1"/>
  <c r="J2234" i="14" s="1"/>
  <c r="N2235" i="14"/>
  <c r="M2239" i="14"/>
  <c r="M2238" i="13"/>
  <c r="K2049" i="13" l="1"/>
  <c r="L2049" i="13" s="1"/>
  <c r="I2050" i="13" s="1"/>
  <c r="K2072" i="14"/>
  <c r="L2072" i="14" s="1"/>
  <c r="I2073" i="14" s="1"/>
  <c r="N2236" i="14"/>
  <c r="J2235" i="14" a="1"/>
  <c r="J2235" i="14" s="1"/>
  <c r="M2239" i="13"/>
  <c r="M2240" i="14"/>
  <c r="J2236" i="13" a="1"/>
  <c r="J2236" i="13" s="1"/>
  <c r="N2237" i="13"/>
  <c r="K2050" i="13" l="1"/>
  <c r="L2050" i="13" s="1"/>
  <c r="I2051" i="13" s="1"/>
  <c r="K2073" i="14"/>
  <c r="L2073" i="14" s="1"/>
  <c r="I2074" i="14" s="1"/>
  <c r="M2241" i="14"/>
  <c r="N2238" i="13"/>
  <c r="J2237" i="13" a="1"/>
  <c r="J2237" i="13" s="1"/>
  <c r="M2240" i="13"/>
  <c r="N2237" i="14"/>
  <c r="J2236" i="14" a="1"/>
  <c r="J2236" i="14" s="1"/>
  <c r="K2051" i="13" l="1"/>
  <c r="L2051" i="13" s="1"/>
  <c r="I2052" i="13" s="1"/>
  <c r="K2074" i="14"/>
  <c r="L2074" i="14" s="1"/>
  <c r="I2075" i="14" s="1"/>
  <c r="J2237" i="14" a="1"/>
  <c r="J2237" i="14" s="1"/>
  <c r="N2238" i="14"/>
  <c r="J2238" i="13" a="1"/>
  <c r="J2238" i="13" s="1"/>
  <c r="N2239" i="13"/>
  <c r="M2241" i="13"/>
  <c r="M2242" i="14"/>
  <c r="K2052" i="13" l="1"/>
  <c r="L2052" i="13" s="1"/>
  <c r="I2053" i="13" s="1"/>
  <c r="J2239" i="13" a="1"/>
  <c r="J2239" i="13" s="1"/>
  <c r="N2240" i="13"/>
  <c r="K2075" i="14"/>
  <c r="L2075" i="14" s="1"/>
  <c r="I2076" i="14" s="1"/>
  <c r="M2242" i="13"/>
  <c r="M2243" i="14"/>
  <c r="N2239" i="14"/>
  <c r="J2238" i="14" a="1"/>
  <c r="J2238" i="14" s="1"/>
  <c r="K2053" i="13" l="1"/>
  <c r="L2053" i="13" s="1"/>
  <c r="I2054" i="13" s="1"/>
  <c r="K2076" i="14"/>
  <c r="L2076" i="14" s="1"/>
  <c r="I2077" i="14" s="1"/>
  <c r="J2240" i="13" a="1"/>
  <c r="J2240" i="13" s="1"/>
  <c r="N2241" i="13"/>
  <c r="N2240" i="14"/>
  <c r="J2239" i="14" a="1"/>
  <c r="J2239" i="14" s="1"/>
  <c r="M2243" i="13"/>
  <c r="M2244" i="14"/>
  <c r="K2054" i="13" l="1"/>
  <c r="L2054" i="13" s="1"/>
  <c r="I2055" i="13" s="1"/>
  <c r="K2077" i="14"/>
  <c r="L2077" i="14" s="1"/>
  <c r="I2078" i="14" s="1"/>
  <c r="M2244" i="13"/>
  <c r="M2245" i="14"/>
  <c r="N2241" i="14"/>
  <c r="J2240" i="14" a="1"/>
  <c r="J2240" i="14" s="1"/>
  <c r="N2242" i="13"/>
  <c r="J2241" i="13" a="1"/>
  <c r="J2241" i="13" s="1"/>
  <c r="K2055" i="13" l="1"/>
  <c r="L2055" i="13" s="1"/>
  <c r="I2056" i="13" s="1"/>
  <c r="M2246" i="14"/>
  <c r="K2078" i="14"/>
  <c r="L2078" i="14" s="1"/>
  <c r="I2079" i="14" s="1"/>
  <c r="M2245" i="13"/>
  <c r="J2242" i="13" a="1"/>
  <c r="J2242" i="13" s="1"/>
  <c r="N2243" i="13"/>
  <c r="J2241" i="14" a="1"/>
  <c r="J2241" i="14" s="1"/>
  <c r="N2242" i="14"/>
  <c r="K2056" i="13" l="1"/>
  <c r="L2056" i="13" s="1"/>
  <c r="I2057" i="13" s="1"/>
  <c r="K2079" i="14"/>
  <c r="L2079" i="14" s="1"/>
  <c r="I2080" i="14" s="1"/>
  <c r="J2243" i="13" a="1"/>
  <c r="J2243" i="13" s="1"/>
  <c r="N2244" i="13"/>
  <c r="N2243" i="14"/>
  <c r="J2242" i="14" a="1"/>
  <c r="J2242" i="14" s="1"/>
  <c r="M2247" i="14"/>
  <c r="M2246" i="13"/>
  <c r="K2057" i="13" l="1"/>
  <c r="L2057" i="13" s="1"/>
  <c r="I2058" i="13" s="1"/>
  <c r="K2080" i="14"/>
  <c r="L2080" i="14" s="1"/>
  <c r="I2081" i="14" s="1"/>
  <c r="M2247" i="13"/>
  <c r="M2248" i="14"/>
  <c r="N2244" i="14"/>
  <c r="J2243" i="14" a="1"/>
  <c r="J2243" i="14" s="1"/>
  <c r="J2244" i="13" a="1"/>
  <c r="J2244" i="13" s="1"/>
  <c r="N2245" i="13"/>
  <c r="K2058" i="13" l="1"/>
  <c r="L2058" i="13" s="1"/>
  <c r="I2059" i="13" s="1"/>
  <c r="K2081" i="14"/>
  <c r="L2081" i="14" s="1"/>
  <c r="I2082" i="14" s="1"/>
  <c r="N2246" i="13"/>
  <c r="J2245" i="13" a="1"/>
  <c r="J2245" i="13" s="1"/>
  <c r="M2249" i="14"/>
  <c r="N2245" i="14"/>
  <c r="J2244" i="14" a="1"/>
  <c r="J2244" i="14" s="1"/>
  <c r="M2248" i="13"/>
  <c r="K2059" i="13" l="1"/>
  <c r="L2059" i="13" s="1"/>
  <c r="I2060" i="13" s="1"/>
  <c r="K2082" i="14"/>
  <c r="L2082" i="14" s="1"/>
  <c r="I2083" i="14" s="1"/>
  <c r="M2249" i="13"/>
  <c r="J2245" i="14" a="1"/>
  <c r="J2245" i="14" s="1"/>
  <c r="N2246" i="14"/>
  <c r="M2250" i="14"/>
  <c r="J2246" i="13" a="1"/>
  <c r="J2246" i="13" s="1"/>
  <c r="N2247" i="13"/>
  <c r="K2060" i="13" l="1"/>
  <c r="L2060" i="13" s="1"/>
  <c r="I2061" i="13" s="1"/>
  <c r="K2083" i="14"/>
  <c r="L2083" i="14" s="1"/>
  <c r="I2084" i="14" s="1"/>
  <c r="N2247" i="14"/>
  <c r="J2246" i="14" a="1"/>
  <c r="J2246" i="14" s="1"/>
  <c r="J2247" i="13" a="1"/>
  <c r="J2247" i="13" s="1"/>
  <c r="N2248" i="13"/>
  <c r="M2251" i="14"/>
  <c r="M2250" i="13"/>
  <c r="K2061" i="13" l="1"/>
  <c r="L2061" i="13" s="1"/>
  <c r="I2062" i="13" s="1"/>
  <c r="M2251" i="13"/>
  <c r="J2248" i="13" a="1"/>
  <c r="J2248" i="13" s="1"/>
  <c r="N2249" i="13"/>
  <c r="K2084" i="14"/>
  <c r="L2084" i="14" s="1"/>
  <c r="I2085" i="14" s="1"/>
  <c r="M2252" i="14"/>
  <c r="J2247" i="14" a="1"/>
  <c r="J2247" i="14" s="1"/>
  <c r="N2248" i="14"/>
  <c r="K2062" i="13" l="1"/>
  <c r="L2062" i="13" s="1"/>
  <c r="I2063" i="13" s="1"/>
  <c r="K2085" i="14"/>
  <c r="L2085" i="14" s="1"/>
  <c r="I2086" i="14" s="1"/>
  <c r="N2249" i="14"/>
  <c r="J2248" i="14" a="1"/>
  <c r="J2248" i="14" s="1"/>
  <c r="M2252" i="13"/>
  <c r="N2250" i="13"/>
  <c r="J2249" i="13" a="1"/>
  <c r="J2249" i="13" s="1"/>
  <c r="M2253" i="14"/>
  <c r="K2063" i="13" l="1"/>
  <c r="L2063" i="13" s="1"/>
  <c r="I2064" i="13" s="1"/>
  <c r="J2250" i="13" a="1"/>
  <c r="J2250" i="13" s="1"/>
  <c r="N2251" i="13"/>
  <c r="M2254" i="14"/>
  <c r="M2253" i="13"/>
  <c r="J2249" i="14" a="1"/>
  <c r="J2249" i="14" s="1"/>
  <c r="N2250" i="14"/>
  <c r="K2086" i="14"/>
  <c r="L2086" i="14" s="1"/>
  <c r="I2087" i="14" s="1"/>
  <c r="K2064" i="13" l="1"/>
  <c r="L2064" i="13" s="1"/>
  <c r="I2065" i="13" s="1"/>
  <c r="K2087" i="14"/>
  <c r="L2087" i="14" s="1"/>
  <c r="I2088" i="14" s="1"/>
  <c r="J2250" i="14" a="1"/>
  <c r="J2250" i="14" s="1"/>
  <c r="N2251" i="14"/>
  <c r="M2255" i="14"/>
  <c r="J2251" i="13" a="1"/>
  <c r="J2251" i="13" s="1"/>
  <c r="N2252" i="13"/>
  <c r="M2254" i="13"/>
  <c r="K2065" i="13" l="1"/>
  <c r="L2065" i="13" s="1"/>
  <c r="I2066" i="13" s="1"/>
  <c r="K2088" i="14"/>
  <c r="L2088" i="14" s="1"/>
  <c r="I2089" i="14" s="1"/>
  <c r="M2256" i="14"/>
  <c r="M2255" i="13"/>
  <c r="J2252" i="13" a="1"/>
  <c r="J2252" i="13" s="1"/>
  <c r="N2253" i="13"/>
  <c r="N2252" i="14"/>
  <c r="J2251" i="14" a="1"/>
  <c r="J2251" i="14" s="1"/>
  <c r="K2066" i="13" l="1"/>
  <c r="L2066" i="13" s="1"/>
  <c r="I2067" i="13" s="1"/>
  <c r="K2089" i="14"/>
  <c r="L2089" i="14" s="1"/>
  <c r="I2090" i="14" s="1"/>
  <c r="N2254" i="13"/>
  <c r="J2253" i="13" a="1"/>
  <c r="J2253" i="13" s="1"/>
  <c r="N2253" i="14"/>
  <c r="J2252" i="14" a="1"/>
  <c r="J2252" i="14" s="1"/>
  <c r="M2257" i="14"/>
  <c r="M2256" i="13"/>
  <c r="K2067" i="13" l="1"/>
  <c r="L2067" i="13" s="1"/>
  <c r="I2068" i="13" s="1"/>
  <c r="K2090" i="14"/>
  <c r="L2090" i="14" s="1"/>
  <c r="I2091" i="14" s="1"/>
  <c r="J2254" i="13" a="1"/>
  <c r="J2254" i="13" s="1"/>
  <c r="N2255" i="13"/>
  <c r="M2257" i="13"/>
  <c r="M2258" i="14"/>
  <c r="J2253" i="14" a="1"/>
  <c r="J2253" i="14" s="1"/>
  <c r="N2254" i="14"/>
  <c r="K2068" i="13" l="1"/>
  <c r="L2068" i="13" s="1"/>
  <c r="I2069" i="13" s="1"/>
  <c r="K2091" i="14"/>
  <c r="L2091" i="14" s="1"/>
  <c r="I2092" i="14" s="1"/>
  <c r="N2255" i="14"/>
  <c r="J2254" i="14" a="1"/>
  <c r="J2254" i="14" s="1"/>
  <c r="M2259" i="14"/>
  <c r="M2258" i="13"/>
  <c r="J2255" i="13" a="1"/>
  <c r="J2255" i="13" s="1"/>
  <c r="N2256" i="13"/>
  <c r="K2069" i="13" l="1"/>
  <c r="L2069" i="13" s="1"/>
  <c r="I2070" i="13" s="1"/>
  <c r="K2092" i="14"/>
  <c r="L2092" i="14" s="1"/>
  <c r="I2093" i="14" s="1"/>
  <c r="J2256" i="13" a="1"/>
  <c r="J2256" i="13" s="1"/>
  <c r="N2257" i="13"/>
  <c r="M2260" i="14"/>
  <c r="M2259" i="13"/>
  <c r="N2256" i="14"/>
  <c r="J2255" i="14" a="1"/>
  <c r="J2255" i="14" s="1"/>
  <c r="K2070" i="13" l="1"/>
  <c r="L2070" i="13" s="1"/>
  <c r="I2071" i="13" s="1"/>
  <c r="K2093" i="14"/>
  <c r="L2093" i="14" s="1"/>
  <c r="I2094" i="14" s="1"/>
  <c r="N2258" i="13"/>
  <c r="J2257" i="13" a="1"/>
  <c r="J2257" i="13" s="1"/>
  <c r="N2257" i="14"/>
  <c r="J2256" i="14" a="1"/>
  <c r="J2256" i="14" s="1"/>
  <c r="M2260" i="13"/>
  <c r="M2261" i="14"/>
  <c r="K2071" i="13" l="1"/>
  <c r="L2071" i="13" s="1"/>
  <c r="I2072" i="13" s="1"/>
  <c r="J2257" i="14" a="1"/>
  <c r="J2257" i="14" s="1"/>
  <c r="N2258" i="14"/>
  <c r="K2094" i="14"/>
  <c r="L2094" i="14" s="1"/>
  <c r="I2095" i="14" s="1"/>
  <c r="M2262" i="14"/>
  <c r="M2261" i="13"/>
  <c r="J2258" i="13" a="1"/>
  <c r="J2258" i="13" s="1"/>
  <c r="N2259" i="13"/>
  <c r="K2072" i="13" l="1"/>
  <c r="L2072" i="13" s="1"/>
  <c r="I2073" i="13" s="1"/>
  <c r="K2095" i="14"/>
  <c r="L2095" i="14" s="1"/>
  <c r="I2096" i="14" s="1"/>
  <c r="J2259" i="13" a="1"/>
  <c r="J2259" i="13" s="1"/>
  <c r="N2260" i="13"/>
  <c r="M2263" i="14"/>
  <c r="N2259" i="14"/>
  <c r="J2258" i="14" a="1"/>
  <c r="J2258" i="14" s="1"/>
  <c r="M2262" i="13"/>
  <c r="K2073" i="13" l="1"/>
  <c r="L2073" i="13" s="1"/>
  <c r="I2074" i="13" s="1"/>
  <c r="K2096" i="14"/>
  <c r="L2096" i="14" s="1"/>
  <c r="I2097" i="14" s="1"/>
  <c r="N2260" i="14"/>
  <c r="J2259" i="14" a="1"/>
  <c r="J2259" i="14" s="1"/>
  <c r="M2263" i="13"/>
  <c r="M2264" i="14"/>
  <c r="J2260" i="13" a="1"/>
  <c r="J2260" i="13" s="1"/>
  <c r="N2261" i="13"/>
  <c r="K2074" i="13" l="1"/>
  <c r="L2074" i="13" s="1"/>
  <c r="I2075" i="13" s="1"/>
  <c r="K2097" i="14"/>
  <c r="L2097" i="14" s="1"/>
  <c r="I2098" i="14" s="1"/>
  <c r="M2264" i="13"/>
  <c r="N2262" i="13"/>
  <c r="J2261" i="13" a="1"/>
  <c r="J2261" i="13" s="1"/>
  <c r="N2261" i="14"/>
  <c r="J2260" i="14" a="1"/>
  <c r="J2260" i="14" s="1"/>
  <c r="M2265" i="14"/>
  <c r="K2075" i="13" l="1"/>
  <c r="L2075" i="13" s="1"/>
  <c r="I2076" i="13" s="1"/>
  <c r="K2098" i="14"/>
  <c r="L2098" i="14" s="1"/>
  <c r="I2099" i="14" s="1"/>
  <c r="M2266" i="14"/>
  <c r="J2262" i="13" a="1"/>
  <c r="J2262" i="13" s="1"/>
  <c r="N2263" i="13"/>
  <c r="M2265" i="13"/>
  <c r="J2261" i="14" a="1"/>
  <c r="J2261" i="14" s="1"/>
  <c r="N2262" i="14"/>
  <c r="K2076" i="13" l="1"/>
  <c r="L2076" i="13" s="1"/>
  <c r="I2077" i="13" s="1"/>
  <c r="K2099" i="14"/>
  <c r="L2099" i="14" s="1"/>
  <c r="I2100" i="14" s="1"/>
  <c r="J2263" i="13" a="1"/>
  <c r="J2263" i="13" s="1"/>
  <c r="N2264" i="13"/>
  <c r="N2263" i="14"/>
  <c r="J2262" i="14" a="1"/>
  <c r="J2262" i="14" s="1"/>
  <c r="M2267" i="14"/>
  <c r="M2266" i="13"/>
  <c r="K2077" i="13" l="1"/>
  <c r="L2077" i="13" s="1"/>
  <c r="I2078" i="13" s="1"/>
  <c r="K2100" i="14"/>
  <c r="L2100" i="14" s="1"/>
  <c r="I2101" i="14" s="1"/>
  <c r="N2264" i="14"/>
  <c r="J2263" i="14" a="1"/>
  <c r="J2263" i="14" s="1"/>
  <c r="J2264" i="13" a="1"/>
  <c r="J2264" i="13" s="1"/>
  <c r="N2265" i="13"/>
  <c r="M2267" i="13"/>
  <c r="M2268" i="14"/>
  <c r="K2078" i="13" l="1"/>
  <c r="L2078" i="13" s="1"/>
  <c r="I2079" i="13" s="1"/>
  <c r="K2101" i="14"/>
  <c r="L2101" i="14" s="1"/>
  <c r="I2102" i="14" s="1"/>
  <c r="N2266" i="13"/>
  <c r="J2265" i="13" a="1"/>
  <c r="J2265" i="13" s="1"/>
  <c r="M2269" i="14"/>
  <c r="M2268" i="13"/>
  <c r="J2264" i="14" a="1"/>
  <c r="J2264" i="14" s="1"/>
  <c r="N2265" i="14"/>
  <c r="K2079" i="13" l="1"/>
  <c r="L2079" i="13" s="1"/>
  <c r="I2080" i="13" s="1"/>
  <c r="K2102" i="14"/>
  <c r="L2102" i="14" s="1"/>
  <c r="I2103" i="14" s="1"/>
  <c r="J2265" i="14" a="1"/>
  <c r="J2265" i="14" s="1"/>
  <c r="N2266" i="14"/>
  <c r="M2270" i="14"/>
  <c r="M2269" i="13"/>
  <c r="J2266" i="13" a="1"/>
  <c r="J2266" i="13" s="1"/>
  <c r="N2267" i="13"/>
  <c r="K2080" i="13" l="1"/>
  <c r="L2080" i="13" s="1"/>
  <c r="I2081" i="13" s="1"/>
  <c r="K2103" i="14"/>
  <c r="L2103" i="14" s="1"/>
  <c r="I2104" i="14" s="1"/>
  <c r="N2267" i="14"/>
  <c r="J2266" i="14" a="1"/>
  <c r="J2266" i="14" s="1"/>
  <c r="J2267" i="13" a="1"/>
  <c r="J2267" i="13" s="1"/>
  <c r="N2268" i="13"/>
  <c r="M2271" i="14"/>
  <c r="M2270" i="13"/>
  <c r="K2081" i="13" l="1"/>
  <c r="L2081" i="13" s="1"/>
  <c r="I2082" i="13" s="1"/>
  <c r="M2271" i="13"/>
  <c r="J2268" i="13" a="1"/>
  <c r="J2268" i="13" s="1"/>
  <c r="N2269" i="13"/>
  <c r="K2104" i="14"/>
  <c r="L2104" i="14" s="1"/>
  <c r="I2105" i="14" s="1"/>
  <c r="M2272" i="14"/>
  <c r="N2268" i="14"/>
  <c r="J2267" i="14" a="1"/>
  <c r="J2267" i="14" s="1"/>
  <c r="K2082" i="13" l="1"/>
  <c r="L2082" i="13" s="1"/>
  <c r="I2083" i="13" s="1"/>
  <c r="K2105" i="14"/>
  <c r="L2105" i="14" s="1"/>
  <c r="I2106" i="14" s="1"/>
  <c r="N2270" i="13"/>
  <c r="J2269" i="13" a="1"/>
  <c r="J2269" i="13" s="1"/>
  <c r="M2273" i="14"/>
  <c r="J2268" i="14" a="1"/>
  <c r="J2268" i="14" s="1"/>
  <c r="N2269" i="14"/>
  <c r="M2272" i="13"/>
  <c r="K2083" i="13" l="1"/>
  <c r="L2083" i="13" s="1"/>
  <c r="I2084" i="13" s="1"/>
  <c r="K2106" i="14"/>
  <c r="L2106" i="14" s="1"/>
  <c r="I2107" i="14" s="1"/>
  <c r="M2273" i="13"/>
  <c r="M2274" i="14"/>
  <c r="J2269" i="14" a="1"/>
  <c r="J2269" i="14" s="1"/>
  <c r="N2270" i="14"/>
  <c r="J2270" i="13" a="1"/>
  <c r="J2270" i="13" s="1"/>
  <c r="N2271" i="13"/>
  <c r="K2084" i="13" l="1"/>
  <c r="L2084" i="13" s="1"/>
  <c r="I2085" i="13" s="1"/>
  <c r="J2271" i="13" a="1"/>
  <c r="J2271" i="13" s="1"/>
  <c r="N2272" i="13"/>
  <c r="M2275" i="14"/>
  <c r="K2107" i="14"/>
  <c r="L2107" i="14" s="1"/>
  <c r="I2108" i="14" s="1"/>
  <c r="N2271" i="14"/>
  <c r="J2270" i="14" a="1"/>
  <c r="J2270" i="14" s="1"/>
  <c r="M2274" i="13"/>
  <c r="K2085" i="13" l="1"/>
  <c r="L2085" i="13" s="1"/>
  <c r="I2086" i="13" s="1"/>
  <c r="M2275" i="13"/>
  <c r="K2108" i="14"/>
  <c r="L2108" i="14" s="1"/>
  <c r="I2109" i="14" s="1"/>
  <c r="J2272" i="13" a="1"/>
  <c r="J2272" i="13" s="1"/>
  <c r="N2273" i="13"/>
  <c r="N2272" i="14"/>
  <c r="J2271" i="14" a="1"/>
  <c r="J2271" i="14" s="1"/>
  <c r="M2276" i="14"/>
  <c r="K2086" i="13" l="1"/>
  <c r="L2086" i="13" s="1"/>
  <c r="I2087" i="13" s="1"/>
  <c r="K2109" i="14"/>
  <c r="L2109" i="14" s="1"/>
  <c r="I2110" i="14" s="1"/>
  <c r="N2274" i="13"/>
  <c r="J2273" i="13" a="1"/>
  <c r="J2273" i="13" s="1"/>
  <c r="M2276" i="13"/>
  <c r="M2277" i="14"/>
  <c r="J2272" i="14" a="1"/>
  <c r="J2272" i="14" s="1"/>
  <c r="N2273" i="14"/>
  <c r="K2087" i="13" l="1"/>
  <c r="L2087" i="13" s="1"/>
  <c r="I2088" i="13" s="1"/>
  <c r="J2273" i="14" a="1"/>
  <c r="J2273" i="14" s="1"/>
  <c r="N2274" i="14"/>
  <c r="M2277" i="13"/>
  <c r="M2278" i="14"/>
  <c r="J2274" i="13" a="1"/>
  <c r="J2274" i="13" s="1"/>
  <c r="N2275" i="13"/>
  <c r="K2110" i="14"/>
  <c r="L2110" i="14" s="1"/>
  <c r="I2111" i="14" s="1"/>
  <c r="K2088" i="13" l="1"/>
  <c r="L2088" i="13" s="1"/>
  <c r="I2089" i="13" s="1"/>
  <c r="K2111" i="14"/>
  <c r="L2111" i="14" s="1"/>
  <c r="I2112" i="14" s="1"/>
  <c r="M2279" i="14"/>
  <c r="N2275" i="14"/>
  <c r="J2274" i="14" a="1"/>
  <c r="J2274" i="14" s="1"/>
  <c r="J2275" i="13" a="1"/>
  <c r="J2275" i="13" s="1"/>
  <c r="N2276" i="13"/>
  <c r="M2278" i="13"/>
  <c r="K2089" i="13" l="1"/>
  <c r="L2089" i="13" s="1"/>
  <c r="I2090" i="13" s="1"/>
  <c r="K2112" i="14"/>
  <c r="L2112" i="14" s="1"/>
  <c r="I2113" i="14" s="1"/>
  <c r="M2279" i="13"/>
  <c r="N2276" i="14"/>
  <c r="J2275" i="14" a="1"/>
  <c r="J2275" i="14" s="1"/>
  <c r="J2276" i="13" a="1"/>
  <c r="J2276" i="13" s="1"/>
  <c r="N2277" i="13"/>
  <c r="M2280" i="14"/>
  <c r="K2090" i="13" l="1"/>
  <c r="L2090" i="13" s="1"/>
  <c r="I2091" i="13" s="1"/>
  <c r="K2113" i="14"/>
  <c r="L2113" i="14" s="1"/>
  <c r="I2114" i="14" s="1"/>
  <c r="N2278" i="13"/>
  <c r="J2277" i="13" a="1"/>
  <c r="J2277" i="13" s="1"/>
  <c r="M2281" i="14"/>
  <c r="J2276" i="14" a="1"/>
  <c r="J2276" i="14" s="1"/>
  <c r="N2277" i="14"/>
  <c r="M2280" i="13"/>
  <c r="K2091" i="13" l="1"/>
  <c r="L2091" i="13" s="1"/>
  <c r="I2092" i="13" s="1"/>
  <c r="K2114" i="14"/>
  <c r="L2114" i="14" s="1"/>
  <c r="I2115" i="14" s="1"/>
  <c r="M2281" i="13"/>
  <c r="M2282" i="14"/>
  <c r="J2277" i="14" a="1"/>
  <c r="J2277" i="14" s="1"/>
  <c r="N2278" i="14"/>
  <c r="J2278" i="13" a="1"/>
  <c r="J2278" i="13" s="1"/>
  <c r="N2279" i="13"/>
  <c r="K2092" i="13" l="1"/>
  <c r="L2092" i="13" s="1"/>
  <c r="I2093" i="13" s="1"/>
  <c r="K2115" i="14"/>
  <c r="L2115" i="14" s="1"/>
  <c r="I2116" i="14" s="1"/>
  <c r="N2279" i="14"/>
  <c r="J2278" i="14" a="1"/>
  <c r="J2278" i="14" s="1"/>
  <c r="J2279" i="13" a="1"/>
  <c r="J2279" i="13" s="1"/>
  <c r="N2280" i="13"/>
  <c r="M2283" i="14"/>
  <c r="M2282" i="13"/>
  <c r="K2093" i="13" l="1"/>
  <c r="L2093" i="13" s="1"/>
  <c r="I2094" i="13" s="1"/>
  <c r="K2116" i="14"/>
  <c r="L2116" i="14" s="1"/>
  <c r="I2117" i="14" s="1"/>
  <c r="J2280" i="13" a="1"/>
  <c r="J2280" i="13" s="1"/>
  <c r="N2281" i="13"/>
  <c r="M2283" i="13"/>
  <c r="M2284" i="14"/>
  <c r="N2280" i="14"/>
  <c r="J2279" i="14" a="1"/>
  <c r="J2279" i="14" s="1"/>
  <c r="K2094" i="13" l="1"/>
  <c r="L2094" i="13" s="1"/>
  <c r="I2095" i="13" s="1"/>
  <c r="K2117" i="14"/>
  <c r="L2117" i="14" s="1"/>
  <c r="I2118" i="14" s="1"/>
  <c r="N2282" i="13"/>
  <c r="J2281" i="13" a="1"/>
  <c r="J2281" i="13" s="1"/>
  <c r="J2280" i="14" a="1"/>
  <c r="J2280" i="14" s="1"/>
  <c r="N2281" i="14"/>
  <c r="M2285" i="14"/>
  <c r="M2284" i="13"/>
  <c r="K2095" i="13" l="1"/>
  <c r="L2095" i="13" s="1"/>
  <c r="I2096" i="13" s="1"/>
  <c r="M2285" i="13"/>
  <c r="J2281" i="14" a="1"/>
  <c r="J2281" i="14" s="1"/>
  <c r="N2282" i="14"/>
  <c r="K2118" i="14"/>
  <c r="L2118" i="14" s="1"/>
  <c r="I2119" i="14" s="1"/>
  <c r="M2286" i="14"/>
  <c r="J2282" i="13" a="1"/>
  <c r="J2282" i="13" s="1"/>
  <c r="N2283" i="13"/>
  <c r="K2096" i="13" l="1"/>
  <c r="L2096" i="13" s="1"/>
  <c r="I2097" i="13" s="1"/>
  <c r="J2283" i="13" a="1"/>
  <c r="J2283" i="13" s="1"/>
  <c r="N2284" i="13"/>
  <c r="M2286" i="13"/>
  <c r="K2119" i="14"/>
  <c r="L2119" i="14" s="1"/>
  <c r="I2120" i="14" s="1"/>
  <c r="M2287" i="14"/>
  <c r="J2282" i="14" a="1"/>
  <c r="J2282" i="14" s="1"/>
  <c r="N2283" i="14"/>
  <c r="K2097" i="13" l="1"/>
  <c r="L2097" i="13" s="1"/>
  <c r="I2098" i="13" s="1"/>
  <c r="K2120" i="14"/>
  <c r="L2120" i="14" s="1"/>
  <c r="I2121" i="14" s="1"/>
  <c r="J2284" i="13" a="1"/>
  <c r="J2284" i="13" s="1"/>
  <c r="N2285" i="13"/>
  <c r="N2284" i="14"/>
  <c r="J2283" i="14" a="1"/>
  <c r="J2283" i="14" s="1"/>
  <c r="M2288" i="14"/>
  <c r="M2287" i="13"/>
  <c r="K2098" i="13" l="1"/>
  <c r="L2098" i="13" s="1"/>
  <c r="I2099" i="13" s="1"/>
  <c r="K2121" i="14"/>
  <c r="L2121" i="14" s="1"/>
  <c r="I2122" i="14" s="1"/>
  <c r="M2288" i="13"/>
  <c r="J2284" i="14" a="1"/>
  <c r="J2284" i="14" s="1"/>
  <c r="N2285" i="14"/>
  <c r="N2286" i="13"/>
  <c r="J2285" i="13" a="1"/>
  <c r="J2285" i="13" s="1"/>
  <c r="M2289" i="14"/>
  <c r="K2099" i="13" l="1"/>
  <c r="L2099" i="13" s="1"/>
  <c r="I2100" i="13" s="1"/>
  <c r="K2122" i="14"/>
  <c r="L2122" i="14" s="1"/>
  <c r="I2123" i="14" s="1"/>
  <c r="J2285" i="14" a="1"/>
  <c r="J2285" i="14" s="1"/>
  <c r="N2286" i="14"/>
  <c r="M2290" i="14"/>
  <c r="M2289" i="13"/>
  <c r="J2286" i="13" a="1"/>
  <c r="J2286" i="13" s="1"/>
  <c r="N2287" i="13"/>
  <c r="K2100" i="13" l="1"/>
  <c r="L2100" i="13" s="1"/>
  <c r="I2101" i="13" s="1"/>
  <c r="K2123" i="14"/>
  <c r="L2123" i="14" s="1"/>
  <c r="I2124" i="14" s="1"/>
  <c r="M2290" i="13"/>
  <c r="J2287" i="13" a="1"/>
  <c r="J2287" i="13" s="1"/>
  <c r="N2288" i="13"/>
  <c r="M2291" i="14"/>
  <c r="N2287" i="14"/>
  <c r="J2286" i="14" a="1"/>
  <c r="J2286" i="14" s="1"/>
  <c r="K2101" i="13" l="1"/>
  <c r="L2101" i="13" s="1"/>
  <c r="I2102" i="13" s="1"/>
  <c r="K2124" i="14"/>
  <c r="L2124" i="14" s="1"/>
  <c r="I2125" i="14" s="1"/>
  <c r="J2288" i="13" a="1"/>
  <c r="J2288" i="13" s="1"/>
  <c r="N2289" i="13"/>
  <c r="N2288" i="14"/>
  <c r="J2287" i="14" a="1"/>
  <c r="J2287" i="14" s="1"/>
  <c r="M2292" i="14"/>
  <c r="M2291" i="13"/>
  <c r="K2102" i="13" l="1"/>
  <c r="L2102" i="13" s="1"/>
  <c r="I2103" i="13" s="1"/>
  <c r="J2288" i="14" a="1"/>
  <c r="J2288" i="14" s="1"/>
  <c r="N2289" i="14"/>
  <c r="K2125" i="14"/>
  <c r="L2125" i="14" s="1"/>
  <c r="I2126" i="14" s="1"/>
  <c r="N2290" i="13"/>
  <c r="J2289" i="13" a="1"/>
  <c r="J2289" i="13" s="1"/>
  <c r="M2292" i="13"/>
  <c r="M2293" i="14"/>
  <c r="K2103" i="13" l="1"/>
  <c r="L2103" i="13" s="1"/>
  <c r="I2104" i="13" s="1"/>
  <c r="K2126" i="14"/>
  <c r="L2126" i="14" s="1"/>
  <c r="I2127" i="14" s="1"/>
  <c r="J2289" i="14" a="1"/>
  <c r="J2289" i="14" s="1"/>
  <c r="N2290" i="14"/>
  <c r="M2294" i="14"/>
  <c r="J2290" i="13" a="1"/>
  <c r="J2290" i="13" s="1"/>
  <c r="N2291" i="13"/>
  <c r="M2293" i="13"/>
  <c r="K2104" i="13" l="1"/>
  <c r="L2104" i="13" s="1"/>
  <c r="I2105" i="13" s="1"/>
  <c r="K2127" i="14"/>
  <c r="L2127" i="14" s="1"/>
  <c r="I2128" i="14" s="1"/>
  <c r="J2291" i="13" a="1"/>
  <c r="J2291" i="13" s="1"/>
  <c r="N2292" i="13"/>
  <c r="M2295" i="14"/>
  <c r="M2294" i="13"/>
  <c r="J2290" i="14" a="1"/>
  <c r="J2290" i="14" s="1"/>
  <c r="N2291" i="14"/>
  <c r="K2105" i="13" l="1"/>
  <c r="L2105" i="13" s="1"/>
  <c r="I2106" i="13" s="1"/>
  <c r="K2128" i="14"/>
  <c r="L2128" i="14" s="1"/>
  <c r="I2129" i="14" s="1"/>
  <c r="J2292" i="13" a="1"/>
  <c r="J2292" i="13" s="1"/>
  <c r="N2293" i="13"/>
  <c r="N2292" i="14"/>
  <c r="J2291" i="14" a="1"/>
  <c r="J2291" i="14" s="1"/>
  <c r="M2295" i="13"/>
  <c r="M2296" i="14"/>
  <c r="K2106" i="13" l="1"/>
  <c r="L2106" i="13" s="1"/>
  <c r="I2107" i="13" s="1"/>
  <c r="M2297" i="14"/>
  <c r="K2129" i="14"/>
  <c r="L2129" i="14" s="1"/>
  <c r="I2130" i="14" s="1"/>
  <c r="J2292" i="14" a="1"/>
  <c r="J2292" i="14" s="1"/>
  <c r="N2293" i="14"/>
  <c r="N2294" i="13"/>
  <c r="J2293" i="13" a="1"/>
  <c r="J2293" i="13" s="1"/>
  <c r="M2296" i="13"/>
  <c r="K2107" i="13" l="1"/>
  <c r="L2107" i="13" s="1"/>
  <c r="I2108" i="13" s="1"/>
  <c r="K2130" i="14"/>
  <c r="L2130" i="14" s="1"/>
  <c r="I2131" i="14" s="1"/>
  <c r="J2293" i="14" a="1"/>
  <c r="J2293" i="14" s="1"/>
  <c r="N2294" i="14"/>
  <c r="M2297" i="13"/>
  <c r="M2298" i="14"/>
  <c r="J2294" i="13" a="1"/>
  <c r="J2294" i="13" s="1"/>
  <c r="N2295" i="13"/>
  <c r="K2108" i="13" l="1"/>
  <c r="L2108" i="13" s="1"/>
  <c r="I2109" i="13" s="1"/>
  <c r="M2299" i="14"/>
  <c r="J2295" i="13" a="1"/>
  <c r="J2295" i="13" s="1"/>
  <c r="N2296" i="13"/>
  <c r="M2298" i="13"/>
  <c r="N2295" i="14"/>
  <c r="J2294" i="14" a="1"/>
  <c r="J2294" i="14" s="1"/>
  <c r="K2131" i="14"/>
  <c r="L2131" i="14" s="1"/>
  <c r="I2132" i="14" s="1"/>
  <c r="K2109" i="13" l="1"/>
  <c r="L2109" i="13" s="1"/>
  <c r="I2110" i="13" s="1"/>
  <c r="K2132" i="14"/>
  <c r="L2132" i="14" s="1"/>
  <c r="I2133" i="14" s="1"/>
  <c r="J2296" i="13" a="1"/>
  <c r="J2296" i="13" s="1"/>
  <c r="N2297" i="13"/>
  <c r="N2296" i="14"/>
  <c r="J2295" i="14" a="1"/>
  <c r="J2295" i="14" s="1"/>
  <c r="M2299" i="13"/>
  <c r="M2300" i="14"/>
  <c r="K2110" i="13" l="1"/>
  <c r="L2110" i="13" s="1"/>
  <c r="I2111" i="13" s="1"/>
  <c r="K2133" i="14"/>
  <c r="L2133" i="14" s="1"/>
  <c r="I2134" i="14" s="1"/>
  <c r="M2300" i="13"/>
  <c r="N2298" i="13"/>
  <c r="J2297" i="13" a="1"/>
  <c r="J2297" i="13" s="1"/>
  <c r="M2301" i="14"/>
  <c r="J2296" i="14" a="1"/>
  <c r="J2296" i="14" s="1"/>
  <c r="N2297" i="14"/>
  <c r="K2111" i="13" l="1"/>
  <c r="L2111" i="13" s="1"/>
  <c r="I2112" i="13" s="1"/>
  <c r="J2297" i="14" a="1"/>
  <c r="J2297" i="14" s="1"/>
  <c r="N2298" i="14"/>
  <c r="K2134" i="14"/>
  <c r="L2134" i="14" s="1"/>
  <c r="I2135" i="14" s="1"/>
  <c r="J2298" i="13" a="1"/>
  <c r="J2298" i="13" s="1"/>
  <c r="N2299" i="13"/>
  <c r="M2301" i="13"/>
  <c r="M2302" i="14"/>
  <c r="K2112" i="13" l="1"/>
  <c r="L2112" i="13" s="1"/>
  <c r="I2113" i="13" s="1"/>
  <c r="K2135" i="14"/>
  <c r="L2135" i="14" s="1"/>
  <c r="I2136" i="14" s="1"/>
  <c r="M2302" i="13"/>
  <c r="M2303" i="14"/>
  <c r="J2299" i="13" a="1"/>
  <c r="J2299" i="13" s="1"/>
  <c r="N2300" i="13"/>
  <c r="J2298" i="14" a="1"/>
  <c r="J2298" i="14" s="1"/>
  <c r="N2299" i="14"/>
  <c r="K2113" i="13" l="1"/>
  <c r="L2113" i="13" s="1"/>
  <c r="I2114" i="13" s="1"/>
  <c r="K2136" i="14"/>
  <c r="L2136" i="14" s="1"/>
  <c r="I2137" i="14" s="1"/>
  <c r="N2300" i="14"/>
  <c r="J2299" i="14" a="1"/>
  <c r="J2299" i="14" s="1"/>
  <c r="M2304" i="14"/>
  <c r="M2303" i="13"/>
  <c r="J2300" i="13" a="1"/>
  <c r="J2300" i="13" s="1"/>
  <c r="N2301" i="13"/>
  <c r="K2114" i="13" l="1"/>
  <c r="L2114" i="13" s="1"/>
  <c r="I2115" i="13" s="1"/>
  <c r="N2302" i="13"/>
  <c r="J2301" i="13" a="1"/>
  <c r="J2301" i="13" s="1"/>
  <c r="K2137" i="14"/>
  <c r="L2137" i="14" s="1"/>
  <c r="I2138" i="14" s="1"/>
  <c r="M2305" i="14"/>
  <c r="M2304" i="13"/>
  <c r="J2300" i="14" a="1"/>
  <c r="J2300" i="14" s="1"/>
  <c r="N2301" i="14"/>
  <c r="K2115" i="13" l="1"/>
  <c r="L2115" i="13" s="1"/>
  <c r="I2116" i="13" s="1"/>
  <c r="J2301" i="14" a="1"/>
  <c r="J2301" i="14" s="1"/>
  <c r="N2302" i="14"/>
  <c r="M2306" i="14"/>
  <c r="J2302" i="13" a="1"/>
  <c r="J2302" i="13" s="1"/>
  <c r="N2303" i="13"/>
  <c r="M2305" i="13"/>
  <c r="K2138" i="14"/>
  <c r="L2138" i="14" s="1"/>
  <c r="I2139" i="14" s="1"/>
  <c r="K2116" i="13" l="1"/>
  <c r="L2116" i="13" s="1"/>
  <c r="I2117" i="13" s="1"/>
  <c r="K2139" i="14"/>
  <c r="L2139" i="14" s="1"/>
  <c r="I2140" i="14" s="1"/>
  <c r="J2303" i="13" a="1"/>
  <c r="J2303" i="13" s="1"/>
  <c r="N2304" i="13"/>
  <c r="N2303" i="14"/>
  <c r="J2302" i="14" a="1"/>
  <c r="J2302" i="14" s="1"/>
  <c r="M2307" i="14"/>
  <c r="M2306" i="13"/>
  <c r="K2117" i="13" l="1"/>
  <c r="L2117" i="13" s="1"/>
  <c r="I2118" i="13" s="1"/>
  <c r="K2140" i="14"/>
  <c r="L2140" i="14" s="1"/>
  <c r="I2141" i="14" s="1"/>
  <c r="M2307" i="13"/>
  <c r="N2304" i="14"/>
  <c r="J2303" i="14" a="1"/>
  <c r="J2303" i="14" s="1"/>
  <c r="J2304" i="13" a="1"/>
  <c r="J2304" i="13" s="1"/>
  <c r="N2305" i="13"/>
  <c r="M2308" i="14"/>
  <c r="K2118" i="13" l="1"/>
  <c r="L2118" i="13" s="1"/>
  <c r="I2119" i="13" s="1"/>
  <c r="K2141" i="14"/>
  <c r="L2141" i="14" s="1"/>
  <c r="I2142" i="14" s="1"/>
  <c r="M2309" i="14"/>
  <c r="M2308" i="13"/>
  <c r="N2306" i="13"/>
  <c r="J2305" i="13" a="1"/>
  <c r="J2305" i="13" s="1"/>
  <c r="J2304" i="14" a="1"/>
  <c r="J2304" i="14" s="1"/>
  <c r="N2305" i="14"/>
  <c r="K2119" i="13" l="1"/>
  <c r="L2119" i="13" s="1"/>
  <c r="I2120" i="13" s="1"/>
  <c r="K2142" i="14"/>
  <c r="L2142" i="14" s="1"/>
  <c r="I2143" i="14" s="1"/>
  <c r="J2305" i="14" a="1"/>
  <c r="J2305" i="14" s="1"/>
  <c r="N2306" i="14"/>
  <c r="M2309" i="13"/>
  <c r="M2310" i="14"/>
  <c r="J2306" i="13" a="1"/>
  <c r="J2306" i="13" s="1"/>
  <c r="N2307" i="13"/>
  <c r="K2120" i="13" l="1"/>
  <c r="L2120" i="13" s="1"/>
  <c r="I2121" i="13" s="1"/>
  <c r="K2143" i="14"/>
  <c r="L2143" i="14" s="1"/>
  <c r="I2144" i="14" s="1"/>
  <c r="J2307" i="13" a="1"/>
  <c r="J2307" i="13" s="1"/>
  <c r="N2308" i="13"/>
  <c r="J2306" i="14" a="1"/>
  <c r="J2306" i="14" s="1"/>
  <c r="N2307" i="14"/>
  <c r="M2310" i="13"/>
  <c r="M2311" i="14"/>
  <c r="K2121" i="13" l="1"/>
  <c r="L2121" i="13" s="1"/>
  <c r="I2122" i="13" s="1"/>
  <c r="K2144" i="14"/>
  <c r="L2144" i="14" s="1"/>
  <c r="I2145" i="14" s="1"/>
  <c r="M2312" i="14"/>
  <c r="N2308" i="14"/>
  <c r="J2307" i="14" a="1"/>
  <c r="J2307" i="14" s="1"/>
  <c r="J2308" i="13" a="1"/>
  <c r="J2308" i="13" s="1"/>
  <c r="N2309" i="13"/>
  <c r="M2311" i="13"/>
  <c r="K2122" i="13" l="1"/>
  <c r="L2122" i="13" s="1"/>
  <c r="I2123" i="13" s="1"/>
  <c r="K2145" i="14"/>
  <c r="L2145" i="14" s="1"/>
  <c r="I2146" i="14" s="1"/>
  <c r="M2312" i="13"/>
  <c r="J2308" i="14" a="1"/>
  <c r="J2308" i="14" s="1"/>
  <c r="N2309" i="14"/>
  <c r="N2310" i="13"/>
  <c r="J2309" i="13" a="1"/>
  <c r="J2309" i="13" s="1"/>
  <c r="M2313" i="14"/>
  <c r="K2123" i="13" l="1"/>
  <c r="L2123" i="13" s="1"/>
  <c r="I2124" i="13" s="1"/>
  <c r="K2146" i="14"/>
  <c r="L2146" i="14" s="1"/>
  <c r="I2147" i="14" s="1"/>
  <c r="J2309" i="14" a="1"/>
  <c r="J2309" i="14" s="1"/>
  <c r="N2310" i="14"/>
  <c r="M2314" i="14"/>
  <c r="M2313" i="13"/>
  <c r="J2310" i="13" a="1"/>
  <c r="J2310" i="13" s="1"/>
  <c r="N2311" i="13"/>
  <c r="K2124" i="13" l="1"/>
  <c r="L2124" i="13" s="1"/>
  <c r="I2125" i="13" s="1"/>
  <c r="K2147" i="14"/>
  <c r="L2147" i="14" s="1"/>
  <c r="I2148" i="14" s="1"/>
  <c r="J2311" i="13" a="1"/>
  <c r="J2311" i="13" s="1"/>
  <c r="N2312" i="13"/>
  <c r="M2315" i="14"/>
  <c r="N2311" i="14"/>
  <c r="J2310" i="14" a="1"/>
  <c r="J2310" i="14" s="1"/>
  <c r="M2314" i="13"/>
  <c r="K2125" i="13" l="1"/>
  <c r="L2125" i="13" s="1"/>
  <c r="I2126" i="13" s="1"/>
  <c r="K2148" i="14"/>
  <c r="L2148" i="14" s="1"/>
  <c r="I2149" i="14" s="1"/>
  <c r="N2312" i="14"/>
  <c r="J2311" i="14" a="1"/>
  <c r="J2311" i="14" s="1"/>
  <c r="M2315" i="13"/>
  <c r="M2316" i="14"/>
  <c r="J2312" i="13" a="1"/>
  <c r="J2312" i="13" s="1"/>
  <c r="N2313" i="13"/>
  <c r="K2126" i="13" l="1"/>
  <c r="L2126" i="13" s="1"/>
  <c r="I2127" i="13" s="1"/>
  <c r="K2149" i="14"/>
  <c r="L2149" i="14" s="1"/>
  <c r="I2150" i="14" s="1"/>
  <c r="M2316" i="13"/>
  <c r="N2314" i="13"/>
  <c r="J2313" i="13" a="1"/>
  <c r="J2313" i="13" s="1"/>
  <c r="M2317" i="14"/>
  <c r="J2312" i="14" a="1"/>
  <c r="J2312" i="14" s="1"/>
  <c r="N2313" i="14"/>
  <c r="K2127" i="13" l="1"/>
  <c r="L2127" i="13" s="1"/>
  <c r="I2128" i="13" s="1"/>
  <c r="K2150" i="14"/>
  <c r="L2150" i="14" s="1"/>
  <c r="I2151" i="14" s="1"/>
  <c r="J2313" i="14" a="1"/>
  <c r="J2313" i="14" s="1"/>
  <c r="N2314" i="14"/>
  <c r="M2317" i="13"/>
  <c r="J2314" i="13" a="1"/>
  <c r="J2314" i="13" s="1"/>
  <c r="N2315" i="13"/>
  <c r="M2318" i="14"/>
  <c r="K2128" i="13" l="1"/>
  <c r="L2128" i="13" s="1"/>
  <c r="I2129" i="13" s="1"/>
  <c r="M2319" i="14"/>
  <c r="J2314" i="14" a="1"/>
  <c r="J2314" i="14" s="1"/>
  <c r="N2315" i="14"/>
  <c r="M2318" i="13"/>
  <c r="K2151" i="14"/>
  <c r="L2151" i="14" s="1"/>
  <c r="I2152" i="14" s="1"/>
  <c r="J2315" i="13" a="1"/>
  <c r="J2315" i="13" s="1"/>
  <c r="N2316" i="13"/>
  <c r="K2129" i="13" l="1"/>
  <c r="L2129" i="13" s="1"/>
  <c r="I2130" i="13" s="1"/>
  <c r="K2152" i="14"/>
  <c r="L2152" i="14" s="1"/>
  <c r="I2153" i="14" s="1"/>
  <c r="J2316" i="13" a="1"/>
  <c r="J2316" i="13" s="1"/>
  <c r="N2317" i="13"/>
  <c r="M2319" i="13"/>
  <c r="M2320" i="14"/>
  <c r="N2316" i="14"/>
  <c r="J2315" i="14" a="1"/>
  <c r="J2315" i="14" s="1"/>
  <c r="K2130" i="13" l="1"/>
  <c r="L2130" i="13" s="1"/>
  <c r="I2131" i="13" s="1"/>
  <c r="M2321" i="14"/>
  <c r="M2320" i="13"/>
  <c r="J2316" i="14" a="1"/>
  <c r="J2316" i="14" s="1"/>
  <c r="N2317" i="14"/>
  <c r="N2318" i="13"/>
  <c r="J2317" i="13" a="1"/>
  <c r="J2317" i="13" s="1"/>
  <c r="K2153" i="14"/>
  <c r="L2153" i="14" s="1"/>
  <c r="I2154" i="14" s="1"/>
  <c r="K2131" i="13" l="1"/>
  <c r="L2131" i="13" s="1"/>
  <c r="I2132" i="13" s="1"/>
  <c r="K2154" i="14"/>
  <c r="L2154" i="14" s="1"/>
  <c r="I2155" i="14" s="1"/>
  <c r="J2317" i="14" a="1"/>
  <c r="J2317" i="14" s="1"/>
  <c r="N2318" i="14"/>
  <c r="M2321" i="13"/>
  <c r="J2318" i="13" a="1"/>
  <c r="J2318" i="13" s="1"/>
  <c r="N2319" i="13"/>
  <c r="M2322" i="14"/>
  <c r="K2132" i="13" l="1"/>
  <c r="L2132" i="13" s="1"/>
  <c r="I2133" i="13" s="1"/>
  <c r="K2155" i="14"/>
  <c r="L2155" i="14" s="1"/>
  <c r="I2156" i="14" s="1"/>
  <c r="M2323" i="14"/>
  <c r="M2322" i="13"/>
  <c r="J2319" i="13" a="1"/>
  <c r="J2319" i="13" s="1"/>
  <c r="N2320" i="13"/>
  <c r="N2319" i="14"/>
  <c r="J2318" i="14" a="1"/>
  <c r="J2318" i="14" s="1"/>
  <c r="K2133" i="13" l="1"/>
  <c r="L2133" i="13" s="1"/>
  <c r="I2134" i="13" s="1"/>
  <c r="K2156" i="14"/>
  <c r="L2156" i="14" s="1"/>
  <c r="I2157" i="14" s="1"/>
  <c r="J2320" i="13" a="1"/>
  <c r="J2320" i="13" s="1"/>
  <c r="N2321" i="13"/>
  <c r="N2320" i="14"/>
  <c r="J2319" i="14" a="1"/>
  <c r="J2319" i="14" s="1"/>
  <c r="M2324" i="14"/>
  <c r="M2323" i="13"/>
  <c r="K2134" i="13" l="1"/>
  <c r="L2134" i="13" s="1"/>
  <c r="I2135" i="13" s="1"/>
  <c r="K2157" i="14"/>
  <c r="L2157" i="14" s="1"/>
  <c r="I2158" i="14" s="1"/>
  <c r="N2322" i="13"/>
  <c r="J2321" i="13" a="1"/>
  <c r="J2321" i="13" s="1"/>
  <c r="M2325" i="14"/>
  <c r="M2324" i="13"/>
  <c r="J2320" i="14" a="1"/>
  <c r="J2320" i="14" s="1"/>
  <c r="N2321" i="14"/>
  <c r="K2135" i="13" l="1"/>
  <c r="L2135" i="13" s="1"/>
  <c r="I2136" i="13" s="1"/>
  <c r="K2158" i="14"/>
  <c r="L2158" i="14" s="1"/>
  <c r="I2159" i="14" s="1"/>
  <c r="J2321" i="14" a="1"/>
  <c r="J2321" i="14" s="1"/>
  <c r="N2322" i="14"/>
  <c r="M2325" i="13"/>
  <c r="M2326" i="14"/>
  <c r="J2322" i="13" a="1"/>
  <c r="J2322" i="13" s="1"/>
  <c r="N2323" i="13"/>
  <c r="K2136" i="13" l="1"/>
  <c r="L2136" i="13" s="1"/>
  <c r="I2137" i="13" s="1"/>
  <c r="K2159" i="14"/>
  <c r="L2159" i="14" s="1"/>
  <c r="I2160" i="14" s="1"/>
  <c r="J2322" i="14" a="1"/>
  <c r="J2322" i="14" s="1"/>
  <c r="N2323" i="14"/>
  <c r="J2323" i="13" a="1"/>
  <c r="J2323" i="13" s="1"/>
  <c r="N2324" i="13"/>
  <c r="M2327" i="14"/>
  <c r="M2326" i="13"/>
  <c r="K2137" i="13" l="1"/>
  <c r="L2137" i="13" s="1"/>
  <c r="I2138" i="13" s="1"/>
  <c r="K2160" i="14"/>
  <c r="L2160" i="14" s="1"/>
  <c r="I2161" i="14" s="1"/>
  <c r="J2324" i="13" a="1"/>
  <c r="J2324" i="13" s="1"/>
  <c r="N2325" i="13"/>
  <c r="M2327" i="13"/>
  <c r="N2324" i="14"/>
  <c r="J2323" i="14" a="1"/>
  <c r="J2323" i="14" s="1"/>
  <c r="M2328" i="14"/>
  <c r="K2138" i="13" l="1"/>
  <c r="L2138" i="13" s="1"/>
  <c r="I2139" i="13" s="1"/>
  <c r="K2161" i="14"/>
  <c r="L2161" i="14" s="1"/>
  <c r="I2162" i="14" s="1"/>
  <c r="N2326" i="13"/>
  <c r="J2325" i="13" a="1"/>
  <c r="J2325" i="13" s="1"/>
  <c r="J2324" i="14" a="1"/>
  <c r="J2324" i="14" s="1"/>
  <c r="N2325" i="14"/>
  <c r="M2329" i="14"/>
  <c r="M2328" i="13"/>
  <c r="K2139" i="13" l="1"/>
  <c r="L2139" i="13" s="1"/>
  <c r="I2140" i="13" s="1"/>
  <c r="M2329" i="13"/>
  <c r="J2325" i="14" a="1"/>
  <c r="J2325" i="14" s="1"/>
  <c r="N2326" i="14"/>
  <c r="K2162" i="14"/>
  <c r="L2162" i="14" s="1"/>
  <c r="I2163" i="14" s="1"/>
  <c r="M2330" i="14"/>
  <c r="J2326" i="13" a="1"/>
  <c r="J2326" i="13" s="1"/>
  <c r="N2327" i="13"/>
  <c r="K2140" i="13" l="1"/>
  <c r="L2140" i="13" s="1"/>
  <c r="I2141" i="13" s="1"/>
  <c r="M2331" i="14"/>
  <c r="J2327" i="13" a="1"/>
  <c r="J2327" i="13" s="1"/>
  <c r="N2328" i="13"/>
  <c r="K2163" i="14"/>
  <c r="L2163" i="14" s="1"/>
  <c r="I2164" i="14" s="1"/>
  <c r="M2330" i="13"/>
  <c r="N2327" i="14"/>
  <c r="J2326" i="14" a="1"/>
  <c r="J2326" i="14" s="1"/>
  <c r="K2141" i="13" l="1"/>
  <c r="L2141" i="13" s="1"/>
  <c r="I2142" i="13" s="1"/>
  <c r="K2164" i="14"/>
  <c r="L2164" i="14" s="1"/>
  <c r="I2165" i="14" s="1"/>
  <c r="M2332" i="14"/>
  <c r="N2328" i="14"/>
  <c r="J2327" i="14" a="1"/>
  <c r="J2327" i="14" s="1"/>
  <c r="J2328" i="13" a="1"/>
  <c r="J2328" i="13" s="1"/>
  <c r="N2329" i="13"/>
  <c r="M2331" i="13"/>
  <c r="K2142" i="13" l="1"/>
  <c r="L2142" i="13" s="1"/>
  <c r="I2143" i="13" s="1"/>
  <c r="J2328" i="14" a="1"/>
  <c r="J2328" i="14" s="1"/>
  <c r="N2329" i="14"/>
  <c r="K2165" i="14"/>
  <c r="L2165" i="14" s="1"/>
  <c r="I2166" i="14" s="1"/>
  <c r="N2330" i="13"/>
  <c r="J2329" i="13" a="1"/>
  <c r="J2329" i="13" s="1"/>
  <c r="M2332" i="13"/>
  <c r="M2333" i="14"/>
  <c r="K2143" i="13" l="1"/>
  <c r="L2143" i="13" s="1"/>
  <c r="I2144" i="13" s="1"/>
  <c r="K2166" i="14"/>
  <c r="L2166" i="14" s="1"/>
  <c r="I2167" i="14" s="1"/>
  <c r="J2329" i="14" a="1"/>
  <c r="J2329" i="14" s="1"/>
  <c r="N2330" i="14"/>
  <c r="M2334" i="14"/>
  <c r="J2330" i="13" a="1"/>
  <c r="J2330" i="13" s="1"/>
  <c r="N2331" i="13"/>
  <c r="M2333" i="13"/>
  <c r="K2144" i="13" l="1"/>
  <c r="L2144" i="13" s="1"/>
  <c r="I2145" i="13" s="1"/>
  <c r="K2167" i="14"/>
  <c r="L2167" i="14" s="1"/>
  <c r="I2168" i="14" s="1"/>
  <c r="M2335" i="14"/>
  <c r="J2330" i="14" a="1"/>
  <c r="J2330" i="14" s="1"/>
  <c r="N2331" i="14"/>
  <c r="M2334" i="13"/>
  <c r="J2331" i="13" a="1"/>
  <c r="J2331" i="13" s="1"/>
  <c r="N2332" i="13"/>
  <c r="K2145" i="13" l="1"/>
  <c r="L2145" i="13" s="1"/>
  <c r="I2146" i="13" s="1"/>
  <c r="K2168" i="14"/>
  <c r="L2168" i="14" s="1"/>
  <c r="I2169" i="14" s="1"/>
  <c r="J2332" i="13" a="1"/>
  <c r="J2332" i="13" s="1"/>
  <c r="N2333" i="13"/>
  <c r="M2335" i="13"/>
  <c r="M2336" i="14"/>
  <c r="N2332" i="14"/>
  <c r="J2331" i="14" a="1"/>
  <c r="J2331" i="14" s="1"/>
  <c r="K2146" i="13" l="1"/>
  <c r="L2146" i="13" s="1"/>
  <c r="I2147" i="13" s="1"/>
  <c r="K2169" i="14"/>
  <c r="L2169" i="14" s="1"/>
  <c r="I2170" i="14" s="1"/>
  <c r="N2334" i="13"/>
  <c r="J2333" i="13" a="1"/>
  <c r="J2333" i="13" s="1"/>
  <c r="M2337" i="14"/>
  <c r="J2332" i="14" a="1"/>
  <c r="J2332" i="14" s="1"/>
  <c r="N2333" i="14"/>
  <c r="M2336" i="13"/>
  <c r="K2147" i="13" l="1"/>
  <c r="L2147" i="13" s="1"/>
  <c r="I2148" i="13" s="1"/>
  <c r="K2170" i="14"/>
  <c r="L2170" i="14" s="1"/>
  <c r="I2171" i="14" s="1"/>
  <c r="J2333" i="14" a="1"/>
  <c r="J2333" i="14" s="1"/>
  <c r="N2334" i="14"/>
  <c r="M2337" i="13"/>
  <c r="M2338" i="14"/>
  <c r="J2334" i="13" a="1"/>
  <c r="J2334" i="13" s="1"/>
  <c r="N2335" i="13"/>
  <c r="K2148" i="13" l="1"/>
  <c r="L2148" i="13" s="1"/>
  <c r="I2149" i="13" s="1"/>
  <c r="K2171" i="14"/>
  <c r="L2171" i="14" s="1"/>
  <c r="I2172" i="14" s="1"/>
  <c r="J2335" i="13" a="1"/>
  <c r="J2335" i="13" s="1"/>
  <c r="N2336" i="13"/>
  <c r="M2338" i="13"/>
  <c r="N2335" i="14"/>
  <c r="J2334" i="14" a="1"/>
  <c r="J2334" i="14" s="1"/>
  <c r="M2339" i="14"/>
  <c r="K2149" i="13" l="1"/>
  <c r="L2149" i="13" s="1"/>
  <c r="I2150" i="13" s="1"/>
  <c r="K2172" i="14"/>
  <c r="L2172" i="14" s="1"/>
  <c r="I2173" i="14" s="1"/>
  <c r="J2336" i="13" a="1"/>
  <c r="J2336" i="13" s="1"/>
  <c r="N2337" i="13"/>
  <c r="M2340" i="14"/>
  <c r="M2339" i="13"/>
  <c r="N2336" i="14"/>
  <c r="J2335" i="14" a="1"/>
  <c r="J2335" i="14" s="1"/>
  <c r="K2150" i="13" l="1"/>
  <c r="L2150" i="13" s="1"/>
  <c r="I2151" i="13" s="1"/>
  <c r="K2173" i="14"/>
  <c r="L2173" i="14" s="1"/>
  <c r="I2174" i="14" s="1"/>
  <c r="J2336" i="14" a="1"/>
  <c r="J2336" i="14" s="1"/>
  <c r="N2337" i="14"/>
  <c r="M2341" i="14"/>
  <c r="N2338" i="13"/>
  <c r="J2337" i="13" a="1"/>
  <c r="J2337" i="13" s="1"/>
  <c r="M2340" i="13"/>
  <c r="K2151" i="13" l="1"/>
  <c r="L2151" i="13" s="1"/>
  <c r="I2152" i="13" s="1"/>
  <c r="K2174" i="14"/>
  <c r="L2174" i="14" s="1"/>
  <c r="I2175" i="14" s="1"/>
  <c r="J2338" i="13" a="1"/>
  <c r="J2338" i="13" s="1"/>
  <c r="N2339" i="13"/>
  <c r="M2341" i="13"/>
  <c r="M2342" i="14"/>
  <c r="J2337" i="14" a="1"/>
  <c r="J2337" i="14" s="1"/>
  <c r="N2338" i="14"/>
  <c r="K2152" i="13" l="1"/>
  <c r="L2152" i="13" s="1"/>
  <c r="I2153" i="13" s="1"/>
  <c r="K2175" i="14"/>
  <c r="L2175" i="14" s="1"/>
  <c r="I2176" i="14" s="1"/>
  <c r="M2343" i="14"/>
  <c r="J2338" i="14" a="1"/>
  <c r="J2338" i="14" s="1"/>
  <c r="N2339" i="14"/>
  <c r="M2342" i="13"/>
  <c r="J2339" i="13" a="1"/>
  <c r="J2339" i="13" s="1"/>
  <c r="N2340" i="13"/>
  <c r="K2153" i="13" l="1"/>
  <c r="L2153" i="13" s="1"/>
  <c r="I2154" i="13" s="1"/>
  <c r="K2176" i="14"/>
  <c r="L2176" i="14" s="1"/>
  <c r="I2177" i="14" s="1"/>
  <c r="N2340" i="14"/>
  <c r="J2339" i="14" a="1"/>
  <c r="J2339" i="14" s="1"/>
  <c r="J2340" i="13" a="1"/>
  <c r="J2340" i="13" s="1"/>
  <c r="N2341" i="13"/>
  <c r="M2343" i="13"/>
  <c r="M2344" i="14"/>
  <c r="K2154" i="13" l="1"/>
  <c r="L2154" i="13" s="1"/>
  <c r="I2155" i="13" s="1"/>
  <c r="K2177" i="14"/>
  <c r="L2177" i="14" s="1"/>
  <c r="I2178" i="14" s="1"/>
  <c r="N2342" i="13"/>
  <c r="J2341" i="13" a="1"/>
  <c r="J2341" i="13" s="1"/>
  <c r="M2345" i="14"/>
  <c r="M2344" i="13"/>
  <c r="J2340" i="14" a="1"/>
  <c r="J2340" i="14" s="1"/>
  <c r="N2341" i="14"/>
  <c r="K2155" i="13" l="1"/>
  <c r="L2155" i="13" s="1"/>
  <c r="I2156" i="13" s="1"/>
  <c r="K2178" i="14"/>
  <c r="L2178" i="14" s="1"/>
  <c r="I2179" i="14" s="1"/>
  <c r="J2341" i="14" a="1"/>
  <c r="J2341" i="14" s="1"/>
  <c r="N2342" i="14"/>
  <c r="M2346" i="14"/>
  <c r="M2345" i="13"/>
  <c r="J2342" i="13" a="1"/>
  <c r="J2342" i="13" s="1"/>
  <c r="N2343" i="13"/>
  <c r="K2156" i="13" l="1"/>
  <c r="L2156" i="13" s="1"/>
  <c r="I2157" i="13" s="1"/>
  <c r="K2179" i="14"/>
  <c r="L2179" i="14" s="1"/>
  <c r="I2180" i="14" s="1"/>
  <c r="J2343" i="13" a="1"/>
  <c r="J2343" i="13" s="1"/>
  <c r="N2344" i="13"/>
  <c r="M2347" i="14"/>
  <c r="N2343" i="14"/>
  <c r="J2342" i="14" a="1"/>
  <c r="J2342" i="14" s="1"/>
  <c r="M2346" i="13"/>
  <c r="K2157" i="13" l="1"/>
  <c r="L2157" i="13" s="1"/>
  <c r="I2158" i="13" s="1"/>
  <c r="K2180" i="14"/>
  <c r="L2180" i="14" s="1"/>
  <c r="I2181" i="14" s="1"/>
  <c r="N2344" i="14"/>
  <c r="J2343" i="14" a="1"/>
  <c r="J2343" i="14" s="1"/>
  <c r="M2347" i="13"/>
  <c r="M2348" i="14"/>
  <c r="J2344" i="13" a="1"/>
  <c r="J2344" i="13" s="1"/>
  <c r="N2345" i="13"/>
  <c r="K2158" i="13" l="1"/>
  <c r="L2158" i="13" s="1"/>
  <c r="I2159" i="13" s="1"/>
  <c r="K2181" i="14"/>
  <c r="L2181" i="14" s="1"/>
  <c r="I2182" i="14" s="1"/>
  <c r="N2346" i="13"/>
  <c r="J2345" i="13" a="1"/>
  <c r="J2345" i="13" s="1"/>
  <c r="M2348" i="13"/>
  <c r="M2349" i="14"/>
  <c r="J2344" i="14" a="1"/>
  <c r="J2344" i="14" s="1"/>
  <c r="N2345" i="14"/>
  <c r="K2159" i="13" l="1"/>
  <c r="L2159" i="13" s="1"/>
  <c r="I2160" i="13" s="1"/>
  <c r="K2160" i="13" s="1"/>
  <c r="L2160" i="13" s="1"/>
  <c r="I2161" i="13" s="1"/>
  <c r="K2182" i="14"/>
  <c r="L2182" i="14" s="1"/>
  <c r="I2183" i="14" s="1"/>
  <c r="J2345" i="14" a="1"/>
  <c r="J2345" i="14" s="1"/>
  <c r="N2346" i="14"/>
  <c r="M2349" i="13"/>
  <c r="M2350" i="14"/>
  <c r="J2346" i="13" a="1"/>
  <c r="J2346" i="13" s="1"/>
  <c r="N2347" i="13"/>
  <c r="J2347" i="13" l="1" a="1"/>
  <c r="J2347" i="13" s="1"/>
  <c r="N2348" i="13"/>
  <c r="M2350" i="13"/>
  <c r="K2183" i="14"/>
  <c r="L2183" i="14" s="1"/>
  <c r="I2184" i="14" s="1"/>
  <c r="M2351" i="14"/>
  <c r="J2346" i="14" a="1"/>
  <c r="J2346" i="14" s="1"/>
  <c r="N2347" i="14"/>
  <c r="K2161" i="13"/>
  <c r="L2161" i="13" s="1"/>
  <c r="I2162" i="13" s="1"/>
  <c r="K2162" i="13" l="1"/>
  <c r="L2162" i="13" s="1"/>
  <c r="I2163" i="13" s="1"/>
  <c r="K2184" i="14"/>
  <c r="L2184" i="14" s="1"/>
  <c r="I2185" i="14" s="1"/>
  <c r="M2352" i="14"/>
  <c r="M2351" i="13"/>
  <c r="N2348" i="14"/>
  <c r="J2347" i="14" a="1"/>
  <c r="J2347" i="14" s="1"/>
  <c r="J2348" i="13" a="1"/>
  <c r="J2348" i="13" s="1"/>
  <c r="N2349" i="13"/>
  <c r="K2185" i="14" l="1"/>
  <c r="L2185" i="14" s="1"/>
  <c r="I2186" i="14" s="1"/>
  <c r="K2163" i="13"/>
  <c r="L2163" i="13" s="1"/>
  <c r="I2164" i="13" s="1"/>
  <c r="N2350" i="13"/>
  <c r="J2349" i="13" a="1"/>
  <c r="J2349" i="13" s="1"/>
  <c r="M2352" i="13"/>
  <c r="J2348" i="14" a="1"/>
  <c r="J2348" i="14" s="1"/>
  <c r="N2349" i="14"/>
  <c r="M2353" i="14"/>
  <c r="K2164" i="13" l="1"/>
  <c r="L2164" i="13" s="1"/>
  <c r="I2165" i="13" s="1"/>
  <c r="K2186" i="14"/>
  <c r="L2186" i="14" s="1"/>
  <c r="I2187" i="14" s="1"/>
  <c r="J2349" i="14" a="1"/>
  <c r="J2349" i="14" s="1"/>
  <c r="N2350" i="14"/>
  <c r="M2353" i="13"/>
  <c r="M2354" i="14"/>
  <c r="J2350" i="13" a="1"/>
  <c r="J2350" i="13" s="1"/>
  <c r="N2351" i="13"/>
  <c r="K2187" i="14" l="1"/>
  <c r="L2187" i="14" s="1"/>
  <c r="I2188" i="14" s="1"/>
  <c r="K2165" i="13"/>
  <c r="L2165" i="13" s="1"/>
  <c r="I2166" i="13" s="1"/>
  <c r="J2351" i="13" a="1"/>
  <c r="J2351" i="13" s="1"/>
  <c r="N2352" i="13"/>
  <c r="M2354" i="13"/>
  <c r="N2351" i="14"/>
  <c r="J2350" i="14" a="1"/>
  <c r="J2350" i="14" s="1"/>
  <c r="M2355" i="14"/>
  <c r="K2166" i="13" l="1"/>
  <c r="L2166" i="13" s="1"/>
  <c r="I2167" i="13" s="1"/>
  <c r="N2352" i="14"/>
  <c r="J2351" i="14" a="1"/>
  <c r="J2351" i="14" s="1"/>
  <c r="K2188" i="14"/>
  <c r="L2188" i="14" s="1"/>
  <c r="I2189" i="14" s="1"/>
  <c r="M2356" i="14"/>
  <c r="M2355" i="13"/>
  <c r="J2352" i="13" a="1"/>
  <c r="J2352" i="13" s="1"/>
  <c r="N2353" i="13"/>
  <c r="K2167" i="13" l="1"/>
  <c r="L2167" i="13" s="1"/>
  <c r="I2168" i="13" s="1"/>
  <c r="K2189" i="14"/>
  <c r="L2189" i="14" s="1"/>
  <c r="I2190" i="14" s="1"/>
  <c r="M2357" i="14"/>
  <c r="J2352" i="14" a="1"/>
  <c r="J2352" i="14" s="1"/>
  <c r="N2353" i="14"/>
  <c r="N2354" i="13"/>
  <c r="J2353" i="13" a="1"/>
  <c r="J2353" i="13" s="1"/>
  <c r="M2356" i="13"/>
  <c r="K2190" i="14" l="1"/>
  <c r="L2190" i="14" s="1"/>
  <c r="I2191" i="14" s="1"/>
  <c r="K2168" i="13"/>
  <c r="L2168" i="13" s="1"/>
  <c r="I2169" i="13" s="1"/>
  <c r="M2357" i="13"/>
  <c r="J2353" i="14" a="1"/>
  <c r="J2353" i="14" s="1"/>
  <c r="N2354" i="14"/>
  <c r="J2354" i="13" a="1"/>
  <c r="J2354" i="13" s="1"/>
  <c r="N2355" i="13"/>
  <c r="M2358" i="14"/>
  <c r="K2191" i="14" l="1"/>
  <c r="L2191" i="14" s="1"/>
  <c r="I2192" i="14" s="1"/>
  <c r="J2355" i="13" a="1"/>
  <c r="J2355" i="13" s="1"/>
  <c r="N2356" i="13"/>
  <c r="M2359" i="14"/>
  <c r="J2354" i="14" a="1"/>
  <c r="J2354" i="14" s="1"/>
  <c r="N2355" i="14"/>
  <c r="K2169" i="13"/>
  <c r="L2169" i="13" s="1"/>
  <c r="I2170" i="13" s="1"/>
  <c r="M2358" i="13"/>
  <c r="K2170" i="13" l="1"/>
  <c r="L2170" i="13" s="1"/>
  <c r="I2171" i="13" s="1"/>
  <c r="K2192" i="14"/>
  <c r="L2192" i="14" s="1"/>
  <c r="I2193" i="14" s="1"/>
  <c r="N2356" i="14"/>
  <c r="J2355" i="14" a="1"/>
  <c r="J2355" i="14" s="1"/>
  <c r="J2356" i="13" a="1"/>
  <c r="J2356" i="13" s="1"/>
  <c r="N2357" i="13"/>
  <c r="M2359" i="13"/>
  <c r="M2360" i="14"/>
  <c r="K2193" i="14" l="1"/>
  <c r="L2193" i="14" s="1"/>
  <c r="I2194" i="14" s="1"/>
  <c r="K2171" i="13"/>
  <c r="L2171" i="13" s="1"/>
  <c r="I2172" i="13" s="1"/>
  <c r="N2358" i="13"/>
  <c r="J2357" i="13" a="1"/>
  <c r="J2357" i="13" s="1"/>
  <c r="M2361" i="14"/>
  <c r="M2360" i="13"/>
  <c r="J2356" i="14" a="1"/>
  <c r="J2356" i="14" s="1"/>
  <c r="N2357" i="14"/>
  <c r="K2172" i="13" l="1"/>
  <c r="L2172" i="13" s="1"/>
  <c r="I2173" i="13" s="1"/>
  <c r="K2194" i="14"/>
  <c r="L2194" i="14" s="1"/>
  <c r="I2195" i="14" s="1"/>
  <c r="J2357" i="14" a="1"/>
  <c r="J2357" i="14" s="1"/>
  <c r="N2358" i="14"/>
  <c r="M2361" i="13"/>
  <c r="M2362" i="14"/>
  <c r="J2358" i="13" a="1"/>
  <c r="J2358" i="13" s="1"/>
  <c r="N2359" i="13"/>
  <c r="K2195" i="14" l="1"/>
  <c r="L2195" i="14" s="1"/>
  <c r="I2196" i="14" s="1"/>
  <c r="K2173" i="13"/>
  <c r="L2173" i="13" s="1"/>
  <c r="I2174" i="13" s="1"/>
  <c r="M2363" i="14"/>
  <c r="N2359" i="14"/>
  <c r="J2358" i="14" a="1"/>
  <c r="J2358" i="14" s="1"/>
  <c r="J2359" i="13" a="1"/>
  <c r="J2359" i="13" s="1"/>
  <c r="N2360" i="13"/>
  <c r="M2362" i="13"/>
  <c r="K2174" i="13" l="1"/>
  <c r="L2174" i="13" s="1"/>
  <c r="I2175" i="13" s="1"/>
  <c r="K2196" i="14"/>
  <c r="L2196" i="14" s="1"/>
  <c r="I2197" i="14" s="1"/>
  <c r="M2363" i="13"/>
  <c r="N2360" i="14"/>
  <c r="J2359" i="14" a="1"/>
  <c r="J2359" i="14" s="1"/>
  <c r="J2360" i="13" a="1"/>
  <c r="J2360" i="13" s="1"/>
  <c r="N2361" i="13"/>
  <c r="M2364" i="14"/>
  <c r="K2175" i="13" l="1"/>
  <c r="L2175" i="13" s="1"/>
  <c r="I2176" i="13" s="1"/>
  <c r="M2365" i="14"/>
  <c r="K2197" i="14"/>
  <c r="L2197" i="14" s="1"/>
  <c r="I2198" i="14" s="1"/>
  <c r="J2360" i="14" a="1"/>
  <c r="J2360" i="14" s="1"/>
  <c r="N2361" i="14"/>
  <c r="N2362" i="13"/>
  <c r="J2361" i="13" a="1"/>
  <c r="J2361" i="13" s="1"/>
  <c r="M2364" i="13"/>
  <c r="K2198" i="14" l="1"/>
  <c r="L2198" i="14" s="1"/>
  <c r="I2199" i="14" s="1"/>
  <c r="K2176" i="13"/>
  <c r="L2176" i="13" s="1"/>
  <c r="I2177" i="13" s="1"/>
  <c r="M2365" i="13"/>
  <c r="J2361" i="14" a="1"/>
  <c r="J2361" i="14" s="1"/>
  <c r="N2362" i="14"/>
  <c r="M2366" i="14"/>
  <c r="J2362" i="13" a="1"/>
  <c r="J2362" i="13" s="1"/>
  <c r="N2363" i="13"/>
  <c r="K2199" i="14" l="1"/>
  <c r="L2199" i="14" s="1"/>
  <c r="I2200" i="14" s="1"/>
  <c r="J2363" i="13" a="1"/>
  <c r="J2363" i="13" s="1"/>
  <c r="N2364" i="13"/>
  <c r="J2362" i="14" a="1"/>
  <c r="J2362" i="14" s="1"/>
  <c r="N2363" i="14"/>
  <c r="K2177" i="13"/>
  <c r="L2177" i="13" s="1"/>
  <c r="I2178" i="13" s="1"/>
  <c r="M2367" i="14"/>
  <c r="M2366" i="13"/>
  <c r="K2178" i="13" l="1"/>
  <c r="L2178" i="13" s="1"/>
  <c r="I2179" i="13" s="1"/>
  <c r="K2200" i="14"/>
  <c r="L2200" i="14" s="1"/>
  <c r="I2201" i="14" s="1"/>
  <c r="N2364" i="14"/>
  <c r="J2363" i="14" a="1"/>
  <c r="J2363" i="14" s="1"/>
  <c r="J2364" i="13" a="1"/>
  <c r="J2364" i="13" s="1"/>
  <c r="N2365" i="13"/>
  <c r="M2368" i="14"/>
  <c r="M2367" i="13"/>
  <c r="K2201" i="14" l="1"/>
  <c r="L2201" i="14" s="1"/>
  <c r="I2202" i="14" s="1"/>
  <c r="N2366" i="13"/>
  <c r="J2365" i="13" a="1"/>
  <c r="J2365" i="13" s="1"/>
  <c r="M2369" i="14"/>
  <c r="M2368" i="13"/>
  <c r="J2364" i="14" a="1"/>
  <c r="J2364" i="14" s="1"/>
  <c r="N2365" i="14"/>
  <c r="K2179" i="13"/>
  <c r="L2179" i="13" s="1"/>
  <c r="I2180" i="13" s="1"/>
  <c r="K2180" i="13" l="1"/>
  <c r="L2180" i="13" s="1"/>
  <c r="I2181" i="13" s="1"/>
  <c r="K2202" i="14"/>
  <c r="L2202" i="14" s="1"/>
  <c r="I2203" i="14" s="1"/>
  <c r="M2369" i="13"/>
  <c r="J2366" i="13" a="1"/>
  <c r="J2366" i="13" s="1"/>
  <c r="N2367" i="13"/>
  <c r="J2365" i="14" a="1"/>
  <c r="J2365" i="14" s="1"/>
  <c r="N2366" i="14"/>
  <c r="M2370" i="14"/>
  <c r="K2181" i="13" l="1"/>
  <c r="L2181" i="13" s="1"/>
  <c r="I2182" i="13" s="1"/>
  <c r="M2371" i="14"/>
  <c r="J2367" i="13" a="1"/>
  <c r="J2367" i="13" s="1"/>
  <c r="N2368" i="13"/>
  <c r="K2203" i="14"/>
  <c r="L2203" i="14" s="1"/>
  <c r="I2204" i="14" s="1"/>
  <c r="N2367" i="14"/>
  <c r="J2366" i="14" a="1"/>
  <c r="J2366" i="14" s="1"/>
  <c r="M2370" i="13"/>
  <c r="K2182" i="13" l="1"/>
  <c r="L2182" i="13" s="1"/>
  <c r="I2183" i="13" s="1"/>
  <c r="M2371" i="13"/>
  <c r="K2204" i="14"/>
  <c r="L2204" i="14" s="1"/>
  <c r="I2205" i="14" s="1"/>
  <c r="M2372" i="14"/>
  <c r="J2368" i="13" a="1"/>
  <c r="J2368" i="13" s="1"/>
  <c r="N2369" i="13"/>
  <c r="N2368" i="14"/>
  <c r="J2367" i="14" a="1"/>
  <c r="J2367" i="14" s="1"/>
  <c r="K2205" i="14" l="1"/>
  <c r="L2205" i="14" s="1"/>
  <c r="I2206" i="14" s="1"/>
  <c r="K2183" i="13"/>
  <c r="L2183" i="13" s="1"/>
  <c r="I2184" i="13" s="1"/>
  <c r="J2368" i="14" a="1"/>
  <c r="J2368" i="14" s="1"/>
  <c r="N2369" i="14"/>
  <c r="M2373" i="14"/>
  <c r="M2372" i="13"/>
  <c r="N2370" i="13"/>
  <c r="J2369" i="13" a="1"/>
  <c r="J2369" i="13" s="1"/>
  <c r="K2206" i="14" l="1"/>
  <c r="L2206" i="14" s="1"/>
  <c r="I2207" i="14" s="1"/>
  <c r="K2184" i="13"/>
  <c r="L2184" i="13" s="1"/>
  <c r="I2185" i="13" s="1"/>
  <c r="J2370" i="13" a="1"/>
  <c r="J2370" i="13" s="1"/>
  <c r="N2371" i="13"/>
  <c r="M2374" i="14"/>
  <c r="M2373" i="13"/>
  <c r="J2369" i="14" a="1"/>
  <c r="J2369" i="14" s="1"/>
  <c r="N2370" i="14"/>
  <c r="K2185" i="13" l="1"/>
  <c r="L2185" i="13" s="1"/>
  <c r="I2186" i="13" s="1"/>
  <c r="K2207" i="14"/>
  <c r="L2207" i="14" s="1"/>
  <c r="I2208" i="14" s="1"/>
  <c r="J2371" i="13" a="1"/>
  <c r="J2371" i="13" s="1"/>
  <c r="N2372" i="13"/>
  <c r="M2374" i="13"/>
  <c r="J2370" i="14" a="1"/>
  <c r="J2370" i="14" s="1"/>
  <c r="N2371" i="14"/>
  <c r="M2375" i="14"/>
  <c r="K2208" i="14" l="1"/>
  <c r="L2208" i="14" s="1"/>
  <c r="I2209" i="14" s="1"/>
  <c r="K2186" i="13"/>
  <c r="L2186" i="13" s="1"/>
  <c r="I2187" i="13" s="1"/>
  <c r="N2372" i="14"/>
  <c r="J2371" i="14" a="1"/>
  <c r="J2371" i="14" s="1"/>
  <c r="M2376" i="14"/>
  <c r="M2375" i="13"/>
  <c r="J2372" i="13" a="1"/>
  <c r="J2372" i="13" s="1"/>
  <c r="N2373" i="13"/>
  <c r="K2187" i="13" l="1"/>
  <c r="L2187" i="13" s="1"/>
  <c r="I2188" i="13" s="1"/>
  <c r="K2209" i="14"/>
  <c r="L2209" i="14" s="1"/>
  <c r="I2210" i="14" s="1"/>
  <c r="N2374" i="13"/>
  <c r="J2373" i="13" a="1"/>
  <c r="J2373" i="13" s="1"/>
  <c r="M2377" i="14"/>
  <c r="M2376" i="13"/>
  <c r="J2372" i="14" a="1"/>
  <c r="J2372" i="14" s="1"/>
  <c r="N2373" i="14"/>
  <c r="K2210" i="14" l="1"/>
  <c r="L2210" i="14" s="1"/>
  <c r="I2211" i="14" s="1"/>
  <c r="K2188" i="13"/>
  <c r="L2188" i="13" s="1"/>
  <c r="I2189" i="13" s="1"/>
  <c r="J2373" i="14" a="1"/>
  <c r="J2373" i="14" s="1"/>
  <c r="N2374" i="14"/>
  <c r="M2378" i="14"/>
  <c r="M2377" i="13"/>
  <c r="J2374" i="13" a="1"/>
  <c r="J2374" i="13" s="1"/>
  <c r="N2375" i="13"/>
  <c r="J2375" i="13" l="1" a="1"/>
  <c r="J2375" i="13" s="1"/>
  <c r="N2376" i="13"/>
  <c r="M2379" i="14"/>
  <c r="M2378" i="13"/>
  <c r="K2189" i="13"/>
  <c r="L2189" i="13" s="1"/>
  <c r="I2190" i="13" s="1"/>
  <c r="N2375" i="14"/>
  <c r="J2374" i="14" a="1"/>
  <c r="J2374" i="14" s="1"/>
  <c r="K2211" i="14"/>
  <c r="L2211" i="14" s="1"/>
  <c r="I2212" i="14" s="1"/>
  <c r="K2212" i="14" l="1"/>
  <c r="L2212" i="14" s="1"/>
  <c r="I2213" i="14" s="1"/>
  <c r="K2190" i="13"/>
  <c r="L2190" i="13" s="1"/>
  <c r="I2191" i="13" s="1"/>
  <c r="N2376" i="14"/>
  <c r="J2375" i="14" a="1"/>
  <c r="J2375" i="14" s="1"/>
  <c r="M2379" i="13"/>
  <c r="M2380" i="14"/>
  <c r="J2376" i="13" a="1"/>
  <c r="J2376" i="13" s="1"/>
  <c r="N2377" i="13"/>
  <c r="K2191" i="13" l="1"/>
  <c r="L2191" i="13" s="1"/>
  <c r="I2192" i="13" s="1"/>
  <c r="K2213" i="14"/>
  <c r="L2213" i="14" s="1"/>
  <c r="I2214" i="14" s="1"/>
  <c r="N2378" i="13"/>
  <c r="J2377" i="13" a="1"/>
  <c r="J2377" i="13" s="1"/>
  <c r="M2380" i="13"/>
  <c r="M2381" i="14"/>
  <c r="J2376" i="14" a="1"/>
  <c r="J2376" i="14" s="1"/>
  <c r="N2377" i="14"/>
  <c r="K2214" i="14" l="1"/>
  <c r="L2214" i="14" s="1"/>
  <c r="I2215" i="14" s="1"/>
  <c r="K2192" i="13"/>
  <c r="L2192" i="13" s="1"/>
  <c r="I2193" i="13" s="1"/>
  <c r="J2377" i="14" a="1"/>
  <c r="J2377" i="14" s="1"/>
  <c r="N2378" i="14"/>
  <c r="M2381" i="13"/>
  <c r="M2382" i="14"/>
  <c r="J2378" i="13" a="1"/>
  <c r="J2378" i="13" s="1"/>
  <c r="N2379" i="13"/>
  <c r="K2215" i="14" l="1"/>
  <c r="L2215" i="14" s="1"/>
  <c r="I2216" i="14" s="1"/>
  <c r="J2379" i="13" a="1"/>
  <c r="J2379" i="13" s="1"/>
  <c r="N2380" i="13"/>
  <c r="K2193" i="13"/>
  <c r="L2193" i="13" s="1"/>
  <c r="I2194" i="13" s="1"/>
  <c r="M2382" i="13"/>
  <c r="M2383" i="14"/>
  <c r="J2378" i="14" a="1"/>
  <c r="J2378" i="14" s="1"/>
  <c r="N2379" i="14"/>
  <c r="K2194" i="13" l="1"/>
  <c r="L2194" i="13" s="1"/>
  <c r="I2195" i="13" s="1"/>
  <c r="K2216" i="14"/>
  <c r="L2216" i="14" s="1"/>
  <c r="I2217" i="14" s="1"/>
  <c r="N2380" i="14"/>
  <c r="J2379" i="14" a="1"/>
  <c r="J2379" i="14" s="1"/>
  <c r="J2380" i="13" a="1"/>
  <c r="J2380" i="13" s="1"/>
  <c r="N2381" i="13"/>
  <c r="M2383" i="13"/>
  <c r="M2384" i="14"/>
  <c r="K2195" i="13" l="1"/>
  <c r="L2195" i="13" s="1"/>
  <c r="I2196" i="13" s="1"/>
  <c r="K2217" i="14"/>
  <c r="L2217" i="14" s="1"/>
  <c r="I2218" i="14" s="1"/>
  <c r="N2382" i="13"/>
  <c r="J2381" i="13" a="1"/>
  <c r="J2381" i="13" s="1"/>
  <c r="M2384" i="13"/>
  <c r="M2385" i="14"/>
  <c r="J2380" i="14" a="1"/>
  <c r="J2380" i="14" s="1"/>
  <c r="N2381" i="14"/>
  <c r="K2218" i="14" l="1"/>
  <c r="L2218" i="14" s="1"/>
  <c r="I2219" i="14" s="1"/>
  <c r="K2196" i="13"/>
  <c r="L2196" i="13" s="1"/>
  <c r="I2197" i="13" s="1"/>
  <c r="J2381" i="14" a="1"/>
  <c r="J2381" i="14" s="1"/>
  <c r="N2382" i="14"/>
  <c r="M2385" i="13"/>
  <c r="M2386" i="14"/>
  <c r="J2382" i="13" a="1"/>
  <c r="J2382" i="13" s="1"/>
  <c r="N2383" i="13"/>
  <c r="K2197" i="13" l="1"/>
  <c r="L2197" i="13" s="1"/>
  <c r="I2198" i="13" s="1"/>
  <c r="K2219" i="14"/>
  <c r="L2219" i="14" s="1"/>
  <c r="I2220" i="14" s="1"/>
  <c r="J2383" i="13" a="1"/>
  <c r="J2383" i="13" s="1"/>
  <c r="N2384" i="13"/>
  <c r="M2386" i="13"/>
  <c r="N2383" i="14"/>
  <c r="J2382" i="14" a="1"/>
  <c r="J2382" i="14" s="1"/>
  <c r="M2387" i="14"/>
  <c r="K2198" i="13" l="1"/>
  <c r="L2198" i="13" s="1"/>
  <c r="I2199" i="13" s="1"/>
  <c r="M2388" i="14"/>
  <c r="M2387" i="13"/>
  <c r="K2220" i="14"/>
  <c r="L2220" i="14" s="1"/>
  <c r="I2221" i="14" s="1"/>
  <c r="J2384" i="13" a="1"/>
  <c r="J2384" i="13" s="1"/>
  <c r="N2385" i="13"/>
  <c r="N2384" i="14"/>
  <c r="J2383" i="14" a="1"/>
  <c r="J2383" i="14" s="1"/>
  <c r="K2221" i="14" l="1"/>
  <c r="L2221" i="14" s="1"/>
  <c r="I2222" i="14" s="1"/>
  <c r="K2199" i="13"/>
  <c r="L2199" i="13" s="1"/>
  <c r="I2200" i="13" s="1"/>
  <c r="J2384" i="14" a="1"/>
  <c r="J2384" i="14" s="1"/>
  <c r="N2385" i="14"/>
  <c r="M2389" i="14"/>
  <c r="N2386" i="13"/>
  <c r="J2385" i="13" a="1"/>
  <c r="J2385" i="13" s="1"/>
  <c r="M2388" i="13"/>
  <c r="K2200" i="13" l="1"/>
  <c r="L2200" i="13" s="1"/>
  <c r="I2201" i="13" s="1"/>
  <c r="K2222" i="14"/>
  <c r="L2222" i="14" s="1"/>
  <c r="I2223" i="14" s="1"/>
  <c r="J2386" i="13" a="1"/>
  <c r="J2386" i="13" s="1"/>
  <c r="N2387" i="13"/>
  <c r="M2389" i="13"/>
  <c r="J2385" i="14" a="1"/>
  <c r="J2385" i="14" s="1"/>
  <c r="N2386" i="14"/>
  <c r="M2390" i="14"/>
  <c r="K2223" i="14" l="1"/>
  <c r="L2223" i="14" s="1"/>
  <c r="I2224" i="14" s="1"/>
  <c r="K2201" i="13"/>
  <c r="L2201" i="13" s="1"/>
  <c r="I2202" i="13" s="1"/>
  <c r="M2391" i="14"/>
  <c r="J2386" i="14" a="1"/>
  <c r="J2386" i="14" s="1"/>
  <c r="N2387" i="14"/>
  <c r="M2390" i="13"/>
  <c r="J2387" i="13" a="1"/>
  <c r="J2387" i="13" s="1"/>
  <c r="N2388" i="13"/>
  <c r="K2224" i="14" l="1"/>
  <c r="L2224" i="14" s="1"/>
  <c r="I2225" i="14" s="1"/>
  <c r="J2388" i="13" a="1"/>
  <c r="J2388" i="13" s="1"/>
  <c r="N2389" i="13"/>
  <c r="N2388" i="14"/>
  <c r="J2387" i="14" a="1"/>
  <c r="J2387" i="14" s="1"/>
  <c r="K2202" i="13"/>
  <c r="L2202" i="13" s="1"/>
  <c r="I2203" i="13" s="1"/>
  <c r="M2391" i="13"/>
  <c r="M2392" i="14"/>
  <c r="K2225" i="14" l="1"/>
  <c r="L2225" i="14" s="1"/>
  <c r="I2226" i="14" s="1"/>
  <c r="K2203" i="13"/>
  <c r="L2203" i="13" s="1"/>
  <c r="I2204" i="13" s="1"/>
  <c r="N2390" i="13"/>
  <c r="J2389" i="13" a="1"/>
  <c r="J2389" i="13" s="1"/>
  <c r="M2393" i="14"/>
  <c r="M2392" i="13"/>
  <c r="J2388" i="14" a="1"/>
  <c r="J2388" i="14" s="1"/>
  <c r="N2389" i="14"/>
  <c r="K2204" i="13" l="1"/>
  <c r="L2204" i="13" s="1"/>
  <c r="I2205" i="13" s="1"/>
  <c r="K2226" i="14"/>
  <c r="L2226" i="14" s="1"/>
  <c r="I2227" i="14" s="1"/>
  <c r="J2389" i="14" a="1"/>
  <c r="J2389" i="14" s="1"/>
  <c r="N2390" i="14"/>
  <c r="M2394" i="14"/>
  <c r="M2393" i="13"/>
  <c r="J2390" i="13" a="1"/>
  <c r="J2390" i="13" s="1"/>
  <c r="N2391" i="13"/>
  <c r="K2227" i="14" l="1"/>
  <c r="L2227" i="14" s="1"/>
  <c r="I2228" i="14" s="1"/>
  <c r="K2205" i="13"/>
  <c r="L2205" i="13" s="1"/>
  <c r="I2206" i="13" s="1"/>
  <c r="J2391" i="13" a="1"/>
  <c r="J2391" i="13" s="1"/>
  <c r="N2392" i="13"/>
  <c r="M2395" i="14"/>
  <c r="N2391" i="14"/>
  <c r="J2390" i="14" a="1"/>
  <c r="J2390" i="14" s="1"/>
  <c r="M2394" i="13"/>
  <c r="K2228" i="14" l="1"/>
  <c r="L2228" i="14" s="1"/>
  <c r="I2229" i="14" s="1"/>
  <c r="N2392" i="14"/>
  <c r="J2391" i="14" a="1"/>
  <c r="J2391" i="14" s="1"/>
  <c r="M2395" i="13"/>
  <c r="M2396" i="14"/>
  <c r="K2206" i="13"/>
  <c r="L2206" i="13" s="1"/>
  <c r="I2207" i="13" s="1"/>
  <c r="J2392" i="13" a="1"/>
  <c r="J2392" i="13" s="1"/>
  <c r="N2393" i="13"/>
  <c r="K2207" i="13" l="1"/>
  <c r="L2207" i="13" s="1"/>
  <c r="I2208" i="13" s="1"/>
  <c r="K2229" i="14"/>
  <c r="L2229" i="14" s="1"/>
  <c r="I2230" i="14" s="1"/>
  <c r="N2394" i="13"/>
  <c r="J2393" i="13" a="1"/>
  <c r="J2393" i="13" s="1"/>
  <c r="J2392" i="14" a="1"/>
  <c r="J2392" i="14" s="1"/>
  <c r="N2393" i="14"/>
  <c r="M2397" i="14"/>
  <c r="M2396" i="13"/>
  <c r="K2208" i="13" l="1"/>
  <c r="L2208" i="13" s="1"/>
  <c r="I2209" i="13" s="1"/>
  <c r="M2397" i="13"/>
  <c r="J2393" i="14" a="1"/>
  <c r="J2393" i="14" s="1"/>
  <c r="N2394" i="14"/>
  <c r="K2230" i="14"/>
  <c r="L2230" i="14" s="1"/>
  <c r="I2231" i="14" s="1"/>
  <c r="M2398" i="14"/>
  <c r="J2394" i="13" a="1"/>
  <c r="J2394" i="13" s="1"/>
  <c r="N2395" i="13"/>
  <c r="K2209" i="13" l="1"/>
  <c r="L2209" i="13" s="1"/>
  <c r="I2210" i="13" s="1"/>
  <c r="J2395" i="13" a="1"/>
  <c r="J2395" i="13" s="1"/>
  <c r="N2396" i="13"/>
  <c r="M2398" i="13"/>
  <c r="J2394" i="14" a="1"/>
  <c r="J2394" i="14" s="1"/>
  <c r="N2395" i="14"/>
  <c r="K2231" i="14"/>
  <c r="L2231" i="14" s="1"/>
  <c r="I2232" i="14" s="1"/>
  <c r="M2399" i="14"/>
  <c r="K2210" i="13" l="1"/>
  <c r="L2210" i="13" s="1"/>
  <c r="I2211" i="13" s="1"/>
  <c r="K2232" i="14"/>
  <c r="L2232" i="14" s="1"/>
  <c r="I2233" i="14" s="1"/>
  <c r="J2396" i="13" a="1"/>
  <c r="J2396" i="13" s="1"/>
  <c r="N2397" i="13"/>
  <c r="N2396" i="14"/>
  <c r="J2395" i="14" a="1"/>
  <c r="J2395" i="14" s="1"/>
  <c r="M2400" i="14"/>
  <c r="M2399" i="13"/>
  <c r="K2211" i="13" l="1"/>
  <c r="L2211" i="13" s="1"/>
  <c r="I2212" i="13" s="1"/>
  <c r="K2233" i="14"/>
  <c r="L2233" i="14" s="1"/>
  <c r="I2234" i="14" s="1"/>
  <c r="N2398" i="13"/>
  <c r="J2397" i="13" a="1"/>
  <c r="J2397" i="13" s="1"/>
  <c r="M2401" i="14"/>
  <c r="M2400" i="13"/>
  <c r="J2396" i="14" a="1"/>
  <c r="J2396" i="14" s="1"/>
  <c r="N2397" i="14"/>
  <c r="K2212" i="13" l="1"/>
  <c r="L2212" i="13" s="1"/>
  <c r="I2213" i="13" s="1"/>
  <c r="J2397" i="14" a="1"/>
  <c r="J2397" i="14" s="1"/>
  <c r="N2398" i="14"/>
  <c r="K2234" i="14"/>
  <c r="L2234" i="14" s="1"/>
  <c r="I2235" i="14" s="1"/>
  <c r="M2402" i="14"/>
  <c r="M2401" i="13"/>
  <c r="J2398" i="13" a="1"/>
  <c r="J2398" i="13" s="1"/>
  <c r="N2399" i="13"/>
  <c r="K2235" i="14" l="1"/>
  <c r="L2235" i="14" s="1"/>
  <c r="I2236" i="14" s="1"/>
  <c r="K2213" i="13"/>
  <c r="L2213" i="13" s="1"/>
  <c r="I2214" i="13" s="1"/>
  <c r="J2399" i="13" a="1"/>
  <c r="J2399" i="13" s="1"/>
  <c r="N2400" i="13"/>
  <c r="M2403" i="14"/>
  <c r="J2398" i="14" a="1"/>
  <c r="J2398" i="14" s="1"/>
  <c r="N2399" i="14"/>
  <c r="M2402" i="13"/>
  <c r="K2236" i="14" l="1"/>
  <c r="L2236" i="14" s="1"/>
  <c r="I2237" i="14" s="1"/>
  <c r="J2400" i="13" a="1"/>
  <c r="J2400" i="13" s="1"/>
  <c r="N2401" i="13"/>
  <c r="K2214" i="13"/>
  <c r="L2214" i="13" s="1"/>
  <c r="I2215" i="13" s="1"/>
  <c r="N2400" i="14"/>
  <c r="J2399" i="14" a="1"/>
  <c r="J2399" i="14" s="1"/>
  <c r="M2403" i="13"/>
  <c r="M2404" i="14"/>
  <c r="K2237" i="14" l="1"/>
  <c r="L2237" i="14" s="1"/>
  <c r="I2238" i="14" s="1"/>
  <c r="K2215" i="13"/>
  <c r="L2215" i="13" s="1"/>
  <c r="I2216" i="13" s="1"/>
  <c r="N2402" i="13"/>
  <c r="J2401" i="13" a="1"/>
  <c r="J2401" i="13" s="1"/>
  <c r="M2405" i="14"/>
  <c r="J2400" i="14" a="1"/>
  <c r="J2400" i="14" s="1"/>
  <c r="N2401" i="14"/>
  <c r="M2404" i="13"/>
  <c r="K2216" i="13" l="1"/>
  <c r="L2216" i="13" s="1"/>
  <c r="I2217" i="13" s="1"/>
  <c r="K2238" i="14"/>
  <c r="L2238" i="14" s="1"/>
  <c r="I2239" i="14" s="1"/>
  <c r="J2401" i="14" a="1"/>
  <c r="J2401" i="14" s="1"/>
  <c r="N2402" i="14"/>
  <c r="M2405" i="13"/>
  <c r="M2406" i="14"/>
  <c r="J2402" i="13" a="1"/>
  <c r="J2402" i="13" s="1"/>
  <c r="N2403" i="13"/>
  <c r="K2217" i="13" l="1"/>
  <c r="L2217" i="13" s="1"/>
  <c r="I2218" i="13" s="1"/>
  <c r="M2407" i="14"/>
  <c r="J2403" i="13" a="1"/>
  <c r="J2403" i="13" s="1"/>
  <c r="N2404" i="13"/>
  <c r="M2406" i="13"/>
  <c r="K2239" i="14"/>
  <c r="L2239" i="14" s="1"/>
  <c r="I2240" i="14" s="1"/>
  <c r="J2402" i="14" a="1"/>
  <c r="J2402" i="14" s="1"/>
  <c r="N2403" i="14"/>
  <c r="K2240" i="14" l="1"/>
  <c r="L2240" i="14" s="1"/>
  <c r="I2241" i="14" s="1"/>
  <c r="K2218" i="13"/>
  <c r="L2218" i="13" s="1"/>
  <c r="I2219" i="13" s="1"/>
  <c r="N2404" i="14"/>
  <c r="J2403" i="14" a="1"/>
  <c r="J2403" i="14" s="1"/>
  <c r="M2407" i="13"/>
  <c r="M2408" i="14"/>
  <c r="J2404" i="13" a="1"/>
  <c r="J2404" i="13" s="1"/>
  <c r="N2405" i="13"/>
  <c r="K2219" i="13" l="1"/>
  <c r="L2219" i="13" s="1"/>
  <c r="I2220" i="13" s="1"/>
  <c r="K2241" i="14"/>
  <c r="L2241" i="14" s="1"/>
  <c r="I2242" i="14" s="1"/>
  <c r="N2406" i="13"/>
  <c r="J2405" i="13" a="1"/>
  <c r="J2405" i="13" s="1"/>
  <c r="M2408" i="13"/>
  <c r="M2409" i="14"/>
  <c r="J2404" i="14" a="1"/>
  <c r="J2404" i="14" s="1"/>
  <c r="N2405" i="14"/>
  <c r="K2242" i="14" l="1"/>
  <c r="L2242" i="14" s="1"/>
  <c r="I2243" i="14" s="1"/>
  <c r="K2220" i="13"/>
  <c r="L2220" i="13" s="1"/>
  <c r="I2221" i="13" s="1"/>
  <c r="J2405" i="14" a="1"/>
  <c r="J2405" i="14" s="1"/>
  <c r="N2406" i="14"/>
  <c r="M2409" i="13"/>
  <c r="M2410" i="14"/>
  <c r="J2406" i="13" a="1"/>
  <c r="J2406" i="13" s="1"/>
  <c r="N2407" i="13"/>
  <c r="K2221" i="13" l="1"/>
  <c r="L2221" i="13" s="1"/>
  <c r="I2222" i="13" s="1"/>
  <c r="K2243" i="14"/>
  <c r="L2243" i="14" s="1"/>
  <c r="I2244" i="14" s="1"/>
  <c r="J2407" i="13" a="1"/>
  <c r="J2407" i="13" s="1"/>
  <c r="N2408" i="13"/>
  <c r="M2410" i="13"/>
  <c r="N2407" i="14"/>
  <c r="J2406" i="14" a="1"/>
  <c r="J2406" i="14" s="1"/>
  <c r="M2411" i="14"/>
  <c r="K2244" i="14" l="1"/>
  <c r="L2244" i="14" s="1"/>
  <c r="I2245" i="14" s="1"/>
  <c r="K2222" i="13"/>
  <c r="L2222" i="13" s="1"/>
  <c r="I2223" i="13" s="1"/>
  <c r="N2408" i="14"/>
  <c r="J2407" i="14" a="1"/>
  <c r="J2407" i="14" s="1"/>
  <c r="M2412" i="14"/>
  <c r="M2411" i="13"/>
  <c r="J2408" i="13" a="1"/>
  <c r="J2408" i="13" s="1"/>
  <c r="N2409" i="13"/>
  <c r="K2223" i="13" l="1"/>
  <c r="L2223" i="13" s="1"/>
  <c r="I2224" i="13" s="1"/>
  <c r="K2245" i="14"/>
  <c r="L2245" i="14" s="1"/>
  <c r="I2246" i="14" s="1"/>
  <c r="N2410" i="13"/>
  <c r="J2409" i="13" a="1"/>
  <c r="J2409" i="13" s="1"/>
  <c r="M2413" i="14"/>
  <c r="M2412" i="13"/>
  <c r="J2408" i="14" a="1"/>
  <c r="J2408" i="14" s="1"/>
  <c r="N2409" i="14"/>
  <c r="K2246" i="14" l="1"/>
  <c r="L2246" i="14" s="1"/>
  <c r="I2247" i="14" s="1"/>
  <c r="K2224" i="13"/>
  <c r="L2224" i="13" s="1"/>
  <c r="I2225" i="13" s="1"/>
  <c r="J2409" i="14" a="1"/>
  <c r="J2409" i="14" s="1"/>
  <c r="N2410" i="14"/>
  <c r="M2414" i="14"/>
  <c r="M2413" i="13"/>
  <c r="J2410" i="13" a="1"/>
  <c r="J2410" i="13" s="1"/>
  <c r="N2411" i="13"/>
  <c r="K2225" i="13" l="1"/>
  <c r="L2225" i="13" s="1"/>
  <c r="I2226" i="13" s="1"/>
  <c r="K2247" i="14"/>
  <c r="L2247" i="14" s="1"/>
  <c r="I2248" i="14" s="1"/>
  <c r="J2411" i="13" a="1"/>
  <c r="J2411" i="13" s="1"/>
  <c r="N2412" i="13"/>
  <c r="M2415" i="14"/>
  <c r="M2414" i="13"/>
  <c r="J2410" i="14" a="1"/>
  <c r="J2410" i="14" s="1"/>
  <c r="N2411" i="14"/>
  <c r="K2226" i="13" l="1"/>
  <c r="L2226" i="13" s="1"/>
  <c r="I2227" i="13" s="1"/>
  <c r="N2412" i="14"/>
  <c r="J2411" i="14" a="1"/>
  <c r="J2411" i="14" s="1"/>
  <c r="K2248" i="14"/>
  <c r="L2248" i="14" s="1"/>
  <c r="I2249" i="14" s="1"/>
  <c r="J2412" i="13" a="1"/>
  <c r="J2412" i="13" s="1"/>
  <c r="N2413" i="13"/>
  <c r="M2416" i="14"/>
  <c r="M2415" i="13"/>
  <c r="K2249" i="14" l="1"/>
  <c r="L2249" i="14" s="1"/>
  <c r="I2250" i="14" s="1"/>
  <c r="K2227" i="13"/>
  <c r="L2227" i="13" s="1"/>
  <c r="I2228" i="13" s="1"/>
  <c r="N2414" i="13"/>
  <c r="J2413" i="13" a="1"/>
  <c r="J2413" i="13" s="1"/>
  <c r="J2412" i="14" a="1"/>
  <c r="J2412" i="14" s="1"/>
  <c r="N2413" i="14"/>
  <c r="M2416" i="13"/>
  <c r="M2417" i="14"/>
  <c r="K2228" i="13" l="1"/>
  <c r="L2228" i="13" s="1"/>
  <c r="I2229" i="13" s="1"/>
  <c r="K2250" i="14"/>
  <c r="L2250" i="14" s="1"/>
  <c r="I2251" i="14" s="1"/>
  <c r="J2413" i="14" a="1"/>
  <c r="J2413" i="14" s="1"/>
  <c r="N2414" i="14"/>
  <c r="M2418" i="14"/>
  <c r="M2417" i="13"/>
  <c r="J2414" i="13" a="1"/>
  <c r="J2414" i="13" s="1"/>
  <c r="N2415" i="13"/>
  <c r="K2251" i="14" l="1"/>
  <c r="L2251" i="14" s="1"/>
  <c r="I2252" i="14" s="1"/>
  <c r="K2229" i="13"/>
  <c r="L2229" i="13" s="1"/>
  <c r="I2230" i="13" s="1"/>
  <c r="J2415" i="13" a="1"/>
  <c r="J2415" i="13" s="1"/>
  <c r="N2416" i="13"/>
  <c r="M2419" i="14"/>
  <c r="N2415" i="14"/>
  <c r="J2414" i="14" a="1"/>
  <c r="J2414" i="14" s="1"/>
  <c r="M2418" i="13"/>
  <c r="K2230" i="13" l="1"/>
  <c r="L2230" i="13" s="1"/>
  <c r="I2231" i="13" s="1"/>
  <c r="K2252" i="14"/>
  <c r="L2252" i="14" s="1"/>
  <c r="I2253" i="14" s="1"/>
  <c r="M2419" i="13"/>
  <c r="M2420" i="14"/>
  <c r="J2416" i="13" a="1"/>
  <c r="J2416" i="13" s="1"/>
  <c r="N2417" i="13"/>
  <c r="N2416" i="14"/>
  <c r="J2415" i="14" a="1"/>
  <c r="J2415" i="14" s="1"/>
  <c r="K2253" i="14" l="1"/>
  <c r="L2253" i="14" s="1"/>
  <c r="I2254" i="14" s="1"/>
  <c r="K2231" i="13"/>
  <c r="L2231" i="13" s="1"/>
  <c r="I2232" i="13" s="1"/>
  <c r="J2416" i="14" a="1"/>
  <c r="J2416" i="14" s="1"/>
  <c r="N2417" i="14"/>
  <c r="M2421" i="14"/>
  <c r="N2418" i="13"/>
  <c r="J2417" i="13" a="1"/>
  <c r="J2417" i="13" s="1"/>
  <c r="M2420" i="13"/>
  <c r="K2232" i="13" l="1"/>
  <c r="L2232" i="13" s="1"/>
  <c r="I2233" i="13" s="1"/>
  <c r="K2254" i="14"/>
  <c r="L2254" i="14" s="1"/>
  <c r="I2255" i="14" s="1"/>
  <c r="M2421" i="13"/>
  <c r="M2422" i="14"/>
  <c r="J2417" i="14" a="1"/>
  <c r="J2417" i="14" s="1"/>
  <c r="N2418" i="14"/>
  <c r="J2418" i="13" a="1"/>
  <c r="J2418" i="13" s="1"/>
  <c r="N2419" i="13"/>
  <c r="K2255" i="14" l="1"/>
  <c r="L2255" i="14" s="1"/>
  <c r="I2256" i="14" s="1"/>
  <c r="K2233" i="13"/>
  <c r="L2233" i="13" s="1"/>
  <c r="I2234" i="13" s="1"/>
  <c r="J2418" i="14" a="1"/>
  <c r="J2418" i="14" s="1"/>
  <c r="N2419" i="14"/>
  <c r="J2419" i="13" a="1"/>
  <c r="J2419" i="13" s="1"/>
  <c r="N2420" i="13"/>
  <c r="M2423" i="14"/>
  <c r="M2422" i="13"/>
  <c r="K2256" i="14" l="1"/>
  <c r="L2256" i="14" s="1"/>
  <c r="I2257" i="14" s="1"/>
  <c r="J2420" i="13" a="1"/>
  <c r="J2420" i="13" s="1"/>
  <c r="N2421" i="13"/>
  <c r="K2234" i="13"/>
  <c r="L2234" i="13" s="1"/>
  <c r="I2235" i="13" s="1"/>
  <c r="M2423" i="13"/>
  <c r="N2420" i="14"/>
  <c r="J2419" i="14" a="1"/>
  <c r="J2419" i="14" s="1"/>
  <c r="M2424" i="14"/>
  <c r="K2235" i="13" l="1"/>
  <c r="L2235" i="13" s="1"/>
  <c r="I2236" i="13" s="1"/>
  <c r="K2257" i="14"/>
  <c r="L2257" i="14" s="1"/>
  <c r="I2258" i="14" s="1"/>
  <c r="M2425" i="14"/>
  <c r="M2424" i="13"/>
  <c r="N2422" i="13"/>
  <c r="J2421" i="13" a="1"/>
  <c r="J2421" i="13" s="1"/>
  <c r="J2420" i="14" a="1"/>
  <c r="J2420" i="14" s="1"/>
  <c r="N2421" i="14"/>
  <c r="K2236" i="13" l="1"/>
  <c r="L2236" i="13" s="1"/>
  <c r="I2237" i="13" s="1"/>
  <c r="J2421" i="14" a="1"/>
  <c r="J2421" i="14" s="1"/>
  <c r="N2422" i="14"/>
  <c r="M2425" i="13"/>
  <c r="K2258" i="14"/>
  <c r="L2258" i="14" s="1"/>
  <c r="I2259" i="14" s="1"/>
  <c r="J2422" i="13" a="1"/>
  <c r="J2422" i="13" s="1"/>
  <c r="N2423" i="13"/>
  <c r="M2426" i="14"/>
  <c r="K2237" i="13" l="1"/>
  <c r="L2237" i="13" s="1"/>
  <c r="I2238" i="13" s="1"/>
  <c r="M2427" i="14"/>
  <c r="N2423" i="14"/>
  <c r="J2422" i="14" a="1"/>
  <c r="J2422" i="14" s="1"/>
  <c r="K2259" i="14"/>
  <c r="L2259" i="14" s="1"/>
  <c r="I2260" i="14" s="1"/>
  <c r="J2423" i="13" a="1"/>
  <c r="J2423" i="13" s="1"/>
  <c r="N2424" i="13"/>
  <c r="M2426" i="13"/>
  <c r="K2260" i="14" l="1"/>
  <c r="L2260" i="14" s="1"/>
  <c r="I2261" i="14" s="1"/>
  <c r="K2238" i="13"/>
  <c r="L2238" i="13" s="1"/>
  <c r="I2239" i="13" s="1"/>
  <c r="M2427" i="13"/>
  <c r="M2428" i="14"/>
  <c r="J2424" i="13" a="1"/>
  <c r="J2424" i="13" s="1"/>
  <c r="N2425" i="13"/>
  <c r="N2424" i="14"/>
  <c r="J2423" i="14" a="1"/>
  <c r="J2423" i="14" s="1"/>
  <c r="K2239" i="13" l="1"/>
  <c r="L2239" i="13" s="1"/>
  <c r="I2240" i="13" s="1"/>
  <c r="K2261" i="14"/>
  <c r="L2261" i="14" s="1"/>
  <c r="I2262" i="14" s="1"/>
  <c r="J2424" i="14" a="1"/>
  <c r="J2424" i="14" s="1"/>
  <c r="N2425" i="14"/>
  <c r="M2429" i="14"/>
  <c r="N2426" i="13"/>
  <c r="J2425" i="13" a="1"/>
  <c r="J2425" i="13" s="1"/>
  <c r="M2428" i="13"/>
  <c r="K2262" i="14" l="1"/>
  <c r="L2262" i="14" s="1"/>
  <c r="I2263" i="14" s="1"/>
  <c r="K2240" i="13"/>
  <c r="L2240" i="13" s="1"/>
  <c r="I2241" i="13" s="1"/>
  <c r="J2426" i="13" a="1"/>
  <c r="J2426" i="13" s="1"/>
  <c r="N2427" i="13"/>
  <c r="M2429" i="13"/>
  <c r="J2425" i="14" a="1"/>
  <c r="J2425" i="14" s="1"/>
  <c r="N2426" i="14"/>
  <c r="M2430" i="14"/>
  <c r="K2263" i="14" l="1"/>
  <c r="L2263" i="14" s="1"/>
  <c r="I2264" i="14" s="1"/>
  <c r="M2431" i="14"/>
  <c r="M2430" i="13"/>
  <c r="K2241" i="13"/>
  <c r="L2241" i="13" s="1"/>
  <c r="I2242" i="13" s="1"/>
  <c r="J2426" i="14" a="1"/>
  <c r="J2426" i="14" s="1"/>
  <c r="N2427" i="14"/>
  <c r="J2427" i="13" a="1"/>
  <c r="J2427" i="13" s="1"/>
  <c r="N2428" i="13"/>
  <c r="K2264" i="14" l="1"/>
  <c r="L2264" i="14" s="1"/>
  <c r="I2265" i="14" s="1"/>
  <c r="J2428" i="13" a="1"/>
  <c r="J2428" i="13" s="1"/>
  <c r="N2429" i="13"/>
  <c r="K2242" i="13"/>
  <c r="L2242" i="13" s="1"/>
  <c r="I2243" i="13" s="1"/>
  <c r="M2432" i="14"/>
  <c r="N2428" i="14"/>
  <c r="J2427" i="14" a="1"/>
  <c r="J2427" i="14" s="1"/>
  <c r="M2431" i="13"/>
  <c r="K2243" i="13" l="1"/>
  <c r="L2243" i="13" s="1"/>
  <c r="I2244" i="13" s="1"/>
  <c r="K2265" i="14"/>
  <c r="L2265" i="14" s="1"/>
  <c r="I2266" i="14" s="1"/>
  <c r="N2430" i="13"/>
  <c r="J2429" i="13" a="1"/>
  <c r="J2429" i="13" s="1"/>
  <c r="M2432" i="13"/>
  <c r="M2433" i="14"/>
  <c r="J2428" i="14" a="1"/>
  <c r="J2428" i="14" s="1"/>
  <c r="N2429" i="14"/>
  <c r="K2244" i="13" l="1"/>
  <c r="L2244" i="13" s="1"/>
  <c r="I2245" i="13" s="1"/>
  <c r="J2429" i="14" a="1"/>
  <c r="J2429" i="14" s="1"/>
  <c r="N2430" i="14"/>
  <c r="M2433" i="13"/>
  <c r="K2266" i="14"/>
  <c r="L2266" i="14" s="1"/>
  <c r="I2267" i="14" s="1"/>
  <c r="M2434" i="14"/>
  <c r="J2430" i="13" a="1"/>
  <c r="J2430" i="13" s="1"/>
  <c r="N2431" i="13"/>
  <c r="K2267" i="14" l="1"/>
  <c r="L2267" i="14" s="1"/>
  <c r="I2268" i="14" s="1"/>
  <c r="K2245" i="13"/>
  <c r="L2245" i="13" s="1"/>
  <c r="I2246" i="13" s="1"/>
  <c r="N2431" i="14"/>
  <c r="J2430" i="14" a="1"/>
  <c r="J2430" i="14" s="1"/>
  <c r="J2431" i="13" a="1"/>
  <c r="J2431" i="13" s="1"/>
  <c r="N2432" i="13"/>
  <c r="M2435" i="14"/>
  <c r="M2434" i="13"/>
  <c r="K2246" i="13" l="1"/>
  <c r="L2246" i="13" s="1"/>
  <c r="I2247" i="13" s="1"/>
  <c r="K2268" i="14"/>
  <c r="L2268" i="14" s="1"/>
  <c r="I2269" i="14" s="1"/>
  <c r="M2435" i="13"/>
  <c r="J2432" i="13" a="1"/>
  <c r="J2432" i="13" s="1"/>
  <c r="N2433" i="13"/>
  <c r="M2436" i="14"/>
  <c r="N2432" i="14"/>
  <c r="J2431" i="14" a="1"/>
  <c r="J2431" i="14" s="1"/>
  <c r="K2247" i="13" l="1"/>
  <c r="L2247" i="13" s="1"/>
  <c r="I2248" i="13" s="1"/>
  <c r="N2434" i="13"/>
  <c r="J2433" i="13" a="1"/>
  <c r="J2433" i="13" s="1"/>
  <c r="K2269" i="14"/>
  <c r="L2269" i="14" s="1"/>
  <c r="I2270" i="14" s="1"/>
  <c r="J2432" i="14" a="1"/>
  <c r="J2432" i="14" s="1"/>
  <c r="N2433" i="14"/>
  <c r="M2437" i="14"/>
  <c r="M2436" i="13"/>
  <c r="K2270" i="14" l="1"/>
  <c r="L2270" i="14" s="1"/>
  <c r="I2271" i="14" s="1"/>
  <c r="K2248" i="13"/>
  <c r="L2248" i="13" s="1"/>
  <c r="I2249" i="13" s="1"/>
  <c r="J2433" i="14" a="1"/>
  <c r="J2433" i="14" s="1"/>
  <c r="N2434" i="14"/>
  <c r="M2437" i="13"/>
  <c r="J2434" i="13" a="1"/>
  <c r="J2434" i="13" s="1"/>
  <c r="N2435" i="13"/>
  <c r="M2438" i="14"/>
  <c r="K2271" i="14" l="1"/>
  <c r="L2271" i="14" s="1"/>
  <c r="I2272" i="14" s="1"/>
  <c r="K2249" i="13"/>
  <c r="L2249" i="13" s="1"/>
  <c r="I2250" i="13" s="1"/>
  <c r="J2434" i="14" a="1"/>
  <c r="J2434" i="14" s="1"/>
  <c r="N2435" i="14"/>
  <c r="M2439" i="14"/>
  <c r="M2438" i="13"/>
  <c r="J2435" i="13" a="1"/>
  <c r="J2435" i="13" s="1"/>
  <c r="N2436" i="13"/>
  <c r="K2250" i="13" l="1"/>
  <c r="L2250" i="13" s="1"/>
  <c r="I2251" i="13" s="1"/>
  <c r="K2272" i="14"/>
  <c r="L2272" i="14" s="1"/>
  <c r="I2273" i="14" s="1"/>
  <c r="J2436" i="13" a="1"/>
  <c r="J2436" i="13" s="1"/>
  <c r="N2437" i="13"/>
  <c r="M2440" i="14"/>
  <c r="N2436" i="14"/>
  <c r="J2435" i="14" a="1"/>
  <c r="J2435" i="14" s="1"/>
  <c r="M2439" i="13"/>
  <c r="K2251" i="13" l="1"/>
  <c r="L2251" i="13" s="1"/>
  <c r="I2252" i="13" s="1"/>
  <c r="J2436" i="14" a="1"/>
  <c r="J2436" i="14" s="1"/>
  <c r="N2437" i="14"/>
  <c r="M2440" i="13"/>
  <c r="M2441" i="14"/>
  <c r="K2273" i="14"/>
  <c r="L2273" i="14" s="1"/>
  <c r="I2274" i="14" s="1"/>
  <c r="N2438" i="13"/>
  <c r="J2437" i="13" a="1"/>
  <c r="J2437" i="13" s="1"/>
  <c r="K2274" i="14" l="1"/>
  <c r="L2274" i="14" s="1"/>
  <c r="I2275" i="14" s="1"/>
  <c r="K2252" i="13"/>
  <c r="L2252" i="13" s="1"/>
  <c r="I2253" i="13" s="1"/>
  <c r="J2437" i="14" a="1"/>
  <c r="J2437" i="14" s="1"/>
  <c r="N2438" i="14"/>
  <c r="M2442" i="14"/>
  <c r="J2438" i="13" a="1"/>
  <c r="J2438" i="13" s="1"/>
  <c r="N2439" i="13"/>
  <c r="M2441" i="13"/>
  <c r="M2443" i="14" l="1"/>
  <c r="K2253" i="13"/>
  <c r="L2253" i="13" s="1"/>
  <c r="I2254" i="13" s="1"/>
  <c r="M2442" i="13"/>
  <c r="J2439" i="13" a="1"/>
  <c r="J2439" i="13" s="1"/>
  <c r="N2440" i="13"/>
  <c r="N2439" i="14"/>
  <c r="J2438" i="14" a="1"/>
  <c r="J2438" i="14" s="1"/>
  <c r="K2275" i="14"/>
  <c r="L2275" i="14" s="1"/>
  <c r="I2276" i="14" s="1"/>
  <c r="K2254" i="13" l="1"/>
  <c r="L2254" i="13" s="1"/>
  <c r="I2255" i="13" s="1"/>
  <c r="K2276" i="14"/>
  <c r="L2276" i="14" s="1"/>
  <c r="I2277" i="14" s="1"/>
  <c r="J2440" i="13" a="1"/>
  <c r="J2440" i="13" s="1"/>
  <c r="N2441" i="13"/>
  <c r="N2440" i="14"/>
  <c r="J2439" i="14" a="1"/>
  <c r="J2439" i="14" s="1"/>
  <c r="M2443" i="13"/>
  <c r="M2444" i="14"/>
  <c r="K2255" i="13" l="1"/>
  <c r="L2255" i="13" s="1"/>
  <c r="I2256" i="13" s="1"/>
  <c r="K2277" i="14"/>
  <c r="L2277" i="14" s="1"/>
  <c r="I2278" i="14" s="1"/>
  <c r="M2444" i="13"/>
  <c r="M2445" i="14"/>
  <c r="J2440" i="14" a="1"/>
  <c r="J2440" i="14" s="1"/>
  <c r="N2441" i="14"/>
  <c r="N2442" i="13"/>
  <c r="J2441" i="13" a="1"/>
  <c r="J2441" i="13" s="1"/>
  <c r="K2278" i="14" l="1"/>
  <c r="L2278" i="14" s="1"/>
  <c r="I2279" i="14" s="1"/>
  <c r="K2256" i="13"/>
  <c r="L2256" i="13" s="1"/>
  <c r="I2257" i="13" s="1"/>
  <c r="J2442" i="13" a="1"/>
  <c r="J2442" i="13" s="1"/>
  <c r="N2443" i="13"/>
  <c r="M2446" i="14"/>
  <c r="J2441" i="14" a="1"/>
  <c r="J2441" i="14" s="1"/>
  <c r="N2442" i="14"/>
  <c r="M2445" i="13"/>
  <c r="K2257" i="13" l="1"/>
  <c r="L2257" i="13" s="1"/>
  <c r="I2258" i="13" s="1"/>
  <c r="K2279" i="14"/>
  <c r="L2279" i="14" s="1"/>
  <c r="I2280" i="14" s="1"/>
  <c r="J2443" i="13" a="1"/>
  <c r="J2443" i="13" s="1"/>
  <c r="N2444" i="13"/>
  <c r="M2447" i="14"/>
  <c r="M2446" i="13"/>
  <c r="J2442" i="14" a="1"/>
  <c r="J2442" i="14" s="1"/>
  <c r="N2443" i="14"/>
  <c r="K2258" i="13" l="1"/>
  <c r="L2258" i="13" s="1"/>
  <c r="I2259" i="13" s="1"/>
  <c r="N2444" i="14"/>
  <c r="J2443" i="14" a="1"/>
  <c r="J2443" i="14" s="1"/>
  <c r="K2280" i="14"/>
  <c r="L2280" i="14" s="1"/>
  <c r="I2281" i="14" s="1"/>
  <c r="J2444" i="13" a="1"/>
  <c r="J2444" i="13" s="1"/>
  <c r="N2445" i="13"/>
  <c r="M2448" i="14"/>
  <c r="M2447" i="13"/>
  <c r="K2281" i="14" l="1"/>
  <c r="L2281" i="14" s="1"/>
  <c r="I2282" i="14" s="1"/>
  <c r="K2259" i="13"/>
  <c r="L2259" i="13" s="1"/>
  <c r="I2260" i="13" s="1"/>
  <c r="J2444" i="14" a="1"/>
  <c r="J2444" i="14" s="1"/>
  <c r="N2445" i="14"/>
  <c r="N2446" i="13"/>
  <c r="J2445" i="13" a="1"/>
  <c r="J2445" i="13" s="1"/>
  <c r="M2448" i="13"/>
  <c r="M2449" i="14"/>
  <c r="K2282" i="14" l="1"/>
  <c r="L2282" i="14" s="1"/>
  <c r="I2283" i="14" s="1"/>
  <c r="M2450" i="14"/>
  <c r="K2260" i="13"/>
  <c r="L2260" i="13" s="1"/>
  <c r="I2261" i="13" s="1"/>
  <c r="J2446" i="13" a="1"/>
  <c r="J2446" i="13" s="1"/>
  <c r="N2447" i="13"/>
  <c r="M2449" i="13"/>
  <c r="J2445" i="14" a="1"/>
  <c r="J2445" i="14" s="1"/>
  <c r="N2446" i="14"/>
  <c r="K2261" i="13" l="1"/>
  <c r="L2261" i="13" s="1"/>
  <c r="I2262" i="13" s="1"/>
  <c r="K2283" i="14"/>
  <c r="L2283" i="14" s="1"/>
  <c r="I2284" i="14" s="1"/>
  <c r="N2447" i="14"/>
  <c r="J2446" i="14" a="1"/>
  <c r="J2446" i="14" s="1"/>
  <c r="J2447" i="13" a="1"/>
  <c r="J2447" i="13" s="1"/>
  <c r="N2448" i="13"/>
  <c r="M2451" i="14"/>
  <c r="M2450" i="13"/>
  <c r="K2262" i="13" l="1"/>
  <c r="L2262" i="13" s="1"/>
  <c r="I2263" i="13" s="1"/>
  <c r="J2448" i="13" a="1"/>
  <c r="J2448" i="13" s="1"/>
  <c r="N2449" i="13"/>
  <c r="M2451" i="13"/>
  <c r="K2284" i="14"/>
  <c r="L2284" i="14" s="1"/>
  <c r="I2285" i="14" s="1"/>
  <c r="M2452" i="14"/>
  <c r="N2448" i="14"/>
  <c r="J2447" i="14" a="1"/>
  <c r="J2447" i="14" s="1"/>
  <c r="K2285" i="14" l="1"/>
  <c r="L2285" i="14" s="1"/>
  <c r="I2286" i="14" s="1"/>
  <c r="K2263" i="13"/>
  <c r="L2263" i="13" s="1"/>
  <c r="I2264" i="13" s="1"/>
  <c r="N2450" i="13"/>
  <c r="J2449" i="13" a="1"/>
  <c r="J2449" i="13" s="1"/>
  <c r="J2448" i="14" a="1"/>
  <c r="J2448" i="14" s="1"/>
  <c r="N2449" i="14"/>
  <c r="M2453" i="14"/>
  <c r="M2452" i="13"/>
  <c r="K2286" i="14" l="1"/>
  <c r="L2286" i="14" s="1"/>
  <c r="I2287" i="14" s="1"/>
  <c r="K2264" i="13"/>
  <c r="L2264" i="13" s="1"/>
  <c r="I2265" i="13" s="1"/>
  <c r="J2449" i="14" a="1"/>
  <c r="J2449" i="14" s="1"/>
  <c r="N2450" i="14"/>
  <c r="M2453" i="13"/>
  <c r="M2454" i="14"/>
  <c r="J2450" i="13" a="1"/>
  <c r="J2450" i="13" s="1"/>
  <c r="N2451" i="13"/>
  <c r="K2265" i="13" l="1"/>
  <c r="L2265" i="13" s="1"/>
  <c r="I2266" i="13" s="1"/>
  <c r="K2287" i="14"/>
  <c r="L2287" i="14" s="1"/>
  <c r="I2288" i="14" s="1"/>
  <c r="M2455" i="14"/>
  <c r="J2451" i="13" a="1"/>
  <c r="J2451" i="13" s="1"/>
  <c r="N2452" i="13"/>
  <c r="M2454" i="13"/>
  <c r="J2450" i="14" a="1"/>
  <c r="J2450" i="14" s="1"/>
  <c r="N2451" i="14"/>
  <c r="K2288" i="14" l="1"/>
  <c r="L2288" i="14" s="1"/>
  <c r="I2289" i="14" s="1"/>
  <c r="K2266" i="13"/>
  <c r="L2266" i="13" s="1"/>
  <c r="I2267" i="13" s="1"/>
  <c r="N2452" i="14"/>
  <c r="J2451" i="14" a="1"/>
  <c r="J2451" i="14" s="1"/>
  <c r="J2452" i="13" a="1"/>
  <c r="J2452" i="13" s="1"/>
  <c r="N2453" i="13"/>
  <c r="M2455" i="13"/>
  <c r="M2456" i="14"/>
  <c r="K2289" i="14" l="1"/>
  <c r="L2289" i="14" s="1"/>
  <c r="I2290" i="14" s="1"/>
  <c r="N2454" i="13"/>
  <c r="J2453" i="13" a="1"/>
  <c r="J2453" i="13" s="1"/>
  <c r="M2457" i="14"/>
  <c r="K2267" i="13"/>
  <c r="L2267" i="13" s="1"/>
  <c r="I2268" i="13" s="1"/>
  <c r="M2456" i="13"/>
  <c r="J2452" i="14" a="1"/>
  <c r="J2452" i="14" s="1"/>
  <c r="N2453" i="14"/>
  <c r="K2268" i="13" l="1"/>
  <c r="L2268" i="13" s="1"/>
  <c r="I2269" i="13" s="1"/>
  <c r="K2290" i="14"/>
  <c r="L2290" i="14" s="1"/>
  <c r="I2291" i="14" s="1"/>
  <c r="J2454" i="13" a="1"/>
  <c r="J2454" i="13" s="1"/>
  <c r="N2455" i="13"/>
  <c r="J2453" i="14" a="1"/>
  <c r="J2453" i="14" s="1"/>
  <c r="N2454" i="14"/>
  <c r="M2457" i="13"/>
  <c r="M2458" i="14"/>
  <c r="K2269" i="13" l="1"/>
  <c r="L2269" i="13" s="1"/>
  <c r="I2270" i="13" s="1"/>
  <c r="M2459" i="14"/>
  <c r="N2455" i="14"/>
  <c r="J2454" i="14" a="1"/>
  <c r="J2454" i="14" s="1"/>
  <c r="K2291" i="14"/>
  <c r="L2291" i="14" s="1"/>
  <c r="I2292" i="14" s="1"/>
  <c r="J2455" i="13" a="1"/>
  <c r="J2455" i="13" s="1"/>
  <c r="N2456" i="13"/>
  <c r="M2458" i="13"/>
  <c r="K2292" i="14" l="1"/>
  <c r="L2292" i="14" s="1"/>
  <c r="I2293" i="14" s="1"/>
  <c r="K2270" i="13"/>
  <c r="L2270" i="13" s="1"/>
  <c r="I2271" i="13" s="1"/>
  <c r="M2459" i="13"/>
  <c r="M2460" i="14"/>
  <c r="J2456" i="13" a="1"/>
  <c r="J2456" i="13" s="1"/>
  <c r="N2457" i="13"/>
  <c r="N2456" i="14"/>
  <c r="J2455" i="14" a="1"/>
  <c r="J2455" i="14" s="1"/>
  <c r="K2293" i="14" l="1"/>
  <c r="L2293" i="14" s="1"/>
  <c r="I2294" i="14" s="1"/>
  <c r="J2456" i="14" a="1"/>
  <c r="J2456" i="14" s="1"/>
  <c r="N2457" i="14"/>
  <c r="M2461" i="14"/>
  <c r="K2271" i="13"/>
  <c r="L2271" i="13" s="1"/>
  <c r="I2272" i="13" s="1"/>
  <c r="N2458" i="13"/>
  <c r="J2457" i="13" a="1"/>
  <c r="J2457" i="13" s="1"/>
  <c r="M2460" i="13"/>
  <c r="K2272" i="13" l="1"/>
  <c r="L2272" i="13" s="1"/>
  <c r="I2273" i="13" s="1"/>
  <c r="K2294" i="14"/>
  <c r="L2294" i="14" s="1"/>
  <c r="I2295" i="14" s="1"/>
  <c r="M2461" i="13"/>
  <c r="J2457" i="14" a="1"/>
  <c r="J2457" i="14" s="1"/>
  <c r="N2458" i="14"/>
  <c r="J2458" i="13" a="1"/>
  <c r="J2458" i="13" s="1"/>
  <c r="N2459" i="13"/>
  <c r="M2462" i="14"/>
  <c r="K2273" i="13" l="1"/>
  <c r="L2273" i="13" s="1"/>
  <c r="I2274" i="13" s="1"/>
  <c r="J2458" i="14" a="1"/>
  <c r="J2458" i="14" s="1"/>
  <c r="N2459" i="14"/>
  <c r="M2463" i="14"/>
  <c r="K2295" i="14"/>
  <c r="L2295" i="14" s="1"/>
  <c r="I2296" i="14" s="1"/>
  <c r="J2459" i="13" a="1"/>
  <c r="J2459" i="13" s="1"/>
  <c r="N2460" i="13"/>
  <c r="M2462" i="13"/>
  <c r="K2296" i="14" l="1"/>
  <c r="L2296" i="14" s="1"/>
  <c r="I2297" i="14" s="1"/>
  <c r="K2274" i="13"/>
  <c r="L2274" i="13" s="1"/>
  <c r="I2275" i="13" s="1"/>
  <c r="N2460" i="14"/>
  <c r="J2459" i="14" a="1"/>
  <c r="J2459" i="14" s="1"/>
  <c r="M2463" i="13"/>
  <c r="J2460" i="13" a="1"/>
  <c r="J2460" i="13" s="1"/>
  <c r="N2461" i="13"/>
  <c r="M2464" i="14"/>
  <c r="K2297" i="14" l="1"/>
  <c r="L2297" i="14" s="1"/>
  <c r="I2298" i="14" s="1"/>
  <c r="M2464" i="13"/>
  <c r="M2465" i="14"/>
  <c r="K2275" i="13"/>
  <c r="L2275" i="13" s="1"/>
  <c r="I2276" i="13" s="1"/>
  <c r="N2462" i="13"/>
  <c r="J2461" i="13" a="1"/>
  <c r="J2461" i="13" s="1"/>
  <c r="J2460" i="14" a="1"/>
  <c r="J2460" i="14" s="1"/>
  <c r="N2461" i="14"/>
  <c r="K2276" i="13" l="1"/>
  <c r="L2276" i="13" s="1"/>
  <c r="I2277" i="13" s="1"/>
  <c r="K2298" i="14"/>
  <c r="L2298" i="14" s="1"/>
  <c r="I2299" i="14" s="1"/>
  <c r="J2461" i="14" a="1"/>
  <c r="J2461" i="14" s="1"/>
  <c r="N2462" i="14"/>
  <c r="M2465" i="13"/>
  <c r="J2462" i="13" a="1"/>
  <c r="J2462" i="13" s="1"/>
  <c r="N2463" i="13"/>
  <c r="M2466" i="14"/>
  <c r="K2299" i="14" l="1"/>
  <c r="L2299" i="14" s="1"/>
  <c r="I2300" i="14" s="1"/>
  <c r="K2277" i="13"/>
  <c r="L2277" i="13" s="1"/>
  <c r="I2278" i="13" s="1"/>
  <c r="N2463" i="14"/>
  <c r="J2462" i="14" a="1"/>
  <c r="J2462" i="14" s="1"/>
  <c r="M2467" i="14"/>
  <c r="M2466" i="13"/>
  <c r="J2463" i="13" a="1"/>
  <c r="J2463" i="13" s="1"/>
  <c r="N2464" i="13"/>
  <c r="K2278" i="13" l="1"/>
  <c r="L2278" i="13" s="1"/>
  <c r="I2279" i="13" s="1"/>
  <c r="K2300" i="14"/>
  <c r="L2300" i="14" s="1"/>
  <c r="I2301" i="14" s="1"/>
  <c r="M2467" i="13"/>
  <c r="J2464" i="13" a="1"/>
  <c r="J2464" i="13" s="1"/>
  <c r="N2465" i="13"/>
  <c r="M2468" i="14"/>
  <c r="N2464" i="14"/>
  <c r="J2463" i="14" a="1"/>
  <c r="J2463" i="14" s="1"/>
  <c r="K2301" i="14" l="1"/>
  <c r="L2301" i="14" s="1"/>
  <c r="I2302" i="14" s="1"/>
  <c r="K2279" i="13"/>
  <c r="L2279" i="13" s="1"/>
  <c r="I2280" i="13" s="1"/>
  <c r="N2466" i="13"/>
  <c r="J2465" i="13" a="1"/>
  <c r="J2465" i="13" s="1"/>
  <c r="J2464" i="14" a="1"/>
  <c r="J2464" i="14" s="1"/>
  <c r="N2465" i="14"/>
  <c r="M2469" i="14"/>
  <c r="M2468" i="13"/>
  <c r="K2302" i="14" l="1"/>
  <c r="L2302" i="14" s="1"/>
  <c r="I2303" i="14" s="1"/>
  <c r="K2280" i="13"/>
  <c r="L2280" i="13" s="1"/>
  <c r="I2281" i="13" s="1"/>
  <c r="M2469" i="13"/>
  <c r="J2465" i="14" a="1"/>
  <c r="J2465" i="14" s="1"/>
  <c r="N2466" i="14"/>
  <c r="M2470" i="14"/>
  <c r="J2466" i="13" a="1"/>
  <c r="J2466" i="13" s="1"/>
  <c r="N2467" i="13"/>
  <c r="K2303" i="14" l="1"/>
  <c r="L2303" i="14" s="1"/>
  <c r="I2304" i="14" s="1"/>
  <c r="J2466" i="14" a="1"/>
  <c r="J2466" i="14" s="1"/>
  <c r="N2467" i="14"/>
  <c r="J2467" i="13" a="1"/>
  <c r="J2467" i="13" s="1"/>
  <c r="N2468" i="13"/>
  <c r="K2281" i="13"/>
  <c r="L2281" i="13" s="1"/>
  <c r="I2282" i="13" s="1"/>
  <c r="M2471" i="14"/>
  <c r="M2470" i="13"/>
  <c r="K2304" i="14" l="1"/>
  <c r="L2304" i="14" s="1"/>
  <c r="I2305" i="14" s="1"/>
  <c r="M2472" i="14"/>
  <c r="N2468" i="14"/>
  <c r="J2467" i="14" a="1"/>
  <c r="J2467" i="14" s="1"/>
  <c r="M2471" i="13"/>
  <c r="K2282" i="13"/>
  <c r="L2282" i="13" s="1"/>
  <c r="I2283" i="13" s="1"/>
  <c r="J2468" i="13" a="1"/>
  <c r="J2468" i="13" s="1"/>
  <c r="N2469" i="13"/>
  <c r="K2283" i="13" l="1"/>
  <c r="L2283" i="13" s="1"/>
  <c r="I2284" i="13" s="1"/>
  <c r="K2305" i="14"/>
  <c r="L2305" i="14" s="1"/>
  <c r="I2306" i="14" s="1"/>
  <c r="N2470" i="13"/>
  <c r="J2469" i="13" a="1"/>
  <c r="J2469" i="13" s="1"/>
  <c r="M2472" i="13"/>
  <c r="M2473" i="14"/>
  <c r="J2468" i="14" a="1"/>
  <c r="J2468" i="14" s="1"/>
  <c r="N2469" i="14"/>
  <c r="K2284" i="13" l="1"/>
  <c r="L2284" i="13" s="1"/>
  <c r="I2285" i="13" s="1"/>
  <c r="J2469" i="14" a="1"/>
  <c r="J2469" i="14" s="1"/>
  <c r="N2470" i="14"/>
  <c r="M2473" i="13"/>
  <c r="K2306" i="14"/>
  <c r="L2306" i="14" s="1"/>
  <c r="I2307" i="14" s="1"/>
  <c r="M2474" i="14"/>
  <c r="J2470" i="13" a="1"/>
  <c r="J2470" i="13" s="1"/>
  <c r="N2471" i="13"/>
  <c r="K2307" i="14" l="1"/>
  <c r="L2307" i="14" s="1"/>
  <c r="I2308" i="14" s="1"/>
  <c r="K2285" i="13"/>
  <c r="L2285" i="13" s="1"/>
  <c r="I2286" i="13" s="1"/>
  <c r="N2471" i="14"/>
  <c r="J2470" i="14" a="1"/>
  <c r="J2470" i="14" s="1"/>
  <c r="J2471" i="13" a="1"/>
  <c r="J2471" i="13" s="1"/>
  <c r="N2472" i="13"/>
  <c r="M2475" i="14"/>
  <c r="M2474" i="13"/>
  <c r="K2308" i="14" l="1"/>
  <c r="L2308" i="14" s="1"/>
  <c r="I2309" i="14" s="1"/>
  <c r="M2476" i="14"/>
  <c r="J2472" i="13" a="1"/>
  <c r="J2472" i="13" s="1"/>
  <c r="N2473" i="13"/>
  <c r="K2286" i="13"/>
  <c r="L2286" i="13" s="1"/>
  <c r="I2287" i="13" s="1"/>
  <c r="M2475" i="13"/>
  <c r="N2472" i="14"/>
  <c r="J2471" i="14" a="1"/>
  <c r="J2471" i="14" s="1"/>
  <c r="K2309" i="14" l="1"/>
  <c r="L2309" i="14" s="1"/>
  <c r="I2310" i="14" s="1"/>
  <c r="K2287" i="13"/>
  <c r="L2287" i="13" s="1"/>
  <c r="I2288" i="13" s="1"/>
  <c r="M2476" i="13"/>
  <c r="M2477" i="14"/>
  <c r="J2472" i="14" a="1"/>
  <c r="J2472" i="14" s="1"/>
  <c r="N2473" i="14"/>
  <c r="N2474" i="13"/>
  <c r="J2473" i="13" a="1"/>
  <c r="J2473" i="13" s="1"/>
  <c r="K2310" i="14" l="1"/>
  <c r="L2310" i="14" s="1"/>
  <c r="I2311" i="14" s="1"/>
  <c r="K2288" i="13"/>
  <c r="L2288" i="13" s="1"/>
  <c r="I2289" i="13" s="1"/>
  <c r="J2474" i="13" a="1"/>
  <c r="J2474" i="13" s="1"/>
  <c r="N2475" i="13"/>
  <c r="M2478" i="14"/>
  <c r="J2473" i="14" a="1"/>
  <c r="J2473" i="14" s="1"/>
  <c r="N2474" i="14"/>
  <c r="M2477" i="13"/>
  <c r="K2289" i="13" l="1"/>
  <c r="L2289" i="13" s="1"/>
  <c r="I2290" i="13" s="1"/>
  <c r="K2311" i="14"/>
  <c r="L2311" i="14" s="1"/>
  <c r="I2312" i="14" s="1"/>
  <c r="J2475" i="13" a="1"/>
  <c r="J2475" i="13" s="1"/>
  <c r="N2476" i="13"/>
  <c r="M2479" i="14"/>
  <c r="M2478" i="13"/>
  <c r="J2474" i="14" a="1"/>
  <c r="J2474" i="14" s="1"/>
  <c r="N2475" i="14"/>
  <c r="K2312" i="14" l="1"/>
  <c r="L2312" i="14" s="1"/>
  <c r="I2313" i="14" s="1"/>
  <c r="K2290" i="13"/>
  <c r="L2290" i="13" s="1"/>
  <c r="I2291" i="13" s="1"/>
  <c r="N2476" i="14"/>
  <c r="J2475" i="14" a="1"/>
  <c r="J2475" i="14" s="1"/>
  <c r="M2480" i="14"/>
  <c r="J2476" i="13" a="1"/>
  <c r="J2476" i="13" s="1"/>
  <c r="N2477" i="13"/>
  <c r="M2479" i="13"/>
  <c r="K2313" i="14" l="1"/>
  <c r="L2313" i="14" s="1"/>
  <c r="I2314" i="14" s="1"/>
  <c r="M2480" i="13"/>
  <c r="K2291" i="13"/>
  <c r="L2291" i="13" s="1"/>
  <c r="I2292" i="13" s="1"/>
  <c r="N2478" i="13"/>
  <c r="J2477" i="13" a="1"/>
  <c r="J2477" i="13" s="1"/>
  <c r="M2481" i="14"/>
  <c r="J2476" i="14" a="1"/>
  <c r="J2476" i="14" s="1"/>
  <c r="N2477" i="14"/>
  <c r="K2292" i="13" l="1"/>
  <c r="L2292" i="13" s="1"/>
  <c r="I2293" i="13" s="1"/>
  <c r="K2314" i="14"/>
  <c r="L2314" i="14" s="1"/>
  <c r="I2315" i="14" s="1"/>
  <c r="J2477" i="14" a="1"/>
  <c r="J2477" i="14" s="1"/>
  <c r="N2478" i="14"/>
  <c r="M2481" i="13"/>
  <c r="J2478" i="13" a="1"/>
  <c r="J2478" i="13" s="1"/>
  <c r="N2479" i="13"/>
  <c r="M2482" i="14"/>
  <c r="K2293" i="13" l="1"/>
  <c r="L2293" i="13" s="1"/>
  <c r="I2294" i="13" s="1"/>
  <c r="M2483" i="14"/>
  <c r="M2482" i="13"/>
  <c r="K2315" i="14"/>
  <c r="L2315" i="14" s="1"/>
  <c r="I2316" i="14" s="1"/>
  <c r="J2479" i="13" a="1"/>
  <c r="J2479" i="13" s="1"/>
  <c r="N2480" i="13"/>
  <c r="N2479" i="14"/>
  <c r="J2478" i="14" a="1"/>
  <c r="J2478" i="14" s="1"/>
  <c r="K2294" i="13" l="1"/>
  <c r="L2294" i="13" s="1"/>
  <c r="I2295" i="13" s="1"/>
  <c r="N2480" i="14"/>
  <c r="J2479" i="14" a="1"/>
  <c r="J2479" i="14" s="1"/>
  <c r="K2316" i="14"/>
  <c r="L2316" i="14" s="1"/>
  <c r="I2317" i="14" s="1"/>
  <c r="M2484" i="14"/>
  <c r="J2480" i="13" a="1"/>
  <c r="J2480" i="13" s="1"/>
  <c r="N2481" i="13"/>
  <c r="M2483" i="13"/>
  <c r="K2317" i="14" l="1"/>
  <c r="L2317" i="14" s="1"/>
  <c r="I2318" i="14" s="1"/>
  <c r="K2295" i="13"/>
  <c r="L2295" i="13" s="1"/>
  <c r="I2296" i="13" s="1"/>
  <c r="M2484" i="13"/>
  <c r="M2485" i="14"/>
  <c r="J2480" i="14" a="1"/>
  <c r="J2480" i="14" s="1"/>
  <c r="N2481" i="14"/>
  <c r="N2482" i="13"/>
  <c r="J2481" i="13" a="1"/>
  <c r="J2481" i="13" s="1"/>
  <c r="K2296" i="13" l="1"/>
  <c r="L2296" i="13" s="1"/>
  <c r="I2297" i="13" s="1"/>
  <c r="J2482" i="13" a="1"/>
  <c r="J2482" i="13" s="1"/>
  <c r="N2483" i="13"/>
  <c r="M2486" i="14"/>
  <c r="J2481" i="14" a="1"/>
  <c r="J2481" i="14" s="1"/>
  <c r="N2482" i="14"/>
  <c r="M2485" i="13"/>
  <c r="K2318" i="14"/>
  <c r="L2318" i="14" s="1"/>
  <c r="I2319" i="14" s="1"/>
  <c r="K2319" i="14" l="1"/>
  <c r="L2319" i="14" s="1"/>
  <c r="I2320" i="14" s="1"/>
  <c r="K2297" i="13"/>
  <c r="L2297" i="13" s="1"/>
  <c r="I2298" i="13" s="1"/>
  <c r="J2483" i="13" a="1"/>
  <c r="J2483" i="13" s="1"/>
  <c r="N2484" i="13"/>
  <c r="J2482" i="14" a="1"/>
  <c r="J2482" i="14" s="1"/>
  <c r="N2483" i="14"/>
  <c r="M2487" i="14"/>
  <c r="M2486" i="13"/>
  <c r="K2298" i="13" l="1"/>
  <c r="L2298" i="13" s="1"/>
  <c r="I2299" i="13" s="1"/>
  <c r="K2320" i="14"/>
  <c r="L2320" i="14" s="1"/>
  <c r="I2321" i="14" s="1"/>
  <c r="N2484" i="14"/>
  <c r="J2483" i="14" a="1"/>
  <c r="J2483" i="14" s="1"/>
  <c r="J2484" i="13" a="1"/>
  <c r="J2484" i="13" s="1"/>
  <c r="N2485" i="13"/>
  <c r="M2487" i="13"/>
  <c r="M2488" i="14"/>
  <c r="K2321" i="14" l="1"/>
  <c r="L2321" i="14" s="1"/>
  <c r="I2322" i="14" s="1"/>
  <c r="K2299" i="13"/>
  <c r="L2299" i="13" s="1"/>
  <c r="I2300" i="13" s="1"/>
  <c r="N2486" i="13"/>
  <c r="J2485" i="13" a="1"/>
  <c r="J2485" i="13" s="1"/>
  <c r="M2489" i="14"/>
  <c r="M2488" i="13"/>
  <c r="J2484" i="14" a="1"/>
  <c r="J2484" i="14" s="1"/>
  <c r="N2485" i="14"/>
  <c r="K2300" i="13" l="1"/>
  <c r="L2300" i="13" s="1"/>
  <c r="I2301" i="13" s="1"/>
  <c r="K2322" i="14"/>
  <c r="L2322" i="14" s="1"/>
  <c r="I2323" i="14" s="1"/>
  <c r="J2485" i="14" a="1"/>
  <c r="J2485" i="14" s="1"/>
  <c r="N2486" i="14"/>
  <c r="M2490" i="14"/>
  <c r="M2489" i="13"/>
  <c r="J2486" i="13" a="1"/>
  <c r="J2486" i="13" s="1"/>
  <c r="N2487" i="13"/>
  <c r="K2323" i="14" l="1"/>
  <c r="L2323" i="14" s="1"/>
  <c r="I2324" i="14" s="1"/>
  <c r="K2301" i="13"/>
  <c r="L2301" i="13" s="1"/>
  <c r="I2302" i="13" s="1"/>
  <c r="J2487" i="13" a="1"/>
  <c r="J2487" i="13" s="1"/>
  <c r="N2488" i="13"/>
  <c r="M2491" i="14"/>
  <c r="N2487" i="14"/>
  <c r="J2486" i="14" a="1"/>
  <c r="J2486" i="14" s="1"/>
  <c r="M2490" i="13"/>
  <c r="K2302" i="13" l="1"/>
  <c r="L2302" i="13" s="1"/>
  <c r="I2303" i="13" s="1"/>
  <c r="K2324" i="14"/>
  <c r="L2324" i="14" s="1"/>
  <c r="I2325" i="14" s="1"/>
  <c r="N2488" i="14"/>
  <c r="J2487" i="14" a="1"/>
  <c r="J2487" i="14" s="1"/>
  <c r="J2488" i="13" a="1"/>
  <c r="J2488" i="13" s="1"/>
  <c r="N2489" i="13"/>
  <c r="M2491" i="13"/>
  <c r="M2492" i="14"/>
  <c r="K2303" i="13" l="1"/>
  <c r="L2303" i="13" s="1"/>
  <c r="I2304" i="13" s="1"/>
  <c r="N2490" i="13"/>
  <c r="J2489" i="13" a="1"/>
  <c r="J2489" i="13" s="1"/>
  <c r="K2325" i="14"/>
  <c r="L2325" i="14" s="1"/>
  <c r="I2326" i="14" s="1"/>
  <c r="M2493" i="14"/>
  <c r="M2492" i="13"/>
  <c r="J2488" i="14" a="1"/>
  <c r="J2488" i="14" s="1"/>
  <c r="N2489" i="14"/>
  <c r="K2326" i="14" l="1"/>
  <c r="L2326" i="14" s="1"/>
  <c r="I2327" i="14" s="1"/>
  <c r="K2304" i="13"/>
  <c r="L2304" i="13" s="1"/>
  <c r="I2305" i="13" s="1"/>
  <c r="J2489" i="14" a="1"/>
  <c r="J2489" i="14" s="1"/>
  <c r="N2490" i="14"/>
  <c r="J2490" i="13" a="1"/>
  <c r="J2490" i="13" s="1"/>
  <c r="N2491" i="13"/>
  <c r="M2494" i="14"/>
  <c r="M2493" i="13"/>
  <c r="K2327" i="14" l="1"/>
  <c r="L2327" i="14" s="1"/>
  <c r="I2328" i="14" s="1"/>
  <c r="J2491" i="13" a="1"/>
  <c r="J2491" i="13" s="1"/>
  <c r="N2492" i="13"/>
  <c r="K2305" i="13"/>
  <c r="L2305" i="13" s="1"/>
  <c r="I2306" i="13" s="1"/>
  <c r="J2490" i="14" a="1"/>
  <c r="J2490" i="14" s="1"/>
  <c r="N2491" i="14"/>
  <c r="M2494" i="13"/>
  <c r="M2495" i="14"/>
  <c r="K2306" i="13" l="1"/>
  <c r="L2306" i="13" s="1"/>
  <c r="I2307" i="13" s="1"/>
  <c r="K2328" i="14"/>
  <c r="L2328" i="14" s="1"/>
  <c r="I2329" i="14" s="1"/>
  <c r="N2492" i="14"/>
  <c r="J2491" i="14" a="1"/>
  <c r="J2491" i="14" s="1"/>
  <c r="J2492" i="13" a="1"/>
  <c r="J2492" i="13" s="1"/>
  <c r="N2493" i="13"/>
  <c r="M2496" i="14"/>
  <c r="M2495" i="13"/>
  <c r="K2307" i="13" l="1"/>
  <c r="L2307" i="13" s="1"/>
  <c r="I2308" i="13" s="1"/>
  <c r="N2494" i="13"/>
  <c r="J2493" i="13" a="1"/>
  <c r="J2493" i="13" s="1"/>
  <c r="K2329" i="14"/>
  <c r="L2329" i="14" s="1"/>
  <c r="I2330" i="14" s="1"/>
  <c r="M2496" i="13"/>
  <c r="M2497" i="14"/>
  <c r="J2492" i="14" a="1"/>
  <c r="J2492" i="14" s="1"/>
  <c r="N2493" i="14"/>
  <c r="K2330" i="14" l="1"/>
  <c r="L2330" i="14" s="1"/>
  <c r="I2331" i="14" s="1"/>
  <c r="K2308" i="13"/>
  <c r="L2308" i="13" s="1"/>
  <c r="I2309" i="13" s="1"/>
  <c r="M2497" i="13"/>
  <c r="J2494" i="13" a="1"/>
  <c r="J2494" i="13" s="1"/>
  <c r="N2495" i="13"/>
  <c r="J2493" i="14" a="1"/>
  <c r="J2493" i="14" s="1"/>
  <c r="N2494" i="14"/>
  <c r="M2498" i="14"/>
  <c r="K2309" i="13" l="1"/>
  <c r="L2309" i="13" s="1"/>
  <c r="I2310" i="13" s="1"/>
  <c r="K2331" i="14"/>
  <c r="L2331" i="14" s="1"/>
  <c r="I2332" i="14" s="1"/>
  <c r="N2495" i="14"/>
  <c r="J2494" i="14" a="1"/>
  <c r="J2494" i="14" s="1"/>
  <c r="M2499" i="14"/>
  <c r="J2495" i="13" a="1"/>
  <c r="J2495" i="13" s="1"/>
  <c r="N2496" i="13"/>
  <c r="M2498" i="13"/>
  <c r="K2332" i="14" l="1"/>
  <c r="L2332" i="14" s="1"/>
  <c r="I2333" i="14" s="1"/>
  <c r="K2310" i="13"/>
  <c r="L2310" i="13" s="1"/>
  <c r="I2311" i="13" s="1"/>
  <c r="M2499" i="13"/>
  <c r="M2500" i="14"/>
  <c r="J2496" i="13" a="1"/>
  <c r="J2496" i="13" s="1"/>
  <c r="N2497" i="13"/>
  <c r="N2496" i="14"/>
  <c r="J2495" i="14" a="1"/>
  <c r="J2495" i="14" s="1"/>
  <c r="K2311" i="13" l="1"/>
  <c r="L2311" i="13" s="1"/>
  <c r="I2312" i="13" s="1"/>
  <c r="K2333" i="14"/>
  <c r="L2333" i="14" s="1"/>
  <c r="I2334" i="14" s="1"/>
  <c r="N2498" i="13"/>
  <c r="J2497" i="13" a="1"/>
  <c r="J2497" i="13" s="1"/>
  <c r="J2496" i="14" a="1"/>
  <c r="J2496" i="14" s="1"/>
  <c r="N2497" i="14"/>
  <c r="M2501" i="14"/>
  <c r="M2500" i="13"/>
  <c r="K2334" i="14" l="1"/>
  <c r="L2334" i="14" s="1"/>
  <c r="I2335" i="14" s="1"/>
  <c r="K2312" i="13"/>
  <c r="L2312" i="13" s="1"/>
  <c r="I2313" i="13" s="1"/>
  <c r="M2501" i="13"/>
  <c r="J2497" i="14" a="1"/>
  <c r="J2497" i="14" s="1"/>
  <c r="N2498" i="14"/>
  <c r="M2502" i="14"/>
  <c r="J2498" i="13" a="1"/>
  <c r="J2498" i="13" s="1"/>
  <c r="N2499" i="13"/>
  <c r="K2313" i="13" l="1"/>
  <c r="L2313" i="13" s="1"/>
  <c r="I2314" i="13" s="1"/>
  <c r="K2335" i="14"/>
  <c r="L2335" i="14" s="1"/>
  <c r="I2336" i="14" s="1"/>
  <c r="J2499" i="13" a="1"/>
  <c r="J2499" i="13" s="1"/>
  <c r="N2500" i="13"/>
  <c r="J2498" i="14" a="1"/>
  <c r="J2498" i="14" s="1"/>
  <c r="N2499" i="14"/>
  <c r="M2503" i="14"/>
  <c r="M2502" i="13"/>
  <c r="K2314" i="13" l="1"/>
  <c r="L2314" i="13" s="1"/>
  <c r="I2315" i="13" s="1"/>
  <c r="M2503" i="13"/>
  <c r="N2500" i="14"/>
  <c r="J2499" i="14" a="1"/>
  <c r="J2499" i="14" s="1"/>
  <c r="K2336" i="14"/>
  <c r="L2336" i="14" s="1"/>
  <c r="I2337" i="14" s="1"/>
  <c r="J2500" i="13" a="1"/>
  <c r="J2500" i="13" s="1"/>
  <c r="N2501" i="13"/>
  <c r="M2504" i="14"/>
  <c r="K2315" i="13" l="1"/>
  <c r="L2315" i="13" s="1"/>
  <c r="I2316" i="13" s="1"/>
  <c r="M2505" i="14"/>
  <c r="K2337" i="14"/>
  <c r="L2337" i="14" s="1"/>
  <c r="I2338" i="14" s="1"/>
  <c r="M2504" i="13"/>
  <c r="N2502" i="13"/>
  <c r="J2501" i="13" a="1"/>
  <c r="J2501" i="13" s="1"/>
  <c r="J2500" i="14" a="1"/>
  <c r="J2500" i="14" s="1"/>
  <c r="N2501" i="14"/>
  <c r="K2338" i="14" l="1"/>
  <c r="L2338" i="14" s="1"/>
  <c r="I2339" i="14" s="1"/>
  <c r="K2316" i="13"/>
  <c r="L2316" i="13" s="1"/>
  <c r="I2317" i="13" s="1"/>
  <c r="J2501" i="14" a="1"/>
  <c r="J2501" i="14" s="1"/>
  <c r="N2502" i="14"/>
  <c r="M2505" i="13"/>
  <c r="M2506" i="14"/>
  <c r="J2502" i="13" a="1"/>
  <c r="J2502" i="13" s="1"/>
  <c r="N2503" i="13"/>
  <c r="K2339" i="14" l="1"/>
  <c r="L2339" i="14" s="1"/>
  <c r="I2340" i="14" s="1"/>
  <c r="J2503" i="13" a="1"/>
  <c r="J2503" i="13" s="1"/>
  <c r="N2504" i="13"/>
  <c r="M2506" i="13"/>
  <c r="K2317" i="13"/>
  <c r="L2317" i="13" s="1"/>
  <c r="I2318" i="13" s="1"/>
  <c r="M2507" i="14"/>
  <c r="N2503" i="14"/>
  <c r="J2502" i="14" a="1"/>
  <c r="J2502" i="14" s="1"/>
  <c r="K2318" i="13" l="1"/>
  <c r="L2318" i="13" s="1"/>
  <c r="I2319" i="13" s="1"/>
  <c r="K2340" i="14"/>
  <c r="L2340" i="14" s="1"/>
  <c r="I2341" i="14" s="1"/>
  <c r="J2504" i="13" a="1"/>
  <c r="J2504" i="13" s="1"/>
  <c r="N2505" i="13"/>
  <c r="N2504" i="14"/>
  <c r="J2503" i="14" a="1"/>
  <c r="J2503" i="14" s="1"/>
  <c r="M2508" i="14"/>
  <c r="M2507" i="13"/>
  <c r="K2319" i="13" l="1"/>
  <c r="L2319" i="13" s="1"/>
  <c r="I2320" i="13" s="1"/>
  <c r="J2504" i="14" a="1"/>
  <c r="J2504" i="14" s="1"/>
  <c r="N2505" i="14"/>
  <c r="K2341" i="14"/>
  <c r="L2341" i="14" s="1"/>
  <c r="I2342" i="14" s="1"/>
  <c r="N2506" i="13"/>
  <c r="J2505" i="13" a="1"/>
  <c r="J2505" i="13" s="1"/>
  <c r="M2508" i="13"/>
  <c r="M2509" i="14"/>
  <c r="K2342" i="14" l="1"/>
  <c r="L2342" i="14" s="1"/>
  <c r="I2343" i="14" s="1"/>
  <c r="K2320" i="13"/>
  <c r="L2320" i="13" s="1"/>
  <c r="I2321" i="13" s="1"/>
  <c r="J2505" i="14" a="1"/>
  <c r="J2505" i="14" s="1"/>
  <c r="N2506" i="14"/>
  <c r="M2510" i="14"/>
  <c r="M2509" i="13"/>
  <c r="J2506" i="13" a="1"/>
  <c r="J2506" i="13" s="1"/>
  <c r="N2507" i="13"/>
  <c r="K2343" i="14" l="1"/>
  <c r="L2343" i="14" s="1"/>
  <c r="I2344" i="14" s="1"/>
  <c r="J2507" i="13" a="1"/>
  <c r="J2507" i="13" s="1"/>
  <c r="N2508" i="13"/>
  <c r="M2511" i="14"/>
  <c r="M2510" i="13"/>
  <c r="K2321" i="13"/>
  <c r="L2321" i="13" s="1"/>
  <c r="I2322" i="13" s="1"/>
  <c r="J2506" i="14" a="1"/>
  <c r="J2506" i="14" s="1"/>
  <c r="N2507" i="14"/>
  <c r="K2322" i="13" l="1"/>
  <c r="L2322" i="13" s="1"/>
  <c r="I2323" i="13" s="1"/>
  <c r="K2344" i="14"/>
  <c r="L2344" i="14" s="1"/>
  <c r="I2345" i="14" s="1"/>
  <c r="M2511" i="13"/>
  <c r="N2508" i="14"/>
  <c r="J2507" i="14" a="1"/>
  <c r="J2507" i="14" s="1"/>
  <c r="J2508" i="13" a="1"/>
  <c r="J2508" i="13" s="1"/>
  <c r="N2509" i="13"/>
  <c r="M2512" i="14"/>
  <c r="K2345" i="14" l="1"/>
  <c r="L2345" i="14" s="1"/>
  <c r="I2346" i="14" s="1"/>
  <c r="K2323" i="13"/>
  <c r="L2323" i="13" s="1"/>
  <c r="I2324" i="13" s="1"/>
  <c r="M2513" i="14"/>
  <c r="J2508" i="14" a="1"/>
  <c r="J2508" i="14" s="1"/>
  <c r="N2509" i="14"/>
  <c r="N2510" i="13"/>
  <c r="J2509" i="13" a="1"/>
  <c r="J2509" i="13" s="1"/>
  <c r="M2512" i="13"/>
  <c r="K2324" i="13" l="1"/>
  <c r="L2324" i="13" s="1"/>
  <c r="I2325" i="13" s="1"/>
  <c r="K2346" i="14"/>
  <c r="L2346" i="14" s="1"/>
  <c r="I2347" i="14" s="1"/>
  <c r="J2509" i="14" a="1"/>
  <c r="J2509" i="14" s="1"/>
  <c r="N2510" i="14"/>
  <c r="M2513" i="13"/>
  <c r="J2510" i="13" a="1"/>
  <c r="J2510" i="13" s="1"/>
  <c r="N2511" i="13"/>
  <c r="M2514" i="14"/>
  <c r="K2325" i="13" l="1"/>
  <c r="L2325" i="13" s="1"/>
  <c r="I2326" i="13" s="1"/>
  <c r="M2515" i="14"/>
  <c r="M2514" i="13"/>
  <c r="K2347" i="14"/>
  <c r="L2347" i="14" s="1"/>
  <c r="I2348" i="14" s="1"/>
  <c r="N2511" i="14"/>
  <c r="J2510" i="14" a="1"/>
  <c r="J2510" i="14" s="1"/>
  <c r="J2511" i="13" a="1"/>
  <c r="J2511" i="13" s="1"/>
  <c r="N2512" i="13"/>
  <c r="K2326" i="13" l="1"/>
  <c r="L2326" i="13" s="1"/>
  <c r="I2327" i="13" s="1"/>
  <c r="K2348" i="14"/>
  <c r="L2348" i="14" s="1"/>
  <c r="I2349" i="14" s="1"/>
  <c r="J2512" i="13" a="1"/>
  <c r="J2512" i="13" s="1"/>
  <c r="N2513" i="13"/>
  <c r="M2516" i="14"/>
  <c r="N2512" i="14"/>
  <c r="J2511" i="14" a="1"/>
  <c r="J2511" i="14" s="1"/>
  <c r="M2515" i="13"/>
  <c r="K2327" i="13" l="1"/>
  <c r="L2327" i="13" s="1"/>
  <c r="I2328" i="13" s="1"/>
  <c r="M2516" i="13"/>
  <c r="M2517" i="14"/>
  <c r="N2514" i="13"/>
  <c r="J2513" i="13" a="1"/>
  <c r="J2513" i="13" s="1"/>
  <c r="K2349" i="14"/>
  <c r="L2349" i="14" s="1"/>
  <c r="I2350" i="14" s="1"/>
  <c r="J2512" i="14" a="1"/>
  <c r="J2512" i="14" s="1"/>
  <c r="N2513" i="14"/>
  <c r="K2328" i="13" l="1"/>
  <c r="L2328" i="13" s="1"/>
  <c r="I2329" i="13" s="1"/>
  <c r="K2350" i="14"/>
  <c r="L2350" i="14" s="1"/>
  <c r="I2351" i="14" s="1"/>
  <c r="M2517" i="13"/>
  <c r="J2514" i="13" a="1"/>
  <c r="J2514" i="13" s="1"/>
  <c r="N2515" i="13"/>
  <c r="J2513" i="14" a="1"/>
  <c r="J2513" i="14" s="1"/>
  <c r="N2514" i="14"/>
  <c r="M2518" i="14"/>
  <c r="K2351" i="14" l="1"/>
  <c r="L2351" i="14" s="1"/>
  <c r="I2352" i="14" s="1"/>
  <c r="K2329" i="13"/>
  <c r="L2329" i="13" s="1"/>
  <c r="I2330" i="13" s="1"/>
  <c r="M2519" i="14"/>
  <c r="J2515" i="13" a="1"/>
  <c r="J2515" i="13" s="1"/>
  <c r="N2516" i="13"/>
  <c r="J2514" i="14" a="1"/>
  <c r="J2514" i="14" s="1"/>
  <c r="N2515" i="14"/>
  <c r="M2518" i="13"/>
  <c r="K2330" i="13" l="1"/>
  <c r="L2330" i="13" s="1"/>
  <c r="I2331" i="13" s="1"/>
  <c r="K2352" i="14"/>
  <c r="L2352" i="14" s="1"/>
  <c r="I2353" i="14" s="1"/>
  <c r="J2516" i="13" a="1"/>
  <c r="J2516" i="13" s="1"/>
  <c r="N2517" i="13"/>
  <c r="N2516" i="14"/>
  <c r="J2515" i="14" a="1"/>
  <c r="J2515" i="14" s="1"/>
  <c r="M2519" i="13"/>
  <c r="M2520" i="14"/>
  <c r="K2353" i="14" l="1"/>
  <c r="L2353" i="14" s="1"/>
  <c r="I2354" i="14" s="1"/>
  <c r="K2331" i="13"/>
  <c r="L2331" i="13" s="1"/>
  <c r="I2332" i="13" s="1"/>
  <c r="M2521" i="14"/>
  <c r="J2516" i="14" a="1"/>
  <c r="J2516" i="14" s="1"/>
  <c r="N2517" i="14"/>
  <c r="N2518" i="13"/>
  <c r="J2517" i="13" a="1"/>
  <c r="J2517" i="13" s="1"/>
  <c r="M2520" i="13"/>
  <c r="K2354" i="14" l="1"/>
  <c r="L2354" i="14" s="1"/>
  <c r="I2355" i="14" s="1"/>
  <c r="J2517" i="14" a="1"/>
  <c r="J2517" i="14" s="1"/>
  <c r="N2518" i="14"/>
  <c r="K2332" i="13"/>
  <c r="L2332" i="13" s="1"/>
  <c r="I2333" i="13" s="1"/>
  <c r="M2522" i="14"/>
  <c r="M2521" i="13"/>
  <c r="J2518" i="13" a="1"/>
  <c r="J2518" i="13" s="1"/>
  <c r="N2519" i="13"/>
  <c r="K2333" i="13" l="1"/>
  <c r="L2333" i="13" s="1"/>
  <c r="I2334" i="13" s="1"/>
  <c r="K2355" i="14"/>
  <c r="L2355" i="14" s="1"/>
  <c r="I2356" i="14" s="1"/>
  <c r="J2519" i="13" a="1"/>
  <c r="J2519" i="13" s="1"/>
  <c r="N2520" i="13"/>
  <c r="M2523" i="14"/>
  <c r="N2519" i="14"/>
  <c r="J2518" i="14" a="1"/>
  <c r="J2518" i="14" s="1"/>
  <c r="M2522" i="13"/>
  <c r="K2334" i="13" l="1"/>
  <c r="L2334" i="13" s="1"/>
  <c r="I2335" i="13" s="1"/>
  <c r="K2356" i="14"/>
  <c r="L2356" i="14" s="1"/>
  <c r="I2357" i="14" s="1"/>
  <c r="J2520" i="13" a="1"/>
  <c r="J2520" i="13" s="1"/>
  <c r="N2521" i="13"/>
  <c r="N2520" i="14"/>
  <c r="J2519" i="14" a="1"/>
  <c r="J2519" i="14" s="1"/>
  <c r="M2523" i="13"/>
  <c r="M2524" i="14"/>
  <c r="K2357" i="14" l="1"/>
  <c r="L2357" i="14" s="1"/>
  <c r="I2358" i="14" s="1"/>
  <c r="K2335" i="13"/>
  <c r="L2335" i="13" s="1"/>
  <c r="I2336" i="13" s="1"/>
  <c r="M2525" i="14"/>
  <c r="J2520" i="14" a="1"/>
  <c r="J2520" i="14" s="1"/>
  <c r="N2521" i="14"/>
  <c r="N2522" i="13"/>
  <c r="J2521" i="13" a="1"/>
  <c r="J2521" i="13" s="1"/>
  <c r="M2524" i="13"/>
  <c r="K2336" i="13" l="1"/>
  <c r="L2336" i="13" s="1"/>
  <c r="I2337" i="13" s="1"/>
  <c r="K2358" i="14"/>
  <c r="L2358" i="14" s="1"/>
  <c r="I2359" i="14" s="1"/>
  <c r="J2521" i="14" a="1"/>
  <c r="J2521" i="14" s="1"/>
  <c r="N2522" i="14"/>
  <c r="M2525" i="13"/>
  <c r="J2522" i="13" a="1"/>
  <c r="J2522" i="13" s="1"/>
  <c r="N2523" i="13"/>
  <c r="M2526" i="14"/>
  <c r="M2527" i="14" l="1"/>
  <c r="M2526" i="13"/>
  <c r="K2359" i="14"/>
  <c r="L2359" i="14" s="1"/>
  <c r="I2360" i="14" s="1"/>
  <c r="J2523" i="13" a="1"/>
  <c r="J2523" i="13" s="1"/>
  <c r="N2524" i="13"/>
  <c r="J2522" i="14" a="1"/>
  <c r="J2522" i="14" s="1"/>
  <c r="N2523" i="14"/>
  <c r="K2337" i="13"/>
  <c r="L2337" i="13" s="1"/>
  <c r="I2338" i="13" s="1"/>
  <c r="K2360" i="14" l="1"/>
  <c r="L2360" i="14" s="1"/>
  <c r="I2361" i="14" s="1"/>
  <c r="J2524" i="13" a="1"/>
  <c r="J2524" i="13" s="1"/>
  <c r="N2525" i="13"/>
  <c r="M2527" i="13"/>
  <c r="K2338" i="13"/>
  <c r="L2338" i="13" s="1"/>
  <c r="I2339" i="13" s="1"/>
  <c r="N2524" i="14"/>
  <c r="J2523" i="14" a="1"/>
  <c r="J2523" i="14" s="1"/>
  <c r="M2528" i="14"/>
  <c r="K2339" i="13" l="1"/>
  <c r="L2339" i="13" s="1"/>
  <c r="I2340" i="13" s="1"/>
  <c r="K2361" i="14"/>
  <c r="L2361" i="14" s="1"/>
  <c r="I2362" i="14" s="1"/>
  <c r="N2526" i="13"/>
  <c r="J2525" i="13" a="1"/>
  <c r="J2525" i="13" s="1"/>
  <c r="M2529" i="14"/>
  <c r="J2524" i="14" a="1"/>
  <c r="J2524" i="14" s="1"/>
  <c r="N2525" i="14"/>
  <c r="M2528" i="13"/>
  <c r="K2362" i="14" l="1"/>
  <c r="L2362" i="14" s="1"/>
  <c r="I2363" i="14" s="1"/>
  <c r="K2340" i="13"/>
  <c r="L2340" i="13" s="1"/>
  <c r="I2341" i="13" s="1"/>
  <c r="J2525" i="14" a="1"/>
  <c r="J2525" i="14" s="1"/>
  <c r="N2526" i="14"/>
  <c r="J2526" i="13" a="1"/>
  <c r="J2526" i="13" s="1"/>
  <c r="N2527" i="13"/>
  <c r="M2529" i="13"/>
  <c r="M2530" i="14"/>
  <c r="K2341" i="13" l="1"/>
  <c r="L2341" i="13" s="1"/>
  <c r="I2342" i="13" s="1"/>
  <c r="K2363" i="14"/>
  <c r="L2363" i="14" s="1"/>
  <c r="I2364" i="14" s="1"/>
  <c r="J2527" i="13" a="1"/>
  <c r="J2527" i="13" s="1"/>
  <c r="N2528" i="13"/>
  <c r="M2530" i="13"/>
  <c r="M2531" i="14"/>
  <c r="J2526" i="14" a="1"/>
  <c r="J2526" i="14" s="1"/>
  <c r="N2527" i="14"/>
  <c r="K2364" i="14" l="1"/>
  <c r="L2364" i="14" s="1"/>
  <c r="I2365" i="14" s="1"/>
  <c r="K2342" i="13"/>
  <c r="L2342" i="13" s="1"/>
  <c r="I2343" i="13" s="1"/>
  <c r="M2532" i="14"/>
  <c r="N2528" i="14"/>
  <c r="J2527" i="14" a="1"/>
  <c r="J2527" i="14" s="1"/>
  <c r="M2531" i="13"/>
  <c r="J2528" i="13" a="1"/>
  <c r="J2528" i="13" s="1"/>
  <c r="N2529" i="13"/>
  <c r="K2365" i="14" l="1"/>
  <c r="L2365" i="14" s="1"/>
  <c r="I2366" i="14" s="1"/>
  <c r="K2343" i="13"/>
  <c r="L2343" i="13" s="1"/>
  <c r="I2344" i="13" s="1"/>
  <c r="J2528" i="14" a="1"/>
  <c r="J2528" i="14" s="1"/>
  <c r="N2529" i="14"/>
  <c r="N2530" i="13"/>
  <c r="J2529" i="13" a="1"/>
  <c r="J2529" i="13" s="1"/>
  <c r="M2532" i="13"/>
  <c r="M2533" i="14"/>
  <c r="K2344" i="13" l="1"/>
  <c r="L2344" i="13" s="1"/>
  <c r="I2345" i="13" s="1"/>
  <c r="K2366" i="14"/>
  <c r="L2366" i="14" s="1"/>
  <c r="I2367" i="14" s="1"/>
  <c r="M2533" i="13"/>
  <c r="J2529" i="14" a="1"/>
  <c r="J2529" i="14" s="1"/>
  <c r="N2530" i="14"/>
  <c r="M2534" i="14"/>
  <c r="J2530" i="13" a="1"/>
  <c r="J2530" i="13" s="1"/>
  <c r="N2531" i="13"/>
  <c r="K2367" i="14" l="1"/>
  <c r="L2367" i="14" s="1"/>
  <c r="I2368" i="14" s="1"/>
  <c r="K2345" i="13"/>
  <c r="L2345" i="13" s="1"/>
  <c r="I2346" i="13" s="1"/>
  <c r="J2530" i="14" a="1"/>
  <c r="J2530" i="14" s="1"/>
  <c r="N2531" i="14"/>
  <c r="J2531" i="13" a="1"/>
  <c r="J2531" i="13" s="1"/>
  <c r="N2532" i="13"/>
  <c r="M2535" i="14"/>
  <c r="M2534" i="13"/>
  <c r="K2368" i="14" l="1"/>
  <c r="L2368" i="14" s="1"/>
  <c r="I2369" i="14" s="1"/>
  <c r="M2536" i="14"/>
  <c r="J2532" i="13" a="1"/>
  <c r="J2532" i="13" s="1"/>
  <c r="N2533" i="13"/>
  <c r="K2346" i="13"/>
  <c r="L2346" i="13" s="1"/>
  <c r="I2347" i="13" s="1"/>
  <c r="M2535" i="13"/>
  <c r="N2532" i="14"/>
  <c r="J2531" i="14" a="1"/>
  <c r="J2531" i="14" s="1"/>
  <c r="K2347" i="13" l="1"/>
  <c r="L2347" i="13" s="1"/>
  <c r="I2348" i="13" s="1"/>
  <c r="K2369" i="14"/>
  <c r="L2369" i="14" s="1"/>
  <c r="I2370" i="14" s="1"/>
  <c r="M2536" i="13"/>
  <c r="J2532" i="14" a="1"/>
  <c r="J2532" i="14" s="1"/>
  <c r="N2533" i="14"/>
  <c r="M2537" i="14"/>
  <c r="N2534" i="13"/>
  <c r="J2533" i="13" a="1"/>
  <c r="J2533" i="13" s="1"/>
  <c r="K2348" i="13" l="1"/>
  <c r="L2348" i="13" s="1"/>
  <c r="I2349" i="13" s="1"/>
  <c r="J2533" i="14" a="1"/>
  <c r="J2533" i="14" s="1"/>
  <c r="N2534" i="14"/>
  <c r="K2370" i="14"/>
  <c r="L2370" i="14" s="1"/>
  <c r="I2371" i="14" s="1"/>
  <c r="J2534" i="13" a="1"/>
  <c r="J2534" i="13" s="1"/>
  <c r="N2535" i="13"/>
  <c r="M2537" i="13"/>
  <c r="M2538" i="14"/>
  <c r="K2371" i="14" l="1"/>
  <c r="L2371" i="14" s="1"/>
  <c r="I2372" i="14" s="1"/>
  <c r="K2349" i="13"/>
  <c r="L2349" i="13" s="1"/>
  <c r="I2350" i="13" s="1"/>
  <c r="M2539" i="14"/>
  <c r="J2535" i="13" a="1"/>
  <c r="J2535" i="13" s="1"/>
  <c r="N2536" i="13"/>
  <c r="N2535" i="14"/>
  <c r="J2534" i="14" a="1"/>
  <c r="J2534" i="14" s="1"/>
  <c r="M2538" i="13"/>
  <c r="K2372" i="14" l="1"/>
  <c r="L2372" i="14" s="1"/>
  <c r="I2373" i="14" s="1"/>
  <c r="J2536" i="13" a="1"/>
  <c r="J2536" i="13" s="1"/>
  <c r="N2537" i="13"/>
  <c r="M2539" i="13"/>
  <c r="K2350" i="13"/>
  <c r="L2350" i="13" s="1"/>
  <c r="I2351" i="13" s="1"/>
  <c r="N2536" i="14"/>
  <c r="J2535" i="14" a="1"/>
  <c r="J2535" i="14" s="1"/>
  <c r="M2540" i="14"/>
  <c r="K2373" i="14" l="1"/>
  <c r="L2373" i="14" s="1"/>
  <c r="I2374" i="14" s="1"/>
  <c r="M2541" i="14"/>
  <c r="K2351" i="13"/>
  <c r="L2351" i="13" s="1"/>
  <c r="I2352" i="13" s="1"/>
  <c r="N2538" i="13"/>
  <c r="J2537" i="13" a="1"/>
  <c r="J2537" i="13" s="1"/>
  <c r="J2536" i="14" a="1"/>
  <c r="J2536" i="14" s="1"/>
  <c r="N2537" i="14"/>
  <c r="M2540" i="13"/>
  <c r="K2352" i="13" l="1"/>
  <c r="L2352" i="13" s="1"/>
  <c r="I2353" i="13" s="1"/>
  <c r="K2374" i="14"/>
  <c r="L2374" i="14" s="1"/>
  <c r="I2375" i="14" s="1"/>
  <c r="J2537" i="14" a="1"/>
  <c r="J2537" i="14" s="1"/>
  <c r="N2538" i="14"/>
  <c r="M2541" i="13"/>
  <c r="J2538" i="13" a="1"/>
  <c r="J2538" i="13" s="1"/>
  <c r="N2539" i="13"/>
  <c r="M2542" i="14"/>
  <c r="K2353" i="13" l="1"/>
  <c r="L2353" i="13" s="1"/>
  <c r="I2354" i="13" s="1"/>
  <c r="M2543" i="14"/>
  <c r="M2542" i="13"/>
  <c r="K2375" i="14"/>
  <c r="L2375" i="14" s="1"/>
  <c r="I2376" i="14" s="1"/>
  <c r="J2539" i="13" a="1"/>
  <c r="J2539" i="13" s="1"/>
  <c r="N2540" i="13"/>
  <c r="J2538" i="14" a="1"/>
  <c r="J2538" i="14" s="1"/>
  <c r="N2539" i="14"/>
  <c r="K2354" i="13" l="1"/>
  <c r="L2354" i="13" s="1"/>
  <c r="I2355" i="13" s="1"/>
  <c r="N2540" i="14"/>
  <c r="J2539" i="14" a="1"/>
  <c r="J2539" i="14" s="1"/>
  <c r="K2376" i="14"/>
  <c r="L2376" i="14" s="1"/>
  <c r="I2377" i="14" s="1"/>
  <c r="M2544" i="14"/>
  <c r="J2540" i="13" a="1"/>
  <c r="J2540" i="13" s="1"/>
  <c r="N2541" i="13"/>
  <c r="M2543" i="13"/>
  <c r="K2377" i="14" l="1"/>
  <c r="L2377" i="14" s="1"/>
  <c r="I2378" i="14" s="1"/>
  <c r="K2355" i="13"/>
  <c r="L2355" i="13" s="1"/>
  <c r="I2356" i="13" s="1"/>
  <c r="M2544" i="13"/>
  <c r="M2545" i="14"/>
  <c r="J2540" i="14" a="1"/>
  <c r="J2540" i="14" s="1"/>
  <c r="N2541" i="14"/>
  <c r="N2542" i="13"/>
  <c r="J2541" i="13" a="1"/>
  <c r="J2541" i="13" s="1"/>
  <c r="K2378" i="14" l="1"/>
  <c r="L2378" i="14" s="1"/>
  <c r="I2379" i="14" s="1"/>
  <c r="M2546" i="14"/>
  <c r="J2542" i="13" a="1"/>
  <c r="J2542" i="13" s="1"/>
  <c r="N2543" i="13"/>
  <c r="K2356" i="13"/>
  <c r="L2356" i="13" s="1"/>
  <c r="I2357" i="13" s="1"/>
  <c r="J2541" i="14" a="1"/>
  <c r="J2541" i="14" s="1"/>
  <c r="N2542" i="14"/>
  <c r="M2545" i="13"/>
  <c r="K2357" i="13" l="1"/>
  <c r="L2357" i="13" s="1"/>
  <c r="I2358" i="13" s="1"/>
  <c r="K2379" i="14"/>
  <c r="L2379" i="14" s="1"/>
  <c r="I2380" i="14" s="1"/>
  <c r="N2543" i="14"/>
  <c r="J2542" i="14" a="1"/>
  <c r="J2542" i="14" s="1"/>
  <c r="M2547" i="14"/>
  <c r="J2543" i="13" a="1"/>
  <c r="J2543" i="13" s="1"/>
  <c r="N2544" i="13"/>
  <c r="M2546" i="13"/>
  <c r="K2380" i="14" l="1"/>
  <c r="L2380" i="14" s="1"/>
  <c r="I2381" i="14" s="1"/>
  <c r="K2358" i="13"/>
  <c r="L2358" i="13" s="1"/>
  <c r="I2359" i="13" s="1"/>
  <c r="M2547" i="13"/>
  <c r="M2548" i="14"/>
  <c r="J2544" i="13" a="1"/>
  <c r="J2544" i="13" s="1"/>
  <c r="N2545" i="13"/>
  <c r="N2544" i="14"/>
  <c r="J2543" i="14" a="1"/>
  <c r="J2543" i="14" s="1"/>
  <c r="K2359" i="13" l="1"/>
  <c r="L2359" i="13" s="1"/>
  <c r="I2360" i="13" s="1"/>
  <c r="K2381" i="14"/>
  <c r="L2381" i="14" s="1"/>
  <c r="I2382" i="14" s="1"/>
  <c r="J2544" i="14" a="1"/>
  <c r="J2544" i="14" s="1"/>
  <c r="N2545" i="14"/>
  <c r="M2549" i="14"/>
  <c r="N2546" i="13"/>
  <c r="J2545" i="13" a="1"/>
  <c r="J2545" i="13" s="1"/>
  <c r="M2548" i="13"/>
  <c r="K2360" i="13" l="1"/>
  <c r="L2360" i="13" s="1"/>
  <c r="I2361" i="13" s="1"/>
  <c r="M2550" i="14"/>
  <c r="J2546" i="13" a="1"/>
  <c r="J2546" i="13" s="1"/>
  <c r="N2547" i="13"/>
  <c r="M2549" i="13"/>
  <c r="K2382" i="14"/>
  <c r="L2382" i="14" s="1"/>
  <c r="I2383" i="14" s="1"/>
  <c r="J2545" i="14" a="1"/>
  <c r="J2545" i="14" s="1"/>
  <c r="N2546" i="14"/>
  <c r="K2383" i="14" l="1"/>
  <c r="L2383" i="14" s="1"/>
  <c r="I2384" i="14" s="1"/>
  <c r="K2361" i="13"/>
  <c r="L2361" i="13" s="1"/>
  <c r="I2362" i="13" s="1"/>
  <c r="J2546" i="14" a="1"/>
  <c r="J2546" i="14" s="1"/>
  <c r="N2547" i="14"/>
  <c r="M2551" i="14"/>
  <c r="M2550" i="13"/>
  <c r="J2547" i="13" a="1"/>
  <c r="J2547" i="13" s="1"/>
  <c r="N2548" i="13"/>
  <c r="K2384" i="14" l="1"/>
  <c r="L2384" i="14" s="1"/>
  <c r="I2385" i="14" s="1"/>
  <c r="J2548" i="13" a="1"/>
  <c r="J2548" i="13" s="1"/>
  <c r="N2549" i="13"/>
  <c r="K2362" i="13"/>
  <c r="L2362" i="13" s="1"/>
  <c r="I2363" i="13" s="1"/>
  <c r="N2548" i="14"/>
  <c r="J2547" i="14" a="1"/>
  <c r="J2547" i="14" s="1"/>
  <c r="M2552" i="14"/>
  <c r="M2551" i="13"/>
  <c r="K2363" i="13" l="1"/>
  <c r="L2363" i="13" s="1"/>
  <c r="I2364" i="13" s="1"/>
  <c r="K2385" i="14"/>
  <c r="L2385" i="14" s="1"/>
  <c r="I2386" i="14" s="1"/>
  <c r="N2550" i="13"/>
  <c r="J2549" i="13" a="1"/>
  <c r="J2549" i="13" s="1"/>
  <c r="M2552" i="13"/>
  <c r="J2548" i="14" a="1"/>
  <c r="J2548" i="14" s="1"/>
  <c r="N2549" i="14"/>
  <c r="M2553" i="14"/>
  <c r="K2364" i="13" l="1"/>
  <c r="L2364" i="13" s="1"/>
  <c r="I2365" i="13" s="1"/>
  <c r="J2549" i="14" a="1"/>
  <c r="J2549" i="14" s="1"/>
  <c r="N2550" i="14"/>
  <c r="M2553" i="13"/>
  <c r="M2554" i="14"/>
  <c r="K2386" i="14"/>
  <c r="L2386" i="14" s="1"/>
  <c r="I2387" i="14" s="1"/>
  <c r="J2550" i="13" a="1"/>
  <c r="J2550" i="13" s="1"/>
  <c r="N2551" i="13"/>
  <c r="K2365" i="13" l="1"/>
  <c r="L2365" i="13" s="1"/>
  <c r="I2366" i="13" s="1"/>
  <c r="K2387" i="14"/>
  <c r="L2387" i="14" s="1"/>
  <c r="I2388" i="14" s="1"/>
  <c r="J2551" i="13" a="1"/>
  <c r="J2551" i="13" s="1"/>
  <c r="N2552" i="13"/>
  <c r="M2555" i="14"/>
  <c r="N2551" i="14"/>
  <c r="J2550" i="14" a="1"/>
  <c r="J2550" i="14" s="1"/>
  <c r="M2554" i="13"/>
  <c r="K2388" i="14" l="1"/>
  <c r="L2388" i="14" s="1"/>
  <c r="I2389" i="14" s="1"/>
  <c r="K2366" i="13"/>
  <c r="L2366" i="13" s="1"/>
  <c r="I2367" i="13" s="1"/>
  <c r="J2552" i="13" a="1"/>
  <c r="J2552" i="13" s="1"/>
  <c r="N2553" i="13"/>
  <c r="M2555" i="13"/>
  <c r="M2556" i="14"/>
  <c r="N2552" i="14"/>
  <c r="J2551" i="14" a="1"/>
  <c r="J2551" i="14" s="1"/>
  <c r="K2389" i="14" l="1"/>
  <c r="L2389" i="14" s="1"/>
  <c r="I2390" i="14" s="1"/>
  <c r="J2552" i="14" a="1"/>
  <c r="J2552" i="14" s="1"/>
  <c r="N2553" i="14"/>
  <c r="M2556" i="13"/>
  <c r="K2367" i="13"/>
  <c r="L2367" i="13" s="1"/>
  <c r="I2368" i="13" s="1"/>
  <c r="N2554" i="13"/>
  <c r="J2553" i="13" a="1"/>
  <c r="J2553" i="13" s="1"/>
  <c r="M2557" i="14"/>
  <c r="K2390" i="14" l="1"/>
  <c r="L2390" i="14" s="1"/>
  <c r="I2391" i="14" s="1"/>
  <c r="M2558" i="14"/>
  <c r="J2553" i="14" a="1"/>
  <c r="J2553" i="14" s="1"/>
  <c r="N2554" i="14"/>
  <c r="K2368" i="13"/>
  <c r="L2368" i="13" s="1"/>
  <c r="I2369" i="13" s="1"/>
  <c r="M2557" i="13"/>
  <c r="J2554" i="13" a="1"/>
  <c r="J2554" i="13" s="1"/>
  <c r="N2555" i="13"/>
  <c r="K2391" i="14" l="1"/>
  <c r="L2391" i="14" s="1"/>
  <c r="I2392" i="14" s="1"/>
  <c r="M2558" i="13"/>
  <c r="J2555" i="13" a="1"/>
  <c r="J2555" i="13" s="1"/>
  <c r="N2556" i="13"/>
  <c r="M2559" i="14"/>
  <c r="K2369" i="13"/>
  <c r="L2369" i="13" s="1"/>
  <c r="I2370" i="13" s="1"/>
  <c r="J2554" i="14" a="1"/>
  <c r="J2554" i="14" s="1"/>
  <c r="N2555" i="14"/>
  <c r="K2392" i="14" l="1"/>
  <c r="L2392" i="14" s="1"/>
  <c r="I2393" i="14" s="1"/>
  <c r="K2370" i="13"/>
  <c r="L2370" i="13" s="1"/>
  <c r="I2371" i="13" s="1"/>
  <c r="N2556" i="14"/>
  <c r="J2555" i="14" a="1"/>
  <c r="J2555" i="14" s="1"/>
  <c r="M2560" i="14"/>
  <c r="M2559" i="13"/>
  <c r="J2556" i="13" a="1"/>
  <c r="J2556" i="13" s="1"/>
  <c r="N2557" i="13"/>
  <c r="K2393" i="14" l="1"/>
  <c r="L2393" i="14" s="1"/>
  <c r="I2394" i="14" s="1"/>
  <c r="N2558" i="13"/>
  <c r="J2557" i="13" a="1"/>
  <c r="J2557" i="13" s="1"/>
  <c r="K2371" i="13"/>
  <c r="L2371" i="13" s="1"/>
  <c r="I2372" i="13" s="1"/>
  <c r="M2561" i="14"/>
  <c r="M2560" i="13"/>
  <c r="J2556" i="14" a="1"/>
  <c r="J2556" i="14" s="1"/>
  <c r="N2557" i="14"/>
  <c r="K2372" i="13" l="1"/>
  <c r="L2372" i="13" s="1"/>
  <c r="I2373" i="13" s="1"/>
  <c r="K2394" i="14"/>
  <c r="L2394" i="14" s="1"/>
  <c r="I2395" i="14" s="1"/>
  <c r="J2558" i="13" a="1"/>
  <c r="J2558" i="13" s="1"/>
  <c r="N2559" i="13"/>
  <c r="J2557" i="14" a="1"/>
  <c r="J2557" i="14" s="1"/>
  <c r="N2558" i="14"/>
  <c r="M2562" i="14"/>
  <c r="M2561" i="13"/>
  <c r="K2395" i="14" l="1"/>
  <c r="L2395" i="14" s="1"/>
  <c r="I2396" i="14" s="1"/>
  <c r="K2373" i="13"/>
  <c r="L2373" i="13" s="1"/>
  <c r="I2374" i="13" s="1"/>
  <c r="J2559" i="13" a="1"/>
  <c r="J2559" i="13" s="1"/>
  <c r="N2560" i="13"/>
  <c r="N2559" i="14"/>
  <c r="J2558" i="14" a="1"/>
  <c r="J2558" i="14" s="1"/>
  <c r="M2562" i="13"/>
  <c r="M2563" i="14"/>
  <c r="K2374" i="13" l="1"/>
  <c r="L2374" i="13" s="1"/>
  <c r="I2375" i="13" s="1"/>
  <c r="M2564" i="14"/>
  <c r="N2560" i="14"/>
  <c r="J2559" i="14" a="1"/>
  <c r="J2559" i="14" s="1"/>
  <c r="M2563" i="13"/>
  <c r="J2560" i="13" a="1"/>
  <c r="J2560" i="13" s="1"/>
  <c r="N2561" i="13"/>
  <c r="K2396" i="14"/>
  <c r="L2396" i="14" s="1"/>
  <c r="I2397" i="14" s="1"/>
  <c r="K2397" i="14" l="1"/>
  <c r="L2397" i="14" s="1"/>
  <c r="I2398" i="14" s="1"/>
  <c r="K2375" i="13"/>
  <c r="L2375" i="13" s="1"/>
  <c r="I2376" i="13" s="1"/>
  <c r="M2564" i="13"/>
  <c r="M2565" i="14"/>
  <c r="N2562" i="13"/>
  <c r="J2561" i="13" a="1"/>
  <c r="J2561" i="13" s="1"/>
  <c r="J2560" i="14" a="1"/>
  <c r="J2560" i="14" s="1"/>
  <c r="N2561" i="14"/>
  <c r="K2398" i="14" l="1"/>
  <c r="L2398" i="14" s="1"/>
  <c r="I2399" i="14" s="1"/>
  <c r="J2561" i="14" a="1"/>
  <c r="J2561" i="14" s="1"/>
  <c r="N2562" i="14"/>
  <c r="M2566" i="14"/>
  <c r="K2376" i="13"/>
  <c r="L2376" i="13" s="1"/>
  <c r="I2377" i="13" s="1"/>
  <c r="M2565" i="13"/>
  <c r="J2562" i="13" a="1"/>
  <c r="J2562" i="13" s="1"/>
  <c r="N2563" i="13"/>
  <c r="K2377" i="13" l="1"/>
  <c r="L2377" i="13" s="1"/>
  <c r="I2378" i="13" s="1"/>
  <c r="K2399" i="14"/>
  <c r="L2399" i="14" s="1"/>
  <c r="I2400" i="14" s="1"/>
  <c r="J2562" i="14" a="1"/>
  <c r="J2562" i="14" s="1"/>
  <c r="N2563" i="14"/>
  <c r="J2563" i="13" a="1"/>
  <c r="J2563" i="13" s="1"/>
  <c r="N2564" i="13"/>
  <c r="M2567" i="14"/>
  <c r="M2566" i="13"/>
  <c r="K2378" i="13" l="1"/>
  <c r="L2378" i="13" s="1"/>
  <c r="I2379" i="13" s="1"/>
  <c r="M2567" i="13"/>
  <c r="J2564" i="13" a="1"/>
  <c r="J2564" i="13" s="1"/>
  <c r="N2565" i="13"/>
  <c r="K2400" i="14"/>
  <c r="L2400" i="14" s="1"/>
  <c r="I2401" i="14" s="1"/>
  <c r="N2564" i="14"/>
  <c r="J2563" i="14" a="1"/>
  <c r="J2563" i="14" s="1"/>
  <c r="M2568" i="14"/>
  <c r="K2379" i="13" l="1"/>
  <c r="L2379" i="13" s="1"/>
  <c r="I2380" i="13" s="1"/>
  <c r="J2564" i="14" a="1"/>
  <c r="J2564" i="14" s="1"/>
  <c r="N2565" i="14"/>
  <c r="M2569" i="14"/>
  <c r="K2401" i="14"/>
  <c r="L2401" i="14" s="1"/>
  <c r="I2402" i="14" s="1"/>
  <c r="M2568" i="13"/>
  <c r="N2566" i="13"/>
  <c r="J2565" i="13" a="1"/>
  <c r="J2565" i="13" s="1"/>
  <c r="K2402" i="14" l="1"/>
  <c r="L2402" i="14" s="1"/>
  <c r="I2403" i="14" s="1"/>
  <c r="K2380" i="13"/>
  <c r="L2380" i="13" s="1"/>
  <c r="I2381" i="13" s="1"/>
  <c r="J2565" i="14" a="1"/>
  <c r="J2565" i="14" s="1"/>
  <c r="N2566" i="14"/>
  <c r="J2566" i="13" a="1"/>
  <c r="J2566" i="13" s="1"/>
  <c r="N2567" i="13"/>
  <c r="M2569" i="13"/>
  <c r="M2570" i="14"/>
  <c r="K2381" i="13" l="1"/>
  <c r="L2381" i="13" s="1"/>
  <c r="I2382" i="13" s="1"/>
  <c r="K2403" i="14"/>
  <c r="L2403" i="14" s="1"/>
  <c r="I2404" i="14" s="1"/>
  <c r="M2570" i="13"/>
  <c r="M2571" i="14"/>
  <c r="J2567" i="13" a="1"/>
  <c r="J2567" i="13" s="1"/>
  <c r="N2568" i="13"/>
  <c r="N2567" i="14"/>
  <c r="J2566" i="14" a="1"/>
  <c r="J2566" i="14" s="1"/>
  <c r="K2404" i="14" l="1"/>
  <c r="L2404" i="14" s="1"/>
  <c r="I2405" i="14" s="1"/>
  <c r="K2382" i="13"/>
  <c r="L2382" i="13" s="1"/>
  <c r="I2383" i="13" s="1"/>
  <c r="N2568" i="14"/>
  <c r="J2567" i="14" a="1"/>
  <c r="J2567" i="14" s="1"/>
  <c r="M2572" i="14"/>
  <c r="J2568" i="13" a="1"/>
  <c r="J2568" i="13" s="1"/>
  <c r="N2569" i="13"/>
  <c r="M2571" i="13"/>
  <c r="K2405" i="14" l="1"/>
  <c r="L2405" i="14" s="1"/>
  <c r="I2406" i="14" s="1"/>
  <c r="M2572" i="13"/>
  <c r="M2573" i="14"/>
  <c r="K2383" i="13"/>
  <c r="L2383" i="13" s="1"/>
  <c r="I2384" i="13" s="1"/>
  <c r="N2570" i="13"/>
  <c r="J2569" i="13" a="1"/>
  <c r="J2569" i="13" s="1"/>
  <c r="J2568" i="14" a="1"/>
  <c r="J2568" i="14" s="1"/>
  <c r="N2569" i="14"/>
  <c r="K2406" i="14" l="1"/>
  <c r="L2406" i="14" s="1"/>
  <c r="I2407" i="14" s="1"/>
  <c r="J2569" i="14" a="1"/>
  <c r="J2569" i="14" s="1"/>
  <c r="N2570" i="14"/>
  <c r="M2573" i="13"/>
  <c r="K2384" i="13"/>
  <c r="L2384" i="13" s="1"/>
  <c r="I2385" i="13" s="1"/>
  <c r="J2570" i="13" a="1"/>
  <c r="J2570" i="13" s="1"/>
  <c r="N2571" i="13"/>
  <c r="M2574" i="14"/>
  <c r="K2407" i="14" l="1"/>
  <c r="L2407" i="14" s="1"/>
  <c r="I2408" i="14" s="1"/>
  <c r="J2571" i="13" a="1"/>
  <c r="J2571" i="13" s="1"/>
  <c r="N2572" i="13"/>
  <c r="M2575" i="14"/>
  <c r="J2570" i="14" a="1"/>
  <c r="J2570" i="14" s="1"/>
  <c r="N2571" i="14"/>
  <c r="K2385" i="13"/>
  <c r="L2385" i="13" s="1"/>
  <c r="I2386" i="13" s="1"/>
  <c r="M2574" i="13"/>
  <c r="K2386" i="13" l="1"/>
  <c r="L2386" i="13" s="1"/>
  <c r="I2387" i="13" s="1"/>
  <c r="M2576" i="14"/>
  <c r="K2408" i="14"/>
  <c r="L2408" i="14" s="1"/>
  <c r="I2409" i="14" s="1"/>
  <c r="N2572" i="14"/>
  <c r="J2571" i="14" a="1"/>
  <c r="J2571" i="14" s="1"/>
  <c r="J2572" i="13" a="1"/>
  <c r="J2572" i="13" s="1"/>
  <c r="N2573" i="13"/>
  <c r="M2575" i="13"/>
  <c r="K2409" i="14" l="1"/>
  <c r="L2409" i="14" s="1"/>
  <c r="I2410" i="14" s="1"/>
  <c r="K2387" i="13"/>
  <c r="L2387" i="13" s="1"/>
  <c r="I2388" i="13" s="1"/>
  <c r="M2576" i="13"/>
  <c r="J2572" i="14" a="1"/>
  <c r="J2572" i="14" s="1"/>
  <c r="N2573" i="14"/>
  <c r="M2577" i="14"/>
  <c r="N2574" i="13"/>
  <c r="J2573" i="13" a="1"/>
  <c r="J2573" i="13" s="1"/>
  <c r="K2388" i="13" l="1"/>
  <c r="L2388" i="13" s="1"/>
  <c r="I2389" i="13" s="1"/>
  <c r="K2410" i="14"/>
  <c r="L2410" i="14" s="1"/>
  <c r="I2411" i="14" s="1"/>
  <c r="J2573" i="14" a="1"/>
  <c r="J2573" i="14" s="1"/>
  <c r="N2574" i="14"/>
  <c r="J2574" i="13" a="1"/>
  <c r="J2574" i="13" s="1"/>
  <c r="N2575" i="13"/>
  <c r="M2577" i="13"/>
  <c r="M2578" i="14"/>
  <c r="K2411" i="14" l="1"/>
  <c r="L2411" i="14" s="1"/>
  <c r="I2412" i="14" s="1"/>
  <c r="J2575" i="13" a="1"/>
  <c r="J2575" i="13" s="1"/>
  <c r="N2576" i="13"/>
  <c r="M2578" i="13"/>
  <c r="M2579" i="14"/>
  <c r="N2575" i="14"/>
  <c r="J2574" i="14" a="1"/>
  <c r="J2574" i="14" s="1"/>
  <c r="K2389" i="13"/>
  <c r="L2389" i="13" s="1"/>
  <c r="I2390" i="13" s="1"/>
  <c r="K2390" i="13" l="1"/>
  <c r="L2390" i="13" s="1"/>
  <c r="I2391" i="13" s="1"/>
  <c r="K2412" i="14"/>
  <c r="L2412" i="14" s="1"/>
  <c r="I2413" i="14" s="1"/>
  <c r="J2576" i="13" a="1"/>
  <c r="J2576" i="13" s="1"/>
  <c r="N2577" i="13"/>
  <c r="M2580" i="14"/>
  <c r="N2576" i="14"/>
  <c r="J2575" i="14" a="1"/>
  <c r="J2575" i="14" s="1"/>
  <c r="M2579" i="13"/>
  <c r="K2391" i="13" l="1"/>
  <c r="L2391" i="13" s="1"/>
  <c r="I2392" i="13" s="1"/>
  <c r="J2576" i="14" a="1"/>
  <c r="J2576" i="14" s="1"/>
  <c r="N2577" i="14"/>
  <c r="M2580" i="13"/>
  <c r="M2581" i="14"/>
  <c r="K2413" i="14"/>
  <c r="L2413" i="14" s="1"/>
  <c r="I2414" i="14" s="1"/>
  <c r="N2578" i="13"/>
  <c r="J2577" i="13" a="1"/>
  <c r="J2577" i="13" s="1"/>
  <c r="K2414" i="14" l="1"/>
  <c r="L2414" i="14" s="1"/>
  <c r="I2415" i="14" s="1"/>
  <c r="K2392" i="13"/>
  <c r="L2392" i="13" s="1"/>
  <c r="I2393" i="13" s="1"/>
  <c r="J2577" i="14" a="1"/>
  <c r="J2577" i="14" s="1"/>
  <c r="N2578" i="14"/>
  <c r="N2579" i="13"/>
  <c r="J2578" i="13" a="1"/>
  <c r="J2578" i="13" s="1"/>
  <c r="M2582" i="14"/>
  <c r="M2581" i="13"/>
  <c r="K2415" i="14" l="1"/>
  <c r="L2415" i="14" s="1"/>
  <c r="I2416" i="14" s="1"/>
  <c r="J2579" i="13" a="1"/>
  <c r="J2579" i="13" s="1"/>
  <c r="N2580" i="13"/>
  <c r="K2393" i="13"/>
  <c r="L2393" i="13" s="1"/>
  <c r="I2394" i="13" s="1"/>
  <c r="M2582" i="13"/>
  <c r="M2583" i="14"/>
  <c r="J2578" i="14" a="1"/>
  <c r="J2578" i="14" s="1"/>
  <c r="N2579" i="14"/>
  <c r="K2394" i="13" l="1"/>
  <c r="L2394" i="13" s="1"/>
  <c r="I2395" i="13" s="1"/>
  <c r="K2416" i="14"/>
  <c r="L2416" i="14" s="1"/>
  <c r="I2417" i="14" s="1"/>
  <c r="N2581" i="13"/>
  <c r="J2580" i="13" a="1"/>
  <c r="J2580" i="13" s="1"/>
  <c r="N2580" i="14"/>
  <c r="J2579" i="14" a="1"/>
  <c r="J2579" i="14" s="1"/>
  <c r="M2583" i="13"/>
  <c r="M2584" i="14"/>
  <c r="K2395" i="13" l="1"/>
  <c r="L2395" i="13" s="1"/>
  <c r="I2396" i="13" s="1"/>
  <c r="J2580" i="14" a="1"/>
  <c r="J2580" i="14" s="1"/>
  <c r="N2581" i="14"/>
  <c r="K2417" i="14"/>
  <c r="L2417" i="14" s="1"/>
  <c r="I2418" i="14" s="1"/>
  <c r="M2585" i="14"/>
  <c r="M2584" i="13"/>
  <c r="N2582" i="13"/>
  <c r="J2581" i="13" a="1"/>
  <c r="J2581" i="13" s="1"/>
  <c r="K2418" i="14" l="1"/>
  <c r="L2418" i="14" s="1"/>
  <c r="I2419" i="14" s="1"/>
  <c r="K2396" i="13"/>
  <c r="L2396" i="13" s="1"/>
  <c r="I2397" i="13" s="1"/>
  <c r="M2586" i="14"/>
  <c r="J2581" i="14" a="1"/>
  <c r="J2581" i="14" s="1"/>
  <c r="N2582" i="14"/>
  <c r="N2583" i="13"/>
  <c r="J2582" i="13" a="1"/>
  <c r="J2582" i="13" s="1"/>
  <c r="M2585" i="13"/>
  <c r="K2397" i="13" l="1"/>
  <c r="L2397" i="13" s="1"/>
  <c r="I2398" i="13" s="1"/>
  <c r="N2583" i="14"/>
  <c r="J2582" i="14" a="1"/>
  <c r="J2582" i="14" s="1"/>
  <c r="M2586" i="13"/>
  <c r="M2587" i="14"/>
  <c r="J2583" i="13" a="1"/>
  <c r="J2583" i="13" s="1"/>
  <c r="N2584" i="13"/>
  <c r="K2419" i="14"/>
  <c r="L2419" i="14" s="1"/>
  <c r="I2420" i="14" s="1"/>
  <c r="K2420" i="14" l="1"/>
  <c r="L2420" i="14" s="1"/>
  <c r="I2421" i="14" s="1"/>
  <c r="K2398" i="13"/>
  <c r="L2398" i="13" s="1"/>
  <c r="I2399" i="13" s="1"/>
  <c r="N2584" i="14"/>
  <c r="J2583" i="14" a="1"/>
  <c r="J2583" i="14" s="1"/>
  <c r="M2588" i="14"/>
  <c r="N2585" i="13"/>
  <c r="J2584" i="13" a="1"/>
  <c r="J2584" i="13" s="1"/>
  <c r="M2587" i="13"/>
  <c r="K2421" i="14" l="1"/>
  <c r="L2421" i="14" s="1"/>
  <c r="I2422" i="14" s="1"/>
  <c r="K2399" i="13"/>
  <c r="L2399" i="13" s="1"/>
  <c r="I2400" i="13" s="1"/>
  <c r="M2588" i="13"/>
  <c r="M2589" i="14"/>
  <c r="N2586" i="13"/>
  <c r="J2585" i="13" a="1"/>
  <c r="J2585" i="13" s="1"/>
  <c r="J2584" i="14" a="1"/>
  <c r="J2584" i="14" s="1"/>
  <c r="N2585" i="14"/>
  <c r="K2422" i="14" l="1"/>
  <c r="L2422" i="14" s="1"/>
  <c r="I2423" i="14" s="1"/>
  <c r="J2585" i="14" a="1"/>
  <c r="J2585" i="14" s="1"/>
  <c r="N2586" i="14"/>
  <c r="M2590" i="14"/>
  <c r="K2400" i="13"/>
  <c r="L2400" i="13" s="1"/>
  <c r="I2401" i="13" s="1"/>
  <c r="N2587" i="13"/>
  <c r="J2586" i="13" a="1"/>
  <c r="J2586" i="13" s="1"/>
  <c r="M2589" i="13"/>
  <c r="K2423" i="14" l="1"/>
  <c r="L2423" i="14" s="1"/>
  <c r="I2424" i="14" s="1"/>
  <c r="K2401" i="13"/>
  <c r="L2401" i="13" s="1"/>
  <c r="I2402" i="13" s="1"/>
  <c r="M2591" i="14"/>
  <c r="M2590" i="13"/>
  <c r="J2586" i="14" a="1"/>
  <c r="J2586" i="14" s="1"/>
  <c r="N2587" i="14"/>
  <c r="J2587" i="13" a="1"/>
  <c r="J2587" i="13" s="1"/>
  <c r="N2588" i="13"/>
  <c r="K2424" i="14" l="1"/>
  <c r="L2424" i="14" s="1"/>
  <c r="I2425" i="14" s="1"/>
  <c r="K2402" i="13"/>
  <c r="L2402" i="13" s="1"/>
  <c r="I2403" i="13" s="1"/>
  <c r="N2589" i="13"/>
  <c r="J2588" i="13" a="1"/>
  <c r="J2588" i="13" s="1"/>
  <c r="M2591" i="13"/>
  <c r="N2588" i="14"/>
  <c r="J2587" i="14" a="1"/>
  <c r="J2587" i="14" s="1"/>
  <c r="M2592" i="14"/>
  <c r="K2403" i="13" l="1"/>
  <c r="L2403" i="13" s="1"/>
  <c r="I2404" i="13" s="1"/>
  <c r="J2588" i="14" a="1"/>
  <c r="J2588" i="14" s="1"/>
  <c r="N2589" i="14"/>
  <c r="M2593" i="14"/>
  <c r="M2592" i="13"/>
  <c r="N2590" i="13"/>
  <c r="J2589" i="13" a="1"/>
  <c r="J2589" i="13" s="1"/>
  <c r="K2425" i="14"/>
  <c r="L2425" i="14" s="1"/>
  <c r="I2426" i="14" s="1"/>
  <c r="K2404" i="13" l="1"/>
  <c r="L2404" i="13" s="1"/>
  <c r="I2405" i="13" s="1"/>
  <c r="M2593" i="13"/>
  <c r="J2589" i="14" a="1"/>
  <c r="J2589" i="14" s="1"/>
  <c r="N2590" i="14"/>
  <c r="K2426" i="14"/>
  <c r="L2426" i="14" s="1"/>
  <c r="I2427" i="14" s="1"/>
  <c r="N2591" i="13"/>
  <c r="J2590" i="13" a="1"/>
  <c r="J2590" i="13" s="1"/>
  <c r="M2594" i="14"/>
  <c r="K2405" i="13" l="1"/>
  <c r="L2405" i="13" s="1"/>
  <c r="I2406" i="13" s="1"/>
  <c r="J2591" i="13" a="1"/>
  <c r="J2591" i="13" s="1"/>
  <c r="N2592" i="13"/>
  <c r="M2595" i="14"/>
  <c r="M2594" i="13"/>
  <c r="K2427" i="14"/>
  <c r="L2427" i="14" s="1"/>
  <c r="I2428" i="14" s="1"/>
  <c r="N2591" i="14"/>
  <c r="J2590" i="14" a="1"/>
  <c r="J2590" i="14" s="1"/>
  <c r="K2428" i="14" l="1"/>
  <c r="L2428" i="14" s="1"/>
  <c r="I2429" i="14" s="1"/>
  <c r="K2406" i="13"/>
  <c r="L2406" i="13" s="1"/>
  <c r="I2407" i="13" s="1"/>
  <c r="N2593" i="13"/>
  <c r="J2592" i="13" a="1"/>
  <c r="J2592" i="13" s="1"/>
  <c r="N2592" i="14"/>
  <c r="J2591" i="14" a="1"/>
  <c r="J2591" i="14" s="1"/>
  <c r="M2595" i="13"/>
  <c r="M2596" i="14"/>
  <c r="K2407" i="13" l="1"/>
  <c r="L2407" i="13" s="1"/>
  <c r="I2408" i="13" s="1"/>
  <c r="K2429" i="14"/>
  <c r="L2429" i="14" s="1"/>
  <c r="I2430" i="14" s="1"/>
  <c r="J2592" i="14" a="1"/>
  <c r="J2592" i="14" s="1"/>
  <c r="N2593" i="14"/>
  <c r="M2597" i="14"/>
  <c r="M2596" i="13"/>
  <c r="N2594" i="13"/>
  <c r="J2593" i="13" a="1"/>
  <c r="J2593" i="13" s="1"/>
  <c r="K2408" i="13" l="1"/>
  <c r="L2408" i="13" s="1"/>
  <c r="I2409" i="13" s="1"/>
  <c r="K2430" i="14"/>
  <c r="L2430" i="14" s="1"/>
  <c r="I2431" i="14" s="1"/>
  <c r="M2597" i="13"/>
  <c r="N2595" i="13"/>
  <c r="J2594" i="13" a="1"/>
  <c r="J2594" i="13" s="1"/>
  <c r="M2598" i="14"/>
  <c r="J2593" i="14" a="1"/>
  <c r="J2593" i="14" s="1"/>
  <c r="N2594" i="14"/>
  <c r="K2431" i="14" l="1"/>
  <c r="L2431" i="14" s="1"/>
  <c r="I2432" i="14" s="1"/>
  <c r="K2409" i="13"/>
  <c r="L2409" i="13" s="1"/>
  <c r="I2410" i="13" s="1"/>
  <c r="J2595" i="13" a="1"/>
  <c r="J2595" i="13" s="1"/>
  <c r="N2596" i="13"/>
  <c r="J2594" i="14" a="1"/>
  <c r="J2594" i="14" s="1"/>
  <c r="N2595" i="14"/>
  <c r="M2599" i="14"/>
  <c r="M2598" i="13"/>
  <c r="K2410" i="13" l="1"/>
  <c r="L2410" i="13" s="1"/>
  <c r="I2411" i="13" s="1"/>
  <c r="K2432" i="14"/>
  <c r="L2432" i="14" s="1"/>
  <c r="I2433" i="14" s="1"/>
  <c r="M2599" i="13"/>
  <c r="M2600" i="14"/>
  <c r="N2596" i="14"/>
  <c r="J2595" i="14" a="1"/>
  <c r="J2595" i="14" s="1"/>
  <c r="N2597" i="13"/>
  <c r="J2596" i="13" a="1"/>
  <c r="J2596" i="13" s="1"/>
  <c r="K2433" i="14" l="1"/>
  <c r="L2433" i="14" s="1"/>
  <c r="I2434" i="14" s="1"/>
  <c r="N2598" i="13"/>
  <c r="J2597" i="13" a="1"/>
  <c r="J2597" i="13" s="1"/>
  <c r="M2601" i="14"/>
  <c r="M2600" i="13"/>
  <c r="J2596" i="14" a="1"/>
  <c r="J2596" i="14" s="1"/>
  <c r="N2597" i="14"/>
  <c r="K2411" i="13"/>
  <c r="L2411" i="13" s="1"/>
  <c r="I2412" i="13" s="1"/>
  <c r="K2412" i="13" l="1"/>
  <c r="L2412" i="13" s="1"/>
  <c r="I2413" i="13" s="1"/>
  <c r="K2434" i="14"/>
  <c r="L2434" i="14" s="1"/>
  <c r="I2435" i="14" s="1"/>
  <c r="M2601" i="13"/>
  <c r="N2599" i="13"/>
  <c r="J2598" i="13" a="1"/>
  <c r="J2598" i="13" s="1"/>
  <c r="J2597" i="14" a="1"/>
  <c r="J2597" i="14" s="1"/>
  <c r="N2598" i="14"/>
  <c r="M2602" i="14"/>
  <c r="K2435" i="14" l="1"/>
  <c r="L2435" i="14" s="1"/>
  <c r="I2436" i="14" s="1"/>
  <c r="K2413" i="13"/>
  <c r="L2413" i="13" s="1"/>
  <c r="I2414" i="13" s="1"/>
  <c r="M2603" i="14"/>
  <c r="J2599" i="13" a="1"/>
  <c r="J2599" i="13" s="1"/>
  <c r="N2600" i="13"/>
  <c r="N2599" i="14"/>
  <c r="J2598" i="14" a="1"/>
  <c r="J2598" i="14" s="1"/>
  <c r="M2602" i="13"/>
  <c r="K2436" i="14" l="1"/>
  <c r="L2436" i="14" s="1"/>
  <c r="I2437" i="14" s="1"/>
  <c r="K2414" i="13"/>
  <c r="L2414" i="13" s="1"/>
  <c r="I2415" i="13" s="1"/>
  <c r="N2601" i="13"/>
  <c r="J2600" i="13" a="1"/>
  <c r="J2600" i="13" s="1"/>
  <c r="M2603" i="13"/>
  <c r="N2600" i="14"/>
  <c r="J2599" i="14" a="1"/>
  <c r="J2599" i="14" s="1"/>
  <c r="M2604" i="14"/>
  <c r="K2415" i="13" l="1"/>
  <c r="L2415" i="13" s="1"/>
  <c r="I2416" i="13" s="1"/>
  <c r="K2437" i="14"/>
  <c r="L2437" i="14" s="1"/>
  <c r="I2438" i="14" s="1"/>
  <c r="J2600" i="14" a="1"/>
  <c r="J2600" i="14" s="1"/>
  <c r="N2601" i="14"/>
  <c r="M2604" i="13"/>
  <c r="M2605" i="14"/>
  <c r="N2602" i="13"/>
  <c r="J2601" i="13" a="1"/>
  <c r="J2601" i="13" s="1"/>
  <c r="K2438" i="14" l="1"/>
  <c r="L2438" i="14" s="1"/>
  <c r="I2439" i="14" s="1"/>
  <c r="K2416" i="13"/>
  <c r="L2416" i="13" s="1"/>
  <c r="I2417" i="13" s="1"/>
  <c r="M2606" i="14"/>
  <c r="N2603" i="13"/>
  <c r="J2602" i="13" a="1"/>
  <c r="J2602" i="13" s="1"/>
  <c r="M2605" i="13"/>
  <c r="J2601" i="14" a="1"/>
  <c r="J2601" i="14" s="1"/>
  <c r="N2602" i="14"/>
  <c r="K2417" i="13" l="1"/>
  <c r="L2417" i="13" s="1"/>
  <c r="I2418" i="13" s="1"/>
  <c r="K2439" i="14"/>
  <c r="L2439" i="14" s="1"/>
  <c r="I2440" i="14" s="1"/>
  <c r="J2603" i="13" a="1"/>
  <c r="J2603" i="13" s="1"/>
  <c r="N2604" i="13"/>
  <c r="J2602" i="14" a="1"/>
  <c r="J2602" i="14" s="1"/>
  <c r="N2603" i="14"/>
  <c r="M2606" i="13"/>
  <c r="M2607" i="14"/>
  <c r="K2418" i="13" l="1"/>
  <c r="L2418" i="13" s="1"/>
  <c r="I2419" i="13" s="1"/>
  <c r="N2604" i="14"/>
  <c r="J2603" i="14" a="1"/>
  <c r="J2603" i="14" s="1"/>
  <c r="M2608" i="14"/>
  <c r="K2440" i="14"/>
  <c r="L2440" i="14" s="1"/>
  <c r="I2441" i="14" s="1"/>
  <c r="N2605" i="13"/>
  <c r="J2604" i="13" a="1"/>
  <c r="J2604" i="13" s="1"/>
  <c r="M2607" i="13"/>
  <c r="K2441" i="14" l="1"/>
  <c r="L2441" i="14" s="1"/>
  <c r="I2442" i="14" s="1"/>
  <c r="M2608" i="13"/>
  <c r="N2606" i="13"/>
  <c r="J2605" i="13" a="1"/>
  <c r="J2605" i="13" s="1"/>
  <c r="J2604" i="14" a="1"/>
  <c r="J2604" i="14" s="1"/>
  <c r="N2605" i="14"/>
  <c r="M2609" i="14"/>
  <c r="K2419" i="13"/>
  <c r="L2419" i="13" s="1"/>
  <c r="I2420" i="13" s="1"/>
  <c r="K2420" i="13" l="1"/>
  <c r="L2420" i="13" s="1"/>
  <c r="I2421" i="13" s="1"/>
  <c r="K2442" i="14"/>
  <c r="L2442" i="14" s="1"/>
  <c r="I2443" i="14" s="1"/>
  <c r="M2610" i="14"/>
  <c r="J2605" i="14" a="1"/>
  <c r="J2605" i="14" s="1"/>
  <c r="N2606" i="14"/>
  <c r="M2609" i="13"/>
  <c r="N2607" i="13"/>
  <c r="J2606" i="13" a="1"/>
  <c r="J2606" i="13" s="1"/>
  <c r="K2421" i="13" l="1"/>
  <c r="L2421" i="13" s="1"/>
  <c r="I2422" i="13" s="1"/>
  <c r="K2443" i="14"/>
  <c r="L2443" i="14" s="1"/>
  <c r="I2444" i="14" s="1"/>
  <c r="N2607" i="14"/>
  <c r="J2606" i="14" a="1"/>
  <c r="J2606" i="14" s="1"/>
  <c r="J2607" i="13" a="1"/>
  <c r="J2607" i="13" s="1"/>
  <c r="N2608" i="13"/>
  <c r="M2610" i="13"/>
  <c r="M2611" i="14"/>
  <c r="K2444" i="14" l="1"/>
  <c r="L2444" i="14" s="1"/>
  <c r="I2445" i="14" s="1"/>
  <c r="K2422" i="13"/>
  <c r="L2422" i="13" s="1"/>
  <c r="I2423" i="13" s="1"/>
  <c r="N2609" i="13"/>
  <c r="J2608" i="13" a="1"/>
  <c r="J2608" i="13" s="1"/>
  <c r="M2612" i="14"/>
  <c r="M2611" i="13"/>
  <c r="N2608" i="14"/>
  <c r="J2607" i="14" a="1"/>
  <c r="J2607" i="14" s="1"/>
  <c r="K2423" i="13" l="1"/>
  <c r="L2423" i="13" s="1"/>
  <c r="I2424" i="13" s="1"/>
  <c r="K2445" i="14"/>
  <c r="L2445" i="14" s="1"/>
  <c r="I2446" i="14" s="1"/>
  <c r="J2608" i="14" a="1"/>
  <c r="J2608" i="14" s="1"/>
  <c r="N2609" i="14"/>
  <c r="M2613" i="14"/>
  <c r="M2612" i="13"/>
  <c r="N2610" i="13"/>
  <c r="J2609" i="13" a="1"/>
  <c r="J2609" i="13" s="1"/>
  <c r="K2424" i="13" l="1"/>
  <c r="L2424" i="13" s="1"/>
  <c r="I2425" i="13" s="1"/>
  <c r="N2611" i="13"/>
  <c r="J2610" i="13" a="1"/>
  <c r="J2610" i="13" s="1"/>
  <c r="M2614" i="14"/>
  <c r="K2446" i="14"/>
  <c r="L2446" i="14" s="1"/>
  <c r="I2447" i="14" s="1"/>
  <c r="M2613" i="13"/>
  <c r="J2609" i="14" a="1"/>
  <c r="J2609" i="14" s="1"/>
  <c r="N2610" i="14"/>
  <c r="K2447" i="14" l="1"/>
  <c r="L2447" i="14" s="1"/>
  <c r="I2448" i="14" s="1"/>
  <c r="K2425" i="13"/>
  <c r="L2425" i="13" s="1"/>
  <c r="I2426" i="13" s="1"/>
  <c r="J2610" i="14" a="1"/>
  <c r="J2610" i="14" s="1"/>
  <c r="N2611" i="14"/>
  <c r="J2611" i="13" a="1"/>
  <c r="J2611" i="13" s="1"/>
  <c r="N2612" i="13"/>
  <c r="M2614" i="13"/>
  <c r="M2615" i="14"/>
  <c r="K2448" i="14" l="1"/>
  <c r="L2448" i="14" s="1"/>
  <c r="I2449" i="14" s="1"/>
  <c r="N2613" i="13"/>
  <c r="J2612" i="13" a="1"/>
  <c r="J2612" i="13" s="1"/>
  <c r="K2426" i="13"/>
  <c r="L2426" i="13" s="1"/>
  <c r="I2427" i="13" s="1"/>
  <c r="M2616" i="14"/>
  <c r="N2612" i="14"/>
  <c r="J2611" i="14" a="1"/>
  <c r="J2611" i="14" s="1"/>
  <c r="M2615" i="13"/>
  <c r="K2427" i="13" l="1"/>
  <c r="L2427" i="13" s="1"/>
  <c r="I2428" i="13" s="1"/>
  <c r="K2449" i="14"/>
  <c r="L2449" i="14" s="1"/>
  <c r="I2450" i="14" s="1"/>
  <c r="N2614" i="13"/>
  <c r="J2613" i="13" a="1"/>
  <c r="J2613" i="13" s="1"/>
  <c r="M2616" i="13"/>
  <c r="M2617" i="14"/>
  <c r="J2612" i="14" a="1"/>
  <c r="J2612" i="14" s="1"/>
  <c r="N2613" i="14"/>
  <c r="K2450" i="14" l="1"/>
  <c r="L2450" i="14" s="1"/>
  <c r="I2451" i="14" s="1"/>
  <c r="K2428" i="13"/>
  <c r="L2428" i="13" s="1"/>
  <c r="I2429" i="13" s="1"/>
  <c r="M2617" i="13"/>
  <c r="M2618" i="14"/>
  <c r="J2613" i="14" a="1"/>
  <c r="J2613" i="14" s="1"/>
  <c r="N2614" i="14"/>
  <c r="N2615" i="13"/>
  <c r="J2614" i="13" a="1"/>
  <c r="J2614" i="13" s="1"/>
  <c r="K2429" i="13" l="1"/>
  <c r="L2429" i="13" s="1"/>
  <c r="I2430" i="13" s="1"/>
  <c r="M2619" i="14"/>
  <c r="J2615" i="13" a="1"/>
  <c r="J2615" i="13" s="1"/>
  <c r="N2616" i="13"/>
  <c r="N2615" i="14"/>
  <c r="J2614" i="14" a="1"/>
  <c r="J2614" i="14" s="1"/>
  <c r="M2618" i="13"/>
  <c r="K2451" i="14"/>
  <c r="L2451" i="14" s="1"/>
  <c r="I2452" i="14" s="1"/>
  <c r="K2452" i="14" l="1"/>
  <c r="L2452" i="14" s="1"/>
  <c r="I2453" i="14" s="1"/>
  <c r="K2430" i="13"/>
  <c r="L2430" i="13" s="1"/>
  <c r="I2431" i="13" s="1"/>
  <c r="N2616" i="14"/>
  <c r="J2615" i="14" a="1"/>
  <c r="J2615" i="14" s="1"/>
  <c r="M2620" i="14"/>
  <c r="N2617" i="13"/>
  <c r="J2616" i="13" a="1"/>
  <c r="J2616" i="13" s="1"/>
  <c r="M2619" i="13"/>
  <c r="K2453" i="14" l="1"/>
  <c r="L2453" i="14" s="1"/>
  <c r="I2454" i="14" s="1"/>
  <c r="K2431" i="13"/>
  <c r="L2431" i="13" s="1"/>
  <c r="I2432" i="13" s="1"/>
  <c r="J2617" i="13" a="1"/>
  <c r="J2617" i="13" s="1"/>
  <c r="N2618" i="13"/>
  <c r="M2620" i="13"/>
  <c r="J2616" i="14" a="1"/>
  <c r="J2616" i="14" s="1"/>
  <c r="N2617" i="14"/>
  <c r="M2621" i="14"/>
  <c r="K2454" i="14" l="1"/>
  <c r="L2454" i="14" s="1"/>
  <c r="I2455" i="14" s="1"/>
  <c r="K2432" i="13"/>
  <c r="L2432" i="13" s="1"/>
  <c r="I2433" i="13" s="1"/>
  <c r="M2621" i="13"/>
  <c r="M2622" i="14"/>
  <c r="J2617" i="14" a="1"/>
  <c r="J2617" i="14" s="1"/>
  <c r="N2618" i="14"/>
  <c r="N2619" i="13"/>
  <c r="J2618" i="13" a="1"/>
  <c r="J2618" i="13" s="1"/>
  <c r="K2433" i="13" l="1"/>
  <c r="L2433" i="13" s="1"/>
  <c r="I2434" i="13" s="1"/>
  <c r="K2455" i="14"/>
  <c r="L2455" i="14" s="1"/>
  <c r="I2456" i="14" s="1"/>
  <c r="M2623" i="14"/>
  <c r="J2619" i="13" a="1"/>
  <c r="J2619" i="13" s="1"/>
  <c r="N2620" i="13"/>
  <c r="J2618" i="14" a="1"/>
  <c r="J2618" i="14" s="1"/>
  <c r="N2619" i="14"/>
  <c r="M2622" i="13"/>
  <c r="K2434" i="13" l="1"/>
  <c r="L2434" i="13" s="1"/>
  <c r="I2435" i="13" s="1"/>
  <c r="N2621" i="13"/>
  <c r="J2620" i="13" a="1"/>
  <c r="J2620" i="13" s="1"/>
  <c r="M2623" i="13"/>
  <c r="K2456" i="14"/>
  <c r="L2456" i="14" s="1"/>
  <c r="I2457" i="14" s="1"/>
  <c r="N2620" i="14"/>
  <c r="J2619" i="14" a="1"/>
  <c r="J2619" i="14" s="1"/>
  <c r="M2624" i="14"/>
  <c r="K2457" i="14" l="1"/>
  <c r="L2457" i="14" s="1"/>
  <c r="I2458" i="14" s="1"/>
  <c r="K2435" i="13"/>
  <c r="L2435" i="13" s="1"/>
  <c r="I2436" i="13" s="1"/>
  <c r="J2621" i="13" a="1"/>
  <c r="J2621" i="13" s="1"/>
  <c r="N2622" i="13"/>
  <c r="M2624" i="13"/>
  <c r="M2625" i="14"/>
  <c r="J2620" i="14" a="1"/>
  <c r="J2620" i="14" s="1"/>
  <c r="N2621" i="14"/>
  <c r="K2436" i="13" l="1"/>
  <c r="L2436" i="13" s="1"/>
  <c r="I2437" i="13" s="1"/>
  <c r="K2458" i="14"/>
  <c r="L2458" i="14" s="1"/>
  <c r="I2459" i="14" s="1"/>
  <c r="J2621" i="14" a="1"/>
  <c r="J2621" i="14" s="1"/>
  <c r="N2622" i="14"/>
  <c r="M2626" i="14"/>
  <c r="M2625" i="13"/>
  <c r="N2623" i="13"/>
  <c r="J2622" i="13" a="1"/>
  <c r="J2622" i="13" s="1"/>
  <c r="K2459" i="14" l="1"/>
  <c r="L2459" i="14" s="1"/>
  <c r="I2460" i="14" s="1"/>
  <c r="K2437" i="13"/>
  <c r="L2437" i="13" s="1"/>
  <c r="I2438" i="13" s="1"/>
  <c r="M2626" i="13"/>
  <c r="M2627" i="14"/>
  <c r="J2623" i="13" a="1"/>
  <c r="J2623" i="13" s="1"/>
  <c r="N2624" i="13"/>
  <c r="N2623" i="14"/>
  <c r="J2622" i="14" a="1"/>
  <c r="J2622" i="14" s="1"/>
  <c r="K2438" i="13" l="1"/>
  <c r="L2438" i="13" s="1"/>
  <c r="I2439" i="13" s="1"/>
  <c r="K2460" i="14"/>
  <c r="L2460" i="14" s="1"/>
  <c r="I2461" i="14" s="1"/>
  <c r="N2625" i="13"/>
  <c r="J2624" i="13" a="1"/>
  <c r="J2624" i="13" s="1"/>
  <c r="N2624" i="14"/>
  <c r="J2623" i="14" a="1"/>
  <c r="J2623" i="14" s="1"/>
  <c r="M2628" i="14"/>
  <c r="M2627" i="13"/>
  <c r="K2461" i="14" l="1"/>
  <c r="L2461" i="14" s="1"/>
  <c r="I2462" i="14" s="1"/>
  <c r="K2439" i="13"/>
  <c r="L2439" i="13" s="1"/>
  <c r="I2440" i="13" s="1"/>
  <c r="M2628" i="13"/>
  <c r="J2624" i="14" a="1"/>
  <c r="J2624" i="14" s="1"/>
  <c r="N2625" i="14"/>
  <c r="M2629" i="14"/>
  <c r="J2625" i="13" a="1"/>
  <c r="J2625" i="13" s="1"/>
  <c r="N2626" i="13"/>
  <c r="K2462" i="14" l="1"/>
  <c r="L2462" i="14" s="1"/>
  <c r="I2463" i="14" s="1"/>
  <c r="K2440" i="13"/>
  <c r="L2440" i="13" s="1"/>
  <c r="I2441" i="13" s="1"/>
  <c r="J2625" i="14" a="1"/>
  <c r="J2625" i="14" s="1"/>
  <c r="N2626" i="14"/>
  <c r="N2627" i="13"/>
  <c r="J2626" i="13" a="1"/>
  <c r="J2626" i="13" s="1"/>
  <c r="M2630" i="14"/>
  <c r="M2629" i="13"/>
  <c r="K2463" i="14" l="1"/>
  <c r="L2463" i="14" s="1"/>
  <c r="I2464" i="14" s="1"/>
  <c r="M2630" i="13"/>
  <c r="J2627" i="13" a="1"/>
  <c r="J2627" i="13" s="1"/>
  <c r="N2628" i="13"/>
  <c r="K2441" i="13"/>
  <c r="L2441" i="13" s="1"/>
  <c r="I2442" i="13" s="1"/>
  <c r="J2626" i="14" a="1"/>
  <c r="J2626" i="14" s="1"/>
  <c r="N2627" i="14"/>
  <c r="M2631" i="14"/>
  <c r="K2442" i="13" l="1"/>
  <c r="L2442" i="13" s="1"/>
  <c r="I2443" i="13" s="1"/>
  <c r="K2464" i="14"/>
  <c r="L2464" i="14" s="1"/>
  <c r="I2465" i="14" s="1"/>
  <c r="N2628" i="14"/>
  <c r="J2627" i="14" a="1"/>
  <c r="J2627" i="14" s="1"/>
  <c r="N2629" i="13"/>
  <c r="J2628" i="13" a="1"/>
  <c r="J2628" i="13" s="1"/>
  <c r="M2632" i="14"/>
  <c r="M2631" i="13"/>
  <c r="K2465" i="14" l="1"/>
  <c r="L2465" i="14" s="1"/>
  <c r="I2466" i="14" s="1"/>
  <c r="K2443" i="13"/>
  <c r="L2443" i="13" s="1"/>
  <c r="I2444" i="13" s="1"/>
  <c r="M2632" i="13"/>
  <c r="J2629" i="13" a="1"/>
  <c r="J2629" i="13" s="1"/>
  <c r="N2630" i="13"/>
  <c r="M2633" i="14"/>
  <c r="J2628" i="14" a="1"/>
  <c r="J2628" i="14" s="1"/>
  <c r="N2629" i="14"/>
  <c r="K2444" i="13" l="1"/>
  <c r="L2444" i="13" s="1"/>
  <c r="I2445" i="13" s="1"/>
  <c r="K2466" i="14"/>
  <c r="L2466" i="14" s="1"/>
  <c r="I2467" i="14" s="1"/>
  <c r="J2629" i="14" a="1"/>
  <c r="J2629" i="14" s="1"/>
  <c r="N2630" i="14"/>
  <c r="N2631" i="13"/>
  <c r="J2630" i="13" a="1"/>
  <c r="J2630" i="13" s="1"/>
  <c r="M2634" i="14"/>
  <c r="M2633" i="13"/>
  <c r="K2467" i="14" l="1"/>
  <c r="L2467" i="14" s="1"/>
  <c r="I2468" i="14" s="1"/>
  <c r="K2445" i="13"/>
  <c r="L2445" i="13" s="1"/>
  <c r="I2446" i="13" s="1"/>
  <c r="M2635" i="14"/>
  <c r="M2634" i="13"/>
  <c r="J2631" i="13" a="1"/>
  <c r="J2631" i="13" s="1"/>
  <c r="N2632" i="13"/>
  <c r="N2631" i="14"/>
  <c r="J2630" i="14" a="1"/>
  <c r="J2630" i="14" s="1"/>
  <c r="K2446" i="13" l="1"/>
  <c r="L2446" i="13" s="1"/>
  <c r="I2447" i="13" s="1"/>
  <c r="K2468" i="14"/>
  <c r="L2468" i="14" s="1"/>
  <c r="I2469" i="14" s="1"/>
  <c r="N2633" i="13"/>
  <c r="J2632" i="13" a="1"/>
  <c r="J2632" i="13" s="1"/>
  <c r="N2632" i="14"/>
  <c r="J2631" i="14" a="1"/>
  <c r="J2631" i="14" s="1"/>
  <c r="M2635" i="13"/>
  <c r="M2636" i="14"/>
  <c r="K2469" i="14" l="1"/>
  <c r="L2469" i="14" s="1"/>
  <c r="I2470" i="14" s="1"/>
  <c r="K2447" i="13"/>
  <c r="L2447" i="13" s="1"/>
  <c r="I2448" i="13" s="1"/>
  <c r="M2636" i="13"/>
  <c r="M2637" i="14"/>
  <c r="J2632" i="14" a="1"/>
  <c r="J2632" i="14" s="1"/>
  <c r="N2633" i="14"/>
  <c r="J2633" i="13" a="1"/>
  <c r="J2633" i="13" s="1"/>
  <c r="N2634" i="13"/>
  <c r="K2448" i="13" l="1"/>
  <c r="L2448" i="13" s="1"/>
  <c r="I2449" i="13" s="1"/>
  <c r="K2470" i="14"/>
  <c r="L2470" i="14" s="1"/>
  <c r="I2471" i="14" s="1"/>
  <c r="N2635" i="13"/>
  <c r="J2634" i="13" a="1"/>
  <c r="J2634" i="13" s="1"/>
  <c r="M2638" i="14"/>
  <c r="J2633" i="14" a="1"/>
  <c r="J2633" i="14" s="1"/>
  <c r="N2634" i="14"/>
  <c r="M2637" i="13"/>
  <c r="K2471" i="14" l="1"/>
  <c r="L2471" i="14" s="1"/>
  <c r="I2472" i="14" s="1"/>
  <c r="K2449" i="13"/>
  <c r="L2449" i="13" s="1"/>
  <c r="I2450" i="13" s="1"/>
  <c r="M2638" i="13"/>
  <c r="M2639" i="14"/>
  <c r="J2634" i="14" a="1"/>
  <c r="J2634" i="14" s="1"/>
  <c r="N2635" i="14"/>
  <c r="J2635" i="13" a="1"/>
  <c r="J2635" i="13" s="1"/>
  <c r="N2636" i="13"/>
  <c r="K2472" i="14" l="1"/>
  <c r="L2472" i="14" s="1"/>
  <c r="I2473" i="14" s="1"/>
  <c r="K2450" i="13"/>
  <c r="L2450" i="13" s="1"/>
  <c r="I2451" i="13" s="1"/>
  <c r="M2640" i="14"/>
  <c r="N2636" i="14"/>
  <c r="J2635" i="14" a="1"/>
  <c r="J2635" i="14" s="1"/>
  <c r="N2637" i="13"/>
  <c r="J2636" i="13" a="1"/>
  <c r="J2636" i="13" s="1"/>
  <c r="M2639" i="13"/>
  <c r="K2451" i="13" l="1"/>
  <c r="L2451" i="13" s="1"/>
  <c r="I2452" i="13" s="1"/>
  <c r="K2473" i="14"/>
  <c r="L2473" i="14" s="1"/>
  <c r="I2474" i="14" s="1"/>
  <c r="M2640" i="13"/>
  <c r="J2636" i="14" a="1"/>
  <c r="J2636" i="14" s="1"/>
  <c r="N2637" i="14"/>
  <c r="J2637" i="13" a="1"/>
  <c r="J2637" i="13" s="1"/>
  <c r="N2638" i="13"/>
  <c r="M2641" i="14"/>
  <c r="K2474" i="14" l="1"/>
  <c r="L2474" i="14" s="1"/>
  <c r="I2475" i="14" s="1"/>
  <c r="J2637" i="14" a="1"/>
  <c r="J2637" i="14" s="1"/>
  <c r="N2638" i="14"/>
  <c r="M2641" i="13"/>
  <c r="M2642" i="14"/>
  <c r="N2639" i="13"/>
  <c r="J2638" i="13" a="1"/>
  <c r="J2638" i="13" s="1"/>
  <c r="K2452" i="13"/>
  <c r="L2452" i="13" s="1"/>
  <c r="I2453" i="13" s="1"/>
  <c r="K2453" i="13" l="1"/>
  <c r="L2453" i="13" s="1"/>
  <c r="I2454" i="13" s="1"/>
  <c r="K2475" i="14"/>
  <c r="L2475" i="14" s="1"/>
  <c r="I2476" i="14" s="1"/>
  <c r="M2643" i="14"/>
  <c r="N2639" i="14"/>
  <c r="J2638" i="14" a="1"/>
  <c r="J2638" i="14" s="1"/>
  <c r="M2642" i="13"/>
  <c r="J2639" i="13" a="1"/>
  <c r="J2639" i="13" s="1"/>
  <c r="N2640" i="13"/>
  <c r="K2476" i="14" l="1"/>
  <c r="L2476" i="14" s="1"/>
  <c r="I2477" i="14" s="1"/>
  <c r="K2454" i="13"/>
  <c r="L2454" i="13" s="1"/>
  <c r="I2455" i="13" s="1"/>
  <c r="N2641" i="13"/>
  <c r="J2640" i="13" a="1"/>
  <c r="J2640" i="13" s="1"/>
  <c r="N2640" i="14"/>
  <c r="J2639" i="14" a="1"/>
  <c r="J2639" i="14" s="1"/>
  <c r="M2643" i="13"/>
  <c r="M2644" i="14"/>
  <c r="K2477" i="14" l="1"/>
  <c r="L2477" i="14" s="1"/>
  <c r="I2478" i="14" s="1"/>
  <c r="K2455" i="13"/>
  <c r="L2455" i="13" s="1"/>
  <c r="I2456" i="13" s="1"/>
  <c r="M2644" i="13"/>
  <c r="M2645" i="14"/>
  <c r="J2640" i="14" a="1"/>
  <c r="J2640" i="14" s="1"/>
  <c r="N2641" i="14"/>
  <c r="J2641" i="13" a="1"/>
  <c r="J2641" i="13" s="1"/>
  <c r="N2642" i="13"/>
  <c r="K2478" i="14" l="1"/>
  <c r="L2478" i="14" s="1"/>
  <c r="I2479" i="14" s="1"/>
  <c r="K2456" i="13"/>
  <c r="L2456" i="13" s="1"/>
  <c r="I2457" i="13" s="1"/>
  <c r="N2643" i="13"/>
  <c r="J2642" i="13" a="1"/>
  <c r="J2642" i="13" s="1"/>
  <c r="M2646" i="14"/>
  <c r="J2641" i="14" a="1"/>
  <c r="J2641" i="14" s="1"/>
  <c r="N2642" i="14"/>
  <c r="M2645" i="13"/>
  <c r="K2457" i="13" l="1"/>
  <c r="L2457" i="13" s="1"/>
  <c r="I2458" i="13" s="1"/>
  <c r="J2642" i="14" a="1"/>
  <c r="J2642" i="14" s="1"/>
  <c r="N2643" i="14"/>
  <c r="J2643" i="13" a="1"/>
  <c r="J2643" i="13" s="1"/>
  <c r="N2644" i="13"/>
  <c r="M2646" i="13"/>
  <c r="M2647" i="14"/>
  <c r="K2479" i="14"/>
  <c r="L2479" i="14" s="1"/>
  <c r="I2480" i="14" s="1"/>
  <c r="K2458" i="13" l="1"/>
  <c r="L2458" i="13" s="1"/>
  <c r="I2459" i="13" s="1"/>
  <c r="K2480" i="14"/>
  <c r="L2480" i="14" s="1"/>
  <c r="I2481" i="14" s="1"/>
  <c r="N2644" i="14"/>
  <c r="J2643" i="14" a="1"/>
  <c r="J2643" i="14" s="1"/>
  <c r="M2647" i="13"/>
  <c r="N2645" i="13"/>
  <c r="J2644" i="13" a="1"/>
  <c r="J2644" i="13" s="1"/>
  <c r="M2648" i="14"/>
  <c r="K2481" i="14" l="1"/>
  <c r="L2481" i="14" s="1"/>
  <c r="I2482" i="14" s="1"/>
  <c r="K2459" i="13"/>
  <c r="L2459" i="13" s="1"/>
  <c r="I2460" i="13" s="1"/>
  <c r="M2648" i="13"/>
  <c r="M2649" i="14"/>
  <c r="J2645" i="13" a="1"/>
  <c r="J2645" i="13" s="1"/>
  <c r="N2646" i="13"/>
  <c r="J2644" i="14" a="1"/>
  <c r="J2644" i="14" s="1"/>
  <c r="N2645" i="14"/>
  <c r="K2460" i="13" l="1"/>
  <c r="L2460" i="13" s="1"/>
  <c r="I2461" i="13" s="1"/>
  <c r="K2482" i="14"/>
  <c r="L2482" i="14" s="1"/>
  <c r="I2483" i="14" s="1"/>
  <c r="N2647" i="13"/>
  <c r="J2646" i="13" a="1"/>
  <c r="J2646" i="13" s="1"/>
  <c r="M2650" i="14"/>
  <c r="J2645" i="14" a="1"/>
  <c r="J2645" i="14" s="1"/>
  <c r="N2646" i="14"/>
  <c r="M2649" i="13"/>
  <c r="K2483" i="14" l="1"/>
  <c r="L2483" i="14" s="1"/>
  <c r="I2484" i="14" s="1"/>
  <c r="K2461" i="13"/>
  <c r="L2461" i="13" s="1"/>
  <c r="I2462" i="13" s="1"/>
  <c r="N2647" i="14"/>
  <c r="J2646" i="14" a="1"/>
  <c r="J2646" i="14" s="1"/>
  <c r="M2650" i="13"/>
  <c r="M2651" i="14"/>
  <c r="J2647" i="13" a="1"/>
  <c r="J2647" i="13" s="1"/>
  <c r="N2648" i="13"/>
  <c r="K2462" i="13" l="1"/>
  <c r="L2462" i="13" s="1"/>
  <c r="I2463" i="13" s="1"/>
  <c r="N2648" i="14"/>
  <c r="J2647" i="14" a="1"/>
  <c r="J2647" i="14" s="1"/>
  <c r="N2649" i="13"/>
  <c r="J2648" i="13" a="1"/>
  <c r="J2648" i="13" s="1"/>
  <c r="M2651" i="13"/>
  <c r="M2652" i="14"/>
  <c r="K2484" i="14"/>
  <c r="L2484" i="14" s="1"/>
  <c r="I2485" i="14" s="1"/>
  <c r="K2463" i="13" l="1"/>
  <c r="L2463" i="13" s="1"/>
  <c r="I2464" i="13" s="1"/>
  <c r="K2485" i="14"/>
  <c r="L2485" i="14" s="1"/>
  <c r="I2486" i="14" s="1"/>
  <c r="J2648" i="14" a="1"/>
  <c r="J2648" i="14" s="1"/>
  <c r="N2649" i="14"/>
  <c r="M2652" i="13"/>
  <c r="M2653" i="14"/>
  <c r="J2649" i="13" a="1"/>
  <c r="J2649" i="13" s="1"/>
  <c r="N2650" i="13"/>
  <c r="K2486" i="14" l="1"/>
  <c r="L2486" i="14" s="1"/>
  <c r="I2487" i="14" s="1"/>
  <c r="M2654" i="14"/>
  <c r="M2653" i="13"/>
  <c r="N2651" i="13"/>
  <c r="J2650" i="13" a="1"/>
  <c r="J2650" i="13" s="1"/>
  <c r="J2649" i="14" a="1"/>
  <c r="J2649" i="14" s="1"/>
  <c r="N2650" i="14"/>
  <c r="K2464" i="13"/>
  <c r="L2464" i="13" s="1"/>
  <c r="I2465" i="13" s="1"/>
  <c r="K2465" i="13" l="1"/>
  <c r="L2465" i="13" s="1"/>
  <c r="I2466" i="13" s="1"/>
  <c r="K2487" i="14"/>
  <c r="L2487" i="14" s="1"/>
  <c r="I2488" i="14" s="1"/>
  <c r="M2655" i="14"/>
  <c r="J2651" i="13" a="1"/>
  <c r="J2651" i="13" s="1"/>
  <c r="N2652" i="13"/>
  <c r="J2650" i="14" a="1"/>
  <c r="J2650" i="14" s="1"/>
  <c r="N2651" i="14"/>
  <c r="M2654" i="13"/>
  <c r="K2488" i="14" l="1"/>
  <c r="L2488" i="14" s="1"/>
  <c r="I2489" i="14" s="1"/>
  <c r="N2653" i="13"/>
  <c r="J2652" i="13" a="1"/>
  <c r="J2652" i="13" s="1"/>
  <c r="M2656" i="14"/>
  <c r="M2655" i="13"/>
  <c r="N2652" i="14"/>
  <c r="J2651" i="14" a="1"/>
  <c r="J2651" i="14" s="1"/>
  <c r="K2466" i="13"/>
  <c r="L2466" i="13" s="1"/>
  <c r="I2467" i="13" s="1"/>
  <c r="K2467" i="13" l="1"/>
  <c r="L2467" i="13" s="1"/>
  <c r="I2468" i="13" s="1"/>
  <c r="M2656" i="13"/>
  <c r="J2653" i="13" a="1"/>
  <c r="J2653" i="13" s="1"/>
  <c r="N2654" i="13"/>
  <c r="J2652" i="14" a="1"/>
  <c r="J2652" i="14" s="1"/>
  <c r="N2653" i="14"/>
  <c r="M2657" i="14"/>
  <c r="K2489" i="14"/>
  <c r="L2489" i="14" s="1"/>
  <c r="I2490" i="14" s="1"/>
  <c r="K2468" i="13" l="1"/>
  <c r="L2468" i="13" s="1"/>
  <c r="I2469" i="13" s="1"/>
  <c r="K2490" i="14"/>
  <c r="L2490" i="14" s="1"/>
  <c r="I2491" i="14" s="1"/>
  <c r="J2653" i="14" a="1"/>
  <c r="J2653" i="14" s="1"/>
  <c r="N2654" i="14"/>
  <c r="M2657" i="13"/>
  <c r="M2658" i="14"/>
  <c r="N2655" i="13"/>
  <c r="J2654" i="13" a="1"/>
  <c r="J2654" i="13" s="1"/>
  <c r="K2491" i="14" l="1"/>
  <c r="L2491" i="14" s="1"/>
  <c r="I2492" i="14" s="1"/>
  <c r="K2469" i="13"/>
  <c r="L2469" i="13" s="1"/>
  <c r="I2470" i="13" s="1"/>
  <c r="M2658" i="13"/>
  <c r="J2655" i="13" a="1"/>
  <c r="J2655" i="13" s="1"/>
  <c r="N2656" i="13"/>
  <c r="M2659" i="14"/>
  <c r="N2655" i="14"/>
  <c r="J2654" i="14" a="1"/>
  <c r="J2654" i="14" s="1"/>
  <c r="K2470" i="13" l="1"/>
  <c r="L2470" i="13" s="1"/>
  <c r="I2471" i="13" s="1"/>
  <c r="K2492" i="14"/>
  <c r="L2492" i="14" s="1"/>
  <c r="I2493" i="14" s="1"/>
  <c r="N2657" i="13"/>
  <c r="J2656" i="13" a="1"/>
  <c r="J2656" i="13" s="1"/>
  <c r="N2656" i="14"/>
  <c r="J2655" i="14" a="1"/>
  <c r="J2655" i="14" s="1"/>
  <c r="M2660" i="14"/>
  <c r="M2659" i="13"/>
  <c r="K2493" i="14" l="1"/>
  <c r="L2493" i="14" s="1"/>
  <c r="I2494" i="14" s="1"/>
  <c r="M2661" i="14"/>
  <c r="M2660" i="13"/>
  <c r="J2656" i="14" a="1"/>
  <c r="J2656" i="14" s="1"/>
  <c r="N2657" i="14"/>
  <c r="J2657" i="13" a="1"/>
  <c r="J2657" i="13" s="1"/>
  <c r="N2658" i="13"/>
  <c r="K2471" i="13"/>
  <c r="L2471" i="13" s="1"/>
  <c r="I2472" i="13" s="1"/>
  <c r="K2472" i="13" l="1"/>
  <c r="L2472" i="13" s="1"/>
  <c r="I2473" i="13" s="1"/>
  <c r="K2494" i="14"/>
  <c r="L2494" i="14" s="1"/>
  <c r="I2495" i="14" s="1"/>
  <c r="J2657" i="14" a="1"/>
  <c r="J2657" i="14" s="1"/>
  <c r="N2658" i="14"/>
  <c r="M2662" i="14"/>
  <c r="N2659" i="13"/>
  <c r="J2658" i="13" a="1"/>
  <c r="J2658" i="13" s="1"/>
  <c r="M2661" i="13"/>
  <c r="K2495" i="14" l="1"/>
  <c r="L2495" i="14" s="1"/>
  <c r="I2496" i="14" s="1"/>
  <c r="M2662" i="13"/>
  <c r="M2663" i="14"/>
  <c r="J2659" i="13" a="1"/>
  <c r="J2659" i="13" s="1"/>
  <c r="N2660" i="13"/>
  <c r="J2658" i="14" a="1"/>
  <c r="J2658" i="14" s="1"/>
  <c r="N2659" i="14"/>
  <c r="K2473" i="13"/>
  <c r="L2473" i="13" s="1"/>
  <c r="I2474" i="13" s="1"/>
  <c r="K2474" i="13" l="1"/>
  <c r="L2474" i="13" s="1"/>
  <c r="I2475" i="13" s="1"/>
  <c r="K2496" i="14"/>
  <c r="L2496" i="14" s="1"/>
  <c r="I2497" i="14" s="1"/>
  <c r="N2661" i="13"/>
  <c r="J2660" i="13" a="1"/>
  <c r="J2660" i="13" s="1"/>
  <c r="M2663" i="13"/>
  <c r="N2660" i="14"/>
  <c r="J2659" i="14" a="1"/>
  <c r="J2659" i="14" s="1"/>
  <c r="M2664" i="14"/>
  <c r="K2497" i="14" l="1"/>
  <c r="L2497" i="14" s="1"/>
  <c r="I2498" i="14" s="1"/>
  <c r="J2660" i="14" a="1"/>
  <c r="J2660" i="14" s="1"/>
  <c r="N2661" i="14"/>
  <c r="J2661" i="13" a="1"/>
  <c r="J2661" i="13" s="1"/>
  <c r="N2662" i="13"/>
  <c r="M2664" i="13"/>
  <c r="M2665" i="14"/>
  <c r="K2475" i="13"/>
  <c r="L2475" i="13" s="1"/>
  <c r="I2476" i="13" s="1"/>
  <c r="K2498" i="14" l="1"/>
  <c r="L2498" i="14" s="1"/>
  <c r="I2499" i="14" s="1"/>
  <c r="K2476" i="13"/>
  <c r="L2476" i="13" s="1"/>
  <c r="I2477" i="13" s="1"/>
  <c r="J2661" i="14" a="1"/>
  <c r="J2661" i="14" s="1"/>
  <c r="N2662" i="14"/>
  <c r="M2665" i="13"/>
  <c r="M2666" i="14"/>
  <c r="N2663" i="13"/>
  <c r="J2662" i="13" a="1"/>
  <c r="J2662" i="13" s="1"/>
  <c r="K2477" i="13" l="1"/>
  <c r="L2477" i="13" s="1"/>
  <c r="I2478" i="13" s="1"/>
  <c r="K2499" i="14"/>
  <c r="L2499" i="14" s="1"/>
  <c r="I2500" i="14" s="1"/>
  <c r="J2663" i="13" a="1"/>
  <c r="J2663" i="13" s="1"/>
  <c r="N2664" i="13"/>
  <c r="M2666" i="13"/>
  <c r="M2667" i="14"/>
  <c r="N2663" i="14"/>
  <c r="J2662" i="14" a="1"/>
  <c r="J2662" i="14" s="1"/>
  <c r="K2500" i="14" l="1"/>
  <c r="L2500" i="14" s="1"/>
  <c r="I2501" i="14" s="1"/>
  <c r="M2668" i="14"/>
  <c r="N2664" i="14"/>
  <c r="J2663" i="14" a="1"/>
  <c r="J2663" i="14" s="1"/>
  <c r="M2667" i="13"/>
  <c r="N2665" i="13"/>
  <c r="J2664" i="13" a="1"/>
  <c r="J2664" i="13" s="1"/>
  <c r="K2478" i="13"/>
  <c r="L2478" i="13" s="1"/>
  <c r="I2479" i="13" s="1"/>
  <c r="K2479" i="13" l="1"/>
  <c r="L2479" i="13" s="1"/>
  <c r="I2480" i="13" s="1"/>
  <c r="K2501" i="14"/>
  <c r="L2501" i="14" s="1"/>
  <c r="I2502" i="14" s="1"/>
  <c r="J2665" i="13" a="1"/>
  <c r="J2665" i="13" s="1"/>
  <c r="N2666" i="13"/>
  <c r="M2668" i="13"/>
  <c r="M2669" i="14"/>
  <c r="J2664" i="14" a="1"/>
  <c r="J2664" i="14" s="1"/>
  <c r="N2665" i="14"/>
  <c r="K2502" i="14" l="1"/>
  <c r="L2502" i="14" s="1"/>
  <c r="I2503" i="14" s="1"/>
  <c r="K2480" i="13"/>
  <c r="L2480" i="13" s="1"/>
  <c r="I2481" i="13" s="1"/>
  <c r="J2665" i="14" a="1"/>
  <c r="J2665" i="14" s="1"/>
  <c r="N2666" i="14"/>
  <c r="M2669" i="13"/>
  <c r="N2667" i="13"/>
  <c r="J2666" i="13" a="1"/>
  <c r="J2666" i="13" s="1"/>
  <c r="M2670" i="14"/>
  <c r="K2481" i="13" l="1"/>
  <c r="L2481" i="13" s="1"/>
  <c r="I2482" i="13" s="1"/>
  <c r="K2503" i="14"/>
  <c r="L2503" i="14" s="1"/>
  <c r="I2504" i="14" s="1"/>
  <c r="M2670" i="13"/>
  <c r="M2671" i="14"/>
  <c r="J2666" i="14" a="1"/>
  <c r="J2666" i="14" s="1"/>
  <c r="N2667" i="14"/>
  <c r="J2667" i="13" a="1"/>
  <c r="J2667" i="13" s="1"/>
  <c r="N2668" i="13"/>
  <c r="K2504" i="14" l="1"/>
  <c r="L2504" i="14" s="1"/>
  <c r="I2505" i="14" s="1"/>
  <c r="K2482" i="13"/>
  <c r="L2482" i="13" s="1"/>
  <c r="I2483" i="13" s="1"/>
  <c r="N2669" i="13"/>
  <c r="J2668" i="13" a="1"/>
  <c r="J2668" i="13" s="1"/>
  <c r="M2672" i="14"/>
  <c r="N2668" i="14"/>
  <c r="J2667" i="14" a="1"/>
  <c r="J2667" i="14" s="1"/>
  <c r="M2671" i="13"/>
  <c r="K2483" i="13" l="1"/>
  <c r="L2483" i="13" s="1"/>
  <c r="I2484" i="13" s="1"/>
  <c r="J2669" i="13" a="1"/>
  <c r="J2669" i="13" s="1"/>
  <c r="N2670" i="13"/>
  <c r="M2672" i="13"/>
  <c r="M2673" i="14"/>
  <c r="J2668" i="14" a="1"/>
  <c r="J2668" i="14" s="1"/>
  <c r="N2669" i="14"/>
  <c r="K2505" i="14"/>
  <c r="L2505" i="14" s="1"/>
  <c r="I2506" i="14" s="1"/>
  <c r="K2506" i="14" l="1"/>
  <c r="L2506" i="14" s="1"/>
  <c r="I2507" i="14" s="1"/>
  <c r="K2484" i="13"/>
  <c r="L2484" i="13" s="1"/>
  <c r="I2485" i="13" s="1"/>
  <c r="N2671" i="13"/>
  <c r="J2670" i="13" a="1"/>
  <c r="J2670" i="13" s="1"/>
  <c r="M2674" i="14"/>
  <c r="J2669" i="14" a="1"/>
  <c r="J2669" i="14" s="1"/>
  <c r="N2670" i="14"/>
  <c r="M2673" i="13"/>
  <c r="K2485" i="13" l="1"/>
  <c r="L2485" i="13" s="1"/>
  <c r="I2486" i="13" s="1"/>
  <c r="K2507" i="14"/>
  <c r="L2507" i="14" s="1"/>
  <c r="I2508" i="14" s="1"/>
  <c r="M2674" i="13"/>
  <c r="M2675" i="14"/>
  <c r="N2671" i="14"/>
  <c r="J2670" i="14" a="1"/>
  <c r="J2670" i="14" s="1"/>
  <c r="J2671" i="13" a="1"/>
  <c r="J2671" i="13" s="1"/>
  <c r="N2672" i="13"/>
  <c r="K2508" i="14" l="1"/>
  <c r="L2508" i="14" s="1"/>
  <c r="I2509" i="14" s="1"/>
  <c r="K2486" i="13"/>
  <c r="L2486" i="13" s="1"/>
  <c r="I2487" i="13" s="1"/>
  <c r="N2673" i="13"/>
  <c r="J2672" i="13" a="1"/>
  <c r="J2672" i="13" s="1"/>
  <c r="M2676" i="14"/>
  <c r="N2672" i="14"/>
  <c r="J2671" i="14" a="1"/>
  <c r="J2671" i="14" s="1"/>
  <c r="M2675" i="13"/>
  <c r="K2509" i="14" l="1"/>
  <c r="L2509" i="14" s="1"/>
  <c r="I2510" i="14" s="1"/>
  <c r="K2487" i="13"/>
  <c r="L2487" i="13" s="1"/>
  <c r="I2488" i="13" s="1"/>
  <c r="J2672" i="14" a="1"/>
  <c r="J2672" i="14" s="1"/>
  <c r="N2673" i="14"/>
  <c r="M2676" i="13"/>
  <c r="M2677" i="14"/>
  <c r="J2673" i="13" a="1"/>
  <c r="J2673" i="13" s="1"/>
  <c r="N2674" i="13"/>
  <c r="K2510" i="14" l="1"/>
  <c r="L2510" i="14" s="1"/>
  <c r="I2511" i="14" s="1"/>
  <c r="K2488" i="13"/>
  <c r="L2488" i="13" s="1"/>
  <c r="I2489" i="13" s="1"/>
  <c r="M2677" i="13"/>
  <c r="N2675" i="13"/>
  <c r="J2674" i="13" a="1"/>
  <c r="J2674" i="13" s="1"/>
  <c r="J2673" i="14" a="1"/>
  <c r="J2673" i="14" s="1"/>
  <c r="N2674" i="14"/>
  <c r="M2678" i="14"/>
  <c r="K2489" i="13" l="1"/>
  <c r="L2489" i="13" s="1"/>
  <c r="I2490" i="13" s="1"/>
  <c r="K2511" i="14"/>
  <c r="L2511" i="14" s="1"/>
  <c r="I2512" i="14" s="1"/>
  <c r="M2679" i="14"/>
  <c r="J2675" i="13" a="1"/>
  <c r="J2675" i="13" s="1"/>
  <c r="N2676" i="13"/>
  <c r="J2674" i="14" a="1"/>
  <c r="J2674" i="14" s="1"/>
  <c r="N2675" i="14"/>
  <c r="M2678" i="13"/>
  <c r="K2512" i="14" l="1"/>
  <c r="L2512" i="14" s="1"/>
  <c r="I2513" i="14" s="1"/>
  <c r="K2490" i="13"/>
  <c r="L2490" i="13" s="1"/>
  <c r="I2491" i="13" s="1"/>
  <c r="N2677" i="13"/>
  <c r="J2676" i="13" a="1"/>
  <c r="J2676" i="13" s="1"/>
  <c r="N2676" i="14"/>
  <c r="J2675" i="14" a="1"/>
  <c r="J2675" i="14" s="1"/>
  <c r="M2679" i="13"/>
  <c r="M2680" i="14"/>
  <c r="K2491" i="13" l="1"/>
  <c r="L2491" i="13" s="1"/>
  <c r="I2492" i="13" s="1"/>
  <c r="M2681" i="14"/>
  <c r="J2676" i="14" a="1"/>
  <c r="J2676" i="14" s="1"/>
  <c r="N2677" i="14"/>
  <c r="M2680" i="13"/>
  <c r="J2677" i="13" a="1"/>
  <c r="J2677" i="13" s="1"/>
  <c r="N2678" i="13"/>
  <c r="K2513" i="14"/>
  <c r="L2513" i="14" s="1"/>
  <c r="I2514" i="14" s="1"/>
  <c r="K2492" i="13" l="1"/>
  <c r="L2492" i="13" s="1"/>
  <c r="I2493" i="13" s="1"/>
  <c r="K2514" i="14"/>
  <c r="L2514" i="14" s="1"/>
  <c r="I2515" i="14" s="1"/>
  <c r="M2682" i="14"/>
  <c r="N2679" i="13"/>
  <c r="J2678" i="13" a="1"/>
  <c r="J2678" i="13" s="1"/>
  <c r="M2681" i="13"/>
  <c r="J2677" i="14" a="1"/>
  <c r="J2677" i="14" s="1"/>
  <c r="N2678" i="14"/>
  <c r="K2515" i="14" l="1"/>
  <c r="L2515" i="14" s="1"/>
  <c r="I2516" i="14" s="1"/>
  <c r="K2493" i="13"/>
  <c r="L2493" i="13" s="1"/>
  <c r="I2494" i="13" s="1"/>
  <c r="J2679" i="13" a="1"/>
  <c r="J2679" i="13" s="1"/>
  <c r="N2680" i="13"/>
  <c r="N2679" i="14"/>
  <c r="J2678" i="14" a="1"/>
  <c r="J2678" i="14" s="1"/>
  <c r="M2682" i="13"/>
  <c r="M2683" i="14"/>
  <c r="K2494" i="13" l="1"/>
  <c r="L2494" i="13" s="1"/>
  <c r="I2495" i="13" s="1"/>
  <c r="M2683" i="13"/>
  <c r="N2680" i="14"/>
  <c r="J2679" i="14" a="1"/>
  <c r="J2679" i="14" s="1"/>
  <c r="M2684" i="14"/>
  <c r="N2681" i="13"/>
  <c r="J2680" i="13" a="1"/>
  <c r="J2680" i="13" s="1"/>
  <c r="K2516" i="14"/>
  <c r="L2516" i="14" s="1"/>
  <c r="I2517" i="14" s="1"/>
  <c r="K2517" i="14" l="1"/>
  <c r="L2517" i="14" s="1"/>
  <c r="I2518" i="14" s="1"/>
  <c r="M2684" i="13"/>
  <c r="J2680" i="14" a="1"/>
  <c r="J2680" i="14" s="1"/>
  <c r="N2681" i="14"/>
  <c r="M2685" i="14"/>
  <c r="J2681" i="13" a="1"/>
  <c r="J2681" i="13" s="1"/>
  <c r="N2682" i="13"/>
  <c r="K2495" i="13"/>
  <c r="L2495" i="13" s="1"/>
  <c r="I2496" i="13" s="1"/>
  <c r="K2518" i="14" l="1"/>
  <c r="L2518" i="14" s="1"/>
  <c r="I2519" i="14" s="1"/>
  <c r="K2496" i="13"/>
  <c r="L2496" i="13" s="1"/>
  <c r="I2497" i="13" s="1"/>
  <c r="J2681" i="14" a="1"/>
  <c r="J2681" i="14" s="1"/>
  <c r="N2682" i="14"/>
  <c r="M2686" i="14"/>
  <c r="M2685" i="13"/>
  <c r="N2683" i="13"/>
  <c r="J2682" i="13" a="1"/>
  <c r="J2682" i="13" s="1"/>
  <c r="K2497" i="13" l="1"/>
  <c r="L2497" i="13" s="1"/>
  <c r="I2498" i="13" s="1"/>
  <c r="K2519" i="14"/>
  <c r="L2519" i="14" s="1"/>
  <c r="I2520" i="14" s="1"/>
  <c r="M2687" i="14"/>
  <c r="J2683" i="13" a="1"/>
  <c r="J2683" i="13" s="1"/>
  <c r="N2684" i="13"/>
  <c r="M2686" i="13"/>
  <c r="J2682" i="14" a="1"/>
  <c r="J2682" i="14" s="1"/>
  <c r="N2683" i="14"/>
  <c r="K2520" i="14" l="1"/>
  <c r="L2520" i="14" s="1"/>
  <c r="I2521" i="14" s="1"/>
  <c r="N2684" i="14"/>
  <c r="J2683" i="14" a="1"/>
  <c r="J2683" i="14" s="1"/>
  <c r="N2685" i="13"/>
  <c r="J2684" i="13" a="1"/>
  <c r="J2684" i="13" s="1"/>
  <c r="M2687" i="13"/>
  <c r="M2688" i="14"/>
  <c r="K2498" i="13"/>
  <c r="L2498" i="13" s="1"/>
  <c r="I2499" i="13" s="1"/>
  <c r="K2521" i="14" l="1"/>
  <c r="L2521" i="14" s="1"/>
  <c r="I2522" i="14" s="1"/>
  <c r="M2688" i="13"/>
  <c r="K2499" i="13"/>
  <c r="L2499" i="13" s="1"/>
  <c r="I2500" i="13" s="1"/>
  <c r="J2684" i="14" a="1"/>
  <c r="J2684" i="14" s="1"/>
  <c r="N2685" i="14"/>
  <c r="M2689" i="14"/>
  <c r="J2685" i="13" a="1"/>
  <c r="J2685" i="13" s="1"/>
  <c r="N2686" i="13"/>
  <c r="K2522" i="14" l="1"/>
  <c r="L2522" i="14" s="1"/>
  <c r="I2523" i="14" s="1"/>
  <c r="K2500" i="13"/>
  <c r="L2500" i="13" s="1"/>
  <c r="I2501" i="13" s="1"/>
  <c r="J2685" i="14" a="1"/>
  <c r="J2685" i="14" s="1"/>
  <c r="N2686" i="14"/>
  <c r="N2687" i="13"/>
  <c r="J2686" i="13" a="1"/>
  <c r="J2686" i="13" s="1"/>
  <c r="M2689" i="13"/>
  <c r="M2690" i="14"/>
  <c r="K2501" i="13" l="1"/>
  <c r="L2501" i="13" s="1"/>
  <c r="I2502" i="13" s="1"/>
  <c r="K2523" i="14"/>
  <c r="L2523" i="14" s="1"/>
  <c r="I2524" i="14" s="1"/>
  <c r="J2687" i="13" a="1"/>
  <c r="J2687" i="13" s="1"/>
  <c r="N2688" i="13"/>
  <c r="M2691" i="14"/>
  <c r="M2690" i="13"/>
  <c r="N2687" i="14"/>
  <c r="J2686" i="14" a="1"/>
  <c r="J2686" i="14" s="1"/>
  <c r="K2524" i="14" l="1"/>
  <c r="L2524" i="14" s="1"/>
  <c r="I2525" i="14" s="1"/>
  <c r="K2502" i="13"/>
  <c r="L2502" i="13" s="1"/>
  <c r="I2503" i="13" s="1"/>
  <c r="M2691" i="13"/>
  <c r="N2688" i="14"/>
  <c r="J2687" i="14" a="1"/>
  <c r="J2687" i="14" s="1"/>
  <c r="M2692" i="14"/>
  <c r="N2689" i="13"/>
  <c r="J2688" i="13" a="1"/>
  <c r="J2688" i="13" s="1"/>
  <c r="K2503" i="13" l="1"/>
  <c r="L2503" i="13" s="1"/>
  <c r="I2504" i="13" s="1"/>
  <c r="J2688" i="14" a="1"/>
  <c r="J2688" i="14" s="1"/>
  <c r="N2689" i="14"/>
  <c r="M2693" i="14"/>
  <c r="J2689" i="13" a="1"/>
  <c r="J2689" i="13" s="1"/>
  <c r="N2690" i="13"/>
  <c r="M2692" i="13"/>
  <c r="K2525" i="14"/>
  <c r="L2525" i="14" s="1"/>
  <c r="I2526" i="14" s="1"/>
  <c r="K2526" i="14" l="1"/>
  <c r="L2526" i="14" s="1"/>
  <c r="I2527" i="14" s="1"/>
  <c r="K2504" i="13"/>
  <c r="L2504" i="13" s="1"/>
  <c r="I2505" i="13" s="1"/>
  <c r="J2689" i="14" a="1"/>
  <c r="J2689" i="14" s="1"/>
  <c r="N2690" i="14"/>
  <c r="N2691" i="13"/>
  <c r="J2690" i="13" a="1"/>
  <c r="J2690" i="13" s="1"/>
  <c r="M2693" i="13"/>
  <c r="M2694" i="14"/>
  <c r="K2527" i="14" l="1"/>
  <c r="L2527" i="14" s="1"/>
  <c r="I2528" i="14" s="1"/>
  <c r="K2505" i="13"/>
  <c r="L2505" i="13" s="1"/>
  <c r="I2506" i="13" s="1"/>
  <c r="J2691" i="13" a="1"/>
  <c r="J2691" i="13" s="1"/>
  <c r="N2692" i="13"/>
  <c r="J2690" i="14" a="1"/>
  <c r="J2690" i="14" s="1"/>
  <c r="N2691" i="14"/>
  <c r="M2695" i="14"/>
  <c r="M2694" i="13"/>
  <c r="K2506" i="13" l="1"/>
  <c r="L2506" i="13" s="1"/>
  <c r="I2507" i="13" s="1"/>
  <c r="M2696" i="14"/>
  <c r="N2692" i="14"/>
  <c r="J2691" i="14" a="1"/>
  <c r="J2691" i="14" s="1"/>
  <c r="M2695" i="13"/>
  <c r="N2693" i="13"/>
  <c r="J2692" i="13" a="1"/>
  <c r="J2692" i="13" s="1"/>
  <c r="K2528" i="14"/>
  <c r="L2528" i="14" s="1"/>
  <c r="I2529" i="14" s="1"/>
  <c r="K2507" i="13" l="1"/>
  <c r="L2507" i="13" s="1"/>
  <c r="I2508" i="13" s="1"/>
  <c r="K2529" i="14"/>
  <c r="L2529" i="14" s="1"/>
  <c r="I2530" i="14" s="1"/>
  <c r="M2696" i="13"/>
  <c r="M2697" i="14"/>
  <c r="J2693" i="13" a="1"/>
  <c r="J2693" i="13" s="1"/>
  <c r="N2694" i="13"/>
  <c r="J2692" i="14" a="1"/>
  <c r="J2692" i="14" s="1"/>
  <c r="N2693" i="14"/>
  <c r="K2508" i="13" l="1"/>
  <c r="L2508" i="13" s="1"/>
  <c r="I2509" i="13" s="1"/>
  <c r="K2530" i="14"/>
  <c r="L2530" i="14" s="1"/>
  <c r="I2531" i="14" s="1"/>
  <c r="N2695" i="13"/>
  <c r="J2694" i="13" a="1"/>
  <c r="J2694" i="13" s="1"/>
  <c r="J2693" i="14" a="1"/>
  <c r="J2693" i="14" s="1"/>
  <c r="N2694" i="14"/>
  <c r="M2698" i="14"/>
  <c r="M2697" i="13"/>
  <c r="K2531" i="14" l="1"/>
  <c r="L2531" i="14" s="1"/>
  <c r="I2532" i="14" s="1"/>
  <c r="K2509" i="13"/>
  <c r="L2509" i="13" s="1"/>
  <c r="I2510" i="13" s="1"/>
  <c r="N2695" i="14"/>
  <c r="J2694" i="14" a="1"/>
  <c r="J2694" i="14" s="1"/>
  <c r="M2698" i="13"/>
  <c r="M2699" i="14"/>
  <c r="J2695" i="13" a="1"/>
  <c r="J2695" i="13" s="1"/>
  <c r="N2696" i="13"/>
  <c r="K2532" i="14" l="1"/>
  <c r="L2532" i="14" s="1"/>
  <c r="I2533" i="14" s="1"/>
  <c r="K2510" i="13"/>
  <c r="L2510" i="13" s="1"/>
  <c r="I2511" i="13" s="1"/>
  <c r="N2697" i="13"/>
  <c r="J2696" i="13" a="1"/>
  <c r="J2696" i="13" s="1"/>
  <c r="M2699" i="13"/>
  <c r="M2700" i="14"/>
  <c r="N2696" i="14"/>
  <c r="J2695" i="14" a="1"/>
  <c r="J2695" i="14" s="1"/>
  <c r="K2511" i="13" l="1"/>
  <c r="L2511" i="13" s="1"/>
  <c r="I2512" i="13" s="1"/>
  <c r="K2533" i="14"/>
  <c r="L2533" i="14" s="1"/>
  <c r="I2534" i="14" s="1"/>
  <c r="M2700" i="13"/>
  <c r="J2696" i="14" a="1"/>
  <c r="J2696" i="14" s="1"/>
  <c r="N2697" i="14"/>
  <c r="M2701" i="14"/>
  <c r="J2697" i="13" a="1"/>
  <c r="J2697" i="13" s="1"/>
  <c r="N2698" i="13"/>
  <c r="K2512" i="13" l="1"/>
  <c r="L2512" i="13" s="1"/>
  <c r="I2513" i="13" s="1"/>
  <c r="K2534" i="14"/>
  <c r="L2534" i="14" s="1"/>
  <c r="I2535" i="14" s="1"/>
  <c r="J2697" i="14" a="1"/>
  <c r="J2697" i="14" s="1"/>
  <c r="N2698" i="14"/>
  <c r="N2699" i="13"/>
  <c r="J2698" i="13" a="1"/>
  <c r="J2698" i="13" s="1"/>
  <c r="M2702" i="14"/>
  <c r="M2701" i="13"/>
  <c r="K2535" i="14" l="1"/>
  <c r="L2535" i="14" s="1"/>
  <c r="I2536" i="14" s="1"/>
  <c r="J2699" i="13" a="1"/>
  <c r="J2699" i="13" s="1"/>
  <c r="N2700" i="13"/>
  <c r="M2702" i="13"/>
  <c r="M2703" i="14"/>
  <c r="J2698" i="14" a="1"/>
  <c r="J2698" i="14" s="1"/>
  <c r="N2699" i="14"/>
  <c r="K2513" i="13"/>
  <c r="L2513" i="13" s="1"/>
  <c r="I2514" i="13" s="1"/>
  <c r="K2536" i="14" l="1"/>
  <c r="L2536" i="14" s="1"/>
  <c r="I2537" i="14" s="1"/>
  <c r="K2514" i="13"/>
  <c r="L2514" i="13" s="1"/>
  <c r="I2515" i="13" s="1"/>
  <c r="N2701" i="13"/>
  <c r="J2700" i="13" a="1"/>
  <c r="J2700" i="13" s="1"/>
  <c r="M2704" i="14"/>
  <c r="N2700" i="14"/>
  <c r="J2699" i="14" a="1"/>
  <c r="J2699" i="14" s="1"/>
  <c r="M2703" i="13"/>
  <c r="K2515" i="13" l="1"/>
  <c r="L2515" i="13" s="1"/>
  <c r="I2516" i="13" s="1"/>
  <c r="K2537" i="14"/>
  <c r="L2537" i="14" s="1"/>
  <c r="I2538" i="14" s="1"/>
  <c r="J2701" i="13" a="1"/>
  <c r="J2701" i="13" s="1"/>
  <c r="N2702" i="13"/>
  <c r="M2704" i="13"/>
  <c r="M2705" i="14"/>
  <c r="J2700" i="14" a="1"/>
  <c r="J2700" i="14" s="1"/>
  <c r="N2701" i="14"/>
  <c r="K2538" i="14" l="1"/>
  <c r="L2538" i="14" s="1"/>
  <c r="I2539" i="14" s="1"/>
  <c r="K2516" i="13"/>
  <c r="L2516" i="13" s="1"/>
  <c r="I2517" i="13" s="1"/>
  <c r="M2705" i="13"/>
  <c r="J2701" i="14" a="1"/>
  <c r="J2701" i="14" s="1"/>
  <c r="N2702" i="14"/>
  <c r="N2703" i="13"/>
  <c r="J2702" i="13" a="1"/>
  <c r="J2702" i="13" s="1"/>
  <c r="M2706" i="14"/>
  <c r="K2539" i="14" l="1"/>
  <c r="L2539" i="14" s="1"/>
  <c r="I2540" i="14" s="1"/>
  <c r="K2517" i="13"/>
  <c r="L2517" i="13" s="1"/>
  <c r="I2518" i="13" s="1"/>
  <c r="M2707" i="14"/>
  <c r="N2703" i="14"/>
  <c r="J2702" i="14" a="1"/>
  <c r="J2702" i="14" s="1"/>
  <c r="M2706" i="13"/>
  <c r="J2703" i="13" a="1"/>
  <c r="J2703" i="13" s="1"/>
  <c r="N2704" i="13"/>
  <c r="K2518" i="13" l="1"/>
  <c r="L2518" i="13" s="1"/>
  <c r="I2519" i="13" s="1"/>
  <c r="K2540" i="14"/>
  <c r="L2540" i="14" s="1"/>
  <c r="I2541" i="14" s="1"/>
  <c r="N2704" i="14"/>
  <c r="J2703" i="14" a="1"/>
  <c r="J2703" i="14" s="1"/>
  <c r="N2705" i="13"/>
  <c r="J2704" i="13" a="1"/>
  <c r="J2704" i="13" s="1"/>
  <c r="M2707" i="13"/>
  <c r="M2708" i="14"/>
  <c r="K2541" i="14" l="1"/>
  <c r="L2541" i="14" s="1"/>
  <c r="I2542" i="14" s="1"/>
  <c r="K2519" i="13"/>
  <c r="L2519" i="13" s="1"/>
  <c r="I2520" i="13" s="1"/>
  <c r="M2709" i="14"/>
  <c r="J2705" i="13" a="1"/>
  <c r="J2705" i="13" s="1"/>
  <c r="N2706" i="13"/>
  <c r="M2708" i="13"/>
  <c r="J2704" i="14" a="1"/>
  <c r="J2704" i="14" s="1"/>
  <c r="N2705" i="14"/>
  <c r="K2520" i="13" l="1"/>
  <c r="L2520" i="13" s="1"/>
  <c r="I2521" i="13" s="1"/>
  <c r="J2705" i="14" a="1"/>
  <c r="J2705" i="14" s="1"/>
  <c r="N2706" i="14"/>
  <c r="N2707" i="13"/>
  <c r="J2706" i="13" a="1"/>
  <c r="J2706" i="13" s="1"/>
  <c r="M2709" i="13"/>
  <c r="M2710" i="14"/>
  <c r="K2542" i="14"/>
  <c r="L2542" i="14" s="1"/>
  <c r="I2543" i="14" s="1"/>
  <c r="K2543" i="14" l="1"/>
  <c r="L2543" i="14" s="1"/>
  <c r="I2544" i="14" s="1"/>
  <c r="K2521" i="13"/>
  <c r="L2521" i="13" s="1"/>
  <c r="I2522" i="13" s="1"/>
  <c r="M2710" i="13"/>
  <c r="J2706" i="14" a="1"/>
  <c r="J2706" i="14" s="1"/>
  <c r="N2707" i="14"/>
  <c r="M2711" i="14"/>
  <c r="J2707" i="13" a="1"/>
  <c r="J2707" i="13" s="1"/>
  <c r="N2708" i="13"/>
  <c r="K2544" i="14" l="1"/>
  <c r="L2544" i="14" s="1"/>
  <c r="I2545" i="14" s="1"/>
  <c r="N2709" i="13"/>
  <c r="J2708" i="13" a="1"/>
  <c r="J2708" i="13" s="1"/>
  <c r="N2708" i="14"/>
  <c r="J2707" i="14" a="1"/>
  <c r="J2707" i="14" s="1"/>
  <c r="K2522" i="13"/>
  <c r="L2522" i="13" s="1"/>
  <c r="I2523" i="13" s="1"/>
  <c r="M2712" i="14"/>
  <c r="M2711" i="13"/>
  <c r="K2545" i="14" l="1"/>
  <c r="L2545" i="14" s="1"/>
  <c r="I2546" i="14" s="1"/>
  <c r="M2712" i="13"/>
  <c r="K2523" i="13"/>
  <c r="L2523" i="13" s="1"/>
  <c r="I2524" i="13" s="1"/>
  <c r="J2709" i="13" a="1"/>
  <c r="J2709" i="13" s="1"/>
  <c r="N2710" i="13"/>
  <c r="M2713" i="14"/>
  <c r="J2708" i="14" a="1"/>
  <c r="J2708" i="14" s="1"/>
  <c r="N2709" i="14"/>
  <c r="K2524" i="13" l="1"/>
  <c r="L2524" i="13" s="1"/>
  <c r="I2525" i="13" s="1"/>
  <c r="K2546" i="14"/>
  <c r="L2546" i="14" s="1"/>
  <c r="I2547" i="14" s="1"/>
  <c r="N2711" i="13"/>
  <c r="J2710" i="13" a="1"/>
  <c r="J2710" i="13" s="1"/>
  <c r="M2713" i="13"/>
  <c r="M2714" i="14"/>
  <c r="J2709" i="14" a="1"/>
  <c r="J2709" i="14" s="1"/>
  <c r="N2710" i="14"/>
  <c r="K2525" i="13" l="1"/>
  <c r="L2525" i="13" s="1"/>
  <c r="I2526" i="13" s="1"/>
  <c r="N2711" i="14"/>
  <c r="J2710" i="14" a="1"/>
  <c r="J2710" i="14" s="1"/>
  <c r="M2714" i="13"/>
  <c r="K2547" i="14"/>
  <c r="L2547" i="14" s="1"/>
  <c r="I2548" i="14" s="1"/>
  <c r="M2715" i="14"/>
  <c r="J2711" i="13" a="1"/>
  <c r="J2711" i="13" s="1"/>
  <c r="N2712" i="13"/>
  <c r="K2526" i="13" l="1"/>
  <c r="L2526" i="13" s="1"/>
  <c r="I2527" i="13" s="1"/>
  <c r="K2548" i="14"/>
  <c r="L2548" i="14" s="1"/>
  <c r="I2549" i="14" s="1"/>
  <c r="N2713" i="13"/>
  <c r="J2712" i="13" a="1"/>
  <c r="J2712" i="13" s="1"/>
  <c r="N2712" i="14"/>
  <c r="J2711" i="14" a="1"/>
  <c r="J2711" i="14" s="1"/>
  <c r="M2716" i="14"/>
  <c r="M2715" i="13"/>
  <c r="K2549" i="14" l="1"/>
  <c r="L2549" i="14" s="1"/>
  <c r="I2550" i="14" s="1"/>
  <c r="K2527" i="13"/>
  <c r="L2527" i="13" s="1"/>
  <c r="I2528" i="13" s="1"/>
  <c r="J2712" i="14" a="1"/>
  <c r="J2712" i="14" s="1"/>
  <c r="N2713" i="14"/>
  <c r="M2716" i="13"/>
  <c r="M2717" i="14"/>
  <c r="J2713" i="13" a="1"/>
  <c r="J2713" i="13" s="1"/>
  <c r="N2714" i="13"/>
  <c r="K2550" i="14" l="1"/>
  <c r="L2550" i="14" s="1"/>
  <c r="I2551" i="14" s="1"/>
  <c r="N2715" i="13"/>
  <c r="J2714" i="13" a="1"/>
  <c r="J2714" i="13" s="1"/>
  <c r="M2717" i="13"/>
  <c r="K2528" i="13"/>
  <c r="L2528" i="13" s="1"/>
  <c r="I2529" i="13" s="1"/>
  <c r="J2713" i="14" a="1"/>
  <c r="J2713" i="14" s="1"/>
  <c r="N2714" i="14"/>
  <c r="M2718" i="14"/>
  <c r="K2529" i="13" l="1"/>
  <c r="L2529" i="13" s="1"/>
  <c r="I2530" i="13" s="1"/>
  <c r="K2551" i="14"/>
  <c r="L2551" i="14" s="1"/>
  <c r="I2552" i="14" s="1"/>
  <c r="J2715" i="13" a="1"/>
  <c r="J2715" i="13" s="1"/>
  <c r="N2716" i="13"/>
  <c r="M2719" i="14"/>
  <c r="J2714" i="14" a="1"/>
  <c r="J2714" i="14" s="1"/>
  <c r="N2715" i="14"/>
  <c r="M2718" i="13"/>
  <c r="K2530" i="13" l="1"/>
  <c r="L2530" i="13" s="1"/>
  <c r="I2531" i="13" s="1"/>
  <c r="K2552" i="14"/>
  <c r="L2552" i="14" s="1"/>
  <c r="I2553" i="14" s="1"/>
  <c r="M2719" i="13"/>
  <c r="M2720" i="14"/>
  <c r="N2717" i="13"/>
  <c r="J2716" i="13" a="1"/>
  <c r="J2716" i="13" s="1"/>
  <c r="N2716" i="14"/>
  <c r="J2715" i="14" a="1"/>
  <c r="J2715" i="14" s="1"/>
  <c r="K2531" i="13" l="1"/>
  <c r="L2531" i="13" s="1"/>
  <c r="I2532" i="13" s="1"/>
  <c r="K2553" i="14"/>
  <c r="L2553" i="14" s="1"/>
  <c r="I2554" i="14" s="1"/>
  <c r="J2716" i="14" a="1"/>
  <c r="J2716" i="14" s="1"/>
  <c r="N2717" i="14"/>
  <c r="M2721" i="14"/>
  <c r="M2720" i="13"/>
  <c r="J2717" i="13" a="1"/>
  <c r="J2717" i="13" s="1"/>
  <c r="N2718" i="13"/>
  <c r="K2554" i="14" l="1"/>
  <c r="L2554" i="14" s="1"/>
  <c r="I2555" i="14" s="1"/>
  <c r="K2532" i="13"/>
  <c r="L2532" i="13" s="1"/>
  <c r="I2533" i="13" s="1"/>
  <c r="M2721" i="13"/>
  <c r="N2719" i="13"/>
  <c r="J2718" i="13" a="1"/>
  <c r="J2718" i="13" s="1"/>
  <c r="M2722" i="14"/>
  <c r="J2717" i="14" a="1"/>
  <c r="J2717" i="14" s="1"/>
  <c r="N2718" i="14"/>
  <c r="K2533" i="13" l="1"/>
  <c r="L2533" i="13" s="1"/>
  <c r="I2534" i="13" s="1"/>
  <c r="K2555" i="14"/>
  <c r="L2555" i="14" s="1"/>
  <c r="I2556" i="14" s="1"/>
  <c r="J2719" i="13" a="1"/>
  <c r="J2719" i="13" s="1"/>
  <c r="N2720" i="13"/>
  <c r="N2719" i="14"/>
  <c r="J2718" i="14" a="1"/>
  <c r="J2718" i="14" s="1"/>
  <c r="M2723" i="14"/>
  <c r="M2722" i="13"/>
  <c r="K2556" i="14" l="1"/>
  <c r="L2556" i="14" s="1"/>
  <c r="I2557" i="14" s="1"/>
  <c r="K2534" i="13"/>
  <c r="L2534" i="13" s="1"/>
  <c r="I2535" i="13" s="1"/>
  <c r="M2723" i="13"/>
  <c r="N2720" i="14"/>
  <c r="J2719" i="14" a="1"/>
  <c r="J2719" i="14" s="1"/>
  <c r="N2721" i="13"/>
  <c r="J2720" i="13" a="1"/>
  <c r="J2720" i="13" s="1"/>
  <c r="M2724" i="14"/>
  <c r="K2557" i="14" l="1"/>
  <c r="L2557" i="14" s="1"/>
  <c r="I2558" i="14" s="1"/>
  <c r="J2720" i="14" a="1"/>
  <c r="J2720" i="14" s="1"/>
  <c r="N2721" i="14"/>
  <c r="K2535" i="13"/>
  <c r="L2535" i="13" s="1"/>
  <c r="I2536" i="13" s="1"/>
  <c r="M2724" i="13"/>
  <c r="M2725" i="14"/>
  <c r="J2721" i="13" a="1"/>
  <c r="J2721" i="13" s="1"/>
  <c r="N2722" i="13"/>
  <c r="K2536" i="13" l="1"/>
  <c r="L2536" i="13" s="1"/>
  <c r="I2537" i="13" s="1"/>
  <c r="K2558" i="14"/>
  <c r="L2558" i="14" s="1"/>
  <c r="I2559" i="14" s="1"/>
  <c r="J2721" i="14" a="1"/>
  <c r="J2721" i="14" s="1"/>
  <c r="N2722" i="14"/>
  <c r="N2723" i="13"/>
  <c r="J2722" i="13" a="1"/>
  <c r="J2722" i="13" s="1"/>
  <c r="M2725" i="13"/>
  <c r="M2726" i="14"/>
  <c r="K2559" i="14" l="1"/>
  <c r="L2559" i="14" s="1"/>
  <c r="I2560" i="14" s="1"/>
  <c r="K2537" i="13"/>
  <c r="L2537" i="13" s="1"/>
  <c r="I2538" i="13" s="1"/>
  <c r="J2723" i="13" a="1"/>
  <c r="J2723" i="13" s="1"/>
  <c r="N2724" i="13"/>
  <c r="M2727" i="14"/>
  <c r="M2726" i="13"/>
  <c r="J2722" i="14" a="1"/>
  <c r="J2722" i="14" s="1"/>
  <c r="N2723" i="14"/>
  <c r="K2538" i="13" l="1"/>
  <c r="L2538" i="13" s="1"/>
  <c r="I2539" i="13" s="1"/>
  <c r="K2560" i="14"/>
  <c r="L2560" i="14" s="1"/>
  <c r="I2561" i="14" s="1"/>
  <c r="N2724" i="14"/>
  <c r="J2723" i="14" a="1"/>
  <c r="J2723" i="14" s="1"/>
  <c r="M2727" i="13"/>
  <c r="M2728" i="14"/>
  <c r="N2725" i="13"/>
  <c r="J2724" i="13" a="1"/>
  <c r="J2724" i="13" s="1"/>
  <c r="K2561" i="14" l="1"/>
  <c r="L2561" i="14" s="1"/>
  <c r="I2562" i="14" s="1"/>
  <c r="K2539" i="13"/>
  <c r="L2539" i="13" s="1"/>
  <c r="I2540" i="13" s="1"/>
  <c r="M2728" i="13"/>
  <c r="J2725" i="13" a="1"/>
  <c r="J2725" i="13" s="1"/>
  <c r="N2726" i="13"/>
  <c r="M2729" i="14"/>
  <c r="J2724" i="14" a="1"/>
  <c r="J2724" i="14" s="1"/>
  <c r="N2725" i="14"/>
  <c r="K2562" i="14" l="1"/>
  <c r="L2562" i="14" s="1"/>
  <c r="I2563" i="14" s="1"/>
  <c r="K2540" i="13"/>
  <c r="L2540" i="13" s="1"/>
  <c r="I2541" i="13" s="1"/>
  <c r="J2725" i="14" a="1"/>
  <c r="J2725" i="14" s="1"/>
  <c r="N2726" i="14"/>
  <c r="M2730" i="14"/>
  <c r="N2727" i="13"/>
  <c r="J2726" i="13" a="1"/>
  <c r="J2726" i="13" s="1"/>
  <c r="M2729" i="13"/>
  <c r="K2563" i="14" l="1"/>
  <c r="L2563" i="14" s="1"/>
  <c r="I2564" i="14" s="1"/>
  <c r="J2727" i="13" a="1"/>
  <c r="J2727" i="13" s="1"/>
  <c r="N2728" i="13"/>
  <c r="M2730" i="13"/>
  <c r="M2731" i="14"/>
  <c r="K2541" i="13"/>
  <c r="L2541" i="13" s="1"/>
  <c r="I2542" i="13" s="1"/>
  <c r="N2727" i="14"/>
  <c r="J2726" i="14" a="1"/>
  <c r="J2726" i="14" s="1"/>
  <c r="K2564" i="14" l="1"/>
  <c r="L2564" i="14" s="1"/>
  <c r="I2565" i="14" s="1"/>
  <c r="K2542" i="13"/>
  <c r="L2542" i="13" s="1"/>
  <c r="I2543" i="13" s="1"/>
  <c r="N2729" i="13"/>
  <c r="J2728" i="13" a="1"/>
  <c r="J2728" i="13" s="1"/>
  <c r="N2728" i="14"/>
  <c r="J2727" i="14" a="1"/>
  <c r="J2727" i="14" s="1"/>
  <c r="M2732" i="14"/>
  <c r="M2731" i="13"/>
  <c r="K2565" i="14" l="1"/>
  <c r="L2565" i="14" s="1"/>
  <c r="I2566" i="14" s="1"/>
  <c r="K2543" i="13"/>
  <c r="L2543" i="13" s="1"/>
  <c r="I2544" i="13" s="1"/>
  <c r="J2729" i="13" a="1"/>
  <c r="J2729" i="13" s="1"/>
  <c r="N2730" i="13"/>
  <c r="M2732" i="13"/>
  <c r="J2728" i="14" a="1"/>
  <c r="J2728" i="14" s="1"/>
  <c r="N2729" i="14"/>
  <c r="M2733" i="14"/>
  <c r="K2544" i="13" l="1"/>
  <c r="L2544" i="13" s="1"/>
  <c r="I2545" i="13" s="1"/>
  <c r="K2566" i="14"/>
  <c r="L2566" i="14" s="1"/>
  <c r="I2567" i="14" s="1"/>
  <c r="J2729" i="14" a="1"/>
  <c r="J2729" i="14" s="1"/>
  <c r="N2730" i="14"/>
  <c r="M2734" i="14"/>
  <c r="M2733" i="13"/>
  <c r="N2731" i="13"/>
  <c r="J2730" i="13" a="1"/>
  <c r="J2730" i="13" s="1"/>
  <c r="K2567" i="14" l="1"/>
  <c r="L2567" i="14" s="1"/>
  <c r="I2568" i="14" s="1"/>
  <c r="K2545" i="13"/>
  <c r="L2545" i="13" s="1"/>
  <c r="I2546" i="13" s="1"/>
  <c r="M2735" i="14"/>
  <c r="J2731" i="13" a="1"/>
  <c r="J2731" i="13" s="1"/>
  <c r="N2732" i="13"/>
  <c r="J2730" i="14" a="1"/>
  <c r="J2730" i="14" s="1"/>
  <c r="N2731" i="14"/>
  <c r="M2734" i="13"/>
  <c r="K2546" i="13" l="1"/>
  <c r="L2546" i="13" s="1"/>
  <c r="I2547" i="13" s="1"/>
  <c r="K2568" i="14"/>
  <c r="L2568" i="14" s="1"/>
  <c r="I2569" i="14" s="1"/>
  <c r="N2733" i="13"/>
  <c r="J2732" i="13" a="1"/>
  <c r="J2732" i="13" s="1"/>
  <c r="N2732" i="14"/>
  <c r="J2731" i="14" a="1"/>
  <c r="J2731" i="14" s="1"/>
  <c r="M2735" i="13"/>
  <c r="M2736" i="14"/>
  <c r="K2569" i="14" l="1"/>
  <c r="L2569" i="14" s="1"/>
  <c r="I2570" i="14" s="1"/>
  <c r="K2547" i="13"/>
  <c r="L2547" i="13" s="1"/>
  <c r="I2548" i="13" s="1"/>
  <c r="J2732" i="14" a="1"/>
  <c r="J2732" i="14" s="1"/>
  <c r="N2733" i="14"/>
  <c r="M2737" i="14"/>
  <c r="M2736" i="13"/>
  <c r="J2733" i="13" a="1"/>
  <c r="J2733" i="13" s="1"/>
  <c r="N2734" i="13"/>
  <c r="K2548" i="13" l="1"/>
  <c r="L2548" i="13" s="1"/>
  <c r="I2549" i="13" s="1"/>
  <c r="K2570" i="14"/>
  <c r="L2570" i="14" s="1"/>
  <c r="I2571" i="14" s="1"/>
  <c r="M2737" i="13"/>
  <c r="M2738" i="14"/>
  <c r="N2735" i="13"/>
  <c r="J2734" i="13" a="1"/>
  <c r="J2734" i="13" s="1"/>
  <c r="J2733" i="14" a="1"/>
  <c r="J2733" i="14" s="1"/>
  <c r="N2734" i="14"/>
  <c r="K2571" i="14" l="1"/>
  <c r="L2571" i="14" s="1"/>
  <c r="I2572" i="14" s="1"/>
  <c r="K2549" i="13"/>
  <c r="L2549" i="13" s="1"/>
  <c r="I2550" i="13" s="1"/>
  <c r="N2735" i="14"/>
  <c r="J2734" i="14" a="1"/>
  <c r="J2734" i="14" s="1"/>
  <c r="M2739" i="14"/>
  <c r="M2738" i="13"/>
  <c r="J2735" i="13" a="1"/>
  <c r="J2735" i="13" s="1"/>
  <c r="N2736" i="13"/>
  <c r="K2572" i="14" l="1"/>
  <c r="L2572" i="14" s="1"/>
  <c r="I2573" i="14" s="1"/>
  <c r="K2550" i="13"/>
  <c r="L2550" i="13" s="1"/>
  <c r="I2551" i="13" s="1"/>
  <c r="N2737" i="13"/>
  <c r="J2736" i="13" a="1"/>
  <c r="J2736" i="13" s="1"/>
  <c r="M2740" i="14"/>
  <c r="M2739" i="13"/>
  <c r="N2736" i="14"/>
  <c r="J2735" i="14" a="1"/>
  <c r="J2735" i="14" s="1"/>
  <c r="K2551" i="13" l="1"/>
  <c r="L2551" i="13" s="1"/>
  <c r="I2552" i="13" s="1"/>
  <c r="K2573" i="14"/>
  <c r="L2573" i="14" s="1"/>
  <c r="I2574" i="14" s="1"/>
  <c r="J2736" i="14" a="1"/>
  <c r="J2736" i="14" s="1"/>
  <c r="N2737" i="14"/>
  <c r="M2741" i="14"/>
  <c r="M2740" i="13"/>
  <c r="J2737" i="13" a="1"/>
  <c r="J2737" i="13" s="1"/>
  <c r="N2738" i="13"/>
  <c r="K2574" i="14" l="1"/>
  <c r="L2574" i="14" s="1"/>
  <c r="I2575" i="14" s="1"/>
  <c r="K2552" i="13"/>
  <c r="L2552" i="13" s="1"/>
  <c r="I2553" i="13" s="1"/>
  <c r="M2742" i="14"/>
  <c r="N2739" i="13"/>
  <c r="J2738" i="13" a="1"/>
  <c r="J2738" i="13" s="1"/>
  <c r="J2737" i="14" a="1"/>
  <c r="J2737" i="14" s="1"/>
  <c r="N2738" i="14"/>
  <c r="M2741" i="13"/>
  <c r="K2553" i="13" l="1"/>
  <c r="L2553" i="13" s="1"/>
  <c r="I2554" i="13" s="1"/>
  <c r="M2742" i="13"/>
  <c r="J2739" i="13" a="1"/>
  <c r="J2739" i="13" s="1"/>
  <c r="N2740" i="13"/>
  <c r="J2738" i="14" a="1"/>
  <c r="J2738" i="14" s="1"/>
  <c r="N2739" i="14"/>
  <c r="M2743" i="14"/>
  <c r="K2575" i="14"/>
  <c r="L2575" i="14" s="1"/>
  <c r="I2576" i="14" s="1"/>
  <c r="K2554" i="13" l="1"/>
  <c r="L2554" i="13" s="1"/>
  <c r="I2555" i="13" s="1"/>
  <c r="K2576" i="14"/>
  <c r="L2576" i="14" s="1"/>
  <c r="I2577" i="14" s="1"/>
  <c r="N2740" i="14"/>
  <c r="J2739" i="14" a="1"/>
  <c r="J2739" i="14" s="1"/>
  <c r="M2743" i="13"/>
  <c r="N2741" i="13"/>
  <c r="J2740" i="13" a="1"/>
  <c r="J2740" i="13" s="1"/>
  <c r="M2744" i="14"/>
  <c r="K2577" i="14" l="1"/>
  <c r="L2577" i="14" s="1"/>
  <c r="I2578" i="14" s="1"/>
  <c r="M2744" i="13"/>
  <c r="M2745" i="14"/>
  <c r="J2741" i="13" a="1"/>
  <c r="J2741" i="13" s="1"/>
  <c r="N2742" i="13"/>
  <c r="J2740" i="14" a="1"/>
  <c r="J2740" i="14" s="1"/>
  <c r="N2741" i="14"/>
  <c r="K2555" i="13"/>
  <c r="L2555" i="13" s="1"/>
  <c r="I2556" i="13" s="1"/>
  <c r="K2556" i="13" l="1"/>
  <c r="L2556" i="13" s="1"/>
  <c r="I2557" i="13" s="1"/>
  <c r="K2578" i="14"/>
  <c r="L2578" i="14" s="1"/>
  <c r="I2579" i="14" s="1"/>
  <c r="N2743" i="13"/>
  <c r="J2742" i="13" a="1"/>
  <c r="J2742" i="13" s="1"/>
  <c r="M2745" i="13"/>
  <c r="J2741" i="14" a="1"/>
  <c r="J2741" i="14" s="1"/>
  <c r="N2742" i="14"/>
  <c r="M2746" i="14"/>
  <c r="K2579" i="14" l="1"/>
  <c r="L2579" i="14" s="1"/>
  <c r="I2580" i="14" s="1"/>
  <c r="M2747" i="14"/>
  <c r="M2746" i="13"/>
  <c r="N2743" i="14"/>
  <c r="J2742" i="14" a="1"/>
  <c r="J2742" i="14" s="1"/>
  <c r="J2743" i="13" a="1"/>
  <c r="J2743" i="13" s="1"/>
  <c r="N2744" i="13"/>
  <c r="K2557" i="13"/>
  <c r="L2557" i="13" s="1"/>
  <c r="I2558" i="13" s="1"/>
  <c r="K2580" i="14" l="1"/>
  <c r="L2580" i="14" s="1"/>
  <c r="I2581" i="14" s="1"/>
  <c r="K2558" i="13"/>
  <c r="L2558" i="13" s="1"/>
  <c r="I2559" i="13" s="1"/>
  <c r="N2744" i="14"/>
  <c r="J2743" i="14" a="1"/>
  <c r="J2743" i="14" s="1"/>
  <c r="M2748" i="14"/>
  <c r="N2745" i="13"/>
  <c r="J2744" i="13" a="1"/>
  <c r="J2744" i="13" s="1"/>
  <c r="M2747" i="13"/>
  <c r="K2559" i="13" l="1"/>
  <c r="L2559" i="13" s="1"/>
  <c r="I2560" i="13" s="1"/>
  <c r="K2581" i="14"/>
  <c r="L2581" i="14" s="1"/>
  <c r="I2582" i="14" s="1"/>
  <c r="J2745" i="13" a="1"/>
  <c r="J2745" i="13" s="1"/>
  <c r="N2746" i="13"/>
  <c r="J2744" i="14" a="1"/>
  <c r="J2744" i="14" s="1"/>
  <c r="N2745" i="14"/>
  <c r="M2748" i="13"/>
  <c r="M2749" i="14"/>
  <c r="K2560" i="13" l="1"/>
  <c r="L2560" i="13" s="1"/>
  <c r="I2561" i="13" s="1"/>
  <c r="K2582" i="14"/>
  <c r="L2582" i="14" s="1"/>
  <c r="I2583" i="14" s="1"/>
  <c r="J2745" i="14" a="1"/>
  <c r="J2745" i="14" s="1"/>
  <c r="N2746" i="14"/>
  <c r="M2750" i="14"/>
  <c r="N2747" i="13"/>
  <c r="J2746" i="13" a="1"/>
  <c r="J2746" i="13" s="1"/>
  <c r="M2749" i="13"/>
  <c r="K2561" i="13" l="1"/>
  <c r="L2561" i="13" s="1"/>
  <c r="I2562" i="13" s="1"/>
  <c r="K2583" i="14"/>
  <c r="L2583" i="14" s="1"/>
  <c r="I2584" i="14" s="1"/>
  <c r="M2750" i="13"/>
  <c r="M2751" i="14"/>
  <c r="J2746" i="14" a="1"/>
  <c r="J2746" i="14" s="1"/>
  <c r="N2747" i="14"/>
  <c r="J2747" i="13" a="1"/>
  <c r="J2747" i="13" s="1"/>
  <c r="N2748" i="13"/>
  <c r="K2562" i="13" l="1"/>
  <c r="L2562" i="13" s="1"/>
  <c r="I2563" i="13" s="1"/>
  <c r="K2584" i="14"/>
  <c r="L2584" i="14" s="1"/>
  <c r="I2585" i="14" s="1"/>
  <c r="M2752" i="14"/>
  <c r="N2749" i="13"/>
  <c r="J2748" i="13" a="1"/>
  <c r="J2748" i="13" s="1"/>
  <c r="N2748" i="14"/>
  <c r="J2747" i="14" a="1"/>
  <c r="J2747" i="14" s="1"/>
  <c r="M2751" i="13"/>
  <c r="K2563" i="13" l="1"/>
  <c r="L2563" i="13" s="1"/>
  <c r="I2564" i="13" s="1"/>
  <c r="K2585" i="14"/>
  <c r="L2585" i="14" s="1"/>
  <c r="I2586" i="14" s="1"/>
  <c r="M2752" i="13"/>
  <c r="J2749" i="13" a="1"/>
  <c r="J2749" i="13" s="1"/>
  <c r="N2750" i="13"/>
  <c r="J2748" i="14" a="1"/>
  <c r="J2748" i="14" s="1"/>
  <c r="N2749" i="14"/>
  <c r="M2753" i="14"/>
  <c r="K2586" i="14" l="1"/>
  <c r="L2586" i="14" s="1"/>
  <c r="I2587" i="14" s="1"/>
  <c r="M2754" i="14"/>
  <c r="N2751" i="13"/>
  <c r="J2750" i="13" a="1"/>
  <c r="J2750" i="13" s="1"/>
  <c r="J2749" i="14" a="1"/>
  <c r="J2749" i="14" s="1"/>
  <c r="N2750" i="14"/>
  <c r="M2753" i="13"/>
  <c r="K2564" i="13"/>
  <c r="L2564" i="13" s="1"/>
  <c r="I2565" i="13" s="1"/>
  <c r="K2587" i="14" l="1"/>
  <c r="L2587" i="14" s="1"/>
  <c r="I2588" i="14" s="1"/>
  <c r="K2565" i="13"/>
  <c r="L2565" i="13" s="1"/>
  <c r="I2566" i="13" s="1"/>
  <c r="M2755" i="14"/>
  <c r="N2751" i="14"/>
  <c r="J2750" i="14" a="1"/>
  <c r="J2750" i="14" s="1"/>
  <c r="M2754" i="13"/>
  <c r="J2751" i="13" a="1"/>
  <c r="J2751" i="13" s="1"/>
  <c r="N2752" i="13"/>
  <c r="K2588" i="14" l="1"/>
  <c r="L2588" i="14" s="1"/>
  <c r="I2589" i="14" s="1"/>
  <c r="K2566" i="13"/>
  <c r="L2566" i="13" s="1"/>
  <c r="I2567" i="13" s="1"/>
  <c r="N2752" i="14"/>
  <c r="J2751" i="14" a="1"/>
  <c r="J2751" i="14" s="1"/>
  <c r="N2753" i="13"/>
  <c r="J2752" i="13" a="1"/>
  <c r="J2752" i="13" s="1"/>
  <c r="M2755" i="13"/>
  <c r="M2756" i="14"/>
  <c r="K2589" i="14" l="1"/>
  <c r="L2589" i="14" s="1"/>
  <c r="I2590" i="14" s="1"/>
  <c r="K2567" i="13"/>
  <c r="L2567" i="13" s="1"/>
  <c r="I2568" i="13" s="1"/>
  <c r="M2757" i="14"/>
  <c r="J2753" i="13" a="1"/>
  <c r="J2753" i="13" s="1"/>
  <c r="N2754" i="13"/>
  <c r="M2756" i="13"/>
  <c r="J2752" i="14" a="1"/>
  <c r="J2752" i="14" s="1"/>
  <c r="N2753" i="14"/>
  <c r="K2590" i="14" l="1"/>
  <c r="L2590" i="14" s="1"/>
  <c r="I2591" i="14" s="1"/>
  <c r="K2568" i="13"/>
  <c r="L2568" i="13" s="1"/>
  <c r="I2569" i="13" s="1"/>
  <c r="J2753" i="14" a="1"/>
  <c r="J2753" i="14" s="1"/>
  <c r="N2754" i="14"/>
  <c r="N2755" i="13"/>
  <c r="J2754" i="13" a="1"/>
  <c r="J2754" i="13" s="1"/>
  <c r="M2757" i="13"/>
  <c r="M2758" i="14"/>
  <c r="K2569" i="13" l="1"/>
  <c r="L2569" i="13" s="1"/>
  <c r="I2570" i="13" s="1"/>
  <c r="K2591" i="14"/>
  <c r="L2591" i="14" s="1"/>
  <c r="I2592" i="14" s="1"/>
  <c r="M2759" i="14"/>
  <c r="J2755" i="13" a="1"/>
  <c r="J2755" i="13" s="1"/>
  <c r="N2756" i="13"/>
  <c r="M2758" i="13"/>
  <c r="J2754" i="14" a="1"/>
  <c r="J2754" i="14" s="1"/>
  <c r="N2755" i="14"/>
  <c r="K2592" i="14" l="1"/>
  <c r="L2592" i="14" s="1"/>
  <c r="I2593" i="14" s="1"/>
  <c r="K2570" i="13"/>
  <c r="L2570" i="13" s="1"/>
  <c r="I2571" i="13" s="1"/>
  <c r="N2756" i="14"/>
  <c r="J2755" i="14" a="1"/>
  <c r="J2755" i="14" s="1"/>
  <c r="N2757" i="13"/>
  <c r="J2756" i="13" a="1"/>
  <c r="J2756" i="13" s="1"/>
  <c r="M2759" i="13"/>
  <c r="M2760" i="14"/>
  <c r="K2571" i="13" l="1"/>
  <c r="L2571" i="13" s="1"/>
  <c r="I2572" i="13" s="1"/>
  <c r="K2593" i="14"/>
  <c r="L2593" i="14" s="1"/>
  <c r="I2594" i="14" s="1"/>
  <c r="M2761" i="14"/>
  <c r="J2757" i="13" a="1"/>
  <c r="J2757" i="13" s="1"/>
  <c r="N2758" i="13"/>
  <c r="M2760" i="13"/>
  <c r="J2756" i="14" a="1"/>
  <c r="J2756" i="14" s="1"/>
  <c r="N2757" i="14"/>
  <c r="K2572" i="13" l="1"/>
  <c r="L2572" i="13" s="1"/>
  <c r="I2573" i="13" s="1"/>
  <c r="K2594" i="14"/>
  <c r="L2594" i="14" s="1"/>
  <c r="I2595" i="14" s="1"/>
  <c r="N2759" i="13"/>
  <c r="J2758" i="13" a="1"/>
  <c r="J2758" i="13" s="1"/>
  <c r="J2757" i="14" a="1"/>
  <c r="J2757" i="14" s="1"/>
  <c r="N2758" i="14"/>
  <c r="M2762" i="14"/>
  <c r="M2761" i="13"/>
  <c r="K2573" i="13" l="1"/>
  <c r="L2573" i="13" s="1"/>
  <c r="I2574" i="13" s="1"/>
  <c r="K2595" i="14"/>
  <c r="L2595" i="14" s="1"/>
  <c r="I2596" i="14" s="1"/>
  <c r="M2763" i="14"/>
  <c r="M2762" i="13"/>
  <c r="N2759" i="14"/>
  <c r="J2758" i="14" a="1"/>
  <c r="J2758" i="14" s="1"/>
  <c r="J2759" i="13" a="1"/>
  <c r="J2759" i="13" s="1"/>
  <c r="N2760" i="13"/>
  <c r="K2574" i="13" l="1"/>
  <c r="L2574" i="13" s="1"/>
  <c r="I2575" i="13" s="1"/>
  <c r="N2761" i="13"/>
  <c r="J2760" i="13" a="1"/>
  <c r="J2760" i="13" s="1"/>
  <c r="M2763" i="13"/>
  <c r="K2596" i="14"/>
  <c r="L2596" i="14" s="1"/>
  <c r="I2597" i="14" s="1"/>
  <c r="N2760" i="14"/>
  <c r="J2759" i="14" a="1"/>
  <c r="J2759" i="14" s="1"/>
  <c r="M2764" i="14"/>
  <c r="K2575" i="13" l="1"/>
  <c r="L2575" i="13" s="1"/>
  <c r="I2576" i="13" s="1"/>
  <c r="K2597" i="14"/>
  <c r="L2597" i="14" s="1"/>
  <c r="I2598" i="14" s="1"/>
  <c r="J2761" i="13" a="1"/>
  <c r="J2761" i="13" s="1"/>
  <c r="N2762" i="13"/>
  <c r="M2764" i="13"/>
  <c r="M2765" i="14"/>
  <c r="J2760" i="14" a="1"/>
  <c r="J2760" i="14" s="1"/>
  <c r="N2761" i="14"/>
  <c r="K2576" i="13" l="1"/>
  <c r="L2576" i="13" s="1"/>
  <c r="I2577" i="13" s="1"/>
  <c r="M2766" i="14"/>
  <c r="J2761" i="14" a="1"/>
  <c r="J2761" i="14" s="1"/>
  <c r="N2762" i="14"/>
  <c r="M2765" i="13"/>
  <c r="K2598" i="14"/>
  <c r="L2598" i="14" s="1"/>
  <c r="I2599" i="14" s="1"/>
  <c r="N2763" i="13"/>
  <c r="J2762" i="13" a="1"/>
  <c r="J2762" i="13" s="1"/>
  <c r="K2599" i="14" l="1"/>
  <c r="L2599" i="14" s="1"/>
  <c r="I2600" i="14" s="1"/>
  <c r="K2577" i="13"/>
  <c r="L2577" i="13" s="1"/>
  <c r="I2578" i="13" s="1"/>
  <c r="M2766" i="13"/>
  <c r="M2767" i="14"/>
  <c r="J2763" i="13" a="1"/>
  <c r="J2763" i="13" s="1"/>
  <c r="N2764" i="13"/>
  <c r="N2763" i="14"/>
  <c r="J2762" i="14" a="1"/>
  <c r="J2762" i="14" s="1"/>
  <c r="K2578" i="13" l="1"/>
  <c r="L2578" i="13" s="1"/>
  <c r="I2579" i="13" s="1"/>
  <c r="K2600" i="14"/>
  <c r="L2600" i="14" s="1"/>
  <c r="I2601" i="14" s="1"/>
  <c r="N2764" i="14"/>
  <c r="J2763" i="14" a="1"/>
  <c r="J2763" i="14" s="1"/>
  <c r="M2768" i="14"/>
  <c r="N2765" i="13"/>
  <c r="J2764" i="13" a="1"/>
  <c r="J2764" i="13" s="1"/>
  <c r="M2767" i="13"/>
  <c r="K2601" i="14" l="1"/>
  <c r="L2601" i="14" s="1"/>
  <c r="I2602" i="14" s="1"/>
  <c r="K2579" i="13"/>
  <c r="L2579" i="13" s="1"/>
  <c r="I2580" i="13" s="1"/>
  <c r="M2768" i="13"/>
  <c r="M2769" i="14"/>
  <c r="J2765" i="13" a="1"/>
  <c r="J2765" i="13" s="1"/>
  <c r="N2766" i="13"/>
  <c r="J2764" i="14" a="1"/>
  <c r="J2764" i="14" s="1"/>
  <c r="N2765" i="14"/>
  <c r="K2580" i="13" l="1"/>
  <c r="L2580" i="13" s="1"/>
  <c r="I2581" i="13" s="1"/>
  <c r="K2602" i="14"/>
  <c r="L2602" i="14" s="1"/>
  <c r="I2603" i="14" s="1"/>
  <c r="J2765" i="14" a="1"/>
  <c r="J2765" i="14" s="1"/>
  <c r="N2766" i="14"/>
  <c r="N2767" i="13"/>
  <c r="J2766" i="13" a="1"/>
  <c r="J2766" i="13" s="1"/>
  <c r="M2770" i="14"/>
  <c r="M2769" i="13"/>
  <c r="K2603" i="14" l="1"/>
  <c r="L2603" i="14" s="1"/>
  <c r="I2604" i="14" s="1"/>
  <c r="K2581" i="13"/>
  <c r="L2581" i="13" s="1"/>
  <c r="I2582" i="13" s="1"/>
  <c r="M2771" i="14"/>
  <c r="M2770" i="13"/>
  <c r="J2767" i="13" a="1"/>
  <c r="J2767" i="13" s="1"/>
  <c r="N2768" i="13"/>
  <c r="N2767" i="14"/>
  <c r="J2766" i="14" a="1"/>
  <c r="J2766" i="14" s="1"/>
  <c r="K2604" i="14" l="1"/>
  <c r="L2604" i="14" s="1"/>
  <c r="I2605" i="14" s="1"/>
  <c r="K2582" i="13"/>
  <c r="L2582" i="13" s="1"/>
  <c r="I2583" i="13" s="1"/>
  <c r="N2769" i="13"/>
  <c r="J2768" i="13" a="1"/>
  <c r="J2768" i="13" s="1"/>
  <c r="N2768" i="14"/>
  <c r="J2767" i="14" a="1"/>
  <c r="J2767" i="14" s="1"/>
  <c r="M2771" i="13"/>
  <c r="M2772" i="14"/>
  <c r="K2583" i="13" l="1"/>
  <c r="L2583" i="13" s="1"/>
  <c r="I2584" i="13" s="1"/>
  <c r="K2605" i="14"/>
  <c r="L2605" i="14" s="1"/>
  <c r="I2606" i="14" s="1"/>
  <c r="J2768" i="14" a="1"/>
  <c r="J2768" i="14" s="1"/>
  <c r="N2769" i="14"/>
  <c r="M2773" i="14"/>
  <c r="M2772" i="13"/>
  <c r="J2769" i="13" a="1"/>
  <c r="J2769" i="13" s="1"/>
  <c r="N2770" i="13"/>
  <c r="K2606" i="14" l="1"/>
  <c r="L2606" i="14" s="1"/>
  <c r="I2607" i="14" s="1"/>
  <c r="K2584" i="13"/>
  <c r="L2584" i="13" s="1"/>
  <c r="I2585" i="13" s="1"/>
  <c r="N2771" i="13"/>
  <c r="J2770" i="13" a="1"/>
  <c r="J2770" i="13" s="1"/>
  <c r="M2774" i="14"/>
  <c r="J2769" i="14" a="1"/>
  <c r="J2769" i="14" s="1"/>
  <c r="N2770" i="14"/>
  <c r="M2773" i="13"/>
  <c r="K2607" i="14" l="1"/>
  <c r="L2607" i="14" s="1"/>
  <c r="I2608" i="14" s="1"/>
  <c r="K2585" i="13"/>
  <c r="L2585" i="13" s="1"/>
  <c r="I2586" i="13" s="1"/>
  <c r="N2771" i="14"/>
  <c r="J2770" i="14" a="1"/>
  <c r="J2770" i="14" s="1"/>
  <c r="J2771" i="13" a="1"/>
  <c r="J2771" i="13" s="1"/>
  <c r="N2772" i="13"/>
  <c r="M2774" i="13"/>
  <c r="M2775" i="14"/>
  <c r="K2586" i="13" l="1"/>
  <c r="L2586" i="13" s="1"/>
  <c r="I2587" i="13" s="1"/>
  <c r="N2773" i="13"/>
  <c r="J2772" i="13" a="1"/>
  <c r="J2772" i="13" s="1"/>
  <c r="M2775" i="13"/>
  <c r="M2776" i="14"/>
  <c r="N2772" i="14"/>
  <c r="J2771" i="14" a="1"/>
  <c r="J2771" i="14" s="1"/>
  <c r="K2608" i="14"/>
  <c r="L2608" i="14" s="1"/>
  <c r="I2609" i="14" s="1"/>
  <c r="K2609" i="14" l="1"/>
  <c r="L2609" i="14" s="1"/>
  <c r="I2610" i="14" s="1"/>
  <c r="K2587" i="13"/>
  <c r="L2587" i="13" s="1"/>
  <c r="I2588" i="13" s="1"/>
  <c r="J2773" i="13" a="1"/>
  <c r="J2773" i="13" s="1"/>
  <c r="N2774" i="13"/>
  <c r="M2776" i="13"/>
  <c r="M2777" i="14"/>
  <c r="J2772" i="14" a="1"/>
  <c r="J2772" i="14" s="1"/>
  <c r="N2773" i="14"/>
  <c r="K2610" i="14" l="1"/>
  <c r="L2610" i="14" s="1"/>
  <c r="I2611" i="14" s="1"/>
  <c r="J2773" i="14" a="1"/>
  <c r="J2773" i="14" s="1"/>
  <c r="N2774" i="14"/>
  <c r="M2777" i="13"/>
  <c r="K2588" i="13"/>
  <c r="L2588" i="13" s="1"/>
  <c r="I2589" i="13" s="1"/>
  <c r="M2778" i="14"/>
  <c r="N2775" i="13"/>
  <c r="J2774" i="13" a="1"/>
  <c r="J2774" i="13" s="1"/>
  <c r="K2589" i="13" l="1"/>
  <c r="L2589" i="13" s="1"/>
  <c r="I2590" i="13" s="1"/>
  <c r="K2611" i="14"/>
  <c r="L2611" i="14" s="1"/>
  <c r="I2612" i="14" s="1"/>
  <c r="N2775" i="14"/>
  <c r="J2774" i="14" a="1"/>
  <c r="J2774" i="14" s="1"/>
  <c r="J2775" i="13" a="1"/>
  <c r="J2775" i="13" s="1"/>
  <c r="N2776" i="13"/>
  <c r="M2779" i="14"/>
  <c r="M2778" i="13"/>
  <c r="K2612" i="14" l="1"/>
  <c r="L2612" i="14" s="1"/>
  <c r="I2613" i="14" s="1"/>
  <c r="K2590" i="13"/>
  <c r="L2590" i="13" s="1"/>
  <c r="I2591" i="13" s="1"/>
  <c r="N2777" i="13"/>
  <c r="J2776" i="13" a="1"/>
  <c r="J2776" i="13" s="1"/>
  <c r="M2779" i="13"/>
  <c r="M2780" i="14"/>
  <c r="N2776" i="14"/>
  <c r="J2775" i="14" a="1"/>
  <c r="J2775" i="14" s="1"/>
  <c r="K2591" i="13" l="1"/>
  <c r="L2591" i="13" s="1"/>
  <c r="I2592" i="13" s="1"/>
  <c r="K2613" i="14"/>
  <c r="L2613" i="14" s="1"/>
  <c r="I2614" i="14" s="1"/>
  <c r="M2780" i="13"/>
  <c r="J2776" i="14" a="1"/>
  <c r="J2776" i="14" s="1"/>
  <c r="N2777" i="14"/>
  <c r="M2781" i="14"/>
  <c r="J2777" i="13" a="1"/>
  <c r="J2777" i="13" s="1"/>
  <c r="N2778" i="13"/>
  <c r="K2592" i="13" l="1"/>
  <c r="L2592" i="13" s="1"/>
  <c r="I2593" i="13" s="1"/>
  <c r="J2777" i="14" a="1"/>
  <c r="J2777" i="14" s="1"/>
  <c r="N2778" i="14"/>
  <c r="N2779" i="13"/>
  <c r="J2778" i="13" a="1"/>
  <c r="J2778" i="13" s="1"/>
  <c r="K2614" i="14"/>
  <c r="L2614" i="14" s="1"/>
  <c r="I2615" i="14" s="1"/>
  <c r="M2782" i="14"/>
  <c r="M2781" i="13"/>
  <c r="K2615" i="14" l="1"/>
  <c r="L2615" i="14" s="1"/>
  <c r="I2616" i="14" s="1"/>
  <c r="K2593" i="13"/>
  <c r="L2593" i="13" s="1"/>
  <c r="I2594" i="13" s="1"/>
  <c r="N2779" i="14"/>
  <c r="J2778" i="14" a="1"/>
  <c r="J2778" i="14" s="1"/>
  <c r="M2782" i="13"/>
  <c r="M2783" i="14"/>
  <c r="J2779" i="13" a="1"/>
  <c r="J2779" i="13" s="1"/>
  <c r="N2780" i="13"/>
  <c r="K2616" i="14" l="1"/>
  <c r="L2616" i="14" s="1"/>
  <c r="I2617" i="14" s="1"/>
  <c r="K2594" i="13"/>
  <c r="L2594" i="13" s="1"/>
  <c r="I2595" i="13" s="1"/>
  <c r="N2781" i="13"/>
  <c r="J2780" i="13" a="1"/>
  <c r="J2780" i="13" s="1"/>
  <c r="M2783" i="13"/>
  <c r="M2784" i="14"/>
  <c r="N2780" i="14"/>
  <c r="J2779" i="14" a="1"/>
  <c r="J2779" i="14" s="1"/>
  <c r="J2780" i="14" l="1" a="1"/>
  <c r="J2780" i="14" s="1"/>
  <c r="N2781" i="14"/>
  <c r="M2785" i="14"/>
  <c r="M2784" i="13"/>
  <c r="K2595" i="13"/>
  <c r="L2595" i="13" s="1"/>
  <c r="I2596" i="13" s="1"/>
  <c r="J2781" i="13" a="1"/>
  <c r="J2781" i="13" s="1"/>
  <c r="N2782" i="13"/>
  <c r="K2617" i="14"/>
  <c r="L2617" i="14" s="1"/>
  <c r="I2618" i="14" s="1"/>
  <c r="K2618" i="14" l="1"/>
  <c r="L2618" i="14" s="1"/>
  <c r="I2619" i="14" s="1"/>
  <c r="K2596" i="13"/>
  <c r="L2596" i="13" s="1"/>
  <c r="I2597" i="13" s="1"/>
  <c r="M2785" i="13"/>
  <c r="M2786" i="14"/>
  <c r="N2783" i="13"/>
  <c r="J2782" i="13" a="1"/>
  <c r="J2782" i="13" s="1"/>
  <c r="J2781" i="14" a="1"/>
  <c r="J2781" i="14" s="1"/>
  <c r="N2782" i="14"/>
  <c r="K2597" i="13" l="1"/>
  <c r="L2597" i="13" s="1"/>
  <c r="I2598" i="13" s="1"/>
  <c r="K2619" i="14"/>
  <c r="L2619" i="14" s="1"/>
  <c r="I2620" i="14" s="1"/>
  <c r="N2783" i="14"/>
  <c r="J2782" i="14" a="1"/>
  <c r="J2782" i="14" s="1"/>
  <c r="M2787" i="14"/>
  <c r="M2786" i="13"/>
  <c r="J2783" i="13" a="1"/>
  <c r="J2783" i="13" s="1"/>
  <c r="N2784" i="13"/>
  <c r="K2620" i="14" l="1"/>
  <c r="L2620" i="14" s="1"/>
  <c r="I2621" i="14" s="1"/>
  <c r="K2598" i="13"/>
  <c r="L2598" i="13" s="1"/>
  <c r="I2599" i="13" s="1"/>
  <c r="N2785" i="13"/>
  <c r="J2784" i="13" a="1"/>
  <c r="J2784" i="13" s="1"/>
  <c r="M2788" i="14"/>
  <c r="M2787" i="13"/>
  <c r="N2784" i="14"/>
  <c r="J2783" i="14" a="1"/>
  <c r="J2783" i="14" s="1"/>
  <c r="K2599" i="13" l="1"/>
  <c r="L2599" i="13" s="1"/>
  <c r="I2600" i="13" s="1"/>
  <c r="K2621" i="14"/>
  <c r="L2621" i="14" s="1"/>
  <c r="I2622" i="14" s="1"/>
  <c r="J2784" i="14" a="1"/>
  <c r="J2784" i="14" s="1"/>
  <c r="N2785" i="14"/>
  <c r="M2789" i="14"/>
  <c r="M2788" i="13"/>
  <c r="J2785" i="13" a="1"/>
  <c r="J2785" i="13" s="1"/>
  <c r="N2786" i="13"/>
  <c r="K2600" i="13" l="1"/>
  <c r="L2600" i="13" s="1"/>
  <c r="I2601" i="13" s="1"/>
  <c r="N2787" i="13"/>
  <c r="J2786" i="13" a="1"/>
  <c r="J2786" i="13" s="1"/>
  <c r="J2785" i="14" a="1"/>
  <c r="J2785" i="14" s="1"/>
  <c r="N2786" i="14"/>
  <c r="M2790" i="14"/>
  <c r="K2622" i="14"/>
  <c r="L2622" i="14" s="1"/>
  <c r="I2623" i="14" s="1"/>
  <c r="M2789" i="13"/>
  <c r="K2601" i="13" l="1"/>
  <c r="L2601" i="13" s="1"/>
  <c r="I2602" i="13" s="1"/>
  <c r="K2623" i="14"/>
  <c r="L2623" i="14" s="1"/>
  <c r="I2624" i="14" s="1"/>
  <c r="M2790" i="13"/>
  <c r="M2791" i="14"/>
  <c r="J2787" i="13" a="1"/>
  <c r="J2787" i="13" s="1"/>
  <c r="N2788" i="13"/>
  <c r="N2787" i="14"/>
  <c r="J2786" i="14" a="1"/>
  <c r="J2786" i="14" s="1"/>
  <c r="K2624" i="14" l="1"/>
  <c r="L2624" i="14" s="1"/>
  <c r="I2625" i="14" s="1"/>
  <c r="K2602" i="13"/>
  <c r="L2602" i="13" s="1"/>
  <c r="I2603" i="13" s="1"/>
  <c r="N2788" i="14"/>
  <c r="J2787" i="14" a="1"/>
  <c r="J2787" i="14" s="1"/>
  <c r="M2792" i="14"/>
  <c r="N2789" i="13"/>
  <c r="J2788" i="13" a="1"/>
  <c r="J2788" i="13" s="1"/>
  <c r="M2791" i="13"/>
  <c r="K2603" i="13" l="1"/>
  <c r="L2603" i="13" s="1"/>
  <c r="I2604" i="13" s="1"/>
  <c r="K2625" i="14"/>
  <c r="L2625" i="14" s="1"/>
  <c r="I2626" i="14" s="1"/>
  <c r="J2789" i="13" a="1"/>
  <c r="J2789" i="13" s="1"/>
  <c r="N2790" i="13"/>
  <c r="M2792" i="13"/>
  <c r="M2793" i="14"/>
  <c r="J2788" i="14" a="1"/>
  <c r="J2788" i="14" s="1"/>
  <c r="N2789" i="14"/>
  <c r="K2604" i="13" l="1"/>
  <c r="L2604" i="13" s="1"/>
  <c r="I2605" i="13" s="1"/>
  <c r="J2789" i="14" a="1"/>
  <c r="J2789" i="14" s="1"/>
  <c r="N2790" i="14"/>
  <c r="M2793" i="13"/>
  <c r="K2626" i="14"/>
  <c r="L2626" i="14" s="1"/>
  <c r="I2627" i="14" s="1"/>
  <c r="M2794" i="14"/>
  <c r="N2791" i="13"/>
  <c r="J2790" i="13" a="1"/>
  <c r="J2790" i="13" s="1"/>
  <c r="K2627" i="14" l="1"/>
  <c r="L2627" i="14" s="1"/>
  <c r="I2628" i="14" s="1"/>
  <c r="K2605" i="13"/>
  <c r="L2605" i="13" s="1"/>
  <c r="I2606" i="13" s="1"/>
  <c r="N2791" i="14"/>
  <c r="J2790" i="14" a="1"/>
  <c r="J2790" i="14" s="1"/>
  <c r="J2791" i="13" a="1"/>
  <c r="J2791" i="13" s="1"/>
  <c r="N2792" i="13"/>
  <c r="M2795" i="14"/>
  <c r="M2794" i="13"/>
  <c r="K2628" i="14" l="1"/>
  <c r="L2628" i="14" s="1"/>
  <c r="I2629" i="14" s="1"/>
  <c r="N2793" i="13"/>
  <c r="J2792" i="13" a="1"/>
  <c r="J2792" i="13" s="1"/>
  <c r="K2606" i="13"/>
  <c r="L2606" i="13" s="1"/>
  <c r="I2607" i="13" s="1"/>
  <c r="M2795" i="13"/>
  <c r="M2796" i="14"/>
  <c r="N2792" i="14"/>
  <c r="J2791" i="14" a="1"/>
  <c r="J2791" i="14" s="1"/>
  <c r="K2607" i="13" l="1"/>
  <c r="L2607" i="13" s="1"/>
  <c r="I2608" i="13" s="1"/>
  <c r="K2629" i="14"/>
  <c r="L2629" i="14" s="1"/>
  <c r="I2630" i="14" s="1"/>
  <c r="M2796" i="13"/>
  <c r="J2793" i="13" a="1"/>
  <c r="J2793" i="13" s="1"/>
  <c r="N2794" i="13"/>
  <c r="J2792" i="14" a="1"/>
  <c r="J2792" i="14" s="1"/>
  <c r="N2793" i="14"/>
  <c r="M2797" i="14"/>
  <c r="K2630" i="14" l="1"/>
  <c r="L2630" i="14" s="1"/>
  <c r="I2631" i="14" s="1"/>
  <c r="K2608" i="13"/>
  <c r="L2608" i="13" s="1"/>
  <c r="I2609" i="13" s="1"/>
  <c r="N2795" i="13"/>
  <c r="J2794" i="13" a="1"/>
  <c r="J2794" i="13" s="1"/>
  <c r="J2793" i="14" a="1"/>
  <c r="J2793" i="14" s="1"/>
  <c r="N2794" i="14"/>
  <c r="M2798" i="14"/>
  <c r="M2797" i="13"/>
  <c r="K2631" i="14" l="1"/>
  <c r="L2631" i="14" s="1"/>
  <c r="I2632" i="14" s="1"/>
  <c r="M2798" i="13"/>
  <c r="N2795" i="14"/>
  <c r="J2794" i="14" a="1"/>
  <c r="J2794" i="14" s="1"/>
  <c r="K2609" i="13"/>
  <c r="L2609" i="13" s="1"/>
  <c r="I2610" i="13" s="1"/>
  <c r="M2799" i="14"/>
  <c r="J2795" i="13" a="1"/>
  <c r="J2795" i="13" s="1"/>
  <c r="N2796" i="13"/>
  <c r="K2610" i="13" l="1"/>
  <c r="L2610" i="13" s="1"/>
  <c r="I2611" i="13" s="1"/>
  <c r="K2632" i="14"/>
  <c r="L2632" i="14" s="1"/>
  <c r="I2633" i="14" s="1"/>
  <c r="N2797" i="13"/>
  <c r="J2796" i="13" a="1"/>
  <c r="J2796" i="13" s="1"/>
  <c r="M2799" i="13"/>
  <c r="M2800" i="14"/>
  <c r="N2796" i="14"/>
  <c r="J2795" i="14" a="1"/>
  <c r="J2795" i="14" s="1"/>
  <c r="K2611" i="13" l="1"/>
  <c r="L2611" i="13" s="1"/>
  <c r="I2612" i="13" s="1"/>
  <c r="M2800" i="13"/>
  <c r="J2796" i="14" a="1"/>
  <c r="J2796" i="14" s="1"/>
  <c r="N2797" i="14"/>
  <c r="K2633" i="14"/>
  <c r="L2633" i="14" s="1"/>
  <c r="I2634" i="14" s="1"/>
  <c r="M2801" i="14"/>
  <c r="J2797" i="13" a="1"/>
  <c r="J2797" i="13" s="1"/>
  <c r="N2798" i="13"/>
  <c r="K2634" i="14" l="1"/>
  <c r="L2634" i="14" s="1"/>
  <c r="I2635" i="14" s="1"/>
  <c r="K2612" i="13"/>
  <c r="L2612" i="13" s="1"/>
  <c r="I2613" i="13" s="1"/>
  <c r="N2799" i="13"/>
  <c r="J2798" i="13" a="1"/>
  <c r="J2798" i="13" s="1"/>
  <c r="M2801" i="13"/>
  <c r="M2802" i="14"/>
  <c r="J2797" i="14" a="1"/>
  <c r="J2797" i="14" s="1"/>
  <c r="N2798" i="14"/>
  <c r="K2613" i="13" l="1"/>
  <c r="L2613" i="13" s="1"/>
  <c r="I2614" i="13" s="1"/>
  <c r="K2635" i="14"/>
  <c r="L2635" i="14" s="1"/>
  <c r="I2636" i="14" s="1"/>
  <c r="N2799" i="14"/>
  <c r="J2798" i="14" a="1"/>
  <c r="J2798" i="14" s="1"/>
  <c r="M2802" i="13"/>
  <c r="M2803" i="14"/>
  <c r="J2799" i="13" a="1"/>
  <c r="J2799" i="13" s="1"/>
  <c r="N2800" i="13"/>
  <c r="K2614" i="13" l="1"/>
  <c r="L2614" i="13" s="1"/>
  <c r="I2615" i="13" s="1"/>
  <c r="N2801" i="13"/>
  <c r="J2800" i="13" a="1"/>
  <c r="J2800" i="13" s="1"/>
  <c r="K2636" i="14"/>
  <c r="L2636" i="14" s="1"/>
  <c r="I2637" i="14" s="1"/>
  <c r="M2803" i="13"/>
  <c r="M2804" i="14"/>
  <c r="N2800" i="14"/>
  <c r="J2799" i="14" a="1"/>
  <c r="J2799" i="14" s="1"/>
  <c r="K2615" i="13" l="1"/>
  <c r="L2615" i="13" s="1"/>
  <c r="I2616" i="13" s="1"/>
  <c r="K2637" i="14"/>
  <c r="L2637" i="14" s="1"/>
  <c r="I2638" i="14" s="1"/>
  <c r="J2801" i="13" a="1"/>
  <c r="J2801" i="13" s="1"/>
  <c r="N2802" i="13"/>
  <c r="M2804" i="13"/>
  <c r="J2800" i="14" a="1"/>
  <c r="J2800" i="14" s="1"/>
  <c r="N2801" i="14"/>
  <c r="M2805" i="14"/>
  <c r="K2616" i="13" l="1"/>
  <c r="L2616" i="13" s="1"/>
  <c r="I2617" i="13" s="1"/>
  <c r="K2638" i="14"/>
  <c r="L2638" i="14" s="1"/>
  <c r="I2639" i="14" s="1"/>
  <c r="J2801" i="14" a="1"/>
  <c r="J2801" i="14" s="1"/>
  <c r="N2802" i="14"/>
  <c r="M2806" i="14"/>
  <c r="M2805" i="13"/>
  <c r="N2803" i="13"/>
  <c r="J2802" i="13" a="1"/>
  <c r="J2802" i="13" s="1"/>
  <c r="K2639" i="14" l="1"/>
  <c r="L2639" i="14" s="1"/>
  <c r="I2640" i="14" s="1"/>
  <c r="K2617" i="13"/>
  <c r="L2617" i="13" s="1"/>
  <c r="I2618" i="13" s="1"/>
  <c r="M2807" i="14"/>
  <c r="J2803" i="13" a="1"/>
  <c r="J2803" i="13" s="1"/>
  <c r="N2804" i="13"/>
  <c r="N2803" i="14"/>
  <c r="J2802" i="14" a="1"/>
  <c r="J2802" i="14" s="1"/>
  <c r="M2806" i="13"/>
  <c r="K2618" i="13" l="1"/>
  <c r="L2618" i="13" s="1"/>
  <c r="I2619" i="13" s="1"/>
  <c r="K2640" i="14"/>
  <c r="L2640" i="14" s="1"/>
  <c r="I2641" i="14" s="1"/>
  <c r="N2805" i="13"/>
  <c r="J2804" i="13" a="1"/>
  <c r="J2804" i="13" s="1"/>
  <c r="M2807" i="13"/>
  <c r="N2804" i="14"/>
  <c r="J2803" i="14" a="1"/>
  <c r="J2803" i="14" s="1"/>
  <c r="M2808" i="14"/>
  <c r="K2619" i="13" l="1"/>
  <c r="L2619" i="13" s="1"/>
  <c r="I2620" i="13" s="1"/>
  <c r="M2809" i="14"/>
  <c r="M2808" i="13"/>
  <c r="K2641" i="14"/>
  <c r="L2641" i="14" s="1"/>
  <c r="I2642" i="14" s="1"/>
  <c r="J2804" i="14" a="1"/>
  <c r="J2804" i="14" s="1"/>
  <c r="N2805" i="14"/>
  <c r="J2805" i="13" a="1"/>
  <c r="J2805" i="13" s="1"/>
  <c r="N2806" i="13"/>
  <c r="K2620" i="13" l="1"/>
  <c r="L2620" i="13" s="1"/>
  <c r="I2621" i="13" s="1"/>
  <c r="N2807" i="13"/>
  <c r="J2806" i="13" a="1"/>
  <c r="J2806" i="13" s="1"/>
  <c r="M2810" i="14"/>
  <c r="K2642" i="14"/>
  <c r="L2642" i="14" s="1"/>
  <c r="I2643" i="14" s="1"/>
  <c r="J2805" i="14" a="1"/>
  <c r="J2805" i="14" s="1"/>
  <c r="N2806" i="14"/>
  <c r="M2809" i="13"/>
  <c r="K2621" i="13" l="1"/>
  <c r="L2621" i="13" s="1"/>
  <c r="I2622" i="13" s="1"/>
  <c r="K2643" i="14"/>
  <c r="L2643" i="14" s="1"/>
  <c r="I2644" i="14" s="1"/>
  <c r="J2807" i="13" a="1"/>
  <c r="J2807" i="13" s="1"/>
  <c r="N2808" i="13"/>
  <c r="M2810" i="13"/>
  <c r="N2807" i="14"/>
  <c r="J2806" i="14" a="1"/>
  <c r="J2806" i="14" s="1"/>
  <c r="M2811" i="14"/>
  <c r="K2644" i="14" l="1"/>
  <c r="L2644" i="14" s="1"/>
  <c r="I2645" i="14" s="1"/>
  <c r="N2808" i="14"/>
  <c r="J2807" i="14" a="1"/>
  <c r="J2807" i="14" s="1"/>
  <c r="M2812" i="14"/>
  <c r="M2811" i="13"/>
  <c r="N2809" i="13"/>
  <c r="J2808" i="13" a="1"/>
  <c r="J2808" i="13" s="1"/>
  <c r="K2622" i="13"/>
  <c r="L2622" i="13" s="1"/>
  <c r="I2623" i="13" s="1"/>
  <c r="K2623" i="13" l="1"/>
  <c r="L2623" i="13" s="1"/>
  <c r="I2624" i="13" s="1"/>
  <c r="K2645" i="14"/>
  <c r="L2645" i="14" s="1"/>
  <c r="I2646" i="14" s="1"/>
  <c r="M2812" i="13"/>
  <c r="J2808" i="14" a="1"/>
  <c r="J2808" i="14" s="1"/>
  <c r="N2809" i="14"/>
  <c r="J2809" i="13" a="1"/>
  <c r="J2809" i="13" s="1"/>
  <c r="N2810" i="13"/>
  <c r="M2813" i="14"/>
  <c r="K2646" i="14" l="1"/>
  <c r="L2646" i="14" s="1"/>
  <c r="I2647" i="14" s="1"/>
  <c r="K2624" i="13"/>
  <c r="L2624" i="13" s="1"/>
  <c r="I2625" i="13" s="1"/>
  <c r="J2809" i="14" a="1"/>
  <c r="J2809" i="14" s="1"/>
  <c r="N2810" i="14"/>
  <c r="M2814" i="14"/>
  <c r="N2811" i="13"/>
  <c r="J2810" i="13" a="1"/>
  <c r="J2810" i="13" s="1"/>
  <c r="M2813" i="13"/>
  <c r="K2647" i="14" l="1"/>
  <c r="L2647" i="14" s="1"/>
  <c r="I2648" i="14" s="1"/>
  <c r="M2814" i="13"/>
  <c r="M2815" i="14"/>
  <c r="K2625" i="13"/>
  <c r="L2625" i="13" s="1"/>
  <c r="I2626" i="13" s="1"/>
  <c r="N2811" i="14"/>
  <c r="J2810" i="14" a="1"/>
  <c r="J2810" i="14" s="1"/>
  <c r="J2811" i="13" a="1"/>
  <c r="J2811" i="13" s="1"/>
  <c r="N2812" i="13"/>
  <c r="K2648" i="14" l="1"/>
  <c r="L2648" i="14" s="1"/>
  <c r="I2649" i="14" s="1"/>
  <c r="N2813" i="13"/>
  <c r="J2812" i="13" a="1"/>
  <c r="J2812" i="13" s="1"/>
  <c r="K2626" i="13"/>
  <c r="L2626" i="13" s="1"/>
  <c r="I2627" i="13" s="1"/>
  <c r="M2815" i="13"/>
  <c r="N2812" i="14"/>
  <c r="J2811" i="14" a="1"/>
  <c r="J2811" i="14" s="1"/>
  <c r="M2816" i="14"/>
  <c r="K2627" i="13" l="1"/>
  <c r="L2627" i="13" s="1"/>
  <c r="I2628" i="13" s="1"/>
  <c r="K2649" i="14"/>
  <c r="L2649" i="14" s="1"/>
  <c r="I2650" i="14" s="1"/>
  <c r="M2817" i="14"/>
  <c r="J2813" i="13" a="1"/>
  <c r="J2813" i="13" s="1"/>
  <c r="N2814" i="13"/>
  <c r="M2816" i="13"/>
  <c r="J2812" i="14" a="1"/>
  <c r="J2812" i="14" s="1"/>
  <c r="N2813" i="14"/>
  <c r="K2650" i="14" l="1"/>
  <c r="L2650" i="14" s="1"/>
  <c r="I2651" i="14" s="1"/>
  <c r="K2628" i="13"/>
  <c r="L2628" i="13" s="1"/>
  <c r="I2629" i="13" s="1"/>
  <c r="N2815" i="13"/>
  <c r="J2814" i="13" a="1"/>
  <c r="J2814" i="13" s="1"/>
  <c r="J2813" i="14" a="1"/>
  <c r="J2813" i="14" s="1"/>
  <c r="N2814" i="14"/>
  <c r="M2818" i="14"/>
  <c r="M2817" i="13"/>
  <c r="K2629" i="13" l="1"/>
  <c r="L2629" i="13" s="1"/>
  <c r="I2630" i="13" s="1"/>
  <c r="K2651" i="14"/>
  <c r="L2651" i="14" s="1"/>
  <c r="I2652" i="14" s="1"/>
  <c r="N2815" i="14"/>
  <c r="J2814" i="14" a="1"/>
  <c r="J2814" i="14" s="1"/>
  <c r="M2818" i="13"/>
  <c r="M2819" i="14"/>
  <c r="J2815" i="13" a="1"/>
  <c r="J2815" i="13" s="1"/>
  <c r="N2816" i="13"/>
  <c r="K2630" i="13" l="1"/>
  <c r="L2630" i="13" s="1"/>
  <c r="I2631" i="13" s="1"/>
  <c r="N2817" i="13"/>
  <c r="J2816" i="13" a="1"/>
  <c r="J2816" i="13" s="1"/>
  <c r="M2819" i="13"/>
  <c r="K2652" i="14"/>
  <c r="L2652" i="14" s="1"/>
  <c r="I2653" i="14" s="1"/>
  <c r="M2820" i="14"/>
  <c r="N2816" i="14"/>
  <c r="J2815" i="14" a="1"/>
  <c r="J2815" i="14" s="1"/>
  <c r="K2631" i="13" l="1"/>
  <c r="L2631" i="13" s="1"/>
  <c r="I2632" i="13" s="1"/>
  <c r="K2653" i="14"/>
  <c r="L2653" i="14" s="1"/>
  <c r="I2654" i="14" s="1"/>
  <c r="J2817" i="13" a="1"/>
  <c r="J2817" i="13" s="1"/>
  <c r="N2818" i="13"/>
  <c r="J2816" i="14" a="1"/>
  <c r="J2816" i="14" s="1"/>
  <c r="N2817" i="14"/>
  <c r="M2820" i="13"/>
  <c r="M2821" i="14"/>
  <c r="K2654" i="14" l="1"/>
  <c r="L2654" i="14" s="1"/>
  <c r="I2655" i="14" s="1"/>
  <c r="K2632" i="13"/>
  <c r="L2632" i="13" s="1"/>
  <c r="I2633" i="13" s="1"/>
  <c r="J2817" i="14" a="1"/>
  <c r="J2817" i="14" s="1"/>
  <c r="N2818" i="14"/>
  <c r="N2819" i="13"/>
  <c r="J2818" i="13" a="1"/>
  <c r="J2818" i="13" s="1"/>
  <c r="M2822" i="14"/>
  <c r="M2821" i="13"/>
  <c r="K2633" i="13" l="1"/>
  <c r="L2633" i="13" s="1"/>
  <c r="I2634" i="13" s="1"/>
  <c r="K2655" i="14"/>
  <c r="L2655" i="14" s="1"/>
  <c r="I2656" i="14" s="1"/>
  <c r="M2823" i="14"/>
  <c r="M2822" i="13"/>
  <c r="J2819" i="13" a="1"/>
  <c r="J2819" i="13" s="1"/>
  <c r="N2820" i="13"/>
  <c r="N2819" i="14"/>
  <c r="J2818" i="14" a="1"/>
  <c r="J2818" i="14" s="1"/>
  <c r="K2656" i="14" l="1"/>
  <c r="L2656" i="14" s="1"/>
  <c r="I2657" i="14" s="1"/>
  <c r="K2634" i="13"/>
  <c r="L2634" i="13" s="1"/>
  <c r="I2635" i="13" s="1"/>
  <c r="M2823" i="13"/>
  <c r="N2820" i="14"/>
  <c r="J2819" i="14" a="1"/>
  <c r="J2819" i="14" s="1"/>
  <c r="N2821" i="13"/>
  <c r="J2820" i="13" a="1"/>
  <c r="J2820" i="13" s="1"/>
  <c r="M2824" i="14"/>
  <c r="K2635" i="13" l="1"/>
  <c r="L2635" i="13" s="1"/>
  <c r="I2636" i="13" s="1"/>
  <c r="K2657" i="14"/>
  <c r="L2657" i="14" s="1"/>
  <c r="I2658" i="14" s="1"/>
  <c r="J2820" i="14" a="1"/>
  <c r="J2820" i="14" s="1"/>
  <c r="N2821" i="14"/>
  <c r="M2825" i="14"/>
  <c r="J2821" i="13" a="1"/>
  <c r="J2821" i="13" s="1"/>
  <c r="N2822" i="13"/>
  <c r="M2824" i="13"/>
  <c r="K2658" i="14" l="1"/>
  <c r="L2658" i="14" s="1"/>
  <c r="I2659" i="14" s="1"/>
  <c r="K2636" i="13"/>
  <c r="L2636" i="13" s="1"/>
  <c r="I2637" i="13" s="1"/>
  <c r="N2823" i="13"/>
  <c r="J2822" i="13" a="1"/>
  <c r="J2822" i="13" s="1"/>
  <c r="M2826" i="14"/>
  <c r="M2825" i="13"/>
  <c r="J2821" i="14" a="1"/>
  <c r="J2821" i="14" s="1"/>
  <c r="N2822" i="14"/>
  <c r="K2637" i="13" l="1"/>
  <c r="L2637" i="13" s="1"/>
  <c r="I2638" i="13" s="1"/>
  <c r="K2659" i="14"/>
  <c r="L2659" i="14" s="1"/>
  <c r="I2660" i="14" s="1"/>
  <c r="N2823" i="14"/>
  <c r="J2822" i="14" a="1"/>
  <c r="J2822" i="14" s="1"/>
  <c r="M2827" i="14"/>
  <c r="M2826" i="13"/>
  <c r="J2823" i="13" a="1"/>
  <c r="J2823" i="13" s="1"/>
  <c r="N2824" i="13"/>
  <c r="K2638" i="13" l="1"/>
  <c r="L2638" i="13" s="1"/>
  <c r="I2639" i="13" s="1"/>
  <c r="J2824" i="13" a="1"/>
  <c r="J2824" i="13" s="1"/>
  <c r="N2825" i="13"/>
  <c r="K2660" i="14"/>
  <c r="L2660" i="14" s="1"/>
  <c r="I2661" i="14" s="1"/>
  <c r="M2828" i="14"/>
  <c r="M2827" i="13"/>
  <c r="N2824" i="14"/>
  <c r="J2823" i="14" a="1"/>
  <c r="J2823" i="14" s="1"/>
  <c r="K2661" i="14" l="1"/>
  <c r="L2661" i="14" s="1"/>
  <c r="I2662" i="14" s="1"/>
  <c r="K2639" i="13"/>
  <c r="L2639" i="13" s="1"/>
  <c r="I2640" i="13" s="1"/>
  <c r="J2825" i="13" a="1"/>
  <c r="J2825" i="13" s="1"/>
  <c r="N2826" i="13"/>
  <c r="J2824" i="14" a="1"/>
  <c r="J2824" i="14" s="1"/>
  <c r="N2825" i="14"/>
  <c r="M2829" i="14"/>
  <c r="M2828" i="13"/>
  <c r="K2662" i="14" l="1"/>
  <c r="L2662" i="14" s="1"/>
  <c r="I2663" i="14" s="1"/>
  <c r="K2640" i="13"/>
  <c r="L2640" i="13" s="1"/>
  <c r="I2641" i="13" s="1"/>
  <c r="J2825" i="14" a="1"/>
  <c r="J2825" i="14" s="1"/>
  <c r="N2826" i="14"/>
  <c r="N2827" i="13"/>
  <c r="J2826" i="13" a="1"/>
  <c r="J2826" i="13" s="1"/>
  <c r="M2829" i="13"/>
  <c r="M2830" i="14"/>
  <c r="K2663" i="14" l="1"/>
  <c r="L2663" i="14" s="1"/>
  <c r="I2664" i="14" s="1"/>
  <c r="K2641" i="13"/>
  <c r="L2641" i="13" s="1"/>
  <c r="I2642" i="13" s="1"/>
  <c r="J2827" i="13" a="1"/>
  <c r="J2827" i="13" s="1"/>
  <c r="N2828" i="13"/>
  <c r="M2831" i="14"/>
  <c r="M2830" i="13"/>
  <c r="N2827" i="14"/>
  <c r="J2826" i="14" a="1"/>
  <c r="J2826" i="14" s="1"/>
  <c r="K2642" i="13" l="1"/>
  <c r="L2642" i="13" s="1"/>
  <c r="I2643" i="13" s="1"/>
  <c r="K2664" i="14"/>
  <c r="L2664" i="14" s="1"/>
  <c r="I2665" i="14" s="1"/>
  <c r="N2828" i="14"/>
  <c r="J2827" i="14" a="1"/>
  <c r="J2827" i="14" s="1"/>
  <c r="M2832" i="14"/>
  <c r="J2828" i="13" a="1"/>
  <c r="J2828" i="13" s="1"/>
  <c r="N2829" i="13"/>
  <c r="M2831" i="13"/>
  <c r="K2643" i="13" l="1"/>
  <c r="L2643" i="13" s="1"/>
  <c r="I2644" i="13" s="1"/>
  <c r="J2829" i="13" a="1"/>
  <c r="J2829" i="13" s="1"/>
  <c r="N2830" i="13"/>
  <c r="M2832" i="13"/>
  <c r="M2833" i="14"/>
  <c r="K2665" i="14"/>
  <c r="L2665" i="14" s="1"/>
  <c r="I2666" i="14" s="1"/>
  <c r="J2828" i="14" a="1"/>
  <c r="J2828" i="14" s="1"/>
  <c r="N2829" i="14"/>
  <c r="K2666" i="14" l="1"/>
  <c r="L2666" i="14" s="1"/>
  <c r="I2667" i="14" s="1"/>
  <c r="K2644" i="13"/>
  <c r="L2644" i="13" s="1"/>
  <c r="I2645" i="13" s="1"/>
  <c r="J2829" i="14" a="1"/>
  <c r="J2829" i="14" s="1"/>
  <c r="N2830" i="14"/>
  <c r="M2834" i="14"/>
  <c r="N2831" i="13"/>
  <c r="J2830" i="13" a="1"/>
  <c r="J2830" i="13" s="1"/>
  <c r="M2833" i="13"/>
  <c r="K2667" i="14" l="1"/>
  <c r="L2667" i="14" s="1"/>
  <c r="I2668" i="14" s="1"/>
  <c r="K2645" i="13"/>
  <c r="L2645" i="13" s="1"/>
  <c r="I2646" i="13" s="1"/>
  <c r="M2834" i="13"/>
  <c r="M2835" i="14"/>
  <c r="N2831" i="14"/>
  <c r="J2830" i="14" a="1"/>
  <c r="J2830" i="14" s="1"/>
  <c r="J2831" i="13" a="1"/>
  <c r="J2831" i="13" s="1"/>
  <c r="N2832" i="13"/>
  <c r="K2668" i="14" l="1"/>
  <c r="L2668" i="14" s="1"/>
  <c r="I2669" i="14" s="1"/>
  <c r="J2832" i="13" a="1"/>
  <c r="J2832" i="13" s="1"/>
  <c r="N2833" i="13"/>
  <c r="K2646" i="13"/>
  <c r="L2646" i="13" s="1"/>
  <c r="I2647" i="13" s="1"/>
  <c r="M2836" i="14"/>
  <c r="N2832" i="14"/>
  <c r="J2831" i="14" a="1"/>
  <c r="J2831" i="14" s="1"/>
  <c r="M2835" i="13"/>
  <c r="K2647" i="13" l="1"/>
  <c r="L2647" i="13" s="1"/>
  <c r="I2648" i="13" s="1"/>
  <c r="K2669" i="14"/>
  <c r="L2669" i="14" s="1"/>
  <c r="I2670" i="14" s="1"/>
  <c r="J2833" i="13" a="1"/>
  <c r="J2833" i="13" s="1"/>
  <c r="N2834" i="13"/>
  <c r="M2836" i="13"/>
  <c r="M2837" i="14"/>
  <c r="J2832" i="14" a="1"/>
  <c r="J2832" i="14" s="1"/>
  <c r="N2833" i="14"/>
  <c r="K2648" i="13" l="1"/>
  <c r="L2648" i="13" s="1"/>
  <c r="I2649" i="13" s="1"/>
  <c r="J2833" i="14" a="1"/>
  <c r="J2833" i="14" s="1"/>
  <c r="N2834" i="14"/>
  <c r="K2670" i="14"/>
  <c r="L2670" i="14" s="1"/>
  <c r="I2671" i="14" s="1"/>
  <c r="N2835" i="13"/>
  <c r="J2834" i="13" a="1"/>
  <c r="J2834" i="13" s="1"/>
  <c r="M2837" i="13"/>
  <c r="M2838" i="14"/>
  <c r="N2835" i="14" l="1"/>
  <c r="J2834" i="14" a="1"/>
  <c r="J2834" i="14" s="1"/>
  <c r="M2839" i="14"/>
  <c r="M2838" i="13"/>
  <c r="J2835" i="13" a="1"/>
  <c r="J2835" i="13" s="1"/>
  <c r="N2836" i="13"/>
  <c r="K2671" i="14"/>
  <c r="L2671" i="14" s="1"/>
  <c r="I2672" i="14" s="1"/>
  <c r="K2649" i="13"/>
  <c r="L2649" i="13" s="1"/>
  <c r="I2650" i="13" s="1"/>
  <c r="K2672" i="14" l="1"/>
  <c r="L2672" i="14" s="1"/>
  <c r="I2673" i="14" s="1"/>
  <c r="J2836" i="13" a="1"/>
  <c r="J2836" i="13" s="1"/>
  <c r="N2837" i="13"/>
  <c r="M2840" i="14"/>
  <c r="K2650" i="13"/>
  <c r="L2650" i="13" s="1"/>
  <c r="I2651" i="13" s="1"/>
  <c r="M2839" i="13"/>
  <c r="N2836" i="14"/>
  <c r="J2835" i="14" a="1"/>
  <c r="J2835" i="14" s="1"/>
  <c r="K2651" i="13" l="1"/>
  <c r="L2651" i="13" s="1"/>
  <c r="I2652" i="13" s="1"/>
  <c r="K2673" i="14"/>
  <c r="L2673" i="14" s="1"/>
  <c r="I2674" i="14" s="1"/>
  <c r="J2837" i="13" a="1"/>
  <c r="J2837" i="13" s="1"/>
  <c r="N2838" i="13"/>
  <c r="J2836" i="14" a="1"/>
  <c r="J2836" i="14" s="1"/>
  <c r="N2837" i="14"/>
  <c r="M2840" i="13"/>
  <c r="M2841" i="14"/>
  <c r="K2674" i="14" l="1"/>
  <c r="L2674" i="14" s="1"/>
  <c r="I2675" i="14" s="1"/>
  <c r="K2652" i="13"/>
  <c r="L2652" i="13" s="1"/>
  <c r="I2653" i="13" s="1"/>
  <c r="M2842" i="14"/>
  <c r="J2837" i="14" a="1"/>
  <c r="J2837" i="14" s="1"/>
  <c r="N2838" i="14"/>
  <c r="N2839" i="13"/>
  <c r="J2838" i="13" a="1"/>
  <c r="J2838" i="13" s="1"/>
  <c r="M2841" i="13"/>
  <c r="K2675" i="14" l="1"/>
  <c r="L2675" i="14" s="1"/>
  <c r="I2676" i="14" s="1"/>
  <c r="M2842" i="13"/>
  <c r="N2839" i="14"/>
  <c r="J2838" i="14" a="1"/>
  <c r="J2838" i="14" s="1"/>
  <c r="K2653" i="13"/>
  <c r="L2653" i="13" s="1"/>
  <c r="I2654" i="13" s="1"/>
  <c r="M2843" i="14"/>
  <c r="J2839" i="13" a="1"/>
  <c r="J2839" i="13" s="1"/>
  <c r="N2840" i="13"/>
  <c r="K2676" i="14" l="1"/>
  <c r="L2676" i="14" s="1"/>
  <c r="I2677" i="14" s="1"/>
  <c r="K2654" i="13"/>
  <c r="L2654" i="13" s="1"/>
  <c r="I2655" i="13" s="1"/>
  <c r="J2840" i="13" a="1"/>
  <c r="J2840" i="13" s="1"/>
  <c r="N2841" i="13"/>
  <c r="M2843" i="13"/>
  <c r="M2844" i="14"/>
  <c r="N2840" i="14"/>
  <c r="J2839" i="14" a="1"/>
  <c r="J2839" i="14" s="1"/>
  <c r="K2655" i="13" l="1"/>
  <c r="L2655" i="13" s="1"/>
  <c r="I2656" i="13" s="1"/>
  <c r="K2677" i="14"/>
  <c r="L2677" i="14" s="1"/>
  <c r="I2678" i="14" s="1"/>
  <c r="M2845" i="14"/>
  <c r="J2840" i="14" a="1"/>
  <c r="J2840" i="14" s="1"/>
  <c r="N2841" i="14"/>
  <c r="M2844" i="13"/>
  <c r="J2841" i="13" a="1"/>
  <c r="J2841" i="13" s="1"/>
  <c r="N2842" i="13"/>
  <c r="K2678" i="14" l="1"/>
  <c r="L2678" i="14" s="1"/>
  <c r="I2679" i="14" s="1"/>
  <c r="K2656" i="13"/>
  <c r="L2656" i="13" s="1"/>
  <c r="I2657" i="13" s="1"/>
  <c r="J2841" i="14" a="1"/>
  <c r="J2841" i="14" s="1"/>
  <c r="N2842" i="14"/>
  <c r="N2843" i="13"/>
  <c r="J2842" i="13" a="1"/>
  <c r="J2842" i="13" s="1"/>
  <c r="M2845" i="13"/>
  <c r="M2846" i="14"/>
  <c r="K2657" i="13" l="1"/>
  <c r="L2657" i="13" s="1"/>
  <c r="I2658" i="13" s="1"/>
  <c r="K2679" i="14"/>
  <c r="L2679" i="14" s="1"/>
  <c r="I2680" i="14" s="1"/>
  <c r="M2846" i="13"/>
  <c r="M2847" i="14"/>
  <c r="J2843" i="13" a="1"/>
  <c r="J2843" i="13" s="1"/>
  <c r="N2844" i="13"/>
  <c r="N2843" i="14"/>
  <c r="J2842" i="14" a="1"/>
  <c r="J2842" i="14" s="1"/>
  <c r="K2658" i="13" l="1"/>
  <c r="L2658" i="13" s="1"/>
  <c r="I2659" i="13" s="1"/>
  <c r="N2844" i="14"/>
  <c r="J2843" i="14" a="1"/>
  <c r="J2843" i="14" s="1"/>
  <c r="M2848" i="14"/>
  <c r="K2680" i="14"/>
  <c r="L2680" i="14" s="1"/>
  <c r="I2681" i="14" s="1"/>
  <c r="J2844" i="13" a="1"/>
  <c r="J2844" i="13" s="1"/>
  <c r="N2845" i="13"/>
  <c r="M2847" i="13"/>
  <c r="K2659" i="13" l="1"/>
  <c r="L2659" i="13" s="1"/>
  <c r="I2660" i="13" s="1"/>
  <c r="M2848" i="13"/>
  <c r="J2844" i="14" a="1"/>
  <c r="J2844" i="14" s="1"/>
  <c r="N2845" i="14"/>
  <c r="J2845" i="13" a="1"/>
  <c r="J2845" i="13" s="1"/>
  <c r="N2846" i="13"/>
  <c r="K2681" i="14"/>
  <c r="L2681" i="14" s="1"/>
  <c r="I2682" i="14" s="1"/>
  <c r="M2849" i="14"/>
  <c r="K2682" i="14" l="1"/>
  <c r="L2682" i="14" s="1"/>
  <c r="I2683" i="14" s="1"/>
  <c r="K2660" i="13"/>
  <c r="L2660" i="13" s="1"/>
  <c r="I2661" i="13" s="1"/>
  <c r="M2850" i="14"/>
  <c r="N2847" i="13"/>
  <c r="J2846" i="13" a="1"/>
  <c r="J2846" i="13" s="1"/>
  <c r="M2849" i="13"/>
  <c r="J2845" i="14" a="1"/>
  <c r="J2845" i="14" s="1"/>
  <c r="N2846" i="14"/>
  <c r="K2661" i="13" l="1"/>
  <c r="L2661" i="13" s="1"/>
  <c r="I2662" i="13" s="1"/>
  <c r="K2683" i="14"/>
  <c r="L2683" i="14" s="1"/>
  <c r="I2684" i="14" s="1"/>
  <c r="J2847" i="13" a="1"/>
  <c r="J2847" i="13" s="1"/>
  <c r="N2848" i="13"/>
  <c r="N2847" i="14"/>
  <c r="J2846" i="14" a="1"/>
  <c r="J2846" i="14" s="1"/>
  <c r="M2850" i="13"/>
  <c r="M2851" i="14"/>
  <c r="K2684" i="14" l="1"/>
  <c r="L2684" i="14" s="1"/>
  <c r="I2685" i="14" s="1"/>
  <c r="K2662" i="13"/>
  <c r="L2662" i="13" s="1"/>
  <c r="I2663" i="13" s="1"/>
  <c r="N2848" i="14"/>
  <c r="J2847" i="14" a="1"/>
  <c r="J2847" i="14" s="1"/>
  <c r="J2848" i="13" a="1"/>
  <c r="J2848" i="13" s="1"/>
  <c r="N2849" i="13"/>
  <c r="M2852" i="14"/>
  <c r="M2851" i="13"/>
  <c r="K2663" i="13" l="1"/>
  <c r="L2663" i="13" s="1"/>
  <c r="I2664" i="13" s="1"/>
  <c r="K2685" i="14"/>
  <c r="L2685" i="14" s="1"/>
  <c r="I2686" i="14" s="1"/>
  <c r="J2849" i="13" a="1"/>
  <c r="J2849" i="13" s="1"/>
  <c r="N2850" i="13"/>
  <c r="M2852" i="13"/>
  <c r="M2853" i="14"/>
  <c r="J2848" i="14" a="1"/>
  <c r="J2848" i="14" s="1"/>
  <c r="N2849" i="14"/>
  <c r="K2664" i="13" l="1"/>
  <c r="L2664" i="13" s="1"/>
  <c r="I2665" i="13" s="1"/>
  <c r="J2849" i="14" a="1"/>
  <c r="J2849" i="14" s="1"/>
  <c r="N2850" i="14"/>
  <c r="M2854" i="14"/>
  <c r="K2686" i="14"/>
  <c r="L2686" i="14" s="1"/>
  <c r="I2687" i="14" s="1"/>
  <c r="M2853" i="13"/>
  <c r="N2851" i="13"/>
  <c r="J2850" i="13" a="1"/>
  <c r="J2850" i="13" s="1"/>
  <c r="K2687" i="14" l="1"/>
  <c r="L2687" i="14" s="1"/>
  <c r="I2688" i="14" s="1"/>
  <c r="K2665" i="13"/>
  <c r="L2665" i="13" s="1"/>
  <c r="I2666" i="13" s="1"/>
  <c r="N2851" i="14"/>
  <c r="J2850" i="14" a="1"/>
  <c r="J2850" i="14" s="1"/>
  <c r="J2851" i="13" a="1"/>
  <c r="J2851" i="13" s="1"/>
  <c r="N2852" i="13"/>
  <c r="M2854" i="13"/>
  <c r="M2855" i="14"/>
  <c r="K2666" i="13" l="1"/>
  <c r="L2666" i="13" s="1"/>
  <c r="I2667" i="13" s="1"/>
  <c r="K2688" i="14"/>
  <c r="L2688" i="14" s="1"/>
  <c r="I2689" i="14" s="1"/>
  <c r="J2852" i="13" a="1"/>
  <c r="J2852" i="13" s="1"/>
  <c r="N2853" i="13"/>
  <c r="M2856" i="14"/>
  <c r="M2855" i="13"/>
  <c r="N2852" i="14"/>
  <c r="J2851" i="14" a="1"/>
  <c r="J2851" i="14" s="1"/>
  <c r="K2689" i="14" l="1"/>
  <c r="L2689" i="14" s="1"/>
  <c r="I2690" i="14" s="1"/>
  <c r="K2667" i="13"/>
  <c r="L2667" i="13" s="1"/>
  <c r="I2668" i="13" s="1"/>
  <c r="J2852" i="14" a="1"/>
  <c r="J2852" i="14" s="1"/>
  <c r="N2853" i="14"/>
  <c r="M2857" i="14"/>
  <c r="J2853" i="13" a="1"/>
  <c r="J2853" i="13" s="1"/>
  <c r="N2854" i="13"/>
  <c r="M2856" i="13"/>
  <c r="K2690" i="14" l="1"/>
  <c r="L2690" i="14" s="1"/>
  <c r="I2691" i="14" s="1"/>
  <c r="M2857" i="13"/>
  <c r="M2858" i="14"/>
  <c r="K2668" i="13"/>
  <c r="L2668" i="13" s="1"/>
  <c r="I2669" i="13" s="1"/>
  <c r="J2853" i="14" a="1"/>
  <c r="J2853" i="14" s="1"/>
  <c r="N2854" i="14"/>
  <c r="N2855" i="13"/>
  <c r="J2854" i="13" a="1"/>
  <c r="J2854" i="13" s="1"/>
  <c r="K2669" i="13" l="1"/>
  <c r="L2669" i="13" s="1"/>
  <c r="I2670" i="13" s="1"/>
  <c r="K2691" i="14"/>
  <c r="L2691" i="14" s="1"/>
  <c r="I2692" i="14" s="1"/>
  <c r="M2858" i="13"/>
  <c r="N2855" i="14"/>
  <c r="J2854" i="14" a="1"/>
  <c r="J2854" i="14" s="1"/>
  <c r="M2859" i="14"/>
  <c r="J2855" i="13" a="1"/>
  <c r="J2855" i="13" s="1"/>
  <c r="N2856" i="13"/>
  <c r="K2692" i="14" l="1"/>
  <c r="L2692" i="14" s="1"/>
  <c r="I2693" i="14" s="1"/>
  <c r="K2670" i="13"/>
  <c r="L2670" i="13" s="1"/>
  <c r="I2671" i="13" s="1"/>
  <c r="J2856" i="13" a="1"/>
  <c r="J2856" i="13" s="1"/>
  <c r="N2857" i="13"/>
  <c r="N2856" i="14"/>
  <c r="J2855" i="14" a="1"/>
  <c r="J2855" i="14" s="1"/>
  <c r="M2860" i="14"/>
  <c r="M2859" i="13"/>
  <c r="K2671" i="13" l="1"/>
  <c r="L2671" i="13" s="1"/>
  <c r="I2672" i="13" s="1"/>
  <c r="K2693" i="14"/>
  <c r="L2693" i="14" s="1"/>
  <c r="I2694" i="14" s="1"/>
  <c r="M2861" i="14"/>
  <c r="M2860" i="13"/>
  <c r="J2856" i="14" a="1"/>
  <c r="J2856" i="14" s="1"/>
  <c r="N2857" i="14"/>
  <c r="J2857" i="13" a="1"/>
  <c r="J2857" i="13" s="1"/>
  <c r="N2858" i="13"/>
  <c r="K2672" i="13" l="1"/>
  <c r="L2672" i="13" s="1"/>
  <c r="I2673" i="13" s="1"/>
  <c r="N2859" i="13"/>
  <c r="J2858" i="13" a="1"/>
  <c r="J2858" i="13" s="1"/>
  <c r="M2861" i="13"/>
  <c r="K2694" i="14"/>
  <c r="L2694" i="14" s="1"/>
  <c r="I2695" i="14" s="1"/>
  <c r="J2857" i="14" a="1"/>
  <c r="J2857" i="14" s="1"/>
  <c r="N2858" i="14"/>
  <c r="M2862" i="14"/>
  <c r="K2695" i="14" l="1"/>
  <c r="L2695" i="14" s="1"/>
  <c r="I2696" i="14" s="1"/>
  <c r="K2673" i="13"/>
  <c r="L2673" i="13" s="1"/>
  <c r="I2674" i="13" s="1"/>
  <c r="M2863" i="14"/>
  <c r="J2859" i="13" a="1"/>
  <c r="J2859" i="13" s="1"/>
  <c r="N2860" i="13"/>
  <c r="N2859" i="14"/>
  <c r="J2858" i="14" a="1"/>
  <c r="J2858" i="14" s="1"/>
  <c r="M2862" i="13"/>
  <c r="K2674" i="13" l="1"/>
  <c r="L2674" i="13" s="1"/>
  <c r="I2675" i="13" s="1"/>
  <c r="K2696" i="14"/>
  <c r="L2696" i="14" s="1"/>
  <c r="I2697" i="14" s="1"/>
  <c r="J2860" i="13" a="1"/>
  <c r="J2860" i="13" s="1"/>
  <c r="N2861" i="13"/>
  <c r="M2863" i="13"/>
  <c r="N2860" i="14"/>
  <c r="J2859" i="14" a="1"/>
  <c r="J2859" i="14" s="1"/>
  <c r="M2864" i="14"/>
  <c r="K2697" i="14" l="1"/>
  <c r="L2697" i="14" s="1"/>
  <c r="I2698" i="14" s="1"/>
  <c r="K2675" i="13"/>
  <c r="L2675" i="13" s="1"/>
  <c r="I2676" i="13" s="1"/>
  <c r="M2865" i="14"/>
  <c r="M2864" i="13"/>
  <c r="J2861" i="13" a="1"/>
  <c r="J2861" i="13" s="1"/>
  <c r="N2862" i="13"/>
  <c r="J2860" i="14" a="1"/>
  <c r="J2860" i="14" s="1"/>
  <c r="N2861" i="14"/>
  <c r="K2698" i="14" l="1"/>
  <c r="L2698" i="14" s="1"/>
  <c r="I2699" i="14" s="1"/>
  <c r="M2865" i="13"/>
  <c r="J2861" i="14" a="1"/>
  <c r="J2861" i="14" s="1"/>
  <c r="N2862" i="14"/>
  <c r="K2676" i="13"/>
  <c r="L2676" i="13" s="1"/>
  <c r="I2677" i="13" s="1"/>
  <c r="N2863" i="13"/>
  <c r="J2862" i="13" a="1"/>
  <c r="J2862" i="13" s="1"/>
  <c r="M2866" i="14"/>
  <c r="K2699" i="14" l="1"/>
  <c r="L2699" i="14" s="1"/>
  <c r="I2700" i="14" s="1"/>
  <c r="K2677" i="13"/>
  <c r="L2677" i="13" s="1"/>
  <c r="I2678" i="13" s="1"/>
  <c r="N2863" i="14"/>
  <c r="J2862" i="14" a="1"/>
  <c r="J2862" i="14" s="1"/>
  <c r="M2866" i="13"/>
  <c r="J2863" i="13" a="1"/>
  <c r="J2863" i="13" s="1"/>
  <c r="N2864" i="13"/>
  <c r="M2867" i="14"/>
  <c r="K2678" i="13" l="1"/>
  <c r="L2678" i="13" s="1"/>
  <c r="I2679" i="13" s="1"/>
  <c r="K2700" i="14"/>
  <c r="L2700" i="14" s="1"/>
  <c r="I2701" i="14" s="1"/>
  <c r="J2864" i="13" a="1"/>
  <c r="J2864" i="13" s="1"/>
  <c r="N2865" i="13"/>
  <c r="M2868" i="14"/>
  <c r="M2867" i="13"/>
  <c r="N2864" i="14"/>
  <c r="J2863" i="14" a="1"/>
  <c r="J2863" i="14" s="1"/>
  <c r="K2679" i="13" l="1"/>
  <c r="L2679" i="13" s="1"/>
  <c r="I2680" i="13" s="1"/>
  <c r="J2864" i="14" a="1"/>
  <c r="J2864" i="14" s="1"/>
  <c r="N2865" i="14"/>
  <c r="K2701" i="14"/>
  <c r="L2701" i="14" s="1"/>
  <c r="I2702" i="14" s="1"/>
  <c r="J2865" i="13" a="1"/>
  <c r="J2865" i="13" s="1"/>
  <c r="N2866" i="13"/>
  <c r="M2869" i="14"/>
  <c r="M2868" i="13"/>
  <c r="K2702" i="14" l="1"/>
  <c r="L2702" i="14" s="1"/>
  <c r="I2703" i="14" s="1"/>
  <c r="K2680" i="13"/>
  <c r="L2680" i="13" s="1"/>
  <c r="I2681" i="13" s="1"/>
  <c r="N2867" i="13"/>
  <c r="J2866" i="13" a="1"/>
  <c r="J2866" i="13" s="1"/>
  <c r="J2865" i="14" a="1"/>
  <c r="J2865" i="14" s="1"/>
  <c r="N2866" i="14"/>
  <c r="M2869" i="13"/>
  <c r="M2870" i="14"/>
  <c r="K2703" i="14" l="1"/>
  <c r="L2703" i="14" s="1"/>
  <c r="I2704" i="14" s="1"/>
  <c r="N2867" i="14"/>
  <c r="J2866" i="14" a="1"/>
  <c r="J2866" i="14" s="1"/>
  <c r="K2681" i="13"/>
  <c r="L2681" i="13" s="1"/>
  <c r="I2682" i="13" s="1"/>
  <c r="M2870" i="13"/>
  <c r="M2871" i="14"/>
  <c r="J2867" i="13" a="1"/>
  <c r="J2867" i="13" s="1"/>
  <c r="N2868" i="13"/>
  <c r="K2682" i="13" l="1"/>
  <c r="L2682" i="13" s="1"/>
  <c r="I2683" i="13" s="1"/>
  <c r="K2704" i="14"/>
  <c r="L2704" i="14" s="1"/>
  <c r="I2705" i="14" s="1"/>
  <c r="J2868" i="13" a="1"/>
  <c r="J2868" i="13" s="1"/>
  <c r="N2869" i="13"/>
  <c r="N2868" i="14"/>
  <c r="J2867" i="14" a="1"/>
  <c r="J2867" i="14" s="1"/>
  <c r="M2871" i="13"/>
  <c r="M2872" i="14"/>
  <c r="K2705" i="14" l="1"/>
  <c r="L2705" i="14" s="1"/>
  <c r="I2706" i="14" s="1"/>
  <c r="K2683" i="13"/>
  <c r="L2683" i="13" s="1"/>
  <c r="I2684" i="13" s="1"/>
  <c r="J2868" i="14" a="1"/>
  <c r="J2868" i="14" s="1"/>
  <c r="N2869" i="14"/>
  <c r="J2869" i="13" a="1"/>
  <c r="J2869" i="13" s="1"/>
  <c r="N2870" i="13"/>
  <c r="M2873" i="14"/>
  <c r="M2872" i="13"/>
  <c r="K2684" i="13" l="1"/>
  <c r="L2684" i="13" s="1"/>
  <c r="I2685" i="13" s="1"/>
  <c r="K2706" i="14"/>
  <c r="L2706" i="14" s="1"/>
  <c r="I2707" i="14" s="1"/>
  <c r="N2871" i="13"/>
  <c r="J2870" i="13" a="1"/>
  <c r="J2870" i="13" s="1"/>
  <c r="J2869" i="14" a="1"/>
  <c r="J2869" i="14" s="1"/>
  <c r="N2870" i="14"/>
  <c r="M2873" i="13"/>
  <c r="M2874" i="14"/>
  <c r="K2707" i="14" l="1"/>
  <c r="L2707" i="14" s="1"/>
  <c r="I2708" i="14" s="1"/>
  <c r="K2685" i="13"/>
  <c r="L2685" i="13" s="1"/>
  <c r="I2686" i="13" s="1"/>
  <c r="N2871" i="14"/>
  <c r="J2870" i="14" a="1"/>
  <c r="J2870" i="14" s="1"/>
  <c r="M2875" i="14"/>
  <c r="M2874" i="13"/>
  <c r="J2871" i="13" a="1"/>
  <c r="J2871" i="13" s="1"/>
  <c r="N2872" i="13"/>
  <c r="K2708" i="14" l="1"/>
  <c r="L2708" i="14" s="1"/>
  <c r="I2709" i="14" s="1"/>
  <c r="J2872" i="13" a="1"/>
  <c r="J2872" i="13" s="1"/>
  <c r="N2873" i="13"/>
  <c r="M2876" i="14"/>
  <c r="K2686" i="13"/>
  <c r="L2686" i="13" s="1"/>
  <c r="I2687" i="13" s="1"/>
  <c r="M2875" i="13"/>
  <c r="N2872" i="14"/>
  <c r="J2871" i="14" a="1"/>
  <c r="J2871" i="14" s="1"/>
  <c r="K2687" i="13" l="1"/>
  <c r="L2687" i="13" s="1"/>
  <c r="I2688" i="13" s="1"/>
  <c r="K2709" i="14"/>
  <c r="L2709" i="14" s="1"/>
  <c r="I2710" i="14" s="1"/>
  <c r="J2873" i="13" a="1"/>
  <c r="J2873" i="13" s="1"/>
  <c r="N2874" i="13"/>
  <c r="J2872" i="14" a="1"/>
  <c r="J2872" i="14" s="1"/>
  <c r="N2873" i="14"/>
  <c r="M2876" i="13"/>
  <c r="M2877" i="14"/>
  <c r="K2710" i="14" l="1"/>
  <c r="L2710" i="14" s="1"/>
  <c r="I2711" i="14" s="1"/>
  <c r="K2688" i="13"/>
  <c r="L2688" i="13" s="1"/>
  <c r="I2689" i="13" s="1"/>
  <c r="J2873" i="14" a="1"/>
  <c r="J2873" i="14" s="1"/>
  <c r="N2874" i="14"/>
  <c r="N2875" i="13"/>
  <c r="J2874" i="13" a="1"/>
  <c r="J2874" i="13" s="1"/>
  <c r="M2878" i="14"/>
  <c r="M2877" i="13"/>
  <c r="K2711" i="14" l="1"/>
  <c r="L2711" i="14" s="1"/>
  <c r="I2712" i="14" s="1"/>
  <c r="K2689" i="13"/>
  <c r="L2689" i="13" s="1"/>
  <c r="I2690" i="13" s="1"/>
  <c r="M2879" i="14"/>
  <c r="M2878" i="13"/>
  <c r="J2875" i="13" a="1"/>
  <c r="J2875" i="13" s="1"/>
  <c r="N2876" i="13"/>
  <c r="N2875" i="14"/>
  <c r="J2874" i="14" a="1"/>
  <c r="J2874" i="14" s="1"/>
  <c r="K2712" i="14" l="1"/>
  <c r="L2712" i="14" s="1"/>
  <c r="I2713" i="14" s="1"/>
  <c r="N2876" i="14"/>
  <c r="J2875" i="14" a="1"/>
  <c r="J2875" i="14" s="1"/>
  <c r="M2879" i="13"/>
  <c r="K2690" i="13"/>
  <c r="L2690" i="13" s="1"/>
  <c r="I2691" i="13" s="1"/>
  <c r="J2876" i="13" a="1"/>
  <c r="J2876" i="13" s="1"/>
  <c r="N2877" i="13"/>
  <c r="M2880" i="14"/>
  <c r="K2691" i="13" l="1"/>
  <c r="L2691" i="13" s="1"/>
  <c r="I2692" i="13" s="1"/>
  <c r="K2713" i="14"/>
  <c r="L2713" i="14" s="1"/>
  <c r="I2714" i="14" s="1"/>
  <c r="J2876" i="14" a="1"/>
  <c r="J2876" i="14" s="1"/>
  <c r="N2877" i="14"/>
  <c r="J2877" i="13" a="1"/>
  <c r="J2877" i="13" s="1"/>
  <c r="N2878" i="13"/>
  <c r="M2881" i="14"/>
  <c r="M2880" i="13"/>
  <c r="K2692" i="13" l="1"/>
  <c r="L2692" i="13" s="1"/>
  <c r="I2693" i="13" s="1"/>
  <c r="M2881" i="13"/>
  <c r="M2882" i="14"/>
  <c r="N2879" i="13"/>
  <c r="J2878" i="13" a="1"/>
  <c r="J2878" i="13" s="1"/>
  <c r="K2714" i="14"/>
  <c r="L2714" i="14" s="1"/>
  <c r="I2715" i="14" s="1"/>
  <c r="J2877" i="14" a="1"/>
  <c r="J2877" i="14" s="1"/>
  <c r="N2878" i="14"/>
  <c r="K2715" i="14" l="1"/>
  <c r="L2715" i="14" s="1"/>
  <c r="I2716" i="14" s="1"/>
  <c r="K2693" i="13"/>
  <c r="L2693" i="13" s="1"/>
  <c r="I2694" i="13" s="1"/>
  <c r="M2882" i="13"/>
  <c r="N2879" i="14"/>
  <c r="J2878" i="14" a="1"/>
  <c r="J2878" i="14" s="1"/>
  <c r="M2883" i="14"/>
  <c r="J2879" i="13" a="1"/>
  <c r="J2879" i="13" s="1"/>
  <c r="N2880" i="13"/>
  <c r="K2694" i="13" l="1"/>
  <c r="L2694" i="13" s="1"/>
  <c r="I2695" i="13" s="1"/>
  <c r="K2716" i="14"/>
  <c r="L2716" i="14" s="1"/>
  <c r="I2717" i="14" s="1"/>
  <c r="N2880" i="14"/>
  <c r="J2879" i="14" a="1"/>
  <c r="J2879" i="14" s="1"/>
  <c r="J2880" i="13" a="1"/>
  <c r="J2880" i="13" s="1"/>
  <c r="N2881" i="13"/>
  <c r="M2884" i="14"/>
  <c r="M2883" i="13"/>
  <c r="K2695" i="13" l="1"/>
  <c r="L2695" i="13" s="1"/>
  <c r="I2696" i="13" s="1"/>
  <c r="M2884" i="13"/>
  <c r="J2881" i="13" a="1"/>
  <c r="J2881" i="13" s="1"/>
  <c r="N2882" i="13"/>
  <c r="K2717" i="14"/>
  <c r="L2717" i="14" s="1"/>
  <c r="I2718" i="14" s="1"/>
  <c r="M2885" i="14"/>
  <c r="J2880" i="14" a="1"/>
  <c r="J2880" i="14" s="1"/>
  <c r="N2881" i="14"/>
  <c r="K2696" i="13" l="1"/>
  <c r="L2696" i="13" s="1"/>
  <c r="I2697" i="13" s="1"/>
  <c r="J2881" i="14" a="1"/>
  <c r="J2881" i="14" s="1"/>
  <c r="N2882" i="14"/>
  <c r="K2718" i="14"/>
  <c r="L2718" i="14" s="1"/>
  <c r="I2719" i="14" s="1"/>
  <c r="M2885" i="13"/>
  <c r="N2883" i="13"/>
  <c r="J2882" i="13" a="1"/>
  <c r="J2882" i="13" s="1"/>
  <c r="M2886" i="14"/>
  <c r="K2719" i="14" l="1"/>
  <c r="L2719" i="14" s="1"/>
  <c r="I2720" i="14" s="1"/>
  <c r="K2697" i="13"/>
  <c r="L2697" i="13" s="1"/>
  <c r="I2698" i="13" s="1"/>
  <c r="M2887" i="14"/>
  <c r="M2886" i="13"/>
  <c r="N2883" i="14"/>
  <c r="J2882" i="14" a="1"/>
  <c r="J2882" i="14" s="1"/>
  <c r="J2883" i="13" a="1"/>
  <c r="J2883" i="13" s="1"/>
  <c r="N2884" i="13"/>
  <c r="K2720" i="14" l="1"/>
  <c r="L2720" i="14" s="1"/>
  <c r="I2721" i="14" s="1"/>
  <c r="J2884" i="13" a="1"/>
  <c r="J2884" i="13" s="1"/>
  <c r="N2885" i="13"/>
  <c r="M2887" i="13"/>
  <c r="K2698" i="13"/>
  <c r="L2698" i="13" s="1"/>
  <c r="I2699" i="13" s="1"/>
  <c r="N2884" i="14"/>
  <c r="J2883" i="14" a="1"/>
  <c r="J2883" i="14" s="1"/>
  <c r="M2888" i="14"/>
  <c r="K2699" i="13" l="1"/>
  <c r="L2699" i="13" s="1"/>
  <c r="I2700" i="13" s="1"/>
  <c r="K2721" i="14"/>
  <c r="L2721" i="14" s="1"/>
  <c r="I2722" i="14" s="1"/>
  <c r="J2885" i="13" a="1"/>
  <c r="J2885" i="13" s="1"/>
  <c r="N2886" i="13"/>
  <c r="M2889" i="14"/>
  <c r="J2884" i="14" a="1"/>
  <c r="J2884" i="14" s="1"/>
  <c r="N2885" i="14"/>
  <c r="M2888" i="13"/>
  <c r="K2722" i="14" l="1"/>
  <c r="L2722" i="14" s="1"/>
  <c r="I2723" i="14" s="1"/>
  <c r="K2700" i="13"/>
  <c r="L2700" i="13" s="1"/>
  <c r="I2701" i="13" s="1"/>
  <c r="J2885" i="14" a="1"/>
  <c r="J2885" i="14" s="1"/>
  <c r="N2886" i="14"/>
  <c r="M2890" i="14"/>
  <c r="M2889" i="13"/>
  <c r="N2887" i="13"/>
  <c r="J2886" i="13" a="1"/>
  <c r="J2886" i="13" s="1"/>
  <c r="K2701" i="13" l="1"/>
  <c r="L2701" i="13" s="1"/>
  <c r="I2702" i="13" s="1"/>
  <c r="M2890" i="13"/>
  <c r="M2891" i="14"/>
  <c r="J2887" i="13" a="1"/>
  <c r="J2887" i="13" s="1"/>
  <c r="N2888" i="13"/>
  <c r="N2887" i="14"/>
  <c r="J2886" i="14" a="1"/>
  <c r="J2886" i="14" s="1"/>
  <c r="K2723" i="14"/>
  <c r="L2723" i="14" s="1"/>
  <c r="I2724" i="14" s="1"/>
  <c r="K2724" i="14" l="1"/>
  <c r="L2724" i="14" s="1"/>
  <c r="I2725" i="14" s="1"/>
  <c r="K2702" i="13"/>
  <c r="L2702" i="13" s="1"/>
  <c r="I2703" i="13" s="1"/>
  <c r="J2888" i="13" a="1"/>
  <c r="J2888" i="13" s="1"/>
  <c r="N2889" i="13"/>
  <c r="M2891" i="13"/>
  <c r="N2888" i="14"/>
  <c r="J2887" i="14" a="1"/>
  <c r="J2887" i="14" s="1"/>
  <c r="M2892" i="14"/>
  <c r="K2703" i="13" l="1"/>
  <c r="L2703" i="13" s="1"/>
  <c r="I2704" i="13" s="1"/>
  <c r="K2725" i="14"/>
  <c r="L2725" i="14" s="1"/>
  <c r="I2726" i="14" s="1"/>
  <c r="J2888" i="14" a="1"/>
  <c r="J2888" i="14" s="1"/>
  <c r="N2889" i="14"/>
  <c r="M2893" i="14"/>
  <c r="M2892" i="13"/>
  <c r="J2889" i="13" a="1"/>
  <c r="J2889" i="13" s="1"/>
  <c r="N2890" i="13"/>
  <c r="K2726" i="14" l="1"/>
  <c r="L2726" i="14" s="1"/>
  <c r="I2727" i="14" s="1"/>
  <c r="K2704" i="13"/>
  <c r="L2704" i="13" s="1"/>
  <c r="I2705" i="13" s="1"/>
  <c r="N2891" i="13"/>
  <c r="J2890" i="13" a="1"/>
  <c r="J2890" i="13" s="1"/>
  <c r="M2894" i="14"/>
  <c r="J2889" i="14" a="1"/>
  <c r="J2889" i="14" s="1"/>
  <c r="N2890" i="14"/>
  <c r="M2893" i="13"/>
  <c r="K2705" i="13" l="1"/>
  <c r="L2705" i="13" s="1"/>
  <c r="I2706" i="13" s="1"/>
  <c r="K2727" i="14"/>
  <c r="L2727" i="14" s="1"/>
  <c r="I2728" i="14" s="1"/>
  <c r="M2894" i="13"/>
  <c r="M2895" i="14"/>
  <c r="N2891" i="14"/>
  <c r="J2890" i="14" a="1"/>
  <c r="J2890" i="14" s="1"/>
  <c r="J2891" i="13" a="1"/>
  <c r="J2891" i="13" s="1"/>
  <c r="N2892" i="13"/>
  <c r="K2728" i="14" l="1"/>
  <c r="L2728" i="14" s="1"/>
  <c r="I2729" i="14" s="1"/>
  <c r="K2706" i="13"/>
  <c r="L2706" i="13" s="1"/>
  <c r="I2707" i="13" s="1"/>
  <c r="J2892" i="13" a="1"/>
  <c r="J2892" i="13" s="1"/>
  <c r="N2893" i="13"/>
  <c r="M2896" i="14"/>
  <c r="N2892" i="14"/>
  <c r="J2891" i="14" a="1"/>
  <c r="J2891" i="14" s="1"/>
  <c r="M2895" i="13"/>
  <c r="K2707" i="13" l="1"/>
  <c r="L2707" i="13" s="1"/>
  <c r="I2708" i="13" s="1"/>
  <c r="K2729" i="14"/>
  <c r="L2729" i="14" s="1"/>
  <c r="I2730" i="14" s="1"/>
  <c r="J2892" i="14" a="1"/>
  <c r="J2892" i="14" s="1"/>
  <c r="N2893" i="14"/>
  <c r="M2896" i="13"/>
  <c r="M2897" i="14"/>
  <c r="J2893" i="13" a="1"/>
  <c r="J2893" i="13" s="1"/>
  <c r="N2894" i="13"/>
  <c r="K2730" i="14" l="1"/>
  <c r="L2730" i="14" s="1"/>
  <c r="I2731" i="14" s="1"/>
  <c r="K2708" i="13"/>
  <c r="L2708" i="13" s="1"/>
  <c r="I2709" i="13" s="1"/>
  <c r="N2895" i="13"/>
  <c r="J2894" i="13" a="1"/>
  <c r="J2894" i="13" s="1"/>
  <c r="M2897" i="13"/>
  <c r="J2893" i="14" a="1"/>
  <c r="J2893" i="14" s="1"/>
  <c r="N2894" i="14"/>
  <c r="M2898" i="14"/>
  <c r="K2709" i="13" l="1"/>
  <c r="L2709" i="13" s="1"/>
  <c r="I2710" i="13" s="1"/>
  <c r="K2731" i="14"/>
  <c r="L2731" i="14" s="1"/>
  <c r="I2732" i="14" s="1"/>
  <c r="M2899" i="14"/>
  <c r="M2898" i="13"/>
  <c r="N2895" i="14"/>
  <c r="J2894" i="14" a="1"/>
  <c r="J2894" i="14" s="1"/>
  <c r="J2895" i="13" a="1"/>
  <c r="J2895" i="13" s="1"/>
  <c r="N2896" i="13"/>
  <c r="K2710" i="13" l="1"/>
  <c r="L2710" i="13" s="1"/>
  <c r="I2711" i="13" s="1"/>
  <c r="J2896" i="13" a="1"/>
  <c r="J2896" i="13" s="1"/>
  <c r="N2897" i="13"/>
  <c r="M2899" i="13"/>
  <c r="K2732" i="14"/>
  <c r="L2732" i="14" s="1"/>
  <c r="I2733" i="14" s="1"/>
  <c r="N2896" i="14"/>
  <c r="J2895" i="14" a="1"/>
  <c r="J2895" i="14" s="1"/>
  <c r="M2900" i="14"/>
  <c r="K2733" i="14" l="1"/>
  <c r="L2733" i="14" s="1"/>
  <c r="I2734" i="14" s="1"/>
  <c r="K2711" i="13"/>
  <c r="L2711" i="13" s="1"/>
  <c r="I2712" i="13" s="1"/>
  <c r="J2897" i="13" a="1"/>
  <c r="J2897" i="13" s="1"/>
  <c r="N2898" i="13"/>
  <c r="M2901" i="14"/>
  <c r="J2896" i="14" a="1"/>
  <c r="J2896" i="14" s="1"/>
  <c r="N2897" i="14"/>
  <c r="M2900" i="13"/>
  <c r="K2712" i="13" l="1"/>
  <c r="L2712" i="13" s="1"/>
  <c r="I2713" i="13" s="1"/>
  <c r="M2901" i="13"/>
  <c r="M2902" i="14"/>
  <c r="J2897" i="14" a="1"/>
  <c r="J2897" i="14" s="1"/>
  <c r="N2898" i="14"/>
  <c r="N2899" i="13"/>
  <c r="J2898" i="13" a="1"/>
  <c r="J2898" i="13" s="1"/>
  <c r="K2734" i="14"/>
  <c r="L2734" i="14" s="1"/>
  <c r="I2735" i="14" s="1"/>
  <c r="K2735" i="14" l="1"/>
  <c r="L2735" i="14" s="1"/>
  <c r="I2736" i="14" s="1"/>
  <c r="K2713" i="13"/>
  <c r="L2713" i="13" s="1"/>
  <c r="I2714" i="13" s="1"/>
  <c r="N2899" i="14"/>
  <c r="J2898" i="14" a="1"/>
  <c r="J2898" i="14" s="1"/>
  <c r="M2902" i="13"/>
  <c r="M2903" i="14"/>
  <c r="J2899" i="13" a="1"/>
  <c r="J2899" i="13" s="1"/>
  <c r="N2900" i="13"/>
  <c r="K2736" i="14" l="1"/>
  <c r="L2736" i="14" s="1"/>
  <c r="I2737" i="14" s="1"/>
  <c r="J2900" i="13" a="1"/>
  <c r="J2900" i="13" s="1"/>
  <c r="N2901" i="13"/>
  <c r="M2903" i="13"/>
  <c r="K2714" i="13"/>
  <c r="L2714" i="13" s="1"/>
  <c r="I2715" i="13" s="1"/>
  <c r="M2904" i="14"/>
  <c r="N2900" i="14"/>
  <c r="J2899" i="14" a="1"/>
  <c r="J2899" i="14" s="1"/>
  <c r="K2737" i="14" l="1"/>
  <c r="L2737" i="14" s="1"/>
  <c r="I2738" i="14" s="1"/>
  <c r="K2715" i="13"/>
  <c r="L2715" i="13" s="1"/>
  <c r="I2716" i="13" s="1"/>
  <c r="J2901" i="13" a="1"/>
  <c r="J2901" i="13" s="1"/>
  <c r="N2902" i="13"/>
  <c r="J2900" i="14" a="1"/>
  <c r="J2900" i="14" s="1"/>
  <c r="N2901" i="14"/>
  <c r="M2905" i="14"/>
  <c r="M2904" i="13"/>
  <c r="K2716" i="13" l="1"/>
  <c r="L2716" i="13" s="1"/>
  <c r="I2717" i="13" s="1"/>
  <c r="K2738" i="14"/>
  <c r="L2738" i="14" s="1"/>
  <c r="I2739" i="14" s="1"/>
  <c r="J2901" i="14" a="1"/>
  <c r="J2901" i="14" s="1"/>
  <c r="N2902" i="14"/>
  <c r="N2903" i="13"/>
  <c r="J2902" i="13" a="1"/>
  <c r="J2902" i="13" s="1"/>
  <c r="M2905" i="13"/>
  <c r="M2906" i="14"/>
  <c r="K2739" i="14" l="1"/>
  <c r="L2739" i="14" s="1"/>
  <c r="I2740" i="14" s="1"/>
  <c r="K2717" i="13"/>
  <c r="L2717" i="13" s="1"/>
  <c r="I2718" i="13" s="1"/>
  <c r="J2903" i="13" a="1"/>
  <c r="J2903" i="13" s="1"/>
  <c r="N2904" i="13"/>
  <c r="M2907" i="14"/>
  <c r="M2906" i="13"/>
  <c r="N2903" i="14"/>
  <c r="J2902" i="14" a="1"/>
  <c r="J2902" i="14" s="1"/>
  <c r="K2740" i="14" l="1"/>
  <c r="L2740" i="14" s="1"/>
  <c r="I2741" i="14" s="1"/>
  <c r="K2718" i="13"/>
  <c r="L2718" i="13" s="1"/>
  <c r="I2719" i="13" s="1"/>
  <c r="M2907" i="13"/>
  <c r="N2904" i="14"/>
  <c r="J2903" i="14" a="1"/>
  <c r="J2903" i="14" s="1"/>
  <c r="M2908" i="14"/>
  <c r="J2904" i="13" a="1"/>
  <c r="J2904" i="13" s="1"/>
  <c r="N2905" i="13"/>
  <c r="K2719" i="13" l="1"/>
  <c r="L2719" i="13" s="1"/>
  <c r="I2720" i="13" s="1"/>
  <c r="K2741" i="14"/>
  <c r="L2741" i="14" s="1"/>
  <c r="I2742" i="14" s="1"/>
  <c r="J2905" i="13" a="1"/>
  <c r="J2905" i="13" s="1"/>
  <c r="N2906" i="13"/>
  <c r="J2904" i="14" a="1"/>
  <c r="J2904" i="14" s="1"/>
  <c r="N2905" i="14"/>
  <c r="M2909" i="14"/>
  <c r="M2908" i="13"/>
  <c r="K2720" i="13" l="1"/>
  <c r="L2720" i="13" s="1"/>
  <c r="I2721" i="13" s="1"/>
  <c r="J2905" i="14" a="1"/>
  <c r="J2905" i="14" s="1"/>
  <c r="N2906" i="14"/>
  <c r="K2742" i="14"/>
  <c r="L2742" i="14" s="1"/>
  <c r="I2743" i="14" s="1"/>
  <c r="N2907" i="13"/>
  <c r="J2906" i="13" a="1"/>
  <c r="J2906" i="13" s="1"/>
  <c r="M2909" i="13"/>
  <c r="M2910" i="14"/>
  <c r="K2743" i="14" l="1"/>
  <c r="L2743" i="14" s="1"/>
  <c r="I2744" i="14" s="1"/>
  <c r="K2721" i="13"/>
  <c r="L2721" i="13" s="1"/>
  <c r="I2722" i="13" s="1"/>
  <c r="N2907" i="14"/>
  <c r="J2906" i="14" a="1"/>
  <c r="J2906" i="14" s="1"/>
  <c r="M2911" i="14"/>
  <c r="J2907" i="13" a="1"/>
  <c r="J2907" i="13" s="1"/>
  <c r="N2908" i="13"/>
  <c r="M2910" i="13"/>
  <c r="K2722" i="13" l="1"/>
  <c r="L2722" i="13" s="1"/>
  <c r="I2723" i="13" s="1"/>
  <c r="K2744" i="14"/>
  <c r="L2744" i="14" s="1"/>
  <c r="I2745" i="14" s="1"/>
  <c r="J2908" i="13" a="1"/>
  <c r="J2908" i="13" s="1"/>
  <c r="N2909" i="13"/>
  <c r="M2911" i="13"/>
  <c r="M2912" i="14"/>
  <c r="N2908" i="14"/>
  <c r="J2907" i="14" a="1"/>
  <c r="J2907" i="14" s="1"/>
  <c r="K2723" i="13" l="1"/>
  <c r="L2723" i="13" s="1"/>
  <c r="I2724" i="13" s="1"/>
  <c r="J2908" i="14" a="1"/>
  <c r="J2908" i="14" s="1"/>
  <c r="N2909" i="14"/>
  <c r="M2912" i="13"/>
  <c r="K2745" i="14"/>
  <c r="L2745" i="14" s="1"/>
  <c r="I2746" i="14" s="1"/>
  <c r="M2913" i="14"/>
  <c r="J2909" i="13" a="1"/>
  <c r="J2909" i="13" s="1"/>
  <c r="N2910" i="13"/>
  <c r="K2746" i="14" l="1"/>
  <c r="L2746" i="14" s="1"/>
  <c r="I2747" i="14" s="1"/>
  <c r="K2724" i="13"/>
  <c r="L2724" i="13" s="1"/>
  <c r="I2725" i="13" s="1"/>
  <c r="J2909" i="14" a="1"/>
  <c r="J2909" i="14" s="1"/>
  <c r="N2910" i="14"/>
  <c r="N2911" i="13"/>
  <c r="J2910" i="13" a="1"/>
  <c r="J2910" i="13" s="1"/>
  <c r="M2914" i="14"/>
  <c r="M2913" i="13"/>
  <c r="K2725" i="13" l="1"/>
  <c r="L2725" i="13" s="1"/>
  <c r="I2726" i="13" s="1"/>
  <c r="K2747" i="14"/>
  <c r="L2747" i="14" s="1"/>
  <c r="I2748" i="14" s="1"/>
  <c r="M2915" i="14"/>
  <c r="M2914" i="13"/>
  <c r="J2911" i="13" a="1"/>
  <c r="J2911" i="13" s="1"/>
  <c r="N2912" i="13"/>
  <c r="N2911" i="14"/>
  <c r="J2910" i="14" a="1"/>
  <c r="J2910" i="14" s="1"/>
  <c r="K2748" i="14" l="1"/>
  <c r="L2748" i="14" s="1"/>
  <c r="I2749" i="14" s="1"/>
  <c r="M2916" i="14"/>
  <c r="N2912" i="14"/>
  <c r="J2911" i="14" a="1"/>
  <c r="J2911" i="14" s="1"/>
  <c r="M2915" i="13"/>
  <c r="J2912" i="13" a="1"/>
  <c r="J2912" i="13" s="1"/>
  <c r="N2913" i="13"/>
  <c r="K2726" i="13"/>
  <c r="L2726" i="13" s="1"/>
  <c r="I2727" i="13" s="1"/>
  <c r="K2727" i="13" l="1"/>
  <c r="L2727" i="13" s="1"/>
  <c r="I2728" i="13" s="1"/>
  <c r="K2749" i="14"/>
  <c r="L2749" i="14" s="1"/>
  <c r="I2750" i="14" s="1"/>
  <c r="J2913" i="13" a="1"/>
  <c r="J2913" i="13" s="1"/>
  <c r="N2914" i="13"/>
  <c r="M2916" i="13"/>
  <c r="M2917" i="14"/>
  <c r="J2912" i="14" a="1"/>
  <c r="J2912" i="14" s="1"/>
  <c r="N2913" i="14"/>
  <c r="K2750" i="14" l="1"/>
  <c r="L2750" i="14" s="1"/>
  <c r="I2751" i="14" s="1"/>
  <c r="K2728" i="13"/>
  <c r="L2728" i="13" s="1"/>
  <c r="I2729" i="13" s="1"/>
  <c r="M2917" i="13"/>
  <c r="N2915" i="13"/>
  <c r="J2914" i="13" a="1"/>
  <c r="J2914" i="13" s="1"/>
  <c r="J2913" i="14" a="1"/>
  <c r="J2913" i="14" s="1"/>
  <c r="N2914" i="14"/>
  <c r="M2918" i="14"/>
  <c r="K2751" i="14" l="1"/>
  <c r="L2751" i="14" s="1"/>
  <c r="I2752" i="14" s="1"/>
  <c r="K2729" i="13"/>
  <c r="L2729" i="13" s="1"/>
  <c r="I2730" i="13" s="1"/>
  <c r="J2915" i="13" a="1"/>
  <c r="J2915" i="13" s="1"/>
  <c r="N2916" i="13"/>
  <c r="N2915" i="14"/>
  <c r="J2914" i="14" a="1"/>
  <c r="J2914" i="14" s="1"/>
  <c r="M2918" i="13"/>
  <c r="M2919" i="14"/>
  <c r="K2752" i="14" l="1"/>
  <c r="L2752" i="14" s="1"/>
  <c r="I2753" i="14" s="1"/>
  <c r="K2730" i="13"/>
  <c r="L2730" i="13" s="1"/>
  <c r="I2731" i="13" s="1"/>
  <c r="J2916" i="13" a="1"/>
  <c r="J2916" i="13" s="1"/>
  <c r="N2917" i="13"/>
  <c r="M2919" i="13"/>
  <c r="M2920" i="14"/>
  <c r="N2916" i="14"/>
  <c r="J2915" i="14" a="1"/>
  <c r="J2915" i="14" s="1"/>
  <c r="K2753" i="14" l="1"/>
  <c r="L2753" i="14" s="1"/>
  <c r="I2754" i="14" s="1"/>
  <c r="J2916" i="14" a="1"/>
  <c r="J2916" i="14" s="1"/>
  <c r="N2917" i="14"/>
  <c r="M2920" i="13"/>
  <c r="K2731" i="13"/>
  <c r="L2731" i="13" s="1"/>
  <c r="I2732" i="13" s="1"/>
  <c r="J2917" i="13" a="1"/>
  <c r="J2917" i="13" s="1"/>
  <c r="N2918" i="13"/>
  <c r="M2921" i="14"/>
  <c r="K2732" i="13" l="1"/>
  <c r="L2732" i="13" s="1"/>
  <c r="I2733" i="13" s="1"/>
  <c r="K2754" i="14"/>
  <c r="L2754" i="14" s="1"/>
  <c r="I2755" i="14" s="1"/>
  <c r="J2917" i="14" a="1"/>
  <c r="J2917" i="14" s="1"/>
  <c r="N2918" i="14"/>
  <c r="N2919" i="13"/>
  <c r="J2918" i="13" a="1"/>
  <c r="J2918" i="13" s="1"/>
  <c r="M2922" i="14"/>
  <c r="M2921" i="13"/>
  <c r="K2733" i="13" l="1"/>
  <c r="L2733" i="13" s="1"/>
  <c r="I2734" i="13" s="1"/>
  <c r="K2755" i="14"/>
  <c r="L2755" i="14" s="1"/>
  <c r="I2756" i="14" s="1"/>
  <c r="M2922" i="13"/>
  <c r="N2919" i="14"/>
  <c r="J2918" i="14" a="1"/>
  <c r="J2918" i="14" s="1"/>
  <c r="J2919" i="13" a="1"/>
  <c r="J2919" i="13" s="1"/>
  <c r="N2920" i="13"/>
  <c r="M2923" i="14"/>
  <c r="K2734" i="13" l="1"/>
  <c r="L2734" i="13" s="1"/>
  <c r="I2735" i="13" s="1"/>
  <c r="M2924" i="14"/>
  <c r="N2920" i="14"/>
  <c r="J2919" i="14" a="1"/>
  <c r="J2919" i="14" s="1"/>
  <c r="K2756" i="14"/>
  <c r="L2756" i="14" s="1"/>
  <c r="I2757" i="14" s="1"/>
  <c r="J2920" i="13" a="1"/>
  <c r="J2920" i="13" s="1"/>
  <c r="N2921" i="13"/>
  <c r="M2923" i="13"/>
  <c r="K2735" i="13" l="1"/>
  <c r="L2735" i="13" s="1"/>
  <c r="I2736" i="13" s="1"/>
  <c r="M2924" i="13"/>
  <c r="K2757" i="14"/>
  <c r="L2757" i="14" s="1"/>
  <c r="I2758" i="14" s="1"/>
  <c r="M2925" i="14"/>
  <c r="J2921" i="13" a="1"/>
  <c r="J2921" i="13" s="1"/>
  <c r="N2922" i="13"/>
  <c r="J2920" i="14" a="1"/>
  <c r="J2920" i="14" s="1"/>
  <c r="N2921" i="14"/>
  <c r="K2736" i="13" l="1"/>
  <c r="L2736" i="13" s="1"/>
  <c r="I2737" i="13" s="1"/>
  <c r="K2758" i="14"/>
  <c r="L2758" i="14" s="1"/>
  <c r="I2759" i="14" s="1"/>
  <c r="N2923" i="13"/>
  <c r="J2922" i="13" a="1"/>
  <c r="J2922" i="13" s="1"/>
  <c r="J2921" i="14" a="1"/>
  <c r="J2921" i="14" s="1"/>
  <c r="N2922" i="14"/>
  <c r="M2926" i="14"/>
  <c r="M2925" i="13"/>
  <c r="K2759" i="14" l="1"/>
  <c r="L2759" i="14" s="1"/>
  <c r="I2760" i="14" s="1"/>
  <c r="K2737" i="13"/>
  <c r="L2737" i="13" s="1"/>
  <c r="I2738" i="13" s="1"/>
  <c r="N2923" i="14"/>
  <c r="J2922" i="14" a="1"/>
  <c r="J2922" i="14" s="1"/>
  <c r="M2926" i="13"/>
  <c r="M2927" i="14"/>
  <c r="J2923" i="13" a="1"/>
  <c r="J2923" i="13" s="1"/>
  <c r="N2924" i="13"/>
  <c r="K2760" i="14" l="1"/>
  <c r="L2760" i="14" s="1"/>
  <c r="I2761" i="14" s="1"/>
  <c r="J2924" i="13" a="1"/>
  <c r="J2924" i="13" s="1"/>
  <c r="N2925" i="13"/>
  <c r="K2738" i="13"/>
  <c r="L2738" i="13" s="1"/>
  <c r="I2739" i="13" s="1"/>
  <c r="M2927" i="13"/>
  <c r="M2928" i="14"/>
  <c r="N2924" i="14"/>
  <c r="J2923" i="14" a="1"/>
  <c r="J2923" i="14" s="1"/>
  <c r="K2761" i="14" l="1"/>
  <c r="L2761" i="14" s="1"/>
  <c r="I2762" i="14" s="1"/>
  <c r="J2925" i="13" a="1"/>
  <c r="J2925" i="13" s="1"/>
  <c r="N2926" i="13"/>
  <c r="J2924" i="14" a="1"/>
  <c r="J2924" i="14" s="1"/>
  <c r="N2925" i="14"/>
  <c r="M2928" i="13"/>
  <c r="M2929" i="14"/>
  <c r="K2739" i="13"/>
  <c r="L2739" i="13" s="1"/>
  <c r="I2740" i="13" s="1"/>
  <c r="K2740" i="13" l="1"/>
  <c r="L2740" i="13" s="1"/>
  <c r="I2741" i="13" s="1"/>
  <c r="K2762" i="14"/>
  <c r="L2762" i="14" s="1"/>
  <c r="I2763" i="14" s="1"/>
  <c r="N2927" i="13"/>
  <c r="J2926" i="13" a="1"/>
  <c r="J2926" i="13" s="1"/>
  <c r="M2929" i="13"/>
  <c r="M2930" i="14"/>
  <c r="J2925" i="14" a="1"/>
  <c r="J2925" i="14" s="1"/>
  <c r="N2926" i="14"/>
  <c r="K2763" i="14" l="1"/>
  <c r="L2763" i="14" s="1"/>
  <c r="I2764" i="14" s="1"/>
  <c r="K2741" i="13"/>
  <c r="L2741" i="13" s="1"/>
  <c r="I2742" i="13" s="1"/>
  <c r="N2927" i="14"/>
  <c r="J2926" i="14" a="1"/>
  <c r="J2926" i="14" s="1"/>
  <c r="M2931" i="14"/>
  <c r="M2930" i="13"/>
  <c r="J2927" i="13" a="1"/>
  <c r="J2927" i="13" s="1"/>
  <c r="N2928" i="13"/>
  <c r="K2742" i="13" l="1"/>
  <c r="L2742" i="13" s="1"/>
  <c r="I2743" i="13" s="1"/>
  <c r="K2764" i="14"/>
  <c r="L2764" i="14" s="1"/>
  <c r="I2765" i="14" s="1"/>
  <c r="J2928" i="13" a="1"/>
  <c r="J2928" i="13" s="1"/>
  <c r="N2929" i="13"/>
  <c r="M2932" i="14"/>
  <c r="M2931" i="13"/>
  <c r="N2928" i="14"/>
  <c r="J2927" i="14" a="1"/>
  <c r="J2927" i="14" s="1"/>
  <c r="K2743" i="13" l="1"/>
  <c r="L2743" i="13" s="1"/>
  <c r="I2744" i="13" s="1"/>
  <c r="K2765" i="14"/>
  <c r="L2765" i="14" s="1"/>
  <c r="I2766" i="14" s="1"/>
  <c r="J2928" i="14" a="1"/>
  <c r="J2928" i="14" s="1"/>
  <c r="N2929" i="14"/>
  <c r="M2933" i="14"/>
  <c r="J2929" i="13" a="1"/>
  <c r="J2929" i="13" s="1"/>
  <c r="N2930" i="13"/>
  <c r="M2932" i="13"/>
  <c r="K2766" i="14" l="1"/>
  <c r="L2766" i="14" s="1"/>
  <c r="I2767" i="14" s="1"/>
  <c r="M2933" i="13"/>
  <c r="M2934" i="14"/>
  <c r="N2931" i="13"/>
  <c r="J2930" i="13" a="1"/>
  <c r="J2930" i="13" s="1"/>
  <c r="J2929" i="14" a="1"/>
  <c r="J2929" i="14" s="1"/>
  <c r="N2930" i="14"/>
  <c r="K2744" i="13"/>
  <c r="L2744" i="13" s="1"/>
  <c r="I2745" i="13" s="1"/>
  <c r="K2767" i="14" l="1"/>
  <c r="L2767" i="14" s="1"/>
  <c r="I2768" i="14" s="1"/>
  <c r="K2745" i="13"/>
  <c r="L2745" i="13" s="1"/>
  <c r="I2746" i="13" s="1"/>
  <c r="M2934" i="13"/>
  <c r="J2931" i="13" a="1"/>
  <c r="J2931" i="13" s="1"/>
  <c r="N2932" i="13"/>
  <c r="N2931" i="14"/>
  <c r="J2930" i="14" a="1"/>
  <c r="J2930" i="14" s="1"/>
  <c r="M2935" i="14"/>
  <c r="K2746" i="13" l="1"/>
  <c r="L2746" i="13" s="1"/>
  <c r="I2747" i="13" s="1"/>
  <c r="K2768" i="14"/>
  <c r="L2768" i="14" s="1"/>
  <c r="I2769" i="14" s="1"/>
  <c r="M2936" i="14"/>
  <c r="J2932" i="13" a="1"/>
  <c r="J2932" i="13" s="1"/>
  <c r="N2933" i="13"/>
  <c r="N2932" i="14"/>
  <c r="J2931" i="14" a="1"/>
  <c r="J2931" i="14" s="1"/>
  <c r="M2935" i="13"/>
  <c r="K2769" i="14" l="1"/>
  <c r="L2769" i="14" s="1"/>
  <c r="I2770" i="14" s="1"/>
  <c r="K2747" i="13"/>
  <c r="L2747" i="13" s="1"/>
  <c r="I2748" i="13" s="1"/>
  <c r="J2933" i="13" a="1"/>
  <c r="J2933" i="13" s="1"/>
  <c r="N2934" i="13"/>
  <c r="M2936" i="13"/>
  <c r="J2932" i="14" a="1"/>
  <c r="J2932" i="14" s="1"/>
  <c r="N2933" i="14"/>
  <c r="M2937" i="14"/>
  <c r="K2770" i="14" l="1"/>
  <c r="L2770" i="14" s="1"/>
  <c r="I2771" i="14" s="1"/>
  <c r="M2938" i="14"/>
  <c r="M2937" i="13"/>
  <c r="K2748" i="13"/>
  <c r="L2748" i="13" s="1"/>
  <c r="I2749" i="13" s="1"/>
  <c r="N2935" i="13"/>
  <c r="J2934" i="13" a="1"/>
  <c r="J2934" i="13" s="1"/>
  <c r="J2933" i="14" a="1"/>
  <c r="J2933" i="14" s="1"/>
  <c r="N2934" i="14"/>
  <c r="K2771" i="14" l="1"/>
  <c r="L2771" i="14" s="1"/>
  <c r="I2772" i="14" s="1"/>
  <c r="N2935" i="14"/>
  <c r="J2934" i="14" a="1"/>
  <c r="J2934" i="14" s="1"/>
  <c r="M2939" i="14"/>
  <c r="K2749" i="13"/>
  <c r="L2749" i="13" s="1"/>
  <c r="I2750" i="13" s="1"/>
  <c r="M2938" i="13"/>
  <c r="J2935" i="13" a="1"/>
  <c r="J2935" i="13" s="1"/>
  <c r="N2936" i="13"/>
  <c r="K2750" i="13" l="1"/>
  <c r="L2750" i="13" s="1"/>
  <c r="I2751" i="13" s="1"/>
  <c r="K2772" i="14"/>
  <c r="L2772" i="14" s="1"/>
  <c r="I2773" i="14" s="1"/>
  <c r="J2936" i="13" a="1"/>
  <c r="J2936" i="13" s="1"/>
  <c r="N2937" i="13"/>
  <c r="N2936" i="14"/>
  <c r="J2935" i="14" a="1"/>
  <c r="J2935" i="14" s="1"/>
  <c r="M2939" i="13"/>
  <c r="M2940" i="14"/>
  <c r="K2751" i="13" l="1"/>
  <c r="L2751" i="13" s="1"/>
  <c r="I2752" i="13" s="1"/>
  <c r="K2773" i="14"/>
  <c r="L2773" i="14" s="1"/>
  <c r="I2774" i="14" s="1"/>
  <c r="J2936" i="14" a="1"/>
  <c r="J2936" i="14" s="1"/>
  <c r="N2937" i="14"/>
  <c r="M2941" i="14"/>
  <c r="J2937" i="13" a="1"/>
  <c r="J2937" i="13" s="1"/>
  <c r="N2938" i="13"/>
  <c r="M2940" i="13"/>
  <c r="K2774" i="14" l="1"/>
  <c r="L2774" i="14" s="1"/>
  <c r="I2775" i="14" s="1"/>
  <c r="K2752" i="13"/>
  <c r="L2752" i="13" s="1"/>
  <c r="I2753" i="13" s="1"/>
  <c r="M2941" i="13"/>
  <c r="M2942" i="14"/>
  <c r="J2937" i="14" a="1"/>
  <c r="J2937" i="14" s="1"/>
  <c r="N2938" i="14"/>
  <c r="N2939" i="13"/>
  <c r="J2938" i="13" a="1"/>
  <c r="J2938" i="13" s="1"/>
  <c r="K2753" i="13" l="1"/>
  <c r="L2753" i="13" s="1"/>
  <c r="I2754" i="13" s="1"/>
  <c r="M2943" i="14"/>
  <c r="J2939" i="13" a="1"/>
  <c r="J2939" i="13" s="1"/>
  <c r="N2940" i="13"/>
  <c r="N2939" i="14"/>
  <c r="J2938" i="14" a="1"/>
  <c r="J2938" i="14" s="1"/>
  <c r="M2942" i="13"/>
  <c r="K2775" i="14"/>
  <c r="L2775" i="14" s="1"/>
  <c r="I2776" i="14" s="1"/>
  <c r="K2776" i="14" l="1"/>
  <c r="L2776" i="14" s="1"/>
  <c r="I2777" i="14" s="1"/>
  <c r="K2754" i="13"/>
  <c r="L2754" i="13" s="1"/>
  <c r="I2755" i="13" s="1"/>
  <c r="N2940" i="14"/>
  <c r="J2939" i="14" a="1"/>
  <c r="J2939" i="14" s="1"/>
  <c r="M2944" i="14"/>
  <c r="J2940" i="13" a="1"/>
  <c r="J2940" i="13" s="1"/>
  <c r="N2941" i="13"/>
  <c r="M2943" i="13"/>
  <c r="K2777" i="14" l="1"/>
  <c r="L2777" i="14" s="1"/>
  <c r="I2778" i="14" s="1"/>
  <c r="J2941" i="13" a="1"/>
  <c r="J2941" i="13" s="1"/>
  <c r="N2942" i="13"/>
  <c r="M2944" i="13"/>
  <c r="M2945" i="14"/>
  <c r="K2755" i="13"/>
  <c r="L2755" i="13" s="1"/>
  <c r="I2756" i="13" s="1"/>
  <c r="J2940" i="14" a="1"/>
  <c r="J2940" i="14" s="1"/>
  <c r="N2941" i="14"/>
  <c r="K2756" i="13" l="1"/>
  <c r="L2756" i="13" s="1"/>
  <c r="I2757" i="13" s="1"/>
  <c r="K2778" i="14"/>
  <c r="L2778" i="14" s="1"/>
  <c r="I2779" i="14" s="1"/>
  <c r="J2941" i="14" a="1"/>
  <c r="J2941" i="14" s="1"/>
  <c r="N2942" i="14"/>
  <c r="M2946" i="14"/>
  <c r="N2943" i="13"/>
  <c r="J2942" i="13" a="1"/>
  <c r="J2942" i="13" s="1"/>
  <c r="M2945" i="13"/>
  <c r="K2779" i="14" l="1"/>
  <c r="L2779" i="14" s="1"/>
  <c r="I2780" i="14" s="1"/>
  <c r="J2943" i="13" a="1"/>
  <c r="J2943" i="13" s="1"/>
  <c r="N2944" i="13"/>
  <c r="M2946" i="13"/>
  <c r="M2947" i="14"/>
  <c r="N2943" i="14"/>
  <c r="J2942" i="14" a="1"/>
  <c r="J2942" i="14" s="1"/>
  <c r="K2757" i="13"/>
  <c r="L2757" i="13" s="1"/>
  <c r="I2758" i="13" s="1"/>
  <c r="K2758" i="13" l="1"/>
  <c r="L2758" i="13" s="1"/>
  <c r="I2759" i="13" s="1"/>
  <c r="J2944" i="13" a="1"/>
  <c r="J2944" i="13" s="1"/>
  <c r="N2945" i="13"/>
  <c r="M2948" i="14"/>
  <c r="N2944" i="14"/>
  <c r="J2943" i="14" a="1"/>
  <c r="J2943" i="14" s="1"/>
  <c r="M2947" i="13"/>
  <c r="K2780" i="14"/>
  <c r="L2780" i="14" s="1"/>
  <c r="I2781" i="14" s="1"/>
  <c r="K2781" i="14" l="1"/>
  <c r="L2781" i="14" s="1"/>
  <c r="I2782" i="14" s="1"/>
  <c r="K2759" i="13"/>
  <c r="L2759" i="13" s="1"/>
  <c r="I2760" i="13" s="1"/>
  <c r="J2945" i="13" a="1"/>
  <c r="J2945" i="13" s="1"/>
  <c r="N2946" i="13"/>
  <c r="J2944" i="14" a="1"/>
  <c r="J2944" i="14" s="1"/>
  <c r="N2945" i="14"/>
  <c r="M2948" i="13"/>
  <c r="M2949" i="14"/>
  <c r="K2782" i="14" l="1"/>
  <c r="L2782" i="14" s="1"/>
  <c r="I2783" i="14" s="1"/>
  <c r="J2945" i="14" a="1"/>
  <c r="J2945" i="14" s="1"/>
  <c r="N2946" i="14"/>
  <c r="K2760" i="13"/>
  <c r="L2760" i="13" s="1"/>
  <c r="I2761" i="13" s="1"/>
  <c r="N2947" i="13"/>
  <c r="J2946" i="13" a="1"/>
  <c r="J2946" i="13" s="1"/>
  <c r="M2950" i="14"/>
  <c r="M2949" i="13"/>
  <c r="K2761" i="13" l="1"/>
  <c r="L2761" i="13" s="1"/>
  <c r="I2762" i="13" s="1"/>
  <c r="K2783" i="14"/>
  <c r="L2783" i="14" s="1"/>
  <c r="I2784" i="14" s="1"/>
  <c r="N2947" i="14"/>
  <c r="J2946" i="14" a="1"/>
  <c r="J2946" i="14" s="1"/>
  <c r="J2947" i="13" a="1"/>
  <c r="J2947" i="13" s="1"/>
  <c r="N2948" i="13"/>
  <c r="M2951" i="14"/>
  <c r="M2950" i="13"/>
  <c r="K2762" i="13" l="1"/>
  <c r="L2762" i="13" s="1"/>
  <c r="I2763" i="13" s="1"/>
  <c r="K2784" i="14"/>
  <c r="L2784" i="14" s="1"/>
  <c r="I2785" i="14" s="1"/>
  <c r="J2948" i="13" a="1"/>
  <c r="J2948" i="13" s="1"/>
  <c r="N2949" i="13"/>
  <c r="M2951" i="13"/>
  <c r="M2952" i="14"/>
  <c r="N2948" i="14"/>
  <c r="J2947" i="14" a="1"/>
  <c r="J2947" i="14" s="1"/>
  <c r="K2785" i="14" l="1"/>
  <c r="L2785" i="14" s="1"/>
  <c r="I2786" i="14" s="1"/>
  <c r="K2763" i="13"/>
  <c r="L2763" i="13" s="1"/>
  <c r="I2764" i="13" s="1"/>
  <c r="J2948" i="14" a="1"/>
  <c r="J2948" i="14" s="1"/>
  <c r="N2949" i="14"/>
  <c r="M2952" i="13"/>
  <c r="J2949" i="13" a="1"/>
  <c r="J2949" i="13" s="1"/>
  <c r="N2950" i="13"/>
  <c r="M2953" i="14"/>
  <c r="M2954" i="14" l="1"/>
  <c r="M2953" i="13"/>
  <c r="K2764" i="13"/>
  <c r="L2764" i="13" s="1"/>
  <c r="I2765" i="13" s="1"/>
  <c r="N2951" i="13"/>
  <c r="J2950" i="13" a="1"/>
  <c r="J2950" i="13" s="1"/>
  <c r="J2949" i="14" a="1"/>
  <c r="J2949" i="14" s="1"/>
  <c r="N2950" i="14"/>
  <c r="K2786" i="14"/>
  <c r="L2786" i="14" s="1"/>
  <c r="I2787" i="14" s="1"/>
  <c r="K2765" i="13" l="1"/>
  <c r="L2765" i="13" s="1"/>
  <c r="I2766" i="13" s="1"/>
  <c r="K2787" i="14"/>
  <c r="L2787" i="14" s="1"/>
  <c r="I2788" i="14" s="1"/>
  <c r="M2954" i="13"/>
  <c r="J2951" i="13" a="1"/>
  <c r="J2951" i="13" s="1"/>
  <c r="N2952" i="13"/>
  <c r="M2955" i="14"/>
  <c r="N2951" i="14"/>
  <c r="J2950" i="14" a="1"/>
  <c r="J2950" i="14" s="1"/>
  <c r="K2788" i="14" l="1"/>
  <c r="L2788" i="14" s="1"/>
  <c r="I2789" i="14" s="1"/>
  <c r="K2766" i="13"/>
  <c r="L2766" i="13" s="1"/>
  <c r="I2767" i="13" s="1"/>
  <c r="J2952" i="13" a="1"/>
  <c r="J2952" i="13" s="1"/>
  <c r="N2953" i="13"/>
  <c r="N2952" i="14"/>
  <c r="J2951" i="14" a="1"/>
  <c r="J2951" i="14" s="1"/>
  <c r="M2956" i="14"/>
  <c r="M2955" i="13"/>
  <c r="K2789" i="14" l="1"/>
  <c r="L2789" i="14" s="1"/>
  <c r="I2790" i="14" s="1"/>
  <c r="M2957" i="14"/>
  <c r="M2956" i="13"/>
  <c r="K2767" i="13"/>
  <c r="L2767" i="13" s="1"/>
  <c r="I2768" i="13" s="1"/>
  <c r="J2952" i="14" a="1"/>
  <c r="J2952" i="14" s="1"/>
  <c r="N2953" i="14"/>
  <c r="J2953" i="13" a="1"/>
  <c r="J2953" i="13" s="1"/>
  <c r="N2954" i="13"/>
  <c r="K2790" i="14" l="1"/>
  <c r="L2790" i="14" s="1"/>
  <c r="I2791" i="14" s="1"/>
  <c r="N2955" i="13"/>
  <c r="J2954" i="13" a="1"/>
  <c r="J2954" i="13" s="1"/>
  <c r="K2768" i="13"/>
  <c r="L2768" i="13" s="1"/>
  <c r="I2769" i="13" s="1"/>
  <c r="M2958" i="14"/>
  <c r="J2953" i="14" a="1"/>
  <c r="J2953" i="14" s="1"/>
  <c r="N2954" i="14"/>
  <c r="M2957" i="13"/>
  <c r="K2769" i="13" l="1"/>
  <c r="L2769" i="13" s="1"/>
  <c r="I2770" i="13" s="1"/>
  <c r="K2791" i="14"/>
  <c r="L2791" i="14" s="1"/>
  <c r="I2792" i="14" s="1"/>
  <c r="M2958" i="13"/>
  <c r="M2959" i="14"/>
  <c r="J2955" i="13" a="1"/>
  <c r="J2955" i="13" s="1"/>
  <c r="N2956" i="13"/>
  <c r="N2955" i="14"/>
  <c r="J2954" i="14" a="1"/>
  <c r="J2954" i="14" s="1"/>
  <c r="K2792" i="14" l="1"/>
  <c r="L2792" i="14" s="1"/>
  <c r="I2793" i="14" s="1"/>
  <c r="K2770" i="13"/>
  <c r="L2770" i="13" s="1"/>
  <c r="I2771" i="13" s="1"/>
  <c r="N2956" i="14"/>
  <c r="J2955" i="14" a="1"/>
  <c r="J2955" i="14" s="1"/>
  <c r="M2960" i="14"/>
  <c r="J2956" i="13" a="1"/>
  <c r="J2956" i="13" s="1"/>
  <c r="N2957" i="13"/>
  <c r="M2959" i="13"/>
  <c r="K2793" i="14" l="1"/>
  <c r="L2793" i="14" s="1"/>
  <c r="I2794" i="14" s="1"/>
  <c r="K2771" i="13"/>
  <c r="L2771" i="13" s="1"/>
  <c r="I2772" i="13" s="1"/>
  <c r="J2957" i="13" a="1"/>
  <c r="J2957" i="13" s="1"/>
  <c r="N2958" i="13"/>
  <c r="M2960" i="13"/>
  <c r="M2961" i="14"/>
  <c r="J2956" i="14" a="1"/>
  <c r="J2956" i="14" s="1"/>
  <c r="N2957" i="14"/>
  <c r="K2772" i="13" l="1"/>
  <c r="L2772" i="13" s="1"/>
  <c r="I2773" i="13" s="1"/>
  <c r="J2957" i="14" a="1"/>
  <c r="J2957" i="14" s="1"/>
  <c r="N2958" i="14"/>
  <c r="M2961" i="13"/>
  <c r="M2962" i="14"/>
  <c r="N2959" i="13"/>
  <c r="J2958" i="13" a="1"/>
  <c r="J2958" i="13" s="1"/>
  <c r="K2794" i="14"/>
  <c r="L2794" i="14" s="1"/>
  <c r="I2795" i="14" s="1"/>
  <c r="K2795" i="14" l="1"/>
  <c r="L2795" i="14" s="1"/>
  <c r="I2796" i="14" s="1"/>
  <c r="K2773" i="13"/>
  <c r="L2773" i="13" s="1"/>
  <c r="I2774" i="13" s="1"/>
  <c r="M2963" i="14"/>
  <c r="N2959" i="14"/>
  <c r="J2958" i="14" a="1"/>
  <c r="J2958" i="14" s="1"/>
  <c r="M2962" i="13"/>
  <c r="J2959" i="13" a="1"/>
  <c r="J2959" i="13" s="1"/>
  <c r="N2960" i="13"/>
  <c r="K2796" i="14" l="1"/>
  <c r="L2796" i="14" s="1"/>
  <c r="I2797" i="14" s="1"/>
  <c r="J2960" i="13" a="1"/>
  <c r="J2960" i="13" s="1"/>
  <c r="N2961" i="13"/>
  <c r="K2774" i="13"/>
  <c r="L2774" i="13" s="1"/>
  <c r="I2775" i="13" s="1"/>
  <c r="N2960" i="14"/>
  <c r="J2959" i="14" a="1"/>
  <c r="J2959" i="14" s="1"/>
  <c r="M2963" i="13"/>
  <c r="M2964" i="14"/>
  <c r="K2775" i="13" l="1"/>
  <c r="L2775" i="13" s="1"/>
  <c r="I2776" i="13" s="1"/>
  <c r="K2797" i="14"/>
  <c r="L2797" i="14" s="1"/>
  <c r="I2798" i="14" s="1"/>
  <c r="J2961" i="13" a="1"/>
  <c r="J2961" i="13" s="1"/>
  <c r="N2962" i="13"/>
  <c r="J2960" i="14" a="1"/>
  <c r="J2960" i="14" s="1"/>
  <c r="N2961" i="14"/>
  <c r="M2965" i="14"/>
  <c r="M2964" i="13"/>
  <c r="K2776" i="13" l="1"/>
  <c r="L2776" i="13" s="1"/>
  <c r="I2777" i="13" s="1"/>
  <c r="M2966" i="14"/>
  <c r="J2961" i="14" a="1"/>
  <c r="J2961" i="14" s="1"/>
  <c r="N2962" i="14"/>
  <c r="K2798" i="14"/>
  <c r="L2798" i="14" s="1"/>
  <c r="I2799" i="14" s="1"/>
  <c r="N2963" i="13"/>
  <c r="J2962" i="13" a="1"/>
  <c r="J2962" i="13" s="1"/>
  <c r="M2965" i="13"/>
  <c r="K2777" i="13" l="1"/>
  <c r="L2777" i="13" s="1"/>
  <c r="I2778" i="13" s="1"/>
  <c r="J2963" i="13" a="1"/>
  <c r="J2963" i="13" s="1"/>
  <c r="N2964" i="13"/>
  <c r="M2966" i="13"/>
  <c r="M2967" i="14"/>
  <c r="K2799" i="14"/>
  <c r="L2799" i="14" s="1"/>
  <c r="I2800" i="14" s="1"/>
  <c r="N2963" i="14"/>
  <c r="J2962" i="14" a="1"/>
  <c r="J2962" i="14" s="1"/>
  <c r="K2800" i="14" l="1"/>
  <c r="L2800" i="14" s="1"/>
  <c r="I2801" i="14" s="1"/>
  <c r="K2778" i="13"/>
  <c r="L2778" i="13" s="1"/>
  <c r="I2779" i="13" s="1"/>
  <c r="J2964" i="13" a="1"/>
  <c r="J2964" i="13" s="1"/>
  <c r="N2965" i="13"/>
  <c r="N2964" i="14"/>
  <c r="J2963" i="14" a="1"/>
  <c r="J2963" i="14" s="1"/>
  <c r="M2968" i="14"/>
  <c r="M2967" i="13"/>
  <c r="K2801" i="14" l="1"/>
  <c r="L2801" i="14" s="1"/>
  <c r="I2802" i="14" s="1"/>
  <c r="K2779" i="13"/>
  <c r="L2779" i="13" s="1"/>
  <c r="I2780" i="13" s="1"/>
  <c r="J2964" i="14" a="1"/>
  <c r="J2964" i="14" s="1"/>
  <c r="N2965" i="14"/>
  <c r="M2968" i="13"/>
  <c r="J2965" i="13" a="1"/>
  <c r="J2965" i="13" s="1"/>
  <c r="N2966" i="13"/>
  <c r="M2969" i="14"/>
  <c r="K2802" i="14" l="1"/>
  <c r="L2802" i="14" s="1"/>
  <c r="I2803" i="14" s="1"/>
  <c r="M2970" i="14"/>
  <c r="M2969" i="13"/>
  <c r="K2780" i="13"/>
  <c r="L2780" i="13" s="1"/>
  <c r="I2781" i="13" s="1"/>
  <c r="J2965" i="14" a="1"/>
  <c r="J2965" i="14" s="1"/>
  <c r="N2966" i="14"/>
  <c r="N2967" i="13"/>
  <c r="J2966" i="13" a="1"/>
  <c r="J2966" i="13" s="1"/>
  <c r="K2803" i="14" l="1"/>
  <c r="L2803" i="14" s="1"/>
  <c r="I2804" i="14" s="1"/>
  <c r="K2781" i="13"/>
  <c r="L2781" i="13" s="1"/>
  <c r="I2782" i="13" s="1"/>
  <c r="M2971" i="14"/>
  <c r="N2967" i="14"/>
  <c r="J2966" i="14" a="1"/>
  <c r="J2966" i="14" s="1"/>
  <c r="J2967" i="13" a="1"/>
  <c r="J2967" i="13" s="1"/>
  <c r="N2968" i="13"/>
  <c r="M2970" i="13"/>
  <c r="K2782" i="13" l="1"/>
  <c r="L2782" i="13" s="1"/>
  <c r="I2783" i="13" s="1"/>
  <c r="K2804" i="14"/>
  <c r="L2804" i="14" s="1"/>
  <c r="I2805" i="14" s="1"/>
  <c r="M2971" i="13"/>
  <c r="N2968" i="14"/>
  <c r="J2967" i="14" a="1"/>
  <c r="J2967" i="14" s="1"/>
  <c r="J2968" i="13" a="1"/>
  <c r="J2968" i="13" s="1"/>
  <c r="N2969" i="13"/>
  <c r="M2972" i="14"/>
  <c r="K2805" i="14" l="1"/>
  <c r="L2805" i="14" s="1"/>
  <c r="I2806" i="14" s="1"/>
  <c r="K2783" i="13"/>
  <c r="L2783" i="13" s="1"/>
  <c r="I2784" i="13" s="1"/>
  <c r="J2968" i="14" a="1"/>
  <c r="J2968" i="14" s="1"/>
  <c r="N2969" i="14"/>
  <c r="J2969" i="13" a="1"/>
  <c r="J2969" i="13" s="1"/>
  <c r="N2970" i="13"/>
  <c r="M2973" i="14"/>
  <c r="M2972" i="13"/>
  <c r="K2784" i="13" l="1"/>
  <c r="L2784" i="13" s="1"/>
  <c r="I2785" i="13" s="1"/>
  <c r="K2806" i="14"/>
  <c r="L2806" i="14" s="1"/>
  <c r="I2807" i="14" s="1"/>
  <c r="N2971" i="13"/>
  <c r="J2970" i="13" a="1"/>
  <c r="J2970" i="13" s="1"/>
  <c r="J2969" i="14" a="1"/>
  <c r="J2969" i="14" s="1"/>
  <c r="N2970" i="14"/>
  <c r="M2973" i="13"/>
  <c r="M2974" i="14"/>
  <c r="K2807" i="14" l="1"/>
  <c r="L2807" i="14" s="1"/>
  <c r="I2808" i="14" s="1"/>
  <c r="K2785" i="13"/>
  <c r="L2785" i="13" s="1"/>
  <c r="I2786" i="13" s="1"/>
  <c r="N2971" i="14"/>
  <c r="J2970" i="14" a="1"/>
  <c r="J2970" i="14" s="1"/>
  <c r="M2975" i="14"/>
  <c r="M2974" i="13"/>
  <c r="J2971" i="13" a="1"/>
  <c r="J2971" i="13" s="1"/>
  <c r="N2972" i="13"/>
  <c r="K2786" i="13" l="1"/>
  <c r="L2786" i="13" s="1"/>
  <c r="I2787" i="13" s="1"/>
  <c r="J2972" i="13" a="1"/>
  <c r="J2972" i="13" s="1"/>
  <c r="N2973" i="13"/>
  <c r="M2976" i="14"/>
  <c r="M2975" i="13"/>
  <c r="N2972" i="14"/>
  <c r="J2971" i="14" a="1"/>
  <c r="J2971" i="14" s="1"/>
  <c r="K2808" i="14"/>
  <c r="L2808" i="14" s="1"/>
  <c r="I2809" i="14" s="1"/>
  <c r="K2809" i="14" l="1"/>
  <c r="L2809" i="14" s="1"/>
  <c r="I2810" i="14" s="1"/>
  <c r="K2787" i="13"/>
  <c r="L2787" i="13" s="1"/>
  <c r="I2788" i="13" s="1"/>
  <c r="J2973" i="13" a="1"/>
  <c r="J2973" i="13" s="1"/>
  <c r="N2974" i="13"/>
  <c r="M2976" i="13"/>
  <c r="J2972" i="14" a="1"/>
  <c r="J2972" i="14" s="1"/>
  <c r="N2973" i="14"/>
  <c r="M2977" i="14"/>
  <c r="K2810" i="14" l="1"/>
  <c r="L2810" i="14" s="1"/>
  <c r="I2811" i="14" s="1"/>
  <c r="M2978" i="14"/>
  <c r="N2975" i="13"/>
  <c r="J2974" i="13" a="1"/>
  <c r="J2974" i="13" s="1"/>
  <c r="M2977" i="13"/>
  <c r="K2788" i="13"/>
  <c r="L2788" i="13" s="1"/>
  <c r="I2789" i="13" s="1"/>
  <c r="J2973" i="14" a="1"/>
  <c r="J2973" i="14" s="1"/>
  <c r="N2974" i="14"/>
  <c r="K2789" i="13" l="1"/>
  <c r="L2789" i="13" s="1"/>
  <c r="I2790" i="13" s="1"/>
  <c r="K2811" i="14"/>
  <c r="L2811" i="14" s="1"/>
  <c r="I2812" i="14" s="1"/>
  <c r="N2975" i="14"/>
  <c r="J2974" i="14" a="1"/>
  <c r="J2974" i="14" s="1"/>
  <c r="M2978" i="13"/>
  <c r="M2979" i="14"/>
  <c r="J2975" i="13" a="1"/>
  <c r="J2975" i="13" s="1"/>
  <c r="N2976" i="13"/>
  <c r="K2790" i="13" l="1"/>
  <c r="L2790" i="13" s="1"/>
  <c r="I2791" i="13" s="1"/>
  <c r="J2976" i="13" a="1"/>
  <c r="J2976" i="13" s="1"/>
  <c r="N2977" i="13"/>
  <c r="M2979" i="13"/>
  <c r="K2812" i="14"/>
  <c r="L2812" i="14" s="1"/>
  <c r="I2813" i="14" s="1"/>
  <c r="M2980" i="14"/>
  <c r="N2976" i="14"/>
  <c r="J2975" i="14" a="1"/>
  <c r="J2975" i="14" s="1"/>
  <c r="K2813" i="14" l="1"/>
  <c r="L2813" i="14" s="1"/>
  <c r="I2814" i="14" s="1"/>
  <c r="K2791" i="13"/>
  <c r="L2791" i="13" s="1"/>
  <c r="I2792" i="13" s="1"/>
  <c r="J2977" i="13" a="1"/>
  <c r="J2977" i="13" s="1"/>
  <c r="N2978" i="13"/>
  <c r="J2976" i="14" a="1"/>
  <c r="J2976" i="14" s="1"/>
  <c r="N2977" i="14"/>
  <c r="M2981" i="14"/>
  <c r="M2980" i="13"/>
  <c r="K2792" i="13" l="1"/>
  <c r="L2792" i="13" s="1"/>
  <c r="I2793" i="13" s="1"/>
  <c r="K2814" i="14"/>
  <c r="L2814" i="14" s="1"/>
  <c r="I2815" i="14" s="1"/>
  <c r="J2977" i="14" a="1"/>
  <c r="J2977" i="14" s="1"/>
  <c r="N2978" i="14"/>
  <c r="N2979" i="13"/>
  <c r="J2978" i="13" a="1"/>
  <c r="J2978" i="13" s="1"/>
  <c r="M2981" i="13"/>
  <c r="M2982" i="14"/>
  <c r="K2793" i="13" l="1"/>
  <c r="L2793" i="13" s="1"/>
  <c r="I2794" i="13" s="1"/>
  <c r="M2983" i="14"/>
  <c r="J2979" i="13" a="1"/>
  <c r="J2979" i="13" s="1"/>
  <c r="N2980" i="13"/>
  <c r="K2815" i="14"/>
  <c r="L2815" i="14" s="1"/>
  <c r="I2816" i="14" s="1"/>
  <c r="M2982" i="13"/>
  <c r="N2979" i="14"/>
  <c r="J2978" i="14" a="1"/>
  <c r="J2978" i="14" s="1"/>
  <c r="K2794" i="13" l="1"/>
  <c r="L2794" i="13" s="1"/>
  <c r="I2795" i="13" s="1"/>
  <c r="K2816" i="14"/>
  <c r="L2816" i="14" s="1"/>
  <c r="I2817" i="14" s="1"/>
  <c r="M2984" i="14"/>
  <c r="N2980" i="14"/>
  <c r="J2979" i="14" a="1"/>
  <c r="J2979" i="14" s="1"/>
  <c r="J2980" i="13" a="1"/>
  <c r="J2980" i="13" s="1"/>
  <c r="N2981" i="13"/>
  <c r="M2983" i="13"/>
  <c r="K2795" i="13" l="1"/>
  <c r="L2795" i="13" s="1"/>
  <c r="I2796" i="13" s="1"/>
  <c r="M2984" i="13"/>
  <c r="K2817" i="14"/>
  <c r="L2817" i="14" s="1"/>
  <c r="I2818" i="14" s="1"/>
  <c r="J2980" i="14" a="1"/>
  <c r="J2980" i="14" s="1"/>
  <c r="N2981" i="14"/>
  <c r="J2981" i="13" a="1"/>
  <c r="J2981" i="13" s="1"/>
  <c r="N2982" i="13"/>
  <c r="M2985" i="14"/>
  <c r="K2818" i="14" l="1"/>
  <c r="L2818" i="14" s="1"/>
  <c r="I2819" i="14" s="1"/>
  <c r="K2796" i="13"/>
  <c r="L2796" i="13" s="1"/>
  <c r="I2797" i="13" s="1"/>
  <c r="M2986" i="14"/>
  <c r="J2981" i="14" a="1"/>
  <c r="J2981" i="14" s="1"/>
  <c r="N2982" i="14"/>
  <c r="M2985" i="13"/>
  <c r="N2983" i="13"/>
  <c r="J2982" i="13" a="1"/>
  <c r="J2982" i="13" s="1"/>
  <c r="K2819" i="14" l="1"/>
  <c r="L2819" i="14" s="1"/>
  <c r="I2820" i="14" s="1"/>
  <c r="N2983" i="14"/>
  <c r="J2982" i="14" a="1"/>
  <c r="J2982" i="14" s="1"/>
  <c r="J2983" i="13" a="1"/>
  <c r="J2983" i="13" s="1"/>
  <c r="N2984" i="13"/>
  <c r="K2797" i="13"/>
  <c r="L2797" i="13" s="1"/>
  <c r="I2798" i="13" s="1"/>
  <c r="M2986" i="13"/>
  <c r="M2987" i="14"/>
  <c r="K2798" i="13" l="1"/>
  <c r="L2798" i="13" s="1"/>
  <c r="I2799" i="13" s="1"/>
  <c r="K2820" i="14"/>
  <c r="L2820" i="14" s="1"/>
  <c r="I2821" i="14" s="1"/>
  <c r="N2984" i="14"/>
  <c r="J2983" i="14" a="1"/>
  <c r="J2983" i="14" s="1"/>
  <c r="M2987" i="13"/>
  <c r="M2988" i="14"/>
  <c r="J2984" i="13" a="1"/>
  <c r="J2984" i="13" s="1"/>
  <c r="N2985" i="13"/>
  <c r="K2821" i="14" l="1"/>
  <c r="L2821" i="14" s="1"/>
  <c r="I2822" i="14" s="1"/>
  <c r="K2799" i="13"/>
  <c r="L2799" i="13" s="1"/>
  <c r="I2800" i="13" s="1"/>
  <c r="J2985" i="13" a="1"/>
  <c r="J2985" i="13" s="1"/>
  <c r="N2986" i="13"/>
  <c r="M2988" i="13"/>
  <c r="M2989" i="14"/>
  <c r="J2984" i="14" a="1"/>
  <c r="J2984" i="14" s="1"/>
  <c r="N2985" i="14"/>
  <c r="K2800" i="13" l="1"/>
  <c r="L2800" i="13" s="1"/>
  <c r="I2801" i="13" s="1"/>
  <c r="K2822" i="14"/>
  <c r="L2822" i="14" s="1"/>
  <c r="I2823" i="14" s="1"/>
  <c r="J2985" i="14" a="1"/>
  <c r="J2985" i="14" s="1"/>
  <c r="N2986" i="14"/>
  <c r="M2990" i="14"/>
  <c r="M2989" i="13"/>
  <c r="N2987" i="13"/>
  <c r="J2986" i="13" a="1"/>
  <c r="J2986" i="13" s="1"/>
  <c r="K2823" i="14" l="1"/>
  <c r="L2823" i="14" s="1"/>
  <c r="I2824" i="14" s="1"/>
  <c r="K2801" i="13"/>
  <c r="L2801" i="13" s="1"/>
  <c r="I2802" i="13" s="1"/>
  <c r="M2991" i="14"/>
  <c r="J2987" i="13" a="1"/>
  <c r="J2987" i="13" s="1"/>
  <c r="N2988" i="13"/>
  <c r="M2990" i="13"/>
  <c r="N2987" i="14"/>
  <c r="J2986" i="14" a="1"/>
  <c r="J2986" i="14" s="1"/>
  <c r="K2802" i="13" l="1"/>
  <c r="L2802" i="13" s="1"/>
  <c r="I2803" i="13" s="1"/>
  <c r="K2824" i="14"/>
  <c r="L2824" i="14" s="1"/>
  <c r="I2825" i="14" s="1"/>
  <c r="J2988" i="13" a="1"/>
  <c r="J2988" i="13" s="1"/>
  <c r="N2989" i="13"/>
  <c r="N2988" i="14"/>
  <c r="J2987" i="14" a="1"/>
  <c r="J2987" i="14" s="1"/>
  <c r="M2991" i="13"/>
  <c r="M2992" i="14"/>
  <c r="K2825" i="14" l="1"/>
  <c r="L2825" i="14" s="1"/>
  <c r="I2826" i="14" s="1"/>
  <c r="M2992" i="13"/>
  <c r="K2803" i="13"/>
  <c r="L2803" i="13" s="1"/>
  <c r="I2804" i="13" s="1"/>
  <c r="M2993" i="14"/>
  <c r="J2988" i="14" a="1"/>
  <c r="J2988" i="14" s="1"/>
  <c r="N2989" i="14"/>
  <c r="J2989" i="13" a="1"/>
  <c r="J2989" i="13" s="1"/>
  <c r="N2990" i="13"/>
  <c r="K2804" i="13" l="1"/>
  <c r="L2804" i="13" s="1"/>
  <c r="I2805" i="13" s="1"/>
  <c r="K2826" i="14"/>
  <c r="L2826" i="14" s="1"/>
  <c r="I2827" i="14" s="1"/>
  <c r="N2991" i="13"/>
  <c r="J2990" i="13" a="1"/>
  <c r="J2990" i="13" s="1"/>
  <c r="M2994" i="14"/>
  <c r="M2993" i="13"/>
  <c r="J2989" i="14" a="1"/>
  <c r="J2989" i="14" s="1"/>
  <c r="N2990" i="14"/>
  <c r="K2827" i="14" l="1"/>
  <c r="L2827" i="14" s="1"/>
  <c r="I2828" i="14" s="1"/>
  <c r="K2805" i="13"/>
  <c r="L2805" i="13" s="1"/>
  <c r="I2806" i="13" s="1"/>
  <c r="M2994" i="13"/>
  <c r="N2991" i="14"/>
  <c r="J2990" i="14" a="1"/>
  <c r="J2990" i="14" s="1"/>
  <c r="M2995" i="14"/>
  <c r="J2991" i="13" a="1"/>
  <c r="J2991" i="13" s="1"/>
  <c r="N2992" i="13"/>
  <c r="K2828" i="14" l="1"/>
  <c r="L2828" i="14" s="1"/>
  <c r="I2829" i="14" s="1"/>
  <c r="K2806" i="13"/>
  <c r="L2806" i="13" s="1"/>
  <c r="I2807" i="13" s="1"/>
  <c r="J2992" i="13" a="1"/>
  <c r="J2992" i="13" s="1"/>
  <c r="N2993" i="13"/>
  <c r="N2992" i="14"/>
  <c r="J2991" i="14" a="1"/>
  <c r="J2991" i="14" s="1"/>
  <c r="M2996" i="14"/>
  <c r="M2995" i="13"/>
  <c r="K2807" i="13" l="1"/>
  <c r="L2807" i="13" s="1"/>
  <c r="I2808" i="13" s="1"/>
  <c r="K2829" i="14"/>
  <c r="L2829" i="14" s="1"/>
  <c r="I2830" i="14" s="1"/>
  <c r="J2992" i="14" a="1"/>
  <c r="J2992" i="14" s="1"/>
  <c r="N2993" i="14"/>
  <c r="M2996" i="13"/>
  <c r="J2993" i="13" a="1"/>
  <c r="J2993" i="13" s="1"/>
  <c r="N2994" i="13"/>
  <c r="M2997" i="14"/>
  <c r="K2808" i="13" l="1"/>
  <c r="L2808" i="13" s="1"/>
  <c r="I2809" i="13" s="1"/>
  <c r="N2995" i="13"/>
  <c r="J2994" i="13" a="1"/>
  <c r="J2994" i="13" s="1"/>
  <c r="M2998" i="14"/>
  <c r="M2997" i="13"/>
  <c r="K2830" i="14"/>
  <c r="L2830" i="14" s="1"/>
  <c r="I2831" i="14" s="1"/>
  <c r="J2993" i="14" a="1"/>
  <c r="J2993" i="14" s="1"/>
  <c r="N2994" i="14"/>
  <c r="K2831" i="14" l="1"/>
  <c r="L2831" i="14" s="1"/>
  <c r="I2832" i="14" s="1"/>
  <c r="K2809" i="13"/>
  <c r="L2809" i="13" s="1"/>
  <c r="I2810" i="13" s="1"/>
  <c r="J2995" i="13" a="1"/>
  <c r="J2995" i="13" s="1"/>
  <c r="N2996" i="13"/>
  <c r="N2995" i="14"/>
  <c r="J2994" i="14" a="1"/>
  <c r="J2994" i="14" s="1"/>
  <c r="M2998" i="13"/>
  <c r="M2999" i="14"/>
  <c r="K2810" i="13" l="1"/>
  <c r="L2810" i="13" s="1"/>
  <c r="I2811" i="13" s="1"/>
  <c r="K2832" i="14"/>
  <c r="L2832" i="14" s="1"/>
  <c r="I2833" i="14" s="1"/>
  <c r="M2999" i="13"/>
  <c r="M3000" i="14"/>
  <c r="N2996" i="14"/>
  <c r="J2995" i="14" a="1"/>
  <c r="J2995" i="14" s="1"/>
  <c r="J2996" i="13" a="1"/>
  <c r="J2996" i="13" s="1"/>
  <c r="N2997" i="13"/>
  <c r="K2811" i="13" l="1"/>
  <c r="L2811" i="13" s="1"/>
  <c r="I2812" i="13" s="1"/>
  <c r="J2997" i="13" a="1"/>
  <c r="J2997" i="13" s="1"/>
  <c r="N2998" i="13"/>
  <c r="K2833" i="14"/>
  <c r="L2833" i="14" s="1"/>
  <c r="I2834" i="14" s="1"/>
  <c r="M3001" i="14"/>
  <c r="J2996" i="14" a="1"/>
  <c r="J2996" i="14" s="1"/>
  <c r="N2997" i="14"/>
  <c r="M3000" i="13"/>
  <c r="K2834" i="14" l="1"/>
  <c r="L2834" i="14" s="1"/>
  <c r="I2835" i="14" s="1"/>
  <c r="K2812" i="13"/>
  <c r="L2812" i="13" s="1"/>
  <c r="I2813" i="13" s="1"/>
  <c r="M3001" i="13"/>
  <c r="M3002" i="14"/>
  <c r="N2999" i="13"/>
  <c r="J2998" i="13" a="1"/>
  <c r="J2998" i="13" s="1"/>
  <c r="J2997" i="14" a="1"/>
  <c r="J2997" i="14" s="1"/>
  <c r="N2998" i="14"/>
  <c r="K2835" i="14" l="1"/>
  <c r="L2835" i="14" s="1"/>
  <c r="I2836" i="14" s="1"/>
  <c r="K2813" i="13"/>
  <c r="L2813" i="13" s="1"/>
  <c r="I2814" i="13" s="1"/>
  <c r="N2999" i="14"/>
  <c r="J2998" i="14" a="1"/>
  <c r="J2998" i="14" s="1"/>
  <c r="M3003" i="14"/>
  <c r="M3002" i="13"/>
  <c r="J2999" i="13" a="1"/>
  <c r="J2999" i="13" s="1"/>
  <c r="N3000" i="13"/>
  <c r="K2814" i="13" l="1"/>
  <c r="L2814" i="13" s="1"/>
  <c r="I2815" i="13" s="1"/>
  <c r="K2836" i="14"/>
  <c r="L2836" i="14" s="1"/>
  <c r="I2837" i="14" s="1"/>
  <c r="J3000" i="13" a="1"/>
  <c r="J3000" i="13" s="1"/>
  <c r="N3001" i="13"/>
  <c r="M3003" i="13"/>
  <c r="M3004" i="14"/>
  <c r="N3000" i="14"/>
  <c r="J2999" i="14" a="1"/>
  <c r="J2999" i="14" s="1"/>
  <c r="K2837" i="14" l="1"/>
  <c r="L2837" i="14" s="1"/>
  <c r="I2838" i="14" s="1"/>
  <c r="K2815" i="13"/>
  <c r="L2815" i="13" s="1"/>
  <c r="I2816" i="13" s="1"/>
  <c r="J3000" i="14" a="1"/>
  <c r="J3000" i="14" s="1"/>
  <c r="N3001" i="14"/>
  <c r="M3004" i="13"/>
  <c r="J3001" i="13" a="1"/>
  <c r="J3001" i="13" s="1"/>
  <c r="N3002" i="13"/>
  <c r="M3005" i="14"/>
  <c r="K2816" i="13" l="1"/>
  <c r="L2816" i="13" s="1"/>
  <c r="I2817" i="13" s="1"/>
  <c r="K2838" i="14"/>
  <c r="L2838" i="14" s="1"/>
  <c r="I2839" i="14" s="1"/>
  <c r="M3006" i="14"/>
  <c r="M3005" i="13"/>
  <c r="N3003" i="13"/>
  <c r="J3002" i="13" a="1"/>
  <c r="J3002" i="13" s="1"/>
  <c r="J3001" i="14" a="1"/>
  <c r="J3001" i="14" s="1"/>
  <c r="N3002" i="14"/>
  <c r="K2839" i="14" l="1"/>
  <c r="L2839" i="14" s="1"/>
  <c r="I2840" i="14" s="1"/>
  <c r="K2817" i="13"/>
  <c r="L2817" i="13" s="1"/>
  <c r="I2818" i="13" s="1"/>
  <c r="N3003" i="14"/>
  <c r="J3002" i="14" a="1"/>
  <c r="J3002" i="14" s="1"/>
  <c r="M3006" i="13"/>
  <c r="M3007" i="14"/>
  <c r="J3003" i="13" a="1"/>
  <c r="J3003" i="13" s="1"/>
  <c r="N3004" i="13"/>
  <c r="K2818" i="13" l="1"/>
  <c r="L2818" i="13" s="1"/>
  <c r="I2819" i="13" s="1"/>
  <c r="K2840" i="14"/>
  <c r="L2840" i="14" s="1"/>
  <c r="I2841" i="14" s="1"/>
  <c r="J3004" i="13" a="1"/>
  <c r="J3004" i="13" s="1"/>
  <c r="N3005" i="13"/>
  <c r="M3007" i="13"/>
  <c r="M3008" i="14"/>
  <c r="N3004" i="14"/>
  <c r="J3003" i="14" a="1"/>
  <c r="J3003" i="14" s="1"/>
  <c r="K2841" i="14" l="1"/>
  <c r="L2841" i="14" s="1"/>
  <c r="I2842" i="14" s="1"/>
  <c r="K2819" i="13"/>
  <c r="L2819" i="13" s="1"/>
  <c r="I2820" i="13" s="1"/>
  <c r="J3004" i="14" a="1"/>
  <c r="J3004" i="14" s="1"/>
  <c r="N3005" i="14"/>
  <c r="M3008" i="13"/>
  <c r="J3005" i="13" a="1"/>
  <c r="J3005" i="13" s="1"/>
  <c r="N3006" i="13"/>
  <c r="M3009" i="14"/>
  <c r="K2820" i="13" l="1"/>
  <c r="L2820" i="13" s="1"/>
  <c r="I2821" i="13" s="1"/>
  <c r="K2842" i="14"/>
  <c r="L2842" i="14" s="1"/>
  <c r="I2843" i="14" s="1"/>
  <c r="N3007" i="13"/>
  <c r="J3006" i="13" a="1"/>
  <c r="J3006" i="13" s="1"/>
  <c r="M3010" i="14"/>
  <c r="M3009" i="13"/>
  <c r="J3005" i="14" a="1"/>
  <c r="J3005" i="14" s="1"/>
  <c r="N3006" i="14"/>
  <c r="K2821" i="13" l="1"/>
  <c r="L2821" i="13" s="1"/>
  <c r="I2822" i="13" s="1"/>
  <c r="N3007" i="14"/>
  <c r="J3006" i="14" a="1"/>
  <c r="J3006" i="14" s="1"/>
  <c r="M3011" i="14"/>
  <c r="K2843" i="14"/>
  <c r="L2843" i="14" s="1"/>
  <c r="I2844" i="14" s="1"/>
  <c r="M3010" i="13"/>
  <c r="J3007" i="13" a="1"/>
  <c r="J3007" i="13" s="1"/>
  <c r="N3008" i="13"/>
  <c r="K2844" i="14" l="1"/>
  <c r="L2844" i="14" s="1"/>
  <c r="I2845" i="14" s="1"/>
  <c r="K2822" i="13"/>
  <c r="L2822" i="13" s="1"/>
  <c r="I2823" i="13" s="1"/>
  <c r="J3008" i="13" a="1"/>
  <c r="J3008" i="13" s="1"/>
  <c r="N3009" i="13"/>
  <c r="N3008" i="14"/>
  <c r="J3007" i="14" a="1"/>
  <c r="J3007" i="14" s="1"/>
  <c r="M3011" i="13"/>
  <c r="M3012" i="14"/>
  <c r="K2823" i="13" l="1"/>
  <c r="L2823" i="13" s="1"/>
  <c r="I2824" i="13" s="1"/>
  <c r="K2845" i="14"/>
  <c r="L2845" i="14" s="1"/>
  <c r="I2846" i="14" s="1"/>
  <c r="J3008" i="14" a="1"/>
  <c r="J3008" i="14" s="1"/>
  <c r="N3009" i="14"/>
  <c r="J3009" i="13" a="1"/>
  <c r="J3009" i="13" s="1"/>
  <c r="N3010" i="13"/>
  <c r="M3013" i="14"/>
  <c r="M3012" i="13"/>
  <c r="K2846" i="14" l="1"/>
  <c r="L2846" i="14" s="1"/>
  <c r="I2847" i="14" s="1"/>
  <c r="K2824" i="13"/>
  <c r="L2824" i="13" s="1"/>
  <c r="I2825" i="13" s="1"/>
  <c r="N3011" i="13"/>
  <c r="J3010" i="13" a="1"/>
  <c r="J3010" i="13" s="1"/>
  <c r="J3009" i="14" a="1"/>
  <c r="J3009" i="14" s="1"/>
  <c r="N3010" i="14"/>
  <c r="M3013" i="13"/>
  <c r="M3014" i="14"/>
  <c r="K2825" i="13" l="1"/>
  <c r="L2825" i="13" s="1"/>
  <c r="I2826" i="13" s="1"/>
  <c r="K2847" i="14"/>
  <c r="L2847" i="14" s="1"/>
  <c r="I2848" i="14" s="1"/>
  <c r="N3011" i="14"/>
  <c r="J3010" i="14" a="1"/>
  <c r="J3010" i="14" s="1"/>
  <c r="M3015" i="14"/>
  <c r="M3014" i="13"/>
  <c r="J3011" i="13" a="1"/>
  <c r="J3011" i="13" s="1"/>
  <c r="N3012" i="13"/>
  <c r="K2848" i="14" l="1"/>
  <c r="L2848" i="14" s="1"/>
  <c r="I2849" i="14" s="1"/>
  <c r="K2826" i="13"/>
  <c r="L2826" i="13" s="1"/>
  <c r="I2827" i="13" s="1"/>
  <c r="J3012" i="13" a="1"/>
  <c r="J3012" i="13" s="1"/>
  <c r="N3013" i="13"/>
  <c r="M3016" i="14"/>
  <c r="M3015" i="13"/>
  <c r="N3012" i="14"/>
  <c r="J3011" i="14" a="1"/>
  <c r="J3011" i="14" s="1"/>
  <c r="K2827" i="13" l="1"/>
  <c r="L2827" i="13" s="1"/>
  <c r="I2828" i="13" s="1"/>
  <c r="K2849" i="14"/>
  <c r="L2849" i="14" s="1"/>
  <c r="I2850" i="14" s="1"/>
  <c r="J3012" i="14" a="1"/>
  <c r="J3012" i="14" s="1"/>
  <c r="N3013" i="14"/>
  <c r="M3017" i="14"/>
  <c r="J3013" i="13" a="1"/>
  <c r="J3013" i="13" s="1"/>
  <c r="N3014" i="13"/>
  <c r="M3016" i="13"/>
  <c r="K2850" i="14" l="1"/>
  <c r="L2850" i="14" s="1"/>
  <c r="I2851" i="14" s="1"/>
  <c r="K2828" i="13"/>
  <c r="L2828" i="13" s="1"/>
  <c r="I2829" i="13" s="1"/>
  <c r="N3015" i="13"/>
  <c r="J3014" i="13" a="1"/>
  <c r="J3014" i="13" s="1"/>
  <c r="M3018" i="14"/>
  <c r="M3017" i="13"/>
  <c r="J3013" i="14" a="1"/>
  <c r="J3013" i="14" s="1"/>
  <c r="N3014" i="14"/>
  <c r="K2829" i="13" l="1"/>
  <c r="L2829" i="13" s="1"/>
  <c r="I2830" i="13" s="1"/>
  <c r="K2851" i="14"/>
  <c r="L2851" i="14" s="1"/>
  <c r="I2852" i="14" s="1"/>
  <c r="N3015" i="14"/>
  <c r="J3014" i="14" a="1"/>
  <c r="J3014" i="14" s="1"/>
  <c r="M3019" i="14"/>
  <c r="M3018" i="13"/>
  <c r="J3015" i="13" a="1"/>
  <c r="J3015" i="13" s="1"/>
  <c r="N3016" i="13"/>
  <c r="K2852" i="14" l="1"/>
  <c r="L2852" i="14" s="1"/>
  <c r="I2853" i="14" s="1"/>
  <c r="K2830" i="13"/>
  <c r="L2830" i="13" s="1"/>
  <c r="I2831" i="13" s="1"/>
  <c r="J3016" i="13" a="1"/>
  <c r="J3016" i="13" s="1"/>
  <c r="N3017" i="13"/>
  <c r="M3020" i="14"/>
  <c r="M3019" i="13"/>
  <c r="N3016" i="14"/>
  <c r="J3015" i="14" a="1"/>
  <c r="J3015" i="14" s="1"/>
  <c r="K2831" i="13" l="1"/>
  <c r="L2831" i="13" s="1"/>
  <c r="I2832" i="13" s="1"/>
  <c r="K2853" i="14"/>
  <c r="L2853" i="14" s="1"/>
  <c r="I2854" i="14" s="1"/>
  <c r="J3016" i="14" a="1"/>
  <c r="J3016" i="14" s="1"/>
  <c r="N3017" i="14"/>
  <c r="M3021" i="14"/>
  <c r="J3017" i="13" a="1"/>
  <c r="J3017" i="13" s="1"/>
  <c r="N3018" i="13"/>
  <c r="M3020" i="13"/>
  <c r="K2854" i="14" l="1"/>
  <c r="L2854" i="14" s="1"/>
  <c r="I2855" i="14" s="1"/>
  <c r="K2832" i="13"/>
  <c r="L2832" i="13" s="1"/>
  <c r="I2833" i="13" s="1"/>
  <c r="N3019" i="13"/>
  <c r="J3018" i="13" a="1"/>
  <c r="J3018" i="13" s="1"/>
  <c r="M3021" i="13"/>
  <c r="M3022" i="14"/>
  <c r="J3017" i="14" a="1"/>
  <c r="J3017" i="14" s="1"/>
  <c r="N3018" i="14"/>
  <c r="K2833" i="13" l="1"/>
  <c r="L2833" i="13" s="1"/>
  <c r="I2834" i="13" s="1"/>
  <c r="N3019" i="14"/>
  <c r="J3018" i="14" a="1"/>
  <c r="J3018" i="14" s="1"/>
  <c r="M3022" i="13"/>
  <c r="M3023" i="14"/>
  <c r="J3019" i="13" a="1"/>
  <c r="J3019" i="13" s="1"/>
  <c r="N3020" i="13"/>
  <c r="K2855" i="14"/>
  <c r="L2855" i="14" s="1"/>
  <c r="I2856" i="14" s="1"/>
  <c r="K2856" i="14" l="1"/>
  <c r="L2856" i="14" s="1"/>
  <c r="I2857" i="14" s="1"/>
  <c r="K2834" i="13"/>
  <c r="L2834" i="13" s="1"/>
  <c r="I2835" i="13" s="1"/>
  <c r="M3024" i="14"/>
  <c r="N3020" i="14"/>
  <c r="J3019" i="14" a="1"/>
  <c r="J3019" i="14" s="1"/>
  <c r="J3020" i="13" a="1"/>
  <c r="J3020" i="13" s="1"/>
  <c r="N3021" i="13"/>
  <c r="M3023" i="13"/>
  <c r="K2835" i="13" l="1"/>
  <c r="L2835" i="13" s="1"/>
  <c r="I2836" i="13" s="1"/>
  <c r="K2857" i="14"/>
  <c r="L2857" i="14" s="1"/>
  <c r="I2858" i="14" s="1"/>
  <c r="J3020" i="14" a="1"/>
  <c r="J3020" i="14" s="1"/>
  <c r="N3021" i="14"/>
  <c r="M3024" i="13"/>
  <c r="J3021" i="13" a="1"/>
  <c r="J3021" i="13" s="1"/>
  <c r="N3022" i="13"/>
  <c r="M3025" i="14"/>
  <c r="K2858" i="14" l="1"/>
  <c r="L2858" i="14" s="1"/>
  <c r="I2859" i="14" s="1"/>
  <c r="K2836" i="13"/>
  <c r="L2836" i="13" s="1"/>
  <c r="I2837" i="13" s="1"/>
  <c r="M3026" i="14"/>
  <c r="M3025" i="13"/>
  <c r="N3023" i="13"/>
  <c r="J3022" i="13" a="1"/>
  <c r="J3022" i="13" s="1"/>
  <c r="J3021" i="14" a="1"/>
  <c r="J3021" i="14" s="1"/>
  <c r="N3022" i="14"/>
  <c r="K2837" i="13" l="1"/>
  <c r="L2837" i="13" s="1"/>
  <c r="I2838" i="13" s="1"/>
  <c r="K2859" i="14"/>
  <c r="L2859" i="14" s="1"/>
  <c r="I2860" i="14" s="1"/>
  <c r="N3023" i="14"/>
  <c r="J3022" i="14" a="1"/>
  <c r="J3022" i="14" s="1"/>
  <c r="M3026" i="13"/>
  <c r="M3027" i="14"/>
  <c r="J3023" i="13" a="1"/>
  <c r="J3023" i="13" s="1"/>
  <c r="N3024" i="13"/>
  <c r="K2860" i="14" l="1"/>
  <c r="L2860" i="14" s="1"/>
  <c r="I2861" i="14" s="1"/>
  <c r="K2838" i="13"/>
  <c r="L2838" i="13" s="1"/>
  <c r="I2839" i="13" s="1"/>
  <c r="J3024" i="13" a="1"/>
  <c r="J3024" i="13" s="1"/>
  <c r="N3025" i="13"/>
  <c r="M3027" i="13"/>
  <c r="M3028" i="14"/>
  <c r="N3024" i="14"/>
  <c r="J3023" i="14" a="1"/>
  <c r="J3023" i="14" s="1"/>
  <c r="K2839" i="13" l="1"/>
  <c r="L2839" i="13" s="1"/>
  <c r="I2840" i="13" s="1"/>
  <c r="K2861" i="14"/>
  <c r="L2861" i="14" s="1"/>
  <c r="I2862" i="14" s="1"/>
  <c r="J3024" i="14" a="1"/>
  <c r="J3024" i="14" s="1"/>
  <c r="N3025" i="14"/>
  <c r="M3028" i="13"/>
  <c r="J3025" i="13" a="1"/>
  <c r="J3025" i="13" s="1"/>
  <c r="N3026" i="13"/>
  <c r="M3029" i="14"/>
  <c r="K2862" i="14" l="1"/>
  <c r="L2862" i="14" s="1"/>
  <c r="I2863" i="14" s="1"/>
  <c r="K2840" i="13"/>
  <c r="L2840" i="13" s="1"/>
  <c r="I2841" i="13" s="1"/>
  <c r="M3030" i="14"/>
  <c r="M3029" i="13"/>
  <c r="J3025" i="14" a="1"/>
  <c r="J3025" i="14" s="1"/>
  <c r="N3026" i="14"/>
  <c r="N3027" i="13"/>
  <c r="J3026" i="13" a="1"/>
  <c r="J3026" i="13" s="1"/>
  <c r="K2841" i="13" l="1"/>
  <c r="L2841" i="13" s="1"/>
  <c r="I2842" i="13" s="1"/>
  <c r="K2863" i="14"/>
  <c r="L2863" i="14" s="1"/>
  <c r="I2864" i="14" s="1"/>
  <c r="N3027" i="14"/>
  <c r="J3026" i="14" a="1"/>
  <c r="J3026" i="14" s="1"/>
  <c r="M3030" i="13"/>
  <c r="M3031" i="14"/>
  <c r="J3027" i="13" a="1"/>
  <c r="J3027" i="13" s="1"/>
  <c r="N3028" i="13"/>
  <c r="K2864" i="14" l="1"/>
  <c r="L2864" i="14" s="1"/>
  <c r="I2865" i="14" s="1"/>
  <c r="K2842" i="13"/>
  <c r="L2842" i="13" s="1"/>
  <c r="I2843" i="13" s="1"/>
  <c r="M3031" i="13"/>
  <c r="J3028" i="13" a="1"/>
  <c r="J3028" i="13" s="1"/>
  <c r="N3029" i="13"/>
  <c r="M3032" i="14"/>
  <c r="N3028" i="14"/>
  <c r="J3027" i="14" a="1"/>
  <c r="J3027" i="14" s="1"/>
  <c r="K2843" i="13" l="1"/>
  <c r="L2843" i="13" s="1"/>
  <c r="I2844" i="13" s="1"/>
  <c r="K2865" i="14"/>
  <c r="L2865" i="14" s="1"/>
  <c r="I2866" i="14" s="1"/>
  <c r="M3033" i="14"/>
  <c r="J3029" i="13" a="1"/>
  <c r="J3029" i="13" s="1"/>
  <c r="N3030" i="13"/>
  <c r="J3028" i="14" a="1"/>
  <c r="J3028" i="14" s="1"/>
  <c r="N3029" i="14"/>
  <c r="M3032" i="13"/>
  <c r="K2866" i="14" l="1"/>
  <c r="L2866" i="14" s="1"/>
  <c r="I2867" i="14" s="1"/>
  <c r="K2844" i="13"/>
  <c r="L2844" i="13" s="1"/>
  <c r="I2845" i="13" s="1"/>
  <c r="N3031" i="13"/>
  <c r="J3030" i="13" a="1"/>
  <c r="J3030" i="13" s="1"/>
  <c r="J3029" i="14" a="1"/>
  <c r="J3029" i="14" s="1"/>
  <c r="N3030" i="14"/>
  <c r="M3034" i="14"/>
  <c r="M3033" i="13"/>
  <c r="K2845" i="13" l="1"/>
  <c r="L2845" i="13" s="1"/>
  <c r="I2846" i="13" s="1"/>
  <c r="K2867" i="14"/>
  <c r="L2867" i="14" s="1"/>
  <c r="I2868" i="14" s="1"/>
  <c r="N3031" i="14"/>
  <c r="J3030" i="14" a="1"/>
  <c r="J3030" i="14" s="1"/>
  <c r="M3034" i="13"/>
  <c r="M3035" i="14"/>
  <c r="J3031" i="13" a="1"/>
  <c r="J3031" i="13" s="1"/>
  <c r="N3032" i="13"/>
  <c r="K2868" i="14" l="1"/>
  <c r="L2868" i="14" s="1"/>
  <c r="I2869" i="14" s="1"/>
  <c r="K2846" i="13"/>
  <c r="L2846" i="13" s="1"/>
  <c r="I2847" i="13" s="1"/>
  <c r="J3032" i="13" a="1"/>
  <c r="J3032" i="13" s="1"/>
  <c r="N3033" i="13"/>
  <c r="M3035" i="13"/>
  <c r="M3036" i="14"/>
  <c r="N3032" i="14"/>
  <c r="J3031" i="14" a="1"/>
  <c r="J3031" i="14" s="1"/>
  <c r="K2847" i="13" l="1"/>
  <c r="L2847" i="13" s="1"/>
  <c r="I2848" i="13" s="1"/>
  <c r="K2869" i="14"/>
  <c r="L2869" i="14" s="1"/>
  <c r="I2870" i="14" s="1"/>
  <c r="J3032" i="14" a="1"/>
  <c r="J3032" i="14" s="1"/>
  <c r="N3033" i="14"/>
  <c r="M3036" i="13"/>
  <c r="J3033" i="13" a="1"/>
  <c r="J3033" i="13" s="1"/>
  <c r="N3034" i="13"/>
  <c r="M3037" i="14"/>
  <c r="K2870" i="14" l="1"/>
  <c r="L2870" i="14" s="1"/>
  <c r="I2871" i="14" s="1"/>
  <c r="K2848" i="13"/>
  <c r="L2848" i="13" s="1"/>
  <c r="I2849" i="13" s="1"/>
  <c r="N3035" i="13"/>
  <c r="J3034" i="13" a="1"/>
  <c r="J3034" i="13" s="1"/>
  <c r="M3038" i="14"/>
  <c r="M3037" i="13"/>
  <c r="J3033" i="14" a="1"/>
  <c r="J3033" i="14" s="1"/>
  <c r="N3034" i="14"/>
  <c r="K2849" i="13" l="1"/>
  <c r="L2849" i="13" s="1"/>
  <c r="I2850" i="13" s="1"/>
  <c r="K2871" i="14"/>
  <c r="L2871" i="14" s="1"/>
  <c r="I2872" i="14" s="1"/>
  <c r="N3035" i="14"/>
  <c r="J3034" i="14" a="1"/>
  <c r="J3034" i="14" s="1"/>
  <c r="M3039" i="14"/>
  <c r="M3038" i="13"/>
  <c r="J3035" i="13" a="1"/>
  <c r="J3035" i="13" s="1"/>
  <c r="N3036" i="13"/>
  <c r="K2872" i="14" l="1"/>
  <c r="L2872" i="14" s="1"/>
  <c r="I2873" i="14" s="1"/>
  <c r="K2850" i="13"/>
  <c r="L2850" i="13" s="1"/>
  <c r="I2851" i="13" s="1"/>
  <c r="M3040" i="14"/>
  <c r="J3036" i="13" a="1"/>
  <c r="J3036" i="13" s="1"/>
  <c r="N3037" i="13"/>
  <c r="M3039" i="13"/>
  <c r="N3036" i="14"/>
  <c r="J3035" i="14" a="1"/>
  <c r="J3035" i="14" s="1"/>
  <c r="K2851" i="13" l="1"/>
  <c r="L2851" i="13" s="1"/>
  <c r="I2852" i="13" s="1"/>
  <c r="K2873" i="14"/>
  <c r="L2873" i="14" s="1"/>
  <c r="I2874" i="14" s="1"/>
  <c r="J3037" i="13" a="1"/>
  <c r="J3037" i="13" s="1"/>
  <c r="N3038" i="13"/>
  <c r="J3036" i="14" a="1"/>
  <c r="J3036" i="14" s="1"/>
  <c r="N3037" i="14"/>
  <c r="M3040" i="13"/>
  <c r="M3041" i="14"/>
  <c r="K2874" i="14" l="1"/>
  <c r="L2874" i="14" s="1"/>
  <c r="I2875" i="14" s="1"/>
  <c r="K2852" i="13"/>
  <c r="L2852" i="13" s="1"/>
  <c r="I2853" i="13" s="1"/>
  <c r="J3037" i="14" a="1"/>
  <c r="J3037" i="14" s="1"/>
  <c r="N3038" i="14"/>
  <c r="M3042" i="14"/>
  <c r="N3039" i="13"/>
  <c r="J3038" i="13" a="1"/>
  <c r="J3038" i="13" s="1"/>
  <c r="M3041" i="13"/>
  <c r="K2853" i="13" l="1"/>
  <c r="L2853" i="13" s="1"/>
  <c r="I2854" i="13" s="1"/>
  <c r="K2875" i="14"/>
  <c r="L2875" i="14" s="1"/>
  <c r="I2876" i="14" s="1"/>
  <c r="M3042" i="13"/>
  <c r="M3043" i="14"/>
  <c r="N3039" i="14"/>
  <c r="J3038" i="14" a="1"/>
  <c r="J3038" i="14" s="1"/>
  <c r="J3039" i="13" a="1"/>
  <c r="J3039" i="13" s="1"/>
  <c r="N3040" i="13"/>
  <c r="K2876" i="14" l="1"/>
  <c r="L2876" i="14" s="1"/>
  <c r="I2877" i="14" s="1"/>
  <c r="K2854" i="13"/>
  <c r="L2854" i="13" s="1"/>
  <c r="I2855" i="13" s="1"/>
  <c r="M3044" i="14"/>
  <c r="J3040" i="13" a="1"/>
  <c r="J3040" i="13" s="1"/>
  <c r="N3041" i="13"/>
  <c r="N3040" i="14"/>
  <c r="J3039" i="14" a="1"/>
  <c r="J3039" i="14" s="1"/>
  <c r="M3043" i="13"/>
  <c r="K2855" i="13" l="1"/>
  <c r="L2855" i="13" s="1"/>
  <c r="I2856" i="13" s="1"/>
  <c r="K2877" i="14"/>
  <c r="L2877" i="14" s="1"/>
  <c r="I2878" i="14" s="1"/>
  <c r="J3041" i="13" a="1"/>
  <c r="J3041" i="13" s="1"/>
  <c r="N3042" i="13"/>
  <c r="M3044" i="13"/>
  <c r="J3040" i="14" a="1"/>
  <c r="J3040" i="14" s="1"/>
  <c r="N3041" i="14"/>
  <c r="M3045" i="14"/>
  <c r="K2878" i="14" l="1"/>
  <c r="L2878" i="14" s="1"/>
  <c r="I2879" i="14" s="1"/>
  <c r="K2856" i="13"/>
  <c r="L2856" i="13" s="1"/>
  <c r="I2857" i="13" s="1"/>
  <c r="M3046" i="14"/>
  <c r="M3045" i="13"/>
  <c r="J3041" i="14" a="1"/>
  <c r="J3041" i="14" s="1"/>
  <c r="N3042" i="14"/>
  <c r="N3043" i="13"/>
  <c r="J3042" i="13" a="1"/>
  <c r="J3042" i="13" s="1"/>
  <c r="K2857" i="13" l="1"/>
  <c r="L2857" i="13" s="1"/>
  <c r="I2858" i="13" s="1"/>
  <c r="K2879" i="14"/>
  <c r="L2879" i="14" s="1"/>
  <c r="I2880" i="14" s="1"/>
  <c r="J3043" i="13" a="1"/>
  <c r="J3043" i="13" s="1"/>
  <c r="N3044" i="13"/>
  <c r="M3046" i="13"/>
  <c r="M3047" i="14"/>
  <c r="N3043" i="14"/>
  <c r="J3042" i="14" a="1"/>
  <c r="J3042" i="14" s="1"/>
  <c r="K2880" i="14" l="1"/>
  <c r="L2880" i="14" s="1"/>
  <c r="I2881" i="14" s="1"/>
  <c r="K2858" i="13"/>
  <c r="L2858" i="13" s="1"/>
  <c r="I2859" i="13" s="1"/>
  <c r="N3044" i="14"/>
  <c r="J3043" i="14" a="1"/>
  <c r="J3043" i="14" s="1"/>
  <c r="M3047" i="13"/>
  <c r="J3044" i="13" a="1"/>
  <c r="J3044" i="13" s="1"/>
  <c r="N3045" i="13"/>
  <c r="M3048" i="14"/>
  <c r="K2859" i="13" l="1"/>
  <c r="L2859" i="13" s="1"/>
  <c r="I2860" i="13" s="1"/>
  <c r="K2881" i="14"/>
  <c r="L2881" i="14" s="1"/>
  <c r="I2882" i="14" s="1"/>
  <c r="M3049" i="14"/>
  <c r="M3048" i="13"/>
  <c r="J3045" i="13" a="1"/>
  <c r="J3045" i="13" s="1"/>
  <c r="N3046" i="13"/>
  <c r="J3044" i="14" a="1"/>
  <c r="J3044" i="14" s="1"/>
  <c r="N3045" i="14"/>
  <c r="K2882" i="14" l="1"/>
  <c r="L2882" i="14" s="1"/>
  <c r="I2883" i="14" s="1"/>
  <c r="K2860" i="13"/>
  <c r="L2860" i="13" s="1"/>
  <c r="I2861" i="13" s="1"/>
  <c r="J3045" i="14" a="1"/>
  <c r="J3045" i="14" s="1"/>
  <c r="N3046" i="14"/>
  <c r="M3049" i="13"/>
  <c r="N3047" i="13"/>
  <c r="J3046" i="13" a="1"/>
  <c r="J3046" i="13" s="1"/>
  <c r="M3050" i="14"/>
  <c r="K2861" i="13" l="1"/>
  <c r="L2861" i="13" s="1"/>
  <c r="I2862" i="13" s="1"/>
  <c r="K2883" i="14"/>
  <c r="L2883" i="14" s="1"/>
  <c r="I2884" i="14" s="1"/>
  <c r="M3051" i="14"/>
  <c r="M3050" i="13"/>
  <c r="N3047" i="14"/>
  <c r="J3046" i="14" a="1"/>
  <c r="J3046" i="14" s="1"/>
  <c r="J3047" i="13" a="1"/>
  <c r="J3047" i="13" s="1"/>
  <c r="N3048" i="13"/>
  <c r="K2884" i="14" l="1"/>
  <c r="L2884" i="14" s="1"/>
  <c r="I2885" i="14" s="1"/>
  <c r="K2862" i="13"/>
  <c r="L2862" i="13" s="1"/>
  <c r="I2863" i="13" s="1"/>
  <c r="J3048" i="13" a="1"/>
  <c r="J3048" i="13" s="1"/>
  <c r="N3049" i="13"/>
  <c r="M3051" i="13"/>
  <c r="N3048" i="14"/>
  <c r="J3047" i="14" a="1"/>
  <c r="J3047" i="14" s="1"/>
  <c r="M3052" i="14"/>
  <c r="K2863" i="13" l="1"/>
  <c r="L2863" i="13" s="1"/>
  <c r="I2864" i="13" s="1"/>
  <c r="K2885" i="14"/>
  <c r="L2885" i="14" s="1"/>
  <c r="I2886" i="14" s="1"/>
  <c r="M3053" i="14"/>
  <c r="M3052" i="13"/>
  <c r="J3049" i="13" a="1"/>
  <c r="J3049" i="13" s="1"/>
  <c r="N3050" i="13"/>
  <c r="J3048" i="14" a="1"/>
  <c r="J3048" i="14" s="1"/>
  <c r="N3049" i="14"/>
  <c r="K2886" i="14" l="1"/>
  <c r="L2886" i="14" s="1"/>
  <c r="I2887" i="14" s="1"/>
  <c r="K2864" i="13"/>
  <c r="L2864" i="13" s="1"/>
  <c r="I2865" i="13" s="1"/>
  <c r="J3049" i="14" a="1"/>
  <c r="J3049" i="14" s="1"/>
  <c r="N3050" i="14"/>
  <c r="M3053" i="13"/>
  <c r="N3051" i="13"/>
  <c r="J3050" i="13" a="1"/>
  <c r="J3050" i="13" s="1"/>
  <c r="M3054" i="14"/>
  <c r="K2865" i="13" l="1"/>
  <c r="L2865" i="13" s="1"/>
  <c r="I2866" i="13" s="1"/>
  <c r="K2887" i="14"/>
  <c r="L2887" i="14" s="1"/>
  <c r="I2888" i="14" s="1"/>
  <c r="M3055" i="14"/>
  <c r="M3054" i="13"/>
  <c r="J3051" i="13" a="1"/>
  <c r="J3051" i="13" s="1"/>
  <c r="N3052" i="13"/>
  <c r="N3051" i="14"/>
  <c r="J3050" i="14" a="1"/>
  <c r="J3050" i="14" s="1"/>
  <c r="K2866" i="13" l="1"/>
  <c r="L2866" i="13" s="1"/>
  <c r="I2867" i="13" s="1"/>
  <c r="N3052" i="14"/>
  <c r="J3051" i="14" a="1"/>
  <c r="J3051" i="14" s="1"/>
  <c r="M3055" i="13"/>
  <c r="K2888" i="14"/>
  <c r="L2888" i="14" s="1"/>
  <c r="I2889" i="14" s="1"/>
  <c r="J3052" i="13" a="1"/>
  <c r="J3052" i="13" s="1"/>
  <c r="N3053" i="13"/>
  <c r="M3056" i="14"/>
  <c r="K2889" i="14" l="1"/>
  <c r="L2889" i="14" s="1"/>
  <c r="I2890" i="14" s="1"/>
  <c r="K2867" i="13"/>
  <c r="L2867" i="13" s="1"/>
  <c r="I2868" i="13" s="1"/>
  <c r="J3053" i="13" a="1"/>
  <c r="J3053" i="13" s="1"/>
  <c r="N3054" i="13"/>
  <c r="M3057" i="14"/>
  <c r="J3052" i="14" a="1"/>
  <c r="J3052" i="14" s="1"/>
  <c r="N3053" i="14"/>
  <c r="M3056" i="13"/>
  <c r="K2868" i="13" l="1"/>
  <c r="L2868" i="13" s="1"/>
  <c r="I2869" i="13" s="1"/>
  <c r="K2890" i="14"/>
  <c r="L2890" i="14" s="1"/>
  <c r="I2891" i="14" s="1"/>
  <c r="J3053" i="14" a="1"/>
  <c r="J3053" i="14" s="1"/>
  <c r="N3054" i="14"/>
  <c r="M3058" i="14"/>
  <c r="M3057" i="13"/>
  <c r="N3055" i="13"/>
  <c r="J3054" i="13" a="1"/>
  <c r="J3054" i="13" s="1"/>
  <c r="K2891" i="14" l="1"/>
  <c r="L2891" i="14" s="1"/>
  <c r="I2892" i="14" s="1"/>
  <c r="K2869" i="13"/>
  <c r="L2869" i="13" s="1"/>
  <c r="I2870" i="13" s="1"/>
  <c r="M3059" i="14"/>
  <c r="J3055" i="13" a="1"/>
  <c r="J3055" i="13" s="1"/>
  <c r="N3056" i="13"/>
  <c r="N3055" i="14"/>
  <c r="J3054" i="14" a="1"/>
  <c r="J3054" i="14" s="1"/>
  <c r="M3058" i="13"/>
  <c r="K2870" i="13" l="1"/>
  <c r="L2870" i="13" s="1"/>
  <c r="I2871" i="13" s="1"/>
  <c r="K2892" i="14"/>
  <c r="L2892" i="14" s="1"/>
  <c r="I2893" i="14" s="1"/>
  <c r="J3056" i="13" a="1"/>
  <c r="J3056" i="13" s="1"/>
  <c r="N3057" i="13"/>
  <c r="M3059" i="13"/>
  <c r="N3056" i="14"/>
  <c r="J3055" i="14" a="1"/>
  <c r="J3055" i="14" s="1"/>
  <c r="M3060" i="14"/>
  <c r="K2893" i="14" l="1"/>
  <c r="L2893" i="14" s="1"/>
  <c r="I2894" i="14" s="1"/>
  <c r="K2871" i="13"/>
  <c r="L2871" i="13" s="1"/>
  <c r="I2872" i="13" s="1"/>
  <c r="M3061" i="14"/>
  <c r="M3060" i="13"/>
  <c r="J3057" i="13" a="1"/>
  <c r="J3057" i="13" s="1"/>
  <c r="N3058" i="13"/>
  <c r="J3056" i="14" a="1"/>
  <c r="J3056" i="14" s="1"/>
  <c r="N3057" i="14"/>
  <c r="K2872" i="13" l="1"/>
  <c r="L2872" i="13" s="1"/>
  <c r="I2873" i="13" s="1"/>
  <c r="K2894" i="14"/>
  <c r="L2894" i="14" s="1"/>
  <c r="I2895" i="14" s="1"/>
  <c r="M3061" i="13"/>
  <c r="N3059" i="13"/>
  <c r="J3058" i="13" a="1"/>
  <c r="J3058" i="13" s="1"/>
  <c r="J3057" i="14" a="1"/>
  <c r="J3057" i="14" s="1"/>
  <c r="N3058" i="14"/>
  <c r="M3062" i="14"/>
  <c r="K2895" i="14" l="1"/>
  <c r="L2895" i="14" s="1"/>
  <c r="I2896" i="14" s="1"/>
  <c r="K2873" i="13"/>
  <c r="L2873" i="13" s="1"/>
  <c r="I2874" i="13" s="1"/>
  <c r="J3059" i="13" a="1"/>
  <c r="J3059" i="13" s="1"/>
  <c r="N3060" i="13"/>
  <c r="N3059" i="14"/>
  <c r="J3058" i="14" a="1"/>
  <c r="J3058" i="14" s="1"/>
  <c r="M3062" i="13"/>
  <c r="M3063" i="14"/>
  <c r="K2874" i="13" l="1"/>
  <c r="L2874" i="13" s="1"/>
  <c r="I2875" i="13" s="1"/>
  <c r="K2896" i="14"/>
  <c r="L2896" i="14" s="1"/>
  <c r="I2897" i="14" s="1"/>
  <c r="N3060" i="14"/>
  <c r="J3059" i="14" a="1"/>
  <c r="J3059" i="14" s="1"/>
  <c r="J3060" i="13" a="1"/>
  <c r="J3060" i="13" s="1"/>
  <c r="N3061" i="13"/>
  <c r="M3064" i="14"/>
  <c r="M3063" i="13"/>
  <c r="K2897" i="14" l="1"/>
  <c r="L2897" i="14" s="1"/>
  <c r="I2898" i="14" s="1"/>
  <c r="K2875" i="13"/>
  <c r="L2875" i="13" s="1"/>
  <c r="I2876" i="13" s="1"/>
  <c r="J3061" i="13" a="1"/>
  <c r="J3061" i="13" s="1"/>
  <c r="N3062" i="13"/>
  <c r="M3064" i="13"/>
  <c r="M3065" i="14"/>
  <c r="J3060" i="14" a="1"/>
  <c r="J3060" i="14" s="1"/>
  <c r="N3061" i="14"/>
  <c r="K2876" i="13" l="1"/>
  <c r="L2876" i="13" s="1"/>
  <c r="I2877" i="13" s="1"/>
  <c r="K2898" i="14"/>
  <c r="L2898" i="14" s="1"/>
  <c r="I2899" i="14" s="1"/>
  <c r="M3065" i="13"/>
  <c r="N3063" i="13"/>
  <c r="J3062" i="13" a="1"/>
  <c r="J3062" i="13" s="1"/>
  <c r="J3061" i="14" a="1"/>
  <c r="J3061" i="14" s="1"/>
  <c r="N3062" i="14"/>
  <c r="M3066" i="14"/>
  <c r="K2899" i="14" l="1"/>
  <c r="L2899" i="14" s="1"/>
  <c r="I2900" i="14" s="1"/>
  <c r="K2877" i="13"/>
  <c r="L2877" i="13" s="1"/>
  <c r="I2878" i="13" s="1"/>
  <c r="M3067" i="14"/>
  <c r="J3063" i="13" a="1"/>
  <c r="J3063" i="13" s="1"/>
  <c r="N3064" i="13"/>
  <c r="N3063" i="14"/>
  <c r="J3062" i="14" a="1"/>
  <c r="J3062" i="14" s="1"/>
  <c r="M3066" i="13"/>
  <c r="K2878" i="13" l="1"/>
  <c r="L2878" i="13" s="1"/>
  <c r="I2879" i="13" s="1"/>
  <c r="K2900" i="14"/>
  <c r="L2900" i="14" s="1"/>
  <c r="I2901" i="14" s="1"/>
  <c r="J3064" i="13" a="1"/>
  <c r="J3064" i="13" s="1"/>
  <c r="N3065" i="13"/>
  <c r="M3067" i="13"/>
  <c r="N3064" i="14"/>
  <c r="J3063" i="14" a="1"/>
  <c r="J3063" i="14" s="1"/>
  <c r="M3068" i="14"/>
  <c r="K2901" i="14" l="1"/>
  <c r="L2901" i="14" s="1"/>
  <c r="I2902" i="14" s="1"/>
  <c r="K2879" i="13"/>
  <c r="L2879" i="13" s="1"/>
  <c r="I2880" i="13" s="1"/>
  <c r="M3069" i="14"/>
  <c r="M3068" i="13"/>
  <c r="J3065" i="13" a="1"/>
  <c r="J3065" i="13" s="1"/>
  <c r="N3066" i="13"/>
  <c r="J3064" i="14" a="1"/>
  <c r="J3064" i="14" s="1"/>
  <c r="N3065" i="14"/>
  <c r="K2880" i="13" l="1"/>
  <c r="L2880" i="13" s="1"/>
  <c r="I2881" i="13" s="1"/>
  <c r="K2902" i="14"/>
  <c r="L2902" i="14" s="1"/>
  <c r="I2903" i="14" s="1"/>
  <c r="M3069" i="13"/>
  <c r="N3067" i="13"/>
  <c r="J3066" i="13" a="1"/>
  <c r="J3066" i="13" s="1"/>
  <c r="J3065" i="14" a="1"/>
  <c r="J3065" i="14" s="1"/>
  <c r="N3066" i="14"/>
  <c r="M3070" i="14"/>
  <c r="K2903" i="14" l="1"/>
  <c r="L2903" i="14" s="1"/>
  <c r="I2904" i="14" s="1"/>
  <c r="K2881" i="13"/>
  <c r="L2881" i="13" s="1"/>
  <c r="I2882" i="13" s="1"/>
  <c r="J3067" i="13" a="1"/>
  <c r="J3067" i="13" s="1"/>
  <c r="N3068" i="13"/>
  <c r="N3067" i="14"/>
  <c r="J3066" i="14" a="1"/>
  <c r="J3066" i="14" s="1"/>
  <c r="M3070" i="13"/>
  <c r="M3071" i="14"/>
  <c r="K2882" i="13" l="1"/>
  <c r="L2882" i="13" s="1"/>
  <c r="I2883" i="13" s="1"/>
  <c r="K2904" i="14"/>
  <c r="L2904" i="14" s="1"/>
  <c r="I2905" i="14" s="1"/>
  <c r="M3072" i="14"/>
  <c r="N3068" i="14"/>
  <c r="J3067" i="14" a="1"/>
  <c r="J3067" i="14" s="1"/>
  <c r="J3068" i="13" a="1"/>
  <c r="J3068" i="13" s="1"/>
  <c r="N3069" i="13"/>
  <c r="M3071" i="13"/>
  <c r="K2905" i="14" l="1"/>
  <c r="L2905" i="14" s="1"/>
  <c r="I2906" i="14" s="1"/>
  <c r="K2883" i="13"/>
  <c r="L2883" i="13" s="1"/>
  <c r="I2884" i="13" s="1"/>
  <c r="M3072" i="13"/>
  <c r="J3068" i="14" a="1"/>
  <c r="J3068" i="14" s="1"/>
  <c r="N3069" i="14"/>
  <c r="J3069" i="13" a="1"/>
  <c r="J3069" i="13" s="1"/>
  <c r="N3070" i="13"/>
  <c r="M3073" i="14"/>
  <c r="K2884" i="13" l="1"/>
  <c r="L2884" i="13" s="1"/>
  <c r="I2885" i="13" s="1"/>
  <c r="K2906" i="14"/>
  <c r="L2906" i="14" s="1"/>
  <c r="I2907" i="14" s="1"/>
  <c r="J3069" i="14" a="1"/>
  <c r="J3069" i="14" s="1"/>
  <c r="N3070" i="14"/>
  <c r="M3074" i="14"/>
  <c r="N3071" i="13"/>
  <c r="J3070" i="13" a="1"/>
  <c r="J3070" i="13" s="1"/>
  <c r="M3073" i="13"/>
  <c r="K2907" i="14" l="1"/>
  <c r="L2907" i="14" s="1"/>
  <c r="I2908" i="14" s="1"/>
  <c r="K2885" i="13"/>
  <c r="L2885" i="13" s="1"/>
  <c r="I2886" i="13" s="1"/>
  <c r="M3074" i="13"/>
  <c r="J3071" i="13" a="1"/>
  <c r="J3071" i="13" s="1"/>
  <c r="N3072" i="13"/>
  <c r="M3075" i="14"/>
  <c r="N3071" i="14"/>
  <c r="J3070" i="14" a="1"/>
  <c r="J3070" i="14" s="1"/>
  <c r="K2886" i="13" l="1"/>
  <c r="L2886" i="13" s="1"/>
  <c r="I2887" i="13" s="1"/>
  <c r="K2908" i="14"/>
  <c r="L2908" i="14" s="1"/>
  <c r="I2909" i="14" s="1"/>
  <c r="J3072" i="13" a="1"/>
  <c r="J3072" i="13" s="1"/>
  <c r="N3073" i="13"/>
  <c r="N3072" i="14"/>
  <c r="J3071" i="14" a="1"/>
  <c r="J3071" i="14" s="1"/>
  <c r="M3076" i="14"/>
  <c r="M3075" i="13"/>
  <c r="K2909" i="14" l="1"/>
  <c r="L2909" i="14" s="1"/>
  <c r="I2910" i="14" s="1"/>
  <c r="K2887" i="13"/>
  <c r="L2887" i="13" s="1"/>
  <c r="I2888" i="13" s="1"/>
  <c r="J3072" i="14" a="1"/>
  <c r="J3072" i="14" s="1"/>
  <c r="N3073" i="14"/>
  <c r="J3073" i="13" a="1"/>
  <c r="J3073" i="13" s="1"/>
  <c r="N3074" i="13"/>
  <c r="M3076" i="13"/>
  <c r="M3077" i="14"/>
  <c r="K2888" i="13" l="1"/>
  <c r="L2888" i="13" s="1"/>
  <c r="I2889" i="13" s="1"/>
  <c r="K2910" i="14"/>
  <c r="L2910" i="14" s="1"/>
  <c r="I2911" i="14" s="1"/>
  <c r="N3075" i="13"/>
  <c r="J3074" i="13" a="1"/>
  <c r="J3074" i="13" s="1"/>
  <c r="J3073" i="14" a="1"/>
  <c r="J3073" i="14" s="1"/>
  <c r="N3074" i="14"/>
  <c r="M3078" i="14"/>
  <c r="M3077" i="13"/>
  <c r="K2911" i="14" l="1"/>
  <c r="L2911" i="14" s="1"/>
  <c r="I2912" i="14" s="1"/>
  <c r="K2889" i="13"/>
  <c r="L2889" i="13" s="1"/>
  <c r="I2890" i="13" s="1"/>
  <c r="N3075" i="14"/>
  <c r="J3074" i="14" a="1"/>
  <c r="J3074" i="14" s="1"/>
  <c r="M3078" i="13"/>
  <c r="M3079" i="14"/>
  <c r="J3075" i="13" a="1"/>
  <c r="J3075" i="13" s="1"/>
  <c r="N3076" i="13"/>
  <c r="K2890" i="13" l="1"/>
  <c r="L2890" i="13" s="1"/>
  <c r="I2891" i="13" s="1"/>
  <c r="K2912" i="14"/>
  <c r="L2912" i="14" s="1"/>
  <c r="I2913" i="14" s="1"/>
  <c r="J3076" i="13" a="1"/>
  <c r="J3076" i="13" s="1"/>
  <c r="N3077" i="13"/>
  <c r="M3079" i="13"/>
  <c r="M3080" i="14"/>
  <c r="N3076" i="14"/>
  <c r="J3075" i="14" a="1"/>
  <c r="J3075" i="14" s="1"/>
  <c r="K2913" i="14" l="1"/>
  <c r="L2913" i="14" s="1"/>
  <c r="I2914" i="14" s="1"/>
  <c r="K2891" i="13"/>
  <c r="L2891" i="13" s="1"/>
  <c r="I2892" i="13" s="1"/>
  <c r="J3076" i="14" a="1"/>
  <c r="J3076" i="14" s="1"/>
  <c r="N3077" i="14"/>
  <c r="M3080" i="13"/>
  <c r="J3077" i="13" a="1"/>
  <c r="J3077" i="13" s="1"/>
  <c r="N3078" i="13"/>
  <c r="M3081" i="14"/>
  <c r="K2892" i="13" l="1"/>
  <c r="L2892" i="13" s="1"/>
  <c r="I2893" i="13" s="1"/>
  <c r="K2914" i="14"/>
  <c r="L2914" i="14" s="1"/>
  <c r="I2915" i="14" s="1"/>
  <c r="N3079" i="13"/>
  <c r="J3078" i="13" a="1"/>
  <c r="J3078" i="13" s="1"/>
  <c r="M3082" i="14"/>
  <c r="M3081" i="13"/>
  <c r="J3077" i="14" a="1"/>
  <c r="J3077" i="14" s="1"/>
  <c r="N3078" i="14"/>
  <c r="K2915" i="14" l="1"/>
  <c r="L2915" i="14" s="1"/>
  <c r="I2916" i="14" s="1"/>
  <c r="K2893" i="13"/>
  <c r="L2893" i="13" s="1"/>
  <c r="I2894" i="13" s="1"/>
  <c r="N3079" i="14"/>
  <c r="J3078" i="14" a="1"/>
  <c r="J3078" i="14" s="1"/>
  <c r="M3083" i="14"/>
  <c r="M3082" i="13"/>
  <c r="J3079" i="13" a="1"/>
  <c r="J3079" i="13" s="1"/>
  <c r="N3080" i="13"/>
  <c r="K2916" i="14" l="1"/>
  <c r="L2916" i="14" s="1"/>
  <c r="I2917" i="14" s="1"/>
  <c r="K2894" i="13"/>
  <c r="L2894" i="13" s="1"/>
  <c r="I2895" i="13" s="1"/>
  <c r="J3080" i="13" a="1"/>
  <c r="J3080" i="13" s="1"/>
  <c r="N3081" i="13"/>
  <c r="M3084" i="14"/>
  <c r="M3083" i="13"/>
  <c r="N3080" i="14"/>
  <c r="J3079" i="14" a="1"/>
  <c r="J3079" i="14" s="1"/>
  <c r="K2895" i="13" l="1"/>
  <c r="L2895" i="13" s="1"/>
  <c r="I2896" i="13" s="1"/>
  <c r="K2917" i="14"/>
  <c r="L2917" i="14" s="1"/>
  <c r="I2918" i="14" s="1"/>
  <c r="M3084" i="13"/>
  <c r="J3080" i="14" a="1"/>
  <c r="J3080" i="14" s="1"/>
  <c r="N3081" i="14"/>
  <c r="M3085" i="14"/>
  <c r="J3081" i="13" a="1"/>
  <c r="J3081" i="13" s="1"/>
  <c r="N3082" i="13"/>
  <c r="K2918" i="14" l="1"/>
  <c r="L2918" i="14" s="1"/>
  <c r="I2919" i="14" s="1"/>
  <c r="J3081" i="14" a="1"/>
  <c r="J3081" i="14" s="1"/>
  <c r="N3082" i="14"/>
  <c r="M3086" i="14"/>
  <c r="M3085" i="13"/>
  <c r="N3083" i="13"/>
  <c r="J3082" i="13" a="1"/>
  <c r="J3082" i="13" s="1"/>
  <c r="K2896" i="13"/>
  <c r="L2896" i="13" s="1"/>
  <c r="I2897" i="13" s="1"/>
  <c r="K2897" i="13" l="1"/>
  <c r="L2897" i="13" s="1"/>
  <c r="I2898" i="13" s="1"/>
  <c r="K2919" i="14"/>
  <c r="L2919" i="14" s="1"/>
  <c r="I2920" i="14" s="1"/>
  <c r="M3086" i="13"/>
  <c r="M3087" i="14"/>
  <c r="N3083" i="14"/>
  <c r="J3082" i="14" a="1"/>
  <c r="J3082" i="14" s="1"/>
  <c r="J3083" i="13" a="1"/>
  <c r="J3083" i="13" s="1"/>
  <c r="N3084" i="13"/>
  <c r="K2920" i="14" l="1"/>
  <c r="L2920" i="14" s="1"/>
  <c r="I2921" i="14" s="1"/>
  <c r="K2898" i="13"/>
  <c r="L2898" i="13" s="1"/>
  <c r="I2899" i="13" s="1"/>
  <c r="M3088" i="14"/>
  <c r="J3084" i="13" a="1"/>
  <c r="J3084" i="13" s="1"/>
  <c r="N3085" i="13"/>
  <c r="N3084" i="14"/>
  <c r="J3083" i="14" a="1"/>
  <c r="J3083" i="14" s="1"/>
  <c r="M3087" i="13"/>
  <c r="K2899" i="13" l="1"/>
  <c r="L2899" i="13" s="1"/>
  <c r="I2900" i="13" s="1"/>
  <c r="K2921" i="14"/>
  <c r="L2921" i="14" s="1"/>
  <c r="I2922" i="14" s="1"/>
  <c r="J3085" i="13" a="1"/>
  <c r="J3085" i="13" s="1"/>
  <c r="N3086" i="13"/>
  <c r="M3088" i="13"/>
  <c r="J3084" i="14" a="1"/>
  <c r="J3084" i="14" s="1"/>
  <c r="N3085" i="14"/>
  <c r="M3089" i="14"/>
  <c r="K2922" i="14" l="1"/>
  <c r="L2922" i="14" s="1"/>
  <c r="I2923" i="14" s="1"/>
  <c r="K2900" i="13"/>
  <c r="L2900" i="13" s="1"/>
  <c r="I2901" i="13" s="1"/>
  <c r="M3090" i="14"/>
  <c r="M3089" i="13"/>
  <c r="N3087" i="13"/>
  <c r="J3086" i="13" a="1"/>
  <c r="J3086" i="13" s="1"/>
  <c r="J3085" i="14" a="1"/>
  <c r="J3085" i="14" s="1"/>
  <c r="N3086" i="14"/>
  <c r="K2923" i="14" l="1"/>
  <c r="L2923" i="14" s="1"/>
  <c r="I2924" i="14" s="1"/>
  <c r="N3087" i="14"/>
  <c r="J3086" i="14" a="1"/>
  <c r="J3086" i="14" s="1"/>
  <c r="M3090" i="13"/>
  <c r="K2901" i="13"/>
  <c r="L2901" i="13" s="1"/>
  <c r="I2902" i="13" s="1"/>
  <c r="M3091" i="14"/>
  <c r="J3087" i="13" a="1"/>
  <c r="J3087" i="13" s="1"/>
  <c r="N3088" i="13"/>
  <c r="K2902" i="13" l="1"/>
  <c r="L2902" i="13" s="1"/>
  <c r="I2903" i="13" s="1"/>
  <c r="K2924" i="14"/>
  <c r="L2924" i="14" s="1"/>
  <c r="I2925" i="14" s="1"/>
  <c r="J3088" i="13" a="1"/>
  <c r="J3088" i="13" s="1"/>
  <c r="N3089" i="13"/>
  <c r="N3088" i="14"/>
  <c r="J3087" i="14" a="1"/>
  <c r="J3087" i="14" s="1"/>
  <c r="M3092" i="14"/>
  <c r="M3091" i="13"/>
  <c r="K2903" i="13" l="1"/>
  <c r="L2903" i="13" s="1"/>
  <c r="I2904" i="13" s="1"/>
  <c r="J3088" i="14" a="1"/>
  <c r="J3088" i="14" s="1"/>
  <c r="N3089" i="14"/>
  <c r="K2925" i="14"/>
  <c r="L2925" i="14" s="1"/>
  <c r="I2926" i="14" s="1"/>
  <c r="M3092" i="13"/>
  <c r="J3089" i="13" a="1"/>
  <c r="J3089" i="13" s="1"/>
  <c r="N3090" i="13"/>
  <c r="M3093" i="14"/>
  <c r="K2926" i="14" l="1"/>
  <c r="L2926" i="14" s="1"/>
  <c r="I2927" i="14" s="1"/>
  <c r="K2904" i="13"/>
  <c r="L2904" i="13" s="1"/>
  <c r="I2905" i="13" s="1"/>
  <c r="M3094" i="14"/>
  <c r="M3093" i="13"/>
  <c r="J3089" i="14" a="1"/>
  <c r="J3089" i="14" s="1"/>
  <c r="N3090" i="14"/>
  <c r="N3091" i="13"/>
  <c r="J3090" i="13" a="1"/>
  <c r="J3090" i="13" s="1"/>
  <c r="K2927" i="14" l="1"/>
  <c r="L2927" i="14" s="1"/>
  <c r="I2928" i="14" s="1"/>
  <c r="M3094" i="13"/>
  <c r="K2905" i="13"/>
  <c r="L2905" i="13" s="1"/>
  <c r="I2906" i="13" s="1"/>
  <c r="N3091" i="14"/>
  <c r="J3090" i="14" a="1"/>
  <c r="J3090" i="14" s="1"/>
  <c r="J3091" i="13" a="1"/>
  <c r="J3091" i="13" s="1"/>
  <c r="N3092" i="13"/>
  <c r="M3095" i="14"/>
  <c r="K2906" i="13" l="1"/>
  <c r="L2906" i="13" s="1"/>
  <c r="I2907" i="13" s="1"/>
  <c r="K2928" i="14"/>
  <c r="L2928" i="14" s="1"/>
  <c r="I2929" i="14" s="1"/>
  <c r="N3092" i="14"/>
  <c r="J3091" i="14" a="1"/>
  <c r="J3091" i="14" s="1"/>
  <c r="M3095" i="13"/>
  <c r="M3096" i="14"/>
  <c r="J3092" i="13" a="1"/>
  <c r="J3092" i="13" s="1"/>
  <c r="N3093" i="13"/>
  <c r="K2929" i="14" l="1"/>
  <c r="L2929" i="14" s="1"/>
  <c r="I2930" i="14" s="1"/>
  <c r="K2907" i="13"/>
  <c r="L2907" i="13" s="1"/>
  <c r="I2908" i="13" s="1"/>
  <c r="J3093" i="13" a="1"/>
  <c r="J3093" i="13" s="1"/>
  <c r="N3094" i="13"/>
  <c r="M3096" i="13"/>
  <c r="M3097" i="14"/>
  <c r="J3092" i="14" a="1"/>
  <c r="J3092" i="14" s="1"/>
  <c r="N3093" i="14"/>
  <c r="K2930" i="14" l="1"/>
  <c r="L2930" i="14" s="1"/>
  <c r="I2931" i="14" s="1"/>
  <c r="J3093" i="14" a="1"/>
  <c r="J3093" i="14" s="1"/>
  <c r="N3094" i="14"/>
  <c r="M3097" i="13"/>
  <c r="K2908" i="13"/>
  <c r="L2908" i="13" s="1"/>
  <c r="I2909" i="13" s="1"/>
  <c r="M3098" i="14"/>
  <c r="N3095" i="13"/>
  <c r="J3094" i="13" a="1"/>
  <c r="J3094" i="13" s="1"/>
  <c r="K2909" i="13" l="1"/>
  <c r="L2909" i="13" s="1"/>
  <c r="I2910" i="13" s="1"/>
  <c r="K2931" i="14"/>
  <c r="L2931" i="14" s="1"/>
  <c r="I2932" i="14" s="1"/>
  <c r="N3095" i="14"/>
  <c r="J3094" i="14" a="1"/>
  <c r="J3094" i="14" s="1"/>
  <c r="J3095" i="13" a="1"/>
  <c r="J3095" i="13" s="1"/>
  <c r="N3096" i="13"/>
  <c r="M3099" i="14"/>
  <c r="M3098" i="13"/>
  <c r="K2932" i="14" l="1"/>
  <c r="L2932" i="14" s="1"/>
  <c r="I2933" i="14" s="1"/>
  <c r="K2910" i="13"/>
  <c r="L2910" i="13" s="1"/>
  <c r="I2911" i="13" s="1"/>
  <c r="M3100" i="14"/>
  <c r="J3096" i="13" a="1"/>
  <c r="J3096" i="13" s="1"/>
  <c r="N3097" i="13"/>
  <c r="M3099" i="13"/>
  <c r="N3096" i="14"/>
  <c r="J3095" i="14" a="1"/>
  <c r="J3095" i="14" s="1"/>
  <c r="K2911" i="13" l="1"/>
  <c r="L2911" i="13" s="1"/>
  <c r="I2912" i="13" s="1"/>
  <c r="K2933" i="14"/>
  <c r="L2933" i="14" s="1"/>
  <c r="I2934" i="14" s="1"/>
  <c r="J3097" i="13" a="1"/>
  <c r="J3097" i="13" s="1"/>
  <c r="N3098" i="13"/>
  <c r="J3096" i="14" a="1"/>
  <c r="J3096" i="14" s="1"/>
  <c r="N3097" i="14"/>
  <c r="M3100" i="13"/>
  <c r="M3101" i="14"/>
  <c r="K2934" i="14" l="1"/>
  <c r="L2934" i="14" s="1"/>
  <c r="I2935" i="14" s="1"/>
  <c r="K2912" i="13"/>
  <c r="L2912" i="13" s="1"/>
  <c r="I2913" i="13" s="1"/>
  <c r="J3097" i="14" a="1"/>
  <c r="J3097" i="14" s="1"/>
  <c r="N3098" i="14"/>
  <c r="N3099" i="13"/>
  <c r="J3098" i="13" a="1"/>
  <c r="J3098" i="13" s="1"/>
  <c r="M3102" i="14"/>
  <c r="M3101" i="13"/>
  <c r="K2913" i="13" l="1"/>
  <c r="L2913" i="13" s="1"/>
  <c r="I2914" i="13" s="1"/>
  <c r="K2935" i="14"/>
  <c r="L2935" i="14" s="1"/>
  <c r="I2936" i="14" s="1"/>
  <c r="J3099" i="13" a="1"/>
  <c r="J3099" i="13" s="1"/>
  <c r="N3100" i="13"/>
  <c r="M3103" i="14"/>
  <c r="M3102" i="13"/>
  <c r="N3099" i="14"/>
  <c r="J3098" i="14" a="1"/>
  <c r="J3098" i="14" s="1"/>
  <c r="K2914" i="13" l="1"/>
  <c r="L2914" i="13" s="1"/>
  <c r="I2915" i="13" s="1"/>
  <c r="K2936" i="14"/>
  <c r="L2936" i="14" s="1"/>
  <c r="I2937" i="14" s="1"/>
  <c r="N3100" i="14"/>
  <c r="J3099" i="14" a="1"/>
  <c r="J3099" i="14" s="1"/>
  <c r="M3104" i="14"/>
  <c r="J3100" i="13" a="1"/>
  <c r="J3100" i="13" s="1"/>
  <c r="N3101" i="13"/>
  <c r="M3103" i="13"/>
  <c r="K2915" i="13" l="1"/>
  <c r="L2915" i="13" s="1"/>
  <c r="I2916" i="13" s="1"/>
  <c r="M3104" i="13"/>
  <c r="M3105" i="14"/>
  <c r="K2937" i="14"/>
  <c r="L2937" i="14" s="1"/>
  <c r="I2938" i="14" s="1"/>
  <c r="J3101" i="13" a="1"/>
  <c r="J3101" i="13" s="1"/>
  <c r="N3102" i="13"/>
  <c r="J3100" i="14" a="1"/>
  <c r="J3100" i="14" s="1"/>
  <c r="N3101" i="14"/>
  <c r="K2916" i="13" l="1"/>
  <c r="L2916" i="13" s="1"/>
  <c r="I2917" i="13" s="1"/>
  <c r="K2938" i="14"/>
  <c r="L2938" i="14" s="1"/>
  <c r="I2939" i="14" s="1"/>
  <c r="J3101" i="14" a="1"/>
  <c r="J3101" i="14" s="1"/>
  <c r="N3102" i="14"/>
  <c r="M3105" i="13"/>
  <c r="N3103" i="13"/>
  <c r="J3102" i="13" a="1"/>
  <c r="J3102" i="13" s="1"/>
  <c r="M3106" i="14"/>
  <c r="K2917" i="13" l="1"/>
  <c r="L2917" i="13" s="1"/>
  <c r="I2918" i="13" s="1"/>
  <c r="M3106" i="13"/>
  <c r="K2939" i="14"/>
  <c r="L2939" i="14" s="1"/>
  <c r="I2940" i="14" s="1"/>
  <c r="N3103" i="14"/>
  <c r="J3102" i="14" a="1"/>
  <c r="J3102" i="14" s="1"/>
  <c r="M3107" i="14"/>
  <c r="J3103" i="13" a="1"/>
  <c r="J3103" i="13" s="1"/>
  <c r="N3104" i="13"/>
  <c r="K2940" i="14" l="1"/>
  <c r="L2940" i="14" s="1"/>
  <c r="I2941" i="14" s="1"/>
  <c r="K2918" i="13"/>
  <c r="L2918" i="13" s="1"/>
  <c r="I2919" i="13" s="1"/>
  <c r="N3104" i="14"/>
  <c r="J3103" i="14" a="1"/>
  <c r="J3103" i="14" s="1"/>
  <c r="M3107" i="13"/>
  <c r="J3104" i="13" a="1"/>
  <c r="J3104" i="13" s="1"/>
  <c r="N3105" i="13"/>
  <c r="M3108" i="14"/>
  <c r="K2919" i="13" l="1"/>
  <c r="L2919" i="13" s="1"/>
  <c r="I2920" i="13" s="1"/>
  <c r="K2941" i="14"/>
  <c r="L2941" i="14" s="1"/>
  <c r="I2942" i="14" s="1"/>
  <c r="M3109" i="14"/>
  <c r="M3108" i="13"/>
  <c r="J3105" i="13" a="1"/>
  <c r="J3105" i="13" s="1"/>
  <c r="N3106" i="13"/>
  <c r="J3104" i="14" a="1"/>
  <c r="J3104" i="14" s="1"/>
  <c r="N3105" i="14"/>
  <c r="K2942" i="14" l="1"/>
  <c r="L2942" i="14" s="1"/>
  <c r="I2943" i="14" s="1"/>
  <c r="K2920" i="13"/>
  <c r="L2920" i="13" s="1"/>
  <c r="I2921" i="13" s="1"/>
  <c r="N3107" i="13"/>
  <c r="J3106" i="13" a="1"/>
  <c r="J3106" i="13" s="1"/>
  <c r="J3105" i="14" a="1"/>
  <c r="J3105" i="14" s="1"/>
  <c r="N3106" i="14"/>
  <c r="M3109" i="13"/>
  <c r="M3110" i="14"/>
  <c r="K2943" i="14" l="1"/>
  <c r="L2943" i="14" s="1"/>
  <c r="I2944" i="14" s="1"/>
  <c r="N3107" i="14"/>
  <c r="J3106" i="14" a="1"/>
  <c r="J3106" i="14" s="1"/>
  <c r="K2921" i="13"/>
  <c r="L2921" i="13" s="1"/>
  <c r="I2922" i="13" s="1"/>
  <c r="M3111" i="14"/>
  <c r="M3110" i="13"/>
  <c r="J3107" i="13" a="1"/>
  <c r="J3107" i="13" s="1"/>
  <c r="N3108" i="13"/>
  <c r="K2922" i="13" l="1"/>
  <c r="L2922" i="13" s="1"/>
  <c r="I2923" i="13" s="1"/>
  <c r="K2944" i="14"/>
  <c r="L2944" i="14" s="1"/>
  <c r="I2945" i="14" s="1"/>
  <c r="J3108" i="13" a="1"/>
  <c r="J3108" i="13" s="1"/>
  <c r="N3109" i="13"/>
  <c r="M3112" i="14"/>
  <c r="N3108" i="14"/>
  <c r="J3107" i="14" a="1"/>
  <c r="J3107" i="14" s="1"/>
  <c r="M3111" i="13"/>
  <c r="K2923" i="13" l="1"/>
  <c r="L2923" i="13" s="1"/>
  <c r="I2924" i="13" s="1"/>
  <c r="K2945" i="14"/>
  <c r="L2945" i="14" s="1"/>
  <c r="I2946" i="14" s="1"/>
  <c r="J3109" i="13" a="1"/>
  <c r="J3109" i="13" s="1"/>
  <c r="N3110" i="13"/>
  <c r="M3112" i="13"/>
  <c r="M3113" i="14"/>
  <c r="J3108" i="14" a="1"/>
  <c r="J3108" i="14" s="1"/>
  <c r="N3109" i="14"/>
  <c r="K2946" i="14" l="1"/>
  <c r="L2946" i="14" s="1"/>
  <c r="I2947" i="14" s="1"/>
  <c r="K2924" i="13"/>
  <c r="L2924" i="13" s="1"/>
  <c r="I2925" i="13" s="1"/>
  <c r="N3111" i="13"/>
  <c r="J3110" i="13" a="1"/>
  <c r="J3110" i="13" s="1"/>
  <c r="J3109" i="14" a="1"/>
  <c r="J3109" i="14" s="1"/>
  <c r="N3110" i="14"/>
  <c r="M3113" i="13"/>
  <c r="M3114" i="14"/>
  <c r="K2947" i="14" l="1"/>
  <c r="L2947" i="14" s="1"/>
  <c r="I2948" i="14" s="1"/>
  <c r="N3111" i="14"/>
  <c r="J3110" i="14" a="1"/>
  <c r="J3110" i="14" s="1"/>
  <c r="K2925" i="13"/>
  <c r="L2925" i="13" s="1"/>
  <c r="I2926" i="13" s="1"/>
  <c r="M3115" i="14"/>
  <c r="M3114" i="13"/>
  <c r="J3111" i="13" a="1"/>
  <c r="J3111" i="13" s="1"/>
  <c r="N3112" i="13"/>
  <c r="K2926" i="13" l="1"/>
  <c r="L2926" i="13" s="1"/>
  <c r="I2927" i="13" s="1"/>
  <c r="K2948" i="14"/>
  <c r="L2948" i="14" s="1"/>
  <c r="I2949" i="14" s="1"/>
  <c r="N3112" i="14"/>
  <c r="J3111" i="14" a="1"/>
  <c r="J3111" i="14" s="1"/>
  <c r="J3112" i="13" a="1"/>
  <c r="J3112" i="13" s="1"/>
  <c r="N3113" i="13"/>
  <c r="M3116" i="14"/>
  <c r="M3115" i="13"/>
  <c r="K2949" i="14" l="1"/>
  <c r="L2949" i="14" s="1"/>
  <c r="I2950" i="14" s="1"/>
  <c r="K2927" i="13"/>
  <c r="L2927" i="13" s="1"/>
  <c r="I2928" i="13" s="1"/>
  <c r="J3113" i="13" a="1"/>
  <c r="J3113" i="13" s="1"/>
  <c r="N3114" i="13"/>
  <c r="M3116" i="13"/>
  <c r="M3117" i="14"/>
  <c r="J3112" i="14" a="1"/>
  <c r="J3112" i="14" s="1"/>
  <c r="N3113" i="14"/>
  <c r="K2928" i="13" l="1"/>
  <c r="L2928" i="13" s="1"/>
  <c r="I2929" i="13" s="1"/>
  <c r="K2950" i="14"/>
  <c r="L2950" i="14" s="1"/>
  <c r="I2951" i="14" s="1"/>
  <c r="J3113" i="14" a="1"/>
  <c r="J3113" i="14" s="1"/>
  <c r="N3114" i="14"/>
  <c r="M3117" i="13"/>
  <c r="N3115" i="13"/>
  <c r="J3114" i="13" a="1"/>
  <c r="J3114" i="13" s="1"/>
  <c r="M3118" i="14"/>
  <c r="K2951" i="14" l="1"/>
  <c r="L2951" i="14" s="1"/>
  <c r="I2952" i="14" s="1"/>
  <c r="K2929" i="13"/>
  <c r="L2929" i="13" s="1"/>
  <c r="I2930" i="13" s="1"/>
  <c r="M3119" i="14"/>
  <c r="M3118" i="13"/>
  <c r="N3115" i="14"/>
  <c r="J3114" i="14" a="1"/>
  <c r="J3114" i="14" s="1"/>
  <c r="J3115" i="13" a="1"/>
  <c r="J3115" i="13" s="1"/>
  <c r="N3116" i="13"/>
  <c r="K2930" i="13" l="1"/>
  <c r="L2930" i="13" s="1"/>
  <c r="I2931" i="13" s="1"/>
  <c r="K2952" i="14"/>
  <c r="L2952" i="14" s="1"/>
  <c r="I2953" i="14" s="1"/>
  <c r="J3116" i="13" a="1"/>
  <c r="J3116" i="13" s="1"/>
  <c r="N3117" i="13"/>
  <c r="M3119" i="13"/>
  <c r="N3116" i="14"/>
  <c r="J3115" i="14" a="1"/>
  <c r="J3115" i="14" s="1"/>
  <c r="M3120" i="14"/>
  <c r="K2953" i="14" l="1"/>
  <c r="L2953" i="14" s="1"/>
  <c r="I2954" i="14" s="1"/>
  <c r="K2931" i="13"/>
  <c r="L2931" i="13" s="1"/>
  <c r="I2932" i="13" s="1"/>
  <c r="M3121" i="14"/>
  <c r="M3120" i="13"/>
  <c r="J3117" i="13" a="1"/>
  <c r="J3117" i="13" s="1"/>
  <c r="N3118" i="13"/>
  <c r="J3116" i="14" a="1"/>
  <c r="J3116" i="14" s="1"/>
  <c r="N3117" i="14"/>
  <c r="K2932" i="13" l="1"/>
  <c r="L2932" i="13" s="1"/>
  <c r="I2933" i="13" s="1"/>
  <c r="M3121" i="13"/>
  <c r="J3117" i="14" a="1"/>
  <c r="J3117" i="14" s="1"/>
  <c r="N3118" i="14"/>
  <c r="N3119" i="13"/>
  <c r="J3118" i="13" a="1"/>
  <c r="J3118" i="13" s="1"/>
  <c r="M3122" i="14"/>
  <c r="K2954" i="14"/>
  <c r="L2954" i="14" s="1"/>
  <c r="I2955" i="14" s="1"/>
  <c r="K2955" i="14" l="1"/>
  <c r="L2955" i="14" s="1"/>
  <c r="I2956" i="14" s="1"/>
  <c r="K2933" i="13"/>
  <c r="L2933" i="13" s="1"/>
  <c r="I2934" i="13" s="1"/>
  <c r="M3122" i="13"/>
  <c r="J3119" i="13" a="1"/>
  <c r="J3119" i="13" s="1"/>
  <c r="N3120" i="13"/>
  <c r="N3119" i="14"/>
  <c r="J3118" i="14" a="1"/>
  <c r="J3118" i="14" s="1"/>
  <c r="M3123" i="14"/>
  <c r="K2956" i="14" l="1"/>
  <c r="L2956" i="14" s="1"/>
  <c r="I2957" i="14" s="1"/>
  <c r="J3120" i="13" a="1"/>
  <c r="J3120" i="13" s="1"/>
  <c r="N3121" i="13"/>
  <c r="M3124" i="14"/>
  <c r="K2934" i="13"/>
  <c r="L2934" i="13" s="1"/>
  <c r="I2935" i="13" s="1"/>
  <c r="N3120" i="14"/>
  <c r="J3119" i="14" a="1"/>
  <c r="J3119" i="14" s="1"/>
  <c r="M3123" i="13"/>
  <c r="K2935" i="13" l="1"/>
  <c r="L2935" i="13" s="1"/>
  <c r="I2936" i="13" s="1"/>
  <c r="K2957" i="14"/>
  <c r="L2957" i="14" s="1"/>
  <c r="I2958" i="14" s="1"/>
  <c r="J3121" i="13" a="1"/>
  <c r="J3121" i="13" s="1"/>
  <c r="N3122" i="13"/>
  <c r="M3124" i="13"/>
  <c r="J3120" i="14" a="1"/>
  <c r="J3120" i="14" s="1"/>
  <c r="N3121" i="14"/>
  <c r="M3125" i="14"/>
  <c r="K2958" i="14" l="1"/>
  <c r="L2958" i="14" s="1"/>
  <c r="I2959" i="14" s="1"/>
  <c r="K2936" i="13"/>
  <c r="L2936" i="13" s="1"/>
  <c r="I2937" i="13" s="1"/>
  <c r="M3126" i="14"/>
  <c r="M3125" i="13"/>
  <c r="N3123" i="13"/>
  <c r="J3122" i="13" a="1"/>
  <c r="J3122" i="13" s="1"/>
  <c r="J3121" i="14" a="1"/>
  <c r="J3121" i="14" s="1"/>
  <c r="N3122" i="14"/>
  <c r="K2937" i="13" l="1"/>
  <c r="L2937" i="13" s="1"/>
  <c r="I2938" i="13" s="1"/>
  <c r="K2959" i="14"/>
  <c r="L2959" i="14" s="1"/>
  <c r="I2960" i="14" s="1"/>
  <c r="M3126" i="13"/>
  <c r="M3127" i="14"/>
  <c r="N3123" i="14"/>
  <c r="J3122" i="14" a="1"/>
  <c r="J3122" i="14" s="1"/>
  <c r="J3123" i="13" a="1"/>
  <c r="J3123" i="13" s="1"/>
  <c r="N3124" i="13"/>
  <c r="K2960" i="14" l="1"/>
  <c r="L2960" i="14" s="1"/>
  <c r="I2961" i="14" s="1"/>
  <c r="K2938" i="13"/>
  <c r="L2938" i="13" s="1"/>
  <c r="I2939" i="13" s="1"/>
  <c r="M3128" i="14"/>
  <c r="J3124" i="13" a="1"/>
  <c r="J3124" i="13" s="1"/>
  <c r="N3125" i="13"/>
  <c r="N3124" i="14"/>
  <c r="J3123" i="14" a="1"/>
  <c r="J3123" i="14" s="1"/>
  <c r="M3127" i="13"/>
  <c r="K2939" i="13" l="1"/>
  <c r="L2939" i="13" s="1"/>
  <c r="I2940" i="13" s="1"/>
  <c r="K2961" i="14"/>
  <c r="L2961" i="14" s="1"/>
  <c r="I2962" i="14" s="1"/>
  <c r="J3125" i="13" a="1"/>
  <c r="J3125" i="13" s="1"/>
  <c r="N3126" i="13"/>
  <c r="M3128" i="13"/>
  <c r="J3124" i="14" a="1"/>
  <c r="J3124" i="14" s="1"/>
  <c r="N3125" i="14"/>
  <c r="M3129" i="14"/>
  <c r="K2962" i="14" l="1"/>
  <c r="L2962" i="14" s="1"/>
  <c r="I2963" i="14" s="1"/>
  <c r="K2940" i="13"/>
  <c r="L2940" i="13" s="1"/>
  <c r="I2941" i="13" s="1"/>
  <c r="J3125" i="14" a="1"/>
  <c r="J3125" i="14" s="1"/>
  <c r="N3126" i="14"/>
  <c r="M3130" i="14"/>
  <c r="M3129" i="13"/>
  <c r="N3127" i="13"/>
  <c r="J3126" i="13" a="1"/>
  <c r="J3126" i="13" s="1"/>
  <c r="K2941" i="13" l="1"/>
  <c r="L2941" i="13" s="1"/>
  <c r="I2942" i="13" s="1"/>
  <c r="K2963" i="14"/>
  <c r="L2963" i="14" s="1"/>
  <c r="I2964" i="14" s="1"/>
  <c r="M3131" i="14"/>
  <c r="J3127" i="13" a="1"/>
  <c r="J3127" i="13" s="1"/>
  <c r="N3128" i="13"/>
  <c r="M3130" i="13"/>
  <c r="N3127" i="14"/>
  <c r="J3126" i="14" a="1"/>
  <c r="J3126" i="14" s="1"/>
  <c r="K2964" i="14" l="1"/>
  <c r="L2964" i="14" s="1"/>
  <c r="I2965" i="14" s="1"/>
  <c r="K2942" i="13"/>
  <c r="L2942" i="13" s="1"/>
  <c r="I2943" i="13" s="1"/>
  <c r="J3128" i="13" a="1"/>
  <c r="J3128" i="13" s="1"/>
  <c r="N3129" i="13"/>
  <c r="N3128" i="14"/>
  <c r="J3127" i="14" a="1"/>
  <c r="J3127" i="14" s="1"/>
  <c r="M3131" i="13"/>
  <c r="M3132" i="14"/>
  <c r="K2943" i="13" l="1"/>
  <c r="L2943" i="13" s="1"/>
  <c r="I2944" i="13" s="1"/>
  <c r="K2965" i="14"/>
  <c r="L2965" i="14" s="1"/>
  <c r="I2966" i="14" s="1"/>
  <c r="J3128" i="14" a="1"/>
  <c r="J3128" i="14" s="1"/>
  <c r="N3129" i="14"/>
  <c r="J3129" i="13" a="1"/>
  <c r="J3129" i="13" s="1"/>
  <c r="N3130" i="13"/>
  <c r="M3133" i="14"/>
  <c r="M3132" i="13"/>
  <c r="K2966" i="14" l="1"/>
  <c r="L2966" i="14" s="1"/>
  <c r="I2967" i="14" s="1"/>
  <c r="K2944" i="13"/>
  <c r="L2944" i="13" s="1"/>
  <c r="I2945" i="13" s="1"/>
  <c r="M3133" i="13"/>
  <c r="N3131" i="13"/>
  <c r="J3130" i="13" a="1"/>
  <c r="J3130" i="13" s="1"/>
  <c r="J3129" i="14" a="1"/>
  <c r="J3129" i="14" s="1"/>
  <c r="N3130" i="14"/>
  <c r="M3134" i="14"/>
  <c r="K2945" i="13" l="1"/>
  <c r="L2945" i="13" s="1"/>
  <c r="I2946" i="13" s="1"/>
  <c r="K2967" i="14"/>
  <c r="L2967" i="14" s="1"/>
  <c r="I2968" i="14" s="1"/>
  <c r="J3131" i="13" a="1"/>
  <c r="J3131" i="13" s="1"/>
  <c r="N3132" i="13"/>
  <c r="N3131" i="14"/>
  <c r="J3130" i="14" a="1"/>
  <c r="J3130" i="14" s="1"/>
  <c r="M3134" i="13"/>
  <c r="M3135" i="14"/>
  <c r="K2968" i="14" l="1"/>
  <c r="L2968" i="14" s="1"/>
  <c r="I2969" i="14" s="1"/>
  <c r="K2946" i="13"/>
  <c r="L2946" i="13" s="1"/>
  <c r="I2947" i="13" s="1"/>
  <c r="N3132" i="14"/>
  <c r="J3131" i="14" a="1"/>
  <c r="J3131" i="14" s="1"/>
  <c r="J3132" i="13" a="1"/>
  <c r="J3132" i="13" s="1"/>
  <c r="N3133" i="13"/>
  <c r="M3136" i="14"/>
  <c r="M3135" i="13"/>
  <c r="K2947" i="13" l="1"/>
  <c r="L2947" i="13" s="1"/>
  <c r="I2948" i="13" s="1"/>
  <c r="K2969" i="14"/>
  <c r="L2969" i="14" s="1"/>
  <c r="I2970" i="14" s="1"/>
  <c r="J3133" i="13" a="1"/>
  <c r="J3133" i="13" s="1"/>
  <c r="N3134" i="13"/>
  <c r="M3136" i="13"/>
  <c r="M3137" i="14"/>
  <c r="J3132" i="14" a="1"/>
  <c r="J3132" i="14" s="1"/>
  <c r="N3133" i="14"/>
  <c r="K2970" i="14" l="1"/>
  <c r="L2970" i="14" s="1"/>
  <c r="I2971" i="14" s="1"/>
  <c r="K2948" i="13"/>
  <c r="L2948" i="13" s="1"/>
  <c r="I2949" i="13" s="1"/>
  <c r="J3133" i="14" a="1"/>
  <c r="J3133" i="14" s="1"/>
  <c r="N3134" i="14"/>
  <c r="M3137" i="13"/>
  <c r="M3138" i="14"/>
  <c r="N3135" i="13"/>
  <c r="J3134" i="13" a="1"/>
  <c r="J3134" i="13" s="1"/>
  <c r="K2949" i="13" l="1"/>
  <c r="L2949" i="13" s="1"/>
  <c r="I2950" i="13" s="1"/>
  <c r="K2971" i="14"/>
  <c r="L2971" i="14" s="1"/>
  <c r="I2972" i="14" s="1"/>
  <c r="M3138" i="13"/>
  <c r="M3139" i="14"/>
  <c r="J3135" i="13" a="1"/>
  <c r="J3135" i="13" s="1"/>
  <c r="N3136" i="13"/>
  <c r="N3135" i="14"/>
  <c r="J3134" i="14" a="1"/>
  <c r="J3134" i="14" s="1"/>
  <c r="K2972" i="14" l="1"/>
  <c r="L2972" i="14" s="1"/>
  <c r="I2973" i="14" s="1"/>
  <c r="K2950" i="13"/>
  <c r="L2950" i="13" s="1"/>
  <c r="I2951" i="13" s="1"/>
  <c r="N3136" i="14"/>
  <c r="J3135" i="14" a="1"/>
  <c r="J3135" i="14" s="1"/>
  <c r="M3140" i="14"/>
  <c r="J3136" i="13" a="1"/>
  <c r="J3136" i="13" s="1"/>
  <c r="N3137" i="13"/>
  <c r="M3139" i="13"/>
  <c r="K2951" i="13" l="1"/>
  <c r="L2951" i="13" s="1"/>
  <c r="I2952" i="13" s="1"/>
  <c r="K2973" i="14"/>
  <c r="L2973" i="14" s="1"/>
  <c r="I2974" i="14" s="1"/>
  <c r="J3137" i="13" a="1"/>
  <c r="J3137" i="13" s="1"/>
  <c r="N3138" i="13"/>
  <c r="M3140" i="13"/>
  <c r="M3141" i="14"/>
  <c r="J3136" i="14" a="1"/>
  <c r="J3136" i="14" s="1"/>
  <c r="N3137" i="14"/>
  <c r="K2974" i="14" l="1"/>
  <c r="L2974" i="14" s="1"/>
  <c r="I2975" i="14" s="1"/>
  <c r="K2952" i="13"/>
  <c r="L2952" i="13" s="1"/>
  <c r="I2953" i="13" s="1"/>
  <c r="M3141" i="13"/>
  <c r="N3139" i="13"/>
  <c r="J3138" i="13" a="1"/>
  <c r="J3138" i="13" s="1"/>
  <c r="J3137" i="14" a="1"/>
  <c r="J3137" i="14" s="1"/>
  <c r="N3138" i="14"/>
  <c r="M3142" i="14"/>
  <c r="K2953" i="13" l="1"/>
  <c r="L2953" i="13" s="1"/>
  <c r="I2954" i="13" s="1"/>
  <c r="K2975" i="14"/>
  <c r="L2975" i="14" s="1"/>
  <c r="I2976" i="14" s="1"/>
  <c r="J3139" i="13" a="1"/>
  <c r="J3139" i="13" s="1"/>
  <c r="N3140" i="13"/>
  <c r="N3139" i="14"/>
  <c r="J3138" i="14" a="1"/>
  <c r="J3138" i="14" s="1"/>
  <c r="M3142" i="13"/>
  <c r="M3143" i="14"/>
  <c r="K2976" i="14" l="1"/>
  <c r="L2976" i="14" s="1"/>
  <c r="I2977" i="14" s="1"/>
  <c r="K2954" i="13"/>
  <c r="L2954" i="13" s="1"/>
  <c r="I2955" i="13" s="1"/>
  <c r="N3140" i="14"/>
  <c r="J3139" i="14" a="1"/>
  <c r="J3139" i="14" s="1"/>
  <c r="J3140" i="13" a="1"/>
  <c r="J3140" i="13" s="1"/>
  <c r="N3141" i="13"/>
  <c r="M3144" i="14"/>
  <c r="M3143" i="13"/>
  <c r="K2955" i="13" l="1"/>
  <c r="L2955" i="13" s="1"/>
  <c r="I2956" i="13" s="1"/>
  <c r="K2977" i="14"/>
  <c r="L2977" i="14" s="1"/>
  <c r="I2978" i="14" s="1"/>
  <c r="J3141" i="13" a="1"/>
  <c r="J3141" i="13" s="1"/>
  <c r="N3142" i="13"/>
  <c r="M3144" i="13"/>
  <c r="M3145" i="14"/>
  <c r="J3140" i="14" a="1"/>
  <c r="J3140" i="14" s="1"/>
  <c r="N3141" i="14"/>
  <c r="K2956" i="13" l="1"/>
  <c r="L2956" i="13" s="1"/>
  <c r="I2957" i="13" s="1"/>
  <c r="J3141" i="14" a="1"/>
  <c r="J3141" i="14" s="1"/>
  <c r="N3142" i="14"/>
  <c r="K2978" i="14"/>
  <c r="L2978" i="14" s="1"/>
  <c r="I2979" i="14" s="1"/>
  <c r="M3145" i="13"/>
  <c r="N3143" i="13"/>
  <c r="J3142" i="13" a="1"/>
  <c r="J3142" i="13" s="1"/>
  <c r="M3146" i="14"/>
  <c r="K2979" i="14" l="1"/>
  <c r="L2979" i="14" s="1"/>
  <c r="I2980" i="14" s="1"/>
  <c r="K2957" i="13"/>
  <c r="L2957" i="13" s="1"/>
  <c r="I2958" i="13" s="1"/>
  <c r="M3147" i="14"/>
  <c r="M3146" i="13"/>
  <c r="N3143" i="14"/>
  <c r="J3142" i="14" a="1"/>
  <c r="J3142" i="14" s="1"/>
  <c r="J3143" i="13" a="1"/>
  <c r="J3143" i="13" s="1"/>
  <c r="N3144" i="13"/>
  <c r="K2958" i="13" l="1"/>
  <c r="L2958" i="13" s="1"/>
  <c r="I2959" i="13" s="1"/>
  <c r="K2980" i="14"/>
  <c r="L2980" i="14" s="1"/>
  <c r="I2981" i="14" s="1"/>
  <c r="M3147" i="13"/>
  <c r="J3144" i="13" a="1"/>
  <c r="J3144" i="13" s="1"/>
  <c r="N3145" i="13"/>
  <c r="N3144" i="14"/>
  <c r="J3143" i="14" a="1"/>
  <c r="J3143" i="14" s="1"/>
  <c r="M3148" i="14"/>
  <c r="K2959" i="13" l="1"/>
  <c r="L2959" i="13" s="1"/>
  <c r="I2960" i="13" s="1"/>
  <c r="J3145" i="13" a="1"/>
  <c r="J3145" i="13" s="1"/>
  <c r="N3146" i="13"/>
  <c r="M3149" i="14"/>
  <c r="K2981" i="14"/>
  <c r="L2981" i="14" s="1"/>
  <c r="I2982" i="14" s="1"/>
  <c r="J3144" i="14" a="1"/>
  <c r="J3144" i="14" s="1"/>
  <c r="N3145" i="14"/>
  <c r="M3148" i="13"/>
  <c r="K2982" i="14" l="1"/>
  <c r="L2982" i="14" s="1"/>
  <c r="I2983" i="14" s="1"/>
  <c r="K2960" i="13"/>
  <c r="L2960" i="13" s="1"/>
  <c r="I2961" i="13" s="1"/>
  <c r="N3147" i="13"/>
  <c r="J3146" i="13" a="1"/>
  <c r="J3146" i="13" s="1"/>
  <c r="M3149" i="13"/>
  <c r="J3145" i="14" a="1"/>
  <c r="J3145" i="14" s="1"/>
  <c r="N3146" i="14"/>
  <c r="M3150" i="14"/>
  <c r="K2961" i="13" l="1"/>
  <c r="L2961" i="13" s="1"/>
  <c r="I2962" i="13" s="1"/>
  <c r="K2983" i="14"/>
  <c r="L2983" i="14" s="1"/>
  <c r="I2984" i="14" s="1"/>
  <c r="N3147" i="14"/>
  <c r="J3146" i="14" a="1"/>
  <c r="J3146" i="14" s="1"/>
  <c r="M3150" i="13"/>
  <c r="M3151" i="14"/>
  <c r="J3147" i="13" a="1"/>
  <c r="J3147" i="13" s="1"/>
  <c r="N3148" i="13"/>
  <c r="K2984" i="14" l="1"/>
  <c r="L2984" i="14" s="1"/>
  <c r="I2985" i="14" s="1"/>
  <c r="K2962" i="13"/>
  <c r="L2962" i="13" s="1"/>
  <c r="I2963" i="13" s="1"/>
  <c r="J3148" i="13" a="1"/>
  <c r="J3148" i="13" s="1"/>
  <c r="N3149" i="13"/>
  <c r="M3151" i="13"/>
  <c r="M3152" i="14"/>
  <c r="N3148" i="14"/>
  <c r="J3147" i="14" a="1"/>
  <c r="J3147" i="14" s="1"/>
  <c r="K2963" i="13" l="1"/>
  <c r="L2963" i="13" s="1"/>
  <c r="I2964" i="13" s="1"/>
  <c r="K2985" i="14"/>
  <c r="L2985" i="14" s="1"/>
  <c r="I2986" i="14" s="1"/>
  <c r="J3148" i="14" a="1"/>
  <c r="J3148" i="14" s="1"/>
  <c r="N3149" i="14"/>
  <c r="M3152" i="13"/>
  <c r="J3149" i="13" a="1"/>
  <c r="J3149" i="13" s="1"/>
  <c r="N3150" i="13"/>
  <c r="M3153" i="14"/>
  <c r="K2986" i="14" l="1"/>
  <c r="L2986" i="14" s="1"/>
  <c r="I2987" i="14" s="1"/>
  <c r="K2964" i="13"/>
  <c r="L2964" i="13" s="1"/>
  <c r="I2965" i="13" s="1"/>
  <c r="M3154" i="14"/>
  <c r="M3153" i="13"/>
  <c r="N3151" i="13"/>
  <c r="J3150" i="13" a="1"/>
  <c r="J3150" i="13" s="1"/>
  <c r="J3149" i="14" a="1"/>
  <c r="J3149" i="14" s="1"/>
  <c r="N3150" i="14"/>
  <c r="K2965" i="13" l="1"/>
  <c r="L2965" i="13" s="1"/>
  <c r="I2966" i="13" s="1"/>
  <c r="K2987" i="14"/>
  <c r="L2987" i="14" s="1"/>
  <c r="I2988" i="14" s="1"/>
  <c r="N3151" i="14"/>
  <c r="J3150" i="14" a="1"/>
  <c r="J3150" i="14" s="1"/>
  <c r="M3154" i="13"/>
  <c r="M3155" i="14"/>
  <c r="J3151" i="13" a="1"/>
  <c r="J3151" i="13" s="1"/>
  <c r="N3152" i="13"/>
  <c r="K2988" i="14" l="1"/>
  <c r="L2988" i="14" s="1"/>
  <c r="I2989" i="14" s="1"/>
  <c r="K2966" i="13"/>
  <c r="L2966" i="13" s="1"/>
  <c r="I2967" i="13" s="1"/>
  <c r="J3152" i="13" a="1"/>
  <c r="J3152" i="13" s="1"/>
  <c r="N3153" i="13"/>
  <c r="M3155" i="13"/>
  <c r="M3156" i="14"/>
  <c r="N3152" i="14"/>
  <c r="J3151" i="14" a="1"/>
  <c r="J3151" i="14" s="1"/>
  <c r="K2967" i="13" l="1"/>
  <c r="L2967" i="13" s="1"/>
  <c r="I2968" i="13" s="1"/>
  <c r="K2989" i="14"/>
  <c r="L2989" i="14" s="1"/>
  <c r="I2990" i="14" s="1"/>
  <c r="J3153" i="13" a="1"/>
  <c r="J3153" i="13" s="1"/>
  <c r="N3154" i="13"/>
  <c r="J3152" i="14" a="1"/>
  <c r="J3152" i="14" s="1"/>
  <c r="N3153" i="14"/>
  <c r="M3156" i="13"/>
  <c r="M3157" i="14"/>
  <c r="K2990" i="14" l="1"/>
  <c r="L2990" i="14" s="1"/>
  <c r="I2991" i="14" s="1"/>
  <c r="K2968" i="13"/>
  <c r="L2968" i="13" s="1"/>
  <c r="I2969" i="13" s="1"/>
  <c r="M3158" i="14"/>
  <c r="J3153" i="14" a="1"/>
  <c r="J3153" i="14" s="1"/>
  <c r="N3154" i="14"/>
  <c r="N3155" i="13"/>
  <c r="J3154" i="13" a="1"/>
  <c r="J3154" i="13" s="1"/>
  <c r="M3157" i="13"/>
  <c r="K2969" i="13" l="1"/>
  <c r="L2969" i="13" s="1"/>
  <c r="I2970" i="13" s="1"/>
  <c r="K2991" i="14"/>
  <c r="L2991" i="14" s="1"/>
  <c r="I2992" i="14" s="1"/>
  <c r="M3158" i="13"/>
  <c r="M3159" i="14"/>
  <c r="N3155" i="14"/>
  <c r="J3154" i="14" a="1"/>
  <c r="J3154" i="14" s="1"/>
  <c r="J3155" i="13" a="1"/>
  <c r="J3155" i="13" s="1"/>
  <c r="N3156" i="13"/>
  <c r="K2992" i="14" l="1"/>
  <c r="L2992" i="14" s="1"/>
  <c r="I2993" i="14" s="1"/>
  <c r="K2970" i="13"/>
  <c r="L2970" i="13" s="1"/>
  <c r="I2971" i="13" s="1"/>
  <c r="J3156" i="13" a="1"/>
  <c r="J3156" i="13" s="1"/>
  <c r="N3157" i="13"/>
  <c r="M3160" i="14"/>
  <c r="N3156" i="14"/>
  <c r="J3155" i="14" a="1"/>
  <c r="J3155" i="14" s="1"/>
  <c r="M3159" i="13"/>
  <c r="K2971" i="13" l="1"/>
  <c r="L2971" i="13" s="1"/>
  <c r="I2972" i="13" s="1"/>
  <c r="K2993" i="14"/>
  <c r="L2993" i="14" s="1"/>
  <c r="I2994" i="14" s="1"/>
  <c r="M3160" i="13"/>
  <c r="M3161" i="14"/>
  <c r="J3157" i="13" a="1"/>
  <c r="J3157" i="13" s="1"/>
  <c r="N3158" i="13"/>
  <c r="J3156" i="14" a="1"/>
  <c r="J3156" i="14" s="1"/>
  <c r="N3157" i="14"/>
  <c r="K2994" i="14" l="1"/>
  <c r="L2994" i="14" s="1"/>
  <c r="I2995" i="14" s="1"/>
  <c r="K2972" i="13"/>
  <c r="L2972" i="13" s="1"/>
  <c r="I2973" i="13" s="1"/>
  <c r="J3157" i="14" a="1"/>
  <c r="J3157" i="14" s="1"/>
  <c r="N3158" i="14"/>
  <c r="M3162" i="14"/>
  <c r="N3159" i="13"/>
  <c r="J3158" i="13" a="1"/>
  <c r="J3158" i="13" s="1"/>
  <c r="M3161" i="13"/>
  <c r="K2973" i="13" l="1"/>
  <c r="L2973" i="13" s="1"/>
  <c r="I2974" i="13" s="1"/>
  <c r="K2995" i="14"/>
  <c r="L2995" i="14" s="1"/>
  <c r="I2996" i="14" s="1"/>
  <c r="M3162" i="13"/>
  <c r="M3163" i="14"/>
  <c r="N3159" i="14"/>
  <c r="J3158" i="14" a="1"/>
  <c r="J3158" i="14" s="1"/>
  <c r="J3159" i="13" a="1"/>
  <c r="J3159" i="13" s="1"/>
  <c r="N3160" i="13"/>
  <c r="K2996" i="14" l="1"/>
  <c r="L2996" i="14" s="1"/>
  <c r="I2997" i="14" s="1"/>
  <c r="K2974" i="13"/>
  <c r="L2974" i="13" s="1"/>
  <c r="I2975" i="13" s="1"/>
  <c r="J3160" i="13" a="1"/>
  <c r="J3160" i="13" s="1"/>
  <c r="N3161" i="13"/>
  <c r="M3164" i="14"/>
  <c r="N3160" i="14"/>
  <c r="J3159" i="14" a="1"/>
  <c r="J3159" i="14" s="1"/>
  <c r="M3163" i="13"/>
  <c r="K2997" i="14" l="1"/>
  <c r="L2997" i="14" s="1"/>
  <c r="I2998" i="14" s="1"/>
  <c r="J3160" i="14" a="1"/>
  <c r="J3160" i="14" s="1"/>
  <c r="N3161" i="14"/>
  <c r="M3164" i="13"/>
  <c r="M3165" i="14"/>
  <c r="K2975" i="13"/>
  <c r="L2975" i="13" s="1"/>
  <c r="I2976" i="13" s="1"/>
  <c r="J3161" i="13" a="1"/>
  <c r="J3161" i="13" s="1"/>
  <c r="N3162" i="13"/>
  <c r="K2976" i="13" l="1"/>
  <c r="L2976" i="13" s="1"/>
  <c r="I2977" i="13" s="1"/>
  <c r="K2998" i="14"/>
  <c r="L2998" i="14" s="1"/>
  <c r="I2999" i="14" s="1"/>
  <c r="N3163" i="13"/>
  <c r="J3162" i="13" a="1"/>
  <c r="J3162" i="13" s="1"/>
  <c r="J3161" i="14" a="1"/>
  <c r="J3161" i="14" s="1"/>
  <c r="N3162" i="14"/>
  <c r="M3166" i="14"/>
  <c r="M3165" i="13"/>
  <c r="K2999" i="14" l="1"/>
  <c r="L2999" i="14" s="1"/>
  <c r="I3000" i="14" s="1"/>
  <c r="K2977" i="13"/>
  <c r="L2977" i="13" s="1"/>
  <c r="I2978" i="13" s="1"/>
  <c r="N3163" i="14"/>
  <c r="J3162" i="14" a="1"/>
  <c r="J3162" i="14" s="1"/>
  <c r="M3166" i="13"/>
  <c r="M3167" i="14"/>
  <c r="J3163" i="13" a="1"/>
  <c r="J3163" i="13" s="1"/>
  <c r="N3164" i="13"/>
  <c r="K2978" i="13" l="1"/>
  <c r="L2978" i="13" s="1"/>
  <c r="I2979" i="13" s="1"/>
  <c r="K3000" i="14"/>
  <c r="L3000" i="14" s="1"/>
  <c r="I3001" i="14" s="1"/>
  <c r="J3164" i="13" a="1"/>
  <c r="J3164" i="13" s="1"/>
  <c r="N3165" i="13"/>
  <c r="M3167" i="13"/>
  <c r="M3168" i="14"/>
  <c r="N3164" i="14"/>
  <c r="J3163" i="14" a="1"/>
  <c r="J3163" i="14" s="1"/>
  <c r="K3001" i="14" l="1"/>
  <c r="L3001" i="14" s="1"/>
  <c r="I3002" i="14" s="1"/>
  <c r="K2979" i="13"/>
  <c r="L2979" i="13" s="1"/>
  <c r="I2980" i="13" s="1"/>
  <c r="J3164" i="14" a="1"/>
  <c r="J3164" i="14" s="1"/>
  <c r="N3165" i="14"/>
  <c r="M3168" i="13"/>
  <c r="J3165" i="13" a="1"/>
  <c r="J3165" i="13" s="1"/>
  <c r="N3166" i="13"/>
  <c r="M3169" i="14"/>
  <c r="K2980" i="13" l="1"/>
  <c r="L2980" i="13" s="1"/>
  <c r="I2981" i="13" s="1"/>
  <c r="K3002" i="14"/>
  <c r="L3002" i="14" s="1"/>
  <c r="I3003" i="14" s="1"/>
  <c r="M3170" i="14"/>
  <c r="M3169" i="13"/>
  <c r="N3167" i="13"/>
  <c r="J3166" i="13" a="1"/>
  <c r="J3166" i="13" s="1"/>
  <c r="J3165" i="14" a="1"/>
  <c r="J3165" i="14" s="1"/>
  <c r="N3166" i="14"/>
  <c r="K3003" i="14" l="1"/>
  <c r="L3003" i="14" s="1"/>
  <c r="I3004" i="14" s="1"/>
  <c r="K2981" i="13"/>
  <c r="L2981" i="13" s="1"/>
  <c r="I2982" i="13" s="1"/>
  <c r="M3170" i="13"/>
  <c r="M3171" i="14"/>
  <c r="N3167" i="14"/>
  <c r="J3166" i="14" a="1"/>
  <c r="J3166" i="14" s="1"/>
  <c r="J3167" i="13" a="1"/>
  <c r="J3167" i="13" s="1"/>
  <c r="N3168" i="13"/>
  <c r="K2982" i="13" l="1"/>
  <c r="L2982" i="13" s="1"/>
  <c r="I2983" i="13" s="1"/>
  <c r="K3004" i="14"/>
  <c r="L3004" i="14" s="1"/>
  <c r="I3005" i="14" s="1"/>
  <c r="J3168" i="13" a="1"/>
  <c r="J3168" i="13" s="1"/>
  <c r="N3169" i="13"/>
  <c r="M3172" i="14"/>
  <c r="N3168" i="14"/>
  <c r="J3167" i="14" a="1"/>
  <c r="J3167" i="14" s="1"/>
  <c r="M3171" i="13"/>
  <c r="K3005" i="14" l="1"/>
  <c r="L3005" i="14" s="1"/>
  <c r="I3006" i="14" s="1"/>
  <c r="K2983" i="13"/>
  <c r="L2983" i="13" s="1"/>
  <c r="I2984" i="13" s="1"/>
  <c r="J3168" i="14" a="1"/>
  <c r="J3168" i="14" s="1"/>
  <c r="N3169" i="14"/>
  <c r="M3172" i="13"/>
  <c r="M3173" i="14"/>
  <c r="J3169" i="13" a="1"/>
  <c r="J3169" i="13" s="1"/>
  <c r="N3170" i="13"/>
  <c r="K2984" i="13" l="1"/>
  <c r="L2984" i="13" s="1"/>
  <c r="I2985" i="13" s="1"/>
  <c r="K3006" i="14"/>
  <c r="L3006" i="14" s="1"/>
  <c r="I3007" i="14" s="1"/>
  <c r="M3173" i="13"/>
  <c r="J3169" i="14" a="1"/>
  <c r="J3169" i="14" s="1"/>
  <c r="N3170" i="14"/>
  <c r="N3171" i="13"/>
  <c r="J3170" i="13" a="1"/>
  <c r="J3170" i="13" s="1"/>
  <c r="M3174" i="14"/>
  <c r="K3007" i="14" l="1"/>
  <c r="L3007" i="14" s="1"/>
  <c r="I3008" i="14" s="1"/>
  <c r="K2985" i="13"/>
  <c r="L2985" i="13" s="1"/>
  <c r="I2986" i="13" s="1"/>
  <c r="N3171" i="14"/>
  <c r="J3170" i="14" a="1"/>
  <c r="J3170" i="14" s="1"/>
  <c r="M3175" i="14"/>
  <c r="M3174" i="13"/>
  <c r="J3171" i="13" a="1"/>
  <c r="J3171" i="13" s="1"/>
  <c r="N3172" i="13"/>
  <c r="K2986" i="13" l="1"/>
  <c r="L2986" i="13" s="1"/>
  <c r="I2987" i="13" s="1"/>
  <c r="K3008" i="14"/>
  <c r="L3008" i="14" s="1"/>
  <c r="I3009" i="14" s="1"/>
  <c r="M3176" i="14"/>
  <c r="J3172" i="13" a="1"/>
  <c r="J3172" i="13" s="1"/>
  <c r="N3173" i="13"/>
  <c r="M3175" i="13"/>
  <c r="N3172" i="14"/>
  <c r="J3171" i="14" a="1"/>
  <c r="J3171" i="14" s="1"/>
  <c r="K3009" i="14" l="1"/>
  <c r="L3009" i="14" s="1"/>
  <c r="I3010" i="14" s="1"/>
  <c r="K2987" i="13"/>
  <c r="L2987" i="13" s="1"/>
  <c r="I2988" i="13" s="1"/>
  <c r="J3173" i="13" a="1"/>
  <c r="J3173" i="13" s="1"/>
  <c r="N3174" i="13"/>
  <c r="J3172" i="14" a="1"/>
  <c r="J3172" i="14" s="1"/>
  <c r="N3173" i="14"/>
  <c r="M3176" i="13"/>
  <c r="M3177" i="14"/>
  <c r="K2988" i="13" l="1"/>
  <c r="L2988" i="13" s="1"/>
  <c r="I2989" i="13" s="1"/>
  <c r="K3010" i="14"/>
  <c r="L3010" i="14" s="1"/>
  <c r="I3011" i="14" s="1"/>
  <c r="J3173" i="14" a="1"/>
  <c r="J3173" i="14" s="1"/>
  <c r="N3174" i="14"/>
  <c r="N3175" i="13"/>
  <c r="J3174" i="13" a="1"/>
  <c r="J3174" i="13" s="1"/>
  <c r="M3178" i="14"/>
  <c r="M3177" i="13"/>
  <c r="K3011" i="14" l="1"/>
  <c r="L3011" i="14" s="1"/>
  <c r="I3012" i="14" s="1"/>
  <c r="K2989" i="13"/>
  <c r="L2989" i="13" s="1"/>
  <c r="I2990" i="13" s="1"/>
  <c r="J3175" i="13" a="1"/>
  <c r="J3175" i="13" s="1"/>
  <c r="N3176" i="13"/>
  <c r="M3178" i="13"/>
  <c r="N3175" i="14"/>
  <c r="J3174" i="14" a="1"/>
  <c r="J3174" i="14" s="1"/>
  <c r="M3179" i="14"/>
  <c r="K2990" i="13" l="1"/>
  <c r="L2990" i="13" s="1"/>
  <c r="I2991" i="13" s="1"/>
  <c r="K3012" i="14"/>
  <c r="L3012" i="14" s="1"/>
  <c r="I3013" i="14" s="1"/>
  <c r="M3180" i="14"/>
  <c r="N3176" i="14"/>
  <c r="J3175" i="14" a="1"/>
  <c r="J3175" i="14" s="1"/>
  <c r="M3179" i="13"/>
  <c r="J3176" i="13" a="1"/>
  <c r="J3176" i="13" s="1"/>
  <c r="N3177" i="13"/>
  <c r="K3013" i="14" l="1"/>
  <c r="L3013" i="14" s="1"/>
  <c r="I3014" i="14" s="1"/>
  <c r="K2991" i="13"/>
  <c r="L2991" i="13" s="1"/>
  <c r="I2992" i="13" s="1"/>
  <c r="N3177" i="14"/>
  <c r="J3176" i="14" a="1"/>
  <c r="J3176" i="14" s="1"/>
  <c r="J3177" i="13" a="1"/>
  <c r="J3177" i="13" s="1"/>
  <c r="N3178" i="13"/>
  <c r="M3181" i="14"/>
  <c r="M3180" i="13"/>
  <c r="K2992" i="13" l="1"/>
  <c r="L2992" i="13" s="1"/>
  <c r="I2993" i="13" s="1"/>
  <c r="K3014" i="14"/>
  <c r="L3014" i="14" s="1"/>
  <c r="I3015" i="14" s="1"/>
  <c r="N3179" i="13"/>
  <c r="J3178" i="13" a="1"/>
  <c r="J3178" i="13" s="1"/>
  <c r="M3181" i="13"/>
  <c r="M3182" i="14"/>
  <c r="N3178" i="14"/>
  <c r="J3177" i="14" a="1"/>
  <c r="J3177" i="14" s="1"/>
  <c r="K3015" i="14" l="1"/>
  <c r="L3015" i="14" s="1"/>
  <c r="I3016" i="14" s="1"/>
  <c r="K2993" i="13"/>
  <c r="L2993" i="13" s="1"/>
  <c r="I2994" i="13" s="1"/>
  <c r="M3182" i="13"/>
  <c r="J3178" i="14" a="1"/>
  <c r="J3178" i="14" s="1"/>
  <c r="N3179" i="14"/>
  <c r="M3183" i="14"/>
  <c r="J3179" i="13" a="1"/>
  <c r="J3179" i="13" s="1"/>
  <c r="N3180" i="13"/>
  <c r="K2994" i="13" l="1"/>
  <c r="L2994" i="13" s="1"/>
  <c r="I2995" i="13" s="1"/>
  <c r="K3016" i="14"/>
  <c r="L3016" i="14" s="1"/>
  <c r="I3017" i="14" s="1"/>
  <c r="J3180" i="13" a="1"/>
  <c r="J3180" i="13" s="1"/>
  <c r="N3181" i="13"/>
  <c r="N3180" i="14"/>
  <c r="J3179" i="14" a="1"/>
  <c r="J3179" i="14" s="1"/>
  <c r="M3184" i="14"/>
  <c r="M3183" i="13"/>
  <c r="K3017" i="14" l="1"/>
  <c r="L3017" i="14" s="1"/>
  <c r="I3018" i="14" s="1"/>
  <c r="K2995" i="13"/>
  <c r="L2995" i="13" s="1"/>
  <c r="I2996" i="13" s="1"/>
  <c r="M3184" i="13"/>
  <c r="N3181" i="14"/>
  <c r="J3180" i="14" a="1"/>
  <c r="J3180" i="14" s="1"/>
  <c r="J3181" i="13" a="1"/>
  <c r="J3181" i="13" s="1"/>
  <c r="N3182" i="13"/>
  <c r="M3185" i="14"/>
  <c r="K2996" i="13" l="1"/>
  <c r="L2996" i="13" s="1"/>
  <c r="I2997" i="13" s="1"/>
  <c r="K3018" i="14"/>
  <c r="L3018" i="14" s="1"/>
  <c r="I3019" i="14" s="1"/>
  <c r="N3182" i="14"/>
  <c r="J3181" i="14" a="1"/>
  <c r="J3181" i="14" s="1"/>
  <c r="N3183" i="13"/>
  <c r="J3182" i="13" a="1"/>
  <c r="J3182" i="13" s="1"/>
  <c r="M3186" i="14"/>
  <c r="M3185" i="13"/>
  <c r="K3019" i="14" l="1"/>
  <c r="L3019" i="14" s="1"/>
  <c r="I3020" i="14" s="1"/>
  <c r="K2997" i="13"/>
  <c r="L2997" i="13" s="1"/>
  <c r="I2998" i="13" s="1"/>
  <c r="J3183" i="13" a="1"/>
  <c r="J3183" i="13" s="1"/>
  <c r="N3184" i="13"/>
  <c r="M3186" i="13"/>
  <c r="M3187" i="14"/>
  <c r="J3182" i="14" a="1"/>
  <c r="J3182" i="14" s="1"/>
  <c r="N3183" i="14"/>
  <c r="K2998" i="13" l="1"/>
  <c r="L2998" i="13" s="1"/>
  <c r="I2999" i="13" s="1"/>
  <c r="K3020" i="14"/>
  <c r="L3020" i="14" s="1"/>
  <c r="I3021" i="14" s="1"/>
  <c r="N3184" i="14"/>
  <c r="J3183" i="14" a="1"/>
  <c r="J3183" i="14" s="1"/>
  <c r="M3187" i="13"/>
  <c r="J3184" i="13" a="1"/>
  <c r="J3184" i="13" s="1"/>
  <c r="N3185" i="13"/>
  <c r="M3188" i="14"/>
  <c r="K3021" i="14" l="1"/>
  <c r="L3021" i="14" s="1"/>
  <c r="I3022" i="14" s="1"/>
  <c r="K2999" i="13"/>
  <c r="L2999" i="13" s="1"/>
  <c r="I3000" i="13" s="1"/>
  <c r="M3189" i="14"/>
  <c r="J3185" i="13" a="1"/>
  <c r="J3185" i="13" s="1"/>
  <c r="N3186" i="13"/>
  <c r="M3188" i="13"/>
  <c r="N3185" i="14"/>
  <c r="J3184" i="14" a="1"/>
  <c r="J3184" i="14" s="1"/>
  <c r="K3000" i="13" l="1"/>
  <c r="L3000" i="13" s="1"/>
  <c r="I3001" i="13" s="1"/>
  <c r="K3022" i="14"/>
  <c r="L3022" i="14" s="1"/>
  <c r="I3023" i="14" s="1"/>
  <c r="N3187" i="13"/>
  <c r="J3186" i="13" a="1"/>
  <c r="J3186" i="13" s="1"/>
  <c r="N3186" i="14"/>
  <c r="J3185" i="14" a="1"/>
  <c r="J3185" i="14" s="1"/>
  <c r="M3189" i="13"/>
  <c r="M3190" i="14"/>
  <c r="K3023" i="14" l="1"/>
  <c r="L3023" i="14" s="1"/>
  <c r="I3024" i="14" s="1"/>
  <c r="K3001" i="13"/>
  <c r="L3001" i="13" s="1"/>
  <c r="I3002" i="13" s="1"/>
  <c r="M3191" i="14"/>
  <c r="J3186" i="14" a="1"/>
  <c r="J3186" i="14" s="1"/>
  <c r="N3187" i="14"/>
  <c r="M3190" i="13"/>
  <c r="J3187" i="13" a="1"/>
  <c r="J3187" i="13" s="1"/>
  <c r="N3188" i="13"/>
  <c r="K3002" i="13" l="1"/>
  <c r="L3002" i="13" s="1"/>
  <c r="I3003" i="13" s="1"/>
  <c r="K3024" i="14"/>
  <c r="L3024" i="14" s="1"/>
  <c r="I3025" i="14" s="1"/>
  <c r="N3188" i="14"/>
  <c r="J3187" i="14" a="1"/>
  <c r="J3187" i="14" s="1"/>
  <c r="J3188" i="13" a="1"/>
  <c r="J3188" i="13" s="1"/>
  <c r="N3189" i="13"/>
  <c r="M3191" i="13"/>
  <c r="M3192" i="14"/>
  <c r="K3025" i="14" l="1"/>
  <c r="L3025" i="14" s="1"/>
  <c r="I3026" i="14" s="1"/>
  <c r="K3003" i="13"/>
  <c r="L3003" i="13" s="1"/>
  <c r="I3004" i="13" s="1"/>
  <c r="J3189" i="13" a="1"/>
  <c r="J3189" i="13" s="1"/>
  <c r="N3190" i="13"/>
  <c r="M3193" i="14"/>
  <c r="M3192" i="13"/>
  <c r="N3189" i="14"/>
  <c r="J3188" i="14" a="1"/>
  <c r="J3188" i="14" s="1"/>
  <c r="K3004" i="13" l="1"/>
  <c r="L3004" i="13" s="1"/>
  <c r="I3005" i="13" s="1"/>
  <c r="K3026" i="14"/>
  <c r="L3026" i="14" s="1"/>
  <c r="I3027" i="14" s="1"/>
  <c r="N3190" i="14"/>
  <c r="J3189" i="14" a="1"/>
  <c r="J3189" i="14" s="1"/>
  <c r="M3194" i="14"/>
  <c r="N3191" i="13"/>
  <c r="J3190" i="13" a="1"/>
  <c r="J3190" i="13" s="1"/>
  <c r="M3193" i="13"/>
  <c r="K3027" i="14" l="1"/>
  <c r="L3027" i="14" s="1"/>
  <c r="I3028" i="14" s="1"/>
  <c r="K3005" i="13"/>
  <c r="L3005" i="13" s="1"/>
  <c r="I3006" i="13" s="1"/>
  <c r="M3194" i="13"/>
  <c r="J3191" i="13" a="1"/>
  <c r="J3191" i="13" s="1"/>
  <c r="N3192" i="13"/>
  <c r="M3195" i="14"/>
  <c r="J3190" i="14" a="1"/>
  <c r="J3190" i="14" s="1"/>
  <c r="N3191" i="14"/>
  <c r="K3006" i="13" l="1"/>
  <c r="L3006" i="13" s="1"/>
  <c r="I3007" i="13" s="1"/>
  <c r="K3028" i="14"/>
  <c r="L3028" i="14" s="1"/>
  <c r="I3029" i="14" s="1"/>
  <c r="J3192" i="13" a="1"/>
  <c r="J3192" i="13" s="1"/>
  <c r="N3193" i="13"/>
  <c r="N3192" i="14"/>
  <c r="J3191" i="14" a="1"/>
  <c r="J3191" i="14" s="1"/>
  <c r="M3196" i="14"/>
  <c r="M3195" i="13"/>
  <c r="K3029" i="14" l="1"/>
  <c r="L3029" i="14" s="1"/>
  <c r="I3030" i="14" s="1"/>
  <c r="K3007" i="13"/>
  <c r="L3007" i="13" s="1"/>
  <c r="I3008" i="13" s="1"/>
  <c r="N3193" i="14"/>
  <c r="J3192" i="14" a="1"/>
  <c r="J3192" i="14" s="1"/>
  <c r="M3196" i="13"/>
  <c r="J3193" i="13" a="1"/>
  <c r="J3193" i="13" s="1"/>
  <c r="N3194" i="13"/>
  <c r="M3197" i="14"/>
  <c r="K3008" i="13" l="1"/>
  <c r="L3008" i="13" s="1"/>
  <c r="I3009" i="13" s="1"/>
  <c r="K3030" i="14"/>
  <c r="L3030" i="14" s="1"/>
  <c r="I3031" i="14" s="1"/>
  <c r="N3195" i="13"/>
  <c r="J3194" i="13" a="1"/>
  <c r="J3194" i="13" s="1"/>
  <c r="M3198" i="14"/>
  <c r="M3197" i="13"/>
  <c r="N3194" i="14"/>
  <c r="J3193" i="14" a="1"/>
  <c r="J3193" i="14" s="1"/>
  <c r="K3009" i="13" l="1"/>
  <c r="L3009" i="13" s="1"/>
  <c r="I3010" i="13" s="1"/>
  <c r="M3199" i="14"/>
  <c r="K3031" i="14"/>
  <c r="L3031" i="14" s="1"/>
  <c r="I3032" i="14" s="1"/>
  <c r="J3194" i="14" a="1"/>
  <c r="J3194" i="14" s="1"/>
  <c r="N3195" i="14"/>
  <c r="M3198" i="13"/>
  <c r="J3195" i="13" a="1"/>
  <c r="J3195" i="13" s="1"/>
  <c r="N3196" i="13"/>
  <c r="K3032" i="14" l="1"/>
  <c r="L3032" i="14" s="1"/>
  <c r="I3033" i="14" s="1"/>
  <c r="K3010" i="13"/>
  <c r="L3010" i="13" s="1"/>
  <c r="I3011" i="13" s="1"/>
  <c r="J3196" i="13" a="1"/>
  <c r="J3196" i="13" s="1"/>
  <c r="N3197" i="13"/>
  <c r="N3196" i="14"/>
  <c r="J3195" i="14" a="1"/>
  <c r="J3195" i="14" s="1"/>
  <c r="M3200" i="14"/>
  <c r="M3199" i="13"/>
  <c r="K3011" i="13" l="1"/>
  <c r="L3011" i="13" s="1"/>
  <c r="I3012" i="13" s="1"/>
  <c r="K3033" i="14"/>
  <c r="L3033" i="14" s="1"/>
  <c r="I3034" i="14" s="1"/>
  <c r="N3197" i="14"/>
  <c r="J3196" i="14" a="1"/>
  <c r="J3196" i="14" s="1"/>
  <c r="M3201" i="14"/>
  <c r="J3197" i="13" a="1"/>
  <c r="J3197" i="13" s="1"/>
  <c r="N3198" i="13"/>
  <c r="M3200" i="13"/>
  <c r="K3034" i="14" l="1"/>
  <c r="L3034" i="14" s="1"/>
  <c r="I3035" i="14" s="1"/>
  <c r="K3012" i="13"/>
  <c r="L3012" i="13" s="1"/>
  <c r="I3013" i="13" s="1"/>
  <c r="M3201" i="13"/>
  <c r="M3202" i="14"/>
  <c r="N3199" i="13"/>
  <c r="J3198" i="13" a="1"/>
  <c r="J3198" i="13" s="1"/>
  <c r="N3198" i="14"/>
  <c r="J3197" i="14" a="1"/>
  <c r="J3197" i="14" s="1"/>
  <c r="K3013" i="13" l="1"/>
  <c r="L3013" i="13" s="1"/>
  <c r="I3014" i="13" s="1"/>
  <c r="K3035" i="14"/>
  <c r="L3035" i="14" s="1"/>
  <c r="I3036" i="14" s="1"/>
  <c r="M3203" i="14"/>
  <c r="J3198" i="14" a="1"/>
  <c r="J3198" i="14" s="1"/>
  <c r="N3199" i="14"/>
  <c r="M3202" i="13"/>
  <c r="J3199" i="13" a="1"/>
  <c r="J3199" i="13" s="1"/>
  <c r="N3200" i="13"/>
  <c r="K3036" i="14" l="1"/>
  <c r="L3036" i="14" s="1"/>
  <c r="I3037" i="14" s="1"/>
  <c r="K3014" i="13"/>
  <c r="L3014" i="13" s="1"/>
  <c r="I3015" i="13" s="1"/>
  <c r="N3200" i="14"/>
  <c r="J3199" i="14" a="1"/>
  <c r="J3199" i="14" s="1"/>
  <c r="J3200" i="13" a="1"/>
  <c r="J3200" i="13" s="1"/>
  <c r="N3201" i="13"/>
  <c r="M3203" i="13"/>
  <c r="M3204" i="14"/>
  <c r="K3015" i="13" l="1"/>
  <c r="L3015" i="13" s="1"/>
  <c r="I3016" i="13" s="1"/>
  <c r="K3037" i="14"/>
  <c r="L3037" i="14" s="1"/>
  <c r="I3038" i="14" s="1"/>
  <c r="J3201" i="13" a="1"/>
  <c r="J3201" i="13" s="1"/>
  <c r="N3202" i="13"/>
  <c r="M3205" i="14"/>
  <c r="M3204" i="13"/>
  <c r="N3201" i="14"/>
  <c r="J3200" i="14" a="1"/>
  <c r="J3200" i="14" s="1"/>
  <c r="K3038" i="14" l="1"/>
  <c r="L3038" i="14" s="1"/>
  <c r="I3039" i="14" s="1"/>
  <c r="K3016" i="13"/>
  <c r="L3016" i="13" s="1"/>
  <c r="I3017" i="13" s="1"/>
  <c r="N3202" i="14"/>
  <c r="J3201" i="14" a="1"/>
  <c r="J3201" i="14" s="1"/>
  <c r="M3206" i="14"/>
  <c r="N3203" i="13"/>
  <c r="J3202" i="13" a="1"/>
  <c r="J3202" i="13" s="1"/>
  <c r="M3205" i="13"/>
  <c r="K3017" i="13" l="1"/>
  <c r="L3017" i="13" s="1"/>
  <c r="I3018" i="13" s="1"/>
  <c r="K3039" i="14"/>
  <c r="L3039" i="14" s="1"/>
  <c r="I3040" i="14" s="1"/>
  <c r="M3206" i="13"/>
  <c r="M3207" i="14"/>
  <c r="J3203" i="13" a="1"/>
  <c r="J3203" i="13" s="1"/>
  <c r="N3204" i="13"/>
  <c r="J3202" i="14" a="1"/>
  <c r="J3202" i="14" s="1"/>
  <c r="N3203" i="14"/>
  <c r="K3040" i="14" l="1"/>
  <c r="L3040" i="14" s="1"/>
  <c r="I3041" i="14" s="1"/>
  <c r="K3018" i="13"/>
  <c r="L3018" i="13" s="1"/>
  <c r="I3019" i="13" s="1"/>
  <c r="J3204" i="13" a="1"/>
  <c r="J3204" i="13" s="1"/>
  <c r="N3205" i="13"/>
  <c r="N3204" i="14"/>
  <c r="J3203" i="14" a="1"/>
  <c r="J3203" i="14" s="1"/>
  <c r="M3208" i="14"/>
  <c r="M3207" i="13"/>
  <c r="K3019" i="13" l="1"/>
  <c r="L3019" i="13" s="1"/>
  <c r="I3020" i="13" s="1"/>
  <c r="K3041" i="14"/>
  <c r="L3041" i="14" s="1"/>
  <c r="I3042" i="14" s="1"/>
  <c r="N3205" i="14"/>
  <c r="J3204" i="14" a="1"/>
  <c r="J3204" i="14" s="1"/>
  <c r="J3205" i="13" a="1"/>
  <c r="J3205" i="13" s="1"/>
  <c r="N3206" i="13"/>
  <c r="M3208" i="13"/>
  <c r="M3209" i="14"/>
  <c r="K3042" i="14" l="1"/>
  <c r="L3042" i="14" s="1"/>
  <c r="I3043" i="14" s="1"/>
  <c r="K3020" i="13"/>
  <c r="L3020" i="13" s="1"/>
  <c r="I3021" i="13" s="1"/>
  <c r="N3207" i="13"/>
  <c r="J3206" i="13" a="1"/>
  <c r="J3206" i="13" s="1"/>
  <c r="M3210" i="14"/>
  <c r="M3209" i="13"/>
  <c r="N3206" i="14"/>
  <c r="J3205" i="14" a="1"/>
  <c r="J3205" i="14" s="1"/>
  <c r="K3021" i="13" l="1"/>
  <c r="L3021" i="13" s="1"/>
  <c r="I3022" i="13" s="1"/>
  <c r="K3043" i="14"/>
  <c r="L3043" i="14" s="1"/>
  <c r="I3044" i="14" s="1"/>
  <c r="M3211" i="14"/>
  <c r="J3206" i="14" a="1"/>
  <c r="J3206" i="14" s="1"/>
  <c r="N3207" i="14"/>
  <c r="M3210" i="13"/>
  <c r="J3207" i="13" a="1"/>
  <c r="J3207" i="13" s="1"/>
  <c r="N3208" i="13"/>
  <c r="K3044" i="14" l="1"/>
  <c r="L3044" i="14" s="1"/>
  <c r="I3045" i="14" s="1"/>
  <c r="K3022" i="13"/>
  <c r="L3022" i="13" s="1"/>
  <c r="I3023" i="13" s="1"/>
  <c r="J3208" i="13" a="1"/>
  <c r="J3208" i="13" s="1"/>
  <c r="N3209" i="13"/>
  <c r="N3208" i="14"/>
  <c r="J3207" i="14" a="1"/>
  <c r="J3207" i="14" s="1"/>
  <c r="M3212" i="14"/>
  <c r="M3211" i="13"/>
  <c r="K3023" i="13" l="1"/>
  <c r="L3023" i="13" s="1"/>
  <c r="I3024" i="13" s="1"/>
  <c r="K3045" i="14"/>
  <c r="L3045" i="14" s="1"/>
  <c r="I3046" i="14" s="1"/>
  <c r="N3209" i="14"/>
  <c r="J3208" i="14" a="1"/>
  <c r="J3208" i="14" s="1"/>
  <c r="M3213" i="14"/>
  <c r="J3209" i="13" a="1"/>
  <c r="J3209" i="13" s="1"/>
  <c r="N3210" i="13"/>
  <c r="M3212" i="13"/>
  <c r="K3046" i="14" l="1"/>
  <c r="L3046" i="14" s="1"/>
  <c r="I3047" i="14" s="1"/>
  <c r="K3024" i="13"/>
  <c r="L3024" i="13" s="1"/>
  <c r="I3025" i="13" s="1"/>
  <c r="N3211" i="13"/>
  <c r="J3210" i="13" a="1"/>
  <c r="J3210" i="13" s="1"/>
  <c r="M3213" i="13"/>
  <c r="M3214" i="14"/>
  <c r="N3210" i="14"/>
  <c r="J3209" i="14" a="1"/>
  <c r="J3209" i="14" s="1"/>
  <c r="K3025" i="13" l="1"/>
  <c r="L3025" i="13" s="1"/>
  <c r="I3026" i="13" s="1"/>
  <c r="K3047" i="14"/>
  <c r="L3047" i="14" s="1"/>
  <c r="I3048" i="14" s="1"/>
  <c r="M3214" i="13"/>
  <c r="J3210" i="14" a="1"/>
  <c r="J3210" i="14" s="1"/>
  <c r="N3211" i="14"/>
  <c r="M3215" i="14"/>
  <c r="J3211" i="13" a="1"/>
  <c r="J3211" i="13" s="1"/>
  <c r="N3212" i="13"/>
  <c r="K3048" i="14" l="1"/>
  <c r="L3048" i="14" s="1"/>
  <c r="I3049" i="14" s="1"/>
  <c r="K3026" i="13"/>
  <c r="L3026" i="13" s="1"/>
  <c r="I3027" i="13" s="1"/>
  <c r="J3212" i="13" a="1"/>
  <c r="J3212" i="13" s="1"/>
  <c r="N3213" i="13"/>
  <c r="N3212" i="14"/>
  <c r="J3211" i="14" a="1"/>
  <c r="J3211" i="14" s="1"/>
  <c r="M3216" i="14"/>
  <c r="M3215" i="13"/>
  <c r="K3027" i="13" l="1"/>
  <c r="L3027" i="13" s="1"/>
  <c r="I3028" i="13" s="1"/>
  <c r="K3049" i="14"/>
  <c r="L3049" i="14" s="1"/>
  <c r="I3050" i="14" s="1"/>
  <c r="N3213" i="14"/>
  <c r="J3212" i="14" a="1"/>
  <c r="J3212" i="14" s="1"/>
  <c r="J3213" i="13" a="1"/>
  <c r="J3213" i="13" s="1"/>
  <c r="N3214" i="13"/>
  <c r="M3216" i="13"/>
  <c r="M3217" i="14"/>
  <c r="K3050" i="14" l="1"/>
  <c r="L3050" i="14" s="1"/>
  <c r="I3051" i="14" s="1"/>
  <c r="K3028" i="13"/>
  <c r="L3028" i="13" s="1"/>
  <c r="I3029" i="13" s="1"/>
  <c r="N3215" i="13"/>
  <c r="J3214" i="13" a="1"/>
  <c r="J3214" i="13" s="1"/>
  <c r="M3218" i="14"/>
  <c r="M3217" i="13"/>
  <c r="N3214" i="14"/>
  <c r="J3213" i="14" a="1"/>
  <c r="J3213" i="14" s="1"/>
  <c r="K3029" i="13" l="1"/>
  <c r="L3029" i="13" s="1"/>
  <c r="I3030" i="13" s="1"/>
  <c r="K3051" i="14"/>
  <c r="L3051" i="14" s="1"/>
  <c r="I3052" i="14" s="1"/>
  <c r="M3219" i="14"/>
  <c r="J3214" i="14" a="1"/>
  <c r="J3214" i="14" s="1"/>
  <c r="N3215" i="14"/>
  <c r="M3218" i="13"/>
  <c r="J3215" i="13" a="1"/>
  <c r="J3215" i="13" s="1"/>
  <c r="N3216" i="13"/>
  <c r="K3052" i="14" l="1"/>
  <c r="L3052" i="14" s="1"/>
  <c r="I3053" i="14" s="1"/>
  <c r="K3030" i="13"/>
  <c r="L3030" i="13" s="1"/>
  <c r="I3031" i="13" s="1"/>
  <c r="J3216" i="13" a="1"/>
  <c r="J3216" i="13" s="1"/>
  <c r="N3217" i="13"/>
  <c r="N3216" i="14"/>
  <c r="J3215" i="14" a="1"/>
  <c r="J3215" i="14" s="1"/>
  <c r="M3219" i="13"/>
  <c r="M3220" i="14"/>
  <c r="K3031" i="13" l="1"/>
  <c r="L3031" i="13" s="1"/>
  <c r="I3032" i="13" s="1"/>
  <c r="K3053" i="14"/>
  <c r="L3053" i="14" s="1"/>
  <c r="I3054" i="14" s="1"/>
  <c r="J3216" i="14" a="1"/>
  <c r="J3216" i="14" s="1"/>
  <c r="N3217" i="14"/>
  <c r="J3217" i="13" a="1"/>
  <c r="J3217" i="13" s="1"/>
  <c r="N3218" i="13"/>
  <c r="M3221" i="14"/>
  <c r="M3220" i="13"/>
  <c r="K3054" i="14" l="1"/>
  <c r="L3054" i="14" s="1"/>
  <c r="I3055" i="14" s="1"/>
  <c r="K3032" i="13"/>
  <c r="L3032" i="13" s="1"/>
  <c r="I3033" i="13" s="1"/>
  <c r="N3219" i="13"/>
  <c r="J3218" i="13" a="1"/>
  <c r="J3218" i="13" s="1"/>
  <c r="N3218" i="14"/>
  <c r="J3217" i="14" a="1"/>
  <c r="J3217" i="14" s="1"/>
  <c r="M3221" i="13"/>
  <c r="M3222" i="14"/>
  <c r="K3033" i="13" l="1"/>
  <c r="L3033" i="13" s="1"/>
  <c r="I3034" i="13" s="1"/>
  <c r="K3055" i="14"/>
  <c r="L3055" i="14" s="1"/>
  <c r="I3056" i="14" s="1"/>
  <c r="M3223" i="14"/>
  <c r="J3218" i="14" a="1"/>
  <c r="J3218" i="14" s="1"/>
  <c r="N3219" i="14"/>
  <c r="M3222" i="13"/>
  <c r="J3219" i="13" a="1"/>
  <c r="J3219" i="13" s="1"/>
  <c r="N3220" i="13"/>
  <c r="K3056" i="14" l="1"/>
  <c r="L3056" i="14" s="1"/>
  <c r="I3057" i="14" s="1"/>
  <c r="K3034" i="13"/>
  <c r="L3034" i="13" s="1"/>
  <c r="I3035" i="13" s="1"/>
  <c r="J3220" i="13" a="1"/>
  <c r="J3220" i="13" s="1"/>
  <c r="N3221" i="13"/>
  <c r="N3220" i="14"/>
  <c r="J3219" i="14" a="1"/>
  <c r="J3219" i="14" s="1"/>
  <c r="M3223" i="13"/>
  <c r="M3224" i="14"/>
  <c r="K3035" i="13" l="1"/>
  <c r="L3035" i="13" s="1"/>
  <c r="I3036" i="13" s="1"/>
  <c r="K3057" i="14"/>
  <c r="L3057" i="14" s="1"/>
  <c r="I3058" i="14" s="1"/>
  <c r="N3221" i="14"/>
  <c r="J3220" i="14" a="1"/>
  <c r="J3220" i="14" s="1"/>
  <c r="M3225" i="14"/>
  <c r="J3221" i="13" a="1"/>
  <c r="J3221" i="13" s="1"/>
  <c r="N3222" i="13"/>
  <c r="M3224" i="13"/>
  <c r="K3058" i="14" l="1"/>
  <c r="L3058" i="14" s="1"/>
  <c r="I3059" i="14" s="1"/>
  <c r="K3036" i="13"/>
  <c r="L3036" i="13" s="1"/>
  <c r="I3037" i="13" s="1"/>
  <c r="N3223" i="13"/>
  <c r="J3222" i="13" a="1"/>
  <c r="J3222" i="13" s="1"/>
  <c r="M3225" i="13"/>
  <c r="M3226" i="14"/>
  <c r="N3222" i="14"/>
  <c r="J3221" i="14" a="1"/>
  <c r="J3221" i="14" s="1"/>
  <c r="K3037" i="13" l="1"/>
  <c r="L3037" i="13" s="1"/>
  <c r="I3038" i="13" s="1"/>
  <c r="K3059" i="14"/>
  <c r="L3059" i="14" s="1"/>
  <c r="I3060" i="14" s="1"/>
  <c r="M3226" i="13"/>
  <c r="J3222" i="14" a="1"/>
  <c r="J3222" i="14" s="1"/>
  <c r="N3223" i="14"/>
  <c r="M3227" i="14"/>
  <c r="J3223" i="13" a="1"/>
  <c r="J3223" i="13" s="1"/>
  <c r="N3224" i="13"/>
  <c r="K3060" i="14" l="1"/>
  <c r="L3060" i="14" s="1"/>
  <c r="I3061" i="14" s="1"/>
  <c r="K3038" i="13"/>
  <c r="L3038" i="13" s="1"/>
  <c r="I3039" i="13" s="1"/>
  <c r="J3224" i="13" a="1"/>
  <c r="J3224" i="13" s="1"/>
  <c r="N3225" i="13"/>
  <c r="N3224" i="14"/>
  <c r="J3223" i="14" a="1"/>
  <c r="J3223" i="14" s="1"/>
  <c r="M3228" i="14"/>
  <c r="M3227" i="13"/>
  <c r="K3039" i="13" l="1"/>
  <c r="L3039" i="13" s="1"/>
  <c r="I3040" i="13" s="1"/>
  <c r="K3061" i="14"/>
  <c r="L3061" i="14" s="1"/>
  <c r="I3062" i="14" s="1"/>
  <c r="N3225" i="14"/>
  <c r="J3224" i="14" a="1"/>
  <c r="J3224" i="14" s="1"/>
  <c r="M3229" i="14"/>
  <c r="J3225" i="13" a="1"/>
  <c r="J3225" i="13" s="1"/>
  <c r="N3226" i="13"/>
  <c r="M3228" i="13"/>
  <c r="K3062" i="14" l="1"/>
  <c r="L3062" i="14" s="1"/>
  <c r="I3063" i="14" s="1"/>
  <c r="K3040" i="13"/>
  <c r="L3040" i="13" s="1"/>
  <c r="I3041" i="13" s="1"/>
  <c r="N3227" i="13"/>
  <c r="J3226" i="13" a="1"/>
  <c r="J3226" i="13" s="1"/>
  <c r="M3229" i="13"/>
  <c r="M3230" i="14"/>
  <c r="N3226" i="14"/>
  <c r="J3225" i="14" a="1"/>
  <c r="J3225" i="14" s="1"/>
  <c r="K3041" i="13" l="1"/>
  <c r="L3041" i="13" s="1"/>
  <c r="I3042" i="13" s="1"/>
  <c r="K3063" i="14"/>
  <c r="L3063" i="14" s="1"/>
  <c r="I3064" i="14" s="1"/>
  <c r="J3226" i="14" a="1"/>
  <c r="J3226" i="14" s="1"/>
  <c r="N3227" i="14"/>
  <c r="M3231" i="14"/>
  <c r="M3230" i="13"/>
  <c r="J3227" i="13" a="1"/>
  <c r="J3227" i="13" s="1"/>
  <c r="N3228" i="13"/>
  <c r="K3064" i="14" l="1"/>
  <c r="L3064" i="14" s="1"/>
  <c r="I3065" i="14" s="1"/>
  <c r="K3042" i="13"/>
  <c r="L3042" i="13" s="1"/>
  <c r="I3043" i="13" s="1"/>
  <c r="J3228" i="13" a="1"/>
  <c r="J3228" i="13" s="1"/>
  <c r="N3229" i="13"/>
  <c r="M3232" i="14"/>
  <c r="N3228" i="14"/>
  <c r="J3227" i="14" a="1"/>
  <c r="J3227" i="14" s="1"/>
  <c r="M3231" i="13"/>
  <c r="K3065" i="14" l="1"/>
  <c r="L3065" i="14" s="1"/>
  <c r="I3066" i="14" s="1"/>
  <c r="K3043" i="13"/>
  <c r="L3043" i="13" s="1"/>
  <c r="I3044" i="13" s="1"/>
  <c r="M3233" i="14"/>
  <c r="M3232" i="13"/>
  <c r="J3229" i="13" a="1"/>
  <c r="J3229" i="13" s="1"/>
  <c r="N3230" i="13"/>
  <c r="N3229" i="14"/>
  <c r="J3228" i="14" a="1"/>
  <c r="J3228" i="14" s="1"/>
  <c r="K3044" i="13" l="1"/>
  <c r="L3044" i="13" s="1"/>
  <c r="I3045" i="13" s="1"/>
  <c r="K3066" i="14"/>
  <c r="L3066" i="14" s="1"/>
  <c r="I3067" i="14" s="1"/>
  <c r="N3230" i="14"/>
  <c r="J3229" i="14" a="1"/>
  <c r="J3229" i="14" s="1"/>
  <c r="M3233" i="13"/>
  <c r="N3231" i="13"/>
  <c r="J3230" i="13" a="1"/>
  <c r="J3230" i="13" s="1"/>
  <c r="M3234" i="14"/>
  <c r="K3067" i="14" l="1"/>
  <c r="L3067" i="14" s="1"/>
  <c r="I3068" i="14" s="1"/>
  <c r="K3045" i="13"/>
  <c r="L3045" i="13" s="1"/>
  <c r="I3046" i="13" s="1"/>
  <c r="M3235" i="14"/>
  <c r="M3234" i="13"/>
  <c r="J3231" i="13" a="1"/>
  <c r="J3231" i="13" s="1"/>
  <c r="N3232" i="13"/>
  <c r="J3230" i="14" a="1"/>
  <c r="J3230" i="14" s="1"/>
  <c r="N3231" i="14"/>
  <c r="K3046" i="13" l="1"/>
  <c r="L3046" i="13" s="1"/>
  <c r="I3047" i="13" s="1"/>
  <c r="K3068" i="14"/>
  <c r="L3068" i="14" s="1"/>
  <c r="I3069" i="14" s="1"/>
  <c r="N3232" i="14"/>
  <c r="J3231" i="14" a="1"/>
  <c r="J3231" i="14" s="1"/>
  <c r="M3235" i="13"/>
  <c r="J3232" i="13" a="1"/>
  <c r="J3232" i="13" s="1"/>
  <c r="N3233" i="13"/>
  <c r="M3236" i="14"/>
  <c r="K3069" i="14" l="1"/>
  <c r="L3069" i="14" s="1"/>
  <c r="I3070" i="14" s="1"/>
  <c r="K3047" i="13"/>
  <c r="L3047" i="13" s="1"/>
  <c r="I3048" i="13" s="1"/>
  <c r="J3233" i="13" a="1"/>
  <c r="J3233" i="13" s="1"/>
  <c r="N3234" i="13"/>
  <c r="M3237" i="14"/>
  <c r="M3236" i="13"/>
  <c r="N3233" i="14"/>
  <c r="J3232" i="14" a="1"/>
  <c r="J3232" i="14" s="1"/>
  <c r="K3048" i="13" l="1"/>
  <c r="L3048" i="13" s="1"/>
  <c r="I3049" i="13" s="1"/>
  <c r="K3070" i="14"/>
  <c r="L3070" i="14" s="1"/>
  <c r="I3071" i="14" s="1"/>
  <c r="N3234" i="14"/>
  <c r="J3233" i="14" a="1"/>
  <c r="J3233" i="14" s="1"/>
  <c r="M3238" i="14"/>
  <c r="N3235" i="13"/>
  <c r="J3234" i="13" a="1"/>
  <c r="J3234" i="13" s="1"/>
  <c r="M3237" i="13"/>
  <c r="K3071" i="14" l="1"/>
  <c r="L3071" i="14" s="1"/>
  <c r="I3072" i="14" s="1"/>
  <c r="K3049" i="13"/>
  <c r="L3049" i="13" s="1"/>
  <c r="I3050" i="13" s="1"/>
  <c r="J3235" i="13" a="1"/>
  <c r="J3235" i="13" s="1"/>
  <c r="N3236" i="13"/>
  <c r="M3238" i="13"/>
  <c r="M3239" i="14"/>
  <c r="J3234" i="14" a="1"/>
  <c r="J3234" i="14" s="1"/>
  <c r="N3235" i="14"/>
  <c r="K3050" i="13" l="1"/>
  <c r="L3050" i="13" s="1"/>
  <c r="I3051" i="13" s="1"/>
  <c r="K3072" i="14"/>
  <c r="L3072" i="14" s="1"/>
  <c r="I3073" i="14" s="1"/>
  <c r="N3236" i="14"/>
  <c r="J3235" i="14" a="1"/>
  <c r="J3235" i="14" s="1"/>
  <c r="M3239" i="13"/>
  <c r="J3236" i="13" a="1"/>
  <c r="J3236" i="13" s="1"/>
  <c r="N3237" i="13"/>
  <c r="M3240" i="14"/>
  <c r="K3073" i="14" l="1"/>
  <c r="L3073" i="14" s="1"/>
  <c r="I3074" i="14" s="1"/>
  <c r="K3051" i="13"/>
  <c r="L3051" i="13" s="1"/>
  <c r="I3052" i="13" s="1"/>
  <c r="M3241" i="14"/>
  <c r="M3240" i="13"/>
  <c r="J3237" i="13" a="1"/>
  <c r="J3237" i="13" s="1"/>
  <c r="N3238" i="13"/>
  <c r="N3237" i="14"/>
  <c r="J3236" i="14" a="1"/>
  <c r="J3236" i="14" s="1"/>
  <c r="K3052" i="13" l="1"/>
  <c r="L3052" i="13" s="1"/>
  <c r="I3053" i="13" s="1"/>
  <c r="K3074" i="14"/>
  <c r="L3074" i="14" s="1"/>
  <c r="I3075" i="14" s="1"/>
  <c r="N3238" i="14"/>
  <c r="J3237" i="14" a="1"/>
  <c r="J3237" i="14" s="1"/>
  <c r="M3241" i="13"/>
  <c r="N3239" i="13"/>
  <c r="J3238" i="13" a="1"/>
  <c r="J3238" i="13" s="1"/>
  <c r="M3242" i="14"/>
  <c r="K3075" i="14" l="1"/>
  <c r="L3075" i="14" s="1"/>
  <c r="I3076" i="14" s="1"/>
  <c r="K3053" i="13"/>
  <c r="L3053" i="13" s="1"/>
  <c r="I3054" i="13" s="1"/>
  <c r="M3243" i="14"/>
  <c r="J3239" i="13" a="1"/>
  <c r="J3239" i="13" s="1"/>
  <c r="N3240" i="13"/>
  <c r="M3242" i="13"/>
  <c r="J3238" i="14" a="1"/>
  <c r="J3238" i="14" s="1"/>
  <c r="N3239" i="14"/>
  <c r="K3054" i="13" l="1"/>
  <c r="L3054" i="13" s="1"/>
  <c r="I3055" i="13" s="1"/>
  <c r="K3076" i="14"/>
  <c r="L3076" i="14" s="1"/>
  <c r="I3077" i="14" s="1"/>
  <c r="N3240" i="14"/>
  <c r="J3239" i="14" a="1"/>
  <c r="J3239" i="14" s="1"/>
  <c r="J3240" i="13" a="1"/>
  <c r="J3240" i="13" s="1"/>
  <c r="N3241" i="13"/>
  <c r="M3244" i="14"/>
  <c r="M3243" i="13"/>
  <c r="K3055" i="13" l="1"/>
  <c r="L3055" i="13" s="1"/>
  <c r="I3056" i="13" s="1"/>
  <c r="J3241" i="13" a="1"/>
  <c r="J3241" i="13" s="1"/>
  <c r="N3242" i="13"/>
  <c r="K3077" i="14"/>
  <c r="L3077" i="14" s="1"/>
  <c r="I3078" i="14" s="1"/>
  <c r="M3244" i="13"/>
  <c r="M3245" i="14"/>
  <c r="N3241" i="14"/>
  <c r="J3240" i="14" a="1"/>
  <c r="J3240" i="14" s="1"/>
  <c r="K3078" i="14" l="1"/>
  <c r="L3078" i="14" s="1"/>
  <c r="I3079" i="14" s="1"/>
  <c r="K3056" i="13"/>
  <c r="L3056" i="13" s="1"/>
  <c r="I3057" i="13" s="1"/>
  <c r="N3243" i="13"/>
  <c r="J3242" i="13" a="1"/>
  <c r="J3242" i="13" s="1"/>
  <c r="M3245" i="13"/>
  <c r="N3242" i="14"/>
  <c r="J3241" i="14" a="1"/>
  <c r="J3241" i="14" s="1"/>
  <c r="M3246" i="14"/>
  <c r="K3057" i="13" l="1"/>
  <c r="L3057" i="13" s="1"/>
  <c r="I3058" i="13" s="1"/>
  <c r="K3079" i="14"/>
  <c r="L3079" i="14" s="1"/>
  <c r="I3080" i="14" s="1"/>
  <c r="M3246" i="13"/>
  <c r="M3247" i="14"/>
  <c r="J3242" i="14" a="1"/>
  <c r="J3242" i="14" s="1"/>
  <c r="N3243" i="14"/>
  <c r="J3243" i="13" a="1"/>
  <c r="J3243" i="13" s="1"/>
  <c r="N3244" i="13"/>
  <c r="K3080" i="14" l="1"/>
  <c r="L3080" i="14" s="1"/>
  <c r="I3081" i="14" s="1"/>
  <c r="K3058" i="13"/>
  <c r="L3058" i="13" s="1"/>
  <c r="I3059" i="13" s="1"/>
  <c r="J3244" i="13" a="1"/>
  <c r="J3244" i="13" s="1"/>
  <c r="N3245" i="13"/>
  <c r="M3248" i="14"/>
  <c r="N3244" i="14"/>
  <c r="J3243" i="14" a="1"/>
  <c r="J3243" i="14" s="1"/>
  <c r="M3247" i="13"/>
  <c r="K3059" i="13" l="1"/>
  <c r="L3059" i="13" s="1"/>
  <c r="I3060" i="13" s="1"/>
  <c r="K3081" i="14"/>
  <c r="L3081" i="14" s="1"/>
  <c r="I3082" i="14" s="1"/>
  <c r="M3249" i="14"/>
  <c r="M3248" i="13"/>
  <c r="J3245" i="13" a="1"/>
  <c r="J3245" i="13" s="1"/>
  <c r="N3246" i="13"/>
  <c r="N3245" i="14"/>
  <c r="J3244" i="14" a="1"/>
  <c r="J3244" i="14" s="1"/>
  <c r="K3060" i="13" l="1"/>
  <c r="L3060" i="13" s="1"/>
  <c r="I3061" i="13" s="1"/>
  <c r="K3082" i="14"/>
  <c r="L3082" i="14" s="1"/>
  <c r="I3083" i="14" s="1"/>
  <c r="N3246" i="14"/>
  <c r="J3245" i="14" a="1"/>
  <c r="J3245" i="14" s="1"/>
  <c r="N3247" i="13"/>
  <c r="J3246" i="13" a="1"/>
  <c r="J3246" i="13" s="1"/>
  <c r="M3249" i="13"/>
  <c r="M3250" i="14"/>
  <c r="K3083" i="14" l="1"/>
  <c r="L3083" i="14" s="1"/>
  <c r="I3084" i="14" s="1"/>
  <c r="K3061" i="13"/>
  <c r="L3061" i="13" s="1"/>
  <c r="I3062" i="13" s="1"/>
  <c r="J3247" i="13" a="1"/>
  <c r="J3247" i="13" s="1"/>
  <c r="N3248" i="13"/>
  <c r="M3251" i="14"/>
  <c r="M3250" i="13"/>
  <c r="J3246" i="14" a="1"/>
  <c r="J3246" i="14" s="1"/>
  <c r="N3247" i="14"/>
  <c r="K3062" i="13" l="1"/>
  <c r="L3062" i="13" s="1"/>
  <c r="I3063" i="13" s="1"/>
  <c r="K3084" i="14"/>
  <c r="L3084" i="14" s="1"/>
  <c r="I3085" i="14" s="1"/>
  <c r="N3248" i="14"/>
  <c r="J3247" i="14" a="1"/>
  <c r="J3247" i="14" s="1"/>
  <c r="M3252" i="14"/>
  <c r="J3248" i="13" a="1"/>
  <c r="J3248" i="13" s="1"/>
  <c r="N3249" i="13"/>
  <c r="M3251" i="13"/>
  <c r="K3063" i="13" l="1"/>
  <c r="L3063" i="13" s="1"/>
  <c r="I3064" i="13" s="1"/>
  <c r="K3085" i="14"/>
  <c r="L3085" i="14" s="1"/>
  <c r="I3086" i="14" s="1"/>
  <c r="J3249" i="13" a="1"/>
  <c r="J3249" i="13" s="1"/>
  <c r="N3250" i="13"/>
  <c r="M3253" i="14"/>
  <c r="M3252" i="13"/>
  <c r="N3249" i="14"/>
  <c r="J3248" i="14" a="1"/>
  <c r="J3248" i="14" s="1"/>
  <c r="K3064" i="13" l="1"/>
  <c r="L3064" i="13" s="1"/>
  <c r="I3065" i="13" s="1"/>
  <c r="K3086" i="14"/>
  <c r="L3086" i="14" s="1"/>
  <c r="I3087" i="14" s="1"/>
  <c r="N3250" i="14"/>
  <c r="J3249" i="14" a="1"/>
  <c r="J3249" i="14" s="1"/>
  <c r="M3254" i="14"/>
  <c r="N3251" i="13"/>
  <c r="J3250" i="13" a="1"/>
  <c r="J3250" i="13" s="1"/>
  <c r="M3253" i="13"/>
  <c r="K3087" i="14" l="1"/>
  <c r="L3087" i="14" s="1"/>
  <c r="I3088" i="14" s="1"/>
  <c r="K3065" i="13"/>
  <c r="L3065" i="13" s="1"/>
  <c r="I3066" i="13" s="1"/>
  <c r="M3254" i="13"/>
  <c r="M3255" i="14"/>
  <c r="J3251" i="13" a="1"/>
  <c r="J3251" i="13" s="1"/>
  <c r="N3252" i="13"/>
  <c r="J3250" i="14" a="1"/>
  <c r="J3250" i="14" s="1"/>
  <c r="N3251" i="14"/>
  <c r="K3066" i="13" l="1"/>
  <c r="L3066" i="13" s="1"/>
  <c r="I3067" i="13" s="1"/>
  <c r="K3088" i="14"/>
  <c r="L3088" i="14" s="1"/>
  <c r="I3089" i="14" s="1"/>
  <c r="N3252" i="14"/>
  <c r="J3251" i="14" a="1"/>
  <c r="J3251" i="14" s="1"/>
  <c r="M3256" i="14"/>
  <c r="J3252" i="13" a="1"/>
  <c r="J3252" i="13" s="1"/>
  <c r="N3253" i="13"/>
  <c r="M3255" i="13"/>
  <c r="K3089" i="14" l="1"/>
  <c r="L3089" i="14" s="1"/>
  <c r="I3090" i="14" s="1"/>
  <c r="K3067" i="13"/>
  <c r="L3067" i="13" s="1"/>
  <c r="I3068" i="13" s="1"/>
  <c r="J3253" i="13" a="1"/>
  <c r="J3253" i="13" s="1"/>
  <c r="N3254" i="13"/>
  <c r="M3257" i="14"/>
  <c r="M3256" i="13"/>
  <c r="N3253" i="14"/>
  <c r="J3252" i="14" a="1"/>
  <c r="J3252" i="14" s="1"/>
  <c r="K3068" i="13" l="1"/>
  <c r="L3068" i="13" s="1"/>
  <c r="I3069" i="13" s="1"/>
  <c r="K3090" i="14"/>
  <c r="L3090" i="14" s="1"/>
  <c r="I3091" i="14" s="1"/>
  <c r="N3254" i="14"/>
  <c r="J3253" i="14" a="1"/>
  <c r="J3253" i="14" s="1"/>
  <c r="M3258" i="14"/>
  <c r="N3255" i="13"/>
  <c r="J3254" i="13" a="1"/>
  <c r="J3254" i="13" s="1"/>
  <c r="M3257" i="13"/>
  <c r="K3091" i="14" l="1"/>
  <c r="L3091" i="14" s="1"/>
  <c r="I3092" i="14" s="1"/>
  <c r="K3069" i="13"/>
  <c r="L3069" i="13" s="1"/>
  <c r="I3070" i="13" s="1"/>
  <c r="J3255" i="13" a="1"/>
  <c r="J3255" i="13" s="1"/>
  <c r="N3256" i="13"/>
  <c r="M3258" i="13"/>
  <c r="M3259" i="14"/>
  <c r="J3254" i="14" a="1"/>
  <c r="J3254" i="14" s="1"/>
  <c r="N3255" i="14"/>
  <c r="K3070" i="13" l="1"/>
  <c r="L3070" i="13" s="1"/>
  <c r="I3071" i="13" s="1"/>
  <c r="K3092" i="14"/>
  <c r="L3092" i="14" s="1"/>
  <c r="I3093" i="14" s="1"/>
  <c r="N3256" i="14"/>
  <c r="J3255" i="14" a="1"/>
  <c r="J3255" i="14" s="1"/>
  <c r="M3260" i="14"/>
  <c r="M3259" i="13"/>
  <c r="J3256" i="13" a="1"/>
  <c r="J3256" i="13" s="1"/>
  <c r="N3257" i="13"/>
  <c r="K3093" i="14" l="1"/>
  <c r="L3093" i="14" s="1"/>
  <c r="I3094" i="14" s="1"/>
  <c r="K3071" i="13"/>
  <c r="L3071" i="13" s="1"/>
  <c r="I3072" i="13" s="1"/>
  <c r="J3257" i="13" a="1"/>
  <c r="J3257" i="13" s="1"/>
  <c r="N3258" i="13"/>
  <c r="M3261" i="14"/>
  <c r="M3260" i="13"/>
  <c r="N3257" i="14"/>
  <c r="J3256" i="14" a="1"/>
  <c r="J3256" i="14" s="1"/>
  <c r="K3072" i="13" l="1"/>
  <c r="L3072" i="13" s="1"/>
  <c r="I3073" i="13" s="1"/>
  <c r="K3094" i="14"/>
  <c r="L3094" i="14" s="1"/>
  <c r="I3095" i="14" s="1"/>
  <c r="N3258" i="14"/>
  <c r="J3257" i="14" a="1"/>
  <c r="J3257" i="14" s="1"/>
  <c r="M3262" i="14"/>
  <c r="N3259" i="13"/>
  <c r="J3258" i="13" a="1"/>
  <c r="J3258" i="13" s="1"/>
  <c r="M3261" i="13"/>
  <c r="K3095" i="14" l="1"/>
  <c r="L3095" i="14" s="1"/>
  <c r="I3096" i="14" s="1"/>
  <c r="K3073" i="13"/>
  <c r="L3073" i="13" s="1"/>
  <c r="I3074" i="13" s="1"/>
  <c r="M3262" i="13"/>
  <c r="M3263" i="14"/>
  <c r="J3259" i="13" a="1"/>
  <c r="J3259" i="13" s="1"/>
  <c r="N3260" i="13"/>
  <c r="J3258" i="14" a="1"/>
  <c r="J3258" i="14" s="1"/>
  <c r="N3259" i="14"/>
  <c r="K3074" i="13" l="1"/>
  <c r="L3074" i="13" s="1"/>
  <c r="I3075" i="13" s="1"/>
  <c r="K3096" i="14"/>
  <c r="L3096" i="14" s="1"/>
  <c r="I3097" i="14" s="1"/>
  <c r="N3260" i="14"/>
  <c r="J3259" i="14" a="1"/>
  <c r="J3259" i="14" s="1"/>
  <c r="M3264" i="14"/>
  <c r="J3260" i="13" a="1"/>
  <c r="J3260" i="13" s="1"/>
  <c r="N3261" i="13"/>
  <c r="M3263" i="13"/>
  <c r="K3097" i="14" l="1"/>
  <c r="L3097" i="14" s="1"/>
  <c r="I3098" i="14" s="1"/>
  <c r="K3075" i="13"/>
  <c r="L3075" i="13" s="1"/>
  <c r="I3076" i="13" s="1"/>
  <c r="M3265" i="14"/>
  <c r="M3264" i="13"/>
  <c r="J3261" i="13" a="1"/>
  <c r="J3261" i="13" s="1"/>
  <c r="N3262" i="13"/>
  <c r="N3261" i="14"/>
  <c r="J3260" i="14" a="1"/>
  <c r="J3260" i="14" s="1"/>
  <c r="K3076" i="13" l="1"/>
  <c r="L3076" i="13" s="1"/>
  <c r="I3077" i="13" s="1"/>
  <c r="K3098" i="14"/>
  <c r="L3098" i="14" s="1"/>
  <c r="I3099" i="14" s="1"/>
  <c r="N3262" i="14"/>
  <c r="J3261" i="14" a="1"/>
  <c r="J3261" i="14" s="1"/>
  <c r="M3265" i="13"/>
  <c r="N3263" i="13"/>
  <c r="J3262" i="13" a="1"/>
  <c r="J3262" i="13" s="1"/>
  <c r="M3266" i="14"/>
  <c r="K3099" i="14" l="1"/>
  <c r="L3099" i="14" s="1"/>
  <c r="I3100" i="14" s="1"/>
  <c r="K3077" i="13"/>
  <c r="L3077" i="13" s="1"/>
  <c r="I3078" i="13" s="1"/>
  <c r="M3266" i="13"/>
  <c r="M3267" i="14"/>
  <c r="J3263" i="13" a="1"/>
  <c r="J3263" i="13" s="1"/>
  <c r="N3264" i="13"/>
  <c r="J3262" i="14" a="1"/>
  <c r="J3262" i="14" s="1"/>
  <c r="N3263" i="14"/>
  <c r="K3078" i="13" l="1"/>
  <c r="L3078" i="13" s="1"/>
  <c r="I3079" i="13" s="1"/>
  <c r="K3100" i="14"/>
  <c r="L3100" i="14" s="1"/>
  <c r="I3101" i="14" s="1"/>
  <c r="N3264" i="14"/>
  <c r="J3263" i="14" a="1"/>
  <c r="J3263" i="14" s="1"/>
  <c r="M3268" i="14"/>
  <c r="J3264" i="13" a="1"/>
  <c r="J3264" i="13" s="1"/>
  <c r="N3265" i="13"/>
  <c r="M3267" i="13"/>
  <c r="K3079" i="13" l="1"/>
  <c r="L3079" i="13" s="1"/>
  <c r="I3080" i="13" s="1"/>
  <c r="M3268" i="13"/>
  <c r="M3269" i="14"/>
  <c r="K3101" i="14"/>
  <c r="L3101" i="14" s="1"/>
  <c r="I3102" i="14" s="1"/>
  <c r="J3265" i="13" a="1"/>
  <c r="J3265" i="13" s="1"/>
  <c r="N3266" i="13"/>
  <c r="N3265" i="14"/>
  <c r="J3264" i="14" a="1"/>
  <c r="J3264" i="14" s="1"/>
  <c r="K3102" i="14" l="1"/>
  <c r="L3102" i="14" s="1"/>
  <c r="I3103" i="14" s="1"/>
  <c r="K3080" i="13"/>
  <c r="L3080" i="13" s="1"/>
  <c r="I3081" i="13" s="1"/>
  <c r="M3269" i="13"/>
  <c r="N3267" i="13"/>
  <c r="J3266" i="13" a="1"/>
  <c r="J3266" i="13" s="1"/>
  <c r="N3266" i="14"/>
  <c r="J3265" i="14" a="1"/>
  <c r="J3265" i="14" s="1"/>
  <c r="M3270" i="14"/>
  <c r="K3081" i="13" l="1"/>
  <c r="L3081" i="13" s="1"/>
  <c r="I3082" i="13" s="1"/>
  <c r="K3103" i="14"/>
  <c r="L3103" i="14" s="1"/>
  <c r="I3104" i="14" s="1"/>
  <c r="J3267" i="13" a="1"/>
  <c r="J3267" i="13" s="1"/>
  <c r="N3268" i="13"/>
  <c r="M3270" i="13"/>
  <c r="M3271" i="14"/>
  <c r="J3266" i="14" a="1"/>
  <c r="J3266" i="14" s="1"/>
  <c r="N3267" i="14"/>
  <c r="K3104" i="14" l="1"/>
  <c r="L3104" i="14" s="1"/>
  <c r="I3105" i="14" s="1"/>
  <c r="K3082" i="13"/>
  <c r="L3082" i="13" s="1"/>
  <c r="I3083" i="13" s="1"/>
  <c r="N3268" i="14"/>
  <c r="J3267" i="14" a="1"/>
  <c r="J3267" i="14" s="1"/>
  <c r="M3271" i="13"/>
  <c r="M3272" i="14"/>
  <c r="J3268" i="13" a="1"/>
  <c r="J3268" i="13" s="1"/>
  <c r="N3269" i="13"/>
  <c r="K3083" i="13" l="1"/>
  <c r="L3083" i="13" s="1"/>
  <c r="I3084" i="13" s="1"/>
  <c r="K3105" i="14"/>
  <c r="L3105" i="14" s="1"/>
  <c r="I3106" i="14" s="1"/>
  <c r="J3269" i="13" a="1"/>
  <c r="J3269" i="13" s="1"/>
  <c r="N3270" i="13"/>
  <c r="M3272" i="13"/>
  <c r="M3273" i="14"/>
  <c r="N3269" i="14"/>
  <c r="J3268" i="14" a="1"/>
  <c r="J3268" i="14" s="1"/>
  <c r="K3106" i="14" l="1"/>
  <c r="L3106" i="14" s="1"/>
  <c r="I3107" i="14" s="1"/>
  <c r="K3084" i="13"/>
  <c r="L3084" i="13" s="1"/>
  <c r="I3085" i="13" s="1"/>
  <c r="N3270" i="14"/>
  <c r="J3269" i="14" a="1"/>
  <c r="J3269" i="14" s="1"/>
  <c r="M3273" i="13"/>
  <c r="N3271" i="13"/>
  <c r="J3270" i="13" a="1"/>
  <c r="J3270" i="13" s="1"/>
  <c r="M3274" i="14"/>
  <c r="K3085" i="13" l="1"/>
  <c r="L3085" i="13" s="1"/>
  <c r="I3086" i="13" s="1"/>
  <c r="K3107" i="14"/>
  <c r="L3107" i="14" s="1"/>
  <c r="I3108" i="14" s="1"/>
  <c r="M3275" i="14"/>
  <c r="M3274" i="13"/>
  <c r="J3271" i="13" a="1"/>
  <c r="J3271" i="13" s="1"/>
  <c r="N3272" i="13"/>
  <c r="J3270" i="14" a="1"/>
  <c r="J3270" i="14" s="1"/>
  <c r="N3271" i="14"/>
  <c r="K3108" i="14" l="1"/>
  <c r="L3108" i="14" s="1"/>
  <c r="I3109" i="14" s="1"/>
  <c r="K3086" i="13"/>
  <c r="L3086" i="13" s="1"/>
  <c r="I3087" i="13" s="1"/>
  <c r="N3272" i="14"/>
  <c r="J3271" i="14" a="1"/>
  <c r="J3271" i="14" s="1"/>
  <c r="M3275" i="13"/>
  <c r="J3272" i="13" a="1"/>
  <c r="J3272" i="13" s="1"/>
  <c r="N3273" i="13"/>
  <c r="M3276" i="14"/>
  <c r="K3087" i="13" l="1"/>
  <c r="L3087" i="13" s="1"/>
  <c r="I3088" i="13" s="1"/>
  <c r="K3109" i="14"/>
  <c r="L3109" i="14" s="1"/>
  <c r="I3110" i="14" s="1"/>
  <c r="M3277" i="14"/>
  <c r="J3273" i="13" a="1"/>
  <c r="J3273" i="13" s="1"/>
  <c r="N3274" i="13"/>
  <c r="M3276" i="13"/>
  <c r="N3273" i="14"/>
  <c r="J3272" i="14" a="1"/>
  <c r="J3272" i="14" s="1"/>
  <c r="K3110" i="14" l="1"/>
  <c r="L3110" i="14" s="1"/>
  <c r="I3111" i="14" s="1"/>
  <c r="K3088" i="13"/>
  <c r="L3088" i="13" s="1"/>
  <c r="I3089" i="13" s="1"/>
  <c r="N3275" i="13"/>
  <c r="J3274" i="13" a="1"/>
  <c r="J3274" i="13" s="1"/>
  <c r="N3274" i="14"/>
  <c r="J3273" i="14" a="1"/>
  <c r="J3273" i="14" s="1"/>
  <c r="M3277" i="13"/>
  <c r="M3278" i="14"/>
  <c r="K3089" i="13" l="1"/>
  <c r="L3089" i="13" s="1"/>
  <c r="I3090" i="13" s="1"/>
  <c r="K3111" i="14"/>
  <c r="L3111" i="14" s="1"/>
  <c r="I3112" i="14" s="1"/>
  <c r="J3274" i="14" a="1"/>
  <c r="J3274" i="14" s="1"/>
  <c r="N3275" i="14"/>
  <c r="M3279" i="14"/>
  <c r="M3278" i="13"/>
  <c r="J3275" i="13" a="1"/>
  <c r="J3275" i="13" s="1"/>
  <c r="N3276" i="13"/>
  <c r="K3112" i="14" l="1"/>
  <c r="L3112" i="14" s="1"/>
  <c r="I3113" i="14" s="1"/>
  <c r="K3090" i="13"/>
  <c r="L3090" i="13" s="1"/>
  <c r="I3091" i="13" s="1"/>
  <c r="J3276" i="13" a="1"/>
  <c r="J3276" i="13" s="1"/>
  <c r="N3277" i="13"/>
  <c r="M3280" i="14"/>
  <c r="N3276" i="14"/>
  <c r="J3275" i="14" a="1"/>
  <c r="J3275" i="14" s="1"/>
  <c r="M3279" i="13"/>
  <c r="K3091" i="13" l="1"/>
  <c r="L3091" i="13" s="1"/>
  <c r="I3092" i="13" s="1"/>
  <c r="K3113" i="14"/>
  <c r="L3113" i="14" s="1"/>
  <c r="I3114" i="14" s="1"/>
  <c r="M3281" i="14"/>
  <c r="N3277" i="14"/>
  <c r="J3276" i="14" a="1"/>
  <c r="J3276" i="14" s="1"/>
  <c r="M3280" i="13"/>
  <c r="J3277" i="13" a="1"/>
  <c r="J3277" i="13" s="1"/>
  <c r="N3278" i="13"/>
  <c r="K3114" i="14" l="1"/>
  <c r="L3114" i="14" s="1"/>
  <c r="I3115" i="14" s="1"/>
  <c r="K3092" i="13"/>
  <c r="L3092" i="13" s="1"/>
  <c r="I3093" i="13" s="1"/>
  <c r="N3279" i="13"/>
  <c r="J3278" i="13" a="1"/>
  <c r="J3278" i="13" s="1"/>
  <c r="N3278" i="14"/>
  <c r="J3277" i="14" a="1"/>
  <c r="J3277" i="14" s="1"/>
  <c r="M3281" i="13"/>
  <c r="M3282" i="14"/>
  <c r="K3093" i="13" l="1"/>
  <c r="L3093" i="13" s="1"/>
  <c r="I3094" i="13" s="1"/>
  <c r="K3115" i="14"/>
  <c r="L3115" i="14" s="1"/>
  <c r="I3116" i="14" s="1"/>
  <c r="M3283" i="14"/>
  <c r="J3278" i="14" a="1"/>
  <c r="J3278" i="14" s="1"/>
  <c r="N3279" i="14"/>
  <c r="M3282" i="13"/>
  <c r="J3279" i="13" a="1"/>
  <c r="J3279" i="13" s="1"/>
  <c r="N3280" i="13"/>
  <c r="K3116" i="14" l="1"/>
  <c r="L3116" i="14" s="1"/>
  <c r="I3117" i="14" s="1"/>
  <c r="K3094" i="13"/>
  <c r="L3094" i="13" s="1"/>
  <c r="I3095" i="13" s="1"/>
  <c r="N3280" i="14"/>
  <c r="J3279" i="14" a="1"/>
  <c r="J3279" i="14" s="1"/>
  <c r="J3280" i="13" a="1"/>
  <c r="J3280" i="13" s="1"/>
  <c r="N3281" i="13"/>
  <c r="M3283" i="13"/>
  <c r="M3284" i="14"/>
  <c r="K3095" i="13" l="1"/>
  <c r="L3095" i="13" s="1"/>
  <c r="I3096" i="13" s="1"/>
  <c r="K3117" i="14"/>
  <c r="L3117" i="14" s="1"/>
  <c r="I3118" i="14" s="1"/>
  <c r="M3285" i="14"/>
  <c r="J3281" i="13" a="1"/>
  <c r="J3281" i="13" s="1"/>
  <c r="N3282" i="13"/>
  <c r="M3284" i="13"/>
  <c r="J3280" i="14" a="1"/>
  <c r="J3280" i="14" s="1"/>
  <c r="N3281" i="14"/>
  <c r="K3118" i="14" l="1"/>
  <c r="L3118" i="14" s="1"/>
  <c r="I3119" i="14" s="1"/>
  <c r="K3096" i="13"/>
  <c r="L3096" i="13" s="1"/>
  <c r="I3097" i="13" s="1"/>
  <c r="N3283" i="13"/>
  <c r="J3282" i="13" a="1"/>
  <c r="J3282" i="13" s="1"/>
  <c r="N3282" i="14"/>
  <c r="J3281" i="14" a="1"/>
  <c r="J3281" i="14" s="1"/>
  <c r="M3285" i="13"/>
  <c r="M3286" i="14"/>
  <c r="K3097" i="13" l="1"/>
  <c r="L3097" i="13" s="1"/>
  <c r="I3098" i="13" s="1"/>
  <c r="K3119" i="14"/>
  <c r="L3119" i="14" s="1"/>
  <c r="I3120" i="14" s="1"/>
  <c r="J3282" i="14" a="1"/>
  <c r="J3282" i="14" s="1"/>
  <c r="N3283" i="14"/>
  <c r="M3287" i="14"/>
  <c r="M3286" i="13"/>
  <c r="J3283" i="13" a="1"/>
  <c r="J3283" i="13" s="1"/>
  <c r="N3284" i="13"/>
  <c r="K3120" i="14" l="1"/>
  <c r="L3120" i="14" s="1"/>
  <c r="I3121" i="14" s="1"/>
  <c r="K3098" i="13"/>
  <c r="L3098" i="13" s="1"/>
  <c r="I3099" i="13" s="1"/>
  <c r="J3284" i="13" a="1"/>
  <c r="J3284" i="13" s="1"/>
  <c r="N3285" i="13"/>
  <c r="M3288" i="14"/>
  <c r="N3284" i="14"/>
  <c r="J3283" i="14" a="1"/>
  <c r="J3283" i="14" s="1"/>
  <c r="M3287" i="13"/>
  <c r="K3121" i="14" l="1"/>
  <c r="L3121" i="14" s="1"/>
  <c r="I3122" i="14" s="1"/>
  <c r="M3289" i="14"/>
  <c r="M3288" i="13"/>
  <c r="K3099" i="13"/>
  <c r="L3099" i="13" s="1"/>
  <c r="I3100" i="13" s="1"/>
  <c r="J3285" i="13" a="1"/>
  <c r="J3285" i="13" s="1"/>
  <c r="N3286" i="13"/>
  <c r="N3285" i="14"/>
  <c r="J3284" i="14" a="1"/>
  <c r="J3284" i="14" s="1"/>
  <c r="K3122" i="14" l="1"/>
  <c r="L3122" i="14" s="1"/>
  <c r="I3123" i="14" s="1"/>
  <c r="N3286" i="14"/>
  <c r="J3285" i="14" a="1"/>
  <c r="J3285" i="14" s="1"/>
  <c r="M3290" i="14"/>
  <c r="N3287" i="13"/>
  <c r="J3286" i="13" a="1"/>
  <c r="J3286" i="13" s="1"/>
  <c r="K3100" i="13"/>
  <c r="L3100" i="13" s="1"/>
  <c r="I3101" i="13" s="1"/>
  <c r="M3289" i="13"/>
  <c r="K3101" i="13" l="1"/>
  <c r="L3101" i="13" s="1"/>
  <c r="I3102" i="13" s="1"/>
  <c r="K3123" i="14"/>
  <c r="L3123" i="14" s="1"/>
  <c r="I3124" i="14" s="1"/>
  <c r="J3287" i="13" a="1"/>
  <c r="J3287" i="13" s="1"/>
  <c r="N3288" i="13"/>
  <c r="J3286" i="14" a="1"/>
  <c r="J3286" i="14" s="1"/>
  <c r="N3287" i="14"/>
  <c r="M3290" i="13"/>
  <c r="M3291" i="14"/>
  <c r="K3124" i="14" l="1"/>
  <c r="L3124" i="14" s="1"/>
  <c r="I3125" i="14" s="1"/>
  <c r="K3102" i="13"/>
  <c r="L3102" i="13" s="1"/>
  <c r="I3103" i="13" s="1"/>
  <c r="N3288" i="14"/>
  <c r="J3287" i="14" a="1"/>
  <c r="J3287" i="14" s="1"/>
  <c r="M3292" i="14"/>
  <c r="J3288" i="13" a="1"/>
  <c r="J3288" i="13" s="1"/>
  <c r="N3289" i="13"/>
  <c r="M3291" i="13"/>
  <c r="K3103" i="13" l="1"/>
  <c r="L3103" i="13" s="1"/>
  <c r="I3104" i="13" s="1"/>
  <c r="K3125" i="14"/>
  <c r="L3125" i="14" s="1"/>
  <c r="I3126" i="14" s="1"/>
  <c r="J3289" i="13" a="1"/>
  <c r="J3289" i="13" s="1"/>
  <c r="N3290" i="13"/>
  <c r="M3293" i="14"/>
  <c r="M3292" i="13"/>
  <c r="N3289" i="14"/>
  <c r="J3288" i="14" a="1"/>
  <c r="J3288" i="14" s="1"/>
  <c r="K3126" i="14" l="1"/>
  <c r="L3126" i="14" s="1"/>
  <c r="I3127" i="14" s="1"/>
  <c r="K3104" i="13"/>
  <c r="L3104" i="13" s="1"/>
  <c r="I3105" i="13" s="1"/>
  <c r="N3290" i="14"/>
  <c r="J3289" i="14" a="1"/>
  <c r="J3289" i="14" s="1"/>
  <c r="M3294" i="14"/>
  <c r="N3291" i="13"/>
  <c r="J3290" i="13" a="1"/>
  <c r="J3290" i="13" s="1"/>
  <c r="M3293" i="13"/>
  <c r="K3105" i="13" l="1"/>
  <c r="L3105" i="13" s="1"/>
  <c r="I3106" i="13" s="1"/>
  <c r="K3127" i="14"/>
  <c r="L3127" i="14" s="1"/>
  <c r="I3128" i="14" s="1"/>
  <c r="M3294" i="13"/>
  <c r="M3295" i="14"/>
  <c r="J3291" i="13" a="1"/>
  <c r="J3291" i="13" s="1"/>
  <c r="N3292" i="13"/>
  <c r="J3290" i="14" a="1"/>
  <c r="J3290" i="14" s="1"/>
  <c r="N3291" i="14"/>
  <c r="K3128" i="14" l="1"/>
  <c r="L3128" i="14" s="1"/>
  <c r="I3129" i="14" s="1"/>
  <c r="K3106" i="13"/>
  <c r="L3106" i="13" s="1"/>
  <c r="I3107" i="13" s="1"/>
  <c r="N3292" i="14"/>
  <c r="J3291" i="14" a="1"/>
  <c r="J3291" i="14" s="1"/>
  <c r="M3296" i="14"/>
  <c r="J3292" i="13" a="1"/>
  <c r="J3292" i="13" s="1"/>
  <c r="N3293" i="13"/>
  <c r="M3295" i="13"/>
  <c r="K3107" i="13" l="1"/>
  <c r="L3107" i="13" s="1"/>
  <c r="I3108" i="13" s="1"/>
  <c r="M3297" i="14"/>
  <c r="N3293" i="14"/>
  <c r="J3292" i="14" a="1"/>
  <c r="J3292" i="14" s="1"/>
  <c r="M3296" i="13"/>
  <c r="J3293" i="13" a="1"/>
  <c r="J3293" i="13" s="1"/>
  <c r="N3294" i="13"/>
  <c r="K3129" i="14"/>
  <c r="L3129" i="14" s="1"/>
  <c r="I3130" i="14" s="1"/>
  <c r="K3130" i="14" l="1"/>
  <c r="L3130" i="14" s="1"/>
  <c r="I3131" i="14" s="1"/>
  <c r="K3108" i="13"/>
  <c r="L3108" i="13" s="1"/>
  <c r="I3109" i="13" s="1"/>
  <c r="N3295" i="13"/>
  <c r="J3294" i="13" a="1"/>
  <c r="J3294" i="13" s="1"/>
  <c r="M3297" i="13"/>
  <c r="M3298" i="14"/>
  <c r="N3294" i="14"/>
  <c r="J3293" i="14" a="1"/>
  <c r="J3293" i="14" s="1"/>
  <c r="K3109" i="13" l="1"/>
  <c r="L3109" i="13" s="1"/>
  <c r="I3110" i="13" s="1"/>
  <c r="K3131" i="14"/>
  <c r="L3131" i="14" s="1"/>
  <c r="I3132" i="14" s="1"/>
  <c r="M3298" i="13"/>
  <c r="J3294" i="14" a="1"/>
  <c r="J3294" i="14" s="1"/>
  <c r="N3295" i="14"/>
  <c r="M3299" i="14"/>
  <c r="J3295" i="13" a="1"/>
  <c r="J3295" i="13" s="1"/>
  <c r="N3296" i="13"/>
  <c r="K3132" i="14" l="1"/>
  <c r="L3132" i="14" s="1"/>
  <c r="I3133" i="14" s="1"/>
  <c r="K3110" i="13"/>
  <c r="L3110" i="13" s="1"/>
  <c r="I3111" i="13" s="1"/>
  <c r="J3296" i="13" a="1"/>
  <c r="J3296" i="13" s="1"/>
  <c r="N3297" i="13"/>
  <c r="N3296" i="14"/>
  <c r="J3295" i="14" a="1"/>
  <c r="J3295" i="14" s="1"/>
  <c r="M3300" i="14"/>
  <c r="M3299" i="13"/>
  <c r="K3111" i="13" l="1"/>
  <c r="L3111" i="13" s="1"/>
  <c r="I3112" i="13" s="1"/>
  <c r="K3133" i="14"/>
  <c r="L3133" i="14" s="1"/>
  <c r="I3134" i="14" s="1"/>
  <c r="N3297" i="14"/>
  <c r="J3296" i="14" a="1"/>
  <c r="J3296" i="14" s="1"/>
  <c r="J3297" i="13" a="1"/>
  <c r="J3297" i="13" s="1"/>
  <c r="N3298" i="13"/>
  <c r="M3300" i="13"/>
  <c r="M3301" i="14"/>
  <c r="K3134" i="14" l="1"/>
  <c r="L3134" i="14" s="1"/>
  <c r="I3135" i="14" s="1"/>
  <c r="K3112" i="13"/>
  <c r="L3112" i="13" s="1"/>
  <c r="I3113" i="13" s="1"/>
  <c r="N3299" i="13"/>
  <c r="J3298" i="13" a="1"/>
  <c r="J3298" i="13" s="1"/>
  <c r="M3302" i="14"/>
  <c r="M3301" i="13"/>
  <c r="N3298" i="14"/>
  <c r="J3297" i="14" a="1"/>
  <c r="J3297" i="14" s="1"/>
  <c r="K3113" i="13" l="1"/>
  <c r="L3113" i="13" s="1"/>
  <c r="I3114" i="13" s="1"/>
  <c r="K3135" i="14"/>
  <c r="L3135" i="14" s="1"/>
  <c r="I3136" i="14" s="1"/>
  <c r="J3298" i="14" a="1"/>
  <c r="J3298" i="14" s="1"/>
  <c r="N3299" i="14"/>
  <c r="M3303" i="14"/>
  <c r="M3302" i="13"/>
  <c r="J3299" i="13" a="1"/>
  <c r="J3299" i="13" s="1"/>
  <c r="N3300" i="13"/>
  <c r="K3136" i="14" l="1"/>
  <c r="L3136" i="14" s="1"/>
  <c r="I3137" i="14" s="1"/>
  <c r="K3114" i="13"/>
  <c r="L3114" i="13" s="1"/>
  <c r="I3115" i="13" s="1"/>
  <c r="J3300" i="13" a="1"/>
  <c r="J3300" i="13" s="1"/>
  <c r="N3301" i="13"/>
  <c r="M3304" i="14"/>
  <c r="N3300" i="14"/>
  <c r="J3299" i="14" a="1"/>
  <c r="J3299" i="14" s="1"/>
  <c r="M3303" i="13"/>
  <c r="K3115" i="13" l="1"/>
  <c r="L3115" i="13" s="1"/>
  <c r="I3116" i="13" s="1"/>
  <c r="K3137" i="14"/>
  <c r="L3137" i="14" s="1"/>
  <c r="I3138" i="14" s="1"/>
  <c r="M3305" i="14"/>
  <c r="N3301" i="14"/>
  <c r="J3300" i="14" a="1"/>
  <c r="J3300" i="14" s="1"/>
  <c r="M3304" i="13"/>
  <c r="J3301" i="13" a="1"/>
  <c r="J3301" i="13" s="1"/>
  <c r="N3302" i="13"/>
  <c r="K3138" i="14" l="1"/>
  <c r="L3138" i="14" s="1"/>
  <c r="I3139" i="14" s="1"/>
  <c r="K3116" i="13"/>
  <c r="L3116" i="13" s="1"/>
  <c r="I3117" i="13" s="1"/>
  <c r="N3303" i="13"/>
  <c r="J3302" i="13" a="1"/>
  <c r="J3302" i="13" s="1"/>
  <c r="N3302" i="14"/>
  <c r="J3301" i="14" a="1"/>
  <c r="J3301" i="14" s="1"/>
  <c r="M3305" i="13"/>
  <c r="M3306" i="14"/>
  <c r="K3139" i="14" l="1"/>
  <c r="L3139" i="14" s="1"/>
  <c r="I3140" i="14" s="1"/>
  <c r="J3302" i="14" a="1"/>
  <c r="J3302" i="14" s="1"/>
  <c r="N3303" i="14"/>
  <c r="K3117" i="13"/>
  <c r="L3117" i="13" s="1"/>
  <c r="I3118" i="13" s="1"/>
  <c r="M3307" i="14"/>
  <c r="M3306" i="13"/>
  <c r="J3303" i="13" a="1"/>
  <c r="J3303" i="13" s="1"/>
  <c r="N3304" i="13"/>
  <c r="K3118" i="13" l="1"/>
  <c r="L3118" i="13" s="1"/>
  <c r="I3119" i="13" s="1"/>
  <c r="K3140" i="14"/>
  <c r="L3140" i="14" s="1"/>
  <c r="I3141" i="14" s="1"/>
  <c r="M3308" i="14"/>
  <c r="N3304" i="14"/>
  <c r="J3303" i="14" a="1"/>
  <c r="J3303" i="14" s="1"/>
  <c r="J3304" i="13" a="1"/>
  <c r="J3304" i="13" s="1"/>
  <c r="N3305" i="13"/>
  <c r="M3307" i="13"/>
  <c r="K3141" i="14" l="1"/>
  <c r="L3141" i="14" s="1"/>
  <c r="I3142" i="14" s="1"/>
  <c r="K3119" i="13"/>
  <c r="L3119" i="13" s="1"/>
  <c r="I3120" i="13" s="1"/>
  <c r="N3305" i="14"/>
  <c r="J3304" i="14" a="1"/>
  <c r="J3304" i="14" s="1"/>
  <c r="M3308" i="13"/>
  <c r="J3305" i="13" a="1"/>
  <c r="J3305" i="13" s="1"/>
  <c r="N3306" i="13"/>
  <c r="M3309" i="14"/>
  <c r="K3120" i="13" l="1"/>
  <c r="L3120" i="13" s="1"/>
  <c r="I3121" i="13" s="1"/>
  <c r="K3142" i="14"/>
  <c r="L3142" i="14" s="1"/>
  <c r="I3143" i="14" s="1"/>
  <c r="N3307" i="13"/>
  <c r="J3306" i="13" a="1"/>
  <c r="J3306" i="13" s="1"/>
  <c r="M3310" i="14"/>
  <c r="M3309" i="13"/>
  <c r="N3306" i="14"/>
  <c r="J3305" i="14" a="1"/>
  <c r="J3305" i="14" s="1"/>
  <c r="K3143" i="14" l="1"/>
  <c r="L3143" i="14" s="1"/>
  <c r="I3144" i="14" s="1"/>
  <c r="K3121" i="13"/>
  <c r="L3121" i="13" s="1"/>
  <c r="I3122" i="13" s="1"/>
  <c r="J3306" i="14" a="1"/>
  <c r="J3306" i="14" s="1"/>
  <c r="N3307" i="14"/>
  <c r="M3311" i="14"/>
  <c r="M3310" i="13"/>
  <c r="J3307" i="13" a="1"/>
  <c r="J3307" i="13" s="1"/>
  <c r="N3308" i="13"/>
  <c r="K3122" i="13" l="1"/>
  <c r="L3122" i="13" s="1"/>
  <c r="I3123" i="13" s="1"/>
  <c r="K3144" i="14"/>
  <c r="L3144" i="14" s="1"/>
  <c r="I3145" i="14" s="1"/>
  <c r="M3312" i="14"/>
  <c r="N3308" i="14"/>
  <c r="J3307" i="14" a="1"/>
  <c r="J3307" i="14" s="1"/>
  <c r="J3308" i="13" a="1"/>
  <c r="J3308" i="13" s="1"/>
  <c r="N3309" i="13"/>
  <c r="M3311" i="13"/>
  <c r="K3145" i="14" l="1"/>
  <c r="L3145" i="14" s="1"/>
  <c r="I3146" i="14" s="1"/>
  <c r="K3123" i="13"/>
  <c r="L3123" i="13" s="1"/>
  <c r="I3124" i="13" s="1"/>
  <c r="M3312" i="13"/>
  <c r="N3309" i="14"/>
  <c r="J3308" i="14" a="1"/>
  <c r="J3308" i="14" s="1"/>
  <c r="J3309" i="13" a="1"/>
  <c r="J3309" i="13" s="1"/>
  <c r="N3310" i="13"/>
  <c r="M3313" i="14"/>
  <c r="K3124" i="13" l="1"/>
  <c r="L3124" i="13" s="1"/>
  <c r="I3125" i="13" s="1"/>
  <c r="K3146" i="14"/>
  <c r="L3146" i="14" s="1"/>
  <c r="I3147" i="14" s="1"/>
  <c r="N3310" i="14"/>
  <c r="J3309" i="14" a="1"/>
  <c r="J3309" i="14" s="1"/>
  <c r="N3311" i="13"/>
  <c r="J3310" i="13" a="1"/>
  <c r="J3310" i="13" s="1"/>
  <c r="M3314" i="14"/>
  <c r="M3313" i="13"/>
  <c r="K3147" i="14" l="1"/>
  <c r="L3147" i="14" s="1"/>
  <c r="I3148" i="14" s="1"/>
  <c r="J3310" i="14" a="1"/>
  <c r="J3310" i="14" s="1"/>
  <c r="N3311" i="14"/>
  <c r="M3314" i="13"/>
  <c r="K3125" i="13"/>
  <c r="L3125" i="13" s="1"/>
  <c r="I3126" i="13" s="1"/>
  <c r="J3311" i="13" a="1"/>
  <c r="J3311" i="13" s="1"/>
  <c r="N3312" i="13"/>
  <c r="M3315" i="14"/>
  <c r="K3126" i="13" l="1"/>
  <c r="L3126" i="13" s="1"/>
  <c r="I3127" i="13" s="1"/>
  <c r="K3148" i="14"/>
  <c r="L3148" i="14" s="1"/>
  <c r="I3149" i="14" s="1"/>
  <c r="N3312" i="14"/>
  <c r="J3311" i="14" a="1"/>
  <c r="J3311" i="14" s="1"/>
  <c r="M3316" i="14"/>
  <c r="J3312" i="13" a="1"/>
  <c r="J3312" i="13" s="1"/>
  <c r="N3313" i="13"/>
  <c r="M3315" i="13"/>
  <c r="K3149" i="14" l="1"/>
  <c r="L3149" i="14" s="1"/>
  <c r="I3150" i="14" s="1"/>
  <c r="K3127" i="13"/>
  <c r="L3127" i="13" s="1"/>
  <c r="I3128" i="13" s="1"/>
  <c r="M3317" i="14"/>
  <c r="J3313" i="13" a="1"/>
  <c r="J3313" i="13" s="1"/>
  <c r="N3314" i="13"/>
  <c r="M3316" i="13"/>
  <c r="N3313" i="14"/>
  <c r="J3312" i="14" a="1"/>
  <c r="J3312" i="14" s="1"/>
  <c r="K3128" i="13" l="1"/>
  <c r="L3128" i="13" s="1"/>
  <c r="I3129" i="13" s="1"/>
  <c r="K3150" i="14"/>
  <c r="L3150" i="14" s="1"/>
  <c r="I3151" i="14" s="1"/>
  <c r="N3315" i="13"/>
  <c r="J3314" i="13" a="1"/>
  <c r="J3314" i="13" s="1"/>
  <c r="N3314" i="14"/>
  <c r="J3313" i="14" a="1"/>
  <c r="J3313" i="14" s="1"/>
  <c r="M3317" i="13"/>
  <c r="M3318" i="14"/>
  <c r="K3151" i="14" l="1"/>
  <c r="L3151" i="14" s="1"/>
  <c r="I3152" i="14" s="1"/>
  <c r="K3129" i="13"/>
  <c r="L3129" i="13" s="1"/>
  <c r="I3130" i="13" s="1"/>
  <c r="J3314" i="14" a="1"/>
  <c r="J3314" i="14" s="1"/>
  <c r="N3315" i="14"/>
  <c r="M3319" i="14"/>
  <c r="M3318" i="13"/>
  <c r="J3315" i="13" a="1"/>
  <c r="J3315" i="13" s="1"/>
  <c r="N3316" i="13"/>
  <c r="K3130" i="13" l="1"/>
  <c r="L3130" i="13" s="1"/>
  <c r="I3131" i="13" s="1"/>
  <c r="K3152" i="14"/>
  <c r="L3152" i="14" s="1"/>
  <c r="I3153" i="14" s="1"/>
  <c r="J3316" i="13" a="1"/>
  <c r="J3316" i="13" s="1"/>
  <c r="N3317" i="13"/>
  <c r="M3320" i="14"/>
  <c r="N3316" i="14"/>
  <c r="J3315" i="14" a="1"/>
  <c r="J3315" i="14" s="1"/>
  <c r="M3319" i="13"/>
  <c r="K3153" i="14" l="1"/>
  <c r="L3153" i="14" s="1"/>
  <c r="I3154" i="14" s="1"/>
  <c r="K3131" i="13"/>
  <c r="L3131" i="13" s="1"/>
  <c r="I3132" i="13" s="1"/>
  <c r="M3321" i="14"/>
  <c r="N3317" i="14"/>
  <c r="J3316" i="14" a="1"/>
  <c r="J3316" i="14" s="1"/>
  <c r="M3320" i="13"/>
  <c r="J3317" i="13" a="1"/>
  <c r="J3317" i="13" s="1"/>
  <c r="N3318" i="13"/>
  <c r="K3132" i="13" l="1"/>
  <c r="L3132" i="13" s="1"/>
  <c r="I3133" i="13" s="1"/>
  <c r="K3154" i="14"/>
  <c r="L3154" i="14" s="1"/>
  <c r="I3155" i="14" s="1"/>
  <c r="N3319" i="13"/>
  <c r="J3318" i="13" a="1"/>
  <c r="J3318" i="13" s="1"/>
  <c r="N3318" i="14"/>
  <c r="J3317" i="14" a="1"/>
  <c r="J3317" i="14" s="1"/>
  <c r="M3321" i="13"/>
  <c r="M3322" i="14"/>
  <c r="K3155" i="14" l="1"/>
  <c r="L3155" i="14" s="1"/>
  <c r="I3156" i="14" s="1"/>
  <c r="K3133" i="13"/>
  <c r="L3133" i="13" s="1"/>
  <c r="I3134" i="13" s="1"/>
  <c r="J3318" i="14" a="1"/>
  <c r="J3318" i="14" s="1"/>
  <c r="N3319" i="14"/>
  <c r="M3323" i="14"/>
  <c r="M3322" i="13"/>
  <c r="J3319" i="13" a="1"/>
  <c r="J3319" i="13" s="1"/>
  <c r="N3320" i="13"/>
  <c r="K3134" i="13" l="1"/>
  <c r="L3134" i="13" s="1"/>
  <c r="I3135" i="13" s="1"/>
  <c r="K3156" i="14"/>
  <c r="L3156" i="14" s="1"/>
  <c r="I3157" i="14" s="1"/>
  <c r="J3320" i="13" a="1"/>
  <c r="J3320" i="13" s="1"/>
  <c r="N3321" i="13"/>
  <c r="M3324" i="14"/>
  <c r="M3323" i="13"/>
  <c r="N3320" i="14"/>
  <c r="J3319" i="14" a="1"/>
  <c r="J3319" i="14" s="1"/>
  <c r="K3157" i="14" l="1"/>
  <c r="L3157" i="14" s="1"/>
  <c r="I3158" i="14" s="1"/>
  <c r="K3135" i="13"/>
  <c r="L3135" i="13" s="1"/>
  <c r="I3136" i="13" s="1"/>
  <c r="M3325" i="14"/>
  <c r="N3321" i="14"/>
  <c r="J3320" i="14" a="1"/>
  <c r="J3320" i="14" s="1"/>
  <c r="J3321" i="13" a="1"/>
  <c r="J3321" i="13" s="1"/>
  <c r="N3322" i="13"/>
  <c r="M3324" i="13"/>
  <c r="K3136" i="13" l="1"/>
  <c r="L3136" i="13" s="1"/>
  <c r="I3137" i="13" s="1"/>
  <c r="K3158" i="14"/>
  <c r="L3158" i="14" s="1"/>
  <c r="I3159" i="14" s="1"/>
  <c r="N3322" i="14"/>
  <c r="J3321" i="14" a="1"/>
  <c r="J3321" i="14" s="1"/>
  <c r="M3325" i="13"/>
  <c r="N3323" i="13"/>
  <c r="J3322" i="13" a="1"/>
  <c r="J3322" i="13" s="1"/>
  <c r="M3326" i="14"/>
  <c r="K3159" i="14" l="1"/>
  <c r="L3159" i="14" s="1"/>
  <c r="I3160" i="14" s="1"/>
  <c r="K3137" i="13"/>
  <c r="L3137" i="13" s="1"/>
  <c r="I3138" i="13" s="1"/>
  <c r="M3326" i="13"/>
  <c r="M3327" i="14"/>
  <c r="J3323" i="13" a="1"/>
  <c r="J3323" i="13" s="1"/>
  <c r="N3324" i="13"/>
  <c r="J3322" i="14" a="1"/>
  <c r="J3322" i="14" s="1"/>
  <c r="N3323" i="14"/>
  <c r="K3138" i="13" l="1"/>
  <c r="L3138" i="13" s="1"/>
  <c r="I3139" i="13" s="1"/>
  <c r="K3160" i="14"/>
  <c r="L3160" i="14" s="1"/>
  <c r="I3161" i="14" s="1"/>
  <c r="N3324" i="14"/>
  <c r="J3323" i="14" a="1"/>
  <c r="J3323" i="14" s="1"/>
  <c r="M3328" i="14"/>
  <c r="J3324" i="13" a="1"/>
  <c r="J3324" i="13" s="1"/>
  <c r="N3325" i="13"/>
  <c r="M3327" i="13"/>
  <c r="K3161" i="14" l="1"/>
  <c r="L3161" i="14" s="1"/>
  <c r="I3162" i="14" s="1"/>
  <c r="K3139" i="13"/>
  <c r="L3139" i="13" s="1"/>
  <c r="I3140" i="13" s="1"/>
  <c r="J3325" i="13" a="1"/>
  <c r="J3325" i="13" s="1"/>
  <c r="N3326" i="13"/>
  <c r="M3329" i="14"/>
  <c r="M3328" i="13"/>
  <c r="N3325" i="14"/>
  <c r="J3324" i="14" a="1"/>
  <c r="J3324" i="14" s="1"/>
  <c r="K3140" i="13" l="1"/>
  <c r="L3140" i="13" s="1"/>
  <c r="I3141" i="13" s="1"/>
  <c r="K3162" i="14"/>
  <c r="L3162" i="14" s="1"/>
  <c r="I3163" i="14" s="1"/>
  <c r="N3326" i="14"/>
  <c r="J3325" i="14" a="1"/>
  <c r="J3325" i="14" s="1"/>
  <c r="M3330" i="14"/>
  <c r="N3327" i="13"/>
  <c r="J3326" i="13" a="1"/>
  <c r="J3326" i="13" s="1"/>
  <c r="M3329" i="13"/>
  <c r="K3163" i="14" l="1"/>
  <c r="L3163" i="14" s="1"/>
  <c r="I3164" i="14" s="1"/>
  <c r="K3141" i="13"/>
  <c r="L3141" i="13" s="1"/>
  <c r="I3142" i="13" s="1"/>
  <c r="M3330" i="13"/>
  <c r="M3331" i="14"/>
  <c r="J3327" i="13" a="1"/>
  <c r="J3327" i="13" s="1"/>
  <c r="N3328" i="13"/>
  <c r="J3326" i="14" a="1"/>
  <c r="J3326" i="14" s="1"/>
  <c r="N3327" i="14"/>
  <c r="K3142" i="13" l="1"/>
  <c r="L3142" i="13" s="1"/>
  <c r="I3143" i="13" s="1"/>
  <c r="K3164" i="14"/>
  <c r="L3164" i="14" s="1"/>
  <c r="I3165" i="14" s="1"/>
  <c r="N3328" i="14"/>
  <c r="J3327" i="14" a="1"/>
  <c r="J3327" i="14" s="1"/>
  <c r="M3332" i="14"/>
  <c r="J3328" i="13" a="1"/>
  <c r="J3328" i="13" s="1"/>
  <c r="N3329" i="13"/>
  <c r="M3331" i="13"/>
  <c r="K3165" i="14" l="1"/>
  <c r="L3165" i="14" s="1"/>
  <c r="I3166" i="14" s="1"/>
  <c r="K3143" i="13"/>
  <c r="L3143" i="13" s="1"/>
  <c r="I3144" i="13" s="1"/>
  <c r="J3329" i="13" a="1"/>
  <c r="J3329" i="13" s="1"/>
  <c r="N3330" i="13"/>
  <c r="M3333" i="14"/>
  <c r="M3332" i="13"/>
  <c r="N3329" i="14"/>
  <c r="J3328" i="14" a="1"/>
  <c r="J3328" i="14" s="1"/>
  <c r="K3144" i="13" l="1"/>
  <c r="L3144" i="13" s="1"/>
  <c r="I3145" i="13" s="1"/>
  <c r="K3166" i="14"/>
  <c r="L3166" i="14" s="1"/>
  <c r="I3167" i="14" s="1"/>
  <c r="N3330" i="14"/>
  <c r="J3329" i="14" a="1"/>
  <c r="J3329" i="14" s="1"/>
  <c r="M3334" i="14"/>
  <c r="N3331" i="13"/>
  <c r="J3330" i="13" a="1"/>
  <c r="J3330" i="13" s="1"/>
  <c r="M3333" i="13"/>
  <c r="K3167" i="14" l="1"/>
  <c r="L3167" i="14" s="1"/>
  <c r="I3168" i="14" s="1"/>
  <c r="K3145" i="13"/>
  <c r="L3145" i="13" s="1"/>
  <c r="I3146" i="13" s="1"/>
  <c r="M3334" i="13"/>
  <c r="J3331" i="13" a="1"/>
  <c r="J3331" i="13" s="1"/>
  <c r="N3332" i="13"/>
  <c r="M3335" i="14"/>
  <c r="J3330" i="14" a="1"/>
  <c r="J3330" i="14" s="1"/>
  <c r="N3331" i="14"/>
  <c r="K3146" i="13" l="1"/>
  <c r="L3146" i="13" s="1"/>
  <c r="I3147" i="13" s="1"/>
  <c r="K3168" i="14"/>
  <c r="L3168" i="14" s="1"/>
  <c r="I3169" i="14" s="1"/>
  <c r="J3332" i="13" a="1"/>
  <c r="J3332" i="13" s="1"/>
  <c r="N3333" i="13"/>
  <c r="N3332" i="14"/>
  <c r="J3331" i="14" a="1"/>
  <c r="J3331" i="14" s="1"/>
  <c r="M3336" i="14"/>
  <c r="M3335" i="13"/>
  <c r="K3169" i="14" l="1"/>
  <c r="L3169" i="14" s="1"/>
  <c r="I3170" i="14" s="1"/>
  <c r="K3147" i="13"/>
  <c r="L3147" i="13" s="1"/>
  <c r="I3148" i="13" s="1"/>
  <c r="N3333" i="14"/>
  <c r="J3332" i="14" a="1"/>
  <c r="J3332" i="14" s="1"/>
  <c r="M3337" i="14"/>
  <c r="J3333" i="13" a="1"/>
  <c r="J3333" i="13" s="1"/>
  <c r="N3334" i="13"/>
  <c r="M3336" i="13"/>
  <c r="K3148" i="13" l="1"/>
  <c r="L3148" i="13" s="1"/>
  <c r="I3149" i="13" s="1"/>
  <c r="K3170" i="14"/>
  <c r="L3170" i="14" s="1"/>
  <c r="I3171" i="14" s="1"/>
  <c r="N3335" i="13"/>
  <c r="J3334" i="13" a="1"/>
  <c r="J3334" i="13" s="1"/>
  <c r="M3337" i="13"/>
  <c r="M3338" i="14"/>
  <c r="N3334" i="14"/>
  <c r="J3333" i="14" a="1"/>
  <c r="J3333" i="14" s="1"/>
  <c r="K3171" i="14" l="1"/>
  <c r="L3171" i="14" s="1"/>
  <c r="I3172" i="14" s="1"/>
  <c r="K3149" i="13"/>
  <c r="L3149" i="13" s="1"/>
  <c r="I3150" i="13" s="1"/>
  <c r="M3338" i="13"/>
  <c r="J3334" i="14" a="1"/>
  <c r="J3334" i="14" s="1"/>
  <c r="N3335" i="14"/>
  <c r="M3339" i="14"/>
  <c r="J3335" i="13" a="1"/>
  <c r="J3335" i="13" s="1"/>
  <c r="N3336" i="13"/>
  <c r="K3150" i="13" l="1"/>
  <c r="L3150" i="13" s="1"/>
  <c r="I3151" i="13" s="1"/>
  <c r="K3172" i="14"/>
  <c r="L3172" i="14" s="1"/>
  <c r="I3173" i="14" s="1"/>
  <c r="J3336" i="13" a="1"/>
  <c r="J3336" i="13" s="1"/>
  <c r="N3337" i="13"/>
  <c r="N3336" i="14"/>
  <c r="J3335" i="14" a="1"/>
  <c r="J3335" i="14" s="1"/>
  <c r="M3340" i="14"/>
  <c r="M3339" i="13"/>
  <c r="K3173" i="14" l="1"/>
  <c r="L3173" i="14" s="1"/>
  <c r="I3174" i="14" s="1"/>
  <c r="K3151" i="13"/>
  <c r="L3151" i="13" s="1"/>
  <c r="I3152" i="13" s="1"/>
  <c r="N3337" i="14"/>
  <c r="J3336" i="14" a="1"/>
  <c r="J3336" i="14" s="1"/>
  <c r="J3337" i="13" a="1"/>
  <c r="J3337" i="13" s="1"/>
  <c r="N3338" i="13"/>
  <c r="M3340" i="13"/>
  <c r="M3341" i="14"/>
  <c r="K3152" i="13" l="1"/>
  <c r="L3152" i="13" s="1"/>
  <c r="I3153" i="13" s="1"/>
  <c r="K3174" i="14"/>
  <c r="L3174" i="14" s="1"/>
  <c r="I3175" i="14" s="1"/>
  <c r="N3339" i="13"/>
  <c r="J3338" i="13" a="1"/>
  <c r="J3338" i="13" s="1"/>
  <c r="M3342" i="14"/>
  <c r="M3341" i="13"/>
  <c r="N3338" i="14"/>
  <c r="J3337" i="14" a="1"/>
  <c r="J3337" i="14" s="1"/>
  <c r="K3175" i="14" l="1"/>
  <c r="L3175" i="14" s="1"/>
  <c r="I3176" i="14" s="1"/>
  <c r="K3153" i="13"/>
  <c r="L3153" i="13" s="1"/>
  <c r="I3154" i="13" s="1"/>
  <c r="J3338" i="14" a="1"/>
  <c r="J3338" i="14" s="1"/>
  <c r="N3339" i="14"/>
  <c r="M3343" i="14"/>
  <c r="M3342" i="13"/>
  <c r="J3339" i="13" a="1"/>
  <c r="J3339" i="13" s="1"/>
  <c r="N3340" i="13"/>
  <c r="K3154" i="13" l="1"/>
  <c r="L3154" i="13" s="1"/>
  <c r="I3155" i="13" s="1"/>
  <c r="K3176" i="14"/>
  <c r="L3176" i="14" s="1"/>
  <c r="I3177" i="14" s="1"/>
  <c r="J3340" i="13" a="1"/>
  <c r="J3340" i="13" s="1"/>
  <c r="N3341" i="13"/>
  <c r="N3340" i="14"/>
  <c r="J3339" i="14" a="1"/>
  <c r="J3339" i="14" s="1"/>
  <c r="M3344" i="14"/>
  <c r="M3343" i="13"/>
  <c r="K3177" i="14" l="1"/>
  <c r="L3177" i="14" s="1"/>
  <c r="I3178" i="14" s="1"/>
  <c r="K3155" i="13"/>
  <c r="L3155" i="13" s="1"/>
  <c r="I3156" i="13" s="1"/>
  <c r="M3344" i="13"/>
  <c r="N3341" i="14"/>
  <c r="J3340" i="14" a="1"/>
  <c r="J3340" i="14" s="1"/>
  <c r="M3345" i="14"/>
  <c r="J3341" i="13" a="1"/>
  <c r="J3341" i="13" s="1"/>
  <c r="N3342" i="13"/>
  <c r="K3156" i="13" l="1"/>
  <c r="L3156" i="13" s="1"/>
  <c r="I3157" i="13" s="1"/>
  <c r="K3178" i="14"/>
  <c r="L3178" i="14" s="1"/>
  <c r="I3179" i="14" s="1"/>
  <c r="N3343" i="13"/>
  <c r="J3342" i="13" a="1"/>
  <c r="J3342" i="13" s="1"/>
  <c r="N3342" i="14"/>
  <c r="J3341" i="14" a="1"/>
  <c r="J3341" i="14" s="1"/>
  <c r="M3346" i="14"/>
  <c r="M3345" i="13"/>
  <c r="K3179" i="14" l="1"/>
  <c r="L3179" i="14" s="1"/>
  <c r="I3180" i="14" s="1"/>
  <c r="K3157" i="13"/>
  <c r="L3157" i="13" s="1"/>
  <c r="I3158" i="13" s="1"/>
  <c r="J3342" i="14" a="1"/>
  <c r="J3342" i="14" s="1"/>
  <c r="N3343" i="14"/>
  <c r="M3346" i="13"/>
  <c r="M3347" i="14"/>
  <c r="J3343" i="13" a="1"/>
  <c r="J3343" i="13" s="1"/>
  <c r="N3344" i="13"/>
  <c r="K3158" i="13" l="1"/>
  <c r="L3158" i="13" s="1"/>
  <c r="I3159" i="13" s="1"/>
  <c r="K3180" i="14"/>
  <c r="L3180" i="14" s="1"/>
  <c r="I3181" i="14" s="1"/>
  <c r="M3347" i="13"/>
  <c r="N3344" i="14"/>
  <c r="J3343" i="14" a="1"/>
  <c r="J3343" i="14" s="1"/>
  <c r="J3344" i="13" a="1"/>
  <c r="J3344" i="13" s="1"/>
  <c r="N3345" i="13"/>
  <c r="M3348" i="14"/>
  <c r="K3181" i="14" l="1"/>
  <c r="L3181" i="14" s="1"/>
  <c r="I3182" i="14" s="1"/>
  <c r="K3159" i="13"/>
  <c r="L3159" i="13" s="1"/>
  <c r="I3160" i="13" s="1"/>
  <c r="N3345" i="14"/>
  <c r="J3344" i="14" a="1"/>
  <c r="J3344" i="14" s="1"/>
  <c r="J3345" i="13" a="1"/>
  <c r="J3345" i="13" s="1"/>
  <c r="N3346" i="13"/>
  <c r="M3349" i="14"/>
  <c r="M3348" i="13"/>
  <c r="K3160" i="13" l="1"/>
  <c r="L3160" i="13" s="1"/>
  <c r="I3161" i="13" s="1"/>
  <c r="K3182" i="14"/>
  <c r="L3182" i="14" s="1"/>
  <c r="I3183" i="14" s="1"/>
  <c r="N3347" i="13"/>
  <c r="J3346" i="13" a="1"/>
  <c r="J3346" i="13" s="1"/>
  <c r="M3349" i="13"/>
  <c r="M3350" i="14"/>
  <c r="N3346" i="14"/>
  <c r="J3345" i="14" a="1"/>
  <c r="J3345" i="14" s="1"/>
  <c r="K3183" i="14" l="1"/>
  <c r="L3183" i="14" s="1"/>
  <c r="I3184" i="14" s="1"/>
  <c r="K3161" i="13"/>
  <c r="L3161" i="13" s="1"/>
  <c r="I3162" i="13" s="1"/>
  <c r="M3350" i="13"/>
  <c r="J3346" i="14" a="1"/>
  <c r="J3346" i="14" s="1"/>
  <c r="N3347" i="14"/>
  <c r="M3351" i="14"/>
  <c r="J3347" i="13" a="1"/>
  <c r="J3347" i="13" s="1"/>
  <c r="N3348" i="13"/>
  <c r="K3162" i="13" l="1"/>
  <c r="L3162" i="13" s="1"/>
  <c r="I3163" i="13" s="1"/>
  <c r="K3184" i="14"/>
  <c r="L3184" i="14" s="1"/>
  <c r="I3185" i="14" s="1"/>
  <c r="J3347" i="14" a="1"/>
  <c r="J3347" i="14" s="1"/>
  <c r="N3348" i="14"/>
  <c r="J3348" i="13" a="1"/>
  <c r="J3348" i="13" s="1"/>
  <c r="N3349" i="13"/>
  <c r="M3352" i="14"/>
  <c r="M3351" i="13"/>
  <c r="K3185" i="14" l="1"/>
  <c r="L3185" i="14" s="1"/>
  <c r="I3186" i="14" s="1"/>
  <c r="K3163" i="13"/>
  <c r="L3163" i="13" s="1"/>
  <c r="I3164" i="13" s="1"/>
  <c r="J3349" i="13" a="1"/>
  <c r="J3349" i="13" s="1"/>
  <c r="N3350" i="13"/>
  <c r="N3349" i="14"/>
  <c r="J3348" i="14" a="1"/>
  <c r="J3348" i="14" s="1"/>
  <c r="M3352" i="13"/>
  <c r="M3353" i="14"/>
  <c r="K3164" i="13" l="1"/>
  <c r="L3164" i="13" s="1"/>
  <c r="I3165" i="13" s="1"/>
  <c r="K3186" i="14"/>
  <c r="L3186" i="14" s="1"/>
  <c r="I3187" i="14" s="1"/>
  <c r="N3350" i="14"/>
  <c r="J3349" i="14" a="1"/>
  <c r="J3349" i="14" s="1"/>
  <c r="N3351" i="13"/>
  <c r="J3350" i="13" a="1"/>
  <c r="J3350" i="13" s="1"/>
  <c r="M3354" i="14"/>
  <c r="M3353" i="13"/>
  <c r="K3187" i="14" l="1"/>
  <c r="L3187" i="14" s="1"/>
  <c r="I3188" i="14" s="1"/>
  <c r="K3165" i="13"/>
  <c r="L3165" i="13" s="1"/>
  <c r="I3166" i="13" s="1"/>
  <c r="M3354" i="13"/>
  <c r="J3351" i="13" a="1"/>
  <c r="J3351" i="13" s="1"/>
  <c r="N3352" i="13"/>
  <c r="M3355" i="14"/>
  <c r="J3350" i="14" a="1"/>
  <c r="J3350" i="14" s="1"/>
  <c r="N3351" i="14"/>
  <c r="K3166" i="13" l="1"/>
  <c r="L3166" i="13" s="1"/>
  <c r="I3167" i="13" s="1"/>
  <c r="K3188" i="14"/>
  <c r="L3188" i="14" s="1"/>
  <c r="I3189" i="14" s="1"/>
  <c r="J3352" i="13" a="1"/>
  <c r="J3352" i="13" s="1"/>
  <c r="N3353" i="13"/>
  <c r="N3352" i="14"/>
  <c r="J3351" i="14" a="1"/>
  <c r="J3351" i="14" s="1"/>
  <c r="M3356" i="14"/>
  <c r="M3355" i="13"/>
  <c r="K3189" i="14" l="1"/>
  <c r="L3189" i="14" s="1"/>
  <c r="I3190" i="14" s="1"/>
  <c r="K3167" i="13"/>
  <c r="L3167" i="13" s="1"/>
  <c r="I3168" i="13" s="1"/>
  <c r="N3353" i="14"/>
  <c r="J3352" i="14" a="1"/>
  <c r="J3352" i="14" s="1"/>
  <c r="M3357" i="14"/>
  <c r="J3353" i="13" a="1"/>
  <c r="J3353" i="13" s="1"/>
  <c r="N3354" i="13"/>
  <c r="M3356" i="13"/>
  <c r="K3168" i="13" l="1"/>
  <c r="L3168" i="13" s="1"/>
  <c r="I3169" i="13" s="1"/>
  <c r="K3190" i="14"/>
  <c r="L3190" i="14" s="1"/>
  <c r="I3191" i="14" s="1"/>
  <c r="N3355" i="13"/>
  <c r="J3354" i="13" a="1"/>
  <c r="J3354" i="13" s="1"/>
  <c r="M3357" i="13"/>
  <c r="M3358" i="14"/>
  <c r="N3354" i="14"/>
  <c r="J3353" i="14" a="1"/>
  <c r="J3353" i="14" s="1"/>
  <c r="K3191" i="14" l="1"/>
  <c r="L3191" i="14" s="1"/>
  <c r="I3192" i="14" s="1"/>
  <c r="K3169" i="13"/>
  <c r="L3169" i="13" s="1"/>
  <c r="I3170" i="13" s="1"/>
  <c r="J3354" i="14" a="1"/>
  <c r="J3354" i="14" s="1"/>
  <c r="N3355" i="14"/>
  <c r="M3358" i="13"/>
  <c r="M3359" i="14"/>
  <c r="J3355" i="13" a="1"/>
  <c r="J3355" i="13" s="1"/>
  <c r="N3356" i="13"/>
  <c r="K3170" i="13" l="1"/>
  <c r="L3170" i="13" s="1"/>
  <c r="I3171" i="13" s="1"/>
  <c r="K3192" i="14"/>
  <c r="L3192" i="14" s="1"/>
  <c r="I3193" i="14" s="1"/>
  <c r="M3359" i="13"/>
  <c r="N3356" i="14"/>
  <c r="J3355" i="14" a="1"/>
  <c r="J3355" i="14" s="1"/>
  <c r="J3356" i="13" a="1"/>
  <c r="J3356" i="13" s="1"/>
  <c r="N3357" i="13"/>
  <c r="M3360" i="14"/>
  <c r="K3193" i="14" l="1"/>
  <c r="L3193" i="14" s="1"/>
  <c r="I3194" i="14" s="1"/>
  <c r="K3171" i="13"/>
  <c r="L3171" i="13" s="1"/>
  <c r="I3172" i="13" s="1"/>
  <c r="N3357" i="14"/>
  <c r="J3356" i="14" a="1"/>
  <c r="J3356" i="14" s="1"/>
  <c r="M3361" i="14"/>
  <c r="J3357" i="13" a="1"/>
  <c r="J3357" i="13" s="1"/>
  <c r="N3358" i="13"/>
  <c r="M3360" i="13"/>
  <c r="K3172" i="13" l="1"/>
  <c r="L3172" i="13" s="1"/>
  <c r="I3173" i="13" s="1"/>
  <c r="K3194" i="14"/>
  <c r="L3194" i="14" s="1"/>
  <c r="I3195" i="14" s="1"/>
  <c r="M3361" i="13"/>
  <c r="M3362" i="14"/>
  <c r="N3359" i="13"/>
  <c r="J3358" i="13" a="1"/>
  <c r="J3358" i="13" s="1"/>
  <c r="N3358" i="14"/>
  <c r="J3357" i="14" a="1"/>
  <c r="J3357" i="14" s="1"/>
  <c r="K3195" i="14" l="1"/>
  <c r="L3195" i="14" s="1"/>
  <c r="I3196" i="14" s="1"/>
  <c r="K3173" i="13"/>
  <c r="L3173" i="13" s="1"/>
  <c r="I3174" i="13" s="1"/>
  <c r="J3358" i="14" a="1"/>
  <c r="J3358" i="14" s="1"/>
  <c r="N3359" i="14"/>
  <c r="M3362" i="13"/>
  <c r="M3363" i="14"/>
  <c r="J3359" i="13" a="1"/>
  <c r="J3359" i="13" s="1"/>
  <c r="N3360" i="13"/>
  <c r="K3174" i="13" l="1"/>
  <c r="L3174" i="13" s="1"/>
  <c r="I3175" i="13" s="1"/>
  <c r="K3196" i="14"/>
  <c r="L3196" i="14" s="1"/>
  <c r="I3197" i="14" s="1"/>
  <c r="J3360" i="13" a="1"/>
  <c r="J3360" i="13" s="1"/>
  <c r="N3361" i="13"/>
  <c r="M3363" i="13"/>
  <c r="N3360" i="14"/>
  <c r="J3359" i="14" a="1"/>
  <c r="J3359" i="14" s="1"/>
  <c r="M3364" i="14"/>
  <c r="K3197" i="14" l="1"/>
  <c r="L3197" i="14" s="1"/>
  <c r="I3198" i="14" s="1"/>
  <c r="K3175" i="13"/>
  <c r="L3175" i="13" s="1"/>
  <c r="I3176" i="13" s="1"/>
  <c r="M3365" i="14"/>
  <c r="N3361" i="14"/>
  <c r="J3360" i="14" a="1"/>
  <c r="J3360" i="14" s="1"/>
  <c r="M3364" i="13"/>
  <c r="J3361" i="13" a="1"/>
  <c r="J3361" i="13" s="1"/>
  <c r="N3362" i="13"/>
  <c r="K3176" i="13" l="1"/>
  <c r="L3176" i="13" s="1"/>
  <c r="I3177" i="13" s="1"/>
  <c r="K3198" i="14"/>
  <c r="L3198" i="14" s="1"/>
  <c r="I3199" i="14" s="1"/>
  <c r="N3363" i="13"/>
  <c r="J3362" i="13" a="1"/>
  <c r="J3362" i="13" s="1"/>
  <c r="N3362" i="14"/>
  <c r="J3361" i="14" a="1"/>
  <c r="J3361" i="14" s="1"/>
  <c r="M3365" i="13"/>
  <c r="M3366" i="14"/>
  <c r="K3199" i="14" l="1"/>
  <c r="L3199" i="14" s="1"/>
  <c r="I3200" i="14" s="1"/>
  <c r="K3177" i="13"/>
  <c r="L3177" i="13" s="1"/>
  <c r="I3178" i="13" s="1"/>
  <c r="J3362" i="14" a="1"/>
  <c r="J3362" i="14" s="1"/>
  <c r="N3363" i="14"/>
  <c r="M3367" i="14"/>
  <c r="M3366" i="13"/>
  <c r="J3363" i="13" a="1"/>
  <c r="J3363" i="13" s="1"/>
  <c r="N3364" i="13"/>
  <c r="K3178" i="13" l="1"/>
  <c r="L3178" i="13" s="1"/>
  <c r="I3179" i="13" s="1"/>
  <c r="K3200" i="14"/>
  <c r="L3200" i="14" s="1"/>
  <c r="I3201" i="14" s="1"/>
  <c r="J3364" i="13" a="1"/>
  <c r="J3364" i="13" s="1"/>
  <c r="N3365" i="13"/>
  <c r="M3368" i="14"/>
  <c r="N3364" i="14"/>
  <c r="J3363" i="14" a="1"/>
  <c r="J3363" i="14" s="1"/>
  <c r="M3367" i="13"/>
  <c r="K3201" i="14" l="1"/>
  <c r="L3201" i="14" s="1"/>
  <c r="I3202" i="14" s="1"/>
  <c r="K3179" i="13"/>
  <c r="L3179" i="13" s="1"/>
  <c r="I3180" i="13" s="1"/>
  <c r="M3369" i="14"/>
  <c r="M3368" i="13"/>
  <c r="J3365" i="13" a="1"/>
  <c r="J3365" i="13" s="1"/>
  <c r="N3366" i="13"/>
  <c r="N3365" i="14"/>
  <c r="J3364" i="14" a="1"/>
  <c r="J3364" i="14" s="1"/>
  <c r="K3180" i="13" l="1"/>
  <c r="L3180" i="13" s="1"/>
  <c r="I3181" i="13" s="1"/>
  <c r="K3202" i="14"/>
  <c r="L3202" i="14" s="1"/>
  <c r="I3203" i="14" s="1"/>
  <c r="N3366" i="14"/>
  <c r="J3365" i="14" a="1"/>
  <c r="J3365" i="14" s="1"/>
  <c r="M3369" i="13"/>
  <c r="N3367" i="13"/>
  <c r="J3366" i="13" a="1"/>
  <c r="J3366" i="13" s="1"/>
  <c r="M3370" i="14"/>
  <c r="K3203" i="14" l="1"/>
  <c r="L3203" i="14" s="1"/>
  <c r="I3204" i="14" s="1"/>
  <c r="K3181" i="13"/>
  <c r="L3181" i="13" s="1"/>
  <c r="I3182" i="13" s="1"/>
  <c r="M3370" i="13"/>
  <c r="M3371" i="14"/>
  <c r="J3367" i="13" a="1"/>
  <c r="J3367" i="13" s="1"/>
  <c r="N3368" i="13"/>
  <c r="J3366" i="14" a="1"/>
  <c r="J3366" i="14" s="1"/>
  <c r="N3367" i="14"/>
  <c r="K3182" i="13" l="1"/>
  <c r="L3182" i="13" s="1"/>
  <c r="I3183" i="13" s="1"/>
  <c r="K3204" i="14"/>
  <c r="L3204" i="14" s="1"/>
  <c r="I3205" i="14" s="1"/>
  <c r="N3368" i="14"/>
  <c r="J3367" i="14" a="1"/>
  <c r="J3367" i="14" s="1"/>
  <c r="J3368" i="13" a="1"/>
  <c r="J3368" i="13" s="1"/>
  <c r="N3369" i="13"/>
  <c r="M3372" i="14"/>
  <c r="M3371" i="13"/>
  <c r="K3205" i="14" l="1"/>
  <c r="L3205" i="14" s="1"/>
  <c r="I3206" i="14" s="1"/>
  <c r="K3183" i="13"/>
  <c r="L3183" i="13" s="1"/>
  <c r="I3184" i="13" s="1"/>
  <c r="J3369" i="13" a="1"/>
  <c r="J3369" i="13" s="1"/>
  <c r="N3370" i="13"/>
  <c r="M3372" i="13"/>
  <c r="M3373" i="14"/>
  <c r="N3369" i="14"/>
  <c r="J3368" i="14" a="1"/>
  <c r="J3368" i="14" s="1"/>
  <c r="K3184" i="13" l="1"/>
  <c r="L3184" i="13" s="1"/>
  <c r="I3185" i="13" s="1"/>
  <c r="K3206" i="14"/>
  <c r="L3206" i="14" s="1"/>
  <c r="I3207" i="14" s="1"/>
  <c r="N3370" i="14"/>
  <c r="J3369" i="14" a="1"/>
  <c r="J3369" i="14" s="1"/>
  <c r="M3373" i="13"/>
  <c r="N3371" i="13"/>
  <c r="J3370" i="13" a="1"/>
  <c r="J3370" i="13" s="1"/>
  <c r="M3374" i="14"/>
  <c r="K3207" i="14" l="1"/>
  <c r="L3207" i="14" s="1"/>
  <c r="I3208" i="14" s="1"/>
  <c r="K3185" i="13"/>
  <c r="L3185" i="13" s="1"/>
  <c r="I3186" i="13" s="1"/>
  <c r="M3375" i="14"/>
  <c r="M3374" i="13"/>
  <c r="J3371" i="13" a="1"/>
  <c r="J3371" i="13" s="1"/>
  <c r="N3372" i="13"/>
  <c r="J3370" i="14" a="1"/>
  <c r="J3370" i="14" s="1"/>
  <c r="N3371" i="14"/>
  <c r="K3186" i="13" l="1"/>
  <c r="L3186" i="13" s="1"/>
  <c r="I3187" i="13" s="1"/>
  <c r="K3208" i="14"/>
  <c r="L3208" i="14" s="1"/>
  <c r="I3209" i="14" s="1"/>
  <c r="N3372" i="14"/>
  <c r="J3371" i="14" a="1"/>
  <c r="J3371" i="14" s="1"/>
  <c r="M3375" i="13"/>
  <c r="J3372" i="13" a="1"/>
  <c r="J3372" i="13" s="1"/>
  <c r="N3373" i="13"/>
  <c r="M3376" i="14"/>
  <c r="K3209" i="14" l="1"/>
  <c r="L3209" i="14" s="1"/>
  <c r="I3210" i="14" s="1"/>
  <c r="K3187" i="13"/>
  <c r="L3187" i="13" s="1"/>
  <c r="I3188" i="13" s="1"/>
  <c r="J3373" i="13" a="1"/>
  <c r="J3373" i="13" s="1"/>
  <c r="N3374" i="13"/>
  <c r="M3377" i="14"/>
  <c r="M3376" i="13"/>
  <c r="N3373" i="14"/>
  <c r="J3372" i="14" a="1"/>
  <c r="J3372" i="14" s="1"/>
  <c r="K3188" i="13" l="1"/>
  <c r="L3188" i="13" s="1"/>
  <c r="I3189" i="13" s="1"/>
  <c r="K3210" i="14"/>
  <c r="L3210" i="14" s="1"/>
  <c r="I3211" i="14" s="1"/>
  <c r="N3374" i="14"/>
  <c r="J3373" i="14" a="1"/>
  <c r="J3373" i="14" s="1"/>
  <c r="M3378" i="14"/>
  <c r="N3375" i="13"/>
  <c r="J3374" i="13" a="1"/>
  <c r="J3374" i="13" s="1"/>
  <c r="M3377" i="13"/>
  <c r="K3189" i="13" l="1"/>
  <c r="L3189" i="13" s="1"/>
  <c r="I3190" i="13" s="1"/>
  <c r="J3375" i="13" a="1"/>
  <c r="J3375" i="13" s="1"/>
  <c r="N3376" i="13"/>
  <c r="M3378" i="13"/>
  <c r="M3379" i="14"/>
  <c r="K3211" i="14"/>
  <c r="L3211" i="14" s="1"/>
  <c r="I3212" i="14" s="1"/>
  <c r="J3374" i="14" a="1"/>
  <c r="J3374" i="14" s="1"/>
  <c r="N3375" i="14"/>
  <c r="K3212" i="14" l="1"/>
  <c r="L3212" i="14" s="1"/>
  <c r="I3213" i="14" s="1"/>
  <c r="K3190" i="13"/>
  <c r="L3190" i="13" s="1"/>
  <c r="I3191" i="13" s="1"/>
  <c r="J3376" i="13" a="1"/>
  <c r="J3376" i="13" s="1"/>
  <c r="N3377" i="13"/>
  <c r="N3376" i="14"/>
  <c r="J3375" i="14" a="1"/>
  <c r="J3375" i="14" s="1"/>
  <c r="M3380" i="14"/>
  <c r="M3379" i="13"/>
  <c r="K3191" i="13" l="1"/>
  <c r="L3191" i="13" s="1"/>
  <c r="I3192" i="13" s="1"/>
  <c r="K3213" i="14"/>
  <c r="L3213" i="14" s="1"/>
  <c r="I3214" i="14" s="1"/>
  <c r="M3380" i="13"/>
  <c r="N3377" i="14"/>
  <c r="J3376" i="14" a="1"/>
  <c r="J3376" i="14" s="1"/>
  <c r="M3381" i="14"/>
  <c r="J3377" i="13" a="1"/>
  <c r="J3377" i="13" s="1"/>
  <c r="N3378" i="13"/>
  <c r="K3214" i="14" l="1"/>
  <c r="L3214" i="14" s="1"/>
  <c r="I3215" i="14" s="1"/>
  <c r="K3192" i="13"/>
  <c r="L3192" i="13" s="1"/>
  <c r="I3193" i="13" s="1"/>
  <c r="N3378" i="14"/>
  <c r="J3377" i="14" a="1"/>
  <c r="J3377" i="14" s="1"/>
  <c r="N3379" i="13"/>
  <c r="J3378" i="13" a="1"/>
  <c r="J3378" i="13" s="1"/>
  <c r="M3382" i="14"/>
  <c r="M3381" i="13"/>
  <c r="K3193" i="13" l="1"/>
  <c r="L3193" i="13" s="1"/>
  <c r="I3194" i="13" s="1"/>
  <c r="K3215" i="14"/>
  <c r="L3215" i="14" s="1"/>
  <c r="I3216" i="14" s="1"/>
  <c r="J3379" i="13" a="1"/>
  <c r="J3379" i="13" s="1"/>
  <c r="N3380" i="13"/>
  <c r="M3382" i="13"/>
  <c r="M3383" i="14"/>
  <c r="J3378" i="14" a="1"/>
  <c r="J3378" i="14" s="1"/>
  <c r="N3379" i="14"/>
  <c r="K3216" i="14" l="1"/>
  <c r="L3216" i="14" s="1"/>
  <c r="I3217" i="14" s="1"/>
  <c r="K3194" i="13"/>
  <c r="L3194" i="13" s="1"/>
  <c r="I3195" i="13" s="1"/>
  <c r="N3380" i="14"/>
  <c r="J3379" i="14" a="1"/>
  <c r="J3379" i="14" s="1"/>
  <c r="M3383" i="13"/>
  <c r="J3380" i="13" a="1"/>
  <c r="J3380" i="13" s="1"/>
  <c r="N3381" i="13"/>
  <c r="M3384" i="14"/>
  <c r="K3195" i="13" l="1"/>
  <c r="L3195" i="13" s="1"/>
  <c r="I3196" i="13" s="1"/>
  <c r="K3217" i="14"/>
  <c r="L3217" i="14" s="1"/>
  <c r="I3218" i="14" s="1"/>
  <c r="M3385" i="14"/>
  <c r="J3381" i="13" a="1"/>
  <c r="J3381" i="13" s="1"/>
  <c r="N3382" i="13"/>
  <c r="M3384" i="13"/>
  <c r="N3381" i="14"/>
  <c r="J3380" i="14" a="1"/>
  <c r="J3380" i="14" s="1"/>
  <c r="K3218" i="14" l="1"/>
  <c r="L3218" i="14" s="1"/>
  <c r="I3219" i="14" s="1"/>
  <c r="N3383" i="13"/>
  <c r="J3382" i="13" a="1"/>
  <c r="J3382" i="13" s="1"/>
  <c r="M3386" i="14"/>
  <c r="N3382" i="14"/>
  <c r="J3381" i="14" a="1"/>
  <c r="J3381" i="14" s="1"/>
  <c r="M3385" i="13"/>
  <c r="K3196" i="13"/>
  <c r="L3196" i="13" s="1"/>
  <c r="I3197" i="13" s="1"/>
  <c r="K3197" i="13" l="1"/>
  <c r="L3197" i="13" s="1"/>
  <c r="I3198" i="13" s="1"/>
  <c r="K3219" i="14"/>
  <c r="L3219" i="14" s="1"/>
  <c r="I3220" i="14" s="1"/>
  <c r="J3383" i="13" a="1"/>
  <c r="J3383" i="13" s="1"/>
  <c r="N3384" i="13"/>
  <c r="M3386" i="13"/>
  <c r="J3382" i="14" a="1"/>
  <c r="J3382" i="14" s="1"/>
  <c r="N3383" i="14"/>
  <c r="M3387" i="14"/>
  <c r="K3220" i="14" l="1"/>
  <c r="L3220" i="14" s="1"/>
  <c r="I3221" i="14" s="1"/>
  <c r="K3198" i="13"/>
  <c r="L3198" i="13" s="1"/>
  <c r="I3199" i="13" s="1"/>
  <c r="N3384" i="14"/>
  <c r="J3383" i="14" a="1"/>
  <c r="J3383" i="14" s="1"/>
  <c r="M3388" i="14"/>
  <c r="M3387" i="13"/>
  <c r="J3384" i="13" a="1"/>
  <c r="J3384" i="13" s="1"/>
  <c r="N3385" i="13"/>
  <c r="K3199" i="13" l="1"/>
  <c r="L3199" i="13" s="1"/>
  <c r="I3200" i="13" s="1"/>
  <c r="K3221" i="14"/>
  <c r="L3221" i="14" s="1"/>
  <c r="I3222" i="14" s="1"/>
  <c r="M3389" i="14"/>
  <c r="J3385" i="13" a="1"/>
  <c r="J3385" i="13" s="1"/>
  <c r="N3386" i="13"/>
  <c r="M3388" i="13"/>
  <c r="N3385" i="14"/>
  <c r="J3384" i="14" a="1"/>
  <c r="J3384" i="14" s="1"/>
  <c r="K3222" i="14" l="1"/>
  <c r="L3222" i="14" s="1"/>
  <c r="I3223" i="14" s="1"/>
  <c r="K3200" i="13"/>
  <c r="L3200" i="13" s="1"/>
  <c r="I3201" i="13" s="1"/>
  <c r="N3387" i="13"/>
  <c r="J3386" i="13" a="1"/>
  <c r="J3386" i="13" s="1"/>
  <c r="N3386" i="14"/>
  <c r="J3385" i="14" a="1"/>
  <c r="J3385" i="14" s="1"/>
  <c r="M3389" i="13"/>
  <c r="M3390" i="14"/>
  <c r="K3201" i="13" l="1"/>
  <c r="L3201" i="13" s="1"/>
  <c r="I3202" i="13" s="1"/>
  <c r="K3223" i="14"/>
  <c r="L3223" i="14" s="1"/>
  <c r="I3224" i="14" s="1"/>
  <c r="J3386" i="14" a="1"/>
  <c r="J3386" i="14" s="1"/>
  <c r="N3387" i="14"/>
  <c r="M3391" i="14"/>
  <c r="M3390" i="13"/>
  <c r="J3387" i="13" a="1"/>
  <c r="J3387" i="13" s="1"/>
  <c r="N3388" i="13"/>
  <c r="K3224" i="14" l="1"/>
  <c r="L3224" i="14" s="1"/>
  <c r="I3225" i="14" s="1"/>
  <c r="K3202" i="13"/>
  <c r="L3202" i="13" s="1"/>
  <c r="I3203" i="13" s="1"/>
  <c r="J3388" i="13" a="1"/>
  <c r="J3388" i="13" s="1"/>
  <c r="N3389" i="13"/>
  <c r="M3392" i="14"/>
  <c r="N3388" i="14"/>
  <c r="J3387" i="14" a="1"/>
  <c r="J3387" i="14" s="1"/>
  <c r="M3391" i="13"/>
  <c r="K3203" i="13" l="1"/>
  <c r="L3203" i="13" s="1"/>
  <c r="I3204" i="13" s="1"/>
  <c r="K3225" i="14"/>
  <c r="L3225" i="14" s="1"/>
  <c r="I3226" i="14" s="1"/>
  <c r="J3389" i="13" a="1"/>
  <c r="J3389" i="13" s="1"/>
  <c r="N3390" i="13"/>
  <c r="M3393" i="14"/>
  <c r="M3392" i="13"/>
  <c r="N3389" i="14"/>
  <c r="J3388" i="14" a="1"/>
  <c r="J3388" i="14" s="1"/>
  <c r="K3204" i="13" l="1"/>
  <c r="L3204" i="13" s="1"/>
  <c r="I3205" i="13" s="1"/>
  <c r="N3390" i="14"/>
  <c r="J3389" i="14" a="1"/>
  <c r="J3389" i="14" s="1"/>
  <c r="N3391" i="13"/>
  <c r="J3390" i="13" a="1"/>
  <c r="J3390" i="13" s="1"/>
  <c r="M3394" i="14"/>
  <c r="K3226" i="14"/>
  <c r="L3226" i="14" s="1"/>
  <c r="I3227" i="14" s="1"/>
  <c r="M3393" i="13"/>
  <c r="K3227" i="14" l="1"/>
  <c r="L3227" i="14" s="1"/>
  <c r="I3228" i="14" s="1"/>
  <c r="K3205" i="13"/>
  <c r="L3205" i="13" s="1"/>
  <c r="I3206" i="13" s="1"/>
  <c r="J3390" i="14" a="1"/>
  <c r="J3390" i="14" s="1"/>
  <c r="N3391" i="14"/>
  <c r="M3395" i="14"/>
  <c r="M3394" i="13"/>
  <c r="J3391" i="13" a="1"/>
  <c r="J3391" i="13" s="1"/>
  <c r="N3392" i="13"/>
  <c r="K3206" i="13" l="1"/>
  <c r="L3206" i="13" s="1"/>
  <c r="I3207" i="13" s="1"/>
  <c r="K3228" i="14"/>
  <c r="L3228" i="14" s="1"/>
  <c r="I3229" i="14" s="1"/>
  <c r="M3396" i="14"/>
  <c r="N3392" i="14"/>
  <c r="J3391" i="14" a="1"/>
  <c r="J3391" i="14" s="1"/>
  <c r="J3392" i="13" a="1"/>
  <c r="J3392" i="13" s="1"/>
  <c r="N3393" i="13"/>
  <c r="M3395" i="13"/>
  <c r="K3229" i="14" l="1"/>
  <c r="L3229" i="14" s="1"/>
  <c r="I3230" i="14" s="1"/>
  <c r="K3207" i="13"/>
  <c r="L3207" i="13" s="1"/>
  <c r="I3208" i="13" s="1"/>
  <c r="N3393" i="14"/>
  <c r="J3392" i="14" a="1"/>
  <c r="J3392" i="14" s="1"/>
  <c r="J3393" i="13" a="1"/>
  <c r="J3393" i="13" s="1"/>
  <c r="N3394" i="13"/>
  <c r="M3397" i="14"/>
  <c r="M3396" i="13"/>
  <c r="K3208" i="13" l="1"/>
  <c r="L3208" i="13" s="1"/>
  <c r="I3209" i="13" s="1"/>
  <c r="K3230" i="14"/>
  <c r="L3230" i="14" s="1"/>
  <c r="I3231" i="14" s="1"/>
  <c r="N3395" i="13"/>
  <c r="J3394" i="13" a="1"/>
  <c r="J3394" i="13" s="1"/>
  <c r="M3397" i="13"/>
  <c r="M3398" i="14"/>
  <c r="N3394" i="14"/>
  <c r="J3393" i="14" a="1"/>
  <c r="J3393" i="14" s="1"/>
  <c r="K3231" i="14" l="1"/>
  <c r="L3231" i="14" s="1"/>
  <c r="I3232" i="14" s="1"/>
  <c r="K3209" i="13"/>
  <c r="L3209" i="13" s="1"/>
  <c r="I3210" i="13" s="1"/>
  <c r="M3398" i="13"/>
  <c r="J3394" i="14" a="1"/>
  <c r="J3394" i="14" s="1"/>
  <c r="N3395" i="14"/>
  <c r="M3399" i="14"/>
  <c r="J3395" i="13" a="1"/>
  <c r="J3395" i="13" s="1"/>
  <c r="N3396" i="13"/>
  <c r="K3210" i="13" l="1"/>
  <c r="L3210" i="13" s="1"/>
  <c r="I3211" i="13" s="1"/>
  <c r="K3232" i="14"/>
  <c r="L3232" i="14" s="1"/>
  <c r="I3233" i="14" s="1"/>
  <c r="J3396" i="13" a="1"/>
  <c r="J3396" i="13" s="1"/>
  <c r="N3397" i="13"/>
  <c r="N3396" i="14"/>
  <c r="J3395" i="14" a="1"/>
  <c r="J3395" i="14" s="1"/>
  <c r="M3400" i="14"/>
  <c r="M3399" i="13"/>
  <c r="K3233" i="14" l="1"/>
  <c r="L3233" i="14" s="1"/>
  <c r="I3234" i="14" s="1"/>
  <c r="K3211" i="13"/>
  <c r="L3211" i="13" s="1"/>
  <c r="I3212" i="13" s="1"/>
  <c r="N3397" i="14"/>
  <c r="J3396" i="14" a="1"/>
  <c r="J3396" i="14" s="1"/>
  <c r="M3400" i="13"/>
  <c r="M3401" i="14"/>
  <c r="J3397" i="13" a="1"/>
  <c r="J3397" i="13" s="1"/>
  <c r="N3398" i="13"/>
  <c r="K3212" i="13" l="1"/>
  <c r="L3212" i="13" s="1"/>
  <c r="I3213" i="13" s="1"/>
  <c r="K3234" i="14"/>
  <c r="L3234" i="14" s="1"/>
  <c r="I3235" i="14" s="1"/>
  <c r="N3399" i="13"/>
  <c r="J3398" i="13" a="1"/>
  <c r="J3398" i="13" s="1"/>
  <c r="M3401" i="13"/>
  <c r="M3402" i="14"/>
  <c r="N3398" i="14"/>
  <c r="J3397" i="14" a="1"/>
  <c r="J3397" i="14" s="1"/>
  <c r="K3235" i="14" l="1"/>
  <c r="L3235" i="14" s="1"/>
  <c r="I3236" i="14" s="1"/>
  <c r="K3213" i="13"/>
  <c r="L3213" i="13" s="1"/>
  <c r="I3214" i="13" s="1"/>
  <c r="M3402" i="13"/>
  <c r="J3398" i="14" a="1"/>
  <c r="J3398" i="14" s="1"/>
  <c r="N3399" i="14"/>
  <c r="M3403" i="14"/>
  <c r="J3399" i="13" a="1"/>
  <c r="J3399" i="13" s="1"/>
  <c r="N3400" i="13"/>
  <c r="K3214" i="13" l="1"/>
  <c r="L3214" i="13" s="1"/>
  <c r="I3215" i="13" s="1"/>
  <c r="K3236" i="14"/>
  <c r="L3236" i="14" s="1"/>
  <c r="I3237" i="14" s="1"/>
  <c r="J3400" i="13" a="1"/>
  <c r="J3400" i="13" s="1"/>
  <c r="N3401" i="13"/>
  <c r="N3400" i="14"/>
  <c r="J3399" i="14" a="1"/>
  <c r="J3399" i="14" s="1"/>
  <c r="M3404" i="14"/>
  <c r="M3403" i="13"/>
  <c r="K3237" i="14" l="1"/>
  <c r="L3237" i="14" s="1"/>
  <c r="I3238" i="14" s="1"/>
  <c r="K3215" i="13"/>
  <c r="L3215" i="13" s="1"/>
  <c r="I3216" i="13" s="1"/>
  <c r="N3401" i="14"/>
  <c r="J3400" i="14" a="1"/>
  <c r="J3400" i="14" s="1"/>
  <c r="J3401" i="13" a="1"/>
  <c r="J3401" i="13" s="1"/>
  <c r="N3402" i="13"/>
  <c r="M3404" i="13"/>
  <c r="M3405" i="14"/>
  <c r="K3216" i="13" l="1"/>
  <c r="L3216" i="13" s="1"/>
  <c r="I3217" i="13" s="1"/>
  <c r="K3238" i="14"/>
  <c r="L3238" i="14" s="1"/>
  <c r="I3239" i="14" s="1"/>
  <c r="N3403" i="13"/>
  <c r="J3402" i="13" a="1"/>
  <c r="J3402" i="13" s="1"/>
  <c r="M3406" i="14"/>
  <c r="M3405" i="13"/>
  <c r="N3402" i="14"/>
  <c r="J3401" i="14" a="1"/>
  <c r="J3401" i="14" s="1"/>
  <c r="K3239" i="14" l="1"/>
  <c r="L3239" i="14" s="1"/>
  <c r="I3240" i="14" s="1"/>
  <c r="K3217" i="13"/>
  <c r="L3217" i="13" s="1"/>
  <c r="I3218" i="13" s="1"/>
  <c r="M3407" i="14"/>
  <c r="J3402" i="14" a="1"/>
  <c r="J3402" i="14" s="1"/>
  <c r="N3403" i="14"/>
  <c r="M3406" i="13"/>
  <c r="J3403" i="13" a="1"/>
  <c r="J3403" i="13" s="1"/>
  <c r="N3404" i="13"/>
  <c r="K3218" i="13" l="1"/>
  <c r="L3218" i="13" s="1"/>
  <c r="I3219" i="13" s="1"/>
  <c r="K3240" i="14"/>
  <c r="L3240" i="14" s="1"/>
  <c r="I3241" i="14" s="1"/>
  <c r="N3404" i="14"/>
  <c r="J3403" i="14" a="1"/>
  <c r="J3403" i="14" s="1"/>
  <c r="J3404" i="13" a="1"/>
  <c r="J3404" i="13" s="1"/>
  <c r="N3405" i="13"/>
  <c r="M3408" i="14"/>
  <c r="M3407" i="13"/>
  <c r="K3241" i="14" l="1"/>
  <c r="L3241" i="14" s="1"/>
  <c r="I3242" i="14" s="1"/>
  <c r="K3219" i="13"/>
  <c r="L3219" i="13" s="1"/>
  <c r="I3220" i="13" s="1"/>
  <c r="J3405" i="13" a="1"/>
  <c r="J3405" i="13" s="1"/>
  <c r="N3406" i="13"/>
  <c r="M3408" i="13"/>
  <c r="M3409" i="14"/>
  <c r="N3405" i="14"/>
  <c r="J3404" i="14" a="1"/>
  <c r="J3404" i="14" s="1"/>
  <c r="K3220" i="13" l="1"/>
  <c r="L3220" i="13" s="1"/>
  <c r="I3221" i="13" s="1"/>
  <c r="K3242" i="14"/>
  <c r="L3242" i="14" s="1"/>
  <c r="I3243" i="14" s="1"/>
  <c r="N3406" i="14"/>
  <c r="J3405" i="14" a="1"/>
  <c r="J3405" i="14" s="1"/>
  <c r="M3409" i="13"/>
  <c r="N3407" i="13"/>
  <c r="J3406" i="13" a="1"/>
  <c r="J3406" i="13" s="1"/>
  <c r="M3410" i="14"/>
  <c r="K3243" i="14" l="1"/>
  <c r="L3243" i="14" s="1"/>
  <c r="I3244" i="14" s="1"/>
  <c r="K3221" i="13"/>
  <c r="L3221" i="13" s="1"/>
  <c r="I3222" i="13" s="1"/>
  <c r="J3407" i="13" a="1"/>
  <c r="J3407" i="13" s="1"/>
  <c r="N3408" i="13"/>
  <c r="M3411" i="14"/>
  <c r="M3410" i="13"/>
  <c r="J3406" i="14" a="1"/>
  <c r="J3406" i="14" s="1"/>
  <c r="N3407" i="14"/>
  <c r="K3222" i="13" l="1"/>
  <c r="L3222" i="13" s="1"/>
  <c r="I3223" i="13" s="1"/>
  <c r="K3244" i="14"/>
  <c r="L3244" i="14" s="1"/>
  <c r="I3245" i="14" s="1"/>
  <c r="N3408" i="14"/>
  <c r="J3407" i="14" a="1"/>
  <c r="J3407" i="14" s="1"/>
  <c r="M3412" i="14"/>
  <c r="J3408" i="13" a="1"/>
  <c r="J3408" i="13" s="1"/>
  <c r="N3409" i="13"/>
  <c r="M3411" i="13"/>
  <c r="K3245" i="14" l="1"/>
  <c r="L3245" i="14" s="1"/>
  <c r="I3246" i="14" s="1"/>
  <c r="K3223" i="13"/>
  <c r="L3223" i="13" s="1"/>
  <c r="I3224" i="13" s="1"/>
  <c r="J3409" i="13" a="1"/>
  <c r="J3409" i="13" s="1"/>
  <c r="N3410" i="13"/>
  <c r="M3413" i="14"/>
  <c r="M3412" i="13"/>
  <c r="J3408" i="14" a="1"/>
  <c r="J3408" i="14" s="1"/>
  <c r="N3409" i="14"/>
  <c r="K3224" i="13" l="1"/>
  <c r="L3224" i="13" s="1"/>
  <c r="I3225" i="13" s="1"/>
  <c r="K3246" i="14"/>
  <c r="L3246" i="14" s="1"/>
  <c r="I3247" i="14" s="1"/>
  <c r="M3414" i="14"/>
  <c r="N3411" i="13"/>
  <c r="J3410" i="13" a="1"/>
  <c r="J3410" i="13" s="1"/>
  <c r="N3410" i="14"/>
  <c r="J3409" i="14" a="1"/>
  <c r="J3409" i="14" s="1"/>
  <c r="M3413" i="13"/>
  <c r="K3247" i="14" l="1"/>
  <c r="L3247" i="14" s="1"/>
  <c r="I3248" i="14" s="1"/>
  <c r="K3225" i="13"/>
  <c r="L3225" i="13" s="1"/>
  <c r="I3226" i="13" s="1"/>
  <c r="M3414" i="13"/>
  <c r="J3411" i="13" a="1"/>
  <c r="J3411" i="13" s="1"/>
  <c r="N3412" i="13"/>
  <c r="J3410" i="14" a="1"/>
  <c r="J3410" i="14" s="1"/>
  <c r="N3411" i="14"/>
  <c r="M3415" i="14"/>
  <c r="K3226" i="13" l="1"/>
  <c r="L3226" i="13" s="1"/>
  <c r="I3227" i="13" s="1"/>
  <c r="K3248" i="14"/>
  <c r="L3248" i="14" s="1"/>
  <c r="I3249" i="14" s="1"/>
  <c r="J3412" i="13" a="1"/>
  <c r="J3412" i="13" s="1"/>
  <c r="N3413" i="13"/>
  <c r="N3412" i="14"/>
  <c r="J3411" i="14" a="1"/>
  <c r="J3411" i="14" s="1"/>
  <c r="M3416" i="14"/>
  <c r="M3415" i="13"/>
  <c r="K3249" i="14" l="1"/>
  <c r="L3249" i="14" s="1"/>
  <c r="I3250" i="14" s="1"/>
  <c r="K3227" i="13"/>
  <c r="L3227" i="13" s="1"/>
  <c r="I3228" i="13" s="1"/>
  <c r="N3413" i="14"/>
  <c r="J3412" i="14" a="1"/>
  <c r="J3412" i="14" s="1"/>
  <c r="J3413" i="13" a="1"/>
  <c r="J3413" i="13" s="1"/>
  <c r="N3414" i="13"/>
  <c r="M3416" i="13"/>
  <c r="M3417" i="14"/>
  <c r="K3228" i="13" l="1"/>
  <c r="L3228" i="13" s="1"/>
  <c r="I3229" i="13" s="1"/>
  <c r="K3250" i="14"/>
  <c r="L3250" i="14" s="1"/>
  <c r="I3251" i="14" s="1"/>
  <c r="N3415" i="13"/>
  <c r="J3414" i="13" a="1"/>
  <c r="J3414" i="13" s="1"/>
  <c r="M3418" i="14"/>
  <c r="M3417" i="13"/>
  <c r="N3414" i="14"/>
  <c r="J3413" i="14" a="1"/>
  <c r="J3413" i="14" s="1"/>
  <c r="K3251" i="14" l="1"/>
  <c r="L3251" i="14" s="1"/>
  <c r="I3252" i="14" s="1"/>
  <c r="K3229" i="13"/>
  <c r="L3229" i="13" s="1"/>
  <c r="I3230" i="13" s="1"/>
  <c r="M3419" i="14"/>
  <c r="J3414" i="14" a="1"/>
  <c r="J3414" i="14" s="1"/>
  <c r="N3415" i="14"/>
  <c r="M3418" i="13"/>
  <c r="J3415" i="13" a="1"/>
  <c r="J3415" i="13" s="1"/>
  <c r="N3416" i="13"/>
  <c r="K3230" i="13" l="1"/>
  <c r="L3230" i="13" s="1"/>
  <c r="I3231" i="13" s="1"/>
  <c r="K3252" i="14"/>
  <c r="L3252" i="14" s="1"/>
  <c r="I3253" i="14" s="1"/>
  <c r="J3416" i="13" a="1"/>
  <c r="J3416" i="13" s="1"/>
  <c r="N3417" i="13"/>
  <c r="N3416" i="14"/>
  <c r="J3415" i="14" a="1"/>
  <c r="J3415" i="14" s="1"/>
  <c r="M3420" i="14"/>
  <c r="M3419" i="13"/>
  <c r="K3253" i="14" l="1"/>
  <c r="L3253" i="14" s="1"/>
  <c r="I3254" i="14" s="1"/>
  <c r="K3231" i="13"/>
  <c r="L3231" i="13" s="1"/>
  <c r="I3232" i="13" s="1"/>
  <c r="N3417" i="14"/>
  <c r="J3416" i="14" a="1"/>
  <c r="J3416" i="14" s="1"/>
  <c r="J3417" i="13" a="1"/>
  <c r="J3417" i="13" s="1"/>
  <c r="N3418" i="13"/>
  <c r="M3420" i="13"/>
  <c r="M3421" i="14"/>
  <c r="K3232" i="13" l="1"/>
  <c r="L3232" i="13" s="1"/>
  <c r="I3233" i="13" s="1"/>
  <c r="K3254" i="14"/>
  <c r="L3254" i="14" s="1"/>
  <c r="I3255" i="14" s="1"/>
  <c r="N3419" i="13"/>
  <c r="J3418" i="13" a="1"/>
  <c r="J3418" i="13" s="1"/>
  <c r="M3422" i="14"/>
  <c r="M3421" i="13"/>
  <c r="N3418" i="14"/>
  <c r="J3417" i="14" a="1"/>
  <c r="J3417" i="14" s="1"/>
  <c r="K3255" i="14" l="1"/>
  <c r="L3255" i="14" s="1"/>
  <c r="I3256" i="14" s="1"/>
  <c r="K3233" i="13"/>
  <c r="L3233" i="13" s="1"/>
  <c r="I3234" i="13" s="1"/>
  <c r="J3418" i="14" a="1"/>
  <c r="J3418" i="14" s="1"/>
  <c r="N3419" i="14"/>
  <c r="M3423" i="14"/>
  <c r="M3422" i="13"/>
  <c r="J3419" i="13" a="1"/>
  <c r="J3419" i="13" s="1"/>
  <c r="N3420" i="13"/>
  <c r="K3234" i="13" l="1"/>
  <c r="L3234" i="13" s="1"/>
  <c r="I3235" i="13" s="1"/>
  <c r="K3256" i="14"/>
  <c r="L3256" i="14" s="1"/>
  <c r="I3257" i="14" s="1"/>
  <c r="J3420" i="13" a="1"/>
  <c r="J3420" i="13" s="1"/>
  <c r="N3421" i="13"/>
  <c r="M3424" i="14"/>
  <c r="N3420" i="14"/>
  <c r="J3419" i="14" a="1"/>
  <c r="J3419" i="14" s="1"/>
  <c r="M3423" i="13"/>
  <c r="K3257" i="14" l="1"/>
  <c r="L3257" i="14" s="1"/>
  <c r="I3258" i="14" s="1"/>
  <c r="K3235" i="13"/>
  <c r="L3235" i="13" s="1"/>
  <c r="I3236" i="13" s="1"/>
  <c r="N3421" i="14"/>
  <c r="J3420" i="14" a="1"/>
  <c r="J3420" i="14" s="1"/>
  <c r="M3425" i="14"/>
  <c r="M3424" i="13"/>
  <c r="J3421" i="13" a="1"/>
  <c r="J3421" i="13" s="1"/>
  <c r="N3422" i="13"/>
  <c r="K3236" i="13" l="1"/>
  <c r="L3236" i="13" s="1"/>
  <c r="I3237" i="13" s="1"/>
  <c r="K3258" i="14"/>
  <c r="L3258" i="14" s="1"/>
  <c r="I3259" i="14" s="1"/>
  <c r="M3426" i="14"/>
  <c r="N3423" i="13"/>
  <c r="J3422" i="13" a="1"/>
  <c r="J3422" i="13" s="1"/>
  <c r="M3425" i="13"/>
  <c r="N3422" i="14"/>
  <c r="J3421" i="14" a="1"/>
  <c r="J3421" i="14" s="1"/>
  <c r="K3259" i="14" l="1"/>
  <c r="L3259" i="14" s="1"/>
  <c r="I3260" i="14" s="1"/>
  <c r="K3237" i="13"/>
  <c r="L3237" i="13" s="1"/>
  <c r="I3238" i="13" s="1"/>
  <c r="J3423" i="13" a="1"/>
  <c r="J3423" i="13" s="1"/>
  <c r="N3424" i="13"/>
  <c r="M3427" i="14"/>
  <c r="J3422" i="14" a="1"/>
  <c r="J3422" i="14" s="1"/>
  <c r="N3423" i="14"/>
  <c r="M3426" i="13"/>
  <c r="K3238" i="13" l="1"/>
  <c r="L3238" i="13" s="1"/>
  <c r="I3239" i="13" s="1"/>
  <c r="K3260" i="14"/>
  <c r="L3260" i="14" s="1"/>
  <c r="I3261" i="14" s="1"/>
  <c r="N3424" i="14"/>
  <c r="J3423" i="14" a="1"/>
  <c r="J3423" i="14" s="1"/>
  <c r="M3427" i="13"/>
  <c r="M3428" i="14"/>
  <c r="J3424" i="13" a="1"/>
  <c r="J3424" i="13" s="1"/>
  <c r="N3425" i="13"/>
  <c r="K3261" i="14" l="1"/>
  <c r="L3261" i="14" s="1"/>
  <c r="I3262" i="14" s="1"/>
  <c r="K3239" i="13"/>
  <c r="L3239" i="13" s="1"/>
  <c r="I3240" i="13" s="1"/>
  <c r="J3425" i="13" a="1"/>
  <c r="J3425" i="13" s="1"/>
  <c r="N3426" i="13"/>
  <c r="M3428" i="13"/>
  <c r="M3429" i="14"/>
  <c r="N3425" i="14"/>
  <c r="J3424" i="14" a="1"/>
  <c r="J3424" i="14" s="1"/>
  <c r="K3240" i="13" l="1"/>
  <c r="L3240" i="13" s="1"/>
  <c r="I3241" i="13" s="1"/>
  <c r="K3262" i="14"/>
  <c r="L3262" i="14" s="1"/>
  <c r="I3263" i="14" s="1"/>
  <c r="N3426" i="14"/>
  <c r="J3425" i="14" a="1"/>
  <c r="J3425" i="14" s="1"/>
  <c r="M3429" i="13"/>
  <c r="N3427" i="13"/>
  <c r="J3426" i="13" a="1"/>
  <c r="J3426" i="13" s="1"/>
  <c r="M3430" i="14"/>
  <c r="K3263" i="14" l="1"/>
  <c r="L3263" i="14" s="1"/>
  <c r="I3264" i="14" s="1"/>
  <c r="K3241" i="13"/>
  <c r="L3241" i="13" s="1"/>
  <c r="I3242" i="13" s="1"/>
  <c r="M3430" i="13"/>
  <c r="M3431" i="14"/>
  <c r="J3427" i="13" a="1"/>
  <c r="J3427" i="13" s="1"/>
  <c r="N3428" i="13"/>
  <c r="J3426" i="14" a="1"/>
  <c r="J3426" i="14" s="1"/>
  <c r="N3427" i="14"/>
  <c r="K3242" i="13" l="1"/>
  <c r="L3242" i="13" s="1"/>
  <c r="I3243" i="13" s="1"/>
  <c r="K3264" i="14"/>
  <c r="L3264" i="14" s="1"/>
  <c r="I3265" i="14" s="1"/>
  <c r="M3432" i="14"/>
  <c r="N3428" i="14"/>
  <c r="J3427" i="14" a="1"/>
  <c r="J3427" i="14" s="1"/>
  <c r="J3428" i="13" a="1"/>
  <c r="J3428" i="13" s="1"/>
  <c r="N3429" i="13"/>
  <c r="M3431" i="13"/>
  <c r="K3265" i="14" l="1"/>
  <c r="L3265" i="14" s="1"/>
  <c r="I3266" i="14" s="1"/>
  <c r="K3243" i="13"/>
  <c r="L3243" i="13" s="1"/>
  <c r="I3244" i="13" s="1"/>
  <c r="N3429" i="14"/>
  <c r="J3428" i="14" a="1"/>
  <c r="J3428" i="14" s="1"/>
  <c r="J3429" i="13" a="1"/>
  <c r="J3429" i="13" s="1"/>
  <c r="N3430" i="13"/>
  <c r="M3433" i="14"/>
  <c r="M3432" i="13"/>
  <c r="K3244" i="13" l="1"/>
  <c r="L3244" i="13" s="1"/>
  <c r="I3245" i="13" s="1"/>
  <c r="K3266" i="14"/>
  <c r="L3266" i="14" s="1"/>
  <c r="I3267" i="14" s="1"/>
  <c r="N3431" i="13"/>
  <c r="J3430" i="13" a="1"/>
  <c r="J3430" i="13" s="1"/>
  <c r="M3433" i="13"/>
  <c r="M3434" i="14"/>
  <c r="N3430" i="14"/>
  <c r="J3429" i="14" a="1"/>
  <c r="J3429" i="14" s="1"/>
  <c r="K3267" i="14" l="1"/>
  <c r="L3267" i="14" s="1"/>
  <c r="I3268" i="14" s="1"/>
  <c r="K3245" i="13"/>
  <c r="L3245" i="13" s="1"/>
  <c r="I3246" i="13" s="1"/>
  <c r="M3434" i="13"/>
  <c r="J3430" i="14" a="1"/>
  <c r="J3430" i="14" s="1"/>
  <c r="N3431" i="14"/>
  <c r="M3435" i="14"/>
  <c r="J3431" i="13" a="1"/>
  <c r="J3431" i="13" s="1"/>
  <c r="N3432" i="13"/>
  <c r="K3246" i="13" l="1"/>
  <c r="L3246" i="13" s="1"/>
  <c r="I3247" i="13" s="1"/>
  <c r="K3268" i="14"/>
  <c r="L3268" i="14" s="1"/>
  <c r="I3269" i="14" s="1"/>
  <c r="N3432" i="14"/>
  <c r="J3431" i="14" a="1"/>
  <c r="J3431" i="14" s="1"/>
  <c r="J3432" i="13" a="1"/>
  <c r="J3432" i="13" s="1"/>
  <c r="N3433" i="13"/>
  <c r="M3436" i="14"/>
  <c r="M3435" i="13"/>
  <c r="K3269" i="14" l="1"/>
  <c r="L3269" i="14" s="1"/>
  <c r="I3270" i="14" s="1"/>
  <c r="K3247" i="13"/>
  <c r="L3247" i="13" s="1"/>
  <c r="I3248" i="13" s="1"/>
  <c r="J3433" i="13" a="1"/>
  <c r="J3433" i="13" s="1"/>
  <c r="N3434" i="13"/>
  <c r="M3436" i="13"/>
  <c r="M3437" i="14"/>
  <c r="N3433" i="14"/>
  <c r="J3432" i="14" a="1"/>
  <c r="J3432" i="14" s="1"/>
  <c r="K3248" i="13" l="1"/>
  <c r="L3248" i="13" s="1"/>
  <c r="I3249" i="13" s="1"/>
  <c r="K3270" i="14"/>
  <c r="L3270" i="14" s="1"/>
  <c r="I3271" i="14" s="1"/>
  <c r="N3434" i="14"/>
  <c r="J3433" i="14" a="1"/>
  <c r="J3433" i="14" s="1"/>
  <c r="M3437" i="13"/>
  <c r="N3435" i="13"/>
  <c r="J3434" i="13" a="1"/>
  <c r="J3434" i="13" s="1"/>
  <c r="M3438" i="14"/>
  <c r="K3271" i="14" l="1"/>
  <c r="L3271" i="14" s="1"/>
  <c r="I3272" i="14" s="1"/>
  <c r="K3249" i="13"/>
  <c r="L3249" i="13" s="1"/>
  <c r="I3250" i="13" s="1"/>
  <c r="M3438" i="13"/>
  <c r="M3439" i="14"/>
  <c r="J3435" i="13" a="1"/>
  <c r="J3435" i="13" s="1"/>
  <c r="N3436" i="13"/>
  <c r="J3434" i="14" a="1"/>
  <c r="J3434" i="14" s="1"/>
  <c r="N3435" i="14"/>
  <c r="K3250" i="13" l="1"/>
  <c r="L3250" i="13" s="1"/>
  <c r="I3251" i="13" s="1"/>
  <c r="K3272" i="14"/>
  <c r="L3272" i="14" s="1"/>
  <c r="I3273" i="14" s="1"/>
  <c r="N3436" i="14"/>
  <c r="J3435" i="14" a="1"/>
  <c r="J3435" i="14" s="1"/>
  <c r="M3440" i="14"/>
  <c r="J3436" i="13" a="1"/>
  <c r="J3436" i="13" s="1"/>
  <c r="N3437" i="13"/>
  <c r="M3439" i="13"/>
  <c r="K3273" i="14" l="1"/>
  <c r="L3273" i="14" s="1"/>
  <c r="I3274" i="14" s="1"/>
  <c r="K3251" i="13"/>
  <c r="L3251" i="13" s="1"/>
  <c r="I3252" i="13" s="1"/>
  <c r="J3437" i="13" a="1"/>
  <c r="J3437" i="13" s="1"/>
  <c r="N3438" i="13"/>
  <c r="M3441" i="14"/>
  <c r="M3440" i="13"/>
  <c r="N3437" i="14"/>
  <c r="J3436" i="14" a="1"/>
  <c r="J3436" i="14" s="1"/>
  <c r="K3252" i="13" l="1"/>
  <c r="L3252" i="13" s="1"/>
  <c r="I3253" i="13" s="1"/>
  <c r="K3274" i="14"/>
  <c r="L3274" i="14" s="1"/>
  <c r="I3275" i="14" s="1"/>
  <c r="N3438" i="14"/>
  <c r="J3437" i="14" a="1"/>
  <c r="J3437" i="14" s="1"/>
  <c r="M3442" i="14"/>
  <c r="N3439" i="13"/>
  <c r="J3438" i="13" a="1"/>
  <c r="J3438" i="13" s="1"/>
  <c r="M3441" i="13"/>
  <c r="K3275" i="14" l="1"/>
  <c r="L3275" i="14" s="1"/>
  <c r="I3276" i="14" s="1"/>
  <c r="K3253" i="13"/>
  <c r="L3253" i="13" s="1"/>
  <c r="I3254" i="13" s="1"/>
  <c r="M3442" i="13"/>
  <c r="M3443" i="14"/>
  <c r="J3439" i="13" a="1"/>
  <c r="J3439" i="13" s="1"/>
  <c r="N3440" i="13"/>
  <c r="J3438" i="14" a="1"/>
  <c r="J3438" i="14" s="1"/>
  <c r="N3439" i="14"/>
  <c r="K3254" i="13" l="1"/>
  <c r="L3254" i="13" s="1"/>
  <c r="I3255" i="13" s="1"/>
  <c r="K3276" i="14"/>
  <c r="L3276" i="14" s="1"/>
  <c r="I3277" i="14" s="1"/>
  <c r="M3444" i="14"/>
  <c r="J3440" i="13" a="1"/>
  <c r="J3440" i="13" s="1"/>
  <c r="N3441" i="13"/>
  <c r="J3439" i="14" a="1"/>
  <c r="J3439" i="14" s="1"/>
  <c r="N3440" i="14"/>
  <c r="M3443" i="13"/>
  <c r="K3277" i="14" l="1"/>
  <c r="L3277" i="14" s="1"/>
  <c r="I3278" i="14" s="1"/>
  <c r="K3255" i="13"/>
  <c r="L3255" i="13" s="1"/>
  <c r="I3256" i="13" s="1"/>
  <c r="J3441" i="13" a="1"/>
  <c r="J3441" i="13" s="1"/>
  <c r="N3442" i="13"/>
  <c r="J3440" i="14" a="1"/>
  <c r="J3440" i="14" s="1"/>
  <c r="N3441" i="14"/>
  <c r="M3445" i="14"/>
  <c r="M3444" i="13"/>
  <c r="K3256" i="13" l="1"/>
  <c r="L3256" i="13" s="1"/>
  <c r="I3257" i="13" s="1"/>
  <c r="K3278" i="14"/>
  <c r="L3278" i="14" s="1"/>
  <c r="I3279" i="14" s="1"/>
  <c r="N3442" i="14"/>
  <c r="J3441" i="14" a="1"/>
  <c r="J3441" i="14" s="1"/>
  <c r="N3443" i="13"/>
  <c r="J3442" i="13" a="1"/>
  <c r="J3442" i="13" s="1"/>
  <c r="M3445" i="13"/>
  <c r="M3446" i="14"/>
  <c r="K3279" i="14" l="1"/>
  <c r="L3279" i="14" s="1"/>
  <c r="I3280" i="14" s="1"/>
  <c r="K3257" i="13"/>
  <c r="L3257" i="13" s="1"/>
  <c r="I3258" i="13" s="1"/>
  <c r="J3443" i="13" a="1"/>
  <c r="J3443" i="13" s="1"/>
  <c r="N3444" i="13"/>
  <c r="M3447" i="14"/>
  <c r="M3446" i="13"/>
  <c r="J3442" i="14" a="1"/>
  <c r="J3442" i="14" s="1"/>
  <c r="N3443" i="14"/>
  <c r="K3258" i="13" l="1"/>
  <c r="L3258" i="13" s="1"/>
  <c r="I3259" i="13" s="1"/>
  <c r="K3280" i="14"/>
  <c r="L3280" i="14" s="1"/>
  <c r="I3281" i="14" s="1"/>
  <c r="J3443" i="14" a="1"/>
  <c r="J3443" i="14" s="1"/>
  <c r="N3444" i="14"/>
  <c r="M3448" i="14"/>
  <c r="J3444" i="13" a="1"/>
  <c r="J3444" i="13" s="1"/>
  <c r="N3445" i="13"/>
  <c r="M3447" i="13"/>
  <c r="K3281" i="14" l="1"/>
  <c r="L3281" i="14" s="1"/>
  <c r="I3282" i="14" s="1"/>
  <c r="K3259" i="13"/>
  <c r="L3259" i="13" s="1"/>
  <c r="I3260" i="13" s="1"/>
  <c r="J3445" i="13" a="1"/>
  <c r="J3445" i="13" s="1"/>
  <c r="N3446" i="13"/>
  <c r="M3449" i="14"/>
  <c r="M3448" i="13"/>
  <c r="N3445" i="14"/>
  <c r="J3444" i="14" a="1"/>
  <c r="J3444" i="14" s="1"/>
  <c r="K3260" i="13" l="1"/>
  <c r="L3260" i="13" s="1"/>
  <c r="I3261" i="13" s="1"/>
  <c r="K3282" i="14"/>
  <c r="L3282" i="14" s="1"/>
  <c r="I3283" i="14" s="1"/>
  <c r="N3446" i="14"/>
  <c r="J3445" i="14" a="1"/>
  <c r="J3445" i="14" s="1"/>
  <c r="M3450" i="14"/>
  <c r="N3447" i="13"/>
  <c r="J3446" i="13" a="1"/>
  <c r="J3446" i="13" s="1"/>
  <c r="M3449" i="13"/>
  <c r="K3283" i="14" l="1"/>
  <c r="L3283" i="14" s="1"/>
  <c r="I3284" i="14" s="1"/>
  <c r="K3261" i="13"/>
  <c r="L3261" i="13" s="1"/>
  <c r="I3262" i="13" s="1"/>
  <c r="M3450" i="13"/>
  <c r="J3447" i="13" a="1"/>
  <c r="J3447" i="13" s="1"/>
  <c r="N3448" i="13"/>
  <c r="M3451" i="14"/>
  <c r="J3446" i="14" a="1"/>
  <c r="J3446" i="14" s="1"/>
  <c r="N3447" i="14"/>
  <c r="K3262" i="13" l="1"/>
  <c r="L3262" i="13" s="1"/>
  <c r="I3263" i="13" s="1"/>
  <c r="K3284" i="14"/>
  <c r="L3284" i="14" s="1"/>
  <c r="I3285" i="14" s="1"/>
  <c r="J3447" i="14" a="1"/>
  <c r="J3447" i="14" s="1"/>
  <c r="N3448" i="14"/>
  <c r="J3448" i="13" a="1"/>
  <c r="J3448" i="13" s="1"/>
  <c r="N3449" i="13"/>
  <c r="M3452" i="14"/>
  <c r="M3451" i="13"/>
  <c r="K3285" i="14" l="1"/>
  <c r="L3285" i="14" s="1"/>
  <c r="I3286" i="14" s="1"/>
  <c r="K3263" i="13"/>
  <c r="L3263" i="13" s="1"/>
  <c r="I3264" i="13" s="1"/>
  <c r="J3449" i="13" a="1"/>
  <c r="J3449" i="13" s="1"/>
  <c r="N3450" i="13"/>
  <c r="J3448" i="14" a="1"/>
  <c r="J3448" i="14" s="1"/>
  <c r="N3449" i="14"/>
  <c r="M3452" i="13"/>
  <c r="M3453" i="14"/>
  <c r="K3264" i="13" l="1"/>
  <c r="L3264" i="13" s="1"/>
  <c r="I3265" i="13" s="1"/>
  <c r="K3286" i="14"/>
  <c r="L3286" i="14" s="1"/>
  <c r="I3287" i="14" s="1"/>
  <c r="N3450" i="14"/>
  <c r="J3449" i="14" a="1"/>
  <c r="J3449" i="14" s="1"/>
  <c r="N3451" i="13"/>
  <c r="J3450" i="13" a="1"/>
  <c r="J3450" i="13" s="1"/>
  <c r="M3454" i="14"/>
  <c r="M3453" i="13"/>
  <c r="K3287" i="14" l="1"/>
  <c r="L3287" i="14" s="1"/>
  <c r="I3288" i="14" s="1"/>
  <c r="K3265" i="13"/>
  <c r="L3265" i="13" s="1"/>
  <c r="I3266" i="13" s="1"/>
  <c r="J3451" i="13" a="1"/>
  <c r="J3451" i="13" s="1"/>
  <c r="N3452" i="13"/>
  <c r="M3454" i="13"/>
  <c r="M3455" i="14"/>
  <c r="J3450" i="14" a="1"/>
  <c r="J3450" i="14" s="1"/>
  <c r="N3451" i="14"/>
  <c r="K3266" i="13" l="1"/>
  <c r="L3266" i="13" s="1"/>
  <c r="I3267" i="13" s="1"/>
  <c r="K3288" i="14"/>
  <c r="L3288" i="14" s="1"/>
  <c r="I3289" i="14" s="1"/>
  <c r="J3451" i="14" a="1"/>
  <c r="J3451" i="14" s="1"/>
  <c r="N3452" i="14"/>
  <c r="M3455" i="13"/>
  <c r="J3452" i="13" a="1"/>
  <c r="J3452" i="13" s="1"/>
  <c r="N3453" i="13"/>
  <c r="M3456" i="14"/>
  <c r="K3267" i="13" l="1"/>
  <c r="L3267" i="13" s="1"/>
  <c r="I3268" i="13" s="1"/>
  <c r="M3457" i="14"/>
  <c r="M3456" i="13"/>
  <c r="K3289" i="14"/>
  <c r="L3289" i="14" s="1"/>
  <c r="I3290" i="14" s="1"/>
  <c r="J3453" i="13" a="1"/>
  <c r="J3453" i="13" s="1"/>
  <c r="N3454" i="13"/>
  <c r="N3453" i="14"/>
  <c r="J3452" i="14" a="1"/>
  <c r="J3452" i="14" s="1"/>
  <c r="K3290" i="14" l="1"/>
  <c r="L3290" i="14" s="1"/>
  <c r="I3291" i="14" s="1"/>
  <c r="K3268" i="13"/>
  <c r="L3268" i="13" s="1"/>
  <c r="I3269" i="13" s="1"/>
  <c r="N3454" i="14"/>
  <c r="J3453" i="14" a="1"/>
  <c r="J3453" i="14" s="1"/>
  <c r="M3458" i="14"/>
  <c r="N3455" i="13"/>
  <c r="J3454" i="13" a="1"/>
  <c r="J3454" i="13" s="1"/>
  <c r="M3457" i="13"/>
  <c r="K3269" i="13" l="1"/>
  <c r="L3269" i="13" s="1"/>
  <c r="I3270" i="13" s="1"/>
  <c r="K3291" i="14"/>
  <c r="L3291" i="14" s="1"/>
  <c r="I3292" i="14" s="1"/>
  <c r="J3455" i="13" a="1"/>
  <c r="J3455" i="13" s="1"/>
  <c r="N3456" i="13"/>
  <c r="M3458" i="13"/>
  <c r="M3459" i="14"/>
  <c r="J3454" i="14" a="1"/>
  <c r="J3454" i="14" s="1"/>
  <c r="N3455" i="14"/>
  <c r="K3270" i="13" l="1"/>
  <c r="L3270" i="13" s="1"/>
  <c r="I3271" i="13" s="1"/>
  <c r="K3292" i="14"/>
  <c r="L3292" i="14" s="1"/>
  <c r="I3293" i="14" s="1"/>
  <c r="M3460" i="14"/>
  <c r="M3459" i="13"/>
  <c r="J3455" i="14" a="1"/>
  <c r="J3455" i="14" s="1"/>
  <c r="N3456" i="14"/>
  <c r="J3456" i="13" a="1"/>
  <c r="J3456" i="13" s="1"/>
  <c r="N3457" i="13"/>
  <c r="K3271" i="13" l="1"/>
  <c r="L3271" i="13" s="1"/>
  <c r="I3272" i="13" s="1"/>
  <c r="K3293" i="14"/>
  <c r="L3293" i="14" s="1"/>
  <c r="I3294" i="14" s="1"/>
  <c r="J3457" i="13" a="1"/>
  <c r="J3457" i="13" s="1"/>
  <c r="N3458" i="13"/>
  <c r="M3460" i="13"/>
  <c r="J3456" i="14" a="1"/>
  <c r="J3456" i="14" s="1"/>
  <c r="N3457" i="14"/>
  <c r="M3461" i="14"/>
  <c r="K3272" i="13" l="1"/>
  <c r="L3272" i="13" s="1"/>
  <c r="I3273" i="13" s="1"/>
  <c r="K3294" i="14"/>
  <c r="L3294" i="14" s="1"/>
  <c r="I3295" i="14" s="1"/>
  <c r="N3458" i="14"/>
  <c r="J3457" i="14" a="1"/>
  <c r="J3457" i="14" s="1"/>
  <c r="N3459" i="13"/>
  <c r="J3458" i="13" a="1"/>
  <c r="J3458" i="13" s="1"/>
  <c r="M3462" i="14"/>
  <c r="M3461" i="13"/>
  <c r="J3459" i="13" l="1" a="1"/>
  <c r="J3459" i="13" s="1"/>
  <c r="N3460" i="13"/>
  <c r="K3295" i="14"/>
  <c r="L3295" i="14" s="1"/>
  <c r="I3296" i="14" s="1"/>
  <c r="M3462" i="13"/>
  <c r="M3463" i="14"/>
  <c r="J3458" i="14" a="1"/>
  <c r="J3458" i="14" s="1"/>
  <c r="N3459" i="14"/>
  <c r="K3273" i="13"/>
  <c r="L3273" i="13" s="1"/>
  <c r="I3274" i="13" s="1"/>
  <c r="K3274" i="13" l="1"/>
  <c r="L3274" i="13" s="1"/>
  <c r="I3275" i="13" s="1"/>
  <c r="K3296" i="14"/>
  <c r="L3296" i="14" s="1"/>
  <c r="I3297" i="14" s="1"/>
  <c r="M3464" i="14"/>
  <c r="J3459" i="14" a="1"/>
  <c r="J3459" i="14" s="1"/>
  <c r="N3460" i="14"/>
  <c r="J3460" i="13" a="1"/>
  <c r="J3460" i="13" s="1"/>
  <c r="N3461" i="13"/>
  <c r="M3463" i="13"/>
  <c r="K3297" i="14" l="1"/>
  <c r="L3297" i="14" s="1"/>
  <c r="I3298" i="14" s="1"/>
  <c r="K3275" i="13"/>
  <c r="L3275" i="13" s="1"/>
  <c r="I3276" i="13" s="1"/>
  <c r="N3461" i="14"/>
  <c r="J3460" i="14" a="1"/>
  <c r="J3460" i="14" s="1"/>
  <c r="M3464" i="13"/>
  <c r="J3461" i="13" a="1"/>
  <c r="J3461" i="13" s="1"/>
  <c r="N3462" i="13"/>
  <c r="M3465" i="14"/>
  <c r="K3276" i="13" l="1"/>
  <c r="L3276" i="13" s="1"/>
  <c r="I3277" i="13" s="1"/>
  <c r="K3298" i="14"/>
  <c r="L3298" i="14" s="1"/>
  <c r="I3299" i="14" s="1"/>
  <c r="N3463" i="13"/>
  <c r="J3462" i="13" a="1"/>
  <c r="J3462" i="13" s="1"/>
  <c r="M3466" i="14"/>
  <c r="M3465" i="13"/>
  <c r="N3462" i="14"/>
  <c r="J3461" i="14" a="1"/>
  <c r="J3461" i="14" s="1"/>
  <c r="K3299" i="14" l="1"/>
  <c r="L3299" i="14" s="1"/>
  <c r="I3300" i="14" s="1"/>
  <c r="K3277" i="13"/>
  <c r="L3277" i="13" s="1"/>
  <c r="I3278" i="13" s="1"/>
  <c r="J3462" i="14" a="1"/>
  <c r="J3462" i="14" s="1"/>
  <c r="N3463" i="14"/>
  <c r="M3467" i="14"/>
  <c r="M3466" i="13"/>
  <c r="J3463" i="13" a="1"/>
  <c r="J3463" i="13" s="1"/>
  <c r="N3464" i="13"/>
  <c r="J3464" i="13" l="1" a="1"/>
  <c r="J3464" i="13" s="1"/>
  <c r="N3465" i="13"/>
  <c r="M3467" i="13"/>
  <c r="M3468" i="14"/>
  <c r="K3278" i="13"/>
  <c r="L3278" i="13" s="1"/>
  <c r="I3279" i="13" s="1"/>
  <c r="K3300" i="14"/>
  <c r="L3300" i="14" s="1"/>
  <c r="I3301" i="14" s="1"/>
  <c r="J3463" i="14" a="1"/>
  <c r="J3463" i="14" s="1"/>
  <c r="N3464" i="14"/>
  <c r="K3301" i="14" l="1"/>
  <c r="L3301" i="14" s="1"/>
  <c r="I3302" i="14" s="1"/>
  <c r="K3279" i="13"/>
  <c r="L3279" i="13" s="1"/>
  <c r="I3280" i="13" s="1"/>
  <c r="M3468" i="13"/>
  <c r="J3464" i="14" a="1"/>
  <c r="J3464" i="14" s="1"/>
  <c r="N3465" i="14"/>
  <c r="M3469" i="14"/>
  <c r="J3465" i="13" a="1"/>
  <c r="J3465" i="13" s="1"/>
  <c r="N3466" i="13"/>
  <c r="K3280" i="13" l="1"/>
  <c r="L3280" i="13" s="1"/>
  <c r="I3281" i="13" s="1"/>
  <c r="K3302" i="14"/>
  <c r="L3302" i="14" s="1"/>
  <c r="I3303" i="14" s="1"/>
  <c r="N3467" i="13"/>
  <c r="J3466" i="13" a="1"/>
  <c r="J3466" i="13" s="1"/>
  <c r="N3466" i="14"/>
  <c r="J3465" i="14" a="1"/>
  <c r="J3465" i="14" s="1"/>
  <c r="M3470" i="14"/>
  <c r="M3469" i="13"/>
  <c r="K3303" i="14" l="1"/>
  <c r="L3303" i="14" s="1"/>
  <c r="I3304" i="14" s="1"/>
  <c r="K3281" i="13"/>
  <c r="L3281" i="13" s="1"/>
  <c r="I3282" i="13" s="1"/>
  <c r="J3466" i="14" a="1"/>
  <c r="J3466" i="14" s="1"/>
  <c r="N3467" i="14"/>
  <c r="M3470" i="13"/>
  <c r="M3471" i="14"/>
  <c r="J3467" i="13" a="1"/>
  <c r="J3467" i="13" s="1"/>
  <c r="N3468" i="13"/>
  <c r="K3282" i="13" l="1"/>
  <c r="L3282" i="13" s="1"/>
  <c r="I3283" i="13" s="1"/>
  <c r="K3304" i="14"/>
  <c r="L3304" i="14" s="1"/>
  <c r="I3305" i="14" s="1"/>
  <c r="M3471" i="13"/>
  <c r="J3468" i="13" a="1"/>
  <c r="J3468" i="13" s="1"/>
  <c r="N3469" i="13"/>
  <c r="J3467" i="14" a="1"/>
  <c r="J3467" i="14" s="1"/>
  <c r="N3468" i="14"/>
  <c r="M3472" i="14"/>
  <c r="K3305" i="14" l="1"/>
  <c r="L3305" i="14" s="1"/>
  <c r="I3306" i="14" s="1"/>
  <c r="K3283" i="13"/>
  <c r="L3283" i="13" s="1"/>
  <c r="I3284" i="13" s="1"/>
  <c r="M3473" i="14"/>
  <c r="N3469" i="14"/>
  <c r="J3468" i="14" a="1"/>
  <c r="J3468" i="14" s="1"/>
  <c r="J3469" i="13" a="1"/>
  <c r="J3469" i="13" s="1"/>
  <c r="N3470" i="13"/>
  <c r="M3472" i="13"/>
  <c r="K3284" i="13" l="1"/>
  <c r="L3284" i="13" s="1"/>
  <c r="I3285" i="13" s="1"/>
  <c r="K3306" i="14"/>
  <c r="L3306" i="14" s="1"/>
  <c r="I3307" i="14" s="1"/>
  <c r="M3473" i="13"/>
  <c r="N3470" i="14"/>
  <c r="J3469" i="14" a="1"/>
  <c r="J3469" i="14" s="1"/>
  <c r="N3471" i="13"/>
  <c r="J3470" i="13" a="1"/>
  <c r="J3470" i="13" s="1"/>
  <c r="M3474" i="14"/>
  <c r="K3307" i="14" l="1"/>
  <c r="L3307" i="14" s="1"/>
  <c r="I3308" i="14" s="1"/>
  <c r="K3285" i="13"/>
  <c r="L3285" i="13" s="1"/>
  <c r="I3286" i="13" s="1"/>
  <c r="M3475" i="14"/>
  <c r="J3470" i="14" a="1"/>
  <c r="J3470" i="14" s="1"/>
  <c r="N3471" i="14"/>
  <c r="M3474" i="13"/>
  <c r="J3471" i="13" a="1"/>
  <c r="J3471" i="13" s="1"/>
  <c r="N3472" i="13"/>
  <c r="K3286" i="13" l="1"/>
  <c r="L3286" i="13" s="1"/>
  <c r="I3287" i="13" s="1"/>
  <c r="K3308" i="14"/>
  <c r="L3308" i="14" s="1"/>
  <c r="I3309" i="14" s="1"/>
  <c r="J3471" i="14" a="1"/>
  <c r="J3471" i="14" s="1"/>
  <c r="N3472" i="14"/>
  <c r="J3472" i="13" a="1"/>
  <c r="J3472" i="13" s="1"/>
  <c r="N3473" i="13"/>
  <c r="M3475" i="13"/>
  <c r="M3476" i="14"/>
  <c r="K3309" i="14" l="1"/>
  <c r="L3309" i="14" s="1"/>
  <c r="I3310" i="14" s="1"/>
  <c r="K3287" i="13"/>
  <c r="L3287" i="13" s="1"/>
  <c r="I3288" i="13" s="1"/>
  <c r="J3473" i="13" a="1"/>
  <c r="J3473" i="13" s="1"/>
  <c r="N3474" i="13"/>
  <c r="J3472" i="14" a="1"/>
  <c r="J3472" i="14" s="1"/>
  <c r="N3473" i="14"/>
  <c r="M3477" i="14"/>
  <c r="M3476" i="13"/>
  <c r="K3288" i="13" l="1"/>
  <c r="L3288" i="13" s="1"/>
  <c r="I3289" i="13" s="1"/>
  <c r="K3310" i="14"/>
  <c r="L3310" i="14" s="1"/>
  <c r="I3311" i="14" s="1"/>
  <c r="N3475" i="13"/>
  <c r="J3474" i="13" a="1"/>
  <c r="J3474" i="13" s="1"/>
  <c r="N3474" i="14"/>
  <c r="J3473" i="14" a="1"/>
  <c r="J3473" i="14" s="1"/>
  <c r="M3477" i="13"/>
  <c r="M3478" i="14"/>
  <c r="K3311" i="14" l="1"/>
  <c r="L3311" i="14" s="1"/>
  <c r="I3312" i="14" s="1"/>
  <c r="K3289" i="13"/>
  <c r="L3289" i="13" s="1"/>
  <c r="I3290" i="13" s="1"/>
  <c r="J3474" i="14" a="1"/>
  <c r="J3474" i="14" s="1"/>
  <c r="N3475" i="14"/>
  <c r="M3479" i="14"/>
  <c r="M3478" i="13"/>
  <c r="J3475" i="13" a="1"/>
  <c r="J3475" i="13" s="1"/>
  <c r="N3476" i="13"/>
  <c r="K3290" i="13" l="1"/>
  <c r="L3290" i="13" s="1"/>
  <c r="I3291" i="13" s="1"/>
  <c r="K3312" i="14"/>
  <c r="L3312" i="14" s="1"/>
  <c r="I3313" i="14" s="1"/>
  <c r="J3476" i="13" a="1"/>
  <c r="J3476" i="13" s="1"/>
  <c r="N3477" i="13"/>
  <c r="M3480" i="14"/>
  <c r="J3475" i="14" a="1"/>
  <c r="J3475" i="14" s="1"/>
  <c r="N3476" i="14"/>
  <c r="M3479" i="13"/>
  <c r="K3313" i="14" l="1"/>
  <c r="L3313" i="14" s="1"/>
  <c r="I3314" i="14" s="1"/>
  <c r="K3291" i="13"/>
  <c r="L3291" i="13" s="1"/>
  <c r="I3292" i="13" s="1"/>
  <c r="M3481" i="14"/>
  <c r="M3480" i="13"/>
  <c r="J3477" i="13" a="1"/>
  <c r="J3477" i="13" s="1"/>
  <c r="N3478" i="13"/>
  <c r="N3477" i="14"/>
  <c r="J3476" i="14" a="1"/>
  <c r="J3476" i="14" s="1"/>
  <c r="K3292" i="13" l="1"/>
  <c r="L3292" i="13" s="1"/>
  <c r="I3293" i="13" s="1"/>
  <c r="K3314" i="14"/>
  <c r="L3314" i="14" s="1"/>
  <c r="I3315" i="14" s="1"/>
  <c r="N3478" i="14"/>
  <c r="J3477" i="14" a="1"/>
  <c r="J3477" i="14" s="1"/>
  <c r="M3481" i="13"/>
  <c r="N3479" i="13"/>
  <c r="J3478" i="13" a="1"/>
  <c r="J3478" i="13" s="1"/>
  <c r="M3482" i="14"/>
  <c r="K3315" i="14" l="1"/>
  <c r="L3315" i="14" s="1"/>
  <c r="I3316" i="14" s="1"/>
  <c r="J3479" i="13" a="1"/>
  <c r="J3479" i="13" s="1"/>
  <c r="N3480" i="13"/>
  <c r="M3482" i="13"/>
  <c r="M3483" i="14"/>
  <c r="J3478" i="14" a="1"/>
  <c r="J3478" i="14" s="1"/>
  <c r="N3479" i="14"/>
  <c r="K3293" i="13"/>
  <c r="L3293" i="13" s="1"/>
  <c r="I3294" i="13" s="1"/>
  <c r="K3294" i="13" l="1"/>
  <c r="L3294" i="13" s="1"/>
  <c r="I3295" i="13" s="1"/>
  <c r="M3484" i="14"/>
  <c r="J3480" i="13" a="1"/>
  <c r="J3480" i="13" s="1"/>
  <c r="N3481" i="13"/>
  <c r="J3479" i="14" a="1"/>
  <c r="J3479" i="14" s="1"/>
  <c r="N3480" i="14"/>
  <c r="M3483" i="13"/>
  <c r="K3316" i="14"/>
  <c r="L3316" i="14" s="1"/>
  <c r="I3317" i="14" s="1"/>
  <c r="K3317" i="14" l="1"/>
  <c r="L3317" i="14" s="1"/>
  <c r="I3318" i="14" s="1"/>
  <c r="K3295" i="13"/>
  <c r="L3295" i="13" s="1"/>
  <c r="I3296" i="13" s="1"/>
  <c r="J3480" i="14" a="1"/>
  <c r="J3480" i="14" s="1"/>
  <c r="N3481" i="14"/>
  <c r="M3485" i="14"/>
  <c r="J3481" i="13" a="1"/>
  <c r="J3481" i="13" s="1"/>
  <c r="N3482" i="13"/>
  <c r="M3484" i="13"/>
  <c r="K3296" i="13" l="1"/>
  <c r="L3296" i="13" s="1"/>
  <c r="I3297" i="13" s="1"/>
  <c r="K3318" i="14"/>
  <c r="L3318" i="14" s="1"/>
  <c r="I3319" i="14" s="1"/>
  <c r="N3483" i="13"/>
  <c r="J3482" i="13" a="1"/>
  <c r="J3482" i="13" s="1"/>
  <c r="M3485" i="13"/>
  <c r="M3486" i="14"/>
  <c r="N3482" i="14"/>
  <c r="J3481" i="14" a="1"/>
  <c r="J3481" i="14" s="1"/>
  <c r="K3319" i="14" l="1"/>
  <c r="L3319" i="14" s="1"/>
  <c r="I3320" i="14" s="1"/>
  <c r="K3297" i="13"/>
  <c r="L3297" i="13" s="1"/>
  <c r="I3298" i="13" s="1"/>
  <c r="M3486" i="13"/>
  <c r="J3482" i="14" a="1"/>
  <c r="J3482" i="14" s="1"/>
  <c r="N3483" i="14"/>
  <c r="M3487" i="14"/>
  <c r="J3483" i="13" a="1"/>
  <c r="J3483" i="13" s="1"/>
  <c r="N3484" i="13"/>
  <c r="K3320" i="14" l="1"/>
  <c r="L3320" i="14" s="1"/>
  <c r="I3321" i="14" s="1"/>
  <c r="K3298" i="13"/>
  <c r="L3298" i="13" s="1"/>
  <c r="I3299" i="13" s="1"/>
  <c r="J3484" i="13" a="1"/>
  <c r="J3484" i="13" s="1"/>
  <c r="N3485" i="13"/>
  <c r="J3483" i="14" a="1"/>
  <c r="J3483" i="14" s="1"/>
  <c r="N3484" i="14"/>
  <c r="M3488" i="14"/>
  <c r="M3487" i="13"/>
  <c r="K3299" i="13" l="1"/>
  <c r="L3299" i="13" s="1"/>
  <c r="I3300" i="13" s="1"/>
  <c r="K3321" i="14"/>
  <c r="L3321" i="14" s="1"/>
  <c r="I3322" i="14" s="1"/>
  <c r="N3485" i="14"/>
  <c r="J3484" i="14" a="1"/>
  <c r="J3484" i="14" s="1"/>
  <c r="M3488" i="13"/>
  <c r="M3489" i="14"/>
  <c r="J3485" i="13" a="1"/>
  <c r="J3485" i="13" s="1"/>
  <c r="N3486" i="13"/>
  <c r="K3322" i="14" l="1"/>
  <c r="L3322" i="14" s="1"/>
  <c r="I3323" i="14" s="1"/>
  <c r="K3300" i="13"/>
  <c r="L3300" i="13" s="1"/>
  <c r="I3301" i="13" s="1"/>
  <c r="M3489" i="13"/>
  <c r="N3487" i="13"/>
  <c r="J3486" i="13" a="1"/>
  <c r="J3486" i="13" s="1"/>
  <c r="M3490" i="14"/>
  <c r="N3486" i="14"/>
  <c r="J3485" i="14" a="1"/>
  <c r="J3485" i="14" s="1"/>
  <c r="K3301" i="13" l="1"/>
  <c r="L3301" i="13" s="1"/>
  <c r="I3302" i="13" s="1"/>
  <c r="K3323" i="14"/>
  <c r="L3323" i="14" s="1"/>
  <c r="I3324" i="14" s="1"/>
  <c r="J3487" i="13" a="1"/>
  <c r="J3487" i="13" s="1"/>
  <c r="N3488" i="13"/>
  <c r="J3486" i="14" a="1"/>
  <c r="J3486" i="14" s="1"/>
  <c r="N3487" i="14"/>
  <c r="M3490" i="13"/>
  <c r="M3491" i="14"/>
  <c r="K3324" i="14" l="1"/>
  <c r="L3324" i="14" s="1"/>
  <c r="I3325" i="14" s="1"/>
  <c r="K3302" i="13"/>
  <c r="L3302" i="13" s="1"/>
  <c r="I3303" i="13" s="1"/>
  <c r="J3487" i="14" a="1"/>
  <c r="J3487" i="14" s="1"/>
  <c r="N3488" i="14"/>
  <c r="J3488" i="13" a="1"/>
  <c r="J3488" i="13" s="1"/>
  <c r="N3489" i="13"/>
  <c r="M3492" i="14"/>
  <c r="M3491" i="13"/>
  <c r="K3303" i="13" l="1"/>
  <c r="L3303" i="13" s="1"/>
  <c r="I3304" i="13" s="1"/>
  <c r="K3325" i="14"/>
  <c r="L3325" i="14" s="1"/>
  <c r="I3326" i="14" s="1"/>
  <c r="J3488" i="14" a="1"/>
  <c r="J3488" i="14" s="1"/>
  <c r="N3489" i="14"/>
  <c r="J3489" i="13" a="1"/>
  <c r="J3489" i="13" s="1"/>
  <c r="N3490" i="13"/>
  <c r="M3492" i="13"/>
  <c r="M3493" i="14"/>
  <c r="K3326" i="14" l="1"/>
  <c r="L3326" i="14" s="1"/>
  <c r="I3327" i="14" s="1"/>
  <c r="K3304" i="13"/>
  <c r="L3304" i="13" s="1"/>
  <c r="I3305" i="13" s="1"/>
  <c r="N3491" i="13"/>
  <c r="J3490" i="13" a="1"/>
  <c r="J3490" i="13" s="1"/>
  <c r="N3490" i="14"/>
  <c r="J3489" i="14" a="1"/>
  <c r="J3489" i="14" s="1"/>
  <c r="M3494" i="14"/>
  <c r="M3493" i="13"/>
  <c r="K3305" i="13" l="1"/>
  <c r="L3305" i="13" s="1"/>
  <c r="I3306" i="13" s="1"/>
  <c r="K3327" i="14"/>
  <c r="L3327" i="14" s="1"/>
  <c r="I3328" i="14" s="1"/>
  <c r="M3494" i="13"/>
  <c r="J3490" i="14" a="1"/>
  <c r="J3490" i="14" s="1"/>
  <c r="N3491" i="14"/>
  <c r="M3495" i="14"/>
  <c r="J3491" i="13" a="1"/>
  <c r="J3491" i="13" s="1"/>
  <c r="N3492" i="13"/>
  <c r="K3328" i="14" l="1"/>
  <c r="L3328" i="14" s="1"/>
  <c r="I3329" i="14" s="1"/>
  <c r="K3306" i="13"/>
  <c r="L3306" i="13" s="1"/>
  <c r="I3307" i="13" s="1"/>
  <c r="J3491" i="14" a="1"/>
  <c r="J3491" i="14" s="1"/>
  <c r="N3492" i="14"/>
  <c r="J3492" i="13" a="1"/>
  <c r="J3492" i="13" s="1"/>
  <c r="N3493" i="13"/>
  <c r="M3496" i="14"/>
  <c r="M3495" i="13"/>
  <c r="K3329" i="14" l="1"/>
  <c r="L3329" i="14" s="1"/>
  <c r="I3330" i="14" s="1"/>
  <c r="J3493" i="13" a="1"/>
  <c r="J3493" i="13" s="1"/>
  <c r="N3494" i="13"/>
  <c r="K3307" i="13"/>
  <c r="L3307" i="13" s="1"/>
  <c r="I3308" i="13" s="1"/>
  <c r="M3496" i="13"/>
  <c r="N3493" i="14"/>
  <c r="J3492" i="14" a="1"/>
  <c r="J3492" i="14" s="1"/>
  <c r="M3497" i="14"/>
  <c r="K3308" i="13" l="1"/>
  <c r="L3308" i="13" s="1"/>
  <c r="I3309" i="13" s="1"/>
  <c r="K3330" i="14"/>
  <c r="L3330" i="14" s="1"/>
  <c r="I3331" i="14" s="1"/>
  <c r="N3495" i="13"/>
  <c r="J3494" i="13" a="1"/>
  <c r="J3494" i="13" s="1"/>
  <c r="M3498" i="14"/>
  <c r="M3497" i="13"/>
  <c r="N3494" i="14"/>
  <c r="J3493" i="14" a="1"/>
  <c r="J3493" i="14" s="1"/>
  <c r="K3331" i="14" l="1"/>
  <c r="L3331" i="14" s="1"/>
  <c r="I3332" i="14" s="1"/>
  <c r="K3309" i="13"/>
  <c r="L3309" i="13" s="1"/>
  <c r="I3310" i="13" s="1"/>
  <c r="J3494" i="14" a="1"/>
  <c r="J3494" i="14" s="1"/>
  <c r="N3495" i="14"/>
  <c r="M3499" i="14"/>
  <c r="M3498" i="13"/>
  <c r="J3495" i="13" a="1"/>
  <c r="J3495" i="13" s="1"/>
  <c r="N3496" i="13"/>
  <c r="K3310" i="13" l="1"/>
  <c r="L3310" i="13" s="1"/>
  <c r="I3311" i="13" s="1"/>
  <c r="K3332" i="14"/>
  <c r="L3332" i="14" s="1"/>
  <c r="I3333" i="14" s="1"/>
  <c r="J3496" i="13" a="1"/>
  <c r="J3496" i="13" s="1"/>
  <c r="N3497" i="13"/>
  <c r="M3500" i="14"/>
  <c r="J3495" i="14" a="1"/>
  <c r="J3495" i="14" s="1"/>
  <c r="N3496" i="14"/>
  <c r="M3499" i="13"/>
  <c r="K3333" i="14" l="1"/>
  <c r="L3333" i="14" s="1"/>
  <c r="I3334" i="14" s="1"/>
  <c r="K3311" i="13"/>
  <c r="L3311" i="13" s="1"/>
  <c r="I3312" i="13" s="1"/>
  <c r="M3501" i="14"/>
  <c r="J3496" i="14" a="1"/>
  <c r="J3496" i="14" s="1"/>
  <c r="N3497" i="14"/>
  <c r="M3500" i="13"/>
  <c r="J3497" i="13" a="1"/>
  <c r="J3497" i="13" s="1"/>
  <c r="N3498" i="13"/>
  <c r="K3312" i="13" l="1"/>
  <c r="L3312" i="13" s="1"/>
  <c r="I3313" i="13" s="1"/>
  <c r="K3334" i="14"/>
  <c r="L3334" i="14" s="1"/>
  <c r="I3335" i="14" s="1"/>
  <c r="N3498" i="14"/>
  <c r="J3497" i="14" a="1"/>
  <c r="J3497" i="14" s="1"/>
  <c r="N3499" i="13"/>
  <c r="J3498" i="13" a="1"/>
  <c r="J3498" i="13" s="1"/>
  <c r="M3501" i="13"/>
  <c r="M3502" i="14"/>
  <c r="K3335" i="14" l="1"/>
  <c r="L3335" i="14" s="1"/>
  <c r="I3336" i="14" s="1"/>
  <c r="K3313" i="13"/>
  <c r="L3313" i="13" s="1"/>
  <c r="I3314" i="13" s="1"/>
  <c r="J3499" i="13" a="1"/>
  <c r="J3499" i="13" s="1"/>
  <c r="N3500" i="13"/>
  <c r="M3503" i="14"/>
  <c r="M3502" i="13"/>
  <c r="J3498" i="14" a="1"/>
  <c r="J3498" i="14" s="1"/>
  <c r="N3499" i="14"/>
  <c r="K3314" i="13" l="1"/>
  <c r="L3314" i="13" s="1"/>
  <c r="I3315" i="13" s="1"/>
  <c r="K3336" i="14"/>
  <c r="L3336" i="14" s="1"/>
  <c r="I3337" i="14" s="1"/>
  <c r="J3499" i="14" a="1"/>
  <c r="J3499" i="14" s="1"/>
  <c r="N3500" i="14"/>
  <c r="M3504" i="14"/>
  <c r="J3500" i="13" a="1"/>
  <c r="J3500" i="13" s="1"/>
  <c r="N3501" i="13"/>
  <c r="M3503" i="13"/>
  <c r="K3337" i="14" l="1"/>
  <c r="L3337" i="14" s="1"/>
  <c r="I3338" i="14" s="1"/>
  <c r="K3315" i="13"/>
  <c r="L3315" i="13" s="1"/>
  <c r="I3316" i="13" s="1"/>
  <c r="J3501" i="13" a="1"/>
  <c r="J3501" i="13" s="1"/>
  <c r="N3502" i="13"/>
  <c r="M3505" i="14"/>
  <c r="M3504" i="13"/>
  <c r="N3501" i="14"/>
  <c r="J3500" i="14" a="1"/>
  <c r="J3500" i="14" s="1"/>
  <c r="K3316" i="13" l="1"/>
  <c r="L3316" i="13" s="1"/>
  <c r="I3317" i="13" s="1"/>
  <c r="K3338" i="14"/>
  <c r="L3338" i="14" s="1"/>
  <c r="I3339" i="14" s="1"/>
  <c r="N3502" i="14"/>
  <c r="J3501" i="14" a="1"/>
  <c r="J3501" i="14" s="1"/>
  <c r="M3506" i="14"/>
  <c r="N3503" i="13"/>
  <c r="J3502" i="13" a="1"/>
  <c r="J3502" i="13" s="1"/>
  <c r="M3505" i="13"/>
  <c r="K3339" i="14" l="1"/>
  <c r="L3339" i="14" s="1"/>
  <c r="I3340" i="14" s="1"/>
  <c r="K3317" i="13"/>
  <c r="L3317" i="13" s="1"/>
  <c r="I3318" i="13" s="1"/>
  <c r="M3506" i="13"/>
  <c r="M3507" i="14"/>
  <c r="J3503" i="13" a="1"/>
  <c r="J3503" i="13" s="1"/>
  <c r="N3504" i="13"/>
  <c r="J3502" i="14" a="1"/>
  <c r="J3502" i="14" s="1"/>
  <c r="N3503" i="14"/>
  <c r="K3318" i="13" l="1"/>
  <c r="L3318" i="13" s="1"/>
  <c r="I3319" i="13" s="1"/>
  <c r="K3340" i="14"/>
  <c r="L3340" i="14" s="1"/>
  <c r="I3341" i="14" s="1"/>
  <c r="M3508" i="14"/>
  <c r="J3503" i="14" a="1"/>
  <c r="J3503" i="14" s="1"/>
  <c r="N3504" i="14"/>
  <c r="J3504" i="13" a="1"/>
  <c r="J3504" i="13" s="1"/>
  <c r="N3505" i="13"/>
  <c r="M3507" i="13"/>
  <c r="K3341" i="14" l="1"/>
  <c r="L3341" i="14" s="1"/>
  <c r="I3342" i="14" s="1"/>
  <c r="K3319" i="13"/>
  <c r="L3319" i="13" s="1"/>
  <c r="I3320" i="13" s="1"/>
  <c r="J3505" i="13" a="1"/>
  <c r="J3505" i="13" s="1"/>
  <c r="N3506" i="13"/>
  <c r="M3509" i="14"/>
  <c r="J3504" i="14" a="1"/>
  <c r="J3504" i="14" s="1"/>
  <c r="N3505" i="14"/>
  <c r="M3508" i="13"/>
  <c r="K3320" i="13" l="1"/>
  <c r="L3320" i="13" s="1"/>
  <c r="I3321" i="13" s="1"/>
  <c r="K3342" i="14"/>
  <c r="L3342" i="14" s="1"/>
  <c r="I3343" i="14" s="1"/>
  <c r="N3506" i="14"/>
  <c r="J3505" i="14" a="1"/>
  <c r="J3505" i="14" s="1"/>
  <c r="M3509" i="13"/>
  <c r="M3510" i="14"/>
  <c r="N3507" i="13"/>
  <c r="J3506" i="13" a="1"/>
  <c r="J3506" i="13" s="1"/>
  <c r="K3343" i="14" l="1"/>
  <c r="L3343" i="14" s="1"/>
  <c r="I3344" i="14" s="1"/>
  <c r="K3321" i="13"/>
  <c r="L3321" i="13" s="1"/>
  <c r="I3322" i="13" s="1"/>
  <c r="M3510" i="13"/>
  <c r="J3507" i="13" a="1"/>
  <c r="J3507" i="13" s="1"/>
  <c r="N3508" i="13"/>
  <c r="M3511" i="14"/>
  <c r="J3506" i="14" a="1"/>
  <c r="J3506" i="14" s="1"/>
  <c r="N3507" i="14"/>
  <c r="K3322" i="13" l="1"/>
  <c r="L3322" i="13" s="1"/>
  <c r="I3323" i="13" s="1"/>
  <c r="K3344" i="14"/>
  <c r="L3344" i="14" s="1"/>
  <c r="I3345" i="14" s="1"/>
  <c r="J3507" i="14" a="1"/>
  <c r="J3507" i="14" s="1"/>
  <c r="N3508" i="14"/>
  <c r="J3508" i="13" a="1"/>
  <c r="J3508" i="13" s="1"/>
  <c r="N3509" i="13"/>
  <c r="M3512" i="14"/>
  <c r="M3511" i="13"/>
  <c r="K3345" i="14" l="1"/>
  <c r="L3345" i="14" s="1"/>
  <c r="I3346" i="14" s="1"/>
  <c r="K3323" i="13"/>
  <c r="L3323" i="13" s="1"/>
  <c r="I3324" i="13" s="1"/>
  <c r="J3509" i="13" a="1"/>
  <c r="J3509" i="13" s="1"/>
  <c r="N3510" i="13"/>
  <c r="N3509" i="14"/>
  <c r="J3508" i="14" a="1"/>
  <c r="J3508" i="14" s="1"/>
  <c r="M3512" i="13"/>
  <c r="M3513" i="14"/>
  <c r="K3324" i="13" l="1"/>
  <c r="L3324" i="13" s="1"/>
  <c r="I3325" i="13" s="1"/>
  <c r="K3346" i="14"/>
  <c r="L3346" i="14" s="1"/>
  <c r="I3347" i="14" s="1"/>
  <c r="N3510" i="14"/>
  <c r="J3509" i="14" a="1"/>
  <c r="J3509" i="14" s="1"/>
  <c r="N3511" i="13"/>
  <c r="J3510" i="13" a="1"/>
  <c r="J3510" i="13" s="1"/>
  <c r="M3514" i="14"/>
  <c r="M3513" i="13"/>
  <c r="K3347" i="14" l="1"/>
  <c r="L3347" i="14" s="1"/>
  <c r="I3348" i="14" s="1"/>
  <c r="K3325" i="13"/>
  <c r="L3325" i="13" s="1"/>
  <c r="I3326" i="13" s="1"/>
  <c r="J3511" i="13" a="1"/>
  <c r="J3511" i="13" s="1"/>
  <c r="N3512" i="13"/>
  <c r="M3514" i="13"/>
  <c r="M3515" i="14"/>
  <c r="J3510" i="14" a="1"/>
  <c r="J3510" i="14" s="1"/>
  <c r="N3511" i="14"/>
  <c r="K3326" i="13" l="1"/>
  <c r="L3326" i="13" s="1"/>
  <c r="I3327" i="13" s="1"/>
  <c r="K3348" i="14"/>
  <c r="L3348" i="14" s="1"/>
  <c r="I3349" i="14" s="1"/>
  <c r="J3511" i="14" a="1"/>
  <c r="J3511" i="14" s="1"/>
  <c r="N3512" i="14"/>
  <c r="M3515" i="13"/>
  <c r="J3512" i="13" a="1"/>
  <c r="J3512" i="13" s="1"/>
  <c r="N3513" i="13"/>
  <c r="M3516" i="14"/>
  <c r="K3349" i="14" l="1"/>
  <c r="L3349" i="14" s="1"/>
  <c r="I3350" i="14" s="1"/>
  <c r="K3327" i="13"/>
  <c r="L3327" i="13" s="1"/>
  <c r="I3328" i="13" s="1"/>
  <c r="M3517" i="14"/>
  <c r="M3516" i="13"/>
  <c r="J3512" i="14" a="1"/>
  <c r="J3512" i="14" s="1"/>
  <c r="N3513" i="14"/>
  <c r="J3513" i="13" a="1"/>
  <c r="J3513" i="13" s="1"/>
  <c r="N3514" i="13"/>
  <c r="K3328" i="13" l="1"/>
  <c r="L3328" i="13" s="1"/>
  <c r="I3329" i="13" s="1"/>
  <c r="K3350" i="14"/>
  <c r="L3350" i="14" s="1"/>
  <c r="I3351" i="14" s="1"/>
  <c r="N3515" i="13"/>
  <c r="J3514" i="13" a="1"/>
  <c r="J3514" i="13" s="1"/>
  <c r="M3517" i="13"/>
  <c r="N3514" i="14"/>
  <c r="J3513" i="14" a="1"/>
  <c r="J3513" i="14" s="1"/>
  <c r="M3518" i="14"/>
  <c r="K3351" i="14" l="1"/>
  <c r="L3351" i="14" s="1"/>
  <c r="I3352" i="14" s="1"/>
  <c r="K3329" i="13"/>
  <c r="L3329" i="13" s="1"/>
  <c r="I3330" i="13" s="1"/>
  <c r="M3518" i="13"/>
  <c r="M3519" i="14"/>
  <c r="J3514" i="14" a="1"/>
  <c r="J3514" i="14" s="1"/>
  <c r="N3515" i="14"/>
  <c r="J3515" i="13" a="1"/>
  <c r="J3515" i="13" s="1"/>
  <c r="N3516" i="13"/>
  <c r="K3330" i="13" l="1"/>
  <c r="L3330" i="13" s="1"/>
  <c r="I3331" i="13" s="1"/>
  <c r="K3352" i="14"/>
  <c r="L3352" i="14" s="1"/>
  <c r="I3353" i="14" s="1"/>
  <c r="J3516" i="13" a="1"/>
  <c r="J3516" i="13" s="1"/>
  <c r="N3517" i="13"/>
  <c r="M3520" i="14"/>
  <c r="J3515" i="14" a="1"/>
  <c r="J3515" i="14" s="1"/>
  <c r="N3516" i="14"/>
  <c r="M3519" i="13"/>
  <c r="K3353" i="14" l="1"/>
  <c r="L3353" i="14" s="1"/>
  <c r="I3354" i="14" s="1"/>
  <c r="K3331" i="13"/>
  <c r="L3331" i="13" s="1"/>
  <c r="I3332" i="13" s="1"/>
  <c r="N3517" i="14"/>
  <c r="J3516" i="14" a="1"/>
  <c r="J3516" i="14" s="1"/>
  <c r="M3521" i="14"/>
  <c r="M3520" i="13"/>
  <c r="J3517" i="13" a="1"/>
  <c r="J3517" i="13" s="1"/>
  <c r="N3518" i="13"/>
  <c r="K3332" i="13" l="1"/>
  <c r="L3332" i="13" s="1"/>
  <c r="I3333" i="13" s="1"/>
  <c r="M3521" i="13"/>
  <c r="K3354" i="14"/>
  <c r="L3354" i="14" s="1"/>
  <c r="I3355" i="14" s="1"/>
  <c r="N3519" i="13"/>
  <c r="J3518" i="13" a="1"/>
  <c r="J3518" i="13" s="1"/>
  <c r="N3518" i="14"/>
  <c r="J3517" i="14" a="1"/>
  <c r="J3517" i="14" s="1"/>
  <c r="M3522" i="14"/>
  <c r="K3355" i="14" l="1"/>
  <c r="L3355" i="14" s="1"/>
  <c r="I3356" i="14" s="1"/>
  <c r="K3333" i="13"/>
  <c r="L3333" i="13" s="1"/>
  <c r="I3334" i="13" s="1"/>
  <c r="M3522" i="13"/>
  <c r="J3519" i="13" a="1"/>
  <c r="J3519" i="13" s="1"/>
  <c r="N3520" i="13"/>
  <c r="M3523" i="14"/>
  <c r="J3518" i="14" a="1"/>
  <c r="J3518" i="14" s="1"/>
  <c r="N3519" i="14"/>
  <c r="K3334" i="13" l="1"/>
  <c r="L3334" i="13" s="1"/>
  <c r="I3335" i="13" s="1"/>
  <c r="K3356" i="14"/>
  <c r="L3356" i="14" s="1"/>
  <c r="I3357" i="14" s="1"/>
  <c r="J3520" i="13" a="1"/>
  <c r="J3520" i="13" s="1"/>
  <c r="N3521" i="13"/>
  <c r="J3519" i="14" a="1"/>
  <c r="J3519" i="14" s="1"/>
  <c r="N3520" i="14"/>
  <c r="M3524" i="14"/>
  <c r="M3523" i="13"/>
  <c r="K3357" i="14" l="1"/>
  <c r="L3357" i="14" s="1"/>
  <c r="I3358" i="14" s="1"/>
  <c r="K3335" i="13"/>
  <c r="L3335" i="13" s="1"/>
  <c r="I3336" i="13" s="1"/>
  <c r="J3521" i="13" a="1"/>
  <c r="J3521" i="13" s="1"/>
  <c r="N3522" i="13"/>
  <c r="J3520" i="14" a="1"/>
  <c r="J3520" i="14" s="1"/>
  <c r="N3521" i="14"/>
  <c r="M3524" i="13"/>
  <c r="M3525" i="14"/>
  <c r="K3336" i="13" l="1"/>
  <c r="L3336" i="13" s="1"/>
  <c r="I3337" i="13" s="1"/>
  <c r="K3358" i="14"/>
  <c r="L3358" i="14" s="1"/>
  <c r="I3359" i="14" s="1"/>
  <c r="N3522" i="14"/>
  <c r="J3521" i="14" a="1"/>
  <c r="J3521" i="14" s="1"/>
  <c r="N3523" i="13"/>
  <c r="J3522" i="13" a="1"/>
  <c r="J3522" i="13" s="1"/>
  <c r="M3526" i="14"/>
  <c r="M3525" i="13"/>
  <c r="K3359" i="14" l="1"/>
  <c r="L3359" i="14" s="1"/>
  <c r="I3360" i="14" s="1"/>
  <c r="K3337" i="13"/>
  <c r="L3337" i="13" s="1"/>
  <c r="I3338" i="13" s="1"/>
  <c r="J3523" i="13" a="1"/>
  <c r="J3523" i="13" s="1"/>
  <c r="N3524" i="13"/>
  <c r="M3526" i="13"/>
  <c r="M3527" i="14"/>
  <c r="J3522" i="14" a="1"/>
  <c r="J3522" i="14" s="1"/>
  <c r="N3523" i="14"/>
  <c r="K3338" i="13" l="1"/>
  <c r="L3338" i="13" s="1"/>
  <c r="I3339" i="13" s="1"/>
  <c r="K3360" i="14"/>
  <c r="L3360" i="14" s="1"/>
  <c r="I3361" i="14" s="1"/>
  <c r="J3523" i="14" a="1"/>
  <c r="J3523" i="14" s="1"/>
  <c r="N3524" i="14"/>
  <c r="M3527" i="13"/>
  <c r="M3528" i="14"/>
  <c r="J3524" i="13" a="1"/>
  <c r="J3524" i="13" s="1"/>
  <c r="N3525" i="13"/>
  <c r="K3361" i="14" l="1"/>
  <c r="L3361" i="14" s="1"/>
  <c r="I3362" i="14" s="1"/>
  <c r="K3339" i="13"/>
  <c r="L3339" i="13" s="1"/>
  <c r="I3340" i="13" s="1"/>
  <c r="J3525" i="13" a="1"/>
  <c r="J3525" i="13" s="1"/>
  <c r="N3526" i="13"/>
  <c r="M3528" i="13"/>
  <c r="M3529" i="14"/>
  <c r="N3525" i="14"/>
  <c r="J3524" i="14" a="1"/>
  <c r="J3524" i="14" s="1"/>
  <c r="K3340" i="13" l="1"/>
  <c r="L3340" i="13" s="1"/>
  <c r="I3341" i="13" s="1"/>
  <c r="K3362" i="14"/>
  <c r="L3362" i="14" s="1"/>
  <c r="I3363" i="14" s="1"/>
  <c r="N3526" i="14"/>
  <c r="J3525" i="14" a="1"/>
  <c r="J3525" i="14" s="1"/>
  <c r="M3529" i="13"/>
  <c r="N3527" i="13"/>
  <c r="J3526" i="13" a="1"/>
  <c r="J3526" i="13" s="1"/>
  <c r="M3530" i="14"/>
  <c r="K3363" i="14" l="1"/>
  <c r="L3363" i="14" s="1"/>
  <c r="I3364" i="14" s="1"/>
  <c r="K3341" i="13"/>
  <c r="L3341" i="13" s="1"/>
  <c r="I3342" i="13" s="1"/>
  <c r="M3530" i="13"/>
  <c r="J3527" i="13" a="1"/>
  <c r="J3527" i="13" s="1"/>
  <c r="N3528" i="13"/>
  <c r="M3531" i="14"/>
  <c r="J3526" i="14" a="1"/>
  <c r="J3526" i="14" s="1"/>
  <c r="N3527" i="14"/>
  <c r="K3342" i="13" l="1"/>
  <c r="L3342" i="13" s="1"/>
  <c r="I3343" i="13" s="1"/>
  <c r="K3364" i="14"/>
  <c r="L3364" i="14" s="1"/>
  <c r="I3365" i="14" s="1"/>
  <c r="J3527" i="14" a="1"/>
  <c r="J3527" i="14" s="1"/>
  <c r="N3528" i="14"/>
  <c r="J3528" i="13" a="1"/>
  <c r="J3528" i="13" s="1"/>
  <c r="N3529" i="13"/>
  <c r="M3532" i="14"/>
  <c r="M3531" i="13"/>
  <c r="K3365" i="14" l="1"/>
  <c r="L3365" i="14" s="1"/>
  <c r="I3366" i="14" s="1"/>
  <c r="K3343" i="13"/>
  <c r="L3343" i="13" s="1"/>
  <c r="I3344" i="13" s="1"/>
  <c r="J3529" i="13" a="1"/>
  <c r="J3529" i="13" s="1"/>
  <c r="N3530" i="13"/>
  <c r="J3528" i="14" a="1"/>
  <c r="J3528" i="14" s="1"/>
  <c r="N3529" i="14"/>
  <c r="M3532" i="13"/>
  <c r="M3533" i="14"/>
  <c r="K3344" i="13" l="1"/>
  <c r="L3344" i="13" s="1"/>
  <c r="I3345" i="13" s="1"/>
  <c r="K3366" i="14"/>
  <c r="L3366" i="14" s="1"/>
  <c r="I3367" i="14" s="1"/>
  <c r="N3530" i="14"/>
  <c r="J3529" i="14" a="1"/>
  <c r="J3529" i="14" s="1"/>
  <c r="N3531" i="13"/>
  <c r="J3530" i="13" a="1"/>
  <c r="J3530" i="13" s="1"/>
  <c r="M3534" i="14"/>
  <c r="M3533" i="13"/>
  <c r="K3367" i="14" l="1"/>
  <c r="L3367" i="14" s="1"/>
  <c r="I3368" i="14" s="1"/>
  <c r="K3345" i="13"/>
  <c r="L3345" i="13" s="1"/>
  <c r="I3346" i="13" s="1"/>
  <c r="M3534" i="13"/>
  <c r="J3531" i="13" a="1"/>
  <c r="J3531" i="13" s="1"/>
  <c r="N3532" i="13"/>
  <c r="M3535" i="14"/>
  <c r="J3530" i="14" a="1"/>
  <c r="J3530" i="14" s="1"/>
  <c r="N3531" i="14"/>
  <c r="K3346" i="13" l="1"/>
  <c r="L3346" i="13" s="1"/>
  <c r="I3347" i="13" s="1"/>
  <c r="K3368" i="14"/>
  <c r="L3368" i="14" s="1"/>
  <c r="I3369" i="14" s="1"/>
  <c r="J3532" i="13" a="1"/>
  <c r="J3532" i="13" s="1"/>
  <c r="N3533" i="13"/>
  <c r="J3531" i="14" a="1"/>
  <c r="J3531" i="14" s="1"/>
  <c r="N3532" i="14"/>
  <c r="M3536" i="14"/>
  <c r="M3535" i="13"/>
  <c r="K3369" i="14" l="1"/>
  <c r="L3369" i="14" s="1"/>
  <c r="I3370" i="14" s="1"/>
  <c r="K3347" i="13"/>
  <c r="L3347" i="13" s="1"/>
  <c r="I3348" i="13" s="1"/>
  <c r="N3533" i="14"/>
  <c r="J3532" i="14" a="1"/>
  <c r="J3532" i="14" s="1"/>
  <c r="M3537" i="14"/>
  <c r="J3533" i="13" a="1"/>
  <c r="J3533" i="13" s="1"/>
  <c r="N3534" i="13"/>
  <c r="M3536" i="13"/>
  <c r="K3348" i="13" l="1"/>
  <c r="L3348" i="13" s="1"/>
  <c r="I3349" i="13" s="1"/>
  <c r="K3370" i="14"/>
  <c r="L3370" i="14" s="1"/>
  <c r="I3371" i="14" s="1"/>
  <c r="N3535" i="13"/>
  <c r="J3534" i="13" a="1"/>
  <c r="J3534" i="13" s="1"/>
  <c r="M3537" i="13"/>
  <c r="M3538" i="14"/>
  <c r="N3534" i="14"/>
  <c r="J3533" i="14" a="1"/>
  <c r="J3533" i="14" s="1"/>
  <c r="K3371" i="14" l="1"/>
  <c r="L3371" i="14" s="1"/>
  <c r="I3372" i="14" s="1"/>
  <c r="K3349" i="13"/>
  <c r="L3349" i="13" s="1"/>
  <c r="I3350" i="13" s="1"/>
  <c r="M3538" i="13"/>
  <c r="J3534" i="14" a="1"/>
  <c r="J3534" i="14" s="1"/>
  <c r="N3535" i="14"/>
  <c r="M3539" i="14"/>
  <c r="J3535" i="13" a="1"/>
  <c r="J3535" i="13" s="1"/>
  <c r="N3536" i="13"/>
  <c r="K3350" i="13" l="1"/>
  <c r="L3350" i="13" s="1"/>
  <c r="I3351" i="13" s="1"/>
  <c r="K3372" i="14"/>
  <c r="L3372" i="14" s="1"/>
  <c r="I3373" i="14" s="1"/>
  <c r="J3536" i="13" a="1"/>
  <c r="J3536" i="13" s="1"/>
  <c r="N3537" i="13"/>
  <c r="J3535" i="14" a="1"/>
  <c r="J3535" i="14" s="1"/>
  <c r="N3536" i="14"/>
  <c r="M3540" i="14"/>
  <c r="M3539" i="13"/>
  <c r="K3373" i="14" l="1"/>
  <c r="L3373" i="14" s="1"/>
  <c r="I3374" i="14" s="1"/>
  <c r="K3351" i="13"/>
  <c r="L3351" i="13" s="1"/>
  <c r="I3352" i="13" s="1"/>
  <c r="J3536" i="14" a="1"/>
  <c r="J3536" i="14" s="1"/>
  <c r="N3537" i="14"/>
  <c r="M3540" i="13"/>
  <c r="M3541" i="14"/>
  <c r="J3537" i="13" a="1"/>
  <c r="J3537" i="13" s="1"/>
  <c r="N3538" i="13"/>
  <c r="K3352" i="13" l="1"/>
  <c r="L3352" i="13" s="1"/>
  <c r="I3353" i="13" s="1"/>
  <c r="K3374" i="14"/>
  <c r="L3374" i="14" s="1"/>
  <c r="I3375" i="14" s="1"/>
  <c r="N3539" i="13"/>
  <c r="J3538" i="13" a="1"/>
  <c r="J3538" i="13" s="1"/>
  <c r="M3541" i="13"/>
  <c r="N3538" i="14"/>
  <c r="J3537" i="14" a="1"/>
  <c r="J3537" i="14" s="1"/>
  <c r="M3542" i="14"/>
  <c r="K3375" i="14" l="1"/>
  <c r="L3375" i="14" s="1"/>
  <c r="I3376" i="14" s="1"/>
  <c r="K3353" i="13"/>
  <c r="L3353" i="13" s="1"/>
  <c r="I3354" i="13" s="1"/>
  <c r="M3542" i="13"/>
  <c r="J3538" i="14" a="1"/>
  <c r="J3538" i="14" s="1"/>
  <c r="N3539" i="14"/>
  <c r="M3543" i="14"/>
  <c r="J3539" i="13" a="1"/>
  <c r="J3539" i="13" s="1"/>
  <c r="N3540" i="13"/>
  <c r="K3354" i="13" l="1"/>
  <c r="L3354" i="13" s="1"/>
  <c r="I3355" i="13" s="1"/>
  <c r="K3376" i="14"/>
  <c r="L3376" i="14" s="1"/>
  <c r="I3377" i="14" s="1"/>
  <c r="J3540" i="13" a="1"/>
  <c r="J3540" i="13" s="1"/>
  <c r="N3541" i="13"/>
  <c r="J3539" i="14" a="1"/>
  <c r="J3539" i="14" s="1"/>
  <c r="N3540" i="14"/>
  <c r="M3544" i="14"/>
  <c r="M3543" i="13"/>
  <c r="K3377" i="14" l="1"/>
  <c r="L3377" i="14" s="1"/>
  <c r="I3378" i="14" s="1"/>
  <c r="K3355" i="13"/>
  <c r="L3355" i="13" s="1"/>
  <c r="I3356" i="13" s="1"/>
  <c r="N3541" i="14"/>
  <c r="J3540" i="14" a="1"/>
  <c r="J3540" i="14" s="1"/>
  <c r="J3541" i="13" a="1"/>
  <c r="J3541" i="13" s="1"/>
  <c r="N3542" i="13"/>
  <c r="M3544" i="13"/>
  <c r="M3545" i="14"/>
  <c r="K3356" i="13" l="1"/>
  <c r="L3356" i="13" s="1"/>
  <c r="I3357" i="13" s="1"/>
  <c r="K3378" i="14"/>
  <c r="L3378" i="14" s="1"/>
  <c r="I3379" i="14" s="1"/>
  <c r="N3543" i="13"/>
  <c r="J3542" i="13" a="1"/>
  <c r="J3542" i="13" s="1"/>
  <c r="M3546" i="14"/>
  <c r="M3545" i="13"/>
  <c r="N3542" i="14"/>
  <c r="J3541" i="14" a="1"/>
  <c r="J3541" i="14" s="1"/>
  <c r="K3379" i="14" l="1"/>
  <c r="L3379" i="14" s="1"/>
  <c r="I3380" i="14" s="1"/>
  <c r="K3357" i="13"/>
  <c r="L3357" i="13" s="1"/>
  <c r="I3358" i="13" s="1"/>
  <c r="J3542" i="14" a="1"/>
  <c r="J3542" i="14" s="1"/>
  <c r="N3543" i="14"/>
  <c r="M3547" i="14"/>
  <c r="M3546" i="13"/>
  <c r="J3543" i="13" a="1"/>
  <c r="J3543" i="13" s="1"/>
  <c r="N3544" i="13"/>
  <c r="K3358" i="13" l="1"/>
  <c r="L3358" i="13" s="1"/>
  <c r="I3359" i="13" s="1"/>
  <c r="K3380" i="14"/>
  <c r="L3380" i="14" s="1"/>
  <c r="I3381" i="14" s="1"/>
  <c r="J3544" i="13" a="1"/>
  <c r="J3544" i="13" s="1"/>
  <c r="N3545" i="13"/>
  <c r="M3548" i="14"/>
  <c r="J3543" i="14" a="1"/>
  <c r="J3543" i="14" s="1"/>
  <c r="N3544" i="14"/>
  <c r="M3547" i="13"/>
  <c r="K3381" i="14" l="1"/>
  <c r="L3381" i="14" s="1"/>
  <c r="I3382" i="14" s="1"/>
  <c r="K3359" i="13"/>
  <c r="L3359" i="13" s="1"/>
  <c r="I3360" i="13" s="1"/>
  <c r="M3549" i="14"/>
  <c r="J3544" i="14" a="1"/>
  <c r="J3544" i="14" s="1"/>
  <c r="N3545" i="14"/>
  <c r="M3548" i="13"/>
  <c r="J3545" i="13" a="1"/>
  <c r="J3545" i="13" s="1"/>
  <c r="N3546" i="13"/>
  <c r="K3360" i="13" l="1"/>
  <c r="L3360" i="13" s="1"/>
  <c r="I3361" i="13" s="1"/>
  <c r="K3382" i="14"/>
  <c r="L3382" i="14" s="1"/>
  <c r="I3383" i="14" s="1"/>
  <c r="N3546" i="14"/>
  <c r="J3545" i="14" a="1"/>
  <c r="J3545" i="14" s="1"/>
  <c r="N3547" i="13"/>
  <c r="J3546" i="13" a="1"/>
  <c r="J3546" i="13" s="1"/>
  <c r="M3549" i="13"/>
  <c r="M3550" i="14"/>
  <c r="K3383" i="14" l="1"/>
  <c r="L3383" i="14" s="1"/>
  <c r="I3384" i="14" s="1"/>
  <c r="J3547" i="13" a="1"/>
  <c r="J3547" i="13" s="1"/>
  <c r="N3548" i="13"/>
  <c r="M3551" i="14"/>
  <c r="M3550" i="13"/>
  <c r="J3546" i="14" a="1"/>
  <c r="J3546" i="14" s="1"/>
  <c r="N3547" i="14"/>
  <c r="K3361" i="13"/>
  <c r="L3361" i="13" s="1"/>
  <c r="I3362" i="13" s="1"/>
  <c r="K3362" i="13" l="1"/>
  <c r="L3362" i="13" s="1"/>
  <c r="I3363" i="13" s="1"/>
  <c r="K3384" i="14"/>
  <c r="L3384" i="14" s="1"/>
  <c r="I3385" i="14" s="1"/>
  <c r="J3548" i="13" a="1"/>
  <c r="J3548" i="13" s="1"/>
  <c r="N3549" i="13"/>
  <c r="M3551" i="13"/>
  <c r="M3552" i="14"/>
  <c r="J3547" i="14" a="1"/>
  <c r="J3547" i="14" s="1"/>
  <c r="N3548" i="14"/>
  <c r="K3385" i="14" l="1"/>
  <c r="L3385" i="14" s="1"/>
  <c r="I3386" i="14" s="1"/>
  <c r="K3363" i="13"/>
  <c r="L3363" i="13" s="1"/>
  <c r="I3364" i="13" s="1"/>
  <c r="N3549" i="14"/>
  <c r="J3548" i="14" a="1"/>
  <c r="J3548" i="14" s="1"/>
  <c r="M3552" i="13"/>
  <c r="J3549" i="13" a="1"/>
  <c r="J3549" i="13" s="1"/>
  <c r="N3550" i="13"/>
  <c r="M3553" i="14"/>
  <c r="K3364" i="13" l="1"/>
  <c r="L3364" i="13" s="1"/>
  <c r="I3365" i="13" s="1"/>
  <c r="K3386" i="14"/>
  <c r="L3386" i="14" s="1"/>
  <c r="I3387" i="14" s="1"/>
  <c r="N3551" i="13"/>
  <c r="J3550" i="13" a="1"/>
  <c r="J3550" i="13" s="1"/>
  <c r="M3554" i="14"/>
  <c r="M3553" i="13"/>
  <c r="N3550" i="14"/>
  <c r="J3549" i="14" a="1"/>
  <c r="J3549" i="14" s="1"/>
  <c r="K3387" i="14" l="1"/>
  <c r="L3387" i="14" s="1"/>
  <c r="I3388" i="14" s="1"/>
  <c r="K3365" i="13"/>
  <c r="L3365" i="13" s="1"/>
  <c r="I3366" i="13" s="1"/>
  <c r="J3550" i="14" a="1"/>
  <c r="J3550" i="14" s="1"/>
  <c r="N3551" i="14"/>
  <c r="M3555" i="14"/>
  <c r="M3554" i="13"/>
  <c r="J3551" i="13" a="1"/>
  <c r="J3551" i="13" s="1"/>
  <c r="N3552" i="13"/>
  <c r="K3366" i="13" l="1"/>
  <c r="L3366" i="13" s="1"/>
  <c r="I3367" i="13" s="1"/>
  <c r="K3388" i="14"/>
  <c r="L3388" i="14" s="1"/>
  <c r="I3389" i="14" s="1"/>
  <c r="J3552" i="13" a="1"/>
  <c r="J3552" i="13" s="1"/>
  <c r="N3553" i="13"/>
  <c r="M3556" i="14"/>
  <c r="J3551" i="14" a="1"/>
  <c r="J3551" i="14" s="1"/>
  <c r="N3552" i="14"/>
  <c r="M3555" i="13"/>
  <c r="K3389" i="14" l="1"/>
  <c r="L3389" i="14" s="1"/>
  <c r="I3390" i="14" s="1"/>
  <c r="K3367" i="13"/>
  <c r="L3367" i="13" s="1"/>
  <c r="I3368" i="13" s="1"/>
  <c r="J3552" i="14" a="1"/>
  <c r="J3552" i="14" s="1"/>
  <c r="N3553" i="14"/>
  <c r="M3557" i="14"/>
  <c r="M3556" i="13"/>
  <c r="J3553" i="13" a="1"/>
  <c r="J3553" i="13" s="1"/>
  <c r="N3554" i="13"/>
  <c r="K3368" i="13" l="1"/>
  <c r="L3368" i="13" s="1"/>
  <c r="I3369" i="13" s="1"/>
  <c r="K3390" i="14"/>
  <c r="L3390" i="14" s="1"/>
  <c r="I3391" i="14" s="1"/>
  <c r="N3555" i="13"/>
  <c r="J3554" i="13" a="1"/>
  <c r="J3554" i="13" s="1"/>
  <c r="M3558" i="14"/>
  <c r="N3554" i="14"/>
  <c r="J3553" i="14" a="1"/>
  <c r="J3553" i="14" s="1"/>
  <c r="M3557" i="13"/>
  <c r="K3391" i="14" l="1"/>
  <c r="L3391" i="14" s="1"/>
  <c r="I3392" i="14" s="1"/>
  <c r="K3369" i="13"/>
  <c r="L3369" i="13" s="1"/>
  <c r="I3370" i="13" s="1"/>
  <c r="M3558" i="13"/>
  <c r="M3559" i="14"/>
  <c r="J3554" i="14" a="1"/>
  <c r="J3554" i="14" s="1"/>
  <c r="N3555" i="14"/>
  <c r="J3555" i="13" a="1"/>
  <c r="J3555" i="13" s="1"/>
  <c r="N3556" i="13"/>
  <c r="K3370" i="13" l="1"/>
  <c r="L3370" i="13" s="1"/>
  <c r="I3371" i="13" s="1"/>
  <c r="K3392" i="14"/>
  <c r="L3392" i="14" s="1"/>
  <c r="I3393" i="14" s="1"/>
  <c r="J3556" i="13" a="1"/>
  <c r="J3556" i="13" s="1"/>
  <c r="N3557" i="13"/>
  <c r="M3560" i="14"/>
  <c r="J3555" i="14" a="1"/>
  <c r="J3555" i="14" s="1"/>
  <c r="N3556" i="14"/>
  <c r="M3559" i="13"/>
  <c r="K3393" i="14" l="1"/>
  <c r="L3393" i="14" s="1"/>
  <c r="I3394" i="14" s="1"/>
  <c r="K3371" i="13"/>
  <c r="L3371" i="13" s="1"/>
  <c r="I3372" i="13" s="1"/>
  <c r="M3561" i="14"/>
  <c r="N3557" i="14"/>
  <c r="J3556" i="14" a="1"/>
  <c r="J3556" i="14" s="1"/>
  <c r="M3560" i="13"/>
  <c r="J3557" i="13" a="1"/>
  <c r="J3557" i="13" s="1"/>
  <c r="N3558" i="13"/>
  <c r="K3372" i="13" l="1"/>
  <c r="L3372" i="13" s="1"/>
  <c r="I3373" i="13" s="1"/>
  <c r="K3394" i="14"/>
  <c r="L3394" i="14" s="1"/>
  <c r="I3395" i="14" s="1"/>
  <c r="N3559" i="13"/>
  <c r="J3558" i="13" a="1"/>
  <c r="J3558" i="13" s="1"/>
  <c r="N3558" i="14"/>
  <c r="J3557" i="14" a="1"/>
  <c r="J3557" i="14" s="1"/>
  <c r="M3561" i="13"/>
  <c r="M3562" i="14"/>
  <c r="K3395" i="14" l="1"/>
  <c r="L3395" i="14" s="1"/>
  <c r="I3396" i="14" s="1"/>
  <c r="K3373" i="13"/>
  <c r="L3373" i="13" s="1"/>
  <c r="I3374" i="13" s="1"/>
  <c r="J3558" i="14" a="1"/>
  <c r="J3558" i="14" s="1"/>
  <c r="N3559" i="14"/>
  <c r="M3563" i="14"/>
  <c r="M3562" i="13"/>
  <c r="J3559" i="13" a="1"/>
  <c r="J3559" i="13" s="1"/>
  <c r="N3560" i="13"/>
  <c r="K3374" i="13" l="1"/>
  <c r="L3374" i="13" s="1"/>
  <c r="I3375" i="13" s="1"/>
  <c r="K3396" i="14"/>
  <c r="L3396" i="14" s="1"/>
  <c r="I3397" i="14" s="1"/>
  <c r="M3564" i="14"/>
  <c r="J3559" i="14" a="1"/>
  <c r="J3559" i="14" s="1"/>
  <c r="N3560" i="14"/>
  <c r="J3560" i="13" a="1"/>
  <c r="J3560" i="13" s="1"/>
  <c r="N3561" i="13"/>
  <c r="M3563" i="13"/>
  <c r="K3397" i="14" l="1"/>
  <c r="L3397" i="14" s="1"/>
  <c r="I3398" i="14" s="1"/>
  <c r="J3560" i="14" a="1"/>
  <c r="J3560" i="14" s="1"/>
  <c r="N3561" i="14"/>
  <c r="K3375" i="13"/>
  <c r="L3375" i="13" s="1"/>
  <c r="I3376" i="13" s="1"/>
  <c r="M3564" i="13"/>
  <c r="J3561" i="13" a="1"/>
  <c r="J3561" i="13" s="1"/>
  <c r="N3562" i="13"/>
  <c r="M3565" i="14"/>
  <c r="K3376" i="13" l="1"/>
  <c r="L3376" i="13" s="1"/>
  <c r="I3377" i="13" s="1"/>
  <c r="K3398" i="14"/>
  <c r="L3398" i="14" s="1"/>
  <c r="I3399" i="14" s="1"/>
  <c r="N3562" i="14"/>
  <c r="J3561" i="14" a="1"/>
  <c r="J3561" i="14" s="1"/>
  <c r="M3566" i="14"/>
  <c r="M3565" i="13"/>
  <c r="N3563" i="13"/>
  <c r="J3562" i="13" a="1"/>
  <c r="J3562" i="13" s="1"/>
  <c r="K3399" i="14" l="1"/>
  <c r="L3399" i="14" s="1"/>
  <c r="I3400" i="14" s="1"/>
  <c r="K3377" i="13"/>
  <c r="L3377" i="13" s="1"/>
  <c r="I3378" i="13" s="1"/>
  <c r="J3563" i="13" a="1"/>
  <c r="J3563" i="13" s="1"/>
  <c r="N3564" i="13"/>
  <c r="M3567" i="14"/>
  <c r="M3566" i="13"/>
  <c r="J3562" i="14" a="1"/>
  <c r="J3562" i="14" s="1"/>
  <c r="N3563" i="14"/>
  <c r="K3378" i="13" l="1"/>
  <c r="L3378" i="13" s="1"/>
  <c r="I3379" i="13" s="1"/>
  <c r="K3400" i="14"/>
  <c r="L3400" i="14" s="1"/>
  <c r="I3401" i="14" s="1"/>
  <c r="J3563" i="14" a="1"/>
  <c r="J3563" i="14" s="1"/>
  <c r="N3564" i="14"/>
  <c r="M3568" i="14"/>
  <c r="J3564" i="13" a="1"/>
  <c r="J3564" i="13" s="1"/>
  <c r="N3565" i="13"/>
  <c r="M3567" i="13"/>
  <c r="K3401" i="14" l="1"/>
  <c r="L3401" i="14" s="1"/>
  <c r="I3402" i="14" s="1"/>
  <c r="K3379" i="13"/>
  <c r="L3379" i="13" s="1"/>
  <c r="I3380" i="13" s="1"/>
  <c r="J3565" i="13" a="1"/>
  <c r="J3565" i="13" s="1"/>
  <c r="N3566" i="13"/>
  <c r="M3569" i="14"/>
  <c r="M3568" i="13"/>
  <c r="N3565" i="14"/>
  <c r="J3564" i="14" a="1"/>
  <c r="J3564" i="14" s="1"/>
  <c r="K3380" i="13" l="1"/>
  <c r="L3380" i="13" s="1"/>
  <c r="I3381" i="13" s="1"/>
  <c r="K3402" i="14"/>
  <c r="L3402" i="14" s="1"/>
  <c r="I3403" i="14" s="1"/>
  <c r="N3566" i="14"/>
  <c r="J3565" i="14" a="1"/>
  <c r="J3565" i="14" s="1"/>
  <c r="M3570" i="14"/>
  <c r="N3567" i="13"/>
  <c r="J3566" i="13" a="1"/>
  <c r="J3566" i="13" s="1"/>
  <c r="M3569" i="13"/>
  <c r="K3403" i="14" l="1"/>
  <c r="L3403" i="14" s="1"/>
  <c r="I3404" i="14" s="1"/>
  <c r="K3381" i="13"/>
  <c r="L3381" i="13" s="1"/>
  <c r="I3382" i="13" s="1"/>
  <c r="M3570" i="13"/>
  <c r="M3571" i="14"/>
  <c r="J3567" i="13" a="1"/>
  <c r="J3567" i="13" s="1"/>
  <c r="N3568" i="13"/>
  <c r="J3566" i="14" a="1"/>
  <c r="J3566" i="14" s="1"/>
  <c r="N3567" i="14"/>
  <c r="K3382" i="13" l="1"/>
  <c r="L3382" i="13" s="1"/>
  <c r="I3383" i="13" s="1"/>
  <c r="K3404" i="14"/>
  <c r="L3404" i="14" s="1"/>
  <c r="I3405" i="14" s="1"/>
  <c r="J3567" i="14" a="1"/>
  <c r="J3567" i="14" s="1"/>
  <c r="N3568" i="14"/>
  <c r="M3572" i="14"/>
  <c r="J3568" i="13" a="1"/>
  <c r="J3568" i="13" s="1"/>
  <c r="N3569" i="13"/>
  <c r="M3571" i="13"/>
  <c r="K3405" i="14" l="1"/>
  <c r="L3405" i="14" s="1"/>
  <c r="I3406" i="14" s="1"/>
  <c r="K3383" i="13"/>
  <c r="L3383" i="13" s="1"/>
  <c r="I3384" i="13" s="1"/>
  <c r="M3573" i="14"/>
  <c r="J3569" i="13" a="1"/>
  <c r="J3569" i="13" s="1"/>
  <c r="N3570" i="13"/>
  <c r="M3572" i="13"/>
  <c r="J3568" i="14" a="1"/>
  <c r="J3568" i="14" s="1"/>
  <c r="N3569" i="14"/>
  <c r="K3384" i="13" l="1"/>
  <c r="L3384" i="13" s="1"/>
  <c r="I3385" i="13" s="1"/>
  <c r="K3406" i="14"/>
  <c r="L3406" i="14" s="1"/>
  <c r="I3407" i="14" s="1"/>
  <c r="N3570" i="14"/>
  <c r="J3569" i="14" a="1"/>
  <c r="J3569" i="14" s="1"/>
  <c r="N3571" i="13"/>
  <c r="J3570" i="13" a="1"/>
  <c r="J3570" i="13" s="1"/>
  <c r="M3573" i="13"/>
  <c r="M3574" i="14"/>
  <c r="K3407" i="14" l="1"/>
  <c r="L3407" i="14" s="1"/>
  <c r="I3408" i="14" s="1"/>
  <c r="K3385" i="13"/>
  <c r="L3385" i="13" s="1"/>
  <c r="I3386" i="13" s="1"/>
  <c r="J3571" i="13" a="1"/>
  <c r="J3571" i="13" s="1"/>
  <c r="N3572" i="13"/>
  <c r="M3575" i="14"/>
  <c r="M3574" i="13"/>
  <c r="J3570" i="14" a="1"/>
  <c r="J3570" i="14" s="1"/>
  <c r="N3571" i="14"/>
  <c r="K3386" i="13" l="1"/>
  <c r="L3386" i="13" s="1"/>
  <c r="I3387" i="13" s="1"/>
  <c r="K3408" i="14"/>
  <c r="L3408" i="14" s="1"/>
  <c r="I3409" i="14" s="1"/>
  <c r="J3571" i="14" a="1"/>
  <c r="J3571" i="14" s="1"/>
  <c r="N3572" i="14"/>
  <c r="M3576" i="14"/>
  <c r="J3572" i="13" a="1"/>
  <c r="J3572" i="13" s="1"/>
  <c r="N3573" i="13"/>
  <c r="M3575" i="13"/>
  <c r="K3409" i="14" l="1"/>
  <c r="L3409" i="14" s="1"/>
  <c r="I3410" i="14" s="1"/>
  <c r="K3387" i="13"/>
  <c r="L3387" i="13" s="1"/>
  <c r="I3388" i="13" s="1"/>
  <c r="M3577" i="14"/>
  <c r="J3573" i="13" a="1"/>
  <c r="J3573" i="13" s="1"/>
  <c r="N3574" i="13"/>
  <c r="M3576" i="13"/>
  <c r="N3573" i="14"/>
  <c r="J3572" i="14" a="1"/>
  <c r="J3572" i="14" s="1"/>
  <c r="K3388" i="13" l="1"/>
  <c r="L3388" i="13" s="1"/>
  <c r="I3389" i="13" s="1"/>
  <c r="K3410" i="14"/>
  <c r="L3410" i="14" s="1"/>
  <c r="I3411" i="14" s="1"/>
  <c r="N3575" i="13"/>
  <c r="J3574" i="13" a="1"/>
  <c r="J3574" i="13" s="1"/>
  <c r="N3574" i="14"/>
  <c r="J3573" i="14" a="1"/>
  <c r="J3573" i="14" s="1"/>
  <c r="M3577" i="13"/>
  <c r="M3578" i="14"/>
  <c r="K3411" i="14" l="1"/>
  <c r="L3411" i="14" s="1"/>
  <c r="I3412" i="14" s="1"/>
  <c r="K3389" i="13"/>
  <c r="L3389" i="13" s="1"/>
  <c r="I3390" i="13" s="1"/>
  <c r="J3574" i="14" a="1"/>
  <c r="J3574" i="14" s="1"/>
  <c r="N3575" i="14"/>
  <c r="M3579" i="14"/>
  <c r="M3578" i="13"/>
  <c r="J3575" i="13" a="1"/>
  <c r="J3575" i="13" s="1"/>
  <c r="N3576" i="13"/>
  <c r="K3390" i="13" l="1"/>
  <c r="L3390" i="13" s="1"/>
  <c r="I3391" i="13" s="1"/>
  <c r="K3412" i="14"/>
  <c r="L3412" i="14" s="1"/>
  <c r="I3413" i="14" s="1"/>
  <c r="J3576" i="13" a="1"/>
  <c r="J3576" i="13" s="1"/>
  <c r="N3577" i="13"/>
  <c r="M3580" i="14"/>
  <c r="J3575" i="14" a="1"/>
  <c r="J3575" i="14" s="1"/>
  <c r="N3576" i="14"/>
  <c r="M3579" i="13"/>
  <c r="K3413" i="14" l="1"/>
  <c r="L3413" i="14" s="1"/>
  <c r="I3414" i="14" s="1"/>
  <c r="K3391" i="13"/>
  <c r="L3391" i="13" s="1"/>
  <c r="I3392" i="13" s="1"/>
  <c r="M3581" i="14"/>
  <c r="M3580" i="13"/>
  <c r="J3576" i="14" a="1"/>
  <c r="J3576" i="14" s="1"/>
  <c r="N3577" i="14"/>
  <c r="J3577" i="13" a="1"/>
  <c r="J3577" i="13" s="1"/>
  <c r="N3578" i="13"/>
  <c r="K3392" i="13" l="1"/>
  <c r="L3392" i="13" s="1"/>
  <c r="I3393" i="13" s="1"/>
  <c r="K3414" i="14"/>
  <c r="L3414" i="14" s="1"/>
  <c r="I3415" i="14" s="1"/>
  <c r="N3579" i="13"/>
  <c r="J3578" i="13" a="1"/>
  <c r="J3578" i="13" s="1"/>
  <c r="M3581" i="13"/>
  <c r="N3578" i="14"/>
  <c r="J3577" i="14" a="1"/>
  <c r="J3577" i="14" s="1"/>
  <c r="M3582" i="14"/>
  <c r="K3415" i="14" l="1"/>
  <c r="L3415" i="14" s="1"/>
  <c r="I3416" i="14" s="1"/>
  <c r="K3393" i="13"/>
  <c r="L3393" i="13" s="1"/>
  <c r="I3394" i="13" s="1"/>
  <c r="M3582" i="13"/>
  <c r="M3583" i="14"/>
  <c r="J3578" i="14" a="1"/>
  <c r="J3578" i="14" s="1"/>
  <c r="N3579" i="14"/>
  <c r="J3579" i="13" a="1"/>
  <c r="J3579" i="13" s="1"/>
  <c r="N3580" i="13"/>
  <c r="K3394" i="13" l="1"/>
  <c r="L3394" i="13" s="1"/>
  <c r="I3395" i="13" s="1"/>
  <c r="K3416" i="14"/>
  <c r="L3416" i="14" s="1"/>
  <c r="I3417" i="14" s="1"/>
  <c r="J3580" i="13" a="1"/>
  <c r="J3580" i="13" s="1"/>
  <c r="N3581" i="13"/>
  <c r="M3584" i="14"/>
  <c r="J3579" i="14" a="1"/>
  <c r="J3579" i="14" s="1"/>
  <c r="N3580" i="14"/>
  <c r="M3583" i="13"/>
  <c r="K3417" i="14" l="1"/>
  <c r="L3417" i="14" s="1"/>
  <c r="I3418" i="14" s="1"/>
  <c r="K3395" i="13"/>
  <c r="L3395" i="13" s="1"/>
  <c r="I3396" i="13" s="1"/>
  <c r="N3581" i="14"/>
  <c r="J3580" i="14" a="1"/>
  <c r="J3580" i="14" s="1"/>
  <c r="M3585" i="14"/>
  <c r="M3584" i="13"/>
  <c r="J3581" i="13" a="1"/>
  <c r="J3581" i="13" s="1"/>
  <c r="N3582" i="13"/>
  <c r="K3396" i="13" l="1"/>
  <c r="L3396" i="13" s="1"/>
  <c r="I3397" i="13" s="1"/>
  <c r="K3418" i="14"/>
  <c r="L3418" i="14" s="1"/>
  <c r="I3419" i="14" s="1"/>
  <c r="M3586" i="14"/>
  <c r="N3583" i="13"/>
  <c r="J3582" i="13" a="1"/>
  <c r="J3582" i="13" s="1"/>
  <c r="M3585" i="13"/>
  <c r="N3582" i="14"/>
  <c r="J3581" i="14" a="1"/>
  <c r="J3581" i="14" s="1"/>
  <c r="K3419" i="14" l="1"/>
  <c r="L3419" i="14" s="1"/>
  <c r="I3420" i="14" s="1"/>
  <c r="K3397" i="13"/>
  <c r="L3397" i="13" s="1"/>
  <c r="I3398" i="13" s="1"/>
  <c r="J3582" i="14" a="1"/>
  <c r="J3582" i="14" s="1"/>
  <c r="N3583" i="14"/>
  <c r="J3583" i="13" a="1"/>
  <c r="J3583" i="13" s="1"/>
  <c r="N3584" i="13"/>
  <c r="M3586" i="13"/>
  <c r="M3587" i="14"/>
  <c r="K3398" i="13" l="1"/>
  <c r="L3398" i="13" s="1"/>
  <c r="I3399" i="13" s="1"/>
  <c r="J3584" i="13" a="1"/>
  <c r="J3584" i="13" s="1"/>
  <c r="N3585" i="13"/>
  <c r="M3587" i="13"/>
  <c r="M3588" i="14"/>
  <c r="J3583" i="14" a="1"/>
  <c r="J3583" i="14" s="1"/>
  <c r="N3584" i="14"/>
  <c r="K3420" i="14"/>
  <c r="L3420" i="14" s="1"/>
  <c r="I3421" i="14" s="1"/>
  <c r="K3399" i="13" l="1"/>
  <c r="L3399" i="13" s="1"/>
  <c r="I3400" i="13" s="1"/>
  <c r="M3589" i="14"/>
  <c r="J3585" i="13" a="1"/>
  <c r="J3585" i="13" s="1"/>
  <c r="N3586" i="13"/>
  <c r="K3421" i="14"/>
  <c r="L3421" i="14" s="1"/>
  <c r="I3422" i="14" s="1"/>
  <c r="J3584" i="14" a="1"/>
  <c r="J3584" i="14" s="1"/>
  <c r="N3585" i="14"/>
  <c r="M3588" i="13"/>
  <c r="K3422" i="14" l="1"/>
  <c r="L3422" i="14" s="1"/>
  <c r="I3423" i="14" s="1"/>
  <c r="K3400" i="13"/>
  <c r="L3400" i="13" s="1"/>
  <c r="I3401" i="13" s="1"/>
  <c r="N3586" i="14"/>
  <c r="J3585" i="14" a="1"/>
  <c r="J3585" i="14" s="1"/>
  <c r="M3589" i="13"/>
  <c r="M3590" i="14"/>
  <c r="N3587" i="13"/>
  <c r="J3586" i="13" a="1"/>
  <c r="J3586" i="13" s="1"/>
  <c r="K3423" i="14" l="1"/>
  <c r="L3423" i="14" s="1"/>
  <c r="I3424" i="14" s="1"/>
  <c r="M3590" i="13"/>
  <c r="K3401" i="13"/>
  <c r="L3401" i="13" s="1"/>
  <c r="I3402" i="13" s="1"/>
  <c r="J3587" i="13" a="1"/>
  <c r="J3587" i="13" s="1"/>
  <c r="N3588" i="13"/>
  <c r="M3591" i="14"/>
  <c r="J3586" i="14" a="1"/>
  <c r="J3586" i="14" s="1"/>
  <c r="N3587" i="14"/>
  <c r="K3402" i="13" l="1"/>
  <c r="L3402" i="13" s="1"/>
  <c r="I3403" i="13" s="1"/>
  <c r="K3424" i="14"/>
  <c r="L3424" i="14" s="1"/>
  <c r="I3425" i="14" s="1"/>
  <c r="J3587" i="14" a="1"/>
  <c r="J3587" i="14" s="1"/>
  <c r="N3588" i="14"/>
  <c r="J3588" i="13" a="1"/>
  <c r="J3588" i="13" s="1"/>
  <c r="N3589" i="13"/>
  <c r="M3591" i="13"/>
  <c r="M3592" i="14"/>
  <c r="K3403" i="13" l="1"/>
  <c r="L3403" i="13" s="1"/>
  <c r="I3404" i="13" s="1"/>
  <c r="M3592" i="13"/>
  <c r="M3593" i="14"/>
  <c r="J3589" i="13" a="1"/>
  <c r="J3589" i="13" s="1"/>
  <c r="N3590" i="13"/>
  <c r="K3425" i="14"/>
  <c r="L3425" i="14" s="1"/>
  <c r="I3426" i="14" s="1"/>
  <c r="N3589" i="14"/>
  <c r="J3588" i="14" a="1"/>
  <c r="J3588" i="14" s="1"/>
  <c r="K3426" i="14" l="1"/>
  <c r="L3426" i="14" s="1"/>
  <c r="I3427" i="14" s="1"/>
  <c r="K3404" i="13"/>
  <c r="L3404" i="13" s="1"/>
  <c r="I3405" i="13" s="1"/>
  <c r="N3591" i="13"/>
  <c r="J3590" i="13" a="1"/>
  <c r="J3590" i="13" s="1"/>
  <c r="M3593" i="13"/>
  <c r="N3590" i="14"/>
  <c r="J3589" i="14" a="1"/>
  <c r="J3589" i="14" s="1"/>
  <c r="M3594" i="14"/>
  <c r="K3405" i="13" l="1"/>
  <c r="L3405" i="13" s="1"/>
  <c r="I3406" i="13" s="1"/>
  <c r="K3427" i="14"/>
  <c r="L3427" i="14" s="1"/>
  <c r="I3428" i="14" s="1"/>
  <c r="M3594" i="13"/>
  <c r="J3590" i="14" a="1"/>
  <c r="J3590" i="14" s="1"/>
  <c r="N3591" i="14"/>
  <c r="M3595" i="14"/>
  <c r="J3591" i="13" a="1"/>
  <c r="J3591" i="13" s="1"/>
  <c r="N3592" i="13"/>
  <c r="K3428" i="14" l="1"/>
  <c r="L3428" i="14" s="1"/>
  <c r="I3429" i="14" s="1"/>
  <c r="K3406" i="13"/>
  <c r="L3406" i="13" s="1"/>
  <c r="I3407" i="13" s="1"/>
  <c r="J3591" i="14" a="1"/>
  <c r="J3591" i="14" s="1"/>
  <c r="N3592" i="14"/>
  <c r="J3592" i="13" a="1"/>
  <c r="J3592" i="13" s="1"/>
  <c r="N3593" i="13"/>
  <c r="M3596" i="14"/>
  <c r="M3595" i="13"/>
  <c r="K3407" i="13" l="1"/>
  <c r="L3407" i="13" s="1"/>
  <c r="I3408" i="13" s="1"/>
  <c r="K3429" i="14"/>
  <c r="L3429" i="14" s="1"/>
  <c r="I3430" i="14" s="1"/>
  <c r="J3593" i="13" a="1"/>
  <c r="J3593" i="13" s="1"/>
  <c r="N3594" i="13"/>
  <c r="J3592" i="14" a="1"/>
  <c r="J3592" i="14" s="1"/>
  <c r="N3593" i="14"/>
  <c r="M3596" i="13"/>
  <c r="M3597" i="14"/>
  <c r="K3430" i="14" l="1"/>
  <c r="L3430" i="14" s="1"/>
  <c r="I3431" i="14" s="1"/>
  <c r="K3408" i="13"/>
  <c r="L3408" i="13" s="1"/>
  <c r="I3409" i="13" s="1"/>
  <c r="M3598" i="14"/>
  <c r="N3594" i="14"/>
  <c r="J3593" i="14" a="1"/>
  <c r="J3593" i="14" s="1"/>
  <c r="N3595" i="13"/>
  <c r="J3594" i="13" a="1"/>
  <c r="J3594" i="13" s="1"/>
  <c r="M3597" i="13"/>
  <c r="K3409" i="13" l="1"/>
  <c r="L3409" i="13" s="1"/>
  <c r="I3410" i="13" s="1"/>
  <c r="K3431" i="14"/>
  <c r="L3431" i="14" s="1"/>
  <c r="I3432" i="14" s="1"/>
  <c r="J3594" i="14" a="1"/>
  <c r="J3594" i="14" s="1"/>
  <c r="N3595" i="14"/>
  <c r="M3598" i="13"/>
  <c r="J3595" i="13" a="1"/>
  <c r="J3595" i="13" s="1"/>
  <c r="N3596" i="13"/>
  <c r="M3599" i="14"/>
  <c r="K3432" i="14" l="1"/>
  <c r="L3432" i="14" s="1"/>
  <c r="I3433" i="14" s="1"/>
  <c r="K3410" i="13"/>
  <c r="L3410" i="13" s="1"/>
  <c r="I3411" i="13" s="1"/>
  <c r="M3600" i="14"/>
  <c r="M3599" i="13"/>
  <c r="J3595" i="14" a="1"/>
  <c r="J3595" i="14" s="1"/>
  <c r="N3596" i="14"/>
  <c r="J3596" i="13" a="1"/>
  <c r="J3596" i="13" s="1"/>
  <c r="N3597" i="13"/>
  <c r="K3411" i="13" l="1"/>
  <c r="L3411" i="13" s="1"/>
  <c r="I3412" i="13" s="1"/>
  <c r="K3433" i="14"/>
  <c r="L3433" i="14" s="1"/>
  <c r="I3434" i="14" s="1"/>
  <c r="J3597" i="13" a="1"/>
  <c r="J3597" i="13" s="1"/>
  <c r="N3598" i="13"/>
  <c r="N3597" i="14"/>
  <c r="J3596" i="14" a="1"/>
  <c r="J3596" i="14" s="1"/>
  <c r="M3601" i="14"/>
  <c r="M3600" i="13"/>
  <c r="K3434" i="14" l="1"/>
  <c r="L3434" i="14" s="1"/>
  <c r="I3435" i="14" s="1"/>
  <c r="K3412" i="13"/>
  <c r="L3412" i="13" s="1"/>
  <c r="I3413" i="13" s="1"/>
  <c r="M3602" i="14"/>
  <c r="M3601" i="13"/>
  <c r="N3598" i="14"/>
  <c r="J3597" i="14" a="1"/>
  <c r="J3597" i="14" s="1"/>
  <c r="N3599" i="13"/>
  <c r="J3598" i="13" a="1"/>
  <c r="J3598" i="13" s="1"/>
  <c r="K3413" i="13" l="1"/>
  <c r="L3413" i="13" s="1"/>
  <c r="I3414" i="13" s="1"/>
  <c r="K3435" i="14"/>
  <c r="L3435" i="14" s="1"/>
  <c r="I3436" i="14" s="1"/>
  <c r="M3602" i="13"/>
  <c r="J3599" i="13" a="1"/>
  <c r="J3599" i="13" s="1"/>
  <c r="N3600" i="13"/>
  <c r="J3598" i="14" a="1"/>
  <c r="J3598" i="14" s="1"/>
  <c r="N3599" i="14"/>
  <c r="M3603" i="14"/>
  <c r="K3414" i="13" l="1"/>
  <c r="L3414" i="13" s="1"/>
  <c r="I3415" i="13" s="1"/>
  <c r="J3600" i="13" a="1"/>
  <c r="J3600" i="13" s="1"/>
  <c r="N3601" i="13"/>
  <c r="K3436" i="14"/>
  <c r="L3436" i="14" s="1"/>
  <c r="I3437" i="14" s="1"/>
  <c r="M3604" i="14"/>
  <c r="J3599" i="14" a="1"/>
  <c r="J3599" i="14" s="1"/>
  <c r="N3600" i="14"/>
  <c r="M3603" i="13"/>
  <c r="K3437" i="14" l="1"/>
  <c r="L3437" i="14" s="1"/>
  <c r="I3438" i="14" s="1"/>
  <c r="K3415" i="13"/>
  <c r="L3415" i="13" s="1"/>
  <c r="I3416" i="13" s="1"/>
  <c r="J3600" i="14" a="1"/>
  <c r="J3600" i="14" s="1"/>
  <c r="N3601" i="14"/>
  <c r="M3605" i="14"/>
  <c r="J3601" i="13" a="1"/>
  <c r="J3601" i="13" s="1"/>
  <c r="N3602" i="13"/>
  <c r="M3604" i="13"/>
  <c r="K3438" i="14" l="1"/>
  <c r="L3438" i="14" s="1"/>
  <c r="I3439" i="14" s="1"/>
  <c r="K3416" i="13"/>
  <c r="L3416" i="13" s="1"/>
  <c r="I3417" i="13" s="1"/>
  <c r="M3605" i="13"/>
  <c r="M3606" i="14"/>
  <c r="N3603" i="13"/>
  <c r="J3602" i="13" a="1"/>
  <c r="J3602" i="13" s="1"/>
  <c r="N3602" i="14"/>
  <c r="J3601" i="14" a="1"/>
  <c r="J3601" i="14" s="1"/>
  <c r="K3417" i="13" l="1"/>
  <c r="L3417" i="13" s="1"/>
  <c r="I3418" i="13" s="1"/>
  <c r="K3439" i="14"/>
  <c r="L3439" i="14" s="1"/>
  <c r="I3440" i="14" s="1"/>
  <c r="J3602" i="14" a="1"/>
  <c r="J3602" i="14" s="1"/>
  <c r="N3603" i="14"/>
  <c r="M3607" i="14"/>
  <c r="M3606" i="13"/>
  <c r="J3603" i="13" a="1"/>
  <c r="J3603" i="13" s="1"/>
  <c r="N3604" i="13"/>
  <c r="K3440" i="14" l="1"/>
  <c r="L3440" i="14" s="1"/>
  <c r="I3441" i="14" s="1"/>
  <c r="J3604" i="13" a="1"/>
  <c r="J3604" i="13" s="1"/>
  <c r="N3605" i="13"/>
  <c r="M3608" i="14"/>
  <c r="M3607" i="13"/>
  <c r="J3603" i="14" a="1"/>
  <c r="J3603" i="14" s="1"/>
  <c r="N3604" i="14"/>
  <c r="K3418" i="13"/>
  <c r="L3418" i="13" s="1"/>
  <c r="I3419" i="13" s="1"/>
  <c r="K3441" i="14" l="1"/>
  <c r="L3441" i="14" s="1"/>
  <c r="I3442" i="14" s="1"/>
  <c r="K3419" i="13"/>
  <c r="L3419" i="13" s="1"/>
  <c r="I3420" i="13" s="1"/>
  <c r="J3605" i="13" a="1"/>
  <c r="J3605" i="13" s="1"/>
  <c r="N3606" i="13"/>
  <c r="N3605" i="14"/>
  <c r="J3604" i="14" a="1"/>
  <c r="J3604" i="14" s="1"/>
  <c r="M3608" i="13"/>
  <c r="M3609" i="14"/>
  <c r="K3420" i="13" l="1"/>
  <c r="L3420" i="13" s="1"/>
  <c r="I3421" i="13" s="1"/>
  <c r="K3442" i="14"/>
  <c r="L3442" i="14" s="1"/>
  <c r="I3443" i="14" s="1"/>
  <c r="M3609" i="13"/>
  <c r="M3610" i="14"/>
  <c r="N3606" i="14"/>
  <c r="J3605" i="14" a="1"/>
  <c r="J3605" i="14" s="1"/>
  <c r="N3607" i="13"/>
  <c r="J3606" i="13" a="1"/>
  <c r="J3606" i="13" s="1"/>
  <c r="K3421" i="13" l="1"/>
  <c r="L3421" i="13" s="1"/>
  <c r="I3422" i="13" s="1"/>
  <c r="K3443" i="14"/>
  <c r="L3443" i="14" s="1"/>
  <c r="I3444" i="14" s="1"/>
  <c r="J3607" i="13" a="1"/>
  <c r="J3607" i="13" s="1"/>
  <c r="N3608" i="13"/>
  <c r="M3611" i="14"/>
  <c r="M3610" i="13"/>
  <c r="J3606" i="14" a="1"/>
  <c r="J3606" i="14" s="1"/>
  <c r="N3607" i="14"/>
  <c r="K3444" i="14" l="1"/>
  <c r="L3444" i="14" s="1"/>
  <c r="I3445" i="14" s="1"/>
  <c r="K3422" i="13"/>
  <c r="L3422" i="13" s="1"/>
  <c r="I3423" i="13" s="1"/>
  <c r="J3607" i="14" a="1"/>
  <c r="J3607" i="14" s="1"/>
  <c r="N3608" i="14"/>
  <c r="M3612" i="14"/>
  <c r="J3608" i="13" a="1"/>
  <c r="J3608" i="13" s="1"/>
  <c r="N3609" i="13"/>
  <c r="M3611" i="13"/>
  <c r="K3445" i="14" l="1"/>
  <c r="L3445" i="14" s="1"/>
  <c r="I3446" i="14" s="1"/>
  <c r="M3612" i="13"/>
  <c r="M3613" i="14"/>
  <c r="K3423" i="13"/>
  <c r="L3423" i="13" s="1"/>
  <c r="I3424" i="13" s="1"/>
  <c r="J3609" i="13" a="1"/>
  <c r="J3609" i="13" s="1"/>
  <c r="N3610" i="13"/>
  <c r="J3608" i="14" a="1"/>
  <c r="J3608" i="14" s="1"/>
  <c r="N3609" i="14"/>
  <c r="K3424" i="13" l="1"/>
  <c r="L3424" i="13" s="1"/>
  <c r="I3425" i="13" s="1"/>
  <c r="K3446" i="14"/>
  <c r="L3446" i="14" s="1"/>
  <c r="I3447" i="14" s="1"/>
  <c r="N3610" i="14"/>
  <c r="J3609" i="14" a="1"/>
  <c r="J3609" i="14" s="1"/>
  <c r="M3613" i="13"/>
  <c r="N3611" i="13"/>
  <c r="J3610" i="13" a="1"/>
  <c r="J3610" i="13" s="1"/>
  <c r="M3614" i="14"/>
  <c r="K3425" i="13" l="1"/>
  <c r="L3425" i="13" s="1"/>
  <c r="I3426" i="13" s="1"/>
  <c r="M3614" i="13"/>
  <c r="K3447" i="14"/>
  <c r="L3447" i="14" s="1"/>
  <c r="I3448" i="14" s="1"/>
  <c r="M3615" i="14"/>
  <c r="J3611" i="13" a="1"/>
  <c r="J3611" i="13" s="1"/>
  <c r="N3612" i="13"/>
  <c r="J3610" i="14" a="1"/>
  <c r="J3610" i="14" s="1"/>
  <c r="N3611" i="14"/>
  <c r="K3426" i="13" l="1"/>
  <c r="L3426" i="13" s="1"/>
  <c r="I3427" i="13" s="1"/>
  <c r="J3611" i="14" a="1"/>
  <c r="J3611" i="14" s="1"/>
  <c r="N3612" i="14"/>
  <c r="M3616" i="14"/>
  <c r="M3615" i="13"/>
  <c r="J3612" i="13" a="1"/>
  <c r="J3612" i="13" s="1"/>
  <c r="N3613" i="13"/>
  <c r="K3448" i="14"/>
  <c r="L3448" i="14" s="1"/>
  <c r="I3449" i="14" s="1"/>
  <c r="K3449" i="14" l="1"/>
  <c r="L3449" i="14" s="1"/>
  <c r="I3450" i="14" s="1"/>
  <c r="K3427" i="13"/>
  <c r="L3427" i="13" s="1"/>
  <c r="I3428" i="13" s="1"/>
  <c r="N3613" i="14"/>
  <c r="J3612" i="14" a="1"/>
  <c r="J3612" i="14" s="1"/>
  <c r="M3616" i="13"/>
  <c r="J3613" i="13" a="1"/>
  <c r="J3613" i="13" s="1"/>
  <c r="N3614" i="13"/>
  <c r="M3617" i="14"/>
  <c r="K3428" i="13" l="1"/>
  <c r="L3428" i="13" s="1"/>
  <c r="I3429" i="13" s="1"/>
  <c r="K3450" i="14"/>
  <c r="L3450" i="14" s="1"/>
  <c r="I3451" i="14" s="1"/>
  <c r="M3618" i="14"/>
  <c r="M3617" i="13"/>
  <c r="N3615" i="13"/>
  <c r="J3614" i="13" a="1"/>
  <c r="J3614" i="13" s="1"/>
  <c r="N3614" i="14"/>
  <c r="J3613" i="14" a="1"/>
  <c r="J3613" i="14" s="1"/>
  <c r="M3618" i="13" l="1"/>
  <c r="K3451" i="14"/>
  <c r="L3451" i="14" s="1"/>
  <c r="I3452" i="14" s="1"/>
  <c r="J3614" i="14" a="1"/>
  <c r="J3614" i="14" s="1"/>
  <c r="N3615" i="14"/>
  <c r="J3615" i="13" a="1"/>
  <c r="J3615" i="13" s="1"/>
  <c r="N3616" i="13"/>
  <c r="M3619" i="14"/>
  <c r="K3429" i="13"/>
  <c r="L3429" i="13" s="1"/>
  <c r="I3430" i="13" s="1"/>
  <c r="K3430" i="13" l="1"/>
  <c r="L3430" i="13" s="1"/>
  <c r="I3431" i="13" s="1"/>
  <c r="K3452" i="14"/>
  <c r="L3452" i="14" s="1"/>
  <c r="I3453" i="14" s="1"/>
  <c r="M3620" i="14"/>
  <c r="J3616" i="13" a="1"/>
  <c r="J3616" i="13" s="1"/>
  <c r="N3617" i="13"/>
  <c r="J3615" i="14" a="1"/>
  <c r="J3615" i="14" s="1"/>
  <c r="N3616" i="14"/>
  <c r="M3619" i="13"/>
  <c r="K3453" i="14" l="1"/>
  <c r="L3453" i="14" s="1"/>
  <c r="I3454" i="14" s="1"/>
  <c r="K3431" i="13"/>
  <c r="L3431" i="13" s="1"/>
  <c r="I3432" i="13" s="1"/>
  <c r="M3620" i="13"/>
  <c r="J3617" i="13" a="1"/>
  <c r="J3617" i="13" s="1"/>
  <c r="N3618" i="13"/>
  <c r="J3616" i="14" a="1"/>
  <c r="J3616" i="14" s="1"/>
  <c r="N3617" i="14"/>
  <c r="M3621" i="14"/>
  <c r="K3432" i="13" l="1"/>
  <c r="L3432" i="13" s="1"/>
  <c r="I3433" i="13" s="1"/>
  <c r="K3454" i="14"/>
  <c r="L3454" i="14" s="1"/>
  <c r="I3455" i="14" s="1"/>
  <c r="N3619" i="13"/>
  <c r="J3618" i="13" a="1"/>
  <c r="J3618" i="13" s="1"/>
  <c r="M3622" i="14"/>
  <c r="N3618" i="14"/>
  <c r="J3617" i="14" a="1"/>
  <c r="J3617" i="14" s="1"/>
  <c r="M3621" i="13"/>
  <c r="K3455" i="14" l="1"/>
  <c r="L3455" i="14" s="1"/>
  <c r="I3456" i="14" s="1"/>
  <c r="K3433" i="13"/>
  <c r="L3433" i="13" s="1"/>
  <c r="I3434" i="13" s="1"/>
  <c r="M3622" i="13"/>
  <c r="M3623" i="14"/>
  <c r="J3618" i="14" a="1"/>
  <c r="J3618" i="14" s="1"/>
  <c r="N3619" i="14"/>
  <c r="J3619" i="13" a="1"/>
  <c r="J3619" i="13" s="1"/>
  <c r="N3620" i="13"/>
  <c r="K3434" i="13" l="1"/>
  <c r="L3434" i="13" s="1"/>
  <c r="I3435" i="13" s="1"/>
  <c r="K3456" i="14"/>
  <c r="L3456" i="14" s="1"/>
  <c r="I3457" i="14" s="1"/>
  <c r="J3620" i="13" a="1"/>
  <c r="J3620" i="13" s="1"/>
  <c r="N3621" i="13"/>
  <c r="M3624" i="14"/>
  <c r="J3619" i="14" a="1"/>
  <c r="J3619" i="14" s="1"/>
  <c r="N3620" i="14"/>
  <c r="M3623" i="13"/>
  <c r="K3435" i="13" l="1"/>
  <c r="L3435" i="13" s="1"/>
  <c r="I3436" i="13" s="1"/>
  <c r="M3625" i="14"/>
  <c r="J3621" i="13" a="1"/>
  <c r="J3621" i="13" s="1"/>
  <c r="N3622" i="13"/>
  <c r="M3624" i="13"/>
  <c r="K3457" i="14"/>
  <c r="L3457" i="14" s="1"/>
  <c r="I3458" i="14" s="1"/>
  <c r="N3621" i="14"/>
  <c r="J3620" i="14" a="1"/>
  <c r="J3620" i="14" s="1"/>
  <c r="K3436" i="13" l="1"/>
  <c r="L3436" i="13" s="1"/>
  <c r="I3437" i="13" s="1"/>
  <c r="K3458" i="14"/>
  <c r="L3458" i="14" s="1"/>
  <c r="I3459" i="14" s="1"/>
  <c r="N3622" i="14"/>
  <c r="J3621" i="14" a="1"/>
  <c r="J3621" i="14" s="1"/>
  <c r="M3625" i="13"/>
  <c r="M3626" i="14"/>
  <c r="N3623" i="13"/>
  <c r="J3622" i="13" a="1"/>
  <c r="J3622" i="13" s="1"/>
  <c r="K3459" i="14" l="1"/>
  <c r="L3459" i="14" s="1"/>
  <c r="I3460" i="14" s="1"/>
  <c r="K3437" i="13"/>
  <c r="L3437" i="13" s="1"/>
  <c r="I3438" i="13" s="1"/>
  <c r="M3626" i="13"/>
  <c r="J3623" i="13" a="1"/>
  <c r="J3623" i="13" s="1"/>
  <c r="N3624" i="13"/>
  <c r="M3627" i="14"/>
  <c r="J3622" i="14" a="1"/>
  <c r="J3622" i="14" s="1"/>
  <c r="N3623" i="14"/>
  <c r="K3460" i="14" l="1"/>
  <c r="L3460" i="14" s="1"/>
  <c r="I3461" i="14" s="1"/>
  <c r="J3623" i="14" a="1"/>
  <c r="J3623" i="14" s="1"/>
  <c r="N3624" i="14"/>
  <c r="J3624" i="13" a="1"/>
  <c r="J3624" i="13" s="1"/>
  <c r="N3625" i="13"/>
  <c r="K3438" i="13"/>
  <c r="L3438" i="13" s="1"/>
  <c r="I3439" i="13" s="1"/>
  <c r="M3628" i="14"/>
  <c r="M3627" i="13"/>
  <c r="K3461" i="14" l="1"/>
  <c r="L3461" i="14" s="1"/>
  <c r="I3462" i="14" s="1"/>
  <c r="J3624" i="14" a="1"/>
  <c r="J3624" i="14" s="1"/>
  <c r="N3625" i="14"/>
  <c r="M3628" i="13"/>
  <c r="K3439" i="13"/>
  <c r="L3439" i="13" s="1"/>
  <c r="I3440" i="13" s="1"/>
  <c r="M3629" i="14"/>
  <c r="J3625" i="13" a="1"/>
  <c r="J3625" i="13" s="1"/>
  <c r="N3626" i="13"/>
  <c r="K3440" i="13" l="1"/>
  <c r="L3440" i="13" s="1"/>
  <c r="I3441" i="13" s="1"/>
  <c r="K3462" i="14"/>
  <c r="L3462" i="14" s="1"/>
  <c r="I3463" i="14" s="1"/>
  <c r="N3626" i="14"/>
  <c r="J3625" i="14" a="1"/>
  <c r="J3625" i="14" s="1"/>
  <c r="N3627" i="13"/>
  <c r="J3626" i="13" a="1"/>
  <c r="J3626" i="13" s="1"/>
  <c r="M3630" i="14"/>
  <c r="M3629" i="13"/>
  <c r="K3463" i="14" l="1"/>
  <c r="L3463" i="14" s="1"/>
  <c r="I3464" i="14" s="1"/>
  <c r="K3441" i="13"/>
  <c r="L3441" i="13" s="1"/>
  <c r="I3442" i="13" s="1"/>
  <c r="J3627" i="13" a="1"/>
  <c r="J3627" i="13" s="1"/>
  <c r="N3628" i="13"/>
  <c r="M3630" i="13"/>
  <c r="M3631" i="14"/>
  <c r="J3626" i="14" a="1"/>
  <c r="J3626" i="14" s="1"/>
  <c r="N3627" i="14"/>
  <c r="K3464" i="14" l="1"/>
  <c r="L3464" i="14" s="1"/>
  <c r="I3465" i="14" s="1"/>
  <c r="K3442" i="13"/>
  <c r="L3442" i="13" s="1"/>
  <c r="I3443" i="13" s="1"/>
  <c r="J3627" i="14" a="1"/>
  <c r="J3627" i="14" s="1"/>
  <c r="N3628" i="14"/>
  <c r="M3631" i="13"/>
  <c r="M3632" i="14"/>
  <c r="J3628" i="13" a="1"/>
  <c r="J3628" i="13" s="1"/>
  <c r="N3629" i="13"/>
  <c r="K3465" i="14" l="1"/>
  <c r="L3465" i="14" s="1"/>
  <c r="I3466" i="14" s="1"/>
  <c r="M3633" i="14"/>
  <c r="J3629" i="13" a="1"/>
  <c r="J3629" i="13" s="1"/>
  <c r="N3630" i="13"/>
  <c r="M3632" i="13"/>
  <c r="K3443" i="13"/>
  <c r="L3443" i="13" s="1"/>
  <c r="I3444" i="13" s="1"/>
  <c r="N3629" i="14"/>
  <c r="J3628" i="14" a="1"/>
  <c r="J3628" i="14" s="1"/>
  <c r="K3444" i="13" l="1"/>
  <c r="L3444" i="13" s="1"/>
  <c r="I3445" i="13" s="1"/>
  <c r="K3466" i="14"/>
  <c r="L3466" i="14" s="1"/>
  <c r="I3467" i="14" s="1"/>
  <c r="N3630" i="14"/>
  <c r="J3629" i="14" a="1"/>
  <c r="J3629" i="14" s="1"/>
  <c r="M3633" i="13"/>
  <c r="M3634" i="14"/>
  <c r="N3631" i="13"/>
  <c r="J3630" i="13" a="1"/>
  <c r="J3630" i="13" s="1"/>
  <c r="K3467" i="14" l="1"/>
  <c r="L3467" i="14" s="1"/>
  <c r="I3468" i="14" s="1"/>
  <c r="K3445" i="13"/>
  <c r="L3445" i="13" s="1"/>
  <c r="I3446" i="13" s="1"/>
  <c r="M3634" i="13"/>
  <c r="J3631" i="13" a="1"/>
  <c r="J3631" i="13" s="1"/>
  <c r="N3632" i="13"/>
  <c r="M3635" i="14"/>
  <c r="J3630" i="14" a="1"/>
  <c r="J3630" i="14" s="1"/>
  <c r="N3631" i="14"/>
  <c r="K3446" i="13" l="1"/>
  <c r="L3446" i="13" s="1"/>
  <c r="I3447" i="13" s="1"/>
  <c r="K3468" i="14"/>
  <c r="L3468" i="14" s="1"/>
  <c r="I3469" i="14" s="1"/>
  <c r="J3631" i="14" a="1"/>
  <c r="J3631" i="14" s="1"/>
  <c r="N3632" i="14"/>
  <c r="J3632" i="13" a="1"/>
  <c r="J3632" i="13" s="1"/>
  <c r="N3633" i="13"/>
  <c r="M3636" i="14"/>
  <c r="M3635" i="13"/>
  <c r="K3469" i="14" l="1"/>
  <c r="L3469" i="14" s="1"/>
  <c r="I3470" i="14" s="1"/>
  <c r="K3447" i="13"/>
  <c r="L3447" i="13" s="1"/>
  <c r="I3448" i="13" s="1"/>
  <c r="J3633" i="13" a="1"/>
  <c r="J3633" i="13" s="1"/>
  <c r="N3634" i="13"/>
  <c r="M3637" i="14"/>
  <c r="J3632" i="14" a="1"/>
  <c r="J3632" i="14" s="1"/>
  <c r="N3633" i="14"/>
  <c r="M3636" i="13"/>
  <c r="K3448" i="13" l="1"/>
  <c r="L3448" i="13" s="1"/>
  <c r="I3449" i="13" s="1"/>
  <c r="K3470" i="14"/>
  <c r="L3470" i="14" s="1"/>
  <c r="I3471" i="14" s="1"/>
  <c r="N3634" i="14"/>
  <c r="J3633" i="14" a="1"/>
  <c r="J3633" i="14" s="1"/>
  <c r="M3637" i="13"/>
  <c r="M3638" i="14"/>
  <c r="N3635" i="13"/>
  <c r="J3634" i="13" a="1"/>
  <c r="J3634" i="13" s="1"/>
  <c r="K3471" i="14" l="1"/>
  <c r="L3471" i="14" s="1"/>
  <c r="I3472" i="14" s="1"/>
  <c r="K3449" i="13"/>
  <c r="L3449" i="13" s="1"/>
  <c r="I3450" i="13" s="1"/>
  <c r="M3638" i="13"/>
  <c r="J3635" i="13" a="1"/>
  <c r="J3635" i="13" s="1"/>
  <c r="N3636" i="13"/>
  <c r="M3639" i="14"/>
  <c r="J3634" i="14" a="1"/>
  <c r="J3634" i="14" s="1"/>
  <c r="N3635" i="14"/>
  <c r="K3450" i="13" l="1"/>
  <c r="L3450" i="13" s="1"/>
  <c r="I3451" i="13" s="1"/>
  <c r="K3472" i="14"/>
  <c r="L3472" i="14" s="1"/>
  <c r="I3473" i="14" s="1"/>
  <c r="J3635" i="14" a="1"/>
  <c r="J3635" i="14" s="1"/>
  <c r="N3636" i="14"/>
  <c r="J3636" i="13" a="1"/>
  <c r="J3636" i="13" s="1"/>
  <c r="N3637" i="13"/>
  <c r="M3640" i="14"/>
  <c r="M3639" i="13"/>
  <c r="K3473" i="14" l="1"/>
  <c r="L3473" i="14" s="1"/>
  <c r="I3474" i="14" s="1"/>
  <c r="K3451" i="13"/>
  <c r="L3451" i="13" s="1"/>
  <c r="I3452" i="13" s="1"/>
  <c r="J3637" i="13" a="1"/>
  <c r="J3637" i="13" s="1"/>
  <c r="N3638" i="13"/>
  <c r="M3640" i="13"/>
  <c r="M3641" i="14"/>
  <c r="N3637" i="14"/>
  <c r="J3636" i="14" a="1"/>
  <c r="J3636" i="14" s="1"/>
  <c r="K3452" i="13" l="1"/>
  <c r="L3452" i="13" s="1"/>
  <c r="I3453" i="13" s="1"/>
  <c r="K3474" i="14"/>
  <c r="L3474" i="14" s="1"/>
  <c r="I3475" i="14" s="1"/>
  <c r="N3638" i="14"/>
  <c r="J3637" i="14" a="1"/>
  <c r="J3637" i="14" s="1"/>
  <c r="M3641" i="13"/>
  <c r="N3639" i="13"/>
  <c r="J3638" i="13" a="1"/>
  <c r="J3638" i="13" s="1"/>
  <c r="M3642" i="14"/>
  <c r="K3475" i="14" l="1"/>
  <c r="L3475" i="14" s="1"/>
  <c r="I3476" i="14" s="1"/>
  <c r="K3453" i="13"/>
  <c r="L3453" i="13" s="1"/>
  <c r="I3454" i="13" s="1"/>
  <c r="M3642" i="13"/>
  <c r="M3643" i="14"/>
  <c r="J3639" i="13" a="1"/>
  <c r="J3639" i="13" s="1"/>
  <c r="N3640" i="13"/>
  <c r="J3638" i="14" a="1"/>
  <c r="J3638" i="14" s="1"/>
  <c r="N3639" i="14"/>
  <c r="K3454" i="13" l="1"/>
  <c r="L3454" i="13" s="1"/>
  <c r="I3455" i="13" s="1"/>
  <c r="K3476" i="14"/>
  <c r="L3476" i="14" s="1"/>
  <c r="I3477" i="14" s="1"/>
  <c r="J3639" i="14" a="1"/>
  <c r="J3639" i="14" s="1"/>
  <c r="N3640" i="14"/>
  <c r="M3644" i="14"/>
  <c r="J3640" i="13" a="1"/>
  <c r="J3640" i="13" s="1"/>
  <c r="N3641" i="13"/>
  <c r="M3643" i="13"/>
  <c r="K3477" i="14" l="1"/>
  <c r="L3477" i="14" s="1"/>
  <c r="I3478" i="14" s="1"/>
  <c r="K3455" i="13"/>
  <c r="L3455" i="13" s="1"/>
  <c r="I3456" i="13" s="1"/>
  <c r="J3641" i="13" a="1"/>
  <c r="J3641" i="13" s="1"/>
  <c r="N3642" i="13"/>
  <c r="M3645" i="14"/>
  <c r="M3644" i="13"/>
  <c r="J3640" i="14" a="1"/>
  <c r="J3640" i="14" s="1"/>
  <c r="N3641" i="14"/>
  <c r="K3456" i="13" l="1"/>
  <c r="L3456" i="13" s="1"/>
  <c r="I3457" i="13" s="1"/>
  <c r="K3478" i="14"/>
  <c r="L3478" i="14" s="1"/>
  <c r="I3479" i="14" s="1"/>
  <c r="N3642" i="14"/>
  <c r="J3641" i="14" a="1"/>
  <c r="J3641" i="14" s="1"/>
  <c r="M3646" i="14"/>
  <c r="N3643" i="13"/>
  <c r="J3642" i="13" a="1"/>
  <c r="J3642" i="13" s="1"/>
  <c r="M3645" i="13"/>
  <c r="K3479" i="14" l="1"/>
  <c r="L3479" i="14" s="1"/>
  <c r="I3480" i="14" s="1"/>
  <c r="K3457" i="13"/>
  <c r="L3457" i="13" s="1"/>
  <c r="I3458" i="13" s="1"/>
  <c r="M3646" i="13"/>
  <c r="M3647" i="14"/>
  <c r="J3643" i="13" a="1"/>
  <c r="J3643" i="13" s="1"/>
  <c r="N3644" i="13"/>
  <c r="J3642" i="14" a="1"/>
  <c r="J3642" i="14" s="1"/>
  <c r="N3643" i="14"/>
  <c r="K3458" i="13" l="1"/>
  <c r="L3458" i="13" s="1"/>
  <c r="I3459" i="13" s="1"/>
  <c r="K3480" i="14"/>
  <c r="L3480" i="14" s="1"/>
  <c r="I3481" i="14" s="1"/>
  <c r="M3648" i="14"/>
  <c r="J3643" i="14" a="1"/>
  <c r="J3643" i="14" s="1"/>
  <c r="N3644" i="14"/>
  <c r="J3644" i="13" a="1"/>
  <c r="J3644" i="13" s="1"/>
  <c r="N3645" i="13"/>
  <c r="M3647" i="13"/>
  <c r="K3481" i="14" l="1"/>
  <c r="L3481" i="14" s="1"/>
  <c r="I3482" i="14" s="1"/>
  <c r="K3459" i="13"/>
  <c r="L3459" i="13" s="1"/>
  <c r="I3460" i="13" s="1"/>
  <c r="N3645" i="14"/>
  <c r="J3644" i="14" a="1"/>
  <c r="J3644" i="14" s="1"/>
  <c r="J3645" i="13" a="1"/>
  <c r="J3645" i="13" s="1"/>
  <c r="N3646" i="13"/>
  <c r="M3649" i="14"/>
  <c r="M3648" i="13"/>
  <c r="K3460" i="13" l="1"/>
  <c r="L3460" i="13" s="1"/>
  <c r="I3461" i="13" s="1"/>
  <c r="K3482" i="14"/>
  <c r="L3482" i="14" s="1"/>
  <c r="I3483" i="14" s="1"/>
  <c r="N3647" i="13"/>
  <c r="J3646" i="13" a="1"/>
  <c r="J3646" i="13" s="1"/>
  <c r="M3649" i="13"/>
  <c r="M3650" i="14"/>
  <c r="N3646" i="14"/>
  <c r="J3645" i="14" a="1"/>
  <c r="J3645" i="14" s="1"/>
  <c r="K3483" i="14" l="1"/>
  <c r="L3483" i="14" s="1"/>
  <c r="I3484" i="14" s="1"/>
  <c r="K3461" i="13"/>
  <c r="L3461" i="13" s="1"/>
  <c r="I3462" i="13" s="1"/>
  <c r="M3650" i="13"/>
  <c r="J3646" i="14" a="1"/>
  <c r="J3646" i="14" s="1"/>
  <c r="N3647" i="14"/>
  <c r="M3651" i="14"/>
  <c r="J3647" i="13" a="1"/>
  <c r="J3647" i="13" s="1"/>
  <c r="N3648" i="13"/>
  <c r="K3484" i="14" l="1"/>
  <c r="L3484" i="14" s="1"/>
  <c r="I3485" i="14" s="1"/>
  <c r="J3647" i="14" a="1"/>
  <c r="J3647" i="14" s="1"/>
  <c r="N3648" i="14"/>
  <c r="J3648" i="13" a="1"/>
  <c r="J3648" i="13" s="1"/>
  <c r="N3649" i="13"/>
  <c r="K3462" i="13"/>
  <c r="L3462" i="13" s="1"/>
  <c r="I3463" i="13" s="1"/>
  <c r="M3652" i="14"/>
  <c r="M3651" i="13"/>
  <c r="K3463" i="13" l="1"/>
  <c r="L3463" i="13" s="1"/>
  <c r="I3464" i="13" s="1"/>
  <c r="K3485" i="14"/>
  <c r="L3485" i="14" s="1"/>
  <c r="I3486" i="14" s="1"/>
  <c r="J3648" i="14" a="1"/>
  <c r="J3648" i="14" s="1"/>
  <c r="N3649" i="14"/>
  <c r="M3652" i="13"/>
  <c r="J3649" i="13" a="1"/>
  <c r="J3649" i="13" s="1"/>
  <c r="N3650" i="13"/>
  <c r="M3653" i="14"/>
  <c r="K3486" i="14" l="1"/>
  <c r="L3486" i="14" s="1"/>
  <c r="I3487" i="14" s="1"/>
  <c r="K3464" i="13"/>
  <c r="L3464" i="13" s="1"/>
  <c r="I3465" i="13" s="1"/>
  <c r="M3654" i="14"/>
  <c r="M3653" i="13"/>
  <c r="N3651" i="13"/>
  <c r="J3650" i="13" a="1"/>
  <c r="J3650" i="13" s="1"/>
  <c r="N3650" i="14"/>
  <c r="J3649" i="14" a="1"/>
  <c r="J3649" i="14" s="1"/>
  <c r="K3487" i="14" l="1"/>
  <c r="L3487" i="14" s="1"/>
  <c r="I3488" i="14" s="1"/>
  <c r="M3654" i="13"/>
  <c r="K3465" i="13"/>
  <c r="L3465" i="13" s="1"/>
  <c r="I3466" i="13" s="1"/>
  <c r="J3650" i="14" a="1"/>
  <c r="J3650" i="14" s="1"/>
  <c r="N3651" i="14"/>
  <c r="J3651" i="13" a="1"/>
  <c r="J3651" i="13" s="1"/>
  <c r="N3652" i="13"/>
  <c r="M3655" i="14"/>
  <c r="K3466" i="13" l="1"/>
  <c r="L3466" i="13" s="1"/>
  <c r="I3467" i="13" s="1"/>
  <c r="K3488" i="14"/>
  <c r="L3488" i="14" s="1"/>
  <c r="I3489" i="14" s="1"/>
  <c r="J3651" i="14" a="1"/>
  <c r="J3651" i="14" s="1"/>
  <c r="N3652" i="14"/>
  <c r="M3655" i="13"/>
  <c r="J3652" i="13" a="1"/>
  <c r="J3652" i="13" s="1"/>
  <c r="N3653" i="13"/>
  <c r="M3656" i="14"/>
  <c r="K3489" i="14" l="1"/>
  <c r="L3489" i="14" s="1"/>
  <c r="I3490" i="14" s="1"/>
  <c r="K3467" i="13"/>
  <c r="L3467" i="13" s="1"/>
  <c r="I3468" i="13" s="1"/>
  <c r="M3657" i="14"/>
  <c r="M3656" i="13"/>
  <c r="J3653" i="13" a="1"/>
  <c r="J3653" i="13" s="1"/>
  <c r="N3654" i="13"/>
  <c r="N3653" i="14"/>
  <c r="J3652" i="14" a="1"/>
  <c r="J3652" i="14" s="1"/>
  <c r="K3468" i="13" l="1"/>
  <c r="L3468" i="13" s="1"/>
  <c r="I3469" i="13" s="1"/>
  <c r="K3490" i="14"/>
  <c r="L3490" i="14" s="1"/>
  <c r="I3491" i="14" s="1"/>
  <c r="N3654" i="14"/>
  <c r="J3653" i="14" a="1"/>
  <c r="J3653" i="14" s="1"/>
  <c r="M3657" i="13"/>
  <c r="N3655" i="13"/>
  <c r="J3654" i="13" a="1"/>
  <c r="J3654" i="13" s="1"/>
  <c r="M3658" i="14"/>
  <c r="K3491" i="14" l="1"/>
  <c r="L3491" i="14" s="1"/>
  <c r="I3492" i="14" s="1"/>
  <c r="K3469" i="13"/>
  <c r="L3469" i="13" s="1"/>
  <c r="I3470" i="13" s="1"/>
  <c r="J3655" i="13" a="1"/>
  <c r="J3655" i="13" s="1"/>
  <c r="N3656" i="13"/>
  <c r="M3658" i="13"/>
  <c r="M3659" i="14"/>
  <c r="J3654" i="14" a="1"/>
  <c r="J3654" i="14" s="1"/>
  <c r="N3655" i="14"/>
  <c r="K3492" i="14" l="1"/>
  <c r="L3492" i="14" s="1"/>
  <c r="I3493" i="14" s="1"/>
  <c r="J3656" i="13" a="1"/>
  <c r="J3656" i="13" s="1"/>
  <c r="N3657" i="13"/>
  <c r="M3660" i="14"/>
  <c r="J3655" i="14" a="1"/>
  <c r="J3655" i="14" s="1"/>
  <c r="N3656" i="14"/>
  <c r="M3659" i="13"/>
  <c r="K3470" i="13"/>
  <c r="L3470" i="13" s="1"/>
  <c r="I3471" i="13" s="1"/>
  <c r="K3471" i="13" l="1"/>
  <c r="L3471" i="13" s="1"/>
  <c r="I3472" i="13" s="1"/>
  <c r="K3493" i="14"/>
  <c r="L3493" i="14" s="1"/>
  <c r="I3494" i="14" s="1"/>
  <c r="J3657" i="13" a="1"/>
  <c r="J3657" i="13" s="1"/>
  <c r="N3658" i="13"/>
  <c r="J3656" i="14" a="1"/>
  <c r="J3656" i="14" s="1"/>
  <c r="N3657" i="14"/>
  <c r="M3661" i="14"/>
  <c r="M3660" i="13"/>
  <c r="K3494" i="14" l="1"/>
  <c r="L3494" i="14" s="1"/>
  <c r="I3495" i="14" s="1"/>
  <c r="K3472" i="13"/>
  <c r="L3472" i="13" s="1"/>
  <c r="I3473" i="13" s="1"/>
  <c r="N3658" i="14"/>
  <c r="J3657" i="14" a="1"/>
  <c r="J3657" i="14" s="1"/>
  <c r="N3659" i="13"/>
  <c r="J3658" i="13" a="1"/>
  <c r="J3658" i="13" s="1"/>
  <c r="M3661" i="13"/>
  <c r="M3662" i="14"/>
  <c r="K3473" i="13" l="1"/>
  <c r="L3473" i="13" s="1"/>
  <c r="I3474" i="13" s="1"/>
  <c r="K3495" i="14"/>
  <c r="L3495" i="14" s="1"/>
  <c r="I3496" i="14" s="1"/>
  <c r="J3659" i="13" a="1"/>
  <c r="J3659" i="13" s="1"/>
  <c r="N3660" i="13"/>
  <c r="M3663" i="14"/>
  <c r="M3662" i="13"/>
  <c r="J3658" i="14" a="1"/>
  <c r="J3658" i="14" s="1"/>
  <c r="N3659" i="14"/>
  <c r="K3496" i="14" l="1"/>
  <c r="L3496" i="14" s="1"/>
  <c r="I3497" i="14" s="1"/>
  <c r="K3474" i="13"/>
  <c r="L3474" i="13" s="1"/>
  <c r="I3475" i="13" s="1"/>
  <c r="M3664" i="14"/>
  <c r="J3660" i="13" a="1"/>
  <c r="J3660" i="13" s="1"/>
  <c r="N3661" i="13"/>
  <c r="J3659" i="14" a="1"/>
  <c r="J3659" i="14" s="1"/>
  <c r="N3660" i="14"/>
  <c r="M3663" i="13"/>
  <c r="K3475" i="13" l="1"/>
  <c r="L3475" i="13" s="1"/>
  <c r="I3476" i="13" s="1"/>
  <c r="J3661" i="13" a="1"/>
  <c r="J3661" i="13" s="1"/>
  <c r="N3662" i="13"/>
  <c r="M3664" i="13"/>
  <c r="N3661" i="14"/>
  <c r="J3660" i="14" a="1"/>
  <c r="J3660" i="14" s="1"/>
  <c r="M3665" i="14"/>
  <c r="K3497" i="14"/>
  <c r="L3497" i="14" s="1"/>
  <c r="I3498" i="14" s="1"/>
  <c r="K3498" i="14" l="1"/>
  <c r="L3498" i="14" s="1"/>
  <c r="I3499" i="14" s="1"/>
  <c r="K3476" i="13"/>
  <c r="L3476" i="13" s="1"/>
  <c r="I3477" i="13" s="1"/>
  <c r="N3663" i="13"/>
  <c r="J3662" i="13" a="1"/>
  <c r="J3662" i="13" s="1"/>
  <c r="N3662" i="14"/>
  <c r="J3661" i="14" a="1"/>
  <c r="J3661" i="14" s="1"/>
  <c r="M3666" i="14"/>
  <c r="M3665" i="13"/>
  <c r="K3477" i="13" l="1"/>
  <c r="L3477" i="13" s="1"/>
  <c r="I3478" i="13" s="1"/>
  <c r="J3663" i="13" a="1"/>
  <c r="J3663" i="13" s="1"/>
  <c r="N3664" i="13"/>
  <c r="M3666" i="13"/>
  <c r="J3662" i="14" a="1"/>
  <c r="J3662" i="14" s="1"/>
  <c r="N3663" i="14"/>
  <c r="M3667" i="14"/>
  <c r="K3499" i="14"/>
  <c r="L3499" i="14" s="1"/>
  <c r="I3500" i="14" s="1"/>
  <c r="K3500" i="14" l="1"/>
  <c r="L3500" i="14" s="1"/>
  <c r="I3501" i="14" s="1"/>
  <c r="K3478" i="13"/>
  <c r="L3478" i="13" s="1"/>
  <c r="I3479" i="13" s="1"/>
  <c r="J3664" i="13" a="1"/>
  <c r="J3664" i="13" s="1"/>
  <c r="N3665" i="13"/>
  <c r="J3663" i="14" a="1"/>
  <c r="J3663" i="14" s="1"/>
  <c r="N3664" i="14"/>
  <c r="M3668" i="14"/>
  <c r="M3667" i="13"/>
  <c r="K3479" i="13" l="1"/>
  <c r="L3479" i="13" s="1"/>
  <c r="I3480" i="13" s="1"/>
  <c r="K3501" i="14"/>
  <c r="L3501" i="14" s="1"/>
  <c r="I3502" i="14" s="1"/>
  <c r="J3664" i="14" a="1"/>
  <c r="J3664" i="14" s="1"/>
  <c r="N3665" i="14"/>
  <c r="J3665" i="13" a="1"/>
  <c r="J3665" i="13" s="1"/>
  <c r="N3666" i="13"/>
  <c r="M3668" i="13"/>
  <c r="M3669" i="14"/>
  <c r="K3502" i="14" l="1"/>
  <c r="L3502" i="14" s="1"/>
  <c r="I3503" i="14" s="1"/>
  <c r="K3480" i="13"/>
  <c r="L3480" i="13" s="1"/>
  <c r="I3481" i="13" s="1"/>
  <c r="N3667" i="13"/>
  <c r="J3666" i="13" a="1"/>
  <c r="J3666" i="13" s="1"/>
  <c r="N3666" i="14"/>
  <c r="J3665" i="14" a="1"/>
  <c r="J3665" i="14" s="1"/>
  <c r="M3670" i="14"/>
  <c r="M3669" i="13"/>
  <c r="K3481" i="13" l="1"/>
  <c r="L3481" i="13" s="1"/>
  <c r="I3482" i="13" s="1"/>
  <c r="K3503" i="14"/>
  <c r="L3503" i="14" s="1"/>
  <c r="I3504" i="14" s="1"/>
  <c r="J3666" i="14" a="1"/>
  <c r="J3666" i="14" s="1"/>
  <c r="N3667" i="14"/>
  <c r="M3670" i="13"/>
  <c r="M3671" i="14"/>
  <c r="J3667" i="13" a="1"/>
  <c r="J3667" i="13" s="1"/>
  <c r="N3668" i="13"/>
  <c r="K3504" i="14" l="1"/>
  <c r="L3504" i="14" s="1"/>
  <c r="I3505" i="14" s="1"/>
  <c r="K3482" i="13"/>
  <c r="L3482" i="13" s="1"/>
  <c r="I3483" i="13" s="1"/>
  <c r="J3668" i="13" a="1"/>
  <c r="J3668" i="13" s="1"/>
  <c r="N3669" i="13"/>
  <c r="M3671" i="13"/>
  <c r="M3672" i="14"/>
  <c r="J3667" i="14" a="1"/>
  <c r="J3667" i="14" s="1"/>
  <c r="N3668" i="14"/>
  <c r="K3483" i="13" l="1"/>
  <c r="L3483" i="13" s="1"/>
  <c r="I3484" i="13" s="1"/>
  <c r="K3505" i="14"/>
  <c r="L3505" i="14" s="1"/>
  <c r="I3506" i="14" s="1"/>
  <c r="N3669" i="14"/>
  <c r="J3668" i="14" a="1"/>
  <c r="J3668" i="14" s="1"/>
  <c r="M3672" i="13"/>
  <c r="M3673" i="14"/>
  <c r="J3669" i="13" a="1"/>
  <c r="J3669" i="13" s="1"/>
  <c r="N3670" i="13"/>
  <c r="K3506" i="14" l="1"/>
  <c r="L3506" i="14" s="1"/>
  <c r="I3507" i="14" s="1"/>
  <c r="K3484" i="13"/>
  <c r="L3484" i="13" s="1"/>
  <c r="I3485" i="13" s="1"/>
  <c r="N3671" i="13"/>
  <c r="J3670" i="13" a="1"/>
  <c r="J3670" i="13" s="1"/>
  <c r="M3673" i="13"/>
  <c r="M3674" i="14"/>
  <c r="N3670" i="14"/>
  <c r="J3669" i="14" a="1"/>
  <c r="J3669" i="14" s="1"/>
  <c r="K3485" i="13" l="1"/>
  <c r="L3485" i="13" s="1"/>
  <c r="I3486" i="13" s="1"/>
  <c r="K3507" i="14"/>
  <c r="L3507" i="14" s="1"/>
  <c r="I3508" i="14" s="1"/>
  <c r="M3674" i="13"/>
  <c r="J3670" i="14" a="1"/>
  <c r="J3670" i="14" s="1"/>
  <c r="N3671" i="14"/>
  <c r="M3675" i="14"/>
  <c r="J3671" i="13" a="1"/>
  <c r="J3671" i="13" s="1"/>
  <c r="N3672" i="13"/>
  <c r="K3508" i="14" l="1"/>
  <c r="L3508" i="14" s="1"/>
  <c r="I3509" i="14" s="1"/>
  <c r="K3486" i="13"/>
  <c r="L3486" i="13" s="1"/>
  <c r="I3487" i="13" s="1"/>
  <c r="J3672" i="13" a="1"/>
  <c r="J3672" i="13" s="1"/>
  <c r="N3673" i="13"/>
  <c r="J3671" i="14" a="1"/>
  <c r="J3671" i="14" s="1"/>
  <c r="N3672" i="14"/>
  <c r="M3676" i="14"/>
  <c r="M3675" i="13"/>
  <c r="K3487" i="13" l="1"/>
  <c r="L3487" i="13" s="1"/>
  <c r="I3488" i="13" s="1"/>
  <c r="K3509" i="14"/>
  <c r="L3509" i="14" s="1"/>
  <c r="I3510" i="14" s="1"/>
  <c r="J3672" i="14" a="1"/>
  <c r="J3672" i="14" s="1"/>
  <c r="N3673" i="14"/>
  <c r="M3676" i="13"/>
  <c r="M3677" i="14"/>
  <c r="J3673" i="13" a="1"/>
  <c r="J3673" i="13" s="1"/>
  <c r="N3674" i="13"/>
  <c r="K3510" i="14" l="1"/>
  <c r="L3510" i="14" s="1"/>
  <c r="I3511" i="14" s="1"/>
  <c r="K3488" i="13"/>
  <c r="L3488" i="13" s="1"/>
  <c r="I3489" i="13" s="1"/>
  <c r="N3675" i="13"/>
  <c r="J3674" i="13" a="1"/>
  <c r="J3674" i="13" s="1"/>
  <c r="M3677" i="13"/>
  <c r="N3674" i="14"/>
  <c r="J3673" i="14" a="1"/>
  <c r="J3673" i="14" s="1"/>
  <c r="M3678" i="14"/>
  <c r="K3489" i="13" l="1"/>
  <c r="L3489" i="13" s="1"/>
  <c r="I3490" i="13" s="1"/>
  <c r="K3511" i="14"/>
  <c r="L3511" i="14" s="1"/>
  <c r="I3512" i="14" s="1"/>
  <c r="M3678" i="13"/>
  <c r="M3679" i="14"/>
  <c r="J3674" i="14" a="1"/>
  <c r="J3674" i="14" s="1"/>
  <c r="N3675" i="14"/>
  <c r="J3675" i="13" a="1"/>
  <c r="J3675" i="13" s="1"/>
  <c r="N3676" i="13"/>
  <c r="K3512" i="14" l="1"/>
  <c r="L3512" i="14" s="1"/>
  <c r="I3513" i="14" s="1"/>
  <c r="K3490" i="13"/>
  <c r="L3490" i="13" s="1"/>
  <c r="I3491" i="13" s="1"/>
  <c r="J3676" i="13" a="1"/>
  <c r="J3676" i="13" s="1"/>
  <c r="N3677" i="13"/>
  <c r="M3680" i="14"/>
  <c r="J3675" i="14" a="1"/>
  <c r="J3675" i="14" s="1"/>
  <c r="N3676" i="14"/>
  <c r="M3679" i="13"/>
  <c r="K3491" i="13" l="1"/>
  <c r="L3491" i="13" s="1"/>
  <c r="I3492" i="13" s="1"/>
  <c r="K3513" i="14"/>
  <c r="L3513" i="14" s="1"/>
  <c r="I3514" i="14" s="1"/>
  <c r="M3681" i="14"/>
  <c r="M3680" i="13"/>
  <c r="N3677" i="14"/>
  <c r="J3676" i="14" a="1"/>
  <c r="J3676" i="14" s="1"/>
  <c r="J3677" i="13" a="1"/>
  <c r="J3677" i="13" s="1"/>
  <c r="N3678" i="13"/>
  <c r="K3514" i="14" l="1"/>
  <c r="L3514" i="14" s="1"/>
  <c r="I3515" i="14" s="1"/>
  <c r="K3492" i="13"/>
  <c r="L3492" i="13" s="1"/>
  <c r="I3493" i="13" s="1"/>
  <c r="M3681" i="13"/>
  <c r="N3679" i="13"/>
  <c r="J3678" i="13" a="1"/>
  <c r="J3678" i="13" s="1"/>
  <c r="N3678" i="14"/>
  <c r="J3677" i="14" a="1"/>
  <c r="J3677" i="14" s="1"/>
  <c r="M3682" i="14"/>
  <c r="K3493" i="13" l="1"/>
  <c r="L3493" i="13" s="1"/>
  <c r="I3494" i="13" s="1"/>
  <c r="K3515" i="14"/>
  <c r="L3515" i="14" s="1"/>
  <c r="I3516" i="14" s="1"/>
  <c r="J3679" i="13" a="1"/>
  <c r="J3679" i="13" s="1"/>
  <c r="N3680" i="13"/>
  <c r="M3682" i="13"/>
  <c r="M3683" i="14"/>
  <c r="J3678" i="14" a="1"/>
  <c r="J3678" i="14" s="1"/>
  <c r="N3679" i="14"/>
  <c r="K3516" i="14" l="1"/>
  <c r="L3516" i="14" s="1"/>
  <c r="I3517" i="14" s="1"/>
  <c r="K3494" i="13"/>
  <c r="L3494" i="13" s="1"/>
  <c r="I3495" i="13" s="1"/>
  <c r="M3683" i="13"/>
  <c r="J3680" i="13" a="1"/>
  <c r="J3680" i="13" s="1"/>
  <c r="N3681" i="13"/>
  <c r="J3679" i="14" a="1"/>
  <c r="J3679" i="14" s="1"/>
  <c r="N3680" i="14"/>
  <c r="M3684" i="14"/>
  <c r="K3495" i="13" l="1"/>
  <c r="L3495" i="13" s="1"/>
  <c r="I3496" i="13" s="1"/>
  <c r="K3517" i="14"/>
  <c r="L3517" i="14" s="1"/>
  <c r="I3518" i="14" s="1"/>
  <c r="J3681" i="13" a="1"/>
  <c r="J3681" i="13" s="1"/>
  <c r="N3682" i="13"/>
  <c r="J3680" i="14" a="1"/>
  <c r="J3680" i="14" s="1"/>
  <c r="N3681" i="14"/>
  <c r="M3685" i="14"/>
  <c r="M3684" i="13"/>
  <c r="K3518" i="14" l="1"/>
  <c r="L3518" i="14" s="1"/>
  <c r="I3519" i="14" s="1"/>
  <c r="K3496" i="13"/>
  <c r="L3496" i="13" s="1"/>
  <c r="I3497" i="13" s="1"/>
  <c r="N3682" i="14"/>
  <c r="J3681" i="14" a="1"/>
  <c r="J3681" i="14" s="1"/>
  <c r="N3683" i="13"/>
  <c r="J3682" i="13" a="1"/>
  <c r="J3682" i="13" s="1"/>
  <c r="M3685" i="13"/>
  <c r="M3686" i="14"/>
  <c r="K3497" i="13" l="1"/>
  <c r="L3497" i="13" s="1"/>
  <c r="I3498" i="13" s="1"/>
  <c r="K3519" i="14"/>
  <c r="L3519" i="14" s="1"/>
  <c r="I3520" i="14" s="1"/>
  <c r="J3683" i="13" a="1"/>
  <c r="J3683" i="13" s="1"/>
  <c r="N3684" i="13"/>
  <c r="M3687" i="14"/>
  <c r="M3686" i="13"/>
  <c r="J3682" i="14" a="1"/>
  <c r="J3682" i="14" s="1"/>
  <c r="N3683" i="14"/>
  <c r="K3520" i="14" l="1"/>
  <c r="L3520" i="14" s="1"/>
  <c r="I3521" i="14" s="1"/>
  <c r="K3498" i="13"/>
  <c r="L3498" i="13" s="1"/>
  <c r="I3499" i="13" s="1"/>
  <c r="J3683" i="14" a="1"/>
  <c r="J3683" i="14" s="1"/>
  <c r="N3684" i="14"/>
  <c r="J3684" i="13" a="1"/>
  <c r="J3684" i="13" s="1"/>
  <c r="N3685" i="13"/>
  <c r="M3688" i="14"/>
  <c r="M3687" i="13"/>
  <c r="K3499" i="13" l="1"/>
  <c r="L3499" i="13" s="1"/>
  <c r="I3500" i="13" s="1"/>
  <c r="K3521" i="14"/>
  <c r="L3521" i="14" s="1"/>
  <c r="I3522" i="14" s="1"/>
  <c r="J3685" i="13" a="1"/>
  <c r="J3685" i="13" s="1"/>
  <c r="N3686" i="13"/>
  <c r="N3685" i="14"/>
  <c r="J3684" i="14" a="1"/>
  <c r="J3684" i="14" s="1"/>
  <c r="M3688" i="13"/>
  <c r="M3689" i="14"/>
  <c r="K3522" i="14" l="1"/>
  <c r="L3522" i="14" s="1"/>
  <c r="I3523" i="14" s="1"/>
  <c r="K3500" i="13"/>
  <c r="L3500" i="13" s="1"/>
  <c r="I3501" i="13" s="1"/>
  <c r="J3685" i="14" a="1"/>
  <c r="J3685" i="14" s="1"/>
  <c r="N3686" i="14"/>
  <c r="M3690" i="14"/>
  <c r="N3687" i="13"/>
  <c r="J3686" i="13" a="1"/>
  <c r="J3686" i="13" s="1"/>
  <c r="M3689" i="13"/>
  <c r="K3501" i="13" l="1"/>
  <c r="L3501" i="13" s="1"/>
  <c r="I3502" i="13" s="1"/>
  <c r="K3523" i="14"/>
  <c r="L3523" i="14" s="1"/>
  <c r="I3524" i="14" s="1"/>
  <c r="M3690" i="13"/>
  <c r="M3691" i="14"/>
  <c r="N3687" i="14"/>
  <c r="J3686" i="14" a="1"/>
  <c r="J3686" i="14" s="1"/>
  <c r="J3687" i="13" a="1"/>
  <c r="J3687" i="13" s="1"/>
  <c r="N3688" i="13"/>
  <c r="K3524" i="14" l="1"/>
  <c r="L3524" i="14" s="1"/>
  <c r="I3525" i="14" s="1"/>
  <c r="K3502" i="13"/>
  <c r="L3502" i="13" s="1"/>
  <c r="I3503" i="13" s="1"/>
  <c r="J3688" i="13" a="1"/>
  <c r="J3688" i="13" s="1"/>
  <c r="N3689" i="13"/>
  <c r="M3692" i="14"/>
  <c r="N3688" i="14"/>
  <c r="J3687" i="14" a="1"/>
  <c r="J3687" i="14" s="1"/>
  <c r="M3691" i="13"/>
  <c r="K3503" i="13" l="1"/>
  <c r="L3503" i="13" s="1"/>
  <c r="I3504" i="13" s="1"/>
  <c r="K3525" i="14"/>
  <c r="L3525" i="14" s="1"/>
  <c r="I3526" i="14" s="1"/>
  <c r="N3689" i="14"/>
  <c r="J3688" i="14" a="1"/>
  <c r="J3688" i="14" s="1"/>
  <c r="M3692" i="13"/>
  <c r="M3693" i="14"/>
  <c r="J3689" i="13" a="1"/>
  <c r="J3689" i="13" s="1"/>
  <c r="N3690" i="13"/>
  <c r="K3526" i="14" l="1"/>
  <c r="L3526" i="14" s="1"/>
  <c r="I3527" i="14" s="1"/>
  <c r="K3504" i="13"/>
  <c r="L3504" i="13" s="1"/>
  <c r="I3505" i="13" s="1"/>
  <c r="M3693" i="13"/>
  <c r="N3691" i="13"/>
  <c r="J3690" i="13" a="1"/>
  <c r="J3690" i="13" s="1"/>
  <c r="M3694" i="14"/>
  <c r="J3689" i="14" a="1"/>
  <c r="J3689" i="14" s="1"/>
  <c r="N3690" i="14"/>
  <c r="K3505" i="13" l="1"/>
  <c r="L3505" i="13" s="1"/>
  <c r="I3506" i="13" s="1"/>
  <c r="K3527" i="14"/>
  <c r="L3527" i="14" s="1"/>
  <c r="I3528" i="14" s="1"/>
  <c r="N3691" i="14"/>
  <c r="J3690" i="14" a="1"/>
  <c r="J3690" i="14" s="1"/>
  <c r="J3691" i="13" a="1"/>
  <c r="J3691" i="13" s="1"/>
  <c r="N3692" i="13"/>
  <c r="M3695" i="14"/>
  <c r="M3694" i="13"/>
  <c r="K3506" i="13" l="1"/>
  <c r="L3506" i="13" s="1"/>
  <c r="I3507" i="13" s="1"/>
  <c r="K3528" i="14"/>
  <c r="L3528" i="14" s="1"/>
  <c r="I3529" i="14" s="1"/>
  <c r="J3692" i="13" a="1"/>
  <c r="J3692" i="13" s="1"/>
  <c r="N3693" i="13"/>
  <c r="M3695" i="13"/>
  <c r="M3696" i="14"/>
  <c r="J3691" i="14" a="1"/>
  <c r="J3691" i="14" s="1"/>
  <c r="N3692" i="14"/>
  <c r="K3529" i="14" l="1"/>
  <c r="L3529" i="14" s="1"/>
  <c r="I3530" i="14" s="1"/>
  <c r="K3507" i="13"/>
  <c r="L3507" i="13" s="1"/>
  <c r="I3508" i="13" s="1"/>
  <c r="N3693" i="14"/>
  <c r="J3692" i="14" a="1"/>
  <c r="J3692" i="14" s="1"/>
  <c r="M3696" i="13"/>
  <c r="J3693" i="13" a="1"/>
  <c r="J3693" i="13" s="1"/>
  <c r="N3694" i="13"/>
  <c r="M3697" i="14"/>
  <c r="K3508" i="13" l="1"/>
  <c r="L3508" i="13" s="1"/>
  <c r="I3509" i="13" s="1"/>
  <c r="K3530" i="14"/>
  <c r="L3530" i="14" s="1"/>
  <c r="I3531" i="14" s="1"/>
  <c r="M3698" i="14"/>
  <c r="N3695" i="13"/>
  <c r="J3694" i="13" a="1"/>
  <c r="J3694" i="13" s="1"/>
  <c r="M3697" i="13"/>
  <c r="J3693" i="14" a="1"/>
  <c r="J3693" i="14" s="1"/>
  <c r="N3694" i="14"/>
  <c r="K3531" i="14" l="1"/>
  <c r="L3531" i="14" s="1"/>
  <c r="I3532" i="14" s="1"/>
  <c r="K3509" i="13"/>
  <c r="L3509" i="13" s="1"/>
  <c r="I3510" i="13" s="1"/>
  <c r="J3694" i="14" a="1"/>
  <c r="J3694" i="14" s="1"/>
  <c r="N3695" i="14"/>
  <c r="J3695" i="13" a="1"/>
  <c r="J3695" i="13" s="1"/>
  <c r="N3696" i="13"/>
  <c r="M3698" i="13"/>
  <c r="M3699" i="14"/>
  <c r="K3510" i="13" l="1"/>
  <c r="L3510" i="13" s="1"/>
  <c r="I3511" i="13" s="1"/>
  <c r="K3532" i="14"/>
  <c r="L3532" i="14" s="1"/>
  <c r="I3533" i="14" s="1"/>
  <c r="M3700" i="14"/>
  <c r="J3696" i="13" a="1"/>
  <c r="J3696" i="13" s="1"/>
  <c r="N3697" i="13"/>
  <c r="N3696" i="14"/>
  <c r="J3695" i="14" a="1"/>
  <c r="J3695" i="14" s="1"/>
  <c r="M3699" i="13"/>
  <c r="K3533" i="14" l="1"/>
  <c r="L3533" i="14" s="1"/>
  <c r="I3534" i="14" s="1"/>
  <c r="K3511" i="13"/>
  <c r="L3511" i="13" s="1"/>
  <c r="I3512" i="13" s="1"/>
  <c r="J3697" i="13" a="1"/>
  <c r="J3697" i="13" s="1"/>
  <c r="N3698" i="13"/>
  <c r="M3700" i="13"/>
  <c r="N3697" i="14"/>
  <c r="J3696" i="14" a="1"/>
  <c r="J3696" i="14" s="1"/>
  <c r="M3701" i="14"/>
  <c r="K3512" i="13" l="1"/>
  <c r="L3512" i="13" s="1"/>
  <c r="I3513" i="13" s="1"/>
  <c r="K3534" i="14"/>
  <c r="L3534" i="14" s="1"/>
  <c r="I3535" i="14" s="1"/>
  <c r="J3697" i="14" a="1"/>
  <c r="J3697" i="14" s="1"/>
  <c r="N3698" i="14"/>
  <c r="M3702" i="14"/>
  <c r="M3701" i="13"/>
  <c r="N3699" i="13"/>
  <c r="J3698" i="13" a="1"/>
  <c r="J3698" i="13" s="1"/>
  <c r="K3535" i="14" l="1"/>
  <c r="L3535" i="14" s="1"/>
  <c r="I3536" i="14" s="1"/>
  <c r="K3513" i="13"/>
  <c r="L3513" i="13" s="1"/>
  <c r="I3514" i="13" s="1"/>
  <c r="M3703" i="14"/>
  <c r="J3699" i="13" a="1"/>
  <c r="J3699" i="13" s="1"/>
  <c r="N3700" i="13"/>
  <c r="M3702" i="13"/>
  <c r="N3699" i="14"/>
  <c r="J3698" i="14" a="1"/>
  <c r="J3698" i="14" s="1"/>
  <c r="K3514" i="13" l="1"/>
  <c r="L3514" i="13" s="1"/>
  <c r="I3515" i="13" s="1"/>
  <c r="K3536" i="14"/>
  <c r="L3536" i="14" s="1"/>
  <c r="I3537" i="14" s="1"/>
  <c r="J3700" i="13" a="1"/>
  <c r="J3700" i="13" s="1"/>
  <c r="N3701" i="13"/>
  <c r="N3700" i="14"/>
  <c r="J3699" i="14" a="1"/>
  <c r="J3699" i="14" s="1"/>
  <c r="M3704" i="14"/>
  <c r="M3703" i="13"/>
  <c r="K3537" i="14" l="1"/>
  <c r="L3537" i="14" s="1"/>
  <c r="I3538" i="14" s="1"/>
  <c r="K3515" i="13"/>
  <c r="L3515" i="13" s="1"/>
  <c r="I3516" i="13" s="1"/>
  <c r="N3701" i="14"/>
  <c r="J3700" i="14" a="1"/>
  <c r="J3700" i="14" s="1"/>
  <c r="J3701" i="13" a="1"/>
  <c r="J3701" i="13" s="1"/>
  <c r="N3702" i="13"/>
  <c r="M3704" i="13"/>
  <c r="M3705" i="14"/>
  <c r="K3538" i="14" l="1"/>
  <c r="L3538" i="14" s="1"/>
  <c r="I3539" i="14" s="1"/>
  <c r="M3706" i="14"/>
  <c r="N3703" i="13"/>
  <c r="J3702" i="13" a="1"/>
  <c r="J3702" i="13" s="1"/>
  <c r="K3516" i="13"/>
  <c r="L3516" i="13" s="1"/>
  <c r="I3517" i="13" s="1"/>
  <c r="M3705" i="13"/>
  <c r="J3701" i="14" a="1"/>
  <c r="J3701" i="14" s="1"/>
  <c r="N3702" i="14"/>
  <c r="K3539" i="14" l="1"/>
  <c r="L3539" i="14" s="1"/>
  <c r="I3540" i="14" s="1"/>
  <c r="N3703" i="14"/>
  <c r="J3702" i="14" a="1"/>
  <c r="J3702" i="14" s="1"/>
  <c r="M3707" i="14"/>
  <c r="K3517" i="13"/>
  <c r="L3517" i="13" s="1"/>
  <c r="I3518" i="13" s="1"/>
  <c r="M3706" i="13"/>
  <c r="J3703" i="13" a="1"/>
  <c r="J3703" i="13" s="1"/>
  <c r="N3704" i="13"/>
  <c r="K3518" i="13" l="1"/>
  <c r="L3518" i="13" s="1"/>
  <c r="I3519" i="13" s="1"/>
  <c r="K3540" i="14"/>
  <c r="L3540" i="14" s="1"/>
  <c r="I3541" i="14" s="1"/>
  <c r="J3704" i="13" a="1"/>
  <c r="J3704" i="13" s="1"/>
  <c r="N3705" i="13"/>
  <c r="N3704" i="14"/>
  <c r="J3703" i="14" a="1"/>
  <c r="J3703" i="14" s="1"/>
  <c r="M3708" i="14"/>
  <c r="M3707" i="13"/>
  <c r="K3541" i="14" l="1"/>
  <c r="L3541" i="14" s="1"/>
  <c r="I3542" i="14" s="1"/>
  <c r="K3519" i="13"/>
  <c r="L3519" i="13" s="1"/>
  <c r="I3520" i="13" s="1"/>
  <c r="N3705" i="14"/>
  <c r="J3704" i="14" a="1"/>
  <c r="J3704" i="14" s="1"/>
  <c r="J3705" i="13" a="1"/>
  <c r="J3705" i="13" s="1"/>
  <c r="N3706" i="13"/>
  <c r="M3708" i="13"/>
  <c r="M3709" i="14"/>
  <c r="K3542" i="14" l="1"/>
  <c r="L3542" i="14" s="1"/>
  <c r="I3543" i="14" s="1"/>
  <c r="N3707" i="13"/>
  <c r="J3706" i="13" a="1"/>
  <c r="J3706" i="13" s="1"/>
  <c r="K3520" i="13"/>
  <c r="L3520" i="13" s="1"/>
  <c r="I3521" i="13" s="1"/>
  <c r="M3710" i="14"/>
  <c r="M3709" i="13"/>
  <c r="J3705" i="14" a="1"/>
  <c r="J3705" i="14" s="1"/>
  <c r="N3706" i="14"/>
  <c r="K3521" i="13" l="1"/>
  <c r="L3521" i="13" s="1"/>
  <c r="I3522" i="13" s="1"/>
  <c r="K3543" i="14"/>
  <c r="L3543" i="14" s="1"/>
  <c r="I3544" i="14" s="1"/>
  <c r="M3711" i="14"/>
  <c r="J3707" i="13" a="1"/>
  <c r="J3707" i="13" s="1"/>
  <c r="N3708" i="13"/>
  <c r="M3710" i="13"/>
  <c r="N3707" i="14"/>
  <c r="J3706" i="14" a="1"/>
  <c r="J3706" i="14" s="1"/>
  <c r="K3544" i="14" l="1"/>
  <c r="L3544" i="14" s="1"/>
  <c r="I3545" i="14" s="1"/>
  <c r="K3522" i="13"/>
  <c r="L3522" i="13" s="1"/>
  <c r="I3523" i="13" s="1"/>
  <c r="N3708" i="14"/>
  <c r="J3707" i="14" a="1"/>
  <c r="J3707" i="14" s="1"/>
  <c r="J3708" i="13" a="1"/>
  <c r="J3708" i="13" s="1"/>
  <c r="N3709" i="13"/>
  <c r="M3712" i="14"/>
  <c r="M3711" i="13"/>
  <c r="K3523" i="13" l="1"/>
  <c r="L3523" i="13" s="1"/>
  <c r="I3524" i="13" s="1"/>
  <c r="K3545" i="14"/>
  <c r="L3545" i="14" s="1"/>
  <c r="I3546" i="14" s="1"/>
  <c r="J3709" i="13" a="1"/>
  <c r="J3709" i="13" s="1"/>
  <c r="N3710" i="13"/>
  <c r="M3712" i="13"/>
  <c r="M3713" i="14"/>
  <c r="N3709" i="14"/>
  <c r="J3708" i="14" a="1"/>
  <c r="J3708" i="14" s="1"/>
  <c r="K3546" i="14" l="1"/>
  <c r="L3546" i="14" s="1"/>
  <c r="I3547" i="14" s="1"/>
  <c r="K3524" i="13"/>
  <c r="L3524" i="13" s="1"/>
  <c r="I3525" i="13" s="1"/>
  <c r="J3709" i="14" a="1"/>
  <c r="J3709" i="14" s="1"/>
  <c r="N3710" i="14"/>
  <c r="M3713" i="13"/>
  <c r="N3711" i="13"/>
  <c r="J3710" i="13" a="1"/>
  <c r="J3710" i="13" s="1"/>
  <c r="M3714" i="14"/>
  <c r="K3547" i="14" l="1"/>
  <c r="L3547" i="14" s="1"/>
  <c r="I3548" i="14" s="1"/>
  <c r="M3714" i="13"/>
  <c r="K3525" i="13"/>
  <c r="L3525" i="13" s="1"/>
  <c r="I3526" i="13" s="1"/>
  <c r="N3711" i="14"/>
  <c r="J3710" i="14" a="1"/>
  <c r="J3710" i="14" s="1"/>
  <c r="M3715" i="14"/>
  <c r="J3711" i="13" a="1"/>
  <c r="J3711" i="13" s="1"/>
  <c r="N3712" i="13"/>
  <c r="K3526" i="13" l="1"/>
  <c r="L3526" i="13" s="1"/>
  <c r="I3527" i="13" s="1"/>
  <c r="K3548" i="14"/>
  <c r="L3548" i="14" s="1"/>
  <c r="I3549" i="14" s="1"/>
  <c r="J3711" i="14" a="1"/>
  <c r="J3711" i="14" s="1"/>
  <c r="N3712" i="14"/>
  <c r="M3715" i="13"/>
  <c r="J3712" i="13" a="1"/>
  <c r="J3712" i="13" s="1"/>
  <c r="N3713" i="13"/>
  <c r="M3716" i="14"/>
  <c r="K3549" i="14" l="1"/>
  <c r="L3549" i="14" s="1"/>
  <c r="I3550" i="14" s="1"/>
  <c r="K3527" i="13"/>
  <c r="L3527" i="13" s="1"/>
  <c r="I3528" i="13" s="1"/>
  <c r="M3717" i="14"/>
  <c r="M3716" i="13"/>
  <c r="J3713" i="13" a="1"/>
  <c r="J3713" i="13" s="1"/>
  <c r="N3714" i="13"/>
  <c r="N3713" i="14"/>
  <c r="J3712" i="14" a="1"/>
  <c r="J3712" i="14" s="1"/>
  <c r="K3528" i="13" l="1"/>
  <c r="L3528" i="13" s="1"/>
  <c r="I3529" i="13" s="1"/>
  <c r="K3550" i="14"/>
  <c r="L3550" i="14" s="1"/>
  <c r="I3551" i="14" s="1"/>
  <c r="J3713" i="14" a="1"/>
  <c r="J3713" i="14" s="1"/>
  <c r="N3714" i="14"/>
  <c r="M3717" i="13"/>
  <c r="N3715" i="13"/>
  <c r="J3714" i="13" a="1"/>
  <c r="J3714" i="13" s="1"/>
  <c r="M3718" i="14"/>
  <c r="K3551" i="14" l="1"/>
  <c r="L3551" i="14" s="1"/>
  <c r="I3552" i="14" s="1"/>
  <c r="K3529" i="13"/>
  <c r="L3529" i="13" s="1"/>
  <c r="I3530" i="13" s="1"/>
  <c r="M3718" i="13"/>
  <c r="J3715" i="13" a="1"/>
  <c r="J3715" i="13" s="1"/>
  <c r="N3716" i="13"/>
  <c r="M3719" i="14"/>
  <c r="J3714" i="14" a="1"/>
  <c r="J3714" i="14" s="1"/>
  <c r="N3715" i="14"/>
  <c r="K3552" i="14" l="1"/>
  <c r="L3552" i="14" s="1"/>
  <c r="I3553" i="14" s="1"/>
  <c r="N3716" i="14"/>
  <c r="J3715" i="14" a="1"/>
  <c r="J3715" i="14" s="1"/>
  <c r="J3716" i="13" a="1"/>
  <c r="J3716" i="13" s="1"/>
  <c r="N3717" i="13"/>
  <c r="M3720" i="14"/>
  <c r="K3530" i="13"/>
  <c r="L3530" i="13" s="1"/>
  <c r="I3531" i="13" s="1"/>
  <c r="M3719" i="13"/>
  <c r="K3531" i="13" l="1"/>
  <c r="L3531" i="13" s="1"/>
  <c r="I3532" i="13" s="1"/>
  <c r="K3553" i="14"/>
  <c r="L3553" i="14" s="1"/>
  <c r="I3554" i="14" s="1"/>
  <c r="N3717" i="14"/>
  <c r="J3716" i="14" a="1"/>
  <c r="J3716" i="14" s="1"/>
  <c r="J3717" i="13" a="1"/>
  <c r="J3717" i="13" s="1"/>
  <c r="N3718" i="13"/>
  <c r="M3720" i="13"/>
  <c r="M3721" i="14"/>
  <c r="K3554" i="14" l="1"/>
  <c r="L3554" i="14" s="1"/>
  <c r="I3555" i="14" s="1"/>
  <c r="K3532" i="13"/>
  <c r="L3532" i="13" s="1"/>
  <c r="I3533" i="13" s="1"/>
  <c r="N3719" i="13"/>
  <c r="J3718" i="13" a="1"/>
  <c r="J3718" i="13" s="1"/>
  <c r="M3722" i="14"/>
  <c r="M3721" i="13"/>
  <c r="J3717" i="14" a="1"/>
  <c r="J3717" i="14" s="1"/>
  <c r="N3718" i="14"/>
  <c r="K3533" i="13" l="1"/>
  <c r="L3533" i="13" s="1"/>
  <c r="I3534" i="13" s="1"/>
  <c r="K3555" i="14"/>
  <c r="L3555" i="14" s="1"/>
  <c r="I3556" i="14" s="1"/>
  <c r="N3719" i="14"/>
  <c r="J3718" i="14" a="1"/>
  <c r="J3718" i="14" s="1"/>
  <c r="M3723" i="14"/>
  <c r="M3722" i="13"/>
  <c r="J3719" i="13" a="1"/>
  <c r="J3719" i="13" s="1"/>
  <c r="N3720" i="13"/>
  <c r="K3556" i="14" l="1"/>
  <c r="L3556" i="14" s="1"/>
  <c r="I3557" i="14" s="1"/>
  <c r="K3534" i="13"/>
  <c r="L3534" i="13" s="1"/>
  <c r="I3535" i="13" s="1"/>
  <c r="J3720" i="13" a="1"/>
  <c r="J3720" i="13" s="1"/>
  <c r="N3721" i="13"/>
  <c r="M3724" i="14"/>
  <c r="M3723" i="13"/>
  <c r="N3720" i="14"/>
  <c r="J3719" i="14" a="1"/>
  <c r="J3719" i="14" s="1"/>
  <c r="K3535" i="13" l="1"/>
  <c r="L3535" i="13" s="1"/>
  <c r="I3536" i="13" s="1"/>
  <c r="K3557" i="14"/>
  <c r="L3557" i="14" s="1"/>
  <c r="I3558" i="14" s="1"/>
  <c r="N3721" i="14"/>
  <c r="J3720" i="14" a="1"/>
  <c r="J3720" i="14" s="1"/>
  <c r="M3725" i="14"/>
  <c r="J3721" i="13" a="1"/>
  <c r="J3721" i="13" s="1"/>
  <c r="N3722" i="13"/>
  <c r="M3724" i="13"/>
  <c r="K3558" i="14" l="1"/>
  <c r="L3558" i="14" s="1"/>
  <c r="I3559" i="14" s="1"/>
  <c r="K3536" i="13"/>
  <c r="L3536" i="13" s="1"/>
  <c r="I3537" i="13" s="1"/>
  <c r="N3723" i="13"/>
  <c r="J3722" i="13" a="1"/>
  <c r="J3722" i="13" s="1"/>
  <c r="M3726" i="14"/>
  <c r="M3725" i="13"/>
  <c r="J3721" i="14" a="1"/>
  <c r="J3721" i="14" s="1"/>
  <c r="N3722" i="14"/>
  <c r="K3537" i="13" l="1"/>
  <c r="L3537" i="13" s="1"/>
  <c r="I3538" i="13" s="1"/>
  <c r="K3559" i="14"/>
  <c r="L3559" i="14" s="1"/>
  <c r="I3560" i="14" s="1"/>
  <c r="N3723" i="14"/>
  <c r="J3722" i="14" a="1"/>
  <c r="J3722" i="14" s="1"/>
  <c r="M3727" i="14"/>
  <c r="M3726" i="13"/>
  <c r="J3723" i="13" a="1"/>
  <c r="J3723" i="13" s="1"/>
  <c r="N3724" i="13"/>
  <c r="K3560" i="14" l="1"/>
  <c r="L3560" i="14" s="1"/>
  <c r="I3561" i="14" s="1"/>
  <c r="K3538" i="13"/>
  <c r="L3538" i="13" s="1"/>
  <c r="I3539" i="13" s="1"/>
  <c r="J3724" i="13" a="1"/>
  <c r="J3724" i="13" s="1"/>
  <c r="N3725" i="13"/>
  <c r="M3728" i="14"/>
  <c r="M3727" i="13"/>
  <c r="N3724" i="14"/>
  <c r="J3723" i="14" a="1"/>
  <c r="J3723" i="14" s="1"/>
  <c r="K3539" i="13" l="1"/>
  <c r="L3539" i="13" s="1"/>
  <c r="I3540" i="13" s="1"/>
  <c r="K3561" i="14"/>
  <c r="L3561" i="14" s="1"/>
  <c r="I3562" i="14" s="1"/>
  <c r="N3725" i="14"/>
  <c r="J3724" i="14" a="1"/>
  <c r="J3724" i="14" s="1"/>
  <c r="M3729" i="14"/>
  <c r="J3725" i="13" a="1"/>
  <c r="J3725" i="13" s="1"/>
  <c r="N3726" i="13"/>
  <c r="M3728" i="13"/>
  <c r="K3562" i="14" l="1"/>
  <c r="L3562" i="14" s="1"/>
  <c r="I3563" i="14" s="1"/>
  <c r="K3540" i="13"/>
  <c r="L3540" i="13" s="1"/>
  <c r="I3541" i="13" s="1"/>
  <c r="M3730" i="14"/>
  <c r="N3727" i="13"/>
  <c r="J3726" i="13" a="1"/>
  <c r="J3726" i="13" s="1"/>
  <c r="M3729" i="13"/>
  <c r="J3725" i="14" a="1"/>
  <c r="J3725" i="14" s="1"/>
  <c r="N3726" i="14"/>
  <c r="K3541" i="13" l="1"/>
  <c r="L3541" i="13" s="1"/>
  <c r="I3542" i="13" s="1"/>
  <c r="K3563" i="14"/>
  <c r="L3563" i="14" s="1"/>
  <c r="I3564" i="14" s="1"/>
  <c r="J3727" i="13" a="1"/>
  <c r="J3727" i="13" s="1"/>
  <c r="N3728" i="13"/>
  <c r="N3727" i="14"/>
  <c r="J3726" i="14" a="1"/>
  <c r="J3726" i="14" s="1"/>
  <c r="M3730" i="13"/>
  <c r="M3731" i="14"/>
  <c r="K3564" i="14" l="1"/>
  <c r="L3564" i="14" s="1"/>
  <c r="I3565" i="14" s="1"/>
  <c r="K3542" i="13"/>
  <c r="L3542" i="13" s="1"/>
  <c r="I3543" i="13" s="1"/>
  <c r="N3728" i="14"/>
  <c r="J3727" i="14" a="1"/>
  <c r="J3727" i="14" s="1"/>
  <c r="M3732" i="14"/>
  <c r="J3728" i="13" a="1"/>
  <c r="J3728" i="13" s="1"/>
  <c r="N3729" i="13"/>
  <c r="M3731" i="13"/>
  <c r="K3565" i="14" l="1"/>
  <c r="L3565" i="14" s="1"/>
  <c r="I3566" i="14" s="1"/>
  <c r="M3732" i="13"/>
  <c r="M3733" i="14"/>
  <c r="K3543" i="13"/>
  <c r="L3543" i="13" s="1"/>
  <c r="I3544" i="13" s="1"/>
  <c r="J3729" i="13" a="1"/>
  <c r="J3729" i="13" s="1"/>
  <c r="N3730" i="13"/>
  <c r="N3729" i="14"/>
  <c r="J3728" i="14" a="1"/>
  <c r="J3728" i="14" s="1"/>
  <c r="K3544" i="13" l="1"/>
  <c r="L3544" i="13" s="1"/>
  <c r="I3545" i="13" s="1"/>
  <c r="K3566" i="14"/>
  <c r="L3566" i="14" s="1"/>
  <c r="I3567" i="14" s="1"/>
  <c r="J3729" i="14" a="1"/>
  <c r="J3729" i="14" s="1"/>
  <c r="N3730" i="14"/>
  <c r="M3733" i="13"/>
  <c r="N3731" i="13"/>
  <c r="J3730" i="13" a="1"/>
  <c r="J3730" i="13" s="1"/>
  <c r="M3734" i="14"/>
  <c r="K3567" i="14" l="1"/>
  <c r="L3567" i="14" s="1"/>
  <c r="I3568" i="14" s="1"/>
  <c r="K3545" i="13"/>
  <c r="L3545" i="13" s="1"/>
  <c r="I3546" i="13" s="1"/>
  <c r="J3731" i="13" a="1"/>
  <c r="J3731" i="13" s="1"/>
  <c r="N3732" i="13"/>
  <c r="M3735" i="14"/>
  <c r="M3734" i="13"/>
  <c r="N3731" i="14"/>
  <c r="J3730" i="14" a="1"/>
  <c r="J3730" i="14" s="1"/>
  <c r="K3546" i="13" l="1"/>
  <c r="L3546" i="13" s="1"/>
  <c r="I3547" i="13" s="1"/>
  <c r="K3568" i="14"/>
  <c r="L3568" i="14" s="1"/>
  <c r="I3569" i="14" s="1"/>
  <c r="M3736" i="14"/>
  <c r="N3732" i="14"/>
  <c r="J3731" i="14" a="1"/>
  <c r="J3731" i="14" s="1"/>
  <c r="J3732" i="13" a="1"/>
  <c r="J3732" i="13" s="1"/>
  <c r="N3733" i="13"/>
  <c r="M3735" i="13"/>
  <c r="K3569" i="14" l="1"/>
  <c r="L3569" i="14" s="1"/>
  <c r="I3570" i="14" s="1"/>
  <c r="K3547" i="13"/>
  <c r="L3547" i="13" s="1"/>
  <c r="I3548" i="13" s="1"/>
  <c r="M3736" i="13"/>
  <c r="N3733" i="14"/>
  <c r="J3732" i="14" a="1"/>
  <c r="J3732" i="14" s="1"/>
  <c r="J3733" i="13" a="1"/>
  <c r="J3733" i="13" s="1"/>
  <c r="N3734" i="13"/>
  <c r="M3737" i="14"/>
  <c r="K3548" i="13" l="1"/>
  <c r="L3548" i="13" s="1"/>
  <c r="I3549" i="13" s="1"/>
  <c r="K3570" i="14"/>
  <c r="L3570" i="14" s="1"/>
  <c r="I3571" i="14" s="1"/>
  <c r="M3738" i="14"/>
  <c r="J3733" i="14" a="1"/>
  <c r="J3733" i="14" s="1"/>
  <c r="N3734" i="14"/>
  <c r="N3735" i="13"/>
  <c r="J3734" i="13" a="1"/>
  <c r="J3734" i="13" s="1"/>
  <c r="M3737" i="13"/>
  <c r="K3571" i="14" l="1"/>
  <c r="L3571" i="14" s="1"/>
  <c r="I3572" i="14" s="1"/>
  <c r="K3549" i="13"/>
  <c r="L3549" i="13" s="1"/>
  <c r="I3550" i="13" s="1"/>
  <c r="N3735" i="14"/>
  <c r="J3734" i="14" a="1"/>
  <c r="J3734" i="14" s="1"/>
  <c r="M3738" i="13"/>
  <c r="M3739" i="14"/>
  <c r="N3736" i="13"/>
  <c r="J3735" i="13" a="1"/>
  <c r="J3735" i="13" s="1"/>
  <c r="K3550" i="13" l="1"/>
  <c r="L3550" i="13" s="1"/>
  <c r="I3551" i="13" s="1"/>
  <c r="K3572" i="14"/>
  <c r="L3572" i="14" s="1"/>
  <c r="I3573" i="14" s="1"/>
  <c r="M3739" i="13"/>
  <c r="M3740" i="14"/>
  <c r="J3736" i="13" a="1"/>
  <c r="J3736" i="13" s="1"/>
  <c r="N3737" i="13"/>
  <c r="N3736" i="14"/>
  <c r="J3735" i="14" a="1"/>
  <c r="J3735" i="14" s="1"/>
  <c r="K3573" i="14" l="1"/>
  <c r="L3573" i="14" s="1"/>
  <c r="I3574" i="14" s="1"/>
  <c r="K3551" i="13"/>
  <c r="L3551" i="13" s="1"/>
  <c r="I3552" i="13" s="1"/>
  <c r="N3737" i="14"/>
  <c r="J3736" i="14" a="1"/>
  <c r="J3736" i="14" s="1"/>
  <c r="M3741" i="14"/>
  <c r="N3738" i="13"/>
  <c r="J3737" i="13" a="1"/>
  <c r="J3737" i="13" s="1"/>
  <c r="M3740" i="13"/>
  <c r="K3552" i="13" l="1"/>
  <c r="L3552" i="13" s="1"/>
  <c r="I3553" i="13" s="1"/>
  <c r="J3737" i="14" a="1"/>
  <c r="J3737" i="14" s="1"/>
  <c r="N3738" i="14"/>
  <c r="N3739" i="13"/>
  <c r="J3738" i="13" a="1"/>
  <c r="J3738" i="13" s="1"/>
  <c r="M3742" i="14"/>
  <c r="M3741" i="13"/>
  <c r="K3574" i="14"/>
  <c r="L3574" i="14" s="1"/>
  <c r="I3575" i="14" s="1"/>
  <c r="K3575" i="14" l="1"/>
  <c r="L3575" i="14" s="1"/>
  <c r="I3576" i="14" s="1"/>
  <c r="K3553" i="13"/>
  <c r="L3553" i="13" s="1"/>
  <c r="I3554" i="13" s="1"/>
  <c r="M3743" i="14"/>
  <c r="N3739" i="14"/>
  <c r="J3738" i="14" a="1"/>
  <c r="J3738" i="14" s="1"/>
  <c r="M3742" i="13"/>
  <c r="N3740" i="13"/>
  <c r="J3739" i="13" a="1"/>
  <c r="J3739" i="13" s="1"/>
  <c r="K3554" i="13" l="1"/>
  <c r="L3554" i="13" s="1"/>
  <c r="I3555" i="13" s="1"/>
  <c r="K3576" i="14"/>
  <c r="L3576" i="14" s="1"/>
  <c r="I3577" i="14" s="1"/>
  <c r="N3740" i="14"/>
  <c r="J3739" i="14" a="1"/>
  <c r="J3739" i="14" s="1"/>
  <c r="M3743" i="13"/>
  <c r="J3740" i="13" a="1"/>
  <c r="J3740" i="13" s="1"/>
  <c r="N3741" i="13"/>
  <c r="M3744" i="14"/>
  <c r="K3577" i="14" l="1"/>
  <c r="L3577" i="14" s="1"/>
  <c r="I3578" i="14" s="1"/>
  <c r="K3555" i="13"/>
  <c r="L3555" i="13" s="1"/>
  <c r="I3556" i="13" s="1"/>
  <c r="N3742" i="13"/>
  <c r="J3741" i="13" a="1"/>
  <c r="J3741" i="13" s="1"/>
  <c r="M3745" i="14"/>
  <c r="M3744" i="13"/>
  <c r="N3741" i="14"/>
  <c r="J3740" i="14" a="1"/>
  <c r="J3740" i="14" s="1"/>
  <c r="K3556" i="13" l="1"/>
  <c r="L3556" i="13" s="1"/>
  <c r="I3557" i="13" s="1"/>
  <c r="K3578" i="14"/>
  <c r="L3578" i="14" s="1"/>
  <c r="I3579" i="14" s="1"/>
  <c r="M3746" i="14"/>
  <c r="J3741" i="14" a="1"/>
  <c r="J3741" i="14" s="1"/>
  <c r="N3742" i="14"/>
  <c r="M3745" i="13"/>
  <c r="N3743" i="13"/>
  <c r="J3742" i="13" a="1"/>
  <c r="J3742" i="13" s="1"/>
  <c r="K3579" i="14" l="1"/>
  <c r="L3579" i="14" s="1"/>
  <c r="I3580" i="14" s="1"/>
  <c r="K3557" i="13"/>
  <c r="L3557" i="13" s="1"/>
  <c r="I3558" i="13" s="1"/>
  <c r="N3743" i="14"/>
  <c r="J3742" i="14" a="1"/>
  <c r="J3742" i="14" s="1"/>
  <c r="N3744" i="13"/>
  <c r="J3743" i="13" a="1"/>
  <c r="J3743" i="13" s="1"/>
  <c r="M3746" i="13"/>
  <c r="M3747" i="14"/>
  <c r="K3558" i="13" l="1"/>
  <c r="L3558" i="13" s="1"/>
  <c r="I3559" i="13" s="1"/>
  <c r="K3580" i="14"/>
  <c r="L3580" i="14" s="1"/>
  <c r="I3581" i="14" s="1"/>
  <c r="M3747" i="13"/>
  <c r="M3748" i="14"/>
  <c r="J3744" i="13" a="1"/>
  <c r="J3744" i="13" s="1"/>
  <c r="N3745" i="13"/>
  <c r="N3744" i="14"/>
  <c r="J3743" i="14" a="1"/>
  <c r="J3743" i="14" s="1"/>
  <c r="K3581" i="14" l="1"/>
  <c r="L3581" i="14" s="1"/>
  <c r="I3582" i="14" s="1"/>
  <c r="K3559" i="13"/>
  <c r="L3559" i="13" s="1"/>
  <c r="I3560" i="13" s="1"/>
  <c r="N3745" i="14"/>
  <c r="J3744" i="14" a="1"/>
  <c r="J3744" i="14" s="1"/>
  <c r="M3749" i="14"/>
  <c r="N3746" i="13"/>
  <c r="J3745" i="13" a="1"/>
  <c r="J3745" i="13" s="1"/>
  <c r="M3748" i="13"/>
  <c r="K3560" i="13" l="1"/>
  <c r="L3560" i="13" s="1"/>
  <c r="I3561" i="13" s="1"/>
  <c r="K3582" i="14"/>
  <c r="L3582" i="14" s="1"/>
  <c r="I3583" i="14" s="1"/>
  <c r="N3747" i="13"/>
  <c r="J3746" i="13" a="1"/>
  <c r="J3746" i="13" s="1"/>
  <c r="M3749" i="13"/>
  <c r="M3750" i="14"/>
  <c r="J3745" i="14" a="1"/>
  <c r="J3745" i="14" s="1"/>
  <c r="N3746" i="14"/>
  <c r="K3583" i="14" l="1"/>
  <c r="L3583" i="14" s="1"/>
  <c r="I3584" i="14" s="1"/>
  <c r="K3561" i="13"/>
  <c r="L3561" i="13" s="1"/>
  <c r="I3562" i="13" s="1"/>
  <c r="M3750" i="13"/>
  <c r="N3747" i="14"/>
  <c r="J3746" i="14" a="1"/>
  <c r="J3746" i="14" s="1"/>
  <c r="M3751" i="14"/>
  <c r="N3748" i="13"/>
  <c r="J3747" i="13" a="1"/>
  <c r="J3747" i="13" s="1"/>
  <c r="K3562" i="13" l="1"/>
  <c r="L3562" i="13" s="1"/>
  <c r="I3563" i="13" s="1"/>
  <c r="K3584" i="14"/>
  <c r="L3584" i="14" s="1"/>
  <c r="I3585" i="14" s="1"/>
  <c r="N3748" i="14"/>
  <c r="J3747" i="14" a="1"/>
  <c r="J3747" i="14" s="1"/>
  <c r="M3752" i="14"/>
  <c r="M3751" i="13"/>
  <c r="J3748" i="13" a="1"/>
  <c r="J3748" i="13" s="1"/>
  <c r="N3749" i="13"/>
  <c r="K3585" i="14" l="1"/>
  <c r="L3585" i="14" s="1"/>
  <c r="I3586" i="14" s="1"/>
  <c r="K3563" i="13"/>
  <c r="L3563" i="13" s="1"/>
  <c r="I3564" i="13" s="1"/>
  <c r="N3750" i="13"/>
  <c r="J3749" i="13" a="1"/>
  <c r="J3749" i="13" s="1"/>
  <c r="M3753" i="14"/>
  <c r="M3752" i="13"/>
  <c r="N3749" i="14"/>
  <c r="J3748" i="14" a="1"/>
  <c r="J3748" i="14" s="1"/>
  <c r="K3564" i="13" l="1"/>
  <c r="L3564" i="13" s="1"/>
  <c r="I3565" i="13" s="1"/>
  <c r="K3586" i="14"/>
  <c r="L3586" i="14" s="1"/>
  <c r="I3587" i="14" s="1"/>
  <c r="J3749" i="14" a="1"/>
  <c r="J3749" i="14" s="1"/>
  <c r="N3750" i="14"/>
  <c r="M3754" i="14"/>
  <c r="M3753" i="13"/>
  <c r="N3751" i="13"/>
  <c r="J3750" i="13" a="1"/>
  <c r="J3750" i="13" s="1"/>
  <c r="K3587" i="14" l="1"/>
  <c r="L3587" i="14" s="1"/>
  <c r="I3588" i="14" s="1"/>
  <c r="K3565" i="13"/>
  <c r="L3565" i="13" s="1"/>
  <c r="I3566" i="13" s="1"/>
  <c r="M3755" i="14"/>
  <c r="M3754" i="13"/>
  <c r="N3752" i="13"/>
  <c r="J3751" i="13" a="1"/>
  <c r="J3751" i="13" s="1"/>
  <c r="N3751" i="14"/>
  <c r="J3750" i="14" a="1"/>
  <c r="J3750" i="14" s="1"/>
  <c r="K3566" i="13" l="1"/>
  <c r="L3566" i="13" s="1"/>
  <c r="I3567" i="13" s="1"/>
  <c r="K3588" i="14"/>
  <c r="L3588" i="14" s="1"/>
  <c r="I3589" i="14" s="1"/>
  <c r="M3755" i="13"/>
  <c r="N3752" i="14"/>
  <c r="J3751" i="14" a="1"/>
  <c r="J3751" i="14" s="1"/>
  <c r="M3756" i="14"/>
  <c r="J3752" i="13" a="1"/>
  <c r="J3752" i="13" s="1"/>
  <c r="N3753" i="13"/>
  <c r="K3589" i="14" l="1"/>
  <c r="L3589" i="14" s="1"/>
  <c r="I3590" i="14" s="1"/>
  <c r="K3567" i="13"/>
  <c r="L3567" i="13" s="1"/>
  <c r="I3568" i="13" s="1"/>
  <c r="N3753" i="14"/>
  <c r="J3752" i="14" a="1"/>
  <c r="J3752" i="14" s="1"/>
  <c r="N3754" i="13"/>
  <c r="J3753" i="13" a="1"/>
  <c r="J3753" i="13" s="1"/>
  <c r="M3757" i="14"/>
  <c r="M3756" i="13"/>
  <c r="K3590" i="14" l="1"/>
  <c r="L3590" i="14" s="1"/>
  <c r="I3591" i="14" s="1"/>
  <c r="M3757" i="13"/>
  <c r="N3755" i="13"/>
  <c r="J3754" i="13" a="1"/>
  <c r="J3754" i="13" s="1"/>
  <c r="K3568" i="13"/>
  <c r="L3568" i="13" s="1"/>
  <c r="I3569" i="13" s="1"/>
  <c r="M3758" i="14"/>
  <c r="J3753" i="14" a="1"/>
  <c r="J3753" i="14" s="1"/>
  <c r="N3754" i="14"/>
  <c r="K3569" i="13" l="1"/>
  <c r="L3569" i="13" s="1"/>
  <c r="I3570" i="13" s="1"/>
  <c r="N3755" i="14"/>
  <c r="J3754" i="14" a="1"/>
  <c r="J3754" i="14" s="1"/>
  <c r="M3758" i="13"/>
  <c r="M3759" i="14"/>
  <c r="N3756" i="13"/>
  <c r="J3755" i="13" a="1"/>
  <c r="J3755" i="13" s="1"/>
  <c r="K3591" i="14"/>
  <c r="L3591" i="14" s="1"/>
  <c r="I3592" i="14" s="1"/>
  <c r="K3570" i="13" l="1"/>
  <c r="L3570" i="13" s="1"/>
  <c r="I3571" i="13" s="1"/>
  <c r="K3592" i="14"/>
  <c r="L3592" i="14" s="1"/>
  <c r="I3593" i="14" s="1"/>
  <c r="J3755" i="14" a="1"/>
  <c r="J3755" i="14" s="1"/>
  <c r="N3756" i="14"/>
  <c r="M3759" i="13"/>
  <c r="M3760" i="14"/>
  <c r="J3756" i="13" a="1"/>
  <c r="J3756" i="13" s="1"/>
  <c r="N3757" i="13"/>
  <c r="K3593" i="14" l="1"/>
  <c r="L3593" i="14" s="1"/>
  <c r="I3594" i="14" s="1"/>
  <c r="K3571" i="13"/>
  <c r="L3571" i="13" s="1"/>
  <c r="I3572" i="13" s="1"/>
  <c r="M3760" i="13"/>
  <c r="N3757" i="14"/>
  <c r="J3756" i="14" a="1"/>
  <c r="J3756" i="14" s="1"/>
  <c r="N3758" i="13"/>
  <c r="J3757" i="13" a="1"/>
  <c r="J3757" i="13" s="1"/>
  <c r="M3761" i="14"/>
  <c r="K3572" i="13" l="1"/>
  <c r="L3572" i="13" s="1"/>
  <c r="I3573" i="13" s="1"/>
  <c r="K3594" i="14"/>
  <c r="L3594" i="14" s="1"/>
  <c r="I3595" i="14" s="1"/>
  <c r="J3757" i="14" a="1"/>
  <c r="J3757" i="14" s="1"/>
  <c r="N3758" i="14"/>
  <c r="M3761" i="13"/>
  <c r="M3762" i="14"/>
  <c r="N3759" i="13"/>
  <c r="J3758" i="13" a="1"/>
  <c r="J3758" i="13" s="1"/>
  <c r="K3595" i="14" l="1"/>
  <c r="L3595" i="14" s="1"/>
  <c r="I3596" i="14" s="1"/>
  <c r="M3762" i="13"/>
  <c r="N3760" i="13"/>
  <c r="J3759" i="13" a="1"/>
  <c r="J3759" i="13" s="1"/>
  <c r="M3763" i="14"/>
  <c r="J3758" i="14" a="1"/>
  <c r="J3758" i="14" s="1"/>
  <c r="N3759" i="14"/>
  <c r="K3573" i="13"/>
  <c r="L3573" i="13" s="1"/>
  <c r="I3574" i="13" s="1"/>
  <c r="K3574" i="13" l="1"/>
  <c r="L3574" i="13" s="1"/>
  <c r="I3575" i="13" s="1"/>
  <c r="K3596" i="14"/>
  <c r="L3596" i="14" s="1"/>
  <c r="I3597" i="14" s="1"/>
  <c r="N3760" i="14"/>
  <c r="J3759" i="14" a="1"/>
  <c r="J3759" i="14" s="1"/>
  <c r="M3764" i="14"/>
  <c r="M3763" i="13"/>
  <c r="J3760" i="13" a="1"/>
  <c r="J3760" i="13" s="1"/>
  <c r="N3761" i="13"/>
  <c r="K3597" i="14" l="1"/>
  <c r="L3597" i="14" s="1"/>
  <c r="I3598" i="14" s="1"/>
  <c r="K3575" i="13"/>
  <c r="L3575" i="13" s="1"/>
  <c r="I3576" i="13" s="1"/>
  <c r="M3765" i="14"/>
  <c r="N3762" i="13"/>
  <c r="J3761" i="13" a="1"/>
  <c r="J3761" i="13" s="1"/>
  <c r="M3764" i="13"/>
  <c r="N3761" i="14"/>
  <c r="J3760" i="14" a="1"/>
  <c r="J3760" i="14" s="1"/>
  <c r="K3576" i="13" l="1"/>
  <c r="L3576" i="13" s="1"/>
  <c r="I3577" i="13" s="1"/>
  <c r="K3598" i="14"/>
  <c r="L3598" i="14" s="1"/>
  <c r="I3599" i="14" s="1"/>
  <c r="N3763" i="13"/>
  <c r="J3762" i="13" a="1"/>
  <c r="J3762" i="13" s="1"/>
  <c r="J3761" i="14" a="1"/>
  <c r="J3761" i="14" s="1"/>
  <c r="N3762" i="14"/>
  <c r="M3765" i="13"/>
  <c r="M3766" i="14"/>
  <c r="K3599" i="14" l="1"/>
  <c r="L3599" i="14" s="1"/>
  <c r="I3600" i="14" s="1"/>
  <c r="M3766" i="13"/>
  <c r="M3767" i="14"/>
  <c r="N3763" i="14"/>
  <c r="J3762" i="14" a="1"/>
  <c r="J3762" i="14" s="1"/>
  <c r="N3764" i="13"/>
  <c r="J3763" i="13" a="1"/>
  <c r="J3763" i="13" s="1"/>
  <c r="K3577" i="13"/>
  <c r="L3577" i="13" s="1"/>
  <c r="I3578" i="13" s="1"/>
  <c r="K3600" i="14" l="1"/>
  <c r="L3600" i="14" s="1"/>
  <c r="I3601" i="14" s="1"/>
  <c r="M3767" i="13"/>
  <c r="N3764" i="14"/>
  <c r="J3763" i="14" a="1"/>
  <c r="J3763" i="14" s="1"/>
  <c r="K3578" i="13"/>
  <c r="L3578" i="13" s="1"/>
  <c r="I3579" i="13" s="1"/>
  <c r="M3768" i="14"/>
  <c r="J3764" i="13" a="1"/>
  <c r="J3764" i="13" s="1"/>
  <c r="N3765" i="13"/>
  <c r="K3579" i="13" l="1"/>
  <c r="L3579" i="13" s="1"/>
  <c r="I3580" i="13" s="1"/>
  <c r="K3601" i="14"/>
  <c r="L3601" i="14" s="1"/>
  <c r="I3602" i="14" s="1"/>
  <c r="N3766" i="13"/>
  <c r="J3765" i="13" a="1"/>
  <c r="J3765" i="13" s="1"/>
  <c r="M3768" i="13"/>
  <c r="M3769" i="14"/>
  <c r="N3765" i="14"/>
  <c r="J3764" i="14" a="1"/>
  <c r="J3764" i="14" s="1"/>
  <c r="K3602" i="14" l="1"/>
  <c r="L3602" i="14" s="1"/>
  <c r="I3603" i="14" s="1"/>
  <c r="K3580" i="13"/>
  <c r="L3580" i="13" s="1"/>
  <c r="I3581" i="13" s="1"/>
  <c r="M3769" i="13"/>
  <c r="J3765" i="14" a="1"/>
  <c r="J3765" i="14" s="1"/>
  <c r="N3766" i="14"/>
  <c r="M3770" i="14"/>
  <c r="N3767" i="13"/>
  <c r="J3766" i="13" a="1"/>
  <c r="J3766" i="13" s="1"/>
  <c r="K3581" i="13" l="1"/>
  <c r="L3581" i="13" s="1"/>
  <c r="I3582" i="13" s="1"/>
  <c r="K3603" i="14"/>
  <c r="L3603" i="14" s="1"/>
  <c r="I3604" i="14" s="1"/>
  <c r="N3767" i="14"/>
  <c r="J3766" i="14" a="1"/>
  <c r="J3766" i="14" s="1"/>
  <c r="N3768" i="13"/>
  <c r="J3767" i="13" a="1"/>
  <c r="J3767" i="13" s="1"/>
  <c r="M3771" i="14"/>
  <c r="M3770" i="13"/>
  <c r="K3604" i="14" l="1"/>
  <c r="L3604" i="14" s="1"/>
  <c r="I3605" i="14" s="1"/>
  <c r="K3582" i="13"/>
  <c r="L3582" i="13" s="1"/>
  <c r="I3583" i="13" s="1"/>
  <c r="J3768" i="13" a="1"/>
  <c r="J3768" i="13" s="1"/>
  <c r="N3769" i="13"/>
  <c r="M3771" i="13"/>
  <c r="M3772" i="14"/>
  <c r="N3768" i="14"/>
  <c r="J3767" i="14" a="1"/>
  <c r="J3767" i="14" s="1"/>
  <c r="K3583" i="13" l="1"/>
  <c r="L3583" i="13" s="1"/>
  <c r="I3584" i="13" s="1"/>
  <c r="K3605" i="14"/>
  <c r="L3605" i="14" s="1"/>
  <c r="I3606" i="14" s="1"/>
  <c r="M3773" i="14"/>
  <c r="N3769" i="14"/>
  <c r="J3768" i="14" a="1"/>
  <c r="J3768" i="14" s="1"/>
  <c r="M3772" i="13"/>
  <c r="N3770" i="13"/>
  <c r="J3769" i="13" a="1"/>
  <c r="J3769" i="13" s="1"/>
  <c r="K3606" i="14" l="1"/>
  <c r="L3606" i="14" s="1"/>
  <c r="I3607" i="14" s="1"/>
  <c r="K3584" i="13"/>
  <c r="L3584" i="13" s="1"/>
  <c r="I3585" i="13" s="1"/>
  <c r="J3769" i="14" a="1"/>
  <c r="J3769" i="14" s="1"/>
  <c r="N3770" i="14"/>
  <c r="M3774" i="14"/>
  <c r="N3771" i="13"/>
  <c r="J3770" i="13" a="1"/>
  <c r="J3770" i="13" s="1"/>
  <c r="M3773" i="13"/>
  <c r="K3585" i="13" l="1"/>
  <c r="L3585" i="13" s="1"/>
  <c r="I3586" i="13" s="1"/>
  <c r="K3607" i="14"/>
  <c r="L3607" i="14" s="1"/>
  <c r="I3608" i="14" s="1"/>
  <c r="N3772" i="13"/>
  <c r="J3771" i="13" a="1"/>
  <c r="J3771" i="13" s="1"/>
  <c r="M3774" i="13"/>
  <c r="M3775" i="14"/>
  <c r="N3771" i="14"/>
  <c r="J3770" i="14" a="1"/>
  <c r="J3770" i="14" s="1"/>
  <c r="K3586" i="13" l="1"/>
  <c r="L3586" i="13" s="1"/>
  <c r="I3587" i="13" s="1"/>
  <c r="M3775" i="13"/>
  <c r="N3772" i="14"/>
  <c r="J3771" i="14" a="1"/>
  <c r="J3771" i="14" s="1"/>
  <c r="K3608" i="14"/>
  <c r="L3608" i="14" s="1"/>
  <c r="I3609" i="14" s="1"/>
  <c r="M3776" i="14"/>
  <c r="J3772" i="13" a="1"/>
  <c r="J3772" i="13" s="1"/>
  <c r="N3773" i="13"/>
  <c r="K3609" i="14" l="1"/>
  <c r="L3609" i="14" s="1"/>
  <c r="I3610" i="14" s="1"/>
  <c r="K3587" i="13"/>
  <c r="L3587" i="13" s="1"/>
  <c r="I3588" i="13" s="1"/>
  <c r="M3776" i="13"/>
  <c r="N3774" i="13"/>
  <c r="J3773" i="13" a="1"/>
  <c r="J3773" i="13" s="1"/>
  <c r="M3777" i="14"/>
  <c r="N3773" i="14"/>
  <c r="J3772" i="14" a="1"/>
  <c r="J3772" i="14" s="1"/>
  <c r="K3588" i="13" l="1"/>
  <c r="L3588" i="13" s="1"/>
  <c r="I3589" i="13" s="1"/>
  <c r="K3610" i="14"/>
  <c r="L3610" i="14" s="1"/>
  <c r="I3611" i="14" s="1"/>
  <c r="N3775" i="13"/>
  <c r="J3774" i="13" a="1"/>
  <c r="J3774" i="13" s="1"/>
  <c r="M3778" i="14"/>
  <c r="J3773" i="14" a="1"/>
  <c r="J3773" i="14" s="1"/>
  <c r="N3774" i="14"/>
  <c r="M3777" i="13"/>
  <c r="K3589" i="13" l="1"/>
  <c r="L3589" i="13" s="1"/>
  <c r="I3590" i="13" s="1"/>
  <c r="M3778" i="13"/>
  <c r="K3611" i="14"/>
  <c r="L3611" i="14" s="1"/>
  <c r="I3612" i="14" s="1"/>
  <c r="N3775" i="14"/>
  <c r="J3774" i="14" a="1"/>
  <c r="J3774" i="14" s="1"/>
  <c r="M3779" i="14"/>
  <c r="N3776" i="13"/>
  <c r="J3775" i="13" a="1"/>
  <c r="J3775" i="13" s="1"/>
  <c r="K3612" i="14" l="1"/>
  <c r="L3612" i="14" s="1"/>
  <c r="I3613" i="14" s="1"/>
  <c r="K3590" i="13"/>
  <c r="L3590" i="13" s="1"/>
  <c r="I3591" i="13" s="1"/>
  <c r="M3779" i="13"/>
  <c r="J3775" i="14" a="1"/>
  <c r="J3775" i="14" s="1"/>
  <c r="N3776" i="14"/>
  <c r="J3776" i="13" a="1"/>
  <c r="J3776" i="13" s="1"/>
  <c r="N3777" i="13"/>
  <c r="M3780" i="14"/>
  <c r="K3591" i="13" l="1"/>
  <c r="L3591" i="13" s="1"/>
  <c r="I3592" i="13" s="1"/>
  <c r="K3613" i="14"/>
  <c r="L3613" i="14" s="1"/>
  <c r="I3614" i="14" s="1"/>
  <c r="N3777" i="14"/>
  <c r="J3776" i="14" a="1"/>
  <c r="J3776" i="14" s="1"/>
  <c r="M3781" i="14"/>
  <c r="N3778" i="13"/>
  <c r="J3777" i="13" a="1"/>
  <c r="J3777" i="13" s="1"/>
  <c r="M3780" i="13"/>
  <c r="K3614" i="14" l="1"/>
  <c r="L3614" i="14" s="1"/>
  <c r="I3615" i="14" s="1"/>
  <c r="K3592" i="13"/>
  <c r="L3592" i="13" s="1"/>
  <c r="I3593" i="13" s="1"/>
  <c r="N3779" i="13"/>
  <c r="J3778" i="13" a="1"/>
  <c r="J3778" i="13" s="1"/>
  <c r="M3781" i="13"/>
  <c r="M3782" i="14"/>
  <c r="J3777" i="14" a="1"/>
  <c r="J3777" i="14" s="1"/>
  <c r="N3778" i="14"/>
  <c r="K3593" i="13" l="1"/>
  <c r="L3593" i="13" s="1"/>
  <c r="I3594" i="13" s="1"/>
  <c r="K3615" i="14"/>
  <c r="L3615" i="14" s="1"/>
  <c r="I3616" i="14" s="1"/>
  <c r="J3778" i="14" a="1"/>
  <c r="J3778" i="14" s="1"/>
  <c r="N3779" i="14"/>
  <c r="M3782" i="13"/>
  <c r="M3783" i="14"/>
  <c r="N3780" i="13"/>
  <c r="J3779" i="13" a="1"/>
  <c r="J3779" i="13" s="1"/>
  <c r="K3616" i="14" l="1"/>
  <c r="L3616" i="14" s="1"/>
  <c r="I3617" i="14" s="1"/>
  <c r="K3594" i="13"/>
  <c r="L3594" i="13" s="1"/>
  <c r="I3595" i="13" s="1"/>
  <c r="M3783" i="13"/>
  <c r="N3780" i="14"/>
  <c r="J3779" i="14" a="1"/>
  <c r="J3779" i="14" s="1"/>
  <c r="J3780" i="13" a="1"/>
  <c r="J3780" i="13" s="1"/>
  <c r="N3781" i="13"/>
  <c r="M3784" i="14"/>
  <c r="K3617" i="14" l="1"/>
  <c r="L3617" i="14" s="1"/>
  <c r="I3618" i="14" s="1"/>
  <c r="M3785" i="14"/>
  <c r="N3781" i="14"/>
  <c r="J3780" i="14" a="1"/>
  <c r="J3780" i="14" s="1"/>
  <c r="K3595" i="13"/>
  <c r="L3595" i="13" s="1"/>
  <c r="I3596" i="13" s="1"/>
  <c r="N3782" i="13"/>
  <c r="J3781" i="13" a="1"/>
  <c r="J3781" i="13" s="1"/>
  <c r="M3784" i="13"/>
  <c r="K3618" i="14" l="1"/>
  <c r="L3618" i="14" s="1"/>
  <c r="I3619" i="14" s="1"/>
  <c r="N3783" i="13"/>
  <c r="J3782" i="13" a="1"/>
  <c r="J3782" i="13" s="1"/>
  <c r="M3785" i="13"/>
  <c r="K3596" i="13"/>
  <c r="L3596" i="13" s="1"/>
  <c r="I3597" i="13" s="1"/>
  <c r="M3786" i="14"/>
  <c r="J3781" i="14" a="1"/>
  <c r="J3781" i="14" s="1"/>
  <c r="N3782" i="14"/>
  <c r="K3597" i="13" l="1"/>
  <c r="L3597" i="13" s="1"/>
  <c r="I3598" i="13" s="1"/>
  <c r="K3619" i="14"/>
  <c r="L3619" i="14" s="1"/>
  <c r="I3620" i="14" s="1"/>
  <c r="N3783" i="14"/>
  <c r="J3782" i="14" a="1"/>
  <c r="J3782" i="14" s="1"/>
  <c r="N3784" i="13"/>
  <c r="J3783" i="13" a="1"/>
  <c r="J3783" i="13" s="1"/>
  <c r="M3787" i="14"/>
  <c r="M3786" i="13"/>
  <c r="K3620" i="14" l="1"/>
  <c r="L3620" i="14" s="1"/>
  <c r="I3621" i="14" s="1"/>
  <c r="K3598" i="13"/>
  <c r="L3598" i="13" s="1"/>
  <c r="I3599" i="13" s="1"/>
  <c r="J3784" i="13" a="1"/>
  <c r="J3784" i="13" s="1"/>
  <c r="N3785" i="13"/>
  <c r="M3787" i="13"/>
  <c r="M3788" i="14"/>
  <c r="N3784" i="14"/>
  <c r="J3783" i="14" a="1"/>
  <c r="J3783" i="14" s="1"/>
  <c r="K3621" i="14" l="1"/>
  <c r="L3621" i="14" s="1"/>
  <c r="I3622" i="14" s="1"/>
  <c r="K3599" i="13"/>
  <c r="L3599" i="13" s="1"/>
  <c r="I3600" i="13" s="1"/>
  <c r="N3785" i="14"/>
  <c r="J3784" i="14" a="1"/>
  <c r="J3784" i="14" s="1"/>
  <c r="N3786" i="13"/>
  <c r="J3785" i="13" a="1"/>
  <c r="J3785" i="13" s="1"/>
  <c r="M3788" i="13"/>
  <c r="M3789" i="14"/>
  <c r="K3600" i="13" l="1"/>
  <c r="L3600" i="13" s="1"/>
  <c r="I3601" i="13" s="1"/>
  <c r="K3622" i="14"/>
  <c r="L3622" i="14" s="1"/>
  <c r="I3623" i="14" s="1"/>
  <c r="M3789" i="13"/>
  <c r="M3790" i="14"/>
  <c r="N3787" i="13"/>
  <c r="J3786" i="13" a="1"/>
  <c r="J3786" i="13" s="1"/>
  <c r="J3785" i="14" a="1"/>
  <c r="J3785" i="14" s="1"/>
  <c r="N3786" i="14"/>
  <c r="K3601" i="13" l="1"/>
  <c r="L3601" i="13" s="1"/>
  <c r="I3602" i="13" s="1"/>
  <c r="N3787" i="14"/>
  <c r="J3786" i="14" a="1"/>
  <c r="J3786" i="14" s="1"/>
  <c r="M3791" i="14"/>
  <c r="K3623" i="14"/>
  <c r="L3623" i="14" s="1"/>
  <c r="I3624" i="14" s="1"/>
  <c r="M3790" i="13"/>
  <c r="N3788" i="13"/>
  <c r="J3787" i="13" a="1"/>
  <c r="J3787" i="13" s="1"/>
  <c r="K3624" i="14" l="1"/>
  <c r="L3624" i="14" s="1"/>
  <c r="I3625" i="14" s="1"/>
  <c r="K3602" i="13"/>
  <c r="L3602" i="13" s="1"/>
  <c r="I3603" i="13" s="1"/>
  <c r="N3788" i="14"/>
  <c r="J3787" i="14" a="1"/>
  <c r="J3787" i="14" s="1"/>
  <c r="J3788" i="13" a="1"/>
  <c r="J3788" i="13" s="1"/>
  <c r="N3789" i="13"/>
  <c r="M3791" i="13"/>
  <c r="M3792" i="14"/>
  <c r="K3603" i="13" l="1"/>
  <c r="L3603" i="13" s="1"/>
  <c r="I3604" i="13" s="1"/>
  <c r="K3625" i="14"/>
  <c r="L3625" i="14" s="1"/>
  <c r="I3626" i="14" s="1"/>
  <c r="N3790" i="13"/>
  <c r="J3789" i="13" a="1"/>
  <c r="J3789" i="13" s="1"/>
  <c r="M3793" i="14"/>
  <c r="M3792" i="13"/>
  <c r="N3789" i="14"/>
  <c r="J3788" i="14" a="1"/>
  <c r="J3788" i="14" s="1"/>
  <c r="K3626" i="14" l="1"/>
  <c r="L3626" i="14" s="1"/>
  <c r="I3627" i="14" s="1"/>
  <c r="K3604" i="13"/>
  <c r="L3604" i="13" s="1"/>
  <c r="I3605" i="13" s="1"/>
  <c r="M3794" i="14"/>
  <c r="J3789" i="14" a="1"/>
  <c r="J3789" i="14" s="1"/>
  <c r="N3790" i="14"/>
  <c r="M3793" i="13"/>
  <c r="N3791" i="13"/>
  <c r="J3790" i="13" a="1"/>
  <c r="J3790" i="13" s="1"/>
  <c r="K3627" i="14" l="1"/>
  <c r="L3627" i="14" s="1"/>
  <c r="I3628" i="14" s="1"/>
  <c r="K3605" i="13"/>
  <c r="L3605" i="13" s="1"/>
  <c r="I3606" i="13" s="1"/>
  <c r="N3792" i="13"/>
  <c r="J3791" i="13" a="1"/>
  <c r="J3791" i="13" s="1"/>
  <c r="N3791" i="14"/>
  <c r="J3790" i="14" a="1"/>
  <c r="J3790" i="14" s="1"/>
  <c r="M3794" i="13"/>
  <c r="M3795" i="14"/>
  <c r="K3628" i="14" l="1"/>
  <c r="L3628" i="14" s="1"/>
  <c r="I3629" i="14" s="1"/>
  <c r="M3796" i="14"/>
  <c r="N3792" i="14"/>
  <c r="J3791" i="14" a="1"/>
  <c r="J3791" i="14" s="1"/>
  <c r="K3606" i="13"/>
  <c r="L3606" i="13" s="1"/>
  <c r="I3607" i="13" s="1"/>
  <c r="M3795" i="13"/>
  <c r="J3792" i="13" a="1"/>
  <c r="J3792" i="13" s="1"/>
  <c r="N3793" i="13"/>
  <c r="K3629" i="14" l="1"/>
  <c r="L3629" i="14" s="1"/>
  <c r="I3630" i="14" s="1"/>
  <c r="N3794" i="13"/>
  <c r="J3793" i="13" a="1"/>
  <c r="J3793" i="13" s="1"/>
  <c r="K3607" i="13"/>
  <c r="L3607" i="13" s="1"/>
  <c r="I3608" i="13" s="1"/>
  <c r="M3797" i="14"/>
  <c r="M3796" i="13"/>
  <c r="N3793" i="14"/>
  <c r="J3792" i="14" a="1"/>
  <c r="J3792" i="14" s="1"/>
  <c r="K3608" i="13" l="1"/>
  <c r="L3608" i="13" s="1"/>
  <c r="I3609" i="13" s="1"/>
  <c r="K3630" i="14"/>
  <c r="L3630" i="14" s="1"/>
  <c r="I3631" i="14" s="1"/>
  <c r="N3795" i="13"/>
  <c r="J3794" i="13" a="1"/>
  <c r="J3794" i="13" s="1"/>
  <c r="M3798" i="14"/>
  <c r="M3797" i="13"/>
  <c r="J3793" i="14" a="1"/>
  <c r="J3793" i="14" s="1"/>
  <c r="N3794" i="14"/>
  <c r="K3631" i="14" l="1"/>
  <c r="L3631" i="14" s="1"/>
  <c r="I3632" i="14" s="1"/>
  <c r="K3609" i="13"/>
  <c r="L3609" i="13" s="1"/>
  <c r="I3610" i="13" s="1"/>
  <c r="M3799" i="14"/>
  <c r="N3795" i="14"/>
  <c r="J3794" i="14" a="1"/>
  <c r="J3794" i="14" s="1"/>
  <c r="M3798" i="13"/>
  <c r="N3796" i="13"/>
  <c r="J3795" i="13" a="1"/>
  <c r="J3795" i="13" s="1"/>
  <c r="K3610" i="13" l="1"/>
  <c r="L3610" i="13" s="1"/>
  <c r="I3611" i="13" s="1"/>
  <c r="K3632" i="14"/>
  <c r="L3632" i="14" s="1"/>
  <c r="I3633" i="14" s="1"/>
  <c r="N3796" i="14"/>
  <c r="J3795" i="14" a="1"/>
  <c r="J3795" i="14" s="1"/>
  <c r="M3799" i="13"/>
  <c r="J3796" i="13" a="1"/>
  <c r="J3796" i="13" s="1"/>
  <c r="N3797" i="13"/>
  <c r="M3800" i="14"/>
  <c r="K3611" i="13" l="1"/>
  <c r="L3611" i="13" s="1"/>
  <c r="I3612" i="13" s="1"/>
  <c r="M3801" i="14"/>
  <c r="M3800" i="13"/>
  <c r="K3633" i="14"/>
  <c r="L3633" i="14" s="1"/>
  <c r="I3634" i="14" s="1"/>
  <c r="N3798" i="13"/>
  <c r="J3797" i="13" a="1"/>
  <c r="J3797" i="13" s="1"/>
  <c r="N3797" i="14"/>
  <c r="J3796" i="14" a="1"/>
  <c r="J3796" i="14" s="1"/>
  <c r="K3612" i="13" l="1"/>
  <c r="L3612" i="13" s="1"/>
  <c r="I3613" i="13" s="1"/>
  <c r="J3797" i="14" a="1"/>
  <c r="J3797" i="14" s="1"/>
  <c r="N3798" i="14"/>
  <c r="M3802" i="14"/>
  <c r="K3634" i="14"/>
  <c r="L3634" i="14" s="1"/>
  <c r="I3635" i="14" s="1"/>
  <c r="M3801" i="13"/>
  <c r="N3799" i="13"/>
  <c r="J3798" i="13" a="1"/>
  <c r="J3798" i="13" s="1"/>
  <c r="K3635" i="14" l="1"/>
  <c r="L3635" i="14" s="1"/>
  <c r="I3636" i="14" s="1"/>
  <c r="K3613" i="13"/>
  <c r="L3613" i="13" s="1"/>
  <c r="I3614" i="13" s="1"/>
  <c r="N3799" i="14"/>
  <c r="J3798" i="14" a="1"/>
  <c r="J3798" i="14" s="1"/>
  <c r="N3800" i="13"/>
  <c r="J3799" i="13" a="1"/>
  <c r="J3799" i="13" s="1"/>
  <c r="M3803" i="14"/>
  <c r="M3802" i="13"/>
  <c r="K3614" i="13" l="1"/>
  <c r="L3614" i="13" s="1"/>
  <c r="I3615" i="13" s="1"/>
  <c r="K3636" i="14"/>
  <c r="L3636" i="14" s="1"/>
  <c r="I3637" i="14" s="1"/>
  <c r="J3800" i="13" a="1"/>
  <c r="J3800" i="13" s="1"/>
  <c r="N3801" i="13"/>
  <c r="M3803" i="13"/>
  <c r="M3804" i="14"/>
  <c r="N3800" i="14"/>
  <c r="J3799" i="14" a="1"/>
  <c r="J3799" i="14" s="1"/>
  <c r="K3615" i="13" l="1"/>
  <c r="L3615" i="13" s="1"/>
  <c r="I3616" i="13" s="1"/>
  <c r="K3637" i="14"/>
  <c r="L3637" i="14" s="1"/>
  <c r="I3638" i="14" s="1"/>
  <c r="M3804" i="13"/>
  <c r="N3802" i="13"/>
  <c r="J3801" i="13" a="1"/>
  <c r="J3801" i="13" s="1"/>
  <c r="N3801" i="14"/>
  <c r="J3800" i="14" a="1"/>
  <c r="J3800" i="14" s="1"/>
  <c r="M3805" i="14"/>
  <c r="K3638" i="14" l="1"/>
  <c r="L3638" i="14" s="1"/>
  <c r="I3639" i="14" s="1"/>
  <c r="K3616" i="13"/>
  <c r="L3616" i="13" s="1"/>
  <c r="I3617" i="13" s="1"/>
  <c r="N3803" i="13"/>
  <c r="J3802" i="13" a="1"/>
  <c r="J3802" i="13" s="1"/>
  <c r="M3806" i="14"/>
  <c r="J3801" i="14" a="1"/>
  <c r="J3801" i="14" s="1"/>
  <c r="N3802" i="14"/>
  <c r="M3805" i="13"/>
  <c r="K3617" i="13" l="1"/>
  <c r="L3617" i="13" s="1"/>
  <c r="I3618" i="13" s="1"/>
  <c r="K3639" i="14"/>
  <c r="L3639" i="14" s="1"/>
  <c r="I3640" i="14" s="1"/>
  <c r="M3806" i="13"/>
  <c r="M3807" i="14"/>
  <c r="N3803" i="14"/>
  <c r="J3802" i="14" a="1"/>
  <c r="J3802" i="14" s="1"/>
  <c r="N3804" i="13"/>
  <c r="J3803" i="13" a="1"/>
  <c r="J3803" i="13" s="1"/>
  <c r="K3618" i="13" l="1"/>
  <c r="L3618" i="13" s="1"/>
  <c r="I3619" i="13" s="1"/>
  <c r="J3804" i="13" a="1"/>
  <c r="J3804" i="13" s="1"/>
  <c r="N3805" i="13"/>
  <c r="M3808" i="14"/>
  <c r="K3640" i="14"/>
  <c r="L3640" i="14" s="1"/>
  <c r="I3641" i="14" s="1"/>
  <c r="M3807" i="13"/>
  <c r="N3804" i="14"/>
  <c r="J3803" i="14" a="1"/>
  <c r="J3803" i="14" s="1"/>
  <c r="K3641" i="14" l="1"/>
  <c r="L3641" i="14" s="1"/>
  <c r="I3642" i="14" s="1"/>
  <c r="K3619" i="13"/>
  <c r="L3619" i="13" s="1"/>
  <c r="I3620" i="13" s="1"/>
  <c r="N3806" i="13"/>
  <c r="J3805" i="13" a="1"/>
  <c r="J3805" i="13" s="1"/>
  <c r="N3805" i="14"/>
  <c r="J3804" i="14" a="1"/>
  <c r="J3804" i="14" s="1"/>
  <c r="M3808" i="13"/>
  <c r="M3809" i="14"/>
  <c r="K3620" i="13" l="1"/>
  <c r="L3620" i="13" s="1"/>
  <c r="I3621" i="13" s="1"/>
  <c r="K3642" i="14"/>
  <c r="L3642" i="14" s="1"/>
  <c r="I3643" i="14" s="1"/>
  <c r="J3805" i="14" a="1"/>
  <c r="J3805" i="14" s="1"/>
  <c r="N3806" i="14"/>
  <c r="M3810" i="14"/>
  <c r="M3809" i="13"/>
  <c r="N3807" i="13"/>
  <c r="J3806" i="13" a="1"/>
  <c r="J3806" i="13" s="1"/>
  <c r="K3643" i="14" l="1"/>
  <c r="L3643" i="14" s="1"/>
  <c r="I3644" i="14" s="1"/>
  <c r="K3621" i="13"/>
  <c r="L3621" i="13" s="1"/>
  <c r="I3622" i="13" s="1"/>
  <c r="N3808" i="13"/>
  <c r="J3807" i="13" a="1"/>
  <c r="J3807" i="13" s="1"/>
  <c r="M3811" i="14"/>
  <c r="N3807" i="14"/>
  <c r="J3806" i="14" a="1"/>
  <c r="J3806" i="14" s="1"/>
  <c r="M3810" i="13"/>
  <c r="K3644" i="14" l="1"/>
  <c r="L3644" i="14" s="1"/>
  <c r="I3645" i="14" s="1"/>
  <c r="J3808" i="13" a="1"/>
  <c r="J3808" i="13" s="1"/>
  <c r="N3809" i="13"/>
  <c r="M3811" i="13"/>
  <c r="M3812" i="14"/>
  <c r="K3622" i="13"/>
  <c r="L3622" i="13" s="1"/>
  <c r="I3623" i="13" s="1"/>
  <c r="N3808" i="14"/>
  <c r="J3807" i="14" a="1"/>
  <c r="J3807" i="14" s="1"/>
  <c r="K3623" i="13" l="1"/>
  <c r="L3623" i="13" s="1"/>
  <c r="I3624" i="13" s="1"/>
  <c r="K3645" i="14"/>
  <c r="L3645" i="14" s="1"/>
  <c r="I3646" i="14" s="1"/>
  <c r="N3810" i="13"/>
  <c r="J3809" i="13" a="1"/>
  <c r="J3809" i="13" s="1"/>
  <c r="N3809" i="14"/>
  <c r="J3808" i="14" a="1"/>
  <c r="J3808" i="14" s="1"/>
  <c r="M3813" i="14"/>
  <c r="M3812" i="13"/>
  <c r="K3646" i="14" l="1"/>
  <c r="L3646" i="14" s="1"/>
  <c r="I3647" i="14" s="1"/>
  <c r="K3624" i="13"/>
  <c r="L3624" i="13" s="1"/>
  <c r="I3625" i="13" s="1"/>
  <c r="M3813" i="13"/>
  <c r="J3809" i="14" a="1"/>
  <c r="J3809" i="14" s="1"/>
  <c r="N3810" i="14"/>
  <c r="M3814" i="14"/>
  <c r="N3811" i="13"/>
  <c r="J3810" i="13" a="1"/>
  <c r="J3810" i="13" s="1"/>
  <c r="K3625" i="13" l="1"/>
  <c r="L3625" i="13" s="1"/>
  <c r="I3626" i="13" s="1"/>
  <c r="K3647" i="14"/>
  <c r="L3647" i="14" s="1"/>
  <c r="I3648" i="14" s="1"/>
  <c r="N3811" i="14"/>
  <c r="J3810" i="14" a="1"/>
  <c r="J3810" i="14" s="1"/>
  <c r="N3812" i="13"/>
  <c r="J3811" i="13" a="1"/>
  <c r="J3811" i="13" s="1"/>
  <c r="M3814" i="13"/>
  <c r="M3815" i="14"/>
  <c r="K3648" i="14" l="1"/>
  <c r="L3648" i="14" s="1"/>
  <c r="I3649" i="14" s="1"/>
  <c r="K3626" i="13"/>
  <c r="L3626" i="13" s="1"/>
  <c r="I3627" i="13" s="1"/>
  <c r="J3812" i="13" a="1"/>
  <c r="J3812" i="13" s="1"/>
  <c r="N3813" i="13"/>
  <c r="M3816" i="14"/>
  <c r="M3815" i="13"/>
  <c r="N3812" i="14"/>
  <c r="J3811" i="14" a="1"/>
  <c r="J3811" i="14" s="1"/>
  <c r="K3649" i="14" l="1"/>
  <c r="L3649" i="14" s="1"/>
  <c r="I3650" i="14" s="1"/>
  <c r="M3817" i="14"/>
  <c r="K3627" i="13"/>
  <c r="L3627" i="13" s="1"/>
  <c r="I3628" i="13" s="1"/>
  <c r="N3814" i="13"/>
  <c r="J3813" i="13" a="1"/>
  <c r="J3813" i="13" s="1"/>
  <c r="N3813" i="14"/>
  <c r="J3812" i="14" a="1"/>
  <c r="J3812" i="14" s="1"/>
  <c r="M3816" i="13"/>
  <c r="K3628" i="13" l="1"/>
  <c r="L3628" i="13" s="1"/>
  <c r="I3629" i="13" s="1"/>
  <c r="K3650" i="14"/>
  <c r="L3650" i="14" s="1"/>
  <c r="I3651" i="14" s="1"/>
  <c r="N3815" i="13"/>
  <c r="J3814" i="13" a="1"/>
  <c r="J3814" i="13" s="1"/>
  <c r="M3818" i="14"/>
  <c r="M3817" i="13"/>
  <c r="J3813" i="14" a="1"/>
  <c r="J3813" i="14" s="1"/>
  <c r="N3814" i="14"/>
  <c r="K3651" i="14" l="1"/>
  <c r="L3651" i="14" s="1"/>
  <c r="I3652" i="14" s="1"/>
  <c r="K3629" i="13"/>
  <c r="L3629" i="13" s="1"/>
  <c r="I3630" i="13" s="1"/>
  <c r="N3815" i="14"/>
  <c r="J3814" i="14" a="1"/>
  <c r="J3814" i="14" s="1"/>
  <c r="M3819" i="14"/>
  <c r="M3818" i="13"/>
  <c r="N3816" i="13"/>
  <c r="J3815" i="13" a="1"/>
  <c r="J3815" i="13" s="1"/>
  <c r="K3630" i="13" l="1"/>
  <c r="L3630" i="13" s="1"/>
  <c r="I3631" i="13" s="1"/>
  <c r="K3652" i="14"/>
  <c r="L3652" i="14" s="1"/>
  <c r="I3653" i="14" s="1"/>
  <c r="J3816" i="13" a="1"/>
  <c r="J3816" i="13" s="1"/>
  <c r="N3817" i="13"/>
  <c r="M3820" i="14"/>
  <c r="M3819" i="13"/>
  <c r="N3816" i="14"/>
  <c r="J3815" i="14" a="1"/>
  <c r="J3815" i="14" s="1"/>
  <c r="K3653" i="14" l="1"/>
  <c r="L3653" i="14" s="1"/>
  <c r="I3654" i="14" s="1"/>
  <c r="K3631" i="13"/>
  <c r="L3631" i="13" s="1"/>
  <c r="I3632" i="13" s="1"/>
  <c r="N3817" i="14"/>
  <c r="J3816" i="14" a="1"/>
  <c r="J3816" i="14" s="1"/>
  <c r="M3821" i="14"/>
  <c r="N3818" i="13"/>
  <c r="J3817" i="13" a="1"/>
  <c r="J3817" i="13" s="1"/>
  <c r="M3820" i="13"/>
  <c r="K3654" i="14" l="1"/>
  <c r="L3654" i="14" s="1"/>
  <c r="I3655" i="14" s="1"/>
  <c r="M3821" i="13"/>
  <c r="M3822" i="14"/>
  <c r="K3632" i="13"/>
  <c r="L3632" i="13" s="1"/>
  <c r="I3633" i="13" s="1"/>
  <c r="N3819" i="13"/>
  <c r="J3818" i="13" a="1"/>
  <c r="J3818" i="13" s="1"/>
  <c r="J3817" i="14" a="1"/>
  <c r="J3817" i="14" s="1"/>
  <c r="N3818" i="14"/>
  <c r="K3655" i="14" l="1"/>
  <c r="L3655" i="14" s="1"/>
  <c r="I3656" i="14" s="1"/>
  <c r="N3819" i="14"/>
  <c r="J3818" i="14" a="1"/>
  <c r="J3818" i="14" s="1"/>
  <c r="M3822" i="13"/>
  <c r="K3633" i="13"/>
  <c r="L3633" i="13" s="1"/>
  <c r="I3634" i="13" s="1"/>
  <c r="M3823" i="14"/>
  <c r="N3820" i="13"/>
  <c r="J3819" i="13" a="1"/>
  <c r="J3819" i="13" s="1"/>
  <c r="K3634" i="13" l="1"/>
  <c r="L3634" i="13" s="1"/>
  <c r="I3635" i="13" s="1"/>
  <c r="K3656" i="14"/>
  <c r="L3656" i="14" s="1"/>
  <c r="I3657" i="14" s="1"/>
  <c r="J3819" i="14" a="1"/>
  <c r="J3819" i="14" s="1"/>
  <c r="N3820" i="14"/>
  <c r="J3820" i="13" a="1"/>
  <c r="J3820" i="13" s="1"/>
  <c r="N3821" i="13"/>
  <c r="M3824" i="14"/>
  <c r="M3823" i="13"/>
  <c r="K3657" i="14" l="1"/>
  <c r="L3657" i="14" s="1"/>
  <c r="I3658" i="14" s="1"/>
  <c r="K3635" i="13"/>
  <c r="L3635" i="13" s="1"/>
  <c r="I3636" i="13" s="1"/>
  <c r="N3822" i="13"/>
  <c r="J3821" i="13" a="1"/>
  <c r="J3821" i="13" s="1"/>
  <c r="N3821" i="14"/>
  <c r="J3820" i="14" a="1"/>
  <c r="J3820" i="14" s="1"/>
  <c r="M3824" i="13"/>
  <c r="M3825" i="14"/>
  <c r="K3636" i="13" l="1"/>
  <c r="L3636" i="13" s="1"/>
  <c r="I3637" i="13" s="1"/>
  <c r="K3658" i="14"/>
  <c r="L3658" i="14" s="1"/>
  <c r="I3659" i="14" s="1"/>
  <c r="J3821" i="14" a="1"/>
  <c r="J3821" i="14" s="1"/>
  <c r="N3822" i="14"/>
  <c r="M3826" i="14"/>
  <c r="M3825" i="13"/>
  <c r="N3823" i="13"/>
  <c r="J3822" i="13" a="1"/>
  <c r="J3822" i="13" s="1"/>
  <c r="K3659" i="14" l="1"/>
  <c r="L3659" i="14" s="1"/>
  <c r="I3660" i="14" s="1"/>
  <c r="K3637" i="13"/>
  <c r="L3637" i="13" s="1"/>
  <c r="I3638" i="13" s="1"/>
  <c r="J3822" i="14" a="1"/>
  <c r="J3822" i="14" s="1"/>
  <c r="N3823" i="14"/>
  <c r="N3824" i="13"/>
  <c r="J3823" i="13" a="1"/>
  <c r="J3823" i="13" s="1"/>
  <c r="M3827" i="14"/>
  <c r="M3826" i="13"/>
  <c r="K3660" i="14" l="1"/>
  <c r="L3660" i="14" s="1"/>
  <c r="I3661" i="14" s="1"/>
  <c r="J3824" i="13" a="1"/>
  <c r="J3824" i="13" s="1"/>
  <c r="N3825" i="13"/>
  <c r="M3827" i="13"/>
  <c r="K3638" i="13"/>
  <c r="L3638" i="13" s="1"/>
  <c r="I3639" i="13" s="1"/>
  <c r="M3828" i="14"/>
  <c r="N3824" i="14"/>
  <c r="J3823" i="14" a="1"/>
  <c r="J3823" i="14" s="1"/>
  <c r="K3639" i="13" l="1"/>
  <c r="L3639" i="13" s="1"/>
  <c r="I3640" i="13" s="1"/>
  <c r="K3661" i="14"/>
  <c r="L3661" i="14" s="1"/>
  <c r="I3662" i="14" s="1"/>
  <c r="N3826" i="13"/>
  <c r="J3825" i="13" a="1"/>
  <c r="J3825" i="13" s="1"/>
  <c r="N3825" i="14"/>
  <c r="J3824" i="14" a="1"/>
  <c r="J3824" i="14" s="1"/>
  <c r="M3829" i="14"/>
  <c r="M3828" i="13"/>
  <c r="K3640" i="13" l="1"/>
  <c r="L3640" i="13" s="1"/>
  <c r="I3641" i="13" s="1"/>
  <c r="J3825" i="14" a="1"/>
  <c r="J3825" i="14" s="1"/>
  <c r="N3826" i="14"/>
  <c r="K3662" i="14"/>
  <c r="L3662" i="14" s="1"/>
  <c r="I3663" i="14" s="1"/>
  <c r="M3829" i="13"/>
  <c r="M3830" i="14"/>
  <c r="N3827" i="13"/>
  <c r="J3826" i="13" a="1"/>
  <c r="J3826" i="13" s="1"/>
  <c r="K3663" i="14" l="1"/>
  <c r="L3663" i="14" s="1"/>
  <c r="I3664" i="14" s="1"/>
  <c r="K3641" i="13"/>
  <c r="L3641" i="13" s="1"/>
  <c r="I3642" i="13" s="1"/>
  <c r="M3830" i="13"/>
  <c r="N3827" i="14"/>
  <c r="J3826" i="14" a="1"/>
  <c r="J3826" i="14" s="1"/>
  <c r="N3828" i="13"/>
  <c r="J3827" i="13" a="1"/>
  <c r="J3827" i="13" s="1"/>
  <c r="M3831" i="14"/>
  <c r="K3642" i="13" l="1"/>
  <c r="L3642" i="13" s="1"/>
  <c r="I3643" i="13" s="1"/>
  <c r="K3664" i="14"/>
  <c r="L3664" i="14" s="1"/>
  <c r="I3665" i="14" s="1"/>
  <c r="N3828" i="14"/>
  <c r="J3827" i="14" a="1"/>
  <c r="J3827" i="14" s="1"/>
  <c r="M3831" i="13"/>
  <c r="M3832" i="14"/>
  <c r="J3828" i="13" a="1"/>
  <c r="J3828" i="13" s="1"/>
  <c r="N3829" i="13"/>
  <c r="K3665" i="14" l="1"/>
  <c r="L3665" i="14" s="1"/>
  <c r="I3666" i="14" s="1"/>
  <c r="K3643" i="13"/>
  <c r="L3643" i="13" s="1"/>
  <c r="I3644" i="13" s="1"/>
  <c r="M3832" i="13"/>
  <c r="N3830" i="13"/>
  <c r="J3829" i="13" a="1"/>
  <c r="J3829" i="13" s="1"/>
  <c r="M3833" i="14"/>
  <c r="N3829" i="14"/>
  <c r="J3828" i="14" a="1"/>
  <c r="J3828" i="14" s="1"/>
  <c r="K3666" i="14" l="1"/>
  <c r="L3666" i="14" s="1"/>
  <c r="I3667" i="14" s="1"/>
  <c r="J3829" i="14" a="1"/>
  <c r="J3829" i="14" s="1"/>
  <c r="N3830" i="14"/>
  <c r="K3644" i="13"/>
  <c r="L3644" i="13" s="1"/>
  <c r="I3645" i="13" s="1"/>
  <c r="N3831" i="13"/>
  <c r="J3830" i="13" a="1"/>
  <c r="J3830" i="13" s="1"/>
  <c r="M3834" i="14"/>
  <c r="M3833" i="13"/>
  <c r="K3645" i="13" l="1"/>
  <c r="L3645" i="13" s="1"/>
  <c r="I3646" i="13" s="1"/>
  <c r="K3667" i="14"/>
  <c r="L3667" i="14" s="1"/>
  <c r="I3668" i="14" s="1"/>
  <c r="N3831" i="14"/>
  <c r="J3830" i="14" a="1"/>
  <c r="J3830" i="14" s="1"/>
  <c r="N3832" i="13"/>
  <c r="J3831" i="13" a="1"/>
  <c r="J3831" i="13" s="1"/>
  <c r="M3834" i="13"/>
  <c r="M3835" i="14"/>
  <c r="K3668" i="14" l="1"/>
  <c r="L3668" i="14" s="1"/>
  <c r="I3669" i="14" s="1"/>
  <c r="K3646" i="13"/>
  <c r="L3646" i="13" s="1"/>
  <c r="I3647" i="13" s="1"/>
  <c r="M3836" i="14"/>
  <c r="J3832" i="13" a="1"/>
  <c r="J3832" i="13" s="1"/>
  <c r="N3833" i="13"/>
  <c r="M3835" i="13"/>
  <c r="N3832" i="14"/>
  <c r="J3831" i="14" a="1"/>
  <c r="J3831" i="14" s="1"/>
  <c r="K3647" i="13" l="1"/>
  <c r="L3647" i="13" s="1"/>
  <c r="I3648" i="13" s="1"/>
  <c r="K3669" i="14"/>
  <c r="L3669" i="14" s="1"/>
  <c r="I3670" i="14" s="1"/>
  <c r="N3834" i="13"/>
  <c r="J3833" i="13" a="1"/>
  <c r="J3833" i="13" s="1"/>
  <c r="N3833" i="14"/>
  <c r="J3832" i="14" a="1"/>
  <c r="J3832" i="14" s="1"/>
  <c r="M3836" i="13"/>
  <c r="M3837" i="14"/>
  <c r="K3670" i="14" l="1"/>
  <c r="L3670" i="14" s="1"/>
  <c r="I3671" i="14" s="1"/>
  <c r="K3648" i="13"/>
  <c r="L3648" i="13" s="1"/>
  <c r="I3649" i="13" s="1"/>
  <c r="J3833" i="14" a="1"/>
  <c r="J3833" i="14" s="1"/>
  <c r="N3834" i="14"/>
  <c r="M3838" i="14"/>
  <c r="M3837" i="13"/>
  <c r="N3835" i="13"/>
  <c r="J3834" i="13" a="1"/>
  <c r="J3834" i="13" s="1"/>
  <c r="K3671" i="14" l="1"/>
  <c r="L3671" i="14" s="1"/>
  <c r="I3672" i="14" s="1"/>
  <c r="M3839" i="14"/>
  <c r="K3649" i="13"/>
  <c r="L3649" i="13" s="1"/>
  <c r="I3650" i="13" s="1"/>
  <c r="N3836" i="13"/>
  <c r="J3835" i="13" a="1"/>
  <c r="J3835" i="13" s="1"/>
  <c r="M3838" i="13"/>
  <c r="N3835" i="14"/>
  <c r="J3834" i="14" a="1"/>
  <c r="J3834" i="14" s="1"/>
  <c r="K3672" i="14" l="1"/>
  <c r="L3672" i="14" s="1"/>
  <c r="I3673" i="14" s="1"/>
  <c r="K3650" i="13"/>
  <c r="L3650" i="13" s="1"/>
  <c r="I3651" i="13" s="1"/>
  <c r="M3840" i="14"/>
  <c r="J3836" i="13" a="1"/>
  <c r="J3836" i="13" s="1"/>
  <c r="N3837" i="13"/>
  <c r="N3836" i="14"/>
  <c r="J3835" i="14" a="1"/>
  <c r="J3835" i="14" s="1"/>
  <c r="M3839" i="13"/>
  <c r="K3651" i="13" l="1"/>
  <c r="L3651" i="13" s="1"/>
  <c r="I3652" i="13" s="1"/>
  <c r="K3673" i="14"/>
  <c r="L3673" i="14" s="1"/>
  <c r="I3674" i="14" s="1"/>
  <c r="N3838" i="13"/>
  <c r="J3837" i="13" a="1"/>
  <c r="J3837" i="13" s="1"/>
  <c r="M3840" i="13"/>
  <c r="N3837" i="14"/>
  <c r="J3836" i="14" a="1"/>
  <c r="J3836" i="14" s="1"/>
  <c r="M3841" i="14"/>
  <c r="K3674" i="14" l="1"/>
  <c r="L3674" i="14" s="1"/>
  <c r="I3675" i="14" s="1"/>
  <c r="K3652" i="13"/>
  <c r="L3652" i="13" s="1"/>
  <c r="I3653" i="13" s="1"/>
  <c r="M3841" i="13"/>
  <c r="M3842" i="14"/>
  <c r="J3837" i="14" a="1"/>
  <c r="J3837" i="14" s="1"/>
  <c r="N3838" i="14"/>
  <c r="N3839" i="13"/>
  <c r="J3838" i="13" a="1"/>
  <c r="J3838" i="13" s="1"/>
  <c r="K3675" i="14" l="1"/>
  <c r="L3675" i="14" s="1"/>
  <c r="I3676" i="14" s="1"/>
  <c r="N3840" i="13"/>
  <c r="J3839" i="13" a="1"/>
  <c r="J3839" i="13" s="1"/>
  <c r="M3843" i="14"/>
  <c r="K3653" i="13"/>
  <c r="L3653" i="13" s="1"/>
  <c r="I3654" i="13" s="1"/>
  <c r="N3839" i="14"/>
  <c r="J3838" i="14" a="1"/>
  <c r="J3838" i="14" s="1"/>
  <c r="M3842" i="13"/>
  <c r="K3654" i="13" l="1"/>
  <c r="L3654" i="13" s="1"/>
  <c r="I3655" i="13" s="1"/>
  <c r="K3676" i="14"/>
  <c r="L3676" i="14" s="1"/>
  <c r="I3677" i="14" s="1"/>
  <c r="J3840" i="13" a="1"/>
  <c r="J3840" i="13" s="1"/>
  <c r="N3841" i="13"/>
  <c r="M3843" i="13"/>
  <c r="M3844" i="14"/>
  <c r="J3839" i="14" a="1"/>
  <c r="J3839" i="14" s="1"/>
  <c r="N3840" i="14"/>
  <c r="K3677" i="14" l="1"/>
  <c r="L3677" i="14" s="1"/>
  <c r="I3678" i="14" s="1"/>
  <c r="K3655" i="13"/>
  <c r="L3655" i="13" s="1"/>
  <c r="I3656" i="13" s="1"/>
  <c r="N3841" i="14"/>
  <c r="J3840" i="14" a="1"/>
  <c r="J3840" i="14" s="1"/>
  <c r="M3845" i="14"/>
  <c r="M3844" i="13"/>
  <c r="N3842" i="13"/>
  <c r="J3841" i="13" a="1"/>
  <c r="J3841" i="13" s="1"/>
  <c r="K3656" i="13" l="1"/>
  <c r="L3656" i="13" s="1"/>
  <c r="I3657" i="13" s="1"/>
  <c r="M3845" i="13"/>
  <c r="N3843" i="13"/>
  <c r="J3842" i="13" a="1"/>
  <c r="J3842" i="13" s="1"/>
  <c r="M3846" i="14"/>
  <c r="J3841" i="14" a="1"/>
  <c r="J3841" i="14" s="1"/>
  <c r="N3842" i="14"/>
  <c r="K3678" i="14"/>
  <c r="L3678" i="14" s="1"/>
  <c r="I3679" i="14" s="1"/>
  <c r="K3679" i="14" l="1"/>
  <c r="L3679" i="14" s="1"/>
  <c r="I3680" i="14" s="1"/>
  <c r="K3657" i="13"/>
  <c r="L3657" i="13" s="1"/>
  <c r="I3658" i="13" s="1"/>
  <c r="M3846" i="13"/>
  <c r="J3842" i="14" a="1"/>
  <c r="J3842" i="14" s="1"/>
  <c r="N3843" i="14"/>
  <c r="M3847" i="14"/>
  <c r="N3844" i="13"/>
  <c r="J3843" i="13" a="1"/>
  <c r="J3843" i="13" s="1"/>
  <c r="K3658" i="13" l="1"/>
  <c r="L3658" i="13" s="1"/>
  <c r="I3659" i="13" s="1"/>
  <c r="K3680" i="14"/>
  <c r="L3680" i="14" s="1"/>
  <c r="I3681" i="14" s="1"/>
  <c r="N3844" i="14"/>
  <c r="J3843" i="14" a="1"/>
  <c r="J3843" i="14" s="1"/>
  <c r="M3848" i="14"/>
  <c r="M3847" i="13"/>
  <c r="J3844" i="13" a="1"/>
  <c r="J3844" i="13" s="1"/>
  <c r="N3845" i="13"/>
  <c r="K3659" i="13" l="1"/>
  <c r="L3659" i="13" s="1"/>
  <c r="I3660" i="13" s="1"/>
  <c r="K3681" i="14"/>
  <c r="L3681" i="14" s="1"/>
  <c r="I3682" i="14" s="1"/>
  <c r="N3846" i="13"/>
  <c r="J3845" i="13" a="1"/>
  <c r="J3845" i="13" s="1"/>
  <c r="M3849" i="14"/>
  <c r="M3848" i="13"/>
  <c r="N3845" i="14"/>
  <c r="J3844" i="14" a="1"/>
  <c r="J3844" i="14" s="1"/>
  <c r="K3660" i="13" l="1"/>
  <c r="L3660" i="13" s="1"/>
  <c r="I3661" i="13" s="1"/>
  <c r="K3682" i="14"/>
  <c r="L3682" i="14" s="1"/>
  <c r="I3683" i="14" s="1"/>
  <c r="J3845" i="14" a="1"/>
  <c r="J3845" i="14" s="1"/>
  <c r="N3846" i="14"/>
  <c r="M3850" i="14"/>
  <c r="M3849" i="13"/>
  <c r="N3847" i="13"/>
  <c r="J3846" i="13" a="1"/>
  <c r="J3846" i="13" s="1"/>
  <c r="K3683" i="14" l="1"/>
  <c r="L3683" i="14" s="1"/>
  <c r="I3684" i="14" s="1"/>
  <c r="K3661" i="13"/>
  <c r="L3661" i="13" s="1"/>
  <c r="I3662" i="13" s="1"/>
  <c r="M3851" i="14"/>
  <c r="M3850" i="13"/>
  <c r="N3848" i="13"/>
  <c r="J3847" i="13" a="1"/>
  <c r="J3847" i="13" s="1"/>
  <c r="N3847" i="14"/>
  <c r="J3846" i="14" a="1"/>
  <c r="J3846" i="14" s="1"/>
  <c r="K3662" i="13" l="1"/>
  <c r="L3662" i="13" s="1"/>
  <c r="I3663" i="13" s="1"/>
  <c r="K3684" i="14"/>
  <c r="L3684" i="14" s="1"/>
  <c r="I3685" i="14" s="1"/>
  <c r="M3851" i="13"/>
  <c r="N3848" i="14"/>
  <c r="J3847" i="14" a="1"/>
  <c r="J3847" i="14" s="1"/>
  <c r="M3852" i="14"/>
  <c r="J3848" i="13" a="1"/>
  <c r="J3848" i="13" s="1"/>
  <c r="N3849" i="13"/>
  <c r="K3685" i="14" l="1"/>
  <c r="L3685" i="14" s="1"/>
  <c r="I3686" i="14" s="1"/>
  <c r="K3663" i="13"/>
  <c r="L3663" i="13" s="1"/>
  <c r="I3664" i="13" s="1"/>
  <c r="N3850" i="13"/>
  <c r="J3849" i="13" a="1"/>
  <c r="J3849" i="13" s="1"/>
  <c r="N3849" i="14"/>
  <c r="J3848" i="14" a="1"/>
  <c r="J3848" i="14" s="1"/>
  <c r="M3853" i="14"/>
  <c r="M3852" i="13"/>
  <c r="K3664" i="13" l="1"/>
  <c r="L3664" i="13" s="1"/>
  <c r="I3665" i="13" s="1"/>
  <c r="K3686" i="14"/>
  <c r="L3686" i="14" s="1"/>
  <c r="I3687" i="14" s="1"/>
  <c r="J3849" i="14" a="1"/>
  <c r="J3849" i="14" s="1"/>
  <c r="N3850" i="14"/>
  <c r="M3853" i="13"/>
  <c r="M3854" i="14"/>
  <c r="N3851" i="13"/>
  <c r="J3850" i="13" a="1"/>
  <c r="J3850" i="13" s="1"/>
  <c r="K3687" i="14" l="1"/>
  <c r="L3687" i="14" s="1"/>
  <c r="I3688" i="14" s="1"/>
  <c r="K3665" i="13"/>
  <c r="L3665" i="13" s="1"/>
  <c r="I3666" i="13" s="1"/>
  <c r="M3854" i="13"/>
  <c r="N3852" i="13"/>
  <c r="J3851" i="13" a="1"/>
  <c r="J3851" i="13" s="1"/>
  <c r="N3851" i="14"/>
  <c r="J3850" i="14" a="1"/>
  <c r="J3850" i="14" s="1"/>
  <c r="M3855" i="14"/>
  <c r="K3688" i="14" l="1"/>
  <c r="L3688" i="14" s="1"/>
  <c r="I3689" i="14" s="1"/>
  <c r="J3852" i="13" a="1"/>
  <c r="J3852" i="13" s="1"/>
  <c r="N3853" i="13"/>
  <c r="K3666" i="13"/>
  <c r="L3666" i="13" s="1"/>
  <c r="I3667" i="13" s="1"/>
  <c r="M3856" i="14"/>
  <c r="M3855" i="13"/>
  <c r="N3852" i="14"/>
  <c r="J3851" i="14" a="1"/>
  <c r="J3851" i="14" s="1"/>
  <c r="K3667" i="13" l="1"/>
  <c r="L3667" i="13" s="1"/>
  <c r="I3668" i="13" s="1"/>
  <c r="K3689" i="14"/>
  <c r="L3689" i="14" s="1"/>
  <c r="I3690" i="14" s="1"/>
  <c r="N3854" i="13"/>
  <c r="J3853" i="13" a="1"/>
  <c r="J3853" i="13" s="1"/>
  <c r="N3853" i="14"/>
  <c r="J3852" i="14" a="1"/>
  <c r="J3852" i="14" s="1"/>
  <c r="M3857" i="14"/>
  <c r="M3856" i="13"/>
  <c r="K3690" i="14" l="1"/>
  <c r="L3690" i="14" s="1"/>
  <c r="I3691" i="14" s="1"/>
  <c r="K3668" i="13"/>
  <c r="L3668" i="13" s="1"/>
  <c r="I3669" i="13" s="1"/>
  <c r="M3857" i="13"/>
  <c r="J3853" i="14" a="1"/>
  <c r="J3853" i="14" s="1"/>
  <c r="N3854" i="14"/>
  <c r="M3858" i="14"/>
  <c r="N3855" i="13"/>
  <c r="J3854" i="13" a="1"/>
  <c r="J3854" i="13" s="1"/>
  <c r="K3669" i="13" l="1"/>
  <c r="L3669" i="13" s="1"/>
  <c r="I3670" i="13" s="1"/>
  <c r="K3691" i="14"/>
  <c r="L3691" i="14" s="1"/>
  <c r="I3692" i="14" s="1"/>
  <c r="N3855" i="14"/>
  <c r="J3854" i="14" a="1"/>
  <c r="J3854" i="14" s="1"/>
  <c r="N3856" i="13"/>
  <c r="J3855" i="13" a="1"/>
  <c r="J3855" i="13" s="1"/>
  <c r="M3858" i="13"/>
  <c r="M3859" i="14"/>
  <c r="K3670" i="13" l="1"/>
  <c r="L3670" i="13" s="1"/>
  <c r="I3671" i="13" s="1"/>
  <c r="M3860" i="14"/>
  <c r="K3692" i="14"/>
  <c r="L3692" i="14" s="1"/>
  <c r="I3693" i="14" s="1"/>
  <c r="J3856" i="13" a="1"/>
  <c r="J3856" i="13" s="1"/>
  <c r="N3857" i="13"/>
  <c r="M3859" i="13"/>
  <c r="N3856" i="14"/>
  <c r="J3855" i="14" a="1"/>
  <c r="J3855" i="14" s="1"/>
  <c r="K3693" i="14" l="1"/>
  <c r="L3693" i="14" s="1"/>
  <c r="I3694" i="14" s="1"/>
  <c r="K3671" i="13"/>
  <c r="L3671" i="13" s="1"/>
  <c r="I3672" i="13" s="1"/>
  <c r="N3858" i="13"/>
  <c r="J3857" i="13" a="1"/>
  <c r="J3857" i="13" s="1"/>
  <c r="M3861" i="14"/>
  <c r="N3857" i="14"/>
  <c r="J3856" i="14" a="1"/>
  <c r="J3856" i="14" s="1"/>
  <c r="M3860" i="13"/>
  <c r="K3672" i="13" l="1"/>
  <c r="L3672" i="13" s="1"/>
  <c r="I3673" i="13" s="1"/>
  <c r="J3857" i="14" a="1"/>
  <c r="J3857" i="14" s="1"/>
  <c r="N3858" i="14"/>
  <c r="M3861" i="13"/>
  <c r="M3862" i="14"/>
  <c r="N3859" i="13"/>
  <c r="J3858" i="13" a="1"/>
  <c r="J3858" i="13" s="1"/>
  <c r="K3694" i="14"/>
  <c r="L3694" i="14" s="1"/>
  <c r="I3695" i="14" s="1"/>
  <c r="K3695" i="14" l="1"/>
  <c r="L3695" i="14" s="1"/>
  <c r="I3696" i="14" s="1"/>
  <c r="K3673" i="13"/>
  <c r="L3673" i="13" s="1"/>
  <c r="I3674" i="13" s="1"/>
  <c r="M3863" i="14"/>
  <c r="N3859" i="14"/>
  <c r="J3858" i="14" a="1"/>
  <c r="J3858" i="14" s="1"/>
  <c r="M3862" i="13"/>
  <c r="N3860" i="13"/>
  <c r="J3859" i="13" a="1"/>
  <c r="J3859" i="13" s="1"/>
  <c r="K3674" i="13" l="1"/>
  <c r="L3674" i="13" s="1"/>
  <c r="I3675" i="13" s="1"/>
  <c r="K3696" i="14"/>
  <c r="L3696" i="14" s="1"/>
  <c r="I3697" i="14" s="1"/>
  <c r="J3860" i="13" a="1"/>
  <c r="J3860" i="13" s="1"/>
  <c r="N3861" i="13"/>
  <c r="N3860" i="14"/>
  <c r="J3859" i="14" a="1"/>
  <c r="J3859" i="14" s="1"/>
  <c r="M3863" i="13"/>
  <c r="M3864" i="14"/>
  <c r="K3675" i="13" l="1"/>
  <c r="L3675" i="13" s="1"/>
  <c r="I3676" i="13" s="1"/>
  <c r="M3865" i="14"/>
  <c r="N3862" i="13"/>
  <c r="J3861" i="13" a="1"/>
  <c r="J3861" i="13" s="1"/>
  <c r="N3861" i="14"/>
  <c r="J3860" i="14" a="1"/>
  <c r="J3860" i="14" s="1"/>
  <c r="K3697" i="14"/>
  <c r="L3697" i="14" s="1"/>
  <c r="I3698" i="14" s="1"/>
  <c r="M3864" i="13"/>
  <c r="K3698" i="14" l="1"/>
  <c r="L3698" i="14" s="1"/>
  <c r="I3699" i="14" s="1"/>
  <c r="K3676" i="13"/>
  <c r="L3676" i="13" s="1"/>
  <c r="I3677" i="13" s="1"/>
  <c r="M3865" i="13"/>
  <c r="M3866" i="14"/>
  <c r="J3861" i="14" a="1"/>
  <c r="J3861" i="14" s="1"/>
  <c r="N3862" i="14"/>
  <c r="N3863" i="13"/>
  <c r="J3862" i="13" a="1"/>
  <c r="J3862" i="13" s="1"/>
  <c r="K3699" i="14" l="1"/>
  <c r="L3699" i="14" s="1"/>
  <c r="I3700" i="14" s="1"/>
  <c r="M3867" i="14"/>
  <c r="K3677" i="13"/>
  <c r="L3677" i="13" s="1"/>
  <c r="I3678" i="13" s="1"/>
  <c r="N3863" i="14"/>
  <c r="J3862" i="14" a="1"/>
  <c r="J3862" i="14" s="1"/>
  <c r="N3864" i="13"/>
  <c r="J3863" i="13" a="1"/>
  <c r="J3863" i="13" s="1"/>
  <c r="M3866" i="13"/>
  <c r="K3678" i="13" l="1"/>
  <c r="L3678" i="13" s="1"/>
  <c r="I3679" i="13" s="1"/>
  <c r="K3700" i="14"/>
  <c r="L3700" i="14" s="1"/>
  <c r="I3701" i="14" s="1"/>
  <c r="M3868" i="14"/>
  <c r="N3864" i="14"/>
  <c r="J3863" i="14" a="1"/>
  <c r="J3863" i="14" s="1"/>
  <c r="M3867" i="13"/>
  <c r="J3864" i="13" a="1"/>
  <c r="J3864" i="13" s="1"/>
  <c r="N3865" i="13"/>
  <c r="K3701" i="14" l="1"/>
  <c r="L3701" i="14" s="1"/>
  <c r="I3702" i="14" s="1"/>
  <c r="K3679" i="13"/>
  <c r="L3679" i="13" s="1"/>
  <c r="I3680" i="13" s="1"/>
  <c r="N3866" i="13"/>
  <c r="J3865" i="13" a="1"/>
  <c r="J3865" i="13" s="1"/>
  <c r="N3865" i="14"/>
  <c r="J3864" i="14" a="1"/>
  <c r="J3864" i="14" s="1"/>
  <c r="M3868" i="13"/>
  <c r="M3869" i="14"/>
  <c r="K3680" i="13" l="1"/>
  <c r="L3680" i="13" s="1"/>
  <c r="I3681" i="13" s="1"/>
  <c r="K3702" i="14"/>
  <c r="L3702" i="14" s="1"/>
  <c r="I3703" i="14" s="1"/>
  <c r="J3865" i="14" a="1"/>
  <c r="J3865" i="14" s="1"/>
  <c r="N3866" i="14"/>
  <c r="M3870" i="14"/>
  <c r="M3869" i="13"/>
  <c r="N3867" i="13"/>
  <c r="J3866" i="13" a="1"/>
  <c r="J3866" i="13" s="1"/>
  <c r="K3703" i="14" l="1"/>
  <c r="L3703" i="14" s="1"/>
  <c r="I3704" i="14" s="1"/>
  <c r="K3681" i="13"/>
  <c r="L3681" i="13" s="1"/>
  <c r="I3682" i="13" s="1"/>
  <c r="M3871" i="14"/>
  <c r="N3868" i="13"/>
  <c r="J3867" i="13" a="1"/>
  <c r="J3867" i="13" s="1"/>
  <c r="M3870" i="13"/>
  <c r="N3867" i="14"/>
  <c r="J3866" i="14" a="1"/>
  <c r="J3866" i="14" s="1"/>
  <c r="K3682" i="13" l="1"/>
  <c r="L3682" i="13" s="1"/>
  <c r="I3683" i="13" s="1"/>
  <c r="K3704" i="14"/>
  <c r="L3704" i="14" s="1"/>
  <c r="I3705" i="14" s="1"/>
  <c r="J3868" i="13" a="1"/>
  <c r="J3868" i="13" s="1"/>
  <c r="N3869" i="13"/>
  <c r="N3868" i="14"/>
  <c r="J3867" i="14" a="1"/>
  <c r="J3867" i="14" s="1"/>
  <c r="M3871" i="13"/>
  <c r="M3872" i="14"/>
  <c r="K3705" i="14" l="1"/>
  <c r="L3705" i="14" s="1"/>
  <c r="I3706" i="14" s="1"/>
  <c r="K3683" i="13"/>
  <c r="L3683" i="13" s="1"/>
  <c r="I3684" i="13" s="1"/>
  <c r="N3869" i="14"/>
  <c r="J3868" i="14" a="1"/>
  <c r="J3868" i="14" s="1"/>
  <c r="N3870" i="13"/>
  <c r="J3869" i="13" a="1"/>
  <c r="J3869" i="13" s="1"/>
  <c r="M3873" i="14"/>
  <c r="M3872" i="13"/>
  <c r="K3684" i="13" l="1"/>
  <c r="L3684" i="13" s="1"/>
  <c r="I3685" i="13" s="1"/>
  <c r="K3706" i="14"/>
  <c r="L3706" i="14" s="1"/>
  <c r="I3707" i="14" s="1"/>
  <c r="M3873" i="13"/>
  <c r="N3871" i="13"/>
  <c r="J3870" i="13" a="1"/>
  <c r="J3870" i="13" s="1"/>
  <c r="M3874" i="14"/>
  <c r="J3869" i="14" a="1"/>
  <c r="J3869" i="14" s="1"/>
  <c r="N3870" i="14"/>
  <c r="K3707" i="14" l="1"/>
  <c r="L3707" i="14" s="1"/>
  <c r="I3708" i="14" s="1"/>
  <c r="K3685" i="13"/>
  <c r="L3685" i="13" s="1"/>
  <c r="I3686" i="13" s="1"/>
  <c r="N3871" i="14"/>
  <c r="J3870" i="14" a="1"/>
  <c r="J3870" i="14" s="1"/>
  <c r="N3872" i="13"/>
  <c r="J3871" i="13" a="1"/>
  <c r="J3871" i="13" s="1"/>
  <c r="M3874" i="13"/>
  <c r="M3875" i="14"/>
  <c r="K3686" i="13" l="1"/>
  <c r="L3686" i="13" s="1"/>
  <c r="I3687" i="13" s="1"/>
  <c r="K3708" i="14"/>
  <c r="L3708" i="14" s="1"/>
  <c r="I3709" i="14" s="1"/>
  <c r="M3876" i="14"/>
  <c r="J3872" i="13" a="1"/>
  <c r="J3872" i="13" s="1"/>
  <c r="N3873" i="13"/>
  <c r="M3875" i="13"/>
  <c r="N3872" i="14"/>
  <c r="J3871" i="14" a="1"/>
  <c r="J3871" i="14" s="1"/>
  <c r="K3687" i="13" l="1"/>
  <c r="L3687" i="13" s="1"/>
  <c r="I3688" i="13" s="1"/>
  <c r="N3874" i="13"/>
  <c r="J3873" i="13" a="1"/>
  <c r="J3873" i="13" s="1"/>
  <c r="K3709" i="14"/>
  <c r="L3709" i="14" s="1"/>
  <c r="I3710" i="14" s="1"/>
  <c r="N3873" i="14"/>
  <c r="J3872" i="14" a="1"/>
  <c r="J3872" i="14" s="1"/>
  <c r="M3876" i="13"/>
  <c r="M3877" i="14"/>
  <c r="K3710" i="14" l="1"/>
  <c r="L3710" i="14" s="1"/>
  <c r="I3711" i="14" s="1"/>
  <c r="K3688" i="13"/>
  <c r="L3688" i="13" s="1"/>
  <c r="I3689" i="13" s="1"/>
  <c r="M3878" i="14"/>
  <c r="J3873" i="14" a="1"/>
  <c r="J3873" i="14" s="1"/>
  <c r="N3874" i="14"/>
  <c r="N3875" i="13"/>
  <c r="J3874" i="13" a="1"/>
  <c r="J3874" i="13" s="1"/>
  <c r="M3877" i="13"/>
  <c r="K3689" i="13" l="1"/>
  <c r="L3689" i="13" s="1"/>
  <c r="I3690" i="13" s="1"/>
  <c r="N3875" i="14"/>
  <c r="J3874" i="14" a="1"/>
  <c r="J3874" i="14" s="1"/>
  <c r="M3878" i="13"/>
  <c r="N3876" i="13"/>
  <c r="J3875" i="13" a="1"/>
  <c r="J3875" i="13" s="1"/>
  <c r="M3879" i="14"/>
  <c r="K3711" i="14"/>
  <c r="L3711" i="14" s="1"/>
  <c r="I3712" i="14" s="1"/>
  <c r="K3712" i="14" l="1"/>
  <c r="L3712" i="14" s="1"/>
  <c r="I3713" i="14" s="1"/>
  <c r="K3690" i="13"/>
  <c r="L3690" i="13" s="1"/>
  <c r="I3691" i="13" s="1"/>
  <c r="N3876" i="14"/>
  <c r="J3875" i="14" a="1"/>
  <c r="J3875" i="14" s="1"/>
  <c r="J3876" i="13" a="1"/>
  <c r="J3876" i="13" s="1"/>
  <c r="N3877" i="13"/>
  <c r="M3880" i="14"/>
  <c r="M3879" i="13"/>
  <c r="K3691" i="13" l="1"/>
  <c r="L3691" i="13" s="1"/>
  <c r="I3692" i="13" s="1"/>
  <c r="K3713" i="14"/>
  <c r="L3713" i="14" s="1"/>
  <c r="I3714" i="14" s="1"/>
  <c r="N3878" i="13"/>
  <c r="J3877" i="13" a="1"/>
  <c r="J3877" i="13" s="1"/>
  <c r="M3880" i="13"/>
  <c r="M3881" i="14"/>
  <c r="N3877" i="14"/>
  <c r="J3876" i="14" a="1"/>
  <c r="J3876" i="14" s="1"/>
  <c r="K3714" i="14" l="1"/>
  <c r="L3714" i="14" s="1"/>
  <c r="I3715" i="14" s="1"/>
  <c r="K3692" i="13"/>
  <c r="L3692" i="13" s="1"/>
  <c r="I3693" i="13" s="1"/>
  <c r="M3881" i="13"/>
  <c r="J3877" i="14" a="1"/>
  <c r="J3877" i="14" s="1"/>
  <c r="N3878" i="14"/>
  <c r="M3882" i="14"/>
  <c r="N3879" i="13"/>
  <c r="J3878" i="13" a="1"/>
  <c r="J3878" i="13" s="1"/>
  <c r="K3715" i="14" l="1"/>
  <c r="L3715" i="14" s="1"/>
  <c r="I3716" i="14" s="1"/>
  <c r="N3879" i="14"/>
  <c r="J3878" i="14" a="1"/>
  <c r="J3878" i="14" s="1"/>
  <c r="N3880" i="13"/>
  <c r="J3879" i="13" a="1"/>
  <c r="J3879" i="13" s="1"/>
  <c r="M3883" i="14"/>
  <c r="K3693" i="13"/>
  <c r="L3693" i="13" s="1"/>
  <c r="I3694" i="13" s="1"/>
  <c r="M3882" i="13"/>
  <c r="K3716" i="14" l="1"/>
  <c r="L3716" i="14" s="1"/>
  <c r="I3717" i="14" s="1"/>
  <c r="M3883" i="13"/>
  <c r="M3884" i="14"/>
  <c r="N3880" i="14"/>
  <c r="J3879" i="14" a="1"/>
  <c r="J3879" i="14" s="1"/>
  <c r="K3694" i="13"/>
  <c r="L3694" i="13" s="1"/>
  <c r="I3695" i="13" s="1"/>
  <c r="J3880" i="13" a="1"/>
  <c r="J3880" i="13" s="1"/>
  <c r="N3881" i="13"/>
  <c r="K3695" i="13" l="1"/>
  <c r="L3695" i="13" s="1"/>
  <c r="I3696" i="13" s="1"/>
  <c r="K3717" i="14"/>
  <c r="L3717" i="14" s="1"/>
  <c r="I3718" i="14" s="1"/>
  <c r="N3882" i="13"/>
  <c r="J3881" i="13" a="1"/>
  <c r="J3881" i="13" s="1"/>
  <c r="N3881" i="14"/>
  <c r="J3880" i="14" a="1"/>
  <c r="J3880" i="14" s="1"/>
  <c r="M3884" i="13"/>
  <c r="M3885" i="14"/>
  <c r="K3718" i="14" l="1"/>
  <c r="L3718" i="14" s="1"/>
  <c r="I3719" i="14" s="1"/>
  <c r="K3696" i="13"/>
  <c r="L3696" i="13" s="1"/>
  <c r="I3697" i="13" s="1"/>
  <c r="J3881" i="14" a="1"/>
  <c r="J3881" i="14" s="1"/>
  <c r="N3882" i="14"/>
  <c r="M3886" i="14"/>
  <c r="M3885" i="13"/>
  <c r="N3883" i="13"/>
  <c r="J3882" i="13" a="1"/>
  <c r="J3882" i="13" s="1"/>
  <c r="K3697" i="13" l="1"/>
  <c r="L3697" i="13" s="1"/>
  <c r="I3698" i="13" s="1"/>
  <c r="K3719" i="14"/>
  <c r="L3719" i="14" s="1"/>
  <c r="I3720" i="14" s="1"/>
  <c r="M3887" i="14"/>
  <c r="N3884" i="13"/>
  <c r="J3883" i="13" a="1"/>
  <c r="J3883" i="13" s="1"/>
  <c r="M3886" i="13"/>
  <c r="N3883" i="14"/>
  <c r="J3882" i="14" a="1"/>
  <c r="J3882" i="14" s="1"/>
  <c r="K3720" i="14" l="1"/>
  <c r="L3720" i="14" s="1"/>
  <c r="I3721" i="14" s="1"/>
  <c r="K3698" i="13"/>
  <c r="L3698" i="13" s="1"/>
  <c r="I3699" i="13" s="1"/>
  <c r="J3884" i="13" a="1"/>
  <c r="J3884" i="13" s="1"/>
  <c r="N3885" i="13"/>
  <c r="J3883" i="14" a="1"/>
  <c r="J3883" i="14" s="1"/>
  <c r="N3884" i="14"/>
  <c r="M3887" i="13"/>
  <c r="M3888" i="14"/>
  <c r="K3699" i="13" l="1"/>
  <c r="L3699" i="13" s="1"/>
  <c r="I3700" i="13" s="1"/>
  <c r="K3721" i="14"/>
  <c r="L3721" i="14" s="1"/>
  <c r="I3722" i="14" s="1"/>
  <c r="N3885" i="14"/>
  <c r="J3884" i="14" a="1"/>
  <c r="J3884" i="14" s="1"/>
  <c r="M3888" i="13"/>
  <c r="M3889" i="14"/>
  <c r="N3886" i="13"/>
  <c r="J3885" i="13" a="1"/>
  <c r="J3885" i="13" s="1"/>
  <c r="K3722" i="14" l="1"/>
  <c r="L3722" i="14" s="1"/>
  <c r="I3723" i="14" s="1"/>
  <c r="K3700" i="13"/>
  <c r="L3700" i="13" s="1"/>
  <c r="I3701" i="13" s="1"/>
  <c r="M3889" i="13"/>
  <c r="N3887" i="13"/>
  <c r="J3886" i="13" a="1"/>
  <c r="J3886" i="13" s="1"/>
  <c r="M3890" i="14"/>
  <c r="J3885" i="14" a="1"/>
  <c r="J3885" i="14" s="1"/>
  <c r="N3886" i="14"/>
  <c r="K3723" i="14" l="1"/>
  <c r="L3723" i="14" s="1"/>
  <c r="I3724" i="14" s="1"/>
  <c r="J3886" i="14" a="1"/>
  <c r="J3886" i="14" s="1"/>
  <c r="N3887" i="14"/>
  <c r="N3888" i="13"/>
  <c r="J3887" i="13" a="1"/>
  <c r="J3887" i="13" s="1"/>
  <c r="K3701" i="13"/>
  <c r="L3701" i="13" s="1"/>
  <c r="I3702" i="13" s="1"/>
  <c r="M3890" i="13"/>
  <c r="M3891" i="14"/>
  <c r="K3702" i="13" l="1"/>
  <c r="L3702" i="13" s="1"/>
  <c r="I3703" i="13" s="1"/>
  <c r="K3724" i="14"/>
  <c r="L3724" i="14" s="1"/>
  <c r="I3725" i="14" s="1"/>
  <c r="N3888" i="14"/>
  <c r="J3887" i="14" a="1"/>
  <c r="J3887" i="14" s="1"/>
  <c r="M3892" i="14"/>
  <c r="M3891" i="13"/>
  <c r="J3888" i="13" a="1"/>
  <c r="J3888" i="13" s="1"/>
  <c r="N3889" i="13"/>
  <c r="K3725" i="14" l="1"/>
  <c r="L3725" i="14" s="1"/>
  <c r="I3726" i="14" s="1"/>
  <c r="K3703" i="13"/>
  <c r="L3703" i="13" s="1"/>
  <c r="I3704" i="13" s="1"/>
  <c r="N3890" i="13"/>
  <c r="J3889" i="13" a="1"/>
  <c r="J3889" i="13" s="1"/>
  <c r="M3893" i="14"/>
  <c r="M3892" i="13"/>
  <c r="N3889" i="14"/>
  <c r="J3888" i="14" a="1"/>
  <c r="J3888" i="14" s="1"/>
  <c r="K3704" i="13" l="1"/>
  <c r="L3704" i="13" s="1"/>
  <c r="I3705" i="13" s="1"/>
  <c r="K3726" i="14"/>
  <c r="L3726" i="14" s="1"/>
  <c r="I3727" i="14" s="1"/>
  <c r="J3889" i="14" a="1"/>
  <c r="J3889" i="14" s="1"/>
  <c r="N3890" i="14"/>
  <c r="M3894" i="14"/>
  <c r="M3893" i="13"/>
  <c r="N3891" i="13"/>
  <c r="J3890" i="13" a="1"/>
  <c r="J3890" i="13" s="1"/>
  <c r="K3727" i="14" l="1"/>
  <c r="L3727" i="14" s="1"/>
  <c r="I3728" i="14" s="1"/>
  <c r="K3705" i="13"/>
  <c r="L3705" i="13" s="1"/>
  <c r="I3706" i="13" s="1"/>
  <c r="M3895" i="14"/>
  <c r="N3892" i="13"/>
  <c r="J3891" i="13" a="1"/>
  <c r="J3891" i="13" s="1"/>
  <c r="N3891" i="14"/>
  <c r="J3890" i="14" a="1"/>
  <c r="J3890" i="14" s="1"/>
  <c r="M3894" i="13"/>
  <c r="K3728" i="14" l="1"/>
  <c r="L3728" i="14" s="1"/>
  <c r="I3729" i="14" s="1"/>
  <c r="M3895" i="13"/>
  <c r="K3706" i="13"/>
  <c r="L3706" i="13" s="1"/>
  <c r="I3707" i="13" s="1"/>
  <c r="J3892" i="13" a="1"/>
  <c r="J3892" i="13" s="1"/>
  <c r="N3893" i="13"/>
  <c r="M3896" i="14"/>
  <c r="N3892" i="14"/>
  <c r="J3891" i="14" a="1"/>
  <c r="J3891" i="14" s="1"/>
  <c r="K3707" i="13" l="1"/>
  <c r="L3707" i="13" s="1"/>
  <c r="I3708" i="13" s="1"/>
  <c r="K3729" i="14"/>
  <c r="L3729" i="14" s="1"/>
  <c r="I3730" i="14" s="1"/>
  <c r="N3894" i="13"/>
  <c r="J3893" i="13" a="1"/>
  <c r="J3893" i="13" s="1"/>
  <c r="M3896" i="13"/>
  <c r="N3893" i="14"/>
  <c r="J3892" i="14" a="1"/>
  <c r="J3892" i="14" s="1"/>
  <c r="M3897" i="14"/>
  <c r="K3730" i="14" l="1"/>
  <c r="L3730" i="14" s="1"/>
  <c r="I3731" i="14" s="1"/>
  <c r="K3708" i="13"/>
  <c r="L3708" i="13" s="1"/>
  <c r="I3709" i="13" s="1"/>
  <c r="M3898" i="14"/>
  <c r="M3897" i="13"/>
  <c r="J3893" i="14" a="1"/>
  <c r="J3893" i="14" s="1"/>
  <c r="N3894" i="14"/>
  <c r="N3895" i="13"/>
  <c r="J3894" i="13" a="1"/>
  <c r="J3894" i="13" s="1"/>
  <c r="K3709" i="13" l="1"/>
  <c r="L3709" i="13" s="1"/>
  <c r="I3710" i="13" s="1"/>
  <c r="K3731" i="14"/>
  <c r="L3731" i="14" s="1"/>
  <c r="I3732" i="14" s="1"/>
  <c r="N3896" i="13"/>
  <c r="J3895" i="13" a="1"/>
  <c r="J3895" i="13" s="1"/>
  <c r="M3898" i="13"/>
  <c r="N3895" i="14"/>
  <c r="J3894" i="14" a="1"/>
  <c r="J3894" i="14" s="1"/>
  <c r="M3899" i="14"/>
  <c r="K3710" i="13" l="1"/>
  <c r="L3710" i="13" s="1"/>
  <c r="I3711" i="13" s="1"/>
  <c r="M3900" i="14"/>
  <c r="M3899" i="13"/>
  <c r="K3732" i="14"/>
  <c r="L3732" i="14" s="1"/>
  <c r="I3733" i="14" s="1"/>
  <c r="N3896" i="14"/>
  <c r="J3895" i="14" a="1"/>
  <c r="J3895" i="14" s="1"/>
  <c r="J3896" i="13" a="1"/>
  <c r="J3896" i="13" s="1"/>
  <c r="N3897" i="13"/>
  <c r="K3711" i="13" l="1"/>
  <c r="L3711" i="13" s="1"/>
  <c r="I3712" i="13" s="1"/>
  <c r="N3898" i="13"/>
  <c r="J3897" i="13" a="1"/>
  <c r="J3897" i="13" s="1"/>
  <c r="K3733" i="14"/>
  <c r="L3733" i="14" s="1"/>
  <c r="I3734" i="14" s="1"/>
  <c r="M3901" i="14"/>
  <c r="N3897" i="14"/>
  <c r="J3896" i="14" a="1"/>
  <c r="J3896" i="14" s="1"/>
  <c r="M3900" i="13"/>
  <c r="K3734" i="14" l="1"/>
  <c r="L3734" i="14" s="1"/>
  <c r="I3735" i="14" s="1"/>
  <c r="K3712" i="13"/>
  <c r="L3712" i="13" s="1"/>
  <c r="I3713" i="13" s="1"/>
  <c r="M3902" i="14"/>
  <c r="N3899" i="13"/>
  <c r="J3898" i="13" a="1"/>
  <c r="J3898" i="13" s="1"/>
  <c r="M3901" i="13"/>
  <c r="J3897" i="14" a="1"/>
  <c r="J3897" i="14" s="1"/>
  <c r="N3898" i="14"/>
  <c r="N3899" i="14" l="1"/>
  <c r="J3898" i="14" a="1"/>
  <c r="J3898" i="14" s="1"/>
  <c r="N3900" i="13"/>
  <c r="J3899" i="13" a="1"/>
  <c r="J3899" i="13" s="1"/>
  <c r="K3713" i="13"/>
  <c r="L3713" i="13" s="1"/>
  <c r="I3714" i="13" s="1"/>
  <c r="M3902" i="13"/>
  <c r="M3903" i="14"/>
  <c r="K3735" i="14"/>
  <c r="L3735" i="14" s="1"/>
  <c r="I3736" i="14" s="1"/>
  <c r="K3736" i="14" l="1"/>
  <c r="L3736" i="14" s="1"/>
  <c r="I3737" i="14" s="1"/>
  <c r="K3714" i="13"/>
  <c r="L3714" i="13" s="1"/>
  <c r="I3715" i="13" s="1"/>
  <c r="M3903" i="13"/>
  <c r="J3900" i="13" a="1"/>
  <c r="J3900" i="13" s="1"/>
  <c r="N3901" i="13"/>
  <c r="M3904" i="14"/>
  <c r="N3900" i="14"/>
  <c r="J3899" i="14" a="1"/>
  <c r="J3899" i="14" s="1"/>
  <c r="K3715" i="13" l="1"/>
  <c r="L3715" i="13" s="1"/>
  <c r="I3716" i="13" s="1"/>
  <c r="K3737" i="14"/>
  <c r="L3737" i="14" s="1"/>
  <c r="I3738" i="14" s="1"/>
  <c r="N3902" i="13"/>
  <c r="J3901" i="13" a="1"/>
  <c r="J3901" i="13" s="1"/>
  <c r="N3901" i="14"/>
  <c r="J3900" i="14" a="1"/>
  <c r="J3900" i="14" s="1"/>
  <c r="M3905" i="14"/>
  <c r="M3904" i="13"/>
  <c r="K3738" i="14" l="1"/>
  <c r="L3738" i="14" s="1"/>
  <c r="I3739" i="14" s="1"/>
  <c r="K3716" i="13"/>
  <c r="L3716" i="13" s="1"/>
  <c r="I3717" i="13" s="1"/>
  <c r="J3901" i="14" a="1"/>
  <c r="J3901" i="14" s="1"/>
  <c r="N3902" i="14"/>
  <c r="M3905" i="13"/>
  <c r="M3906" i="14"/>
  <c r="N3903" i="13"/>
  <c r="J3902" i="13" a="1"/>
  <c r="J3902" i="13" s="1"/>
  <c r="K3717" i="13" l="1"/>
  <c r="L3717" i="13" s="1"/>
  <c r="I3718" i="13" s="1"/>
  <c r="K3739" i="14"/>
  <c r="L3739" i="14" s="1"/>
  <c r="I3740" i="14" s="1"/>
  <c r="M3906" i="13"/>
  <c r="N3904" i="13"/>
  <c r="J3903" i="13" a="1"/>
  <c r="J3903" i="13" s="1"/>
  <c r="M3907" i="14"/>
  <c r="N3903" i="14"/>
  <c r="J3902" i="14" a="1"/>
  <c r="J3902" i="14" s="1"/>
  <c r="K3740" i="14" l="1"/>
  <c r="L3740" i="14" s="1"/>
  <c r="I3741" i="14" s="1"/>
  <c r="K3718" i="13"/>
  <c r="L3718" i="13" s="1"/>
  <c r="I3719" i="13" s="1"/>
  <c r="J3904" i="13" a="1"/>
  <c r="J3904" i="13" s="1"/>
  <c r="N3905" i="13"/>
  <c r="J3903" i="14" a="1"/>
  <c r="J3903" i="14" s="1"/>
  <c r="N3904" i="14"/>
  <c r="M3908" i="14"/>
  <c r="M3907" i="13"/>
  <c r="K3719" i="13" l="1"/>
  <c r="L3719" i="13" s="1"/>
  <c r="I3720" i="13" s="1"/>
  <c r="K3741" i="14"/>
  <c r="L3741" i="14" s="1"/>
  <c r="I3742" i="14" s="1"/>
  <c r="N3905" i="14"/>
  <c r="J3904" i="14" a="1"/>
  <c r="J3904" i="14" s="1"/>
  <c r="N3906" i="13"/>
  <c r="J3905" i="13" a="1"/>
  <c r="J3905" i="13" s="1"/>
  <c r="M3908" i="13"/>
  <c r="M3909" i="14"/>
  <c r="K3742" i="14" l="1"/>
  <c r="L3742" i="14" s="1"/>
  <c r="I3743" i="14" s="1"/>
  <c r="K3720" i="13"/>
  <c r="L3720" i="13" s="1"/>
  <c r="I3721" i="13" s="1"/>
  <c r="M3909" i="13"/>
  <c r="M3910" i="14"/>
  <c r="N3907" i="13"/>
  <c r="J3906" i="13" a="1"/>
  <c r="J3906" i="13" s="1"/>
  <c r="J3905" i="14" a="1"/>
  <c r="J3905" i="14" s="1"/>
  <c r="N3906" i="14"/>
  <c r="N3908" i="13" l="1"/>
  <c r="J3907" i="13" a="1"/>
  <c r="J3907" i="13" s="1"/>
  <c r="J3906" i="14" a="1"/>
  <c r="J3906" i="14" s="1"/>
  <c r="N3907" i="14"/>
  <c r="M3911" i="14"/>
  <c r="K3721" i="13"/>
  <c r="L3721" i="13" s="1"/>
  <c r="I3722" i="13" s="1"/>
  <c r="M3910" i="13"/>
  <c r="K3743" i="14"/>
  <c r="L3743" i="14" s="1"/>
  <c r="I3744" i="14" s="1"/>
  <c r="N3908" i="14" l="1"/>
  <c r="J3907" i="14" a="1"/>
  <c r="J3907" i="14" s="1"/>
  <c r="K3744" i="14"/>
  <c r="L3744" i="14" s="1"/>
  <c r="I3745" i="14" s="1"/>
  <c r="M3912" i="14"/>
  <c r="K3722" i="13"/>
  <c r="L3722" i="13" s="1"/>
  <c r="I3723" i="13" s="1"/>
  <c r="M3911" i="13"/>
  <c r="J3908" i="13" a="1"/>
  <c r="J3908" i="13" s="1"/>
  <c r="N3909" i="13"/>
  <c r="K3723" i="13" l="1"/>
  <c r="L3723" i="13" s="1"/>
  <c r="I3724" i="13" s="1"/>
  <c r="K3745" i="14"/>
  <c r="L3745" i="14" s="1"/>
  <c r="I3746" i="14" s="1"/>
  <c r="N3910" i="13"/>
  <c r="J3909" i="13" a="1"/>
  <c r="J3909" i="13" s="1"/>
  <c r="M3912" i="13"/>
  <c r="M3913" i="14"/>
  <c r="N3909" i="14"/>
  <c r="J3908" i="14" a="1"/>
  <c r="J3908" i="14" s="1"/>
  <c r="K3746" i="14" l="1"/>
  <c r="L3746" i="14" s="1"/>
  <c r="I3747" i="14" s="1"/>
  <c r="K3724" i="13"/>
  <c r="L3724" i="13" s="1"/>
  <c r="I3725" i="13" s="1"/>
  <c r="M3913" i="13"/>
  <c r="M3914" i="14"/>
  <c r="J3909" i="14" a="1"/>
  <c r="J3909" i="14" s="1"/>
  <c r="N3910" i="14"/>
  <c r="N3911" i="13"/>
  <c r="J3910" i="13" a="1"/>
  <c r="J3910" i="13" s="1"/>
  <c r="K3725" i="13" l="1"/>
  <c r="L3725" i="13" s="1"/>
  <c r="I3726" i="13" s="1"/>
  <c r="K3747" i="14"/>
  <c r="L3747" i="14" s="1"/>
  <c r="I3748" i="14" s="1"/>
  <c r="M3915" i="14"/>
  <c r="N3912" i="13"/>
  <c r="J3911" i="13" a="1"/>
  <c r="J3911" i="13" s="1"/>
  <c r="N3911" i="14"/>
  <c r="J3910" i="14" a="1"/>
  <c r="J3910" i="14" s="1"/>
  <c r="M3914" i="13"/>
  <c r="K3748" i="14" l="1"/>
  <c r="L3748" i="14" s="1"/>
  <c r="I3749" i="14" s="1"/>
  <c r="K3726" i="13"/>
  <c r="L3726" i="13" s="1"/>
  <c r="I3727" i="13" s="1"/>
  <c r="M3915" i="13"/>
  <c r="J3912" i="13" a="1"/>
  <c r="J3912" i="13" s="1"/>
  <c r="N3913" i="13"/>
  <c r="M3916" i="14"/>
  <c r="N3912" i="14"/>
  <c r="J3911" i="14" a="1"/>
  <c r="J3911" i="14" s="1"/>
  <c r="K3727" i="13" l="1"/>
  <c r="L3727" i="13" s="1"/>
  <c r="I3728" i="13" s="1"/>
  <c r="K3749" i="14"/>
  <c r="L3749" i="14" s="1"/>
  <c r="I3750" i="14" s="1"/>
  <c r="N3914" i="13"/>
  <c r="J3913" i="13" a="1"/>
  <c r="J3913" i="13" s="1"/>
  <c r="N3913" i="14"/>
  <c r="J3912" i="14" a="1"/>
  <c r="J3912" i="14" s="1"/>
  <c r="M3917" i="14"/>
  <c r="M3916" i="13"/>
  <c r="K3728" i="13" l="1"/>
  <c r="L3728" i="13" s="1"/>
  <c r="I3729" i="13" s="1"/>
  <c r="J3913" i="14" a="1"/>
  <c r="J3913" i="14" s="1"/>
  <c r="N3914" i="14"/>
  <c r="K3750" i="14"/>
  <c r="L3750" i="14" s="1"/>
  <c r="I3751" i="14" s="1"/>
  <c r="M3917" i="13"/>
  <c r="M3918" i="14"/>
  <c r="N3915" i="13"/>
  <c r="J3914" i="13" a="1"/>
  <c r="J3914" i="13" s="1"/>
  <c r="K3729" i="13" l="1"/>
  <c r="L3729" i="13" s="1"/>
  <c r="I3730" i="13" s="1"/>
  <c r="K3751" i="14"/>
  <c r="L3751" i="14" s="1"/>
  <c r="I3752" i="14" s="1"/>
  <c r="M3918" i="13"/>
  <c r="N3915" i="14"/>
  <c r="J3914" i="14" a="1"/>
  <c r="J3914" i="14" s="1"/>
  <c r="N3916" i="13"/>
  <c r="J3915" i="13" a="1"/>
  <c r="J3915" i="13" s="1"/>
  <c r="M3919" i="14"/>
  <c r="K3730" i="13" l="1"/>
  <c r="L3730" i="13" s="1"/>
  <c r="I3731" i="13" s="1"/>
  <c r="M3920" i="14"/>
  <c r="K3752" i="14"/>
  <c r="L3752" i="14" s="1"/>
  <c r="I3753" i="14" s="1"/>
  <c r="M3919" i="13"/>
  <c r="N3916" i="14"/>
  <c r="J3915" i="14" a="1"/>
  <c r="J3915" i="14" s="1"/>
  <c r="J3916" i="13" a="1"/>
  <c r="J3916" i="13" s="1"/>
  <c r="N3917" i="13"/>
  <c r="K3753" i="14" l="1"/>
  <c r="L3753" i="14" s="1"/>
  <c r="I3754" i="14" s="1"/>
  <c r="K3731" i="13"/>
  <c r="L3731" i="13" s="1"/>
  <c r="I3732" i="13" s="1"/>
  <c r="N3918" i="13"/>
  <c r="J3917" i="13" a="1"/>
  <c r="J3917" i="13" s="1"/>
  <c r="M3920" i="13"/>
  <c r="M3921" i="14"/>
  <c r="N3917" i="14"/>
  <c r="J3916" i="14" a="1"/>
  <c r="J3916" i="14" s="1"/>
  <c r="K3732" i="13" l="1"/>
  <c r="L3732" i="13" s="1"/>
  <c r="I3733" i="13" s="1"/>
  <c r="K3754" i="14"/>
  <c r="L3754" i="14" s="1"/>
  <c r="I3755" i="14" s="1"/>
  <c r="M3921" i="13"/>
  <c r="M3922" i="14"/>
  <c r="J3917" i="14" a="1"/>
  <c r="J3917" i="14" s="1"/>
  <c r="N3918" i="14"/>
  <c r="N3919" i="13"/>
  <c r="J3918" i="13" a="1"/>
  <c r="J3918" i="13" s="1"/>
  <c r="K3755" i="14" l="1"/>
  <c r="L3755" i="14" s="1"/>
  <c r="I3756" i="14" s="1"/>
  <c r="K3733" i="13"/>
  <c r="L3733" i="13" s="1"/>
  <c r="I3734" i="13" s="1"/>
  <c r="N3920" i="13"/>
  <c r="J3919" i="13" a="1"/>
  <c r="J3919" i="13" s="1"/>
  <c r="M3923" i="14"/>
  <c r="N3919" i="14"/>
  <c r="J3918" i="14" a="1"/>
  <c r="J3918" i="14" s="1"/>
  <c r="M3922" i="13"/>
  <c r="K3734" i="13" l="1"/>
  <c r="L3734" i="13" s="1"/>
  <c r="I3735" i="13" s="1"/>
  <c r="K3756" i="14"/>
  <c r="L3756" i="14" s="1"/>
  <c r="I3757" i="14" s="1"/>
  <c r="M3924" i="14"/>
  <c r="N3920" i="14"/>
  <c r="J3919" i="14" a="1"/>
  <c r="J3919" i="14" s="1"/>
  <c r="M3923" i="13"/>
  <c r="J3920" i="13" a="1"/>
  <c r="J3920" i="13" s="1"/>
  <c r="N3921" i="13"/>
  <c r="K3735" i="13" l="1"/>
  <c r="L3735" i="13" s="1"/>
  <c r="I3736" i="13" s="1"/>
  <c r="N3921" i="14"/>
  <c r="J3920" i="14" a="1"/>
  <c r="J3920" i="14" s="1"/>
  <c r="N3922" i="13"/>
  <c r="J3921" i="13" a="1"/>
  <c r="J3921" i="13" s="1"/>
  <c r="K3757" i="14"/>
  <c r="L3757" i="14" s="1"/>
  <c r="I3758" i="14" s="1"/>
  <c r="M3924" i="13"/>
  <c r="M3925" i="14"/>
  <c r="K3736" i="13" l="1"/>
  <c r="L3736" i="13" s="1"/>
  <c r="I3737" i="13" s="1"/>
  <c r="M3926" i="14"/>
  <c r="J3921" i="14" a="1"/>
  <c r="J3921" i="14" s="1"/>
  <c r="N3922" i="14"/>
  <c r="K3758" i="14"/>
  <c r="L3758" i="14" s="1"/>
  <c r="I3759" i="14" s="1"/>
  <c r="M3925" i="13"/>
  <c r="N3923" i="13"/>
  <c r="J3922" i="13" a="1"/>
  <c r="J3922" i="13" s="1"/>
  <c r="K3759" i="14" l="1"/>
  <c r="L3759" i="14" s="1"/>
  <c r="I3760" i="14" s="1"/>
  <c r="K3737" i="13"/>
  <c r="L3737" i="13" s="1"/>
  <c r="I3738" i="13" s="1"/>
  <c r="M3927" i="14"/>
  <c r="N3924" i="13"/>
  <c r="J3923" i="13" a="1"/>
  <c r="J3923" i="13" s="1"/>
  <c r="M3926" i="13"/>
  <c r="N3923" i="14"/>
  <c r="J3922" i="14" a="1"/>
  <c r="J3922" i="14" s="1"/>
  <c r="K3738" i="13" l="1"/>
  <c r="L3738" i="13" s="1"/>
  <c r="I3739" i="13" s="1"/>
  <c r="K3760" i="14"/>
  <c r="L3760" i="14" s="1"/>
  <c r="I3761" i="14" s="1"/>
  <c r="J3924" i="13" a="1"/>
  <c r="J3924" i="13" s="1"/>
  <c r="N3925" i="13"/>
  <c r="N3924" i="14"/>
  <c r="J3923" i="14" a="1"/>
  <c r="J3923" i="14" s="1"/>
  <c r="M3927" i="13"/>
  <c r="M3928" i="14"/>
  <c r="K3761" i="14" l="1"/>
  <c r="L3761" i="14" s="1"/>
  <c r="I3762" i="14" s="1"/>
  <c r="K3739" i="13"/>
  <c r="L3739" i="13" s="1"/>
  <c r="I3740" i="13" s="1"/>
  <c r="N3925" i="14"/>
  <c r="J3924" i="14" a="1"/>
  <c r="J3924" i="14" s="1"/>
  <c r="N3926" i="13"/>
  <c r="J3925" i="13" a="1"/>
  <c r="J3925" i="13" s="1"/>
  <c r="M3929" i="14"/>
  <c r="M3928" i="13"/>
  <c r="K3762" i="14" l="1"/>
  <c r="L3762" i="14" s="1"/>
  <c r="I3763" i="14" s="1"/>
  <c r="M3929" i="13"/>
  <c r="K3740" i="13"/>
  <c r="L3740" i="13" s="1"/>
  <c r="I3741" i="13" s="1"/>
  <c r="M3930" i="14"/>
  <c r="N3927" i="13"/>
  <c r="J3926" i="13" a="1"/>
  <c r="J3926" i="13" s="1"/>
  <c r="J3925" i="14" a="1"/>
  <c r="J3925" i="14" s="1"/>
  <c r="N3926" i="14"/>
  <c r="K3741" i="13" l="1"/>
  <c r="L3741" i="13" s="1"/>
  <c r="I3742" i="13" s="1"/>
  <c r="K3763" i="14"/>
  <c r="L3763" i="14" s="1"/>
  <c r="I3764" i="14" s="1"/>
  <c r="N3927" i="14"/>
  <c r="J3926" i="14" a="1"/>
  <c r="J3926" i="14" s="1"/>
  <c r="M3931" i="14"/>
  <c r="M3930" i="13"/>
  <c r="N3928" i="13"/>
  <c r="J3927" i="13" a="1"/>
  <c r="J3927" i="13" s="1"/>
  <c r="K3764" i="14" l="1"/>
  <c r="L3764" i="14" s="1"/>
  <c r="I3765" i="14" s="1"/>
  <c r="K3742" i="13"/>
  <c r="L3742" i="13" s="1"/>
  <c r="I3743" i="13" s="1"/>
  <c r="M3932" i="14"/>
  <c r="J3928" i="13" a="1"/>
  <c r="J3928" i="13" s="1"/>
  <c r="N3929" i="13"/>
  <c r="M3931" i="13"/>
  <c r="N3928" i="14"/>
  <c r="J3927" i="14" a="1"/>
  <c r="J3927" i="14" s="1"/>
  <c r="K3743" i="13" l="1"/>
  <c r="L3743" i="13" s="1"/>
  <c r="I3744" i="13" s="1"/>
  <c r="K3765" i="14"/>
  <c r="L3765" i="14" s="1"/>
  <c r="I3766" i="14" s="1"/>
  <c r="N3930" i="13"/>
  <c r="J3929" i="13" a="1"/>
  <c r="J3929" i="13" s="1"/>
  <c r="N3929" i="14"/>
  <c r="J3928" i="14" a="1"/>
  <c r="J3928" i="14" s="1"/>
  <c r="M3932" i="13"/>
  <c r="M3933" i="14"/>
  <c r="K3744" i="13" l="1"/>
  <c r="L3744" i="13" s="1"/>
  <c r="I3745" i="13" s="1"/>
  <c r="J3929" i="14" a="1"/>
  <c r="J3929" i="14" s="1"/>
  <c r="N3930" i="14"/>
  <c r="K3766" i="14"/>
  <c r="L3766" i="14" s="1"/>
  <c r="I3767" i="14" s="1"/>
  <c r="M3934" i="14"/>
  <c r="M3933" i="13"/>
  <c r="N3931" i="13"/>
  <c r="J3930" i="13" a="1"/>
  <c r="J3930" i="13" s="1"/>
  <c r="K3767" i="14" l="1"/>
  <c r="L3767" i="14" s="1"/>
  <c r="I3768" i="14" s="1"/>
  <c r="K3745" i="13"/>
  <c r="L3745" i="13" s="1"/>
  <c r="I3746" i="13" s="1"/>
  <c r="M3935" i="14"/>
  <c r="N3931" i="14"/>
  <c r="J3930" i="14" a="1"/>
  <c r="J3930" i="14" s="1"/>
  <c r="N3932" i="13"/>
  <c r="J3931" i="13" a="1"/>
  <c r="J3931" i="13" s="1"/>
  <c r="M3934" i="13"/>
  <c r="K3768" i="14" l="1"/>
  <c r="L3768" i="14" s="1"/>
  <c r="I3769" i="14" s="1"/>
  <c r="K3746" i="13"/>
  <c r="L3746" i="13" s="1"/>
  <c r="I3747" i="13" s="1"/>
  <c r="M3935" i="13"/>
  <c r="N3932" i="14"/>
  <c r="J3931" i="14" a="1"/>
  <c r="J3931" i="14" s="1"/>
  <c r="M3936" i="14"/>
  <c r="J3932" i="13" a="1"/>
  <c r="J3932" i="13" s="1"/>
  <c r="N3933" i="13"/>
  <c r="K3747" i="13" l="1"/>
  <c r="L3747" i="13" s="1"/>
  <c r="I3748" i="13" s="1"/>
  <c r="K3769" i="14"/>
  <c r="L3769" i="14" s="1"/>
  <c r="I3770" i="14" s="1"/>
  <c r="N3934" i="13"/>
  <c r="J3933" i="13" a="1"/>
  <c r="J3933" i="13" s="1"/>
  <c r="N3933" i="14"/>
  <c r="J3932" i="14" a="1"/>
  <c r="J3932" i="14" s="1"/>
  <c r="M3937" i="14"/>
  <c r="M3936" i="13"/>
  <c r="K3770" i="14" l="1"/>
  <c r="L3770" i="14" s="1"/>
  <c r="I3771" i="14" s="1"/>
  <c r="K3748" i="13"/>
  <c r="L3748" i="13" s="1"/>
  <c r="I3749" i="13" s="1"/>
  <c r="J3933" i="14" a="1"/>
  <c r="J3933" i="14" s="1"/>
  <c r="N3934" i="14"/>
  <c r="M3937" i="13"/>
  <c r="M3938" i="14"/>
  <c r="N3935" i="13"/>
  <c r="J3934" i="13" a="1"/>
  <c r="J3934" i="13" s="1"/>
  <c r="K3749" i="13" l="1"/>
  <c r="L3749" i="13" s="1"/>
  <c r="I3750" i="13" s="1"/>
  <c r="K3771" i="14"/>
  <c r="L3771" i="14" s="1"/>
  <c r="I3772" i="14" s="1"/>
  <c r="M3938" i="13"/>
  <c r="N3936" i="13"/>
  <c r="J3935" i="13" a="1"/>
  <c r="J3935" i="13" s="1"/>
  <c r="N3935" i="14"/>
  <c r="J3934" i="14" a="1"/>
  <c r="J3934" i="14" s="1"/>
  <c r="M3939" i="14"/>
  <c r="K3772" i="14" l="1"/>
  <c r="L3772" i="14" s="1"/>
  <c r="I3773" i="14" s="1"/>
  <c r="K3750" i="13"/>
  <c r="L3750" i="13" s="1"/>
  <c r="I3751" i="13" s="1"/>
  <c r="M3940" i="14"/>
  <c r="J3936" i="13" a="1"/>
  <c r="J3936" i="13" s="1"/>
  <c r="N3937" i="13"/>
  <c r="M3939" i="13"/>
  <c r="N3936" i="14"/>
  <c r="J3935" i="14" a="1"/>
  <c r="J3935" i="14" s="1"/>
  <c r="K3773" i="14" l="1"/>
  <c r="L3773" i="14" s="1"/>
  <c r="I3774" i="14" s="1"/>
  <c r="N3938" i="13"/>
  <c r="J3937" i="13" a="1"/>
  <c r="J3937" i="13" s="1"/>
  <c r="N3937" i="14"/>
  <c r="J3936" i="14" a="1"/>
  <c r="J3936" i="14" s="1"/>
  <c r="K3751" i="13"/>
  <c r="L3751" i="13" s="1"/>
  <c r="I3752" i="13" s="1"/>
  <c r="M3940" i="13"/>
  <c r="M3941" i="14"/>
  <c r="K3774" i="14" l="1"/>
  <c r="L3774" i="14" s="1"/>
  <c r="I3775" i="14" s="1"/>
  <c r="M3942" i="14"/>
  <c r="N3939" i="13"/>
  <c r="J3938" i="13" a="1"/>
  <c r="J3938" i="13" s="1"/>
  <c r="K3752" i="13"/>
  <c r="L3752" i="13" s="1"/>
  <c r="I3753" i="13" s="1"/>
  <c r="M3941" i="13"/>
  <c r="J3937" i="14" a="1"/>
  <c r="J3937" i="14" s="1"/>
  <c r="N3938" i="14"/>
  <c r="K3753" i="13" l="1"/>
  <c r="L3753" i="13" s="1"/>
  <c r="I3754" i="13" s="1"/>
  <c r="K3775" i="14"/>
  <c r="L3775" i="14" s="1"/>
  <c r="I3776" i="14" s="1"/>
  <c r="M3943" i="14"/>
  <c r="N3939" i="14"/>
  <c r="J3938" i="14" a="1"/>
  <c r="J3938" i="14" s="1"/>
  <c r="M3942" i="13"/>
  <c r="N3940" i="13"/>
  <c r="J3939" i="13" a="1"/>
  <c r="J3939" i="13" s="1"/>
  <c r="K3776" i="14" l="1"/>
  <c r="L3776" i="14" s="1"/>
  <c r="I3777" i="14" s="1"/>
  <c r="K3754" i="13"/>
  <c r="L3754" i="13" s="1"/>
  <c r="I3755" i="13" s="1"/>
  <c r="N3940" i="14"/>
  <c r="J3939" i="14" a="1"/>
  <c r="J3939" i="14" s="1"/>
  <c r="M3943" i="13"/>
  <c r="J3940" i="13" a="1"/>
  <c r="J3940" i="13" s="1"/>
  <c r="N3941" i="13"/>
  <c r="M3944" i="14"/>
  <c r="K3755" i="13" l="1"/>
  <c r="L3755" i="13" s="1"/>
  <c r="I3756" i="13" s="1"/>
  <c r="K3777" i="14"/>
  <c r="L3777" i="14" s="1"/>
  <c r="I3778" i="14" s="1"/>
  <c r="N3942" i="13"/>
  <c r="J3941" i="13" a="1"/>
  <c r="J3941" i="13" s="1"/>
  <c r="M3945" i="14"/>
  <c r="M3944" i="13"/>
  <c r="N3941" i="14"/>
  <c r="J3940" i="14" a="1"/>
  <c r="J3940" i="14" s="1"/>
  <c r="K3778" i="14" l="1"/>
  <c r="L3778" i="14" s="1"/>
  <c r="I3779" i="14" s="1"/>
  <c r="J3941" i="14" a="1"/>
  <c r="J3941" i="14" s="1"/>
  <c r="N3942" i="14"/>
  <c r="M3946" i="14"/>
  <c r="M3945" i="13"/>
  <c r="N3943" i="13"/>
  <c r="J3942" i="13" a="1"/>
  <c r="J3942" i="13" s="1"/>
  <c r="K3756" i="13"/>
  <c r="L3756" i="13" s="1"/>
  <c r="I3757" i="13" s="1"/>
  <c r="K3779" i="14" l="1"/>
  <c r="L3779" i="14" s="1"/>
  <c r="I3780" i="14" s="1"/>
  <c r="K3757" i="13"/>
  <c r="L3757" i="13" s="1"/>
  <c r="I3758" i="13" s="1"/>
  <c r="M3946" i="13"/>
  <c r="N3943" i="14"/>
  <c r="J3942" i="14" a="1"/>
  <c r="J3942" i="14" s="1"/>
  <c r="M3947" i="14"/>
  <c r="N3944" i="13"/>
  <c r="J3943" i="13" a="1"/>
  <c r="J3943" i="13" s="1"/>
  <c r="K3758" i="13" l="1"/>
  <c r="L3758" i="13" s="1"/>
  <c r="I3759" i="13" s="1"/>
  <c r="K3780" i="14"/>
  <c r="L3780" i="14" s="1"/>
  <c r="I3781" i="14" s="1"/>
  <c r="N3944" i="14"/>
  <c r="J3943" i="14" a="1"/>
  <c r="J3943" i="14" s="1"/>
  <c r="J3944" i="13" a="1"/>
  <c r="J3944" i="13" s="1"/>
  <c r="N3945" i="13"/>
  <c r="M3948" i="14"/>
  <c r="M3947" i="13"/>
  <c r="K3781" i="14" l="1"/>
  <c r="L3781" i="14" s="1"/>
  <c r="I3782" i="14" s="1"/>
  <c r="K3759" i="13"/>
  <c r="L3759" i="13" s="1"/>
  <c r="I3760" i="13" s="1"/>
  <c r="N3946" i="13"/>
  <c r="J3945" i="13" a="1"/>
  <c r="J3945" i="13" s="1"/>
  <c r="M3948" i="13"/>
  <c r="M3949" i="14"/>
  <c r="N3945" i="14"/>
  <c r="J3944" i="14" a="1"/>
  <c r="J3944" i="14" s="1"/>
  <c r="K3760" i="13" l="1"/>
  <c r="L3760" i="13" s="1"/>
  <c r="I3761" i="13" s="1"/>
  <c r="K3782" i="14"/>
  <c r="L3782" i="14" s="1"/>
  <c r="I3783" i="14" s="1"/>
  <c r="J3945" i="14" a="1"/>
  <c r="J3945" i="14" s="1"/>
  <c r="N3946" i="14"/>
  <c r="M3949" i="13"/>
  <c r="M3950" i="14"/>
  <c r="N3947" i="13"/>
  <c r="J3946" i="13" a="1"/>
  <c r="J3946" i="13" s="1"/>
  <c r="K3783" i="14" l="1"/>
  <c r="L3783" i="14" s="1"/>
  <c r="I3784" i="14" s="1"/>
  <c r="K3761" i="13"/>
  <c r="L3761" i="13" s="1"/>
  <c r="I3762" i="13" s="1"/>
  <c r="M3950" i="13"/>
  <c r="N3948" i="13"/>
  <c r="J3947" i="13" a="1"/>
  <c r="J3947" i="13" s="1"/>
  <c r="N3947" i="14"/>
  <c r="J3946" i="14" a="1"/>
  <c r="J3946" i="14" s="1"/>
  <c r="M3951" i="14"/>
  <c r="K3762" i="13" l="1"/>
  <c r="L3762" i="13" s="1"/>
  <c r="I3763" i="13" s="1"/>
  <c r="K3784" i="14"/>
  <c r="L3784" i="14" s="1"/>
  <c r="I3785" i="14" s="1"/>
  <c r="J3948" i="13" a="1"/>
  <c r="J3948" i="13" s="1"/>
  <c r="N3949" i="13"/>
  <c r="M3951" i="13"/>
  <c r="M3952" i="14"/>
  <c r="J3947" i="14" a="1"/>
  <c r="J3947" i="14" s="1"/>
  <c r="N3948" i="14"/>
  <c r="K3785" i="14" l="1"/>
  <c r="L3785" i="14" s="1"/>
  <c r="I3786" i="14" s="1"/>
  <c r="K3763" i="13"/>
  <c r="L3763" i="13" s="1"/>
  <c r="I3764" i="13" s="1"/>
  <c r="N3949" i="14"/>
  <c r="J3948" i="14" a="1"/>
  <c r="J3948" i="14" s="1"/>
  <c r="M3952" i="13"/>
  <c r="N3950" i="13"/>
  <c r="J3949" i="13" a="1"/>
  <c r="J3949" i="13" s="1"/>
  <c r="M3953" i="14"/>
  <c r="K3764" i="13" l="1"/>
  <c r="L3764" i="13" s="1"/>
  <c r="I3765" i="13" s="1"/>
  <c r="K3786" i="14"/>
  <c r="L3786" i="14" s="1"/>
  <c r="I3787" i="14" s="1"/>
  <c r="M3954" i="14"/>
  <c r="M3953" i="13"/>
  <c r="N3951" i="13"/>
  <c r="J3950" i="13" a="1"/>
  <c r="J3950" i="13" s="1"/>
  <c r="J3949" i="14" a="1"/>
  <c r="J3949" i="14" s="1"/>
  <c r="N3950" i="14"/>
  <c r="K3787" i="14" l="1"/>
  <c r="L3787" i="14" s="1"/>
  <c r="I3788" i="14" s="1"/>
  <c r="K3765" i="13"/>
  <c r="L3765" i="13" s="1"/>
  <c r="I3766" i="13" s="1"/>
  <c r="J3950" i="14" a="1"/>
  <c r="J3950" i="14" s="1"/>
  <c r="N3951" i="14"/>
  <c r="M3954" i="13"/>
  <c r="N3952" i="13"/>
  <c r="J3951" i="13" a="1"/>
  <c r="J3951" i="13" s="1"/>
  <c r="M3955" i="14"/>
  <c r="K3766" i="13" l="1"/>
  <c r="L3766" i="13" s="1"/>
  <c r="I3767" i="13" s="1"/>
  <c r="K3788" i="14"/>
  <c r="L3788" i="14" s="1"/>
  <c r="I3789" i="14" s="1"/>
  <c r="M3956" i="14"/>
  <c r="M3955" i="13"/>
  <c r="J3952" i="13" a="1"/>
  <c r="J3952" i="13" s="1"/>
  <c r="N3953" i="13"/>
  <c r="N3952" i="14"/>
  <c r="J3951" i="14" a="1"/>
  <c r="J3951" i="14" s="1"/>
  <c r="K3767" i="13" l="1"/>
  <c r="L3767" i="13" s="1"/>
  <c r="I3768" i="13" s="1"/>
  <c r="K3789" i="14"/>
  <c r="L3789" i="14" s="1"/>
  <c r="I3790" i="14" s="1"/>
  <c r="N3954" i="13"/>
  <c r="J3953" i="13" a="1"/>
  <c r="J3953" i="13" s="1"/>
  <c r="N3953" i="14"/>
  <c r="J3952" i="14" a="1"/>
  <c r="J3952" i="14" s="1"/>
  <c r="M3956" i="13"/>
  <c r="M3957" i="14"/>
  <c r="K3790" i="14" l="1"/>
  <c r="L3790" i="14" s="1"/>
  <c r="I3791" i="14" s="1"/>
  <c r="K3768" i="13"/>
  <c r="L3768" i="13" s="1"/>
  <c r="I3769" i="13" s="1"/>
  <c r="J3953" i="14" a="1"/>
  <c r="J3953" i="14" s="1"/>
  <c r="N3954" i="14"/>
  <c r="M3957" i="13"/>
  <c r="M3958" i="14"/>
  <c r="N3955" i="13"/>
  <c r="J3954" i="13" a="1"/>
  <c r="J3954" i="13" s="1"/>
  <c r="K3769" i="13" l="1"/>
  <c r="L3769" i="13" s="1"/>
  <c r="I3770" i="13" s="1"/>
  <c r="K3791" i="14"/>
  <c r="L3791" i="14" s="1"/>
  <c r="I3792" i="14" s="1"/>
  <c r="M3958" i="13"/>
  <c r="N3956" i="13"/>
  <c r="J3955" i="13" a="1"/>
  <c r="J3955" i="13" s="1"/>
  <c r="N3955" i="14"/>
  <c r="J3954" i="14" a="1"/>
  <c r="J3954" i="14" s="1"/>
  <c r="M3959" i="14"/>
  <c r="K3770" i="13" l="1"/>
  <c r="L3770" i="13" s="1"/>
  <c r="I3771" i="13" s="1"/>
  <c r="J3956" i="13" a="1"/>
  <c r="J3956" i="13" s="1"/>
  <c r="N3957" i="13"/>
  <c r="M3960" i="14"/>
  <c r="K3792" i="14"/>
  <c r="L3792" i="14" s="1"/>
  <c r="I3793" i="14" s="1"/>
  <c r="M3959" i="13"/>
  <c r="N3956" i="14"/>
  <c r="J3955" i="14" a="1"/>
  <c r="J3955" i="14" s="1"/>
  <c r="K3793" i="14" l="1"/>
  <c r="L3793" i="14" s="1"/>
  <c r="I3794" i="14" s="1"/>
  <c r="N3958" i="13"/>
  <c r="J3957" i="13" a="1"/>
  <c r="J3957" i="13" s="1"/>
  <c r="N3957" i="14"/>
  <c r="J3956" i="14" a="1"/>
  <c r="J3956" i="14" s="1"/>
  <c r="M3960" i="13"/>
  <c r="M3961" i="14"/>
  <c r="K3771" i="13"/>
  <c r="L3771" i="13" s="1"/>
  <c r="I3772" i="13" s="1"/>
  <c r="K3772" i="13" l="1"/>
  <c r="L3772" i="13" s="1"/>
  <c r="I3773" i="13" s="1"/>
  <c r="K3794" i="14"/>
  <c r="L3794" i="14" s="1"/>
  <c r="I3795" i="14" s="1"/>
  <c r="N3959" i="13"/>
  <c r="J3958" i="13" a="1"/>
  <c r="J3958" i="13" s="1"/>
  <c r="M3961" i="13"/>
  <c r="M3962" i="14"/>
  <c r="J3957" i="14" a="1"/>
  <c r="J3957" i="14" s="1"/>
  <c r="N3958" i="14"/>
  <c r="K3795" i="14" l="1"/>
  <c r="L3795" i="14" s="1"/>
  <c r="I3796" i="14" s="1"/>
  <c r="K3773" i="13"/>
  <c r="L3773" i="13" s="1"/>
  <c r="I3774" i="13" s="1"/>
  <c r="M3962" i="13"/>
  <c r="M3963" i="14"/>
  <c r="N3959" i="14"/>
  <c r="J3958" i="14" a="1"/>
  <c r="J3958" i="14" s="1"/>
  <c r="N3960" i="13"/>
  <c r="J3959" i="13" a="1"/>
  <c r="J3959" i="13" s="1"/>
  <c r="K3774" i="13" l="1"/>
  <c r="L3774" i="13" s="1"/>
  <c r="I3775" i="13" s="1"/>
  <c r="K3796" i="14"/>
  <c r="L3796" i="14" s="1"/>
  <c r="I3797" i="14" s="1"/>
  <c r="M3964" i="14"/>
  <c r="J3960" i="13" a="1"/>
  <c r="J3960" i="13" s="1"/>
  <c r="N3961" i="13"/>
  <c r="M3963" i="13"/>
  <c r="N3960" i="14"/>
  <c r="J3959" i="14" a="1"/>
  <c r="J3959" i="14" s="1"/>
  <c r="K3797" i="14" l="1"/>
  <c r="L3797" i="14" s="1"/>
  <c r="I3798" i="14" s="1"/>
  <c r="K3775" i="13"/>
  <c r="L3775" i="13" s="1"/>
  <c r="I3776" i="13" s="1"/>
  <c r="N3962" i="13"/>
  <c r="J3961" i="13" a="1"/>
  <c r="J3961" i="13" s="1"/>
  <c r="N3961" i="14"/>
  <c r="J3960" i="14" a="1"/>
  <c r="J3960" i="14" s="1"/>
  <c r="M3964" i="13"/>
  <c r="M3965" i="14"/>
  <c r="K3776" i="13" l="1"/>
  <c r="L3776" i="13" s="1"/>
  <c r="I3777" i="13" s="1"/>
  <c r="K3798" i="14"/>
  <c r="L3798" i="14" s="1"/>
  <c r="I3799" i="14" s="1"/>
  <c r="M3966" i="14"/>
  <c r="J3961" i="14" a="1"/>
  <c r="J3961" i="14" s="1"/>
  <c r="N3962" i="14"/>
  <c r="M3965" i="13"/>
  <c r="N3963" i="13"/>
  <c r="J3962" i="13" a="1"/>
  <c r="J3962" i="13" s="1"/>
  <c r="K3799" i="14" l="1"/>
  <c r="L3799" i="14" s="1"/>
  <c r="I3800" i="14" s="1"/>
  <c r="K3777" i="13"/>
  <c r="L3777" i="13" s="1"/>
  <c r="I3778" i="13" s="1"/>
  <c r="N3964" i="13"/>
  <c r="J3963" i="13" a="1"/>
  <c r="J3963" i="13" s="1"/>
  <c r="M3967" i="14"/>
  <c r="N3963" i="14"/>
  <c r="J3962" i="14" a="1"/>
  <c r="J3962" i="14" s="1"/>
  <c r="M3966" i="13"/>
  <c r="K3778" i="13" l="1"/>
  <c r="L3778" i="13" s="1"/>
  <c r="I3779" i="13" s="1"/>
  <c r="K3800" i="14"/>
  <c r="L3800" i="14" s="1"/>
  <c r="I3801" i="14" s="1"/>
  <c r="N3964" i="14"/>
  <c r="J3963" i="14" a="1"/>
  <c r="J3963" i="14" s="1"/>
  <c r="M3968" i="14"/>
  <c r="M3967" i="13"/>
  <c r="J3964" i="13" a="1"/>
  <c r="J3964" i="13" s="1"/>
  <c r="N3965" i="13"/>
  <c r="K3801" i="14" l="1"/>
  <c r="L3801" i="14" s="1"/>
  <c r="I3802" i="14" s="1"/>
  <c r="K3779" i="13"/>
  <c r="L3779" i="13" s="1"/>
  <c r="I3780" i="13" s="1"/>
  <c r="N3966" i="13"/>
  <c r="J3965" i="13" a="1"/>
  <c r="J3965" i="13" s="1"/>
  <c r="M3969" i="14"/>
  <c r="M3968" i="13"/>
  <c r="N3965" i="14"/>
  <c r="J3964" i="14" a="1"/>
  <c r="J3964" i="14" s="1"/>
  <c r="K3780" i="13" l="1"/>
  <c r="L3780" i="13" s="1"/>
  <c r="I3781" i="13" s="1"/>
  <c r="K3802" i="14"/>
  <c r="L3802" i="14" s="1"/>
  <c r="I3803" i="14" s="1"/>
  <c r="M3970" i="14"/>
  <c r="J3965" i="14" a="1"/>
  <c r="J3965" i="14" s="1"/>
  <c r="N3966" i="14"/>
  <c r="M3969" i="13"/>
  <c r="N3967" i="13"/>
  <c r="J3966" i="13" a="1"/>
  <c r="J3966" i="13" s="1"/>
  <c r="K3803" i="14" l="1"/>
  <c r="L3803" i="14" s="1"/>
  <c r="I3804" i="14" s="1"/>
  <c r="K3781" i="13"/>
  <c r="L3781" i="13" s="1"/>
  <c r="I3782" i="13" s="1"/>
  <c r="N3967" i="14"/>
  <c r="J3966" i="14" a="1"/>
  <c r="J3966" i="14" s="1"/>
  <c r="N3968" i="13"/>
  <c r="J3967" i="13" a="1"/>
  <c r="J3967" i="13" s="1"/>
  <c r="M3970" i="13"/>
  <c r="M3971" i="14"/>
  <c r="K3782" i="13" l="1"/>
  <c r="L3782" i="13" s="1"/>
  <c r="I3783" i="13" s="1"/>
  <c r="K3804" i="14"/>
  <c r="L3804" i="14" s="1"/>
  <c r="I3805" i="14" s="1"/>
  <c r="J3968" i="13" a="1"/>
  <c r="J3968" i="13" s="1"/>
  <c r="N3969" i="13"/>
  <c r="M3972" i="14"/>
  <c r="M3971" i="13"/>
  <c r="J3967" i="14" a="1"/>
  <c r="J3967" i="14" s="1"/>
  <c r="N3968" i="14"/>
  <c r="K3805" i="14" l="1"/>
  <c r="L3805" i="14" s="1"/>
  <c r="I3806" i="14" s="1"/>
  <c r="K3783" i="13"/>
  <c r="L3783" i="13" s="1"/>
  <c r="I3784" i="13" s="1"/>
  <c r="N3969" i="14"/>
  <c r="J3968" i="14" a="1"/>
  <c r="J3968" i="14" s="1"/>
  <c r="M3973" i="14"/>
  <c r="N3970" i="13"/>
  <c r="J3969" i="13" a="1"/>
  <c r="J3969" i="13" s="1"/>
  <c r="M3972" i="13"/>
  <c r="K3784" i="13" l="1"/>
  <c r="L3784" i="13" s="1"/>
  <c r="I3785" i="13" s="1"/>
  <c r="K3806" i="14"/>
  <c r="L3806" i="14" s="1"/>
  <c r="I3807" i="14" s="1"/>
  <c r="M3973" i="13"/>
  <c r="N3971" i="13"/>
  <c r="J3970" i="13" a="1"/>
  <c r="J3970" i="13" s="1"/>
  <c r="M3974" i="14"/>
  <c r="J3969" i="14" a="1"/>
  <c r="J3969" i="14" s="1"/>
  <c r="N3970" i="14"/>
  <c r="K3807" i="14" l="1"/>
  <c r="L3807" i="14" s="1"/>
  <c r="I3808" i="14" s="1"/>
  <c r="K3785" i="13"/>
  <c r="L3785" i="13" s="1"/>
  <c r="I3786" i="13" s="1"/>
  <c r="J3970" i="14" a="1"/>
  <c r="J3970" i="14" s="1"/>
  <c r="N3971" i="14"/>
  <c r="M3974" i="13"/>
  <c r="N3972" i="13"/>
  <c r="J3971" i="13" a="1"/>
  <c r="J3971" i="13" s="1"/>
  <c r="M3975" i="14"/>
  <c r="K3786" i="13" l="1"/>
  <c r="L3786" i="13" s="1"/>
  <c r="I3787" i="13" s="1"/>
  <c r="K3808" i="14"/>
  <c r="L3808" i="14" s="1"/>
  <c r="I3809" i="14" s="1"/>
  <c r="M3976" i="14"/>
  <c r="J3972" i="13" a="1"/>
  <c r="J3972" i="13" s="1"/>
  <c r="N3973" i="13"/>
  <c r="M3975" i="13"/>
  <c r="N3972" i="14"/>
  <c r="J3971" i="14" a="1"/>
  <c r="J3971" i="14" s="1"/>
  <c r="K3809" i="14" l="1"/>
  <c r="L3809" i="14" s="1"/>
  <c r="I3810" i="14" s="1"/>
  <c r="K3787" i="13"/>
  <c r="L3787" i="13" s="1"/>
  <c r="I3788" i="13" s="1"/>
  <c r="N3974" i="13"/>
  <c r="J3973" i="13" a="1"/>
  <c r="J3973" i="13" s="1"/>
  <c r="N3973" i="14"/>
  <c r="J3972" i="14" a="1"/>
  <c r="J3972" i="14" s="1"/>
  <c r="M3976" i="13"/>
  <c r="M3977" i="14"/>
  <c r="K3788" i="13" l="1"/>
  <c r="L3788" i="13" s="1"/>
  <c r="I3789" i="13" s="1"/>
  <c r="K3810" i="14"/>
  <c r="L3810" i="14" s="1"/>
  <c r="I3811" i="14" s="1"/>
  <c r="M3978" i="14"/>
  <c r="J3973" i="14" a="1"/>
  <c r="J3973" i="14" s="1"/>
  <c r="N3974" i="14"/>
  <c r="M3977" i="13"/>
  <c r="N3975" i="13"/>
  <c r="J3974" i="13" a="1"/>
  <c r="J3974" i="13" s="1"/>
  <c r="K3811" i="14" l="1"/>
  <c r="L3811" i="14" s="1"/>
  <c r="I3812" i="14" s="1"/>
  <c r="K3789" i="13"/>
  <c r="L3789" i="13" s="1"/>
  <c r="I3790" i="13" s="1"/>
  <c r="N3975" i="14"/>
  <c r="J3974" i="14" a="1"/>
  <c r="J3974" i="14" s="1"/>
  <c r="M3979" i="14"/>
  <c r="N3976" i="13"/>
  <c r="J3975" i="13" a="1"/>
  <c r="J3975" i="13" s="1"/>
  <c r="M3978" i="13"/>
  <c r="K3790" i="13" l="1"/>
  <c r="L3790" i="13" s="1"/>
  <c r="I3791" i="13" s="1"/>
  <c r="K3812" i="14"/>
  <c r="L3812" i="14" s="1"/>
  <c r="I3813" i="14" s="1"/>
  <c r="M3980" i="14"/>
  <c r="M3979" i="13"/>
  <c r="J3976" i="13" a="1"/>
  <c r="J3976" i="13" s="1"/>
  <c r="N3977" i="13"/>
  <c r="N3976" i="14"/>
  <c r="J3975" i="14" a="1"/>
  <c r="J3975" i="14" s="1"/>
  <c r="K3813" i="14" l="1"/>
  <c r="L3813" i="14" s="1"/>
  <c r="I3814" i="14" s="1"/>
  <c r="K3791" i="13"/>
  <c r="L3791" i="13" s="1"/>
  <c r="I3792" i="13" s="1"/>
  <c r="N3977" i="14"/>
  <c r="J3976" i="14" a="1"/>
  <c r="J3976" i="14" s="1"/>
  <c r="M3980" i="13"/>
  <c r="N3978" i="13"/>
  <c r="J3977" i="13" a="1"/>
  <c r="J3977" i="13" s="1"/>
  <c r="M3981" i="14"/>
  <c r="K3792" i="13" l="1"/>
  <c r="L3792" i="13" s="1"/>
  <c r="I3793" i="13" s="1"/>
  <c r="K3814" i="14"/>
  <c r="L3814" i="14" s="1"/>
  <c r="I3815" i="14" s="1"/>
  <c r="M3982" i="14"/>
  <c r="M3981" i="13"/>
  <c r="N3979" i="13"/>
  <c r="J3978" i="13" a="1"/>
  <c r="J3978" i="13" s="1"/>
  <c r="J3977" i="14" a="1"/>
  <c r="J3977" i="14" s="1"/>
  <c r="N3978" i="14"/>
  <c r="K3815" i="14" l="1"/>
  <c r="L3815" i="14" s="1"/>
  <c r="I3816" i="14" s="1"/>
  <c r="K3793" i="13"/>
  <c r="L3793" i="13" s="1"/>
  <c r="I3794" i="13" s="1"/>
  <c r="N3979" i="14"/>
  <c r="J3978" i="14" a="1"/>
  <c r="J3978" i="14" s="1"/>
  <c r="M3982" i="13"/>
  <c r="M3983" i="14"/>
  <c r="N3980" i="13"/>
  <c r="J3979" i="13" a="1"/>
  <c r="J3979" i="13" s="1"/>
  <c r="K3794" i="13" l="1"/>
  <c r="L3794" i="13" s="1"/>
  <c r="I3795" i="13" s="1"/>
  <c r="K3816" i="14"/>
  <c r="L3816" i="14" s="1"/>
  <c r="I3817" i="14" s="1"/>
  <c r="M3983" i="13"/>
  <c r="J3980" i="13" a="1"/>
  <c r="J3980" i="13" s="1"/>
  <c r="N3981" i="13"/>
  <c r="M3984" i="14"/>
  <c r="N3980" i="14"/>
  <c r="J3979" i="14" a="1"/>
  <c r="J3979" i="14" s="1"/>
  <c r="K3817" i="14" l="1"/>
  <c r="L3817" i="14" s="1"/>
  <c r="I3818" i="14" s="1"/>
  <c r="K3795" i="13"/>
  <c r="L3795" i="13" s="1"/>
  <c r="I3796" i="13" s="1"/>
  <c r="N3982" i="13"/>
  <c r="J3981" i="13" a="1"/>
  <c r="J3981" i="13" s="1"/>
  <c r="N3981" i="14"/>
  <c r="J3980" i="14" a="1"/>
  <c r="J3980" i="14" s="1"/>
  <c r="M3985" i="14"/>
  <c r="M3984" i="13"/>
  <c r="K3796" i="13" l="1"/>
  <c r="L3796" i="13" s="1"/>
  <c r="I3797" i="13" s="1"/>
  <c r="K3818" i="14"/>
  <c r="L3818" i="14" s="1"/>
  <c r="I3819" i="14" s="1"/>
  <c r="M3985" i="13"/>
  <c r="J3981" i="14" a="1"/>
  <c r="J3981" i="14" s="1"/>
  <c r="N3982" i="14"/>
  <c r="M3986" i="14"/>
  <c r="N3983" i="13"/>
  <c r="J3982" i="13" a="1"/>
  <c r="J3982" i="13" s="1"/>
  <c r="K3819" i="14" l="1"/>
  <c r="L3819" i="14" s="1"/>
  <c r="I3820" i="14" s="1"/>
  <c r="K3797" i="13"/>
  <c r="L3797" i="13" s="1"/>
  <c r="I3798" i="13" s="1"/>
  <c r="N3983" i="14"/>
  <c r="J3982" i="14" a="1"/>
  <c r="J3982" i="14" s="1"/>
  <c r="N3984" i="13"/>
  <c r="J3983" i="13" a="1"/>
  <c r="J3983" i="13" s="1"/>
  <c r="M3986" i="13"/>
  <c r="M3987" i="14"/>
  <c r="K3820" i="14" l="1"/>
  <c r="L3820" i="14" s="1"/>
  <c r="I3821" i="14" s="1"/>
  <c r="J3984" i="13" a="1"/>
  <c r="J3984" i="13" s="1"/>
  <c r="N3985" i="13"/>
  <c r="K3798" i="13"/>
  <c r="L3798" i="13" s="1"/>
  <c r="I3799" i="13" s="1"/>
  <c r="M3987" i="13"/>
  <c r="M3988" i="14"/>
  <c r="N3984" i="14"/>
  <c r="J3983" i="14" a="1"/>
  <c r="J3983" i="14" s="1"/>
  <c r="K3799" i="13" l="1"/>
  <c r="L3799" i="13" s="1"/>
  <c r="I3800" i="13" s="1"/>
  <c r="K3821" i="14"/>
  <c r="L3821" i="14" s="1"/>
  <c r="I3822" i="14" s="1"/>
  <c r="N3986" i="13"/>
  <c r="J3985" i="13" a="1"/>
  <c r="J3985" i="13" s="1"/>
  <c r="N3985" i="14"/>
  <c r="J3984" i="14" a="1"/>
  <c r="J3984" i="14" s="1"/>
  <c r="M3988" i="13"/>
  <c r="M3989" i="14"/>
  <c r="K3822" i="14" l="1"/>
  <c r="L3822" i="14" s="1"/>
  <c r="I3823" i="14" s="1"/>
  <c r="K3800" i="13"/>
  <c r="L3800" i="13" s="1"/>
  <c r="I3801" i="13" s="1"/>
  <c r="M3990" i="14"/>
  <c r="J3985" i="14" a="1"/>
  <c r="J3985" i="14" s="1"/>
  <c r="N3986" i="14"/>
  <c r="M3989" i="13"/>
  <c r="N3987" i="13"/>
  <c r="J3986" i="13" a="1"/>
  <c r="J3986" i="13" s="1"/>
  <c r="K3801" i="13" l="1"/>
  <c r="L3801" i="13" s="1"/>
  <c r="I3802" i="13" s="1"/>
  <c r="K3823" i="14"/>
  <c r="L3823" i="14" s="1"/>
  <c r="I3824" i="14" s="1"/>
  <c r="N3987" i="14"/>
  <c r="J3986" i="14" a="1"/>
  <c r="J3986" i="14" s="1"/>
  <c r="N3988" i="13"/>
  <c r="J3987" i="13" a="1"/>
  <c r="J3987" i="13" s="1"/>
  <c r="M3991" i="14"/>
  <c r="M3990" i="13"/>
  <c r="K3824" i="14" l="1"/>
  <c r="L3824" i="14" s="1"/>
  <c r="I3825" i="14" s="1"/>
  <c r="K3802" i="13"/>
  <c r="L3802" i="13" s="1"/>
  <c r="I3803" i="13" s="1"/>
  <c r="M3991" i="13"/>
  <c r="J3988" i="13" a="1"/>
  <c r="J3988" i="13" s="1"/>
  <c r="N3989" i="13"/>
  <c r="M3992" i="14"/>
  <c r="N3988" i="14"/>
  <c r="J3987" i="14" a="1"/>
  <c r="J3987" i="14" s="1"/>
  <c r="K3803" i="13" l="1"/>
  <c r="L3803" i="13" s="1"/>
  <c r="I3804" i="13" s="1"/>
  <c r="K3825" i="14"/>
  <c r="L3825" i="14" s="1"/>
  <c r="I3826" i="14" s="1"/>
  <c r="N3990" i="13"/>
  <c r="J3989" i="13" a="1"/>
  <c r="J3989" i="13" s="1"/>
  <c r="N3989" i="14"/>
  <c r="J3988" i="14" a="1"/>
  <c r="J3988" i="14" s="1"/>
  <c r="M3993" i="14"/>
  <c r="M3992" i="13"/>
  <c r="K3826" i="14" l="1"/>
  <c r="L3826" i="14" s="1"/>
  <c r="I3827" i="14" s="1"/>
  <c r="K3804" i="13"/>
  <c r="L3804" i="13" s="1"/>
  <c r="I3805" i="13" s="1"/>
  <c r="J3989" i="14" a="1"/>
  <c r="J3989" i="14" s="1"/>
  <c r="N3990" i="14"/>
  <c r="M3994" i="14"/>
  <c r="M3993" i="13"/>
  <c r="N3991" i="13"/>
  <c r="J3990" i="13" a="1"/>
  <c r="J3990" i="13" s="1"/>
  <c r="K3805" i="13" l="1"/>
  <c r="L3805" i="13" s="1"/>
  <c r="I3806" i="13" s="1"/>
  <c r="K3827" i="14"/>
  <c r="L3827" i="14" s="1"/>
  <c r="I3828" i="14" s="1"/>
  <c r="M3995" i="14"/>
  <c r="N3992" i="13"/>
  <c r="J3991" i="13" a="1"/>
  <c r="J3991" i="13" s="1"/>
  <c r="N3991" i="14"/>
  <c r="J3990" i="14" a="1"/>
  <c r="J3990" i="14" s="1"/>
  <c r="M3994" i="13"/>
  <c r="K3828" i="14" l="1"/>
  <c r="L3828" i="14" s="1"/>
  <c r="I3829" i="14" s="1"/>
  <c r="K3806" i="13"/>
  <c r="L3806" i="13" s="1"/>
  <c r="I3807" i="13" s="1"/>
  <c r="M3995" i="13"/>
  <c r="J3992" i="13" a="1"/>
  <c r="J3992" i="13" s="1"/>
  <c r="N3993" i="13"/>
  <c r="M3996" i="14"/>
  <c r="N3992" i="14"/>
  <c r="J3991" i="14" a="1"/>
  <c r="J3991" i="14" s="1"/>
  <c r="K3807" i="13" l="1"/>
  <c r="L3807" i="13" s="1"/>
  <c r="I3808" i="13" s="1"/>
  <c r="K3829" i="14"/>
  <c r="L3829" i="14" s="1"/>
  <c r="I3830" i="14" s="1"/>
  <c r="N3994" i="13"/>
  <c r="J3993" i="13" a="1"/>
  <c r="J3993" i="13" s="1"/>
  <c r="N3993" i="14"/>
  <c r="J3992" i="14" a="1"/>
  <c r="J3992" i="14" s="1"/>
  <c r="M3997" i="14"/>
  <c r="M3996" i="13"/>
  <c r="K3830" i="14" l="1"/>
  <c r="L3830" i="14" s="1"/>
  <c r="I3831" i="14" s="1"/>
  <c r="K3808" i="13"/>
  <c r="L3808" i="13" s="1"/>
  <c r="I3809" i="13" s="1"/>
  <c r="M3997" i="13"/>
  <c r="J3993" i="14" a="1"/>
  <c r="J3993" i="14" s="1"/>
  <c r="N3994" i="14"/>
  <c r="M3998" i="14"/>
  <c r="N3995" i="13"/>
  <c r="J3994" i="13" a="1"/>
  <c r="J3994" i="13" s="1"/>
  <c r="K3809" i="13" l="1"/>
  <c r="L3809" i="13" s="1"/>
  <c r="I3810" i="13" s="1"/>
  <c r="K3831" i="14"/>
  <c r="L3831" i="14" s="1"/>
  <c r="I3832" i="14" s="1"/>
  <c r="N3995" i="14"/>
  <c r="J3994" i="14" a="1"/>
  <c r="J3994" i="14" s="1"/>
  <c r="M3998" i="13"/>
  <c r="N3996" i="13"/>
  <c r="J3995" i="13" a="1"/>
  <c r="J3995" i="13" s="1"/>
  <c r="M3999" i="14"/>
  <c r="K3832" i="14" l="1"/>
  <c r="L3832" i="14" s="1"/>
  <c r="I3833" i="14" s="1"/>
  <c r="K3810" i="13"/>
  <c r="L3810" i="13" s="1"/>
  <c r="I3811" i="13" s="1"/>
  <c r="M4000" i="14"/>
  <c r="J3996" i="13" a="1"/>
  <c r="J3996" i="13" s="1"/>
  <c r="N3997" i="13"/>
  <c r="M3999" i="13"/>
  <c r="N3996" i="14"/>
  <c r="J3995" i="14" a="1"/>
  <c r="J3995" i="14" s="1"/>
  <c r="K3811" i="13" l="1"/>
  <c r="L3811" i="13" s="1"/>
  <c r="I3812" i="13" s="1"/>
  <c r="K3833" i="14"/>
  <c r="L3833" i="14" s="1"/>
  <c r="I3834" i="14" s="1"/>
  <c r="N3998" i="13"/>
  <c r="J3997" i="13" a="1"/>
  <c r="J3997" i="13" s="1"/>
  <c r="N3997" i="14"/>
  <c r="J3996" i="14" a="1"/>
  <c r="J3996" i="14" s="1"/>
  <c r="M4000" i="13"/>
  <c r="M4001" i="14"/>
  <c r="K3834" i="14" l="1"/>
  <c r="L3834" i="14" s="1"/>
  <c r="I3835" i="14" s="1"/>
  <c r="K3812" i="13"/>
  <c r="L3812" i="13" s="1"/>
  <c r="I3813" i="13" s="1"/>
  <c r="J3997" i="14" a="1"/>
  <c r="J3997" i="14" s="1"/>
  <c r="N3998" i="14"/>
  <c r="M4002" i="14"/>
  <c r="M4001" i="13"/>
  <c r="N3999" i="13"/>
  <c r="J3998" i="13" a="1"/>
  <c r="J3998" i="13" s="1"/>
  <c r="K3835" i="14" l="1"/>
  <c r="L3835" i="14" s="1"/>
  <c r="I3836" i="14" s="1"/>
  <c r="K3813" i="13"/>
  <c r="L3813" i="13" s="1"/>
  <c r="I3814" i="13" s="1"/>
  <c r="N4000" i="13"/>
  <c r="J3999" i="13" a="1"/>
  <c r="J3999" i="13" s="1"/>
  <c r="M4003" i="14"/>
  <c r="M4002" i="13"/>
  <c r="N3999" i="14"/>
  <c r="J3998" i="14" a="1"/>
  <c r="J3998" i="14" s="1"/>
  <c r="K3814" i="13" l="1"/>
  <c r="L3814" i="13" s="1"/>
  <c r="I3815" i="13" s="1"/>
  <c r="K3836" i="14"/>
  <c r="L3836" i="14" s="1"/>
  <c r="I3837" i="14" s="1"/>
  <c r="M4003" i="13"/>
  <c r="M4004" i="14"/>
  <c r="N4000" i="14"/>
  <c r="J3999" i="14" a="1"/>
  <c r="J3999" i="14" s="1"/>
  <c r="J4000" i="13" a="1"/>
  <c r="J4000" i="13" s="1"/>
  <c r="N4001" i="13"/>
  <c r="K3837" i="14" l="1"/>
  <c r="L3837" i="14" s="1"/>
  <c r="I3838" i="14" s="1"/>
  <c r="K3815" i="13"/>
  <c r="L3815" i="13" s="1"/>
  <c r="I3816" i="13" s="1"/>
  <c r="N4002" i="13"/>
  <c r="J4001" i="13" a="1"/>
  <c r="J4001" i="13" s="1"/>
  <c r="M4005" i="14"/>
  <c r="N4001" i="14"/>
  <c r="J4000" i="14" a="1"/>
  <c r="J4000" i="14" s="1"/>
  <c r="M4004" i="13"/>
  <c r="K3816" i="13" l="1"/>
  <c r="L3816" i="13" s="1"/>
  <c r="I3817" i="13" s="1"/>
  <c r="K3838" i="14"/>
  <c r="L3838" i="14" s="1"/>
  <c r="I3839" i="14" s="1"/>
  <c r="M4005" i="13"/>
  <c r="M4006" i="14"/>
  <c r="J4001" i="14" a="1"/>
  <c r="J4001" i="14" s="1"/>
  <c r="N4002" i="14"/>
  <c r="N4003" i="13"/>
  <c r="J4002" i="13" a="1"/>
  <c r="J4002" i="13" s="1"/>
  <c r="K3839" i="14" l="1"/>
  <c r="L3839" i="14" s="1"/>
  <c r="I3840" i="14" s="1"/>
  <c r="K3817" i="13"/>
  <c r="L3817" i="13" s="1"/>
  <c r="I3818" i="13" s="1"/>
  <c r="N4004" i="13"/>
  <c r="J4003" i="13" a="1"/>
  <c r="J4003" i="13" s="1"/>
  <c r="M4007" i="14"/>
  <c r="N4003" i="14"/>
  <c r="J4002" i="14" a="1"/>
  <c r="J4002" i="14" s="1"/>
  <c r="M4006" i="13"/>
  <c r="K3818" i="13" l="1"/>
  <c r="L3818" i="13" s="1"/>
  <c r="I3819" i="13" s="1"/>
  <c r="K3840" i="14"/>
  <c r="L3840" i="14" s="1"/>
  <c r="I3841" i="14" s="1"/>
  <c r="M4007" i="13"/>
  <c r="N4004" i="14"/>
  <c r="J4003" i="14" a="1"/>
  <c r="J4003" i="14" s="1"/>
  <c r="M4008" i="14"/>
  <c r="J4004" i="13" a="1"/>
  <c r="J4004" i="13" s="1"/>
  <c r="N4005" i="13"/>
  <c r="K3841" i="14" l="1"/>
  <c r="L3841" i="14" s="1"/>
  <c r="I3842" i="14" s="1"/>
  <c r="K3819" i="13"/>
  <c r="L3819" i="13" s="1"/>
  <c r="I3820" i="13" s="1"/>
  <c r="N4006" i="13"/>
  <c r="J4005" i="13" a="1"/>
  <c r="J4005" i="13" s="1"/>
  <c r="N4005" i="14"/>
  <c r="J4004" i="14" a="1"/>
  <c r="J4004" i="14" s="1"/>
  <c r="M4009" i="14"/>
  <c r="M4008" i="13"/>
  <c r="K3820" i="13" l="1"/>
  <c r="L3820" i="13" s="1"/>
  <c r="I3821" i="13" s="1"/>
  <c r="K3842" i="14"/>
  <c r="L3842" i="14" s="1"/>
  <c r="I3843" i="14" s="1"/>
  <c r="J4005" i="14" a="1"/>
  <c r="J4005" i="14" s="1"/>
  <c r="N4006" i="14"/>
  <c r="M4009" i="13"/>
  <c r="M4010" i="14"/>
  <c r="N4007" i="13"/>
  <c r="J4006" i="13" a="1"/>
  <c r="J4006" i="13" s="1"/>
  <c r="K3843" i="14" l="1"/>
  <c r="L3843" i="14" s="1"/>
  <c r="I3844" i="14" s="1"/>
  <c r="K3821" i="13"/>
  <c r="L3821" i="13" s="1"/>
  <c r="I3822" i="13" s="1"/>
  <c r="N4008" i="13"/>
  <c r="J4007" i="13" a="1"/>
  <c r="J4007" i="13" s="1"/>
  <c r="M4010" i="13"/>
  <c r="N4007" i="14"/>
  <c r="J4006" i="14" a="1"/>
  <c r="J4006" i="14" s="1"/>
  <c r="M4011" i="14"/>
  <c r="K3822" i="13" l="1"/>
  <c r="L3822" i="13" s="1"/>
  <c r="I3823" i="13" s="1"/>
  <c r="K3844" i="14"/>
  <c r="L3844" i="14" s="1"/>
  <c r="I3845" i="14" s="1"/>
  <c r="M4012" i="14"/>
  <c r="M4011" i="13"/>
  <c r="N4008" i="14"/>
  <c r="J4007" i="14" a="1"/>
  <c r="J4007" i="14" s="1"/>
  <c r="J4008" i="13" a="1"/>
  <c r="J4008" i="13" s="1"/>
  <c r="N4009" i="13"/>
  <c r="K3845" i="14" l="1"/>
  <c r="L3845" i="14" s="1"/>
  <c r="I3846" i="14" s="1"/>
  <c r="K3823" i="13"/>
  <c r="L3823" i="13" s="1"/>
  <c r="I3824" i="13" s="1"/>
  <c r="N4010" i="13"/>
  <c r="J4009" i="13" a="1"/>
  <c r="J4009" i="13" s="1"/>
  <c r="M4012" i="13"/>
  <c r="N4009" i="14"/>
  <c r="J4008" i="14" a="1"/>
  <c r="J4008" i="14" s="1"/>
  <c r="M4013" i="14"/>
  <c r="K3824" i="13" l="1"/>
  <c r="L3824" i="13" s="1"/>
  <c r="I3825" i="13" s="1"/>
  <c r="K3846" i="14"/>
  <c r="L3846" i="14" s="1"/>
  <c r="I3847" i="14" s="1"/>
  <c r="M4014" i="14"/>
  <c r="J4009" i="14" a="1"/>
  <c r="J4009" i="14" s="1"/>
  <c r="N4010" i="14"/>
  <c r="M4013" i="13"/>
  <c r="N4011" i="13"/>
  <c r="J4010" i="13" a="1"/>
  <c r="J4010" i="13" s="1"/>
  <c r="K3847" i="14" l="1"/>
  <c r="L3847" i="14" s="1"/>
  <c r="I3848" i="14" s="1"/>
  <c r="K3825" i="13"/>
  <c r="L3825" i="13" s="1"/>
  <c r="I3826" i="13" s="1"/>
  <c r="N4011" i="14"/>
  <c r="J4010" i="14" a="1"/>
  <c r="J4010" i="14" s="1"/>
  <c r="M4014" i="13"/>
  <c r="N4012" i="13"/>
  <c r="J4011" i="13" a="1"/>
  <c r="J4011" i="13" s="1"/>
  <c r="M4015" i="14"/>
  <c r="K3826" i="13" l="1"/>
  <c r="L3826" i="13" s="1"/>
  <c r="I3827" i="13" s="1"/>
  <c r="K3848" i="14"/>
  <c r="L3848" i="14" s="1"/>
  <c r="I3849" i="14" s="1"/>
  <c r="M4016" i="14"/>
  <c r="M4015" i="13"/>
  <c r="J4012" i="13" a="1"/>
  <c r="J4012" i="13" s="1"/>
  <c r="N4013" i="13"/>
  <c r="J4011" i="14" a="1"/>
  <c r="J4011" i="14" s="1"/>
  <c r="N4012" i="14"/>
  <c r="K3849" i="14" l="1"/>
  <c r="L3849" i="14" s="1"/>
  <c r="I3850" i="14" s="1"/>
  <c r="K3827" i="13"/>
  <c r="L3827" i="13" s="1"/>
  <c r="I3828" i="13" s="1"/>
  <c r="N4013" i="14"/>
  <c r="J4012" i="14" a="1"/>
  <c r="J4012" i="14" s="1"/>
  <c r="M4016" i="13"/>
  <c r="N4014" i="13"/>
  <c r="J4013" i="13" a="1"/>
  <c r="J4013" i="13" s="1"/>
  <c r="M4017" i="14"/>
  <c r="K3828" i="13" l="1"/>
  <c r="L3828" i="13" s="1"/>
  <c r="I3829" i="13" s="1"/>
  <c r="K3850" i="14"/>
  <c r="L3850" i="14" s="1"/>
  <c r="I3851" i="14" s="1"/>
  <c r="N4015" i="13"/>
  <c r="J4014" i="13" a="1"/>
  <c r="J4014" i="13" s="1"/>
  <c r="M4017" i="13"/>
  <c r="M4018" i="14"/>
  <c r="J4013" i="14" a="1"/>
  <c r="J4013" i="14" s="1"/>
  <c r="N4014" i="14"/>
  <c r="K3851" i="14" l="1"/>
  <c r="L3851" i="14" s="1"/>
  <c r="I3852" i="14" s="1"/>
  <c r="K3829" i="13"/>
  <c r="L3829" i="13" s="1"/>
  <c r="I3830" i="13" s="1"/>
  <c r="J4014" i="14" a="1"/>
  <c r="J4014" i="14" s="1"/>
  <c r="N4015" i="14"/>
  <c r="M4018" i="13"/>
  <c r="M4019" i="14"/>
  <c r="N4016" i="13"/>
  <c r="J4015" i="13" a="1"/>
  <c r="J4015" i="13" s="1"/>
  <c r="K3830" i="13" l="1"/>
  <c r="L3830" i="13" s="1"/>
  <c r="I3831" i="13" s="1"/>
  <c r="K3852" i="14"/>
  <c r="L3852" i="14" s="1"/>
  <c r="I3853" i="14" s="1"/>
  <c r="M4019" i="13"/>
  <c r="J4016" i="13" a="1"/>
  <c r="J4016" i="13" s="1"/>
  <c r="N4017" i="13"/>
  <c r="N4016" i="14"/>
  <c r="J4015" i="14" a="1"/>
  <c r="J4015" i="14" s="1"/>
  <c r="M4020" i="14"/>
  <c r="K3853" i="14" l="1"/>
  <c r="L3853" i="14" s="1"/>
  <c r="I3854" i="14" s="1"/>
  <c r="K3831" i="13"/>
  <c r="L3831" i="13" s="1"/>
  <c r="I3832" i="13" s="1"/>
  <c r="N4018" i="13"/>
  <c r="J4017" i="13" a="1"/>
  <c r="J4017" i="13" s="1"/>
  <c r="M4021" i="14"/>
  <c r="N4017" i="14"/>
  <c r="J4016" i="14" a="1"/>
  <c r="J4016" i="14" s="1"/>
  <c r="M4020" i="13"/>
  <c r="K3832" i="13" l="1"/>
  <c r="L3832" i="13" s="1"/>
  <c r="I3833" i="13" s="1"/>
  <c r="K3854" i="14"/>
  <c r="L3854" i="14" s="1"/>
  <c r="I3855" i="14" s="1"/>
  <c r="M4021" i="13"/>
  <c r="M4022" i="14"/>
  <c r="J4017" i="14" a="1"/>
  <c r="J4017" i="14" s="1"/>
  <c r="N4018" i="14"/>
  <c r="N4019" i="13"/>
  <c r="J4018" i="13" a="1"/>
  <c r="J4018" i="13" s="1"/>
  <c r="K3855" i="14" l="1"/>
  <c r="L3855" i="14" s="1"/>
  <c r="I3856" i="14" s="1"/>
  <c r="K3833" i="13"/>
  <c r="L3833" i="13" s="1"/>
  <c r="I3834" i="13" s="1"/>
  <c r="M4023" i="14"/>
  <c r="N4020" i="13"/>
  <c r="J4019" i="13" a="1"/>
  <c r="J4019" i="13" s="1"/>
  <c r="N4019" i="14"/>
  <c r="J4018" i="14" a="1"/>
  <c r="J4018" i="14" s="1"/>
  <c r="M4022" i="13"/>
  <c r="K3834" i="13" l="1"/>
  <c r="L3834" i="13" s="1"/>
  <c r="I3835" i="13" s="1"/>
  <c r="K3856" i="14"/>
  <c r="L3856" i="14" s="1"/>
  <c r="I3857" i="14" s="1"/>
  <c r="J4020" i="13" a="1"/>
  <c r="J4020" i="13" s="1"/>
  <c r="N4021" i="13"/>
  <c r="M4024" i="14"/>
  <c r="M4023" i="13"/>
  <c r="N4020" i="14"/>
  <c r="J4019" i="14" a="1"/>
  <c r="J4019" i="14" s="1"/>
  <c r="K3857" i="14" l="1"/>
  <c r="L3857" i="14" s="1"/>
  <c r="I3858" i="14" s="1"/>
  <c r="K3835" i="13"/>
  <c r="L3835" i="13" s="1"/>
  <c r="I3836" i="13" s="1"/>
  <c r="N4021" i="14"/>
  <c r="J4020" i="14" a="1"/>
  <c r="J4020" i="14" s="1"/>
  <c r="M4025" i="14"/>
  <c r="N4022" i="13"/>
  <c r="J4021" i="13" a="1"/>
  <c r="J4021" i="13" s="1"/>
  <c r="M4024" i="13"/>
  <c r="K3836" i="13" l="1"/>
  <c r="L3836" i="13" s="1"/>
  <c r="I3837" i="13" s="1"/>
  <c r="K3858" i="14"/>
  <c r="L3858" i="14" s="1"/>
  <c r="I3859" i="14" s="1"/>
  <c r="M4025" i="13"/>
  <c r="M4026" i="14"/>
  <c r="N4023" i="13"/>
  <c r="J4022" i="13" a="1"/>
  <c r="J4022" i="13" s="1"/>
  <c r="J4021" i="14" a="1"/>
  <c r="J4021" i="14" s="1"/>
  <c r="N4022" i="14"/>
  <c r="K3859" i="14" l="1"/>
  <c r="L3859" i="14" s="1"/>
  <c r="I3860" i="14" s="1"/>
  <c r="K3837" i="13"/>
  <c r="L3837" i="13" s="1"/>
  <c r="I3838" i="13" s="1"/>
  <c r="N4023" i="14"/>
  <c r="J4022" i="14" a="1"/>
  <c r="J4022" i="14" s="1"/>
  <c r="M4027" i="14"/>
  <c r="N4024" i="13"/>
  <c r="J4023" i="13" a="1"/>
  <c r="J4023" i="13" s="1"/>
  <c r="M4026" i="13"/>
  <c r="K3838" i="13" l="1"/>
  <c r="L3838" i="13" s="1"/>
  <c r="I3839" i="13" s="1"/>
  <c r="K3860" i="14"/>
  <c r="L3860" i="14" s="1"/>
  <c r="I3861" i="14" s="1"/>
  <c r="M4028" i="14"/>
  <c r="M4027" i="13"/>
  <c r="J4024" i="13" a="1"/>
  <c r="J4024" i="13" s="1"/>
  <c r="N4025" i="13"/>
  <c r="N4024" i="14"/>
  <c r="J4023" i="14" a="1"/>
  <c r="J4023" i="14" s="1"/>
  <c r="K3861" i="14" l="1"/>
  <c r="L3861" i="14" s="1"/>
  <c r="I3862" i="14" s="1"/>
  <c r="K3839" i="13"/>
  <c r="L3839" i="13" s="1"/>
  <c r="I3840" i="13" s="1"/>
  <c r="N4025" i="14"/>
  <c r="J4024" i="14" a="1"/>
  <c r="J4024" i="14" s="1"/>
  <c r="M4028" i="13"/>
  <c r="N4026" i="13"/>
  <c r="J4025" i="13" a="1"/>
  <c r="J4025" i="13" s="1"/>
  <c r="M4029" i="14"/>
  <c r="K3840" i="13" l="1"/>
  <c r="L3840" i="13" s="1"/>
  <c r="I3841" i="13" s="1"/>
  <c r="K3862" i="14"/>
  <c r="L3862" i="14" s="1"/>
  <c r="I3863" i="14" s="1"/>
  <c r="M4030" i="14"/>
  <c r="M4029" i="13"/>
  <c r="N4027" i="13"/>
  <c r="J4026" i="13" a="1"/>
  <c r="J4026" i="13" s="1"/>
  <c r="J4025" i="14" a="1"/>
  <c r="J4025" i="14" s="1"/>
  <c r="N4026" i="14"/>
  <c r="K3863" i="14" l="1"/>
  <c r="L3863" i="14" s="1"/>
  <c r="I3864" i="14" s="1"/>
  <c r="K3841" i="13"/>
  <c r="L3841" i="13" s="1"/>
  <c r="I3842" i="13" s="1"/>
  <c r="N4027" i="14"/>
  <c r="J4026" i="14" a="1"/>
  <c r="J4026" i="14" s="1"/>
  <c r="M4030" i="13"/>
  <c r="M4031" i="14"/>
  <c r="N4028" i="13"/>
  <c r="J4027" i="13" a="1"/>
  <c r="J4027" i="13" s="1"/>
  <c r="K3842" i="13" l="1"/>
  <c r="L3842" i="13" s="1"/>
  <c r="I3843" i="13" s="1"/>
  <c r="K3864" i="14"/>
  <c r="L3864" i="14" s="1"/>
  <c r="I3865" i="14" s="1"/>
  <c r="M4031" i="13"/>
  <c r="J4028" i="13" a="1"/>
  <c r="J4028" i="13" s="1"/>
  <c r="N4029" i="13"/>
  <c r="M4032" i="14"/>
  <c r="N4028" i="14"/>
  <c r="J4027" i="14" a="1"/>
  <c r="J4027" i="14" s="1"/>
  <c r="K3865" i="14" l="1"/>
  <c r="L3865" i="14" s="1"/>
  <c r="I3866" i="14" s="1"/>
  <c r="K3843" i="13"/>
  <c r="L3843" i="13" s="1"/>
  <c r="I3844" i="13" s="1"/>
  <c r="N4030" i="13"/>
  <c r="J4029" i="13" a="1"/>
  <c r="J4029" i="13" s="1"/>
  <c r="N4029" i="14"/>
  <c r="J4028" i="14" a="1"/>
  <c r="J4028" i="14" s="1"/>
  <c r="M4033" i="14"/>
  <c r="M4032" i="13"/>
  <c r="K3844" i="13" l="1"/>
  <c r="L3844" i="13" s="1"/>
  <c r="I3845" i="13" s="1"/>
  <c r="K3866" i="14"/>
  <c r="L3866" i="14" s="1"/>
  <c r="I3867" i="14" s="1"/>
  <c r="J4029" i="14" a="1"/>
  <c r="J4029" i="14" s="1"/>
  <c r="N4030" i="14"/>
  <c r="M4033" i="13"/>
  <c r="M4034" i="14"/>
  <c r="N4031" i="13"/>
  <c r="J4030" i="13" a="1"/>
  <c r="J4030" i="13" s="1"/>
  <c r="K3867" i="14" l="1"/>
  <c r="L3867" i="14" s="1"/>
  <c r="I3868" i="14" s="1"/>
  <c r="K3845" i="13"/>
  <c r="L3845" i="13" s="1"/>
  <c r="I3846" i="13" s="1"/>
  <c r="M4034" i="13"/>
  <c r="N4032" i="13"/>
  <c r="J4031" i="13" a="1"/>
  <c r="J4031" i="13" s="1"/>
  <c r="N4031" i="14"/>
  <c r="J4030" i="14" a="1"/>
  <c r="J4030" i="14" s="1"/>
  <c r="M4035" i="14"/>
  <c r="K3846" i="13" l="1"/>
  <c r="L3846" i="13" s="1"/>
  <c r="I3847" i="13" s="1"/>
  <c r="K3868" i="14"/>
  <c r="L3868" i="14" s="1"/>
  <c r="I3869" i="14" s="1"/>
  <c r="J4032" i="13" a="1"/>
  <c r="J4032" i="13" s="1"/>
  <c r="N4033" i="13"/>
  <c r="M4035" i="13"/>
  <c r="M4036" i="14"/>
  <c r="J4031" i="14" a="1"/>
  <c r="J4031" i="14" s="1"/>
  <c r="N4032" i="14"/>
  <c r="K3869" i="14" l="1"/>
  <c r="L3869" i="14" s="1"/>
  <c r="I3870" i="14" s="1"/>
  <c r="K3847" i="13"/>
  <c r="L3847" i="13" s="1"/>
  <c r="I3848" i="13" s="1"/>
  <c r="M4036" i="13"/>
  <c r="N4034" i="13"/>
  <c r="J4033" i="13" a="1"/>
  <c r="J4033" i="13" s="1"/>
  <c r="N4033" i="14"/>
  <c r="J4032" i="14" a="1"/>
  <c r="J4032" i="14" s="1"/>
  <c r="M4037" i="14"/>
  <c r="K3848" i="13" l="1"/>
  <c r="L3848" i="13" s="1"/>
  <c r="I3849" i="13" s="1"/>
  <c r="K3870" i="14"/>
  <c r="L3870" i="14" s="1"/>
  <c r="I3871" i="14" s="1"/>
  <c r="N4035" i="13"/>
  <c r="J4034" i="13" a="1"/>
  <c r="J4034" i="13" s="1"/>
  <c r="M4037" i="13"/>
  <c r="M4038" i="14"/>
  <c r="J4033" i="14" a="1"/>
  <c r="J4033" i="14" s="1"/>
  <c r="N4034" i="14"/>
  <c r="K3871" i="14" l="1"/>
  <c r="L3871" i="14" s="1"/>
  <c r="I3872" i="14" s="1"/>
  <c r="K3849" i="13"/>
  <c r="L3849" i="13" s="1"/>
  <c r="I3850" i="13" s="1"/>
  <c r="J4034" i="14" a="1"/>
  <c r="J4034" i="14" s="1"/>
  <c r="N4035" i="14"/>
  <c r="M4038" i="13"/>
  <c r="M4039" i="14"/>
  <c r="N4036" i="13"/>
  <c r="J4035" i="13" a="1"/>
  <c r="J4035" i="13" s="1"/>
  <c r="K3850" i="13" l="1"/>
  <c r="L3850" i="13" s="1"/>
  <c r="I3851" i="13" s="1"/>
  <c r="K3872" i="14"/>
  <c r="L3872" i="14" s="1"/>
  <c r="I3873" i="14" s="1"/>
  <c r="M4039" i="13"/>
  <c r="J4036" i="13" a="1"/>
  <c r="J4036" i="13" s="1"/>
  <c r="N4037" i="13"/>
  <c r="N4036" i="14"/>
  <c r="J4035" i="14" a="1"/>
  <c r="J4035" i="14" s="1"/>
  <c r="M4040" i="14"/>
  <c r="K3873" i="14" l="1"/>
  <c r="L3873" i="14" s="1"/>
  <c r="I3874" i="14" s="1"/>
  <c r="K3851" i="13"/>
  <c r="L3851" i="13" s="1"/>
  <c r="I3852" i="13" s="1"/>
  <c r="N4038" i="13"/>
  <c r="J4037" i="13" a="1"/>
  <c r="J4037" i="13" s="1"/>
  <c r="M4041" i="14"/>
  <c r="N4037" i="14"/>
  <c r="J4036" i="14" a="1"/>
  <c r="J4036" i="14" s="1"/>
  <c r="M4040" i="13"/>
  <c r="K3852" i="13" l="1"/>
  <c r="L3852" i="13" s="1"/>
  <c r="I3853" i="13" s="1"/>
  <c r="K3874" i="14"/>
  <c r="L3874" i="14" s="1"/>
  <c r="I3875" i="14" s="1"/>
  <c r="M4041" i="13"/>
  <c r="M4042" i="14"/>
  <c r="J4037" i="14" a="1"/>
  <c r="J4037" i="14" s="1"/>
  <c r="N4038" i="14"/>
  <c r="N4039" i="13"/>
  <c r="J4038" i="13" a="1"/>
  <c r="J4038" i="13" s="1"/>
  <c r="K3875" i="14" l="1"/>
  <c r="L3875" i="14" s="1"/>
  <c r="I3876" i="14" s="1"/>
  <c r="K3853" i="13"/>
  <c r="L3853" i="13" s="1"/>
  <c r="I3854" i="13" s="1"/>
  <c r="M4043" i="14"/>
  <c r="N4040" i="13"/>
  <c r="J4039" i="13" a="1"/>
  <c r="J4039" i="13" s="1"/>
  <c r="N4039" i="14"/>
  <c r="J4038" i="14" a="1"/>
  <c r="J4038" i="14" s="1"/>
  <c r="M4042" i="13"/>
  <c r="K3854" i="13" l="1"/>
  <c r="L3854" i="13" s="1"/>
  <c r="I3855" i="13" s="1"/>
  <c r="K3876" i="14"/>
  <c r="L3876" i="14" s="1"/>
  <c r="I3877" i="14" s="1"/>
  <c r="J4040" i="13" a="1"/>
  <c r="J4040" i="13" s="1"/>
  <c r="N4041" i="13"/>
  <c r="M4043" i="13"/>
  <c r="N4040" i="14"/>
  <c r="J4039" i="14" a="1"/>
  <c r="J4039" i="14" s="1"/>
  <c r="M4044" i="14"/>
  <c r="K3877" i="14" l="1"/>
  <c r="L3877" i="14" s="1"/>
  <c r="I3878" i="14" s="1"/>
  <c r="K3855" i="13"/>
  <c r="L3855" i="13" s="1"/>
  <c r="I3856" i="13" s="1"/>
  <c r="M4045" i="14"/>
  <c r="M4044" i="13"/>
  <c r="N4042" i="13"/>
  <c r="J4041" i="13" a="1"/>
  <c r="J4041" i="13" s="1"/>
  <c r="J4040" i="14" a="1"/>
  <c r="J4040" i="14" s="1"/>
  <c r="N4041" i="14"/>
  <c r="K3856" i="13" l="1"/>
  <c r="L3856" i="13" s="1"/>
  <c r="I3857" i="13" s="1"/>
  <c r="K3878" i="14"/>
  <c r="L3878" i="14" s="1"/>
  <c r="I3879" i="14" s="1"/>
  <c r="J4041" i="14" a="1"/>
  <c r="J4041" i="14" s="1"/>
  <c r="N4042" i="14"/>
  <c r="M4045" i="13"/>
  <c r="M4046" i="14"/>
  <c r="N4043" i="13"/>
  <c r="J4042" i="13" a="1"/>
  <c r="J4042" i="13" s="1"/>
  <c r="K3879" i="14" l="1"/>
  <c r="L3879" i="14" s="1"/>
  <c r="I3880" i="14" s="1"/>
  <c r="K3857" i="13"/>
  <c r="L3857" i="13" s="1"/>
  <c r="I3858" i="13" s="1"/>
  <c r="M4046" i="13"/>
  <c r="N4044" i="13"/>
  <c r="J4043" i="13" a="1"/>
  <c r="J4043" i="13" s="1"/>
  <c r="J4042" i="14" a="1"/>
  <c r="J4042" i="14" s="1"/>
  <c r="N4043" i="14"/>
  <c r="M4047" i="14"/>
  <c r="K3858" i="13" l="1"/>
  <c r="L3858" i="13" s="1"/>
  <c r="I3859" i="13" s="1"/>
  <c r="K3880" i="14"/>
  <c r="L3880" i="14" s="1"/>
  <c r="I3881" i="14" s="1"/>
  <c r="J4044" i="13" a="1"/>
  <c r="J4044" i="13" s="1"/>
  <c r="N4045" i="13"/>
  <c r="N4044" i="14"/>
  <c r="J4043" i="14" a="1"/>
  <c r="J4043" i="14" s="1"/>
  <c r="M4047" i="13"/>
  <c r="M4048" i="14"/>
  <c r="K3881" i="14" l="1"/>
  <c r="L3881" i="14" s="1"/>
  <c r="I3882" i="14" s="1"/>
  <c r="K3859" i="13"/>
  <c r="L3859" i="13" s="1"/>
  <c r="I3860" i="13" s="1"/>
  <c r="J4044" i="14" a="1"/>
  <c r="J4044" i="14" s="1"/>
  <c r="N4045" i="14"/>
  <c r="N4046" i="13"/>
  <c r="J4045" i="13" a="1"/>
  <c r="J4045" i="13" s="1"/>
  <c r="M4049" i="14"/>
  <c r="M4048" i="13"/>
  <c r="K3860" i="13" l="1"/>
  <c r="L3860" i="13" s="1"/>
  <c r="I3861" i="13" s="1"/>
  <c r="K3882" i="14"/>
  <c r="L3882" i="14" s="1"/>
  <c r="I3883" i="14" s="1"/>
  <c r="N4047" i="13"/>
  <c r="J4046" i="13" a="1"/>
  <c r="J4046" i="13" s="1"/>
  <c r="M4049" i="13"/>
  <c r="J4045" i="14" a="1"/>
  <c r="J4045" i="14" s="1"/>
  <c r="N4046" i="14"/>
  <c r="M4050" i="14"/>
  <c r="K3883" i="14" l="1"/>
  <c r="L3883" i="14" s="1"/>
  <c r="I3884" i="14" s="1"/>
  <c r="K3861" i="13"/>
  <c r="L3861" i="13" s="1"/>
  <c r="I3862" i="13" s="1"/>
  <c r="N4047" i="14"/>
  <c r="J4046" i="14" a="1"/>
  <c r="J4046" i="14" s="1"/>
  <c r="M4051" i="14"/>
  <c r="M4050" i="13"/>
  <c r="N4048" i="13"/>
  <c r="J4047" i="13" a="1"/>
  <c r="J4047" i="13" s="1"/>
  <c r="K3862" i="13" l="1"/>
  <c r="L3862" i="13" s="1"/>
  <c r="I3863" i="13" s="1"/>
  <c r="K3884" i="14"/>
  <c r="L3884" i="14" s="1"/>
  <c r="I3885" i="14" s="1"/>
  <c r="J4048" i="13" a="1"/>
  <c r="J4048" i="13" s="1"/>
  <c r="N4049" i="13"/>
  <c r="M4052" i="14"/>
  <c r="M4051" i="13"/>
  <c r="N4048" i="14"/>
  <c r="J4047" i="14" a="1"/>
  <c r="J4047" i="14" s="1"/>
  <c r="K3885" i="14" l="1"/>
  <c r="L3885" i="14" s="1"/>
  <c r="I3886" i="14" s="1"/>
  <c r="K3863" i="13"/>
  <c r="L3863" i="13" s="1"/>
  <c r="I3864" i="13" s="1"/>
  <c r="J4048" i="14" a="1"/>
  <c r="J4048" i="14" s="1"/>
  <c r="N4049" i="14"/>
  <c r="M4053" i="14"/>
  <c r="N4050" i="13"/>
  <c r="J4049" i="13" a="1"/>
  <c r="J4049" i="13" s="1"/>
  <c r="M4052" i="13"/>
  <c r="K3864" i="13" l="1"/>
  <c r="L3864" i="13" s="1"/>
  <c r="I3865" i="13" s="1"/>
  <c r="K3886" i="14"/>
  <c r="L3886" i="14" s="1"/>
  <c r="I3887" i="14" s="1"/>
  <c r="M4053" i="13"/>
  <c r="M4054" i="14"/>
  <c r="J4049" i="14" a="1"/>
  <c r="J4049" i="14" s="1"/>
  <c r="N4050" i="14"/>
  <c r="N4051" i="13"/>
  <c r="J4050" i="13" a="1"/>
  <c r="J4050" i="13" s="1"/>
  <c r="K3887" i="14" l="1"/>
  <c r="L3887" i="14" s="1"/>
  <c r="I3888" i="14" s="1"/>
  <c r="K3865" i="13"/>
  <c r="L3865" i="13" s="1"/>
  <c r="I3866" i="13" s="1"/>
  <c r="M4055" i="14"/>
  <c r="N4052" i="13"/>
  <c r="J4051" i="13" a="1"/>
  <c r="J4051" i="13" s="1"/>
  <c r="N4051" i="14"/>
  <c r="J4050" i="14" a="1"/>
  <c r="J4050" i="14" s="1"/>
  <c r="M4054" i="13"/>
  <c r="K3866" i="13" l="1"/>
  <c r="L3866" i="13" s="1"/>
  <c r="I3867" i="13" s="1"/>
  <c r="K3888" i="14"/>
  <c r="L3888" i="14" s="1"/>
  <c r="I3889" i="14" s="1"/>
  <c r="J4052" i="13" a="1"/>
  <c r="J4052" i="13" s="1"/>
  <c r="N4053" i="13"/>
  <c r="M4055" i="13"/>
  <c r="N4052" i="14"/>
  <c r="J4051" i="14" a="1"/>
  <c r="J4051" i="14" s="1"/>
  <c r="M4056" i="14"/>
  <c r="K3889" i="14" l="1"/>
  <c r="L3889" i="14" s="1"/>
  <c r="I3890" i="14" s="1"/>
  <c r="K3867" i="13"/>
  <c r="L3867" i="13" s="1"/>
  <c r="I3868" i="13" s="1"/>
  <c r="J4052" i="14" a="1"/>
  <c r="J4052" i="14" s="1"/>
  <c r="N4053" i="14"/>
  <c r="M4057" i="14"/>
  <c r="M4056" i="13"/>
  <c r="N4054" i="13"/>
  <c r="J4053" i="13" a="1"/>
  <c r="J4053" i="13" s="1"/>
  <c r="K3868" i="13" l="1"/>
  <c r="L3868" i="13" s="1"/>
  <c r="I3869" i="13" s="1"/>
  <c r="K3890" i="14"/>
  <c r="L3890" i="14" s="1"/>
  <c r="I3891" i="14" s="1"/>
  <c r="N4055" i="13"/>
  <c r="J4054" i="13" a="1"/>
  <c r="J4054" i="13" s="1"/>
  <c r="M4058" i="14"/>
  <c r="M4057" i="13"/>
  <c r="J4053" i="14" a="1"/>
  <c r="J4053" i="14" s="1"/>
  <c r="N4054" i="14"/>
  <c r="K3891" i="14" l="1"/>
  <c r="L3891" i="14" s="1"/>
  <c r="I3892" i="14" s="1"/>
  <c r="K3869" i="13"/>
  <c r="L3869" i="13" s="1"/>
  <c r="I3870" i="13" s="1"/>
  <c r="M4059" i="14"/>
  <c r="N4055" i="14"/>
  <c r="J4054" i="14" a="1"/>
  <c r="J4054" i="14" s="1"/>
  <c r="M4058" i="13"/>
  <c r="N4056" i="13"/>
  <c r="J4055" i="13" a="1"/>
  <c r="J4055" i="13" s="1"/>
  <c r="K3892" i="14" l="1"/>
  <c r="L3892" i="14" s="1"/>
  <c r="I3893" i="14" s="1"/>
  <c r="K3870" i="13"/>
  <c r="L3870" i="13" s="1"/>
  <c r="I3871" i="13" s="1"/>
  <c r="J4056" i="13" a="1"/>
  <c r="J4056" i="13" s="1"/>
  <c r="N4057" i="13"/>
  <c r="M4059" i="13"/>
  <c r="N4056" i="14"/>
  <c r="J4055" i="14" a="1"/>
  <c r="J4055" i="14" s="1"/>
  <c r="M4060" i="14"/>
  <c r="K3871" i="13" l="1"/>
  <c r="L3871" i="13" s="1"/>
  <c r="I3872" i="13" s="1"/>
  <c r="K3893" i="14"/>
  <c r="L3893" i="14" s="1"/>
  <c r="I3894" i="14" s="1"/>
  <c r="J4056" i="14" a="1"/>
  <c r="J4056" i="14" s="1"/>
  <c r="N4057" i="14"/>
  <c r="N4058" i="13"/>
  <c r="J4057" i="13" a="1"/>
  <c r="J4057" i="13" s="1"/>
  <c r="M4061" i="14"/>
  <c r="M4060" i="13"/>
  <c r="K3894" i="14" l="1"/>
  <c r="L3894" i="14" s="1"/>
  <c r="I3895" i="14" s="1"/>
  <c r="K3872" i="13"/>
  <c r="L3872" i="13" s="1"/>
  <c r="I3873" i="13" s="1"/>
  <c r="N4059" i="13"/>
  <c r="J4058" i="13" a="1"/>
  <c r="J4058" i="13" s="1"/>
  <c r="J4057" i="14" a="1"/>
  <c r="J4057" i="14" s="1"/>
  <c r="N4058" i="14"/>
  <c r="M4061" i="13"/>
  <c r="M4062" i="14"/>
  <c r="K3873" i="13" l="1"/>
  <c r="L3873" i="13" s="1"/>
  <c r="I3874" i="13" s="1"/>
  <c r="K3895" i="14"/>
  <c r="L3895" i="14" s="1"/>
  <c r="I3896" i="14" s="1"/>
  <c r="M4063" i="14"/>
  <c r="J4058" i="14" a="1"/>
  <c r="J4058" i="14" s="1"/>
  <c r="N4059" i="14"/>
  <c r="M4062" i="13"/>
  <c r="N4060" i="13"/>
  <c r="J4059" i="13" a="1"/>
  <c r="J4059" i="13" s="1"/>
  <c r="K3896" i="14" l="1"/>
  <c r="L3896" i="14" s="1"/>
  <c r="I3897" i="14" s="1"/>
  <c r="K3874" i="13"/>
  <c r="L3874" i="13" s="1"/>
  <c r="I3875" i="13" s="1"/>
  <c r="N4060" i="14"/>
  <c r="J4059" i="14" a="1"/>
  <c r="J4059" i="14" s="1"/>
  <c r="M4063" i="13"/>
  <c r="J4060" i="13" a="1"/>
  <c r="J4060" i="13" s="1"/>
  <c r="N4061" i="13"/>
  <c r="M4064" i="14"/>
  <c r="K3875" i="13" l="1"/>
  <c r="L3875" i="13" s="1"/>
  <c r="I3876" i="13" s="1"/>
  <c r="K3897" i="14"/>
  <c r="L3897" i="14" s="1"/>
  <c r="I3898" i="14" s="1"/>
  <c r="N4062" i="13"/>
  <c r="J4061" i="13" a="1"/>
  <c r="J4061" i="13" s="1"/>
  <c r="M4065" i="14"/>
  <c r="M4064" i="13"/>
  <c r="J4060" i="14" a="1"/>
  <c r="J4060" i="14" s="1"/>
  <c r="N4061" i="14"/>
  <c r="K3898" i="14" l="1"/>
  <c r="L3898" i="14" s="1"/>
  <c r="I3899" i="14" s="1"/>
  <c r="K3876" i="13"/>
  <c r="L3876" i="13" s="1"/>
  <c r="I3877" i="13" s="1"/>
  <c r="J4061" i="14" a="1"/>
  <c r="J4061" i="14" s="1"/>
  <c r="N4062" i="14"/>
  <c r="M4066" i="14"/>
  <c r="M4065" i="13"/>
  <c r="N4063" i="13"/>
  <c r="J4062" i="13" a="1"/>
  <c r="J4062" i="13" s="1"/>
  <c r="K3877" i="13" l="1"/>
  <c r="L3877" i="13" s="1"/>
  <c r="I3878" i="13" s="1"/>
  <c r="K3899" i="14"/>
  <c r="L3899" i="14" s="1"/>
  <c r="I3900" i="14" s="1"/>
  <c r="M4067" i="14"/>
  <c r="N4064" i="13"/>
  <c r="J4063" i="13" a="1"/>
  <c r="J4063" i="13" s="1"/>
  <c r="N4063" i="14"/>
  <c r="J4062" i="14" a="1"/>
  <c r="J4062" i="14" s="1"/>
  <c r="M4066" i="13"/>
  <c r="K3900" i="14" l="1"/>
  <c r="L3900" i="14" s="1"/>
  <c r="I3901" i="14" s="1"/>
  <c r="K3878" i="13"/>
  <c r="L3878" i="13" s="1"/>
  <c r="I3879" i="13" s="1"/>
  <c r="J4064" i="13" a="1"/>
  <c r="J4064" i="13" s="1"/>
  <c r="N4065" i="13"/>
  <c r="M4067" i="13"/>
  <c r="N4064" i="14"/>
  <c r="J4063" i="14" a="1"/>
  <c r="J4063" i="14" s="1"/>
  <c r="M4068" i="14"/>
  <c r="K3879" i="13" l="1"/>
  <c r="L3879" i="13" s="1"/>
  <c r="I3880" i="13" s="1"/>
  <c r="K3901" i="14"/>
  <c r="L3901" i="14" s="1"/>
  <c r="I3902" i="14" s="1"/>
  <c r="J4064" i="14" a="1"/>
  <c r="J4064" i="14" s="1"/>
  <c r="N4065" i="14"/>
  <c r="M4069" i="14"/>
  <c r="M4068" i="13"/>
  <c r="N4066" i="13"/>
  <c r="J4065" i="13" a="1"/>
  <c r="J4065" i="13" s="1"/>
  <c r="K3902" i="14" l="1"/>
  <c r="L3902" i="14" s="1"/>
  <c r="I3903" i="14" s="1"/>
  <c r="K3880" i="13"/>
  <c r="L3880" i="13" s="1"/>
  <c r="I3881" i="13" s="1"/>
  <c r="M4070" i="14"/>
  <c r="N4067" i="13"/>
  <c r="J4066" i="13" a="1"/>
  <c r="J4066" i="13" s="1"/>
  <c r="J4065" i="14" a="1"/>
  <c r="J4065" i="14" s="1"/>
  <c r="N4066" i="14"/>
  <c r="M4069" i="13"/>
  <c r="K3881" i="13" l="1"/>
  <c r="L3881" i="13" s="1"/>
  <c r="I3882" i="13" s="1"/>
  <c r="K3903" i="14"/>
  <c r="L3903" i="14" s="1"/>
  <c r="I3904" i="14" s="1"/>
  <c r="M4070" i="13"/>
  <c r="N4068" i="13"/>
  <c r="J4067" i="13" a="1"/>
  <c r="J4067" i="13" s="1"/>
  <c r="N4067" i="14"/>
  <c r="J4066" i="14" a="1"/>
  <c r="J4066" i="14" s="1"/>
  <c r="M4071" i="14"/>
  <c r="K3904" i="14" l="1"/>
  <c r="L3904" i="14" s="1"/>
  <c r="I3905" i="14" s="1"/>
  <c r="K3882" i="13"/>
  <c r="L3882" i="13" s="1"/>
  <c r="I3883" i="13" s="1"/>
  <c r="M4072" i="14"/>
  <c r="J4068" i="13" a="1"/>
  <c r="J4068" i="13" s="1"/>
  <c r="N4069" i="13"/>
  <c r="M4071" i="13"/>
  <c r="N4068" i="14"/>
  <c r="J4067" i="14" a="1"/>
  <c r="J4067" i="14" s="1"/>
  <c r="K3883" i="13" l="1"/>
  <c r="L3883" i="13" s="1"/>
  <c r="I3884" i="13" s="1"/>
  <c r="K3905" i="14"/>
  <c r="L3905" i="14" s="1"/>
  <c r="I3906" i="14" s="1"/>
  <c r="N4070" i="13"/>
  <c r="J4069" i="13" a="1"/>
  <c r="J4069" i="13" s="1"/>
  <c r="J4068" i="14" a="1"/>
  <c r="J4068" i="14" s="1"/>
  <c r="N4069" i="14"/>
  <c r="M4072" i="13"/>
  <c r="M4073" i="14"/>
  <c r="K3906" i="14" l="1"/>
  <c r="L3906" i="14" s="1"/>
  <c r="I3907" i="14" s="1"/>
  <c r="K3884" i="13"/>
  <c r="L3884" i="13" s="1"/>
  <c r="I3885" i="13" s="1"/>
  <c r="J4069" i="14" a="1"/>
  <c r="J4069" i="14" s="1"/>
  <c r="N4070" i="14"/>
  <c r="M4074" i="14"/>
  <c r="M4073" i="13"/>
  <c r="N4071" i="13"/>
  <c r="J4070" i="13" a="1"/>
  <c r="J4070" i="13" s="1"/>
  <c r="K3885" i="13" l="1"/>
  <c r="L3885" i="13" s="1"/>
  <c r="I3886" i="13" s="1"/>
  <c r="K3907" i="14"/>
  <c r="L3907" i="14" s="1"/>
  <c r="I3908" i="14" s="1"/>
  <c r="M4075" i="14"/>
  <c r="N4072" i="13"/>
  <c r="J4071" i="13" a="1"/>
  <c r="J4071" i="13" s="1"/>
  <c r="N4071" i="14"/>
  <c r="J4070" i="14" a="1"/>
  <c r="J4070" i="14" s="1"/>
  <c r="M4074" i="13"/>
  <c r="K3908" i="14" l="1"/>
  <c r="L3908" i="14" s="1"/>
  <c r="I3909" i="14" s="1"/>
  <c r="K3886" i="13"/>
  <c r="L3886" i="13" s="1"/>
  <c r="I3887" i="13" s="1"/>
  <c r="M4075" i="13"/>
  <c r="J4072" i="13" a="1"/>
  <c r="J4072" i="13" s="1"/>
  <c r="N4073" i="13"/>
  <c r="N4072" i="14"/>
  <c r="J4071" i="14" a="1"/>
  <c r="J4071" i="14" s="1"/>
  <c r="M4076" i="14"/>
  <c r="K3887" i="13" l="1"/>
  <c r="L3887" i="13" s="1"/>
  <c r="I3888" i="13" s="1"/>
  <c r="K3909" i="14"/>
  <c r="L3909" i="14" s="1"/>
  <c r="I3910" i="14" s="1"/>
  <c r="M4077" i="14"/>
  <c r="N4074" i="13"/>
  <c r="J4073" i="13" a="1"/>
  <c r="J4073" i="13" s="1"/>
  <c r="J4072" i="14" a="1"/>
  <c r="J4072" i="14" s="1"/>
  <c r="N4073" i="14"/>
  <c r="M4076" i="13"/>
  <c r="K3910" i="14" l="1"/>
  <c r="L3910" i="14" s="1"/>
  <c r="I3911" i="14" s="1"/>
  <c r="M4077" i="13"/>
  <c r="N4075" i="13"/>
  <c r="J4074" i="13" a="1"/>
  <c r="J4074" i="13" s="1"/>
  <c r="J4073" i="14" a="1"/>
  <c r="J4073" i="14" s="1"/>
  <c r="N4074" i="14"/>
  <c r="M4078" i="14"/>
  <c r="K3888" i="13"/>
  <c r="L3888" i="13" s="1"/>
  <c r="I3889" i="13" s="1"/>
  <c r="K3889" i="13" l="1"/>
  <c r="L3889" i="13" s="1"/>
  <c r="I3890" i="13" s="1"/>
  <c r="K3911" i="14"/>
  <c r="L3911" i="14" s="1"/>
  <c r="I3912" i="14" s="1"/>
  <c r="M4079" i="14"/>
  <c r="J4074" i="14" a="1"/>
  <c r="J4074" i="14" s="1"/>
  <c r="N4075" i="14"/>
  <c r="M4078" i="13"/>
  <c r="N4076" i="13"/>
  <c r="J4075" i="13" a="1"/>
  <c r="J4075" i="13" s="1"/>
  <c r="K3912" i="14" l="1"/>
  <c r="L3912" i="14" s="1"/>
  <c r="I3913" i="14" s="1"/>
  <c r="K3890" i="13"/>
  <c r="L3890" i="13" s="1"/>
  <c r="I3891" i="13" s="1"/>
  <c r="N4076" i="14"/>
  <c r="J4075" i="14" a="1"/>
  <c r="J4075" i="14" s="1"/>
  <c r="J4076" i="13" a="1"/>
  <c r="J4076" i="13" s="1"/>
  <c r="N4077" i="13"/>
  <c r="M4079" i="13"/>
  <c r="M4080" i="14"/>
  <c r="K3891" i="13" l="1"/>
  <c r="L3891" i="13" s="1"/>
  <c r="I3892" i="13" s="1"/>
  <c r="K3913" i="14"/>
  <c r="L3913" i="14" s="1"/>
  <c r="I3914" i="14" s="1"/>
  <c r="M4081" i="14"/>
  <c r="N4078" i="13"/>
  <c r="J4077" i="13" a="1"/>
  <c r="J4077" i="13" s="1"/>
  <c r="M4080" i="13"/>
  <c r="J4076" i="14" a="1"/>
  <c r="J4076" i="14" s="1"/>
  <c r="N4077" i="14"/>
  <c r="K3914" i="14" l="1"/>
  <c r="L3914" i="14" s="1"/>
  <c r="I3915" i="14" s="1"/>
  <c r="K3892" i="13"/>
  <c r="L3892" i="13" s="1"/>
  <c r="I3893" i="13" s="1"/>
  <c r="J4077" i="14" a="1"/>
  <c r="J4077" i="14" s="1"/>
  <c r="N4078" i="14"/>
  <c r="N4079" i="13"/>
  <c r="J4078" i="13" a="1"/>
  <c r="J4078" i="13" s="1"/>
  <c r="M4081" i="13"/>
  <c r="M4082" i="14"/>
  <c r="K3893" i="13" l="1"/>
  <c r="L3893" i="13" s="1"/>
  <c r="I3894" i="13" s="1"/>
  <c r="K3915" i="14"/>
  <c r="L3915" i="14" s="1"/>
  <c r="I3916" i="14" s="1"/>
  <c r="N4080" i="13"/>
  <c r="J4079" i="13" a="1"/>
  <c r="J4079" i="13" s="1"/>
  <c r="N4079" i="14"/>
  <c r="J4078" i="14" a="1"/>
  <c r="J4078" i="14" s="1"/>
  <c r="M4083" i="14"/>
  <c r="M4082" i="13"/>
  <c r="K3916" i="14" l="1"/>
  <c r="L3916" i="14" s="1"/>
  <c r="I3917" i="14" s="1"/>
  <c r="N4080" i="14"/>
  <c r="J4079" i="14" a="1"/>
  <c r="J4079" i="14" s="1"/>
  <c r="M4083" i="13"/>
  <c r="M4084" i="14"/>
  <c r="J4080" i="13" a="1"/>
  <c r="J4080" i="13" s="1"/>
  <c r="N4081" i="13"/>
  <c r="K3894" i="13"/>
  <c r="L3894" i="13" s="1"/>
  <c r="I3895" i="13" s="1"/>
  <c r="K3917" i="14" l="1"/>
  <c r="L3917" i="14" s="1"/>
  <c r="I3918" i="14" s="1"/>
  <c r="K3895" i="13"/>
  <c r="L3895" i="13" s="1"/>
  <c r="I3896" i="13" s="1"/>
  <c r="M4085" i="14"/>
  <c r="J4080" i="14" a="1"/>
  <c r="J4080" i="14" s="1"/>
  <c r="N4081" i="14"/>
  <c r="N4082" i="13"/>
  <c r="J4081" i="13" a="1"/>
  <c r="J4081" i="13" s="1"/>
  <c r="M4084" i="13"/>
  <c r="K3918" i="14" l="1"/>
  <c r="L3918" i="14" s="1"/>
  <c r="I3919" i="14" s="1"/>
  <c r="M4085" i="13"/>
  <c r="J4081" i="14" a="1"/>
  <c r="J4081" i="14" s="1"/>
  <c r="N4082" i="14"/>
  <c r="K3896" i="13"/>
  <c r="L3896" i="13" s="1"/>
  <c r="I3897" i="13" s="1"/>
  <c r="M4086" i="14"/>
  <c r="N4083" i="13"/>
  <c r="J4082" i="13" a="1"/>
  <c r="J4082" i="13" s="1"/>
  <c r="K3919" i="14" l="1"/>
  <c r="L3919" i="14" s="1"/>
  <c r="I3920" i="14" s="1"/>
  <c r="M4086" i="13"/>
  <c r="N4084" i="13"/>
  <c r="J4083" i="13" a="1"/>
  <c r="J4083" i="13" s="1"/>
  <c r="K3897" i="13"/>
  <c r="L3897" i="13" s="1"/>
  <c r="I3898" i="13" s="1"/>
  <c r="M4087" i="14"/>
  <c r="N4083" i="14"/>
  <c r="J4082" i="14" a="1"/>
  <c r="J4082" i="14" s="1"/>
  <c r="K3920" i="14" l="1"/>
  <c r="L3920" i="14" s="1"/>
  <c r="I3921" i="14" s="1"/>
  <c r="M4087" i="13"/>
  <c r="K3898" i="13"/>
  <c r="L3898" i="13" s="1"/>
  <c r="I3899" i="13" s="1"/>
  <c r="N4084" i="14"/>
  <c r="J4083" i="14" a="1"/>
  <c r="J4083" i="14" s="1"/>
  <c r="M4088" i="14"/>
  <c r="J4084" i="13" a="1"/>
  <c r="J4084" i="13" s="1"/>
  <c r="N4085" i="13"/>
  <c r="K3899" i="13" l="1"/>
  <c r="L3899" i="13" s="1"/>
  <c r="I3900" i="13" s="1"/>
  <c r="K3921" i="14"/>
  <c r="L3921" i="14" s="1"/>
  <c r="I3922" i="14" s="1"/>
  <c r="N4086" i="13"/>
  <c r="J4085" i="13" a="1"/>
  <c r="J4085" i="13" s="1"/>
  <c r="J4084" i="14" a="1"/>
  <c r="J4084" i="14" s="1"/>
  <c r="N4085" i="14"/>
  <c r="M4088" i="13"/>
  <c r="M4089" i="14"/>
  <c r="M4090" i="14" l="1"/>
  <c r="M4089" i="13"/>
  <c r="J4085" i="14" a="1"/>
  <c r="J4085" i="14" s="1"/>
  <c r="N4086" i="14"/>
  <c r="K3922" i="14"/>
  <c r="L3922" i="14" s="1"/>
  <c r="I3923" i="14" s="1"/>
  <c r="N4087" i="13"/>
  <c r="J4086" i="13" a="1"/>
  <c r="J4086" i="13" s="1"/>
  <c r="K3900" i="13"/>
  <c r="L3900" i="13" s="1"/>
  <c r="I3901" i="13" s="1"/>
  <c r="K3901" i="13" l="1"/>
  <c r="L3901" i="13" s="1"/>
  <c r="I3902" i="13" s="1"/>
  <c r="K3923" i="14"/>
  <c r="L3923" i="14" s="1"/>
  <c r="I3924" i="14" s="1"/>
  <c r="M4090" i="13"/>
  <c r="N4087" i="14"/>
  <c r="J4086" i="14" a="1"/>
  <c r="J4086" i="14" s="1"/>
  <c r="M4091" i="14"/>
  <c r="N4088" i="13"/>
  <c r="J4087" i="13" a="1"/>
  <c r="J4087" i="13" s="1"/>
  <c r="K3924" i="14" l="1"/>
  <c r="L3924" i="14" s="1"/>
  <c r="I3925" i="14" s="1"/>
  <c r="K3902" i="13"/>
  <c r="L3902" i="13" s="1"/>
  <c r="I3903" i="13" s="1"/>
  <c r="J4088" i="13" a="1"/>
  <c r="J4088" i="13" s="1"/>
  <c r="N4089" i="13"/>
  <c r="N4088" i="14"/>
  <c r="J4087" i="14" a="1"/>
  <c r="J4087" i="14" s="1"/>
  <c r="M4091" i="13"/>
  <c r="M4092" i="14"/>
  <c r="K3903" i="13" l="1"/>
  <c r="L3903" i="13" s="1"/>
  <c r="I3904" i="13" s="1"/>
  <c r="K3925" i="14"/>
  <c r="L3925" i="14" s="1"/>
  <c r="I3926" i="14" s="1"/>
  <c r="J4088" i="14" a="1"/>
  <c r="J4088" i="14" s="1"/>
  <c r="N4089" i="14"/>
  <c r="M4093" i="14"/>
  <c r="N4090" i="13"/>
  <c r="J4089" i="13" a="1"/>
  <c r="J4089" i="13" s="1"/>
  <c r="M4092" i="13"/>
  <c r="K3904" i="13" l="1"/>
  <c r="L3904" i="13" s="1"/>
  <c r="I3905" i="13" s="1"/>
  <c r="N4091" i="13"/>
  <c r="J4090" i="13" a="1"/>
  <c r="J4090" i="13" s="1"/>
  <c r="M4094" i="14"/>
  <c r="M4093" i="13"/>
  <c r="K3926" i="14"/>
  <c r="L3926" i="14" s="1"/>
  <c r="I3927" i="14" s="1"/>
  <c r="J4089" i="14" a="1"/>
  <c r="J4089" i="14" s="1"/>
  <c r="N4090" i="14"/>
  <c r="K3905" i="13" l="1"/>
  <c r="L3905" i="13" s="1"/>
  <c r="I3906" i="13" s="1"/>
  <c r="J4090" i="14" a="1"/>
  <c r="J4090" i="14" s="1"/>
  <c r="N4091" i="14"/>
  <c r="M4094" i="13"/>
  <c r="N4092" i="13"/>
  <c r="J4091" i="13" a="1"/>
  <c r="J4091" i="13" s="1"/>
  <c r="M4095" i="14"/>
  <c r="K3927" i="14"/>
  <c r="L3927" i="14" s="1"/>
  <c r="I3928" i="14" s="1"/>
  <c r="K3928" i="14" l="1"/>
  <c r="L3928" i="14" s="1"/>
  <c r="I3929" i="14" s="1"/>
  <c r="K3906" i="13"/>
  <c r="L3906" i="13" s="1"/>
  <c r="I3907" i="13" s="1"/>
  <c r="J4092" i="13" a="1"/>
  <c r="J4092" i="13" s="1"/>
  <c r="N4093" i="13"/>
  <c r="M4095" i="13"/>
  <c r="N4092" i="14"/>
  <c r="J4091" i="14" a="1"/>
  <c r="J4091" i="14" s="1"/>
  <c r="M4096" i="14"/>
  <c r="K3929" i="14" l="1"/>
  <c r="L3929" i="14" s="1"/>
  <c r="I3930" i="14" s="1"/>
  <c r="K3907" i="13"/>
  <c r="L3907" i="13" s="1"/>
  <c r="I3908" i="13" s="1"/>
  <c r="N4094" i="13"/>
  <c r="J4093" i="13" a="1"/>
  <c r="J4093" i="13" s="1"/>
  <c r="J4092" i="14" a="1"/>
  <c r="J4092" i="14" s="1"/>
  <c r="N4093" i="14"/>
  <c r="M4097" i="14"/>
  <c r="M4096" i="13"/>
  <c r="K3930" i="14" l="1"/>
  <c r="L3930" i="14" s="1"/>
  <c r="I3931" i="14" s="1"/>
  <c r="M4097" i="13"/>
  <c r="J4093" i="14" a="1"/>
  <c r="J4093" i="14" s="1"/>
  <c r="N4094" i="14"/>
  <c r="K3908" i="13"/>
  <c r="L3908" i="13" s="1"/>
  <c r="I3909" i="13" s="1"/>
  <c r="M4098" i="14"/>
  <c r="N4095" i="13"/>
  <c r="J4094" i="13" a="1"/>
  <c r="J4094" i="13" s="1"/>
  <c r="K3931" i="14" l="1"/>
  <c r="L3931" i="14" s="1"/>
  <c r="I3932" i="14" s="1"/>
  <c r="N4095" i="14"/>
  <c r="J4094" i="14" a="1"/>
  <c r="J4094" i="14" s="1"/>
  <c r="M4098" i="13"/>
  <c r="K3909" i="13"/>
  <c r="L3909" i="13" s="1"/>
  <c r="I3910" i="13" s="1"/>
  <c r="M4099" i="14"/>
  <c r="N4096" i="13"/>
  <c r="J4095" i="13" a="1"/>
  <c r="J4095" i="13" s="1"/>
  <c r="K3910" i="13" l="1"/>
  <c r="L3910" i="13" s="1"/>
  <c r="I3911" i="13" s="1"/>
  <c r="K3932" i="14"/>
  <c r="L3932" i="14" s="1"/>
  <c r="I3933" i="14" s="1"/>
  <c r="J4096" i="13" a="1"/>
  <c r="J4096" i="13" s="1"/>
  <c r="N4097" i="13"/>
  <c r="N4096" i="14"/>
  <c r="J4095" i="14" a="1"/>
  <c r="J4095" i="14" s="1"/>
  <c r="M4099" i="13"/>
  <c r="M4100" i="14"/>
  <c r="M4100" i="13" l="1"/>
  <c r="J4096" i="14" a="1"/>
  <c r="J4096" i="14" s="1"/>
  <c r="N4097" i="14"/>
  <c r="K3933" i="14"/>
  <c r="L3933" i="14" s="1"/>
  <c r="I3934" i="14" s="1"/>
  <c r="M4101" i="14"/>
  <c r="N4098" i="13"/>
  <c r="J4097" i="13" a="1"/>
  <c r="J4097" i="13" s="1"/>
  <c r="K3911" i="13"/>
  <c r="L3911" i="13" s="1"/>
  <c r="I3912" i="13" s="1"/>
  <c r="K3912" i="13" l="1"/>
  <c r="L3912" i="13" s="1"/>
  <c r="I3913" i="13" s="1"/>
  <c r="M4102" i="14"/>
  <c r="J4097" i="14" a="1"/>
  <c r="J4097" i="14" s="1"/>
  <c r="N4098" i="14"/>
  <c r="M4101" i="13"/>
  <c r="N4099" i="13"/>
  <c r="J4098" i="13" a="1"/>
  <c r="J4098" i="13" s="1"/>
  <c r="K3934" i="14"/>
  <c r="L3934" i="14" s="1"/>
  <c r="I3935" i="14" s="1"/>
  <c r="K3913" i="13" l="1"/>
  <c r="L3913" i="13" s="1"/>
  <c r="I3914" i="13" s="1"/>
  <c r="K3935" i="14"/>
  <c r="L3935" i="14" s="1"/>
  <c r="I3936" i="14" s="1"/>
  <c r="N4100" i="13"/>
  <c r="J4099" i="13" a="1"/>
  <c r="J4099" i="13" s="1"/>
  <c r="M4102" i="13"/>
  <c r="M4103" i="14"/>
  <c r="N4099" i="14"/>
  <c r="J4098" i="14" a="1"/>
  <c r="J4098" i="14" s="1"/>
  <c r="K3914" i="13" l="1"/>
  <c r="L3914" i="13" s="1"/>
  <c r="I3915" i="13" s="1"/>
  <c r="M4103" i="13"/>
  <c r="N4100" i="14"/>
  <c r="J4099" i="14" a="1"/>
  <c r="J4099" i="14" s="1"/>
  <c r="K3936" i="14"/>
  <c r="L3936" i="14" s="1"/>
  <c r="I3937" i="14" s="1"/>
  <c r="M4104" i="14"/>
  <c r="J4100" i="13" a="1"/>
  <c r="J4100" i="13" s="1"/>
  <c r="N4101" i="13"/>
  <c r="K3915" i="13" l="1"/>
  <c r="L3915" i="13" s="1"/>
  <c r="I3916" i="13" s="1"/>
  <c r="K3937" i="14"/>
  <c r="L3937" i="14" s="1"/>
  <c r="I3938" i="14" s="1"/>
  <c r="N4102" i="13"/>
  <c r="J4101" i="13" a="1"/>
  <c r="J4101" i="13" s="1"/>
  <c r="M4104" i="13"/>
  <c r="M4105" i="14"/>
  <c r="J4100" i="14" a="1"/>
  <c r="J4100" i="14" s="1"/>
  <c r="N4101" i="14"/>
  <c r="K3916" i="13" l="1"/>
  <c r="L3916" i="13" s="1"/>
  <c r="I3917" i="13" s="1"/>
  <c r="K3938" i="14"/>
  <c r="L3938" i="14" s="1"/>
  <c r="I3939" i="14" s="1"/>
  <c r="J4101" i="14" a="1"/>
  <c r="J4101" i="14" s="1"/>
  <c r="N4102" i="14"/>
  <c r="M4105" i="13"/>
  <c r="M4106" i="14"/>
  <c r="J4102" i="13" a="1"/>
  <c r="J4102" i="13" s="1"/>
  <c r="N4103" i="13"/>
  <c r="K3939" i="14" l="1"/>
  <c r="L3939" i="14" s="1"/>
  <c r="I3940" i="14" s="1"/>
  <c r="K3917" i="13"/>
  <c r="L3917" i="13" s="1"/>
  <c r="I3918" i="13" s="1"/>
  <c r="N4104" i="13"/>
  <c r="J4103" i="13" a="1"/>
  <c r="J4103" i="13" s="1"/>
  <c r="M4106" i="13"/>
  <c r="M4107" i="14"/>
  <c r="N4103" i="14"/>
  <c r="J4102" i="14" a="1"/>
  <c r="J4102" i="14" s="1"/>
  <c r="K3918" i="13" l="1"/>
  <c r="L3918" i="13" s="1"/>
  <c r="I3919" i="13" s="1"/>
  <c r="K3940" i="14"/>
  <c r="L3940" i="14" s="1"/>
  <c r="I3941" i="14" s="1"/>
  <c r="M4107" i="13"/>
  <c r="N4104" i="14"/>
  <c r="J4103" i="14" a="1"/>
  <c r="J4103" i="14" s="1"/>
  <c r="M4108" i="14"/>
  <c r="J4104" i="13" a="1"/>
  <c r="J4104" i="13" s="1"/>
  <c r="N4105" i="13"/>
  <c r="K3941" i="14" l="1"/>
  <c r="L3941" i="14" s="1"/>
  <c r="I3942" i="14" s="1"/>
  <c r="K3919" i="13"/>
  <c r="L3919" i="13" s="1"/>
  <c r="I3920" i="13" s="1"/>
  <c r="N4106" i="13"/>
  <c r="J4105" i="13" a="1"/>
  <c r="J4105" i="13" s="1"/>
  <c r="J4104" i="14" a="1"/>
  <c r="J4104" i="14" s="1"/>
  <c r="N4105" i="14"/>
  <c r="M4109" i="14"/>
  <c r="M4108" i="13"/>
  <c r="K3920" i="13" l="1"/>
  <c r="L3920" i="13" s="1"/>
  <c r="I3921" i="13" s="1"/>
  <c r="K3942" i="14"/>
  <c r="L3942" i="14" s="1"/>
  <c r="I3943" i="14" s="1"/>
  <c r="M4109" i="13"/>
  <c r="J4105" i="14" a="1"/>
  <c r="J4105" i="14" s="1"/>
  <c r="N4106" i="14"/>
  <c r="M4110" i="14"/>
  <c r="J4106" i="13" a="1"/>
  <c r="J4106" i="13" s="1"/>
  <c r="N4107" i="13"/>
  <c r="K3943" i="14" l="1"/>
  <c r="L3943" i="14" s="1"/>
  <c r="I3944" i="14" s="1"/>
  <c r="K3921" i="13"/>
  <c r="L3921" i="13" s="1"/>
  <c r="I3922" i="13" s="1"/>
  <c r="N4108" i="13"/>
  <c r="J4107" i="13" a="1"/>
  <c r="J4107" i="13" s="1"/>
  <c r="J4106" i="14" a="1"/>
  <c r="J4106" i="14" s="1"/>
  <c r="N4107" i="14"/>
  <c r="M4111" i="14"/>
  <c r="M4110" i="13"/>
  <c r="K3922" i="13" l="1"/>
  <c r="L3922" i="13" s="1"/>
  <c r="I3923" i="13" s="1"/>
  <c r="K3944" i="14"/>
  <c r="L3944" i="14" s="1"/>
  <c r="I3945" i="14" s="1"/>
  <c r="N4108" i="14"/>
  <c r="J4107" i="14" a="1"/>
  <c r="J4107" i="14" s="1"/>
  <c r="M4111" i="13"/>
  <c r="M4112" i="14"/>
  <c r="J4108" i="13" a="1"/>
  <c r="J4108" i="13" s="1"/>
  <c r="N4109" i="13"/>
  <c r="K3945" i="14" l="1"/>
  <c r="L3945" i="14" s="1"/>
  <c r="I3946" i="14" s="1"/>
  <c r="K3923" i="13"/>
  <c r="L3923" i="13" s="1"/>
  <c r="I3924" i="13" s="1"/>
  <c r="N4110" i="13"/>
  <c r="J4109" i="13" a="1"/>
  <c r="J4109" i="13" s="1"/>
  <c r="M4112" i="13"/>
  <c r="M4113" i="14"/>
  <c r="J4108" i="14" a="1"/>
  <c r="J4108" i="14" s="1"/>
  <c r="N4109" i="14"/>
  <c r="K3924" i="13" l="1"/>
  <c r="L3924" i="13" s="1"/>
  <c r="I3925" i="13" s="1"/>
  <c r="K3946" i="14"/>
  <c r="L3946" i="14" s="1"/>
  <c r="I3947" i="14" s="1"/>
  <c r="J4109" i="14" a="1"/>
  <c r="J4109" i="14" s="1"/>
  <c r="N4110" i="14"/>
  <c r="M4113" i="13"/>
  <c r="M4114" i="14"/>
  <c r="J4110" i="13" a="1"/>
  <c r="J4110" i="13" s="1"/>
  <c r="N4111" i="13"/>
  <c r="K3947" i="14" l="1"/>
  <c r="L3947" i="14" s="1"/>
  <c r="I3948" i="14" s="1"/>
  <c r="K3925" i="13"/>
  <c r="L3925" i="13" s="1"/>
  <c r="I3926" i="13" s="1"/>
  <c r="N4112" i="13"/>
  <c r="J4111" i="13" a="1"/>
  <c r="J4111" i="13" s="1"/>
  <c r="M4114" i="13"/>
  <c r="M4115" i="14"/>
  <c r="N4111" i="14"/>
  <c r="J4110" i="14" a="1"/>
  <c r="J4110" i="14" s="1"/>
  <c r="K3926" i="13" l="1"/>
  <c r="L3926" i="13" s="1"/>
  <c r="I3927" i="13" s="1"/>
  <c r="K3948" i="14"/>
  <c r="L3948" i="14" s="1"/>
  <c r="I3949" i="14" s="1"/>
  <c r="M4115" i="13"/>
  <c r="N4112" i="14"/>
  <c r="J4111" i="14" a="1"/>
  <c r="J4111" i="14" s="1"/>
  <c r="M4116" i="14"/>
  <c r="J4112" i="13" a="1"/>
  <c r="J4112" i="13" s="1"/>
  <c r="N4113" i="13"/>
  <c r="K3949" i="14" l="1"/>
  <c r="L3949" i="14" s="1"/>
  <c r="I3950" i="14" s="1"/>
  <c r="K3927" i="13"/>
  <c r="L3927" i="13" s="1"/>
  <c r="I3928" i="13" s="1"/>
  <c r="N4114" i="13"/>
  <c r="J4113" i="13" a="1"/>
  <c r="J4113" i="13" s="1"/>
  <c r="J4112" i="14" a="1"/>
  <c r="J4112" i="14" s="1"/>
  <c r="N4113" i="14"/>
  <c r="M4117" i="14"/>
  <c r="M4116" i="13"/>
  <c r="K3950" i="14" l="1"/>
  <c r="L3950" i="14" s="1"/>
  <c r="I3951" i="14" s="1"/>
  <c r="J4113" i="14" a="1"/>
  <c r="J4113" i="14" s="1"/>
  <c r="N4114" i="14"/>
  <c r="K3928" i="13"/>
  <c r="L3928" i="13" s="1"/>
  <c r="I3929" i="13" s="1"/>
  <c r="M4117" i="13"/>
  <c r="M4118" i="14"/>
  <c r="J4114" i="13" a="1"/>
  <c r="J4114" i="13" s="1"/>
  <c r="N4115" i="13"/>
  <c r="K3929" i="13" l="1"/>
  <c r="L3929" i="13" s="1"/>
  <c r="I3930" i="13" s="1"/>
  <c r="K3951" i="14"/>
  <c r="L3951" i="14" s="1"/>
  <c r="I3952" i="14" s="1"/>
  <c r="N4116" i="13"/>
  <c r="J4115" i="13" a="1"/>
  <c r="J4115" i="13" s="1"/>
  <c r="N4115" i="14"/>
  <c r="J4114" i="14" a="1"/>
  <c r="J4114" i="14" s="1"/>
  <c r="M4118" i="13"/>
  <c r="M4119" i="14"/>
  <c r="K3952" i="14" l="1"/>
  <c r="L3952" i="14" s="1"/>
  <c r="I3953" i="14" s="1"/>
  <c r="K3930" i="13"/>
  <c r="L3930" i="13" s="1"/>
  <c r="I3931" i="13" s="1"/>
  <c r="N4116" i="14"/>
  <c r="J4115" i="14" a="1"/>
  <c r="J4115" i="14" s="1"/>
  <c r="M4119" i="13"/>
  <c r="M4120" i="14"/>
  <c r="J4116" i="13" a="1"/>
  <c r="J4116" i="13" s="1"/>
  <c r="N4117" i="13"/>
  <c r="K3931" i="13" l="1"/>
  <c r="L3931" i="13" s="1"/>
  <c r="I3932" i="13" s="1"/>
  <c r="K3953" i="14"/>
  <c r="L3953" i="14" s="1"/>
  <c r="I3954" i="14" s="1"/>
  <c r="N4118" i="13"/>
  <c r="J4117" i="13" a="1"/>
  <c r="J4117" i="13" s="1"/>
  <c r="M4120" i="13"/>
  <c r="M4121" i="14"/>
  <c r="J4116" i="14" a="1"/>
  <c r="J4116" i="14" s="1"/>
  <c r="N4117" i="14"/>
  <c r="K3954" i="14" l="1"/>
  <c r="L3954" i="14" s="1"/>
  <c r="I3955" i="14" s="1"/>
  <c r="K3932" i="13"/>
  <c r="L3932" i="13" s="1"/>
  <c r="I3933" i="13" s="1"/>
  <c r="J4117" i="14" a="1"/>
  <c r="J4117" i="14" s="1"/>
  <c r="N4118" i="14"/>
  <c r="M4121" i="13"/>
  <c r="M4122" i="14"/>
  <c r="J4118" i="13" a="1"/>
  <c r="J4118" i="13" s="1"/>
  <c r="N4119" i="13"/>
  <c r="K3933" i="13" l="1"/>
  <c r="L3933" i="13" s="1"/>
  <c r="I3934" i="13" s="1"/>
  <c r="K3955" i="14"/>
  <c r="L3955" i="14" s="1"/>
  <c r="I3956" i="14" s="1"/>
  <c r="N4120" i="13"/>
  <c r="J4119" i="13" a="1"/>
  <c r="J4119" i="13" s="1"/>
  <c r="M4122" i="13"/>
  <c r="M4123" i="14"/>
  <c r="N4119" i="14"/>
  <c r="J4118" i="14" a="1"/>
  <c r="J4118" i="14" s="1"/>
  <c r="K3956" i="14" l="1"/>
  <c r="L3956" i="14" s="1"/>
  <c r="I3957" i="14" s="1"/>
  <c r="K3934" i="13"/>
  <c r="L3934" i="13" s="1"/>
  <c r="I3935" i="13" s="1"/>
  <c r="M4123" i="13"/>
  <c r="N4120" i="14"/>
  <c r="J4119" i="14" a="1"/>
  <c r="J4119" i="14" s="1"/>
  <c r="M4124" i="14"/>
  <c r="J4120" i="13" a="1"/>
  <c r="J4120" i="13" s="1"/>
  <c r="N4121" i="13"/>
  <c r="K3935" i="13" l="1"/>
  <c r="L3935" i="13" s="1"/>
  <c r="I3936" i="13" s="1"/>
  <c r="K3957" i="14"/>
  <c r="L3957" i="14" s="1"/>
  <c r="I3958" i="14" s="1"/>
  <c r="N4122" i="13"/>
  <c r="J4121" i="13" a="1"/>
  <c r="J4121" i="13" s="1"/>
  <c r="J4120" i="14" a="1"/>
  <c r="J4120" i="14" s="1"/>
  <c r="N4121" i="14"/>
  <c r="M4125" i="14"/>
  <c r="M4124" i="13"/>
  <c r="K3958" i="14" l="1"/>
  <c r="L3958" i="14" s="1"/>
  <c r="I3959" i="14" s="1"/>
  <c r="K3936" i="13"/>
  <c r="L3936" i="13" s="1"/>
  <c r="I3937" i="13" s="1"/>
  <c r="J4121" i="14" a="1"/>
  <c r="J4121" i="14" s="1"/>
  <c r="N4122" i="14"/>
  <c r="M4125" i="13"/>
  <c r="M4126" i="14"/>
  <c r="J4122" i="13" a="1"/>
  <c r="J4122" i="13" s="1"/>
  <c r="N4123" i="13"/>
  <c r="K3937" i="13" l="1"/>
  <c r="L3937" i="13" s="1"/>
  <c r="I3938" i="13" s="1"/>
  <c r="K3959" i="14"/>
  <c r="L3959" i="14" s="1"/>
  <c r="I3960" i="14" s="1"/>
  <c r="N4124" i="13"/>
  <c r="J4123" i="13" a="1"/>
  <c r="J4123" i="13" s="1"/>
  <c r="M4126" i="13"/>
  <c r="M4127" i="14"/>
  <c r="J4122" i="14" a="1"/>
  <c r="J4122" i="14" s="1"/>
  <c r="N4123" i="14"/>
  <c r="K3960" i="14" l="1"/>
  <c r="L3960" i="14" s="1"/>
  <c r="I3961" i="14" s="1"/>
  <c r="K3938" i="13"/>
  <c r="L3938" i="13" s="1"/>
  <c r="I3939" i="13" s="1"/>
  <c r="N4124" i="14"/>
  <c r="J4123" i="14" a="1"/>
  <c r="J4123" i="14" s="1"/>
  <c r="M4127" i="13"/>
  <c r="M4128" i="14"/>
  <c r="J4124" i="13" a="1"/>
  <c r="J4124" i="13" s="1"/>
  <c r="N4125" i="13"/>
  <c r="K3939" i="13" l="1"/>
  <c r="L3939" i="13" s="1"/>
  <c r="I3940" i="13" s="1"/>
  <c r="K3961" i="14"/>
  <c r="L3961" i="14" s="1"/>
  <c r="I3962" i="14" s="1"/>
  <c r="N4126" i="13"/>
  <c r="J4125" i="13" a="1"/>
  <c r="J4125" i="13" s="1"/>
  <c r="M4128" i="13"/>
  <c r="M4129" i="14"/>
  <c r="J4124" i="14" a="1"/>
  <c r="J4124" i="14" s="1"/>
  <c r="N4125" i="14"/>
  <c r="K3962" i="14" l="1"/>
  <c r="L3962" i="14" s="1"/>
  <c r="I3963" i="14" s="1"/>
  <c r="K3940" i="13"/>
  <c r="L3940" i="13" s="1"/>
  <c r="I3941" i="13" s="1"/>
  <c r="J4125" i="14" a="1"/>
  <c r="J4125" i="14" s="1"/>
  <c r="N4126" i="14"/>
  <c r="M4129" i="13"/>
  <c r="M4130" i="14"/>
  <c r="J4126" i="13" a="1"/>
  <c r="J4126" i="13" s="1"/>
  <c r="N4127" i="13"/>
  <c r="K3941" i="13" l="1"/>
  <c r="L3941" i="13" s="1"/>
  <c r="I3942" i="13" s="1"/>
  <c r="K3963" i="14"/>
  <c r="L3963" i="14" s="1"/>
  <c r="I3964" i="14" s="1"/>
  <c r="N4128" i="13"/>
  <c r="J4127" i="13" a="1"/>
  <c r="J4127" i="13" s="1"/>
  <c r="M4130" i="13"/>
  <c r="M4131" i="14"/>
  <c r="N4127" i="14"/>
  <c r="J4126" i="14" a="1"/>
  <c r="J4126" i="14" s="1"/>
  <c r="K3964" i="14" l="1"/>
  <c r="L3964" i="14" s="1"/>
  <c r="I3965" i="14" s="1"/>
  <c r="K3942" i="13"/>
  <c r="L3942" i="13" s="1"/>
  <c r="I3943" i="13" s="1"/>
  <c r="M4131" i="13"/>
  <c r="N4128" i="14"/>
  <c r="J4127" i="14" a="1"/>
  <c r="J4127" i="14" s="1"/>
  <c r="M4132" i="14"/>
  <c r="J4128" i="13" a="1"/>
  <c r="J4128" i="13" s="1"/>
  <c r="N4129" i="13"/>
  <c r="K3943" i="13" l="1"/>
  <c r="L3943" i="13" s="1"/>
  <c r="I3944" i="13" s="1"/>
  <c r="K3965" i="14"/>
  <c r="L3965" i="14" s="1"/>
  <c r="I3966" i="14" s="1"/>
  <c r="N4130" i="13"/>
  <c r="J4129" i="13" a="1"/>
  <c r="J4129" i="13" s="1"/>
  <c r="J4128" i="14" a="1"/>
  <c r="J4128" i="14" s="1"/>
  <c r="N4129" i="14"/>
  <c r="M4133" i="14"/>
  <c r="M4132" i="13"/>
  <c r="K3966" i="14" l="1"/>
  <c r="L3966" i="14" s="1"/>
  <c r="I3967" i="14" s="1"/>
  <c r="K3944" i="13"/>
  <c r="L3944" i="13" s="1"/>
  <c r="I3945" i="13" s="1"/>
  <c r="J4129" i="14" a="1"/>
  <c r="J4129" i="14" s="1"/>
  <c r="N4130" i="14"/>
  <c r="M4133" i="13"/>
  <c r="M4134" i="14"/>
  <c r="J4130" i="13" a="1"/>
  <c r="J4130" i="13" s="1"/>
  <c r="N4131" i="13"/>
  <c r="K3945" i="13" l="1"/>
  <c r="L3945" i="13" s="1"/>
  <c r="I3946" i="13" s="1"/>
  <c r="K3967" i="14"/>
  <c r="L3967" i="14" s="1"/>
  <c r="I3968" i="14" s="1"/>
  <c r="N4132" i="13"/>
  <c r="J4131" i="13" a="1"/>
  <c r="J4131" i="13" s="1"/>
  <c r="M4134" i="13"/>
  <c r="M4135" i="14"/>
  <c r="N4131" i="14"/>
  <c r="J4130" i="14" a="1"/>
  <c r="J4130" i="14" s="1"/>
  <c r="K3968" i="14" l="1"/>
  <c r="L3968" i="14" s="1"/>
  <c r="I3969" i="14" s="1"/>
  <c r="K3946" i="13"/>
  <c r="L3946" i="13" s="1"/>
  <c r="I3947" i="13" s="1"/>
  <c r="M4135" i="13"/>
  <c r="N4132" i="14"/>
  <c r="J4131" i="14" a="1"/>
  <c r="J4131" i="14" s="1"/>
  <c r="M4136" i="14"/>
  <c r="J4132" i="13" a="1"/>
  <c r="J4132" i="13" s="1"/>
  <c r="N4133" i="13"/>
  <c r="K3969" i="14" l="1"/>
  <c r="L3969" i="14" s="1"/>
  <c r="I3970" i="14" s="1"/>
  <c r="N4134" i="13"/>
  <c r="J4133" i="13" a="1"/>
  <c r="J4133" i="13" s="1"/>
  <c r="K3947" i="13"/>
  <c r="L3947" i="13" s="1"/>
  <c r="I3948" i="13" s="1"/>
  <c r="J4132" i="14" a="1"/>
  <c r="J4132" i="14" s="1"/>
  <c r="N4133" i="14"/>
  <c r="M4137" i="14"/>
  <c r="M4136" i="13"/>
  <c r="K3948" i="13" l="1"/>
  <c r="L3948" i="13" s="1"/>
  <c r="I3949" i="13" s="1"/>
  <c r="K3970" i="14"/>
  <c r="L3970" i="14" s="1"/>
  <c r="I3971" i="14" s="1"/>
  <c r="J4133" i="14" a="1"/>
  <c r="J4133" i="14" s="1"/>
  <c r="N4134" i="14"/>
  <c r="J4134" i="13" a="1"/>
  <c r="J4134" i="13" s="1"/>
  <c r="N4135" i="13"/>
  <c r="M4137" i="13"/>
  <c r="M4138" i="14"/>
  <c r="K3971" i="14" l="1"/>
  <c r="L3971" i="14" s="1"/>
  <c r="I3972" i="14" s="1"/>
  <c r="K3949" i="13"/>
  <c r="L3949" i="13" s="1"/>
  <c r="I3950" i="13" s="1"/>
  <c r="M4139" i="14"/>
  <c r="N4136" i="13"/>
  <c r="J4135" i="13" a="1"/>
  <c r="J4135" i="13" s="1"/>
  <c r="N4135" i="14"/>
  <c r="J4134" i="14" a="1"/>
  <c r="J4134" i="14" s="1"/>
  <c r="M4138" i="13"/>
  <c r="K3950" i="13" l="1"/>
  <c r="L3950" i="13" s="1"/>
  <c r="I3951" i="13" s="1"/>
  <c r="K3972" i="14"/>
  <c r="L3972" i="14" s="1"/>
  <c r="I3973" i="14" s="1"/>
  <c r="J4136" i="13" a="1"/>
  <c r="J4136" i="13" s="1"/>
  <c r="N4137" i="13"/>
  <c r="M4139" i="13"/>
  <c r="N4136" i="14"/>
  <c r="J4135" i="14" a="1"/>
  <c r="J4135" i="14" s="1"/>
  <c r="M4140" i="14"/>
  <c r="K3973" i="14" l="1"/>
  <c r="L3973" i="14" s="1"/>
  <c r="I3974" i="14" s="1"/>
  <c r="K3951" i="13"/>
  <c r="L3951" i="13" s="1"/>
  <c r="I3952" i="13" s="1"/>
  <c r="M4141" i="14"/>
  <c r="M4140" i="13"/>
  <c r="N4138" i="13"/>
  <c r="J4137" i="13" a="1"/>
  <c r="J4137" i="13" s="1"/>
  <c r="J4136" i="14" a="1"/>
  <c r="J4136" i="14" s="1"/>
  <c r="N4137" i="14"/>
  <c r="K3952" i="13" l="1"/>
  <c r="L3952" i="13" s="1"/>
  <c r="I3953" i="13" s="1"/>
  <c r="K3974" i="14"/>
  <c r="L3974" i="14" s="1"/>
  <c r="I3975" i="14" s="1"/>
  <c r="J4137" i="14" a="1"/>
  <c r="J4137" i="14" s="1"/>
  <c r="N4138" i="14"/>
  <c r="M4141" i="13"/>
  <c r="M4142" i="14"/>
  <c r="J4138" i="13" a="1"/>
  <c r="J4138" i="13" s="1"/>
  <c r="N4139" i="13"/>
  <c r="K3975" i="14" l="1"/>
  <c r="L3975" i="14" s="1"/>
  <c r="I3976" i="14" s="1"/>
  <c r="K3953" i="13"/>
  <c r="L3953" i="13" s="1"/>
  <c r="I3954" i="13" s="1"/>
  <c r="N4140" i="13"/>
  <c r="J4139" i="13" a="1"/>
  <c r="J4139" i="13" s="1"/>
  <c r="M4142" i="13"/>
  <c r="M4143" i="14"/>
  <c r="J4138" i="14" a="1"/>
  <c r="J4138" i="14" s="1"/>
  <c r="N4139" i="14"/>
  <c r="K3954" i="13" l="1"/>
  <c r="L3954" i="13" s="1"/>
  <c r="I3955" i="13" s="1"/>
  <c r="K3976" i="14"/>
  <c r="L3976" i="14" s="1"/>
  <c r="I3977" i="14" s="1"/>
  <c r="N4140" i="14"/>
  <c r="J4139" i="14" a="1"/>
  <c r="J4139" i="14" s="1"/>
  <c r="M4143" i="13"/>
  <c r="M4144" i="14"/>
  <c r="J4140" i="13" a="1"/>
  <c r="J4140" i="13" s="1"/>
  <c r="N4141" i="13"/>
  <c r="K3977" i="14" l="1"/>
  <c r="L3977" i="14" s="1"/>
  <c r="I3978" i="14" s="1"/>
  <c r="K3955" i="13"/>
  <c r="L3955" i="13" s="1"/>
  <c r="I3956" i="13" s="1"/>
  <c r="M4144" i="13"/>
  <c r="N4142" i="13"/>
  <c r="J4141" i="13" a="1"/>
  <c r="J4141" i="13" s="1"/>
  <c r="M4145" i="14"/>
  <c r="J4140" i="14" a="1"/>
  <c r="J4140" i="14" s="1"/>
  <c r="N4141" i="14"/>
  <c r="K3956" i="13" l="1"/>
  <c r="L3956" i="13" s="1"/>
  <c r="I3957" i="13" s="1"/>
  <c r="K3978" i="14"/>
  <c r="L3978" i="14" s="1"/>
  <c r="I3979" i="14" s="1"/>
  <c r="J4142" i="13" a="1"/>
  <c r="J4142" i="13" s="1"/>
  <c r="N4143" i="13"/>
  <c r="J4141" i="14" a="1"/>
  <c r="J4141" i="14" s="1"/>
  <c r="N4142" i="14"/>
  <c r="M4145" i="13"/>
  <c r="M4146" i="14"/>
  <c r="K3979" i="14" l="1"/>
  <c r="L3979" i="14" s="1"/>
  <c r="I3980" i="14" s="1"/>
  <c r="K3957" i="13"/>
  <c r="L3957" i="13" s="1"/>
  <c r="I3958" i="13" s="1"/>
  <c r="N4143" i="14"/>
  <c r="J4142" i="14" a="1"/>
  <c r="J4142" i="14" s="1"/>
  <c r="M4147" i="14"/>
  <c r="N4144" i="13"/>
  <c r="J4143" i="13" a="1"/>
  <c r="J4143" i="13" s="1"/>
  <c r="M4146" i="13"/>
  <c r="K3958" i="13" l="1"/>
  <c r="L3958" i="13" s="1"/>
  <c r="I3959" i="13" s="1"/>
  <c r="K3980" i="14"/>
  <c r="L3980" i="14" s="1"/>
  <c r="I3981" i="14" s="1"/>
  <c r="M4147" i="13"/>
  <c r="M4148" i="14"/>
  <c r="J4144" i="13" a="1"/>
  <c r="J4144" i="13" s="1"/>
  <c r="N4145" i="13"/>
  <c r="N4144" i="14"/>
  <c r="J4143" i="14" a="1"/>
  <c r="J4143" i="14" s="1"/>
  <c r="K3981" i="14" l="1"/>
  <c r="L3981" i="14" s="1"/>
  <c r="I3982" i="14" s="1"/>
  <c r="K3959" i="13"/>
  <c r="L3959" i="13" s="1"/>
  <c r="I3960" i="13" s="1"/>
  <c r="J4144" i="14" a="1"/>
  <c r="J4144" i="14" s="1"/>
  <c r="N4145" i="14"/>
  <c r="M4149" i="14"/>
  <c r="N4146" i="13"/>
  <c r="J4145" i="13" a="1"/>
  <c r="J4145" i="13" s="1"/>
  <c r="M4148" i="13"/>
  <c r="K3960" i="13" l="1"/>
  <c r="L3960" i="13" s="1"/>
  <c r="I3961" i="13" s="1"/>
  <c r="K3982" i="14"/>
  <c r="L3982" i="14" s="1"/>
  <c r="I3983" i="14" s="1"/>
  <c r="M4149" i="13"/>
  <c r="M4150" i="14"/>
  <c r="J4145" i="14" a="1"/>
  <c r="J4145" i="14" s="1"/>
  <c r="N4146" i="14"/>
  <c r="J4146" i="13" a="1"/>
  <c r="J4146" i="13" s="1"/>
  <c r="N4147" i="13"/>
  <c r="K3983" i="14" l="1"/>
  <c r="L3983" i="14" s="1"/>
  <c r="I3984" i="14" s="1"/>
  <c r="K3961" i="13"/>
  <c r="L3961" i="13" s="1"/>
  <c r="I3962" i="13" s="1"/>
  <c r="N4148" i="13"/>
  <c r="J4147" i="13" a="1"/>
  <c r="J4147" i="13" s="1"/>
  <c r="M4151" i="14"/>
  <c r="N4147" i="14"/>
  <c r="J4146" i="14" a="1"/>
  <c r="J4146" i="14" s="1"/>
  <c r="M4150" i="13"/>
  <c r="K3962" i="13" l="1"/>
  <c r="L3962" i="13" s="1"/>
  <c r="I3963" i="13" s="1"/>
  <c r="K3984" i="14"/>
  <c r="L3984" i="14" s="1"/>
  <c r="I3985" i="14" s="1"/>
  <c r="M4151" i="13"/>
  <c r="M4152" i="14"/>
  <c r="N4148" i="14"/>
  <c r="J4147" i="14" a="1"/>
  <c r="J4147" i="14" s="1"/>
  <c r="J4148" i="13" a="1"/>
  <c r="J4148" i="13" s="1"/>
  <c r="N4149" i="13"/>
  <c r="K3985" i="14" l="1"/>
  <c r="L3985" i="14" s="1"/>
  <c r="I3986" i="14" s="1"/>
  <c r="K3963" i="13"/>
  <c r="L3963" i="13" s="1"/>
  <c r="I3964" i="13" s="1"/>
  <c r="N4150" i="13"/>
  <c r="J4149" i="13" a="1"/>
  <c r="J4149" i="13" s="1"/>
  <c r="M4153" i="14"/>
  <c r="J4148" i="14" a="1"/>
  <c r="J4148" i="14" s="1"/>
  <c r="N4149" i="14"/>
  <c r="M4152" i="13"/>
  <c r="K3964" i="13" l="1"/>
  <c r="L3964" i="13" s="1"/>
  <c r="I3965" i="13" s="1"/>
  <c r="K3986" i="14"/>
  <c r="L3986" i="14" s="1"/>
  <c r="I3987" i="14" s="1"/>
  <c r="J4149" i="14" a="1"/>
  <c r="J4149" i="14" s="1"/>
  <c r="N4150" i="14"/>
  <c r="M4153" i="13"/>
  <c r="M4154" i="14"/>
  <c r="J4150" i="13" a="1"/>
  <c r="J4150" i="13" s="1"/>
  <c r="N4151" i="13"/>
  <c r="K3987" i="14" l="1"/>
  <c r="L3987" i="14" s="1"/>
  <c r="I3988" i="14" s="1"/>
  <c r="K3965" i="13"/>
  <c r="L3965" i="13" s="1"/>
  <c r="I3966" i="13" s="1"/>
  <c r="N4152" i="13"/>
  <c r="J4151" i="13" a="1"/>
  <c r="J4151" i="13" s="1"/>
  <c r="M4154" i="13"/>
  <c r="M4155" i="14"/>
  <c r="N4151" i="14"/>
  <c r="J4150" i="14" a="1"/>
  <c r="J4150" i="14" s="1"/>
  <c r="K3966" i="13" l="1"/>
  <c r="L3966" i="13" s="1"/>
  <c r="I3967" i="13" s="1"/>
  <c r="K3988" i="14"/>
  <c r="L3988" i="14" s="1"/>
  <c r="I3989" i="14" s="1"/>
  <c r="M4155" i="13"/>
  <c r="N4152" i="14"/>
  <c r="J4151" i="14" a="1"/>
  <c r="J4151" i="14" s="1"/>
  <c r="M4156" i="14"/>
  <c r="J4152" i="13" a="1"/>
  <c r="J4152" i="13" s="1"/>
  <c r="N4153" i="13"/>
  <c r="K3989" i="14" l="1"/>
  <c r="L3989" i="14" s="1"/>
  <c r="I3990" i="14" s="1"/>
  <c r="K3967" i="13"/>
  <c r="L3967" i="13" s="1"/>
  <c r="I3968" i="13" s="1"/>
  <c r="J4152" i="14" a="1"/>
  <c r="J4152" i="14" s="1"/>
  <c r="N4153" i="14"/>
  <c r="N4154" i="13"/>
  <c r="J4153" i="13" a="1"/>
  <c r="J4153" i="13" s="1"/>
  <c r="M4157" i="14"/>
  <c r="M4156" i="13"/>
  <c r="K3968" i="13" l="1"/>
  <c r="L3968" i="13" s="1"/>
  <c r="I3969" i="13" s="1"/>
  <c r="K3990" i="14"/>
  <c r="L3990" i="14" s="1"/>
  <c r="I3991" i="14" s="1"/>
  <c r="J4154" i="13" a="1"/>
  <c r="J4154" i="13" s="1"/>
  <c r="N4155" i="13"/>
  <c r="M4157" i="13"/>
  <c r="J4153" i="14" a="1"/>
  <c r="J4153" i="14" s="1"/>
  <c r="N4154" i="14"/>
  <c r="M4158" i="14"/>
  <c r="K3991" i="14" l="1"/>
  <c r="L3991" i="14" s="1"/>
  <c r="I3992" i="14" s="1"/>
  <c r="K3969" i="13"/>
  <c r="L3969" i="13" s="1"/>
  <c r="I3970" i="13" s="1"/>
  <c r="J4154" i="14" a="1"/>
  <c r="J4154" i="14" s="1"/>
  <c r="N4155" i="14"/>
  <c r="M4159" i="14"/>
  <c r="M4158" i="13"/>
  <c r="N4156" i="13"/>
  <c r="J4155" i="13" a="1"/>
  <c r="J4155" i="13" s="1"/>
  <c r="K3970" i="13" l="1"/>
  <c r="L3970" i="13" s="1"/>
  <c r="I3971" i="13" s="1"/>
  <c r="K3992" i="14"/>
  <c r="L3992" i="14" s="1"/>
  <c r="I3993" i="14" s="1"/>
  <c r="J4156" i="13" a="1"/>
  <c r="J4156" i="13" s="1"/>
  <c r="N4157" i="13"/>
  <c r="M4160" i="14"/>
  <c r="M4159" i="13"/>
  <c r="N4156" i="14"/>
  <c r="J4155" i="14" a="1"/>
  <c r="J4155" i="14" s="1"/>
  <c r="K3993" i="14" l="1"/>
  <c r="L3993" i="14" s="1"/>
  <c r="I3994" i="14" s="1"/>
  <c r="K3971" i="13"/>
  <c r="L3971" i="13" s="1"/>
  <c r="I3972" i="13" s="1"/>
  <c r="J4156" i="14" a="1"/>
  <c r="J4156" i="14" s="1"/>
  <c r="N4157" i="14"/>
  <c r="M4161" i="14"/>
  <c r="N4158" i="13"/>
  <c r="J4157" i="13" a="1"/>
  <c r="J4157" i="13" s="1"/>
  <c r="M4160" i="13"/>
  <c r="K3972" i="13" l="1"/>
  <c r="L3972" i="13" s="1"/>
  <c r="I3973" i="13" s="1"/>
  <c r="K3994" i="14"/>
  <c r="L3994" i="14" s="1"/>
  <c r="I3995" i="14" s="1"/>
  <c r="M4162" i="14"/>
  <c r="J4157" i="14" a="1"/>
  <c r="J4157" i="14" s="1"/>
  <c r="N4158" i="14"/>
  <c r="M4161" i="13"/>
  <c r="J4158" i="13" a="1"/>
  <c r="J4158" i="13" s="1"/>
  <c r="N4159" i="13"/>
  <c r="K3995" i="14" l="1"/>
  <c r="L3995" i="14" s="1"/>
  <c r="I3996" i="14" s="1"/>
  <c r="K3973" i="13"/>
  <c r="L3973" i="13" s="1"/>
  <c r="I3974" i="13" s="1"/>
  <c r="N4159" i="14"/>
  <c r="J4158" i="14" a="1"/>
  <c r="J4158" i="14" s="1"/>
  <c r="M4163" i="14"/>
  <c r="N4160" i="13"/>
  <c r="J4159" i="13" a="1"/>
  <c r="J4159" i="13" s="1"/>
  <c r="M4162" i="13"/>
  <c r="K3996" i="14" l="1"/>
  <c r="L3996" i="14" s="1"/>
  <c r="I3997" i="14" s="1"/>
  <c r="M4163" i="13"/>
  <c r="M4164" i="14"/>
  <c r="K3974" i="13"/>
  <c r="L3974" i="13" s="1"/>
  <c r="I3975" i="13" s="1"/>
  <c r="J4160" i="13" a="1"/>
  <c r="J4160" i="13" s="1"/>
  <c r="N4161" i="13"/>
  <c r="N4160" i="14"/>
  <c r="J4159" i="14" a="1"/>
  <c r="J4159" i="14" s="1"/>
  <c r="K3975" i="13" l="1"/>
  <c r="L3975" i="13" s="1"/>
  <c r="I3976" i="13" s="1"/>
  <c r="K3997" i="14"/>
  <c r="L3997" i="14" s="1"/>
  <c r="I3998" i="14" s="1"/>
  <c r="J4160" i="14" a="1"/>
  <c r="J4160" i="14" s="1"/>
  <c r="N4161" i="14"/>
  <c r="M4164" i="13"/>
  <c r="N4162" i="13"/>
  <c r="J4161" i="13" a="1"/>
  <c r="J4161" i="13" s="1"/>
  <c r="M4165" i="14"/>
  <c r="K3998" i="14" l="1"/>
  <c r="L3998" i="14" s="1"/>
  <c r="I3999" i="14" s="1"/>
  <c r="K3976" i="13"/>
  <c r="L3976" i="13" s="1"/>
  <c r="I3977" i="13" s="1"/>
  <c r="M4166" i="14"/>
  <c r="M4165" i="13"/>
  <c r="J4161" i="14" a="1"/>
  <c r="J4161" i="14" s="1"/>
  <c r="N4162" i="14"/>
  <c r="J4162" i="13" a="1"/>
  <c r="J4162" i="13" s="1"/>
  <c r="N4163" i="13"/>
  <c r="K3977" i="13" l="1"/>
  <c r="L3977" i="13" s="1"/>
  <c r="I3978" i="13" s="1"/>
  <c r="K3999" i="14"/>
  <c r="L3999" i="14" s="1"/>
  <c r="I4000" i="14" s="1"/>
  <c r="N4164" i="13"/>
  <c r="J4163" i="13" a="1"/>
  <c r="J4163" i="13" s="1"/>
  <c r="M4166" i="13"/>
  <c r="N4163" i="14"/>
  <c r="J4162" i="14" a="1"/>
  <c r="J4162" i="14" s="1"/>
  <c r="M4167" i="14"/>
  <c r="K4000" i="14" l="1"/>
  <c r="L4000" i="14" s="1"/>
  <c r="I4001" i="14" s="1"/>
  <c r="K3978" i="13"/>
  <c r="L3978" i="13" s="1"/>
  <c r="I3979" i="13" s="1"/>
  <c r="M4167" i="13"/>
  <c r="M4168" i="14"/>
  <c r="N4164" i="14"/>
  <c r="J4163" i="14" a="1"/>
  <c r="J4163" i="14" s="1"/>
  <c r="J4164" i="13" a="1"/>
  <c r="J4164" i="13" s="1"/>
  <c r="N4165" i="13"/>
  <c r="K3979" i="13" l="1"/>
  <c r="L3979" i="13" s="1"/>
  <c r="I3980" i="13" s="1"/>
  <c r="K4001" i="14"/>
  <c r="L4001" i="14" s="1"/>
  <c r="I4002" i="14" s="1"/>
  <c r="N4166" i="13"/>
  <c r="J4165" i="13" a="1"/>
  <c r="J4165" i="13" s="1"/>
  <c r="M4169" i="14"/>
  <c r="J4164" i="14" a="1"/>
  <c r="J4164" i="14" s="1"/>
  <c r="N4165" i="14"/>
  <c r="M4168" i="13"/>
  <c r="K4002" i="14" l="1"/>
  <c r="L4002" i="14" s="1"/>
  <c r="I4003" i="14" s="1"/>
  <c r="K3980" i="13"/>
  <c r="L3980" i="13" s="1"/>
  <c r="I3981" i="13" s="1"/>
  <c r="M4169" i="13"/>
  <c r="J4165" i="14" a="1"/>
  <c r="J4165" i="14" s="1"/>
  <c r="N4166" i="14"/>
  <c r="M4170" i="14"/>
  <c r="J4166" i="13" a="1"/>
  <c r="J4166" i="13" s="1"/>
  <c r="N4167" i="13"/>
  <c r="K3981" i="13" l="1"/>
  <c r="L3981" i="13" s="1"/>
  <c r="I3982" i="13" s="1"/>
  <c r="K4003" i="14"/>
  <c r="L4003" i="14" s="1"/>
  <c r="I4004" i="14" s="1"/>
  <c r="N4168" i="13"/>
  <c r="J4167" i="13" a="1"/>
  <c r="J4167" i="13" s="1"/>
  <c r="N4167" i="14"/>
  <c r="J4166" i="14" a="1"/>
  <c r="J4166" i="14" s="1"/>
  <c r="M4171" i="14"/>
  <c r="M4170" i="13"/>
  <c r="K4004" i="14" l="1"/>
  <c r="L4004" i="14" s="1"/>
  <c r="I4005" i="14" s="1"/>
  <c r="K3982" i="13"/>
  <c r="L3982" i="13" s="1"/>
  <c r="I3983" i="13" s="1"/>
  <c r="N4168" i="14"/>
  <c r="J4167" i="14" a="1"/>
  <c r="J4167" i="14" s="1"/>
  <c r="M4171" i="13"/>
  <c r="M4172" i="14"/>
  <c r="J4168" i="13" a="1"/>
  <c r="J4168" i="13" s="1"/>
  <c r="N4169" i="13"/>
  <c r="K3983" i="13" l="1"/>
  <c r="L3983" i="13" s="1"/>
  <c r="I3984" i="13" s="1"/>
  <c r="K4005" i="14"/>
  <c r="L4005" i="14" s="1"/>
  <c r="I4006" i="14" s="1"/>
  <c r="N4170" i="13"/>
  <c r="J4169" i="13" a="1"/>
  <c r="J4169" i="13" s="1"/>
  <c r="M4172" i="13"/>
  <c r="M4173" i="14"/>
  <c r="J4168" i="14" a="1"/>
  <c r="J4168" i="14" s="1"/>
  <c r="N4169" i="14"/>
  <c r="K4006" i="14" l="1"/>
  <c r="L4006" i="14" s="1"/>
  <c r="I4007" i="14" s="1"/>
  <c r="K3984" i="13"/>
  <c r="L3984" i="13" s="1"/>
  <c r="I3985" i="13" s="1"/>
  <c r="J4169" i="14" a="1"/>
  <c r="J4169" i="14" s="1"/>
  <c r="N4170" i="14"/>
  <c r="M4173" i="13"/>
  <c r="M4174" i="14"/>
  <c r="J4170" i="13" a="1"/>
  <c r="J4170" i="13" s="1"/>
  <c r="N4171" i="13"/>
  <c r="K3985" i="13" l="1"/>
  <c r="L3985" i="13" s="1"/>
  <c r="I3986" i="13" s="1"/>
  <c r="K4007" i="14"/>
  <c r="L4007" i="14" s="1"/>
  <c r="I4008" i="14" s="1"/>
  <c r="N4172" i="13"/>
  <c r="J4171" i="13" a="1"/>
  <c r="J4171" i="13" s="1"/>
  <c r="M4174" i="13"/>
  <c r="M4175" i="14"/>
  <c r="J4170" i="14" a="1"/>
  <c r="J4170" i="14" s="1"/>
  <c r="N4171" i="14"/>
  <c r="K4008" i="14" l="1"/>
  <c r="L4008" i="14" s="1"/>
  <c r="I4009" i="14" s="1"/>
  <c r="K3986" i="13"/>
  <c r="L3986" i="13" s="1"/>
  <c r="I3987" i="13" s="1"/>
  <c r="N4172" i="14"/>
  <c r="J4171" i="14" a="1"/>
  <c r="J4171" i="14" s="1"/>
  <c r="M4175" i="13"/>
  <c r="M4176" i="14"/>
  <c r="J4172" i="13" a="1"/>
  <c r="J4172" i="13" s="1"/>
  <c r="N4173" i="13"/>
  <c r="K3987" i="13" l="1"/>
  <c r="L3987" i="13" s="1"/>
  <c r="I3988" i="13" s="1"/>
  <c r="K4009" i="14"/>
  <c r="L4009" i="14" s="1"/>
  <c r="I4010" i="14" s="1"/>
  <c r="M4176" i="13"/>
  <c r="N4174" i="13"/>
  <c r="J4173" i="13" a="1"/>
  <c r="J4173" i="13" s="1"/>
  <c r="M4177" i="14"/>
  <c r="J4172" i="14" a="1"/>
  <c r="J4172" i="14" s="1"/>
  <c r="N4173" i="14"/>
  <c r="K4010" i="14" l="1"/>
  <c r="L4010" i="14" s="1"/>
  <c r="I4011" i="14" s="1"/>
  <c r="K3988" i="13"/>
  <c r="L3988" i="13" s="1"/>
  <c r="I3989" i="13" s="1"/>
  <c r="J4174" i="13" a="1"/>
  <c r="J4174" i="13" s="1"/>
  <c r="N4175" i="13"/>
  <c r="J4173" i="14" a="1"/>
  <c r="J4173" i="14" s="1"/>
  <c r="N4174" i="14"/>
  <c r="M4177" i="13"/>
  <c r="M4178" i="14"/>
  <c r="K3989" i="13" l="1"/>
  <c r="L3989" i="13" s="1"/>
  <c r="I3990" i="13" s="1"/>
  <c r="K4011" i="14"/>
  <c r="L4011" i="14" s="1"/>
  <c r="I4012" i="14" s="1"/>
  <c r="N4175" i="14"/>
  <c r="J4174" i="14" a="1"/>
  <c r="J4174" i="14" s="1"/>
  <c r="M4179" i="14"/>
  <c r="N4176" i="13"/>
  <c r="J4175" i="13" a="1"/>
  <c r="J4175" i="13" s="1"/>
  <c r="M4178" i="13"/>
  <c r="K4012" i="14" l="1"/>
  <c r="L4012" i="14" s="1"/>
  <c r="I4013" i="14" s="1"/>
  <c r="K3990" i="13"/>
  <c r="L3990" i="13" s="1"/>
  <c r="I3991" i="13" s="1"/>
  <c r="M4179" i="13"/>
  <c r="M4180" i="14"/>
  <c r="J4176" i="13" a="1"/>
  <c r="J4176" i="13" s="1"/>
  <c r="N4177" i="13"/>
  <c r="N4176" i="14"/>
  <c r="J4175" i="14" a="1"/>
  <c r="J4175" i="14" s="1"/>
  <c r="K3991" i="13" l="1"/>
  <c r="L3991" i="13" s="1"/>
  <c r="I3992" i="13" s="1"/>
  <c r="K4013" i="14"/>
  <c r="L4013" i="14" s="1"/>
  <c r="I4014" i="14" s="1"/>
  <c r="J4176" i="14" a="1"/>
  <c r="J4176" i="14" s="1"/>
  <c r="N4177" i="14"/>
  <c r="M4181" i="14"/>
  <c r="N4178" i="13"/>
  <c r="J4177" i="13" a="1"/>
  <c r="J4177" i="13" s="1"/>
  <c r="M4180" i="13"/>
  <c r="K4014" i="14" l="1"/>
  <c r="L4014" i="14" s="1"/>
  <c r="I4015" i="14" s="1"/>
  <c r="K3992" i="13"/>
  <c r="L3992" i="13" s="1"/>
  <c r="I3993" i="13" s="1"/>
  <c r="M4182" i="14"/>
  <c r="M4181" i="13"/>
  <c r="J4177" i="14" a="1"/>
  <c r="J4177" i="14" s="1"/>
  <c r="N4178" i="14"/>
  <c r="J4178" i="13" a="1"/>
  <c r="J4178" i="13" s="1"/>
  <c r="N4179" i="13"/>
  <c r="K3993" i="13" l="1"/>
  <c r="L3993" i="13" s="1"/>
  <c r="I3994" i="13" s="1"/>
  <c r="K4015" i="14"/>
  <c r="L4015" i="14" s="1"/>
  <c r="I4016" i="14" s="1"/>
  <c r="N4180" i="13"/>
  <c r="J4179" i="13" a="1"/>
  <c r="J4179" i="13" s="1"/>
  <c r="M4182" i="13"/>
  <c r="N4179" i="14"/>
  <c r="J4178" i="14" a="1"/>
  <c r="J4178" i="14" s="1"/>
  <c r="M4183" i="14"/>
  <c r="K4016" i="14" l="1"/>
  <c r="L4016" i="14" s="1"/>
  <c r="I4017" i="14" s="1"/>
  <c r="K3994" i="13"/>
  <c r="L3994" i="13" s="1"/>
  <c r="I3995" i="13" s="1"/>
  <c r="M4183" i="13"/>
  <c r="M4184" i="14"/>
  <c r="N4180" i="14"/>
  <c r="J4179" i="14" a="1"/>
  <c r="J4179" i="14" s="1"/>
  <c r="J4180" i="13" a="1"/>
  <c r="J4180" i="13" s="1"/>
  <c r="N4181" i="13"/>
  <c r="K3995" i="13" l="1"/>
  <c r="L3995" i="13" s="1"/>
  <c r="I3996" i="13" s="1"/>
  <c r="K4017" i="14"/>
  <c r="L4017" i="14" s="1"/>
  <c r="I4018" i="14" s="1"/>
  <c r="N4182" i="13"/>
  <c r="J4181" i="13" a="1"/>
  <c r="J4181" i="13" s="1"/>
  <c r="M4185" i="14"/>
  <c r="J4180" i="14" a="1"/>
  <c r="J4180" i="14" s="1"/>
  <c r="N4181" i="14"/>
  <c r="M4184" i="13"/>
  <c r="K4018" i="14" l="1"/>
  <c r="L4018" i="14" s="1"/>
  <c r="I4019" i="14" s="1"/>
  <c r="K3996" i="13"/>
  <c r="L3996" i="13" s="1"/>
  <c r="I3997" i="13" s="1"/>
  <c r="J4181" i="14" a="1"/>
  <c r="J4181" i="14" s="1"/>
  <c r="N4182" i="14"/>
  <c r="M4185" i="13"/>
  <c r="M4186" i="14"/>
  <c r="J4182" i="13" a="1"/>
  <c r="J4182" i="13" s="1"/>
  <c r="N4183" i="13"/>
  <c r="K3997" i="13" l="1"/>
  <c r="L3997" i="13" s="1"/>
  <c r="I3998" i="13" s="1"/>
  <c r="K4019" i="14"/>
  <c r="L4019" i="14" s="1"/>
  <c r="I4020" i="14" s="1"/>
  <c r="M4186" i="13"/>
  <c r="N4184" i="13"/>
  <c r="J4183" i="13" a="1"/>
  <c r="J4183" i="13" s="1"/>
  <c r="N4183" i="14"/>
  <c r="J4182" i="14" a="1"/>
  <c r="J4182" i="14" s="1"/>
  <c r="M4187" i="14"/>
  <c r="K4020" i="14" l="1"/>
  <c r="L4020" i="14" s="1"/>
  <c r="I4021" i="14" s="1"/>
  <c r="K3998" i="13"/>
  <c r="L3998" i="13" s="1"/>
  <c r="I3999" i="13" s="1"/>
  <c r="J4184" i="13" a="1"/>
  <c r="J4184" i="13" s="1"/>
  <c r="N4185" i="13"/>
  <c r="M4187" i="13"/>
  <c r="M4188" i="14"/>
  <c r="N4184" i="14"/>
  <c r="J4183" i="14" a="1"/>
  <c r="J4183" i="14" s="1"/>
  <c r="K3999" i="13" l="1"/>
  <c r="L3999" i="13" s="1"/>
  <c r="I4000" i="13" s="1"/>
  <c r="K4021" i="14"/>
  <c r="L4021" i="14" s="1"/>
  <c r="I4022" i="14" s="1"/>
  <c r="J4184" i="14" a="1"/>
  <c r="J4184" i="14" s="1"/>
  <c r="N4185" i="14"/>
  <c r="M4188" i="13"/>
  <c r="N4186" i="13"/>
  <c r="J4185" i="13" a="1"/>
  <c r="J4185" i="13" s="1"/>
  <c r="M4189" i="14"/>
  <c r="K4022" i="14" l="1"/>
  <c r="L4022" i="14" s="1"/>
  <c r="I4023" i="14" s="1"/>
  <c r="K4000" i="13"/>
  <c r="L4000" i="13" s="1"/>
  <c r="I4001" i="13" s="1"/>
  <c r="M4189" i="13"/>
  <c r="J4186" i="13" a="1"/>
  <c r="J4186" i="13" s="1"/>
  <c r="N4187" i="13"/>
  <c r="M4190" i="14"/>
  <c r="J4185" i="14" a="1"/>
  <c r="J4185" i="14" s="1"/>
  <c r="N4186" i="14"/>
  <c r="K4001" i="13" l="1"/>
  <c r="L4001" i="13" s="1"/>
  <c r="I4002" i="13" s="1"/>
  <c r="K4023" i="14"/>
  <c r="L4023" i="14" s="1"/>
  <c r="I4024" i="14" s="1"/>
  <c r="N4188" i="13"/>
  <c r="J4187" i="13" a="1"/>
  <c r="J4187" i="13" s="1"/>
  <c r="J4186" i="14" a="1"/>
  <c r="J4186" i="14" s="1"/>
  <c r="N4187" i="14"/>
  <c r="M4191" i="14"/>
  <c r="M4190" i="13"/>
  <c r="K4024" i="14" l="1"/>
  <c r="L4024" i="14" s="1"/>
  <c r="I4025" i="14" s="1"/>
  <c r="K4002" i="13"/>
  <c r="L4002" i="13" s="1"/>
  <c r="I4003" i="13" s="1"/>
  <c r="N4188" i="14"/>
  <c r="J4187" i="14" a="1"/>
  <c r="J4187" i="14" s="1"/>
  <c r="M4191" i="13"/>
  <c r="M4192" i="14"/>
  <c r="J4188" i="13" a="1"/>
  <c r="J4188" i="13" s="1"/>
  <c r="N4189" i="13"/>
  <c r="K4025" i="14" l="1"/>
  <c r="L4025" i="14" s="1"/>
  <c r="I4026" i="14" s="1"/>
  <c r="N4190" i="13"/>
  <c r="J4189" i="13" a="1"/>
  <c r="J4189" i="13" s="1"/>
  <c r="K4003" i="13"/>
  <c r="L4003" i="13" s="1"/>
  <c r="I4004" i="13" s="1"/>
  <c r="M4192" i="13"/>
  <c r="M4193" i="14"/>
  <c r="J4188" i="14" a="1"/>
  <c r="J4188" i="14" s="1"/>
  <c r="N4189" i="14"/>
  <c r="K4004" i="13" l="1"/>
  <c r="L4004" i="13" s="1"/>
  <c r="I4005" i="13" s="1"/>
  <c r="K4026" i="14"/>
  <c r="L4026" i="14" s="1"/>
  <c r="I4027" i="14" s="1"/>
  <c r="J4190" i="13" a="1"/>
  <c r="J4190" i="13" s="1"/>
  <c r="N4191" i="13"/>
  <c r="J4189" i="14" a="1"/>
  <c r="J4189" i="14" s="1"/>
  <c r="N4190" i="14"/>
  <c r="M4193" i="13"/>
  <c r="M4194" i="14"/>
  <c r="K4027" i="14" l="1"/>
  <c r="L4027" i="14" s="1"/>
  <c r="I4028" i="14" s="1"/>
  <c r="K4005" i="13"/>
  <c r="L4005" i="13" s="1"/>
  <c r="I4006" i="13" s="1"/>
  <c r="N4191" i="14"/>
  <c r="J4190" i="14" a="1"/>
  <c r="J4190" i="14" s="1"/>
  <c r="M4195" i="14"/>
  <c r="N4192" i="13"/>
  <c r="J4191" i="13" a="1"/>
  <c r="J4191" i="13" s="1"/>
  <c r="M4194" i="13"/>
  <c r="K4006" i="13" l="1"/>
  <c r="L4006" i="13" s="1"/>
  <c r="I4007" i="13" s="1"/>
  <c r="K4028" i="14"/>
  <c r="L4028" i="14" s="1"/>
  <c r="I4029" i="14" s="1"/>
  <c r="M4195" i="13"/>
  <c r="M4196" i="14"/>
  <c r="J4192" i="13" a="1"/>
  <c r="J4192" i="13" s="1"/>
  <c r="N4193" i="13"/>
  <c r="N4192" i="14"/>
  <c r="J4191" i="14" a="1"/>
  <c r="J4191" i="14" s="1"/>
  <c r="K4029" i="14" l="1"/>
  <c r="L4029" i="14" s="1"/>
  <c r="I4030" i="14" s="1"/>
  <c r="K4007" i="13"/>
  <c r="L4007" i="13" s="1"/>
  <c r="I4008" i="13" s="1"/>
  <c r="J4192" i="14" a="1"/>
  <c r="J4192" i="14" s="1"/>
  <c r="N4193" i="14"/>
  <c r="M4197" i="14"/>
  <c r="N4194" i="13"/>
  <c r="J4193" i="13" a="1"/>
  <c r="J4193" i="13" s="1"/>
  <c r="M4196" i="13"/>
  <c r="K4030" i="14" l="1"/>
  <c r="L4030" i="14" s="1"/>
  <c r="I4031" i="14" s="1"/>
  <c r="J4193" i="14" a="1"/>
  <c r="J4193" i="14" s="1"/>
  <c r="N4194" i="14"/>
  <c r="M4197" i="13"/>
  <c r="M4198" i="14"/>
  <c r="K4008" i="13"/>
  <c r="L4008" i="13" s="1"/>
  <c r="I4009" i="13" s="1"/>
  <c r="J4194" i="13" a="1"/>
  <c r="J4194" i="13" s="1"/>
  <c r="N4195" i="13"/>
  <c r="K4009" i="13" l="1"/>
  <c r="L4009" i="13" s="1"/>
  <c r="I4010" i="13" s="1"/>
  <c r="K4031" i="14"/>
  <c r="L4031" i="14" s="1"/>
  <c r="I4032" i="14" s="1"/>
  <c r="M4199" i="14"/>
  <c r="N4195" i="14"/>
  <c r="J4194" i="14" a="1"/>
  <c r="J4194" i="14" s="1"/>
  <c r="N4196" i="13"/>
  <c r="J4195" i="13" a="1"/>
  <c r="J4195" i="13" s="1"/>
  <c r="M4198" i="13"/>
  <c r="K4032" i="14" l="1"/>
  <c r="L4032" i="14" s="1"/>
  <c r="I4033" i="14" s="1"/>
  <c r="K4010" i="13"/>
  <c r="L4010" i="13" s="1"/>
  <c r="I4011" i="13" s="1"/>
  <c r="N4196" i="14"/>
  <c r="J4195" i="14" a="1"/>
  <c r="J4195" i="14" s="1"/>
  <c r="M4199" i="13"/>
  <c r="J4196" i="13" a="1"/>
  <c r="J4196" i="13" s="1"/>
  <c r="N4197" i="13"/>
  <c r="M4200" i="14"/>
  <c r="K4011" i="13" l="1"/>
  <c r="L4011" i="13" s="1"/>
  <c r="I4012" i="13" s="1"/>
  <c r="K4033" i="14"/>
  <c r="L4033" i="14" s="1"/>
  <c r="I4034" i="14" s="1"/>
  <c r="M4201" i="14"/>
  <c r="M4200" i="13"/>
  <c r="N4198" i="13"/>
  <c r="J4197" i="13" a="1"/>
  <c r="J4197" i="13" s="1"/>
  <c r="J4196" i="14" a="1"/>
  <c r="J4196" i="14" s="1"/>
  <c r="N4197" i="14"/>
  <c r="K4034" i="14" l="1"/>
  <c r="L4034" i="14" s="1"/>
  <c r="I4035" i="14" s="1"/>
  <c r="K4012" i="13"/>
  <c r="L4012" i="13" s="1"/>
  <c r="I4013" i="13" s="1"/>
  <c r="J4197" i="14" a="1"/>
  <c r="J4197" i="14" s="1"/>
  <c r="N4198" i="14"/>
  <c r="M4201" i="13"/>
  <c r="J4198" i="13" a="1"/>
  <c r="J4198" i="13" s="1"/>
  <c r="N4199" i="13"/>
  <c r="M4202" i="14"/>
  <c r="K4013" i="13" l="1"/>
  <c r="L4013" i="13" s="1"/>
  <c r="I4014" i="13" s="1"/>
  <c r="K4035" i="14"/>
  <c r="L4035" i="14" s="1"/>
  <c r="I4036" i="14" s="1"/>
  <c r="M4203" i="14"/>
  <c r="N4200" i="13"/>
  <c r="J4199" i="13" a="1"/>
  <c r="J4199" i="13" s="1"/>
  <c r="M4202" i="13"/>
  <c r="N4199" i="14"/>
  <c r="J4198" i="14" a="1"/>
  <c r="J4198" i="14" s="1"/>
  <c r="K4014" i="13" l="1"/>
  <c r="L4014" i="13" s="1"/>
  <c r="I4015" i="13" s="1"/>
  <c r="J4200" i="13" a="1"/>
  <c r="J4200" i="13" s="1"/>
  <c r="N4201" i="13"/>
  <c r="K4036" i="14"/>
  <c r="L4036" i="14" s="1"/>
  <c r="I4037" i="14" s="1"/>
  <c r="N4200" i="14"/>
  <c r="J4199" i="14" a="1"/>
  <c r="J4199" i="14" s="1"/>
  <c r="M4203" i="13"/>
  <c r="M4204" i="14"/>
  <c r="K4037" i="14" l="1"/>
  <c r="L4037" i="14" s="1"/>
  <c r="I4038" i="14" s="1"/>
  <c r="K4015" i="13"/>
  <c r="L4015" i="13" s="1"/>
  <c r="I4016" i="13" s="1"/>
  <c r="N4202" i="13"/>
  <c r="J4201" i="13" a="1"/>
  <c r="J4201" i="13" s="1"/>
  <c r="J4200" i="14" a="1"/>
  <c r="J4200" i="14" s="1"/>
  <c r="N4201" i="14"/>
  <c r="M4205" i="14"/>
  <c r="M4204" i="13"/>
  <c r="K4016" i="13" l="1"/>
  <c r="L4016" i="13" s="1"/>
  <c r="I4017" i="13" s="1"/>
  <c r="K4038" i="14"/>
  <c r="L4038" i="14" s="1"/>
  <c r="I4039" i="14" s="1"/>
  <c r="M4206" i="14"/>
  <c r="M4205" i="13"/>
  <c r="J4201" i="14" a="1"/>
  <c r="J4201" i="14" s="1"/>
  <c r="N4202" i="14"/>
  <c r="J4202" i="13" a="1"/>
  <c r="J4202" i="13" s="1"/>
  <c r="N4203" i="13"/>
  <c r="K4017" i="13" l="1"/>
  <c r="L4017" i="13" s="1"/>
  <c r="I4018" i="13" s="1"/>
  <c r="N4204" i="13"/>
  <c r="J4203" i="13" a="1"/>
  <c r="J4203" i="13" s="1"/>
  <c r="M4206" i="13"/>
  <c r="K4039" i="14"/>
  <c r="L4039" i="14" s="1"/>
  <c r="I4040" i="14" s="1"/>
  <c r="J4202" i="14" a="1"/>
  <c r="J4202" i="14" s="1"/>
  <c r="N4203" i="14"/>
  <c r="M4207" i="14"/>
  <c r="K4040" i="14" l="1"/>
  <c r="L4040" i="14" s="1"/>
  <c r="I4041" i="14" s="1"/>
  <c r="K4018" i="13"/>
  <c r="L4018" i="13" s="1"/>
  <c r="I4019" i="13" s="1"/>
  <c r="J4204" i="13" a="1"/>
  <c r="J4204" i="13" s="1"/>
  <c r="N4205" i="13"/>
  <c r="N4204" i="14"/>
  <c r="J4203" i="14" a="1"/>
  <c r="J4203" i="14" s="1"/>
  <c r="M4207" i="13"/>
  <c r="M4208" i="14"/>
  <c r="K4019" i="13" l="1"/>
  <c r="L4019" i="13" s="1"/>
  <c r="I4020" i="13" s="1"/>
  <c r="K4041" i="14"/>
  <c r="L4041" i="14" s="1"/>
  <c r="I4042" i="14" s="1"/>
  <c r="J4204" i="14" a="1"/>
  <c r="J4204" i="14" s="1"/>
  <c r="N4205" i="14"/>
  <c r="N4206" i="13"/>
  <c r="J4205" i="13" a="1"/>
  <c r="J4205" i="13" s="1"/>
  <c r="M4209" i="14"/>
  <c r="M4208" i="13"/>
  <c r="K4042" i="14" l="1"/>
  <c r="L4042" i="14" s="1"/>
  <c r="I4043" i="14" s="1"/>
  <c r="K4020" i="13"/>
  <c r="L4020" i="13" s="1"/>
  <c r="I4021" i="13" s="1"/>
  <c r="M4209" i="13"/>
  <c r="J4206" i="13" a="1"/>
  <c r="J4206" i="13" s="1"/>
  <c r="N4207" i="13"/>
  <c r="J4205" i="14" a="1"/>
  <c r="J4205" i="14" s="1"/>
  <c r="N4206" i="14"/>
  <c r="M4210" i="14"/>
  <c r="K4021" i="13" l="1"/>
  <c r="L4021" i="13" s="1"/>
  <c r="I4022" i="13" s="1"/>
  <c r="K4043" i="14"/>
  <c r="L4043" i="14" s="1"/>
  <c r="I4044" i="14" s="1"/>
  <c r="M4211" i="14"/>
  <c r="N4208" i="13"/>
  <c r="J4207" i="13" a="1"/>
  <c r="J4207" i="13" s="1"/>
  <c r="N4207" i="14"/>
  <c r="J4206" i="14" a="1"/>
  <c r="J4206" i="14" s="1"/>
  <c r="M4210" i="13"/>
  <c r="K4044" i="14" l="1"/>
  <c r="L4044" i="14" s="1"/>
  <c r="I4045" i="14" s="1"/>
  <c r="K4022" i="13"/>
  <c r="L4022" i="13" s="1"/>
  <c r="I4023" i="13" s="1"/>
  <c r="J4208" i="13" a="1"/>
  <c r="J4208" i="13" s="1"/>
  <c r="N4209" i="13"/>
  <c r="M4211" i="13"/>
  <c r="N4208" i="14"/>
  <c r="J4207" i="14" a="1"/>
  <c r="J4207" i="14" s="1"/>
  <c r="M4212" i="14"/>
  <c r="K4023" i="13" l="1"/>
  <c r="L4023" i="13" s="1"/>
  <c r="I4024" i="13" s="1"/>
  <c r="K4045" i="14"/>
  <c r="L4045" i="14" s="1"/>
  <c r="I4046" i="14" s="1"/>
  <c r="J4208" i="14" a="1"/>
  <c r="J4208" i="14" s="1"/>
  <c r="N4209" i="14"/>
  <c r="M4213" i="14"/>
  <c r="M4212" i="13"/>
  <c r="N4210" i="13"/>
  <c r="J4209" i="13" a="1"/>
  <c r="J4209" i="13" s="1"/>
  <c r="K4046" i="14" l="1"/>
  <c r="L4046" i="14" s="1"/>
  <c r="I4047" i="14" s="1"/>
  <c r="K4024" i="13"/>
  <c r="L4024" i="13" s="1"/>
  <c r="I4025" i="13" s="1"/>
  <c r="M4214" i="14"/>
  <c r="J4210" i="13" a="1"/>
  <c r="J4210" i="13" s="1"/>
  <c r="N4211" i="13"/>
  <c r="J4209" i="14" a="1"/>
  <c r="J4209" i="14" s="1"/>
  <c r="N4210" i="14"/>
  <c r="M4213" i="13"/>
  <c r="K4025" i="13" l="1"/>
  <c r="L4025" i="13" s="1"/>
  <c r="I4026" i="13" s="1"/>
  <c r="K4047" i="14"/>
  <c r="L4047" i="14" s="1"/>
  <c r="I4048" i="14" s="1"/>
  <c r="N4212" i="13"/>
  <c r="J4211" i="13" a="1"/>
  <c r="J4211" i="13" s="1"/>
  <c r="N4211" i="14"/>
  <c r="J4210" i="14" a="1"/>
  <c r="J4210" i="14" s="1"/>
  <c r="M4215" i="14"/>
  <c r="M4214" i="13"/>
  <c r="K4048" i="14" l="1"/>
  <c r="L4048" i="14" s="1"/>
  <c r="I4049" i="14" s="1"/>
  <c r="K4026" i="13"/>
  <c r="L4026" i="13" s="1"/>
  <c r="I4027" i="13" s="1"/>
  <c r="N4212" i="14"/>
  <c r="J4211" i="14" a="1"/>
  <c r="J4211" i="14" s="1"/>
  <c r="M4215" i="13"/>
  <c r="M4216" i="14"/>
  <c r="J4212" i="13" a="1"/>
  <c r="J4212" i="13" s="1"/>
  <c r="N4213" i="13"/>
  <c r="K4027" i="13" l="1"/>
  <c r="L4027" i="13" s="1"/>
  <c r="I4028" i="13" s="1"/>
  <c r="K4049" i="14"/>
  <c r="L4049" i="14" s="1"/>
  <c r="I4050" i="14" s="1"/>
  <c r="N4214" i="13"/>
  <c r="J4213" i="13" a="1"/>
  <c r="J4213" i="13" s="1"/>
  <c r="M4216" i="13"/>
  <c r="M4217" i="14"/>
  <c r="J4212" i="14" a="1"/>
  <c r="J4212" i="14" s="1"/>
  <c r="N4213" i="14"/>
  <c r="K4050" i="14" l="1"/>
  <c r="L4050" i="14" s="1"/>
  <c r="I4051" i="14" s="1"/>
  <c r="K4028" i="13"/>
  <c r="L4028" i="13" s="1"/>
  <c r="I4029" i="13" s="1"/>
  <c r="J4213" i="14" a="1"/>
  <c r="J4213" i="14" s="1"/>
  <c r="N4214" i="14"/>
  <c r="M4217" i="13"/>
  <c r="M4218" i="14"/>
  <c r="J4214" i="13" a="1"/>
  <c r="J4214" i="13" s="1"/>
  <c r="N4215" i="13"/>
  <c r="K4029" i="13" l="1"/>
  <c r="L4029" i="13" s="1"/>
  <c r="I4030" i="13" s="1"/>
  <c r="K4051" i="14"/>
  <c r="L4051" i="14" s="1"/>
  <c r="I4052" i="14" s="1"/>
  <c r="N4216" i="13"/>
  <c r="J4215" i="13" a="1"/>
  <c r="J4215" i="13" s="1"/>
  <c r="M4218" i="13"/>
  <c r="N4215" i="14"/>
  <c r="J4214" i="14" a="1"/>
  <c r="J4214" i="14" s="1"/>
  <c r="M4219" i="14"/>
  <c r="K4052" i="14" l="1"/>
  <c r="L4052" i="14" s="1"/>
  <c r="I4053" i="14" s="1"/>
  <c r="K4030" i="13"/>
  <c r="L4030" i="13" s="1"/>
  <c r="I4031" i="13" s="1"/>
  <c r="M4219" i="13"/>
  <c r="M4220" i="14"/>
  <c r="N4216" i="14"/>
  <c r="J4215" i="14" a="1"/>
  <c r="J4215" i="14" s="1"/>
  <c r="J4216" i="13" a="1"/>
  <c r="J4216" i="13" s="1"/>
  <c r="N4217" i="13"/>
  <c r="K4031" i="13" l="1"/>
  <c r="L4031" i="13" s="1"/>
  <c r="I4032" i="13" s="1"/>
  <c r="K4053" i="14"/>
  <c r="L4053" i="14" s="1"/>
  <c r="I4054" i="14" s="1"/>
  <c r="N4218" i="13"/>
  <c r="J4217" i="13" a="1"/>
  <c r="J4217" i="13" s="1"/>
  <c r="M4221" i="14"/>
  <c r="J4216" i="14" a="1"/>
  <c r="J4216" i="14" s="1"/>
  <c r="N4217" i="14"/>
  <c r="M4220" i="13"/>
  <c r="K4054" i="14" l="1"/>
  <c r="L4054" i="14" s="1"/>
  <c r="I4055" i="14" s="1"/>
  <c r="K4032" i="13"/>
  <c r="L4032" i="13" s="1"/>
  <c r="I4033" i="13" s="1"/>
  <c r="M4221" i="13"/>
  <c r="M4222" i="14"/>
  <c r="J4217" i="14" a="1"/>
  <c r="J4217" i="14" s="1"/>
  <c r="N4218" i="14"/>
  <c r="J4218" i="13" a="1"/>
  <c r="J4218" i="13" s="1"/>
  <c r="N4219" i="13"/>
  <c r="K4033" i="13" l="1"/>
  <c r="L4033" i="13" s="1"/>
  <c r="I4034" i="13" s="1"/>
  <c r="K4055" i="14"/>
  <c r="L4055" i="14" s="1"/>
  <c r="I4056" i="14" s="1"/>
  <c r="N4220" i="13"/>
  <c r="J4219" i="13" a="1"/>
  <c r="J4219" i="13" s="1"/>
  <c r="M4223" i="14"/>
  <c r="J4218" i="14" a="1"/>
  <c r="J4218" i="14" s="1"/>
  <c r="N4219" i="14"/>
  <c r="M4222" i="13"/>
  <c r="K4056" i="14" l="1"/>
  <c r="L4056" i="14" s="1"/>
  <c r="I4057" i="14" s="1"/>
  <c r="K4034" i="13"/>
  <c r="L4034" i="13" s="1"/>
  <c r="I4035" i="13" s="1"/>
  <c r="N4220" i="14"/>
  <c r="J4219" i="14" a="1"/>
  <c r="J4219" i="14" s="1"/>
  <c r="M4223" i="13"/>
  <c r="M4224" i="14"/>
  <c r="J4220" i="13" a="1"/>
  <c r="J4220" i="13" s="1"/>
  <c r="N4221" i="13"/>
  <c r="K4035" i="13" l="1"/>
  <c r="L4035" i="13" s="1"/>
  <c r="I4036" i="13" s="1"/>
  <c r="K4057" i="14"/>
  <c r="L4057" i="14" s="1"/>
  <c r="I4058" i="14" s="1"/>
  <c r="N4222" i="13"/>
  <c r="J4221" i="13" a="1"/>
  <c r="J4221" i="13" s="1"/>
  <c r="M4224" i="13"/>
  <c r="M4225" i="14"/>
  <c r="J4220" i="14" a="1"/>
  <c r="J4220" i="14" s="1"/>
  <c r="N4221" i="14"/>
  <c r="K4058" i="14" l="1"/>
  <c r="L4058" i="14" s="1"/>
  <c r="I4059" i="14" s="1"/>
  <c r="K4036" i="13"/>
  <c r="L4036" i="13" s="1"/>
  <c r="I4037" i="13" s="1"/>
  <c r="J4221" i="14" a="1"/>
  <c r="J4221" i="14" s="1"/>
  <c r="N4222" i="14"/>
  <c r="M4225" i="13"/>
  <c r="M4226" i="14"/>
  <c r="J4222" i="13" a="1"/>
  <c r="J4222" i="13" s="1"/>
  <c r="N4223" i="13"/>
  <c r="K4037" i="13" l="1"/>
  <c r="L4037" i="13" s="1"/>
  <c r="I4038" i="13" s="1"/>
  <c r="K4059" i="14"/>
  <c r="L4059" i="14" s="1"/>
  <c r="I4060" i="14" s="1"/>
  <c r="N4224" i="13"/>
  <c r="J4223" i="13" a="1"/>
  <c r="J4223" i="13" s="1"/>
  <c r="M4226" i="13"/>
  <c r="N4223" i="14"/>
  <c r="J4222" i="14" a="1"/>
  <c r="J4222" i="14" s="1"/>
  <c r="M4227" i="14"/>
  <c r="K4060" i="14" l="1"/>
  <c r="L4060" i="14" s="1"/>
  <c r="I4061" i="14" s="1"/>
  <c r="K4038" i="13"/>
  <c r="L4038" i="13" s="1"/>
  <c r="I4039" i="13" s="1"/>
  <c r="M4227" i="13"/>
  <c r="M4228" i="14"/>
  <c r="N4224" i="14"/>
  <c r="J4223" i="14" a="1"/>
  <c r="J4223" i="14" s="1"/>
  <c r="J4224" i="13" a="1"/>
  <c r="J4224" i="13" s="1"/>
  <c r="N4225" i="13"/>
  <c r="K4039" i="13" l="1"/>
  <c r="L4039" i="13" s="1"/>
  <c r="I4040" i="13" s="1"/>
  <c r="K4061" i="14"/>
  <c r="L4061" i="14" s="1"/>
  <c r="I4062" i="14" s="1"/>
  <c r="N4226" i="13"/>
  <c r="J4225" i="13" a="1"/>
  <c r="J4225" i="13" s="1"/>
  <c r="M4229" i="14"/>
  <c r="J4224" i="14" a="1"/>
  <c r="J4224" i="14" s="1"/>
  <c r="N4225" i="14"/>
  <c r="M4228" i="13"/>
  <c r="K4062" i="14" l="1"/>
  <c r="L4062" i="14" s="1"/>
  <c r="I4063" i="14" s="1"/>
  <c r="K4040" i="13"/>
  <c r="L4040" i="13" s="1"/>
  <c r="I4041" i="13" s="1"/>
  <c r="M4229" i="13"/>
  <c r="M4230" i="14"/>
  <c r="J4225" i="14" a="1"/>
  <c r="J4225" i="14" s="1"/>
  <c r="N4226" i="14"/>
  <c r="J4226" i="13" a="1"/>
  <c r="J4226" i="13" s="1"/>
  <c r="N4227" i="13"/>
  <c r="K4041" i="13" l="1"/>
  <c r="L4041" i="13" s="1"/>
  <c r="I4042" i="13" s="1"/>
  <c r="K4063" i="14"/>
  <c r="L4063" i="14" s="1"/>
  <c r="I4064" i="14" s="1"/>
  <c r="M4231" i="14"/>
  <c r="N4228" i="13"/>
  <c r="J4227" i="13" a="1"/>
  <c r="J4227" i="13" s="1"/>
  <c r="N4227" i="14"/>
  <c r="J4226" i="14" a="1"/>
  <c r="J4226" i="14" s="1"/>
  <c r="M4230" i="13"/>
  <c r="K4042" i="13" l="1"/>
  <c r="L4042" i="13" s="1"/>
  <c r="I4043" i="13" s="1"/>
  <c r="J4228" i="13" a="1"/>
  <c r="J4228" i="13" s="1"/>
  <c r="N4229" i="13"/>
  <c r="M4231" i="13"/>
  <c r="K4064" i="14"/>
  <c r="L4064" i="14" s="1"/>
  <c r="I4065" i="14" s="1"/>
  <c r="N4228" i="14"/>
  <c r="J4227" i="14" a="1"/>
  <c r="J4227" i="14" s="1"/>
  <c r="M4232" i="14"/>
  <c r="K4065" i="14" l="1"/>
  <c r="L4065" i="14" s="1"/>
  <c r="I4066" i="14" s="1"/>
  <c r="K4043" i="13"/>
  <c r="L4043" i="13" s="1"/>
  <c r="I4044" i="13" s="1"/>
  <c r="N4230" i="13"/>
  <c r="J4229" i="13" a="1"/>
  <c r="J4229" i="13" s="1"/>
  <c r="M4233" i="14"/>
  <c r="J4228" i="14" a="1"/>
  <c r="J4228" i="14" s="1"/>
  <c r="N4229" i="14"/>
  <c r="M4232" i="13"/>
  <c r="K4044" i="13" l="1"/>
  <c r="L4044" i="13" s="1"/>
  <c r="I4045" i="13" s="1"/>
  <c r="K4066" i="14"/>
  <c r="L4066" i="14" s="1"/>
  <c r="I4067" i="14" s="1"/>
  <c r="M4233" i="13"/>
  <c r="J4229" i="14" a="1"/>
  <c r="J4229" i="14" s="1"/>
  <c r="N4230" i="14"/>
  <c r="M4234" i="14"/>
  <c r="J4230" i="13" a="1"/>
  <c r="J4230" i="13" s="1"/>
  <c r="N4231" i="13"/>
  <c r="K4067" i="14" l="1"/>
  <c r="L4067" i="14" s="1"/>
  <c r="I4068" i="14" s="1"/>
  <c r="K4045" i="13"/>
  <c r="L4045" i="13" s="1"/>
  <c r="I4046" i="13" s="1"/>
  <c r="N4231" i="14"/>
  <c r="J4230" i="14" a="1"/>
  <c r="J4230" i="14" s="1"/>
  <c r="N4232" i="13"/>
  <c r="J4231" i="13" a="1"/>
  <c r="J4231" i="13" s="1"/>
  <c r="M4235" i="14"/>
  <c r="M4234" i="13"/>
  <c r="K4046" i="13" l="1"/>
  <c r="L4046" i="13" s="1"/>
  <c r="I4047" i="13" s="1"/>
  <c r="K4068" i="14"/>
  <c r="L4068" i="14" s="1"/>
  <c r="I4069" i="14" s="1"/>
  <c r="J4232" i="13" a="1"/>
  <c r="J4232" i="13" s="1"/>
  <c r="N4233" i="13"/>
  <c r="M4235" i="13"/>
  <c r="M4236" i="14"/>
  <c r="N4232" i="14"/>
  <c r="J4231" i="14" a="1"/>
  <c r="J4231" i="14" s="1"/>
  <c r="K4069" i="14" l="1"/>
  <c r="L4069" i="14" s="1"/>
  <c r="I4070" i="14" s="1"/>
  <c r="K4047" i="13"/>
  <c r="L4047" i="13" s="1"/>
  <c r="I4048" i="13" s="1"/>
  <c r="J4232" i="14" a="1"/>
  <c r="J4232" i="14" s="1"/>
  <c r="N4233" i="14"/>
  <c r="M4236" i="13"/>
  <c r="N4234" i="13"/>
  <c r="J4233" i="13" a="1"/>
  <c r="J4233" i="13" s="1"/>
  <c r="M4237" i="14"/>
  <c r="K4048" i="13" l="1"/>
  <c r="L4048" i="13" s="1"/>
  <c r="I4049" i="13" s="1"/>
  <c r="K4070" i="14"/>
  <c r="L4070" i="14" s="1"/>
  <c r="I4071" i="14" s="1"/>
  <c r="M4238" i="14"/>
  <c r="M4237" i="13"/>
  <c r="J4234" i="13" a="1"/>
  <c r="J4234" i="13" s="1"/>
  <c r="N4235" i="13"/>
  <c r="J4233" i="14" a="1"/>
  <c r="J4233" i="14" s="1"/>
  <c r="N4234" i="14"/>
  <c r="K4049" i="13" l="1"/>
  <c r="L4049" i="13" s="1"/>
  <c r="I4050" i="13" s="1"/>
  <c r="J4234" i="14" a="1"/>
  <c r="J4234" i="14" s="1"/>
  <c r="N4235" i="14"/>
  <c r="K4071" i="14"/>
  <c r="L4071" i="14" s="1"/>
  <c r="I4072" i="14" s="1"/>
  <c r="N4236" i="13"/>
  <c r="J4235" i="13" a="1"/>
  <c r="J4235" i="13" s="1"/>
  <c r="M4239" i="14"/>
  <c r="M4238" i="13"/>
  <c r="K4072" i="14" l="1"/>
  <c r="L4072" i="14" s="1"/>
  <c r="I4073" i="14" s="1"/>
  <c r="K4050" i="13"/>
  <c r="L4050" i="13" s="1"/>
  <c r="I4051" i="13" s="1"/>
  <c r="N4236" i="14"/>
  <c r="J4235" i="14" a="1"/>
  <c r="J4235" i="14" s="1"/>
  <c r="M4239" i="13"/>
  <c r="J4236" i="13" a="1"/>
  <c r="J4236" i="13" s="1"/>
  <c r="N4237" i="13"/>
  <c r="M4240" i="14"/>
  <c r="K4051" i="13" l="1"/>
  <c r="L4051" i="13" s="1"/>
  <c r="I4052" i="13" s="1"/>
  <c r="K4073" i="14"/>
  <c r="L4073" i="14" s="1"/>
  <c r="I4074" i="14" s="1"/>
  <c r="N4238" i="13"/>
  <c r="J4237" i="13" a="1"/>
  <c r="J4237" i="13" s="1"/>
  <c r="M4241" i="14"/>
  <c r="M4240" i="13"/>
  <c r="J4236" i="14" a="1"/>
  <c r="J4236" i="14" s="1"/>
  <c r="N4237" i="14"/>
  <c r="K4074" i="14" l="1"/>
  <c r="L4074" i="14" s="1"/>
  <c r="I4075" i="14" s="1"/>
  <c r="K4052" i="13"/>
  <c r="L4052" i="13" s="1"/>
  <c r="I4053" i="13" s="1"/>
  <c r="J4237" i="14" a="1"/>
  <c r="J4237" i="14" s="1"/>
  <c r="N4238" i="14"/>
  <c r="M4242" i="14"/>
  <c r="M4241" i="13"/>
  <c r="J4238" i="13" a="1"/>
  <c r="J4238" i="13" s="1"/>
  <c r="N4239" i="13"/>
  <c r="K4053" i="13" l="1"/>
  <c r="L4053" i="13" s="1"/>
  <c r="I4054" i="13" s="1"/>
  <c r="K4075" i="14"/>
  <c r="L4075" i="14" s="1"/>
  <c r="I4076" i="14" s="1"/>
  <c r="N4240" i="13"/>
  <c r="J4239" i="13" a="1"/>
  <c r="J4239" i="13" s="1"/>
  <c r="M4243" i="14"/>
  <c r="N4239" i="14"/>
  <c r="J4238" i="14" a="1"/>
  <c r="J4238" i="14" s="1"/>
  <c r="M4242" i="13"/>
  <c r="K4076" i="14" l="1"/>
  <c r="L4076" i="14" s="1"/>
  <c r="I4077" i="14" s="1"/>
  <c r="K4054" i="13"/>
  <c r="L4054" i="13" s="1"/>
  <c r="I4055" i="13" s="1"/>
  <c r="M4243" i="13"/>
  <c r="M4244" i="14"/>
  <c r="N4240" i="14"/>
  <c r="J4239" i="14" a="1"/>
  <c r="J4239" i="14" s="1"/>
  <c r="J4240" i="13" a="1"/>
  <c r="J4240" i="13" s="1"/>
  <c r="N4241" i="13"/>
  <c r="K4055" i="13" l="1"/>
  <c r="L4055" i="13" s="1"/>
  <c r="I4056" i="13" s="1"/>
  <c r="K4077" i="14"/>
  <c r="L4077" i="14" s="1"/>
  <c r="I4078" i="14" s="1"/>
  <c r="N4242" i="13"/>
  <c r="J4241" i="13" a="1"/>
  <c r="J4241" i="13" s="1"/>
  <c r="M4245" i="14"/>
  <c r="J4240" i="14" a="1"/>
  <c r="J4240" i="14" s="1"/>
  <c r="N4241" i="14"/>
  <c r="M4244" i="13"/>
  <c r="K4078" i="14" l="1"/>
  <c r="L4078" i="14" s="1"/>
  <c r="I4079" i="14" s="1"/>
  <c r="K4056" i="13"/>
  <c r="L4056" i="13" s="1"/>
  <c r="I4057" i="13" s="1"/>
  <c r="M4245" i="13"/>
  <c r="M4246" i="14"/>
  <c r="J4241" i="14" a="1"/>
  <c r="J4241" i="14" s="1"/>
  <c r="N4242" i="14"/>
  <c r="J4242" i="13" a="1"/>
  <c r="J4242" i="13" s="1"/>
  <c r="N4243" i="13"/>
  <c r="K4057" i="13" l="1"/>
  <c r="L4057" i="13" s="1"/>
  <c r="I4058" i="13" s="1"/>
  <c r="K4079" i="14"/>
  <c r="L4079" i="14" s="1"/>
  <c r="I4080" i="14" s="1"/>
  <c r="N4244" i="13"/>
  <c r="J4243" i="13" a="1"/>
  <c r="J4243" i="13" s="1"/>
  <c r="M4247" i="14"/>
  <c r="N4243" i="14"/>
  <c r="J4242" i="14" a="1"/>
  <c r="J4242" i="14" s="1"/>
  <c r="M4246" i="13"/>
  <c r="K4080" i="14" l="1"/>
  <c r="L4080" i="14" s="1"/>
  <c r="I4081" i="14" s="1"/>
  <c r="K4058" i="13"/>
  <c r="L4058" i="13" s="1"/>
  <c r="I4059" i="13" s="1"/>
  <c r="M4247" i="13"/>
  <c r="M4248" i="14"/>
  <c r="N4244" i="14"/>
  <c r="J4243" i="14" a="1"/>
  <c r="J4243" i="14" s="1"/>
  <c r="J4244" i="13" a="1"/>
  <c r="J4244" i="13" s="1"/>
  <c r="N4245" i="13"/>
  <c r="K4059" i="13" l="1"/>
  <c r="L4059" i="13" s="1"/>
  <c r="I4060" i="13" s="1"/>
  <c r="K4081" i="14"/>
  <c r="L4081" i="14" s="1"/>
  <c r="I4082" i="14" s="1"/>
  <c r="N4246" i="13"/>
  <c r="J4245" i="13" a="1"/>
  <c r="J4245" i="13" s="1"/>
  <c r="M4249" i="14"/>
  <c r="J4244" i="14" a="1"/>
  <c r="J4244" i="14" s="1"/>
  <c r="N4245" i="14"/>
  <c r="M4248" i="13"/>
  <c r="K4082" i="14" l="1"/>
  <c r="L4082" i="14" s="1"/>
  <c r="I4083" i="14" s="1"/>
  <c r="K4060" i="13"/>
  <c r="L4060" i="13" s="1"/>
  <c r="I4061" i="13" s="1"/>
  <c r="M4249" i="13"/>
  <c r="J4245" i="14" a="1"/>
  <c r="J4245" i="14" s="1"/>
  <c r="N4246" i="14"/>
  <c r="M4250" i="14"/>
  <c r="J4246" i="13" a="1"/>
  <c r="J4246" i="13" s="1"/>
  <c r="N4247" i="13"/>
  <c r="K4061" i="13" l="1"/>
  <c r="L4061" i="13" s="1"/>
  <c r="I4062" i="13" s="1"/>
  <c r="K4083" i="14"/>
  <c r="L4083" i="14" s="1"/>
  <c r="I4084" i="14" s="1"/>
  <c r="N4247" i="14"/>
  <c r="J4246" i="14" a="1"/>
  <c r="J4246" i="14" s="1"/>
  <c r="N4248" i="13"/>
  <c r="J4247" i="13" a="1"/>
  <c r="J4247" i="13" s="1"/>
  <c r="M4251" i="14"/>
  <c r="M4250" i="13"/>
  <c r="K4084" i="14" l="1"/>
  <c r="L4084" i="14" s="1"/>
  <c r="I4085" i="14" s="1"/>
  <c r="K4062" i="13"/>
  <c r="L4062" i="13" s="1"/>
  <c r="I4063" i="13" s="1"/>
  <c r="J4248" i="13" a="1"/>
  <c r="J4248" i="13" s="1"/>
  <c r="N4249" i="13"/>
  <c r="M4251" i="13"/>
  <c r="M4252" i="14"/>
  <c r="N4248" i="14"/>
  <c r="J4247" i="14" a="1"/>
  <c r="J4247" i="14" s="1"/>
  <c r="K4063" i="13" l="1"/>
  <c r="L4063" i="13" s="1"/>
  <c r="I4064" i="13" s="1"/>
  <c r="K4085" i="14"/>
  <c r="L4085" i="14" s="1"/>
  <c r="I4086" i="14" s="1"/>
  <c r="J4248" i="14" a="1"/>
  <c r="J4248" i="14" s="1"/>
  <c r="N4249" i="14"/>
  <c r="M4252" i="13"/>
  <c r="N4250" i="13"/>
  <c r="J4249" i="13" a="1"/>
  <c r="J4249" i="13" s="1"/>
  <c r="M4253" i="14"/>
  <c r="K4086" i="14" l="1"/>
  <c r="L4086" i="14" s="1"/>
  <c r="I4087" i="14" s="1"/>
  <c r="K4064" i="13"/>
  <c r="L4064" i="13" s="1"/>
  <c r="I4065" i="13" s="1"/>
  <c r="M4254" i="14"/>
  <c r="M4253" i="13"/>
  <c r="J4250" i="13" a="1"/>
  <c r="J4250" i="13" s="1"/>
  <c r="N4251" i="13"/>
  <c r="J4249" i="14" a="1"/>
  <c r="J4249" i="14" s="1"/>
  <c r="N4250" i="14"/>
  <c r="K4065" i="13" l="1"/>
  <c r="L4065" i="13" s="1"/>
  <c r="I4066" i="13" s="1"/>
  <c r="K4087" i="14"/>
  <c r="L4087" i="14" s="1"/>
  <c r="I4088" i="14" s="1"/>
  <c r="J4250" i="14" a="1"/>
  <c r="J4250" i="14" s="1"/>
  <c r="N4251" i="14"/>
  <c r="M4254" i="13"/>
  <c r="N4252" i="13"/>
  <c r="J4251" i="13" a="1"/>
  <c r="J4251" i="13" s="1"/>
  <c r="M4255" i="14"/>
  <c r="K4088" i="14" l="1"/>
  <c r="L4088" i="14" s="1"/>
  <c r="I4089" i="14" s="1"/>
  <c r="K4066" i="13"/>
  <c r="L4066" i="13" s="1"/>
  <c r="I4067" i="13" s="1"/>
  <c r="M4255" i="13"/>
  <c r="J4252" i="13" a="1"/>
  <c r="J4252" i="13" s="1"/>
  <c r="N4253" i="13"/>
  <c r="M4256" i="14"/>
  <c r="N4252" i="14"/>
  <c r="J4251" i="14" a="1"/>
  <c r="J4251" i="14" s="1"/>
  <c r="K4067" i="13" l="1"/>
  <c r="L4067" i="13" s="1"/>
  <c r="I4068" i="13" s="1"/>
  <c r="K4089" i="14"/>
  <c r="L4089" i="14" s="1"/>
  <c r="I4090" i="14" s="1"/>
  <c r="N4254" i="13"/>
  <c r="J4253" i="13" a="1"/>
  <c r="J4253" i="13" s="1"/>
  <c r="J4252" i="14" a="1"/>
  <c r="J4252" i="14" s="1"/>
  <c r="N4253" i="14"/>
  <c r="M4257" i="14"/>
  <c r="M4256" i="13"/>
  <c r="K4090" i="14" l="1"/>
  <c r="L4090" i="14" s="1"/>
  <c r="I4091" i="14" s="1"/>
  <c r="K4068" i="13"/>
  <c r="L4068" i="13" s="1"/>
  <c r="I4069" i="13" s="1"/>
  <c r="M4257" i="13"/>
  <c r="J4253" i="14" a="1"/>
  <c r="J4253" i="14" s="1"/>
  <c r="N4254" i="14"/>
  <c r="M4258" i="14"/>
  <c r="J4254" i="13" a="1"/>
  <c r="J4254" i="13" s="1"/>
  <c r="N4255" i="13"/>
  <c r="K4069" i="13" l="1"/>
  <c r="L4069" i="13" s="1"/>
  <c r="I4070" i="13" s="1"/>
  <c r="K4091" i="14"/>
  <c r="L4091" i="14" s="1"/>
  <c r="I4092" i="14" s="1"/>
  <c r="N4255" i="14"/>
  <c r="J4254" i="14" a="1"/>
  <c r="J4254" i="14" s="1"/>
  <c r="N4256" i="13"/>
  <c r="J4255" i="13" a="1"/>
  <c r="J4255" i="13" s="1"/>
  <c r="M4259" i="14"/>
  <c r="M4258" i="13"/>
  <c r="K4092" i="14" l="1"/>
  <c r="L4092" i="14" s="1"/>
  <c r="I4093" i="14" s="1"/>
  <c r="K4070" i="13"/>
  <c r="L4070" i="13" s="1"/>
  <c r="I4071" i="13" s="1"/>
  <c r="J4256" i="13" a="1"/>
  <c r="J4256" i="13" s="1"/>
  <c r="N4257" i="13"/>
  <c r="M4259" i="13"/>
  <c r="M4260" i="14"/>
  <c r="N4256" i="14"/>
  <c r="J4255" i="14" a="1"/>
  <c r="J4255" i="14" s="1"/>
  <c r="K4071" i="13" l="1"/>
  <c r="L4071" i="13" s="1"/>
  <c r="I4072" i="13" s="1"/>
  <c r="K4093" i="14"/>
  <c r="L4093" i="14" s="1"/>
  <c r="I4094" i="14" s="1"/>
  <c r="J4256" i="14" a="1"/>
  <c r="J4256" i="14" s="1"/>
  <c r="N4257" i="14"/>
  <c r="M4260" i="13"/>
  <c r="N4258" i="13"/>
  <c r="J4257" i="13" a="1"/>
  <c r="J4257" i="13" s="1"/>
  <c r="M4261" i="14"/>
  <c r="K4094" i="14" l="1"/>
  <c r="L4094" i="14" s="1"/>
  <c r="I4095" i="14" s="1"/>
  <c r="K4072" i="13"/>
  <c r="L4072" i="13" s="1"/>
  <c r="I4073" i="13" s="1"/>
  <c r="M4262" i="14"/>
  <c r="M4261" i="13"/>
  <c r="J4257" i="14" a="1"/>
  <c r="J4257" i="14" s="1"/>
  <c r="N4258" i="14"/>
  <c r="J4258" i="13" a="1"/>
  <c r="J4258" i="13" s="1"/>
  <c r="N4259" i="13"/>
  <c r="K4073" i="13" l="1"/>
  <c r="L4073" i="13" s="1"/>
  <c r="I4074" i="13" s="1"/>
  <c r="K4095" i="14"/>
  <c r="L4095" i="14" s="1"/>
  <c r="I4096" i="14" s="1"/>
  <c r="N4260" i="13"/>
  <c r="J4259" i="13" a="1"/>
  <c r="J4259" i="13" s="1"/>
  <c r="M4262" i="13"/>
  <c r="N4259" i="14"/>
  <c r="J4258" i="14" a="1"/>
  <c r="J4258" i="14" s="1"/>
  <c r="M4263" i="14"/>
  <c r="K4096" i="14" l="1"/>
  <c r="L4096" i="14" s="1"/>
  <c r="I4097" i="14" s="1"/>
  <c r="K4074" i="13"/>
  <c r="L4074" i="13" s="1"/>
  <c r="I4075" i="13" s="1"/>
  <c r="M4263" i="13"/>
  <c r="M4264" i="14"/>
  <c r="N4260" i="14"/>
  <c r="J4259" i="14" a="1"/>
  <c r="J4259" i="14" s="1"/>
  <c r="J4260" i="13" a="1"/>
  <c r="J4260" i="13" s="1"/>
  <c r="N4261" i="13"/>
  <c r="K4075" i="13" l="1"/>
  <c r="L4075" i="13" s="1"/>
  <c r="I4076" i="13" s="1"/>
  <c r="K4097" i="14"/>
  <c r="L4097" i="14" s="1"/>
  <c r="I4098" i="14" s="1"/>
  <c r="N4262" i="13"/>
  <c r="J4261" i="13" a="1"/>
  <c r="J4261" i="13" s="1"/>
  <c r="M4265" i="14"/>
  <c r="J4260" i="14" a="1"/>
  <c r="J4260" i="14" s="1"/>
  <c r="N4261" i="14"/>
  <c r="M4264" i="13"/>
  <c r="K4098" i="14" l="1"/>
  <c r="L4098" i="14" s="1"/>
  <c r="I4099" i="14" s="1"/>
  <c r="K4076" i="13"/>
  <c r="L4076" i="13" s="1"/>
  <c r="I4077" i="13" s="1"/>
  <c r="M4266" i="14"/>
  <c r="J4261" i="14" a="1"/>
  <c r="J4261" i="14" s="1"/>
  <c r="N4262" i="14"/>
  <c r="M4265" i="13"/>
  <c r="J4262" i="13" a="1"/>
  <c r="J4262" i="13" s="1"/>
  <c r="N4263" i="13"/>
  <c r="K4077" i="13" l="1"/>
  <c r="L4077" i="13" s="1"/>
  <c r="I4078" i="13" s="1"/>
  <c r="K4099" i="14"/>
  <c r="L4099" i="14" s="1"/>
  <c r="I4100" i="14" s="1"/>
  <c r="N4264" i="13"/>
  <c r="J4263" i="13" a="1"/>
  <c r="J4263" i="13" s="1"/>
  <c r="N4263" i="14"/>
  <c r="J4262" i="14" a="1"/>
  <c r="J4262" i="14" s="1"/>
  <c r="M4267" i="14"/>
  <c r="M4266" i="13"/>
  <c r="K4100" i="14" l="1"/>
  <c r="L4100" i="14" s="1"/>
  <c r="I4101" i="14" s="1"/>
  <c r="K4078" i="13"/>
  <c r="L4078" i="13" s="1"/>
  <c r="I4079" i="13" s="1"/>
  <c r="N4264" i="14"/>
  <c r="J4263" i="14" a="1"/>
  <c r="J4263" i="14" s="1"/>
  <c r="M4267" i="13"/>
  <c r="M4268" i="14"/>
  <c r="J4264" i="13" a="1"/>
  <c r="J4264" i="13" s="1"/>
  <c r="N4265" i="13"/>
  <c r="K4079" i="13" l="1"/>
  <c r="L4079" i="13" s="1"/>
  <c r="I4080" i="13" s="1"/>
  <c r="K4101" i="14"/>
  <c r="L4101" i="14" s="1"/>
  <c r="I4102" i="14" s="1"/>
  <c r="N4266" i="13"/>
  <c r="J4265" i="13" a="1"/>
  <c r="J4265" i="13" s="1"/>
  <c r="M4268" i="13"/>
  <c r="M4269" i="14"/>
  <c r="J4264" i="14" a="1"/>
  <c r="J4264" i="14" s="1"/>
  <c r="N4265" i="14"/>
  <c r="K4102" i="14" l="1"/>
  <c r="L4102" i="14" s="1"/>
  <c r="I4103" i="14" s="1"/>
  <c r="K4080" i="13"/>
  <c r="L4080" i="13" s="1"/>
  <c r="I4081" i="13" s="1"/>
  <c r="J4265" i="14" a="1"/>
  <c r="J4265" i="14" s="1"/>
  <c r="N4266" i="14"/>
  <c r="M4269" i="13"/>
  <c r="M4270" i="14"/>
  <c r="J4266" i="13" a="1"/>
  <c r="J4266" i="13" s="1"/>
  <c r="N4267" i="13"/>
  <c r="K4081" i="13" l="1"/>
  <c r="L4081" i="13" s="1"/>
  <c r="I4082" i="13" s="1"/>
  <c r="K4103" i="14"/>
  <c r="L4103" i="14" s="1"/>
  <c r="I4104" i="14" s="1"/>
  <c r="N4268" i="13"/>
  <c r="J4267" i="13" a="1"/>
  <c r="J4267" i="13" s="1"/>
  <c r="M4270" i="13"/>
  <c r="M4271" i="14"/>
  <c r="J4266" i="14" a="1"/>
  <c r="J4266" i="14" s="1"/>
  <c r="N4267" i="14"/>
  <c r="K4104" i="14" l="1"/>
  <c r="L4104" i="14" s="1"/>
  <c r="I4105" i="14" s="1"/>
  <c r="K4082" i="13"/>
  <c r="L4082" i="13" s="1"/>
  <c r="I4083" i="13" s="1"/>
  <c r="N4268" i="14"/>
  <c r="J4267" i="14" a="1"/>
  <c r="J4267" i="14" s="1"/>
  <c r="M4271" i="13"/>
  <c r="M4272" i="14"/>
  <c r="J4268" i="13" a="1"/>
  <c r="J4268" i="13" s="1"/>
  <c r="N4269" i="13"/>
  <c r="K4083" i="13" l="1"/>
  <c r="L4083" i="13" s="1"/>
  <c r="I4084" i="13" s="1"/>
  <c r="K4105" i="14"/>
  <c r="L4105" i="14" s="1"/>
  <c r="I4106" i="14" s="1"/>
  <c r="N4270" i="13"/>
  <c r="J4269" i="13" a="1"/>
  <c r="J4269" i="13" s="1"/>
  <c r="M4272" i="13"/>
  <c r="M4273" i="14"/>
  <c r="J4268" i="14" a="1"/>
  <c r="J4268" i="14" s="1"/>
  <c r="N4269" i="14"/>
  <c r="K4106" i="14" l="1"/>
  <c r="L4106" i="14" s="1"/>
  <c r="I4107" i="14" s="1"/>
  <c r="K4084" i="13"/>
  <c r="L4084" i="13" s="1"/>
  <c r="I4085" i="13" s="1"/>
  <c r="J4269" i="14" a="1"/>
  <c r="J4269" i="14" s="1"/>
  <c r="N4270" i="14"/>
  <c r="M4273" i="13"/>
  <c r="M4274" i="14"/>
  <c r="J4270" i="13" a="1"/>
  <c r="J4270" i="13" s="1"/>
  <c r="N4271" i="13"/>
  <c r="K4085" i="13" l="1"/>
  <c r="L4085" i="13" s="1"/>
  <c r="I4086" i="13" s="1"/>
  <c r="K4107" i="14"/>
  <c r="L4107" i="14" s="1"/>
  <c r="I4108" i="14" s="1"/>
  <c r="M4275" i="14"/>
  <c r="N4272" i="13"/>
  <c r="J4271" i="13" a="1"/>
  <c r="J4271" i="13" s="1"/>
  <c r="M4274" i="13"/>
  <c r="N4271" i="14"/>
  <c r="J4270" i="14" a="1"/>
  <c r="J4270" i="14" s="1"/>
  <c r="K4108" i="14" l="1"/>
  <c r="L4108" i="14" s="1"/>
  <c r="I4109" i="14" s="1"/>
  <c r="K4086" i="13"/>
  <c r="L4086" i="13" s="1"/>
  <c r="I4087" i="13" s="1"/>
  <c r="J4272" i="13" a="1"/>
  <c r="J4272" i="13" s="1"/>
  <c r="N4273" i="13"/>
  <c r="N4272" i="14"/>
  <c r="J4271" i="14" a="1"/>
  <c r="J4271" i="14" s="1"/>
  <c r="M4275" i="13"/>
  <c r="M4276" i="14"/>
  <c r="K4109" i="14" l="1"/>
  <c r="L4109" i="14" s="1"/>
  <c r="I4110" i="14" s="1"/>
  <c r="J4272" i="14" a="1"/>
  <c r="J4272" i="14" s="1"/>
  <c r="N4273" i="14"/>
  <c r="N4274" i="13"/>
  <c r="J4273" i="13" a="1"/>
  <c r="J4273" i="13" s="1"/>
  <c r="M4277" i="14"/>
  <c r="K4087" i="13"/>
  <c r="L4087" i="13" s="1"/>
  <c r="I4088" i="13" s="1"/>
  <c r="M4276" i="13"/>
  <c r="K4088" i="13" l="1"/>
  <c r="L4088" i="13" s="1"/>
  <c r="I4089" i="13" s="1"/>
  <c r="K4110" i="14"/>
  <c r="L4110" i="14" s="1"/>
  <c r="I4111" i="14" s="1"/>
  <c r="M4277" i="13"/>
  <c r="M4278" i="14"/>
  <c r="J4273" i="14" a="1"/>
  <c r="J4273" i="14" s="1"/>
  <c r="N4274" i="14"/>
  <c r="J4274" i="13" a="1"/>
  <c r="J4274" i="13" s="1"/>
  <c r="N4275" i="13"/>
  <c r="K4089" i="13" l="1"/>
  <c r="L4089" i="13" s="1"/>
  <c r="I4090" i="13" s="1"/>
  <c r="N4276" i="13"/>
  <c r="J4275" i="13" a="1"/>
  <c r="J4275" i="13" s="1"/>
  <c r="M4279" i="14"/>
  <c r="K4111" i="14"/>
  <c r="L4111" i="14" s="1"/>
  <c r="I4112" i="14" s="1"/>
  <c r="N4275" i="14"/>
  <c r="J4274" i="14" a="1"/>
  <c r="J4274" i="14" s="1"/>
  <c r="M4278" i="13"/>
  <c r="K4112" i="14" l="1"/>
  <c r="L4112" i="14" s="1"/>
  <c r="I4113" i="14" s="1"/>
  <c r="K4090" i="13"/>
  <c r="L4090" i="13" s="1"/>
  <c r="I4091" i="13" s="1"/>
  <c r="J4276" i="13" a="1"/>
  <c r="J4276" i="13" s="1"/>
  <c r="N4277" i="13"/>
  <c r="M4279" i="13"/>
  <c r="N4276" i="14"/>
  <c r="J4275" i="14" a="1"/>
  <c r="J4275" i="14" s="1"/>
  <c r="M4280" i="14"/>
  <c r="K4091" i="13" l="1"/>
  <c r="L4091" i="13" s="1"/>
  <c r="I4092" i="13" s="1"/>
  <c r="K4113" i="14"/>
  <c r="L4113" i="14" s="1"/>
  <c r="I4114" i="14" s="1"/>
  <c r="J4276" i="14" a="1"/>
  <c r="J4276" i="14" s="1"/>
  <c r="N4277" i="14"/>
  <c r="M4281" i="14"/>
  <c r="M4280" i="13"/>
  <c r="N4278" i="13"/>
  <c r="J4277" i="13" a="1"/>
  <c r="J4277" i="13" s="1"/>
  <c r="K4114" i="14" l="1"/>
  <c r="L4114" i="14" s="1"/>
  <c r="I4115" i="14" s="1"/>
  <c r="K4092" i="13"/>
  <c r="L4092" i="13" s="1"/>
  <c r="I4093" i="13" s="1"/>
  <c r="M4281" i="13"/>
  <c r="J4278" i="13" a="1"/>
  <c r="J4278" i="13" s="1"/>
  <c r="N4279" i="13"/>
  <c r="M4282" i="14"/>
  <c r="J4277" i="14" a="1"/>
  <c r="J4277" i="14" s="1"/>
  <c r="N4278" i="14"/>
  <c r="K4093" i="13" l="1"/>
  <c r="L4093" i="13" s="1"/>
  <c r="I4094" i="13" s="1"/>
  <c r="K4115" i="14"/>
  <c r="L4115" i="14" s="1"/>
  <c r="I4116" i="14" s="1"/>
  <c r="N4280" i="13"/>
  <c r="J4279" i="13" a="1"/>
  <c r="J4279" i="13" s="1"/>
  <c r="N4279" i="14"/>
  <c r="J4278" i="14" a="1"/>
  <c r="J4278" i="14" s="1"/>
  <c r="M4283" i="14"/>
  <c r="M4282" i="13"/>
  <c r="K4116" i="14" l="1"/>
  <c r="L4116" i="14" s="1"/>
  <c r="I4117" i="14" s="1"/>
  <c r="K4094" i="13"/>
  <c r="L4094" i="13" s="1"/>
  <c r="I4095" i="13" s="1"/>
  <c r="M4283" i="13"/>
  <c r="N4280" i="14"/>
  <c r="J4279" i="14" a="1"/>
  <c r="J4279" i="14" s="1"/>
  <c r="M4284" i="14"/>
  <c r="J4280" i="13" a="1"/>
  <c r="J4280" i="13" s="1"/>
  <c r="N4281" i="13"/>
  <c r="K4095" i="13" l="1"/>
  <c r="L4095" i="13" s="1"/>
  <c r="I4096" i="13" s="1"/>
  <c r="K4117" i="14"/>
  <c r="L4117" i="14" s="1"/>
  <c r="I4118" i="14" s="1"/>
  <c r="J4280" i="14" a="1"/>
  <c r="J4280" i="14" s="1"/>
  <c r="N4281" i="14"/>
  <c r="N4282" i="13"/>
  <c r="J4281" i="13" a="1"/>
  <c r="J4281" i="13" s="1"/>
  <c r="M4285" i="14"/>
  <c r="M4284" i="13"/>
  <c r="K4118" i="14" l="1"/>
  <c r="L4118" i="14" s="1"/>
  <c r="I4119" i="14" s="1"/>
  <c r="K4096" i="13"/>
  <c r="L4096" i="13" s="1"/>
  <c r="I4097" i="13" s="1"/>
  <c r="M4285" i="13"/>
  <c r="J4282" i="13" a="1"/>
  <c r="J4282" i="13" s="1"/>
  <c r="N4283" i="13"/>
  <c r="J4281" i="14" a="1"/>
  <c r="J4281" i="14" s="1"/>
  <c r="N4282" i="14"/>
  <c r="M4286" i="14"/>
  <c r="K4097" i="13" l="1"/>
  <c r="L4097" i="13" s="1"/>
  <c r="I4098" i="13" s="1"/>
  <c r="K4119" i="14"/>
  <c r="L4119" i="14" s="1"/>
  <c r="I4120" i="14" s="1"/>
  <c r="M4287" i="14"/>
  <c r="N4284" i="13"/>
  <c r="J4283" i="13" a="1"/>
  <c r="J4283" i="13" s="1"/>
  <c r="J4282" i="14" a="1"/>
  <c r="J4282" i="14" s="1"/>
  <c r="N4283" i="14"/>
  <c r="M4286" i="13"/>
  <c r="K4120" i="14" l="1"/>
  <c r="L4120" i="14" s="1"/>
  <c r="I4121" i="14" s="1"/>
  <c r="K4098" i="13"/>
  <c r="L4098" i="13" s="1"/>
  <c r="I4099" i="13" s="1"/>
  <c r="J4284" i="13" a="1"/>
  <c r="J4284" i="13" s="1"/>
  <c r="N4285" i="13"/>
  <c r="N4284" i="14"/>
  <c r="J4283" i="14" a="1"/>
  <c r="J4283" i="14" s="1"/>
  <c r="M4287" i="13"/>
  <c r="M4288" i="14"/>
  <c r="K4099" i="13" l="1"/>
  <c r="L4099" i="13" s="1"/>
  <c r="I4100" i="13" s="1"/>
  <c r="K4121" i="14"/>
  <c r="L4121" i="14" s="1"/>
  <c r="I4122" i="14" s="1"/>
  <c r="J4284" i="14" a="1"/>
  <c r="J4284" i="14" s="1"/>
  <c r="N4285" i="14"/>
  <c r="N4286" i="13"/>
  <c r="J4285" i="13" a="1"/>
  <c r="J4285" i="13" s="1"/>
  <c r="M4289" i="14"/>
  <c r="M4288" i="13"/>
  <c r="K4122" i="14" l="1"/>
  <c r="L4122" i="14" s="1"/>
  <c r="I4123" i="14" s="1"/>
  <c r="K4100" i="13"/>
  <c r="L4100" i="13" s="1"/>
  <c r="I4101" i="13" s="1"/>
  <c r="J4286" i="13" a="1"/>
  <c r="J4286" i="13" s="1"/>
  <c r="N4287" i="13"/>
  <c r="J4285" i="14" a="1"/>
  <c r="J4285" i="14" s="1"/>
  <c r="N4286" i="14"/>
  <c r="M4289" i="13"/>
  <c r="M4290" i="14"/>
  <c r="K4101" i="13" l="1"/>
  <c r="L4101" i="13" s="1"/>
  <c r="I4102" i="13" s="1"/>
  <c r="K4123" i="14"/>
  <c r="L4123" i="14" s="1"/>
  <c r="I4124" i="14" s="1"/>
  <c r="N4287" i="14"/>
  <c r="J4286" i="14" a="1"/>
  <c r="J4286" i="14" s="1"/>
  <c r="M4291" i="14"/>
  <c r="N4288" i="13"/>
  <c r="J4287" i="13" a="1"/>
  <c r="J4287" i="13" s="1"/>
  <c r="M4290" i="13"/>
  <c r="K4124" i="14" l="1"/>
  <c r="L4124" i="14" s="1"/>
  <c r="I4125" i="14" s="1"/>
  <c r="K4102" i="13"/>
  <c r="L4102" i="13" s="1"/>
  <c r="I4103" i="13" s="1"/>
  <c r="M4291" i="13"/>
  <c r="J4288" i="13" a="1"/>
  <c r="J4288" i="13" s="1"/>
  <c r="N4289" i="13"/>
  <c r="M4292" i="14"/>
  <c r="N4288" i="14"/>
  <c r="J4287" i="14" a="1"/>
  <c r="J4287" i="14" s="1"/>
  <c r="K4103" i="13" l="1"/>
  <c r="L4103" i="13" s="1"/>
  <c r="I4104" i="13" s="1"/>
  <c r="K4125" i="14"/>
  <c r="L4125" i="14" s="1"/>
  <c r="I4126" i="14" s="1"/>
  <c r="N4290" i="13"/>
  <c r="J4289" i="13" a="1"/>
  <c r="J4289" i="13" s="1"/>
  <c r="J4288" i="14" a="1"/>
  <c r="J4288" i="14" s="1"/>
  <c r="N4289" i="14"/>
  <c r="M4293" i="14"/>
  <c r="M4292" i="13"/>
  <c r="K4126" i="14" l="1"/>
  <c r="L4126" i="14" s="1"/>
  <c r="I4127" i="14" s="1"/>
  <c r="K4104" i="13"/>
  <c r="L4104" i="13" s="1"/>
  <c r="I4105" i="13" s="1"/>
  <c r="J4289" i="14" a="1"/>
  <c r="J4289" i="14" s="1"/>
  <c r="N4290" i="14"/>
  <c r="M4293" i="13"/>
  <c r="M4294" i="14"/>
  <c r="J4290" i="13" a="1"/>
  <c r="J4290" i="13" s="1"/>
  <c r="N4291" i="13"/>
  <c r="K4105" i="13" l="1"/>
  <c r="L4105" i="13" s="1"/>
  <c r="I4106" i="13" s="1"/>
  <c r="K4127" i="14"/>
  <c r="L4127" i="14" s="1"/>
  <c r="I4128" i="14" s="1"/>
  <c r="N4292" i="13"/>
  <c r="J4291" i="13" a="1"/>
  <c r="J4291" i="13" s="1"/>
  <c r="M4294" i="13"/>
  <c r="N4291" i="14"/>
  <c r="J4290" i="14" a="1"/>
  <c r="J4290" i="14" s="1"/>
  <c r="M4295" i="14"/>
  <c r="K4128" i="14" l="1"/>
  <c r="L4128" i="14" s="1"/>
  <c r="I4129" i="14" s="1"/>
  <c r="K4106" i="13"/>
  <c r="L4106" i="13" s="1"/>
  <c r="I4107" i="13" s="1"/>
  <c r="M4295" i="13"/>
  <c r="M4296" i="14"/>
  <c r="N4292" i="14"/>
  <c r="J4291" i="14" a="1"/>
  <c r="J4291" i="14" s="1"/>
  <c r="J4292" i="13" a="1"/>
  <c r="J4292" i="13" s="1"/>
  <c r="N4293" i="13"/>
  <c r="K4107" i="13" l="1"/>
  <c r="L4107" i="13" s="1"/>
  <c r="I4108" i="13" s="1"/>
  <c r="K4129" i="14"/>
  <c r="L4129" i="14" s="1"/>
  <c r="I4130" i="14" s="1"/>
  <c r="N4294" i="13"/>
  <c r="J4293" i="13" a="1"/>
  <c r="J4293" i="13" s="1"/>
  <c r="M4297" i="14"/>
  <c r="J4292" i="14" a="1"/>
  <c r="J4292" i="14" s="1"/>
  <c r="N4293" i="14"/>
  <c r="M4296" i="13"/>
  <c r="K4108" i="13" l="1"/>
  <c r="L4108" i="13" s="1"/>
  <c r="I4109" i="13" s="1"/>
  <c r="J4293" i="14" a="1"/>
  <c r="J4293" i="14" s="1"/>
  <c r="N4294" i="14"/>
  <c r="M4297" i="13"/>
  <c r="K4130" i="14"/>
  <c r="L4130" i="14" s="1"/>
  <c r="I4131" i="14" s="1"/>
  <c r="M4298" i="14"/>
  <c r="J4294" i="13" a="1"/>
  <c r="J4294" i="13" s="1"/>
  <c r="N4295" i="13"/>
  <c r="K4131" i="14" l="1"/>
  <c r="L4131" i="14" s="1"/>
  <c r="I4132" i="14" s="1"/>
  <c r="K4109" i="13"/>
  <c r="L4109" i="13" s="1"/>
  <c r="I4110" i="13" s="1"/>
  <c r="N4296" i="13"/>
  <c r="J4295" i="13" a="1"/>
  <c r="J4295" i="13" s="1"/>
  <c r="N4295" i="14"/>
  <c r="J4294" i="14" a="1"/>
  <c r="J4294" i="14" s="1"/>
  <c r="M4299" i="14"/>
  <c r="M4298" i="13"/>
  <c r="K4110" i="13" l="1"/>
  <c r="L4110" i="13" s="1"/>
  <c r="I4111" i="13" s="1"/>
  <c r="K4132" i="14"/>
  <c r="L4132" i="14" s="1"/>
  <c r="I4133" i="14" s="1"/>
  <c r="M4299" i="13"/>
  <c r="N4296" i="14"/>
  <c r="J4295" i="14" a="1"/>
  <c r="J4295" i="14" s="1"/>
  <c r="M4300" i="14"/>
  <c r="J4296" i="13" a="1"/>
  <c r="J4296" i="13" s="1"/>
  <c r="N4297" i="13"/>
  <c r="K4133" i="14" l="1"/>
  <c r="L4133" i="14" s="1"/>
  <c r="I4134" i="14" s="1"/>
  <c r="K4111" i="13"/>
  <c r="L4111" i="13" s="1"/>
  <c r="I4112" i="13" s="1"/>
  <c r="N4298" i="13"/>
  <c r="J4297" i="13" a="1"/>
  <c r="J4297" i="13" s="1"/>
  <c r="J4296" i="14" a="1"/>
  <c r="J4296" i="14" s="1"/>
  <c r="N4297" i="14"/>
  <c r="M4301" i="14"/>
  <c r="M4300" i="13"/>
  <c r="K4112" i="13" l="1"/>
  <c r="L4112" i="13" s="1"/>
  <c r="I4113" i="13" s="1"/>
  <c r="K4134" i="14"/>
  <c r="L4134" i="14" s="1"/>
  <c r="I4135" i="14" s="1"/>
  <c r="M4301" i="13"/>
  <c r="J4297" i="14" a="1"/>
  <c r="J4297" i="14" s="1"/>
  <c r="N4298" i="14"/>
  <c r="M4302" i="14"/>
  <c r="J4298" i="13" a="1"/>
  <c r="J4298" i="13" s="1"/>
  <c r="N4299" i="13"/>
  <c r="K4135" i="14" l="1"/>
  <c r="L4135" i="14" s="1"/>
  <c r="I4136" i="14" s="1"/>
  <c r="K4113" i="13"/>
  <c r="L4113" i="13" s="1"/>
  <c r="I4114" i="13" s="1"/>
  <c r="J4298" i="14" a="1"/>
  <c r="J4298" i="14" s="1"/>
  <c r="N4299" i="14"/>
  <c r="N4300" i="13"/>
  <c r="J4299" i="13" a="1"/>
  <c r="J4299" i="13" s="1"/>
  <c r="M4303" i="14"/>
  <c r="M4302" i="13"/>
  <c r="K4114" i="13" l="1"/>
  <c r="L4114" i="13" s="1"/>
  <c r="I4115" i="13" s="1"/>
  <c r="K4136" i="14"/>
  <c r="L4136" i="14" s="1"/>
  <c r="I4137" i="14" s="1"/>
  <c r="J4300" i="13" a="1"/>
  <c r="J4300" i="13" s="1"/>
  <c r="N4301" i="13"/>
  <c r="M4303" i="13"/>
  <c r="N4300" i="14"/>
  <c r="J4299" i="14" a="1"/>
  <c r="J4299" i="14" s="1"/>
  <c r="M4304" i="14"/>
  <c r="K4137" i="14" l="1"/>
  <c r="L4137" i="14" s="1"/>
  <c r="I4138" i="14" s="1"/>
  <c r="K4115" i="13"/>
  <c r="L4115" i="13" s="1"/>
  <c r="I4116" i="13" s="1"/>
  <c r="M4305" i="14"/>
  <c r="M4304" i="13"/>
  <c r="N4302" i="13"/>
  <c r="J4301" i="13" a="1"/>
  <c r="J4301" i="13" s="1"/>
  <c r="J4300" i="14" a="1"/>
  <c r="J4300" i="14" s="1"/>
  <c r="N4301" i="14"/>
  <c r="K4116" i="13" l="1"/>
  <c r="L4116" i="13" s="1"/>
  <c r="I4117" i="13" s="1"/>
  <c r="K4138" i="14"/>
  <c r="L4138" i="14" s="1"/>
  <c r="I4139" i="14" s="1"/>
  <c r="J4301" i="14" a="1"/>
  <c r="J4301" i="14" s="1"/>
  <c r="N4302" i="14"/>
  <c r="M4305" i="13"/>
  <c r="J4302" i="13" a="1"/>
  <c r="J4302" i="13" s="1"/>
  <c r="N4303" i="13"/>
  <c r="M4306" i="14"/>
  <c r="K4139" i="14" l="1"/>
  <c r="L4139" i="14" s="1"/>
  <c r="I4140" i="14" s="1"/>
  <c r="K4117" i="13"/>
  <c r="L4117" i="13" s="1"/>
  <c r="I4118" i="13" s="1"/>
  <c r="N4304" i="13"/>
  <c r="J4303" i="13" a="1"/>
  <c r="J4303" i="13" s="1"/>
  <c r="M4307" i="14"/>
  <c r="M4306" i="13"/>
  <c r="N4303" i="14"/>
  <c r="J4302" i="14" a="1"/>
  <c r="J4302" i="14" s="1"/>
  <c r="K4118" i="13" l="1"/>
  <c r="L4118" i="13" s="1"/>
  <c r="I4119" i="13" s="1"/>
  <c r="K4140" i="14"/>
  <c r="L4140" i="14" s="1"/>
  <c r="I4141" i="14" s="1"/>
  <c r="N4304" i="14"/>
  <c r="J4303" i="14" a="1"/>
  <c r="J4303" i="14" s="1"/>
  <c r="M4308" i="14"/>
  <c r="M4307" i="13"/>
  <c r="J4304" i="13" a="1"/>
  <c r="J4304" i="13" s="1"/>
  <c r="N4305" i="13"/>
  <c r="K4141" i="14" l="1"/>
  <c r="L4141" i="14" s="1"/>
  <c r="I4142" i="14" s="1"/>
  <c r="K4119" i="13"/>
  <c r="L4119" i="13" s="1"/>
  <c r="I4120" i="13" s="1"/>
  <c r="N4306" i="13"/>
  <c r="J4305" i="13" a="1"/>
  <c r="J4305" i="13" s="1"/>
  <c r="M4309" i="14"/>
  <c r="M4308" i="13"/>
  <c r="J4304" i="14" a="1"/>
  <c r="J4304" i="14" s="1"/>
  <c r="N4305" i="14"/>
  <c r="K4120" i="13" l="1"/>
  <c r="L4120" i="13" s="1"/>
  <c r="I4121" i="13" s="1"/>
  <c r="K4142" i="14"/>
  <c r="L4142" i="14" s="1"/>
  <c r="I4143" i="14" s="1"/>
  <c r="J4305" i="14" a="1"/>
  <c r="J4305" i="14" s="1"/>
  <c r="N4306" i="14"/>
  <c r="M4310" i="14"/>
  <c r="M4309" i="13"/>
  <c r="J4306" i="13" a="1"/>
  <c r="J4306" i="13" s="1"/>
  <c r="N4307" i="13"/>
  <c r="K4143" i="14" l="1"/>
  <c r="L4143" i="14" s="1"/>
  <c r="I4144" i="14" s="1"/>
  <c r="K4121" i="13"/>
  <c r="L4121" i="13" s="1"/>
  <c r="I4122" i="13" s="1"/>
  <c r="N4308" i="13"/>
  <c r="J4307" i="13" a="1"/>
  <c r="J4307" i="13" s="1"/>
  <c r="M4311" i="14"/>
  <c r="N4307" i="14"/>
  <c r="J4306" i="14" a="1"/>
  <c r="J4306" i="14" s="1"/>
  <c r="M4310" i="13"/>
  <c r="K4122" i="13" l="1"/>
  <c r="L4122" i="13" s="1"/>
  <c r="I4123" i="13" s="1"/>
  <c r="K4144" i="14"/>
  <c r="L4144" i="14" s="1"/>
  <c r="I4145" i="14" s="1"/>
  <c r="M4311" i="13"/>
  <c r="M4312" i="14"/>
  <c r="N4308" i="14"/>
  <c r="J4307" i="14" a="1"/>
  <c r="J4307" i="14" s="1"/>
  <c r="J4308" i="13" a="1"/>
  <c r="J4308" i="13" s="1"/>
  <c r="N4309" i="13"/>
  <c r="K4145" i="14" l="1"/>
  <c r="L4145" i="14" s="1"/>
  <c r="I4146" i="14" s="1"/>
  <c r="K4123" i="13"/>
  <c r="L4123" i="13" s="1"/>
  <c r="I4124" i="13" s="1"/>
  <c r="N4310" i="13"/>
  <c r="J4309" i="13" a="1"/>
  <c r="J4309" i="13" s="1"/>
  <c r="M4313" i="14"/>
  <c r="J4308" i="14" a="1"/>
  <c r="J4308" i="14" s="1"/>
  <c r="N4309" i="14"/>
  <c r="M4312" i="13"/>
  <c r="K4124" i="13" l="1"/>
  <c r="L4124" i="13" s="1"/>
  <c r="I4125" i="13" s="1"/>
  <c r="K4146" i="14"/>
  <c r="L4146" i="14" s="1"/>
  <c r="I4147" i="14" s="1"/>
  <c r="M4313" i="13"/>
  <c r="J4309" i="14" a="1"/>
  <c r="J4309" i="14" s="1"/>
  <c r="N4310" i="14"/>
  <c r="M4314" i="14"/>
  <c r="J4310" i="13" a="1"/>
  <c r="J4310" i="13" s="1"/>
  <c r="N4311" i="13"/>
  <c r="K4147" i="14" l="1"/>
  <c r="L4147" i="14" s="1"/>
  <c r="I4148" i="14" s="1"/>
  <c r="K4125" i="13"/>
  <c r="L4125" i="13" s="1"/>
  <c r="I4126" i="13" s="1"/>
  <c r="N4311" i="14"/>
  <c r="J4310" i="14" a="1"/>
  <c r="J4310" i="14" s="1"/>
  <c r="N4312" i="13"/>
  <c r="J4311" i="13" a="1"/>
  <c r="J4311" i="13" s="1"/>
  <c r="M4315" i="14"/>
  <c r="M4314" i="13"/>
  <c r="K4126" i="13" l="1"/>
  <c r="L4126" i="13" s="1"/>
  <c r="I4127" i="13" s="1"/>
  <c r="K4148" i="14"/>
  <c r="L4148" i="14" s="1"/>
  <c r="I4149" i="14" s="1"/>
  <c r="J4312" i="13" a="1"/>
  <c r="J4312" i="13" s="1"/>
  <c r="N4313" i="13"/>
  <c r="M4315" i="13"/>
  <c r="M4316" i="14"/>
  <c r="N4312" i="14"/>
  <c r="J4311" i="14" a="1"/>
  <c r="J4311" i="14" s="1"/>
  <c r="K4149" i="14" l="1"/>
  <c r="L4149" i="14" s="1"/>
  <c r="I4150" i="14" s="1"/>
  <c r="K4127" i="13"/>
  <c r="L4127" i="13" s="1"/>
  <c r="I4128" i="13" s="1"/>
  <c r="J4312" i="14" a="1"/>
  <c r="J4312" i="14" s="1"/>
  <c r="N4313" i="14"/>
  <c r="M4316" i="13"/>
  <c r="N4314" i="13"/>
  <c r="J4313" i="13" a="1"/>
  <c r="J4313" i="13" s="1"/>
  <c r="M4317" i="14"/>
  <c r="K4128" i="13" l="1"/>
  <c r="L4128" i="13" s="1"/>
  <c r="I4129" i="13" s="1"/>
  <c r="K4150" i="14"/>
  <c r="L4150" i="14" s="1"/>
  <c r="I4151" i="14" s="1"/>
  <c r="M4318" i="14"/>
  <c r="M4317" i="13"/>
  <c r="J4313" i="14" a="1"/>
  <c r="J4313" i="14" s="1"/>
  <c r="N4314" i="14"/>
  <c r="J4314" i="13" a="1"/>
  <c r="J4314" i="13" s="1"/>
  <c r="N4315" i="13"/>
  <c r="K4151" i="14" l="1"/>
  <c r="L4151" i="14" s="1"/>
  <c r="I4152" i="14" s="1"/>
  <c r="K4129" i="13"/>
  <c r="L4129" i="13" s="1"/>
  <c r="I4130" i="13" s="1"/>
  <c r="N4316" i="13"/>
  <c r="J4315" i="13" a="1"/>
  <c r="J4315" i="13" s="1"/>
  <c r="M4318" i="13"/>
  <c r="J4314" i="14" a="1"/>
  <c r="J4314" i="14" s="1"/>
  <c r="N4315" i="14"/>
  <c r="M4319" i="14"/>
  <c r="K4130" i="13" l="1"/>
  <c r="L4130" i="13" s="1"/>
  <c r="I4131" i="13" s="1"/>
  <c r="K4152" i="14"/>
  <c r="L4152" i="14" s="1"/>
  <c r="I4153" i="14" s="1"/>
  <c r="M4319" i="13"/>
  <c r="M4320" i="14"/>
  <c r="N4316" i="14"/>
  <c r="J4315" i="14" a="1"/>
  <c r="J4315" i="14" s="1"/>
  <c r="J4316" i="13" a="1"/>
  <c r="J4316" i="13" s="1"/>
  <c r="N4317" i="13"/>
  <c r="K4153" i="14" l="1"/>
  <c r="L4153" i="14" s="1"/>
  <c r="I4154" i="14" s="1"/>
  <c r="K4131" i="13"/>
  <c r="L4131" i="13" s="1"/>
  <c r="I4132" i="13" s="1"/>
  <c r="N4318" i="13"/>
  <c r="J4317" i="13" a="1"/>
  <c r="J4317" i="13" s="1"/>
  <c r="M4321" i="14"/>
  <c r="J4316" i="14" a="1"/>
  <c r="J4316" i="14" s="1"/>
  <c r="N4317" i="14"/>
  <c r="M4320" i="13"/>
  <c r="K4132" i="13" l="1"/>
  <c r="L4132" i="13" s="1"/>
  <c r="I4133" i="13" s="1"/>
  <c r="K4154" i="14"/>
  <c r="L4154" i="14" s="1"/>
  <c r="I4155" i="14" s="1"/>
  <c r="M4321" i="13"/>
  <c r="J4317" i="14" a="1"/>
  <c r="J4317" i="14" s="1"/>
  <c r="N4318" i="14"/>
  <c r="M4322" i="14"/>
  <c r="J4318" i="13" a="1"/>
  <c r="J4318" i="13" s="1"/>
  <c r="N4319" i="13"/>
  <c r="K4155" i="14" l="1"/>
  <c r="L4155" i="14" s="1"/>
  <c r="I4156" i="14" s="1"/>
  <c r="K4133" i="13"/>
  <c r="L4133" i="13" s="1"/>
  <c r="I4134" i="13" s="1"/>
  <c r="N4319" i="14"/>
  <c r="J4318" i="14" a="1"/>
  <c r="J4318" i="14" s="1"/>
  <c r="N4320" i="13"/>
  <c r="J4319" i="13" a="1"/>
  <c r="J4319" i="13" s="1"/>
  <c r="M4323" i="14"/>
  <c r="M4322" i="13"/>
  <c r="K4134" i="13" l="1"/>
  <c r="L4134" i="13" s="1"/>
  <c r="I4135" i="13" s="1"/>
  <c r="K4156" i="14"/>
  <c r="L4156" i="14" s="1"/>
  <c r="I4157" i="14" s="1"/>
  <c r="J4320" i="13" a="1"/>
  <c r="J4320" i="13" s="1"/>
  <c r="N4321" i="13"/>
  <c r="M4323" i="13"/>
  <c r="M4324" i="14"/>
  <c r="N4320" i="14"/>
  <c r="J4319" i="14" a="1"/>
  <c r="J4319" i="14" s="1"/>
  <c r="K4157" i="14" l="1"/>
  <c r="L4157" i="14" s="1"/>
  <c r="I4158" i="14" s="1"/>
  <c r="K4135" i="13"/>
  <c r="L4135" i="13" s="1"/>
  <c r="I4136" i="13" s="1"/>
  <c r="J4320" i="14" a="1"/>
  <c r="J4320" i="14" s="1"/>
  <c r="N4321" i="14"/>
  <c r="M4324" i="13"/>
  <c r="N4322" i="13"/>
  <c r="J4321" i="13" a="1"/>
  <c r="J4321" i="13" s="1"/>
  <c r="M4325" i="14"/>
  <c r="K4136" i="13" l="1"/>
  <c r="L4136" i="13" s="1"/>
  <c r="I4137" i="13" s="1"/>
  <c r="K4158" i="14"/>
  <c r="L4158" i="14" s="1"/>
  <c r="I4159" i="14" s="1"/>
  <c r="J4322" i="13" a="1"/>
  <c r="J4322" i="13" s="1"/>
  <c r="N4323" i="13"/>
  <c r="M4326" i="14"/>
  <c r="M4325" i="13"/>
  <c r="J4321" i="14" a="1"/>
  <c r="J4321" i="14" s="1"/>
  <c r="N4322" i="14"/>
  <c r="K4159" i="14" l="1"/>
  <c r="L4159" i="14" s="1"/>
  <c r="I4160" i="14" s="1"/>
  <c r="K4137" i="13"/>
  <c r="L4137" i="13" s="1"/>
  <c r="I4138" i="13" s="1"/>
  <c r="N4323" i="14"/>
  <c r="J4322" i="14" a="1"/>
  <c r="J4322" i="14" s="1"/>
  <c r="M4327" i="14"/>
  <c r="N4324" i="13"/>
  <c r="J4323" i="13" a="1"/>
  <c r="J4323" i="13" s="1"/>
  <c r="M4326" i="13"/>
  <c r="K4138" i="13" l="1"/>
  <c r="L4138" i="13" s="1"/>
  <c r="I4139" i="13" s="1"/>
  <c r="K4160" i="14"/>
  <c r="L4160" i="14" s="1"/>
  <c r="I4161" i="14" s="1"/>
  <c r="M4327" i="13"/>
  <c r="M4328" i="14"/>
  <c r="J4324" i="13" a="1"/>
  <c r="J4324" i="13" s="1"/>
  <c r="N4325" i="13"/>
  <c r="N4324" i="14"/>
  <c r="J4323" i="14" a="1"/>
  <c r="J4323" i="14" s="1"/>
  <c r="K4161" i="14" l="1"/>
  <c r="L4161" i="14" s="1"/>
  <c r="I4162" i="14" s="1"/>
  <c r="K4139" i="13"/>
  <c r="L4139" i="13" s="1"/>
  <c r="I4140" i="13" s="1"/>
  <c r="J4324" i="14" a="1"/>
  <c r="J4324" i="14" s="1"/>
  <c r="N4325" i="14"/>
  <c r="M4329" i="14"/>
  <c r="N4326" i="13"/>
  <c r="J4325" i="13" a="1"/>
  <c r="J4325" i="13" s="1"/>
  <c r="M4328" i="13"/>
  <c r="K4140" i="13" l="1"/>
  <c r="L4140" i="13" s="1"/>
  <c r="I4141" i="13" s="1"/>
  <c r="K4162" i="14"/>
  <c r="L4162" i="14" s="1"/>
  <c r="I4163" i="14" s="1"/>
  <c r="M4329" i="13"/>
  <c r="M4330" i="14"/>
  <c r="J4325" i="14" a="1"/>
  <c r="J4325" i="14" s="1"/>
  <c r="N4326" i="14"/>
  <c r="J4326" i="13" a="1"/>
  <c r="J4326" i="13" s="1"/>
  <c r="N4327" i="13"/>
  <c r="K4163" i="14" l="1"/>
  <c r="L4163" i="14" s="1"/>
  <c r="I4164" i="14" s="1"/>
  <c r="K4141" i="13"/>
  <c r="L4141" i="13" s="1"/>
  <c r="I4142" i="13" s="1"/>
  <c r="N4328" i="13"/>
  <c r="J4327" i="13" a="1"/>
  <c r="J4327" i="13" s="1"/>
  <c r="M4331" i="14"/>
  <c r="N4327" i="14"/>
  <c r="J4326" i="14" a="1"/>
  <c r="J4326" i="14" s="1"/>
  <c r="M4330" i="13"/>
  <c r="K4142" i="13" l="1"/>
  <c r="L4142" i="13" s="1"/>
  <c r="I4143" i="13" s="1"/>
  <c r="K4164" i="14"/>
  <c r="L4164" i="14" s="1"/>
  <c r="I4165" i="14" s="1"/>
  <c r="M4331" i="13"/>
  <c r="M4332" i="14"/>
  <c r="N4328" i="14"/>
  <c r="J4327" i="14" a="1"/>
  <c r="J4327" i="14" s="1"/>
  <c r="J4328" i="13" a="1"/>
  <c r="J4328" i="13" s="1"/>
  <c r="N4329" i="13"/>
  <c r="K4165" i="14" l="1"/>
  <c r="L4165" i="14" s="1"/>
  <c r="I4166" i="14" s="1"/>
  <c r="K4143" i="13"/>
  <c r="L4143" i="13" s="1"/>
  <c r="I4144" i="13" s="1"/>
  <c r="N4330" i="13"/>
  <c r="J4329" i="13" a="1"/>
  <c r="J4329" i="13" s="1"/>
  <c r="M4333" i="14"/>
  <c r="J4328" i="14" a="1"/>
  <c r="J4328" i="14" s="1"/>
  <c r="N4329" i="14"/>
  <c r="M4332" i="13"/>
  <c r="K4144" i="13" l="1"/>
  <c r="L4144" i="13" s="1"/>
  <c r="I4145" i="13" s="1"/>
  <c r="K4166" i="14"/>
  <c r="L4166" i="14" s="1"/>
  <c r="I4167" i="14" s="1"/>
  <c r="M4334" i="14"/>
  <c r="J4329" i="14" a="1"/>
  <c r="J4329" i="14" s="1"/>
  <c r="N4330" i="14"/>
  <c r="M4333" i="13"/>
  <c r="J4330" i="13" a="1"/>
  <c r="J4330" i="13" s="1"/>
  <c r="N4331" i="13"/>
  <c r="K4167" i="14" l="1"/>
  <c r="L4167" i="14" s="1"/>
  <c r="I4168" i="14" s="1"/>
  <c r="K4145" i="13"/>
  <c r="L4145" i="13" s="1"/>
  <c r="I4146" i="13" s="1"/>
  <c r="J4330" i="14" a="1"/>
  <c r="J4330" i="14" s="1"/>
  <c r="N4331" i="14"/>
  <c r="N4332" i="13"/>
  <c r="J4331" i="13" a="1"/>
  <c r="J4331" i="13" s="1"/>
  <c r="M4335" i="14"/>
  <c r="M4334" i="13"/>
  <c r="K4146" i="13" l="1"/>
  <c r="L4146" i="13" s="1"/>
  <c r="I4147" i="13" s="1"/>
  <c r="K4168" i="14"/>
  <c r="L4168" i="14" s="1"/>
  <c r="I4169" i="14" s="1"/>
  <c r="J4332" i="13" a="1"/>
  <c r="J4332" i="13" s="1"/>
  <c r="N4333" i="13"/>
  <c r="M4335" i="13"/>
  <c r="N4332" i="14"/>
  <c r="J4331" i="14" a="1"/>
  <c r="J4331" i="14" s="1"/>
  <c r="M4336" i="14"/>
  <c r="K4169" i="14" l="1"/>
  <c r="L4169" i="14" s="1"/>
  <c r="I4170" i="14" s="1"/>
  <c r="K4147" i="13"/>
  <c r="L4147" i="13" s="1"/>
  <c r="I4148" i="13" s="1"/>
  <c r="M4337" i="14"/>
  <c r="M4336" i="13"/>
  <c r="N4334" i="13"/>
  <c r="J4333" i="13" a="1"/>
  <c r="J4333" i="13" s="1"/>
  <c r="J4332" i="14" a="1"/>
  <c r="J4332" i="14" s="1"/>
  <c r="N4333" i="14"/>
  <c r="K4148" i="13" l="1"/>
  <c r="L4148" i="13" s="1"/>
  <c r="I4149" i="13" s="1"/>
  <c r="K4170" i="14"/>
  <c r="L4170" i="14" s="1"/>
  <c r="I4171" i="14" s="1"/>
  <c r="J4333" i="14" a="1"/>
  <c r="J4333" i="14" s="1"/>
  <c r="N4334" i="14"/>
  <c r="M4337" i="13"/>
  <c r="J4334" i="13" a="1"/>
  <c r="J4334" i="13" s="1"/>
  <c r="N4335" i="13"/>
  <c r="M4338" i="14"/>
  <c r="K4171" i="14" l="1"/>
  <c r="L4171" i="14" s="1"/>
  <c r="I4172" i="14" s="1"/>
  <c r="K4149" i="13"/>
  <c r="L4149" i="13" s="1"/>
  <c r="I4150" i="13" s="1"/>
  <c r="N4336" i="13"/>
  <c r="J4335" i="13" a="1"/>
  <c r="J4335" i="13" s="1"/>
  <c r="M4339" i="14"/>
  <c r="M4338" i="13"/>
  <c r="N4335" i="14"/>
  <c r="J4334" i="14" a="1"/>
  <c r="J4334" i="14" s="1"/>
  <c r="K4150" i="13" l="1"/>
  <c r="L4150" i="13" s="1"/>
  <c r="I4151" i="13" s="1"/>
  <c r="K4172" i="14"/>
  <c r="L4172" i="14" s="1"/>
  <c r="I4173" i="14" s="1"/>
  <c r="N4336" i="14"/>
  <c r="J4335" i="14" a="1"/>
  <c r="J4335" i="14" s="1"/>
  <c r="M4340" i="14"/>
  <c r="M4339" i="13"/>
  <c r="J4336" i="13" a="1"/>
  <c r="J4336" i="13" s="1"/>
  <c r="N4337" i="13"/>
  <c r="K4173" i="14" l="1"/>
  <c r="L4173" i="14" s="1"/>
  <c r="I4174" i="14" s="1"/>
  <c r="K4151" i="13"/>
  <c r="L4151" i="13" s="1"/>
  <c r="I4152" i="13" s="1"/>
  <c r="N4338" i="13"/>
  <c r="J4337" i="13" a="1"/>
  <c r="J4337" i="13" s="1"/>
  <c r="M4341" i="14"/>
  <c r="M4340" i="13"/>
  <c r="J4336" i="14" a="1"/>
  <c r="J4336" i="14" s="1"/>
  <c r="N4337" i="14"/>
  <c r="K4152" i="13" l="1"/>
  <c r="L4152" i="13" s="1"/>
  <c r="I4153" i="13" s="1"/>
  <c r="K4174" i="14"/>
  <c r="L4174" i="14" s="1"/>
  <c r="I4175" i="14" s="1"/>
  <c r="J4337" i="14" a="1"/>
  <c r="J4337" i="14" s="1"/>
  <c r="N4338" i="14"/>
  <c r="M4342" i="14"/>
  <c r="M4341" i="13"/>
  <c r="J4338" i="13" a="1"/>
  <c r="J4338" i="13" s="1"/>
  <c r="N4339" i="13"/>
  <c r="K4175" i="14" l="1"/>
  <c r="L4175" i="14" s="1"/>
  <c r="I4176" i="14" s="1"/>
  <c r="K4153" i="13"/>
  <c r="L4153" i="13" s="1"/>
  <c r="I4154" i="13" s="1"/>
  <c r="N4340" i="13"/>
  <c r="J4339" i="13" a="1"/>
  <c r="J4339" i="13" s="1"/>
  <c r="M4343" i="14"/>
  <c r="N4339" i="14"/>
  <c r="J4338" i="14" a="1"/>
  <c r="J4338" i="14" s="1"/>
  <c r="M4342" i="13"/>
  <c r="K4154" i="13" l="1"/>
  <c r="L4154" i="13" s="1"/>
  <c r="I4155" i="13" s="1"/>
  <c r="K4176" i="14"/>
  <c r="L4176" i="14" s="1"/>
  <c r="I4177" i="14" s="1"/>
  <c r="N4340" i="14"/>
  <c r="J4339" i="14" a="1"/>
  <c r="J4339" i="14" s="1"/>
  <c r="M4343" i="13"/>
  <c r="M4344" i="14"/>
  <c r="J4340" i="13" a="1"/>
  <c r="J4340" i="13" s="1"/>
  <c r="N4341" i="13"/>
  <c r="K4177" i="14" l="1"/>
  <c r="L4177" i="14" s="1"/>
  <c r="I4178" i="14" s="1"/>
  <c r="K4155" i="13"/>
  <c r="L4155" i="13" s="1"/>
  <c r="I4156" i="13" s="1"/>
  <c r="N4342" i="13"/>
  <c r="J4341" i="13" a="1"/>
  <c r="J4341" i="13" s="1"/>
  <c r="M4344" i="13"/>
  <c r="M4345" i="14"/>
  <c r="J4340" i="14" a="1"/>
  <c r="J4340" i="14" s="1"/>
  <c r="N4341" i="14"/>
  <c r="K4156" i="13" l="1"/>
  <c r="L4156" i="13" s="1"/>
  <c r="I4157" i="13" s="1"/>
  <c r="K4178" i="14"/>
  <c r="L4178" i="14" s="1"/>
  <c r="I4179" i="14" s="1"/>
  <c r="J4341" i="14" a="1"/>
  <c r="J4341" i="14" s="1"/>
  <c r="N4342" i="14"/>
  <c r="M4345" i="13"/>
  <c r="M4346" i="14"/>
  <c r="J4342" i="13" a="1"/>
  <c r="J4342" i="13" s="1"/>
  <c r="N4343" i="13"/>
  <c r="K4179" i="14" l="1"/>
  <c r="L4179" i="14" s="1"/>
  <c r="I4180" i="14" s="1"/>
  <c r="K4157" i="13"/>
  <c r="L4157" i="13" s="1"/>
  <c r="I4158" i="13" s="1"/>
  <c r="N4344" i="13"/>
  <c r="J4343" i="13" a="1"/>
  <c r="J4343" i="13" s="1"/>
  <c r="M4346" i="13"/>
  <c r="N4343" i="14"/>
  <c r="J4342" i="14" a="1"/>
  <c r="J4342" i="14" s="1"/>
  <c r="M4347" i="14"/>
  <c r="K4158" i="13" l="1"/>
  <c r="L4158" i="13" s="1"/>
  <c r="I4159" i="13" s="1"/>
  <c r="K4180" i="14"/>
  <c r="L4180" i="14" s="1"/>
  <c r="I4181" i="14" s="1"/>
  <c r="N4344" i="14"/>
  <c r="J4343" i="14" a="1"/>
  <c r="J4343" i="14" s="1"/>
  <c r="M4347" i="13"/>
  <c r="M4348" i="14"/>
  <c r="J4344" i="13" a="1"/>
  <c r="J4344" i="13" s="1"/>
  <c r="N4345" i="13"/>
  <c r="K4181" i="14" l="1"/>
  <c r="L4181" i="14" s="1"/>
  <c r="I4182" i="14" s="1"/>
  <c r="K4159" i="13"/>
  <c r="L4159" i="13" s="1"/>
  <c r="I4160" i="13" s="1"/>
  <c r="N4346" i="13"/>
  <c r="J4345" i="13" a="1"/>
  <c r="J4345" i="13" s="1"/>
  <c r="M4348" i="13"/>
  <c r="M4349" i="14"/>
  <c r="J4344" i="14" a="1"/>
  <c r="J4344" i="14" s="1"/>
  <c r="N4345" i="14"/>
  <c r="K4160" i="13" l="1"/>
  <c r="L4160" i="13" s="1"/>
  <c r="I4161" i="13" s="1"/>
  <c r="K4182" i="14"/>
  <c r="L4182" i="14" s="1"/>
  <c r="I4183" i="14" s="1"/>
  <c r="M4349" i="13"/>
  <c r="J4345" i="14" a="1"/>
  <c r="J4345" i="14" s="1"/>
  <c r="N4346" i="14"/>
  <c r="M4350" i="14"/>
  <c r="J4346" i="13" a="1"/>
  <c r="J4346" i="13" s="1"/>
  <c r="N4347" i="13"/>
  <c r="K4183" i="14" l="1"/>
  <c r="L4183" i="14" s="1"/>
  <c r="I4184" i="14" s="1"/>
  <c r="K4161" i="13"/>
  <c r="L4161" i="13" s="1"/>
  <c r="I4162" i="13" s="1"/>
  <c r="J4346" i="14" a="1"/>
  <c r="J4346" i="14" s="1"/>
  <c r="N4347" i="14"/>
  <c r="M4351" i="14"/>
  <c r="N4348" i="13"/>
  <c r="J4347" i="13" a="1"/>
  <c r="J4347" i="13" s="1"/>
  <c r="M4350" i="13"/>
  <c r="K4162" i="13" l="1"/>
  <c r="L4162" i="13" s="1"/>
  <c r="I4163" i="13" s="1"/>
  <c r="K4184" i="14"/>
  <c r="L4184" i="14" s="1"/>
  <c r="I4185" i="14" s="1"/>
  <c r="J4348" i="13" a="1"/>
  <c r="J4348" i="13" s="1"/>
  <c r="N4349" i="13"/>
  <c r="M4351" i="13"/>
  <c r="M4352" i="14"/>
  <c r="N4348" i="14"/>
  <c r="J4347" i="14" a="1"/>
  <c r="J4347" i="14" s="1"/>
  <c r="K4185" i="14" l="1"/>
  <c r="L4185" i="14" s="1"/>
  <c r="I4186" i="14" s="1"/>
  <c r="K4163" i="13"/>
  <c r="L4163" i="13" s="1"/>
  <c r="I4164" i="13" s="1"/>
  <c r="J4348" i="14" a="1"/>
  <c r="J4348" i="14" s="1"/>
  <c r="N4349" i="14"/>
  <c r="M4352" i="13"/>
  <c r="N4350" i="13"/>
  <c r="J4349" i="13" a="1"/>
  <c r="J4349" i="13" s="1"/>
  <c r="M4353" i="14"/>
  <c r="K4186" i="14" l="1"/>
  <c r="L4186" i="14" s="1"/>
  <c r="I4187" i="14" s="1"/>
  <c r="J4350" i="13" a="1"/>
  <c r="J4350" i="13" s="1"/>
  <c r="N4351" i="13"/>
  <c r="M4353" i="13"/>
  <c r="M4354" i="14"/>
  <c r="K4164" i="13"/>
  <c r="L4164" i="13" s="1"/>
  <c r="I4165" i="13" s="1"/>
  <c r="J4349" i="14" a="1"/>
  <c r="J4349" i="14" s="1"/>
  <c r="N4350" i="14"/>
  <c r="K4165" i="13" l="1"/>
  <c r="L4165" i="13" s="1"/>
  <c r="I4166" i="13" s="1"/>
  <c r="K4187" i="14"/>
  <c r="L4187" i="14" s="1"/>
  <c r="I4188" i="14" s="1"/>
  <c r="N4351" i="14"/>
  <c r="J4350" i="14" a="1"/>
  <c r="J4350" i="14" s="1"/>
  <c r="M4355" i="14"/>
  <c r="N4352" i="13"/>
  <c r="J4351" i="13" a="1"/>
  <c r="J4351" i="13" s="1"/>
  <c r="M4354" i="13"/>
  <c r="K4188" i="14" l="1"/>
  <c r="L4188" i="14" s="1"/>
  <c r="I4189" i="14" s="1"/>
  <c r="K4166" i="13"/>
  <c r="L4166" i="13" s="1"/>
  <c r="I4167" i="13" s="1"/>
  <c r="J4352" i="13" a="1"/>
  <c r="J4352" i="13" s="1"/>
  <c r="N4353" i="13"/>
  <c r="M4355" i="13"/>
  <c r="M4356" i="14"/>
  <c r="N4352" i="14"/>
  <c r="J4351" i="14" a="1"/>
  <c r="J4351" i="14" s="1"/>
  <c r="K4167" i="13" l="1"/>
  <c r="L4167" i="13" s="1"/>
  <c r="I4168" i="13" s="1"/>
  <c r="K4189" i="14"/>
  <c r="L4189" i="14" s="1"/>
  <c r="I4190" i="14" s="1"/>
  <c r="J4352" i="14" a="1"/>
  <c r="J4352" i="14" s="1"/>
  <c r="N4353" i="14"/>
  <c r="M4356" i="13"/>
  <c r="N4354" i="13"/>
  <c r="J4353" i="13" a="1"/>
  <c r="J4353" i="13" s="1"/>
  <c r="M4357" i="14"/>
  <c r="K4168" i="13" l="1"/>
  <c r="L4168" i="13" s="1"/>
  <c r="I4169" i="13" s="1"/>
  <c r="M4358" i="14"/>
  <c r="M4357" i="13"/>
  <c r="K4190" i="14"/>
  <c r="L4190" i="14" s="1"/>
  <c r="I4191" i="14" s="1"/>
  <c r="J4353" i="14" a="1"/>
  <c r="J4353" i="14" s="1"/>
  <c r="N4354" i="14"/>
  <c r="J4354" i="13" a="1"/>
  <c r="J4354" i="13" s="1"/>
  <c r="N4355" i="13"/>
  <c r="K4169" i="13" l="1"/>
  <c r="L4169" i="13" s="1"/>
  <c r="I4170" i="13" s="1"/>
  <c r="N4356" i="13"/>
  <c r="J4355" i="13" a="1"/>
  <c r="J4355" i="13" s="1"/>
  <c r="M4359" i="14"/>
  <c r="K4191" i="14"/>
  <c r="L4191" i="14" s="1"/>
  <c r="I4192" i="14" s="1"/>
  <c r="N4355" i="14"/>
  <c r="J4354" i="14" a="1"/>
  <c r="J4354" i="14" s="1"/>
  <c r="M4358" i="13"/>
  <c r="K4170" i="13" l="1"/>
  <c r="L4170" i="13" s="1"/>
  <c r="I4171" i="13" s="1"/>
  <c r="M4359" i="13"/>
  <c r="J4356" i="13" a="1"/>
  <c r="J4356" i="13" s="1"/>
  <c r="N4357" i="13"/>
  <c r="K4192" i="14"/>
  <c r="L4192" i="14" s="1"/>
  <c r="I4193" i="14" s="1"/>
  <c r="N4356" i="14"/>
  <c r="J4355" i="14" a="1"/>
  <c r="J4355" i="14" s="1"/>
  <c r="M4360" i="14"/>
  <c r="K4193" i="14" l="1"/>
  <c r="L4193" i="14" s="1"/>
  <c r="I4194" i="14" s="1"/>
  <c r="K4171" i="13"/>
  <c r="L4171" i="13" s="1"/>
  <c r="I4172" i="13" s="1"/>
  <c r="J4356" i="14" a="1"/>
  <c r="J4356" i="14" s="1"/>
  <c r="N4357" i="14"/>
  <c r="M4361" i="14"/>
  <c r="M4360" i="13"/>
  <c r="N4358" i="13"/>
  <c r="J4357" i="13" a="1"/>
  <c r="J4357" i="13" s="1"/>
  <c r="K4172" i="13" l="1"/>
  <c r="L4172" i="13" s="1"/>
  <c r="I4173" i="13" s="1"/>
  <c r="K4194" i="14"/>
  <c r="L4194" i="14" s="1"/>
  <c r="I4195" i="14" s="1"/>
  <c r="J4358" i="13" a="1"/>
  <c r="J4358" i="13" s="1"/>
  <c r="N4359" i="13"/>
  <c r="M4362" i="14"/>
  <c r="M4361" i="13"/>
  <c r="J4357" i="14" a="1"/>
  <c r="J4357" i="14" s="1"/>
  <c r="N4358" i="14"/>
  <c r="K4195" i="14" l="1"/>
  <c r="L4195" i="14" s="1"/>
  <c r="I4196" i="14" s="1"/>
  <c r="K4173" i="13"/>
  <c r="L4173" i="13" s="1"/>
  <c r="I4174" i="13" s="1"/>
  <c r="N4360" i="13"/>
  <c r="J4359" i="13" a="1"/>
  <c r="J4359" i="13" s="1"/>
  <c r="N4359" i="14"/>
  <c r="J4358" i="14" a="1"/>
  <c r="J4358" i="14" s="1"/>
  <c r="M4363" i="14"/>
  <c r="M4362" i="13"/>
  <c r="K4174" i="13" l="1"/>
  <c r="L4174" i="13" s="1"/>
  <c r="I4175" i="13" s="1"/>
  <c r="K4196" i="14"/>
  <c r="L4196" i="14" s="1"/>
  <c r="I4197" i="14" s="1"/>
  <c r="N4360" i="14"/>
  <c r="J4359" i="14" a="1"/>
  <c r="J4359" i="14" s="1"/>
  <c r="M4363" i="13"/>
  <c r="M4364" i="14"/>
  <c r="J4360" i="13" a="1"/>
  <c r="J4360" i="13" s="1"/>
  <c r="N4361" i="13"/>
  <c r="K4197" i="14" l="1"/>
  <c r="L4197" i="14" s="1"/>
  <c r="I4198" i="14" s="1"/>
  <c r="K4175" i="13"/>
  <c r="L4175" i="13" s="1"/>
  <c r="I4176" i="13" s="1"/>
  <c r="M4364" i="13"/>
  <c r="N4362" i="13"/>
  <c r="J4361" i="13" a="1"/>
  <c r="J4361" i="13" s="1"/>
  <c r="M4365" i="14"/>
  <c r="J4360" i="14" a="1"/>
  <c r="J4360" i="14" s="1"/>
  <c r="N4361" i="14"/>
  <c r="K4176" i="13" l="1"/>
  <c r="L4176" i="13" s="1"/>
  <c r="I4177" i="13" s="1"/>
  <c r="K4198" i="14"/>
  <c r="L4198" i="14" s="1"/>
  <c r="I4199" i="14" s="1"/>
  <c r="J4361" i="14" a="1"/>
  <c r="J4361" i="14" s="1"/>
  <c r="N4362" i="14"/>
  <c r="J4362" i="13" a="1"/>
  <c r="J4362" i="13" s="1"/>
  <c r="N4363" i="13"/>
  <c r="M4366" i="14"/>
  <c r="M4365" i="13"/>
  <c r="K4199" i="14" l="1"/>
  <c r="L4199" i="14" s="1"/>
  <c r="I4200" i="14" s="1"/>
  <c r="K4177" i="13"/>
  <c r="L4177" i="13" s="1"/>
  <c r="I4178" i="13" s="1"/>
  <c r="N4364" i="13"/>
  <c r="J4363" i="13" a="1"/>
  <c r="J4363" i="13" s="1"/>
  <c r="J4362" i="14" a="1"/>
  <c r="J4362" i="14" s="1"/>
  <c r="N4363" i="14"/>
  <c r="M4366" i="13"/>
  <c r="M4367" i="14"/>
  <c r="K4178" i="13" l="1"/>
  <c r="L4178" i="13" s="1"/>
  <c r="I4179" i="13" s="1"/>
  <c r="K4200" i="14"/>
  <c r="L4200" i="14" s="1"/>
  <c r="I4201" i="14" s="1"/>
  <c r="N4364" i="14"/>
  <c r="J4363" i="14" a="1"/>
  <c r="J4363" i="14" s="1"/>
  <c r="M4368" i="14"/>
  <c r="M4367" i="13"/>
  <c r="J4364" i="13" a="1"/>
  <c r="J4364" i="13" s="1"/>
  <c r="N4365" i="13"/>
  <c r="K4201" i="14" l="1"/>
  <c r="L4201" i="14" s="1"/>
  <c r="I4202" i="14" s="1"/>
  <c r="K4179" i="13"/>
  <c r="L4179" i="13" s="1"/>
  <c r="I4180" i="13" s="1"/>
  <c r="N4366" i="13"/>
  <c r="J4365" i="13" a="1"/>
  <c r="J4365" i="13" s="1"/>
  <c r="M4369" i="14"/>
  <c r="M4368" i="13"/>
  <c r="J4364" i="14" a="1"/>
  <c r="J4364" i="14" s="1"/>
  <c r="N4365" i="14"/>
  <c r="K4180" i="13" l="1"/>
  <c r="L4180" i="13" s="1"/>
  <c r="I4181" i="13" s="1"/>
  <c r="K4202" i="14"/>
  <c r="L4202" i="14" s="1"/>
  <c r="I4203" i="14" s="1"/>
  <c r="J4365" i="14" a="1"/>
  <c r="J4365" i="14" s="1"/>
  <c r="N4366" i="14"/>
  <c r="M4370" i="14"/>
  <c r="M4369" i="13"/>
  <c r="J4366" i="13" a="1"/>
  <c r="J4366" i="13" s="1"/>
  <c r="N4367" i="13"/>
  <c r="K4203" i="14" l="1"/>
  <c r="L4203" i="14" s="1"/>
  <c r="I4204" i="14" s="1"/>
  <c r="K4181" i="13"/>
  <c r="L4181" i="13" s="1"/>
  <c r="I4182" i="13" s="1"/>
  <c r="N4368" i="13"/>
  <c r="J4367" i="13" a="1"/>
  <c r="J4367" i="13" s="1"/>
  <c r="M4371" i="14"/>
  <c r="M4370" i="13"/>
  <c r="N4367" i="14"/>
  <c r="J4366" i="14" a="1"/>
  <c r="J4366" i="14" s="1"/>
  <c r="K4182" i="13" l="1"/>
  <c r="L4182" i="13" s="1"/>
  <c r="I4183" i="13" s="1"/>
  <c r="K4204" i="14"/>
  <c r="L4204" i="14" s="1"/>
  <c r="I4205" i="14" s="1"/>
  <c r="N4368" i="14"/>
  <c r="J4367" i="14" a="1"/>
  <c r="J4367" i="14" s="1"/>
  <c r="M4372" i="14"/>
  <c r="M4371" i="13"/>
  <c r="J4368" i="13" a="1"/>
  <c r="J4368" i="13" s="1"/>
  <c r="N4369" i="13"/>
  <c r="K4205" i="14" l="1"/>
  <c r="L4205" i="14" s="1"/>
  <c r="I4206" i="14" s="1"/>
  <c r="K4183" i="13"/>
  <c r="L4183" i="13" s="1"/>
  <c r="I4184" i="13" s="1"/>
  <c r="N4370" i="13"/>
  <c r="J4369" i="13" a="1"/>
  <c r="J4369" i="13" s="1"/>
  <c r="M4373" i="14"/>
  <c r="M4372" i="13"/>
  <c r="J4368" i="14" a="1"/>
  <c r="J4368" i="14" s="1"/>
  <c r="N4369" i="14"/>
  <c r="K4184" i="13" l="1"/>
  <c r="L4184" i="13" s="1"/>
  <c r="I4185" i="13" s="1"/>
  <c r="K4206" i="14"/>
  <c r="L4206" i="14" s="1"/>
  <c r="I4207" i="14" s="1"/>
  <c r="J4369" i="14" a="1"/>
  <c r="J4369" i="14" s="1"/>
  <c r="N4370" i="14"/>
  <c r="M4374" i="14"/>
  <c r="M4373" i="13"/>
  <c r="J4370" i="13" a="1"/>
  <c r="J4370" i="13" s="1"/>
  <c r="N4371" i="13"/>
  <c r="K4207" i="14" l="1"/>
  <c r="L4207" i="14" s="1"/>
  <c r="I4208" i="14" s="1"/>
  <c r="K4185" i="13"/>
  <c r="L4185" i="13" s="1"/>
  <c r="I4186" i="13" s="1"/>
  <c r="N4372" i="13"/>
  <c r="J4371" i="13" a="1"/>
  <c r="J4371" i="13" s="1"/>
  <c r="M4375" i="14"/>
  <c r="N4371" i="14"/>
  <c r="J4370" i="14" a="1"/>
  <c r="J4370" i="14" s="1"/>
  <c r="M4374" i="13"/>
  <c r="K4186" i="13" l="1"/>
  <c r="L4186" i="13" s="1"/>
  <c r="I4187" i="13" s="1"/>
  <c r="K4208" i="14"/>
  <c r="L4208" i="14" s="1"/>
  <c r="I4209" i="14" s="1"/>
  <c r="M4375" i="13"/>
  <c r="N4372" i="14"/>
  <c r="J4371" i="14" a="1"/>
  <c r="J4371" i="14" s="1"/>
  <c r="M4376" i="14"/>
  <c r="J4372" i="13" a="1"/>
  <c r="J4372" i="13" s="1"/>
  <c r="N4373" i="13"/>
  <c r="K4209" i="14" l="1"/>
  <c r="L4209" i="14" s="1"/>
  <c r="I4210" i="14" s="1"/>
  <c r="K4187" i="13"/>
  <c r="L4187" i="13" s="1"/>
  <c r="I4188" i="13" s="1"/>
  <c r="N4374" i="13"/>
  <c r="J4373" i="13" a="1"/>
  <c r="J4373" i="13" s="1"/>
  <c r="J4372" i="14" a="1"/>
  <c r="J4372" i="14" s="1"/>
  <c r="N4373" i="14"/>
  <c r="M4377" i="14"/>
  <c r="M4376" i="13"/>
  <c r="K4188" i="13" l="1"/>
  <c r="L4188" i="13" s="1"/>
  <c r="I4189" i="13" s="1"/>
  <c r="K4210" i="14"/>
  <c r="L4210" i="14" s="1"/>
  <c r="I4211" i="14" s="1"/>
  <c r="M4377" i="13"/>
  <c r="J4373" i="14" a="1"/>
  <c r="J4373" i="14" s="1"/>
  <c r="N4374" i="14"/>
  <c r="M4378" i="14"/>
  <c r="J4374" i="13" a="1"/>
  <c r="J4374" i="13" s="1"/>
  <c r="N4375" i="13"/>
  <c r="K4211" i="14" l="1"/>
  <c r="L4211" i="14" s="1"/>
  <c r="I4212" i="14" s="1"/>
  <c r="K4189" i="13"/>
  <c r="L4189" i="13" s="1"/>
  <c r="I4190" i="13" s="1"/>
  <c r="N4376" i="13"/>
  <c r="J4375" i="13" a="1"/>
  <c r="J4375" i="13" s="1"/>
  <c r="N4375" i="14"/>
  <c r="J4374" i="14" a="1"/>
  <c r="J4374" i="14" s="1"/>
  <c r="M4379" i="14"/>
  <c r="M4378" i="13"/>
  <c r="K4190" i="13" l="1"/>
  <c r="L4190" i="13" s="1"/>
  <c r="I4191" i="13" s="1"/>
  <c r="K4212" i="14"/>
  <c r="L4212" i="14" s="1"/>
  <c r="I4213" i="14" s="1"/>
  <c r="N4376" i="14"/>
  <c r="J4375" i="14" a="1"/>
  <c r="J4375" i="14" s="1"/>
  <c r="M4379" i="13"/>
  <c r="M4380" i="14"/>
  <c r="J4376" i="13" a="1"/>
  <c r="J4376" i="13" s="1"/>
  <c r="N4377" i="13"/>
  <c r="K4213" i="14" l="1"/>
  <c r="L4213" i="14" s="1"/>
  <c r="I4214" i="14" s="1"/>
  <c r="K4191" i="13"/>
  <c r="L4191" i="13" s="1"/>
  <c r="I4192" i="13" s="1"/>
  <c r="N4378" i="13"/>
  <c r="J4377" i="13" a="1"/>
  <c r="J4377" i="13" s="1"/>
  <c r="M4380" i="13"/>
  <c r="M4381" i="14"/>
  <c r="J4376" i="14" a="1"/>
  <c r="J4376" i="14" s="1"/>
  <c r="N4377" i="14"/>
  <c r="K4192" i="13" l="1"/>
  <c r="L4192" i="13" s="1"/>
  <c r="I4193" i="13" s="1"/>
  <c r="K4214" i="14"/>
  <c r="L4214" i="14" s="1"/>
  <c r="I4215" i="14" s="1"/>
  <c r="J4377" i="14" a="1"/>
  <c r="J4377" i="14" s="1"/>
  <c r="N4378" i="14"/>
  <c r="M4381" i="13"/>
  <c r="M4382" i="14"/>
  <c r="J4378" i="13" a="1"/>
  <c r="J4378" i="13" s="1"/>
  <c r="N4379" i="13"/>
  <c r="K4215" i="14" l="1"/>
  <c r="L4215" i="14" s="1"/>
  <c r="I4216" i="14" s="1"/>
  <c r="K4193" i="13"/>
  <c r="L4193" i="13" s="1"/>
  <c r="I4194" i="13" s="1"/>
  <c r="N4380" i="13"/>
  <c r="J4379" i="13" a="1"/>
  <c r="J4379" i="13" s="1"/>
  <c r="M4382" i="13"/>
  <c r="J4378" i="14" a="1"/>
  <c r="J4378" i="14" s="1"/>
  <c r="N4379" i="14"/>
  <c r="M4383" i="14"/>
  <c r="K4194" i="13" l="1"/>
  <c r="L4194" i="13" s="1"/>
  <c r="I4195" i="13" s="1"/>
  <c r="K4216" i="14"/>
  <c r="L4216" i="14" s="1"/>
  <c r="I4217" i="14" s="1"/>
  <c r="N4380" i="14"/>
  <c r="J4379" i="14" a="1"/>
  <c r="J4379" i="14" s="1"/>
  <c r="M4383" i="13"/>
  <c r="M4384" i="14"/>
  <c r="J4380" i="13" a="1"/>
  <c r="J4380" i="13" s="1"/>
  <c r="N4381" i="13"/>
  <c r="K4217" i="14" l="1"/>
  <c r="L4217" i="14" s="1"/>
  <c r="I4218" i="14" s="1"/>
  <c r="K4195" i="13"/>
  <c r="L4195" i="13" s="1"/>
  <c r="I4196" i="13" s="1"/>
  <c r="N4382" i="13"/>
  <c r="J4381" i="13" a="1"/>
  <c r="J4381" i="13" s="1"/>
  <c r="M4384" i="13"/>
  <c r="M4385" i="14"/>
  <c r="J4380" i="14" a="1"/>
  <c r="J4380" i="14" s="1"/>
  <c r="N4381" i="14"/>
  <c r="K4196" i="13" l="1"/>
  <c r="L4196" i="13" s="1"/>
  <c r="I4197" i="13" s="1"/>
  <c r="K4218" i="14"/>
  <c r="L4218" i="14" s="1"/>
  <c r="I4219" i="14" s="1"/>
  <c r="J4381" i="14" a="1"/>
  <c r="J4381" i="14" s="1"/>
  <c r="N4382" i="14"/>
  <c r="M4385" i="13"/>
  <c r="M4386" i="14"/>
  <c r="J4382" i="13" a="1"/>
  <c r="J4382" i="13" s="1"/>
  <c r="N4383" i="13"/>
  <c r="K4219" i="14" l="1"/>
  <c r="L4219" i="14" s="1"/>
  <c r="I4220" i="14" s="1"/>
  <c r="K4197" i="13"/>
  <c r="L4197" i="13" s="1"/>
  <c r="I4198" i="13" s="1"/>
  <c r="N4384" i="13"/>
  <c r="J4383" i="13" a="1"/>
  <c r="J4383" i="13" s="1"/>
  <c r="M4386" i="13"/>
  <c r="N4383" i="14"/>
  <c r="J4382" i="14" a="1"/>
  <c r="J4382" i="14" s="1"/>
  <c r="M4387" i="14"/>
  <c r="K4198" i="13" l="1"/>
  <c r="L4198" i="13" s="1"/>
  <c r="I4199" i="13" s="1"/>
  <c r="K4220" i="14"/>
  <c r="L4220" i="14" s="1"/>
  <c r="I4221" i="14" s="1"/>
  <c r="M4387" i="13"/>
  <c r="M4388" i="14"/>
  <c r="N4384" i="14"/>
  <c r="J4383" i="14" a="1"/>
  <c r="J4383" i="14" s="1"/>
  <c r="J4384" i="13" a="1"/>
  <c r="J4384" i="13" s="1"/>
  <c r="N4385" i="13"/>
  <c r="K4221" i="14" l="1"/>
  <c r="L4221" i="14" s="1"/>
  <c r="I4222" i="14" s="1"/>
  <c r="K4199" i="13"/>
  <c r="L4199" i="13" s="1"/>
  <c r="I4200" i="13" s="1"/>
  <c r="N4386" i="13"/>
  <c r="J4385" i="13" a="1"/>
  <c r="J4385" i="13" s="1"/>
  <c r="M4389" i="14"/>
  <c r="J4384" i="14" a="1"/>
  <c r="J4384" i="14" s="1"/>
  <c r="N4385" i="14"/>
  <c r="M4388" i="13"/>
  <c r="K4200" i="13" l="1"/>
  <c r="L4200" i="13" s="1"/>
  <c r="I4201" i="13" s="1"/>
  <c r="K4222" i="14"/>
  <c r="L4222" i="14" s="1"/>
  <c r="I4223" i="14" s="1"/>
  <c r="M4389" i="13"/>
  <c r="M4390" i="14"/>
  <c r="J4385" i="14" a="1"/>
  <c r="J4385" i="14" s="1"/>
  <c r="N4386" i="14"/>
  <c r="J4386" i="13" a="1"/>
  <c r="J4386" i="13" s="1"/>
  <c r="N4387" i="13"/>
  <c r="K4223" i="14" l="1"/>
  <c r="L4223" i="14" s="1"/>
  <c r="I4224" i="14" s="1"/>
  <c r="K4201" i="13"/>
  <c r="L4201" i="13" s="1"/>
  <c r="I4202" i="13" s="1"/>
  <c r="N4388" i="13"/>
  <c r="J4387" i="13" a="1"/>
  <c r="J4387" i="13" s="1"/>
  <c r="M4391" i="14"/>
  <c r="N4387" i="14"/>
  <c r="J4386" i="14" a="1"/>
  <c r="J4386" i="14" s="1"/>
  <c r="M4390" i="13"/>
  <c r="K4202" i="13" l="1"/>
  <c r="L4202" i="13" s="1"/>
  <c r="I4203" i="13" s="1"/>
  <c r="K4224" i="14"/>
  <c r="L4224" i="14" s="1"/>
  <c r="I4225" i="14" s="1"/>
  <c r="M4391" i="13"/>
  <c r="N4388" i="14"/>
  <c r="J4387" i="14" a="1"/>
  <c r="J4387" i="14" s="1"/>
  <c r="M4392" i="14"/>
  <c r="J4388" i="13" a="1"/>
  <c r="J4388" i="13" s="1"/>
  <c r="N4389" i="13"/>
  <c r="K4225" i="14" l="1"/>
  <c r="L4225" i="14" s="1"/>
  <c r="I4226" i="14" s="1"/>
  <c r="K4203" i="13"/>
  <c r="L4203" i="13" s="1"/>
  <c r="I4204" i="13" s="1"/>
  <c r="J4388" i="14" a="1"/>
  <c r="J4388" i="14" s="1"/>
  <c r="N4389" i="14"/>
  <c r="N4390" i="13"/>
  <c r="J4389" i="13" a="1"/>
  <c r="J4389" i="13" s="1"/>
  <c r="M4393" i="14"/>
  <c r="M4392" i="13"/>
  <c r="K4204" i="13" l="1"/>
  <c r="L4204" i="13" s="1"/>
  <c r="I4205" i="13" s="1"/>
  <c r="K4226" i="14"/>
  <c r="L4226" i="14" s="1"/>
  <c r="I4227" i="14" s="1"/>
  <c r="M4393" i="13"/>
  <c r="J4390" i="13" a="1"/>
  <c r="J4390" i="13" s="1"/>
  <c r="N4391" i="13"/>
  <c r="J4389" i="14" a="1"/>
  <c r="J4389" i="14" s="1"/>
  <c r="N4390" i="14"/>
  <c r="M4394" i="14"/>
  <c r="K4227" i="14" l="1"/>
  <c r="L4227" i="14" s="1"/>
  <c r="I4228" i="14" s="1"/>
  <c r="K4205" i="13"/>
  <c r="L4205" i="13" s="1"/>
  <c r="I4206" i="13" s="1"/>
  <c r="N4392" i="13"/>
  <c r="J4391" i="13" a="1"/>
  <c r="J4391" i="13" s="1"/>
  <c r="M4395" i="14"/>
  <c r="N4391" i="14"/>
  <c r="J4390" i="14" a="1"/>
  <c r="J4390" i="14" s="1"/>
  <c r="M4394" i="13"/>
  <c r="K4206" i="13" l="1"/>
  <c r="L4206" i="13" s="1"/>
  <c r="I4207" i="13" s="1"/>
  <c r="K4228" i="14"/>
  <c r="L4228" i="14" s="1"/>
  <c r="I4229" i="14" s="1"/>
  <c r="M4395" i="13"/>
  <c r="M4396" i="14"/>
  <c r="N4392" i="14"/>
  <c r="J4391" i="14" a="1"/>
  <c r="J4391" i="14" s="1"/>
  <c r="J4392" i="13" a="1"/>
  <c r="J4392" i="13" s="1"/>
  <c r="N4393" i="13"/>
  <c r="K4229" i="14" l="1"/>
  <c r="L4229" i="14" s="1"/>
  <c r="I4230" i="14" s="1"/>
  <c r="K4207" i="13"/>
  <c r="L4207" i="13" s="1"/>
  <c r="I4208" i="13" s="1"/>
  <c r="N4394" i="13"/>
  <c r="J4393" i="13" a="1"/>
  <c r="J4393" i="13" s="1"/>
  <c r="M4397" i="14"/>
  <c r="J4392" i="14" a="1"/>
  <c r="J4392" i="14" s="1"/>
  <c r="N4393" i="14"/>
  <c r="M4396" i="13"/>
  <c r="K4208" i="13" l="1"/>
  <c r="L4208" i="13" s="1"/>
  <c r="I4209" i="13" s="1"/>
  <c r="K4230" i="14"/>
  <c r="L4230" i="14" s="1"/>
  <c r="I4231" i="14" s="1"/>
  <c r="J4393" i="14" a="1"/>
  <c r="J4393" i="14" s="1"/>
  <c r="N4394" i="14"/>
  <c r="M4398" i="14"/>
  <c r="M4397" i="13"/>
  <c r="J4394" i="13" a="1"/>
  <c r="J4394" i="13" s="1"/>
  <c r="N4395" i="13"/>
  <c r="K4209" i="13" l="1"/>
  <c r="L4209" i="13" s="1"/>
  <c r="I4210" i="13" s="1"/>
  <c r="N4396" i="13"/>
  <c r="J4395" i="13" a="1"/>
  <c r="J4395" i="13" s="1"/>
  <c r="M4399" i="14"/>
  <c r="K4231" i="14"/>
  <c r="L4231" i="14" s="1"/>
  <c r="I4232" i="14" s="1"/>
  <c r="J4394" i="14" a="1"/>
  <c r="J4394" i="14" s="1"/>
  <c r="N4395" i="14"/>
  <c r="M4398" i="13"/>
  <c r="K4232" i="14" l="1"/>
  <c r="L4232" i="14" s="1"/>
  <c r="I4233" i="14" s="1"/>
  <c r="K4210" i="13"/>
  <c r="L4210" i="13" s="1"/>
  <c r="I4211" i="13" s="1"/>
  <c r="J4396" i="13" a="1"/>
  <c r="J4396" i="13" s="1"/>
  <c r="N4397" i="13"/>
  <c r="N4396" i="14"/>
  <c r="J4395" i="14" a="1"/>
  <c r="J4395" i="14" s="1"/>
  <c r="M4399" i="13"/>
  <c r="M4400" i="14"/>
  <c r="K4211" i="13" l="1"/>
  <c r="L4211" i="13" s="1"/>
  <c r="I4212" i="13" s="1"/>
  <c r="K4233" i="14"/>
  <c r="L4233" i="14" s="1"/>
  <c r="I4234" i="14" s="1"/>
  <c r="J4396" i="14" a="1"/>
  <c r="J4396" i="14" s="1"/>
  <c r="N4397" i="14"/>
  <c r="N4398" i="13"/>
  <c r="J4397" i="13" a="1"/>
  <c r="J4397" i="13" s="1"/>
  <c r="M4401" i="14"/>
  <c r="M4400" i="13"/>
  <c r="K4234" i="14" l="1"/>
  <c r="L4234" i="14" s="1"/>
  <c r="I4235" i="14" s="1"/>
  <c r="K4212" i="13"/>
  <c r="L4212" i="13" s="1"/>
  <c r="I4213" i="13" s="1"/>
  <c r="J4398" i="13" a="1"/>
  <c r="J4398" i="13" s="1"/>
  <c r="N4399" i="13"/>
  <c r="J4397" i="14" a="1"/>
  <c r="J4397" i="14" s="1"/>
  <c r="N4398" i="14"/>
  <c r="M4401" i="13"/>
  <c r="M4402" i="14"/>
  <c r="K4213" i="13" l="1"/>
  <c r="L4213" i="13" s="1"/>
  <c r="I4214" i="13" s="1"/>
  <c r="K4235" i="14"/>
  <c r="L4235" i="14" s="1"/>
  <c r="I4236" i="14" s="1"/>
  <c r="N4399" i="14"/>
  <c r="J4398" i="14" a="1"/>
  <c r="J4398" i="14" s="1"/>
  <c r="M4403" i="14"/>
  <c r="N4400" i="13"/>
  <c r="J4399" i="13" a="1"/>
  <c r="J4399" i="13" s="1"/>
  <c r="M4402" i="13"/>
  <c r="K4236" i="14" l="1"/>
  <c r="L4236" i="14" s="1"/>
  <c r="I4237" i="14" s="1"/>
  <c r="K4214" i="13"/>
  <c r="L4214" i="13" s="1"/>
  <c r="I4215" i="13" s="1"/>
  <c r="M4403" i="13"/>
  <c r="J4400" i="13" a="1"/>
  <c r="J4400" i="13" s="1"/>
  <c r="N4401" i="13"/>
  <c r="M4404" i="14"/>
  <c r="N4400" i="14"/>
  <c r="J4399" i="14" a="1"/>
  <c r="J4399" i="14" s="1"/>
  <c r="K4215" i="13" l="1"/>
  <c r="L4215" i="13" s="1"/>
  <c r="I4216" i="13" s="1"/>
  <c r="K4237" i="14"/>
  <c r="L4237" i="14" s="1"/>
  <c r="I4238" i="14" s="1"/>
  <c r="N4402" i="13"/>
  <c r="J4401" i="13" a="1"/>
  <c r="J4401" i="13" s="1"/>
  <c r="J4400" i="14" a="1"/>
  <c r="J4400" i="14" s="1"/>
  <c r="N4401" i="14"/>
  <c r="M4405" i="14"/>
  <c r="M4404" i="13"/>
  <c r="K4238" i="14" l="1"/>
  <c r="L4238" i="14" s="1"/>
  <c r="I4239" i="14" s="1"/>
  <c r="K4216" i="13"/>
  <c r="L4216" i="13" s="1"/>
  <c r="I4217" i="13" s="1"/>
  <c r="J4401" i="14" a="1"/>
  <c r="J4401" i="14" s="1"/>
  <c r="N4402" i="14"/>
  <c r="M4406" i="14"/>
  <c r="M4405" i="13"/>
  <c r="J4402" i="13" a="1"/>
  <c r="J4402" i="13" s="1"/>
  <c r="N4403" i="13"/>
  <c r="K4217" i="13" l="1"/>
  <c r="L4217" i="13" s="1"/>
  <c r="I4218" i="13" s="1"/>
  <c r="K4239" i="14"/>
  <c r="L4239" i="14" s="1"/>
  <c r="I4240" i="14" s="1"/>
  <c r="N4404" i="13"/>
  <c r="J4403" i="13" a="1"/>
  <c r="J4403" i="13" s="1"/>
  <c r="M4407" i="14"/>
  <c r="N4403" i="14"/>
  <c r="J4402" i="14" a="1"/>
  <c r="J4402" i="14" s="1"/>
  <c r="M4406" i="13"/>
  <c r="K4240" i="14" l="1"/>
  <c r="L4240" i="14" s="1"/>
  <c r="I4241" i="14" s="1"/>
  <c r="K4218" i="13"/>
  <c r="L4218" i="13" s="1"/>
  <c r="I4219" i="13" s="1"/>
  <c r="M4407" i="13"/>
  <c r="M4408" i="14"/>
  <c r="N4404" i="14"/>
  <c r="J4403" i="14" a="1"/>
  <c r="J4403" i="14" s="1"/>
  <c r="J4404" i="13" a="1"/>
  <c r="J4404" i="13" s="1"/>
  <c r="N4405" i="13"/>
  <c r="K4219" i="13" l="1"/>
  <c r="L4219" i="13" s="1"/>
  <c r="I4220" i="13" s="1"/>
  <c r="K4241" i="14"/>
  <c r="L4241" i="14" s="1"/>
  <c r="I4242" i="14" s="1"/>
  <c r="N4406" i="13"/>
  <c r="J4405" i="13" a="1"/>
  <c r="J4405" i="13" s="1"/>
  <c r="M4409" i="14"/>
  <c r="J4404" i="14" a="1"/>
  <c r="J4404" i="14" s="1"/>
  <c r="N4405" i="14"/>
  <c r="M4408" i="13"/>
  <c r="K4242" i="14" l="1"/>
  <c r="L4242" i="14" s="1"/>
  <c r="I4243" i="14" s="1"/>
  <c r="K4220" i="13"/>
  <c r="L4220" i="13" s="1"/>
  <c r="I4221" i="13" s="1"/>
  <c r="M4409" i="13"/>
  <c r="J4405" i="14" a="1"/>
  <c r="J4405" i="14" s="1"/>
  <c r="N4406" i="14"/>
  <c r="M4410" i="14"/>
  <c r="J4406" i="13" a="1"/>
  <c r="J4406" i="13" s="1"/>
  <c r="N4407" i="13"/>
  <c r="K4221" i="13" l="1"/>
  <c r="L4221" i="13" s="1"/>
  <c r="I4222" i="13" s="1"/>
  <c r="K4243" i="14"/>
  <c r="L4243" i="14" s="1"/>
  <c r="I4244" i="14" s="1"/>
  <c r="N4407" i="14"/>
  <c r="J4406" i="14" a="1"/>
  <c r="J4406" i="14" s="1"/>
  <c r="N4408" i="13"/>
  <c r="J4407" i="13" a="1"/>
  <c r="J4407" i="13" s="1"/>
  <c r="M4411" i="14"/>
  <c r="M4410" i="13"/>
  <c r="K4222" i="13" l="1"/>
  <c r="L4222" i="13" s="1"/>
  <c r="I4223" i="13" s="1"/>
  <c r="M4411" i="13"/>
  <c r="K4244" i="14"/>
  <c r="L4244" i="14" s="1"/>
  <c r="I4245" i="14" s="1"/>
  <c r="J4408" i="13" a="1"/>
  <c r="J4408" i="13" s="1"/>
  <c r="N4409" i="13"/>
  <c r="M4412" i="14"/>
  <c r="N4408" i="14"/>
  <c r="J4407" i="14" a="1"/>
  <c r="J4407" i="14" s="1"/>
  <c r="K4245" i="14" l="1"/>
  <c r="L4245" i="14" s="1"/>
  <c r="I4246" i="14" s="1"/>
  <c r="K4223" i="13"/>
  <c r="L4223" i="13" s="1"/>
  <c r="I4224" i="13" s="1"/>
  <c r="N4410" i="13"/>
  <c r="J4409" i="13" a="1"/>
  <c r="J4409" i="13" s="1"/>
  <c r="M4412" i="13"/>
  <c r="J4408" i="14" a="1"/>
  <c r="J4408" i="14" s="1"/>
  <c r="N4409" i="14"/>
  <c r="M4413" i="14"/>
  <c r="K4224" i="13" l="1"/>
  <c r="L4224" i="13" s="1"/>
  <c r="I4225" i="13" s="1"/>
  <c r="K4246" i="14"/>
  <c r="L4246" i="14" s="1"/>
  <c r="I4247" i="14" s="1"/>
  <c r="M4414" i="14"/>
  <c r="M4413" i="13"/>
  <c r="J4409" i="14" a="1"/>
  <c r="J4409" i="14" s="1"/>
  <c r="N4410" i="14"/>
  <c r="J4410" i="13" a="1"/>
  <c r="J4410" i="13" s="1"/>
  <c r="N4411" i="13"/>
  <c r="K4247" i="14" l="1"/>
  <c r="L4247" i="14" s="1"/>
  <c r="I4248" i="14" s="1"/>
  <c r="K4225" i="13"/>
  <c r="L4225" i="13" s="1"/>
  <c r="I4226" i="13" s="1"/>
  <c r="N4412" i="13"/>
  <c r="J4411" i="13" a="1"/>
  <c r="J4411" i="13" s="1"/>
  <c r="M4414" i="13"/>
  <c r="J4410" i="14" a="1"/>
  <c r="J4410" i="14" s="1"/>
  <c r="N4411" i="14"/>
  <c r="M4415" i="14"/>
  <c r="K4226" i="13" l="1"/>
  <c r="L4226" i="13" s="1"/>
  <c r="I4227" i="13" s="1"/>
  <c r="K4248" i="14"/>
  <c r="L4248" i="14" s="1"/>
  <c r="I4249" i="14" s="1"/>
  <c r="N4412" i="14"/>
  <c r="J4411" i="14" a="1"/>
  <c r="J4411" i="14" s="1"/>
  <c r="M4415" i="13"/>
  <c r="M4416" i="14"/>
  <c r="J4412" i="13" a="1"/>
  <c r="J4412" i="13" s="1"/>
  <c r="N4413" i="13"/>
  <c r="K4249" i="14" l="1"/>
  <c r="L4249" i="14" s="1"/>
  <c r="I4250" i="14" s="1"/>
  <c r="K4227" i="13"/>
  <c r="L4227" i="13" s="1"/>
  <c r="I4228" i="13" s="1"/>
  <c r="N4414" i="13"/>
  <c r="J4413" i="13" a="1"/>
  <c r="J4413" i="13" s="1"/>
  <c r="M4416" i="13"/>
  <c r="M4417" i="14"/>
  <c r="J4412" i="14" a="1"/>
  <c r="J4412" i="14" s="1"/>
  <c r="N4413" i="14"/>
  <c r="K4228" i="13" l="1"/>
  <c r="L4228" i="13" s="1"/>
  <c r="I4229" i="13" s="1"/>
  <c r="K4250" i="14"/>
  <c r="L4250" i="14" s="1"/>
  <c r="I4251" i="14" s="1"/>
  <c r="J4413" i="14" a="1"/>
  <c r="J4413" i="14" s="1"/>
  <c r="N4414" i="14"/>
  <c r="M4417" i="13"/>
  <c r="M4418" i="14"/>
  <c r="J4414" i="13" a="1"/>
  <c r="J4414" i="13" s="1"/>
  <c r="N4415" i="13"/>
  <c r="K4251" i="14" l="1"/>
  <c r="L4251" i="14" s="1"/>
  <c r="I4252" i="14" s="1"/>
  <c r="K4229" i="13"/>
  <c r="L4229" i="13" s="1"/>
  <c r="I4230" i="13" s="1"/>
  <c r="N4416" i="13"/>
  <c r="J4415" i="13" a="1"/>
  <c r="J4415" i="13" s="1"/>
  <c r="M4418" i="13"/>
  <c r="M4419" i="14"/>
  <c r="N4415" i="14"/>
  <c r="J4414" i="14" a="1"/>
  <c r="J4414" i="14" s="1"/>
  <c r="K4230" i="13" l="1"/>
  <c r="L4230" i="13" s="1"/>
  <c r="I4231" i="13" s="1"/>
  <c r="K4252" i="14"/>
  <c r="L4252" i="14" s="1"/>
  <c r="I4253" i="14" s="1"/>
  <c r="M4419" i="13"/>
  <c r="N4416" i="14"/>
  <c r="J4415" i="14" a="1"/>
  <c r="J4415" i="14" s="1"/>
  <c r="M4420" i="14"/>
  <c r="J4416" i="13" a="1"/>
  <c r="J4416" i="13" s="1"/>
  <c r="N4417" i="13"/>
  <c r="K4253" i="14" l="1"/>
  <c r="L4253" i="14" s="1"/>
  <c r="I4254" i="14" s="1"/>
  <c r="K4231" i="13"/>
  <c r="L4231" i="13" s="1"/>
  <c r="I4232" i="13" s="1"/>
  <c r="N4418" i="13"/>
  <c r="J4417" i="13" a="1"/>
  <c r="J4417" i="13" s="1"/>
  <c r="J4416" i="14" a="1"/>
  <c r="J4416" i="14" s="1"/>
  <c r="N4417" i="14"/>
  <c r="M4421" i="14"/>
  <c r="M4420" i="13"/>
  <c r="K4232" i="13" l="1"/>
  <c r="L4232" i="13" s="1"/>
  <c r="I4233" i="13" s="1"/>
  <c r="K4254" i="14"/>
  <c r="L4254" i="14" s="1"/>
  <c r="I4255" i="14" s="1"/>
  <c r="J4417" i="14" a="1"/>
  <c r="J4417" i="14" s="1"/>
  <c r="N4418" i="14"/>
  <c r="M4421" i="13"/>
  <c r="M4422" i="14"/>
  <c r="J4418" i="13" a="1"/>
  <c r="J4418" i="13" s="1"/>
  <c r="N4419" i="13"/>
  <c r="K4255" i="14" l="1"/>
  <c r="L4255" i="14" s="1"/>
  <c r="I4256" i="14" s="1"/>
  <c r="K4233" i="13"/>
  <c r="L4233" i="13" s="1"/>
  <c r="I4234" i="13" s="1"/>
  <c r="N4420" i="13"/>
  <c r="J4419" i="13" a="1"/>
  <c r="J4419" i="13" s="1"/>
  <c r="M4422" i="13"/>
  <c r="M4423" i="14"/>
  <c r="N4419" i="14"/>
  <c r="J4418" i="14" a="1"/>
  <c r="J4418" i="14" s="1"/>
  <c r="K4234" i="13" l="1"/>
  <c r="L4234" i="13" s="1"/>
  <c r="I4235" i="13" s="1"/>
  <c r="K4256" i="14"/>
  <c r="L4256" i="14" s="1"/>
  <c r="I4257" i="14" s="1"/>
  <c r="M4423" i="13"/>
  <c r="N4420" i="14"/>
  <c r="J4419" i="14" a="1"/>
  <c r="J4419" i="14" s="1"/>
  <c r="M4424" i="14"/>
  <c r="J4420" i="13" a="1"/>
  <c r="J4420" i="13" s="1"/>
  <c r="N4421" i="13"/>
  <c r="K4257" i="14" l="1"/>
  <c r="L4257" i="14" s="1"/>
  <c r="I4258" i="14" s="1"/>
  <c r="K4235" i="13"/>
  <c r="L4235" i="13" s="1"/>
  <c r="I4236" i="13" s="1"/>
  <c r="N4422" i="13"/>
  <c r="J4421" i="13" a="1"/>
  <c r="J4421" i="13" s="1"/>
  <c r="J4420" i="14" a="1"/>
  <c r="J4420" i="14" s="1"/>
  <c r="N4421" i="14"/>
  <c r="M4425" i="14"/>
  <c r="M4424" i="13"/>
  <c r="K4258" i="14" l="1"/>
  <c r="L4258" i="14" s="1"/>
  <c r="I4259" i="14" s="1"/>
  <c r="M4425" i="13"/>
  <c r="J4421" i="14" a="1"/>
  <c r="J4421" i="14" s="1"/>
  <c r="N4422" i="14"/>
  <c r="K4236" i="13"/>
  <c r="L4236" i="13" s="1"/>
  <c r="I4237" i="13" s="1"/>
  <c r="M4426" i="14"/>
  <c r="J4422" i="13" a="1"/>
  <c r="J4422" i="13" s="1"/>
  <c r="N4423" i="13"/>
  <c r="K4237" i="13" l="1"/>
  <c r="L4237" i="13" s="1"/>
  <c r="I4238" i="13" s="1"/>
  <c r="K4259" i="14"/>
  <c r="L4259" i="14" s="1"/>
  <c r="I4260" i="14" s="1"/>
  <c r="N4424" i="13"/>
  <c r="J4423" i="13" a="1"/>
  <c r="J4423" i="13" s="1"/>
  <c r="M4426" i="13"/>
  <c r="N4423" i="14"/>
  <c r="J4422" i="14" a="1"/>
  <c r="J4422" i="14" s="1"/>
  <c r="M4427" i="14"/>
  <c r="K4260" i="14" l="1"/>
  <c r="L4260" i="14" s="1"/>
  <c r="I4261" i="14" s="1"/>
  <c r="K4238" i="13"/>
  <c r="L4238" i="13" s="1"/>
  <c r="I4239" i="13" s="1"/>
  <c r="M4427" i="13"/>
  <c r="M4428" i="14"/>
  <c r="N4424" i="14"/>
  <c r="J4423" i="14" a="1"/>
  <c r="J4423" i="14" s="1"/>
  <c r="J4424" i="13" a="1"/>
  <c r="J4424" i="13" s="1"/>
  <c r="N4425" i="13"/>
  <c r="K4239" i="13" l="1"/>
  <c r="L4239" i="13" s="1"/>
  <c r="I4240" i="13" s="1"/>
  <c r="K4261" i="14"/>
  <c r="L4261" i="14" s="1"/>
  <c r="I4262" i="14" s="1"/>
  <c r="M4429" i="14"/>
  <c r="N4426" i="13"/>
  <c r="J4425" i="13" a="1"/>
  <c r="J4425" i="13" s="1"/>
  <c r="J4424" i="14" a="1"/>
  <c r="J4424" i="14" s="1"/>
  <c r="N4425" i="14"/>
  <c r="M4428" i="13"/>
  <c r="K4262" i="14" l="1"/>
  <c r="L4262" i="14" s="1"/>
  <c r="I4263" i="14" s="1"/>
  <c r="K4240" i="13"/>
  <c r="L4240" i="13" s="1"/>
  <c r="I4241" i="13" s="1"/>
  <c r="J4426" i="13" a="1"/>
  <c r="J4426" i="13" s="1"/>
  <c r="N4427" i="13"/>
  <c r="M4429" i="13"/>
  <c r="J4425" i="14" a="1"/>
  <c r="J4425" i="14" s="1"/>
  <c r="N4426" i="14"/>
  <c r="M4430" i="14"/>
  <c r="K4241" i="13" l="1"/>
  <c r="L4241" i="13" s="1"/>
  <c r="I4242" i="13" s="1"/>
  <c r="K4263" i="14"/>
  <c r="L4263" i="14" s="1"/>
  <c r="I4264" i="14" s="1"/>
  <c r="M4431" i="14"/>
  <c r="M4430" i="13"/>
  <c r="J4426" i="14" a="1"/>
  <c r="J4426" i="14" s="1"/>
  <c r="N4427" i="14"/>
  <c r="N4428" i="13"/>
  <c r="J4427" i="13" a="1"/>
  <c r="J4427" i="13" s="1"/>
  <c r="K4264" i="14" l="1"/>
  <c r="L4264" i="14" s="1"/>
  <c r="I4265" i="14" s="1"/>
  <c r="K4242" i="13"/>
  <c r="L4242" i="13" s="1"/>
  <c r="I4243" i="13" s="1"/>
  <c r="M4431" i="13"/>
  <c r="J4428" i="13" a="1"/>
  <c r="J4428" i="13" s="1"/>
  <c r="N4429" i="13"/>
  <c r="N4428" i="14"/>
  <c r="J4427" i="14" a="1"/>
  <c r="J4427" i="14" s="1"/>
  <c r="M4432" i="14"/>
  <c r="K4243" i="13" l="1"/>
  <c r="L4243" i="13" s="1"/>
  <c r="I4244" i="13" s="1"/>
  <c r="K4265" i="14"/>
  <c r="L4265" i="14" s="1"/>
  <c r="I4266" i="14" s="1"/>
  <c r="N4430" i="13"/>
  <c r="J4429" i="13" a="1"/>
  <c r="J4429" i="13" s="1"/>
  <c r="M4433" i="14"/>
  <c r="J4428" i="14" a="1"/>
  <c r="J4428" i="14" s="1"/>
  <c r="N4429" i="14"/>
  <c r="M4432" i="13"/>
  <c r="K4266" i="14" l="1"/>
  <c r="L4266" i="14" s="1"/>
  <c r="I4267" i="14" s="1"/>
  <c r="K4244" i="13"/>
  <c r="L4244" i="13" s="1"/>
  <c r="I4245" i="13" s="1"/>
  <c r="M4433" i="13"/>
  <c r="M4434" i="14"/>
  <c r="J4429" i="14" a="1"/>
  <c r="J4429" i="14" s="1"/>
  <c r="N4430" i="14"/>
  <c r="J4430" i="13" a="1"/>
  <c r="J4430" i="13" s="1"/>
  <c r="N4431" i="13"/>
  <c r="K4245" i="13" l="1"/>
  <c r="L4245" i="13" s="1"/>
  <c r="I4246" i="13" s="1"/>
  <c r="K4267" i="14"/>
  <c r="L4267" i="14" s="1"/>
  <c r="I4268" i="14" s="1"/>
  <c r="N4432" i="13"/>
  <c r="J4431" i="13" a="1"/>
  <c r="J4431" i="13" s="1"/>
  <c r="M4435" i="14"/>
  <c r="N4431" i="14"/>
  <c r="J4430" i="14" a="1"/>
  <c r="J4430" i="14" s="1"/>
  <c r="M4434" i="13"/>
  <c r="K4268" i="14" l="1"/>
  <c r="L4268" i="14" s="1"/>
  <c r="I4269" i="14" s="1"/>
  <c r="K4246" i="13"/>
  <c r="L4246" i="13" s="1"/>
  <c r="I4247" i="13" s="1"/>
  <c r="M4435" i="13"/>
  <c r="M4436" i="14"/>
  <c r="N4432" i="14"/>
  <c r="J4431" i="14" a="1"/>
  <c r="J4431" i="14" s="1"/>
  <c r="J4432" i="13" a="1"/>
  <c r="J4432" i="13" s="1"/>
  <c r="N4433" i="13"/>
  <c r="K4269" i="14" l="1"/>
  <c r="L4269" i="14" s="1"/>
  <c r="I4270" i="14" s="1"/>
  <c r="N4434" i="13"/>
  <c r="J4433" i="13" a="1"/>
  <c r="J4433" i="13" s="1"/>
  <c r="K4247" i="13"/>
  <c r="L4247" i="13" s="1"/>
  <c r="I4248" i="13" s="1"/>
  <c r="M4437" i="14"/>
  <c r="J4432" i="14" a="1"/>
  <c r="J4432" i="14" s="1"/>
  <c r="N4433" i="14"/>
  <c r="M4436" i="13"/>
  <c r="K4248" i="13" l="1"/>
  <c r="L4248" i="13" s="1"/>
  <c r="I4249" i="13" s="1"/>
  <c r="K4270" i="14"/>
  <c r="L4270" i="14" s="1"/>
  <c r="I4271" i="14" s="1"/>
  <c r="M4438" i="14"/>
  <c r="J4434" i="13" a="1"/>
  <c r="J4434" i="13" s="1"/>
  <c r="N4435" i="13"/>
  <c r="J4433" i="14" a="1"/>
  <c r="J4433" i="14" s="1"/>
  <c r="N4434" i="14"/>
  <c r="M4437" i="13"/>
  <c r="K4271" i="14" l="1"/>
  <c r="L4271" i="14" s="1"/>
  <c r="I4272" i="14" s="1"/>
  <c r="K4249" i="13"/>
  <c r="L4249" i="13" s="1"/>
  <c r="I4250" i="13" s="1"/>
  <c r="N4436" i="13"/>
  <c r="J4435" i="13" a="1"/>
  <c r="J4435" i="13" s="1"/>
  <c r="N4435" i="14"/>
  <c r="J4434" i="14" a="1"/>
  <c r="J4434" i="14" s="1"/>
  <c r="M4439" i="14"/>
  <c r="M4438" i="13"/>
  <c r="K4250" i="13" l="1"/>
  <c r="L4250" i="13" s="1"/>
  <c r="I4251" i="13" s="1"/>
  <c r="K4272" i="14"/>
  <c r="L4272" i="14" s="1"/>
  <c r="I4273" i="14" s="1"/>
  <c r="N4436" i="14"/>
  <c r="J4435" i="14" a="1"/>
  <c r="J4435" i="14" s="1"/>
  <c r="M4439" i="13"/>
  <c r="M4440" i="14"/>
  <c r="J4436" i="13" a="1"/>
  <c r="J4436" i="13" s="1"/>
  <c r="N4437" i="13"/>
  <c r="K4273" i="14" l="1"/>
  <c r="L4273" i="14" s="1"/>
  <c r="I4274" i="14" s="1"/>
  <c r="K4251" i="13"/>
  <c r="L4251" i="13" s="1"/>
  <c r="I4252" i="13" s="1"/>
  <c r="N4438" i="13"/>
  <c r="J4437" i="13" a="1"/>
  <c r="J4437" i="13" s="1"/>
  <c r="M4440" i="13"/>
  <c r="M4441" i="14"/>
  <c r="J4436" i="14" a="1"/>
  <c r="J4436" i="14" s="1"/>
  <c r="N4437" i="14"/>
  <c r="K4252" i="13" l="1"/>
  <c r="L4252" i="13" s="1"/>
  <c r="I4253" i="13" s="1"/>
  <c r="K4274" i="14"/>
  <c r="L4274" i="14" s="1"/>
  <c r="I4275" i="14" s="1"/>
  <c r="J4437" i="14" a="1"/>
  <c r="J4437" i="14" s="1"/>
  <c r="N4438" i="14"/>
  <c r="M4441" i="13"/>
  <c r="M4442" i="14"/>
  <c r="J4438" i="13" a="1"/>
  <c r="J4438" i="13" s="1"/>
  <c r="N4439" i="13"/>
  <c r="K4275" i="14" l="1"/>
  <c r="L4275" i="14" s="1"/>
  <c r="I4276" i="14" s="1"/>
  <c r="K4253" i="13"/>
  <c r="L4253" i="13" s="1"/>
  <c r="I4254" i="13" s="1"/>
  <c r="N4440" i="13"/>
  <c r="J4439" i="13" a="1"/>
  <c r="J4439" i="13" s="1"/>
  <c r="M4442" i="13"/>
  <c r="M4443" i="14"/>
  <c r="N4439" i="14"/>
  <c r="J4438" i="14" a="1"/>
  <c r="J4438" i="14" s="1"/>
  <c r="K4254" i="13" l="1"/>
  <c r="L4254" i="13" s="1"/>
  <c r="I4255" i="13" s="1"/>
  <c r="K4276" i="14"/>
  <c r="L4276" i="14" s="1"/>
  <c r="I4277" i="14" s="1"/>
  <c r="M4443" i="13"/>
  <c r="N4440" i="14"/>
  <c r="J4439" i="14" a="1"/>
  <c r="J4439" i="14" s="1"/>
  <c r="M4444" i="14"/>
  <c r="J4440" i="13" a="1"/>
  <c r="J4440" i="13" s="1"/>
  <c r="N4441" i="13"/>
  <c r="K4277" i="14" l="1"/>
  <c r="L4277" i="14" s="1"/>
  <c r="I4278" i="14" s="1"/>
  <c r="K4255" i="13"/>
  <c r="L4255" i="13" s="1"/>
  <c r="I4256" i="13" s="1"/>
  <c r="N4442" i="13"/>
  <c r="J4441" i="13" a="1"/>
  <c r="J4441" i="13" s="1"/>
  <c r="J4440" i="14" a="1"/>
  <c r="J4440" i="14" s="1"/>
  <c r="N4441" i="14"/>
  <c r="M4445" i="14"/>
  <c r="M4444" i="13"/>
  <c r="K4256" i="13" l="1"/>
  <c r="L4256" i="13" s="1"/>
  <c r="I4257" i="13" s="1"/>
  <c r="K4278" i="14"/>
  <c r="L4278" i="14" s="1"/>
  <c r="I4279" i="14" s="1"/>
  <c r="M4445" i="13"/>
  <c r="J4441" i="14" a="1"/>
  <c r="J4441" i="14" s="1"/>
  <c r="N4442" i="14"/>
  <c r="M4446" i="14"/>
  <c r="J4442" i="13" a="1"/>
  <c r="J4442" i="13" s="1"/>
  <c r="N4443" i="13"/>
  <c r="K4279" i="14" l="1"/>
  <c r="L4279" i="14" s="1"/>
  <c r="I4280" i="14" s="1"/>
  <c r="K4257" i="13"/>
  <c r="L4257" i="13" s="1"/>
  <c r="I4258" i="13" s="1"/>
  <c r="N4444" i="13"/>
  <c r="J4443" i="13" a="1"/>
  <c r="J4443" i="13" s="1"/>
  <c r="J4442" i="14" a="1"/>
  <c r="J4442" i="14" s="1"/>
  <c r="N4443" i="14"/>
  <c r="M4447" i="14"/>
  <c r="M4446" i="13"/>
  <c r="K4258" i="13" l="1"/>
  <c r="L4258" i="13" s="1"/>
  <c r="I4259" i="13" s="1"/>
  <c r="K4280" i="14"/>
  <c r="L4280" i="14" s="1"/>
  <c r="I4281" i="14" s="1"/>
  <c r="M4447" i="13"/>
  <c r="N4444" i="14"/>
  <c r="J4443" i="14" a="1"/>
  <c r="J4443" i="14" s="1"/>
  <c r="M4448" i="14"/>
  <c r="J4444" i="13" a="1"/>
  <c r="J4444" i="13" s="1"/>
  <c r="N4445" i="13"/>
  <c r="K4281" i="14" l="1"/>
  <c r="L4281" i="14" s="1"/>
  <c r="I4282" i="14" s="1"/>
  <c r="K4259" i="13"/>
  <c r="L4259" i="13" s="1"/>
  <c r="I4260" i="13" s="1"/>
  <c r="N4446" i="13"/>
  <c r="J4445" i="13" a="1"/>
  <c r="J4445" i="13" s="1"/>
  <c r="J4444" i="14" a="1"/>
  <c r="J4444" i="14" s="1"/>
  <c r="N4445" i="14"/>
  <c r="M4449" i="14"/>
  <c r="M4448" i="13"/>
  <c r="K4260" i="13" l="1"/>
  <c r="L4260" i="13" s="1"/>
  <c r="I4261" i="13" s="1"/>
  <c r="K4282" i="14"/>
  <c r="L4282" i="14" s="1"/>
  <c r="I4283" i="14" s="1"/>
  <c r="J4445" i="14" a="1"/>
  <c r="J4445" i="14" s="1"/>
  <c r="N4446" i="14"/>
  <c r="M4449" i="13"/>
  <c r="M4450" i="14"/>
  <c r="J4446" i="13" a="1"/>
  <c r="J4446" i="13" s="1"/>
  <c r="N4447" i="13"/>
  <c r="K4283" i="14" l="1"/>
  <c r="L4283" i="14" s="1"/>
  <c r="I4284" i="14" s="1"/>
  <c r="K4261" i="13"/>
  <c r="L4261" i="13" s="1"/>
  <c r="I4262" i="13" s="1"/>
  <c r="N4448" i="13"/>
  <c r="J4447" i="13" a="1"/>
  <c r="J4447" i="13" s="1"/>
  <c r="M4450" i="13"/>
  <c r="N4447" i="14"/>
  <c r="J4446" i="14" a="1"/>
  <c r="J4446" i="14" s="1"/>
  <c r="M4451" i="14"/>
  <c r="K4262" i="13" l="1"/>
  <c r="L4262" i="13" s="1"/>
  <c r="I4263" i="13" s="1"/>
  <c r="K4284" i="14"/>
  <c r="L4284" i="14" s="1"/>
  <c r="I4285" i="14" s="1"/>
  <c r="M4451" i="13"/>
  <c r="N4448" i="14"/>
  <c r="J4447" i="14" a="1"/>
  <c r="J4447" i="14" s="1"/>
  <c r="M4452" i="14"/>
  <c r="J4448" i="13" a="1"/>
  <c r="J4448" i="13" s="1"/>
  <c r="N4449" i="13"/>
  <c r="K4285" i="14" l="1"/>
  <c r="L4285" i="14" s="1"/>
  <c r="I4286" i="14" s="1"/>
  <c r="K4263" i="13"/>
  <c r="L4263" i="13" s="1"/>
  <c r="I4264" i="13" s="1"/>
  <c r="J4448" i="14" a="1"/>
  <c r="J4448" i="14" s="1"/>
  <c r="N4449" i="14"/>
  <c r="N4450" i="13"/>
  <c r="J4449" i="13" a="1"/>
  <c r="J4449" i="13" s="1"/>
  <c r="M4453" i="14"/>
  <c r="M4452" i="13"/>
  <c r="K4264" i="13" l="1"/>
  <c r="L4264" i="13" s="1"/>
  <c r="I4265" i="13" s="1"/>
  <c r="K4286" i="14"/>
  <c r="L4286" i="14" s="1"/>
  <c r="I4287" i="14" s="1"/>
  <c r="J4450" i="13" a="1"/>
  <c r="J4450" i="13" s="1"/>
  <c r="N4451" i="13"/>
  <c r="J4449" i="14" a="1"/>
  <c r="J4449" i="14" s="1"/>
  <c r="N4450" i="14"/>
  <c r="M4453" i="13"/>
  <c r="M4454" i="14"/>
  <c r="K4287" i="14" l="1"/>
  <c r="L4287" i="14" s="1"/>
  <c r="I4288" i="14" s="1"/>
  <c r="K4265" i="13"/>
  <c r="L4265" i="13" s="1"/>
  <c r="I4266" i="13" s="1"/>
  <c r="N4451" i="14"/>
  <c r="J4450" i="14" a="1"/>
  <c r="J4450" i="14" s="1"/>
  <c r="M4455" i="14"/>
  <c r="N4452" i="13"/>
  <c r="J4451" i="13" a="1"/>
  <c r="J4451" i="13" s="1"/>
  <c r="M4454" i="13"/>
  <c r="K4266" i="13" l="1"/>
  <c r="L4266" i="13" s="1"/>
  <c r="I4267" i="13" s="1"/>
  <c r="J4452" i="13" a="1"/>
  <c r="J4452" i="13" s="1"/>
  <c r="N4453" i="13"/>
  <c r="M4455" i="13"/>
  <c r="M4456" i="14"/>
  <c r="N4452" i="14"/>
  <c r="J4451" i="14" a="1"/>
  <c r="J4451" i="14" s="1"/>
  <c r="K4288" i="14"/>
  <c r="L4288" i="14" s="1"/>
  <c r="I4289" i="14" s="1"/>
  <c r="K4289" i="14" l="1"/>
  <c r="L4289" i="14" s="1"/>
  <c r="I4290" i="14" s="1"/>
  <c r="K4267" i="13"/>
  <c r="L4267" i="13" s="1"/>
  <c r="I4268" i="13" s="1"/>
  <c r="N4454" i="13"/>
  <c r="J4453" i="13" a="1"/>
  <c r="J4453" i="13" s="1"/>
  <c r="M4457" i="14"/>
  <c r="J4452" i="14" a="1"/>
  <c r="J4452" i="14" s="1"/>
  <c r="N4453" i="14"/>
  <c r="M4456" i="13"/>
  <c r="K4268" i="13" l="1"/>
  <c r="L4268" i="13" s="1"/>
  <c r="I4269" i="13" s="1"/>
  <c r="K4290" i="14"/>
  <c r="L4290" i="14" s="1"/>
  <c r="I4291" i="14" s="1"/>
  <c r="J4453" i="14" a="1"/>
  <c r="J4453" i="14" s="1"/>
  <c r="N4454" i="14"/>
  <c r="M4457" i="13"/>
  <c r="M4458" i="14"/>
  <c r="J4454" i="13" a="1"/>
  <c r="J4454" i="13" s="1"/>
  <c r="N4455" i="13"/>
  <c r="K4291" i="14" l="1"/>
  <c r="L4291" i="14" s="1"/>
  <c r="I4292" i="14" s="1"/>
  <c r="K4269" i="13"/>
  <c r="L4269" i="13" s="1"/>
  <c r="I4270" i="13" s="1"/>
  <c r="N4456" i="13"/>
  <c r="J4455" i="13" a="1"/>
  <c r="J4455" i="13" s="1"/>
  <c r="M4458" i="13"/>
  <c r="N4455" i="14"/>
  <c r="J4454" i="14" a="1"/>
  <c r="J4454" i="14" s="1"/>
  <c r="M4459" i="14"/>
  <c r="K4270" i="13" l="1"/>
  <c r="L4270" i="13" s="1"/>
  <c r="I4271" i="13" s="1"/>
  <c r="K4292" i="14"/>
  <c r="L4292" i="14" s="1"/>
  <c r="I4293" i="14" s="1"/>
  <c r="M4459" i="13"/>
  <c r="N4456" i="14"/>
  <c r="J4455" i="14" a="1"/>
  <c r="J4455" i="14" s="1"/>
  <c r="M4460" i="14"/>
  <c r="J4456" i="13" a="1"/>
  <c r="J4456" i="13" s="1"/>
  <c r="N4457" i="13"/>
  <c r="K4293" i="14" l="1"/>
  <c r="L4293" i="14" s="1"/>
  <c r="I4294" i="14" s="1"/>
  <c r="K4271" i="13"/>
  <c r="L4271" i="13" s="1"/>
  <c r="I4272" i="13" s="1"/>
  <c r="J4456" i="14" a="1"/>
  <c r="J4456" i="14" s="1"/>
  <c r="N4457" i="14"/>
  <c r="N4458" i="13"/>
  <c r="J4457" i="13" a="1"/>
  <c r="J4457" i="13" s="1"/>
  <c r="M4461" i="14"/>
  <c r="M4460" i="13"/>
  <c r="K4272" i="13" l="1"/>
  <c r="L4272" i="13" s="1"/>
  <c r="I4273" i="13" s="1"/>
  <c r="K4294" i="14"/>
  <c r="L4294" i="14" s="1"/>
  <c r="I4295" i="14" s="1"/>
  <c r="J4458" i="13" a="1"/>
  <c r="J4458" i="13" s="1"/>
  <c r="N4459" i="13"/>
  <c r="M4461" i="13"/>
  <c r="J4457" i="14" a="1"/>
  <c r="J4457" i="14" s="1"/>
  <c r="N4458" i="14"/>
  <c r="M4462" i="14"/>
  <c r="K4295" i="14" l="1"/>
  <c r="L4295" i="14" s="1"/>
  <c r="I4296" i="14" s="1"/>
  <c r="K4273" i="13"/>
  <c r="L4273" i="13" s="1"/>
  <c r="I4274" i="13" s="1"/>
  <c r="J4458" i="14" a="1"/>
  <c r="J4458" i="14" s="1"/>
  <c r="N4459" i="14"/>
  <c r="M4463" i="14"/>
  <c r="M4462" i="13"/>
  <c r="N4460" i="13"/>
  <c r="J4459" i="13" a="1"/>
  <c r="J4459" i="13" s="1"/>
  <c r="K4274" i="13" l="1"/>
  <c r="L4274" i="13" s="1"/>
  <c r="I4275" i="13" s="1"/>
  <c r="K4296" i="14"/>
  <c r="L4296" i="14" s="1"/>
  <c r="I4297" i="14" s="1"/>
  <c r="J4460" i="13" a="1"/>
  <c r="J4460" i="13" s="1"/>
  <c r="N4461" i="13"/>
  <c r="M4464" i="14"/>
  <c r="M4463" i="13"/>
  <c r="N4460" i="14"/>
  <c r="J4459" i="14" a="1"/>
  <c r="J4459" i="14" s="1"/>
  <c r="K4297" i="14" l="1"/>
  <c r="L4297" i="14" s="1"/>
  <c r="I4298" i="14" s="1"/>
  <c r="K4275" i="13"/>
  <c r="L4275" i="13" s="1"/>
  <c r="I4276" i="13" s="1"/>
  <c r="J4460" i="14" a="1"/>
  <c r="J4460" i="14" s="1"/>
  <c r="N4461" i="14"/>
  <c r="M4465" i="14"/>
  <c r="N4462" i="13"/>
  <c r="J4461" i="13" a="1"/>
  <c r="J4461" i="13" s="1"/>
  <c r="M4464" i="13"/>
  <c r="K4276" i="13" l="1"/>
  <c r="L4276" i="13" s="1"/>
  <c r="I4277" i="13" s="1"/>
  <c r="K4298" i="14"/>
  <c r="L4298" i="14" s="1"/>
  <c r="I4299" i="14" s="1"/>
  <c r="M4465" i="13"/>
  <c r="M4466" i="14"/>
  <c r="J4461" i="14" a="1"/>
  <c r="J4461" i="14" s="1"/>
  <c r="N4462" i="14"/>
  <c r="J4462" i="13" a="1"/>
  <c r="J4462" i="13" s="1"/>
  <c r="N4463" i="13"/>
  <c r="K4277" i="13" l="1"/>
  <c r="L4277" i="13" s="1"/>
  <c r="I4278" i="13" s="1"/>
  <c r="N4464" i="13"/>
  <c r="J4463" i="13" a="1"/>
  <c r="J4463" i="13" s="1"/>
  <c r="M4467" i="14"/>
  <c r="K4299" i="14"/>
  <c r="L4299" i="14" s="1"/>
  <c r="I4300" i="14" s="1"/>
  <c r="N4463" i="14"/>
  <c r="J4462" i="14" a="1"/>
  <c r="J4462" i="14" s="1"/>
  <c r="M4466" i="13"/>
  <c r="K4300" i="14" l="1"/>
  <c r="L4300" i="14" s="1"/>
  <c r="I4301" i="14" s="1"/>
  <c r="K4278" i="13"/>
  <c r="L4278" i="13" s="1"/>
  <c r="I4279" i="13" s="1"/>
  <c r="J4464" i="13" a="1"/>
  <c r="J4464" i="13" s="1"/>
  <c r="N4465" i="13"/>
  <c r="M4467" i="13"/>
  <c r="N4464" i="14"/>
  <c r="J4463" i="14" a="1"/>
  <c r="J4463" i="14" s="1"/>
  <c r="M4468" i="14"/>
  <c r="K4279" i="13" l="1"/>
  <c r="L4279" i="13" s="1"/>
  <c r="I4280" i="13" s="1"/>
  <c r="K4301" i="14"/>
  <c r="L4301" i="14" s="1"/>
  <c r="I4302" i="14" s="1"/>
  <c r="J4464" i="14" a="1"/>
  <c r="J4464" i="14" s="1"/>
  <c r="N4465" i="14"/>
  <c r="M4469" i="14"/>
  <c r="M4468" i="13"/>
  <c r="N4466" i="13"/>
  <c r="J4465" i="13" a="1"/>
  <c r="J4465" i="13" s="1"/>
  <c r="K4302" i="14" l="1"/>
  <c r="L4302" i="14" s="1"/>
  <c r="I4303" i="14" s="1"/>
  <c r="K4280" i="13"/>
  <c r="L4280" i="13" s="1"/>
  <c r="I4281" i="13" s="1"/>
  <c r="M4470" i="14"/>
  <c r="J4466" i="13" a="1"/>
  <c r="J4466" i="13" s="1"/>
  <c r="N4467" i="13"/>
  <c r="J4465" i="14" a="1"/>
  <c r="J4465" i="14" s="1"/>
  <c r="N4466" i="14"/>
  <c r="M4469" i="13"/>
  <c r="K4281" i="13" l="1"/>
  <c r="L4281" i="13" s="1"/>
  <c r="I4282" i="13" s="1"/>
  <c r="K4303" i="14"/>
  <c r="L4303" i="14" s="1"/>
  <c r="I4304" i="14" s="1"/>
  <c r="N4468" i="13"/>
  <c r="J4467" i="13" a="1"/>
  <c r="J4467" i="13" s="1"/>
  <c r="N4467" i="14"/>
  <c r="J4466" i="14" a="1"/>
  <c r="J4466" i="14" s="1"/>
  <c r="M4471" i="14"/>
  <c r="M4470" i="13"/>
  <c r="K4304" i="14" l="1"/>
  <c r="L4304" i="14" s="1"/>
  <c r="I4305" i="14" s="1"/>
  <c r="K4282" i="13"/>
  <c r="L4282" i="13" s="1"/>
  <c r="I4283" i="13" s="1"/>
  <c r="N4468" i="14"/>
  <c r="J4467" i="14" a="1"/>
  <c r="J4467" i="14" s="1"/>
  <c r="M4471" i="13"/>
  <c r="M4472" i="14"/>
  <c r="J4468" i="13" a="1"/>
  <c r="J4468" i="13" s="1"/>
  <c r="N4469" i="13"/>
  <c r="K4283" i="13" l="1"/>
  <c r="L4283" i="13" s="1"/>
  <c r="I4284" i="13" s="1"/>
  <c r="K4305" i="14"/>
  <c r="L4305" i="14" s="1"/>
  <c r="I4306" i="14" s="1"/>
  <c r="N4470" i="13"/>
  <c r="J4469" i="13" a="1"/>
  <c r="J4469" i="13" s="1"/>
  <c r="M4472" i="13"/>
  <c r="M4473" i="14"/>
  <c r="J4468" i="14" a="1"/>
  <c r="J4468" i="14" s="1"/>
  <c r="N4469" i="14"/>
  <c r="K4306" i="14" l="1"/>
  <c r="L4306" i="14" s="1"/>
  <c r="I4307" i="14" s="1"/>
  <c r="K4284" i="13"/>
  <c r="L4284" i="13" s="1"/>
  <c r="I4285" i="13" s="1"/>
  <c r="J4469" i="14" a="1"/>
  <c r="J4469" i="14" s="1"/>
  <c r="N4470" i="14"/>
  <c r="M4473" i="13"/>
  <c r="M4474" i="14"/>
  <c r="J4470" i="13" a="1"/>
  <c r="J4470" i="13" s="1"/>
  <c r="N4471" i="13"/>
  <c r="K4285" i="13" l="1"/>
  <c r="L4285" i="13" s="1"/>
  <c r="I4286" i="13" s="1"/>
  <c r="K4307" i="14"/>
  <c r="L4307" i="14" s="1"/>
  <c r="I4308" i="14" s="1"/>
  <c r="N4472" i="13"/>
  <c r="J4471" i="13" a="1"/>
  <c r="J4471" i="13" s="1"/>
  <c r="M4474" i="13"/>
  <c r="N4471" i="14"/>
  <c r="J4470" i="14" a="1"/>
  <c r="J4470" i="14" s="1"/>
  <c r="M4475" i="14"/>
  <c r="K4308" i="14" l="1"/>
  <c r="L4308" i="14" s="1"/>
  <c r="I4309" i="14" s="1"/>
  <c r="K4286" i="13"/>
  <c r="L4286" i="13" s="1"/>
  <c r="I4287" i="13" s="1"/>
  <c r="M4475" i="13"/>
  <c r="M4476" i="14"/>
  <c r="N4472" i="14"/>
  <c r="J4471" i="14" a="1"/>
  <c r="J4471" i="14" s="1"/>
  <c r="J4472" i="13" a="1"/>
  <c r="J4472" i="13" s="1"/>
  <c r="N4473" i="13"/>
  <c r="K4287" i="13" l="1"/>
  <c r="L4287" i="13" s="1"/>
  <c r="I4288" i="13" s="1"/>
  <c r="K4309" i="14"/>
  <c r="L4309" i="14" s="1"/>
  <c r="I4310" i="14" s="1"/>
  <c r="N4474" i="13"/>
  <c r="J4473" i="13" a="1"/>
  <c r="J4473" i="13" s="1"/>
  <c r="M4477" i="14"/>
  <c r="J4472" i="14" a="1"/>
  <c r="J4472" i="14" s="1"/>
  <c r="N4473" i="14"/>
  <c r="M4476" i="13"/>
  <c r="K4310" i="14" l="1"/>
  <c r="L4310" i="14" s="1"/>
  <c r="I4311" i="14" s="1"/>
  <c r="K4288" i="13"/>
  <c r="L4288" i="13" s="1"/>
  <c r="I4289" i="13" s="1"/>
  <c r="M4477" i="13"/>
  <c r="M4478" i="14"/>
  <c r="J4473" i="14" a="1"/>
  <c r="J4473" i="14" s="1"/>
  <c r="N4474" i="14"/>
  <c r="J4474" i="13" a="1"/>
  <c r="J4474" i="13" s="1"/>
  <c r="N4475" i="13"/>
  <c r="K4289" i="13" l="1"/>
  <c r="L4289" i="13" s="1"/>
  <c r="I4290" i="13" s="1"/>
  <c r="K4311" i="14"/>
  <c r="L4311" i="14" s="1"/>
  <c r="I4312" i="14" s="1"/>
  <c r="N4476" i="13"/>
  <c r="J4475" i="13" a="1"/>
  <c r="J4475" i="13" s="1"/>
  <c r="M4479" i="14"/>
  <c r="J4474" i="14" a="1"/>
  <c r="J4474" i="14" s="1"/>
  <c r="N4475" i="14"/>
  <c r="M4478" i="13"/>
  <c r="K4312" i="14" l="1"/>
  <c r="L4312" i="14" s="1"/>
  <c r="I4313" i="14" s="1"/>
  <c r="K4290" i="13"/>
  <c r="L4290" i="13" s="1"/>
  <c r="I4291" i="13" s="1"/>
  <c r="N4476" i="14"/>
  <c r="J4475" i="14" a="1"/>
  <c r="J4475" i="14" s="1"/>
  <c r="M4479" i="13"/>
  <c r="M4480" i="14"/>
  <c r="J4476" i="13" a="1"/>
  <c r="J4476" i="13" s="1"/>
  <c r="N4477" i="13"/>
  <c r="K4291" i="13" l="1"/>
  <c r="L4291" i="13" s="1"/>
  <c r="I4292" i="13" s="1"/>
  <c r="K4313" i="14"/>
  <c r="L4313" i="14" s="1"/>
  <c r="I4314" i="14" s="1"/>
  <c r="N4478" i="13"/>
  <c r="J4477" i="13" a="1"/>
  <c r="J4477" i="13" s="1"/>
  <c r="M4480" i="13"/>
  <c r="M4481" i="14"/>
  <c r="J4476" i="14" a="1"/>
  <c r="J4476" i="14" s="1"/>
  <c r="N4477" i="14"/>
  <c r="K4314" i="14" l="1"/>
  <c r="L4314" i="14" s="1"/>
  <c r="I4315" i="14" s="1"/>
  <c r="K4292" i="13"/>
  <c r="L4292" i="13" s="1"/>
  <c r="I4293" i="13" s="1"/>
  <c r="J4477" i="14" a="1"/>
  <c r="J4477" i="14" s="1"/>
  <c r="N4478" i="14"/>
  <c r="M4481" i="13"/>
  <c r="M4482" i="14"/>
  <c r="J4478" i="13" a="1"/>
  <c r="J4478" i="13" s="1"/>
  <c r="N4479" i="13"/>
  <c r="K4293" i="13" l="1"/>
  <c r="L4293" i="13" s="1"/>
  <c r="I4294" i="13" s="1"/>
  <c r="K4315" i="14"/>
  <c r="L4315" i="14" s="1"/>
  <c r="I4316" i="14" s="1"/>
  <c r="N4480" i="13"/>
  <c r="J4479" i="13" a="1"/>
  <c r="J4479" i="13" s="1"/>
  <c r="M4482" i="13"/>
  <c r="N4479" i="14"/>
  <c r="J4478" i="14" a="1"/>
  <c r="J4478" i="14" s="1"/>
  <c r="M4483" i="14"/>
  <c r="K4316" i="14" l="1"/>
  <c r="L4316" i="14" s="1"/>
  <c r="I4317" i="14" s="1"/>
  <c r="K4294" i="13"/>
  <c r="L4294" i="13" s="1"/>
  <c r="I4295" i="13" s="1"/>
  <c r="M4483" i="13"/>
  <c r="M4484" i="14"/>
  <c r="N4480" i="14"/>
  <c r="J4479" i="14" a="1"/>
  <c r="J4479" i="14" s="1"/>
  <c r="J4480" i="13" a="1"/>
  <c r="J4480" i="13" s="1"/>
  <c r="N4481" i="13"/>
  <c r="K4295" i="13" l="1"/>
  <c r="L4295" i="13" s="1"/>
  <c r="I4296" i="13" s="1"/>
  <c r="K4317" i="14"/>
  <c r="L4317" i="14" s="1"/>
  <c r="I4318" i="14" s="1"/>
  <c r="N4482" i="13"/>
  <c r="J4481" i="13" a="1"/>
  <c r="J4481" i="13" s="1"/>
  <c r="M4485" i="14"/>
  <c r="J4480" i="14" a="1"/>
  <c r="J4480" i="14" s="1"/>
  <c r="N4481" i="14"/>
  <c r="M4484" i="13"/>
  <c r="K4318" i="14" l="1"/>
  <c r="L4318" i="14" s="1"/>
  <c r="I4319" i="14" s="1"/>
  <c r="K4296" i="13"/>
  <c r="L4296" i="13" s="1"/>
  <c r="I4297" i="13" s="1"/>
  <c r="J4481" i="14" a="1"/>
  <c r="J4481" i="14" s="1"/>
  <c r="N4482" i="14"/>
  <c r="M4485" i="13"/>
  <c r="M4486" i="14"/>
  <c r="J4482" i="13" a="1"/>
  <c r="J4482" i="13" s="1"/>
  <c r="N4483" i="13"/>
  <c r="K4297" i="13" l="1"/>
  <c r="L4297" i="13" s="1"/>
  <c r="I4298" i="13" s="1"/>
  <c r="K4319" i="14"/>
  <c r="L4319" i="14" s="1"/>
  <c r="I4320" i="14" s="1"/>
  <c r="N4484" i="13"/>
  <c r="J4483" i="13" a="1"/>
  <c r="J4483" i="13" s="1"/>
  <c r="M4486" i="13"/>
  <c r="N4483" i="14"/>
  <c r="J4482" i="14" a="1"/>
  <c r="J4482" i="14" s="1"/>
  <c r="M4487" i="14"/>
  <c r="K4320" i="14" l="1"/>
  <c r="L4320" i="14" s="1"/>
  <c r="I4321" i="14" s="1"/>
  <c r="K4298" i="13"/>
  <c r="L4298" i="13" s="1"/>
  <c r="I4299" i="13" s="1"/>
  <c r="M4487" i="13"/>
  <c r="M4488" i="14"/>
  <c r="N4484" i="14"/>
  <c r="J4483" i="14" a="1"/>
  <c r="J4483" i="14" s="1"/>
  <c r="J4484" i="13" a="1"/>
  <c r="J4484" i="13" s="1"/>
  <c r="N4485" i="13"/>
  <c r="K4299" i="13" l="1"/>
  <c r="L4299" i="13" s="1"/>
  <c r="I4300" i="13" s="1"/>
  <c r="K4321" i="14"/>
  <c r="L4321" i="14" s="1"/>
  <c r="I4322" i="14" s="1"/>
  <c r="N4486" i="13"/>
  <c r="J4485" i="13" a="1"/>
  <c r="J4485" i="13" s="1"/>
  <c r="M4489" i="14"/>
  <c r="J4484" i="14" a="1"/>
  <c r="J4484" i="14" s="1"/>
  <c r="N4485" i="14"/>
  <c r="M4488" i="13"/>
  <c r="K4322" i="14" l="1"/>
  <c r="L4322" i="14" s="1"/>
  <c r="I4323" i="14" s="1"/>
  <c r="K4300" i="13"/>
  <c r="L4300" i="13" s="1"/>
  <c r="I4301" i="13" s="1"/>
  <c r="M4489" i="13"/>
  <c r="J4485" i="14" a="1"/>
  <c r="J4485" i="14" s="1"/>
  <c r="N4486" i="14"/>
  <c r="M4490" i="14"/>
  <c r="J4486" i="13" a="1"/>
  <c r="J4486" i="13" s="1"/>
  <c r="N4487" i="13"/>
  <c r="K4301" i="13" l="1"/>
  <c r="L4301" i="13" s="1"/>
  <c r="I4302" i="13" s="1"/>
  <c r="K4323" i="14"/>
  <c r="L4323" i="14" s="1"/>
  <c r="I4324" i="14" s="1"/>
  <c r="N4487" i="14"/>
  <c r="J4486" i="14" a="1"/>
  <c r="J4486" i="14" s="1"/>
  <c r="N4488" i="13"/>
  <c r="J4487" i="13" a="1"/>
  <c r="J4487" i="13" s="1"/>
  <c r="M4491" i="14"/>
  <c r="M4490" i="13"/>
  <c r="K4324" i="14" l="1"/>
  <c r="L4324" i="14" s="1"/>
  <c r="I4325" i="14" s="1"/>
  <c r="K4302" i="13"/>
  <c r="L4302" i="13" s="1"/>
  <c r="I4303" i="13" s="1"/>
  <c r="J4488" i="13" a="1"/>
  <c r="J4488" i="13" s="1"/>
  <c r="N4489" i="13"/>
  <c r="M4491" i="13"/>
  <c r="M4492" i="14"/>
  <c r="N4488" i="14"/>
  <c r="J4487" i="14" a="1"/>
  <c r="J4487" i="14" s="1"/>
  <c r="K4303" i="13" l="1"/>
  <c r="L4303" i="13" s="1"/>
  <c r="I4304" i="13" s="1"/>
  <c r="K4325" i="14"/>
  <c r="L4325" i="14" s="1"/>
  <c r="I4326" i="14" s="1"/>
  <c r="J4488" i="14" a="1"/>
  <c r="J4488" i="14" s="1"/>
  <c r="N4489" i="14"/>
  <c r="M4492" i="13"/>
  <c r="N4490" i="13"/>
  <c r="J4489" i="13" a="1"/>
  <c r="J4489" i="13" s="1"/>
  <c r="M4493" i="14"/>
  <c r="K4326" i="14" l="1"/>
  <c r="L4326" i="14" s="1"/>
  <c r="I4327" i="14" s="1"/>
  <c r="K4304" i="13"/>
  <c r="L4304" i="13" s="1"/>
  <c r="I4305" i="13" s="1"/>
  <c r="M4494" i="14"/>
  <c r="M4493" i="13"/>
  <c r="J4490" i="13" a="1"/>
  <c r="J4490" i="13" s="1"/>
  <c r="N4491" i="13"/>
  <c r="J4489" i="14" a="1"/>
  <c r="J4489" i="14" s="1"/>
  <c r="N4490" i="14"/>
  <c r="K4305" i="13" l="1"/>
  <c r="L4305" i="13" s="1"/>
  <c r="I4306" i="13" s="1"/>
  <c r="K4327" i="14"/>
  <c r="L4327" i="14" s="1"/>
  <c r="I4328" i="14" s="1"/>
  <c r="J4490" i="14" a="1"/>
  <c r="J4490" i="14" s="1"/>
  <c r="N4491" i="14"/>
  <c r="M4494" i="13"/>
  <c r="N4492" i="13"/>
  <c r="J4491" i="13" a="1"/>
  <c r="J4491" i="13" s="1"/>
  <c r="M4495" i="14"/>
  <c r="K4328" i="14" l="1"/>
  <c r="L4328" i="14" s="1"/>
  <c r="I4329" i="14" s="1"/>
  <c r="K4306" i="13"/>
  <c r="L4306" i="13" s="1"/>
  <c r="I4307" i="13" s="1"/>
  <c r="M4495" i="13"/>
  <c r="J4492" i="13" a="1"/>
  <c r="J4492" i="13" s="1"/>
  <c r="N4493" i="13"/>
  <c r="M4496" i="14"/>
  <c r="N4492" i="14"/>
  <c r="J4491" i="14" a="1"/>
  <c r="J4491" i="14" s="1"/>
  <c r="K4307" i="13" l="1"/>
  <c r="L4307" i="13" s="1"/>
  <c r="I4308" i="13" s="1"/>
  <c r="K4329" i="14"/>
  <c r="L4329" i="14" s="1"/>
  <c r="I4330" i="14" s="1"/>
  <c r="N4494" i="13"/>
  <c r="J4493" i="13" a="1"/>
  <c r="J4493" i="13" s="1"/>
  <c r="J4492" i="14" a="1"/>
  <c r="J4492" i="14" s="1"/>
  <c r="N4493" i="14"/>
  <c r="M4497" i="14"/>
  <c r="M4496" i="13"/>
  <c r="K4308" i="13" l="1"/>
  <c r="L4308" i="13" s="1"/>
  <c r="I4309" i="13" s="1"/>
  <c r="M4497" i="13"/>
  <c r="J4493" i="14" a="1"/>
  <c r="J4493" i="14" s="1"/>
  <c r="N4494" i="14"/>
  <c r="K4330" i="14"/>
  <c r="L4330" i="14" s="1"/>
  <c r="I4331" i="14" s="1"/>
  <c r="M4498" i="14"/>
  <c r="J4494" i="13" a="1"/>
  <c r="J4494" i="13" s="1"/>
  <c r="N4495" i="13"/>
  <c r="K4331" i="14" l="1"/>
  <c r="L4331" i="14" s="1"/>
  <c r="I4332" i="14" s="1"/>
  <c r="K4309" i="13"/>
  <c r="L4309" i="13" s="1"/>
  <c r="I4310" i="13" s="1"/>
  <c r="N4496" i="13"/>
  <c r="J4495" i="13" a="1"/>
  <c r="J4495" i="13" s="1"/>
  <c r="M4498" i="13"/>
  <c r="M4499" i="14"/>
  <c r="N4495" i="14"/>
  <c r="J4494" i="14" a="1"/>
  <c r="J4494" i="14" s="1"/>
  <c r="K4310" i="13" l="1"/>
  <c r="L4310" i="13" s="1"/>
  <c r="I4311" i="13" s="1"/>
  <c r="K4332" i="14"/>
  <c r="L4332" i="14" s="1"/>
  <c r="I4333" i="14" s="1"/>
  <c r="M4499" i="13"/>
  <c r="N4496" i="14"/>
  <c r="J4495" i="14" a="1"/>
  <c r="J4495" i="14" s="1"/>
  <c r="M4500" i="14"/>
  <c r="J4496" i="13" a="1"/>
  <c r="J4496" i="13" s="1"/>
  <c r="N4497" i="13"/>
  <c r="K4333" i="14" l="1"/>
  <c r="L4333" i="14" s="1"/>
  <c r="I4334" i="14" s="1"/>
  <c r="K4311" i="13"/>
  <c r="L4311" i="13" s="1"/>
  <c r="I4312" i="13" s="1"/>
  <c r="J4496" i="14" a="1"/>
  <c r="J4496" i="14" s="1"/>
  <c r="N4497" i="14"/>
  <c r="N4498" i="13"/>
  <c r="J4497" i="13" a="1"/>
  <c r="J4497" i="13" s="1"/>
  <c r="M4501" i="14"/>
  <c r="M4500" i="13"/>
  <c r="K4312" i="13" l="1"/>
  <c r="L4312" i="13" s="1"/>
  <c r="I4313" i="13" s="1"/>
  <c r="K4334" i="14"/>
  <c r="L4334" i="14" s="1"/>
  <c r="I4335" i="14" s="1"/>
  <c r="J4498" i="13" a="1"/>
  <c r="J4498" i="13" s="1"/>
  <c r="N4499" i="13"/>
  <c r="M4501" i="13"/>
  <c r="J4497" i="14" a="1"/>
  <c r="J4497" i="14" s="1"/>
  <c r="N4498" i="14"/>
  <c r="M4502" i="14"/>
  <c r="K4335" i="14" l="1"/>
  <c r="L4335" i="14" s="1"/>
  <c r="I4336" i="14" s="1"/>
  <c r="K4313" i="13"/>
  <c r="L4313" i="13" s="1"/>
  <c r="I4314" i="13" s="1"/>
  <c r="M4503" i="14"/>
  <c r="N4499" i="14"/>
  <c r="J4498" i="14" a="1"/>
  <c r="J4498" i="14" s="1"/>
  <c r="M4502" i="13"/>
  <c r="N4500" i="13"/>
  <c r="J4499" i="13" a="1"/>
  <c r="J4499" i="13" s="1"/>
  <c r="K4314" i="13" l="1"/>
  <c r="L4314" i="13" s="1"/>
  <c r="I4315" i="13" s="1"/>
  <c r="K4336" i="14"/>
  <c r="L4336" i="14" s="1"/>
  <c r="I4337" i="14" s="1"/>
  <c r="J4500" i="13" a="1"/>
  <c r="J4500" i="13" s="1"/>
  <c r="N4501" i="13"/>
  <c r="N4500" i="14"/>
  <c r="J4499" i="14" a="1"/>
  <c r="J4499" i="14" s="1"/>
  <c r="M4503" i="13"/>
  <c r="M4504" i="14"/>
  <c r="K4337" i="14" l="1"/>
  <c r="L4337" i="14" s="1"/>
  <c r="I4338" i="14" s="1"/>
  <c r="K4315" i="13"/>
  <c r="L4315" i="13" s="1"/>
  <c r="I4316" i="13" s="1"/>
  <c r="J4500" i="14" a="1"/>
  <c r="J4500" i="14" s="1"/>
  <c r="N4501" i="14"/>
  <c r="N4502" i="13"/>
  <c r="J4501" i="13" a="1"/>
  <c r="J4501" i="13" s="1"/>
  <c r="M4505" i="14"/>
  <c r="M4504" i="13"/>
  <c r="K4316" i="13" l="1"/>
  <c r="L4316" i="13" s="1"/>
  <c r="I4317" i="13" s="1"/>
  <c r="K4338" i="14"/>
  <c r="L4338" i="14" s="1"/>
  <c r="I4339" i="14" s="1"/>
  <c r="J4502" i="13" a="1"/>
  <c r="J4502" i="13" s="1"/>
  <c r="N4503" i="13"/>
  <c r="M4505" i="13"/>
  <c r="J4501" i="14" a="1"/>
  <c r="J4501" i="14" s="1"/>
  <c r="N4502" i="14"/>
  <c r="M4506" i="14"/>
  <c r="K4339" i="14" l="1"/>
  <c r="L4339" i="14" s="1"/>
  <c r="I4340" i="14" s="1"/>
  <c r="K4317" i="13"/>
  <c r="L4317" i="13" s="1"/>
  <c r="I4318" i="13" s="1"/>
  <c r="M4507" i="14"/>
  <c r="N4503" i="14"/>
  <c r="J4502" i="14" a="1"/>
  <c r="J4502" i="14" s="1"/>
  <c r="M4506" i="13"/>
  <c r="N4504" i="13"/>
  <c r="J4503" i="13" a="1"/>
  <c r="J4503" i="13" s="1"/>
  <c r="K4318" i="13" l="1"/>
  <c r="L4318" i="13" s="1"/>
  <c r="I4319" i="13" s="1"/>
  <c r="K4340" i="14"/>
  <c r="L4340" i="14" s="1"/>
  <c r="I4341" i="14" s="1"/>
  <c r="J4504" i="13" a="1"/>
  <c r="J4504" i="13" s="1"/>
  <c r="N4505" i="13"/>
  <c r="M4507" i="13"/>
  <c r="N4504" i="14"/>
  <c r="J4503" i="14" a="1"/>
  <c r="J4503" i="14" s="1"/>
  <c r="M4508" i="14"/>
  <c r="K4341" i="14" l="1"/>
  <c r="L4341" i="14" s="1"/>
  <c r="I4342" i="14" s="1"/>
  <c r="K4319" i="13"/>
  <c r="L4319" i="13" s="1"/>
  <c r="I4320" i="13" s="1"/>
  <c r="M4509" i="14"/>
  <c r="M4508" i="13"/>
  <c r="N4506" i="13"/>
  <c r="J4505" i="13" a="1"/>
  <c r="J4505" i="13" s="1"/>
  <c r="J4504" i="14" a="1"/>
  <c r="J4504" i="14" s="1"/>
  <c r="N4505" i="14"/>
  <c r="K4320" i="13" l="1"/>
  <c r="L4320" i="13" s="1"/>
  <c r="I4321" i="13" s="1"/>
  <c r="K4342" i="14"/>
  <c r="L4342" i="14" s="1"/>
  <c r="I4343" i="14" s="1"/>
  <c r="J4505" i="14" a="1"/>
  <c r="J4505" i="14" s="1"/>
  <c r="N4506" i="14"/>
  <c r="M4509" i="13"/>
  <c r="M4510" i="14"/>
  <c r="J4506" i="13" a="1"/>
  <c r="J4506" i="13" s="1"/>
  <c r="N4507" i="13"/>
  <c r="K4343" i="14" l="1"/>
  <c r="L4343" i="14" s="1"/>
  <c r="I4344" i="14" s="1"/>
  <c r="K4321" i="13"/>
  <c r="L4321" i="13" s="1"/>
  <c r="I4322" i="13" s="1"/>
  <c r="N4508" i="13"/>
  <c r="J4507" i="13" a="1"/>
  <c r="J4507" i="13" s="1"/>
  <c r="M4510" i="13"/>
  <c r="N4507" i="14"/>
  <c r="J4506" i="14" a="1"/>
  <c r="J4506" i="14" s="1"/>
  <c r="M4511" i="14"/>
  <c r="K4322" i="13" l="1"/>
  <c r="L4322" i="13" s="1"/>
  <c r="I4323" i="13" s="1"/>
  <c r="K4344" i="14"/>
  <c r="L4344" i="14" s="1"/>
  <c r="I4345" i="14" s="1"/>
  <c r="M4511" i="13"/>
  <c r="N4508" i="14"/>
  <c r="J4507" i="14" a="1"/>
  <c r="J4507" i="14" s="1"/>
  <c r="M4512" i="14"/>
  <c r="J4508" i="13" a="1"/>
  <c r="J4508" i="13" s="1"/>
  <c r="N4509" i="13"/>
  <c r="K4345" i="14" l="1"/>
  <c r="L4345" i="14" s="1"/>
  <c r="I4346" i="14" s="1"/>
  <c r="K4323" i="13"/>
  <c r="L4323" i="13" s="1"/>
  <c r="I4324" i="13" s="1"/>
  <c r="J4508" i="14" a="1"/>
  <c r="J4508" i="14" s="1"/>
  <c r="N4509" i="14"/>
  <c r="N4510" i="13"/>
  <c r="J4509" i="13" a="1"/>
  <c r="J4509" i="13" s="1"/>
  <c r="M4513" i="14"/>
  <c r="M4512" i="13"/>
  <c r="K4324" i="13" l="1"/>
  <c r="L4324" i="13" s="1"/>
  <c r="I4325" i="13" s="1"/>
  <c r="K4346" i="14"/>
  <c r="L4346" i="14" s="1"/>
  <c r="I4347" i="14" s="1"/>
  <c r="J4510" i="13" a="1"/>
  <c r="J4510" i="13" s="1"/>
  <c r="N4511" i="13"/>
  <c r="M4513" i="13"/>
  <c r="J4509" i="14" a="1"/>
  <c r="J4509" i="14" s="1"/>
  <c r="N4510" i="14"/>
  <c r="M4514" i="14"/>
  <c r="K4347" i="14" l="1"/>
  <c r="L4347" i="14" s="1"/>
  <c r="I4348" i="14" s="1"/>
  <c r="K4325" i="13"/>
  <c r="L4325" i="13" s="1"/>
  <c r="I4326" i="13" s="1"/>
  <c r="M4515" i="14"/>
  <c r="N4511" i="14"/>
  <c r="J4510" i="14" a="1"/>
  <c r="J4510" i="14" s="1"/>
  <c r="M4514" i="13"/>
  <c r="N4512" i="13"/>
  <c r="J4511" i="13" a="1"/>
  <c r="J4511" i="13" s="1"/>
  <c r="K4326" i="13" l="1"/>
  <c r="L4326" i="13" s="1"/>
  <c r="I4327" i="13" s="1"/>
  <c r="K4348" i="14"/>
  <c r="L4348" i="14" s="1"/>
  <c r="I4349" i="14" s="1"/>
  <c r="J4512" i="13" a="1"/>
  <c r="J4512" i="13" s="1"/>
  <c r="N4513" i="13"/>
  <c r="M4515" i="13"/>
  <c r="N4512" i="14"/>
  <c r="J4511" i="14" a="1"/>
  <c r="J4511" i="14" s="1"/>
  <c r="M4516" i="14"/>
  <c r="K4349" i="14" l="1"/>
  <c r="L4349" i="14" s="1"/>
  <c r="I4350" i="14" s="1"/>
  <c r="K4327" i="13"/>
  <c r="L4327" i="13" s="1"/>
  <c r="I4328" i="13" s="1"/>
  <c r="J4512" i="14" a="1"/>
  <c r="J4512" i="14" s="1"/>
  <c r="N4513" i="14"/>
  <c r="M4517" i="14"/>
  <c r="M4516" i="13"/>
  <c r="N4514" i="13"/>
  <c r="J4513" i="13" a="1"/>
  <c r="J4513" i="13" s="1"/>
  <c r="K4328" i="13" l="1"/>
  <c r="L4328" i="13" s="1"/>
  <c r="I4329" i="13" s="1"/>
  <c r="K4350" i="14"/>
  <c r="L4350" i="14" s="1"/>
  <c r="I4351" i="14" s="1"/>
  <c r="M4518" i="14"/>
  <c r="J4514" i="13" a="1"/>
  <c r="J4514" i="13" s="1"/>
  <c r="N4515" i="13"/>
  <c r="J4513" i="14" a="1"/>
  <c r="J4513" i="14" s="1"/>
  <c r="N4514" i="14"/>
  <c r="M4517" i="13"/>
  <c r="K4351" i="14" l="1"/>
  <c r="L4351" i="14" s="1"/>
  <c r="I4352" i="14" s="1"/>
  <c r="K4329" i="13"/>
  <c r="L4329" i="13" s="1"/>
  <c r="I4330" i="13" s="1"/>
  <c r="N4516" i="13"/>
  <c r="J4515" i="13" a="1"/>
  <c r="J4515" i="13" s="1"/>
  <c r="N4515" i="14"/>
  <c r="J4514" i="14" a="1"/>
  <c r="J4514" i="14" s="1"/>
  <c r="M4519" i="14"/>
  <c r="M4518" i="13"/>
  <c r="K4330" i="13" l="1"/>
  <c r="L4330" i="13" s="1"/>
  <c r="I4331" i="13" s="1"/>
  <c r="K4352" i="14"/>
  <c r="L4352" i="14" s="1"/>
  <c r="I4353" i="14" s="1"/>
  <c r="N4516" i="14"/>
  <c r="J4515" i="14" a="1"/>
  <c r="J4515" i="14" s="1"/>
  <c r="M4519" i="13"/>
  <c r="M4520" i="14"/>
  <c r="J4516" i="13" a="1"/>
  <c r="J4516" i="13" s="1"/>
  <c r="N4517" i="13"/>
  <c r="K4353" i="14" l="1"/>
  <c r="L4353" i="14" s="1"/>
  <c r="I4354" i="14" s="1"/>
  <c r="K4331" i="13"/>
  <c r="L4331" i="13" s="1"/>
  <c r="I4332" i="13" s="1"/>
  <c r="M4520" i="13"/>
  <c r="N4518" i="13"/>
  <c r="J4517" i="13" a="1"/>
  <c r="J4517" i="13" s="1"/>
  <c r="M4521" i="14"/>
  <c r="J4516" i="14" a="1"/>
  <c r="J4516" i="14" s="1"/>
  <c r="N4517" i="14"/>
  <c r="K4332" i="13" l="1"/>
  <c r="L4332" i="13" s="1"/>
  <c r="I4333" i="13" s="1"/>
  <c r="K4354" i="14"/>
  <c r="L4354" i="14" s="1"/>
  <c r="I4355" i="14" s="1"/>
  <c r="J4518" i="13" a="1"/>
  <c r="J4518" i="13" s="1"/>
  <c r="N4519" i="13"/>
  <c r="J4517" i="14" a="1"/>
  <c r="J4517" i="14" s="1"/>
  <c r="N4518" i="14"/>
  <c r="M4521" i="13"/>
  <c r="M4522" i="14"/>
  <c r="K4355" i="14" l="1"/>
  <c r="L4355" i="14" s="1"/>
  <c r="I4356" i="14" s="1"/>
  <c r="K4333" i="13"/>
  <c r="L4333" i="13" s="1"/>
  <c r="I4334" i="13" s="1"/>
  <c r="N4519" i="14"/>
  <c r="J4518" i="14" a="1"/>
  <c r="J4518" i="14" s="1"/>
  <c r="M4523" i="14"/>
  <c r="N4520" i="13"/>
  <c r="J4519" i="13" a="1"/>
  <c r="J4519" i="13" s="1"/>
  <c r="M4522" i="13"/>
  <c r="K4334" i="13" l="1"/>
  <c r="L4334" i="13" s="1"/>
  <c r="I4335" i="13" s="1"/>
  <c r="K4356" i="14"/>
  <c r="L4356" i="14" s="1"/>
  <c r="I4357" i="14" s="1"/>
  <c r="M4523" i="13"/>
  <c r="M4524" i="14"/>
  <c r="J4520" i="13" a="1"/>
  <c r="J4520" i="13" s="1"/>
  <c r="N4521" i="13"/>
  <c r="N4520" i="14"/>
  <c r="J4519" i="14" a="1"/>
  <c r="J4519" i="14" s="1"/>
  <c r="K4357" i="14" l="1"/>
  <c r="L4357" i="14" s="1"/>
  <c r="I4358" i="14" s="1"/>
  <c r="K4335" i="13"/>
  <c r="L4335" i="13" s="1"/>
  <c r="I4336" i="13" s="1"/>
  <c r="J4520" i="14" a="1"/>
  <c r="J4520" i="14" s="1"/>
  <c r="N4521" i="14"/>
  <c r="M4525" i="14"/>
  <c r="N4522" i="13"/>
  <c r="J4521" i="13" a="1"/>
  <c r="J4521" i="13" s="1"/>
  <c r="M4524" i="13"/>
  <c r="K4336" i="13" l="1"/>
  <c r="L4336" i="13" s="1"/>
  <c r="I4337" i="13" s="1"/>
  <c r="K4358" i="14"/>
  <c r="L4358" i="14" s="1"/>
  <c r="I4359" i="14" s="1"/>
  <c r="M4525" i="13"/>
  <c r="M4526" i="14"/>
  <c r="J4522" i="13" a="1"/>
  <c r="J4522" i="13" s="1"/>
  <c r="N4523" i="13"/>
  <c r="J4521" i="14" a="1"/>
  <c r="J4521" i="14" s="1"/>
  <c r="N4522" i="14"/>
  <c r="K4359" i="14" l="1"/>
  <c r="L4359" i="14" s="1"/>
  <c r="I4360" i="14" s="1"/>
  <c r="K4337" i="13"/>
  <c r="L4337" i="13" s="1"/>
  <c r="I4338" i="13" s="1"/>
  <c r="N4523" i="14"/>
  <c r="J4522" i="14" a="1"/>
  <c r="J4522" i="14" s="1"/>
  <c r="M4527" i="14"/>
  <c r="N4524" i="13"/>
  <c r="J4523" i="13" a="1"/>
  <c r="J4523" i="13" s="1"/>
  <c r="M4526" i="13"/>
  <c r="K4338" i="13" l="1"/>
  <c r="L4338" i="13" s="1"/>
  <c r="I4339" i="13" s="1"/>
  <c r="K4360" i="14"/>
  <c r="L4360" i="14" s="1"/>
  <c r="I4361" i="14" s="1"/>
  <c r="M4527" i="13"/>
  <c r="M4528" i="14"/>
  <c r="J4524" i="13" a="1"/>
  <c r="J4524" i="13" s="1"/>
  <c r="N4525" i="13"/>
  <c r="N4524" i="14"/>
  <c r="J4523" i="14" a="1"/>
  <c r="J4523" i="14" s="1"/>
  <c r="K4361" i="14" l="1"/>
  <c r="L4361" i="14" s="1"/>
  <c r="I4362" i="14" s="1"/>
  <c r="K4339" i="13"/>
  <c r="L4339" i="13" s="1"/>
  <c r="I4340" i="13" s="1"/>
  <c r="J4524" i="14" a="1"/>
  <c r="J4524" i="14" s="1"/>
  <c r="N4525" i="14"/>
  <c r="M4529" i="14"/>
  <c r="N4526" i="13"/>
  <c r="J4525" i="13" a="1"/>
  <c r="J4525" i="13" s="1"/>
  <c r="M4528" i="13"/>
  <c r="K4340" i="13" l="1"/>
  <c r="L4340" i="13" s="1"/>
  <c r="I4341" i="13" s="1"/>
  <c r="K4362" i="14"/>
  <c r="L4362" i="14" s="1"/>
  <c r="I4363" i="14" s="1"/>
  <c r="M4529" i="13"/>
  <c r="M4530" i="14"/>
  <c r="J4525" i="14" a="1"/>
  <c r="J4525" i="14" s="1"/>
  <c r="N4526" i="14"/>
  <c r="J4526" i="13" a="1"/>
  <c r="J4526" i="13" s="1"/>
  <c r="N4527" i="13"/>
  <c r="K4363" i="14" l="1"/>
  <c r="L4363" i="14" s="1"/>
  <c r="I4364" i="14" s="1"/>
  <c r="K4341" i="13"/>
  <c r="L4341" i="13" s="1"/>
  <c r="I4342" i="13" s="1"/>
  <c r="N4528" i="13"/>
  <c r="J4527" i="13" a="1"/>
  <c r="J4527" i="13" s="1"/>
  <c r="M4531" i="14"/>
  <c r="N4527" i="14"/>
  <c r="J4526" i="14" a="1"/>
  <c r="J4526" i="14" s="1"/>
  <c r="M4530" i="13"/>
  <c r="K4342" i="13" l="1"/>
  <c r="L4342" i="13" s="1"/>
  <c r="I4343" i="13" s="1"/>
  <c r="K4364" i="14"/>
  <c r="L4364" i="14" s="1"/>
  <c r="I4365" i="14" s="1"/>
  <c r="M4531" i="13"/>
  <c r="M4532" i="14"/>
  <c r="N4528" i="14"/>
  <c r="J4527" i="14" a="1"/>
  <c r="J4527" i="14" s="1"/>
  <c r="J4528" i="13" a="1"/>
  <c r="J4528" i="13" s="1"/>
  <c r="N4529" i="13"/>
  <c r="K4343" i="13" l="1"/>
  <c r="L4343" i="13" s="1"/>
  <c r="I4344" i="13" s="1"/>
  <c r="N4530" i="13"/>
  <c r="J4529" i="13" a="1"/>
  <c r="J4529" i="13" s="1"/>
  <c r="K4365" i="14"/>
  <c r="L4365" i="14" s="1"/>
  <c r="I4366" i="14" s="1"/>
  <c r="M4533" i="14"/>
  <c r="J4528" i="14" a="1"/>
  <c r="J4528" i="14" s="1"/>
  <c r="N4529" i="14"/>
  <c r="M4532" i="13"/>
  <c r="K4366" i="14" l="1"/>
  <c r="L4366" i="14" s="1"/>
  <c r="I4367" i="14" s="1"/>
  <c r="K4344" i="13"/>
  <c r="L4344" i="13" s="1"/>
  <c r="I4345" i="13" s="1"/>
  <c r="M4533" i="13"/>
  <c r="M4534" i="14"/>
  <c r="J4530" i="13" a="1"/>
  <c r="J4530" i="13" s="1"/>
  <c r="N4531" i="13"/>
  <c r="J4529" i="14" a="1"/>
  <c r="J4529" i="14" s="1"/>
  <c r="N4530" i="14"/>
  <c r="K4367" i="14" l="1"/>
  <c r="L4367" i="14" s="1"/>
  <c r="I4368" i="14" s="1"/>
  <c r="N4531" i="14"/>
  <c r="J4530" i="14" a="1"/>
  <c r="J4530" i="14" s="1"/>
  <c r="M4535" i="14"/>
  <c r="K4345" i="13"/>
  <c r="L4345" i="13" s="1"/>
  <c r="I4346" i="13" s="1"/>
  <c r="N4532" i="13"/>
  <c r="J4531" i="13" a="1"/>
  <c r="J4531" i="13" s="1"/>
  <c r="M4534" i="13"/>
  <c r="K4346" i="13" l="1"/>
  <c r="L4346" i="13" s="1"/>
  <c r="I4347" i="13" s="1"/>
  <c r="K4368" i="14"/>
  <c r="L4368" i="14" s="1"/>
  <c r="I4369" i="14" s="1"/>
  <c r="N4532" i="14"/>
  <c r="J4531" i="14" a="1"/>
  <c r="J4531" i="14" s="1"/>
  <c r="M4535" i="13"/>
  <c r="J4532" i="13" a="1"/>
  <c r="J4532" i="13" s="1"/>
  <c r="N4533" i="13"/>
  <c r="M4536" i="14"/>
  <c r="K4347" i="13" l="1"/>
  <c r="L4347" i="13" s="1"/>
  <c r="I4348" i="13" s="1"/>
  <c r="M4536" i="13"/>
  <c r="K4369" i="14"/>
  <c r="L4369" i="14" s="1"/>
  <c r="I4370" i="14" s="1"/>
  <c r="N4534" i="13"/>
  <c r="J4533" i="13" a="1"/>
  <c r="J4533" i="13" s="1"/>
  <c r="M4537" i="14"/>
  <c r="J4532" i="14" a="1"/>
  <c r="J4532" i="14" s="1"/>
  <c r="N4533" i="14"/>
  <c r="K4370" i="14" l="1"/>
  <c r="L4370" i="14" s="1"/>
  <c r="I4371" i="14" s="1"/>
  <c r="K4348" i="13"/>
  <c r="L4348" i="13" s="1"/>
  <c r="I4349" i="13" s="1"/>
  <c r="M4537" i="13"/>
  <c r="J4533" i="14" a="1"/>
  <c r="J4533" i="14" s="1"/>
  <c r="N4534" i="14"/>
  <c r="J4534" i="13" a="1"/>
  <c r="J4534" i="13" s="1"/>
  <c r="N4535" i="13"/>
  <c r="M4538" i="14"/>
  <c r="K4371" i="14" l="1"/>
  <c r="L4371" i="14" s="1"/>
  <c r="I4372" i="14" s="1"/>
  <c r="M4539" i="14"/>
  <c r="N4535" i="14"/>
  <c r="J4534" i="14" a="1"/>
  <c r="J4534" i="14" s="1"/>
  <c r="K4349" i="13"/>
  <c r="L4349" i="13" s="1"/>
  <c r="I4350" i="13" s="1"/>
  <c r="N4536" i="13"/>
  <c r="J4535" i="13" a="1"/>
  <c r="J4535" i="13" s="1"/>
  <c r="M4538" i="13"/>
  <c r="K4372" i="14" l="1"/>
  <c r="L4372" i="14" s="1"/>
  <c r="I4373" i="14" s="1"/>
  <c r="M4539" i="13"/>
  <c r="K4350" i="13"/>
  <c r="L4350" i="13" s="1"/>
  <c r="I4351" i="13" s="1"/>
  <c r="M4540" i="14"/>
  <c r="J4536" i="13" a="1"/>
  <c r="J4536" i="13" s="1"/>
  <c r="N4537" i="13"/>
  <c r="N4536" i="14"/>
  <c r="J4535" i="14" a="1"/>
  <c r="J4535" i="14" s="1"/>
  <c r="K4351" i="13" l="1"/>
  <c r="L4351" i="13" s="1"/>
  <c r="I4352" i="13" s="1"/>
  <c r="K4373" i="14"/>
  <c r="L4373" i="14" s="1"/>
  <c r="I4374" i="14" s="1"/>
  <c r="J4537" i="13" a="1"/>
  <c r="J4537" i="13" s="1"/>
  <c r="N4538" i="13"/>
  <c r="J4536" i="14" a="1"/>
  <c r="J4536" i="14" s="1"/>
  <c r="N4537" i="14"/>
  <c r="M4541" i="14"/>
  <c r="M4540" i="13"/>
  <c r="K4352" i="13" l="1"/>
  <c r="L4352" i="13" s="1"/>
  <c r="I4353" i="13" s="1"/>
  <c r="J4537" i="14" a="1"/>
  <c r="J4537" i="14" s="1"/>
  <c r="N4538" i="14"/>
  <c r="K4374" i="14"/>
  <c r="L4374" i="14" s="1"/>
  <c r="I4375" i="14" s="1"/>
  <c r="M4542" i="14"/>
  <c r="M4541" i="13"/>
  <c r="J4538" i="13" a="1"/>
  <c r="J4538" i="13" s="1"/>
  <c r="N4539" i="13"/>
  <c r="K4375" i="14" l="1"/>
  <c r="L4375" i="14" s="1"/>
  <c r="I4376" i="14" s="1"/>
  <c r="K4353" i="13"/>
  <c r="L4353" i="13" s="1"/>
  <c r="I4354" i="13" s="1"/>
  <c r="N4540" i="13"/>
  <c r="J4539" i="13" a="1"/>
  <c r="J4539" i="13" s="1"/>
  <c r="M4543" i="14"/>
  <c r="N4539" i="14"/>
  <c r="J4538" i="14" a="1"/>
  <c r="J4538" i="14" s="1"/>
  <c r="M4542" i="13"/>
  <c r="K4376" i="14" l="1"/>
  <c r="L4376" i="14" s="1"/>
  <c r="I4377" i="14" s="1"/>
  <c r="N4540" i="14"/>
  <c r="J4539" i="14" a="1"/>
  <c r="J4539" i="14" s="1"/>
  <c r="M4543" i="13"/>
  <c r="M4544" i="14"/>
  <c r="K4354" i="13"/>
  <c r="L4354" i="13" s="1"/>
  <c r="I4355" i="13" s="1"/>
  <c r="J4540" i="13" a="1"/>
  <c r="J4540" i="13" s="1"/>
  <c r="N4541" i="13"/>
  <c r="K4355" i="13" l="1"/>
  <c r="L4355" i="13" s="1"/>
  <c r="I4356" i="13" s="1"/>
  <c r="K4377" i="14"/>
  <c r="L4377" i="14" s="1"/>
  <c r="I4378" i="14" s="1"/>
  <c r="J4541" i="13" a="1"/>
  <c r="J4541" i="13" s="1"/>
  <c r="N4542" i="13"/>
  <c r="J4540" i="14" a="1"/>
  <c r="J4540" i="14" s="1"/>
  <c r="N4541" i="14"/>
  <c r="M4545" i="14"/>
  <c r="M4544" i="13"/>
  <c r="K4378" i="14" l="1"/>
  <c r="L4378" i="14" s="1"/>
  <c r="I4379" i="14" s="1"/>
  <c r="M4546" i="14"/>
  <c r="J4541" i="14" a="1"/>
  <c r="J4541" i="14" s="1"/>
  <c r="N4542" i="14"/>
  <c r="M4545" i="13"/>
  <c r="J4542" i="13" a="1"/>
  <c r="J4542" i="13" s="1"/>
  <c r="N4543" i="13"/>
  <c r="K4356" i="13"/>
  <c r="L4356" i="13" s="1"/>
  <c r="I4357" i="13" s="1"/>
  <c r="K4379" i="14" l="1"/>
  <c r="L4379" i="14" s="1"/>
  <c r="I4380" i="14" s="1"/>
  <c r="N4544" i="13"/>
  <c r="J4543" i="13" a="1"/>
  <c r="J4543" i="13" s="1"/>
  <c r="M4547" i="14"/>
  <c r="K4357" i="13"/>
  <c r="L4357" i="13" s="1"/>
  <c r="I4358" i="13" s="1"/>
  <c r="M4546" i="13"/>
  <c r="N4543" i="14"/>
  <c r="J4542" i="14" a="1"/>
  <c r="J4542" i="14" s="1"/>
  <c r="K4358" i="13" l="1"/>
  <c r="L4358" i="13" s="1"/>
  <c r="I4359" i="13" s="1"/>
  <c r="K4380" i="14"/>
  <c r="L4380" i="14" s="1"/>
  <c r="I4381" i="14" s="1"/>
  <c r="N4544" i="14"/>
  <c r="J4543" i="14" a="1"/>
  <c r="J4543" i="14" s="1"/>
  <c r="J4544" i="13" a="1"/>
  <c r="J4544" i="13" s="1"/>
  <c r="N4545" i="13"/>
  <c r="M4547" i="13"/>
  <c r="M4548" i="14"/>
  <c r="K4359" i="13" l="1"/>
  <c r="L4359" i="13" s="1"/>
  <c r="I4360" i="13" s="1"/>
  <c r="J4545" i="13" a="1"/>
  <c r="J4545" i="13" s="1"/>
  <c r="N4546" i="13"/>
  <c r="M4549" i="14"/>
  <c r="K4381" i="14"/>
  <c r="L4381" i="14" s="1"/>
  <c r="I4382" i="14" s="1"/>
  <c r="M4548" i="13"/>
  <c r="J4544" i="14" a="1"/>
  <c r="J4544" i="14" s="1"/>
  <c r="N4545" i="14"/>
  <c r="K4382" i="14" l="1"/>
  <c r="L4382" i="14" s="1"/>
  <c r="I4383" i="14" s="1"/>
  <c r="K4360" i="13"/>
  <c r="L4360" i="13" s="1"/>
  <c r="I4361" i="13" s="1"/>
  <c r="J4545" i="14" a="1"/>
  <c r="J4545" i="14" s="1"/>
  <c r="N4546" i="14"/>
  <c r="J4546" i="13" a="1"/>
  <c r="J4546" i="13" s="1"/>
  <c r="N4547" i="13"/>
  <c r="M4550" i="14"/>
  <c r="M4549" i="13"/>
  <c r="K4383" i="14" l="1"/>
  <c r="L4383" i="14" s="1"/>
  <c r="I4384" i="14" s="1"/>
  <c r="N4548" i="13"/>
  <c r="J4547" i="13" a="1"/>
  <c r="J4547" i="13" s="1"/>
  <c r="K4361" i="13"/>
  <c r="L4361" i="13" s="1"/>
  <c r="I4362" i="13" s="1"/>
  <c r="M4550" i="13"/>
  <c r="M4551" i="14"/>
  <c r="N4547" i="14"/>
  <c r="J4546" i="14" a="1"/>
  <c r="J4546" i="14" s="1"/>
  <c r="K4362" i="13" l="1"/>
  <c r="L4362" i="13" s="1"/>
  <c r="I4363" i="13" s="1"/>
  <c r="K4384" i="14"/>
  <c r="L4384" i="14" s="1"/>
  <c r="I4385" i="14" s="1"/>
  <c r="M4551" i="13"/>
  <c r="J4548" i="13" a="1"/>
  <c r="J4548" i="13" s="1"/>
  <c r="N4549" i="13"/>
  <c r="N4548" i="14"/>
  <c r="J4547" i="14" a="1"/>
  <c r="J4547" i="14" s="1"/>
  <c r="M4552" i="14"/>
  <c r="K4363" i="13" l="1"/>
  <c r="L4363" i="13" s="1"/>
  <c r="I4364" i="13" s="1"/>
  <c r="J4549" i="13" a="1"/>
  <c r="J4549" i="13" s="1"/>
  <c r="N4550" i="13"/>
  <c r="M4553" i="14"/>
  <c r="K4385" i="14"/>
  <c r="L4385" i="14" s="1"/>
  <c r="I4386" i="14" s="1"/>
  <c r="J4548" i="14" a="1"/>
  <c r="J4548" i="14" s="1"/>
  <c r="N4549" i="14"/>
  <c r="M4552" i="13"/>
  <c r="K4364" i="13" l="1"/>
  <c r="L4364" i="13" s="1"/>
  <c r="I4365" i="13" s="1"/>
  <c r="M4553" i="13"/>
  <c r="J4550" i="13" a="1"/>
  <c r="J4550" i="13" s="1"/>
  <c r="N4551" i="13"/>
  <c r="J4549" i="14" a="1"/>
  <c r="J4549" i="14" s="1"/>
  <c r="N4550" i="14"/>
  <c r="K4386" i="14"/>
  <c r="L4386" i="14" s="1"/>
  <c r="I4387" i="14" s="1"/>
  <c r="M4554" i="14"/>
  <c r="K4365" i="13" l="1"/>
  <c r="L4365" i="13" s="1"/>
  <c r="I4366" i="13" s="1"/>
  <c r="N4551" i="14"/>
  <c r="J4550" i="14" a="1"/>
  <c r="J4550" i="14" s="1"/>
  <c r="M4554" i="13"/>
  <c r="M4555" i="14"/>
  <c r="N4552" i="13"/>
  <c r="J4551" i="13" a="1"/>
  <c r="J4551" i="13" s="1"/>
  <c r="K4387" i="14"/>
  <c r="L4387" i="14" s="1"/>
  <c r="I4388" i="14" s="1"/>
  <c r="K4388" i="14" l="1"/>
  <c r="L4388" i="14" s="1"/>
  <c r="I4389" i="14" s="1"/>
  <c r="K4366" i="13"/>
  <c r="L4366" i="13" s="1"/>
  <c r="I4367" i="13" s="1"/>
  <c r="N4552" i="14"/>
  <c r="J4551" i="14" a="1"/>
  <c r="J4551" i="14" s="1"/>
  <c r="M4555" i="13"/>
  <c r="M4556" i="14"/>
  <c r="J4552" i="13" a="1"/>
  <c r="J4552" i="13" s="1"/>
  <c r="N4553" i="13"/>
  <c r="K4367" i="13" l="1"/>
  <c r="L4367" i="13" s="1"/>
  <c r="I4368" i="13" s="1"/>
  <c r="K4389" i="14"/>
  <c r="L4389" i="14" s="1"/>
  <c r="I4390" i="14" s="1"/>
  <c r="J4553" i="13" a="1"/>
  <c r="J4553" i="13" s="1"/>
  <c r="N4554" i="13"/>
  <c r="M4556" i="13"/>
  <c r="M4557" i="14"/>
  <c r="J4552" i="14" a="1"/>
  <c r="J4552" i="14" s="1"/>
  <c r="N4553" i="14"/>
  <c r="K4390" i="14" l="1"/>
  <c r="L4390" i="14" s="1"/>
  <c r="I4391" i="14" s="1"/>
  <c r="K4368" i="13"/>
  <c r="L4368" i="13" s="1"/>
  <c r="I4369" i="13" s="1"/>
  <c r="M4558" i="14"/>
  <c r="J4553" i="14" a="1"/>
  <c r="J4553" i="14" s="1"/>
  <c r="N4554" i="14"/>
  <c r="M4557" i="13"/>
  <c r="J4554" i="13" a="1"/>
  <c r="J4554" i="13" s="1"/>
  <c r="N4555" i="13"/>
  <c r="K4369" i="13" l="1"/>
  <c r="L4369" i="13" s="1"/>
  <c r="I4370" i="13" s="1"/>
  <c r="K4391" i="14"/>
  <c r="L4391" i="14" s="1"/>
  <c r="I4392" i="14" s="1"/>
  <c r="N4555" i="14"/>
  <c r="J4554" i="14" a="1"/>
  <c r="J4554" i="14" s="1"/>
  <c r="M4559" i="14"/>
  <c r="N4556" i="13"/>
  <c r="J4555" i="13" a="1"/>
  <c r="J4555" i="13" s="1"/>
  <c r="M4558" i="13"/>
  <c r="K4392" i="14" l="1"/>
  <c r="L4392" i="14" s="1"/>
  <c r="I4393" i="14" s="1"/>
  <c r="K4370" i="13"/>
  <c r="L4370" i="13" s="1"/>
  <c r="I4371" i="13" s="1"/>
  <c r="M4559" i="13"/>
  <c r="M4560" i="14"/>
  <c r="J4556" i="13" a="1"/>
  <c r="J4556" i="13" s="1"/>
  <c r="N4557" i="13"/>
  <c r="N4556" i="14"/>
  <c r="J4555" i="14" a="1"/>
  <c r="J4555" i="14" s="1"/>
  <c r="K4371" i="13" l="1"/>
  <c r="L4371" i="13" s="1"/>
  <c r="I4372" i="13" s="1"/>
  <c r="K4393" i="14"/>
  <c r="L4393" i="14" s="1"/>
  <c r="I4394" i="14" s="1"/>
  <c r="J4556" i="14" a="1"/>
  <c r="J4556" i="14" s="1"/>
  <c r="N4557" i="14"/>
  <c r="M4561" i="14"/>
  <c r="J4557" i="13" a="1"/>
  <c r="J4557" i="13" s="1"/>
  <c r="N4558" i="13"/>
  <c r="M4560" i="13"/>
  <c r="K4394" i="14" l="1"/>
  <c r="L4394" i="14" s="1"/>
  <c r="I4395" i="14" s="1"/>
  <c r="K4372" i="13"/>
  <c r="L4372" i="13" s="1"/>
  <c r="I4373" i="13" s="1"/>
  <c r="J4558" i="13" a="1"/>
  <c r="J4558" i="13" s="1"/>
  <c r="N4559" i="13"/>
  <c r="M4561" i="13"/>
  <c r="M4562" i="14"/>
  <c r="J4557" i="14" a="1"/>
  <c r="J4557" i="14" s="1"/>
  <c r="N4558" i="14"/>
  <c r="K4373" i="13" l="1"/>
  <c r="L4373" i="13" s="1"/>
  <c r="I4374" i="13" s="1"/>
  <c r="K4395" i="14"/>
  <c r="L4395" i="14" s="1"/>
  <c r="I4396" i="14" s="1"/>
  <c r="N4559" i="14"/>
  <c r="J4558" i="14" a="1"/>
  <c r="J4558" i="14" s="1"/>
  <c r="M4562" i="13"/>
  <c r="M4563" i="14"/>
  <c r="N4560" i="13"/>
  <c r="J4559" i="13" a="1"/>
  <c r="J4559" i="13" s="1"/>
  <c r="K4374" i="13" l="1"/>
  <c r="L4374" i="13" s="1"/>
  <c r="I4375" i="13" s="1"/>
  <c r="M4563" i="13"/>
  <c r="K4396" i="14"/>
  <c r="L4396" i="14" s="1"/>
  <c r="I4397" i="14" s="1"/>
  <c r="J4560" i="13" a="1"/>
  <c r="J4560" i="13" s="1"/>
  <c r="N4561" i="13"/>
  <c r="M4564" i="14"/>
  <c r="N4560" i="14"/>
  <c r="J4559" i="14" a="1"/>
  <c r="J4559" i="14" s="1"/>
  <c r="K4397" i="14" l="1"/>
  <c r="L4397" i="14" s="1"/>
  <c r="I4398" i="14" s="1"/>
  <c r="K4375" i="13"/>
  <c r="L4375" i="13" s="1"/>
  <c r="I4376" i="13" s="1"/>
  <c r="J4561" i="13" a="1"/>
  <c r="J4561" i="13" s="1"/>
  <c r="N4562" i="13"/>
  <c r="M4564" i="13"/>
  <c r="J4560" i="14" a="1"/>
  <c r="J4560" i="14" s="1"/>
  <c r="N4561" i="14"/>
  <c r="M4565" i="14"/>
  <c r="K4376" i="13" l="1"/>
  <c r="L4376" i="13" s="1"/>
  <c r="I4377" i="13" s="1"/>
  <c r="K4398" i="14"/>
  <c r="L4398" i="14" s="1"/>
  <c r="I4399" i="14" s="1"/>
  <c r="M4566" i="14"/>
  <c r="M4565" i="13"/>
  <c r="J4562" i="13" a="1"/>
  <c r="J4562" i="13" s="1"/>
  <c r="N4563" i="13"/>
  <c r="J4561" i="14" a="1"/>
  <c r="J4561" i="14" s="1"/>
  <c r="N4562" i="14"/>
  <c r="N4563" i="14" l="1"/>
  <c r="J4562" i="14" a="1"/>
  <c r="J4562" i="14" s="1"/>
  <c r="K4399" i="14"/>
  <c r="L4399" i="14" s="1"/>
  <c r="I4400" i="14" s="1"/>
  <c r="M4566" i="13"/>
  <c r="N4564" i="13"/>
  <c r="J4563" i="13" a="1"/>
  <c r="J4563" i="13" s="1"/>
  <c r="M4567" i="14"/>
  <c r="K4377" i="13"/>
  <c r="L4377" i="13" s="1"/>
  <c r="I4378" i="13" s="1"/>
  <c r="J4564" i="13" l="1" a="1"/>
  <c r="J4564" i="13" s="1"/>
  <c r="N4565" i="13"/>
  <c r="K4400" i="14"/>
  <c r="L4400" i="14" s="1"/>
  <c r="I4401" i="14" s="1"/>
  <c r="K4378" i="13"/>
  <c r="L4378" i="13" s="1"/>
  <c r="I4379" i="13" s="1"/>
  <c r="M4567" i="13"/>
  <c r="M4568" i="14"/>
  <c r="N4564" i="14"/>
  <c r="J4563" i="14" a="1"/>
  <c r="J4563" i="14" s="1"/>
  <c r="K4379" i="13" l="1"/>
  <c r="L4379" i="13" s="1"/>
  <c r="I4380" i="13" s="1"/>
  <c r="J4564" i="14" a="1"/>
  <c r="J4564" i="14" s="1"/>
  <c r="N4565" i="14"/>
  <c r="M4568" i="13"/>
  <c r="K4401" i="14"/>
  <c r="L4401" i="14" s="1"/>
  <c r="I4402" i="14" s="1"/>
  <c r="J4565" i="13" a="1"/>
  <c r="J4565" i="13" s="1"/>
  <c r="N4566" i="13"/>
  <c r="M4569" i="14"/>
  <c r="K4380" i="13" l="1"/>
  <c r="L4380" i="13" s="1"/>
  <c r="I4381" i="13" s="1"/>
  <c r="M4570" i="14"/>
  <c r="K4402" i="14"/>
  <c r="L4402" i="14" s="1"/>
  <c r="I4403" i="14" s="1"/>
  <c r="J4565" i="14" a="1"/>
  <c r="J4565" i="14" s="1"/>
  <c r="N4566" i="14"/>
  <c r="J4566" i="13" a="1"/>
  <c r="J4566" i="13" s="1"/>
  <c r="N4567" i="13"/>
  <c r="M4569" i="13"/>
  <c r="K4403" i="14" l="1"/>
  <c r="L4403" i="14" s="1"/>
  <c r="I4404" i="14" s="1"/>
  <c r="K4381" i="13"/>
  <c r="L4381" i="13" s="1"/>
  <c r="I4382" i="13" s="1"/>
  <c r="M4570" i="13"/>
  <c r="N4567" i="14"/>
  <c r="J4566" i="14" a="1"/>
  <c r="J4566" i="14" s="1"/>
  <c r="M4571" i="14"/>
  <c r="N4568" i="13"/>
  <c r="J4567" i="13" a="1"/>
  <c r="J4567" i="13" s="1"/>
  <c r="K4404" i="14" l="1"/>
  <c r="L4404" i="14" s="1"/>
  <c r="I4405" i="14" s="1"/>
  <c r="K4382" i="13"/>
  <c r="L4382" i="13" s="1"/>
  <c r="I4383" i="13" s="1"/>
  <c r="J4568" i="13" a="1"/>
  <c r="J4568" i="13" s="1"/>
  <c r="N4569" i="13"/>
  <c r="M4571" i="13"/>
  <c r="N4568" i="14"/>
  <c r="J4567" i="14" a="1"/>
  <c r="J4567" i="14" s="1"/>
  <c r="M4572" i="14"/>
  <c r="K4405" i="14" l="1"/>
  <c r="L4405" i="14" s="1"/>
  <c r="I4406" i="14" s="1"/>
  <c r="J4568" i="14" a="1"/>
  <c r="J4568" i="14" s="1"/>
  <c r="N4569" i="14"/>
  <c r="M4573" i="14"/>
  <c r="M4572" i="13"/>
  <c r="K4383" i="13"/>
  <c r="L4383" i="13" s="1"/>
  <c r="I4384" i="13" s="1"/>
  <c r="J4569" i="13" a="1"/>
  <c r="J4569" i="13" s="1"/>
  <c r="N4570" i="13"/>
  <c r="K4384" i="13" l="1"/>
  <c r="L4384" i="13" s="1"/>
  <c r="I4385" i="13" s="1"/>
  <c r="K4406" i="14"/>
  <c r="L4406" i="14" s="1"/>
  <c r="I4407" i="14" s="1"/>
  <c r="M4573" i="13"/>
  <c r="J4570" i="13" a="1"/>
  <c r="J4570" i="13" s="1"/>
  <c r="N4571" i="13"/>
  <c r="J4569" i="14" a="1"/>
  <c r="J4569" i="14" s="1"/>
  <c r="N4570" i="14"/>
  <c r="M4574" i="14"/>
  <c r="K4385" i="13" l="1"/>
  <c r="L4385" i="13" s="1"/>
  <c r="I4386" i="13" s="1"/>
  <c r="K4407" i="14"/>
  <c r="L4407" i="14" s="1"/>
  <c r="I4408" i="14" s="1"/>
  <c r="N4572" i="13"/>
  <c r="J4571" i="13" a="1"/>
  <c r="J4571" i="13" s="1"/>
  <c r="M4575" i="14"/>
  <c r="N4571" i="14"/>
  <c r="J4570" i="14" a="1"/>
  <c r="J4570" i="14" s="1"/>
  <c r="M4574" i="13"/>
  <c r="K4408" i="14" l="1"/>
  <c r="L4408" i="14" s="1"/>
  <c r="I4409" i="14" s="1"/>
  <c r="K4386" i="13"/>
  <c r="L4386" i="13" s="1"/>
  <c r="I4387" i="13" s="1"/>
  <c r="N4572" i="14"/>
  <c r="J4571" i="14" a="1"/>
  <c r="J4571" i="14" s="1"/>
  <c r="M4575" i="13"/>
  <c r="M4576" i="14"/>
  <c r="J4572" i="13" a="1"/>
  <c r="J4572" i="13" s="1"/>
  <c r="N4573" i="13"/>
  <c r="K4387" i="13" l="1"/>
  <c r="L4387" i="13" s="1"/>
  <c r="I4388" i="13" s="1"/>
  <c r="K4409" i="14"/>
  <c r="L4409" i="14" s="1"/>
  <c r="I4410" i="14" s="1"/>
  <c r="J4573" i="13" a="1"/>
  <c r="J4573" i="13" s="1"/>
  <c r="N4574" i="13"/>
  <c r="M4576" i="13"/>
  <c r="M4577" i="14"/>
  <c r="J4572" i="14" a="1"/>
  <c r="J4572" i="14" s="1"/>
  <c r="N4573" i="14"/>
  <c r="K4388" i="13" l="1"/>
  <c r="L4388" i="13" s="1"/>
  <c r="I4389" i="13" s="1"/>
  <c r="J4573" i="14" a="1"/>
  <c r="J4573" i="14" s="1"/>
  <c r="N4574" i="14"/>
  <c r="M4577" i="13"/>
  <c r="K4410" i="14"/>
  <c r="L4410" i="14" s="1"/>
  <c r="I4411" i="14" s="1"/>
  <c r="J4574" i="13" a="1"/>
  <c r="J4574" i="13" s="1"/>
  <c r="N4575" i="13"/>
  <c r="M4578" i="14"/>
  <c r="K4389" i="13" l="1"/>
  <c r="L4389" i="13" s="1"/>
  <c r="I4390" i="13" s="1"/>
  <c r="M4579" i="14"/>
  <c r="N4575" i="14"/>
  <c r="J4574" i="14" a="1"/>
  <c r="J4574" i="14" s="1"/>
  <c r="N4576" i="13"/>
  <c r="J4575" i="13" a="1"/>
  <c r="J4575" i="13" s="1"/>
  <c r="K4411" i="14"/>
  <c r="L4411" i="14" s="1"/>
  <c r="I4412" i="14" s="1"/>
  <c r="M4578" i="13"/>
  <c r="K4412" i="14" l="1"/>
  <c r="L4412" i="14" s="1"/>
  <c r="I4413" i="14" s="1"/>
  <c r="K4390" i="13"/>
  <c r="L4390" i="13" s="1"/>
  <c r="I4391" i="13" s="1"/>
  <c r="J4576" i="13" a="1"/>
  <c r="J4576" i="13" s="1"/>
  <c r="N4577" i="13"/>
  <c r="M4580" i="14"/>
  <c r="M4579" i="13"/>
  <c r="N4576" i="14"/>
  <c r="J4575" i="14" a="1"/>
  <c r="J4575" i="14" s="1"/>
  <c r="K4413" i="14" l="1"/>
  <c r="L4413" i="14" s="1"/>
  <c r="I4414" i="14" s="1"/>
  <c r="M4581" i="14"/>
  <c r="K4391" i="13"/>
  <c r="L4391" i="13" s="1"/>
  <c r="I4392" i="13" s="1"/>
  <c r="J4576" i="14" a="1"/>
  <c r="J4576" i="14" s="1"/>
  <c r="N4577" i="14"/>
  <c r="J4577" i="13" a="1"/>
  <c r="J4577" i="13" s="1"/>
  <c r="N4578" i="13"/>
  <c r="M4580" i="13"/>
  <c r="K4392" i="13" l="1"/>
  <c r="L4392" i="13" s="1"/>
  <c r="I4393" i="13" s="1"/>
  <c r="K4414" i="14"/>
  <c r="L4414" i="14" s="1"/>
  <c r="I4415" i="14" s="1"/>
  <c r="M4581" i="13"/>
  <c r="J4578" i="13" a="1"/>
  <c r="J4578" i="13" s="1"/>
  <c r="N4579" i="13"/>
  <c r="J4577" i="14" a="1"/>
  <c r="J4577" i="14" s="1"/>
  <c r="N4578" i="14"/>
  <c r="M4582" i="14"/>
  <c r="K4415" i="14" l="1"/>
  <c r="L4415" i="14" s="1"/>
  <c r="I4416" i="14" s="1"/>
  <c r="K4393" i="13"/>
  <c r="L4393" i="13" s="1"/>
  <c r="I4394" i="13" s="1"/>
  <c r="N4580" i="13"/>
  <c r="J4579" i="13" a="1"/>
  <c r="J4579" i="13" s="1"/>
  <c r="M4583" i="14"/>
  <c r="N4579" i="14"/>
  <c r="J4578" i="14" a="1"/>
  <c r="J4578" i="14" s="1"/>
  <c r="M4582" i="13"/>
  <c r="K4416" i="14" l="1"/>
  <c r="L4416" i="14" s="1"/>
  <c r="I4417" i="14" s="1"/>
  <c r="N4580" i="14"/>
  <c r="J4579" i="14" a="1"/>
  <c r="J4579" i="14" s="1"/>
  <c r="M4583" i="13"/>
  <c r="M4584" i="14"/>
  <c r="K4394" i="13"/>
  <c r="L4394" i="13" s="1"/>
  <c r="I4395" i="13" s="1"/>
  <c r="J4580" i="13" a="1"/>
  <c r="J4580" i="13" s="1"/>
  <c r="N4581" i="13"/>
  <c r="K4395" i="13" l="1"/>
  <c r="L4395" i="13" s="1"/>
  <c r="I4396" i="13" s="1"/>
  <c r="K4417" i="14"/>
  <c r="L4417" i="14" s="1"/>
  <c r="I4418" i="14" s="1"/>
  <c r="J4581" i="13" a="1"/>
  <c r="J4581" i="13" s="1"/>
  <c r="N4582" i="13"/>
  <c r="M4585" i="14"/>
  <c r="J4580" i="14" a="1"/>
  <c r="J4580" i="14" s="1"/>
  <c r="N4581" i="14"/>
  <c r="M4584" i="13"/>
  <c r="K4396" i="13" l="1"/>
  <c r="L4396" i="13" s="1"/>
  <c r="I4397" i="13" s="1"/>
  <c r="M4586" i="14"/>
  <c r="M4585" i="13"/>
  <c r="K4418" i="14"/>
  <c r="L4418" i="14" s="1"/>
  <c r="I4419" i="14" s="1"/>
  <c r="J4581" i="14" a="1"/>
  <c r="J4581" i="14" s="1"/>
  <c r="N4582" i="14"/>
  <c r="J4582" i="13" a="1"/>
  <c r="J4582" i="13" s="1"/>
  <c r="N4583" i="13"/>
  <c r="K4397" i="13" l="1"/>
  <c r="L4397" i="13" s="1"/>
  <c r="I4398" i="13" s="1"/>
  <c r="N4584" i="13"/>
  <c r="J4583" i="13" a="1"/>
  <c r="J4583" i="13" s="1"/>
  <c r="M4587" i="14"/>
  <c r="K4419" i="14"/>
  <c r="L4419" i="14" s="1"/>
  <c r="I4420" i="14" s="1"/>
  <c r="N4583" i="14"/>
  <c r="J4582" i="14" a="1"/>
  <c r="J4582" i="14" s="1"/>
  <c r="M4586" i="13"/>
  <c r="K4420" i="14" l="1"/>
  <c r="L4420" i="14" s="1"/>
  <c r="I4421" i="14" s="1"/>
  <c r="K4398" i="13"/>
  <c r="L4398" i="13" s="1"/>
  <c r="I4399" i="13" s="1"/>
  <c r="J4584" i="13" a="1"/>
  <c r="J4584" i="13" s="1"/>
  <c r="N4585" i="13"/>
  <c r="M4587" i="13"/>
  <c r="M4588" i="14"/>
  <c r="J4583" i="14" a="1"/>
  <c r="J4583" i="14" s="1"/>
  <c r="N4584" i="14"/>
  <c r="K4399" i="13" l="1"/>
  <c r="L4399" i="13" s="1"/>
  <c r="I4400" i="13" s="1"/>
  <c r="K4421" i="14"/>
  <c r="L4421" i="14" s="1"/>
  <c r="I4422" i="14" s="1"/>
  <c r="N4585" i="14"/>
  <c r="J4584" i="14" a="1"/>
  <c r="J4584" i="14" s="1"/>
  <c r="M4588" i="13"/>
  <c r="M4589" i="14"/>
  <c r="J4585" i="13" a="1"/>
  <c r="J4585" i="13" s="1"/>
  <c r="N4586" i="13"/>
  <c r="K4400" i="13" l="1"/>
  <c r="L4400" i="13" s="1"/>
  <c r="I4401" i="13" s="1"/>
  <c r="J4586" i="13" a="1"/>
  <c r="J4586" i="13" s="1"/>
  <c r="N4587" i="13"/>
  <c r="M4589" i="13"/>
  <c r="K4422" i="14"/>
  <c r="L4422" i="14" s="1"/>
  <c r="I4423" i="14" s="1"/>
  <c r="M4590" i="14"/>
  <c r="N4586" i="14"/>
  <c r="J4585" i="14" a="1"/>
  <c r="J4585" i="14" s="1"/>
  <c r="K4401" i="13" l="1"/>
  <c r="L4401" i="13" s="1"/>
  <c r="I4402" i="13" s="1"/>
  <c r="K4423" i="14"/>
  <c r="L4423" i="14" s="1"/>
  <c r="I4424" i="14" s="1"/>
  <c r="N4588" i="13"/>
  <c r="J4587" i="13" a="1"/>
  <c r="J4587" i="13" s="1"/>
  <c r="N4587" i="14"/>
  <c r="J4586" i="14" a="1"/>
  <c r="J4586" i="14" s="1"/>
  <c r="M4591" i="14"/>
  <c r="M4590" i="13"/>
  <c r="K4402" i="13" l="1"/>
  <c r="L4402" i="13" s="1"/>
  <c r="I4403" i="13" s="1"/>
  <c r="K4424" i="14"/>
  <c r="L4424" i="14" s="1"/>
  <c r="I4425" i="14" s="1"/>
  <c r="M4591" i="13"/>
  <c r="J4587" i="14" a="1"/>
  <c r="J4587" i="14" s="1"/>
  <c r="N4588" i="14"/>
  <c r="M4592" i="14"/>
  <c r="J4588" i="13" a="1"/>
  <c r="J4588" i="13" s="1"/>
  <c r="N4589" i="13"/>
  <c r="K4425" i="14" l="1"/>
  <c r="L4425" i="14" s="1"/>
  <c r="I4426" i="14" s="1"/>
  <c r="K4403" i="13"/>
  <c r="L4403" i="13" s="1"/>
  <c r="I4404" i="13" s="1"/>
  <c r="J4589" i="13" a="1"/>
  <c r="J4589" i="13" s="1"/>
  <c r="N4590" i="13"/>
  <c r="N4589" i="14"/>
  <c r="J4588" i="14" a="1"/>
  <c r="J4588" i="14" s="1"/>
  <c r="M4593" i="14"/>
  <c r="M4592" i="13"/>
  <c r="K4404" i="13" l="1"/>
  <c r="L4404" i="13" s="1"/>
  <c r="I4405" i="13" s="1"/>
  <c r="K4426" i="14"/>
  <c r="L4426" i="14" s="1"/>
  <c r="I4427" i="14" s="1"/>
  <c r="M4593" i="13"/>
  <c r="N4590" i="14"/>
  <c r="J4589" i="14" a="1"/>
  <c r="J4589" i="14" s="1"/>
  <c r="J4590" i="13" a="1"/>
  <c r="J4590" i="13" s="1"/>
  <c r="N4591" i="13"/>
  <c r="M4594" i="14"/>
  <c r="K4427" i="14" l="1"/>
  <c r="L4427" i="14" s="1"/>
  <c r="I4428" i="14" s="1"/>
  <c r="K4405" i="13"/>
  <c r="L4405" i="13" s="1"/>
  <c r="I4406" i="13" s="1"/>
  <c r="M4595" i="14"/>
  <c r="N4591" i="14"/>
  <c r="J4590" i="14" a="1"/>
  <c r="J4590" i="14" s="1"/>
  <c r="N4592" i="13"/>
  <c r="J4591" i="13" a="1"/>
  <c r="J4591" i="13" s="1"/>
  <c r="M4594" i="13"/>
  <c r="K4428" i="14" l="1"/>
  <c r="L4428" i="14" s="1"/>
  <c r="I4429" i="14" s="1"/>
  <c r="K4406" i="13"/>
  <c r="L4406" i="13" s="1"/>
  <c r="I4407" i="13" s="1"/>
  <c r="J4591" i="14" a="1"/>
  <c r="J4591" i="14" s="1"/>
  <c r="N4592" i="14"/>
  <c r="M4596" i="14"/>
  <c r="M4595" i="13"/>
  <c r="J4592" i="13" a="1"/>
  <c r="J4592" i="13" s="1"/>
  <c r="N4593" i="13"/>
  <c r="K4407" i="13" l="1"/>
  <c r="L4407" i="13" s="1"/>
  <c r="I4408" i="13" s="1"/>
  <c r="K4429" i="14"/>
  <c r="L4429" i="14" s="1"/>
  <c r="I4430" i="14" s="1"/>
  <c r="J4593" i="13" a="1"/>
  <c r="J4593" i="13" s="1"/>
  <c r="N4594" i="13"/>
  <c r="M4597" i="14"/>
  <c r="N4593" i="14"/>
  <c r="J4592" i="14" a="1"/>
  <c r="J4592" i="14" s="1"/>
  <c r="M4596" i="13"/>
  <c r="K4430" i="14" l="1"/>
  <c r="L4430" i="14" s="1"/>
  <c r="I4431" i="14" s="1"/>
  <c r="K4408" i="13"/>
  <c r="L4408" i="13" s="1"/>
  <c r="I4409" i="13" s="1"/>
  <c r="M4598" i="14"/>
  <c r="N4594" i="14"/>
  <c r="J4593" i="14" a="1"/>
  <c r="J4593" i="14" s="1"/>
  <c r="M4597" i="13"/>
  <c r="J4594" i="13" a="1"/>
  <c r="J4594" i="13" s="1"/>
  <c r="N4595" i="13"/>
  <c r="K4409" i="13" l="1"/>
  <c r="L4409" i="13" s="1"/>
  <c r="I4410" i="13" s="1"/>
  <c r="K4431" i="14"/>
  <c r="L4431" i="14" s="1"/>
  <c r="I4432" i="14" s="1"/>
  <c r="N4596" i="13"/>
  <c r="J4595" i="13" a="1"/>
  <c r="J4595" i="13" s="1"/>
  <c r="N4595" i="14"/>
  <c r="J4594" i="14" a="1"/>
  <c r="J4594" i="14" s="1"/>
  <c r="M4598" i="13"/>
  <c r="M4599" i="14"/>
  <c r="K4410" i="13" l="1"/>
  <c r="L4410" i="13" s="1"/>
  <c r="I4411" i="13" s="1"/>
  <c r="J4595" i="14" a="1"/>
  <c r="J4595" i="14" s="1"/>
  <c r="N4596" i="14"/>
  <c r="K4432" i="14"/>
  <c r="L4432" i="14" s="1"/>
  <c r="I4433" i="14" s="1"/>
  <c r="M4600" i="14"/>
  <c r="M4599" i="13"/>
  <c r="J4596" i="13" a="1"/>
  <c r="J4596" i="13" s="1"/>
  <c r="N4597" i="13"/>
  <c r="K4433" i="14" l="1"/>
  <c r="L4433" i="14" s="1"/>
  <c r="I4434" i="14" s="1"/>
  <c r="K4411" i="13"/>
  <c r="L4411" i="13" s="1"/>
  <c r="I4412" i="13" s="1"/>
  <c r="J4597" i="13" a="1"/>
  <c r="J4597" i="13" s="1"/>
  <c r="N4598" i="13"/>
  <c r="M4601" i="14"/>
  <c r="N4597" i="14"/>
  <c r="J4596" i="14" a="1"/>
  <c r="J4596" i="14" s="1"/>
  <c r="M4600" i="13"/>
  <c r="K4434" i="14" l="1"/>
  <c r="L4434" i="14" s="1"/>
  <c r="I4435" i="14" s="1"/>
  <c r="M4601" i="13"/>
  <c r="N4598" i="14"/>
  <c r="J4597" i="14" a="1"/>
  <c r="J4597" i="14" s="1"/>
  <c r="M4602" i="14"/>
  <c r="K4412" i="13"/>
  <c r="L4412" i="13" s="1"/>
  <c r="I4413" i="13" s="1"/>
  <c r="J4598" i="13" a="1"/>
  <c r="J4598" i="13" s="1"/>
  <c r="N4599" i="13"/>
  <c r="K4413" i="13" l="1"/>
  <c r="L4413" i="13" s="1"/>
  <c r="I4414" i="13" s="1"/>
  <c r="K4435" i="14"/>
  <c r="L4435" i="14" s="1"/>
  <c r="I4436" i="14" s="1"/>
  <c r="N4600" i="13"/>
  <c r="J4599" i="13" a="1"/>
  <c r="J4599" i="13" s="1"/>
  <c r="M4603" i="14"/>
  <c r="M4602" i="13"/>
  <c r="N4599" i="14"/>
  <c r="J4598" i="14" a="1"/>
  <c r="J4598" i="14" s="1"/>
  <c r="K4414" i="13" l="1"/>
  <c r="L4414" i="13" s="1"/>
  <c r="I4415" i="13" s="1"/>
  <c r="M4604" i="14"/>
  <c r="J4599" i="14" a="1"/>
  <c r="J4599" i="14" s="1"/>
  <c r="N4600" i="14"/>
  <c r="K4436" i="14"/>
  <c r="L4436" i="14" s="1"/>
  <c r="I4437" i="14" s="1"/>
  <c r="M4603" i="13"/>
  <c r="J4600" i="13" a="1"/>
  <c r="J4600" i="13" s="1"/>
  <c r="N4601" i="13"/>
  <c r="K4437" i="14" l="1"/>
  <c r="L4437" i="14" s="1"/>
  <c r="I4438" i="14" s="1"/>
  <c r="K4415" i="13"/>
  <c r="L4415" i="13" s="1"/>
  <c r="I4416" i="13" s="1"/>
  <c r="J4601" i="13" a="1"/>
  <c r="J4601" i="13" s="1"/>
  <c r="N4602" i="13"/>
  <c r="M4605" i="14"/>
  <c r="N4601" i="14"/>
  <c r="J4600" i="14" a="1"/>
  <c r="J4600" i="14" s="1"/>
  <c r="M4604" i="13"/>
  <c r="K4416" i="13" l="1"/>
  <c r="L4416" i="13" s="1"/>
  <c r="I4417" i="13" s="1"/>
  <c r="K4438" i="14"/>
  <c r="L4438" i="14" s="1"/>
  <c r="I4439" i="14" s="1"/>
  <c r="M4606" i="14"/>
  <c r="N4602" i="14"/>
  <c r="J4601" i="14" a="1"/>
  <c r="J4601" i="14" s="1"/>
  <c r="M4605" i="13"/>
  <c r="J4602" i="13" a="1"/>
  <c r="J4602" i="13" s="1"/>
  <c r="N4603" i="13"/>
  <c r="K4417" i="13" l="1"/>
  <c r="L4417" i="13" s="1"/>
  <c r="I4418" i="13" s="1"/>
  <c r="K4439" i="14"/>
  <c r="L4439" i="14" s="1"/>
  <c r="I4440" i="14" s="1"/>
  <c r="N4604" i="13"/>
  <c r="J4603" i="13" a="1"/>
  <c r="J4603" i="13" s="1"/>
  <c r="N4603" i="14"/>
  <c r="J4602" i="14" a="1"/>
  <c r="J4602" i="14" s="1"/>
  <c r="M4606" i="13"/>
  <c r="M4607" i="14"/>
  <c r="K4418" i="13" l="1"/>
  <c r="L4418" i="13" s="1"/>
  <c r="I4419" i="13" s="1"/>
  <c r="J4603" i="14" a="1"/>
  <c r="J4603" i="14" s="1"/>
  <c r="N4604" i="14"/>
  <c r="K4440" i="14"/>
  <c r="L4440" i="14" s="1"/>
  <c r="I4441" i="14" s="1"/>
  <c r="M4608" i="14"/>
  <c r="M4607" i="13"/>
  <c r="J4604" i="13" a="1"/>
  <c r="J4604" i="13" s="1"/>
  <c r="N4605" i="13"/>
  <c r="K4441" i="14" l="1"/>
  <c r="L4441" i="14" s="1"/>
  <c r="I4442" i="14" s="1"/>
  <c r="K4419" i="13"/>
  <c r="L4419" i="13" s="1"/>
  <c r="I4420" i="13" s="1"/>
  <c r="J4605" i="13" a="1"/>
  <c r="J4605" i="13" s="1"/>
  <c r="N4606" i="13"/>
  <c r="J4604" i="14" a="1"/>
  <c r="J4604" i="14" s="1"/>
  <c r="N4605" i="14"/>
  <c r="M4609" i="14"/>
  <c r="M4608" i="13"/>
  <c r="K4442" i="14" l="1"/>
  <c r="L4442" i="14" s="1"/>
  <c r="I4443" i="14" s="1"/>
  <c r="M4609" i="13"/>
  <c r="M4610" i="14"/>
  <c r="N4606" i="14"/>
  <c r="J4605" i="14" a="1"/>
  <c r="J4605" i="14" s="1"/>
  <c r="K4420" i="13"/>
  <c r="L4420" i="13" s="1"/>
  <c r="I4421" i="13" s="1"/>
  <c r="J4606" i="13" a="1"/>
  <c r="J4606" i="13" s="1"/>
  <c r="N4607" i="13"/>
  <c r="K4421" i="13" l="1"/>
  <c r="L4421" i="13" s="1"/>
  <c r="I4422" i="13" s="1"/>
  <c r="K4443" i="14"/>
  <c r="L4443" i="14" s="1"/>
  <c r="I4444" i="14" s="1"/>
  <c r="N4607" i="14"/>
  <c r="J4606" i="14" a="1"/>
  <c r="J4606" i="14" s="1"/>
  <c r="M4610" i="13"/>
  <c r="N4608" i="13"/>
  <c r="J4607" i="13" a="1"/>
  <c r="J4607" i="13" s="1"/>
  <c r="M4611" i="14"/>
  <c r="K4444" i="14" l="1"/>
  <c r="L4444" i="14" s="1"/>
  <c r="I4445" i="14" s="1"/>
  <c r="K4422" i="13"/>
  <c r="L4422" i="13" s="1"/>
  <c r="I4423" i="13" s="1"/>
  <c r="M4611" i="13"/>
  <c r="J4608" i="13" a="1"/>
  <c r="J4608" i="13" s="1"/>
  <c r="N4609" i="13"/>
  <c r="M4612" i="14"/>
  <c r="J4607" i="14" a="1"/>
  <c r="J4607" i="14" s="1"/>
  <c r="N4608" i="14"/>
  <c r="K4423" i="13" l="1"/>
  <c r="L4423" i="13" s="1"/>
  <c r="I4424" i="13" s="1"/>
  <c r="K4445" i="14"/>
  <c r="L4445" i="14" s="1"/>
  <c r="I4446" i="14" s="1"/>
  <c r="J4609" i="13" a="1"/>
  <c r="J4609" i="13" s="1"/>
  <c r="N4610" i="13"/>
  <c r="N4609" i="14"/>
  <c r="J4608" i="14" a="1"/>
  <c r="J4608" i="14" s="1"/>
  <c r="M4613" i="14"/>
  <c r="M4612" i="13"/>
  <c r="K4424" i="13" l="1"/>
  <c r="L4424" i="13" s="1"/>
  <c r="I4425" i="13" s="1"/>
  <c r="N4610" i="14"/>
  <c r="J4609" i="14" a="1"/>
  <c r="J4609" i="14" s="1"/>
  <c r="K4446" i="14"/>
  <c r="L4446" i="14" s="1"/>
  <c r="I4447" i="14" s="1"/>
  <c r="M4613" i="13"/>
  <c r="M4614" i="14"/>
  <c r="J4610" i="13" a="1"/>
  <c r="J4610" i="13" s="1"/>
  <c r="N4611" i="13"/>
  <c r="K4447" i="14" l="1"/>
  <c r="L4447" i="14" s="1"/>
  <c r="I4448" i="14" s="1"/>
  <c r="K4425" i="13"/>
  <c r="L4425" i="13" s="1"/>
  <c r="I4426" i="13" s="1"/>
  <c r="M4614" i="13"/>
  <c r="N4611" i="14"/>
  <c r="J4610" i="14" a="1"/>
  <c r="J4610" i="14" s="1"/>
  <c r="N4612" i="13"/>
  <c r="J4611" i="13" a="1"/>
  <c r="J4611" i="13" s="1"/>
  <c r="M4615" i="14"/>
  <c r="K4426" i="13" l="1"/>
  <c r="L4426" i="13" s="1"/>
  <c r="I4427" i="13" s="1"/>
  <c r="K4448" i="14"/>
  <c r="L4448" i="14" s="1"/>
  <c r="I4449" i="14" s="1"/>
  <c r="J4611" i="14" a="1"/>
  <c r="J4611" i="14" s="1"/>
  <c r="N4612" i="14"/>
  <c r="M4616" i="14"/>
  <c r="M4615" i="13"/>
  <c r="J4612" i="13" a="1"/>
  <c r="J4612" i="13" s="1"/>
  <c r="N4613" i="13"/>
  <c r="K4449" i="14" l="1"/>
  <c r="L4449" i="14" s="1"/>
  <c r="I4450" i="14" s="1"/>
  <c r="K4427" i="13"/>
  <c r="L4427" i="13" s="1"/>
  <c r="I4428" i="13" s="1"/>
  <c r="M4616" i="13"/>
  <c r="J4613" i="13" a="1"/>
  <c r="J4613" i="13" s="1"/>
  <c r="N4614" i="13"/>
  <c r="M4617" i="14"/>
  <c r="N4613" i="14"/>
  <c r="J4612" i="14" a="1"/>
  <c r="J4612" i="14" s="1"/>
  <c r="K4428" i="13" l="1"/>
  <c r="L4428" i="13" s="1"/>
  <c r="I4429" i="13" s="1"/>
  <c r="K4450" i="14"/>
  <c r="L4450" i="14" s="1"/>
  <c r="I4451" i="14" s="1"/>
  <c r="N4614" i="14"/>
  <c r="J4613" i="14" a="1"/>
  <c r="J4613" i="14" s="1"/>
  <c r="J4614" i="13" a="1"/>
  <c r="J4614" i="13" s="1"/>
  <c r="N4615" i="13"/>
  <c r="M4618" i="14"/>
  <c r="M4617" i="13"/>
  <c r="K4451" i="14" l="1"/>
  <c r="L4451" i="14" s="1"/>
  <c r="I4452" i="14" s="1"/>
  <c r="K4429" i="13"/>
  <c r="L4429" i="13" s="1"/>
  <c r="I4430" i="13" s="1"/>
  <c r="M4618" i="13"/>
  <c r="N4616" i="13"/>
  <c r="J4615" i="13" a="1"/>
  <c r="J4615" i="13" s="1"/>
  <c r="M4619" i="14"/>
  <c r="N4615" i="14"/>
  <c r="J4614" i="14" a="1"/>
  <c r="J4614" i="14" s="1"/>
  <c r="K4430" i="13" l="1"/>
  <c r="L4430" i="13" s="1"/>
  <c r="I4431" i="13" s="1"/>
  <c r="K4452" i="14"/>
  <c r="L4452" i="14" s="1"/>
  <c r="I4453" i="14" s="1"/>
  <c r="J4615" i="14" a="1"/>
  <c r="J4615" i="14" s="1"/>
  <c r="N4616" i="14"/>
  <c r="J4616" i="13" a="1"/>
  <c r="J4616" i="13" s="1"/>
  <c r="N4617" i="13"/>
  <c r="M4620" i="14"/>
  <c r="M4619" i="13"/>
  <c r="K4453" i="14" l="1"/>
  <c r="L4453" i="14" s="1"/>
  <c r="I4454" i="14" s="1"/>
  <c r="K4431" i="13"/>
  <c r="L4431" i="13" s="1"/>
  <c r="I4432" i="13" s="1"/>
  <c r="J4617" i="13" a="1"/>
  <c r="J4617" i="13" s="1"/>
  <c r="N4618" i="13"/>
  <c r="M4620" i="13"/>
  <c r="N4617" i="14"/>
  <c r="J4616" i="14" a="1"/>
  <c r="J4616" i="14" s="1"/>
  <c r="M4621" i="14"/>
  <c r="K4432" i="13" l="1"/>
  <c r="L4432" i="13" s="1"/>
  <c r="I4433" i="13" s="1"/>
  <c r="K4454" i="14"/>
  <c r="L4454" i="14" s="1"/>
  <c r="I4455" i="14" s="1"/>
  <c r="N4618" i="14"/>
  <c r="J4617" i="14" a="1"/>
  <c r="J4617" i="14" s="1"/>
  <c r="M4622" i="14"/>
  <c r="M4621" i="13"/>
  <c r="J4618" i="13" a="1"/>
  <c r="J4618" i="13" s="1"/>
  <c r="N4619" i="13"/>
  <c r="K4455" i="14" l="1"/>
  <c r="L4455" i="14" s="1"/>
  <c r="I4456" i="14" s="1"/>
  <c r="K4433" i="13"/>
  <c r="L4433" i="13" s="1"/>
  <c r="I4434" i="13" s="1"/>
  <c r="N4620" i="13"/>
  <c r="J4619" i="13" a="1"/>
  <c r="J4619" i="13" s="1"/>
  <c r="M4623" i="14"/>
  <c r="M4622" i="13"/>
  <c r="N4619" i="14"/>
  <c r="J4618" i="14" a="1"/>
  <c r="J4618" i="14" s="1"/>
  <c r="K4434" i="13" l="1"/>
  <c r="L4434" i="13" s="1"/>
  <c r="I4435" i="13" s="1"/>
  <c r="K4456" i="14"/>
  <c r="L4456" i="14" s="1"/>
  <c r="I4457" i="14" s="1"/>
  <c r="J4619" i="14" a="1"/>
  <c r="J4619" i="14" s="1"/>
  <c r="N4620" i="14"/>
  <c r="M4624" i="14"/>
  <c r="M4623" i="13"/>
  <c r="J4620" i="13" a="1"/>
  <c r="J4620" i="13" s="1"/>
  <c r="N4621" i="13"/>
  <c r="K4457" i="14" l="1"/>
  <c r="L4457" i="14" s="1"/>
  <c r="I4458" i="14" s="1"/>
  <c r="K4435" i="13"/>
  <c r="L4435" i="13" s="1"/>
  <c r="I4436" i="13" s="1"/>
  <c r="M4624" i="13"/>
  <c r="J4621" i="13" a="1"/>
  <c r="J4621" i="13" s="1"/>
  <c r="N4622" i="13"/>
  <c r="M4625" i="14"/>
  <c r="N4621" i="14"/>
  <c r="J4620" i="14" a="1"/>
  <c r="J4620" i="14" s="1"/>
  <c r="K4436" i="13" l="1"/>
  <c r="L4436" i="13" s="1"/>
  <c r="I4437" i="13" s="1"/>
  <c r="K4458" i="14"/>
  <c r="L4458" i="14" s="1"/>
  <c r="I4459" i="14" s="1"/>
  <c r="J4622" i="13" a="1"/>
  <c r="J4622" i="13" s="1"/>
  <c r="N4623" i="13"/>
  <c r="N4622" i="14"/>
  <c r="J4621" i="14" a="1"/>
  <c r="J4621" i="14" s="1"/>
  <c r="M4626" i="14"/>
  <c r="M4625" i="13"/>
  <c r="K4437" i="13" l="1"/>
  <c r="L4437" i="13" s="1"/>
  <c r="I4438" i="13" s="1"/>
  <c r="N4623" i="14"/>
  <c r="J4622" i="14" a="1"/>
  <c r="J4622" i="14" s="1"/>
  <c r="K4459" i="14"/>
  <c r="L4459" i="14" s="1"/>
  <c r="I4460" i="14" s="1"/>
  <c r="N4624" i="13"/>
  <c r="J4623" i="13" a="1"/>
  <c r="J4623" i="13" s="1"/>
  <c r="M4626" i="13"/>
  <c r="M4627" i="14"/>
  <c r="K4460" i="14" l="1"/>
  <c r="L4460" i="14" s="1"/>
  <c r="I4461" i="14" s="1"/>
  <c r="K4438" i="13"/>
  <c r="L4438" i="13" s="1"/>
  <c r="I4439" i="13" s="1"/>
  <c r="J4624" i="13" a="1"/>
  <c r="J4624" i="13" s="1"/>
  <c r="N4625" i="13"/>
  <c r="J4623" i="14" a="1"/>
  <c r="J4623" i="14" s="1"/>
  <c r="N4624" i="14"/>
  <c r="M4628" i="14"/>
  <c r="M4627" i="13"/>
  <c r="K4439" i="13" l="1"/>
  <c r="L4439" i="13" s="1"/>
  <c r="I4440" i="13" s="1"/>
  <c r="K4461" i="14"/>
  <c r="L4461" i="14" s="1"/>
  <c r="I4462" i="14" s="1"/>
  <c r="N4625" i="14"/>
  <c r="J4624" i="14" a="1"/>
  <c r="J4624" i="14" s="1"/>
  <c r="M4628" i="13"/>
  <c r="J4625" i="13" a="1"/>
  <c r="J4625" i="13" s="1"/>
  <c r="N4626" i="13"/>
  <c r="M4629" i="14"/>
  <c r="K4462" i="14" l="1"/>
  <c r="L4462" i="14" s="1"/>
  <c r="I4463" i="14" s="1"/>
  <c r="K4440" i="13"/>
  <c r="L4440" i="13" s="1"/>
  <c r="I4441" i="13" s="1"/>
  <c r="M4630" i="14"/>
  <c r="M4629" i="13"/>
  <c r="J4626" i="13" a="1"/>
  <c r="J4626" i="13" s="1"/>
  <c r="N4627" i="13"/>
  <c r="N4626" i="14"/>
  <c r="J4625" i="14" a="1"/>
  <c r="J4625" i="14" s="1"/>
  <c r="K4463" i="14" l="1"/>
  <c r="L4463" i="14" s="1"/>
  <c r="I4464" i="14" s="1"/>
  <c r="K4441" i="13"/>
  <c r="L4441" i="13" s="1"/>
  <c r="I4442" i="13" s="1"/>
  <c r="N4627" i="14"/>
  <c r="J4626" i="14" a="1"/>
  <c r="J4626" i="14" s="1"/>
  <c r="M4630" i="13"/>
  <c r="N4628" i="13"/>
  <c r="J4627" i="13" a="1"/>
  <c r="J4627" i="13" s="1"/>
  <c r="M4631" i="14"/>
  <c r="K4442" i="13" l="1"/>
  <c r="L4442" i="13" s="1"/>
  <c r="I4443" i="13" s="1"/>
  <c r="K4464" i="14"/>
  <c r="L4464" i="14" s="1"/>
  <c r="I4465" i="14" s="1"/>
  <c r="J4628" i="13" a="1"/>
  <c r="J4628" i="13" s="1"/>
  <c r="N4629" i="13"/>
  <c r="M4632" i="14"/>
  <c r="M4631" i="13"/>
  <c r="J4627" i="14" a="1"/>
  <c r="J4627" i="14" s="1"/>
  <c r="N4628" i="14"/>
  <c r="K4465" i="14" l="1"/>
  <c r="L4465" i="14" s="1"/>
  <c r="I4466" i="14" s="1"/>
  <c r="M4632" i="13"/>
  <c r="N4629" i="14"/>
  <c r="J4628" i="14" a="1"/>
  <c r="J4628" i="14" s="1"/>
  <c r="M4633" i="14"/>
  <c r="J4629" i="13" a="1"/>
  <c r="J4629" i="13" s="1"/>
  <c r="N4630" i="13"/>
  <c r="K4443" i="13"/>
  <c r="L4443" i="13" s="1"/>
  <c r="I4444" i="13" s="1"/>
  <c r="K4466" i="14" l="1"/>
  <c r="L4466" i="14" s="1"/>
  <c r="I4467" i="14" s="1"/>
  <c r="K4444" i="13"/>
  <c r="L4444" i="13" s="1"/>
  <c r="I4445" i="13" s="1"/>
  <c r="M4634" i="14"/>
  <c r="M4633" i="13"/>
  <c r="J4630" i="13" a="1"/>
  <c r="J4630" i="13" s="1"/>
  <c r="N4631" i="13"/>
  <c r="N4630" i="14"/>
  <c r="J4629" i="14" a="1"/>
  <c r="J4629" i="14" s="1"/>
  <c r="K4445" i="13" l="1"/>
  <c r="L4445" i="13" s="1"/>
  <c r="I4446" i="13" s="1"/>
  <c r="K4467" i="14"/>
  <c r="L4467" i="14" s="1"/>
  <c r="I4468" i="14" s="1"/>
  <c r="N4631" i="14"/>
  <c r="J4630" i="14" a="1"/>
  <c r="J4630" i="14" s="1"/>
  <c r="M4634" i="13"/>
  <c r="N4632" i="13"/>
  <c r="J4631" i="13" a="1"/>
  <c r="J4631" i="13" s="1"/>
  <c r="M4635" i="14"/>
  <c r="K4446" i="13" l="1"/>
  <c r="L4446" i="13" s="1"/>
  <c r="I4447" i="13" s="1"/>
  <c r="M4636" i="14"/>
  <c r="M4635" i="13"/>
  <c r="K4468" i="14"/>
  <c r="L4468" i="14" s="1"/>
  <c r="I4469" i="14" s="1"/>
  <c r="J4632" i="13" a="1"/>
  <c r="J4632" i="13" s="1"/>
  <c r="N4633" i="13"/>
  <c r="J4631" i="14" a="1"/>
  <c r="J4631" i="14" s="1"/>
  <c r="N4632" i="14"/>
  <c r="K4447" i="13" l="1"/>
  <c r="L4447" i="13" s="1"/>
  <c r="I4448" i="13" s="1"/>
  <c r="N4633" i="14"/>
  <c r="J4632" i="14" a="1"/>
  <c r="J4632" i="14" s="1"/>
  <c r="K4469" i="14"/>
  <c r="L4469" i="14" s="1"/>
  <c r="I4470" i="14" s="1"/>
  <c r="M4637" i="14"/>
  <c r="J4633" i="13" a="1"/>
  <c r="J4633" i="13" s="1"/>
  <c r="N4634" i="13"/>
  <c r="M4636" i="13"/>
  <c r="K4470" i="14" l="1"/>
  <c r="L4470" i="14" s="1"/>
  <c r="I4471" i="14" s="1"/>
  <c r="K4448" i="13"/>
  <c r="L4448" i="13" s="1"/>
  <c r="I4449" i="13" s="1"/>
  <c r="M4637" i="13"/>
  <c r="N4634" i="14"/>
  <c r="J4633" i="14" a="1"/>
  <c r="J4633" i="14" s="1"/>
  <c r="M4638" i="14"/>
  <c r="J4634" i="13" a="1"/>
  <c r="J4634" i="13" s="1"/>
  <c r="N4635" i="13"/>
  <c r="K4449" i="13" l="1"/>
  <c r="L4449" i="13" s="1"/>
  <c r="I4450" i="13" s="1"/>
  <c r="K4471" i="14"/>
  <c r="L4471" i="14" s="1"/>
  <c r="I4472" i="14" s="1"/>
  <c r="N4636" i="13"/>
  <c r="J4635" i="13" a="1"/>
  <c r="J4635" i="13" s="1"/>
  <c r="N4635" i="14"/>
  <c r="J4634" i="14" a="1"/>
  <c r="J4634" i="14" s="1"/>
  <c r="M4639" i="14"/>
  <c r="M4638" i="13"/>
  <c r="K4450" i="13" l="1"/>
  <c r="L4450" i="13" s="1"/>
  <c r="I4451" i="13" s="1"/>
  <c r="M4639" i="13"/>
  <c r="J4635" i="14" a="1"/>
  <c r="J4635" i="14" s="1"/>
  <c r="N4636" i="14"/>
  <c r="K4472" i="14"/>
  <c r="L4472" i="14" s="1"/>
  <c r="I4473" i="14" s="1"/>
  <c r="M4640" i="14"/>
  <c r="J4636" i="13" a="1"/>
  <c r="J4636" i="13" s="1"/>
  <c r="N4637" i="13"/>
  <c r="K4473" i="14" l="1"/>
  <c r="L4473" i="14" s="1"/>
  <c r="I4474" i="14" s="1"/>
  <c r="K4451" i="13"/>
  <c r="L4451" i="13" s="1"/>
  <c r="I4452" i="13" s="1"/>
  <c r="J4637" i="13" a="1"/>
  <c r="J4637" i="13" s="1"/>
  <c r="N4638" i="13"/>
  <c r="M4640" i="13"/>
  <c r="N4637" i="14"/>
  <c r="J4636" i="14" a="1"/>
  <c r="J4636" i="14" s="1"/>
  <c r="M4641" i="14"/>
  <c r="K4452" i="13" l="1"/>
  <c r="L4452" i="13" s="1"/>
  <c r="I4453" i="13" s="1"/>
  <c r="K4474" i="14"/>
  <c r="L4474" i="14" s="1"/>
  <c r="I4475" i="14" s="1"/>
  <c r="N4638" i="14"/>
  <c r="J4637" i="14" a="1"/>
  <c r="J4637" i="14" s="1"/>
  <c r="M4642" i="14"/>
  <c r="M4641" i="13"/>
  <c r="J4638" i="13" a="1"/>
  <c r="J4638" i="13" s="1"/>
  <c r="N4639" i="13"/>
  <c r="K4475" i="14" l="1"/>
  <c r="L4475" i="14" s="1"/>
  <c r="I4476" i="14" s="1"/>
  <c r="K4453" i="13"/>
  <c r="L4453" i="13" s="1"/>
  <c r="I4454" i="13" s="1"/>
  <c r="M4642" i="13"/>
  <c r="N4640" i="13"/>
  <c r="J4639" i="13" a="1"/>
  <c r="J4639" i="13" s="1"/>
  <c r="M4643" i="14"/>
  <c r="N4639" i="14"/>
  <c r="J4638" i="14" a="1"/>
  <c r="J4638" i="14" s="1"/>
  <c r="K4476" i="14" l="1"/>
  <c r="L4476" i="14" s="1"/>
  <c r="I4477" i="14" s="1"/>
  <c r="J4639" i="14" a="1"/>
  <c r="J4639" i="14" s="1"/>
  <c r="N4640" i="14"/>
  <c r="K4454" i="13"/>
  <c r="L4454" i="13" s="1"/>
  <c r="I4455" i="13" s="1"/>
  <c r="J4640" i="13" a="1"/>
  <c r="J4640" i="13" s="1"/>
  <c r="N4641" i="13"/>
  <c r="M4643" i="13"/>
  <c r="M4644" i="14"/>
  <c r="K4455" i="13" l="1"/>
  <c r="L4455" i="13" s="1"/>
  <c r="I4456" i="13" s="1"/>
  <c r="K4477" i="14"/>
  <c r="L4477" i="14" s="1"/>
  <c r="I4478" i="14" s="1"/>
  <c r="J4641" i="13" a="1"/>
  <c r="J4641" i="13" s="1"/>
  <c r="N4642" i="13"/>
  <c r="N4641" i="14"/>
  <c r="J4640" i="14" a="1"/>
  <c r="J4640" i="14" s="1"/>
  <c r="M4645" i="14"/>
  <c r="M4644" i="13"/>
  <c r="K4478" i="14" l="1"/>
  <c r="L4478" i="14" s="1"/>
  <c r="I4479" i="14" s="1"/>
  <c r="K4456" i="13"/>
  <c r="L4456" i="13" s="1"/>
  <c r="I4457" i="13" s="1"/>
  <c r="M4645" i="13"/>
  <c r="N4642" i="14"/>
  <c r="J4641" i="14" a="1"/>
  <c r="J4641" i="14" s="1"/>
  <c r="J4642" i="13" a="1"/>
  <c r="J4642" i="13" s="1"/>
  <c r="N4643" i="13"/>
  <c r="M4646" i="14"/>
  <c r="K4479" i="14" l="1"/>
  <c r="L4479" i="14" s="1"/>
  <c r="I4480" i="14" s="1"/>
  <c r="K4457" i="13"/>
  <c r="L4457" i="13" s="1"/>
  <c r="I4458" i="13" s="1"/>
  <c r="N4643" i="14"/>
  <c r="J4642" i="14" a="1"/>
  <c r="J4642" i="14" s="1"/>
  <c r="N4644" i="13"/>
  <c r="J4643" i="13" a="1"/>
  <c r="J4643" i="13" s="1"/>
  <c r="M4647" i="14"/>
  <c r="M4646" i="13"/>
  <c r="K4480" i="14" l="1"/>
  <c r="L4480" i="14" s="1"/>
  <c r="I4481" i="14" s="1"/>
  <c r="M4647" i="13"/>
  <c r="J4644" i="13" a="1"/>
  <c r="J4644" i="13" s="1"/>
  <c r="N4645" i="13"/>
  <c r="K4458" i="13"/>
  <c r="L4458" i="13" s="1"/>
  <c r="I4459" i="13" s="1"/>
  <c r="M4648" i="14"/>
  <c r="J4643" i="14" a="1"/>
  <c r="J4643" i="14" s="1"/>
  <c r="N4644" i="14"/>
  <c r="K4459" i="13" l="1"/>
  <c r="L4459" i="13" s="1"/>
  <c r="I4460" i="13" s="1"/>
  <c r="K4481" i="14"/>
  <c r="L4481" i="14" s="1"/>
  <c r="I4482" i="14" s="1"/>
  <c r="N4645" i="14"/>
  <c r="J4644" i="14" a="1"/>
  <c r="J4644" i="14" s="1"/>
  <c r="M4649" i="14"/>
  <c r="M4648" i="13"/>
  <c r="J4645" i="13" a="1"/>
  <c r="J4645" i="13" s="1"/>
  <c r="N4646" i="13"/>
  <c r="K4482" i="14" l="1"/>
  <c r="L4482" i="14" s="1"/>
  <c r="I4483" i="14" s="1"/>
  <c r="K4460" i="13"/>
  <c r="L4460" i="13" s="1"/>
  <c r="I4461" i="13" s="1"/>
  <c r="J4646" i="13" a="1"/>
  <c r="J4646" i="13" s="1"/>
  <c r="N4647" i="13"/>
  <c r="M4650" i="14"/>
  <c r="M4649" i="13"/>
  <c r="N4646" i="14"/>
  <c r="J4645" i="14" a="1"/>
  <c r="J4645" i="14" s="1"/>
  <c r="K4461" i="13" l="1"/>
  <c r="L4461" i="13" s="1"/>
  <c r="I4462" i="13" s="1"/>
  <c r="M4650" i="13"/>
  <c r="N4647" i="14"/>
  <c r="J4646" i="14" a="1"/>
  <c r="J4646" i="14" s="1"/>
  <c r="M4651" i="14"/>
  <c r="N4648" i="13"/>
  <c r="J4647" i="13" a="1"/>
  <c r="J4647" i="13" s="1"/>
  <c r="K4483" i="14"/>
  <c r="L4483" i="14" s="1"/>
  <c r="I4484" i="14" s="1"/>
  <c r="K4484" i="14" l="1"/>
  <c r="L4484" i="14" s="1"/>
  <c r="I4485" i="14" s="1"/>
  <c r="K4462" i="13"/>
  <c r="L4462" i="13" s="1"/>
  <c r="I4463" i="13" s="1"/>
  <c r="M4652" i="14"/>
  <c r="M4651" i="13"/>
  <c r="J4648" i="13" a="1"/>
  <c r="J4648" i="13" s="1"/>
  <c r="N4649" i="13"/>
  <c r="J4647" i="14" a="1"/>
  <c r="J4647" i="14" s="1"/>
  <c r="N4648" i="14"/>
  <c r="K4485" i="14" l="1"/>
  <c r="L4485" i="14" s="1"/>
  <c r="I4486" i="14" s="1"/>
  <c r="K4463" i="13"/>
  <c r="L4463" i="13" s="1"/>
  <c r="I4464" i="13" s="1"/>
  <c r="N4649" i="14"/>
  <c r="J4648" i="14" a="1"/>
  <c r="J4648" i="14" s="1"/>
  <c r="M4652" i="13"/>
  <c r="J4649" i="13" a="1"/>
  <c r="J4649" i="13" s="1"/>
  <c r="N4650" i="13"/>
  <c r="M4653" i="14"/>
  <c r="K4464" i="13" l="1"/>
  <c r="L4464" i="13" s="1"/>
  <c r="I4465" i="13" s="1"/>
  <c r="K4486" i="14"/>
  <c r="L4486" i="14" s="1"/>
  <c r="I4487" i="14" s="1"/>
  <c r="J4650" i="13" a="1"/>
  <c r="J4650" i="13" s="1"/>
  <c r="N4651" i="13"/>
  <c r="M4654" i="14"/>
  <c r="M4653" i="13"/>
  <c r="N4650" i="14"/>
  <c r="J4649" i="14" a="1"/>
  <c r="J4649" i="14" s="1"/>
  <c r="K4465" i="13" l="1"/>
  <c r="L4465" i="13" s="1"/>
  <c r="I4466" i="13" s="1"/>
  <c r="K4487" i="14"/>
  <c r="L4487" i="14" s="1"/>
  <c r="I4488" i="14" s="1"/>
  <c r="N4651" i="14"/>
  <c r="J4650" i="14" a="1"/>
  <c r="J4650" i="14" s="1"/>
  <c r="M4655" i="14"/>
  <c r="M4654" i="13"/>
  <c r="N4652" i="13"/>
  <c r="J4651" i="13" a="1"/>
  <c r="J4651" i="13" s="1"/>
  <c r="K4488" i="14" l="1"/>
  <c r="L4488" i="14" s="1"/>
  <c r="I4489" i="14" s="1"/>
  <c r="K4466" i="13"/>
  <c r="L4466" i="13" s="1"/>
  <c r="I4467" i="13" s="1"/>
  <c r="J4652" i="13" a="1"/>
  <c r="J4652" i="13" s="1"/>
  <c r="N4653" i="13"/>
  <c r="M4656" i="14"/>
  <c r="M4655" i="13"/>
  <c r="J4651" i="14" a="1"/>
  <c r="J4651" i="14" s="1"/>
  <c r="N4652" i="14"/>
  <c r="K4467" i="13" l="1"/>
  <c r="L4467" i="13" s="1"/>
  <c r="I4468" i="13" s="1"/>
  <c r="K4489" i="14"/>
  <c r="L4489" i="14" s="1"/>
  <c r="I4490" i="14" s="1"/>
  <c r="N4653" i="14"/>
  <c r="J4652" i="14" a="1"/>
  <c r="J4652" i="14" s="1"/>
  <c r="M4657" i="14"/>
  <c r="J4653" i="13" a="1"/>
  <c r="J4653" i="13" s="1"/>
  <c r="N4654" i="13"/>
  <c r="M4656" i="13"/>
  <c r="K4490" i="14" l="1"/>
  <c r="L4490" i="14" s="1"/>
  <c r="I4491" i="14" s="1"/>
  <c r="K4468" i="13"/>
  <c r="L4468" i="13" s="1"/>
  <c r="I4469" i="13" s="1"/>
  <c r="M4658" i="14"/>
  <c r="J4654" i="13" a="1"/>
  <c r="J4654" i="13" s="1"/>
  <c r="N4655" i="13"/>
  <c r="M4657" i="13"/>
  <c r="N4654" i="14"/>
  <c r="J4653" i="14" a="1"/>
  <c r="J4653" i="14" s="1"/>
  <c r="K4469" i="13" l="1"/>
  <c r="L4469" i="13" s="1"/>
  <c r="I4470" i="13" s="1"/>
  <c r="K4491" i="14"/>
  <c r="L4491" i="14" s="1"/>
  <c r="I4492" i="14" s="1"/>
  <c r="N4656" i="13"/>
  <c r="J4655" i="13" a="1"/>
  <c r="J4655" i="13" s="1"/>
  <c r="N4655" i="14"/>
  <c r="J4654" i="14" a="1"/>
  <c r="J4654" i="14" s="1"/>
  <c r="M4658" i="13"/>
  <c r="M4659" i="14"/>
  <c r="K4492" i="14" l="1"/>
  <c r="L4492" i="14" s="1"/>
  <c r="I4493" i="14" s="1"/>
  <c r="K4470" i="13"/>
  <c r="L4470" i="13" s="1"/>
  <c r="I4471" i="13" s="1"/>
  <c r="J4655" i="14" a="1"/>
  <c r="J4655" i="14" s="1"/>
  <c r="N4656" i="14"/>
  <c r="M4660" i="14"/>
  <c r="M4659" i="13"/>
  <c r="J4656" i="13" a="1"/>
  <c r="J4656" i="13" s="1"/>
  <c r="N4657" i="13"/>
  <c r="K4471" i="13" l="1"/>
  <c r="L4471" i="13" s="1"/>
  <c r="I4472" i="13" s="1"/>
  <c r="K4493" i="14"/>
  <c r="L4493" i="14" s="1"/>
  <c r="I4494" i="14" s="1"/>
  <c r="J4657" i="13" a="1"/>
  <c r="J4657" i="13" s="1"/>
  <c r="N4658" i="13"/>
  <c r="M4661" i="14"/>
  <c r="N4657" i="14"/>
  <c r="J4656" i="14" a="1"/>
  <c r="J4656" i="14" s="1"/>
  <c r="M4660" i="13"/>
  <c r="K4494" i="14" l="1"/>
  <c r="L4494" i="14" s="1"/>
  <c r="I4495" i="14" s="1"/>
  <c r="K4472" i="13"/>
  <c r="L4472" i="13" s="1"/>
  <c r="I4473" i="13" s="1"/>
  <c r="J4658" i="13" a="1"/>
  <c r="J4658" i="13" s="1"/>
  <c r="N4659" i="13"/>
  <c r="N4658" i="14"/>
  <c r="J4657" i="14" a="1"/>
  <c r="J4657" i="14" s="1"/>
  <c r="M4662" i="14"/>
  <c r="M4661" i="13"/>
  <c r="K4495" i="14" l="1"/>
  <c r="L4495" i="14" s="1"/>
  <c r="I4496" i="14" s="1"/>
  <c r="N4659" i="14"/>
  <c r="J4658" i="14" a="1"/>
  <c r="J4658" i="14" s="1"/>
  <c r="K4473" i="13"/>
  <c r="L4473" i="13" s="1"/>
  <c r="I4474" i="13" s="1"/>
  <c r="N4660" i="13"/>
  <c r="J4659" i="13" a="1"/>
  <c r="J4659" i="13" s="1"/>
  <c r="M4662" i="13"/>
  <c r="M4663" i="14"/>
  <c r="K4474" i="13" l="1"/>
  <c r="L4474" i="13" s="1"/>
  <c r="I4475" i="13" s="1"/>
  <c r="K4496" i="14"/>
  <c r="L4496" i="14" s="1"/>
  <c r="I4497" i="14" s="1"/>
  <c r="M4664" i="14"/>
  <c r="J4660" i="13" a="1"/>
  <c r="J4660" i="13" s="1"/>
  <c r="N4661" i="13"/>
  <c r="J4659" i="14" a="1"/>
  <c r="J4659" i="14" s="1"/>
  <c r="N4660" i="14"/>
  <c r="M4663" i="13"/>
  <c r="K4475" i="13" l="1"/>
  <c r="L4475" i="13" s="1"/>
  <c r="I4476" i="13" s="1"/>
  <c r="J4661" i="13" a="1"/>
  <c r="J4661" i="13" s="1"/>
  <c r="N4662" i="13"/>
  <c r="K4497" i="14"/>
  <c r="L4497" i="14" s="1"/>
  <c r="I4498" i="14" s="1"/>
  <c r="N4661" i="14"/>
  <c r="J4660" i="14" a="1"/>
  <c r="J4660" i="14" s="1"/>
  <c r="M4665" i="14"/>
  <c r="M4664" i="13"/>
  <c r="K4498" i="14" l="1"/>
  <c r="L4498" i="14" s="1"/>
  <c r="I4499" i="14" s="1"/>
  <c r="K4476" i="13"/>
  <c r="L4476" i="13" s="1"/>
  <c r="I4477" i="13" s="1"/>
  <c r="J4662" i="13" a="1"/>
  <c r="J4662" i="13" s="1"/>
  <c r="N4663" i="13"/>
  <c r="M4665" i="13"/>
  <c r="N4662" i="14"/>
  <c r="J4661" i="14" a="1"/>
  <c r="J4661" i="14" s="1"/>
  <c r="M4666" i="14"/>
  <c r="K4477" i="13" l="1"/>
  <c r="L4477" i="13" s="1"/>
  <c r="I4478" i="13" s="1"/>
  <c r="K4499" i="14"/>
  <c r="L4499" i="14" s="1"/>
  <c r="I4500" i="14" s="1"/>
  <c r="N4664" i="13"/>
  <c r="J4663" i="13" a="1"/>
  <c r="J4663" i="13" s="1"/>
  <c r="N4663" i="14"/>
  <c r="J4662" i="14" a="1"/>
  <c r="J4662" i="14" s="1"/>
  <c r="M4667" i="14"/>
  <c r="M4666" i="13"/>
  <c r="K4478" i="13" l="1"/>
  <c r="L4478" i="13" s="1"/>
  <c r="I4479" i="13" s="1"/>
  <c r="J4663" i="14" a="1"/>
  <c r="J4663" i="14" s="1"/>
  <c r="N4664" i="14"/>
  <c r="K4500" i="14"/>
  <c r="L4500" i="14" s="1"/>
  <c r="I4501" i="14" s="1"/>
  <c r="M4667" i="13"/>
  <c r="M4668" i="14"/>
  <c r="J4664" i="13" a="1"/>
  <c r="J4664" i="13" s="1"/>
  <c r="N4665" i="13"/>
  <c r="K4479" i="13" l="1"/>
  <c r="L4479" i="13" s="1"/>
  <c r="I4480" i="13" s="1"/>
  <c r="K4501" i="14"/>
  <c r="L4501" i="14" s="1"/>
  <c r="I4502" i="14" s="1"/>
  <c r="N4665" i="14"/>
  <c r="J4664" i="14" a="1"/>
  <c r="J4664" i="14" s="1"/>
  <c r="J4665" i="13" a="1"/>
  <c r="J4665" i="13" s="1"/>
  <c r="N4666" i="13"/>
  <c r="M4668" i="13"/>
  <c r="M4669" i="14"/>
  <c r="K4480" i="13" l="1"/>
  <c r="L4480" i="13" s="1"/>
  <c r="I4481" i="13" s="1"/>
  <c r="M4670" i="14"/>
  <c r="J4666" i="13" a="1"/>
  <c r="J4666" i="13" s="1"/>
  <c r="N4667" i="13"/>
  <c r="K4502" i="14"/>
  <c r="L4502" i="14" s="1"/>
  <c r="I4503" i="14" s="1"/>
  <c r="M4669" i="13"/>
  <c r="J4665" i="14" a="1"/>
  <c r="J4665" i="14" s="1"/>
  <c r="N4666" i="14"/>
  <c r="K4503" i="14" l="1"/>
  <c r="L4503" i="14" s="1"/>
  <c r="I4504" i="14" s="1"/>
  <c r="K4481" i="13"/>
  <c r="L4481" i="13" s="1"/>
  <c r="I4482" i="13" s="1"/>
  <c r="M4670" i="13"/>
  <c r="N4667" i="14"/>
  <c r="J4666" i="14" a="1"/>
  <c r="J4666" i="14" s="1"/>
  <c r="M4671" i="14"/>
  <c r="N4668" i="13"/>
  <c r="J4667" i="13" a="1"/>
  <c r="J4667" i="13" s="1"/>
  <c r="K4504" i="14" l="1"/>
  <c r="L4504" i="14" s="1"/>
  <c r="I4505" i="14" s="1"/>
  <c r="J4668" i="13" a="1"/>
  <c r="J4668" i="13" s="1"/>
  <c r="N4669" i="13"/>
  <c r="K4482" i="13"/>
  <c r="L4482" i="13" s="1"/>
  <c r="I4483" i="13" s="1"/>
  <c r="J4667" i="14" a="1"/>
  <c r="J4667" i="14" s="1"/>
  <c r="N4668" i="14"/>
  <c r="M4672" i="14"/>
  <c r="M4671" i="13"/>
  <c r="K4505" i="14" l="1"/>
  <c r="L4505" i="14" s="1"/>
  <c r="I4506" i="14" s="1"/>
  <c r="N4669" i="14"/>
  <c r="J4668" i="14" a="1"/>
  <c r="J4668" i="14" s="1"/>
  <c r="J4669" i="13" a="1"/>
  <c r="J4669" i="13" s="1"/>
  <c r="N4670" i="13"/>
  <c r="M4673" i="14"/>
  <c r="M4672" i="13"/>
  <c r="K4483" i="13"/>
  <c r="L4483" i="13" s="1"/>
  <c r="I4484" i="13" s="1"/>
  <c r="K4484" i="13" l="1"/>
  <c r="L4484" i="13" s="1"/>
  <c r="I4485" i="13" s="1"/>
  <c r="K4506" i="14"/>
  <c r="L4506" i="14" s="1"/>
  <c r="I4507" i="14" s="1"/>
  <c r="M4674" i="14"/>
  <c r="N4670" i="14"/>
  <c r="J4669" i="14" a="1"/>
  <c r="J4669" i="14" s="1"/>
  <c r="J4670" i="13" a="1"/>
  <c r="J4670" i="13" s="1"/>
  <c r="N4671" i="13"/>
  <c r="M4673" i="13"/>
  <c r="K4507" i="14" l="1"/>
  <c r="L4507" i="14" s="1"/>
  <c r="I4508" i="14" s="1"/>
  <c r="K4485" i="13"/>
  <c r="L4485" i="13" s="1"/>
  <c r="I4486" i="13" s="1"/>
  <c r="M4674" i="13"/>
  <c r="J4670" i="14" a="1"/>
  <c r="J4670" i="14" s="1"/>
  <c r="N4671" i="14"/>
  <c r="N4672" i="13"/>
  <c r="J4671" i="13" a="1"/>
  <c r="J4671" i="13" s="1"/>
  <c r="M4675" i="14"/>
  <c r="K4508" i="14" l="1"/>
  <c r="L4508" i="14" s="1"/>
  <c r="I4509" i="14" s="1"/>
  <c r="J4671" i="14" a="1"/>
  <c r="J4671" i="14" s="1"/>
  <c r="N4672" i="14"/>
  <c r="K4486" i="13"/>
  <c r="L4486" i="13" s="1"/>
  <c r="I4487" i="13" s="1"/>
  <c r="M4676" i="14"/>
  <c r="M4675" i="13"/>
  <c r="J4672" i="13" a="1"/>
  <c r="J4672" i="13" s="1"/>
  <c r="N4673" i="13"/>
  <c r="K4487" i="13" l="1"/>
  <c r="L4487" i="13" s="1"/>
  <c r="I4488" i="13" s="1"/>
  <c r="K4509" i="14"/>
  <c r="L4509" i="14" s="1"/>
  <c r="I4510" i="14" s="1"/>
  <c r="J4673" i="13" a="1"/>
  <c r="J4673" i="13" s="1"/>
  <c r="N4674" i="13"/>
  <c r="M4677" i="14"/>
  <c r="N4673" i="14"/>
  <c r="J4672" i="14" a="1"/>
  <c r="J4672" i="14" s="1"/>
  <c r="M4676" i="13"/>
  <c r="K4510" i="14" l="1"/>
  <c r="L4510" i="14" s="1"/>
  <c r="I4511" i="14" s="1"/>
  <c r="K4488" i="13"/>
  <c r="L4488" i="13" s="1"/>
  <c r="I4489" i="13" s="1"/>
  <c r="J4674" i="13" a="1"/>
  <c r="J4674" i="13" s="1"/>
  <c r="N4675" i="13"/>
  <c r="M4677" i="13"/>
  <c r="M4678" i="14"/>
  <c r="N4674" i="14"/>
  <c r="J4673" i="14" a="1"/>
  <c r="J4673" i="14" s="1"/>
  <c r="K4511" i="14" l="1"/>
  <c r="L4511" i="14" s="1"/>
  <c r="I4512" i="14" s="1"/>
  <c r="J4674" i="14" a="1"/>
  <c r="J4674" i="14" s="1"/>
  <c r="N4675" i="14"/>
  <c r="M4678" i="13"/>
  <c r="K4489" i="13"/>
  <c r="L4489" i="13" s="1"/>
  <c r="I4490" i="13" s="1"/>
  <c r="N4676" i="13"/>
  <c r="J4675" i="13" a="1"/>
  <c r="J4675" i="13" s="1"/>
  <c r="M4679" i="14"/>
  <c r="K4490" i="13" l="1"/>
  <c r="L4490" i="13" s="1"/>
  <c r="I4491" i="13" s="1"/>
  <c r="K4512" i="14"/>
  <c r="L4512" i="14" s="1"/>
  <c r="I4513" i="14" s="1"/>
  <c r="J4675" i="14" a="1"/>
  <c r="J4675" i="14" s="1"/>
  <c r="N4676" i="14"/>
  <c r="M4680" i="14"/>
  <c r="M4679" i="13"/>
  <c r="J4676" i="13" a="1"/>
  <c r="J4676" i="13" s="1"/>
  <c r="N4677" i="13"/>
  <c r="M4680" i="13" l="1"/>
  <c r="J4677" i="13" a="1"/>
  <c r="J4677" i="13" s="1"/>
  <c r="N4678" i="13"/>
  <c r="M4681" i="14"/>
  <c r="K4513" i="14"/>
  <c r="L4513" i="14" s="1"/>
  <c r="I4514" i="14" s="1"/>
  <c r="J4676" i="14" a="1"/>
  <c r="J4676" i="14" s="1"/>
  <c r="N4677" i="14"/>
  <c r="K4491" i="13"/>
  <c r="L4491" i="13" s="1"/>
  <c r="I4492" i="13" s="1"/>
  <c r="K4514" i="14" l="1"/>
  <c r="L4514" i="14" s="1"/>
  <c r="I4515" i="14" s="1"/>
  <c r="K4492" i="13"/>
  <c r="L4492" i="13" s="1"/>
  <c r="I4493" i="13" s="1"/>
  <c r="J4678" i="13" a="1"/>
  <c r="J4678" i="13" s="1"/>
  <c r="N4679" i="13"/>
  <c r="N4678" i="14"/>
  <c r="J4677" i="14" a="1"/>
  <c r="J4677" i="14" s="1"/>
  <c r="M4682" i="14"/>
  <c r="M4681" i="13"/>
  <c r="K4493" i="13" l="1"/>
  <c r="L4493" i="13" s="1"/>
  <c r="I4494" i="13" s="1"/>
  <c r="K4515" i="14"/>
  <c r="L4515" i="14" s="1"/>
  <c r="I4516" i="14" s="1"/>
  <c r="J4678" i="14" a="1"/>
  <c r="J4678" i="14" s="1"/>
  <c r="N4679" i="14"/>
  <c r="M4682" i="13"/>
  <c r="N4680" i="13"/>
  <c r="J4679" i="13" a="1"/>
  <c r="J4679" i="13" s="1"/>
  <c r="M4683" i="14"/>
  <c r="K4516" i="14" l="1"/>
  <c r="L4516" i="14" s="1"/>
  <c r="I4517" i="14" s="1"/>
  <c r="K4494" i="13"/>
  <c r="L4494" i="13" s="1"/>
  <c r="I4495" i="13" s="1"/>
  <c r="J4679" i="14" a="1"/>
  <c r="J4679" i="14" s="1"/>
  <c r="N4680" i="14"/>
  <c r="M4683" i="13"/>
  <c r="J4680" i="13" a="1"/>
  <c r="J4680" i="13" s="1"/>
  <c r="N4681" i="13"/>
  <c r="M4684" i="14"/>
  <c r="K4495" i="13" l="1"/>
  <c r="L4495" i="13" s="1"/>
  <c r="I4496" i="13" s="1"/>
  <c r="K4517" i="14"/>
  <c r="L4517" i="14" s="1"/>
  <c r="I4518" i="14" s="1"/>
  <c r="M4685" i="14"/>
  <c r="J4681" i="13" a="1"/>
  <c r="J4681" i="13" s="1"/>
  <c r="N4682" i="13"/>
  <c r="M4684" i="13"/>
  <c r="N4681" i="14"/>
  <c r="J4680" i="14" a="1"/>
  <c r="J4680" i="14" s="1"/>
  <c r="K4518" i="14" l="1"/>
  <c r="L4518" i="14" s="1"/>
  <c r="I4519" i="14" s="1"/>
  <c r="K4496" i="13"/>
  <c r="L4496" i="13" s="1"/>
  <c r="I4497" i="13" s="1"/>
  <c r="J4682" i="13" a="1"/>
  <c r="J4682" i="13" s="1"/>
  <c r="N4683" i="13"/>
  <c r="N4682" i="14"/>
  <c r="J4681" i="14" a="1"/>
  <c r="J4681" i="14" s="1"/>
  <c r="M4685" i="13"/>
  <c r="M4686" i="14"/>
  <c r="K4497" i="13" l="1"/>
  <c r="L4497" i="13" s="1"/>
  <c r="I4498" i="13" s="1"/>
  <c r="K4519" i="14"/>
  <c r="L4519" i="14" s="1"/>
  <c r="I4520" i="14" s="1"/>
  <c r="M4686" i="13"/>
  <c r="M4687" i="14"/>
  <c r="J4682" i="14" a="1"/>
  <c r="J4682" i="14" s="1"/>
  <c r="N4683" i="14"/>
  <c r="N4684" i="13"/>
  <c r="J4683" i="13" a="1"/>
  <c r="J4683" i="13" s="1"/>
  <c r="K4520" i="14" l="1"/>
  <c r="L4520" i="14" s="1"/>
  <c r="I4521" i="14" s="1"/>
  <c r="K4498" i="13"/>
  <c r="L4498" i="13" s="1"/>
  <c r="I4499" i="13" s="1"/>
  <c r="M4688" i="14"/>
  <c r="J4684" i="13" a="1"/>
  <c r="J4684" i="13" s="1"/>
  <c r="N4685" i="13"/>
  <c r="J4683" i="14" a="1"/>
  <c r="J4683" i="14" s="1"/>
  <c r="N4684" i="14"/>
  <c r="M4687" i="13"/>
  <c r="K4499" i="13" l="1"/>
  <c r="L4499" i="13" s="1"/>
  <c r="I4500" i="13" s="1"/>
  <c r="J4685" i="13" a="1"/>
  <c r="J4685" i="13" s="1"/>
  <c r="N4686" i="13"/>
  <c r="M4688" i="13"/>
  <c r="J4684" i="14" a="1"/>
  <c r="J4684" i="14" s="1"/>
  <c r="N4685" i="14"/>
  <c r="M4689" i="14"/>
  <c r="K4521" i="14"/>
  <c r="L4521" i="14" s="1"/>
  <c r="I4522" i="14" s="1"/>
  <c r="K4522" i="14" l="1"/>
  <c r="L4522" i="14" s="1"/>
  <c r="I4523" i="14" s="1"/>
  <c r="K4500" i="13"/>
  <c r="L4500" i="13" s="1"/>
  <c r="I4501" i="13" s="1"/>
  <c r="N4686" i="14"/>
  <c r="J4685" i="14" a="1"/>
  <c r="J4685" i="14" s="1"/>
  <c r="J4686" i="13" a="1"/>
  <c r="J4686" i="13" s="1"/>
  <c r="N4687" i="13"/>
  <c r="M4690" i="14"/>
  <c r="M4689" i="13"/>
  <c r="K4501" i="13" l="1"/>
  <c r="L4501" i="13" s="1"/>
  <c r="I4502" i="13" s="1"/>
  <c r="K4523" i="14"/>
  <c r="L4523" i="14" s="1"/>
  <c r="I4524" i="14" s="1"/>
  <c r="N4688" i="13"/>
  <c r="J4687" i="13" a="1"/>
  <c r="J4687" i="13" s="1"/>
  <c r="M4690" i="13"/>
  <c r="M4691" i="14"/>
  <c r="J4686" i="14" a="1"/>
  <c r="J4686" i="14" s="1"/>
  <c r="N4687" i="14"/>
  <c r="K4524" i="14" l="1"/>
  <c r="L4524" i="14" s="1"/>
  <c r="I4525" i="14" s="1"/>
  <c r="K4502" i="13"/>
  <c r="L4502" i="13" s="1"/>
  <c r="I4503" i="13" s="1"/>
  <c r="J4687" i="14" a="1"/>
  <c r="J4687" i="14" s="1"/>
  <c r="N4688" i="14"/>
  <c r="M4691" i="13"/>
  <c r="M4692" i="14"/>
  <c r="J4688" i="13" a="1"/>
  <c r="J4688" i="13" s="1"/>
  <c r="N4689" i="13"/>
  <c r="K4525" i="14" l="1"/>
  <c r="L4525" i="14" s="1"/>
  <c r="I4526" i="14" s="1"/>
  <c r="N4689" i="14"/>
  <c r="J4688" i="14" a="1"/>
  <c r="J4688" i="14" s="1"/>
  <c r="J4689" i="13" a="1"/>
  <c r="J4689" i="13" s="1"/>
  <c r="N4690" i="13"/>
  <c r="M4692" i="13"/>
  <c r="K4503" i="13"/>
  <c r="L4503" i="13" s="1"/>
  <c r="I4504" i="13" s="1"/>
  <c r="M4693" i="14"/>
  <c r="K4504" i="13" l="1"/>
  <c r="L4504" i="13" s="1"/>
  <c r="I4505" i="13" s="1"/>
  <c r="K4526" i="14"/>
  <c r="L4526" i="14" s="1"/>
  <c r="I4527" i="14" s="1"/>
  <c r="M4694" i="14"/>
  <c r="M4693" i="13"/>
  <c r="N4690" i="14"/>
  <c r="J4689" i="14" a="1"/>
  <c r="J4689" i="14" s="1"/>
  <c r="J4690" i="13" a="1"/>
  <c r="J4690" i="13" s="1"/>
  <c r="N4691" i="13"/>
  <c r="K4527" i="14" l="1"/>
  <c r="L4527" i="14" s="1"/>
  <c r="I4528" i="14" s="1"/>
  <c r="K4505" i="13"/>
  <c r="L4505" i="13" s="1"/>
  <c r="I4506" i="13" s="1"/>
  <c r="N4692" i="13"/>
  <c r="J4691" i="13" a="1"/>
  <c r="J4691" i="13" s="1"/>
  <c r="M4694" i="13"/>
  <c r="J4690" i="14" a="1"/>
  <c r="J4690" i="14" s="1"/>
  <c r="N4691" i="14"/>
  <c r="M4695" i="14"/>
  <c r="K4506" i="13" l="1"/>
  <c r="L4506" i="13" s="1"/>
  <c r="I4507" i="13" s="1"/>
  <c r="K4528" i="14"/>
  <c r="L4528" i="14" s="1"/>
  <c r="I4529" i="14" s="1"/>
  <c r="J4691" i="14" a="1"/>
  <c r="J4691" i="14" s="1"/>
  <c r="N4692" i="14"/>
  <c r="M4696" i="14"/>
  <c r="M4695" i="13"/>
  <c r="J4692" i="13" a="1"/>
  <c r="J4692" i="13" s="1"/>
  <c r="N4693" i="13"/>
  <c r="K4507" i="13" l="1"/>
  <c r="L4507" i="13" s="1"/>
  <c r="I4508" i="13" s="1"/>
  <c r="K4529" i="14"/>
  <c r="L4529" i="14" s="1"/>
  <c r="I4530" i="14" s="1"/>
  <c r="J4693" i="13" a="1"/>
  <c r="J4693" i="13" s="1"/>
  <c r="N4694" i="13"/>
  <c r="M4697" i="14"/>
  <c r="J4692" i="14" a="1"/>
  <c r="J4692" i="14" s="1"/>
  <c r="N4693" i="14"/>
  <c r="M4696" i="13"/>
  <c r="K4508" i="13" l="1"/>
  <c r="L4508" i="13" s="1"/>
  <c r="I4509" i="13" s="1"/>
  <c r="M4697" i="13"/>
  <c r="M4698" i="14"/>
  <c r="K4530" i="14"/>
  <c r="L4530" i="14" s="1"/>
  <c r="I4531" i="14" s="1"/>
  <c r="J4694" i="13" a="1"/>
  <c r="J4694" i="13" s="1"/>
  <c r="N4695" i="13"/>
  <c r="N4694" i="14"/>
  <c r="J4693" i="14" a="1"/>
  <c r="J4693" i="14" s="1"/>
  <c r="K4509" i="13" l="1"/>
  <c r="L4509" i="13" s="1"/>
  <c r="I4510" i="13" s="1"/>
  <c r="J4694" i="14" a="1"/>
  <c r="J4694" i="14" s="1"/>
  <c r="N4695" i="14"/>
  <c r="K4531" i="14"/>
  <c r="L4531" i="14" s="1"/>
  <c r="I4532" i="14" s="1"/>
  <c r="M4698" i="13"/>
  <c r="N4696" i="13"/>
  <c r="J4695" i="13" a="1"/>
  <c r="J4695" i="13" s="1"/>
  <c r="M4699" i="14"/>
  <c r="K4532" i="14" l="1"/>
  <c r="L4532" i="14" s="1"/>
  <c r="I4533" i="14" s="1"/>
  <c r="K4510" i="13"/>
  <c r="L4510" i="13" s="1"/>
  <c r="I4511" i="13" s="1"/>
  <c r="M4700" i="14"/>
  <c r="M4699" i="13"/>
  <c r="J4695" i="14" a="1"/>
  <c r="J4695" i="14" s="1"/>
  <c r="N4696" i="14"/>
  <c r="J4696" i="13" a="1"/>
  <c r="J4696" i="13" s="1"/>
  <c r="N4697" i="13"/>
  <c r="K4533" i="14" l="1"/>
  <c r="L4533" i="14" s="1"/>
  <c r="I4534" i="14" s="1"/>
  <c r="K4511" i="13"/>
  <c r="L4511" i="13" s="1"/>
  <c r="I4512" i="13" s="1"/>
  <c r="J4697" i="13" a="1"/>
  <c r="J4697" i="13" s="1"/>
  <c r="N4698" i="13"/>
  <c r="M4700" i="13"/>
  <c r="N4697" i="14"/>
  <c r="J4696" i="14" a="1"/>
  <c r="J4696" i="14" s="1"/>
  <c r="M4701" i="14"/>
  <c r="K4512" i="13" l="1"/>
  <c r="L4512" i="13" s="1"/>
  <c r="I4513" i="13" s="1"/>
  <c r="K4534" i="14"/>
  <c r="L4534" i="14" s="1"/>
  <c r="I4535" i="14" s="1"/>
  <c r="N4698" i="14"/>
  <c r="J4697" i="14" a="1"/>
  <c r="J4697" i="14" s="1"/>
  <c r="M4702" i="14"/>
  <c r="M4701" i="13"/>
  <c r="J4698" i="13" a="1"/>
  <c r="J4698" i="13" s="1"/>
  <c r="N4699" i="13"/>
  <c r="K4535" i="14" l="1"/>
  <c r="L4535" i="14" s="1"/>
  <c r="I4536" i="14" s="1"/>
  <c r="K4513" i="13"/>
  <c r="L4513" i="13" s="1"/>
  <c r="I4514" i="13" s="1"/>
  <c r="N4700" i="13"/>
  <c r="J4699" i="13" a="1"/>
  <c r="J4699" i="13" s="1"/>
  <c r="M4703" i="14"/>
  <c r="M4702" i="13"/>
  <c r="J4698" i="14" a="1"/>
  <c r="J4698" i="14" s="1"/>
  <c r="N4699" i="14"/>
  <c r="K4514" i="13" l="1"/>
  <c r="L4514" i="13" s="1"/>
  <c r="I4515" i="13" s="1"/>
  <c r="K4536" i="14"/>
  <c r="L4536" i="14" s="1"/>
  <c r="I4537" i="14" s="1"/>
  <c r="J4699" i="14" a="1"/>
  <c r="J4699" i="14" s="1"/>
  <c r="N4700" i="14"/>
  <c r="M4704" i="14"/>
  <c r="M4703" i="13"/>
  <c r="J4700" i="13" a="1"/>
  <c r="J4700" i="13" s="1"/>
  <c r="N4701" i="13"/>
  <c r="K4537" i="14" l="1"/>
  <c r="L4537" i="14" s="1"/>
  <c r="I4538" i="14" s="1"/>
  <c r="K4515" i="13"/>
  <c r="L4515" i="13" s="1"/>
  <c r="I4516" i="13" s="1"/>
  <c r="N4702" i="13"/>
  <c r="J4701" i="13" a="1"/>
  <c r="J4701" i="13" s="1"/>
  <c r="M4705" i="14"/>
  <c r="J4700" i="14" a="1"/>
  <c r="J4700" i="14" s="1"/>
  <c r="N4701" i="14"/>
  <c r="M4704" i="13"/>
  <c r="K4516" i="13" l="1"/>
  <c r="L4516" i="13" s="1"/>
  <c r="I4517" i="13" s="1"/>
  <c r="K4538" i="14"/>
  <c r="L4538" i="14" s="1"/>
  <c r="I4539" i="14" s="1"/>
  <c r="M4705" i="13"/>
  <c r="N4702" i="14"/>
  <c r="J4701" i="14" a="1"/>
  <c r="J4701" i="14" s="1"/>
  <c r="M4706" i="14"/>
  <c r="N4703" i="13"/>
  <c r="J4702" i="13" a="1"/>
  <c r="J4702" i="13" s="1"/>
  <c r="K4517" i="13" l="1"/>
  <c r="L4517" i="13" s="1"/>
  <c r="I4518" i="13" s="1"/>
  <c r="N4704" i="13"/>
  <c r="J4703" i="13" a="1"/>
  <c r="J4703" i="13" s="1"/>
  <c r="K4539" i="14"/>
  <c r="L4539" i="14" s="1"/>
  <c r="I4540" i="14" s="1"/>
  <c r="J4702" i="14" a="1"/>
  <c r="J4702" i="14" s="1"/>
  <c r="N4703" i="14"/>
  <c r="M4706" i="13"/>
  <c r="M4707" i="14"/>
  <c r="K4540" i="14" l="1"/>
  <c r="L4540" i="14" s="1"/>
  <c r="I4541" i="14" s="1"/>
  <c r="K4518" i="13"/>
  <c r="L4518" i="13" s="1"/>
  <c r="I4519" i="13" s="1"/>
  <c r="J4704" i="13" a="1"/>
  <c r="J4704" i="13" s="1"/>
  <c r="N4705" i="13"/>
  <c r="J4703" i="14" a="1"/>
  <c r="J4703" i="14" s="1"/>
  <c r="N4704" i="14"/>
  <c r="M4708" i="14"/>
  <c r="M4707" i="13"/>
  <c r="K4541" i="14" l="1"/>
  <c r="L4541" i="14" s="1"/>
  <c r="I4542" i="14" s="1"/>
  <c r="N4705" i="14"/>
  <c r="J4704" i="14" a="1"/>
  <c r="J4704" i="14" s="1"/>
  <c r="M4708" i="13"/>
  <c r="K4519" i="13"/>
  <c r="L4519" i="13" s="1"/>
  <c r="I4520" i="13" s="1"/>
  <c r="M4709" i="14"/>
  <c r="N4706" i="13"/>
  <c r="J4705" i="13" a="1"/>
  <c r="J4705" i="13" s="1"/>
  <c r="K4520" i="13" l="1"/>
  <c r="L4520" i="13" s="1"/>
  <c r="I4521" i="13" s="1"/>
  <c r="K4542" i="14"/>
  <c r="L4542" i="14" s="1"/>
  <c r="I4543" i="14" s="1"/>
  <c r="N4706" i="14"/>
  <c r="J4705" i="14" a="1"/>
  <c r="J4705" i="14" s="1"/>
  <c r="N4707" i="13"/>
  <c r="J4706" i="13" a="1"/>
  <c r="J4706" i="13" s="1"/>
  <c r="M4709" i="13"/>
  <c r="M4710" i="14"/>
  <c r="K4521" i="13" l="1"/>
  <c r="L4521" i="13" s="1"/>
  <c r="I4522" i="13" s="1"/>
  <c r="N4708" i="13"/>
  <c r="J4707" i="13" a="1"/>
  <c r="J4707" i="13" s="1"/>
  <c r="K4543" i="14"/>
  <c r="L4543" i="14" s="1"/>
  <c r="I4544" i="14" s="1"/>
  <c r="M4711" i="14"/>
  <c r="M4710" i="13"/>
  <c r="J4706" i="14" a="1"/>
  <c r="J4706" i="14" s="1"/>
  <c r="N4707" i="14"/>
  <c r="K4544" i="14" l="1"/>
  <c r="L4544" i="14" s="1"/>
  <c r="I4545" i="14" s="1"/>
  <c r="K4522" i="13"/>
  <c r="L4522" i="13" s="1"/>
  <c r="I4523" i="13" s="1"/>
  <c r="M4712" i="14"/>
  <c r="J4708" i="13" a="1"/>
  <c r="J4708" i="13" s="1"/>
  <c r="N4709" i="13"/>
  <c r="J4707" i="14" a="1"/>
  <c r="J4707" i="14" s="1"/>
  <c r="N4708" i="14"/>
  <c r="M4711" i="13"/>
  <c r="K4545" i="14" l="1"/>
  <c r="L4545" i="14" s="1"/>
  <c r="I4546" i="14" s="1"/>
  <c r="M4712" i="13"/>
  <c r="N4710" i="13"/>
  <c r="J4709" i="13" a="1"/>
  <c r="J4709" i="13" s="1"/>
  <c r="K4523" i="13"/>
  <c r="L4523" i="13" s="1"/>
  <c r="I4524" i="13" s="1"/>
  <c r="J4708" i="14" a="1"/>
  <c r="J4708" i="14" s="1"/>
  <c r="N4709" i="14"/>
  <c r="M4713" i="14"/>
  <c r="K4524" i="13" l="1"/>
  <c r="L4524" i="13" s="1"/>
  <c r="I4525" i="13" s="1"/>
  <c r="K4546" i="14"/>
  <c r="L4546" i="14" s="1"/>
  <c r="I4547" i="14" s="1"/>
  <c r="N4710" i="14"/>
  <c r="J4709" i="14" a="1"/>
  <c r="J4709" i="14" s="1"/>
  <c r="M4714" i="14"/>
  <c r="M4713" i="13"/>
  <c r="N4711" i="13"/>
  <c r="J4710" i="13" a="1"/>
  <c r="J4710" i="13" s="1"/>
  <c r="K4547" i="14" l="1"/>
  <c r="L4547" i="14" s="1"/>
  <c r="I4548" i="14" s="1"/>
  <c r="K4525" i="13"/>
  <c r="L4525" i="13" s="1"/>
  <c r="I4526" i="13" s="1"/>
  <c r="N4712" i="13"/>
  <c r="J4711" i="13" a="1"/>
  <c r="J4711" i="13" s="1"/>
  <c r="M4715" i="14"/>
  <c r="M4714" i="13"/>
  <c r="J4710" i="14" a="1"/>
  <c r="J4710" i="14" s="1"/>
  <c r="N4711" i="14"/>
  <c r="K4526" i="13" l="1"/>
  <c r="L4526" i="13" s="1"/>
  <c r="I4527" i="13" s="1"/>
  <c r="K4548" i="14"/>
  <c r="L4548" i="14" s="1"/>
  <c r="I4549" i="14" s="1"/>
  <c r="M4715" i="13"/>
  <c r="J4711" i="14" a="1"/>
  <c r="J4711" i="14" s="1"/>
  <c r="N4712" i="14"/>
  <c r="M4716" i="14"/>
  <c r="J4712" i="13" a="1"/>
  <c r="J4712" i="13" s="1"/>
  <c r="N4713" i="13"/>
  <c r="K4549" i="14" l="1"/>
  <c r="L4549" i="14" s="1"/>
  <c r="I4550" i="14" s="1"/>
  <c r="K4527" i="13"/>
  <c r="L4527" i="13" s="1"/>
  <c r="I4528" i="13" s="1"/>
  <c r="N4713" i="14"/>
  <c r="J4712" i="14" a="1"/>
  <c r="J4712" i="14" s="1"/>
  <c r="N4714" i="13"/>
  <c r="J4713" i="13" a="1"/>
  <c r="J4713" i="13" s="1"/>
  <c r="M4717" i="14"/>
  <c r="M4716" i="13"/>
  <c r="K4528" i="13" l="1"/>
  <c r="L4528" i="13" s="1"/>
  <c r="I4529" i="13" s="1"/>
  <c r="K4550" i="14"/>
  <c r="L4550" i="14" s="1"/>
  <c r="I4551" i="14" s="1"/>
  <c r="N4715" i="13"/>
  <c r="J4714" i="13" a="1"/>
  <c r="J4714" i="13" s="1"/>
  <c r="M4717" i="13"/>
  <c r="M4718" i="14"/>
  <c r="N4714" i="14"/>
  <c r="J4713" i="14" a="1"/>
  <c r="J4713" i="14" s="1"/>
  <c r="K4551" i="14" l="1"/>
  <c r="L4551" i="14" s="1"/>
  <c r="I4552" i="14" s="1"/>
  <c r="K4529" i="13"/>
  <c r="L4529" i="13" s="1"/>
  <c r="I4530" i="13" s="1"/>
  <c r="M4718" i="13"/>
  <c r="J4714" i="14" a="1"/>
  <c r="J4714" i="14" s="1"/>
  <c r="N4715" i="14"/>
  <c r="M4719" i="14"/>
  <c r="N4716" i="13"/>
  <c r="J4715" i="13" a="1"/>
  <c r="J4715" i="13" s="1"/>
  <c r="K4552" i="14" l="1"/>
  <c r="L4552" i="14" s="1"/>
  <c r="I4553" i="14" s="1"/>
  <c r="J4715" i="14" a="1"/>
  <c r="J4715" i="14" s="1"/>
  <c r="N4716" i="14"/>
  <c r="K4530" i="13"/>
  <c r="L4530" i="13" s="1"/>
  <c r="I4531" i="13" s="1"/>
  <c r="J4716" i="13" a="1"/>
  <c r="J4716" i="13" s="1"/>
  <c r="N4717" i="13"/>
  <c r="M4720" i="14"/>
  <c r="M4719" i="13"/>
  <c r="K4531" i="13" l="1"/>
  <c r="L4531" i="13" s="1"/>
  <c r="I4532" i="13" s="1"/>
  <c r="K4553" i="14"/>
  <c r="L4553" i="14" s="1"/>
  <c r="I4554" i="14" s="1"/>
  <c r="N4718" i="13"/>
  <c r="J4717" i="13" a="1"/>
  <c r="J4717" i="13" s="1"/>
  <c r="J4716" i="14" a="1"/>
  <c r="J4716" i="14" s="1"/>
  <c r="N4717" i="14"/>
  <c r="M4720" i="13"/>
  <c r="M4721" i="14"/>
  <c r="M4722" i="14" l="1"/>
  <c r="M4721" i="13"/>
  <c r="N4718" i="14"/>
  <c r="J4717" i="14" a="1"/>
  <c r="J4717" i="14" s="1"/>
  <c r="K4554" i="14"/>
  <c r="L4554" i="14" s="1"/>
  <c r="I4555" i="14" s="1"/>
  <c r="N4719" i="13"/>
  <c r="J4718" i="13" a="1"/>
  <c r="J4718" i="13" s="1"/>
  <c r="K4532" i="13"/>
  <c r="L4532" i="13" s="1"/>
  <c r="I4533" i="13" s="1"/>
  <c r="K4533" i="13" l="1"/>
  <c r="L4533" i="13" s="1"/>
  <c r="I4534" i="13" s="1"/>
  <c r="K4555" i="14"/>
  <c r="L4555" i="14" s="1"/>
  <c r="I4556" i="14" s="1"/>
  <c r="M4722" i="13"/>
  <c r="N4720" i="13"/>
  <c r="J4719" i="13" a="1"/>
  <c r="J4719" i="13" s="1"/>
  <c r="J4718" i="14" a="1"/>
  <c r="J4718" i="14" s="1"/>
  <c r="N4719" i="14"/>
  <c r="M4723" i="14"/>
  <c r="K4534" i="13" l="1"/>
  <c r="L4534" i="13" s="1"/>
  <c r="I4535" i="13" s="1"/>
  <c r="J4720" i="13" a="1"/>
  <c r="J4720" i="13" s="1"/>
  <c r="N4721" i="13"/>
  <c r="K4556" i="14"/>
  <c r="L4556" i="14" s="1"/>
  <c r="I4557" i="14" s="1"/>
  <c r="M4724" i="14"/>
  <c r="M4723" i="13"/>
  <c r="J4719" i="14" a="1"/>
  <c r="J4719" i="14" s="1"/>
  <c r="N4720" i="14"/>
  <c r="K4557" i="14" l="1"/>
  <c r="L4557" i="14" s="1"/>
  <c r="I4558" i="14" s="1"/>
  <c r="K4535" i="13"/>
  <c r="L4535" i="13" s="1"/>
  <c r="I4536" i="13" s="1"/>
  <c r="N4721" i="14"/>
  <c r="J4720" i="14" a="1"/>
  <c r="J4720" i="14" s="1"/>
  <c r="M4725" i="14"/>
  <c r="N4722" i="13"/>
  <c r="J4721" i="13" a="1"/>
  <c r="J4721" i="13" s="1"/>
  <c r="M4724" i="13"/>
  <c r="K4536" i="13" l="1"/>
  <c r="L4536" i="13" s="1"/>
  <c r="I4537" i="13" s="1"/>
  <c r="K4558" i="14"/>
  <c r="L4558" i="14" s="1"/>
  <c r="I4559" i="14" s="1"/>
  <c r="N4723" i="13"/>
  <c r="J4722" i="13" a="1"/>
  <c r="J4722" i="13" s="1"/>
  <c r="M4725" i="13"/>
  <c r="M4726" i="14"/>
  <c r="N4722" i="14"/>
  <c r="J4721" i="14" a="1"/>
  <c r="J4721" i="14" s="1"/>
  <c r="K4559" i="14" l="1"/>
  <c r="L4559" i="14" s="1"/>
  <c r="I4560" i="14" s="1"/>
  <c r="K4537" i="13"/>
  <c r="L4537" i="13" s="1"/>
  <c r="I4538" i="13" s="1"/>
  <c r="J4722" i="14" a="1"/>
  <c r="J4722" i="14" s="1"/>
  <c r="N4723" i="14"/>
  <c r="M4726" i="13"/>
  <c r="M4727" i="14"/>
  <c r="N4724" i="13"/>
  <c r="J4723" i="13" a="1"/>
  <c r="J4723" i="13" s="1"/>
  <c r="K4538" i="13" l="1"/>
  <c r="L4538" i="13" s="1"/>
  <c r="I4539" i="13" s="1"/>
  <c r="K4560" i="14"/>
  <c r="L4560" i="14" s="1"/>
  <c r="I4561" i="14" s="1"/>
  <c r="M4728" i="14"/>
  <c r="M4727" i="13"/>
  <c r="J4724" i="13" a="1"/>
  <c r="J4724" i="13" s="1"/>
  <c r="N4725" i="13"/>
  <c r="J4723" i="14" a="1"/>
  <c r="J4723" i="14" s="1"/>
  <c r="N4724" i="14"/>
  <c r="K4561" i="14" l="1"/>
  <c r="L4561" i="14" s="1"/>
  <c r="I4562" i="14" s="1"/>
  <c r="K4539" i="13"/>
  <c r="L4539" i="13" s="1"/>
  <c r="I4540" i="13" s="1"/>
  <c r="J4724" i="14" a="1"/>
  <c r="J4724" i="14" s="1"/>
  <c r="N4725" i="14"/>
  <c r="M4728" i="13"/>
  <c r="N4726" i="13"/>
  <c r="J4725" i="13" a="1"/>
  <c r="J4725" i="13" s="1"/>
  <c r="M4729" i="14"/>
  <c r="K4540" i="13" l="1"/>
  <c r="L4540" i="13" s="1"/>
  <c r="I4541" i="13" s="1"/>
  <c r="K4562" i="14"/>
  <c r="L4562" i="14" s="1"/>
  <c r="I4563" i="14" s="1"/>
  <c r="N4726" i="14"/>
  <c r="J4725" i="14" a="1"/>
  <c r="J4725" i="14" s="1"/>
  <c r="M4730" i="14"/>
  <c r="M4729" i="13"/>
  <c r="N4727" i="13"/>
  <c r="J4726" i="13" a="1"/>
  <c r="J4726" i="13" s="1"/>
  <c r="K4563" i="14" l="1"/>
  <c r="L4563" i="14" s="1"/>
  <c r="I4564" i="14" s="1"/>
  <c r="K4541" i="13"/>
  <c r="L4541" i="13" s="1"/>
  <c r="I4542" i="13" s="1"/>
  <c r="N4728" i="13"/>
  <c r="J4727" i="13" a="1"/>
  <c r="J4727" i="13" s="1"/>
  <c r="M4731" i="14"/>
  <c r="M4730" i="13"/>
  <c r="J4726" i="14" a="1"/>
  <c r="J4726" i="14" s="1"/>
  <c r="N4727" i="14"/>
  <c r="K4542" i="13" l="1"/>
  <c r="L4542" i="13" s="1"/>
  <c r="I4543" i="13" s="1"/>
  <c r="K4564" i="14"/>
  <c r="L4564" i="14" s="1"/>
  <c r="I4565" i="14" s="1"/>
  <c r="J4727" i="14" a="1"/>
  <c r="J4727" i="14" s="1"/>
  <c r="N4728" i="14"/>
  <c r="M4732" i="14"/>
  <c r="M4731" i="13"/>
  <c r="J4728" i="13" a="1"/>
  <c r="J4728" i="13" s="1"/>
  <c r="N4729" i="13"/>
  <c r="K4543" i="13" l="1"/>
  <c r="L4543" i="13" s="1"/>
  <c r="I4544" i="13" s="1"/>
  <c r="K4565" i="14"/>
  <c r="L4565" i="14" s="1"/>
  <c r="I4566" i="14" s="1"/>
  <c r="M4732" i="13"/>
  <c r="N4730" i="13"/>
  <c r="J4729" i="13" a="1"/>
  <c r="J4729" i="13" s="1"/>
  <c r="M4733" i="14"/>
  <c r="N4729" i="14"/>
  <c r="J4728" i="14" a="1"/>
  <c r="J4728" i="14" s="1"/>
  <c r="K4566" i="14" l="1"/>
  <c r="L4566" i="14" s="1"/>
  <c r="I4567" i="14" s="1"/>
  <c r="K4544" i="13"/>
  <c r="L4544" i="13" s="1"/>
  <c r="I4545" i="13" s="1"/>
  <c r="N4730" i="14"/>
  <c r="J4729" i="14" a="1"/>
  <c r="J4729" i="14" s="1"/>
  <c r="N4731" i="13"/>
  <c r="J4730" i="13" a="1"/>
  <c r="J4730" i="13" s="1"/>
  <c r="M4733" i="13"/>
  <c r="M4734" i="14"/>
  <c r="K4545" i="13" l="1"/>
  <c r="L4545" i="13" s="1"/>
  <c r="I4546" i="13" s="1"/>
  <c r="K4567" i="14"/>
  <c r="L4567" i="14" s="1"/>
  <c r="I4568" i="14" s="1"/>
  <c r="N4732" i="13"/>
  <c r="J4731" i="13" a="1"/>
  <c r="J4731" i="13" s="1"/>
  <c r="M4735" i="14"/>
  <c r="M4734" i="13"/>
  <c r="J4730" i="14" a="1"/>
  <c r="J4730" i="14" s="1"/>
  <c r="N4731" i="14"/>
  <c r="K4568" i="14" l="1"/>
  <c r="L4568" i="14" s="1"/>
  <c r="I4569" i="14" s="1"/>
  <c r="K4546" i="13"/>
  <c r="L4546" i="13" s="1"/>
  <c r="I4547" i="13" s="1"/>
  <c r="J4731" i="14" a="1"/>
  <c r="J4731" i="14" s="1"/>
  <c r="N4732" i="14"/>
  <c r="M4736" i="14"/>
  <c r="M4735" i="13"/>
  <c r="J4732" i="13" a="1"/>
  <c r="J4732" i="13" s="1"/>
  <c r="N4733" i="13"/>
  <c r="K4547" i="13" l="1"/>
  <c r="L4547" i="13" s="1"/>
  <c r="I4548" i="13" s="1"/>
  <c r="K4569" i="14"/>
  <c r="L4569" i="14" s="1"/>
  <c r="I4570" i="14" s="1"/>
  <c r="N4734" i="13"/>
  <c r="J4733" i="13" a="1"/>
  <c r="J4733" i="13" s="1"/>
  <c r="M4737" i="14"/>
  <c r="J4732" i="14" a="1"/>
  <c r="J4732" i="14" s="1"/>
  <c r="N4733" i="14"/>
  <c r="M4736" i="13"/>
  <c r="K4570" i="14" l="1"/>
  <c r="L4570" i="14" s="1"/>
  <c r="I4571" i="14" s="1"/>
  <c r="K4548" i="13"/>
  <c r="L4548" i="13" s="1"/>
  <c r="I4549" i="13" s="1"/>
  <c r="M4737" i="13"/>
  <c r="N4734" i="14"/>
  <c r="J4733" i="14" a="1"/>
  <c r="J4733" i="14" s="1"/>
  <c r="M4738" i="14"/>
  <c r="N4735" i="13"/>
  <c r="J4734" i="13" a="1"/>
  <c r="J4734" i="13" s="1"/>
  <c r="K4549" i="13" l="1"/>
  <c r="L4549" i="13" s="1"/>
  <c r="I4550" i="13" s="1"/>
  <c r="K4571" i="14"/>
  <c r="L4571" i="14" s="1"/>
  <c r="I4572" i="14" s="1"/>
  <c r="N4736" i="13"/>
  <c r="J4735" i="13" a="1"/>
  <c r="J4735" i="13" s="1"/>
  <c r="J4734" i="14" a="1"/>
  <c r="J4734" i="14" s="1"/>
  <c r="N4735" i="14"/>
  <c r="M4738" i="13"/>
  <c r="M4739" i="14"/>
  <c r="K4572" i="14" l="1"/>
  <c r="L4572" i="14" s="1"/>
  <c r="I4573" i="14" s="1"/>
  <c r="K4550" i="13"/>
  <c r="L4550" i="13" s="1"/>
  <c r="I4551" i="13" s="1"/>
  <c r="J4735" i="14" a="1"/>
  <c r="J4735" i="14" s="1"/>
  <c r="N4736" i="14"/>
  <c r="M4740" i="14"/>
  <c r="M4739" i="13"/>
  <c r="J4736" i="13" a="1"/>
  <c r="J4736" i="13" s="1"/>
  <c r="N4737" i="13"/>
  <c r="K4551" i="13" l="1"/>
  <c r="L4551" i="13" s="1"/>
  <c r="I4552" i="13" s="1"/>
  <c r="K4573" i="14"/>
  <c r="L4573" i="14" s="1"/>
  <c r="I4574" i="14" s="1"/>
  <c r="N4738" i="13"/>
  <c r="J4737" i="13" a="1"/>
  <c r="J4737" i="13" s="1"/>
  <c r="M4741" i="14"/>
  <c r="N4737" i="14"/>
  <c r="J4736" i="14" a="1"/>
  <c r="J4736" i="14" s="1"/>
  <c r="M4740" i="13"/>
  <c r="K4574" i="14" l="1"/>
  <c r="L4574" i="14" s="1"/>
  <c r="I4575" i="14" s="1"/>
  <c r="K4552" i="13"/>
  <c r="L4552" i="13" s="1"/>
  <c r="I4553" i="13" s="1"/>
  <c r="N4738" i="14"/>
  <c r="J4737" i="14" a="1"/>
  <c r="J4737" i="14" s="1"/>
  <c r="M4741" i="13"/>
  <c r="M4742" i="14"/>
  <c r="N4739" i="13"/>
  <c r="J4738" i="13" a="1"/>
  <c r="J4738" i="13" s="1"/>
  <c r="K4553" i="13" l="1"/>
  <c r="L4553" i="13" s="1"/>
  <c r="I4554" i="13" s="1"/>
  <c r="K4575" i="14"/>
  <c r="L4575" i="14" s="1"/>
  <c r="I4576" i="14" s="1"/>
  <c r="N4740" i="13"/>
  <c r="J4739" i="13" a="1"/>
  <c r="J4739" i="13" s="1"/>
  <c r="M4742" i="13"/>
  <c r="M4743" i="14"/>
  <c r="J4738" i="14" a="1"/>
  <c r="J4738" i="14" s="1"/>
  <c r="N4739" i="14"/>
  <c r="K4554" i="13" l="1"/>
  <c r="L4554" i="13" s="1"/>
  <c r="I4555" i="13" s="1"/>
  <c r="J4739" i="14" a="1"/>
  <c r="J4739" i="14" s="1"/>
  <c r="N4740" i="14"/>
  <c r="M4743" i="13"/>
  <c r="K4576" i="14"/>
  <c r="L4576" i="14" s="1"/>
  <c r="I4577" i="14" s="1"/>
  <c r="M4744" i="14"/>
  <c r="J4740" i="13" a="1"/>
  <c r="J4740" i="13" s="1"/>
  <c r="N4741" i="13"/>
  <c r="K4555" i="13" l="1"/>
  <c r="L4555" i="13" s="1"/>
  <c r="I4556" i="13" s="1"/>
  <c r="K4577" i="14"/>
  <c r="L4577" i="14" s="1"/>
  <c r="I4578" i="14" s="1"/>
  <c r="J4740" i="14" a="1"/>
  <c r="J4740" i="14" s="1"/>
  <c r="N4741" i="14"/>
  <c r="N4742" i="13"/>
  <c r="J4741" i="13" a="1"/>
  <c r="J4741" i="13" s="1"/>
  <c r="M4745" i="14"/>
  <c r="M4744" i="13"/>
  <c r="K4578" i="14" l="1"/>
  <c r="L4578" i="14" s="1"/>
  <c r="I4579" i="14" s="1"/>
  <c r="K4556" i="13"/>
  <c r="L4556" i="13" s="1"/>
  <c r="I4557" i="13" s="1"/>
  <c r="N4743" i="13"/>
  <c r="J4742" i="13" a="1"/>
  <c r="J4742" i="13" s="1"/>
  <c r="N4742" i="14"/>
  <c r="J4741" i="14" a="1"/>
  <c r="J4741" i="14" s="1"/>
  <c r="M4745" i="13"/>
  <c r="M4746" i="14"/>
  <c r="K4579" i="14" l="1"/>
  <c r="L4579" i="14" s="1"/>
  <c r="I4580" i="14" s="1"/>
  <c r="M4747" i="14"/>
  <c r="J4742" i="14" a="1"/>
  <c r="J4742" i="14" s="1"/>
  <c r="N4743" i="14"/>
  <c r="K4557" i="13"/>
  <c r="L4557" i="13" s="1"/>
  <c r="I4558" i="13" s="1"/>
  <c r="M4746" i="13"/>
  <c r="N4744" i="13"/>
  <c r="J4743" i="13" a="1"/>
  <c r="J4743" i="13" s="1"/>
  <c r="K4580" i="14" l="1"/>
  <c r="L4580" i="14" s="1"/>
  <c r="I4581" i="14" s="1"/>
  <c r="J4744" i="13" a="1"/>
  <c r="J4744" i="13" s="1"/>
  <c r="N4745" i="13"/>
  <c r="K4558" i="13"/>
  <c r="L4558" i="13" s="1"/>
  <c r="I4559" i="13" s="1"/>
  <c r="M4748" i="14"/>
  <c r="M4747" i="13"/>
  <c r="J4743" i="14" a="1"/>
  <c r="J4743" i="14" s="1"/>
  <c r="N4744" i="14"/>
  <c r="K4559" i="13" l="1"/>
  <c r="L4559" i="13" s="1"/>
  <c r="I4560" i="13" s="1"/>
  <c r="K4581" i="14"/>
  <c r="L4581" i="14" s="1"/>
  <c r="I4582" i="14" s="1"/>
  <c r="N4745" i="14"/>
  <c r="J4744" i="14" a="1"/>
  <c r="J4744" i="14" s="1"/>
  <c r="M4749" i="14"/>
  <c r="N4746" i="13"/>
  <c r="J4745" i="13" a="1"/>
  <c r="J4745" i="13" s="1"/>
  <c r="M4748" i="13"/>
  <c r="K4582" i="14" l="1"/>
  <c r="L4582" i="14" s="1"/>
  <c r="I4583" i="14" s="1"/>
  <c r="K4560" i="13"/>
  <c r="L4560" i="13" s="1"/>
  <c r="I4561" i="13" s="1"/>
  <c r="N4747" i="13"/>
  <c r="J4746" i="13" a="1"/>
  <c r="J4746" i="13" s="1"/>
  <c r="M4749" i="13"/>
  <c r="M4750" i="14"/>
  <c r="N4746" i="14"/>
  <c r="J4745" i="14" a="1"/>
  <c r="J4745" i="14" s="1"/>
  <c r="K4583" i="14" l="1"/>
  <c r="L4583" i="14" s="1"/>
  <c r="I4584" i="14" s="1"/>
  <c r="K4561" i="13"/>
  <c r="L4561" i="13" s="1"/>
  <c r="I4562" i="13" s="1"/>
  <c r="M4751" i="14"/>
  <c r="J4746" i="14" a="1"/>
  <c r="J4746" i="14" s="1"/>
  <c r="N4747" i="14"/>
  <c r="M4750" i="13"/>
  <c r="N4748" i="13"/>
  <c r="J4747" i="13" a="1"/>
  <c r="J4747" i="13" s="1"/>
  <c r="K4562" i="13" l="1"/>
  <c r="L4562" i="13" s="1"/>
  <c r="I4563" i="13" s="1"/>
  <c r="J4747" i="14" a="1"/>
  <c r="J4747" i="14" s="1"/>
  <c r="N4748" i="14"/>
  <c r="J4748" i="13" a="1"/>
  <c r="J4748" i="13" s="1"/>
  <c r="N4749" i="13"/>
  <c r="M4751" i="13"/>
  <c r="M4752" i="14"/>
  <c r="K4584" i="14"/>
  <c r="L4584" i="14" s="1"/>
  <c r="I4585" i="14" s="1"/>
  <c r="K4563" i="13" l="1"/>
  <c r="L4563" i="13" s="1"/>
  <c r="I4564" i="13" s="1"/>
  <c r="K4585" i="14"/>
  <c r="L4585" i="14" s="1"/>
  <c r="I4586" i="14" s="1"/>
  <c r="J4748" i="14" a="1"/>
  <c r="J4748" i="14" s="1"/>
  <c r="N4749" i="14"/>
  <c r="M4752" i="13"/>
  <c r="N4750" i="13"/>
  <c r="J4749" i="13" a="1"/>
  <c r="J4749" i="13" s="1"/>
  <c r="M4753" i="14"/>
  <c r="K4586" i="14" l="1"/>
  <c r="L4586" i="14" s="1"/>
  <c r="I4587" i="14" s="1"/>
  <c r="K4564" i="13"/>
  <c r="L4564" i="13" s="1"/>
  <c r="I4565" i="13" s="1"/>
  <c r="J4750" i="13" a="1"/>
  <c r="J4750" i="13" s="1"/>
  <c r="N4751" i="13"/>
  <c r="M4753" i="13"/>
  <c r="M4754" i="14"/>
  <c r="N4750" i="14"/>
  <c r="J4749" i="14" a="1"/>
  <c r="J4749" i="14" s="1"/>
  <c r="K4565" i="13" l="1"/>
  <c r="L4565" i="13" s="1"/>
  <c r="I4566" i="13" s="1"/>
  <c r="K4587" i="14"/>
  <c r="L4587" i="14" s="1"/>
  <c r="I4588" i="14" s="1"/>
  <c r="J4750" i="14" a="1"/>
  <c r="J4750" i="14" s="1"/>
  <c r="N4751" i="14"/>
  <c r="M4754" i="13"/>
  <c r="N4752" i="13"/>
  <c r="J4751" i="13" a="1"/>
  <c r="J4751" i="13" s="1"/>
  <c r="M4755" i="14"/>
  <c r="K4588" i="14" l="1"/>
  <c r="L4588" i="14" s="1"/>
  <c r="I4589" i="14" s="1"/>
  <c r="K4566" i="13"/>
  <c r="L4566" i="13" s="1"/>
  <c r="I4567" i="13" s="1"/>
  <c r="J4752" i="13" a="1"/>
  <c r="J4752" i="13" s="1"/>
  <c r="N4753" i="13"/>
  <c r="M4755" i="13"/>
  <c r="M4756" i="14"/>
  <c r="J4751" i="14" a="1"/>
  <c r="J4751" i="14" s="1"/>
  <c r="N4752" i="14"/>
  <c r="K4567" i="13" l="1"/>
  <c r="L4567" i="13" s="1"/>
  <c r="I4568" i="13" s="1"/>
  <c r="K4589" i="14"/>
  <c r="L4589" i="14" s="1"/>
  <c r="I4590" i="14" s="1"/>
  <c r="N4753" i="14"/>
  <c r="J4752" i="14" a="1"/>
  <c r="J4752" i="14" s="1"/>
  <c r="M4757" i="14"/>
  <c r="M4756" i="13"/>
  <c r="N4754" i="13"/>
  <c r="J4753" i="13" a="1"/>
  <c r="J4753" i="13" s="1"/>
  <c r="K4590" i="14" l="1"/>
  <c r="L4590" i="14" s="1"/>
  <c r="I4591" i="14" s="1"/>
  <c r="J4754" i="13" a="1"/>
  <c r="J4754" i="13" s="1"/>
  <c r="N4755" i="13"/>
  <c r="M4758" i="14"/>
  <c r="M4757" i="13"/>
  <c r="N4754" i="14"/>
  <c r="J4753" i="14" a="1"/>
  <c r="J4753" i="14" s="1"/>
  <c r="K4568" i="13"/>
  <c r="L4568" i="13" s="1"/>
  <c r="I4569" i="13" s="1"/>
  <c r="K4591" i="14" l="1"/>
  <c r="L4591" i="14" s="1"/>
  <c r="I4592" i="14" s="1"/>
  <c r="K4569" i="13"/>
  <c r="L4569" i="13" s="1"/>
  <c r="I4570" i="13" s="1"/>
  <c r="N4756" i="13"/>
  <c r="J4755" i="13" a="1"/>
  <c r="J4755" i="13" s="1"/>
  <c r="M4758" i="13"/>
  <c r="J4754" i="14" a="1"/>
  <c r="J4754" i="14" s="1"/>
  <c r="N4755" i="14"/>
  <c r="M4759" i="14"/>
  <c r="K4592" i="14" l="1"/>
  <c r="L4592" i="14" s="1"/>
  <c r="I4593" i="14" s="1"/>
  <c r="K4570" i="13"/>
  <c r="L4570" i="13" s="1"/>
  <c r="I4571" i="13" s="1"/>
  <c r="M4759" i="13"/>
  <c r="M4760" i="14"/>
  <c r="J4755" i="14" a="1"/>
  <c r="J4755" i="14" s="1"/>
  <c r="N4756" i="14"/>
  <c r="J4756" i="13" a="1"/>
  <c r="J4756" i="13" s="1"/>
  <c r="N4757" i="13"/>
  <c r="K4593" i="14" l="1"/>
  <c r="L4593" i="14" s="1"/>
  <c r="I4594" i="14" s="1"/>
  <c r="N4758" i="13"/>
  <c r="J4757" i="13" a="1"/>
  <c r="J4757" i="13" s="1"/>
  <c r="M4761" i="14"/>
  <c r="K4571" i="13"/>
  <c r="L4571" i="13" s="1"/>
  <c r="I4572" i="13" s="1"/>
  <c r="J4756" i="14" a="1"/>
  <c r="J4756" i="14" s="1"/>
  <c r="N4757" i="14"/>
  <c r="M4760" i="13"/>
  <c r="K4594" i="14" l="1"/>
  <c r="L4594" i="14" s="1"/>
  <c r="I4595" i="14" s="1"/>
  <c r="K4572" i="13"/>
  <c r="L4572" i="13" s="1"/>
  <c r="I4573" i="13" s="1"/>
  <c r="M4761" i="13"/>
  <c r="J4758" i="13" a="1"/>
  <c r="J4758" i="13" s="1"/>
  <c r="N4759" i="13"/>
  <c r="N4758" i="14"/>
  <c r="J4757" i="14" a="1"/>
  <c r="J4757" i="14" s="1"/>
  <c r="M4762" i="14"/>
  <c r="K4573" i="13" l="1"/>
  <c r="L4573" i="13" s="1"/>
  <c r="I4574" i="13" s="1"/>
  <c r="N4760" i="13"/>
  <c r="J4759" i="13" a="1"/>
  <c r="J4759" i="13" s="1"/>
  <c r="M4763" i="14"/>
  <c r="J4758" i="14" a="1"/>
  <c r="J4758" i="14" s="1"/>
  <c r="N4759" i="14"/>
  <c r="M4762" i="13"/>
  <c r="K4595" i="14"/>
  <c r="L4595" i="14" s="1"/>
  <c r="I4596" i="14" s="1"/>
  <c r="K4596" i="14" l="1"/>
  <c r="L4596" i="14" s="1"/>
  <c r="I4597" i="14" s="1"/>
  <c r="K4574" i="13"/>
  <c r="L4574" i="13" s="1"/>
  <c r="I4575" i="13" s="1"/>
  <c r="J4759" i="14" a="1"/>
  <c r="J4759" i="14" s="1"/>
  <c r="N4760" i="14"/>
  <c r="J4760" i="13" a="1"/>
  <c r="J4760" i="13" s="1"/>
  <c r="N4761" i="13"/>
  <c r="M4763" i="13"/>
  <c r="M4764" i="14"/>
  <c r="K4575" i="13" l="1"/>
  <c r="L4575" i="13" s="1"/>
  <c r="I4576" i="13" s="1"/>
  <c r="K4597" i="14"/>
  <c r="L4597" i="14" s="1"/>
  <c r="I4598" i="14" s="1"/>
  <c r="N4762" i="13"/>
  <c r="J4761" i="13" a="1"/>
  <c r="J4761" i="13" s="1"/>
  <c r="M4764" i="13"/>
  <c r="M4765" i="14"/>
  <c r="N4761" i="14"/>
  <c r="J4760" i="14" a="1"/>
  <c r="J4760" i="14" s="1"/>
  <c r="K4598" i="14" l="1"/>
  <c r="L4598" i="14" s="1"/>
  <c r="I4599" i="14" s="1"/>
  <c r="K4576" i="13"/>
  <c r="L4576" i="13" s="1"/>
  <c r="I4577" i="13" s="1"/>
  <c r="M4765" i="13"/>
  <c r="N4762" i="14"/>
  <c r="J4761" i="14" a="1"/>
  <c r="J4761" i="14" s="1"/>
  <c r="M4766" i="14"/>
  <c r="J4762" i="13" a="1"/>
  <c r="J4762" i="13" s="1"/>
  <c r="N4763" i="13"/>
  <c r="K4577" i="13" l="1"/>
  <c r="L4577" i="13" s="1"/>
  <c r="I4578" i="13" s="1"/>
  <c r="K4599" i="14"/>
  <c r="L4599" i="14" s="1"/>
  <c r="I4600" i="14" s="1"/>
  <c r="N4764" i="13"/>
  <c r="J4763" i="13" a="1"/>
  <c r="J4763" i="13" s="1"/>
  <c r="J4762" i="14" a="1"/>
  <c r="J4762" i="14" s="1"/>
  <c r="N4763" i="14"/>
  <c r="M4767" i="14"/>
  <c r="M4766" i="13"/>
  <c r="K4578" i="13" l="1"/>
  <c r="L4578" i="13" s="1"/>
  <c r="I4579" i="13" s="1"/>
  <c r="K4600" i="14"/>
  <c r="L4600" i="14" s="1"/>
  <c r="I4601" i="14" s="1"/>
  <c r="J4763" i="14" a="1"/>
  <c r="J4763" i="14" s="1"/>
  <c r="N4764" i="14"/>
  <c r="M4767" i="13"/>
  <c r="M4768" i="14"/>
  <c r="J4764" i="13" a="1"/>
  <c r="J4764" i="13" s="1"/>
  <c r="N4765" i="13"/>
  <c r="K4579" i="13" l="1"/>
  <c r="L4579" i="13" s="1"/>
  <c r="I4580" i="13" s="1"/>
  <c r="K4601" i="14"/>
  <c r="L4601" i="14" s="1"/>
  <c r="I4602" i="14" s="1"/>
  <c r="M4769" i="14"/>
  <c r="N4766" i="13"/>
  <c r="J4765" i="13" a="1"/>
  <c r="J4765" i="13" s="1"/>
  <c r="M4768" i="13"/>
  <c r="J4764" i="14" a="1"/>
  <c r="J4764" i="14" s="1"/>
  <c r="N4765" i="14"/>
  <c r="K4580" i="13" l="1"/>
  <c r="L4580" i="13" s="1"/>
  <c r="I4581" i="13" s="1"/>
  <c r="M4769" i="13"/>
  <c r="N4766" i="14"/>
  <c r="J4765" i="14" a="1"/>
  <c r="J4765" i="14" s="1"/>
  <c r="J4766" i="13" a="1"/>
  <c r="J4766" i="13" s="1"/>
  <c r="N4767" i="13"/>
  <c r="K4602" i="14"/>
  <c r="L4602" i="14" s="1"/>
  <c r="I4603" i="14" s="1"/>
  <c r="M4770" i="14"/>
  <c r="K4603" i="14" l="1"/>
  <c r="L4603" i="14" s="1"/>
  <c r="I4604" i="14" s="1"/>
  <c r="K4581" i="13"/>
  <c r="L4581" i="13" s="1"/>
  <c r="I4582" i="13" s="1"/>
  <c r="N4768" i="13"/>
  <c r="J4767" i="13" a="1"/>
  <c r="J4767" i="13" s="1"/>
  <c r="M4771" i="14"/>
  <c r="M4770" i="13"/>
  <c r="J4766" i="14" a="1"/>
  <c r="J4766" i="14" s="1"/>
  <c r="N4767" i="14"/>
  <c r="K4582" i="13" l="1"/>
  <c r="L4582" i="13" s="1"/>
  <c r="I4583" i="13" s="1"/>
  <c r="J4767" i="14" a="1"/>
  <c r="J4767" i="14" s="1"/>
  <c r="N4768" i="14"/>
  <c r="M4772" i="14"/>
  <c r="M4771" i="13"/>
  <c r="J4768" i="13" a="1"/>
  <c r="J4768" i="13" s="1"/>
  <c r="N4769" i="13"/>
  <c r="K4604" i="14"/>
  <c r="L4604" i="14" s="1"/>
  <c r="I4605" i="14" s="1"/>
  <c r="K4605" i="14" l="1"/>
  <c r="L4605" i="14" s="1"/>
  <c r="I4606" i="14" s="1"/>
  <c r="K4583" i="13"/>
  <c r="L4583" i="13" s="1"/>
  <c r="I4584" i="13" s="1"/>
  <c r="N4770" i="13"/>
  <c r="J4769" i="13" a="1"/>
  <c r="J4769" i="13" s="1"/>
  <c r="N4769" i="14"/>
  <c r="J4768" i="14" a="1"/>
  <c r="J4768" i="14" s="1"/>
  <c r="M4772" i="13"/>
  <c r="M4773" i="14"/>
  <c r="K4584" i="13" l="1"/>
  <c r="L4584" i="13" s="1"/>
  <c r="I4585" i="13" s="1"/>
  <c r="N4770" i="14"/>
  <c r="J4769" i="14" a="1"/>
  <c r="J4769" i="14" s="1"/>
  <c r="M4774" i="14"/>
  <c r="M4773" i="13"/>
  <c r="J4770" i="13" a="1"/>
  <c r="J4770" i="13" s="1"/>
  <c r="N4771" i="13"/>
  <c r="K4606" i="14"/>
  <c r="L4606" i="14" s="1"/>
  <c r="I4607" i="14" s="1"/>
  <c r="K4607" i="14" l="1"/>
  <c r="L4607" i="14" s="1"/>
  <c r="I4608" i="14" s="1"/>
  <c r="K4585" i="13"/>
  <c r="L4585" i="13" s="1"/>
  <c r="I4586" i="13" s="1"/>
  <c r="M4774" i="13"/>
  <c r="J4770" i="14" a="1"/>
  <c r="J4770" i="14" s="1"/>
  <c r="N4771" i="14"/>
  <c r="N4772" i="13"/>
  <c r="J4771" i="13" a="1"/>
  <c r="J4771" i="13" s="1"/>
  <c r="M4775" i="14"/>
  <c r="K4608" i="14" l="1"/>
  <c r="L4608" i="14" s="1"/>
  <c r="I4609" i="14" s="1"/>
  <c r="K4586" i="13"/>
  <c r="L4586" i="13" s="1"/>
  <c r="I4587" i="13" s="1"/>
  <c r="J4771" i="14" a="1"/>
  <c r="J4771" i="14" s="1"/>
  <c r="N4772" i="14"/>
  <c r="M4776" i="14"/>
  <c r="M4775" i="13"/>
  <c r="J4772" i="13" a="1"/>
  <c r="J4772" i="13" s="1"/>
  <c r="N4773" i="13"/>
  <c r="K4587" i="13" l="1"/>
  <c r="L4587" i="13" s="1"/>
  <c r="I4588" i="13" s="1"/>
  <c r="K4609" i="14"/>
  <c r="L4609" i="14" s="1"/>
  <c r="I4610" i="14" s="1"/>
  <c r="N4774" i="13"/>
  <c r="J4773" i="13" a="1"/>
  <c r="J4773" i="13" s="1"/>
  <c r="M4777" i="14"/>
  <c r="J4772" i="14" a="1"/>
  <c r="J4772" i="14" s="1"/>
  <c r="N4773" i="14"/>
  <c r="M4776" i="13"/>
  <c r="K4588" i="13" l="1"/>
  <c r="L4588" i="13" s="1"/>
  <c r="I4589" i="13" s="1"/>
  <c r="K4610" i="14"/>
  <c r="L4610" i="14" s="1"/>
  <c r="I4611" i="14" s="1"/>
  <c r="M4777" i="13"/>
  <c r="M4778" i="14"/>
  <c r="N4774" i="14"/>
  <c r="J4773" i="14" a="1"/>
  <c r="J4773" i="14" s="1"/>
  <c r="J4774" i="13" a="1"/>
  <c r="J4774" i="13" s="1"/>
  <c r="N4775" i="13"/>
  <c r="K4611" i="14" l="1"/>
  <c r="L4611" i="14" s="1"/>
  <c r="I4612" i="14" s="1"/>
  <c r="K4589" i="13"/>
  <c r="L4589" i="13" s="1"/>
  <c r="I4590" i="13" s="1"/>
  <c r="N4776" i="13"/>
  <c r="J4775" i="13" a="1"/>
  <c r="J4775" i="13" s="1"/>
  <c r="M4779" i="14"/>
  <c r="J4774" i="14" a="1"/>
  <c r="J4774" i="14" s="1"/>
  <c r="N4775" i="14"/>
  <c r="M4778" i="13"/>
  <c r="K4590" i="13" l="1"/>
  <c r="L4590" i="13" s="1"/>
  <c r="I4591" i="13" s="1"/>
  <c r="K4612" i="14"/>
  <c r="L4612" i="14" s="1"/>
  <c r="I4613" i="14" s="1"/>
  <c r="M4779" i="13"/>
  <c r="J4776" i="13" a="1"/>
  <c r="J4776" i="13" s="1"/>
  <c r="N4777" i="13"/>
  <c r="M4780" i="14"/>
  <c r="J4775" i="14" a="1"/>
  <c r="J4775" i="14" s="1"/>
  <c r="N4776" i="14"/>
  <c r="K4613" i="14" l="1"/>
  <c r="L4613" i="14" s="1"/>
  <c r="I4614" i="14" s="1"/>
  <c r="K4591" i="13"/>
  <c r="L4591" i="13" s="1"/>
  <c r="I4592" i="13" s="1"/>
  <c r="N4777" i="14"/>
  <c r="J4776" i="14" a="1"/>
  <c r="J4776" i="14" s="1"/>
  <c r="N4778" i="13"/>
  <c r="J4777" i="13" a="1"/>
  <c r="J4777" i="13" s="1"/>
  <c r="M4781" i="14"/>
  <c r="M4780" i="13"/>
  <c r="K4592" i="13" l="1"/>
  <c r="L4592" i="13" s="1"/>
  <c r="I4593" i="13" s="1"/>
  <c r="M4782" i="14"/>
  <c r="M4781" i="13"/>
  <c r="J4778" i="13" a="1"/>
  <c r="J4778" i="13" s="1"/>
  <c r="N4779" i="13"/>
  <c r="N4778" i="14"/>
  <c r="J4777" i="14" a="1"/>
  <c r="J4777" i="14" s="1"/>
  <c r="K4614" i="14"/>
  <c r="L4614" i="14" s="1"/>
  <c r="I4615" i="14" s="1"/>
  <c r="K4593" i="13" l="1"/>
  <c r="L4593" i="13" s="1"/>
  <c r="I4594" i="13" s="1"/>
  <c r="K4615" i="14"/>
  <c r="L4615" i="14" s="1"/>
  <c r="I4616" i="14" s="1"/>
  <c r="N4780" i="13"/>
  <c r="J4779" i="13" a="1"/>
  <c r="J4779" i="13" s="1"/>
  <c r="M4783" i="14"/>
  <c r="J4778" i="14" a="1"/>
  <c r="J4778" i="14" s="1"/>
  <c r="N4779" i="14"/>
  <c r="M4782" i="13"/>
  <c r="K4616" i="14" l="1"/>
  <c r="L4616" i="14" s="1"/>
  <c r="I4617" i="14" s="1"/>
  <c r="K4594" i="13"/>
  <c r="L4594" i="13" s="1"/>
  <c r="I4595" i="13" s="1"/>
  <c r="J4779" i="14" a="1"/>
  <c r="J4779" i="14" s="1"/>
  <c r="N4780" i="14"/>
  <c r="M4783" i="13"/>
  <c r="M4784" i="14"/>
  <c r="J4780" i="13" a="1"/>
  <c r="J4780" i="13" s="1"/>
  <c r="N4781" i="13"/>
  <c r="K4595" i="13" l="1"/>
  <c r="L4595" i="13" s="1"/>
  <c r="I4596" i="13" s="1"/>
  <c r="K4617" i="14"/>
  <c r="L4617" i="14" s="1"/>
  <c r="I4618" i="14" s="1"/>
  <c r="N4782" i="13"/>
  <c r="J4781" i="13" a="1"/>
  <c r="J4781" i="13" s="1"/>
  <c r="M4784" i="13"/>
  <c r="J4780" i="14" a="1"/>
  <c r="J4780" i="14" s="1"/>
  <c r="N4781" i="14"/>
  <c r="M4785" i="14"/>
  <c r="K4618" i="14" l="1"/>
  <c r="L4618" i="14" s="1"/>
  <c r="I4619" i="14" s="1"/>
  <c r="K4596" i="13"/>
  <c r="L4596" i="13" s="1"/>
  <c r="I4597" i="13" s="1"/>
  <c r="N4782" i="14"/>
  <c r="J4781" i="14" a="1"/>
  <c r="J4781" i="14" s="1"/>
  <c r="M4785" i="13"/>
  <c r="M4786" i="14"/>
  <c r="J4782" i="13" a="1"/>
  <c r="J4782" i="13" s="1"/>
  <c r="N4783" i="13"/>
  <c r="K4597" i="13" l="1"/>
  <c r="L4597" i="13" s="1"/>
  <c r="I4598" i="13" s="1"/>
  <c r="N4784" i="13"/>
  <c r="J4783" i="13" a="1"/>
  <c r="J4783" i="13" s="1"/>
  <c r="M4786" i="13"/>
  <c r="M4787" i="14"/>
  <c r="J4782" i="14" a="1"/>
  <c r="J4782" i="14" s="1"/>
  <c r="N4783" i="14"/>
  <c r="K4619" i="14"/>
  <c r="L4619" i="14" s="1"/>
  <c r="I4620" i="14" s="1"/>
  <c r="K4620" i="14" l="1"/>
  <c r="L4620" i="14" s="1"/>
  <c r="I4621" i="14" s="1"/>
  <c r="K4598" i="13"/>
  <c r="L4598" i="13" s="1"/>
  <c r="I4599" i="13" s="1"/>
  <c r="M4788" i="14"/>
  <c r="J4784" i="13" a="1"/>
  <c r="J4784" i="13" s="1"/>
  <c r="N4785" i="13"/>
  <c r="J4783" i="14" a="1"/>
  <c r="J4783" i="14" s="1"/>
  <c r="N4784" i="14"/>
  <c r="M4787" i="13"/>
  <c r="K4621" i="14" l="1"/>
  <c r="L4621" i="14" s="1"/>
  <c r="I4622" i="14" s="1"/>
  <c r="K4599" i="13"/>
  <c r="L4599" i="13" s="1"/>
  <c r="I4600" i="13" s="1"/>
  <c r="M4788" i="13"/>
  <c r="N4786" i="13"/>
  <c r="J4785" i="13" a="1"/>
  <c r="J4785" i="13" s="1"/>
  <c r="N4785" i="14"/>
  <c r="J4784" i="14" a="1"/>
  <c r="J4784" i="14" s="1"/>
  <c r="M4789" i="14"/>
  <c r="K4622" i="14" l="1"/>
  <c r="L4622" i="14" s="1"/>
  <c r="I4623" i="14" s="1"/>
  <c r="K4600" i="13"/>
  <c r="L4600" i="13" s="1"/>
  <c r="I4601" i="13" s="1"/>
  <c r="M4790" i="14"/>
  <c r="J4786" i="13" a="1"/>
  <c r="J4786" i="13" s="1"/>
  <c r="N4787" i="13"/>
  <c r="M4789" i="13"/>
  <c r="N4786" i="14"/>
  <c r="J4785" i="14" a="1"/>
  <c r="J4785" i="14" s="1"/>
  <c r="K4601" i="13" l="1"/>
  <c r="L4601" i="13" s="1"/>
  <c r="I4602" i="13" s="1"/>
  <c r="K4623" i="14"/>
  <c r="L4623" i="14" s="1"/>
  <c r="I4624" i="14" s="1"/>
  <c r="N4788" i="13"/>
  <c r="J4787" i="13" a="1"/>
  <c r="J4787" i="13" s="1"/>
  <c r="J4786" i="14" a="1"/>
  <c r="J4786" i="14" s="1"/>
  <c r="N4787" i="14"/>
  <c r="M4790" i="13"/>
  <c r="M4791" i="14"/>
  <c r="K4624" i="14" l="1"/>
  <c r="L4624" i="14" s="1"/>
  <c r="I4625" i="14" s="1"/>
  <c r="K4602" i="13"/>
  <c r="L4602" i="13" s="1"/>
  <c r="I4603" i="13" s="1"/>
  <c r="J4787" i="14" a="1"/>
  <c r="J4787" i="14" s="1"/>
  <c r="N4788" i="14"/>
  <c r="M4791" i="13"/>
  <c r="M4792" i="14"/>
  <c r="J4788" i="13" a="1"/>
  <c r="J4788" i="13" s="1"/>
  <c r="N4789" i="13"/>
  <c r="K4603" i="13" l="1"/>
  <c r="L4603" i="13" s="1"/>
  <c r="I4604" i="13" s="1"/>
  <c r="K4625" i="14"/>
  <c r="L4625" i="14" s="1"/>
  <c r="I4626" i="14" s="1"/>
  <c r="N4790" i="13"/>
  <c r="J4789" i="13" a="1"/>
  <c r="J4789" i="13" s="1"/>
  <c r="J4788" i="14" a="1"/>
  <c r="J4788" i="14" s="1"/>
  <c r="N4789" i="14"/>
  <c r="M4792" i="13"/>
  <c r="M4793" i="14"/>
  <c r="K4626" i="14" l="1"/>
  <c r="L4626" i="14" s="1"/>
  <c r="I4627" i="14" s="1"/>
  <c r="K4604" i="13"/>
  <c r="L4604" i="13" s="1"/>
  <c r="I4605" i="13" s="1"/>
  <c r="N4790" i="14"/>
  <c r="J4789" i="14" a="1"/>
  <c r="J4789" i="14" s="1"/>
  <c r="M4794" i="14"/>
  <c r="M4793" i="13"/>
  <c r="J4790" i="13" a="1"/>
  <c r="J4790" i="13" s="1"/>
  <c r="N4791" i="13"/>
  <c r="K4605" i="13" l="1"/>
  <c r="L4605" i="13" s="1"/>
  <c r="I4606" i="13" s="1"/>
  <c r="K4627" i="14"/>
  <c r="L4627" i="14" s="1"/>
  <c r="I4628" i="14" s="1"/>
  <c r="N4792" i="13"/>
  <c r="J4791" i="13" a="1"/>
  <c r="J4791" i="13" s="1"/>
  <c r="M4795" i="14"/>
  <c r="M4794" i="13"/>
  <c r="J4790" i="14" a="1"/>
  <c r="J4790" i="14" s="1"/>
  <c r="N4791" i="14"/>
  <c r="K4606" i="13" l="1"/>
  <c r="L4606" i="13" s="1"/>
  <c r="I4607" i="13" s="1"/>
  <c r="K4628" i="14"/>
  <c r="L4628" i="14" s="1"/>
  <c r="I4629" i="14" s="1"/>
  <c r="M4795" i="13"/>
  <c r="J4792" i="13" a="1"/>
  <c r="J4792" i="13" s="1"/>
  <c r="N4793" i="13"/>
  <c r="J4791" i="14" a="1"/>
  <c r="J4791" i="14" s="1"/>
  <c r="N4792" i="14"/>
  <c r="M4796" i="14"/>
  <c r="K4607" i="13" l="1"/>
  <c r="L4607" i="13" s="1"/>
  <c r="I4608" i="13" s="1"/>
  <c r="K4629" i="14"/>
  <c r="L4629" i="14" s="1"/>
  <c r="I4630" i="14" s="1"/>
  <c r="M4797" i="14"/>
  <c r="N4794" i="13"/>
  <c r="J4793" i="13" a="1"/>
  <c r="J4793" i="13" s="1"/>
  <c r="N4793" i="14"/>
  <c r="J4792" i="14" a="1"/>
  <c r="J4792" i="14" s="1"/>
  <c r="M4796" i="13"/>
  <c r="K4630" i="14" l="1"/>
  <c r="L4630" i="14" s="1"/>
  <c r="I4631" i="14" s="1"/>
  <c r="K4608" i="13"/>
  <c r="L4608" i="13" s="1"/>
  <c r="I4609" i="13" s="1"/>
  <c r="J4794" i="13" a="1"/>
  <c r="J4794" i="13" s="1"/>
  <c r="N4795" i="13"/>
  <c r="M4797" i="13"/>
  <c r="N4794" i="14"/>
  <c r="J4793" i="14" a="1"/>
  <c r="J4793" i="14" s="1"/>
  <c r="M4798" i="14"/>
  <c r="K4609" i="13" l="1"/>
  <c r="L4609" i="13" s="1"/>
  <c r="I4610" i="13" s="1"/>
  <c r="K4631" i="14"/>
  <c r="L4631" i="14" s="1"/>
  <c r="I4632" i="14" s="1"/>
  <c r="M4799" i="14"/>
  <c r="M4798" i="13"/>
  <c r="N4796" i="13"/>
  <c r="J4795" i="13" a="1"/>
  <c r="J4795" i="13" s="1"/>
  <c r="J4794" i="14" a="1"/>
  <c r="J4794" i="14" s="1"/>
  <c r="N4795" i="14"/>
  <c r="K4632" i="14" l="1"/>
  <c r="L4632" i="14" s="1"/>
  <c r="I4633" i="14" s="1"/>
  <c r="K4610" i="13"/>
  <c r="L4610" i="13" s="1"/>
  <c r="I4611" i="13" s="1"/>
  <c r="J4795" i="14" a="1"/>
  <c r="J4795" i="14" s="1"/>
  <c r="N4796" i="14"/>
  <c r="M4799" i="13"/>
  <c r="M4800" i="14"/>
  <c r="J4796" i="13" a="1"/>
  <c r="J4796" i="13" s="1"/>
  <c r="N4797" i="13"/>
  <c r="K4611" i="13" l="1"/>
  <c r="L4611" i="13" s="1"/>
  <c r="I4612" i="13" s="1"/>
  <c r="K4633" i="14"/>
  <c r="L4633" i="14" s="1"/>
  <c r="I4634" i="14" s="1"/>
  <c r="M4800" i="13"/>
  <c r="N4798" i="13"/>
  <c r="J4797" i="13" a="1"/>
  <c r="J4797" i="13" s="1"/>
  <c r="M4801" i="14"/>
  <c r="J4796" i="14" a="1"/>
  <c r="J4796" i="14" s="1"/>
  <c r="N4797" i="14"/>
  <c r="K4634" i="14" l="1"/>
  <c r="L4634" i="14" s="1"/>
  <c r="I4635" i="14" s="1"/>
  <c r="K4612" i="13"/>
  <c r="L4612" i="13" s="1"/>
  <c r="I4613" i="13" s="1"/>
  <c r="N4798" i="14"/>
  <c r="J4797" i="14" a="1"/>
  <c r="J4797" i="14" s="1"/>
  <c r="J4798" i="13" a="1"/>
  <c r="J4798" i="13" s="1"/>
  <c r="N4799" i="13"/>
  <c r="M4801" i="13"/>
  <c r="M4802" i="14"/>
  <c r="K4613" i="13" l="1"/>
  <c r="L4613" i="13" s="1"/>
  <c r="I4614" i="13" s="1"/>
  <c r="M4802" i="13"/>
  <c r="N4800" i="13"/>
  <c r="J4799" i="13" a="1"/>
  <c r="J4799" i="13" s="1"/>
  <c r="M4803" i="14"/>
  <c r="J4798" i="14" a="1"/>
  <c r="J4798" i="14" s="1"/>
  <c r="N4799" i="14"/>
  <c r="K4635" i="14"/>
  <c r="L4635" i="14" s="1"/>
  <c r="I4636" i="14" s="1"/>
  <c r="K4614" i="13" l="1"/>
  <c r="L4614" i="13" s="1"/>
  <c r="I4615" i="13" s="1"/>
  <c r="K4636" i="14"/>
  <c r="L4636" i="14" s="1"/>
  <c r="I4637" i="14" s="1"/>
  <c r="M4803" i="13"/>
  <c r="M4804" i="14"/>
  <c r="J4799" i="14" a="1"/>
  <c r="J4799" i="14" s="1"/>
  <c r="N4800" i="14"/>
  <c r="J4800" i="13" a="1"/>
  <c r="J4800" i="13" s="1"/>
  <c r="N4801" i="13"/>
  <c r="K4637" i="14" l="1"/>
  <c r="L4637" i="14" s="1"/>
  <c r="I4638" i="14" s="1"/>
  <c r="N4802" i="13"/>
  <c r="J4801" i="13" a="1"/>
  <c r="J4801" i="13" s="1"/>
  <c r="M4805" i="14"/>
  <c r="N4801" i="14"/>
  <c r="J4800" i="14" a="1"/>
  <c r="J4800" i="14" s="1"/>
  <c r="M4804" i="13"/>
  <c r="K4615" i="13"/>
  <c r="L4615" i="13" s="1"/>
  <c r="I4616" i="13" s="1"/>
  <c r="K4616" i="13" l="1"/>
  <c r="L4616" i="13" s="1"/>
  <c r="I4617" i="13" s="1"/>
  <c r="K4638" i="14"/>
  <c r="L4638" i="14" s="1"/>
  <c r="I4639" i="14" s="1"/>
  <c r="J4802" i="13" a="1"/>
  <c r="J4802" i="13" s="1"/>
  <c r="N4803" i="13"/>
  <c r="N4802" i="14"/>
  <c r="J4801" i="14" a="1"/>
  <c r="J4801" i="14" s="1"/>
  <c r="M4805" i="13"/>
  <c r="M4806" i="14"/>
  <c r="K4617" i="13" l="1"/>
  <c r="L4617" i="13" s="1"/>
  <c r="I4618" i="13" s="1"/>
  <c r="K4639" i="14"/>
  <c r="L4639" i="14" s="1"/>
  <c r="I4640" i="14" s="1"/>
  <c r="M4807" i="14"/>
  <c r="J4802" i="14" a="1"/>
  <c r="J4802" i="14" s="1"/>
  <c r="N4803" i="14"/>
  <c r="N4804" i="13"/>
  <c r="J4803" i="13" a="1"/>
  <c r="J4803" i="13" s="1"/>
  <c r="M4806" i="13"/>
  <c r="K4640" i="14" l="1"/>
  <c r="L4640" i="14" s="1"/>
  <c r="I4641" i="14" s="1"/>
  <c r="K4618" i="13"/>
  <c r="L4618" i="13" s="1"/>
  <c r="I4619" i="13" s="1"/>
  <c r="M4807" i="13"/>
  <c r="J4803" i="14" a="1"/>
  <c r="J4803" i="14" s="1"/>
  <c r="N4804" i="14"/>
  <c r="M4808" i="14"/>
  <c r="J4804" i="13" a="1"/>
  <c r="J4804" i="13" s="1"/>
  <c r="N4805" i="13"/>
  <c r="K4619" i="13" l="1"/>
  <c r="L4619" i="13" s="1"/>
  <c r="I4620" i="13" s="1"/>
  <c r="K4641" i="14"/>
  <c r="L4641" i="14" s="1"/>
  <c r="I4642" i="14" s="1"/>
  <c r="N4806" i="13"/>
  <c r="J4805" i="13" a="1"/>
  <c r="J4805" i="13" s="1"/>
  <c r="J4804" i="14" a="1"/>
  <c r="J4804" i="14" s="1"/>
  <c r="N4805" i="14"/>
  <c r="M4809" i="14"/>
  <c r="M4808" i="13"/>
  <c r="K4642" i="14" l="1"/>
  <c r="L4642" i="14" s="1"/>
  <c r="I4643" i="14" s="1"/>
  <c r="K4620" i="13"/>
  <c r="L4620" i="13" s="1"/>
  <c r="I4621" i="13" s="1"/>
  <c r="M4809" i="13"/>
  <c r="M4810" i="14"/>
  <c r="N4806" i="14"/>
  <c r="J4805" i="14" a="1"/>
  <c r="J4805" i="14" s="1"/>
  <c r="J4806" i="13" a="1"/>
  <c r="J4806" i="13" s="1"/>
  <c r="N4807" i="13"/>
  <c r="K4621" i="13" l="1"/>
  <c r="L4621" i="13" s="1"/>
  <c r="I4622" i="13" s="1"/>
  <c r="K4643" i="14"/>
  <c r="L4643" i="14" s="1"/>
  <c r="I4644" i="14" s="1"/>
  <c r="N4808" i="13"/>
  <c r="J4807" i="13" a="1"/>
  <c r="J4807" i="13" s="1"/>
  <c r="M4811" i="14"/>
  <c r="J4806" i="14" a="1"/>
  <c r="J4806" i="14" s="1"/>
  <c r="N4807" i="14"/>
  <c r="M4810" i="13"/>
  <c r="K4644" i="14" l="1"/>
  <c r="L4644" i="14" s="1"/>
  <c r="I4645" i="14" s="1"/>
  <c r="K4622" i="13"/>
  <c r="L4622" i="13" s="1"/>
  <c r="I4623" i="13" s="1"/>
  <c r="J4807" i="14" a="1"/>
  <c r="J4807" i="14" s="1"/>
  <c r="N4808" i="14"/>
  <c r="M4811" i="13"/>
  <c r="M4812" i="14"/>
  <c r="J4808" i="13" a="1"/>
  <c r="J4808" i="13" s="1"/>
  <c r="N4809" i="13"/>
  <c r="K4645" i="14" l="1"/>
  <c r="L4645" i="14" s="1"/>
  <c r="I4646" i="14" s="1"/>
  <c r="N4810" i="13"/>
  <c r="J4809" i="13" a="1"/>
  <c r="J4809" i="13" s="1"/>
  <c r="M4812" i="13"/>
  <c r="K4623" i="13"/>
  <c r="L4623" i="13" s="1"/>
  <c r="I4624" i="13" s="1"/>
  <c r="N4809" i="14"/>
  <c r="J4808" i="14" a="1"/>
  <c r="J4808" i="14" s="1"/>
  <c r="M4813" i="14"/>
  <c r="K4624" i="13" l="1"/>
  <c r="L4624" i="13" s="1"/>
  <c r="I4625" i="13" s="1"/>
  <c r="K4646" i="14"/>
  <c r="L4646" i="14" s="1"/>
  <c r="I4647" i="14" s="1"/>
  <c r="J4810" i="13" a="1"/>
  <c r="J4810" i="13" s="1"/>
  <c r="N4811" i="13"/>
  <c r="M4814" i="14"/>
  <c r="M4813" i="13"/>
  <c r="N4810" i="14"/>
  <c r="J4809" i="14" a="1"/>
  <c r="J4809" i="14" s="1"/>
  <c r="K4625" i="13" l="1"/>
  <c r="L4625" i="13" s="1"/>
  <c r="I4626" i="13" s="1"/>
  <c r="K4647" i="14"/>
  <c r="L4647" i="14" s="1"/>
  <c r="I4648" i="14" s="1"/>
  <c r="J4810" i="14" a="1"/>
  <c r="J4810" i="14" s="1"/>
  <c r="N4811" i="14"/>
  <c r="M4815" i="14"/>
  <c r="N4812" i="13"/>
  <c r="J4811" i="13" a="1"/>
  <c r="J4811" i="13" s="1"/>
  <c r="M4814" i="13"/>
  <c r="K4648" i="14" l="1"/>
  <c r="L4648" i="14" s="1"/>
  <c r="I4649" i="14" s="1"/>
  <c r="K4626" i="13"/>
  <c r="L4626" i="13" s="1"/>
  <c r="I4627" i="13" s="1"/>
  <c r="J4812" i="13" a="1"/>
  <c r="J4812" i="13" s="1"/>
  <c r="N4813" i="13"/>
  <c r="M4816" i="14"/>
  <c r="J4811" i="14" a="1"/>
  <c r="J4811" i="14" s="1"/>
  <c r="N4812" i="14"/>
  <c r="M4815" i="13"/>
  <c r="K4627" i="13" l="1"/>
  <c r="L4627" i="13" s="1"/>
  <c r="I4628" i="13" s="1"/>
  <c r="K4649" i="14"/>
  <c r="L4649" i="14" s="1"/>
  <c r="I4650" i="14" s="1"/>
  <c r="J4812" i="14" a="1"/>
  <c r="J4812" i="14" s="1"/>
  <c r="N4813" i="14"/>
  <c r="M4817" i="14"/>
  <c r="M4816" i="13"/>
  <c r="N4814" i="13"/>
  <c r="J4813" i="13" a="1"/>
  <c r="J4813" i="13" s="1"/>
  <c r="K4628" i="13" l="1"/>
  <c r="L4628" i="13" s="1"/>
  <c r="I4629" i="13" s="1"/>
  <c r="J4814" i="13" a="1"/>
  <c r="J4814" i="13" s="1"/>
  <c r="N4815" i="13"/>
  <c r="M4818" i="14"/>
  <c r="K4650" i="14"/>
  <c r="L4650" i="14" s="1"/>
  <c r="I4651" i="14" s="1"/>
  <c r="N4814" i="14"/>
  <c r="J4813" i="14" a="1"/>
  <c r="J4813" i="14" s="1"/>
  <c r="M4817" i="13"/>
  <c r="K4651" i="14" l="1"/>
  <c r="L4651" i="14" s="1"/>
  <c r="I4652" i="14" s="1"/>
  <c r="K4629" i="13"/>
  <c r="L4629" i="13" s="1"/>
  <c r="I4630" i="13" s="1"/>
  <c r="N4816" i="13"/>
  <c r="J4815" i="13" a="1"/>
  <c r="J4815" i="13" s="1"/>
  <c r="M4818" i="13"/>
  <c r="J4814" i="14" a="1"/>
  <c r="J4814" i="14" s="1"/>
  <c r="N4815" i="14"/>
  <c r="M4819" i="14"/>
  <c r="K4630" i="13" l="1"/>
  <c r="L4630" i="13" s="1"/>
  <c r="I4631" i="13" s="1"/>
  <c r="K4652" i="14"/>
  <c r="L4652" i="14" s="1"/>
  <c r="I4653" i="14" s="1"/>
  <c r="M4819" i="13"/>
  <c r="M4820" i="14"/>
  <c r="J4815" i="14" a="1"/>
  <c r="J4815" i="14" s="1"/>
  <c r="N4816" i="14"/>
  <c r="J4816" i="13" a="1"/>
  <c r="J4816" i="13" s="1"/>
  <c r="N4817" i="13"/>
  <c r="K4653" i="14" l="1"/>
  <c r="L4653" i="14" s="1"/>
  <c r="I4654" i="14" s="1"/>
  <c r="K4631" i="13"/>
  <c r="L4631" i="13" s="1"/>
  <c r="I4632" i="13" s="1"/>
  <c r="N4818" i="13"/>
  <c r="J4817" i="13" a="1"/>
  <c r="J4817" i="13" s="1"/>
  <c r="M4821" i="14"/>
  <c r="N4817" i="14"/>
  <c r="J4816" i="14" a="1"/>
  <c r="J4816" i="14" s="1"/>
  <c r="M4820" i="13"/>
  <c r="K4632" i="13" l="1"/>
  <c r="L4632" i="13" s="1"/>
  <c r="I4633" i="13" s="1"/>
  <c r="K4654" i="14"/>
  <c r="L4654" i="14" s="1"/>
  <c r="I4655" i="14" s="1"/>
  <c r="N4818" i="14"/>
  <c r="J4817" i="14" a="1"/>
  <c r="J4817" i="14" s="1"/>
  <c r="M4821" i="13"/>
  <c r="M4822" i="14"/>
  <c r="J4818" i="13" a="1"/>
  <c r="J4818" i="13" s="1"/>
  <c r="N4819" i="13"/>
  <c r="K4655" i="14" l="1"/>
  <c r="L4655" i="14" s="1"/>
  <c r="I4656" i="14" s="1"/>
  <c r="K4633" i="13"/>
  <c r="L4633" i="13" s="1"/>
  <c r="I4634" i="13" s="1"/>
  <c r="M4823" i="14"/>
  <c r="N4820" i="13"/>
  <c r="J4819" i="13" a="1"/>
  <c r="J4819" i="13" s="1"/>
  <c r="M4822" i="13"/>
  <c r="J4818" i="14" a="1"/>
  <c r="J4818" i="14" s="1"/>
  <c r="N4819" i="14"/>
  <c r="K4634" i="13" l="1"/>
  <c r="L4634" i="13" s="1"/>
  <c r="I4635" i="13" s="1"/>
  <c r="K4656" i="14"/>
  <c r="L4656" i="14" s="1"/>
  <c r="I4657" i="14" s="1"/>
  <c r="J4819" i="14" a="1"/>
  <c r="J4819" i="14" s="1"/>
  <c r="N4820" i="14"/>
  <c r="J4820" i="13" a="1"/>
  <c r="J4820" i="13" s="1"/>
  <c r="N4821" i="13"/>
  <c r="M4823" i="13"/>
  <c r="M4824" i="14"/>
  <c r="K4635" i="13" l="1"/>
  <c r="L4635" i="13" s="1"/>
  <c r="I4636" i="13" s="1"/>
  <c r="M4824" i="13"/>
  <c r="M4825" i="14"/>
  <c r="N4822" i="13"/>
  <c r="J4821" i="13" a="1"/>
  <c r="J4821" i="13" s="1"/>
  <c r="K4657" i="14"/>
  <c r="L4657" i="14" s="1"/>
  <c r="I4658" i="14" s="1"/>
  <c r="J4820" i="14" a="1"/>
  <c r="J4820" i="14" s="1"/>
  <c r="N4821" i="14"/>
  <c r="K4658" i="14" l="1"/>
  <c r="L4658" i="14" s="1"/>
  <c r="I4659" i="14" s="1"/>
  <c r="K4636" i="13"/>
  <c r="L4636" i="13" s="1"/>
  <c r="I4637" i="13" s="1"/>
  <c r="M4825" i="13"/>
  <c r="N4822" i="14"/>
  <c r="J4821" i="14" a="1"/>
  <c r="J4821" i="14" s="1"/>
  <c r="J4822" i="13" a="1"/>
  <c r="J4822" i="13" s="1"/>
  <c r="N4823" i="13"/>
  <c r="M4826" i="14"/>
  <c r="K4637" i="13" l="1"/>
  <c r="L4637" i="13" s="1"/>
  <c r="I4638" i="13" s="1"/>
  <c r="K4659" i="14"/>
  <c r="L4659" i="14" s="1"/>
  <c r="I4660" i="14" s="1"/>
  <c r="J4822" i="14" a="1"/>
  <c r="J4822" i="14" s="1"/>
  <c r="N4823" i="14"/>
  <c r="M4827" i="14"/>
  <c r="N4824" i="13"/>
  <c r="J4823" i="13" a="1"/>
  <c r="J4823" i="13" s="1"/>
  <c r="M4826" i="13"/>
  <c r="K4660" i="14" l="1"/>
  <c r="L4660" i="14" s="1"/>
  <c r="I4661" i="14" s="1"/>
  <c r="K4638" i="13"/>
  <c r="L4638" i="13" s="1"/>
  <c r="I4639" i="13" s="1"/>
  <c r="M4827" i="13"/>
  <c r="J4824" i="13" a="1"/>
  <c r="J4824" i="13" s="1"/>
  <c r="N4825" i="13"/>
  <c r="M4828" i="14"/>
  <c r="J4823" i="14" a="1"/>
  <c r="J4823" i="14" s="1"/>
  <c r="N4824" i="14"/>
  <c r="K4639" i="13" l="1"/>
  <c r="L4639" i="13" s="1"/>
  <c r="I4640" i="13" s="1"/>
  <c r="K4661" i="14"/>
  <c r="L4661" i="14" s="1"/>
  <c r="I4662" i="14" s="1"/>
  <c r="N4826" i="13"/>
  <c r="J4825" i="13" a="1"/>
  <c r="J4825" i="13" s="1"/>
  <c r="N4825" i="14"/>
  <c r="J4824" i="14" a="1"/>
  <c r="J4824" i="14" s="1"/>
  <c r="M4829" i="14"/>
  <c r="M4828" i="13"/>
  <c r="K4640" i="13" l="1"/>
  <c r="L4640" i="13" s="1"/>
  <c r="I4641" i="13" s="1"/>
  <c r="M4830" i="14"/>
  <c r="M4829" i="13"/>
  <c r="K4662" i="14"/>
  <c r="L4662" i="14" s="1"/>
  <c r="I4663" i="14" s="1"/>
  <c r="N4826" i="14"/>
  <c r="J4825" i="14" a="1"/>
  <c r="J4825" i="14" s="1"/>
  <c r="J4826" i="13" a="1"/>
  <c r="J4826" i="13" s="1"/>
  <c r="N4827" i="13"/>
  <c r="K4641" i="13" l="1"/>
  <c r="L4641" i="13" s="1"/>
  <c r="I4642" i="13" s="1"/>
  <c r="K4663" i="14"/>
  <c r="L4663" i="14" s="1"/>
  <c r="I4664" i="14" s="1"/>
  <c r="N4828" i="13"/>
  <c r="J4827" i="13" a="1"/>
  <c r="J4827" i="13" s="1"/>
  <c r="M4831" i="14"/>
  <c r="J4826" i="14" a="1"/>
  <c r="J4826" i="14" s="1"/>
  <c r="N4827" i="14"/>
  <c r="M4830" i="13"/>
  <c r="K4642" i="13" l="1"/>
  <c r="L4642" i="13" s="1"/>
  <c r="I4643" i="13" s="1"/>
  <c r="M4831" i="13"/>
  <c r="M4832" i="14"/>
  <c r="K4664" i="14"/>
  <c r="L4664" i="14" s="1"/>
  <c r="I4665" i="14" s="1"/>
  <c r="J4827" i="14" a="1"/>
  <c r="J4827" i="14" s="1"/>
  <c r="N4828" i="14"/>
  <c r="J4828" i="13" a="1"/>
  <c r="J4828" i="13" s="1"/>
  <c r="N4829" i="13"/>
  <c r="K4643" i="13" l="1"/>
  <c r="L4643" i="13" s="1"/>
  <c r="I4644" i="13" s="1"/>
  <c r="N4830" i="13"/>
  <c r="J4829" i="13" a="1"/>
  <c r="J4829" i="13" s="1"/>
  <c r="K4665" i="14"/>
  <c r="L4665" i="14" s="1"/>
  <c r="I4666" i="14" s="1"/>
  <c r="M4832" i="13"/>
  <c r="J4828" i="14" a="1"/>
  <c r="J4828" i="14" s="1"/>
  <c r="N4829" i="14"/>
  <c r="M4833" i="14"/>
  <c r="K4666" i="14" l="1"/>
  <c r="L4666" i="14" s="1"/>
  <c r="I4667" i="14" s="1"/>
  <c r="K4644" i="13"/>
  <c r="L4644" i="13" s="1"/>
  <c r="I4645" i="13" s="1"/>
  <c r="M4834" i="14"/>
  <c r="M4833" i="13"/>
  <c r="J4830" i="13" a="1"/>
  <c r="J4830" i="13" s="1"/>
  <c r="N4831" i="13"/>
  <c r="N4830" i="14"/>
  <c r="J4829" i="14" a="1"/>
  <c r="J4829" i="14" s="1"/>
  <c r="K4645" i="13" l="1"/>
  <c r="L4645" i="13" s="1"/>
  <c r="I4646" i="13" s="1"/>
  <c r="K4667" i="14"/>
  <c r="L4667" i="14" s="1"/>
  <c r="I4668" i="14" s="1"/>
  <c r="J4830" i="14" a="1"/>
  <c r="J4830" i="14" s="1"/>
  <c r="N4831" i="14"/>
  <c r="M4834" i="13"/>
  <c r="N4832" i="13"/>
  <c r="J4831" i="13" a="1"/>
  <c r="J4831" i="13" s="1"/>
  <c r="M4835" i="14"/>
  <c r="K4646" i="13" l="1"/>
  <c r="L4646" i="13" s="1"/>
  <c r="I4647" i="13" s="1"/>
  <c r="K4668" i="14"/>
  <c r="L4668" i="14" s="1"/>
  <c r="I4669" i="14" s="1"/>
  <c r="J4832" i="13" a="1"/>
  <c r="J4832" i="13" s="1"/>
  <c r="N4833" i="13"/>
  <c r="M4835" i="13"/>
  <c r="M4836" i="14"/>
  <c r="J4831" i="14" a="1"/>
  <c r="J4831" i="14" s="1"/>
  <c r="N4832" i="14"/>
  <c r="K4669" i="14" l="1"/>
  <c r="L4669" i="14" s="1"/>
  <c r="I4670" i="14" s="1"/>
  <c r="K4647" i="13"/>
  <c r="L4647" i="13" s="1"/>
  <c r="I4648" i="13" s="1"/>
  <c r="N4833" i="14"/>
  <c r="J4832" i="14" a="1"/>
  <c r="J4832" i="14" s="1"/>
  <c r="M4836" i="13"/>
  <c r="M4837" i="14"/>
  <c r="N4834" i="13"/>
  <c r="J4833" i="13" a="1"/>
  <c r="J4833" i="13" s="1"/>
  <c r="K4670" i="14" l="1"/>
  <c r="L4670" i="14" s="1"/>
  <c r="I4671" i="14" s="1"/>
  <c r="M4837" i="13"/>
  <c r="K4648" i="13"/>
  <c r="L4648" i="13" s="1"/>
  <c r="I4649" i="13" s="1"/>
  <c r="J4834" i="13" a="1"/>
  <c r="J4834" i="13" s="1"/>
  <c r="N4835" i="13"/>
  <c r="M4838" i="14"/>
  <c r="N4834" i="14"/>
  <c r="J4833" i="14" a="1"/>
  <c r="J4833" i="14" s="1"/>
  <c r="K4649" i="13" l="1"/>
  <c r="L4649" i="13" s="1"/>
  <c r="I4650" i="13" s="1"/>
  <c r="K4671" i="14"/>
  <c r="L4671" i="14" s="1"/>
  <c r="I4672" i="14" s="1"/>
  <c r="N4836" i="13"/>
  <c r="J4835" i="13" a="1"/>
  <c r="J4835" i="13" s="1"/>
  <c r="J4834" i="14" a="1"/>
  <c r="J4834" i="14" s="1"/>
  <c r="N4835" i="14"/>
  <c r="M4838" i="13"/>
  <c r="M4839" i="14"/>
  <c r="K4650" i="13" l="1"/>
  <c r="L4650" i="13" s="1"/>
  <c r="I4651" i="13" s="1"/>
  <c r="J4835" i="14" a="1"/>
  <c r="J4835" i="14" s="1"/>
  <c r="N4836" i="14"/>
  <c r="K4672" i="14"/>
  <c r="L4672" i="14" s="1"/>
  <c r="I4673" i="14" s="1"/>
  <c r="M4839" i="13"/>
  <c r="M4840" i="14"/>
  <c r="J4836" i="13" a="1"/>
  <c r="J4836" i="13" s="1"/>
  <c r="N4837" i="13"/>
  <c r="K4673" i="14" l="1"/>
  <c r="L4673" i="14" s="1"/>
  <c r="I4674" i="14" s="1"/>
  <c r="K4651" i="13"/>
  <c r="L4651" i="13" s="1"/>
  <c r="I4652" i="13" s="1"/>
  <c r="J4836" i="14" a="1"/>
  <c r="J4836" i="14" s="1"/>
  <c r="N4837" i="14"/>
  <c r="N4838" i="13"/>
  <c r="J4837" i="13" a="1"/>
  <c r="J4837" i="13" s="1"/>
  <c r="M4840" i="13"/>
  <c r="M4841" i="14"/>
  <c r="K4674" i="14" l="1"/>
  <c r="L4674" i="14" s="1"/>
  <c r="I4675" i="14" s="1"/>
  <c r="M4842" i="14"/>
  <c r="M4841" i="13"/>
  <c r="K4652" i="13"/>
  <c r="L4652" i="13" s="1"/>
  <c r="I4653" i="13" s="1"/>
  <c r="N4838" i="14"/>
  <c r="J4837" i="14" a="1"/>
  <c r="J4837" i="14" s="1"/>
  <c r="J4838" i="13" a="1"/>
  <c r="J4838" i="13" s="1"/>
  <c r="N4839" i="13"/>
  <c r="K4675" i="14" l="1"/>
  <c r="L4675" i="14" s="1"/>
  <c r="I4676" i="14" s="1"/>
  <c r="N4840" i="13"/>
  <c r="J4839" i="13" a="1"/>
  <c r="J4839" i="13" s="1"/>
  <c r="K4653" i="13"/>
  <c r="L4653" i="13" s="1"/>
  <c r="I4654" i="13" s="1"/>
  <c r="M4843" i="14"/>
  <c r="J4838" i="14" a="1"/>
  <c r="J4838" i="14" s="1"/>
  <c r="N4839" i="14"/>
  <c r="M4842" i="13"/>
  <c r="K4654" i="13" l="1"/>
  <c r="L4654" i="13" s="1"/>
  <c r="I4655" i="13" s="1"/>
  <c r="K4676" i="14"/>
  <c r="L4676" i="14" s="1"/>
  <c r="I4677" i="14" s="1"/>
  <c r="M4843" i="13"/>
  <c r="M4844" i="14"/>
  <c r="J4840" i="13" a="1"/>
  <c r="J4840" i="13" s="1"/>
  <c r="N4841" i="13"/>
  <c r="J4839" i="14" a="1"/>
  <c r="J4839" i="14" s="1"/>
  <c r="N4840" i="14"/>
  <c r="K4677" i="14" l="1"/>
  <c r="L4677" i="14" s="1"/>
  <c r="I4678" i="14" s="1"/>
  <c r="K4655" i="13"/>
  <c r="L4655" i="13" s="1"/>
  <c r="I4656" i="13" s="1"/>
  <c r="N4841" i="14"/>
  <c r="J4840" i="14" a="1"/>
  <c r="J4840" i="14" s="1"/>
  <c r="M4845" i="14"/>
  <c r="N4842" i="13"/>
  <c r="J4841" i="13" a="1"/>
  <c r="J4841" i="13" s="1"/>
  <c r="M4844" i="13"/>
  <c r="K4678" i="14" l="1"/>
  <c r="L4678" i="14" s="1"/>
  <c r="I4679" i="14" s="1"/>
  <c r="M4845" i="13"/>
  <c r="K4656" i="13"/>
  <c r="L4656" i="13" s="1"/>
  <c r="I4657" i="13" s="1"/>
  <c r="M4846" i="14"/>
  <c r="J4842" i="13" a="1"/>
  <c r="J4842" i="13" s="1"/>
  <c r="N4843" i="13"/>
  <c r="N4842" i="14"/>
  <c r="J4841" i="14" a="1"/>
  <c r="J4841" i="14" s="1"/>
  <c r="K4657" i="13" l="1"/>
  <c r="L4657" i="13" s="1"/>
  <c r="I4658" i="13" s="1"/>
  <c r="K4679" i="14"/>
  <c r="L4679" i="14" s="1"/>
  <c r="I4680" i="14" s="1"/>
  <c r="J4842" i="14" a="1"/>
  <c r="J4842" i="14" s="1"/>
  <c r="N4843" i="14"/>
  <c r="M4847" i="14"/>
  <c r="M4846" i="13"/>
  <c r="N4844" i="13"/>
  <c r="J4843" i="13" a="1"/>
  <c r="J4843" i="13" s="1"/>
  <c r="K4658" i="13" l="1"/>
  <c r="L4658" i="13" s="1"/>
  <c r="I4659" i="13" s="1"/>
  <c r="M4848" i="14"/>
  <c r="J4844" i="13" a="1"/>
  <c r="J4844" i="13" s="1"/>
  <c r="N4845" i="13"/>
  <c r="K4680" i="14"/>
  <c r="L4680" i="14" s="1"/>
  <c r="I4681" i="14" s="1"/>
  <c r="M4847" i="13"/>
  <c r="J4843" i="14" a="1"/>
  <c r="J4843" i="14" s="1"/>
  <c r="N4844" i="14"/>
  <c r="K4659" i="13" l="1"/>
  <c r="L4659" i="13" s="1"/>
  <c r="I4660" i="13" s="1"/>
  <c r="J4844" i="14" a="1"/>
  <c r="J4844" i="14" s="1"/>
  <c r="N4845" i="14"/>
  <c r="M4849" i="14"/>
  <c r="K4681" i="14"/>
  <c r="L4681" i="14" s="1"/>
  <c r="I4682" i="14" s="1"/>
  <c r="N4846" i="13"/>
  <c r="J4845" i="13" a="1"/>
  <c r="J4845" i="13" s="1"/>
  <c r="M4848" i="13"/>
  <c r="K4682" i="14" l="1"/>
  <c r="L4682" i="14" s="1"/>
  <c r="I4683" i="14" s="1"/>
  <c r="K4660" i="13"/>
  <c r="L4660" i="13" s="1"/>
  <c r="I4661" i="13" s="1"/>
  <c r="N4846" i="14"/>
  <c r="J4845" i="14" a="1"/>
  <c r="J4845" i="14" s="1"/>
  <c r="M4849" i="13"/>
  <c r="J4846" i="13" a="1"/>
  <c r="J4846" i="13" s="1"/>
  <c r="N4847" i="13"/>
  <c r="M4850" i="14"/>
  <c r="K4683" i="14" l="1"/>
  <c r="L4683" i="14" s="1"/>
  <c r="I4684" i="14" s="1"/>
  <c r="M4850" i="13"/>
  <c r="K4661" i="13"/>
  <c r="L4661" i="13" s="1"/>
  <c r="I4662" i="13" s="1"/>
  <c r="N4848" i="13"/>
  <c r="J4847" i="13" a="1"/>
  <c r="J4847" i="13" s="1"/>
  <c r="M4851" i="14"/>
  <c r="J4846" i="14" a="1"/>
  <c r="J4846" i="14" s="1"/>
  <c r="N4847" i="14"/>
  <c r="K4662" i="13" l="1"/>
  <c r="L4662" i="13" s="1"/>
  <c r="I4663" i="13" s="1"/>
  <c r="K4684" i="14"/>
  <c r="L4684" i="14" s="1"/>
  <c r="I4685" i="14" s="1"/>
  <c r="J4847" i="14" a="1"/>
  <c r="J4847" i="14" s="1"/>
  <c r="N4848" i="14"/>
  <c r="M4851" i="13"/>
  <c r="J4848" i="13" a="1"/>
  <c r="J4848" i="13" s="1"/>
  <c r="N4849" i="13"/>
  <c r="M4852" i="14"/>
  <c r="K4663" i="13" l="1"/>
  <c r="L4663" i="13" s="1"/>
  <c r="I4664" i="13" s="1"/>
  <c r="M4853" i="14"/>
  <c r="M4852" i="13"/>
  <c r="K4685" i="14"/>
  <c r="L4685" i="14" s="1"/>
  <c r="I4686" i="14" s="1"/>
  <c r="N4849" i="14"/>
  <c r="J4848" i="14" a="1"/>
  <c r="J4848" i="14" s="1"/>
  <c r="N4850" i="13"/>
  <c r="J4849" i="13" a="1"/>
  <c r="J4849" i="13" s="1"/>
  <c r="K4664" i="13" l="1"/>
  <c r="L4664" i="13" s="1"/>
  <c r="I4665" i="13" s="1"/>
  <c r="J4850" i="13" a="1"/>
  <c r="J4850" i="13" s="1"/>
  <c r="N4851" i="13"/>
  <c r="K4686" i="14"/>
  <c r="L4686" i="14" s="1"/>
  <c r="I4687" i="14" s="1"/>
  <c r="M4854" i="14"/>
  <c r="M4853" i="13"/>
  <c r="N4850" i="14"/>
  <c r="J4849" i="14" a="1"/>
  <c r="J4849" i="14" s="1"/>
  <c r="K4687" i="14" l="1"/>
  <c r="L4687" i="14" s="1"/>
  <c r="I4688" i="14" s="1"/>
  <c r="K4665" i="13"/>
  <c r="L4665" i="13" s="1"/>
  <c r="I4666" i="13" s="1"/>
  <c r="N4852" i="13"/>
  <c r="J4851" i="13" a="1"/>
  <c r="J4851" i="13" s="1"/>
  <c r="J4850" i="14" a="1"/>
  <c r="J4850" i="14" s="1"/>
  <c r="N4851" i="14"/>
  <c r="M4855" i="14"/>
  <c r="M4854" i="13"/>
  <c r="K4666" i="13" l="1"/>
  <c r="L4666" i="13" s="1"/>
  <c r="I4667" i="13" s="1"/>
  <c r="K4688" i="14"/>
  <c r="L4688" i="14" s="1"/>
  <c r="I4689" i="14" s="1"/>
  <c r="J4851" i="14" a="1"/>
  <c r="J4851" i="14" s="1"/>
  <c r="N4852" i="14"/>
  <c r="M4855" i="13"/>
  <c r="M4856" i="14"/>
  <c r="J4852" i="13" a="1"/>
  <c r="J4852" i="13" s="1"/>
  <c r="N4853" i="13"/>
  <c r="K4689" i="14" l="1"/>
  <c r="L4689" i="14" s="1"/>
  <c r="I4690" i="14" s="1"/>
  <c r="K4667" i="13"/>
  <c r="L4667" i="13" s="1"/>
  <c r="I4668" i="13" s="1"/>
  <c r="N4854" i="13"/>
  <c r="J4853" i="13" a="1"/>
  <c r="J4853" i="13" s="1"/>
  <c r="M4856" i="13"/>
  <c r="M4857" i="14"/>
  <c r="J4852" i="14" a="1"/>
  <c r="J4852" i="14" s="1"/>
  <c r="N4853" i="14"/>
  <c r="K4690" i="14" l="1"/>
  <c r="L4690" i="14" s="1"/>
  <c r="I4691" i="14" s="1"/>
  <c r="N4854" i="14"/>
  <c r="J4853" i="14" a="1"/>
  <c r="J4853" i="14" s="1"/>
  <c r="M4857" i="13"/>
  <c r="K4668" i="13"/>
  <c r="L4668" i="13" s="1"/>
  <c r="I4669" i="13" s="1"/>
  <c r="M4858" i="14"/>
  <c r="J4854" i="13" a="1"/>
  <c r="J4854" i="13" s="1"/>
  <c r="N4855" i="13"/>
  <c r="K4669" i="13" l="1"/>
  <c r="L4669" i="13" s="1"/>
  <c r="I4670" i="13" s="1"/>
  <c r="K4691" i="14"/>
  <c r="L4691" i="14" s="1"/>
  <c r="I4692" i="14" s="1"/>
  <c r="N4856" i="13"/>
  <c r="J4855" i="13" a="1"/>
  <c r="J4855" i="13" s="1"/>
  <c r="J4854" i="14" a="1"/>
  <c r="J4854" i="14" s="1"/>
  <c r="N4855" i="14"/>
  <c r="M4859" i="14"/>
  <c r="M4858" i="13"/>
  <c r="K4670" i="13" l="1"/>
  <c r="L4670" i="13" s="1"/>
  <c r="I4671" i="13" s="1"/>
  <c r="M4859" i="13"/>
  <c r="J4855" i="14" a="1"/>
  <c r="J4855" i="14" s="1"/>
  <c r="N4856" i="14"/>
  <c r="K4692" i="14"/>
  <c r="L4692" i="14" s="1"/>
  <c r="I4693" i="14" s="1"/>
  <c r="M4860" i="14"/>
  <c r="J4856" i="13" a="1"/>
  <c r="J4856" i="13" s="1"/>
  <c r="N4857" i="13"/>
  <c r="K4671" i="13" l="1"/>
  <c r="L4671" i="13" s="1"/>
  <c r="I4672" i="13" s="1"/>
  <c r="N4858" i="13"/>
  <c r="J4857" i="13" a="1"/>
  <c r="J4857" i="13" s="1"/>
  <c r="K4693" i="14"/>
  <c r="L4693" i="14" s="1"/>
  <c r="I4694" i="14" s="1"/>
  <c r="M4860" i="13"/>
  <c r="M4861" i="14"/>
  <c r="N4857" i="14"/>
  <c r="J4856" i="14" a="1"/>
  <c r="J4856" i="14" s="1"/>
  <c r="K4694" i="14" l="1"/>
  <c r="L4694" i="14" s="1"/>
  <c r="I4695" i="14" s="1"/>
  <c r="K4672" i="13"/>
  <c r="L4672" i="13" s="1"/>
  <c r="I4673" i="13" s="1"/>
  <c r="M4861" i="13"/>
  <c r="J4858" i="13" a="1"/>
  <c r="J4858" i="13" s="1"/>
  <c r="N4859" i="13"/>
  <c r="N4858" i="14"/>
  <c r="J4857" i="14" a="1"/>
  <c r="J4857" i="14" s="1"/>
  <c r="M4862" i="14"/>
  <c r="K4695" i="14" l="1"/>
  <c r="L4695" i="14" s="1"/>
  <c r="I4696" i="14" s="1"/>
  <c r="N4860" i="13"/>
  <c r="J4859" i="13" a="1"/>
  <c r="J4859" i="13" s="1"/>
  <c r="M4863" i="14"/>
  <c r="K4673" i="13"/>
  <c r="L4673" i="13" s="1"/>
  <c r="I4674" i="13" s="1"/>
  <c r="J4858" i="14" a="1"/>
  <c r="J4858" i="14" s="1"/>
  <c r="N4859" i="14"/>
  <c r="M4862" i="13"/>
  <c r="K4696" i="14" l="1"/>
  <c r="L4696" i="14" s="1"/>
  <c r="I4697" i="14" s="1"/>
  <c r="M4863" i="13"/>
  <c r="J4860" i="13" a="1"/>
  <c r="J4860" i="13" s="1"/>
  <c r="N4861" i="13"/>
  <c r="J4859" i="14" a="1"/>
  <c r="J4859" i="14" s="1"/>
  <c r="N4860" i="14"/>
  <c r="M4864" i="14"/>
  <c r="K4674" i="13"/>
  <c r="L4674" i="13" s="1"/>
  <c r="I4675" i="13" s="1"/>
  <c r="K4697" i="14" l="1"/>
  <c r="L4697" i="14" s="1"/>
  <c r="I4698" i="14" s="1"/>
  <c r="J4860" i="14" a="1"/>
  <c r="J4860" i="14" s="1"/>
  <c r="N4861" i="14"/>
  <c r="M4864" i="13"/>
  <c r="N4862" i="13"/>
  <c r="J4861" i="13" a="1"/>
  <c r="J4861" i="13" s="1"/>
  <c r="K4675" i="13"/>
  <c r="L4675" i="13" s="1"/>
  <c r="I4676" i="13" s="1"/>
  <c r="M4865" i="14"/>
  <c r="K4676" i="13" l="1"/>
  <c r="L4676" i="13" s="1"/>
  <c r="I4677" i="13" s="1"/>
  <c r="K4698" i="14"/>
  <c r="L4698" i="14" s="1"/>
  <c r="I4699" i="14" s="1"/>
  <c r="N4862" i="14"/>
  <c r="J4861" i="14" a="1"/>
  <c r="J4861" i="14" s="1"/>
  <c r="M4866" i="14"/>
  <c r="J4862" i="13" a="1"/>
  <c r="J4862" i="13" s="1"/>
  <c r="N4863" i="13"/>
  <c r="M4865" i="13"/>
  <c r="K4699" i="14" l="1"/>
  <c r="L4699" i="14" s="1"/>
  <c r="I4700" i="14" s="1"/>
  <c r="K4677" i="13"/>
  <c r="L4677" i="13" s="1"/>
  <c r="I4678" i="13" s="1"/>
  <c r="N4864" i="13"/>
  <c r="J4863" i="13" a="1"/>
  <c r="J4863" i="13" s="1"/>
  <c r="M4866" i="13"/>
  <c r="M4867" i="14"/>
  <c r="J4862" i="14" a="1"/>
  <c r="J4862" i="14" s="1"/>
  <c r="N4863" i="14"/>
  <c r="K4700" i="14" l="1"/>
  <c r="L4700" i="14" s="1"/>
  <c r="I4701" i="14" s="1"/>
  <c r="M4868" i="14"/>
  <c r="J4863" i="14" a="1"/>
  <c r="J4863" i="14" s="1"/>
  <c r="N4864" i="14"/>
  <c r="M4867" i="13"/>
  <c r="K4678" i="13"/>
  <c r="L4678" i="13" s="1"/>
  <c r="I4679" i="13" s="1"/>
  <c r="J4864" i="13" a="1"/>
  <c r="J4864" i="13" s="1"/>
  <c r="N4865" i="13"/>
  <c r="K4679" i="13" l="1"/>
  <c r="L4679" i="13" s="1"/>
  <c r="I4680" i="13" s="1"/>
  <c r="K4701" i="14"/>
  <c r="L4701" i="14" s="1"/>
  <c r="I4702" i="14" s="1"/>
  <c r="M4869" i="14"/>
  <c r="N4866" i="13"/>
  <c r="J4865" i="13" a="1"/>
  <c r="J4865" i="13" s="1"/>
  <c r="M4868" i="13"/>
  <c r="N4865" i="14"/>
  <c r="J4864" i="14" a="1"/>
  <c r="J4864" i="14" s="1"/>
  <c r="K4680" i="13" l="1"/>
  <c r="L4680" i="13" s="1"/>
  <c r="I4681" i="13" s="1"/>
  <c r="K4702" i="14"/>
  <c r="L4702" i="14" s="1"/>
  <c r="I4703" i="14" s="1"/>
  <c r="N4866" i="14"/>
  <c r="J4865" i="14" a="1"/>
  <c r="J4865" i="14" s="1"/>
  <c r="M4869" i="13"/>
  <c r="J4866" i="13" a="1"/>
  <c r="J4866" i="13" s="1"/>
  <c r="N4867" i="13"/>
  <c r="M4870" i="14"/>
  <c r="K4681" i="13" l="1"/>
  <c r="L4681" i="13" s="1"/>
  <c r="I4682" i="13" s="1"/>
  <c r="M4871" i="14"/>
  <c r="M4870" i="13"/>
  <c r="K4703" i="14"/>
  <c r="L4703" i="14" s="1"/>
  <c r="I4704" i="14" s="1"/>
  <c r="N4868" i="13"/>
  <c r="J4867" i="13" a="1"/>
  <c r="J4867" i="13" s="1"/>
  <c r="J4866" i="14" a="1"/>
  <c r="J4866" i="14" s="1"/>
  <c r="N4867" i="14"/>
  <c r="K4682" i="13" l="1"/>
  <c r="L4682" i="13" s="1"/>
  <c r="I4683" i="13" s="1"/>
  <c r="K4704" i="14"/>
  <c r="L4704" i="14" s="1"/>
  <c r="I4705" i="14" s="1"/>
  <c r="J4867" i="14" a="1"/>
  <c r="J4867" i="14" s="1"/>
  <c r="N4868" i="14"/>
  <c r="M4872" i="14"/>
  <c r="M4871" i="13"/>
  <c r="J4868" i="13" a="1"/>
  <c r="J4868" i="13" s="1"/>
  <c r="N4869" i="13"/>
  <c r="K4683" i="13" l="1"/>
  <c r="L4683" i="13" s="1"/>
  <c r="I4684" i="13" s="1"/>
  <c r="N4870" i="13"/>
  <c r="J4869" i="13" a="1"/>
  <c r="J4869" i="13" s="1"/>
  <c r="M4873" i="14"/>
  <c r="K4705" i="14"/>
  <c r="L4705" i="14" s="1"/>
  <c r="I4706" i="14" s="1"/>
  <c r="J4868" i="14" a="1"/>
  <c r="J4868" i="14" s="1"/>
  <c r="N4869" i="14"/>
  <c r="M4872" i="13"/>
  <c r="K4706" i="14" l="1"/>
  <c r="L4706" i="14" s="1"/>
  <c r="I4707" i="14" s="1"/>
  <c r="K4684" i="13"/>
  <c r="L4684" i="13" s="1"/>
  <c r="I4685" i="13" s="1"/>
  <c r="J4870" i="13" a="1"/>
  <c r="J4870" i="13" s="1"/>
  <c r="N4871" i="13"/>
  <c r="M4873" i="13"/>
  <c r="N4870" i="14"/>
  <c r="J4869" i="14" a="1"/>
  <c r="J4869" i="14" s="1"/>
  <c r="M4874" i="14"/>
  <c r="K4685" i="13" l="1"/>
  <c r="L4685" i="13" s="1"/>
  <c r="I4686" i="13" s="1"/>
  <c r="K4707" i="14"/>
  <c r="L4707" i="14" s="1"/>
  <c r="I4708" i="14" s="1"/>
  <c r="J4870" i="14" a="1"/>
  <c r="J4870" i="14" s="1"/>
  <c r="N4871" i="14"/>
  <c r="M4875" i="14"/>
  <c r="M4874" i="13"/>
  <c r="N4872" i="13"/>
  <c r="J4871" i="13" a="1"/>
  <c r="J4871" i="13" s="1"/>
  <c r="K4708" i="14" l="1"/>
  <c r="L4708" i="14" s="1"/>
  <c r="I4709" i="14" s="1"/>
  <c r="K4686" i="13"/>
  <c r="L4686" i="13" s="1"/>
  <c r="I4687" i="13" s="1"/>
  <c r="J4872" i="13" a="1"/>
  <c r="J4872" i="13" s="1"/>
  <c r="N4873" i="13"/>
  <c r="M4876" i="14"/>
  <c r="M4875" i="13"/>
  <c r="J4871" i="14" a="1"/>
  <c r="J4871" i="14" s="1"/>
  <c r="N4872" i="14"/>
  <c r="K4687" i="13" l="1"/>
  <c r="L4687" i="13" s="1"/>
  <c r="I4688" i="13" s="1"/>
  <c r="K4709" i="14"/>
  <c r="L4709" i="14" s="1"/>
  <c r="I4710" i="14" s="1"/>
  <c r="N4873" i="14"/>
  <c r="J4872" i="14" a="1"/>
  <c r="J4872" i="14" s="1"/>
  <c r="M4877" i="14"/>
  <c r="N4874" i="13"/>
  <c r="J4873" i="13" a="1"/>
  <c r="J4873" i="13" s="1"/>
  <c r="M4876" i="13"/>
  <c r="K4688" i="13" l="1"/>
  <c r="L4688" i="13" s="1"/>
  <c r="I4689" i="13" s="1"/>
  <c r="K4710" i="14"/>
  <c r="L4710" i="14" s="1"/>
  <c r="I4711" i="14" s="1"/>
  <c r="J4874" i="13" a="1"/>
  <c r="J4874" i="13" s="1"/>
  <c r="N4875" i="13"/>
  <c r="M4877" i="13"/>
  <c r="M4878" i="14"/>
  <c r="N4874" i="14"/>
  <c r="J4873" i="14" a="1"/>
  <c r="J4873" i="14" s="1"/>
  <c r="K4689" i="13" l="1"/>
  <c r="L4689" i="13" s="1"/>
  <c r="I4690" i="13" s="1"/>
  <c r="J4874" i="14" a="1"/>
  <c r="J4874" i="14" s="1"/>
  <c r="N4875" i="14"/>
  <c r="K4711" i="14"/>
  <c r="L4711" i="14" s="1"/>
  <c r="I4712" i="14" s="1"/>
  <c r="M4878" i="13"/>
  <c r="N4876" i="13"/>
  <c r="J4875" i="13" a="1"/>
  <c r="J4875" i="13" s="1"/>
  <c r="M4879" i="14"/>
  <c r="K4712" i="14" l="1"/>
  <c r="L4712" i="14" s="1"/>
  <c r="I4713" i="14" s="1"/>
  <c r="K4690" i="13"/>
  <c r="L4690" i="13" s="1"/>
  <c r="I4691" i="13" s="1"/>
  <c r="M4880" i="14"/>
  <c r="M4879" i="13"/>
  <c r="J4875" i="14" a="1"/>
  <c r="J4875" i="14" s="1"/>
  <c r="N4876" i="14"/>
  <c r="J4876" i="13" a="1"/>
  <c r="J4876" i="13" s="1"/>
  <c r="N4877" i="13"/>
  <c r="K4691" i="13" l="1"/>
  <c r="L4691" i="13" s="1"/>
  <c r="I4692" i="13" s="1"/>
  <c r="K4713" i="14"/>
  <c r="L4713" i="14" s="1"/>
  <c r="I4714" i="14" s="1"/>
  <c r="N4878" i="13"/>
  <c r="J4877" i="13" a="1"/>
  <c r="J4877" i="13" s="1"/>
  <c r="M4880" i="13"/>
  <c r="J4876" i="14" a="1"/>
  <c r="J4876" i="14" s="1"/>
  <c r="N4877" i="14"/>
  <c r="M4881" i="14"/>
  <c r="K4714" i="14" l="1"/>
  <c r="L4714" i="14" s="1"/>
  <c r="I4715" i="14" s="1"/>
  <c r="K4692" i="13"/>
  <c r="L4692" i="13" s="1"/>
  <c r="I4693" i="13" s="1"/>
  <c r="M4881" i="13"/>
  <c r="N4878" i="14"/>
  <c r="J4877" i="14" a="1"/>
  <c r="J4877" i="14" s="1"/>
  <c r="M4882" i="14"/>
  <c r="J4878" i="13" a="1"/>
  <c r="J4878" i="13" s="1"/>
  <c r="N4879" i="13"/>
  <c r="K4693" i="13" l="1"/>
  <c r="L4693" i="13" s="1"/>
  <c r="I4694" i="13" s="1"/>
  <c r="K4715" i="14"/>
  <c r="L4715" i="14" s="1"/>
  <c r="I4716" i="14" s="1"/>
  <c r="N4880" i="13"/>
  <c r="J4879" i="13" a="1"/>
  <c r="J4879" i="13" s="1"/>
  <c r="J4878" i="14" a="1"/>
  <c r="J4878" i="14" s="1"/>
  <c r="N4879" i="14"/>
  <c r="M4883" i="14"/>
  <c r="M4882" i="13"/>
  <c r="K4716" i="14" l="1"/>
  <c r="L4716" i="14" s="1"/>
  <c r="I4717" i="14" s="1"/>
  <c r="K4694" i="13"/>
  <c r="L4694" i="13" s="1"/>
  <c r="I4695" i="13" s="1"/>
  <c r="M4883" i="13"/>
  <c r="J4879" i="14" a="1"/>
  <c r="J4879" i="14" s="1"/>
  <c r="N4880" i="14"/>
  <c r="M4884" i="14"/>
  <c r="J4880" i="13" a="1"/>
  <c r="J4880" i="13" s="1"/>
  <c r="N4881" i="13"/>
  <c r="K4695" i="13" l="1"/>
  <c r="L4695" i="13" s="1"/>
  <c r="I4696" i="13" s="1"/>
  <c r="K4717" i="14"/>
  <c r="L4717" i="14" s="1"/>
  <c r="I4718" i="14" s="1"/>
  <c r="N4882" i="13"/>
  <c r="J4881" i="13" a="1"/>
  <c r="J4881" i="13" s="1"/>
  <c r="N4881" i="14"/>
  <c r="J4880" i="14" a="1"/>
  <c r="J4880" i="14" s="1"/>
  <c r="M4885" i="14"/>
  <c r="M4884" i="13"/>
  <c r="K4718" i="14" l="1"/>
  <c r="L4718" i="14" s="1"/>
  <c r="I4719" i="14" s="1"/>
  <c r="K4696" i="13"/>
  <c r="L4696" i="13" s="1"/>
  <c r="I4697" i="13" s="1"/>
  <c r="N4882" i="14"/>
  <c r="J4881" i="14" a="1"/>
  <c r="J4881" i="14" s="1"/>
  <c r="M4885" i="13"/>
  <c r="M4886" i="14"/>
  <c r="J4882" i="13" a="1"/>
  <c r="J4882" i="13" s="1"/>
  <c r="N4883" i="13"/>
  <c r="K4697" i="13" l="1"/>
  <c r="L4697" i="13" s="1"/>
  <c r="I4698" i="13" s="1"/>
  <c r="K4719" i="14"/>
  <c r="L4719" i="14" s="1"/>
  <c r="I4720" i="14" s="1"/>
  <c r="M4886" i="13"/>
  <c r="N4884" i="13"/>
  <c r="J4883" i="13" a="1"/>
  <c r="J4883" i="13" s="1"/>
  <c r="M4887" i="14"/>
  <c r="J4882" i="14" a="1"/>
  <c r="J4882" i="14" s="1"/>
  <c r="N4883" i="14"/>
  <c r="K4698" i="13" l="1"/>
  <c r="L4698" i="13" s="1"/>
  <c r="I4699" i="13" s="1"/>
  <c r="J4884" i="13" a="1"/>
  <c r="J4884" i="13" s="1"/>
  <c r="N4885" i="13"/>
  <c r="M4888" i="14"/>
  <c r="J4883" i="14" a="1"/>
  <c r="J4883" i="14" s="1"/>
  <c r="N4884" i="14"/>
  <c r="K4720" i="14"/>
  <c r="L4720" i="14" s="1"/>
  <c r="I4721" i="14" s="1"/>
  <c r="M4887" i="13"/>
  <c r="K4721" i="14" l="1"/>
  <c r="L4721" i="14" s="1"/>
  <c r="I4722" i="14" s="1"/>
  <c r="K4699" i="13"/>
  <c r="L4699" i="13" s="1"/>
  <c r="I4700" i="13" s="1"/>
  <c r="J4884" i="14" a="1"/>
  <c r="J4884" i="14" s="1"/>
  <c r="N4885" i="14"/>
  <c r="N4886" i="13"/>
  <c r="J4885" i="13" a="1"/>
  <c r="J4885" i="13" s="1"/>
  <c r="M4888" i="13"/>
  <c r="M4889" i="14"/>
  <c r="K4700" i="13" l="1"/>
  <c r="L4700" i="13" s="1"/>
  <c r="I4701" i="13" s="1"/>
  <c r="K4722" i="14"/>
  <c r="L4722" i="14" s="1"/>
  <c r="I4723" i="14" s="1"/>
  <c r="M4889" i="13"/>
  <c r="M4890" i="14"/>
  <c r="J4886" i="13" a="1"/>
  <c r="J4886" i="13" s="1"/>
  <c r="N4887" i="13"/>
  <c r="N4886" i="14"/>
  <c r="J4885" i="14" a="1"/>
  <c r="J4885" i="14" s="1"/>
  <c r="K4701" i="13" l="1"/>
  <c r="L4701" i="13" s="1"/>
  <c r="I4702" i="13" s="1"/>
  <c r="K4723" i="14"/>
  <c r="L4723" i="14" s="1"/>
  <c r="I4724" i="14" s="1"/>
  <c r="J4886" i="14" a="1"/>
  <c r="J4886" i="14" s="1"/>
  <c r="N4887" i="14"/>
  <c r="M4891" i="14"/>
  <c r="N4888" i="13"/>
  <c r="J4887" i="13" a="1"/>
  <c r="J4887" i="13" s="1"/>
  <c r="M4890" i="13"/>
  <c r="K4702" i="13" l="1"/>
  <c r="L4702" i="13" s="1"/>
  <c r="I4703" i="13" s="1"/>
  <c r="J4888" i="13" a="1"/>
  <c r="J4888" i="13" s="1"/>
  <c r="N4889" i="13"/>
  <c r="M4891" i="13"/>
  <c r="M4892" i="14"/>
  <c r="K4724" i="14"/>
  <c r="L4724" i="14" s="1"/>
  <c r="I4725" i="14" s="1"/>
  <c r="J4887" i="14" a="1"/>
  <c r="J4887" i="14" s="1"/>
  <c r="N4888" i="14"/>
  <c r="K4725" i="14" l="1"/>
  <c r="L4725" i="14" s="1"/>
  <c r="I4726" i="14" s="1"/>
  <c r="K4703" i="13"/>
  <c r="L4703" i="13" s="1"/>
  <c r="I4704" i="13" s="1"/>
  <c r="N4889" i="14"/>
  <c r="J4888" i="14" a="1"/>
  <c r="J4888" i="14" s="1"/>
  <c r="M4893" i="14"/>
  <c r="N4890" i="13"/>
  <c r="J4889" i="13" a="1"/>
  <c r="J4889" i="13" s="1"/>
  <c r="M4892" i="13"/>
  <c r="K4704" i="13" l="1"/>
  <c r="L4704" i="13" s="1"/>
  <c r="I4705" i="13" s="1"/>
  <c r="K4726" i="14"/>
  <c r="L4726" i="14" s="1"/>
  <c r="I4727" i="14" s="1"/>
  <c r="M4893" i="13"/>
  <c r="M4894" i="14"/>
  <c r="J4890" i="13" a="1"/>
  <c r="J4890" i="13" s="1"/>
  <c r="N4891" i="13"/>
  <c r="N4890" i="14"/>
  <c r="J4889" i="14" a="1"/>
  <c r="J4889" i="14" s="1"/>
  <c r="K4705" i="13" l="1"/>
  <c r="L4705" i="13" s="1"/>
  <c r="I4706" i="13" s="1"/>
  <c r="K4727" i="14"/>
  <c r="L4727" i="14" s="1"/>
  <c r="I4728" i="14" s="1"/>
  <c r="M4895" i="14"/>
  <c r="J4890" i="14" a="1"/>
  <c r="J4890" i="14" s="1"/>
  <c r="N4891" i="14"/>
  <c r="N4892" i="13"/>
  <c r="J4891" i="13" a="1"/>
  <c r="J4891" i="13" s="1"/>
  <c r="M4894" i="13"/>
  <c r="K4706" i="13" l="1"/>
  <c r="L4706" i="13" s="1"/>
  <c r="I4707" i="13" s="1"/>
  <c r="M4895" i="13"/>
  <c r="J4891" i="14" a="1"/>
  <c r="J4891" i="14" s="1"/>
  <c r="N4892" i="14"/>
  <c r="K4728" i="14"/>
  <c r="L4728" i="14" s="1"/>
  <c r="I4729" i="14" s="1"/>
  <c r="M4896" i="14"/>
  <c r="J4892" i="13" a="1"/>
  <c r="J4892" i="13" s="1"/>
  <c r="N4893" i="13"/>
  <c r="K4707" i="13" l="1"/>
  <c r="L4707" i="13" s="1"/>
  <c r="I4708" i="13" s="1"/>
  <c r="N4894" i="13"/>
  <c r="J4893" i="13" a="1"/>
  <c r="J4893" i="13" s="1"/>
  <c r="K4729" i="14"/>
  <c r="L4729" i="14" s="1"/>
  <c r="I4730" i="14" s="1"/>
  <c r="M4896" i="13"/>
  <c r="M4897" i="14"/>
  <c r="J4892" i="14" a="1"/>
  <c r="J4892" i="14" s="1"/>
  <c r="N4893" i="14"/>
  <c r="K4730" i="14" l="1"/>
  <c r="L4730" i="14" s="1"/>
  <c r="I4731" i="14" s="1"/>
  <c r="K4708" i="13"/>
  <c r="L4708" i="13" s="1"/>
  <c r="I4709" i="13" s="1"/>
  <c r="M4897" i="13"/>
  <c r="N4894" i="14"/>
  <c r="J4893" i="14" a="1"/>
  <c r="J4893" i="14" s="1"/>
  <c r="J4894" i="13" a="1"/>
  <c r="J4894" i="13" s="1"/>
  <c r="N4895" i="13"/>
  <c r="M4898" i="14"/>
  <c r="K4731" i="14" l="1"/>
  <c r="L4731" i="14" s="1"/>
  <c r="I4732" i="14" s="1"/>
  <c r="M4899" i="14"/>
  <c r="K4709" i="13"/>
  <c r="L4709" i="13" s="1"/>
  <c r="I4710" i="13" s="1"/>
  <c r="J4894" i="14" a="1"/>
  <c r="J4894" i="14" s="1"/>
  <c r="N4895" i="14"/>
  <c r="N4896" i="13"/>
  <c r="J4895" i="13" a="1"/>
  <c r="J4895" i="13" s="1"/>
  <c r="M4898" i="13"/>
  <c r="K4710" i="13" l="1"/>
  <c r="L4710" i="13" s="1"/>
  <c r="I4711" i="13" s="1"/>
  <c r="K4732" i="14"/>
  <c r="L4732" i="14" s="1"/>
  <c r="I4733" i="14" s="1"/>
  <c r="M4899" i="13"/>
  <c r="J4895" i="14" a="1"/>
  <c r="J4895" i="14" s="1"/>
  <c r="N4896" i="14"/>
  <c r="M4900" i="14"/>
  <c r="J4896" i="13" a="1"/>
  <c r="J4896" i="13" s="1"/>
  <c r="N4897" i="13"/>
  <c r="K4711" i="13" l="1"/>
  <c r="L4711" i="13" s="1"/>
  <c r="I4712" i="13" s="1"/>
  <c r="N4898" i="13"/>
  <c r="J4897" i="13" a="1"/>
  <c r="J4897" i="13" s="1"/>
  <c r="N4897" i="14"/>
  <c r="J4896" i="14" a="1"/>
  <c r="J4896" i="14" s="1"/>
  <c r="K4733" i="14"/>
  <c r="L4733" i="14" s="1"/>
  <c r="I4734" i="14" s="1"/>
  <c r="M4901" i="14"/>
  <c r="M4900" i="13"/>
  <c r="K4712" i="13" l="1"/>
  <c r="L4712" i="13" s="1"/>
  <c r="I4713" i="13" s="1"/>
  <c r="M4902" i="14"/>
  <c r="M4901" i="13"/>
  <c r="J4898" i="13" a="1"/>
  <c r="J4898" i="13" s="1"/>
  <c r="N4899" i="13"/>
  <c r="K4734" i="14"/>
  <c r="L4734" i="14" s="1"/>
  <c r="I4735" i="14" s="1"/>
  <c r="N4898" i="14"/>
  <c r="J4897" i="14" a="1"/>
  <c r="J4897" i="14" s="1"/>
  <c r="K4735" i="14" l="1"/>
  <c r="L4735" i="14" s="1"/>
  <c r="I4736" i="14" s="1"/>
  <c r="K4713" i="13"/>
  <c r="L4713" i="13" s="1"/>
  <c r="I4714" i="13" s="1"/>
  <c r="N4900" i="13"/>
  <c r="J4899" i="13" a="1"/>
  <c r="J4899" i="13" s="1"/>
  <c r="M4903" i="14"/>
  <c r="J4898" i="14" a="1"/>
  <c r="J4898" i="14" s="1"/>
  <c r="N4899" i="14"/>
  <c r="M4902" i="13"/>
  <c r="K4736" i="14" l="1"/>
  <c r="L4736" i="14" s="1"/>
  <c r="I4737" i="14" s="1"/>
  <c r="M4903" i="13"/>
  <c r="M4904" i="14"/>
  <c r="K4714" i="13"/>
  <c r="L4714" i="13" s="1"/>
  <c r="I4715" i="13" s="1"/>
  <c r="J4899" i="14" a="1"/>
  <c r="J4899" i="14" s="1"/>
  <c r="N4900" i="14"/>
  <c r="J4900" i="13" a="1"/>
  <c r="J4900" i="13" s="1"/>
  <c r="N4901" i="13"/>
  <c r="K4737" i="14" l="1"/>
  <c r="L4737" i="14" s="1"/>
  <c r="I4738" i="14" s="1"/>
  <c r="N4902" i="13"/>
  <c r="J4901" i="13" a="1"/>
  <c r="J4901" i="13" s="1"/>
  <c r="M4904" i="13"/>
  <c r="K4715" i="13"/>
  <c r="L4715" i="13" s="1"/>
  <c r="I4716" i="13" s="1"/>
  <c r="J4900" i="14" a="1"/>
  <c r="J4900" i="14" s="1"/>
  <c r="N4901" i="14"/>
  <c r="M4905" i="14"/>
  <c r="K4716" i="13" l="1"/>
  <c r="L4716" i="13" s="1"/>
  <c r="I4717" i="13" s="1"/>
  <c r="K4738" i="14"/>
  <c r="L4738" i="14" s="1"/>
  <c r="I4739" i="14" s="1"/>
  <c r="J4902" i="13" a="1"/>
  <c r="J4902" i="13" s="1"/>
  <c r="N4903" i="13"/>
  <c r="M4906" i="14"/>
  <c r="N4902" i="14"/>
  <c r="J4901" i="14" a="1"/>
  <c r="J4901" i="14" s="1"/>
  <c r="M4905" i="13"/>
  <c r="K4717" i="13" l="1"/>
  <c r="L4717" i="13" s="1"/>
  <c r="I4718" i="13" s="1"/>
  <c r="M4907" i="14"/>
  <c r="M4906" i="13"/>
  <c r="K4739" i="14"/>
  <c r="L4739" i="14" s="1"/>
  <c r="I4740" i="14" s="1"/>
  <c r="N4904" i="13"/>
  <c r="J4903" i="13" a="1"/>
  <c r="J4903" i="13" s="1"/>
  <c r="J4902" i="14" a="1"/>
  <c r="J4902" i="14" s="1"/>
  <c r="N4903" i="14"/>
  <c r="K4718" i="13" l="1"/>
  <c r="L4718" i="13" s="1"/>
  <c r="I4719" i="13" s="1"/>
  <c r="J4903" i="14" a="1"/>
  <c r="J4903" i="14" s="1"/>
  <c r="N4904" i="14"/>
  <c r="M4908" i="14"/>
  <c r="K4740" i="14"/>
  <c r="L4740" i="14" s="1"/>
  <c r="I4741" i="14" s="1"/>
  <c r="M4907" i="13"/>
  <c r="J4904" i="13" a="1"/>
  <c r="J4904" i="13" s="1"/>
  <c r="N4905" i="13"/>
  <c r="K4741" i="14" l="1"/>
  <c r="L4741" i="14" s="1"/>
  <c r="I4742" i="14" s="1"/>
  <c r="K4719" i="13"/>
  <c r="L4719" i="13" s="1"/>
  <c r="I4720" i="13" s="1"/>
  <c r="N4905" i="14"/>
  <c r="J4904" i="14" a="1"/>
  <c r="J4904" i="14" s="1"/>
  <c r="N4906" i="13"/>
  <c r="J4905" i="13" a="1"/>
  <c r="J4905" i="13" s="1"/>
  <c r="M4909" i="14"/>
  <c r="M4908" i="13"/>
  <c r="K4720" i="13" l="1"/>
  <c r="L4720" i="13" s="1"/>
  <c r="I4721" i="13" s="1"/>
  <c r="K4742" i="14"/>
  <c r="L4742" i="14" s="1"/>
  <c r="I4743" i="14" s="1"/>
  <c r="M4909" i="13"/>
  <c r="J4906" i="13" a="1"/>
  <c r="J4906" i="13" s="1"/>
  <c r="N4907" i="13"/>
  <c r="M4910" i="14"/>
  <c r="N4906" i="14"/>
  <c r="J4905" i="14" a="1"/>
  <c r="J4905" i="14" s="1"/>
  <c r="K4743" i="14" l="1"/>
  <c r="L4743" i="14" s="1"/>
  <c r="I4744" i="14" s="1"/>
  <c r="K4721" i="13"/>
  <c r="L4721" i="13" s="1"/>
  <c r="I4722" i="13" s="1"/>
  <c r="N4908" i="13"/>
  <c r="J4907" i="13" a="1"/>
  <c r="J4907" i="13" s="1"/>
  <c r="J4906" i="14" a="1"/>
  <c r="J4906" i="14" s="1"/>
  <c r="N4907" i="14"/>
  <c r="M4911" i="14"/>
  <c r="M4910" i="13"/>
  <c r="K4744" i="14" l="1"/>
  <c r="L4744" i="14" s="1"/>
  <c r="I4745" i="14" s="1"/>
  <c r="M4911" i="13"/>
  <c r="J4907" i="14" a="1"/>
  <c r="J4907" i="14" s="1"/>
  <c r="N4908" i="14"/>
  <c r="K4722" i="13"/>
  <c r="L4722" i="13" s="1"/>
  <c r="I4723" i="13" s="1"/>
  <c r="M4912" i="14"/>
  <c r="J4908" i="13" a="1"/>
  <c r="J4908" i="13" s="1"/>
  <c r="N4909" i="13"/>
  <c r="K4745" i="14" l="1"/>
  <c r="L4745" i="14" s="1"/>
  <c r="I4746" i="14" s="1"/>
  <c r="M4913" i="14"/>
  <c r="N4910" i="13"/>
  <c r="J4909" i="13" a="1"/>
  <c r="J4909" i="13" s="1"/>
  <c r="K4723" i="13"/>
  <c r="L4723" i="13" s="1"/>
  <c r="I4724" i="13" s="1"/>
  <c r="M4912" i="13"/>
  <c r="J4908" i="14" a="1"/>
  <c r="J4908" i="14" s="1"/>
  <c r="N4909" i="14"/>
  <c r="K4746" i="14" l="1"/>
  <c r="L4746" i="14" s="1"/>
  <c r="I4747" i="14" s="1"/>
  <c r="K4724" i="13"/>
  <c r="L4724" i="13" s="1"/>
  <c r="I4725" i="13" s="1"/>
  <c r="N4910" i="14"/>
  <c r="J4909" i="14" a="1"/>
  <c r="J4909" i="14" s="1"/>
  <c r="M4914" i="14"/>
  <c r="M4913" i="13"/>
  <c r="J4910" i="13" a="1"/>
  <c r="J4910" i="13" s="1"/>
  <c r="N4911" i="13"/>
  <c r="K4747" i="14" l="1"/>
  <c r="L4747" i="14" s="1"/>
  <c r="I4748" i="14" s="1"/>
  <c r="N4912" i="13"/>
  <c r="J4911" i="13" a="1"/>
  <c r="J4911" i="13" s="1"/>
  <c r="M4915" i="14"/>
  <c r="K4725" i="13"/>
  <c r="L4725" i="13" s="1"/>
  <c r="I4726" i="13" s="1"/>
  <c r="M4914" i="13"/>
  <c r="J4910" i="14" a="1"/>
  <c r="J4910" i="14" s="1"/>
  <c r="N4911" i="14"/>
  <c r="K4726" i="13" l="1"/>
  <c r="L4726" i="13" s="1"/>
  <c r="I4727" i="13" s="1"/>
  <c r="K4748" i="14"/>
  <c r="L4748" i="14" s="1"/>
  <c r="I4749" i="14" s="1"/>
  <c r="J4912" i="13" a="1"/>
  <c r="J4912" i="13" s="1"/>
  <c r="N4913" i="13"/>
  <c r="N4912" i="14"/>
  <c r="J4911" i="14" a="1"/>
  <c r="J4911" i="14" s="1"/>
  <c r="M4915" i="13"/>
  <c r="M4916" i="14"/>
  <c r="K4727" i="13" l="1"/>
  <c r="L4727" i="13" s="1"/>
  <c r="I4728" i="13" s="1"/>
  <c r="K4749" i="14"/>
  <c r="L4749" i="14" s="1"/>
  <c r="I4750" i="14" s="1"/>
  <c r="M4917" i="14"/>
  <c r="J4912" i="14" a="1"/>
  <c r="J4912" i="14" s="1"/>
  <c r="N4913" i="14"/>
  <c r="N4914" i="13"/>
  <c r="J4913" i="13" a="1"/>
  <c r="J4913" i="13" s="1"/>
  <c r="M4916" i="13"/>
  <c r="K4728" i="13" l="1"/>
  <c r="L4728" i="13" s="1"/>
  <c r="I4729" i="13" s="1"/>
  <c r="M4917" i="13"/>
  <c r="N4914" i="14"/>
  <c r="J4913" i="14" a="1"/>
  <c r="J4913" i="14" s="1"/>
  <c r="K4750" i="14"/>
  <c r="L4750" i="14" s="1"/>
  <c r="I4751" i="14" s="1"/>
  <c r="J4914" i="13" a="1"/>
  <c r="J4914" i="13" s="1"/>
  <c r="N4915" i="13"/>
  <c r="M4918" i="14"/>
  <c r="K4729" i="13" l="1"/>
  <c r="L4729" i="13" s="1"/>
  <c r="I4730" i="13" s="1"/>
  <c r="M4919" i="14"/>
  <c r="K4751" i="14"/>
  <c r="L4751" i="14" s="1"/>
  <c r="I4752" i="14" s="1"/>
  <c r="M4918" i="13"/>
  <c r="N4916" i="13"/>
  <c r="J4915" i="13" a="1"/>
  <c r="J4915" i="13" s="1"/>
  <c r="N4915" i="14"/>
  <c r="J4914" i="14" a="1"/>
  <c r="J4914" i="14" s="1"/>
  <c r="K4752" i="14" l="1"/>
  <c r="L4752" i="14" s="1"/>
  <c r="I4753" i="14" s="1"/>
  <c r="K4730" i="13"/>
  <c r="L4730" i="13" s="1"/>
  <c r="I4731" i="13" s="1"/>
  <c r="M4919" i="13"/>
  <c r="M4920" i="14"/>
  <c r="N4916" i="14"/>
  <c r="J4915" i="14" a="1"/>
  <c r="J4915" i="14" s="1"/>
  <c r="J4916" i="13" a="1"/>
  <c r="J4916" i="13" s="1"/>
  <c r="N4917" i="13"/>
  <c r="K4753" i="14" l="1"/>
  <c r="L4753" i="14" s="1"/>
  <c r="I4754" i="14" s="1"/>
  <c r="N4918" i="13"/>
  <c r="J4917" i="13" a="1"/>
  <c r="J4917" i="13" s="1"/>
  <c r="M4921" i="14"/>
  <c r="K4731" i="13"/>
  <c r="L4731" i="13" s="1"/>
  <c r="I4732" i="13" s="1"/>
  <c r="J4916" i="14" a="1"/>
  <c r="J4916" i="14" s="1"/>
  <c r="N4917" i="14"/>
  <c r="M4920" i="13"/>
  <c r="K4732" i="13" l="1"/>
  <c r="L4732" i="13" s="1"/>
  <c r="I4733" i="13" s="1"/>
  <c r="K4754" i="14"/>
  <c r="L4754" i="14" s="1"/>
  <c r="I4755" i="14" s="1"/>
  <c r="M4921" i="13"/>
  <c r="J4918" i="13" a="1"/>
  <c r="J4918" i="13" s="1"/>
  <c r="N4919" i="13"/>
  <c r="N4918" i="14"/>
  <c r="J4917" i="14" a="1"/>
  <c r="J4917" i="14" s="1"/>
  <c r="M4922" i="14"/>
  <c r="K4733" i="13" l="1"/>
  <c r="L4733" i="13" s="1"/>
  <c r="I4734" i="13" s="1"/>
  <c r="M4923" i="14"/>
  <c r="N4920" i="13"/>
  <c r="J4919" i="13" a="1"/>
  <c r="J4919" i="13" s="1"/>
  <c r="K4755" i="14"/>
  <c r="L4755" i="14" s="1"/>
  <c r="I4756" i="14" s="1"/>
  <c r="N4919" i="14"/>
  <c r="J4918" i="14" a="1"/>
  <c r="J4918" i="14" s="1"/>
  <c r="M4922" i="13"/>
  <c r="K4734" i="13" l="1"/>
  <c r="L4734" i="13" s="1"/>
  <c r="I4735" i="13" s="1"/>
  <c r="N4920" i="14"/>
  <c r="J4919" i="14" a="1"/>
  <c r="J4919" i="14" s="1"/>
  <c r="M4923" i="13"/>
  <c r="K4756" i="14"/>
  <c r="L4756" i="14" s="1"/>
  <c r="I4757" i="14" s="1"/>
  <c r="M4924" i="14"/>
  <c r="J4920" i="13" a="1"/>
  <c r="J4920" i="13" s="1"/>
  <c r="N4921" i="13"/>
  <c r="K4757" i="14" l="1"/>
  <c r="L4757" i="14" s="1"/>
  <c r="I4758" i="14" s="1"/>
  <c r="K4735" i="13"/>
  <c r="L4735" i="13" s="1"/>
  <c r="I4736" i="13" s="1"/>
  <c r="J4920" i="14" a="1"/>
  <c r="J4920" i="14" s="1"/>
  <c r="N4921" i="14"/>
  <c r="N4922" i="13"/>
  <c r="J4921" i="13" a="1"/>
  <c r="J4921" i="13" s="1"/>
  <c r="M4925" i="14"/>
  <c r="M4924" i="13"/>
  <c r="K4758" i="14" l="1"/>
  <c r="L4758" i="14" s="1"/>
  <c r="I4759" i="14" s="1"/>
  <c r="K4736" i="13"/>
  <c r="L4736" i="13" s="1"/>
  <c r="I4737" i="13" s="1"/>
  <c r="M4925" i="13"/>
  <c r="J4922" i="13" a="1"/>
  <c r="J4922" i="13" s="1"/>
  <c r="N4923" i="13"/>
  <c r="M4926" i="14"/>
  <c r="N4922" i="14"/>
  <c r="J4921" i="14" a="1"/>
  <c r="J4921" i="14" s="1"/>
  <c r="K4737" i="13" l="1"/>
  <c r="L4737" i="13" s="1"/>
  <c r="I4738" i="13" s="1"/>
  <c r="K4759" i="14"/>
  <c r="L4759" i="14" s="1"/>
  <c r="I4760" i="14" s="1"/>
  <c r="N4924" i="13"/>
  <c r="J4923" i="13" a="1"/>
  <c r="J4923" i="13" s="1"/>
  <c r="N4923" i="14"/>
  <c r="J4922" i="14" a="1"/>
  <c r="J4922" i="14" s="1"/>
  <c r="M4927" i="14"/>
  <c r="M4926" i="13"/>
  <c r="K4760" i="14" l="1"/>
  <c r="L4760" i="14" s="1"/>
  <c r="I4761" i="14" s="1"/>
  <c r="K4738" i="13"/>
  <c r="L4738" i="13" s="1"/>
  <c r="I4739" i="13" s="1"/>
  <c r="M4927" i="13"/>
  <c r="N4924" i="14"/>
  <c r="J4923" i="14" a="1"/>
  <c r="J4923" i="14" s="1"/>
  <c r="M4928" i="14"/>
  <c r="J4924" i="13" a="1"/>
  <c r="J4924" i="13" s="1"/>
  <c r="N4925" i="13"/>
  <c r="K4761" i="14" l="1"/>
  <c r="L4761" i="14" s="1"/>
  <c r="I4762" i="14" s="1"/>
  <c r="N4926" i="13"/>
  <c r="J4925" i="13" a="1"/>
  <c r="J4925" i="13" s="1"/>
  <c r="K4739" i="13"/>
  <c r="L4739" i="13" s="1"/>
  <c r="I4740" i="13" s="1"/>
  <c r="J4924" i="14" a="1"/>
  <c r="J4924" i="14" s="1"/>
  <c r="N4925" i="14"/>
  <c r="M4929" i="14"/>
  <c r="M4928" i="13"/>
  <c r="K4740" i="13" l="1"/>
  <c r="L4740" i="13" s="1"/>
  <c r="I4741" i="13" s="1"/>
  <c r="K4762" i="14"/>
  <c r="L4762" i="14" s="1"/>
  <c r="I4763" i="14" s="1"/>
  <c r="M4929" i="13"/>
  <c r="J4926" i="13" a="1"/>
  <c r="J4926" i="13" s="1"/>
  <c r="N4927" i="13"/>
  <c r="N4926" i="14"/>
  <c r="J4925" i="14" a="1"/>
  <c r="J4925" i="14" s="1"/>
  <c r="M4930" i="14"/>
  <c r="K4741" i="13" l="1"/>
  <c r="L4741" i="13" s="1"/>
  <c r="I4742" i="13" s="1"/>
  <c r="M4931" i="14"/>
  <c r="N4928" i="13"/>
  <c r="J4927" i="13" a="1"/>
  <c r="J4927" i="13" s="1"/>
  <c r="K4763" i="14"/>
  <c r="L4763" i="14" s="1"/>
  <c r="I4764" i="14" s="1"/>
  <c r="J4926" i="14" a="1"/>
  <c r="J4926" i="14" s="1"/>
  <c r="N4927" i="14"/>
  <c r="M4930" i="13"/>
  <c r="K4742" i="13" l="1"/>
  <c r="L4742" i="13" s="1"/>
  <c r="I4743" i="13" s="1"/>
  <c r="M4931" i="13"/>
  <c r="M4932" i="14"/>
  <c r="N4928" i="14"/>
  <c r="J4927" i="14" a="1"/>
  <c r="J4927" i="14" s="1"/>
  <c r="K4764" i="14"/>
  <c r="L4764" i="14" s="1"/>
  <c r="I4765" i="14" s="1"/>
  <c r="J4928" i="13" a="1"/>
  <c r="J4928" i="13" s="1"/>
  <c r="N4929" i="13"/>
  <c r="K4765" i="14" l="1"/>
  <c r="L4765" i="14" s="1"/>
  <c r="I4766" i="14" s="1"/>
  <c r="K4743" i="13"/>
  <c r="L4743" i="13" s="1"/>
  <c r="I4744" i="13" s="1"/>
  <c r="N4930" i="13"/>
  <c r="J4929" i="13" a="1"/>
  <c r="J4929" i="13" s="1"/>
  <c r="M4932" i="13"/>
  <c r="J4928" i="14" a="1"/>
  <c r="J4928" i="14" s="1"/>
  <c r="N4929" i="14"/>
  <c r="M4933" i="14"/>
  <c r="K4766" i="14" l="1"/>
  <c r="L4766" i="14" s="1"/>
  <c r="I4767" i="14" s="1"/>
  <c r="M4933" i="13"/>
  <c r="M4934" i="14"/>
  <c r="K4744" i="13"/>
  <c r="L4744" i="13" s="1"/>
  <c r="I4745" i="13" s="1"/>
  <c r="J4929" i="14" a="1"/>
  <c r="J4929" i="14" s="1"/>
  <c r="N4930" i="14"/>
  <c r="J4930" i="13" a="1"/>
  <c r="J4930" i="13" s="1"/>
  <c r="N4931" i="13"/>
  <c r="K4767" i="14" l="1"/>
  <c r="L4767" i="14" s="1"/>
  <c r="I4768" i="14" s="1"/>
  <c r="N4932" i="13"/>
  <c r="J4931" i="13" a="1"/>
  <c r="J4931" i="13" s="1"/>
  <c r="K4745" i="13"/>
  <c r="L4745" i="13" s="1"/>
  <c r="I4746" i="13" s="1"/>
  <c r="M4934" i="13"/>
  <c r="J4930" i="14" a="1"/>
  <c r="J4930" i="14" s="1"/>
  <c r="N4931" i="14"/>
  <c r="M4935" i="14"/>
  <c r="K4746" i="13" l="1"/>
  <c r="L4746" i="13" s="1"/>
  <c r="I4747" i="13" s="1"/>
  <c r="K4768" i="14"/>
  <c r="L4768" i="14" s="1"/>
  <c r="I4769" i="14" s="1"/>
  <c r="J4932" i="13" a="1"/>
  <c r="J4932" i="13" s="1"/>
  <c r="N4933" i="13"/>
  <c r="N4932" i="14"/>
  <c r="J4931" i="14" a="1"/>
  <c r="J4931" i="14" s="1"/>
  <c r="M4935" i="13"/>
  <c r="M4936" i="14"/>
  <c r="M4937" i="14" l="1"/>
  <c r="M4936" i="13"/>
  <c r="K4769" i="14"/>
  <c r="L4769" i="14" s="1"/>
  <c r="I4770" i="14" s="1"/>
  <c r="J4932" i="14" a="1"/>
  <c r="J4932" i="14" s="1"/>
  <c r="N4933" i="14"/>
  <c r="N4934" i="13"/>
  <c r="J4933" i="13" a="1"/>
  <c r="J4933" i="13" s="1"/>
  <c r="K4747" i="13"/>
  <c r="L4747" i="13" s="1"/>
  <c r="I4748" i="13" s="1"/>
  <c r="K4748" i="13" l="1"/>
  <c r="L4748" i="13" s="1"/>
  <c r="I4749" i="13" s="1"/>
  <c r="K4770" i="14"/>
  <c r="L4770" i="14" s="1"/>
  <c r="I4771" i="14" s="1"/>
  <c r="J4933" i="14" a="1"/>
  <c r="J4933" i="14" s="1"/>
  <c r="N4934" i="14"/>
  <c r="M4937" i="13"/>
  <c r="J4934" i="13" a="1"/>
  <c r="J4934" i="13" s="1"/>
  <c r="N4935" i="13"/>
  <c r="M4938" i="14"/>
  <c r="K4749" i="13" l="1"/>
  <c r="L4749" i="13" s="1"/>
  <c r="I4750" i="13" s="1"/>
  <c r="M4939" i="14"/>
  <c r="M4938" i="13"/>
  <c r="K4771" i="14"/>
  <c r="L4771" i="14" s="1"/>
  <c r="I4772" i="14" s="1"/>
  <c r="N4935" i="14"/>
  <c r="J4934" i="14" a="1"/>
  <c r="J4934" i="14" s="1"/>
  <c r="N4936" i="13"/>
  <c r="J4935" i="13" a="1"/>
  <c r="J4935" i="13" s="1"/>
  <c r="K4750" i="13" l="1"/>
  <c r="L4750" i="13" s="1"/>
  <c r="I4751" i="13" s="1"/>
  <c r="J4936" i="13" a="1"/>
  <c r="J4936" i="13" s="1"/>
  <c r="N4937" i="13"/>
  <c r="K4772" i="14"/>
  <c r="L4772" i="14" s="1"/>
  <c r="I4773" i="14" s="1"/>
  <c r="M4940" i="14"/>
  <c r="M4939" i="13"/>
  <c r="N4936" i="14"/>
  <c r="J4935" i="14" a="1"/>
  <c r="J4935" i="14" s="1"/>
  <c r="K4773" i="14" l="1"/>
  <c r="L4773" i="14" s="1"/>
  <c r="I4774" i="14" s="1"/>
  <c r="K4751" i="13"/>
  <c r="L4751" i="13" s="1"/>
  <c r="I4752" i="13" s="1"/>
  <c r="N4938" i="13"/>
  <c r="J4937" i="13" a="1"/>
  <c r="J4937" i="13" s="1"/>
  <c r="J4936" i="14" a="1"/>
  <c r="J4936" i="14" s="1"/>
  <c r="N4937" i="14"/>
  <c r="M4941" i="14"/>
  <c r="M4940" i="13"/>
  <c r="K4752" i="13" l="1"/>
  <c r="L4752" i="13" s="1"/>
  <c r="I4753" i="13" s="1"/>
  <c r="K4774" i="14"/>
  <c r="L4774" i="14" s="1"/>
  <c r="I4775" i="14" s="1"/>
  <c r="N4938" i="14"/>
  <c r="J4937" i="14" a="1"/>
  <c r="J4937" i="14" s="1"/>
  <c r="M4942" i="14"/>
  <c r="M4941" i="13"/>
  <c r="J4938" i="13" a="1"/>
  <c r="J4938" i="13" s="1"/>
  <c r="N4939" i="13"/>
  <c r="K4775" i="14" l="1"/>
  <c r="L4775" i="14" s="1"/>
  <c r="I4776" i="14" s="1"/>
  <c r="K4753" i="13"/>
  <c r="L4753" i="13" s="1"/>
  <c r="I4754" i="13" s="1"/>
  <c r="N4940" i="13"/>
  <c r="J4939" i="13" a="1"/>
  <c r="J4939" i="13" s="1"/>
  <c r="M4943" i="14"/>
  <c r="M4942" i="13"/>
  <c r="N4939" i="14"/>
  <c r="J4938" i="14" a="1"/>
  <c r="J4938" i="14" s="1"/>
  <c r="K4776" i="14" l="1"/>
  <c r="L4776" i="14" s="1"/>
  <c r="I4777" i="14" s="1"/>
  <c r="N4940" i="14"/>
  <c r="J4939" i="14" a="1"/>
  <c r="J4939" i="14" s="1"/>
  <c r="K4754" i="13"/>
  <c r="L4754" i="13" s="1"/>
  <c r="I4755" i="13" s="1"/>
  <c r="M4944" i="14"/>
  <c r="M4943" i="13"/>
  <c r="J4940" i="13" a="1"/>
  <c r="J4940" i="13" s="1"/>
  <c r="N4941" i="13"/>
  <c r="K4755" i="13" l="1"/>
  <c r="L4755" i="13" s="1"/>
  <c r="I4756" i="13" s="1"/>
  <c r="K4777" i="14"/>
  <c r="L4777" i="14" s="1"/>
  <c r="I4778" i="14" s="1"/>
  <c r="N4942" i="13"/>
  <c r="J4941" i="13" a="1"/>
  <c r="J4941" i="13" s="1"/>
  <c r="M4945" i="14"/>
  <c r="J4940" i="14" a="1"/>
  <c r="J4940" i="14" s="1"/>
  <c r="N4941" i="14"/>
  <c r="M4944" i="13"/>
  <c r="K4778" i="14" l="1"/>
  <c r="L4778" i="14" s="1"/>
  <c r="I4779" i="14" s="1"/>
  <c r="K4756" i="13"/>
  <c r="L4756" i="13" s="1"/>
  <c r="I4757" i="13" s="1"/>
  <c r="M4945" i="13"/>
  <c r="M4946" i="14"/>
  <c r="N4942" i="14"/>
  <c r="J4941" i="14" a="1"/>
  <c r="J4941" i="14" s="1"/>
  <c r="J4942" i="13" a="1"/>
  <c r="J4942" i="13" s="1"/>
  <c r="N4943" i="13"/>
  <c r="K4757" i="13" l="1"/>
  <c r="L4757" i="13" s="1"/>
  <c r="I4758" i="13" s="1"/>
  <c r="N4944" i="13"/>
  <c r="J4943" i="13" a="1"/>
  <c r="J4943" i="13" s="1"/>
  <c r="M4947" i="14"/>
  <c r="N4943" i="14"/>
  <c r="J4942" i="14" a="1"/>
  <c r="J4942" i="14" s="1"/>
  <c r="M4946" i="13"/>
  <c r="K4779" i="14"/>
  <c r="L4779" i="14" s="1"/>
  <c r="I4780" i="14" s="1"/>
  <c r="K4780" i="14" l="1"/>
  <c r="L4780" i="14" s="1"/>
  <c r="I4781" i="14" s="1"/>
  <c r="K4758" i="13"/>
  <c r="L4758" i="13" s="1"/>
  <c r="I4759" i="13" s="1"/>
  <c r="N4944" i="14"/>
  <c r="J4943" i="14" a="1"/>
  <c r="J4943" i="14" s="1"/>
  <c r="J4944" i="13" a="1"/>
  <c r="J4944" i="13" s="1"/>
  <c r="N4945" i="13"/>
  <c r="M4947" i="13"/>
  <c r="M4948" i="14"/>
  <c r="K4781" i="14" l="1"/>
  <c r="L4781" i="14" s="1"/>
  <c r="I4782" i="14" s="1"/>
  <c r="M4949" i="14"/>
  <c r="N4946" i="13"/>
  <c r="J4945" i="13" a="1"/>
  <c r="J4945" i="13" s="1"/>
  <c r="K4759" i="13"/>
  <c r="L4759" i="13" s="1"/>
  <c r="I4760" i="13" s="1"/>
  <c r="M4948" i="13"/>
  <c r="J4944" i="14" a="1"/>
  <c r="J4944" i="14" s="1"/>
  <c r="N4945" i="14"/>
  <c r="K4782" i="14" l="1"/>
  <c r="L4782" i="14" s="1"/>
  <c r="I4783" i="14" s="1"/>
  <c r="N4946" i="14"/>
  <c r="J4945" i="14" a="1"/>
  <c r="J4945" i="14" s="1"/>
  <c r="K4760" i="13"/>
  <c r="L4760" i="13" s="1"/>
  <c r="I4761" i="13" s="1"/>
  <c r="M4950" i="14"/>
  <c r="M4949" i="13"/>
  <c r="J4946" i="13" a="1"/>
  <c r="J4946" i="13" s="1"/>
  <c r="N4947" i="13"/>
  <c r="K4761" i="13" l="1"/>
  <c r="L4761" i="13" s="1"/>
  <c r="I4762" i="13" s="1"/>
  <c r="K4783" i="14"/>
  <c r="L4783" i="14" s="1"/>
  <c r="I4784" i="14" s="1"/>
  <c r="N4948" i="13"/>
  <c r="J4947" i="13" a="1"/>
  <c r="J4947" i="13" s="1"/>
  <c r="M4951" i="14"/>
  <c r="N4947" i="14"/>
  <c r="J4946" i="14" a="1"/>
  <c r="J4946" i="14" s="1"/>
  <c r="M4950" i="13"/>
  <c r="K4762" i="13" l="1"/>
  <c r="L4762" i="13" s="1"/>
  <c r="I4763" i="13" s="1"/>
  <c r="M4951" i="13"/>
  <c r="M4952" i="14"/>
  <c r="K4784" i="14"/>
  <c r="L4784" i="14" s="1"/>
  <c r="I4785" i="14" s="1"/>
  <c r="N4948" i="14"/>
  <c r="J4947" i="14" a="1"/>
  <c r="J4947" i="14" s="1"/>
  <c r="J4948" i="13" a="1"/>
  <c r="J4948" i="13" s="1"/>
  <c r="N4949" i="13"/>
  <c r="K4763" i="13" l="1"/>
  <c r="L4763" i="13" s="1"/>
  <c r="I4764" i="13" s="1"/>
  <c r="N4950" i="13"/>
  <c r="J4949" i="13" a="1"/>
  <c r="J4949" i="13" s="1"/>
  <c r="K4785" i="14"/>
  <c r="L4785" i="14" s="1"/>
  <c r="I4786" i="14" s="1"/>
  <c r="M4952" i="13"/>
  <c r="J4948" i="14" a="1"/>
  <c r="J4948" i="14" s="1"/>
  <c r="N4949" i="14"/>
  <c r="M4953" i="14"/>
  <c r="K4786" i="14" l="1"/>
  <c r="L4786" i="14" s="1"/>
  <c r="I4787" i="14" s="1"/>
  <c r="K4764" i="13"/>
  <c r="L4764" i="13" s="1"/>
  <c r="I4765" i="13" s="1"/>
  <c r="M4954" i="14"/>
  <c r="M4953" i="13"/>
  <c r="J4950" i="13" a="1"/>
  <c r="J4950" i="13" s="1"/>
  <c r="N4951" i="13"/>
  <c r="N4950" i="14"/>
  <c r="J4949" i="14" a="1"/>
  <c r="J4949" i="14" s="1"/>
  <c r="K4765" i="13" l="1"/>
  <c r="L4765" i="13" s="1"/>
  <c r="I4766" i="13" s="1"/>
  <c r="K4787" i="14"/>
  <c r="L4787" i="14" s="1"/>
  <c r="I4788" i="14" s="1"/>
  <c r="N4951" i="14"/>
  <c r="J4950" i="14" a="1"/>
  <c r="J4950" i="14" s="1"/>
  <c r="M4954" i="13"/>
  <c r="N4952" i="13"/>
  <c r="J4951" i="13" a="1"/>
  <c r="J4951" i="13" s="1"/>
  <c r="M4955" i="14"/>
  <c r="K4766" i="13" l="1"/>
  <c r="L4766" i="13" s="1"/>
  <c r="I4767" i="13" s="1"/>
  <c r="M4955" i="13"/>
  <c r="M4956" i="14"/>
  <c r="K4788" i="14"/>
  <c r="L4788" i="14" s="1"/>
  <c r="I4789" i="14" s="1"/>
  <c r="J4952" i="13" a="1"/>
  <c r="J4952" i="13" s="1"/>
  <c r="N4953" i="13"/>
  <c r="N4952" i="14"/>
  <c r="J4951" i="14" a="1"/>
  <c r="J4951" i="14" s="1"/>
  <c r="K4767" i="13" l="1"/>
  <c r="L4767" i="13" s="1"/>
  <c r="I4768" i="13" s="1"/>
  <c r="N4954" i="13"/>
  <c r="J4953" i="13" a="1"/>
  <c r="J4953" i="13" s="1"/>
  <c r="K4789" i="14"/>
  <c r="L4789" i="14" s="1"/>
  <c r="I4790" i="14" s="1"/>
  <c r="M4956" i="13"/>
  <c r="J4952" i="14" a="1"/>
  <c r="J4952" i="14" s="1"/>
  <c r="N4953" i="14"/>
  <c r="M4957" i="14"/>
  <c r="K4790" i="14" l="1"/>
  <c r="L4790" i="14" s="1"/>
  <c r="I4791" i="14" s="1"/>
  <c r="K4768" i="13"/>
  <c r="L4768" i="13" s="1"/>
  <c r="I4769" i="13" s="1"/>
  <c r="M4958" i="14"/>
  <c r="J4954" i="13" a="1"/>
  <c r="J4954" i="13" s="1"/>
  <c r="N4955" i="13"/>
  <c r="M4957" i="13"/>
  <c r="N4954" i="14"/>
  <c r="J4953" i="14" a="1"/>
  <c r="J4953" i="14" s="1"/>
  <c r="K4769" i="13" l="1"/>
  <c r="L4769" i="13" s="1"/>
  <c r="I4770" i="13" s="1"/>
  <c r="K4791" i="14"/>
  <c r="L4791" i="14" s="1"/>
  <c r="I4792" i="14" s="1"/>
  <c r="N4956" i="13"/>
  <c r="J4955" i="13" a="1"/>
  <c r="J4955" i="13" s="1"/>
  <c r="N4955" i="14"/>
  <c r="J4954" i="14" a="1"/>
  <c r="J4954" i="14" s="1"/>
  <c r="M4959" i="14"/>
  <c r="M4958" i="13"/>
  <c r="K4792" i="14" l="1"/>
  <c r="L4792" i="14" s="1"/>
  <c r="I4793" i="14" s="1"/>
  <c r="K4770" i="13"/>
  <c r="L4770" i="13" s="1"/>
  <c r="I4771" i="13" s="1"/>
  <c r="N4956" i="14"/>
  <c r="J4955" i="14" a="1"/>
  <c r="J4955" i="14" s="1"/>
  <c r="M4960" i="14"/>
  <c r="M4959" i="13"/>
  <c r="J4956" i="13" a="1"/>
  <c r="J4956" i="13" s="1"/>
  <c r="N4957" i="13"/>
  <c r="K4793" i="14" l="1"/>
  <c r="L4793" i="14" s="1"/>
  <c r="I4794" i="14" s="1"/>
  <c r="N4958" i="13"/>
  <c r="J4957" i="13" a="1"/>
  <c r="J4957" i="13" s="1"/>
  <c r="M4961" i="14"/>
  <c r="K4771" i="13"/>
  <c r="L4771" i="13" s="1"/>
  <c r="I4772" i="13" s="1"/>
  <c r="M4960" i="13"/>
  <c r="J4956" i="14" a="1"/>
  <c r="J4956" i="14" s="1"/>
  <c r="N4957" i="14"/>
  <c r="K4772" i="13" l="1"/>
  <c r="L4772" i="13" s="1"/>
  <c r="I4773" i="13" s="1"/>
  <c r="K4794" i="14"/>
  <c r="L4794" i="14" s="1"/>
  <c r="I4795" i="14" s="1"/>
  <c r="N4958" i="14"/>
  <c r="J4957" i="14" a="1"/>
  <c r="J4957" i="14" s="1"/>
  <c r="J4958" i="13" a="1"/>
  <c r="J4958" i="13" s="1"/>
  <c r="N4959" i="13"/>
  <c r="M4961" i="13"/>
  <c r="M4962" i="14"/>
  <c r="K4773" i="13" l="1"/>
  <c r="L4773" i="13" s="1"/>
  <c r="I4774" i="13" s="1"/>
  <c r="N4960" i="13"/>
  <c r="J4959" i="13" a="1"/>
  <c r="J4959" i="13" s="1"/>
  <c r="M4963" i="14"/>
  <c r="K4795" i="14"/>
  <c r="L4795" i="14" s="1"/>
  <c r="I4796" i="14" s="1"/>
  <c r="M4962" i="13"/>
  <c r="N4959" i="14"/>
  <c r="J4958" i="14" a="1"/>
  <c r="J4958" i="14" s="1"/>
  <c r="K4796" i="14" l="1"/>
  <c r="L4796" i="14" s="1"/>
  <c r="I4797" i="14" s="1"/>
  <c r="K4774" i="13"/>
  <c r="L4774" i="13" s="1"/>
  <c r="I4775" i="13" s="1"/>
  <c r="N4960" i="14"/>
  <c r="J4959" i="14" a="1"/>
  <c r="J4959" i="14" s="1"/>
  <c r="J4960" i="13" a="1"/>
  <c r="J4960" i="13" s="1"/>
  <c r="N4961" i="13"/>
  <c r="M4963" i="13"/>
  <c r="M4964" i="14"/>
  <c r="K4797" i="14" l="1"/>
  <c r="L4797" i="14" s="1"/>
  <c r="I4798" i="14" s="1"/>
  <c r="M4965" i="14"/>
  <c r="N4962" i="13"/>
  <c r="J4961" i="13" a="1"/>
  <c r="J4961" i="13" s="1"/>
  <c r="K4775" i="13"/>
  <c r="L4775" i="13" s="1"/>
  <c r="I4776" i="13" s="1"/>
  <c r="M4964" i="13"/>
  <c r="J4960" i="14" a="1"/>
  <c r="J4960" i="14" s="1"/>
  <c r="N4961" i="14"/>
  <c r="K4798" i="14" l="1"/>
  <c r="L4798" i="14" s="1"/>
  <c r="I4799" i="14" s="1"/>
  <c r="N4962" i="14"/>
  <c r="J4961" i="14" a="1"/>
  <c r="J4961" i="14" s="1"/>
  <c r="K4776" i="13"/>
  <c r="L4776" i="13" s="1"/>
  <c r="I4777" i="13" s="1"/>
  <c r="M4966" i="14"/>
  <c r="M4965" i="13"/>
  <c r="J4962" i="13" a="1"/>
  <c r="J4962" i="13" s="1"/>
  <c r="N4963" i="13"/>
  <c r="K4777" i="13" l="1"/>
  <c r="L4777" i="13" s="1"/>
  <c r="I4778" i="13" s="1"/>
  <c r="K4799" i="14"/>
  <c r="L4799" i="14" s="1"/>
  <c r="I4800" i="14" s="1"/>
  <c r="N4963" i="14"/>
  <c r="J4962" i="14" a="1"/>
  <c r="J4962" i="14" s="1"/>
  <c r="N4964" i="13"/>
  <c r="J4963" i="13" a="1"/>
  <c r="J4963" i="13" s="1"/>
  <c r="M4967" i="14"/>
  <c r="M4966" i="13"/>
  <c r="K4778" i="13" l="1"/>
  <c r="L4778" i="13" s="1"/>
  <c r="I4779" i="13" s="1"/>
  <c r="J4964" i="13" a="1"/>
  <c r="J4964" i="13" s="1"/>
  <c r="N4965" i="13"/>
  <c r="K4800" i="14"/>
  <c r="L4800" i="14" s="1"/>
  <c r="I4801" i="14" s="1"/>
  <c r="M4967" i="13"/>
  <c r="M4968" i="14"/>
  <c r="N4964" i="14"/>
  <c r="J4963" i="14" a="1"/>
  <c r="J4963" i="14" s="1"/>
  <c r="K4801" i="14" l="1"/>
  <c r="L4801" i="14" s="1"/>
  <c r="I4802" i="14" s="1"/>
  <c r="K4779" i="13"/>
  <c r="L4779" i="13" s="1"/>
  <c r="I4780" i="13" s="1"/>
  <c r="J4964" i="14" a="1"/>
  <c r="J4964" i="14" s="1"/>
  <c r="N4965" i="14"/>
  <c r="M4968" i="13"/>
  <c r="N4966" i="13"/>
  <c r="J4965" i="13" a="1"/>
  <c r="J4965" i="13" s="1"/>
  <c r="M4969" i="14"/>
  <c r="K4780" i="13" l="1"/>
  <c r="L4780" i="13" s="1"/>
  <c r="I4781" i="13" s="1"/>
  <c r="K4802" i="14"/>
  <c r="L4802" i="14" s="1"/>
  <c r="I4803" i="14" s="1"/>
  <c r="J4966" i="13" a="1"/>
  <c r="J4966" i="13" s="1"/>
  <c r="N4967" i="13"/>
  <c r="M4969" i="13"/>
  <c r="M4970" i="14"/>
  <c r="N4966" i="14"/>
  <c r="J4965" i="14" a="1"/>
  <c r="J4965" i="14" s="1"/>
  <c r="K4781" i="13" l="1"/>
  <c r="L4781" i="13" s="1"/>
  <c r="I4782" i="13" s="1"/>
  <c r="K4803" i="14"/>
  <c r="L4803" i="14" s="1"/>
  <c r="I4804" i="14" s="1"/>
  <c r="N4967" i="14"/>
  <c r="J4966" i="14" a="1"/>
  <c r="J4966" i="14" s="1"/>
  <c r="M4970" i="13"/>
  <c r="M4971" i="14"/>
  <c r="N4968" i="13"/>
  <c r="J4967" i="13" a="1"/>
  <c r="J4967" i="13" s="1"/>
  <c r="K4782" i="13" l="1"/>
  <c r="L4782" i="13" s="1"/>
  <c r="I4783" i="13" s="1"/>
  <c r="M4971" i="13"/>
  <c r="K4804" i="14"/>
  <c r="L4804" i="14" s="1"/>
  <c r="I4805" i="14" s="1"/>
  <c r="J4968" i="13" a="1"/>
  <c r="J4968" i="13" s="1"/>
  <c r="N4969" i="13"/>
  <c r="M4972" i="14"/>
  <c r="N4968" i="14"/>
  <c r="J4967" i="14" a="1"/>
  <c r="J4967" i="14" s="1"/>
  <c r="K4805" i="14" l="1"/>
  <c r="L4805" i="14" s="1"/>
  <c r="I4806" i="14" s="1"/>
  <c r="K4783" i="13"/>
  <c r="L4783" i="13" s="1"/>
  <c r="I4784" i="13" s="1"/>
  <c r="N4970" i="13"/>
  <c r="J4969" i="13" a="1"/>
  <c r="J4969" i="13" s="1"/>
  <c r="M4972" i="13"/>
  <c r="J4968" i="14" a="1"/>
  <c r="J4968" i="14" s="1"/>
  <c r="N4969" i="14"/>
  <c r="M4973" i="14"/>
  <c r="K4806" i="14" l="1"/>
  <c r="L4806" i="14" s="1"/>
  <c r="I4807" i="14" s="1"/>
  <c r="N4970" i="14"/>
  <c r="J4969" i="14" a="1"/>
  <c r="J4969" i="14" s="1"/>
  <c r="M4974" i="14"/>
  <c r="M4973" i="13"/>
  <c r="K4784" i="13"/>
  <c r="L4784" i="13" s="1"/>
  <c r="I4785" i="13" s="1"/>
  <c r="J4970" i="13" a="1"/>
  <c r="J4970" i="13" s="1"/>
  <c r="N4971" i="13"/>
  <c r="K4785" i="13" l="1"/>
  <c r="L4785" i="13" s="1"/>
  <c r="I4786" i="13" s="1"/>
  <c r="K4807" i="14"/>
  <c r="L4807" i="14" s="1"/>
  <c r="I4808" i="14" s="1"/>
  <c r="N4972" i="13"/>
  <c r="J4971" i="13" a="1"/>
  <c r="J4971" i="13" s="1"/>
  <c r="N4971" i="14"/>
  <c r="J4970" i="14" a="1"/>
  <c r="J4970" i="14" s="1"/>
  <c r="M4974" i="13"/>
  <c r="M4975" i="14"/>
  <c r="K4808" i="14" l="1"/>
  <c r="L4808" i="14" s="1"/>
  <c r="I4809" i="14" s="1"/>
  <c r="K4786" i="13"/>
  <c r="L4786" i="13" s="1"/>
  <c r="I4787" i="13" s="1"/>
  <c r="M4976" i="14"/>
  <c r="N4972" i="14"/>
  <c r="J4971" i="14" a="1"/>
  <c r="J4971" i="14" s="1"/>
  <c r="M4975" i="13"/>
  <c r="J4972" i="13" a="1"/>
  <c r="J4972" i="13" s="1"/>
  <c r="N4973" i="13"/>
  <c r="K4809" i="14" l="1"/>
  <c r="L4809" i="14" s="1"/>
  <c r="I4810" i="14" s="1"/>
  <c r="K4787" i="13"/>
  <c r="L4787" i="13" s="1"/>
  <c r="I4788" i="13" s="1"/>
  <c r="N4974" i="13"/>
  <c r="J4973" i="13" a="1"/>
  <c r="J4973" i="13" s="1"/>
  <c r="J4972" i="14" a="1"/>
  <c r="J4972" i="14" s="1"/>
  <c r="N4973" i="14"/>
  <c r="M4977" i="14"/>
  <c r="M4976" i="13"/>
  <c r="K4788" i="13" l="1"/>
  <c r="L4788" i="13" s="1"/>
  <c r="I4789" i="13" s="1"/>
  <c r="N4974" i="14"/>
  <c r="J4973" i="14" a="1"/>
  <c r="J4973" i="14" s="1"/>
  <c r="M4978" i="14"/>
  <c r="M4977" i="13"/>
  <c r="J4974" i="13" a="1"/>
  <c r="J4974" i="13" s="1"/>
  <c r="N4975" i="13"/>
  <c r="K4810" i="14"/>
  <c r="L4810" i="14" s="1"/>
  <c r="I4811" i="14" s="1"/>
  <c r="K4811" i="14" l="1"/>
  <c r="L4811" i="14" s="1"/>
  <c r="I4812" i="14" s="1"/>
  <c r="K4789" i="13"/>
  <c r="L4789" i="13" s="1"/>
  <c r="I4790" i="13" s="1"/>
  <c r="M4978" i="13"/>
  <c r="N4975" i="14"/>
  <c r="J4974" i="14" a="1"/>
  <c r="J4974" i="14" s="1"/>
  <c r="N4976" i="13"/>
  <c r="J4975" i="13" a="1"/>
  <c r="J4975" i="13" s="1"/>
  <c r="M4979" i="14"/>
  <c r="K4790" i="13" l="1"/>
  <c r="L4790" i="13" s="1"/>
  <c r="I4791" i="13" s="1"/>
  <c r="K4812" i="14"/>
  <c r="L4812" i="14" s="1"/>
  <c r="I4813" i="14" s="1"/>
  <c r="N4976" i="14"/>
  <c r="J4975" i="14" a="1"/>
  <c r="J4975" i="14" s="1"/>
  <c r="M4980" i="14"/>
  <c r="M4979" i="13"/>
  <c r="J4976" i="13" a="1"/>
  <c r="J4976" i="13" s="1"/>
  <c r="N4977" i="13"/>
  <c r="K4813" i="14" l="1"/>
  <c r="L4813" i="14" s="1"/>
  <c r="I4814" i="14" s="1"/>
  <c r="K4791" i="13"/>
  <c r="L4791" i="13" s="1"/>
  <c r="I4792" i="13" s="1"/>
  <c r="N4978" i="13"/>
  <c r="J4977" i="13" a="1"/>
  <c r="J4977" i="13" s="1"/>
  <c r="M4981" i="14"/>
  <c r="M4980" i="13"/>
  <c r="J4976" i="14" a="1"/>
  <c r="J4976" i="14" s="1"/>
  <c r="N4977" i="14"/>
  <c r="K4814" i="14" l="1"/>
  <c r="L4814" i="14" s="1"/>
  <c r="I4815" i="14" s="1"/>
  <c r="N4978" i="14"/>
  <c r="J4977" i="14" a="1"/>
  <c r="J4977" i="14" s="1"/>
  <c r="M4982" i="14"/>
  <c r="K4792" i="13"/>
  <c r="L4792" i="13" s="1"/>
  <c r="I4793" i="13" s="1"/>
  <c r="M4981" i="13"/>
  <c r="J4978" i="13" a="1"/>
  <c r="J4978" i="13" s="1"/>
  <c r="N4979" i="13"/>
  <c r="K4793" i="13" l="1"/>
  <c r="L4793" i="13" s="1"/>
  <c r="I4794" i="13" s="1"/>
  <c r="K4815" i="14"/>
  <c r="L4815" i="14" s="1"/>
  <c r="I4816" i="14" s="1"/>
  <c r="N4980" i="13"/>
  <c r="J4979" i="13" a="1"/>
  <c r="J4979" i="13" s="1"/>
  <c r="N4979" i="14"/>
  <c r="J4978" i="14" a="1"/>
  <c r="J4978" i="14" s="1"/>
  <c r="M4983" i="14"/>
  <c r="M4982" i="13"/>
  <c r="K4794" i="13" l="1"/>
  <c r="L4794" i="13" s="1"/>
  <c r="I4795" i="13" s="1"/>
  <c r="M4983" i="13"/>
  <c r="N4980" i="14"/>
  <c r="J4979" i="14" a="1"/>
  <c r="J4979" i="14" s="1"/>
  <c r="K4816" i="14"/>
  <c r="L4816" i="14" s="1"/>
  <c r="I4817" i="14" s="1"/>
  <c r="M4984" i="14"/>
  <c r="J4980" i="13" a="1"/>
  <c r="J4980" i="13" s="1"/>
  <c r="N4981" i="13"/>
  <c r="K4795" i="13" l="1"/>
  <c r="L4795" i="13" s="1"/>
  <c r="I4796" i="13" s="1"/>
  <c r="N4982" i="13"/>
  <c r="J4981" i="13" a="1"/>
  <c r="J4981" i="13" s="1"/>
  <c r="K4817" i="14"/>
  <c r="L4817" i="14" s="1"/>
  <c r="I4818" i="14" s="1"/>
  <c r="M4984" i="13"/>
  <c r="M4985" i="14"/>
  <c r="J4980" i="14" a="1"/>
  <c r="J4980" i="14" s="1"/>
  <c r="N4981" i="14"/>
  <c r="K4818" i="14" l="1"/>
  <c r="L4818" i="14" s="1"/>
  <c r="I4819" i="14" s="1"/>
  <c r="K4796" i="13"/>
  <c r="L4796" i="13" s="1"/>
  <c r="I4797" i="13" s="1"/>
  <c r="N4982" i="14"/>
  <c r="J4981" i="14" a="1"/>
  <c r="J4981" i="14" s="1"/>
  <c r="M4985" i="13"/>
  <c r="J4982" i="13" a="1"/>
  <c r="J4982" i="13" s="1"/>
  <c r="N4983" i="13"/>
  <c r="M4986" i="14"/>
  <c r="K4797" i="13" l="1"/>
  <c r="L4797" i="13" s="1"/>
  <c r="I4798" i="13" s="1"/>
  <c r="M4987" i="14"/>
  <c r="M4986" i="13"/>
  <c r="N4984" i="13"/>
  <c r="J4983" i="13" a="1"/>
  <c r="J4983" i="13" s="1"/>
  <c r="N4983" i="14"/>
  <c r="J4982" i="14" a="1"/>
  <c r="J4982" i="14" s="1"/>
  <c r="K4819" i="14"/>
  <c r="L4819" i="14" s="1"/>
  <c r="I4820" i="14" s="1"/>
  <c r="K4820" i="14" l="1"/>
  <c r="L4820" i="14" s="1"/>
  <c r="I4821" i="14" s="1"/>
  <c r="K4798" i="13"/>
  <c r="L4798" i="13" s="1"/>
  <c r="I4799" i="13" s="1"/>
  <c r="J4984" i="13" a="1"/>
  <c r="J4984" i="13" s="1"/>
  <c r="N4985" i="13"/>
  <c r="M4988" i="14"/>
  <c r="M4987" i="13"/>
  <c r="N4984" i="14"/>
  <c r="J4983" i="14" a="1"/>
  <c r="J4983" i="14" s="1"/>
  <c r="K4799" i="13" l="1"/>
  <c r="L4799" i="13" s="1"/>
  <c r="I4800" i="13" s="1"/>
  <c r="K4821" i="14"/>
  <c r="L4821" i="14" s="1"/>
  <c r="I4822" i="14" s="1"/>
  <c r="M4989" i="14"/>
  <c r="N4986" i="13"/>
  <c r="J4985" i="13" a="1"/>
  <c r="J4985" i="13" s="1"/>
  <c r="J4984" i="14" a="1"/>
  <c r="J4984" i="14" s="1"/>
  <c r="N4985" i="14"/>
  <c r="M4988" i="13"/>
  <c r="M4989" i="13" l="1"/>
  <c r="K4822" i="14"/>
  <c r="L4822" i="14" s="1"/>
  <c r="I4823" i="14" s="1"/>
  <c r="J4986" i="13" a="1"/>
  <c r="J4986" i="13" s="1"/>
  <c r="N4987" i="13"/>
  <c r="N4986" i="14"/>
  <c r="J4985" i="14" a="1"/>
  <c r="J4985" i="14" s="1"/>
  <c r="M4990" i="14"/>
  <c r="K4800" i="13"/>
  <c r="L4800" i="13" s="1"/>
  <c r="I4801" i="13" s="1"/>
  <c r="K4801" i="13" l="1"/>
  <c r="L4801" i="13" s="1"/>
  <c r="I4802" i="13" s="1"/>
  <c r="K4823" i="14"/>
  <c r="L4823" i="14" s="1"/>
  <c r="I4824" i="14" s="1"/>
  <c r="N4987" i="14"/>
  <c r="J4986" i="14" a="1"/>
  <c r="J4986" i="14" s="1"/>
  <c r="M4991" i="14"/>
  <c r="N4988" i="13"/>
  <c r="J4987" i="13" a="1"/>
  <c r="J4987" i="13" s="1"/>
  <c r="M4990" i="13"/>
  <c r="K4802" i="13" l="1"/>
  <c r="L4802" i="13" s="1"/>
  <c r="I4803" i="13" s="1"/>
  <c r="M4991" i="13"/>
  <c r="M4992" i="14"/>
  <c r="K4824" i="14"/>
  <c r="L4824" i="14" s="1"/>
  <c r="I4825" i="14" s="1"/>
  <c r="J4988" i="13" a="1"/>
  <c r="J4988" i="13" s="1"/>
  <c r="N4989" i="13"/>
  <c r="N4988" i="14"/>
  <c r="J4987" i="14" a="1"/>
  <c r="J4987" i="14" s="1"/>
  <c r="K4825" i="14" l="1"/>
  <c r="L4825" i="14" s="1"/>
  <c r="I4826" i="14" s="1"/>
  <c r="K4803" i="13"/>
  <c r="L4803" i="13" s="1"/>
  <c r="I4804" i="13" s="1"/>
  <c r="J4988" i="14" a="1"/>
  <c r="J4988" i="14" s="1"/>
  <c r="N4989" i="14"/>
  <c r="M4992" i="13"/>
  <c r="N4990" i="13"/>
  <c r="J4989" i="13" a="1"/>
  <c r="J4989" i="13" s="1"/>
  <c r="M4993" i="14"/>
  <c r="K4804" i="13" l="1"/>
  <c r="L4804" i="13" s="1"/>
  <c r="I4805" i="13" s="1"/>
  <c r="K4826" i="14"/>
  <c r="L4826" i="14" s="1"/>
  <c r="I4827" i="14" s="1"/>
  <c r="J4990" i="13" a="1"/>
  <c r="J4990" i="13" s="1"/>
  <c r="N4991" i="13"/>
  <c r="M4994" i="14"/>
  <c r="M4993" i="13"/>
  <c r="N4990" i="14"/>
  <c r="J4989" i="14" a="1"/>
  <c r="J4989" i="14" s="1"/>
  <c r="K4827" i="14" l="1"/>
  <c r="L4827" i="14" s="1"/>
  <c r="I4828" i="14" s="1"/>
  <c r="K4805" i="13"/>
  <c r="L4805" i="13" s="1"/>
  <c r="I4806" i="13" s="1"/>
  <c r="M4995" i="14"/>
  <c r="M4994" i="13"/>
  <c r="J4990" i="14" a="1"/>
  <c r="J4990" i="14" s="1"/>
  <c r="N4991" i="14"/>
  <c r="N4992" i="13"/>
  <c r="J4991" i="13" a="1"/>
  <c r="J4991" i="13" s="1"/>
  <c r="K4806" i="13" l="1"/>
  <c r="L4806" i="13" s="1"/>
  <c r="I4807" i="13" s="1"/>
  <c r="K4828" i="14"/>
  <c r="L4828" i="14" s="1"/>
  <c r="I4829" i="14" s="1"/>
  <c r="N4992" i="14"/>
  <c r="J4991" i="14" a="1"/>
  <c r="J4991" i="14" s="1"/>
  <c r="M4995" i="13"/>
  <c r="J4992" i="13" a="1"/>
  <c r="J4992" i="13" s="1"/>
  <c r="N4993" i="13"/>
  <c r="M4996" i="14"/>
  <c r="K4829" i="14" l="1"/>
  <c r="L4829" i="14" s="1"/>
  <c r="I4830" i="14" s="1"/>
  <c r="K4807" i="13"/>
  <c r="L4807" i="13" s="1"/>
  <c r="I4808" i="13" s="1"/>
  <c r="M4997" i="14"/>
  <c r="M4996" i="13"/>
  <c r="N4994" i="13"/>
  <c r="J4993" i="13" a="1"/>
  <c r="J4993" i="13" s="1"/>
  <c r="J4992" i="14" a="1"/>
  <c r="J4992" i="14" s="1"/>
  <c r="N4993" i="14"/>
  <c r="K4808" i="13" l="1"/>
  <c r="L4808" i="13" s="1"/>
  <c r="I4809" i="13" s="1"/>
  <c r="K4830" i="14"/>
  <c r="L4830" i="14" s="1"/>
  <c r="I4831" i="14" s="1"/>
  <c r="J4993" i="14" a="1"/>
  <c r="J4993" i="14" s="1"/>
  <c r="N4994" i="14"/>
  <c r="M4997" i="13"/>
  <c r="J4994" i="13" a="1"/>
  <c r="J4994" i="13" s="1"/>
  <c r="N4995" i="13"/>
  <c r="M4998" i="14"/>
  <c r="K4831" i="14" l="1"/>
  <c r="L4831" i="14" s="1"/>
  <c r="I4832" i="14" s="1"/>
  <c r="K4809" i="13"/>
  <c r="L4809" i="13" s="1"/>
  <c r="I4810" i="13" s="1"/>
  <c r="N4996" i="13"/>
  <c r="J4995" i="13" a="1"/>
  <c r="J4995" i="13" s="1"/>
  <c r="M4999" i="14"/>
  <c r="M4998" i="13"/>
  <c r="J4994" i="14" a="1"/>
  <c r="J4994" i="14" s="1"/>
  <c r="N4995" i="14"/>
  <c r="K4810" i="13" l="1"/>
  <c r="L4810" i="13" s="1"/>
  <c r="I4811" i="13" s="1"/>
  <c r="K4832" i="14"/>
  <c r="L4832" i="14" s="1"/>
  <c r="I4833" i="14" s="1"/>
  <c r="N4996" i="14"/>
  <c r="J4995" i="14" a="1"/>
  <c r="J4995" i="14" s="1"/>
  <c r="M5000" i="14"/>
  <c r="M4999" i="13"/>
  <c r="J4996" i="13" a="1"/>
  <c r="J4996" i="13" s="1"/>
  <c r="N4997" i="13"/>
  <c r="K4811" i="13" l="1"/>
  <c r="L4811" i="13" s="1"/>
  <c r="I4812" i="13" s="1"/>
  <c r="N4998" i="13"/>
  <c r="J4997" i="13" a="1"/>
  <c r="J4997" i="13" s="1"/>
  <c r="M5001" i="14"/>
  <c r="K4833" i="14"/>
  <c r="L4833" i="14" s="1"/>
  <c r="I4834" i="14" s="1"/>
  <c r="M5000" i="13"/>
  <c r="J4996" i="14" a="1"/>
  <c r="J4996" i="14" s="1"/>
  <c r="N4997" i="14"/>
  <c r="K4834" i="14" l="1"/>
  <c r="L4834" i="14" s="1"/>
  <c r="I4835" i="14" s="1"/>
  <c r="K4812" i="13"/>
  <c r="L4812" i="13" s="1"/>
  <c r="I4813" i="13" s="1"/>
  <c r="J4997" i="14" a="1"/>
  <c r="J4997" i="14" s="1"/>
  <c r="N4998" i="14"/>
  <c r="J4998" i="13" a="1"/>
  <c r="J4998" i="13" s="1"/>
  <c r="N4999" i="13"/>
  <c r="M5001" i="13"/>
  <c r="M5002" i="14"/>
  <c r="K4835" i="14" l="1"/>
  <c r="L4835" i="14" s="1"/>
  <c r="I4836" i="14" s="1"/>
  <c r="M5002" i="13"/>
  <c r="M5003" i="14"/>
  <c r="N5000" i="13"/>
  <c r="J4999" i="13" a="1"/>
  <c r="J4999" i="13" s="1"/>
  <c r="K4813" i="13"/>
  <c r="L4813" i="13" s="1"/>
  <c r="I4814" i="13" s="1"/>
  <c r="N4999" i="14"/>
  <c r="J4998" i="14" a="1"/>
  <c r="J4998" i="14" s="1"/>
  <c r="K4814" i="13" l="1"/>
  <c r="L4814" i="13" s="1"/>
  <c r="I4815" i="13" s="1"/>
  <c r="K4836" i="14"/>
  <c r="L4836" i="14" s="1"/>
  <c r="I4837" i="14" s="1"/>
  <c r="M5003" i="13"/>
  <c r="J5000" i="13" a="1"/>
  <c r="J5000" i="13" s="1"/>
  <c r="N5001" i="13"/>
  <c r="N5000" i="14"/>
  <c r="J4999" i="14" a="1"/>
  <c r="J4999" i="14" s="1"/>
  <c r="M5004" i="14"/>
  <c r="K4837" i="14" l="1"/>
  <c r="L4837" i="14" s="1"/>
  <c r="I4838" i="14" s="1"/>
  <c r="K4815" i="13"/>
  <c r="L4815" i="13" s="1"/>
  <c r="I4816" i="13" s="1"/>
  <c r="N5002" i="13"/>
  <c r="J5001" i="13" a="1"/>
  <c r="J5001" i="13" s="1"/>
  <c r="M5005" i="14"/>
  <c r="J5000" i="14" a="1"/>
  <c r="J5000" i="14" s="1"/>
  <c r="N5001" i="14"/>
  <c r="M5004" i="13"/>
  <c r="K4816" i="13" l="1"/>
  <c r="L4816" i="13" s="1"/>
  <c r="I4817" i="13" s="1"/>
  <c r="K4838" i="14"/>
  <c r="L4838" i="14" s="1"/>
  <c r="I4839" i="14" s="1"/>
  <c r="M5005" i="13"/>
  <c r="M5006" i="14"/>
  <c r="N5002" i="14"/>
  <c r="J5001" i="14" a="1"/>
  <c r="J5001" i="14" s="1"/>
  <c r="J5002" i="13" a="1"/>
  <c r="J5002" i="13" s="1"/>
  <c r="N5003" i="13"/>
  <c r="K4839" i="14" l="1"/>
  <c r="L4839" i="14" s="1"/>
  <c r="I4840" i="14" s="1"/>
  <c r="K4817" i="13"/>
  <c r="L4817" i="13" s="1"/>
  <c r="I4818" i="13" s="1"/>
  <c r="N5004" i="13"/>
  <c r="J5003" i="13" a="1"/>
  <c r="J5003" i="13" s="1"/>
  <c r="M5007" i="14"/>
  <c r="N5003" i="14"/>
  <c r="J5002" i="14" a="1"/>
  <c r="J5002" i="14" s="1"/>
  <c r="M5006" i="13"/>
  <c r="K4818" i="13" l="1"/>
  <c r="L4818" i="13" s="1"/>
  <c r="I4819" i="13" s="1"/>
  <c r="K4840" i="14"/>
  <c r="L4840" i="14" s="1"/>
  <c r="I4841" i="14" s="1"/>
  <c r="M5007" i="13"/>
  <c r="N5004" i="14"/>
  <c r="J5003" i="14" a="1"/>
  <c r="J5003" i="14" s="1"/>
  <c r="M5008" i="14"/>
  <c r="J5004" i="13" a="1"/>
  <c r="J5004" i="13" s="1"/>
  <c r="N5005" i="13"/>
  <c r="K4841" i="14" l="1"/>
  <c r="L4841" i="14" s="1"/>
  <c r="I4842" i="14" s="1"/>
  <c r="K4819" i="13"/>
  <c r="L4819" i="13" s="1"/>
  <c r="I4820" i="13" s="1"/>
  <c r="N5006" i="13"/>
  <c r="J5005" i="13" a="1"/>
  <c r="J5005" i="13" s="1"/>
  <c r="J5004" i="14" a="1"/>
  <c r="J5004" i="14" s="1"/>
  <c r="N5005" i="14"/>
  <c r="M5009" i="14"/>
  <c r="M5008" i="13"/>
  <c r="K4820" i="13" l="1"/>
  <c r="L4820" i="13" s="1"/>
  <c r="I4821" i="13" s="1"/>
  <c r="K4842" i="14"/>
  <c r="L4842" i="14" s="1"/>
  <c r="I4843" i="14" s="1"/>
  <c r="N5006" i="14"/>
  <c r="J5005" i="14" a="1"/>
  <c r="J5005" i="14" s="1"/>
  <c r="M5009" i="13"/>
  <c r="M5010" i="14"/>
  <c r="J5006" i="13" a="1"/>
  <c r="J5006" i="13" s="1"/>
  <c r="N5007" i="13"/>
  <c r="K4821" i="13" l="1"/>
  <c r="L4821" i="13" s="1"/>
  <c r="I4822" i="13" s="1"/>
  <c r="N5008" i="13"/>
  <c r="J5007" i="13" a="1"/>
  <c r="J5007" i="13" s="1"/>
  <c r="M5010" i="13"/>
  <c r="K4843" i="14"/>
  <c r="L4843" i="14" s="1"/>
  <c r="I4844" i="14" s="1"/>
  <c r="M5011" i="14"/>
  <c r="N5007" i="14"/>
  <c r="J5006" i="14" a="1"/>
  <c r="J5006" i="14" s="1"/>
  <c r="K4844" i="14" l="1"/>
  <c r="L4844" i="14" s="1"/>
  <c r="I4845" i="14" s="1"/>
  <c r="K4822" i="13"/>
  <c r="L4822" i="13" s="1"/>
  <c r="I4823" i="13" s="1"/>
  <c r="J5008" i="13" a="1"/>
  <c r="J5008" i="13" s="1"/>
  <c r="N5009" i="13"/>
  <c r="N5008" i="14"/>
  <c r="J5007" i="14" a="1"/>
  <c r="J5007" i="14" s="1"/>
  <c r="M5011" i="13"/>
  <c r="M5012" i="14"/>
  <c r="K4823" i="13" l="1"/>
  <c r="L4823" i="13" s="1"/>
  <c r="I4824" i="13" s="1"/>
  <c r="K4845" i="14"/>
  <c r="L4845" i="14" s="1"/>
  <c r="I4846" i="14" s="1"/>
  <c r="J5008" i="14" a="1"/>
  <c r="J5008" i="14" s="1"/>
  <c r="N5009" i="14"/>
  <c r="M5013" i="14"/>
  <c r="N5010" i="13"/>
  <c r="J5009" i="13" a="1"/>
  <c r="J5009" i="13" s="1"/>
  <c r="M5012" i="13"/>
  <c r="K4846" i="14" l="1"/>
  <c r="L4846" i="14" s="1"/>
  <c r="I4847" i="14" s="1"/>
  <c r="K4824" i="13"/>
  <c r="L4824" i="13" s="1"/>
  <c r="I4825" i="13" s="1"/>
  <c r="J5010" i="13" a="1"/>
  <c r="J5010" i="13" s="1"/>
  <c r="N5011" i="13"/>
  <c r="M5013" i="13"/>
  <c r="M5014" i="14"/>
  <c r="N5010" i="14"/>
  <c r="J5009" i="14" a="1"/>
  <c r="J5009" i="14" s="1"/>
  <c r="K4847" i="14" l="1"/>
  <c r="L4847" i="14" s="1"/>
  <c r="I4848" i="14" s="1"/>
  <c r="K4825" i="13"/>
  <c r="L4825" i="13" s="1"/>
  <c r="I4826" i="13" s="1"/>
  <c r="N5011" i="14"/>
  <c r="J5010" i="14" a="1"/>
  <c r="J5010" i="14" s="1"/>
  <c r="M5014" i="13"/>
  <c r="M5015" i="14"/>
  <c r="N5012" i="13"/>
  <c r="J5011" i="13" a="1"/>
  <c r="J5011" i="13" s="1"/>
  <c r="K4826" i="13" l="1"/>
  <c r="L4826" i="13" s="1"/>
  <c r="I4827" i="13" s="1"/>
  <c r="M5016" i="14"/>
  <c r="M5015" i="13"/>
  <c r="J5012" i="13" a="1"/>
  <c r="J5012" i="13" s="1"/>
  <c r="N5013" i="13"/>
  <c r="N5012" i="14"/>
  <c r="J5011" i="14" a="1"/>
  <c r="J5011" i="14" s="1"/>
  <c r="K4848" i="14"/>
  <c r="L4848" i="14" s="1"/>
  <c r="I4849" i="14" s="1"/>
  <c r="K4849" i="14" l="1"/>
  <c r="L4849" i="14" s="1"/>
  <c r="I4850" i="14" s="1"/>
  <c r="K4827" i="13"/>
  <c r="L4827" i="13" s="1"/>
  <c r="I4828" i="13" s="1"/>
  <c r="N5014" i="13"/>
  <c r="J5013" i="13" a="1"/>
  <c r="J5013" i="13" s="1"/>
  <c r="M5017" i="14"/>
  <c r="J5012" i="14" a="1"/>
  <c r="J5012" i="14" s="1"/>
  <c r="N5013" i="14"/>
  <c r="M5016" i="13"/>
  <c r="K4850" i="14" l="1"/>
  <c r="L4850" i="14" s="1"/>
  <c r="I4851" i="14" s="1"/>
  <c r="M5017" i="13"/>
  <c r="M5018" i="14"/>
  <c r="K4828" i="13"/>
  <c r="L4828" i="13" s="1"/>
  <c r="I4829" i="13" s="1"/>
  <c r="N5014" i="14"/>
  <c r="J5013" i="14" a="1"/>
  <c r="J5013" i="14" s="1"/>
  <c r="J5014" i="13" a="1"/>
  <c r="J5014" i="13" s="1"/>
  <c r="N5015" i="13"/>
  <c r="K4851" i="14" l="1"/>
  <c r="L4851" i="14" s="1"/>
  <c r="I4852" i="14" s="1"/>
  <c r="N5016" i="13"/>
  <c r="J5015" i="13" a="1"/>
  <c r="J5015" i="13" s="1"/>
  <c r="M5018" i="13"/>
  <c r="K4829" i="13"/>
  <c r="L4829" i="13" s="1"/>
  <c r="I4830" i="13" s="1"/>
  <c r="M5019" i="14"/>
  <c r="N5015" i="14"/>
  <c r="J5014" i="14" a="1"/>
  <c r="J5014" i="14" s="1"/>
  <c r="K4830" i="13" l="1"/>
  <c r="L4830" i="13" s="1"/>
  <c r="I4831" i="13" s="1"/>
  <c r="K4852" i="14"/>
  <c r="L4852" i="14" s="1"/>
  <c r="I4853" i="14" s="1"/>
  <c r="J5016" i="13" a="1"/>
  <c r="J5016" i="13" s="1"/>
  <c r="N5017" i="13"/>
  <c r="M5019" i="13"/>
  <c r="N5016" i="14"/>
  <c r="J5015" i="14" a="1"/>
  <c r="J5015" i="14" s="1"/>
  <c r="M5020" i="14"/>
  <c r="J5016" i="14" l="1" a="1"/>
  <c r="J5016" i="14" s="1"/>
  <c r="N5017" i="14"/>
  <c r="M5021" i="14"/>
  <c r="M5020" i="13"/>
  <c r="K4853" i="14"/>
  <c r="L4853" i="14" s="1"/>
  <c r="I4854" i="14" s="1"/>
  <c r="N5018" i="13"/>
  <c r="J5017" i="13" a="1"/>
  <c r="J5017" i="13" s="1"/>
  <c r="K4831" i="13"/>
  <c r="L4831" i="13" s="1"/>
  <c r="I4832" i="13" s="1"/>
  <c r="K4854" i="14" l="1"/>
  <c r="L4854" i="14" s="1"/>
  <c r="I4855" i="14" s="1"/>
  <c r="M5021" i="13"/>
  <c r="M5022" i="14"/>
  <c r="K4832" i="13"/>
  <c r="L4832" i="13" s="1"/>
  <c r="I4833" i="13" s="1"/>
  <c r="N5018" i="14"/>
  <c r="J5017" i="14" a="1"/>
  <c r="J5017" i="14" s="1"/>
  <c r="J5018" i="13" a="1"/>
  <c r="J5018" i="13" s="1"/>
  <c r="N5019" i="13"/>
  <c r="K4833" i="13" l="1"/>
  <c r="L4833" i="13" s="1"/>
  <c r="I4834" i="13" s="1"/>
  <c r="K4855" i="14"/>
  <c r="L4855" i="14" s="1"/>
  <c r="I4856" i="14" s="1"/>
  <c r="N5020" i="13"/>
  <c r="J5019" i="13" a="1"/>
  <c r="J5019" i="13" s="1"/>
  <c r="M5022" i="13"/>
  <c r="M5023" i="14"/>
  <c r="N5019" i="14"/>
  <c r="J5018" i="14" a="1"/>
  <c r="J5018" i="14" s="1"/>
  <c r="K4834" i="13" l="1"/>
  <c r="L4834" i="13" s="1"/>
  <c r="I4835" i="13" s="1"/>
  <c r="M5023" i="13"/>
  <c r="K4856" i="14"/>
  <c r="L4856" i="14" s="1"/>
  <c r="I4857" i="14" s="1"/>
  <c r="N5020" i="14"/>
  <c r="J5019" i="14" a="1"/>
  <c r="J5019" i="14" s="1"/>
  <c r="M5024" i="14"/>
  <c r="J5020" i="13" a="1"/>
  <c r="J5020" i="13" s="1"/>
  <c r="N5021" i="13"/>
  <c r="K4835" i="13" l="1"/>
  <c r="L4835" i="13" s="1"/>
  <c r="I4836" i="13" s="1"/>
  <c r="N5022" i="13"/>
  <c r="J5021" i="13" a="1"/>
  <c r="J5021" i="13" s="1"/>
  <c r="J5020" i="14" a="1"/>
  <c r="J5020" i="14" s="1"/>
  <c r="N5021" i="14"/>
  <c r="M5024" i="13"/>
  <c r="M5025" i="14"/>
  <c r="K4857" i="14"/>
  <c r="L4857" i="14" s="1"/>
  <c r="I4858" i="14" s="1"/>
  <c r="K4858" i="14" l="1"/>
  <c r="L4858" i="14" s="1"/>
  <c r="I4859" i="14" s="1"/>
  <c r="K4836" i="13"/>
  <c r="L4836" i="13" s="1"/>
  <c r="I4837" i="13" s="1"/>
  <c r="M5025" i="13"/>
  <c r="J5022" i="13" a="1"/>
  <c r="J5022" i="13" s="1"/>
  <c r="N5023" i="13"/>
  <c r="M5026" i="14"/>
  <c r="N5022" i="14"/>
  <c r="J5021" i="14" a="1"/>
  <c r="J5021" i="14" s="1"/>
  <c r="K4837" i="13" l="1"/>
  <c r="L4837" i="13" s="1"/>
  <c r="I4838" i="13" s="1"/>
  <c r="K4859" i="14"/>
  <c r="L4859" i="14" s="1"/>
  <c r="I4860" i="14" s="1"/>
  <c r="N5023" i="14"/>
  <c r="J5022" i="14" a="1"/>
  <c r="J5022" i="14" s="1"/>
  <c r="N5024" i="13"/>
  <c r="J5023" i="13" a="1"/>
  <c r="J5023" i="13" s="1"/>
  <c r="M5027" i="14"/>
  <c r="M5026" i="13"/>
  <c r="K4838" i="13" l="1"/>
  <c r="L4838" i="13" s="1"/>
  <c r="I4839" i="13" s="1"/>
  <c r="M5027" i="13"/>
  <c r="J5024" i="13" a="1"/>
  <c r="J5024" i="13" s="1"/>
  <c r="N5025" i="13"/>
  <c r="K4860" i="14"/>
  <c r="L4860" i="14" s="1"/>
  <c r="I4861" i="14" s="1"/>
  <c r="M5028" i="14"/>
  <c r="N5024" i="14"/>
  <c r="J5023" i="14" a="1"/>
  <c r="J5023" i="14" s="1"/>
  <c r="K4839" i="13" l="1"/>
  <c r="L4839" i="13" s="1"/>
  <c r="I4840" i="13" s="1"/>
  <c r="K4861" i="14"/>
  <c r="L4861" i="14" s="1"/>
  <c r="I4862" i="14" s="1"/>
  <c r="M5028" i="13"/>
  <c r="M5029" i="14"/>
  <c r="J5024" i="14" a="1"/>
  <c r="J5024" i="14" s="1"/>
  <c r="N5025" i="14"/>
  <c r="N5026" i="13"/>
  <c r="J5025" i="13" a="1"/>
  <c r="J5025" i="13" s="1"/>
  <c r="K4840" i="13" l="1"/>
  <c r="L4840" i="13" s="1"/>
  <c r="I4841" i="13" s="1"/>
  <c r="J5026" i="13" a="1"/>
  <c r="J5026" i="13" s="1"/>
  <c r="N5027" i="13"/>
  <c r="M5030" i="14"/>
  <c r="K4862" i="14"/>
  <c r="L4862" i="14" s="1"/>
  <c r="I4863" i="14" s="1"/>
  <c r="N5026" i="14"/>
  <c r="J5025" i="14" a="1"/>
  <c r="J5025" i="14" s="1"/>
  <c r="M5029" i="13"/>
  <c r="K4841" i="13" l="1"/>
  <c r="L4841" i="13" s="1"/>
  <c r="I4842" i="13" s="1"/>
  <c r="K4863" i="14"/>
  <c r="L4863" i="14" s="1"/>
  <c r="I4864" i="14" s="1"/>
  <c r="N5028" i="13"/>
  <c r="J5027" i="13" a="1"/>
  <c r="J5027" i="13" s="1"/>
  <c r="M5030" i="13"/>
  <c r="M5031" i="14"/>
  <c r="N5027" i="14"/>
  <c r="J5026" i="14" a="1"/>
  <c r="J5026" i="14" s="1"/>
  <c r="K4842" i="13" l="1"/>
  <c r="L4842" i="13" s="1"/>
  <c r="I4843" i="13" s="1"/>
  <c r="M5031" i="13"/>
  <c r="N5028" i="14"/>
  <c r="J5027" i="14" a="1"/>
  <c r="J5027" i="14" s="1"/>
  <c r="K4864" i="14"/>
  <c r="L4864" i="14" s="1"/>
  <c r="I4865" i="14" s="1"/>
  <c r="M5032" i="14"/>
  <c r="J5028" i="13" a="1"/>
  <c r="J5028" i="13" s="1"/>
  <c r="N5029" i="13"/>
  <c r="K4843" i="13" l="1"/>
  <c r="L4843" i="13" s="1"/>
  <c r="I4844" i="13" s="1"/>
  <c r="N5030" i="13"/>
  <c r="J5029" i="13" a="1"/>
  <c r="J5029" i="13" s="1"/>
  <c r="K4865" i="14"/>
  <c r="L4865" i="14" s="1"/>
  <c r="I4866" i="14" s="1"/>
  <c r="M5032" i="13"/>
  <c r="M5033" i="14"/>
  <c r="J5028" i="14" a="1"/>
  <c r="J5028" i="14" s="1"/>
  <c r="N5029" i="14"/>
  <c r="K4866" i="14" l="1"/>
  <c r="L4866" i="14" s="1"/>
  <c r="I4867" i="14" s="1"/>
  <c r="K4844" i="13"/>
  <c r="L4844" i="13" s="1"/>
  <c r="I4845" i="13" s="1"/>
  <c r="N5030" i="14"/>
  <c r="J5029" i="14" a="1"/>
  <c r="J5029" i="14" s="1"/>
  <c r="M5033" i="13"/>
  <c r="J5030" i="13" a="1"/>
  <c r="J5030" i="13" s="1"/>
  <c r="N5031" i="13"/>
  <c r="M5034" i="14"/>
  <c r="K4845" i="13" l="1"/>
  <c r="L4845" i="13" s="1"/>
  <c r="I4846" i="13" s="1"/>
  <c r="K4867" i="14"/>
  <c r="L4867" i="14" s="1"/>
  <c r="I4868" i="14" s="1"/>
  <c r="M5035" i="14"/>
  <c r="M5034" i="13"/>
  <c r="N5032" i="13"/>
  <c r="J5031" i="13" a="1"/>
  <c r="J5031" i="13" s="1"/>
  <c r="N5031" i="14"/>
  <c r="J5030" i="14" a="1"/>
  <c r="J5030" i="14" s="1"/>
  <c r="K4868" i="14" l="1"/>
  <c r="L4868" i="14" s="1"/>
  <c r="I4869" i="14" s="1"/>
  <c r="K4846" i="13"/>
  <c r="L4846" i="13" s="1"/>
  <c r="I4847" i="13" s="1"/>
  <c r="M5035" i="13"/>
  <c r="N5032" i="14"/>
  <c r="J5031" i="14" a="1"/>
  <c r="J5031" i="14" s="1"/>
  <c r="J5032" i="13" a="1"/>
  <c r="J5032" i="13" s="1"/>
  <c r="N5033" i="13"/>
  <c r="M5036" i="14"/>
  <c r="K4847" i="13" l="1"/>
  <c r="L4847" i="13" s="1"/>
  <c r="I4848" i="13" s="1"/>
  <c r="K4869" i="14"/>
  <c r="L4869" i="14" s="1"/>
  <c r="I4870" i="14" s="1"/>
  <c r="N5034" i="13"/>
  <c r="J5033" i="13" a="1"/>
  <c r="J5033" i="13" s="1"/>
  <c r="M5037" i="14"/>
  <c r="J5032" i="14" a="1"/>
  <c r="J5032" i="14" s="1"/>
  <c r="N5033" i="14"/>
  <c r="M5036" i="13"/>
  <c r="K4870" i="14" l="1"/>
  <c r="L4870" i="14" s="1"/>
  <c r="I4871" i="14" s="1"/>
  <c r="K4848" i="13"/>
  <c r="L4848" i="13" s="1"/>
  <c r="I4849" i="13" s="1"/>
  <c r="M5037" i="13"/>
  <c r="N5034" i="14"/>
  <c r="J5033" i="14" a="1"/>
  <c r="J5033" i="14" s="1"/>
  <c r="M5038" i="14"/>
  <c r="J5034" i="13" a="1"/>
  <c r="J5034" i="13" s="1"/>
  <c r="N5035" i="13"/>
  <c r="K4849" i="13" l="1"/>
  <c r="L4849" i="13" s="1"/>
  <c r="I4850" i="13" s="1"/>
  <c r="K4871" i="14"/>
  <c r="L4871" i="14" s="1"/>
  <c r="I4872" i="14" s="1"/>
  <c r="N5035" i="14"/>
  <c r="J5034" i="14" a="1"/>
  <c r="J5034" i="14" s="1"/>
  <c r="N5036" i="13"/>
  <c r="J5035" i="13" a="1"/>
  <c r="J5035" i="13" s="1"/>
  <c r="M5039" i="14"/>
  <c r="M5038" i="13"/>
  <c r="K4872" i="14" l="1"/>
  <c r="L4872" i="14" s="1"/>
  <c r="I4873" i="14" s="1"/>
  <c r="K4850" i="13"/>
  <c r="L4850" i="13" s="1"/>
  <c r="I4851" i="13" s="1"/>
  <c r="M5040" i="14"/>
  <c r="M5039" i="13"/>
  <c r="J5036" i="13" a="1"/>
  <c r="J5036" i="13" s="1"/>
  <c r="N5037" i="13"/>
  <c r="N5036" i="14"/>
  <c r="J5035" i="14" a="1"/>
  <c r="J5035" i="14" s="1"/>
  <c r="K4851" i="13" l="1"/>
  <c r="L4851" i="13" s="1"/>
  <c r="I4852" i="13" s="1"/>
  <c r="K4873" i="14"/>
  <c r="L4873" i="14" s="1"/>
  <c r="I4874" i="14" s="1"/>
  <c r="N5038" i="13"/>
  <c r="J5037" i="13" a="1"/>
  <c r="J5037" i="13" s="1"/>
  <c r="M5041" i="14"/>
  <c r="J5036" i="14" a="1"/>
  <c r="J5036" i="14" s="1"/>
  <c r="N5037" i="14"/>
  <c r="M5040" i="13"/>
  <c r="K4874" i="14" l="1"/>
  <c r="L4874" i="14" s="1"/>
  <c r="I4875" i="14" s="1"/>
  <c r="K4852" i="13"/>
  <c r="L4852" i="13" s="1"/>
  <c r="I4853" i="13" s="1"/>
  <c r="M5041" i="13"/>
  <c r="M5042" i="14"/>
  <c r="N5038" i="14"/>
  <c r="J5037" i="14" a="1"/>
  <c r="J5037" i="14" s="1"/>
  <c r="J5038" i="13" a="1"/>
  <c r="J5038" i="13" s="1"/>
  <c r="N5039" i="13"/>
  <c r="K4875" i="14" l="1"/>
  <c r="L4875" i="14" s="1"/>
  <c r="I4876" i="14" s="1"/>
  <c r="N5040" i="13"/>
  <c r="J5039" i="13" a="1"/>
  <c r="J5039" i="13" s="1"/>
  <c r="M5043" i="14"/>
  <c r="K4853" i="13"/>
  <c r="L4853" i="13" s="1"/>
  <c r="I4854" i="13" s="1"/>
  <c r="N5039" i="14"/>
  <c r="J5038" i="14" a="1"/>
  <c r="J5038" i="14" s="1"/>
  <c r="M5042" i="13"/>
  <c r="K4854" i="13" l="1"/>
  <c r="L4854" i="13" s="1"/>
  <c r="I4855" i="13" s="1"/>
  <c r="K4876" i="14"/>
  <c r="L4876" i="14" s="1"/>
  <c r="I4877" i="14" s="1"/>
  <c r="M5043" i="13"/>
  <c r="J5040" i="13" a="1"/>
  <c r="J5040" i="13" s="1"/>
  <c r="N5041" i="13"/>
  <c r="N5040" i="14"/>
  <c r="J5039" i="14" a="1"/>
  <c r="J5039" i="14" s="1"/>
  <c r="M5044" i="14"/>
  <c r="K4855" i="13" l="1"/>
  <c r="L4855" i="13" s="1"/>
  <c r="I4856" i="13" s="1"/>
  <c r="M5045" i="14"/>
  <c r="N5042" i="13"/>
  <c r="J5041" i="13" a="1"/>
  <c r="J5041" i="13" s="1"/>
  <c r="K4877" i="14"/>
  <c r="L4877" i="14" s="1"/>
  <c r="I4878" i="14" s="1"/>
  <c r="J5040" i="14" a="1"/>
  <c r="J5040" i="14" s="1"/>
  <c r="N5041" i="14"/>
  <c r="M5044" i="13"/>
  <c r="K4856" i="13" l="1"/>
  <c r="L4856" i="13" s="1"/>
  <c r="I4857" i="13" s="1"/>
  <c r="M5045" i="13"/>
  <c r="K4878" i="14"/>
  <c r="L4878" i="14" s="1"/>
  <c r="I4879" i="14" s="1"/>
  <c r="M5046" i="14"/>
  <c r="N5042" i="14"/>
  <c r="J5041" i="14" a="1"/>
  <c r="J5041" i="14" s="1"/>
  <c r="J5042" i="13" a="1"/>
  <c r="J5042" i="13" s="1"/>
  <c r="N5043" i="13"/>
  <c r="K4879" i="14" l="1"/>
  <c r="L4879" i="14" s="1"/>
  <c r="I4880" i="14" s="1"/>
  <c r="K4857" i="13"/>
  <c r="L4857" i="13" s="1"/>
  <c r="I4858" i="13" s="1"/>
  <c r="N5044" i="13"/>
  <c r="J5043" i="13" a="1"/>
  <c r="J5043" i="13" s="1"/>
  <c r="M5047" i="14"/>
  <c r="M5046" i="13"/>
  <c r="N5043" i="14"/>
  <c r="J5042" i="14" a="1"/>
  <c r="J5042" i="14" s="1"/>
  <c r="K4858" i="13" l="1"/>
  <c r="L4858" i="13" s="1"/>
  <c r="I4859" i="13" s="1"/>
  <c r="K4880" i="14"/>
  <c r="L4880" i="14" s="1"/>
  <c r="I4881" i="14" s="1"/>
  <c r="M5048" i="14"/>
  <c r="N5044" i="14"/>
  <c r="J5043" i="14" a="1"/>
  <c r="J5043" i="14" s="1"/>
  <c r="M5047" i="13"/>
  <c r="J5044" i="13" a="1"/>
  <c r="J5044" i="13" s="1"/>
  <c r="N5045" i="13"/>
  <c r="K4881" i="14" l="1"/>
  <c r="L4881" i="14" s="1"/>
  <c r="I4882" i="14" s="1"/>
  <c r="K4859" i="13"/>
  <c r="L4859" i="13" s="1"/>
  <c r="I4860" i="13" s="1"/>
  <c r="N5046" i="13"/>
  <c r="J5045" i="13" a="1"/>
  <c r="J5045" i="13" s="1"/>
  <c r="J5044" i="14" a="1"/>
  <c r="J5044" i="14" s="1"/>
  <c r="N5045" i="14"/>
  <c r="M5048" i="13"/>
  <c r="M5049" i="14"/>
  <c r="K4882" i="14" l="1"/>
  <c r="L4882" i="14" s="1"/>
  <c r="I4883" i="14" s="1"/>
  <c r="M5050" i="14"/>
  <c r="N5046" i="14"/>
  <c r="J5045" i="14" a="1"/>
  <c r="J5045" i="14" s="1"/>
  <c r="K4860" i="13"/>
  <c r="L4860" i="13" s="1"/>
  <c r="I4861" i="13" s="1"/>
  <c r="M5049" i="13"/>
  <c r="J5046" i="13" a="1"/>
  <c r="J5046" i="13" s="1"/>
  <c r="N5047" i="13"/>
  <c r="K4883" i="14" l="1"/>
  <c r="L4883" i="14" s="1"/>
  <c r="I4884" i="14" s="1"/>
  <c r="N5048" i="13"/>
  <c r="J5047" i="13" a="1"/>
  <c r="J5047" i="13" s="1"/>
  <c r="M5051" i="14"/>
  <c r="K4861" i="13"/>
  <c r="L4861" i="13" s="1"/>
  <c r="I4862" i="13" s="1"/>
  <c r="M5050" i="13"/>
  <c r="N5047" i="14"/>
  <c r="J5046" i="14" a="1"/>
  <c r="J5046" i="14" s="1"/>
  <c r="K4862" i="13" l="1"/>
  <c r="L4862" i="13" s="1"/>
  <c r="I4863" i="13" s="1"/>
  <c r="K4884" i="14"/>
  <c r="L4884" i="14" s="1"/>
  <c r="I4885" i="14" s="1"/>
  <c r="N5048" i="14"/>
  <c r="J5047" i="14" a="1"/>
  <c r="J5047" i="14" s="1"/>
  <c r="M5051" i="13"/>
  <c r="J5048" i="13" a="1"/>
  <c r="J5048" i="13" s="1"/>
  <c r="N5049" i="13"/>
  <c r="M5052" i="14"/>
  <c r="K4863" i="13" l="1"/>
  <c r="L4863" i="13" s="1"/>
  <c r="I4864" i="13" s="1"/>
  <c r="N5050" i="13"/>
  <c r="J5049" i="13" a="1"/>
  <c r="J5049" i="13" s="1"/>
  <c r="M5053" i="14"/>
  <c r="M5052" i="13"/>
  <c r="K4885" i="14"/>
  <c r="L4885" i="14" s="1"/>
  <c r="I4886" i="14" s="1"/>
  <c r="J5048" i="14" a="1"/>
  <c r="J5048" i="14" s="1"/>
  <c r="N5049" i="14"/>
  <c r="K4886" i="14" l="1"/>
  <c r="L4886" i="14" s="1"/>
  <c r="I4887" i="14" s="1"/>
  <c r="K4864" i="13"/>
  <c r="L4864" i="13" s="1"/>
  <c r="I4865" i="13" s="1"/>
  <c r="J5050" i="13" a="1"/>
  <c r="J5050" i="13" s="1"/>
  <c r="N5051" i="13"/>
  <c r="N5050" i="14"/>
  <c r="J5049" i="14" a="1"/>
  <c r="J5049" i="14" s="1"/>
  <c r="M5053" i="13"/>
  <c r="M5054" i="14"/>
  <c r="K4887" i="14" l="1"/>
  <c r="L4887" i="14" s="1"/>
  <c r="I4888" i="14" s="1"/>
  <c r="N5051" i="14"/>
  <c r="J5050" i="14" a="1"/>
  <c r="J5050" i="14" s="1"/>
  <c r="K4865" i="13"/>
  <c r="L4865" i="13" s="1"/>
  <c r="I4866" i="13" s="1"/>
  <c r="N5052" i="13"/>
  <c r="J5051" i="13" a="1"/>
  <c r="J5051" i="13" s="1"/>
  <c r="M5055" i="14"/>
  <c r="M5054" i="13"/>
  <c r="K4866" i="13" l="1"/>
  <c r="L4866" i="13" s="1"/>
  <c r="I4867" i="13" s="1"/>
  <c r="K4888" i="14"/>
  <c r="L4888" i="14" s="1"/>
  <c r="I4889" i="14" s="1"/>
  <c r="N5052" i="14"/>
  <c r="J5051" i="14" a="1"/>
  <c r="J5051" i="14" s="1"/>
  <c r="M5055" i="13"/>
  <c r="J5052" i="13" a="1"/>
  <c r="J5052" i="13" s="1"/>
  <c r="N5053" i="13"/>
  <c r="M5056" i="14"/>
  <c r="K4889" i="14" l="1"/>
  <c r="L4889" i="14" s="1"/>
  <c r="I4890" i="14" s="1"/>
  <c r="K4867" i="13"/>
  <c r="L4867" i="13" s="1"/>
  <c r="I4868" i="13" s="1"/>
  <c r="N5054" i="13"/>
  <c r="J5053" i="13" a="1"/>
  <c r="J5053" i="13" s="1"/>
  <c r="M5057" i="14"/>
  <c r="M5056" i="13"/>
  <c r="J5052" i="14" a="1"/>
  <c r="J5052" i="14" s="1"/>
  <c r="N5053" i="14"/>
  <c r="N5054" i="14" l="1"/>
  <c r="J5053" i="14" a="1"/>
  <c r="J5053" i="14" s="1"/>
  <c r="M5058" i="14"/>
  <c r="K4868" i="13"/>
  <c r="L4868" i="13" s="1"/>
  <c r="I4869" i="13" s="1"/>
  <c r="M5057" i="13"/>
  <c r="J5054" i="13" a="1"/>
  <c r="J5054" i="13" s="1"/>
  <c r="N5055" i="13"/>
  <c r="K4890" i="14"/>
  <c r="L4890" i="14" s="1"/>
  <c r="I4891" i="14" s="1"/>
  <c r="K4869" i="13" l="1"/>
  <c r="L4869" i="13" s="1"/>
  <c r="I4870" i="13" s="1"/>
  <c r="M5059" i="14"/>
  <c r="M5058" i="13"/>
  <c r="N5056" i="13"/>
  <c r="J5055" i="13" a="1"/>
  <c r="J5055" i="13" s="1"/>
  <c r="K4891" i="14"/>
  <c r="L4891" i="14" s="1"/>
  <c r="I4892" i="14" s="1"/>
  <c r="J5054" i="14" a="1"/>
  <c r="J5054" i="14" s="1"/>
  <c r="N5055" i="14"/>
  <c r="K4892" i="14" l="1"/>
  <c r="L4892" i="14" s="1"/>
  <c r="I4893" i="14" s="1"/>
  <c r="K4870" i="13"/>
  <c r="L4870" i="13" s="1"/>
  <c r="I4871" i="13" s="1"/>
  <c r="N5056" i="14"/>
  <c r="J5055" i="14" a="1"/>
  <c r="J5055" i="14" s="1"/>
  <c r="J5056" i="13" a="1"/>
  <c r="J5056" i="13" s="1"/>
  <c r="N5057" i="13"/>
  <c r="M5060" i="14"/>
  <c r="M5059" i="13"/>
  <c r="K4893" i="14" l="1"/>
  <c r="L4893" i="14" s="1"/>
  <c r="I4894" i="14" s="1"/>
  <c r="N5058" i="13"/>
  <c r="J5057" i="13" a="1"/>
  <c r="J5057" i="13" s="1"/>
  <c r="M5060" i="13"/>
  <c r="K4871" i="13"/>
  <c r="L4871" i="13" s="1"/>
  <c r="I4872" i="13" s="1"/>
  <c r="M5061" i="14"/>
  <c r="J5056" i="14" a="1"/>
  <c r="J5056" i="14" s="1"/>
  <c r="N5057" i="14"/>
  <c r="K4872" i="13" l="1"/>
  <c r="L4872" i="13" s="1"/>
  <c r="I4873" i="13" s="1"/>
  <c r="K4894" i="14"/>
  <c r="L4894" i="14" s="1"/>
  <c r="I4895" i="14" s="1"/>
  <c r="J5057" i="14" a="1"/>
  <c r="J5057" i="14" s="1"/>
  <c r="N5058" i="14"/>
  <c r="J5058" i="13" a="1"/>
  <c r="J5058" i="13" s="1"/>
  <c r="N5059" i="13"/>
  <c r="M5061" i="13"/>
  <c r="M5062" i="14"/>
  <c r="K4873" i="13" l="1"/>
  <c r="L4873" i="13" s="1"/>
  <c r="I4874" i="13" s="1"/>
  <c r="M5062" i="13"/>
  <c r="M5063" i="14"/>
  <c r="N5060" i="13"/>
  <c r="J5059" i="13" a="1"/>
  <c r="J5059" i="13" s="1"/>
  <c r="K4895" i="14"/>
  <c r="L4895" i="14" s="1"/>
  <c r="I4896" i="14" s="1"/>
  <c r="J5058" i="14" a="1"/>
  <c r="J5058" i="14" s="1"/>
  <c r="N5059" i="14"/>
  <c r="K4896" i="14" l="1"/>
  <c r="L4896" i="14" s="1"/>
  <c r="I4897" i="14" s="1"/>
  <c r="K4874" i="13"/>
  <c r="L4874" i="13" s="1"/>
  <c r="I4875" i="13" s="1"/>
  <c r="M5063" i="13"/>
  <c r="N5060" i="14"/>
  <c r="J5059" i="14" a="1"/>
  <c r="J5059" i="14" s="1"/>
  <c r="J5060" i="13" a="1"/>
  <c r="J5060" i="13" s="1"/>
  <c r="N5061" i="13"/>
  <c r="M5064" i="14"/>
  <c r="K4897" i="14" l="1"/>
  <c r="L4897" i="14" s="1"/>
  <c r="I4898" i="14" s="1"/>
  <c r="M5065" i="14"/>
  <c r="J5060" i="14" a="1"/>
  <c r="J5060" i="14" s="1"/>
  <c r="N5061" i="14"/>
  <c r="K4875" i="13"/>
  <c r="L4875" i="13" s="1"/>
  <c r="I4876" i="13" s="1"/>
  <c r="N5062" i="13"/>
  <c r="J5061" i="13" a="1"/>
  <c r="J5061" i="13" s="1"/>
  <c r="M5064" i="13"/>
  <c r="K4898" i="14" l="1"/>
  <c r="L4898" i="14" s="1"/>
  <c r="I4899" i="14" s="1"/>
  <c r="J5062" i="13" a="1"/>
  <c r="J5062" i="13" s="1"/>
  <c r="N5063" i="13"/>
  <c r="M5065" i="13"/>
  <c r="K4876" i="13"/>
  <c r="L4876" i="13" s="1"/>
  <c r="I4877" i="13" s="1"/>
  <c r="M5066" i="14"/>
  <c r="J5061" i="14" a="1"/>
  <c r="J5061" i="14" s="1"/>
  <c r="N5062" i="14"/>
  <c r="K4877" i="13" l="1"/>
  <c r="L4877" i="13" s="1"/>
  <c r="I4878" i="13" s="1"/>
  <c r="K4899" i="14"/>
  <c r="L4899" i="14" s="1"/>
  <c r="I4900" i="14" s="1"/>
  <c r="N5064" i="13"/>
  <c r="J5063" i="13" a="1"/>
  <c r="J5063" i="13" s="1"/>
  <c r="N5063" i="14"/>
  <c r="J5062" i="14" a="1"/>
  <c r="J5062" i="14" s="1"/>
  <c r="M5067" i="14"/>
  <c r="M5066" i="13"/>
  <c r="K4878" i="13" l="1"/>
  <c r="L4878" i="13" s="1"/>
  <c r="I4879" i="13" s="1"/>
  <c r="N5064" i="14"/>
  <c r="J5063" i="14" a="1"/>
  <c r="J5063" i="14" s="1"/>
  <c r="K4900" i="14"/>
  <c r="L4900" i="14" s="1"/>
  <c r="I4901" i="14" s="1"/>
  <c r="M5067" i="13"/>
  <c r="M5068" i="14"/>
  <c r="J5064" i="13" a="1"/>
  <c r="J5064" i="13" s="1"/>
  <c r="N5065" i="13"/>
  <c r="K4901" i="14" l="1"/>
  <c r="L4901" i="14" s="1"/>
  <c r="I4902" i="14" s="1"/>
  <c r="K4879" i="13"/>
  <c r="L4879" i="13" s="1"/>
  <c r="I4880" i="13" s="1"/>
  <c r="M5068" i="13"/>
  <c r="N5066" i="13"/>
  <c r="J5065" i="13" a="1"/>
  <c r="J5065" i="13" s="1"/>
  <c r="J5064" i="14" a="1"/>
  <c r="J5064" i="14" s="1"/>
  <c r="N5065" i="14"/>
  <c r="M5069" i="14"/>
  <c r="K4880" i="13" l="1"/>
  <c r="L4880" i="13" s="1"/>
  <c r="I4881" i="13" s="1"/>
  <c r="K4902" i="14"/>
  <c r="L4902" i="14" s="1"/>
  <c r="I4903" i="14" s="1"/>
  <c r="M5070" i="14"/>
  <c r="J5066" i="13" a="1"/>
  <c r="J5066" i="13" s="1"/>
  <c r="N5067" i="13"/>
  <c r="N5066" i="14"/>
  <c r="J5065" i="14" a="1"/>
  <c r="J5065" i="14" s="1"/>
  <c r="M5069" i="13"/>
  <c r="K4881" i="13" l="1"/>
  <c r="L4881" i="13" s="1"/>
  <c r="I4882" i="13" s="1"/>
  <c r="N5068" i="13"/>
  <c r="J5067" i="13" a="1"/>
  <c r="J5067" i="13" s="1"/>
  <c r="M5070" i="13"/>
  <c r="K4903" i="14"/>
  <c r="L4903" i="14" s="1"/>
  <c r="I4904" i="14" s="1"/>
  <c r="M5071" i="14"/>
  <c r="N5067" i="14"/>
  <c r="J5066" i="14" a="1"/>
  <c r="J5066" i="14" s="1"/>
  <c r="K4904" i="14" l="1"/>
  <c r="L4904" i="14" s="1"/>
  <c r="I4905" i="14" s="1"/>
  <c r="K4882" i="13"/>
  <c r="L4882" i="13" s="1"/>
  <c r="I4883" i="13" s="1"/>
  <c r="N5068" i="14"/>
  <c r="J5067" i="14" a="1"/>
  <c r="J5067" i="14" s="1"/>
  <c r="J5068" i="13" a="1"/>
  <c r="J5068" i="13" s="1"/>
  <c r="N5069" i="13"/>
  <c r="M5071" i="13"/>
  <c r="M5072" i="14"/>
  <c r="K4905" i="14" l="1"/>
  <c r="L4905" i="14" s="1"/>
  <c r="I4906" i="14" s="1"/>
  <c r="M5073" i="14"/>
  <c r="N5070" i="13"/>
  <c r="J5069" i="13" a="1"/>
  <c r="J5069" i="13" s="1"/>
  <c r="K4883" i="13"/>
  <c r="L4883" i="13" s="1"/>
  <c r="I4884" i="13" s="1"/>
  <c r="M5072" i="13"/>
  <c r="J5068" i="14" a="1"/>
  <c r="J5068" i="14" s="1"/>
  <c r="N5069" i="14"/>
  <c r="K4906" i="14" l="1"/>
  <c r="L4906" i="14" s="1"/>
  <c r="I4907" i="14" s="1"/>
  <c r="N5070" i="14"/>
  <c r="J5069" i="14" a="1"/>
  <c r="J5069" i="14" s="1"/>
  <c r="M5074" i="14"/>
  <c r="K4884" i="13"/>
  <c r="L4884" i="13" s="1"/>
  <c r="I4885" i="13" s="1"/>
  <c r="M5073" i="13"/>
  <c r="J5070" i="13" a="1"/>
  <c r="J5070" i="13" s="1"/>
  <c r="N5071" i="13"/>
  <c r="K4885" i="13" l="1"/>
  <c r="L4885" i="13" s="1"/>
  <c r="I4886" i="13" s="1"/>
  <c r="K4907" i="14"/>
  <c r="L4907" i="14" s="1"/>
  <c r="I4908" i="14" s="1"/>
  <c r="N5071" i="14"/>
  <c r="J5070" i="14" a="1"/>
  <c r="J5070" i="14" s="1"/>
  <c r="N5072" i="13"/>
  <c r="J5071" i="13" a="1"/>
  <c r="J5071" i="13" s="1"/>
  <c r="M5075" i="14"/>
  <c r="M5074" i="13"/>
  <c r="K4908" i="14" l="1"/>
  <c r="L4908" i="14" s="1"/>
  <c r="I4909" i="14" s="1"/>
  <c r="K4886" i="13"/>
  <c r="L4886" i="13" s="1"/>
  <c r="I4887" i="13" s="1"/>
  <c r="J5072" i="13" a="1"/>
  <c r="J5072" i="13" s="1"/>
  <c r="N5073" i="13"/>
  <c r="M5075" i="13"/>
  <c r="M5076" i="14"/>
  <c r="N5072" i="14"/>
  <c r="J5071" i="14" a="1"/>
  <c r="J5071" i="14" s="1"/>
  <c r="K4909" i="14" l="1"/>
  <c r="L4909" i="14" s="1"/>
  <c r="I4910" i="14" s="1"/>
  <c r="M5077" i="14"/>
  <c r="J5072" i="14" a="1"/>
  <c r="J5072" i="14" s="1"/>
  <c r="N5073" i="14"/>
  <c r="M5076" i="13"/>
  <c r="K4887" i="13"/>
  <c r="L4887" i="13" s="1"/>
  <c r="I4888" i="13" s="1"/>
  <c r="N5074" i="13"/>
  <c r="J5073" i="13" a="1"/>
  <c r="J5073" i="13" s="1"/>
  <c r="K4910" i="14" l="1"/>
  <c r="L4910" i="14" s="1"/>
  <c r="I4911" i="14" s="1"/>
  <c r="M5077" i="13"/>
  <c r="M5078" i="14"/>
  <c r="J5074" i="13" a="1"/>
  <c r="J5074" i="13" s="1"/>
  <c r="N5075" i="13"/>
  <c r="N5074" i="14"/>
  <c r="J5073" i="14" a="1"/>
  <c r="J5073" i="14" s="1"/>
  <c r="K4888" i="13"/>
  <c r="L4888" i="13" s="1"/>
  <c r="I4889" i="13" s="1"/>
  <c r="K4889" i="13" l="1"/>
  <c r="L4889" i="13" s="1"/>
  <c r="I4890" i="13" s="1"/>
  <c r="K4911" i="14"/>
  <c r="L4911" i="14" s="1"/>
  <c r="I4912" i="14" s="1"/>
  <c r="N5076" i="13"/>
  <c r="J5075" i="13" a="1"/>
  <c r="J5075" i="13" s="1"/>
  <c r="M5078" i="13"/>
  <c r="M5079" i="14"/>
  <c r="N5075" i="14"/>
  <c r="J5074" i="14" a="1"/>
  <c r="J5074" i="14" s="1"/>
  <c r="K4890" i="13" l="1"/>
  <c r="L4890" i="13" s="1"/>
  <c r="I4891" i="13" s="1"/>
  <c r="M5079" i="13"/>
  <c r="N5076" i="14"/>
  <c r="J5075" i="14" a="1"/>
  <c r="J5075" i="14" s="1"/>
  <c r="K4912" i="14"/>
  <c r="L4912" i="14" s="1"/>
  <c r="I4913" i="14" s="1"/>
  <c r="M5080" i="14"/>
  <c r="J5076" i="13" a="1"/>
  <c r="J5076" i="13" s="1"/>
  <c r="N5077" i="13"/>
  <c r="K4891" i="13" l="1"/>
  <c r="L4891" i="13" s="1"/>
  <c r="I4892" i="13" s="1"/>
  <c r="N5078" i="13"/>
  <c r="J5077" i="13" a="1"/>
  <c r="J5077" i="13" s="1"/>
  <c r="K4913" i="14"/>
  <c r="L4913" i="14" s="1"/>
  <c r="I4914" i="14" s="1"/>
  <c r="M5080" i="13"/>
  <c r="M5081" i="14"/>
  <c r="J5076" i="14" a="1"/>
  <c r="J5076" i="14" s="1"/>
  <c r="N5077" i="14"/>
  <c r="K4914" i="14" l="1"/>
  <c r="L4914" i="14" s="1"/>
  <c r="I4915" i="14" s="1"/>
  <c r="K4892" i="13"/>
  <c r="L4892" i="13" s="1"/>
  <c r="I4893" i="13" s="1"/>
  <c r="N5078" i="14"/>
  <c r="J5077" i="14" a="1"/>
  <c r="J5077" i="14" s="1"/>
  <c r="M5081" i="13"/>
  <c r="J5078" i="13" a="1"/>
  <c r="J5078" i="13" s="1"/>
  <c r="N5079" i="13"/>
  <c r="M5082" i="14"/>
  <c r="K4893" i="13" l="1"/>
  <c r="L4893" i="13" s="1"/>
  <c r="I4894" i="13" s="1"/>
  <c r="K4915" i="14"/>
  <c r="L4915" i="14" s="1"/>
  <c r="I4916" i="14" s="1"/>
  <c r="N5080" i="13"/>
  <c r="J5079" i="13" a="1"/>
  <c r="J5079" i="13" s="1"/>
  <c r="M5083" i="14"/>
  <c r="M5082" i="13"/>
  <c r="N5079" i="14"/>
  <c r="J5078" i="14" a="1"/>
  <c r="J5078" i="14" s="1"/>
  <c r="K4916" i="14" l="1"/>
  <c r="L4916" i="14" s="1"/>
  <c r="I4917" i="14" s="1"/>
  <c r="K4894" i="13"/>
  <c r="L4894" i="13" s="1"/>
  <c r="I4895" i="13" s="1"/>
  <c r="N5080" i="14"/>
  <c r="J5079" i="14" a="1"/>
  <c r="J5079" i="14" s="1"/>
  <c r="M5084" i="14"/>
  <c r="M5083" i="13"/>
  <c r="J5080" i="13" a="1"/>
  <c r="J5080" i="13" s="1"/>
  <c r="N5081" i="13"/>
  <c r="K4917" i="14" l="1"/>
  <c r="L4917" i="14" s="1"/>
  <c r="I4918" i="14" s="1"/>
  <c r="N5082" i="13"/>
  <c r="J5081" i="13" a="1"/>
  <c r="J5081" i="13" s="1"/>
  <c r="M5085" i="14"/>
  <c r="K4895" i="13"/>
  <c r="L4895" i="13" s="1"/>
  <c r="I4896" i="13" s="1"/>
  <c r="M5084" i="13"/>
  <c r="J5080" i="14" a="1"/>
  <c r="J5080" i="14" s="1"/>
  <c r="N5081" i="14"/>
  <c r="K4918" i="14" l="1"/>
  <c r="L4918" i="14" s="1"/>
  <c r="I4919" i="14" s="1"/>
  <c r="N5082" i="14"/>
  <c r="J5081" i="14" a="1"/>
  <c r="J5081" i="14" s="1"/>
  <c r="K4896" i="13"/>
  <c r="L4896" i="13" s="1"/>
  <c r="I4897" i="13" s="1"/>
  <c r="J5082" i="13" a="1"/>
  <c r="J5082" i="13" s="1"/>
  <c r="N5083" i="13"/>
  <c r="M5085" i="13"/>
  <c r="M5086" i="14"/>
  <c r="K4897" i="13" l="1"/>
  <c r="L4897" i="13" s="1"/>
  <c r="I4898" i="13" s="1"/>
  <c r="K4919" i="14"/>
  <c r="L4919" i="14" s="1"/>
  <c r="I4920" i="14" s="1"/>
  <c r="M5087" i="14"/>
  <c r="N5084" i="13"/>
  <c r="J5083" i="13" a="1"/>
  <c r="J5083" i="13" s="1"/>
  <c r="N5083" i="14"/>
  <c r="J5082" i="14" a="1"/>
  <c r="J5082" i="14" s="1"/>
  <c r="M5086" i="13"/>
  <c r="K4898" i="13" l="1"/>
  <c r="L4898" i="13" s="1"/>
  <c r="I4899" i="13" s="1"/>
  <c r="K4920" i="14"/>
  <c r="L4920" i="14" s="1"/>
  <c r="I4921" i="14" s="1"/>
  <c r="J5084" i="13" a="1"/>
  <c r="J5084" i="13" s="1"/>
  <c r="N5085" i="13"/>
  <c r="M5087" i="13"/>
  <c r="N5084" i="14"/>
  <c r="J5083" i="14" a="1"/>
  <c r="J5083" i="14" s="1"/>
  <c r="M5088" i="14"/>
  <c r="K4899" i="13" l="1"/>
  <c r="L4899" i="13" s="1"/>
  <c r="I4900" i="13" s="1"/>
  <c r="J5084" i="14" a="1"/>
  <c r="J5084" i="14" s="1"/>
  <c r="N5085" i="14"/>
  <c r="M5089" i="14"/>
  <c r="M5088" i="13"/>
  <c r="K4921" i="14"/>
  <c r="L4921" i="14" s="1"/>
  <c r="I4922" i="14" s="1"/>
  <c r="N5086" i="13"/>
  <c r="J5085" i="13" a="1"/>
  <c r="J5085" i="13" s="1"/>
  <c r="K4922" i="14" l="1"/>
  <c r="L4922" i="14" s="1"/>
  <c r="I4923" i="14" s="1"/>
  <c r="K4900" i="13"/>
  <c r="L4900" i="13" s="1"/>
  <c r="I4901" i="13" s="1"/>
  <c r="M5089" i="13"/>
  <c r="N5086" i="14"/>
  <c r="J5085" i="14" a="1"/>
  <c r="J5085" i="14" s="1"/>
  <c r="J5086" i="13" a="1"/>
  <c r="J5086" i="13" s="1"/>
  <c r="N5087" i="13"/>
  <c r="M5090" i="14"/>
  <c r="K4901" i="13" l="1"/>
  <c r="L4901" i="13" s="1"/>
  <c r="I4902" i="13" s="1"/>
  <c r="M5091" i="14"/>
  <c r="N5087" i="14"/>
  <c r="J5086" i="14" a="1"/>
  <c r="J5086" i="14" s="1"/>
  <c r="N5088" i="13"/>
  <c r="J5087" i="13" a="1"/>
  <c r="J5087" i="13" s="1"/>
  <c r="M5090" i="13"/>
  <c r="K4923" i="14"/>
  <c r="L4923" i="14" s="1"/>
  <c r="I4924" i="14" s="1"/>
  <c r="K4924" i="14" l="1"/>
  <c r="L4924" i="14" s="1"/>
  <c r="I4925" i="14" s="1"/>
  <c r="K4902" i="13"/>
  <c r="L4902" i="13" s="1"/>
  <c r="I4903" i="13" s="1"/>
  <c r="M5092" i="14"/>
  <c r="J5088" i="13" a="1"/>
  <c r="J5088" i="13" s="1"/>
  <c r="N5089" i="13"/>
  <c r="M5091" i="13"/>
  <c r="N5088" i="14"/>
  <c r="J5087" i="14" a="1"/>
  <c r="J5087" i="14" s="1"/>
  <c r="K4903" i="13" l="1"/>
  <c r="L4903" i="13" s="1"/>
  <c r="I4904" i="13" s="1"/>
  <c r="K4925" i="14"/>
  <c r="L4925" i="14" s="1"/>
  <c r="I4926" i="14" s="1"/>
  <c r="N5090" i="13"/>
  <c r="J5089" i="13" a="1"/>
  <c r="J5089" i="13" s="1"/>
  <c r="J5088" i="14" a="1"/>
  <c r="J5088" i="14" s="1"/>
  <c r="N5089" i="14"/>
  <c r="M5093" i="14"/>
  <c r="M5092" i="13"/>
  <c r="K4926" i="14" l="1"/>
  <c r="L4926" i="14" s="1"/>
  <c r="I4927" i="14" s="1"/>
  <c r="N5090" i="14"/>
  <c r="J5089" i="14" a="1"/>
  <c r="J5089" i="14" s="1"/>
  <c r="M5094" i="14"/>
  <c r="M5093" i="13"/>
  <c r="J5090" i="13" a="1"/>
  <c r="J5090" i="13" s="1"/>
  <c r="N5091" i="13"/>
  <c r="K4904" i="13"/>
  <c r="L4904" i="13" s="1"/>
  <c r="I4905" i="13" s="1"/>
  <c r="K4905" i="13" l="1"/>
  <c r="L4905" i="13" s="1"/>
  <c r="I4906" i="13" s="1"/>
  <c r="K4927" i="14"/>
  <c r="L4927" i="14" s="1"/>
  <c r="I4928" i="14" s="1"/>
  <c r="M5094" i="13"/>
  <c r="N5091" i="14"/>
  <c r="J5090" i="14" a="1"/>
  <c r="J5090" i="14" s="1"/>
  <c r="N5092" i="13"/>
  <c r="J5091" i="13" a="1"/>
  <c r="J5091" i="13" s="1"/>
  <c r="M5095" i="14"/>
  <c r="K4906" i="13" l="1"/>
  <c r="L4906" i="13" s="1"/>
  <c r="I4907" i="13" s="1"/>
  <c r="K4928" i="14"/>
  <c r="L4928" i="14" s="1"/>
  <c r="I4929" i="14" s="1"/>
  <c r="N5092" i="14"/>
  <c r="J5091" i="14" a="1"/>
  <c r="J5091" i="14" s="1"/>
  <c r="M5096" i="14"/>
  <c r="M5095" i="13"/>
  <c r="J5092" i="13" a="1"/>
  <c r="J5092" i="13" s="1"/>
  <c r="N5093" i="13"/>
  <c r="K4907" i="13" l="1"/>
  <c r="L4907" i="13" s="1"/>
  <c r="I4908" i="13" s="1"/>
  <c r="N5094" i="13"/>
  <c r="J5093" i="13" a="1"/>
  <c r="J5093" i="13" s="1"/>
  <c r="M5097" i="14"/>
  <c r="K4929" i="14"/>
  <c r="L4929" i="14" s="1"/>
  <c r="I4930" i="14" s="1"/>
  <c r="M5096" i="13"/>
  <c r="J5092" i="14" a="1"/>
  <c r="J5092" i="14" s="1"/>
  <c r="N5093" i="14"/>
  <c r="K4930" i="14" l="1"/>
  <c r="L4930" i="14" s="1"/>
  <c r="I4931" i="14" s="1"/>
  <c r="K4908" i="13"/>
  <c r="L4908" i="13" s="1"/>
  <c r="I4909" i="13" s="1"/>
  <c r="N5094" i="14"/>
  <c r="J5093" i="14" a="1"/>
  <c r="J5093" i="14" s="1"/>
  <c r="J5094" i="13" a="1"/>
  <c r="J5094" i="13" s="1"/>
  <c r="N5095" i="13"/>
  <c r="M5097" i="13"/>
  <c r="M5098" i="14"/>
  <c r="K4931" i="14" l="1"/>
  <c r="L4931" i="14" s="1"/>
  <c r="I4932" i="14" s="1"/>
  <c r="M5099" i="14"/>
  <c r="N5096" i="13"/>
  <c r="J5095" i="13" a="1"/>
  <c r="J5095" i="13" s="1"/>
  <c r="K4909" i="13"/>
  <c r="L4909" i="13" s="1"/>
  <c r="I4910" i="13" s="1"/>
  <c r="M5098" i="13"/>
  <c r="N5095" i="14"/>
  <c r="J5094" i="14" a="1"/>
  <c r="J5094" i="14" s="1"/>
  <c r="K4932" i="14" l="1"/>
  <c r="L4932" i="14" s="1"/>
  <c r="I4933" i="14" s="1"/>
  <c r="N5096" i="14"/>
  <c r="J5095" i="14" a="1"/>
  <c r="J5095" i="14" s="1"/>
  <c r="M5100" i="14"/>
  <c r="K4910" i="13"/>
  <c r="L4910" i="13" s="1"/>
  <c r="I4911" i="13" s="1"/>
  <c r="M5099" i="13"/>
  <c r="J5096" i="13" a="1"/>
  <c r="J5096" i="13" s="1"/>
  <c r="N5097" i="13"/>
  <c r="K4911" i="13" l="1"/>
  <c r="L4911" i="13" s="1"/>
  <c r="I4912" i="13" s="1"/>
  <c r="K4933" i="14"/>
  <c r="L4933" i="14" s="1"/>
  <c r="I4934" i="14" s="1"/>
  <c r="J5096" i="14" a="1"/>
  <c r="J5096" i="14" s="1"/>
  <c r="N5097" i="14"/>
  <c r="N5098" i="13"/>
  <c r="J5097" i="13" a="1"/>
  <c r="J5097" i="13" s="1"/>
  <c r="M5100" i="13"/>
  <c r="M5101" i="14"/>
  <c r="K4934" i="14" l="1"/>
  <c r="L4934" i="14" s="1"/>
  <c r="I4935" i="14" s="1"/>
  <c r="K4912" i="13"/>
  <c r="L4912" i="13" s="1"/>
  <c r="I4913" i="13" s="1"/>
  <c r="J5098" i="13" a="1"/>
  <c r="J5098" i="13" s="1"/>
  <c r="N5099" i="13"/>
  <c r="N5098" i="14"/>
  <c r="J5097" i="14" a="1"/>
  <c r="J5097" i="14" s="1"/>
  <c r="M5102" i="14"/>
  <c r="M5101" i="13"/>
  <c r="K4935" i="14" l="1"/>
  <c r="L4935" i="14" s="1"/>
  <c r="I4936" i="14" s="1"/>
  <c r="N5099" i="14"/>
  <c r="J5098" i="14" a="1"/>
  <c r="J5098" i="14" s="1"/>
  <c r="K4913" i="13"/>
  <c r="L4913" i="13" s="1"/>
  <c r="I4914" i="13" s="1"/>
  <c r="N5100" i="13"/>
  <c r="J5099" i="13" a="1"/>
  <c r="J5099" i="13" s="1"/>
  <c r="M5102" i="13"/>
  <c r="M5103" i="14"/>
  <c r="K4936" i="14" l="1"/>
  <c r="L4936" i="14" s="1"/>
  <c r="I4937" i="14" s="1"/>
  <c r="N5100" i="14"/>
  <c r="J5099" i="14" a="1"/>
  <c r="J5099" i="14" s="1"/>
  <c r="M5104" i="14"/>
  <c r="J5100" i="13" a="1"/>
  <c r="J5100" i="13" s="1"/>
  <c r="N5101" i="13"/>
  <c r="M5103" i="13"/>
  <c r="K4914" i="13"/>
  <c r="L4914" i="13" s="1"/>
  <c r="I4915" i="13" s="1"/>
  <c r="K4915" i="13" l="1"/>
  <c r="L4915" i="13" s="1"/>
  <c r="I4916" i="13" s="1"/>
  <c r="K4937" i="14"/>
  <c r="L4937" i="14" s="1"/>
  <c r="I4938" i="14" s="1"/>
  <c r="N5102" i="13"/>
  <c r="J5101" i="13" a="1"/>
  <c r="J5101" i="13" s="1"/>
  <c r="J5100" i="14" a="1"/>
  <c r="J5100" i="14" s="1"/>
  <c r="N5101" i="14"/>
  <c r="M5105" i="14"/>
  <c r="M5104" i="13"/>
  <c r="K4916" i="13" l="1"/>
  <c r="L4916" i="13" s="1"/>
  <c r="I4917" i="13" s="1"/>
  <c r="M5105" i="13"/>
  <c r="N5102" i="14"/>
  <c r="J5101" i="14" a="1"/>
  <c r="J5101" i="14" s="1"/>
  <c r="K4938" i="14"/>
  <c r="L4938" i="14" s="1"/>
  <c r="I4939" i="14" s="1"/>
  <c r="M5106" i="14"/>
  <c r="J5102" i="13" a="1"/>
  <c r="J5102" i="13" s="1"/>
  <c r="N5103" i="13"/>
  <c r="K4917" i="13" l="1"/>
  <c r="L4917" i="13" s="1"/>
  <c r="I4918" i="13" s="1"/>
  <c r="N5104" i="13"/>
  <c r="J5103" i="13" a="1"/>
  <c r="J5103" i="13" s="1"/>
  <c r="K4939" i="14"/>
  <c r="L4939" i="14" s="1"/>
  <c r="I4940" i="14" s="1"/>
  <c r="M5106" i="13"/>
  <c r="M5107" i="14"/>
  <c r="N5103" i="14"/>
  <c r="J5102" i="14" a="1"/>
  <c r="J5102" i="14" s="1"/>
  <c r="K4940" i="14" l="1"/>
  <c r="L4940" i="14" s="1"/>
  <c r="I4941" i="14" s="1"/>
  <c r="K4918" i="13"/>
  <c r="L4918" i="13" s="1"/>
  <c r="I4919" i="13" s="1"/>
  <c r="M5107" i="13"/>
  <c r="J5104" i="13" a="1"/>
  <c r="J5104" i="13" s="1"/>
  <c r="N5105" i="13"/>
  <c r="N5104" i="14"/>
  <c r="J5103" i="14" a="1"/>
  <c r="J5103" i="14" s="1"/>
  <c r="M5108" i="14"/>
  <c r="K4941" i="14" l="1"/>
  <c r="L4941" i="14" s="1"/>
  <c r="I4942" i="14" s="1"/>
  <c r="M5109" i="14"/>
  <c r="N5106" i="13"/>
  <c r="J5105" i="13" a="1"/>
  <c r="J5105" i="13" s="1"/>
  <c r="K4919" i="13"/>
  <c r="L4919" i="13" s="1"/>
  <c r="I4920" i="13" s="1"/>
  <c r="J5104" i="14" a="1"/>
  <c r="J5104" i="14" s="1"/>
  <c r="N5105" i="14"/>
  <c r="M5108" i="13"/>
  <c r="K4920" i="13" l="1"/>
  <c r="L4920" i="13" s="1"/>
  <c r="I4921" i="13" s="1"/>
  <c r="K4942" i="14"/>
  <c r="L4942" i="14" s="1"/>
  <c r="I4943" i="14" s="1"/>
  <c r="M5109" i="13"/>
  <c r="N5106" i="14"/>
  <c r="J5105" i="14" a="1"/>
  <c r="J5105" i="14" s="1"/>
  <c r="M5110" i="14"/>
  <c r="J5106" i="13" a="1"/>
  <c r="J5106" i="13" s="1"/>
  <c r="N5107" i="13"/>
  <c r="K4921" i="13" l="1"/>
  <c r="L4921" i="13" s="1"/>
  <c r="I4922" i="13" s="1"/>
  <c r="K4943" i="14"/>
  <c r="L4943" i="14" s="1"/>
  <c r="I4944" i="14" s="1"/>
  <c r="N5107" i="14"/>
  <c r="J5106" i="14" a="1"/>
  <c r="J5106" i="14" s="1"/>
  <c r="N5108" i="13"/>
  <c r="J5107" i="13" a="1"/>
  <c r="J5107" i="13" s="1"/>
  <c r="M5111" i="14"/>
  <c r="M5110" i="13"/>
  <c r="K4944" i="14" l="1"/>
  <c r="L4944" i="14" s="1"/>
  <c r="I4945" i="14" s="1"/>
  <c r="K4922" i="13"/>
  <c r="L4922" i="13" s="1"/>
  <c r="I4923" i="13" s="1"/>
  <c r="M5111" i="13"/>
  <c r="J5108" i="13" a="1"/>
  <c r="J5108" i="13" s="1"/>
  <c r="N5109" i="13"/>
  <c r="M5112" i="14"/>
  <c r="N5108" i="14"/>
  <c r="J5107" i="14" a="1"/>
  <c r="J5107" i="14" s="1"/>
  <c r="K4923" i="13" l="1"/>
  <c r="L4923" i="13" s="1"/>
  <c r="I4924" i="13" s="1"/>
  <c r="K4945" i="14"/>
  <c r="L4945" i="14" s="1"/>
  <c r="I4946" i="14" s="1"/>
  <c r="N5110" i="13"/>
  <c r="J5109" i="13" a="1"/>
  <c r="J5109" i="13" s="1"/>
  <c r="J5108" i="14" a="1"/>
  <c r="J5108" i="14" s="1"/>
  <c r="N5109" i="14"/>
  <c r="M5113" i="14"/>
  <c r="M5112" i="13"/>
  <c r="K4946" i="14" l="1"/>
  <c r="L4946" i="14" s="1"/>
  <c r="I4947" i="14" s="1"/>
  <c r="K4924" i="13"/>
  <c r="L4924" i="13" s="1"/>
  <c r="I4925" i="13" s="1"/>
  <c r="M5114" i="14"/>
  <c r="M5113" i="13"/>
  <c r="N5110" i="14"/>
  <c r="J5109" i="14" a="1"/>
  <c r="J5109" i="14" s="1"/>
  <c r="J5110" i="13" a="1"/>
  <c r="J5110" i="13" s="1"/>
  <c r="N5111" i="13"/>
  <c r="K4925" i="13" l="1"/>
  <c r="L4925" i="13" s="1"/>
  <c r="I4926" i="13" s="1"/>
  <c r="K4947" i="14"/>
  <c r="L4947" i="14" s="1"/>
  <c r="I4948" i="14" s="1"/>
  <c r="N5112" i="13"/>
  <c r="J5111" i="13" a="1"/>
  <c r="J5111" i="13" s="1"/>
  <c r="M5115" i="14"/>
  <c r="M5114" i="13"/>
  <c r="N5111" i="14"/>
  <c r="J5110" i="14" a="1"/>
  <c r="J5110" i="14" s="1"/>
  <c r="K4926" i="13" l="1"/>
  <c r="L4926" i="13" s="1"/>
  <c r="I4927" i="13" s="1"/>
  <c r="M5115" i="13"/>
  <c r="N5112" i="14"/>
  <c r="J5111" i="14" a="1"/>
  <c r="J5111" i="14" s="1"/>
  <c r="M5116" i="14"/>
  <c r="K4948" i="14"/>
  <c r="L4948" i="14" s="1"/>
  <c r="I4949" i="14" s="1"/>
  <c r="J5112" i="13" a="1"/>
  <c r="J5112" i="13" s="1"/>
  <c r="N5113" i="13"/>
  <c r="K4949" i="14" l="1"/>
  <c r="L4949" i="14" s="1"/>
  <c r="I4950" i="14" s="1"/>
  <c r="K4927" i="13"/>
  <c r="L4927" i="13" s="1"/>
  <c r="I4928" i="13" s="1"/>
  <c r="N5114" i="13"/>
  <c r="J5113" i="13" a="1"/>
  <c r="J5113" i="13" s="1"/>
  <c r="M5117" i="14"/>
  <c r="M5116" i="13"/>
  <c r="J5112" i="14" a="1"/>
  <c r="J5112" i="14" s="1"/>
  <c r="N5113" i="14"/>
  <c r="K4928" i="13" l="1"/>
  <c r="L4928" i="13" s="1"/>
  <c r="I4929" i="13" s="1"/>
  <c r="K4950" i="14"/>
  <c r="L4950" i="14" s="1"/>
  <c r="I4951" i="14" s="1"/>
  <c r="N5114" i="14"/>
  <c r="J5113" i="14" a="1"/>
  <c r="J5113" i="14" s="1"/>
  <c r="M5118" i="14"/>
  <c r="M5117" i="13"/>
  <c r="J5114" i="13" a="1"/>
  <c r="J5114" i="13" s="1"/>
  <c r="N5115" i="13"/>
  <c r="K4929" i="13" l="1"/>
  <c r="L4929" i="13" s="1"/>
  <c r="I4930" i="13" s="1"/>
  <c r="N5116" i="13"/>
  <c r="J5115" i="13" a="1"/>
  <c r="J5115" i="13" s="1"/>
  <c r="M5119" i="14"/>
  <c r="K4951" i="14"/>
  <c r="L4951" i="14" s="1"/>
  <c r="I4952" i="14" s="1"/>
  <c r="M5118" i="13"/>
  <c r="N5115" i="14"/>
  <c r="J5114" i="14" a="1"/>
  <c r="J5114" i="14" s="1"/>
  <c r="K4952" i="14" l="1"/>
  <c r="L4952" i="14" s="1"/>
  <c r="I4953" i="14" s="1"/>
  <c r="K4930" i="13"/>
  <c r="L4930" i="13" s="1"/>
  <c r="I4931" i="13" s="1"/>
  <c r="N5116" i="14"/>
  <c r="J5115" i="14" a="1"/>
  <c r="J5115" i="14" s="1"/>
  <c r="J5116" i="13" a="1"/>
  <c r="J5116" i="13" s="1"/>
  <c r="N5117" i="13"/>
  <c r="M5119" i="13"/>
  <c r="M5120" i="14"/>
  <c r="K4953" i="14" l="1"/>
  <c r="L4953" i="14" s="1"/>
  <c r="I4954" i="14" s="1"/>
  <c r="M5121" i="14"/>
  <c r="N5118" i="13"/>
  <c r="J5117" i="13" a="1"/>
  <c r="J5117" i="13" s="1"/>
  <c r="K4931" i="13"/>
  <c r="L4931" i="13" s="1"/>
  <c r="I4932" i="13" s="1"/>
  <c r="M5120" i="13"/>
  <c r="J5116" i="14" a="1"/>
  <c r="J5116" i="14" s="1"/>
  <c r="N5117" i="14"/>
  <c r="K4954" i="14" l="1"/>
  <c r="L4954" i="14" s="1"/>
  <c r="I4955" i="14" s="1"/>
  <c r="M5121" i="13"/>
  <c r="N5118" i="14"/>
  <c r="J5117" i="14" a="1"/>
  <c r="J5117" i="14" s="1"/>
  <c r="M5122" i="14"/>
  <c r="K4932" i="13"/>
  <c r="L4932" i="13" s="1"/>
  <c r="I4933" i="13" s="1"/>
  <c r="J5118" i="13" a="1"/>
  <c r="J5118" i="13" s="1"/>
  <c r="N5119" i="13"/>
  <c r="K4933" i="13" l="1"/>
  <c r="L4933" i="13" s="1"/>
  <c r="I4934" i="13" s="1"/>
  <c r="K4955" i="14"/>
  <c r="L4955" i="14" s="1"/>
  <c r="I4956" i="14" s="1"/>
  <c r="N5120" i="13"/>
  <c r="J5119" i="13" a="1"/>
  <c r="J5119" i="13" s="1"/>
  <c r="M5123" i="14"/>
  <c r="M5122" i="13"/>
  <c r="N5119" i="14"/>
  <c r="J5118" i="14" a="1"/>
  <c r="J5118" i="14" s="1"/>
  <c r="K4934" i="13" l="1"/>
  <c r="L4934" i="13" s="1"/>
  <c r="I4935" i="13" s="1"/>
  <c r="K4956" i="14"/>
  <c r="L4956" i="14" s="1"/>
  <c r="I4957" i="14" s="1"/>
  <c r="N5120" i="14"/>
  <c r="J5119" i="14" a="1"/>
  <c r="J5119" i="14" s="1"/>
  <c r="M5124" i="14"/>
  <c r="M5123" i="13"/>
  <c r="J5120" i="13" a="1"/>
  <c r="J5120" i="13" s="1"/>
  <c r="N5121" i="13"/>
  <c r="K4935" i="13" l="1"/>
  <c r="L4935" i="13" s="1"/>
  <c r="I4936" i="13" s="1"/>
  <c r="K4957" i="14"/>
  <c r="L4957" i="14" s="1"/>
  <c r="I4958" i="14" s="1"/>
  <c r="M5124" i="13"/>
  <c r="N5122" i="13"/>
  <c r="J5121" i="13" a="1"/>
  <c r="J5121" i="13" s="1"/>
  <c r="M5125" i="14"/>
  <c r="J5120" i="14" a="1"/>
  <c r="J5120" i="14" s="1"/>
  <c r="N5121" i="14"/>
  <c r="K4958" i="14" l="1"/>
  <c r="L4958" i="14" s="1"/>
  <c r="I4959" i="14" s="1"/>
  <c r="K4936" i="13"/>
  <c r="L4936" i="13" s="1"/>
  <c r="I4937" i="13" s="1"/>
  <c r="N5122" i="14"/>
  <c r="J5121" i="14" a="1"/>
  <c r="J5121" i="14" s="1"/>
  <c r="J5122" i="13" a="1"/>
  <c r="J5122" i="13" s="1"/>
  <c r="N5123" i="13"/>
  <c r="M5125" i="13"/>
  <c r="M5126" i="14"/>
  <c r="K4959" i="14" l="1"/>
  <c r="L4959" i="14" s="1"/>
  <c r="I4960" i="14" s="1"/>
  <c r="M5127" i="14"/>
  <c r="N5124" i="13"/>
  <c r="J5123" i="13" a="1"/>
  <c r="J5123" i="13" s="1"/>
  <c r="K4937" i="13"/>
  <c r="L4937" i="13" s="1"/>
  <c r="I4938" i="13" s="1"/>
  <c r="M5126" i="13"/>
  <c r="N5123" i="14"/>
  <c r="J5122" i="14" a="1"/>
  <c r="J5122" i="14" s="1"/>
  <c r="K4938" i="13" l="1"/>
  <c r="L4938" i="13" s="1"/>
  <c r="I4939" i="13" s="1"/>
  <c r="K4960" i="14"/>
  <c r="L4960" i="14" s="1"/>
  <c r="I4961" i="14" s="1"/>
  <c r="M5127" i="13"/>
  <c r="N5124" i="14"/>
  <c r="J5123" i="14" a="1"/>
  <c r="J5123" i="14" s="1"/>
  <c r="M5128" i="14"/>
  <c r="J5124" i="13" a="1"/>
  <c r="J5124" i="13" s="1"/>
  <c r="N5125" i="13"/>
  <c r="K4939" i="13" l="1"/>
  <c r="L4939" i="13" s="1"/>
  <c r="I4940" i="13" s="1"/>
  <c r="N5126" i="13"/>
  <c r="J5125" i="13" a="1"/>
  <c r="J5125" i="13" s="1"/>
  <c r="K4961" i="14"/>
  <c r="L4961" i="14" s="1"/>
  <c r="I4962" i="14" s="1"/>
  <c r="J5124" i="14" a="1"/>
  <c r="J5124" i="14" s="1"/>
  <c r="N5125" i="14"/>
  <c r="M5129" i="14"/>
  <c r="M5128" i="13"/>
  <c r="K4940" i="13" l="1"/>
  <c r="L4940" i="13" s="1"/>
  <c r="I4941" i="13" s="1"/>
  <c r="J5126" i="13" a="1"/>
  <c r="J5126" i="13" s="1"/>
  <c r="N5127" i="13"/>
  <c r="M5129" i="13"/>
  <c r="N5126" i="14"/>
  <c r="J5125" i="14" a="1"/>
  <c r="J5125" i="14" s="1"/>
  <c r="M5130" i="14"/>
  <c r="K4962" i="14"/>
  <c r="L4962" i="14" s="1"/>
  <c r="I4963" i="14" s="1"/>
  <c r="K4963" i="14" l="1"/>
  <c r="L4963" i="14" s="1"/>
  <c r="I4964" i="14" s="1"/>
  <c r="K4941" i="13"/>
  <c r="L4941" i="13" s="1"/>
  <c r="I4942" i="13" s="1"/>
  <c r="N5128" i="13"/>
  <c r="J5127" i="13" a="1"/>
  <c r="J5127" i="13" s="1"/>
  <c r="N5127" i="14"/>
  <c r="J5126" i="14" a="1"/>
  <c r="J5126" i="14" s="1"/>
  <c r="M5131" i="14"/>
  <c r="M5130" i="13"/>
  <c r="K4964" i="14" l="1"/>
  <c r="L4964" i="14" s="1"/>
  <c r="I4965" i="14" s="1"/>
  <c r="M5131" i="13"/>
  <c r="K4942" i="13"/>
  <c r="L4942" i="13" s="1"/>
  <c r="I4943" i="13" s="1"/>
  <c r="N5128" i="14"/>
  <c r="J5127" i="14" a="1"/>
  <c r="J5127" i="14" s="1"/>
  <c r="M5132" i="14"/>
  <c r="J5128" i="13" a="1"/>
  <c r="J5128" i="13" s="1"/>
  <c r="N5129" i="13"/>
  <c r="K4943" i="13" l="1"/>
  <c r="L4943" i="13" s="1"/>
  <c r="I4944" i="13" s="1"/>
  <c r="K4965" i="14"/>
  <c r="L4965" i="14" s="1"/>
  <c r="I4966" i="14" s="1"/>
  <c r="N5130" i="13"/>
  <c r="J5129" i="13" a="1"/>
  <c r="J5129" i="13" s="1"/>
  <c r="J5128" i="14" a="1"/>
  <c r="J5128" i="14" s="1"/>
  <c r="N5129" i="14"/>
  <c r="M5132" i="13"/>
  <c r="M5133" i="14"/>
  <c r="K4944" i="13" l="1"/>
  <c r="L4944" i="13" s="1"/>
  <c r="I4945" i="13" s="1"/>
  <c r="M5134" i="14"/>
  <c r="N5130" i="14"/>
  <c r="J5129" i="14" a="1"/>
  <c r="J5129" i="14" s="1"/>
  <c r="K4966" i="14"/>
  <c r="L4966" i="14" s="1"/>
  <c r="I4967" i="14" s="1"/>
  <c r="M5133" i="13"/>
  <c r="J5130" i="13" a="1"/>
  <c r="J5130" i="13" s="1"/>
  <c r="N5131" i="13"/>
  <c r="K4945" i="13" l="1"/>
  <c r="L4945" i="13" s="1"/>
  <c r="I4946" i="13" s="1"/>
  <c r="N5132" i="13"/>
  <c r="J5131" i="13" a="1"/>
  <c r="J5131" i="13" s="1"/>
  <c r="M5135" i="14"/>
  <c r="K4967" i="14"/>
  <c r="L4967" i="14" s="1"/>
  <c r="I4968" i="14" s="1"/>
  <c r="M5134" i="13"/>
  <c r="N5131" i="14"/>
  <c r="J5130" i="14" a="1"/>
  <c r="J5130" i="14" s="1"/>
  <c r="K4968" i="14" l="1"/>
  <c r="L4968" i="14" s="1"/>
  <c r="I4969" i="14" s="1"/>
  <c r="K4946" i="13"/>
  <c r="L4946" i="13" s="1"/>
  <c r="I4947" i="13" s="1"/>
  <c r="J5132" i="13" a="1"/>
  <c r="J5132" i="13" s="1"/>
  <c r="N5133" i="13"/>
  <c r="M5135" i="13"/>
  <c r="N5132" i="14"/>
  <c r="J5131" i="14" a="1"/>
  <c r="J5131" i="14" s="1"/>
  <c r="M5136" i="14"/>
  <c r="K4947" i="13" l="1"/>
  <c r="L4947" i="13" s="1"/>
  <c r="I4948" i="13" s="1"/>
  <c r="K4969" i="14"/>
  <c r="L4969" i="14" s="1"/>
  <c r="I4970" i="14" s="1"/>
  <c r="J5132" i="14" a="1"/>
  <c r="J5132" i="14" s="1"/>
  <c r="N5133" i="14"/>
  <c r="M5137" i="14"/>
  <c r="M5136" i="13"/>
  <c r="N5134" i="13"/>
  <c r="J5133" i="13" a="1"/>
  <c r="J5133" i="13" s="1"/>
  <c r="K4970" i="14" l="1"/>
  <c r="L4970" i="14" s="1"/>
  <c r="I4971" i="14" s="1"/>
  <c r="K4948" i="13"/>
  <c r="L4948" i="13" s="1"/>
  <c r="I4949" i="13" s="1"/>
  <c r="M5138" i="14"/>
  <c r="J5134" i="13" a="1"/>
  <c r="J5134" i="13" s="1"/>
  <c r="N5135" i="13"/>
  <c r="M5137" i="13"/>
  <c r="N5134" i="14"/>
  <c r="J5133" i="14" a="1"/>
  <c r="J5133" i="14" s="1"/>
  <c r="K4949" i="13" l="1"/>
  <c r="L4949" i="13" s="1"/>
  <c r="I4950" i="13" s="1"/>
  <c r="K4971" i="14"/>
  <c r="L4971" i="14" s="1"/>
  <c r="I4972" i="14" s="1"/>
  <c r="N5135" i="14"/>
  <c r="J5134" i="14" a="1"/>
  <c r="J5134" i="14" s="1"/>
  <c r="N5136" i="13"/>
  <c r="J5135" i="13" a="1"/>
  <c r="J5135" i="13" s="1"/>
  <c r="M5139" i="14"/>
  <c r="M5138" i="13"/>
  <c r="K4950" i="13" l="1"/>
  <c r="L4950" i="13" s="1"/>
  <c r="I4951" i="13" s="1"/>
  <c r="M5139" i="13"/>
  <c r="J5136" i="13" a="1"/>
  <c r="J5136" i="13" s="1"/>
  <c r="N5137" i="13"/>
  <c r="K4972" i="14"/>
  <c r="L4972" i="14" s="1"/>
  <c r="I4973" i="14" s="1"/>
  <c r="M5140" i="14"/>
  <c r="N5136" i="14"/>
  <c r="J5135" i="14" a="1"/>
  <c r="J5135" i="14" s="1"/>
  <c r="K4951" i="13" l="1"/>
  <c r="L4951" i="13" s="1"/>
  <c r="I4952" i="13" s="1"/>
  <c r="K4973" i="14"/>
  <c r="L4973" i="14" s="1"/>
  <c r="I4974" i="14" s="1"/>
  <c r="M5140" i="13"/>
  <c r="J5136" i="14" a="1"/>
  <c r="J5136" i="14" s="1"/>
  <c r="N5137" i="14"/>
  <c r="M5141" i="14"/>
  <c r="N5138" i="13"/>
  <c r="J5137" i="13" a="1"/>
  <c r="J5137" i="13" s="1"/>
  <c r="K4952" i="13" l="1"/>
  <c r="L4952" i="13" s="1"/>
  <c r="I4953" i="13" s="1"/>
  <c r="N5138" i="14"/>
  <c r="J5137" i="14" a="1"/>
  <c r="J5137" i="14" s="1"/>
  <c r="J5138" i="13" a="1"/>
  <c r="J5138" i="13" s="1"/>
  <c r="N5139" i="13"/>
  <c r="K4974" i="14"/>
  <c r="L4974" i="14" s="1"/>
  <c r="I4975" i="14" s="1"/>
  <c r="M5141" i="13"/>
  <c r="M5142" i="14"/>
  <c r="K4975" i="14" l="1"/>
  <c r="L4975" i="14" s="1"/>
  <c r="I4976" i="14" s="1"/>
  <c r="K4953" i="13"/>
  <c r="L4953" i="13" s="1"/>
  <c r="I4954" i="13" s="1"/>
  <c r="N5139" i="14"/>
  <c r="J5138" i="14" a="1"/>
  <c r="J5138" i="14" s="1"/>
  <c r="M5142" i="13"/>
  <c r="M5143" i="14"/>
  <c r="N5140" i="13"/>
  <c r="J5139" i="13" a="1"/>
  <c r="J5139" i="13" s="1"/>
  <c r="K4976" i="14" l="1"/>
  <c r="L4976" i="14" s="1"/>
  <c r="I4977" i="14" s="1"/>
  <c r="M5143" i="13"/>
  <c r="J5140" i="13" a="1"/>
  <c r="J5140" i="13" s="1"/>
  <c r="N5141" i="13"/>
  <c r="K4954" i="13"/>
  <c r="L4954" i="13" s="1"/>
  <c r="I4955" i="13" s="1"/>
  <c r="M5144" i="14"/>
  <c r="N5140" i="14"/>
  <c r="J5139" i="14" a="1"/>
  <c r="J5139" i="14" s="1"/>
  <c r="K4955" i="13" l="1"/>
  <c r="L4955" i="13" s="1"/>
  <c r="I4956" i="13" s="1"/>
  <c r="K4977" i="14"/>
  <c r="L4977" i="14" s="1"/>
  <c r="I4978" i="14" s="1"/>
  <c r="J5140" i="14" a="1"/>
  <c r="J5140" i="14" s="1"/>
  <c r="N5141" i="14"/>
  <c r="M5144" i="13"/>
  <c r="N5142" i="13"/>
  <c r="J5141" i="13" a="1"/>
  <c r="J5141" i="13" s="1"/>
  <c r="M5145" i="14"/>
  <c r="K4978" i="14" l="1"/>
  <c r="L4978" i="14" s="1"/>
  <c r="I4979" i="14" s="1"/>
  <c r="K4956" i="13"/>
  <c r="L4956" i="13" s="1"/>
  <c r="I4957" i="13" s="1"/>
  <c r="N5142" i="14"/>
  <c r="J5141" i="14" a="1"/>
  <c r="J5141" i="14" s="1"/>
  <c r="J5142" i="13" a="1"/>
  <c r="J5142" i="13" s="1"/>
  <c r="N5143" i="13"/>
  <c r="M5146" i="14"/>
  <c r="M5145" i="13"/>
  <c r="K4957" i="13" l="1"/>
  <c r="L4957" i="13" s="1"/>
  <c r="I4958" i="13" s="1"/>
  <c r="K4979" i="14"/>
  <c r="L4979" i="14" s="1"/>
  <c r="I4980" i="14" s="1"/>
  <c r="M5147" i="14"/>
  <c r="N5144" i="13"/>
  <c r="J5143" i="13" a="1"/>
  <c r="J5143" i="13" s="1"/>
  <c r="M5146" i="13"/>
  <c r="N5143" i="14"/>
  <c r="J5142" i="14" a="1"/>
  <c r="J5142" i="14" s="1"/>
  <c r="K4958" i="13" l="1"/>
  <c r="L4958" i="13" s="1"/>
  <c r="I4959" i="13" s="1"/>
  <c r="K4980" i="14"/>
  <c r="L4980" i="14" s="1"/>
  <c r="I4981" i="14" s="1"/>
  <c r="N5144" i="14"/>
  <c r="J5143" i="14" a="1"/>
  <c r="J5143" i="14" s="1"/>
  <c r="J5144" i="13" a="1"/>
  <c r="J5144" i="13" s="1"/>
  <c r="N5145" i="13"/>
  <c r="M5147" i="13"/>
  <c r="M5148" i="14"/>
  <c r="K4959" i="13" l="1"/>
  <c r="L4959" i="13" s="1"/>
  <c r="I4960" i="13" s="1"/>
  <c r="M5149" i="14"/>
  <c r="N5146" i="13"/>
  <c r="J5145" i="13" a="1"/>
  <c r="J5145" i="13" s="1"/>
  <c r="K4981" i="14"/>
  <c r="L4981" i="14" s="1"/>
  <c r="I4982" i="14" s="1"/>
  <c r="M5148" i="13"/>
  <c r="J5144" i="14" a="1"/>
  <c r="J5144" i="14" s="1"/>
  <c r="N5145" i="14"/>
  <c r="K4960" i="13" l="1"/>
  <c r="L4960" i="13" s="1"/>
  <c r="I4961" i="13" s="1"/>
  <c r="M5149" i="13"/>
  <c r="N5146" i="14"/>
  <c r="J5145" i="14" a="1"/>
  <c r="J5145" i="14" s="1"/>
  <c r="M5150" i="14"/>
  <c r="K4982" i="14"/>
  <c r="L4982" i="14" s="1"/>
  <c r="I4983" i="14" s="1"/>
  <c r="J5146" i="13" a="1"/>
  <c r="J5146" i="13" s="1"/>
  <c r="N5147" i="13"/>
  <c r="K4983" i="14" l="1"/>
  <c r="L4983" i="14" s="1"/>
  <c r="I4984" i="14" s="1"/>
  <c r="K4961" i="13"/>
  <c r="L4961" i="13" s="1"/>
  <c r="I4962" i="13" s="1"/>
  <c r="N5148" i="13"/>
  <c r="J5147" i="13" a="1"/>
  <c r="J5147" i="13" s="1"/>
  <c r="M5151" i="14"/>
  <c r="M5150" i="13"/>
  <c r="N5147" i="14"/>
  <c r="J5146" i="14" a="1"/>
  <c r="J5146" i="14" s="1"/>
  <c r="K4984" i="14" l="1"/>
  <c r="L4984" i="14" s="1"/>
  <c r="I4985" i="14" s="1"/>
  <c r="M5152" i="14"/>
  <c r="N5148" i="14"/>
  <c r="J5147" i="14" a="1"/>
  <c r="J5147" i="14" s="1"/>
  <c r="K4962" i="13"/>
  <c r="L4962" i="13" s="1"/>
  <c r="I4963" i="13" s="1"/>
  <c r="M5151" i="13"/>
  <c r="J5148" i="13" a="1"/>
  <c r="J5148" i="13" s="1"/>
  <c r="N5149" i="13"/>
  <c r="K4985" i="14" l="1"/>
  <c r="L4985" i="14" s="1"/>
  <c r="I4986" i="14" s="1"/>
  <c r="N5150" i="13"/>
  <c r="J5149" i="13" a="1"/>
  <c r="J5149" i="13" s="1"/>
  <c r="M5153" i="14"/>
  <c r="K4963" i="13"/>
  <c r="L4963" i="13" s="1"/>
  <c r="I4964" i="13" s="1"/>
  <c r="M5152" i="13"/>
  <c r="J5148" i="14" a="1"/>
  <c r="J5148" i="14" s="1"/>
  <c r="N5149" i="14"/>
  <c r="K4964" i="13" l="1"/>
  <c r="L4964" i="13" s="1"/>
  <c r="I4965" i="13" s="1"/>
  <c r="K4986" i="14"/>
  <c r="L4986" i="14" s="1"/>
  <c r="I4987" i="14" s="1"/>
  <c r="J5150" i="13" a="1"/>
  <c r="J5150" i="13" s="1"/>
  <c r="N5151" i="13"/>
  <c r="N5150" i="14"/>
  <c r="J5149" i="14" a="1"/>
  <c r="J5149" i="14" s="1"/>
  <c r="M5153" i="13"/>
  <c r="M5154" i="14"/>
  <c r="K4965" i="13" l="1"/>
  <c r="L4965" i="13" s="1"/>
  <c r="I4966" i="13" s="1"/>
  <c r="M5155" i="14"/>
  <c r="K4987" i="14"/>
  <c r="L4987" i="14" s="1"/>
  <c r="I4988" i="14" s="1"/>
  <c r="N5151" i="14"/>
  <c r="J5150" i="14" a="1"/>
  <c r="J5150" i="14" s="1"/>
  <c r="N5152" i="13"/>
  <c r="J5151" i="13" a="1"/>
  <c r="J5151" i="13" s="1"/>
  <c r="M5154" i="13"/>
  <c r="K4988" i="14" l="1"/>
  <c r="L4988" i="14" s="1"/>
  <c r="I4989" i="14" s="1"/>
  <c r="K4966" i="13"/>
  <c r="L4966" i="13" s="1"/>
  <c r="I4967" i="13" s="1"/>
  <c r="N5152" i="14"/>
  <c r="J5151" i="14" a="1"/>
  <c r="J5151" i="14" s="1"/>
  <c r="M5156" i="14"/>
  <c r="M5155" i="13"/>
  <c r="J5152" i="13" a="1"/>
  <c r="J5152" i="13" s="1"/>
  <c r="N5153" i="13"/>
  <c r="K4989" i="14" l="1"/>
  <c r="L4989" i="14" s="1"/>
  <c r="I4990" i="14" s="1"/>
  <c r="N5154" i="13"/>
  <c r="J5153" i="13" a="1"/>
  <c r="J5153" i="13" s="1"/>
  <c r="M5157" i="14"/>
  <c r="K4967" i="13"/>
  <c r="L4967" i="13" s="1"/>
  <c r="I4968" i="13" s="1"/>
  <c r="M5156" i="13"/>
  <c r="J5152" i="14" a="1"/>
  <c r="J5152" i="14" s="1"/>
  <c r="N5153" i="14"/>
  <c r="K4968" i="13" l="1"/>
  <c r="L4968" i="13" s="1"/>
  <c r="I4969" i="13" s="1"/>
  <c r="K4990" i="14"/>
  <c r="L4990" i="14" s="1"/>
  <c r="I4991" i="14" s="1"/>
  <c r="N5154" i="14"/>
  <c r="J5153" i="14" a="1"/>
  <c r="J5153" i="14" s="1"/>
  <c r="J5154" i="13" a="1"/>
  <c r="J5154" i="13" s="1"/>
  <c r="N5155" i="13"/>
  <c r="M5158" i="14"/>
  <c r="M5157" i="13"/>
  <c r="K4991" i="14" l="1"/>
  <c r="L4991" i="14" s="1"/>
  <c r="I4992" i="14" s="1"/>
  <c r="K4969" i="13"/>
  <c r="L4969" i="13" s="1"/>
  <c r="I4970" i="13" s="1"/>
  <c r="N5156" i="13"/>
  <c r="J5155" i="13" a="1"/>
  <c r="J5155" i="13" s="1"/>
  <c r="M5158" i="13"/>
  <c r="M5159" i="14"/>
  <c r="J5154" i="14" a="1"/>
  <c r="J5154" i="14" s="1"/>
  <c r="N5155" i="14"/>
  <c r="K4970" i="13" l="1"/>
  <c r="L4970" i="13" s="1"/>
  <c r="I4971" i="13" s="1"/>
  <c r="K4992" i="14"/>
  <c r="L4992" i="14" s="1"/>
  <c r="I4993" i="14" s="1"/>
  <c r="M5159" i="13"/>
  <c r="N5156" i="14"/>
  <c r="J5155" i="14" a="1"/>
  <c r="J5155" i="14" s="1"/>
  <c r="M5160" i="14"/>
  <c r="J5156" i="13" a="1"/>
  <c r="J5156" i="13" s="1"/>
  <c r="N5157" i="13"/>
  <c r="K4993" i="14" l="1"/>
  <c r="L4993" i="14" s="1"/>
  <c r="I4994" i="14" s="1"/>
  <c r="K4971" i="13"/>
  <c r="L4971" i="13" s="1"/>
  <c r="I4972" i="13" s="1"/>
  <c r="N5158" i="13"/>
  <c r="J5157" i="13" a="1"/>
  <c r="J5157" i="13" s="1"/>
  <c r="J5156" i="14" a="1"/>
  <c r="J5156" i="14" s="1"/>
  <c r="N5157" i="14"/>
  <c r="M5161" i="14"/>
  <c r="M5160" i="13"/>
  <c r="K4994" i="14" l="1"/>
  <c r="L4994" i="14" s="1"/>
  <c r="I4995" i="14" s="1"/>
  <c r="J5157" i="14" a="1"/>
  <c r="J5157" i="14" s="1"/>
  <c r="N5158" i="14"/>
  <c r="K4972" i="13"/>
  <c r="L4972" i="13" s="1"/>
  <c r="I4973" i="13" s="1"/>
  <c r="M5161" i="13"/>
  <c r="M5162" i="14"/>
  <c r="J5158" i="13" a="1"/>
  <c r="J5158" i="13" s="1"/>
  <c r="N5159" i="13"/>
  <c r="K4973" i="13" l="1"/>
  <c r="L4973" i="13" s="1"/>
  <c r="I4974" i="13" s="1"/>
  <c r="K4995" i="14"/>
  <c r="L4995" i="14" s="1"/>
  <c r="I4996" i="14" s="1"/>
  <c r="N5160" i="13"/>
  <c r="J5159" i="13" a="1"/>
  <c r="J5159" i="13" s="1"/>
  <c r="N5159" i="14"/>
  <c r="J5158" i="14" a="1"/>
  <c r="J5158" i="14" s="1"/>
  <c r="M5162" i="13"/>
  <c r="M5163" i="14"/>
  <c r="K4996" i="14" l="1"/>
  <c r="L4996" i="14" s="1"/>
  <c r="I4997" i="14" s="1"/>
  <c r="K4974" i="13"/>
  <c r="L4974" i="13" s="1"/>
  <c r="I4975" i="13" s="1"/>
  <c r="N5160" i="14"/>
  <c r="J5159" i="14" a="1"/>
  <c r="J5159" i="14" s="1"/>
  <c r="M5164" i="14"/>
  <c r="M5163" i="13"/>
  <c r="J5160" i="13" a="1"/>
  <c r="J5160" i="13" s="1"/>
  <c r="N5161" i="13"/>
  <c r="K4997" i="14" l="1"/>
  <c r="L4997" i="14" s="1"/>
  <c r="I4998" i="14" s="1"/>
  <c r="N5162" i="13"/>
  <c r="J5161" i="13" a="1"/>
  <c r="J5161" i="13" s="1"/>
  <c r="M5165" i="14"/>
  <c r="K4975" i="13"/>
  <c r="L4975" i="13" s="1"/>
  <c r="I4976" i="13" s="1"/>
  <c r="M5164" i="13"/>
  <c r="J5160" i="14" a="1"/>
  <c r="J5160" i="14" s="1"/>
  <c r="N5161" i="14"/>
  <c r="K4976" i="13" l="1"/>
  <c r="L4976" i="13" s="1"/>
  <c r="I4977" i="13" s="1"/>
  <c r="K4998" i="14"/>
  <c r="L4998" i="14" s="1"/>
  <c r="I4999" i="14" s="1"/>
  <c r="J5161" i="14" a="1"/>
  <c r="J5161" i="14" s="1"/>
  <c r="N5162" i="14"/>
  <c r="J5162" i="13" a="1"/>
  <c r="J5162" i="13" s="1"/>
  <c r="N5163" i="13"/>
  <c r="M5165" i="13"/>
  <c r="M5166" i="14"/>
  <c r="K4977" i="13" l="1"/>
  <c r="L4977" i="13" s="1"/>
  <c r="I4978" i="13" s="1"/>
  <c r="M5167" i="14"/>
  <c r="N5164" i="13"/>
  <c r="J5163" i="13" a="1"/>
  <c r="J5163" i="13" s="1"/>
  <c r="K4999" i="14"/>
  <c r="L4999" i="14" s="1"/>
  <c r="I5000" i="14" s="1"/>
  <c r="J5162" i="14" a="1"/>
  <c r="J5162" i="14" s="1"/>
  <c r="N5163" i="14"/>
  <c r="M5166" i="13"/>
  <c r="K4978" i="13" l="1"/>
  <c r="L4978" i="13" s="1"/>
  <c r="I4979" i="13" s="1"/>
  <c r="M5167" i="13"/>
  <c r="M5168" i="14"/>
  <c r="K5000" i="14"/>
  <c r="L5000" i="14" s="1"/>
  <c r="I5001" i="14" s="1"/>
  <c r="N5164" i="14"/>
  <c r="J5163" i="14" a="1"/>
  <c r="J5163" i="14" s="1"/>
  <c r="J5164" i="13" a="1"/>
  <c r="J5164" i="13" s="1"/>
  <c r="N5165" i="13"/>
  <c r="K4979" i="13" l="1"/>
  <c r="L4979" i="13" s="1"/>
  <c r="I4980" i="13" s="1"/>
  <c r="N5166" i="13"/>
  <c r="J5165" i="13" a="1"/>
  <c r="J5165" i="13" s="1"/>
  <c r="K5001" i="14"/>
  <c r="L5001" i="14" s="1"/>
  <c r="I5002" i="14" s="1"/>
  <c r="M5168" i="13"/>
  <c r="J5164" i="14" a="1"/>
  <c r="J5164" i="14" s="1"/>
  <c r="N5165" i="14"/>
  <c r="M5169" i="14"/>
  <c r="K5002" i="14" l="1"/>
  <c r="L5002" i="14" s="1"/>
  <c r="I5003" i="14" s="1"/>
  <c r="K4980" i="13"/>
  <c r="L4980" i="13" s="1"/>
  <c r="I4981" i="13" s="1"/>
  <c r="M5170" i="14"/>
  <c r="M5169" i="13"/>
  <c r="J5166" i="13" a="1"/>
  <c r="J5166" i="13" s="1"/>
  <c r="N5167" i="13"/>
  <c r="J5165" i="14" a="1"/>
  <c r="J5165" i="14" s="1"/>
  <c r="N5166" i="14"/>
  <c r="K5003" i="14" l="1"/>
  <c r="L5003" i="14" s="1"/>
  <c r="I5004" i="14" s="1"/>
  <c r="N5167" i="14"/>
  <c r="J5166" i="14" a="1"/>
  <c r="J5166" i="14" s="1"/>
  <c r="K4981" i="13"/>
  <c r="L4981" i="13" s="1"/>
  <c r="I4982" i="13" s="1"/>
  <c r="M5170" i="13"/>
  <c r="N5168" i="13"/>
  <c r="J5167" i="13" a="1"/>
  <c r="J5167" i="13" s="1"/>
  <c r="M5171" i="14"/>
  <c r="K4982" i="13" l="1"/>
  <c r="L4982" i="13" s="1"/>
  <c r="I4983" i="13" s="1"/>
  <c r="K5004" i="14"/>
  <c r="L5004" i="14" s="1"/>
  <c r="I5005" i="14" s="1"/>
  <c r="M5171" i="13"/>
  <c r="M5172" i="14"/>
  <c r="N5168" i="14"/>
  <c r="J5167" i="14" a="1"/>
  <c r="J5167" i="14" s="1"/>
  <c r="J5168" i="13" a="1"/>
  <c r="J5168" i="13" s="1"/>
  <c r="N5169" i="13"/>
  <c r="K5005" i="14" l="1"/>
  <c r="L5005" i="14" s="1"/>
  <c r="I5006" i="14" s="1"/>
  <c r="K4983" i="13"/>
  <c r="L4983" i="13" s="1"/>
  <c r="I4984" i="13" s="1"/>
  <c r="M5173" i="14"/>
  <c r="N5170" i="13"/>
  <c r="J5169" i="13" a="1"/>
  <c r="J5169" i="13" s="1"/>
  <c r="J5168" i="14" a="1"/>
  <c r="J5168" i="14" s="1"/>
  <c r="N5169" i="14"/>
  <c r="M5172" i="13"/>
  <c r="K5006" i="14" l="1"/>
  <c r="L5006" i="14" s="1"/>
  <c r="I5007" i="14" s="1"/>
  <c r="J5170" i="13" a="1"/>
  <c r="J5170" i="13" s="1"/>
  <c r="N5171" i="13"/>
  <c r="M5173" i="13"/>
  <c r="K4984" i="13"/>
  <c r="L4984" i="13" s="1"/>
  <c r="I4985" i="13" s="1"/>
  <c r="J5169" i="14" a="1"/>
  <c r="J5169" i="14" s="1"/>
  <c r="N5170" i="14"/>
  <c r="M5174" i="14"/>
  <c r="K5007" i="14" l="1"/>
  <c r="L5007" i="14" s="1"/>
  <c r="I5008" i="14" s="1"/>
  <c r="K4985" i="13"/>
  <c r="L4985" i="13" s="1"/>
  <c r="I4986" i="13" s="1"/>
  <c r="M5175" i="14"/>
  <c r="N5172" i="13"/>
  <c r="J5171" i="13" a="1"/>
  <c r="J5171" i="13" s="1"/>
  <c r="J5170" i="14" a="1"/>
  <c r="J5170" i="14" s="1"/>
  <c r="N5171" i="14"/>
  <c r="M5174" i="13"/>
  <c r="K5008" i="14" l="1"/>
  <c r="L5008" i="14" s="1"/>
  <c r="I5009" i="14" s="1"/>
  <c r="M5175" i="13"/>
  <c r="J5172" i="13" a="1"/>
  <c r="J5172" i="13" s="1"/>
  <c r="N5173" i="13"/>
  <c r="K4986" i="13"/>
  <c r="L4986" i="13" s="1"/>
  <c r="I4987" i="13" s="1"/>
  <c r="N5172" i="14"/>
  <c r="J5171" i="14" a="1"/>
  <c r="J5171" i="14" s="1"/>
  <c r="M5176" i="14"/>
  <c r="K5009" i="14" l="1"/>
  <c r="L5009" i="14" s="1"/>
  <c r="I5010" i="14" s="1"/>
  <c r="J5172" i="14" a="1"/>
  <c r="J5172" i="14" s="1"/>
  <c r="N5173" i="14"/>
  <c r="M5177" i="14"/>
  <c r="K4987" i="13"/>
  <c r="L4987" i="13" s="1"/>
  <c r="I4988" i="13" s="1"/>
  <c r="M5176" i="13"/>
  <c r="N5174" i="13"/>
  <c r="J5173" i="13" a="1"/>
  <c r="J5173" i="13" s="1"/>
  <c r="K4988" i="13" l="1"/>
  <c r="L4988" i="13" s="1"/>
  <c r="I4989" i="13" s="1"/>
  <c r="K5010" i="14"/>
  <c r="L5010" i="14" s="1"/>
  <c r="I5011" i="14" s="1"/>
  <c r="J5173" i="14" a="1"/>
  <c r="J5173" i="14" s="1"/>
  <c r="N5174" i="14"/>
  <c r="J5174" i="13" a="1"/>
  <c r="J5174" i="13" s="1"/>
  <c r="N5175" i="13"/>
  <c r="M5177" i="13"/>
  <c r="M5178" i="14"/>
  <c r="K4989" i="13" l="1"/>
  <c r="L4989" i="13" s="1"/>
  <c r="I4990" i="13" s="1"/>
  <c r="N5176" i="13"/>
  <c r="J5175" i="13" a="1"/>
  <c r="J5175" i="13" s="1"/>
  <c r="K5011" i="14"/>
  <c r="L5011" i="14" s="1"/>
  <c r="I5012" i="14" s="1"/>
  <c r="M5179" i="14"/>
  <c r="N5175" i="14"/>
  <c r="J5174" i="14" a="1"/>
  <c r="J5174" i="14" s="1"/>
  <c r="M5178" i="13"/>
  <c r="K5012" i="14" l="1"/>
  <c r="L5012" i="14" s="1"/>
  <c r="I5013" i="14" s="1"/>
  <c r="K4990" i="13"/>
  <c r="L4990" i="13" s="1"/>
  <c r="I4991" i="13" s="1"/>
  <c r="J5176" i="13" a="1"/>
  <c r="J5176" i="13" s="1"/>
  <c r="N5177" i="13"/>
  <c r="M5179" i="13"/>
  <c r="M5180" i="14"/>
  <c r="N5176" i="14"/>
  <c r="J5175" i="14" a="1"/>
  <c r="J5175" i="14" s="1"/>
  <c r="K4991" i="13" l="1"/>
  <c r="L4991" i="13" s="1"/>
  <c r="I4992" i="13" s="1"/>
  <c r="K5013" i="14"/>
  <c r="L5013" i="14" s="1"/>
  <c r="I5014" i="14" s="1"/>
  <c r="J5176" i="14" a="1"/>
  <c r="J5176" i="14" s="1"/>
  <c r="N5177" i="14"/>
  <c r="M5180" i="13"/>
  <c r="N5178" i="13"/>
  <c r="J5177" i="13" a="1"/>
  <c r="J5177" i="13" s="1"/>
  <c r="M5181" i="14"/>
  <c r="K4992" i="13" l="1"/>
  <c r="L4992" i="13" s="1"/>
  <c r="I4993" i="13" s="1"/>
  <c r="J5178" i="13" a="1"/>
  <c r="J5178" i="13" s="1"/>
  <c r="N5179" i="13"/>
  <c r="M5182" i="14"/>
  <c r="M5181" i="13"/>
  <c r="K5014" i="14"/>
  <c r="L5014" i="14" s="1"/>
  <c r="I5015" i="14" s="1"/>
  <c r="J5177" i="14" a="1"/>
  <c r="J5177" i="14" s="1"/>
  <c r="N5178" i="14"/>
  <c r="K5015" i="14" l="1"/>
  <c r="L5015" i="14" s="1"/>
  <c r="I5016" i="14" s="1"/>
  <c r="K4993" i="13"/>
  <c r="L4993" i="13" s="1"/>
  <c r="I4994" i="13" s="1"/>
  <c r="N5180" i="13"/>
  <c r="J5179" i="13" a="1"/>
  <c r="J5179" i="13" s="1"/>
  <c r="M5182" i="13"/>
  <c r="J5178" i="14" a="1"/>
  <c r="J5178" i="14" s="1"/>
  <c r="N5179" i="14"/>
  <c r="M5183" i="14"/>
  <c r="K5016" i="14" l="1"/>
  <c r="L5016" i="14" s="1"/>
  <c r="I5017" i="14" s="1"/>
  <c r="M5183" i="13"/>
  <c r="M5184" i="14"/>
  <c r="K4994" i="13"/>
  <c r="L4994" i="13" s="1"/>
  <c r="I4995" i="13" s="1"/>
  <c r="N5180" i="14"/>
  <c r="J5179" i="14" a="1"/>
  <c r="J5179" i="14" s="1"/>
  <c r="J5180" i="13" a="1"/>
  <c r="J5180" i="13" s="1"/>
  <c r="N5181" i="13"/>
  <c r="K5017" i="14" l="1"/>
  <c r="L5017" i="14" s="1"/>
  <c r="I5018" i="14" s="1"/>
  <c r="N5182" i="13"/>
  <c r="J5181" i="13" a="1"/>
  <c r="J5181" i="13" s="1"/>
  <c r="M5184" i="13"/>
  <c r="K4995" i="13"/>
  <c r="L4995" i="13" s="1"/>
  <c r="I4996" i="13" s="1"/>
  <c r="J5180" i="14" a="1"/>
  <c r="J5180" i="14" s="1"/>
  <c r="N5181" i="14"/>
  <c r="M5185" i="14"/>
  <c r="K5018" i="14" l="1"/>
  <c r="L5018" i="14" s="1"/>
  <c r="I5019" i="14" s="1"/>
  <c r="J5181" i="14" a="1"/>
  <c r="J5181" i="14" s="1"/>
  <c r="N5182" i="14"/>
  <c r="J5182" i="13" a="1"/>
  <c r="J5182" i="13" s="1"/>
  <c r="N5183" i="13"/>
  <c r="M5186" i="14"/>
  <c r="M5185" i="13"/>
  <c r="K4996" i="13"/>
  <c r="L4996" i="13" s="1"/>
  <c r="I4997" i="13" s="1"/>
  <c r="K4997" i="13" l="1"/>
  <c r="L4997" i="13" s="1"/>
  <c r="I4998" i="13" s="1"/>
  <c r="K5019" i="14"/>
  <c r="L5019" i="14" s="1"/>
  <c r="I5020" i="14" s="1"/>
  <c r="M5187" i="14"/>
  <c r="N5183" i="14"/>
  <c r="J5182" i="14" a="1"/>
  <c r="J5182" i="14" s="1"/>
  <c r="M5186" i="13"/>
  <c r="N5184" i="13"/>
  <c r="J5183" i="13" a="1"/>
  <c r="J5183" i="13" s="1"/>
  <c r="K5020" i="14" l="1"/>
  <c r="L5020" i="14" s="1"/>
  <c r="I5021" i="14" s="1"/>
  <c r="K4998" i="13"/>
  <c r="L4998" i="13" s="1"/>
  <c r="I4999" i="13" s="1"/>
  <c r="N5184" i="14"/>
  <c r="J5183" i="14" a="1"/>
  <c r="J5183" i="14" s="1"/>
  <c r="M5187" i="13"/>
  <c r="J5184" i="13" a="1"/>
  <c r="J5184" i="13" s="1"/>
  <c r="N5185" i="13"/>
  <c r="M5188" i="14"/>
  <c r="K4999" i="13" l="1"/>
  <c r="L4999" i="13" s="1"/>
  <c r="I5000" i="13" s="1"/>
  <c r="K5021" i="14"/>
  <c r="L5021" i="14" s="1"/>
  <c r="I5022" i="14" s="1"/>
  <c r="N5186" i="13"/>
  <c r="J5185" i="13" a="1"/>
  <c r="J5185" i="13" s="1"/>
  <c r="M5189" i="14"/>
  <c r="M5188" i="13"/>
  <c r="J5184" i="14" a="1"/>
  <c r="J5184" i="14" s="1"/>
  <c r="N5185" i="14"/>
  <c r="K5022" i="14" l="1"/>
  <c r="L5022" i="14" s="1"/>
  <c r="I5023" i="14" s="1"/>
  <c r="J5185" i="14" a="1"/>
  <c r="J5185" i="14" s="1"/>
  <c r="N5186" i="14"/>
  <c r="M5190" i="14"/>
  <c r="M5189" i="13"/>
  <c r="J5186" i="13" a="1"/>
  <c r="J5186" i="13" s="1"/>
  <c r="N5187" i="13"/>
  <c r="K5000" i="13"/>
  <c r="L5000" i="13" s="1"/>
  <c r="I5001" i="13" s="1"/>
  <c r="K5001" i="13" l="1"/>
  <c r="L5001" i="13" s="1"/>
  <c r="I5002" i="13" s="1"/>
  <c r="K5023" i="14"/>
  <c r="L5023" i="14" s="1"/>
  <c r="I5024" i="14" s="1"/>
  <c r="J5186" i="14" a="1"/>
  <c r="J5186" i="14" s="1"/>
  <c r="N5187" i="14"/>
  <c r="M5190" i="13"/>
  <c r="N5188" i="13"/>
  <c r="J5187" i="13" a="1"/>
  <c r="J5187" i="13" s="1"/>
  <c r="M5191" i="14"/>
  <c r="K5002" i="13" l="1"/>
  <c r="L5002" i="13" s="1"/>
  <c r="I5003" i="13" s="1"/>
  <c r="M5192" i="14"/>
  <c r="M5191" i="13"/>
  <c r="K5024" i="14"/>
  <c r="L5024" i="14" s="1"/>
  <c r="I5025" i="14" s="1"/>
  <c r="N5188" i="14"/>
  <c r="J5187" i="14" a="1"/>
  <c r="J5187" i="14" s="1"/>
  <c r="J5188" i="13" a="1"/>
  <c r="J5188" i="13" s="1"/>
  <c r="N5189" i="13"/>
  <c r="K5003" i="13" l="1"/>
  <c r="L5003" i="13" s="1"/>
  <c r="I5004" i="13" s="1"/>
  <c r="N5190" i="13"/>
  <c r="J5189" i="13" a="1"/>
  <c r="J5189" i="13" s="1"/>
  <c r="K5025" i="14"/>
  <c r="L5025" i="14" s="1"/>
  <c r="I5026" i="14" s="1"/>
  <c r="M5193" i="14"/>
  <c r="J5188" i="14" a="1"/>
  <c r="J5188" i="14" s="1"/>
  <c r="N5189" i="14"/>
  <c r="M5192" i="13"/>
  <c r="K5026" i="14" l="1"/>
  <c r="L5026" i="14" s="1"/>
  <c r="I5027" i="14" s="1"/>
  <c r="K5004" i="13"/>
  <c r="L5004" i="13" s="1"/>
  <c r="I5005" i="13" s="1"/>
  <c r="M5194" i="14"/>
  <c r="M5193" i="13"/>
  <c r="J5190" i="13" a="1"/>
  <c r="J5190" i="13" s="1"/>
  <c r="N5191" i="13"/>
  <c r="J5189" i="14" a="1"/>
  <c r="J5189" i="14" s="1"/>
  <c r="N5190" i="14"/>
  <c r="K5005" i="13" l="1"/>
  <c r="L5005" i="13" s="1"/>
  <c r="I5006" i="13" s="1"/>
  <c r="K5027" i="14"/>
  <c r="L5027" i="14" s="1"/>
  <c r="I5028" i="14" s="1"/>
  <c r="N5191" i="14"/>
  <c r="J5190" i="14" a="1"/>
  <c r="J5190" i="14" s="1"/>
  <c r="M5194" i="13"/>
  <c r="N5192" i="13"/>
  <c r="J5191" i="13" a="1"/>
  <c r="J5191" i="13" s="1"/>
  <c r="M5195" i="14"/>
  <c r="K5006" i="13" l="1"/>
  <c r="L5006" i="13" s="1"/>
  <c r="I5007" i="13" s="1"/>
  <c r="J5192" i="13" a="1"/>
  <c r="J5192" i="13" s="1"/>
  <c r="N5193" i="13"/>
  <c r="M5195" i="13"/>
  <c r="K5028" i="14"/>
  <c r="L5028" i="14" s="1"/>
  <c r="I5029" i="14" s="1"/>
  <c r="M5196" i="14"/>
  <c r="N5192" i="14"/>
  <c r="J5191" i="14" a="1"/>
  <c r="J5191" i="14" s="1"/>
  <c r="K5007" i="13" l="1"/>
  <c r="L5007" i="13" s="1"/>
  <c r="I5008" i="13" s="1"/>
  <c r="N5194" i="13"/>
  <c r="J5193" i="13" a="1"/>
  <c r="J5193" i="13" s="1"/>
  <c r="K5029" i="14"/>
  <c r="L5029" i="14" s="1"/>
  <c r="I5030" i="14" s="1"/>
  <c r="J5192" i="14" a="1"/>
  <c r="J5192" i="14" s="1"/>
  <c r="N5193" i="14"/>
  <c r="M5197" i="14"/>
  <c r="M5196" i="13"/>
  <c r="K5030" i="14" l="1"/>
  <c r="L5030" i="14" s="1"/>
  <c r="I5031" i="14" s="1"/>
  <c r="K5008" i="13"/>
  <c r="L5008" i="13" s="1"/>
  <c r="I5009" i="13" s="1"/>
  <c r="J5193" i="14" a="1"/>
  <c r="J5193" i="14" s="1"/>
  <c r="N5194" i="14"/>
  <c r="M5197" i="13"/>
  <c r="J5194" i="13" a="1"/>
  <c r="J5194" i="13" s="1"/>
  <c r="N5195" i="13"/>
  <c r="M5198" i="14"/>
  <c r="K5009" i="13" l="1"/>
  <c r="L5009" i="13" s="1"/>
  <c r="I5010" i="13" s="1"/>
  <c r="K5031" i="14"/>
  <c r="L5031" i="14" s="1"/>
  <c r="I5032" i="14" s="1"/>
  <c r="N5196" i="13"/>
  <c r="J5195" i="13" a="1"/>
  <c r="J5195" i="13" s="1"/>
  <c r="M5199" i="14"/>
  <c r="M5198" i="13"/>
  <c r="J5194" i="14" a="1"/>
  <c r="J5194" i="14" s="1"/>
  <c r="N5195" i="14"/>
  <c r="K5010" i="13" l="1"/>
  <c r="L5010" i="13" s="1"/>
  <c r="I5011" i="13" s="1"/>
  <c r="M5199" i="13"/>
  <c r="N5196" i="14"/>
  <c r="J5195" i="14" a="1"/>
  <c r="J5195" i="14" s="1"/>
  <c r="M5200" i="14"/>
  <c r="K5032" i="14"/>
  <c r="L5032" i="14" s="1"/>
  <c r="I5033" i="14" s="1"/>
  <c r="J5196" i="13" a="1"/>
  <c r="J5196" i="13" s="1"/>
  <c r="N5197" i="13"/>
  <c r="K5033" i="14" l="1"/>
  <c r="L5033" i="14" s="1"/>
  <c r="I5034" i="14" s="1"/>
  <c r="K5011" i="13"/>
  <c r="L5011" i="13" s="1"/>
  <c r="I5012" i="13" s="1"/>
  <c r="N5198" i="13"/>
  <c r="J5197" i="13" a="1"/>
  <c r="J5197" i="13" s="1"/>
  <c r="M5201" i="14"/>
  <c r="M5200" i="13"/>
  <c r="J5196" i="14" a="1"/>
  <c r="J5196" i="14" s="1"/>
  <c r="N5197" i="14"/>
  <c r="K5034" i="14" l="1"/>
  <c r="L5034" i="14" s="1"/>
  <c r="I5035" i="14" s="1"/>
  <c r="J5197" i="14" a="1"/>
  <c r="J5197" i="14" s="1"/>
  <c r="N5198" i="14"/>
  <c r="K5012" i="13"/>
  <c r="L5012" i="13" s="1"/>
  <c r="I5013" i="13" s="1"/>
  <c r="M5202" i="14"/>
  <c r="M5201" i="13"/>
  <c r="J5198" i="13" a="1"/>
  <c r="J5198" i="13" s="1"/>
  <c r="N5199" i="13"/>
  <c r="K5013" i="13" l="1"/>
  <c r="L5013" i="13" s="1"/>
  <c r="I5014" i="13" s="1"/>
  <c r="K5035" i="14"/>
  <c r="L5035" i="14" s="1"/>
  <c r="I5036" i="14" s="1"/>
  <c r="N5200" i="13"/>
  <c r="J5199" i="13" a="1"/>
  <c r="J5199" i="13" s="1"/>
  <c r="M5203" i="14"/>
  <c r="N5199" i="14"/>
  <c r="J5198" i="14" a="1"/>
  <c r="J5198" i="14" s="1"/>
  <c r="M5202" i="13"/>
  <c r="K5036" i="14" l="1"/>
  <c r="L5036" i="14" s="1"/>
  <c r="I5037" i="14" s="1"/>
  <c r="K5014" i="13"/>
  <c r="L5014" i="13" s="1"/>
  <c r="I5015" i="13" s="1"/>
  <c r="M5203" i="13"/>
  <c r="M5204" i="14"/>
  <c r="N5200" i="14"/>
  <c r="J5199" i="14" a="1"/>
  <c r="J5199" i="14" s="1"/>
  <c r="J5200" i="13" a="1"/>
  <c r="J5200" i="13" s="1"/>
  <c r="N5201" i="13"/>
  <c r="K5015" i="13" l="1"/>
  <c r="L5015" i="13" s="1"/>
  <c r="I5016" i="13" s="1"/>
  <c r="K5037" i="14"/>
  <c r="L5037" i="14" s="1"/>
  <c r="I5038" i="14" s="1"/>
  <c r="N5202" i="13"/>
  <c r="J5201" i="13" a="1"/>
  <c r="J5201" i="13" s="1"/>
  <c r="M5205" i="14"/>
  <c r="J5200" i="14" a="1"/>
  <c r="J5200" i="14" s="1"/>
  <c r="N5201" i="14"/>
  <c r="M5204" i="13"/>
  <c r="K5016" i="13" l="1"/>
  <c r="L5016" i="13" s="1"/>
  <c r="I5017" i="13" s="1"/>
  <c r="M5205" i="13"/>
  <c r="M5206" i="14"/>
  <c r="K5038" i="14"/>
  <c r="L5038" i="14" s="1"/>
  <c r="I5039" i="14" s="1"/>
  <c r="J5201" i="14" a="1"/>
  <c r="J5201" i="14" s="1"/>
  <c r="N5202" i="14"/>
  <c r="J5202" i="13" a="1"/>
  <c r="J5202" i="13" s="1"/>
  <c r="N5203" i="13"/>
  <c r="K5017" i="13" l="1"/>
  <c r="L5017" i="13" s="1"/>
  <c r="I5018" i="13" s="1"/>
  <c r="N5204" i="13"/>
  <c r="J5203" i="13" a="1"/>
  <c r="J5203" i="13" s="1"/>
  <c r="K5039" i="14"/>
  <c r="L5039" i="14" s="1"/>
  <c r="I5040" i="14" s="1"/>
  <c r="M5206" i="13"/>
  <c r="M5207" i="14"/>
  <c r="J5202" i="14" a="1"/>
  <c r="J5202" i="14" s="1"/>
  <c r="N5203" i="14"/>
  <c r="K5040" i="14" l="1"/>
  <c r="L5040" i="14" s="1"/>
  <c r="I5041" i="14" s="1"/>
  <c r="K5018" i="13"/>
  <c r="L5018" i="13" s="1"/>
  <c r="I5019" i="13" s="1"/>
  <c r="N5204" i="14"/>
  <c r="J5203" i="14" a="1"/>
  <c r="J5203" i="14" s="1"/>
  <c r="M5207" i="13"/>
  <c r="J5204" i="13" a="1"/>
  <c r="J5204" i="13" s="1"/>
  <c r="N5205" i="13"/>
  <c r="M5208" i="14"/>
  <c r="K5041" i="14" l="1"/>
  <c r="L5041" i="14" s="1"/>
  <c r="I5042" i="14" s="1"/>
  <c r="N5206" i="13"/>
  <c r="J5205" i="13" a="1"/>
  <c r="J5205" i="13" s="1"/>
  <c r="M5209" i="14"/>
  <c r="M5208" i="13"/>
  <c r="K5019" i="13"/>
  <c r="L5019" i="13" s="1"/>
  <c r="I5020" i="13" s="1"/>
  <c r="J5204" i="14" a="1"/>
  <c r="J5204" i="14" s="1"/>
  <c r="N5205" i="14"/>
  <c r="K5020" i="13" l="1"/>
  <c r="L5020" i="13" s="1"/>
  <c r="I5021" i="13" s="1"/>
  <c r="K5042" i="14"/>
  <c r="L5042" i="14" s="1"/>
  <c r="I5043" i="14" s="1"/>
  <c r="J5205" i="14" a="1"/>
  <c r="J5205" i="14" s="1"/>
  <c r="N5206" i="14"/>
  <c r="M5209" i="13"/>
  <c r="J5206" i="13" a="1"/>
  <c r="J5206" i="13" s="1"/>
  <c r="N5207" i="13"/>
  <c r="M5210" i="14"/>
  <c r="K5021" i="13" l="1"/>
  <c r="L5021" i="13" s="1"/>
  <c r="I5022" i="13" s="1"/>
  <c r="N5208" i="13"/>
  <c r="J5207" i="13" a="1"/>
  <c r="J5207" i="13" s="1"/>
  <c r="M5211" i="14"/>
  <c r="M5210" i="13"/>
  <c r="K5043" i="14"/>
  <c r="L5043" i="14" s="1"/>
  <c r="I5044" i="14" s="1"/>
  <c r="N5207" i="14"/>
  <c r="J5206" i="14" a="1"/>
  <c r="J5206" i="14" s="1"/>
  <c r="K5044" i="14" l="1"/>
  <c r="L5044" i="14" s="1"/>
  <c r="I5045" i="14" s="1"/>
  <c r="K5022" i="13"/>
  <c r="L5022" i="13" s="1"/>
  <c r="I5023" i="13" s="1"/>
  <c r="J5208" i="13" a="1"/>
  <c r="J5208" i="13" s="1"/>
  <c r="N5209" i="13"/>
  <c r="M5211" i="13"/>
  <c r="N5208" i="14"/>
  <c r="J5207" i="14" a="1"/>
  <c r="J5207" i="14" s="1"/>
  <c r="M5212" i="14"/>
  <c r="K5023" i="13" l="1"/>
  <c r="L5023" i="13" s="1"/>
  <c r="I5024" i="13" s="1"/>
  <c r="K5045" i="14"/>
  <c r="L5045" i="14" s="1"/>
  <c r="I5046" i="14" s="1"/>
  <c r="M5213" i="14"/>
  <c r="M5212" i="13"/>
  <c r="N5210" i="13"/>
  <c r="J5209" i="13" a="1"/>
  <c r="J5209" i="13" s="1"/>
  <c r="J5208" i="14" a="1"/>
  <c r="J5208" i="14" s="1"/>
  <c r="N5209" i="14"/>
  <c r="K5046" i="14" l="1"/>
  <c r="L5046" i="14" s="1"/>
  <c r="I5047" i="14" s="1"/>
  <c r="J5209" i="14" a="1"/>
  <c r="J5209" i="14" s="1"/>
  <c r="N5210" i="14"/>
  <c r="M5213" i="13"/>
  <c r="M5214" i="14"/>
  <c r="J5210" i="13" a="1"/>
  <c r="J5210" i="13" s="1"/>
  <c r="N5211" i="13"/>
  <c r="K5024" i="13"/>
  <c r="L5024" i="13" s="1"/>
  <c r="I5025" i="13" s="1"/>
  <c r="K5047" i="14" l="1"/>
  <c r="L5047" i="14" s="1"/>
  <c r="I5048" i="14" s="1"/>
  <c r="N5212" i="13"/>
  <c r="J5211" i="13" a="1"/>
  <c r="J5211" i="13" s="1"/>
  <c r="M5215" i="14"/>
  <c r="J5210" i="14" a="1"/>
  <c r="J5210" i="14" s="1"/>
  <c r="N5211" i="14"/>
  <c r="K5025" i="13"/>
  <c r="L5025" i="13" s="1"/>
  <c r="I5026" i="13" s="1"/>
  <c r="M5214" i="13"/>
  <c r="K5026" i="13" l="1"/>
  <c r="L5026" i="13" s="1"/>
  <c r="I5027" i="13" s="1"/>
  <c r="K5048" i="14"/>
  <c r="L5048" i="14" s="1"/>
  <c r="I5049" i="14" s="1"/>
  <c r="N5212" i="14"/>
  <c r="J5211" i="14" a="1"/>
  <c r="J5211" i="14" s="1"/>
  <c r="J5212" i="13" a="1"/>
  <c r="J5212" i="13" s="1"/>
  <c r="N5213" i="13"/>
  <c r="M5215" i="13"/>
  <c r="M5216" i="14"/>
  <c r="K5027" i="13" l="1"/>
  <c r="L5027" i="13" s="1"/>
  <c r="I5028" i="13" s="1"/>
  <c r="M5217" i="14"/>
  <c r="N5214" i="13"/>
  <c r="J5213" i="13" a="1"/>
  <c r="J5213" i="13" s="1"/>
  <c r="K5049" i="14"/>
  <c r="L5049" i="14" s="1"/>
  <c r="I5050" i="14" s="1"/>
  <c r="M5216" i="13"/>
  <c r="J5212" i="14" a="1"/>
  <c r="J5212" i="14" s="1"/>
  <c r="N5213" i="14"/>
  <c r="K5028" i="13" l="1"/>
  <c r="L5028" i="13" s="1"/>
  <c r="I5029" i="13" s="1"/>
  <c r="J5213" i="14" a="1"/>
  <c r="J5213" i="14" s="1"/>
  <c r="N5214" i="14"/>
  <c r="K5050" i="14"/>
  <c r="L5050" i="14" s="1"/>
  <c r="I5051" i="14" s="1"/>
  <c r="M5218" i="14"/>
  <c r="M5217" i="13"/>
  <c r="J5214" i="13" a="1"/>
  <c r="J5214" i="13" s="1"/>
  <c r="N5215" i="13"/>
  <c r="K5051" i="14" l="1"/>
  <c r="L5051" i="14" s="1"/>
  <c r="I5052" i="14" s="1"/>
  <c r="K5029" i="13"/>
  <c r="L5029" i="13" s="1"/>
  <c r="I5030" i="13" s="1"/>
  <c r="N5216" i="13"/>
  <c r="J5215" i="13" a="1"/>
  <c r="J5215" i="13" s="1"/>
  <c r="M5219" i="14"/>
  <c r="N5215" i="14"/>
  <c r="J5214" i="14" a="1"/>
  <c r="J5214" i="14" s="1"/>
  <c r="M5218" i="13"/>
  <c r="K5052" i="14" l="1"/>
  <c r="L5052" i="14" s="1"/>
  <c r="I5053" i="14" s="1"/>
  <c r="M5220" i="14"/>
  <c r="N5216" i="14"/>
  <c r="J5215" i="14" a="1"/>
  <c r="J5215" i="14" s="1"/>
  <c r="M5219" i="13"/>
  <c r="K5030" i="13"/>
  <c r="L5030" i="13" s="1"/>
  <c r="I5031" i="13" s="1"/>
  <c r="J5216" i="13" a="1"/>
  <c r="J5216" i="13" s="1"/>
  <c r="N5217" i="13"/>
  <c r="K5053" i="14" l="1"/>
  <c r="L5053" i="14" s="1"/>
  <c r="I5054" i="14" s="1"/>
  <c r="K5031" i="13"/>
  <c r="L5031" i="13" s="1"/>
  <c r="I5032" i="13" s="1"/>
  <c r="N5218" i="13"/>
  <c r="J5217" i="13" a="1"/>
  <c r="J5217" i="13" s="1"/>
  <c r="M5220" i="13"/>
  <c r="M5221" i="14"/>
  <c r="J5216" i="14" a="1"/>
  <c r="J5216" i="14" s="1"/>
  <c r="N5217" i="14"/>
  <c r="K5054" i="14" l="1"/>
  <c r="L5054" i="14" s="1"/>
  <c r="I5055" i="14" s="1"/>
  <c r="J5217" i="14" a="1"/>
  <c r="J5217" i="14" s="1"/>
  <c r="N5218" i="14"/>
  <c r="M5221" i="13"/>
  <c r="K5032" i="13"/>
  <c r="L5032" i="13" s="1"/>
  <c r="I5033" i="13" s="1"/>
  <c r="M5222" i="14"/>
  <c r="J5218" i="13" a="1"/>
  <c r="J5218" i="13" s="1"/>
  <c r="N5219" i="13"/>
  <c r="K5033" i="13" l="1"/>
  <c r="L5033" i="13" s="1"/>
  <c r="I5034" i="13" s="1"/>
  <c r="K5055" i="14"/>
  <c r="L5055" i="14" s="1"/>
  <c r="I5056" i="14" s="1"/>
  <c r="N5220" i="13"/>
  <c r="J5219" i="13" a="1"/>
  <c r="J5219" i="13" s="1"/>
  <c r="J5218" i="14" a="1"/>
  <c r="J5218" i="14" s="1"/>
  <c r="N5219" i="14"/>
  <c r="M5223" i="14"/>
  <c r="M5222" i="13"/>
  <c r="K5034" i="13" l="1"/>
  <c r="L5034" i="13" s="1"/>
  <c r="I5035" i="13" s="1"/>
  <c r="N5220" i="14"/>
  <c r="J5219" i="14" a="1"/>
  <c r="J5219" i="14" s="1"/>
  <c r="K5056" i="14"/>
  <c r="L5056" i="14" s="1"/>
  <c r="I5057" i="14" s="1"/>
  <c r="M5223" i="13"/>
  <c r="M5224" i="14"/>
  <c r="J5220" i="13" a="1"/>
  <c r="J5220" i="13" s="1"/>
  <c r="N5221" i="13"/>
  <c r="K5057" i="14" l="1"/>
  <c r="L5057" i="14" s="1"/>
  <c r="I5058" i="14" s="1"/>
  <c r="K5035" i="13"/>
  <c r="L5035" i="13" s="1"/>
  <c r="I5036" i="13" s="1"/>
  <c r="J5220" i="14" a="1"/>
  <c r="J5220" i="14" s="1"/>
  <c r="N5221" i="14"/>
  <c r="N5222" i="13"/>
  <c r="J5221" i="13" a="1"/>
  <c r="J5221" i="13" s="1"/>
  <c r="M5224" i="13"/>
  <c r="M5225" i="14"/>
  <c r="K5058" i="14" l="1"/>
  <c r="L5058" i="14" s="1"/>
  <c r="I5059" i="14" s="1"/>
  <c r="J5221" i="14" a="1"/>
  <c r="J5221" i="14" s="1"/>
  <c r="N5222" i="14"/>
  <c r="J5222" i="13" a="1"/>
  <c r="J5222" i="13" s="1"/>
  <c r="N5223" i="13"/>
  <c r="K5036" i="13"/>
  <c r="L5036" i="13" s="1"/>
  <c r="I5037" i="13" s="1"/>
  <c r="M5226" i="14"/>
  <c r="M5225" i="13"/>
  <c r="K5059" i="14" l="1"/>
  <c r="L5059" i="14" s="1"/>
  <c r="I5060" i="14" s="1"/>
  <c r="M5226" i="13"/>
  <c r="M5227" i="14"/>
  <c r="N5223" i="14"/>
  <c r="J5222" i="14" a="1"/>
  <c r="J5222" i="14" s="1"/>
  <c r="N5224" i="13"/>
  <c r="J5223" i="13" a="1"/>
  <c r="J5223" i="13" s="1"/>
  <c r="K5037" i="13"/>
  <c r="L5037" i="13" s="1"/>
  <c r="I5038" i="13" s="1"/>
  <c r="K5038" i="13" l="1"/>
  <c r="L5038" i="13" s="1"/>
  <c r="I5039" i="13" s="1"/>
  <c r="K5060" i="14"/>
  <c r="L5060" i="14" s="1"/>
  <c r="I5061" i="14" s="1"/>
  <c r="M5227" i="13"/>
  <c r="N5224" i="14"/>
  <c r="J5223" i="14" a="1"/>
  <c r="J5223" i="14" s="1"/>
  <c r="J5224" i="13" a="1"/>
  <c r="J5224" i="13" s="1"/>
  <c r="N5225" i="13"/>
  <c r="M5228" i="14"/>
  <c r="K5039" i="13" l="1"/>
  <c r="L5039" i="13" s="1"/>
  <c r="I5040" i="13" s="1"/>
  <c r="N5226" i="13"/>
  <c r="J5225" i="13" a="1"/>
  <c r="J5225" i="13" s="1"/>
  <c r="J5224" i="14" a="1"/>
  <c r="J5224" i="14" s="1"/>
  <c r="N5225" i="14"/>
  <c r="K5061" i="14"/>
  <c r="L5061" i="14" s="1"/>
  <c r="I5062" i="14" s="1"/>
  <c r="M5229" i="14"/>
  <c r="M5228" i="13"/>
  <c r="K5062" i="14" l="1"/>
  <c r="L5062" i="14" s="1"/>
  <c r="I5063" i="14" s="1"/>
  <c r="K5040" i="13"/>
  <c r="L5040" i="13" s="1"/>
  <c r="I5041" i="13" s="1"/>
  <c r="J5226" i="13" a="1"/>
  <c r="J5226" i="13" s="1"/>
  <c r="N5227" i="13"/>
  <c r="M5229" i="13"/>
  <c r="M5230" i="14"/>
  <c r="J5225" i="14" a="1"/>
  <c r="J5225" i="14" s="1"/>
  <c r="N5226" i="14"/>
  <c r="K5063" i="14" l="1"/>
  <c r="L5063" i="14" s="1"/>
  <c r="I5064" i="14" s="1"/>
  <c r="J5226" i="14" a="1"/>
  <c r="J5226" i="14" s="1"/>
  <c r="N5227" i="14"/>
  <c r="M5230" i="13"/>
  <c r="K5041" i="13"/>
  <c r="L5041" i="13" s="1"/>
  <c r="I5042" i="13" s="1"/>
  <c r="M5231" i="14"/>
  <c r="N5228" i="13"/>
  <c r="J5227" i="13" a="1"/>
  <c r="J5227" i="13" s="1"/>
  <c r="K5042" i="13" l="1"/>
  <c r="L5042" i="13" s="1"/>
  <c r="I5043" i="13" s="1"/>
  <c r="K5064" i="14"/>
  <c r="L5064" i="14" s="1"/>
  <c r="I5065" i="14" s="1"/>
  <c r="N5228" i="14"/>
  <c r="J5227" i="14" a="1"/>
  <c r="J5227" i="14" s="1"/>
  <c r="J5228" i="13" a="1"/>
  <c r="J5228" i="13" s="1"/>
  <c r="N5229" i="13"/>
  <c r="M5231" i="13"/>
  <c r="M5232" i="14"/>
  <c r="K5065" i="14" l="1"/>
  <c r="L5065" i="14" s="1"/>
  <c r="I5066" i="14" s="1"/>
  <c r="K5043" i="13"/>
  <c r="L5043" i="13" s="1"/>
  <c r="I5044" i="13" s="1"/>
  <c r="M5232" i="13"/>
  <c r="N5230" i="13"/>
  <c r="J5229" i="13" a="1"/>
  <c r="J5229" i="13" s="1"/>
  <c r="M5233" i="14"/>
  <c r="J5228" i="14" a="1"/>
  <c r="J5228" i="14" s="1"/>
  <c r="N5229" i="14"/>
  <c r="K5044" i="13" l="1"/>
  <c r="L5044" i="13" s="1"/>
  <c r="I5045" i="13" s="1"/>
  <c r="K5066" i="14"/>
  <c r="L5066" i="14" s="1"/>
  <c r="I5067" i="14" s="1"/>
  <c r="J5230" i="13" a="1"/>
  <c r="J5230" i="13" s="1"/>
  <c r="N5231" i="13"/>
  <c r="J5229" i="14" a="1"/>
  <c r="J5229" i="14" s="1"/>
  <c r="N5230" i="14"/>
  <c r="M5233" i="13"/>
  <c r="M5234" i="14"/>
  <c r="K5067" i="14" l="1"/>
  <c r="L5067" i="14" s="1"/>
  <c r="I5068" i="14" s="1"/>
  <c r="K5045" i="13"/>
  <c r="L5045" i="13" s="1"/>
  <c r="I5046" i="13" s="1"/>
  <c r="M5234" i="13"/>
  <c r="M5235" i="14"/>
  <c r="N5231" i="14"/>
  <c r="J5230" i="14" a="1"/>
  <c r="J5230" i="14" s="1"/>
  <c r="N5232" i="13"/>
  <c r="J5231" i="13" a="1"/>
  <c r="J5231" i="13" s="1"/>
  <c r="K5068" i="14" l="1"/>
  <c r="L5068" i="14" s="1"/>
  <c r="I5069" i="14" s="1"/>
  <c r="J5232" i="13" a="1"/>
  <c r="J5232" i="13" s="1"/>
  <c r="N5233" i="13"/>
  <c r="M5236" i="14"/>
  <c r="K5046" i="13"/>
  <c r="L5046" i="13" s="1"/>
  <c r="I5047" i="13" s="1"/>
  <c r="M5235" i="13"/>
  <c r="N5232" i="14"/>
  <c r="J5231" i="14" a="1"/>
  <c r="J5231" i="14" s="1"/>
  <c r="K5047" i="13" l="1"/>
  <c r="L5047" i="13" s="1"/>
  <c r="I5048" i="13" s="1"/>
  <c r="K5069" i="14"/>
  <c r="L5069" i="14" s="1"/>
  <c r="I5070" i="14" s="1"/>
  <c r="N5234" i="13"/>
  <c r="J5233" i="13" a="1"/>
  <c r="J5233" i="13" s="1"/>
  <c r="J5232" i="14" a="1"/>
  <c r="J5232" i="14" s="1"/>
  <c r="N5233" i="14"/>
  <c r="M5236" i="13"/>
  <c r="M5237" i="14"/>
  <c r="K5048" i="13" l="1"/>
  <c r="L5048" i="13" s="1"/>
  <c r="I5049" i="13" s="1"/>
  <c r="M5238" i="14"/>
  <c r="J5233" i="14" a="1"/>
  <c r="J5233" i="14" s="1"/>
  <c r="N5234" i="14"/>
  <c r="K5070" i="14"/>
  <c r="L5070" i="14" s="1"/>
  <c r="I5071" i="14" s="1"/>
  <c r="M5237" i="13"/>
  <c r="J5234" i="13" a="1"/>
  <c r="J5234" i="13" s="1"/>
  <c r="N5235" i="13"/>
  <c r="K5049" i="13" l="1"/>
  <c r="L5049" i="13" s="1"/>
  <c r="I5050" i="13" s="1"/>
  <c r="N5236" i="13"/>
  <c r="J5235" i="13" a="1"/>
  <c r="J5235" i="13" s="1"/>
  <c r="M5239" i="14"/>
  <c r="K5071" i="14"/>
  <c r="L5071" i="14" s="1"/>
  <c r="I5072" i="14" s="1"/>
  <c r="J5234" i="14" a="1"/>
  <c r="J5234" i="14" s="1"/>
  <c r="N5235" i="14"/>
  <c r="M5238" i="13"/>
  <c r="K5050" i="13" l="1"/>
  <c r="L5050" i="13" s="1"/>
  <c r="I5051" i="13" s="1"/>
  <c r="M5239" i="13"/>
  <c r="K5072" i="14"/>
  <c r="L5072" i="14" s="1"/>
  <c r="I5073" i="14" s="1"/>
  <c r="J5236" i="13" a="1"/>
  <c r="J5236" i="13" s="1"/>
  <c r="N5237" i="13"/>
  <c r="N5236" i="14"/>
  <c r="J5235" i="14" a="1"/>
  <c r="J5235" i="14" s="1"/>
  <c r="M5240" i="14"/>
  <c r="K5073" i="14" l="1"/>
  <c r="L5073" i="14" s="1"/>
  <c r="I5074" i="14" s="1"/>
  <c r="K5051" i="13"/>
  <c r="L5051" i="13" s="1"/>
  <c r="I5052" i="13" s="1"/>
  <c r="M5241" i="14"/>
  <c r="N5238" i="13"/>
  <c r="J5237" i="13" a="1"/>
  <c r="J5237" i="13" s="1"/>
  <c r="M5240" i="13"/>
  <c r="J5236" i="14" a="1"/>
  <c r="J5236" i="14" s="1"/>
  <c r="N5237" i="14"/>
  <c r="K5052" i="13" l="1"/>
  <c r="L5052" i="13" s="1"/>
  <c r="I5053" i="13" s="1"/>
  <c r="J5237" i="14" a="1"/>
  <c r="J5237" i="14" s="1"/>
  <c r="N5238" i="14"/>
  <c r="J5238" i="13" a="1"/>
  <c r="J5238" i="13" s="1"/>
  <c r="N5239" i="13"/>
  <c r="M5241" i="13"/>
  <c r="M5242" i="14"/>
  <c r="K5074" i="14"/>
  <c r="L5074" i="14" s="1"/>
  <c r="I5075" i="14" s="1"/>
  <c r="K5053" i="13" l="1"/>
  <c r="L5053" i="13" s="1"/>
  <c r="I5054" i="13" s="1"/>
  <c r="K5075" i="14"/>
  <c r="L5075" i="14" s="1"/>
  <c r="I5076" i="14" s="1"/>
  <c r="M5242" i="13"/>
  <c r="N5239" i="14"/>
  <c r="J5238" i="14" a="1"/>
  <c r="J5238" i="14" s="1"/>
  <c r="M5243" i="14"/>
  <c r="N5240" i="13"/>
  <c r="J5239" i="13" a="1"/>
  <c r="J5239" i="13" s="1"/>
  <c r="K5054" i="13" l="1"/>
  <c r="L5054" i="13" s="1"/>
  <c r="I5055" i="13" s="1"/>
  <c r="N5240" i="14"/>
  <c r="J5239" i="14" a="1"/>
  <c r="J5239" i="14" s="1"/>
  <c r="J5240" i="13" a="1"/>
  <c r="J5240" i="13" s="1"/>
  <c r="N5241" i="13"/>
  <c r="K5076" i="14"/>
  <c r="L5076" i="14" s="1"/>
  <c r="I5077" i="14" s="1"/>
  <c r="M5243" i="13"/>
  <c r="M5244" i="14"/>
  <c r="K5077" i="14" l="1"/>
  <c r="L5077" i="14" s="1"/>
  <c r="I5078" i="14" s="1"/>
  <c r="K5055" i="13"/>
  <c r="L5055" i="13" s="1"/>
  <c r="I5056" i="13" s="1"/>
  <c r="M5245" i="14"/>
  <c r="J5240" i="14" a="1"/>
  <c r="J5240" i="14" s="1"/>
  <c r="N5241" i="14"/>
  <c r="N5242" i="13"/>
  <c r="J5241" i="13" a="1"/>
  <c r="J5241" i="13" s="1"/>
  <c r="M5244" i="13"/>
  <c r="K5056" i="13" l="1"/>
  <c r="L5056" i="13" s="1"/>
  <c r="I5057" i="13" s="1"/>
  <c r="K5078" i="14"/>
  <c r="L5078" i="14" s="1"/>
  <c r="I5079" i="14" s="1"/>
  <c r="J5241" i="14" a="1"/>
  <c r="J5241" i="14" s="1"/>
  <c r="N5242" i="14"/>
  <c r="M5245" i="13"/>
  <c r="M5246" i="14"/>
  <c r="J5242" i="13" a="1"/>
  <c r="J5242" i="13" s="1"/>
  <c r="N5243" i="13"/>
  <c r="K5079" i="14" l="1"/>
  <c r="L5079" i="14" s="1"/>
  <c r="I5080" i="14" s="1"/>
  <c r="K5057" i="13"/>
  <c r="L5057" i="13" s="1"/>
  <c r="I5058" i="13" s="1"/>
  <c r="N5244" i="13"/>
  <c r="J5243" i="13" a="1"/>
  <c r="J5243" i="13" s="1"/>
  <c r="M5247" i="14"/>
  <c r="M5246" i="13"/>
  <c r="J5242" i="14" a="1"/>
  <c r="J5242" i="14" s="1"/>
  <c r="N5243" i="14"/>
  <c r="K5080" i="14" l="1"/>
  <c r="L5080" i="14" s="1"/>
  <c r="I5081" i="14" s="1"/>
  <c r="N5244" i="14"/>
  <c r="J5243" i="14" a="1"/>
  <c r="J5243" i="14" s="1"/>
  <c r="M5248" i="14"/>
  <c r="K5058" i="13"/>
  <c r="L5058" i="13" s="1"/>
  <c r="I5059" i="13" s="1"/>
  <c r="M5247" i="13"/>
  <c r="J5244" i="13" a="1"/>
  <c r="J5244" i="13" s="1"/>
  <c r="N5245" i="13"/>
  <c r="K5059" i="13" l="1"/>
  <c r="L5059" i="13" s="1"/>
  <c r="I5060" i="13" s="1"/>
  <c r="K5081" i="14"/>
  <c r="L5081" i="14" s="1"/>
  <c r="I5082" i="14" s="1"/>
  <c r="N5246" i="13"/>
  <c r="J5245" i="13" a="1"/>
  <c r="J5245" i="13" s="1"/>
  <c r="J5244" i="14" a="1"/>
  <c r="J5244" i="14" s="1"/>
  <c r="N5245" i="14"/>
  <c r="M5248" i="13"/>
  <c r="M5249" i="14"/>
  <c r="K5082" i="14" l="1"/>
  <c r="L5082" i="14" s="1"/>
  <c r="I5083" i="14" s="1"/>
  <c r="K5060" i="13"/>
  <c r="L5060" i="13" s="1"/>
  <c r="I5061" i="13" s="1"/>
  <c r="J5245" i="14" a="1"/>
  <c r="J5245" i="14" s="1"/>
  <c r="N5246" i="14"/>
  <c r="M5250" i="14"/>
  <c r="M5249" i="13"/>
  <c r="J5246" i="13" a="1"/>
  <c r="J5246" i="13" s="1"/>
  <c r="N5247" i="13"/>
  <c r="N5248" i="13" l="1"/>
  <c r="J5247" i="13" a="1"/>
  <c r="J5247" i="13" s="1"/>
  <c r="M5251" i="14"/>
  <c r="M5250" i="13"/>
  <c r="K5061" i="13"/>
  <c r="L5061" i="13" s="1"/>
  <c r="I5062" i="13" s="1"/>
  <c r="N5247" i="14"/>
  <c r="J5246" i="14" a="1"/>
  <c r="J5246" i="14" s="1"/>
  <c r="K5083" i="14"/>
  <c r="L5083" i="14" s="1"/>
  <c r="I5084" i="14" s="1"/>
  <c r="M5251" i="13" l="1"/>
  <c r="K5062" i="13"/>
  <c r="L5062" i="13" s="1"/>
  <c r="I5063" i="13" s="1"/>
  <c r="M5252" i="14"/>
  <c r="K5084" i="14"/>
  <c r="L5084" i="14" s="1"/>
  <c r="I5085" i="14" s="1"/>
  <c r="N5248" i="14"/>
  <c r="J5247" i="14" a="1"/>
  <c r="J5247" i="14" s="1"/>
  <c r="J5248" i="13" a="1"/>
  <c r="J5248" i="13" s="1"/>
  <c r="N5249" i="13"/>
  <c r="K5085" i="14" l="1"/>
  <c r="L5085" i="14" s="1"/>
  <c r="I5086" i="14" s="1"/>
  <c r="N5250" i="13"/>
  <c r="J5249" i="13" a="1"/>
  <c r="J5249" i="13" s="1"/>
  <c r="K5063" i="13"/>
  <c r="L5063" i="13" s="1"/>
  <c r="I5064" i="13" s="1"/>
  <c r="J5248" i="14" a="1"/>
  <c r="J5248" i="14" s="1"/>
  <c r="N5249" i="14"/>
  <c r="M5253" i="14"/>
  <c r="M5252" i="13"/>
  <c r="K5064" i="13" l="1"/>
  <c r="L5064" i="13" s="1"/>
  <c r="I5065" i="13" s="1"/>
  <c r="K5086" i="14"/>
  <c r="L5086" i="14" s="1"/>
  <c r="I5087" i="14" s="1"/>
  <c r="J5249" i="14" a="1"/>
  <c r="J5249" i="14" s="1"/>
  <c r="N5250" i="14"/>
  <c r="M5253" i="13"/>
  <c r="J5250" i="13" a="1"/>
  <c r="J5250" i="13" s="1"/>
  <c r="N5251" i="13"/>
  <c r="M5254" i="14"/>
  <c r="K5087" i="14" l="1"/>
  <c r="L5087" i="14" s="1"/>
  <c r="I5088" i="14" s="1"/>
  <c r="K5065" i="13"/>
  <c r="L5065" i="13" s="1"/>
  <c r="I5066" i="13" s="1"/>
  <c r="J5250" i="14" a="1"/>
  <c r="J5250" i="14" s="1"/>
  <c r="N5251" i="14"/>
  <c r="M5255" i="14"/>
  <c r="M5254" i="13"/>
  <c r="N5252" i="13"/>
  <c r="J5251" i="13" a="1"/>
  <c r="J5251" i="13" s="1"/>
  <c r="K5066" i="13" l="1"/>
  <c r="L5066" i="13" s="1"/>
  <c r="I5067" i="13" s="1"/>
  <c r="K5088" i="14"/>
  <c r="L5088" i="14" s="1"/>
  <c r="I5089" i="14" s="1"/>
  <c r="M5255" i="13"/>
  <c r="J5252" i="13" a="1"/>
  <c r="J5252" i="13" s="1"/>
  <c r="N5253" i="13"/>
  <c r="M5256" i="14"/>
  <c r="N5252" i="14"/>
  <c r="J5251" i="14" a="1"/>
  <c r="J5251" i="14" s="1"/>
  <c r="K5089" i="14" l="1"/>
  <c r="L5089" i="14" s="1"/>
  <c r="I5090" i="14" s="1"/>
  <c r="K5067" i="13"/>
  <c r="L5067" i="13" s="1"/>
  <c r="I5068" i="13" s="1"/>
  <c r="N5254" i="13"/>
  <c r="J5253" i="13" a="1"/>
  <c r="J5253" i="13" s="1"/>
  <c r="J5252" i="14" a="1"/>
  <c r="J5252" i="14" s="1"/>
  <c r="N5253" i="14"/>
  <c r="M5257" i="14"/>
  <c r="M5256" i="13"/>
  <c r="K5068" i="13" l="1"/>
  <c r="L5068" i="13" s="1"/>
  <c r="I5069" i="13" s="1"/>
  <c r="K5090" i="14"/>
  <c r="L5090" i="14" s="1"/>
  <c r="I5091" i="14" s="1"/>
  <c r="J5253" i="14" a="1"/>
  <c r="J5253" i="14" s="1"/>
  <c r="N5254" i="14"/>
  <c r="M5257" i="13"/>
  <c r="M5258" i="14"/>
  <c r="J5254" i="13" a="1"/>
  <c r="J5254" i="13" s="1"/>
  <c r="N5255" i="13"/>
  <c r="K5091" i="14" l="1"/>
  <c r="L5091" i="14" s="1"/>
  <c r="I5092" i="14" s="1"/>
  <c r="K5069" i="13"/>
  <c r="L5069" i="13" s="1"/>
  <c r="I5070" i="13" s="1"/>
  <c r="M5259" i="14"/>
  <c r="N5256" i="13"/>
  <c r="J5255" i="13" a="1"/>
  <c r="J5255" i="13" s="1"/>
  <c r="M5258" i="13"/>
  <c r="N5255" i="14"/>
  <c r="J5254" i="14" a="1"/>
  <c r="J5254" i="14" s="1"/>
  <c r="K5070" i="13" l="1"/>
  <c r="L5070" i="13" s="1"/>
  <c r="I5071" i="13" s="1"/>
  <c r="J5256" i="13" a="1"/>
  <c r="J5256" i="13" s="1"/>
  <c r="N5257" i="13"/>
  <c r="N5256" i="14"/>
  <c r="J5255" i="14" a="1"/>
  <c r="J5255" i="14" s="1"/>
  <c r="M5259" i="13"/>
  <c r="M5260" i="14"/>
  <c r="K5092" i="14"/>
  <c r="L5092" i="14" s="1"/>
  <c r="I5093" i="14" s="1"/>
  <c r="K5071" i="13" l="1"/>
  <c r="L5071" i="13" s="1"/>
  <c r="I5072" i="13" s="1"/>
  <c r="N5258" i="13"/>
  <c r="J5257" i="13" a="1"/>
  <c r="J5257" i="13" s="1"/>
  <c r="K5093" i="14"/>
  <c r="L5093" i="14" s="1"/>
  <c r="I5094" i="14" s="1"/>
  <c r="M5260" i="13"/>
  <c r="M5261" i="14"/>
  <c r="J5256" i="14" a="1"/>
  <c r="J5256" i="14" s="1"/>
  <c r="N5257" i="14"/>
  <c r="K5072" i="13" l="1"/>
  <c r="L5072" i="13" s="1"/>
  <c r="I5073" i="13" s="1"/>
  <c r="K5094" i="14"/>
  <c r="L5094" i="14" s="1"/>
  <c r="I5095" i="14" s="1"/>
  <c r="J5257" i="14" a="1"/>
  <c r="J5257" i="14" s="1"/>
  <c r="N5258" i="14"/>
  <c r="M5261" i="13"/>
  <c r="J5258" i="13" a="1"/>
  <c r="J5258" i="13" s="1"/>
  <c r="N5259" i="13"/>
  <c r="M5262" i="14"/>
  <c r="K5095" i="14" l="1"/>
  <c r="L5095" i="14" s="1"/>
  <c r="I5096" i="14" s="1"/>
  <c r="K5073" i="13"/>
  <c r="L5073" i="13" s="1"/>
  <c r="I5074" i="13" s="1"/>
  <c r="J5258" i="14" a="1"/>
  <c r="J5258" i="14" s="1"/>
  <c r="N5259" i="14"/>
  <c r="N5260" i="13"/>
  <c r="J5259" i="13" a="1"/>
  <c r="J5259" i="13" s="1"/>
  <c r="M5263" i="14"/>
  <c r="M5262" i="13"/>
  <c r="K5074" i="13" l="1"/>
  <c r="L5074" i="13" s="1"/>
  <c r="I5075" i="13" s="1"/>
  <c r="K5096" i="14"/>
  <c r="L5096" i="14" s="1"/>
  <c r="I5097" i="14" s="1"/>
  <c r="N5260" i="14"/>
  <c r="J5259" i="14" a="1"/>
  <c r="J5259" i="14" s="1"/>
  <c r="M5264" i="14"/>
  <c r="M5263" i="13"/>
  <c r="J5260" i="13" a="1"/>
  <c r="J5260" i="13" s="1"/>
  <c r="N5261" i="13"/>
  <c r="K5097" i="14" l="1"/>
  <c r="L5097" i="14" s="1"/>
  <c r="I5098" i="14" s="1"/>
  <c r="K5075" i="13"/>
  <c r="L5075" i="13" s="1"/>
  <c r="I5076" i="13" s="1"/>
  <c r="M5265" i="14"/>
  <c r="N5262" i="13"/>
  <c r="J5261" i="13" a="1"/>
  <c r="J5261" i="13" s="1"/>
  <c r="M5264" i="13"/>
  <c r="J5260" i="14" a="1"/>
  <c r="J5260" i="14" s="1"/>
  <c r="N5261" i="14"/>
  <c r="K5076" i="13" l="1"/>
  <c r="L5076" i="13" s="1"/>
  <c r="I5077" i="13" s="1"/>
  <c r="K5098" i="14"/>
  <c r="L5098" i="14" s="1"/>
  <c r="I5099" i="14" s="1"/>
  <c r="J5261" i="14" a="1"/>
  <c r="J5261" i="14" s="1"/>
  <c r="N5262" i="14"/>
  <c r="J5262" i="13" a="1"/>
  <c r="J5262" i="13" s="1"/>
  <c r="N5263" i="13"/>
  <c r="M5265" i="13"/>
  <c r="M5266" i="14"/>
  <c r="K5077" i="13" l="1"/>
  <c r="L5077" i="13" s="1"/>
  <c r="I5078" i="13" s="1"/>
  <c r="N5264" i="13"/>
  <c r="J5263" i="13" a="1"/>
  <c r="J5263" i="13" s="1"/>
  <c r="M5267" i="14"/>
  <c r="K5099" i="14"/>
  <c r="L5099" i="14" s="1"/>
  <c r="I5100" i="14" s="1"/>
  <c r="N5263" i="14"/>
  <c r="J5262" i="14" a="1"/>
  <c r="J5262" i="14" s="1"/>
  <c r="M5266" i="13"/>
  <c r="K5100" i="14" l="1"/>
  <c r="L5100" i="14" s="1"/>
  <c r="I5101" i="14" s="1"/>
  <c r="K5078" i="13"/>
  <c r="L5078" i="13" s="1"/>
  <c r="I5079" i="13" s="1"/>
  <c r="J5264" i="13" a="1"/>
  <c r="J5264" i="13" s="1"/>
  <c r="N5265" i="13"/>
  <c r="M5267" i="13"/>
  <c r="N5264" i="14"/>
  <c r="J5263" i="14" a="1"/>
  <c r="J5263" i="14" s="1"/>
  <c r="M5268" i="14"/>
  <c r="K5079" i="13" l="1"/>
  <c r="L5079" i="13" s="1"/>
  <c r="I5080" i="13" s="1"/>
  <c r="K5101" i="14"/>
  <c r="L5101" i="14" s="1"/>
  <c r="I5102" i="14" s="1"/>
  <c r="M5269" i="14"/>
  <c r="M5268" i="13"/>
  <c r="N5266" i="13"/>
  <c r="J5265" i="13" a="1"/>
  <c r="J5265" i="13" s="1"/>
  <c r="J5264" i="14" a="1"/>
  <c r="J5264" i="14" s="1"/>
  <c r="N5265" i="14"/>
  <c r="K5102" i="14" l="1"/>
  <c r="L5102" i="14" s="1"/>
  <c r="I5103" i="14" s="1"/>
  <c r="K5080" i="13"/>
  <c r="L5080" i="13" s="1"/>
  <c r="I5081" i="13" s="1"/>
  <c r="J5265" i="14" a="1"/>
  <c r="J5265" i="14" s="1"/>
  <c r="N5266" i="14"/>
  <c r="M5269" i="13"/>
  <c r="M5270" i="14"/>
  <c r="J5266" i="13" a="1"/>
  <c r="J5266" i="13" s="1"/>
  <c r="N5267" i="13"/>
  <c r="K5103" i="14" l="1"/>
  <c r="L5103" i="14" s="1"/>
  <c r="I5104" i="14" s="1"/>
  <c r="N5268" i="13"/>
  <c r="J5267" i="13" a="1"/>
  <c r="J5267" i="13" s="1"/>
  <c r="K5081" i="13"/>
  <c r="L5081" i="13" s="1"/>
  <c r="I5082" i="13" s="1"/>
  <c r="M5270" i="13"/>
  <c r="M5271" i="14"/>
  <c r="J5266" i="14" a="1"/>
  <c r="J5266" i="14" s="1"/>
  <c r="N5267" i="14"/>
  <c r="K5082" i="13" l="1"/>
  <c r="L5082" i="13" s="1"/>
  <c r="I5083" i="13" s="1"/>
  <c r="K5104" i="14"/>
  <c r="L5104" i="14" s="1"/>
  <c r="I5105" i="14" s="1"/>
  <c r="N5268" i="14"/>
  <c r="J5267" i="14" a="1"/>
  <c r="J5267" i="14" s="1"/>
  <c r="M5271" i="13"/>
  <c r="J5268" i="13" a="1"/>
  <c r="J5268" i="13" s="1"/>
  <c r="N5269" i="13"/>
  <c r="M5272" i="14"/>
  <c r="K5105" i="14" l="1"/>
  <c r="L5105" i="14" s="1"/>
  <c r="I5106" i="14" s="1"/>
  <c r="K5083" i="13"/>
  <c r="L5083" i="13" s="1"/>
  <c r="I5084" i="13" s="1"/>
  <c r="M5273" i="14"/>
  <c r="M5272" i="13"/>
  <c r="N5270" i="13"/>
  <c r="J5269" i="13" a="1"/>
  <c r="J5269" i="13" s="1"/>
  <c r="J5268" i="14" a="1"/>
  <c r="J5268" i="14" s="1"/>
  <c r="N5269" i="14"/>
  <c r="K5106" i="14" l="1"/>
  <c r="L5106" i="14" s="1"/>
  <c r="I5107" i="14" s="1"/>
  <c r="J5269" i="14" a="1"/>
  <c r="J5269" i="14" s="1"/>
  <c r="N5270" i="14"/>
  <c r="M5273" i="13"/>
  <c r="K5084" i="13"/>
  <c r="L5084" i="13" s="1"/>
  <c r="I5085" i="13" s="1"/>
  <c r="J5270" i="13" a="1"/>
  <c r="J5270" i="13" s="1"/>
  <c r="N5271" i="13"/>
  <c r="M5274" i="14"/>
  <c r="K5107" i="14" l="1"/>
  <c r="L5107" i="14" s="1"/>
  <c r="I5108" i="14" s="1"/>
  <c r="K5085" i="13"/>
  <c r="L5085" i="13" s="1"/>
  <c r="I5086" i="13" s="1"/>
  <c r="M5275" i="14"/>
  <c r="N5271" i="14"/>
  <c r="J5270" i="14" a="1"/>
  <c r="J5270" i="14" s="1"/>
  <c r="N5272" i="13"/>
  <c r="J5271" i="13" a="1"/>
  <c r="J5271" i="13" s="1"/>
  <c r="M5274" i="13"/>
  <c r="K5108" i="14" l="1"/>
  <c r="L5108" i="14" s="1"/>
  <c r="I5109" i="14" s="1"/>
  <c r="N5272" i="14"/>
  <c r="J5271" i="14" a="1"/>
  <c r="J5271" i="14" s="1"/>
  <c r="K5086" i="13"/>
  <c r="L5086" i="13" s="1"/>
  <c r="I5087" i="13" s="1"/>
  <c r="M5275" i="13"/>
  <c r="J5272" i="13" a="1"/>
  <c r="J5272" i="13" s="1"/>
  <c r="N5273" i="13"/>
  <c r="M5276" i="14"/>
  <c r="K5087" i="13" l="1"/>
  <c r="L5087" i="13" s="1"/>
  <c r="I5088" i="13" s="1"/>
  <c r="K5109" i="14"/>
  <c r="L5109" i="14" s="1"/>
  <c r="I5110" i="14" s="1"/>
  <c r="M5276" i="13"/>
  <c r="J5272" i="14" a="1"/>
  <c r="J5272" i="14" s="1"/>
  <c r="N5273" i="14"/>
  <c r="M5277" i="14"/>
  <c r="N5274" i="13"/>
  <c r="J5273" i="13" a="1"/>
  <c r="J5273" i="13" s="1"/>
  <c r="K5110" i="14" l="1"/>
  <c r="L5110" i="14" s="1"/>
  <c r="I5111" i="14" s="1"/>
  <c r="K5088" i="13"/>
  <c r="L5088" i="13" s="1"/>
  <c r="I5089" i="13" s="1"/>
  <c r="J5274" i="13" a="1"/>
  <c r="J5274" i="13" s="1"/>
  <c r="N5275" i="13"/>
  <c r="M5278" i="14"/>
  <c r="J5273" i="14" a="1"/>
  <c r="J5273" i="14" s="1"/>
  <c r="N5274" i="14"/>
  <c r="M5277" i="13"/>
  <c r="K5089" i="13" l="1"/>
  <c r="L5089" i="13" s="1"/>
  <c r="I5090" i="13" s="1"/>
  <c r="K5111" i="14"/>
  <c r="L5111" i="14" s="1"/>
  <c r="I5112" i="14" s="1"/>
  <c r="M5279" i="14"/>
  <c r="M5278" i="13"/>
  <c r="N5276" i="13"/>
  <c r="J5275" i="13" a="1"/>
  <c r="J5275" i="13" s="1"/>
  <c r="J5274" i="14" a="1"/>
  <c r="J5274" i="14" s="1"/>
  <c r="N5275" i="14"/>
  <c r="K5112" i="14" l="1"/>
  <c r="L5112" i="14" s="1"/>
  <c r="I5113" i="14" s="1"/>
  <c r="K5090" i="13"/>
  <c r="L5090" i="13" s="1"/>
  <c r="I5091" i="13" s="1"/>
  <c r="N5276" i="14"/>
  <c r="J5275" i="14" a="1"/>
  <c r="J5275" i="14" s="1"/>
  <c r="M5279" i="13"/>
  <c r="J5276" i="13" a="1"/>
  <c r="J5276" i="13" s="1"/>
  <c r="N5277" i="13"/>
  <c r="M5280" i="14"/>
  <c r="K5113" i="14" l="1"/>
  <c r="L5113" i="14" s="1"/>
  <c r="I5114" i="14" s="1"/>
  <c r="M5281" i="14"/>
  <c r="M5280" i="13"/>
  <c r="K5091" i="13"/>
  <c r="L5091" i="13" s="1"/>
  <c r="I5092" i="13" s="1"/>
  <c r="N5278" i="13"/>
  <c r="J5277" i="13" a="1"/>
  <c r="J5277" i="13" s="1"/>
  <c r="J5276" i="14" a="1"/>
  <c r="J5276" i="14" s="1"/>
  <c r="N5277" i="14"/>
  <c r="K5114" i="14" l="1"/>
  <c r="L5114" i="14" s="1"/>
  <c r="I5115" i="14" s="1"/>
  <c r="J5277" i="14" a="1"/>
  <c r="J5277" i="14" s="1"/>
  <c r="N5278" i="14"/>
  <c r="K5092" i="13"/>
  <c r="L5092" i="13" s="1"/>
  <c r="I5093" i="13" s="1"/>
  <c r="M5282" i="14"/>
  <c r="M5281" i="13"/>
  <c r="J5278" i="13" a="1"/>
  <c r="J5278" i="13" s="1"/>
  <c r="N5279" i="13"/>
  <c r="K5093" i="13" l="1"/>
  <c r="L5093" i="13" s="1"/>
  <c r="I5094" i="13" s="1"/>
  <c r="K5115" i="14"/>
  <c r="L5115" i="14" s="1"/>
  <c r="I5116" i="14" s="1"/>
  <c r="N5280" i="13"/>
  <c r="J5279" i="13" a="1"/>
  <c r="J5279" i="13" s="1"/>
  <c r="M5283" i="14"/>
  <c r="N5279" i="14"/>
  <c r="J5278" i="14" a="1"/>
  <c r="J5278" i="14" s="1"/>
  <c r="M5282" i="13"/>
  <c r="K5116" i="14" l="1"/>
  <c r="L5116" i="14" s="1"/>
  <c r="I5117" i="14" s="1"/>
  <c r="K5094" i="13"/>
  <c r="L5094" i="13" s="1"/>
  <c r="I5095" i="13" s="1"/>
  <c r="M5283" i="13"/>
  <c r="M5284" i="14"/>
  <c r="N5280" i="14"/>
  <c r="J5279" i="14" a="1"/>
  <c r="J5279" i="14" s="1"/>
  <c r="J5280" i="13" a="1"/>
  <c r="J5280" i="13" s="1"/>
  <c r="N5281" i="13"/>
  <c r="K5095" i="13" l="1"/>
  <c r="L5095" i="13" s="1"/>
  <c r="I5096" i="13" s="1"/>
  <c r="K5117" i="14"/>
  <c r="L5117" i="14" s="1"/>
  <c r="I5118" i="14" s="1"/>
  <c r="N5282" i="13"/>
  <c r="J5281" i="13" a="1"/>
  <c r="J5281" i="13" s="1"/>
  <c r="M5285" i="14"/>
  <c r="J5280" i="14" a="1"/>
  <c r="J5280" i="14" s="1"/>
  <c r="N5281" i="14"/>
  <c r="M5284" i="13"/>
  <c r="K5118" i="14" l="1"/>
  <c r="L5118" i="14" s="1"/>
  <c r="I5119" i="14" s="1"/>
  <c r="K5096" i="13"/>
  <c r="L5096" i="13" s="1"/>
  <c r="I5097" i="13" s="1"/>
  <c r="M5286" i="14"/>
  <c r="M5285" i="13"/>
  <c r="J5281" i="14" a="1"/>
  <c r="J5281" i="14" s="1"/>
  <c r="N5282" i="14"/>
  <c r="J5282" i="13" a="1"/>
  <c r="J5282" i="13" s="1"/>
  <c r="N5283" i="13"/>
  <c r="K5097" i="13" l="1"/>
  <c r="L5097" i="13" s="1"/>
  <c r="I5098" i="13" s="1"/>
  <c r="K5119" i="14"/>
  <c r="L5119" i="14" s="1"/>
  <c r="I5120" i="14" s="1"/>
  <c r="N5284" i="13"/>
  <c r="J5283" i="13" a="1"/>
  <c r="J5283" i="13" s="1"/>
  <c r="M5286" i="13"/>
  <c r="J5282" i="14" a="1"/>
  <c r="J5282" i="14" s="1"/>
  <c r="N5283" i="14"/>
  <c r="M5287" i="14"/>
  <c r="K5120" i="14" l="1"/>
  <c r="L5120" i="14" s="1"/>
  <c r="I5121" i="14" s="1"/>
  <c r="K5098" i="13"/>
  <c r="L5098" i="13" s="1"/>
  <c r="I5099" i="13" s="1"/>
  <c r="M5287" i="13"/>
  <c r="M5288" i="14"/>
  <c r="N5284" i="14"/>
  <c r="J5283" i="14" a="1"/>
  <c r="J5283" i="14" s="1"/>
  <c r="J5284" i="13" a="1"/>
  <c r="J5284" i="13" s="1"/>
  <c r="N5285" i="13"/>
  <c r="K5099" i="13" l="1"/>
  <c r="L5099" i="13" s="1"/>
  <c r="I5100" i="13" s="1"/>
  <c r="K5121" i="14"/>
  <c r="L5121" i="14" s="1"/>
  <c r="I5122" i="14" s="1"/>
  <c r="N5286" i="13"/>
  <c r="J5285" i="13" a="1"/>
  <c r="J5285" i="13" s="1"/>
  <c r="M5289" i="14"/>
  <c r="J5284" i="14" a="1"/>
  <c r="J5284" i="14" s="1"/>
  <c r="N5285" i="14"/>
  <c r="M5288" i="13"/>
  <c r="K5122" i="14" l="1"/>
  <c r="L5122" i="14" s="1"/>
  <c r="I5123" i="14" s="1"/>
  <c r="K5100" i="13"/>
  <c r="L5100" i="13" s="1"/>
  <c r="I5101" i="13" s="1"/>
  <c r="M5289" i="13"/>
  <c r="M5290" i="14"/>
  <c r="J5285" i="14" a="1"/>
  <c r="J5285" i="14" s="1"/>
  <c r="N5286" i="14"/>
  <c r="J5286" i="13" a="1"/>
  <c r="J5286" i="13" s="1"/>
  <c r="N5287" i="13"/>
  <c r="K5101" i="13" l="1"/>
  <c r="L5101" i="13" s="1"/>
  <c r="I5102" i="13" s="1"/>
  <c r="K5123" i="14"/>
  <c r="L5123" i="14" s="1"/>
  <c r="I5124" i="14" s="1"/>
  <c r="N5288" i="13"/>
  <c r="J5287" i="13" a="1"/>
  <c r="J5287" i="13" s="1"/>
  <c r="M5291" i="14"/>
  <c r="N5287" i="14"/>
  <c r="J5286" i="14" a="1"/>
  <c r="J5286" i="14" s="1"/>
  <c r="M5290" i="13"/>
  <c r="K5102" i="13" l="1"/>
  <c r="L5102" i="13" s="1"/>
  <c r="I5103" i="13" s="1"/>
  <c r="M5292" i="14"/>
  <c r="M5291" i="13"/>
  <c r="K5124" i="14"/>
  <c r="L5124" i="14" s="1"/>
  <c r="I5125" i="14" s="1"/>
  <c r="N5288" i="14"/>
  <c r="J5287" i="14" a="1"/>
  <c r="J5287" i="14" s="1"/>
  <c r="J5288" i="13" a="1"/>
  <c r="J5288" i="13" s="1"/>
  <c r="N5289" i="13"/>
  <c r="K5125" i="14" l="1"/>
  <c r="L5125" i="14" s="1"/>
  <c r="I5126" i="14" s="1"/>
  <c r="K5103" i="13"/>
  <c r="L5103" i="13" s="1"/>
  <c r="I5104" i="13" s="1"/>
  <c r="N5290" i="13"/>
  <c r="J5289" i="13" a="1"/>
  <c r="J5289" i="13" s="1"/>
  <c r="M5293" i="14"/>
  <c r="J5288" i="14" a="1"/>
  <c r="J5288" i="14" s="1"/>
  <c r="N5289" i="14"/>
  <c r="M5292" i="13"/>
  <c r="K5126" i="14" l="1"/>
  <c r="L5126" i="14" s="1"/>
  <c r="I5127" i="14" s="1"/>
  <c r="J5289" i="14" a="1"/>
  <c r="J5289" i="14" s="1"/>
  <c r="N5290" i="14"/>
  <c r="M5293" i="13"/>
  <c r="M5294" i="14"/>
  <c r="K5104" i="13"/>
  <c r="L5104" i="13" s="1"/>
  <c r="I5105" i="13" s="1"/>
  <c r="J5290" i="13" a="1"/>
  <c r="J5290" i="13" s="1"/>
  <c r="N5291" i="13"/>
  <c r="K5105" i="13" l="1"/>
  <c r="L5105" i="13" s="1"/>
  <c r="I5106" i="13" s="1"/>
  <c r="K5127" i="14"/>
  <c r="L5127" i="14" s="1"/>
  <c r="I5128" i="14" s="1"/>
  <c r="N5292" i="13"/>
  <c r="J5291" i="13" a="1"/>
  <c r="J5291" i="13" s="1"/>
  <c r="M5295" i="14"/>
  <c r="J5290" i="14" a="1"/>
  <c r="J5290" i="14" s="1"/>
  <c r="N5291" i="14"/>
  <c r="M5294" i="13"/>
  <c r="K5128" i="14" l="1"/>
  <c r="L5128" i="14" s="1"/>
  <c r="I5129" i="14" s="1"/>
  <c r="K5106" i="13"/>
  <c r="L5106" i="13" s="1"/>
  <c r="I5107" i="13" s="1"/>
  <c r="M5295" i="13"/>
  <c r="N5292" i="14"/>
  <c r="J5291" i="14" a="1"/>
  <c r="J5291" i="14" s="1"/>
  <c r="M5296" i="14"/>
  <c r="J5292" i="13" a="1"/>
  <c r="J5292" i="13" s="1"/>
  <c r="N5293" i="13"/>
  <c r="K5107" i="13" l="1"/>
  <c r="L5107" i="13" s="1"/>
  <c r="I5108" i="13" s="1"/>
  <c r="K5129" i="14"/>
  <c r="L5129" i="14" s="1"/>
  <c r="I5130" i="14" s="1"/>
  <c r="N5294" i="13"/>
  <c r="J5293" i="13" a="1"/>
  <c r="J5293" i="13" s="1"/>
  <c r="J5292" i="14" a="1"/>
  <c r="J5292" i="14" s="1"/>
  <c r="N5293" i="14"/>
  <c r="M5297" i="14"/>
  <c r="M5296" i="13"/>
  <c r="K5108" i="13" l="1"/>
  <c r="L5108" i="13" s="1"/>
  <c r="I5109" i="13" s="1"/>
  <c r="J5293" i="14" a="1"/>
  <c r="J5293" i="14" s="1"/>
  <c r="N5294" i="14"/>
  <c r="K5130" i="14"/>
  <c r="L5130" i="14" s="1"/>
  <c r="I5131" i="14" s="1"/>
  <c r="M5297" i="13"/>
  <c r="M5298" i="14"/>
  <c r="J5294" i="13" a="1"/>
  <c r="J5294" i="13" s="1"/>
  <c r="N5295" i="13"/>
  <c r="K5131" i="14" l="1"/>
  <c r="L5131" i="14" s="1"/>
  <c r="I5132" i="14" s="1"/>
  <c r="K5109" i="13"/>
  <c r="L5109" i="13" s="1"/>
  <c r="I5110" i="13" s="1"/>
  <c r="N5296" i="13"/>
  <c r="J5295" i="13" a="1"/>
  <c r="J5295" i="13" s="1"/>
  <c r="N5295" i="14"/>
  <c r="J5294" i="14" a="1"/>
  <c r="J5294" i="14" s="1"/>
  <c r="M5298" i="13"/>
  <c r="M5299" i="14"/>
  <c r="K5132" i="14" l="1"/>
  <c r="L5132" i="14" s="1"/>
  <c r="I5133" i="14" s="1"/>
  <c r="K5110" i="13"/>
  <c r="L5110" i="13" s="1"/>
  <c r="I5111" i="13" s="1"/>
  <c r="N5296" i="14"/>
  <c r="J5295" i="14" a="1"/>
  <c r="J5295" i="14" s="1"/>
  <c r="M5299" i="13"/>
  <c r="M5300" i="14"/>
  <c r="J5296" i="13" a="1"/>
  <c r="J5296" i="13" s="1"/>
  <c r="N5297" i="13"/>
  <c r="K5133" i="14" l="1"/>
  <c r="L5133" i="14" s="1"/>
  <c r="I5134" i="14" s="1"/>
  <c r="N5298" i="13"/>
  <c r="J5297" i="13" a="1"/>
  <c r="J5297" i="13" s="1"/>
  <c r="K5111" i="13"/>
  <c r="L5111" i="13" s="1"/>
  <c r="I5112" i="13" s="1"/>
  <c r="M5300" i="13"/>
  <c r="M5301" i="14"/>
  <c r="J5296" i="14" a="1"/>
  <c r="J5296" i="14" s="1"/>
  <c r="N5297" i="14"/>
  <c r="K5112" i="13" l="1"/>
  <c r="L5112" i="13" s="1"/>
  <c r="I5113" i="13" s="1"/>
  <c r="K5134" i="14"/>
  <c r="L5134" i="14" s="1"/>
  <c r="I5135" i="14" s="1"/>
  <c r="J5297" i="14" a="1"/>
  <c r="J5297" i="14" s="1"/>
  <c r="N5298" i="14"/>
  <c r="M5301" i="13"/>
  <c r="J5298" i="13" a="1"/>
  <c r="J5298" i="13" s="1"/>
  <c r="N5299" i="13"/>
  <c r="M5302" i="14"/>
  <c r="K5113" i="13" l="1"/>
  <c r="L5113" i="13" s="1"/>
  <c r="I5114" i="13" s="1"/>
  <c r="M5302" i="13"/>
  <c r="M5303" i="14"/>
  <c r="K5135" i="14"/>
  <c r="L5135" i="14" s="1"/>
  <c r="I5136" i="14" s="1"/>
  <c r="N5300" i="13"/>
  <c r="J5299" i="13" a="1"/>
  <c r="J5299" i="13" s="1"/>
  <c r="J5298" i="14" a="1"/>
  <c r="J5298" i="14" s="1"/>
  <c r="N5299" i="14"/>
  <c r="K5114" i="13" l="1"/>
  <c r="L5114" i="13" s="1"/>
  <c r="I5115" i="13" s="1"/>
  <c r="K5136" i="14"/>
  <c r="L5136" i="14" s="1"/>
  <c r="I5137" i="14" s="1"/>
  <c r="N5300" i="14"/>
  <c r="J5299" i="14" a="1"/>
  <c r="J5299" i="14" s="1"/>
  <c r="M5303" i="13"/>
  <c r="J5300" i="13" a="1"/>
  <c r="J5300" i="13" s="1"/>
  <c r="N5301" i="13"/>
  <c r="M5304" i="14"/>
  <c r="K5115" i="13" l="1"/>
  <c r="L5115" i="13" s="1"/>
  <c r="I5116" i="13" s="1"/>
  <c r="M5304" i="13"/>
  <c r="K5137" i="14"/>
  <c r="L5137" i="14" s="1"/>
  <c r="I5138" i="14" s="1"/>
  <c r="N5302" i="13"/>
  <c r="J5301" i="13" a="1"/>
  <c r="J5301" i="13" s="1"/>
  <c r="M5305" i="14"/>
  <c r="J5300" i="14" a="1"/>
  <c r="J5300" i="14" s="1"/>
  <c r="N5301" i="14"/>
  <c r="K5138" i="14" l="1"/>
  <c r="L5138" i="14" s="1"/>
  <c r="I5139" i="14" s="1"/>
  <c r="K5116" i="13"/>
  <c r="L5116" i="13" s="1"/>
  <c r="I5117" i="13" s="1"/>
  <c r="M5305" i="13"/>
  <c r="J5301" i="14" a="1"/>
  <c r="J5301" i="14" s="1"/>
  <c r="N5302" i="14"/>
  <c r="J5302" i="13" a="1"/>
  <c r="J5302" i="13" s="1"/>
  <c r="N5303" i="13"/>
  <c r="M5306" i="14"/>
  <c r="K5139" i="14" l="1"/>
  <c r="L5139" i="14" s="1"/>
  <c r="I5140" i="14" s="1"/>
  <c r="N5303" i="14"/>
  <c r="J5302" i="14" a="1"/>
  <c r="J5302" i="14" s="1"/>
  <c r="K5117" i="13"/>
  <c r="L5117" i="13" s="1"/>
  <c r="I5118" i="13" s="1"/>
  <c r="M5307" i="14"/>
  <c r="N5304" i="13"/>
  <c r="J5303" i="13" a="1"/>
  <c r="J5303" i="13" s="1"/>
  <c r="M5306" i="13"/>
  <c r="K5118" i="13" l="1"/>
  <c r="L5118" i="13" s="1"/>
  <c r="I5119" i="13" s="1"/>
  <c r="K5140" i="14"/>
  <c r="L5140" i="14" s="1"/>
  <c r="I5141" i="14" s="1"/>
  <c r="M5308" i="14"/>
  <c r="M5307" i="13"/>
  <c r="N5304" i="14"/>
  <c r="J5303" i="14" a="1"/>
  <c r="J5303" i="14" s="1"/>
  <c r="J5304" i="13" a="1"/>
  <c r="J5304" i="13" s="1"/>
  <c r="N5305" i="13"/>
  <c r="K5119" i="13" l="1"/>
  <c r="L5119" i="13" s="1"/>
  <c r="I5120" i="13" s="1"/>
  <c r="N5306" i="13"/>
  <c r="J5305" i="13" a="1"/>
  <c r="J5305" i="13" s="1"/>
  <c r="M5308" i="13"/>
  <c r="K5141" i="14"/>
  <c r="L5141" i="14" s="1"/>
  <c r="I5142" i="14" s="1"/>
  <c r="J5304" i="14" a="1"/>
  <c r="J5304" i="14" s="1"/>
  <c r="N5305" i="14"/>
  <c r="M5309" i="14"/>
  <c r="K5142" i="14" l="1"/>
  <c r="L5142" i="14" s="1"/>
  <c r="I5143" i="14" s="1"/>
  <c r="K5120" i="13"/>
  <c r="L5120" i="13" s="1"/>
  <c r="I5121" i="13" s="1"/>
  <c r="J5306" i="13" a="1"/>
  <c r="J5306" i="13" s="1"/>
  <c r="N5307" i="13"/>
  <c r="J5305" i="14" a="1"/>
  <c r="J5305" i="14" s="1"/>
  <c r="N5306" i="14"/>
  <c r="M5309" i="13"/>
  <c r="M5310" i="14"/>
  <c r="K5121" i="13" l="1"/>
  <c r="L5121" i="13" s="1"/>
  <c r="I5122" i="13" s="1"/>
  <c r="K5143" i="14"/>
  <c r="L5143" i="14" s="1"/>
  <c r="I5144" i="14" s="1"/>
  <c r="J5306" i="14" a="1"/>
  <c r="J5306" i="14" s="1"/>
  <c r="N5307" i="14"/>
  <c r="M5311" i="14"/>
  <c r="N5308" i="13"/>
  <c r="J5307" i="13" a="1"/>
  <c r="J5307" i="13" s="1"/>
  <c r="M5310" i="13"/>
  <c r="K5122" i="13" l="1"/>
  <c r="L5122" i="13" s="1"/>
  <c r="I5123" i="13" s="1"/>
  <c r="K5144" i="14"/>
  <c r="L5144" i="14" s="1"/>
  <c r="I5145" i="14" s="1"/>
  <c r="J5308" i="13" a="1"/>
  <c r="J5308" i="13" s="1"/>
  <c r="N5309" i="13"/>
  <c r="M5311" i="13"/>
  <c r="M5312" i="14"/>
  <c r="N5308" i="14"/>
  <c r="J5307" i="14" a="1"/>
  <c r="J5307" i="14" s="1"/>
  <c r="K5145" i="14" l="1"/>
  <c r="L5145" i="14" s="1"/>
  <c r="I5146" i="14" s="1"/>
  <c r="K5123" i="13"/>
  <c r="L5123" i="13" s="1"/>
  <c r="I5124" i="13" s="1"/>
  <c r="J5308" i="14" a="1"/>
  <c r="J5308" i="14" s="1"/>
  <c r="N5309" i="14"/>
  <c r="M5312" i="13"/>
  <c r="N5310" i="13"/>
  <c r="J5309" i="13" a="1"/>
  <c r="J5309" i="13" s="1"/>
  <c r="M5313" i="14"/>
  <c r="K5124" i="13" l="1"/>
  <c r="L5124" i="13" s="1"/>
  <c r="I5125" i="13" s="1"/>
  <c r="K5146" i="14"/>
  <c r="L5146" i="14" s="1"/>
  <c r="I5147" i="14" s="1"/>
  <c r="M5313" i="13"/>
  <c r="J5310" i="13" a="1"/>
  <c r="J5310" i="13" s="1"/>
  <c r="N5311" i="13"/>
  <c r="M5314" i="14"/>
  <c r="J5309" i="14" a="1"/>
  <c r="J5309" i="14" s="1"/>
  <c r="N5310" i="14"/>
  <c r="K5147" i="14" l="1"/>
  <c r="L5147" i="14" s="1"/>
  <c r="I5148" i="14" s="1"/>
  <c r="K5125" i="13"/>
  <c r="L5125" i="13" s="1"/>
  <c r="I5126" i="13" s="1"/>
  <c r="N5312" i="13"/>
  <c r="J5311" i="13" a="1"/>
  <c r="J5311" i="13" s="1"/>
  <c r="N5311" i="14"/>
  <c r="J5310" i="14" a="1"/>
  <c r="J5310" i="14" s="1"/>
  <c r="M5315" i="14"/>
  <c r="M5314" i="13"/>
  <c r="K5148" i="14" l="1"/>
  <c r="L5148" i="14" s="1"/>
  <c r="I5149" i="14" s="1"/>
  <c r="N5312" i="14"/>
  <c r="J5311" i="14" a="1"/>
  <c r="J5311" i="14" s="1"/>
  <c r="K5126" i="13"/>
  <c r="L5126" i="13" s="1"/>
  <c r="I5127" i="13" s="1"/>
  <c r="M5315" i="13"/>
  <c r="M5316" i="14"/>
  <c r="J5312" i="13" a="1"/>
  <c r="J5312" i="13" s="1"/>
  <c r="N5313" i="13"/>
  <c r="K5127" i="13" l="1"/>
  <c r="L5127" i="13" s="1"/>
  <c r="I5128" i="13" s="1"/>
  <c r="K5149" i="14"/>
  <c r="L5149" i="14" s="1"/>
  <c r="I5150" i="14" s="1"/>
  <c r="J5312" i="14" a="1"/>
  <c r="J5312" i="14" s="1"/>
  <c r="N5313" i="14"/>
  <c r="N5314" i="13"/>
  <c r="J5313" i="13" a="1"/>
  <c r="J5313" i="13" s="1"/>
  <c r="M5316" i="13"/>
  <c r="M5317" i="14"/>
  <c r="K5150" i="14" l="1"/>
  <c r="L5150" i="14" s="1"/>
  <c r="I5151" i="14" s="1"/>
  <c r="K5128" i="13"/>
  <c r="L5128" i="13" s="1"/>
  <c r="I5129" i="13" s="1"/>
  <c r="J5314" i="13" a="1"/>
  <c r="J5314" i="13" s="1"/>
  <c r="N5315" i="13"/>
  <c r="J5313" i="14" a="1"/>
  <c r="J5313" i="14" s="1"/>
  <c r="N5314" i="14"/>
  <c r="M5318" i="14"/>
  <c r="M5317" i="13"/>
  <c r="K5151" i="14" l="1"/>
  <c r="L5151" i="14" s="1"/>
  <c r="I5152" i="14" s="1"/>
  <c r="J5314" i="14" a="1"/>
  <c r="J5314" i="14" s="1"/>
  <c r="N5315" i="14"/>
  <c r="K5129" i="13"/>
  <c r="L5129" i="13" s="1"/>
  <c r="I5130" i="13" s="1"/>
  <c r="N5316" i="13"/>
  <c r="J5315" i="13" a="1"/>
  <c r="J5315" i="13" s="1"/>
  <c r="M5318" i="13"/>
  <c r="M5319" i="14"/>
  <c r="K5152" i="14" l="1"/>
  <c r="L5152" i="14" s="1"/>
  <c r="I5153" i="14" s="1"/>
  <c r="N5316" i="14"/>
  <c r="J5315" i="14" a="1"/>
  <c r="J5315" i="14" s="1"/>
  <c r="J5316" i="13" a="1"/>
  <c r="J5316" i="13" s="1"/>
  <c r="N5317" i="13"/>
  <c r="M5319" i="13"/>
  <c r="M5320" i="14"/>
  <c r="K5130" i="13"/>
  <c r="L5130" i="13" s="1"/>
  <c r="I5131" i="13" s="1"/>
  <c r="K5153" i="14" l="1"/>
  <c r="L5153" i="14" s="1"/>
  <c r="I5154" i="14" s="1"/>
  <c r="M5320" i="13"/>
  <c r="M5321" i="14"/>
  <c r="J5316" i="14" a="1"/>
  <c r="J5316" i="14" s="1"/>
  <c r="N5317" i="14"/>
  <c r="K5131" i="13"/>
  <c r="L5131" i="13" s="1"/>
  <c r="I5132" i="13" s="1"/>
  <c r="N5318" i="13"/>
  <c r="J5317" i="13" a="1"/>
  <c r="J5317" i="13" s="1"/>
  <c r="K5132" i="13" l="1"/>
  <c r="L5132" i="13" s="1"/>
  <c r="I5133" i="13" s="1"/>
  <c r="K5154" i="14"/>
  <c r="L5154" i="14" s="1"/>
  <c r="I5155" i="14" s="1"/>
  <c r="J5317" i="14" a="1"/>
  <c r="J5317" i="14" s="1"/>
  <c r="N5318" i="14"/>
  <c r="M5321" i="13"/>
  <c r="J5318" i="13" a="1"/>
  <c r="J5318" i="13" s="1"/>
  <c r="N5319" i="13"/>
  <c r="M5322" i="14"/>
  <c r="K5133" i="13" l="1"/>
  <c r="L5133" i="13" s="1"/>
  <c r="I5134" i="13" s="1"/>
  <c r="N5320" i="13"/>
  <c r="J5319" i="13" a="1"/>
  <c r="J5319" i="13" s="1"/>
  <c r="M5323" i="14"/>
  <c r="M5322" i="13"/>
  <c r="K5155" i="14"/>
  <c r="L5155" i="14" s="1"/>
  <c r="I5156" i="14" s="1"/>
  <c r="N5319" i="14"/>
  <c r="J5318" i="14" a="1"/>
  <c r="J5318" i="14" s="1"/>
  <c r="K5156" i="14" l="1"/>
  <c r="L5156" i="14" s="1"/>
  <c r="I5157" i="14" s="1"/>
  <c r="K5134" i="13"/>
  <c r="L5134" i="13" s="1"/>
  <c r="I5135" i="13" s="1"/>
  <c r="M5323" i="13"/>
  <c r="J5320" i="13" a="1"/>
  <c r="J5320" i="13" s="1"/>
  <c r="N5321" i="13"/>
  <c r="N5320" i="14"/>
  <c r="J5319" i="14" a="1"/>
  <c r="J5319" i="14" s="1"/>
  <c r="M5324" i="14"/>
  <c r="K5135" i="13" l="1"/>
  <c r="L5135" i="13" s="1"/>
  <c r="I5136" i="13" s="1"/>
  <c r="K5157" i="14"/>
  <c r="L5157" i="14" s="1"/>
  <c r="I5158" i="14" s="1"/>
  <c r="N5322" i="13"/>
  <c r="J5321" i="13" a="1"/>
  <c r="J5321" i="13" s="1"/>
  <c r="M5325" i="14"/>
  <c r="J5320" i="14" a="1"/>
  <c r="J5320" i="14" s="1"/>
  <c r="N5321" i="14"/>
  <c r="M5324" i="13"/>
  <c r="K5136" i="13" l="1"/>
  <c r="L5136" i="13" s="1"/>
  <c r="I5137" i="13" s="1"/>
  <c r="M5325" i="13"/>
  <c r="M5326" i="14"/>
  <c r="K5158" i="14"/>
  <c r="L5158" i="14" s="1"/>
  <c r="I5159" i="14" s="1"/>
  <c r="J5321" i="14" a="1"/>
  <c r="J5321" i="14" s="1"/>
  <c r="N5322" i="14"/>
  <c r="J5322" i="13" a="1"/>
  <c r="J5322" i="13" s="1"/>
  <c r="N5323" i="13"/>
  <c r="K5137" i="13" l="1"/>
  <c r="L5137" i="13" s="1"/>
  <c r="I5138" i="13" s="1"/>
  <c r="N5324" i="13"/>
  <c r="J5323" i="13" a="1"/>
  <c r="J5323" i="13" s="1"/>
  <c r="K5159" i="14"/>
  <c r="L5159" i="14" s="1"/>
  <c r="I5160" i="14" s="1"/>
  <c r="M5326" i="13"/>
  <c r="J5322" i="14" a="1"/>
  <c r="J5322" i="14" s="1"/>
  <c r="N5323" i="14"/>
  <c r="M5327" i="14"/>
  <c r="K5160" i="14" l="1"/>
  <c r="L5160" i="14" s="1"/>
  <c r="I5161" i="14" s="1"/>
  <c r="K5138" i="13"/>
  <c r="L5138" i="13" s="1"/>
  <c r="I5139" i="13" s="1"/>
  <c r="M5328" i="14"/>
  <c r="M5327" i="13"/>
  <c r="J5324" i="13" a="1"/>
  <c r="J5324" i="13" s="1"/>
  <c r="N5325" i="13"/>
  <c r="N5324" i="14"/>
  <c r="J5323" i="14" a="1"/>
  <c r="J5323" i="14" s="1"/>
  <c r="K5161" i="14" l="1"/>
  <c r="L5161" i="14" s="1"/>
  <c r="I5162" i="14" s="1"/>
  <c r="J5324" i="14" a="1"/>
  <c r="J5324" i="14" s="1"/>
  <c r="N5325" i="14"/>
  <c r="M5328" i="13"/>
  <c r="K5139" i="13"/>
  <c r="L5139" i="13" s="1"/>
  <c r="I5140" i="13" s="1"/>
  <c r="N5326" i="13"/>
  <c r="J5325" i="13" a="1"/>
  <c r="J5325" i="13" s="1"/>
  <c r="M5329" i="14"/>
  <c r="K5162" i="14" l="1"/>
  <c r="L5162" i="14" s="1"/>
  <c r="I5163" i="14" s="1"/>
  <c r="J5325" i="14" a="1"/>
  <c r="J5325" i="14" s="1"/>
  <c r="N5326" i="14"/>
  <c r="K5140" i="13"/>
  <c r="L5140" i="13" s="1"/>
  <c r="I5141" i="13" s="1"/>
  <c r="M5330" i="14"/>
  <c r="M5329" i="13"/>
  <c r="J5326" i="13" a="1"/>
  <c r="J5326" i="13" s="1"/>
  <c r="N5327" i="13"/>
  <c r="K5141" i="13" l="1"/>
  <c r="L5141" i="13" s="1"/>
  <c r="I5142" i="13" s="1"/>
  <c r="K5163" i="14"/>
  <c r="L5163" i="14" s="1"/>
  <c r="I5164" i="14" s="1"/>
  <c r="N5328" i="13"/>
  <c r="J5327" i="13" a="1"/>
  <c r="J5327" i="13" s="1"/>
  <c r="M5331" i="14"/>
  <c r="N5327" i="14"/>
  <c r="J5326" i="14" a="1"/>
  <c r="J5326" i="14" s="1"/>
  <c r="M5330" i="13"/>
  <c r="K5142" i="13" l="1"/>
  <c r="L5142" i="13" s="1"/>
  <c r="I5143" i="13" s="1"/>
  <c r="M5331" i="13"/>
  <c r="K5164" i="14"/>
  <c r="L5164" i="14" s="1"/>
  <c r="I5165" i="14" s="1"/>
  <c r="M5332" i="14"/>
  <c r="N5328" i="14"/>
  <c r="J5327" i="14" a="1"/>
  <c r="J5327" i="14" s="1"/>
  <c r="J5328" i="13" a="1"/>
  <c r="J5328" i="13" s="1"/>
  <c r="N5329" i="13"/>
  <c r="K5165" i="14" l="1"/>
  <c r="L5165" i="14" s="1"/>
  <c r="I5166" i="14" s="1"/>
  <c r="K5143" i="13"/>
  <c r="L5143" i="13" s="1"/>
  <c r="I5144" i="13" s="1"/>
  <c r="N5330" i="13"/>
  <c r="J5329" i="13" a="1"/>
  <c r="J5329" i="13" s="1"/>
  <c r="M5333" i="14"/>
  <c r="M5332" i="13"/>
  <c r="J5328" i="14" a="1"/>
  <c r="J5328" i="14" s="1"/>
  <c r="N5329" i="14"/>
  <c r="K5144" i="13" l="1"/>
  <c r="L5144" i="13" s="1"/>
  <c r="I5145" i="13" s="1"/>
  <c r="K5166" i="14"/>
  <c r="L5166" i="14" s="1"/>
  <c r="I5167" i="14" s="1"/>
  <c r="J5329" i="14" a="1"/>
  <c r="J5329" i="14" s="1"/>
  <c r="N5330" i="14"/>
  <c r="M5334" i="14"/>
  <c r="M5333" i="13"/>
  <c r="J5330" i="13" a="1"/>
  <c r="J5330" i="13" s="1"/>
  <c r="N5331" i="13"/>
  <c r="K5167" i="14" l="1"/>
  <c r="L5167" i="14" s="1"/>
  <c r="I5168" i="14" s="1"/>
  <c r="K5145" i="13"/>
  <c r="L5145" i="13" s="1"/>
  <c r="I5146" i="13" s="1"/>
  <c r="N5332" i="13"/>
  <c r="J5331" i="13" a="1"/>
  <c r="J5331" i="13" s="1"/>
  <c r="M5335" i="14"/>
  <c r="J5330" i="14" a="1"/>
  <c r="J5330" i="14" s="1"/>
  <c r="N5331" i="14"/>
  <c r="M5334" i="13"/>
  <c r="K5146" i="13" l="1"/>
  <c r="L5146" i="13" s="1"/>
  <c r="I5147" i="13" s="1"/>
  <c r="K5168" i="14"/>
  <c r="L5168" i="14" s="1"/>
  <c r="I5169" i="14" s="1"/>
  <c r="M5335" i="13"/>
  <c r="N5332" i="14"/>
  <c r="J5331" i="14" a="1"/>
  <c r="J5331" i="14" s="1"/>
  <c r="M5336" i="14"/>
  <c r="J5332" i="13" a="1"/>
  <c r="J5332" i="13" s="1"/>
  <c r="N5333" i="13"/>
  <c r="K5169" i="14" l="1"/>
  <c r="L5169" i="14" s="1"/>
  <c r="I5170" i="14" s="1"/>
  <c r="K5147" i="13"/>
  <c r="L5147" i="13" s="1"/>
  <c r="I5148" i="13" s="1"/>
  <c r="N5334" i="13"/>
  <c r="J5333" i="13" a="1"/>
  <c r="J5333" i="13" s="1"/>
  <c r="J5332" i="14" a="1"/>
  <c r="J5332" i="14" s="1"/>
  <c r="N5333" i="14"/>
  <c r="M5337" i="14"/>
  <c r="M5336" i="13"/>
  <c r="K5170" i="14" l="1"/>
  <c r="L5170" i="14" s="1"/>
  <c r="I5171" i="14" s="1"/>
  <c r="M5337" i="13"/>
  <c r="J5333" i="14" a="1"/>
  <c r="J5333" i="14" s="1"/>
  <c r="N5334" i="14"/>
  <c r="K5148" i="13"/>
  <c r="L5148" i="13" s="1"/>
  <c r="I5149" i="13" s="1"/>
  <c r="M5338" i="14"/>
  <c r="J5334" i="13" a="1"/>
  <c r="J5334" i="13" s="1"/>
  <c r="N5335" i="13"/>
  <c r="K5171" i="14" l="1"/>
  <c r="L5171" i="14" s="1"/>
  <c r="I5172" i="14" s="1"/>
  <c r="N5336" i="13"/>
  <c r="J5335" i="13" a="1"/>
  <c r="J5335" i="13" s="1"/>
  <c r="M5338" i="13"/>
  <c r="K5149" i="13"/>
  <c r="L5149" i="13" s="1"/>
  <c r="I5150" i="13" s="1"/>
  <c r="M5339" i="14"/>
  <c r="N5335" i="14"/>
  <c r="J5334" i="14" a="1"/>
  <c r="J5334" i="14" s="1"/>
  <c r="K5150" i="13" l="1"/>
  <c r="L5150" i="13" s="1"/>
  <c r="I5151" i="13" s="1"/>
  <c r="K5172" i="14"/>
  <c r="L5172" i="14" s="1"/>
  <c r="I5173" i="14" s="1"/>
  <c r="J5336" i="13" a="1"/>
  <c r="J5336" i="13" s="1"/>
  <c r="N5337" i="13"/>
  <c r="N5336" i="14"/>
  <c r="J5335" i="14" a="1"/>
  <c r="J5335" i="14" s="1"/>
  <c r="M5339" i="13"/>
  <c r="M5340" i="14"/>
  <c r="K5151" i="13" l="1"/>
  <c r="L5151" i="13" s="1"/>
  <c r="I5152" i="13" s="1"/>
  <c r="K5173" i="14"/>
  <c r="L5173" i="14" s="1"/>
  <c r="I5174" i="14" s="1"/>
  <c r="J5336" i="14" a="1"/>
  <c r="J5336" i="14" s="1"/>
  <c r="N5337" i="14"/>
  <c r="M5341" i="14"/>
  <c r="N5338" i="13"/>
  <c r="J5337" i="13" a="1"/>
  <c r="J5337" i="13" s="1"/>
  <c r="M5340" i="13"/>
  <c r="K5152" i="13" l="1"/>
  <c r="L5152" i="13" s="1"/>
  <c r="I5153" i="13" s="1"/>
  <c r="J5338" i="13" a="1"/>
  <c r="J5338" i="13" s="1"/>
  <c r="N5339" i="13"/>
  <c r="M5341" i="13"/>
  <c r="M5342" i="14"/>
  <c r="K5174" i="14"/>
  <c r="L5174" i="14" s="1"/>
  <c r="I5175" i="14" s="1"/>
  <c r="J5337" i="14" a="1"/>
  <c r="J5337" i="14" s="1"/>
  <c r="N5338" i="14"/>
  <c r="K5175" i="14" l="1"/>
  <c r="L5175" i="14" s="1"/>
  <c r="I5176" i="14" s="1"/>
  <c r="K5153" i="13"/>
  <c r="L5153" i="13" s="1"/>
  <c r="I5154" i="13" s="1"/>
  <c r="J5338" i="14" a="1"/>
  <c r="J5338" i="14" s="1"/>
  <c r="N5339" i="14"/>
  <c r="M5343" i="14"/>
  <c r="N5340" i="13"/>
  <c r="J5339" i="13" a="1"/>
  <c r="J5339" i="13" s="1"/>
  <c r="M5342" i="13"/>
  <c r="K5154" i="13" l="1"/>
  <c r="L5154" i="13" s="1"/>
  <c r="I5155" i="13" s="1"/>
  <c r="K5176" i="14"/>
  <c r="L5176" i="14" s="1"/>
  <c r="I5177" i="14" s="1"/>
  <c r="M5343" i="13"/>
  <c r="M5344" i="14"/>
  <c r="N5340" i="14"/>
  <c r="J5339" i="14" a="1"/>
  <c r="J5339" i="14" s="1"/>
  <c r="J5340" i="13" a="1"/>
  <c r="J5340" i="13" s="1"/>
  <c r="N5341" i="13"/>
  <c r="K5155" i="13" l="1"/>
  <c r="L5155" i="13" s="1"/>
  <c r="I5156" i="13" s="1"/>
  <c r="N5342" i="13"/>
  <c r="J5341" i="13" a="1"/>
  <c r="J5341" i="13" s="1"/>
  <c r="K5177" i="14"/>
  <c r="L5177" i="14" s="1"/>
  <c r="I5178" i="14" s="1"/>
  <c r="M5345" i="14"/>
  <c r="J5340" i="14" a="1"/>
  <c r="J5340" i="14" s="1"/>
  <c r="N5341" i="14"/>
  <c r="M5344" i="13"/>
  <c r="K5178" i="14" l="1"/>
  <c r="L5178" i="14" s="1"/>
  <c r="I5179" i="14" s="1"/>
  <c r="K5156" i="13"/>
  <c r="L5156" i="13" s="1"/>
  <c r="I5157" i="13" s="1"/>
  <c r="M5346" i="14"/>
  <c r="M5345" i="13"/>
  <c r="J5342" i="13" a="1"/>
  <c r="J5342" i="13" s="1"/>
  <c r="N5343" i="13"/>
  <c r="J5341" i="14" a="1"/>
  <c r="J5341" i="14" s="1"/>
  <c r="N5342" i="14"/>
  <c r="K5179" i="14" l="1"/>
  <c r="L5179" i="14" s="1"/>
  <c r="I5180" i="14" s="1"/>
  <c r="N5343" i="14"/>
  <c r="J5342" i="14" a="1"/>
  <c r="J5342" i="14" s="1"/>
  <c r="K5157" i="13"/>
  <c r="L5157" i="13" s="1"/>
  <c r="I5158" i="13" s="1"/>
  <c r="M5346" i="13"/>
  <c r="M5347" i="14"/>
  <c r="N5344" i="13"/>
  <c r="J5343" i="13" a="1"/>
  <c r="J5343" i="13" s="1"/>
  <c r="K5158" i="13" l="1"/>
  <c r="L5158" i="13" s="1"/>
  <c r="I5159" i="13" s="1"/>
  <c r="K5180" i="14"/>
  <c r="L5180" i="14" s="1"/>
  <c r="I5181" i="14" s="1"/>
  <c r="M5347" i="13"/>
  <c r="N5344" i="14"/>
  <c r="J5343" i="14" a="1"/>
  <c r="J5343" i="14" s="1"/>
  <c r="J5344" i="13" a="1"/>
  <c r="J5344" i="13" s="1"/>
  <c r="N5345" i="13"/>
  <c r="M5348" i="14"/>
  <c r="K5181" i="14" l="1"/>
  <c r="L5181" i="14" s="1"/>
  <c r="I5182" i="14" s="1"/>
  <c r="K5159" i="13"/>
  <c r="L5159" i="13" s="1"/>
  <c r="I5160" i="13" s="1"/>
  <c r="J5344" i="14" a="1"/>
  <c r="J5344" i="14" s="1"/>
  <c r="N5345" i="14"/>
  <c r="M5349" i="14"/>
  <c r="N5346" i="13"/>
  <c r="J5345" i="13" a="1"/>
  <c r="J5345" i="13" s="1"/>
  <c r="M5348" i="13"/>
  <c r="K5182" i="14" l="1"/>
  <c r="L5182" i="14" s="1"/>
  <c r="I5183" i="14" s="1"/>
  <c r="M5349" i="13"/>
  <c r="M5350" i="14"/>
  <c r="K5160" i="13"/>
  <c r="L5160" i="13" s="1"/>
  <c r="I5161" i="13" s="1"/>
  <c r="J5345" i="14" a="1"/>
  <c r="J5345" i="14" s="1"/>
  <c r="N5346" i="14"/>
  <c r="J5346" i="13" a="1"/>
  <c r="J5346" i="13" s="1"/>
  <c r="N5347" i="13"/>
  <c r="K5183" i="14" l="1"/>
  <c r="L5183" i="14" s="1"/>
  <c r="I5184" i="14" s="1"/>
  <c r="N5348" i="13"/>
  <c r="J5347" i="13" a="1"/>
  <c r="J5347" i="13" s="1"/>
  <c r="K5161" i="13"/>
  <c r="L5161" i="13" s="1"/>
  <c r="I5162" i="13" s="1"/>
  <c r="M5350" i="13"/>
  <c r="N5347" i="14"/>
  <c r="J5346" i="14" a="1"/>
  <c r="J5346" i="14" s="1"/>
  <c r="M5351" i="14"/>
  <c r="K5184" i="14" l="1"/>
  <c r="L5184" i="14" s="1"/>
  <c r="I5185" i="14" s="1"/>
  <c r="M5351" i="13"/>
  <c r="M5352" i="14"/>
  <c r="J5348" i="13" a="1"/>
  <c r="J5348" i="13" s="1"/>
  <c r="N5349" i="13"/>
  <c r="N5348" i="14"/>
  <c r="J5347" i="14" a="1"/>
  <c r="J5347" i="14" s="1"/>
  <c r="K5162" i="13"/>
  <c r="L5162" i="13" s="1"/>
  <c r="I5163" i="13" s="1"/>
  <c r="K5185" i="14" l="1"/>
  <c r="L5185" i="14" s="1"/>
  <c r="I5186" i="14" s="1"/>
  <c r="K5163" i="13"/>
  <c r="L5163" i="13" s="1"/>
  <c r="I5164" i="13" s="1"/>
  <c r="N5350" i="13"/>
  <c r="J5349" i="13" a="1"/>
  <c r="J5349" i="13" s="1"/>
  <c r="M5352" i="13"/>
  <c r="J5348" i="14" a="1"/>
  <c r="J5348" i="14" s="1"/>
  <c r="N5349" i="14"/>
  <c r="M5353" i="14"/>
  <c r="K5186" i="14" l="1"/>
  <c r="L5186" i="14" s="1"/>
  <c r="I5187" i="14" s="1"/>
  <c r="M5353" i="13"/>
  <c r="M5354" i="14"/>
  <c r="K5164" i="13"/>
  <c r="L5164" i="13" s="1"/>
  <c r="I5165" i="13" s="1"/>
  <c r="J5349" i="14" a="1"/>
  <c r="J5349" i="14" s="1"/>
  <c r="N5350" i="14"/>
  <c r="J5350" i="13" a="1"/>
  <c r="J5350" i="13" s="1"/>
  <c r="N5351" i="13"/>
  <c r="K5187" i="14" l="1"/>
  <c r="L5187" i="14" s="1"/>
  <c r="I5188" i="14" s="1"/>
  <c r="N5352" i="13"/>
  <c r="J5351" i="13" a="1"/>
  <c r="J5351" i="13" s="1"/>
  <c r="M5354" i="13"/>
  <c r="K5165" i="13"/>
  <c r="L5165" i="13" s="1"/>
  <c r="I5166" i="13" s="1"/>
  <c r="N5351" i="14"/>
  <c r="J5350" i="14" a="1"/>
  <c r="J5350" i="14" s="1"/>
  <c r="M5355" i="14"/>
  <c r="K5166" i="13" l="1"/>
  <c r="L5166" i="13" s="1"/>
  <c r="I5167" i="13" s="1"/>
  <c r="K5188" i="14"/>
  <c r="L5188" i="14" s="1"/>
  <c r="I5189" i="14" s="1"/>
  <c r="M5356" i="14"/>
  <c r="J5352" i="13" a="1"/>
  <c r="J5352" i="13" s="1"/>
  <c r="N5353" i="13"/>
  <c r="M5355" i="13"/>
  <c r="N5352" i="14"/>
  <c r="J5351" i="14" a="1"/>
  <c r="J5351" i="14" s="1"/>
  <c r="K5189" i="14" l="1"/>
  <c r="L5189" i="14" s="1"/>
  <c r="I5190" i="14" s="1"/>
  <c r="K5167" i="13"/>
  <c r="L5167" i="13" s="1"/>
  <c r="I5168" i="13" s="1"/>
  <c r="N5354" i="13"/>
  <c r="J5353" i="13" a="1"/>
  <c r="J5353" i="13" s="1"/>
  <c r="J5352" i="14" a="1"/>
  <c r="J5352" i="14" s="1"/>
  <c r="N5353" i="14"/>
  <c r="M5356" i="13"/>
  <c r="M5357" i="14"/>
  <c r="K5168" i="13" l="1"/>
  <c r="L5168" i="13" s="1"/>
  <c r="I5169" i="13" s="1"/>
  <c r="K5190" i="14"/>
  <c r="L5190" i="14" s="1"/>
  <c r="I5191" i="14" s="1"/>
  <c r="J5353" i="14" a="1"/>
  <c r="J5353" i="14" s="1"/>
  <c r="N5354" i="14"/>
  <c r="M5358" i="14"/>
  <c r="M5357" i="13"/>
  <c r="J5354" i="13" a="1"/>
  <c r="J5354" i="13" s="1"/>
  <c r="N5355" i="13"/>
  <c r="K5191" i="14" l="1"/>
  <c r="L5191" i="14" s="1"/>
  <c r="I5192" i="14" s="1"/>
  <c r="K5169" i="13"/>
  <c r="L5169" i="13" s="1"/>
  <c r="I5170" i="13" s="1"/>
  <c r="J5354" i="14" a="1"/>
  <c r="J5354" i="14" s="1"/>
  <c r="N5355" i="14"/>
  <c r="N5356" i="13"/>
  <c r="J5355" i="13" a="1"/>
  <c r="J5355" i="13" s="1"/>
  <c r="M5359" i="14"/>
  <c r="M5358" i="13"/>
  <c r="K5170" i="13" l="1"/>
  <c r="L5170" i="13" s="1"/>
  <c r="I5171" i="13" s="1"/>
  <c r="K5192" i="14"/>
  <c r="L5192" i="14" s="1"/>
  <c r="I5193" i="14" s="1"/>
  <c r="J5356" i="13" a="1"/>
  <c r="J5356" i="13" s="1"/>
  <c r="N5357" i="13"/>
  <c r="M5359" i="13"/>
  <c r="N5356" i="14"/>
  <c r="J5355" i="14" a="1"/>
  <c r="J5355" i="14" s="1"/>
  <c r="M5360" i="14"/>
  <c r="K5193" i="14" l="1"/>
  <c r="L5193" i="14" s="1"/>
  <c r="I5194" i="14" s="1"/>
  <c r="K5171" i="13"/>
  <c r="L5171" i="13" s="1"/>
  <c r="I5172" i="13" s="1"/>
  <c r="M5361" i="14"/>
  <c r="M5360" i="13"/>
  <c r="N5358" i="13"/>
  <c r="J5357" i="13" a="1"/>
  <c r="J5357" i="13" s="1"/>
  <c r="J5356" i="14" a="1"/>
  <c r="J5356" i="14" s="1"/>
  <c r="N5357" i="14"/>
  <c r="K5194" i="14" l="1"/>
  <c r="L5194" i="14" s="1"/>
  <c r="I5195" i="14" s="1"/>
  <c r="J5357" i="14" a="1"/>
  <c r="J5357" i="14" s="1"/>
  <c r="N5358" i="14"/>
  <c r="M5361" i="13"/>
  <c r="K5172" i="13"/>
  <c r="L5172" i="13" s="1"/>
  <c r="I5173" i="13" s="1"/>
  <c r="J5358" i="13" a="1"/>
  <c r="J5358" i="13" s="1"/>
  <c r="N5359" i="13"/>
  <c r="M5362" i="14"/>
  <c r="K5173" i="13" l="1"/>
  <c r="L5173" i="13" s="1"/>
  <c r="I5174" i="13" s="1"/>
  <c r="K5195" i="14"/>
  <c r="L5195" i="14" s="1"/>
  <c r="I5196" i="14" s="1"/>
  <c r="M5363" i="14"/>
  <c r="N5359" i="14"/>
  <c r="J5358" i="14" a="1"/>
  <c r="J5358" i="14" s="1"/>
  <c r="N5360" i="13"/>
  <c r="J5359" i="13" a="1"/>
  <c r="J5359" i="13" s="1"/>
  <c r="M5362" i="13"/>
  <c r="K5174" i="13" l="1"/>
  <c r="L5174" i="13" s="1"/>
  <c r="I5175" i="13" s="1"/>
  <c r="N5360" i="14"/>
  <c r="J5359" i="14" a="1"/>
  <c r="J5359" i="14" s="1"/>
  <c r="K5196" i="14"/>
  <c r="L5196" i="14" s="1"/>
  <c r="I5197" i="14" s="1"/>
  <c r="M5363" i="13"/>
  <c r="J5360" i="13" a="1"/>
  <c r="J5360" i="13" s="1"/>
  <c r="N5361" i="13"/>
  <c r="M5364" i="14"/>
  <c r="K5197" i="14" l="1"/>
  <c r="L5197" i="14" s="1"/>
  <c r="I5198" i="14" s="1"/>
  <c r="K5175" i="13"/>
  <c r="L5175" i="13" s="1"/>
  <c r="I5176" i="13" s="1"/>
  <c r="M5365" i="14"/>
  <c r="J5360" i="14" a="1"/>
  <c r="J5360" i="14" s="1"/>
  <c r="N5361" i="14"/>
  <c r="N5362" i="13"/>
  <c r="J5361" i="13" a="1"/>
  <c r="J5361" i="13" s="1"/>
  <c r="M5364" i="13"/>
  <c r="K5176" i="13" l="1"/>
  <c r="L5176" i="13" s="1"/>
  <c r="I5177" i="13" s="1"/>
  <c r="K5198" i="14"/>
  <c r="L5198" i="14" s="1"/>
  <c r="I5199" i="14" s="1"/>
  <c r="J5361" i="14" a="1"/>
  <c r="J5361" i="14" s="1"/>
  <c r="N5362" i="14"/>
  <c r="M5366" i="14"/>
  <c r="M5365" i="13"/>
  <c r="J5362" i="13" a="1"/>
  <c r="J5362" i="13" s="1"/>
  <c r="N5363" i="13"/>
  <c r="K5177" i="13" l="1"/>
  <c r="L5177" i="13" s="1"/>
  <c r="I5178" i="13" s="1"/>
  <c r="N5364" i="13"/>
  <c r="J5363" i="13" a="1"/>
  <c r="J5363" i="13" s="1"/>
  <c r="M5367" i="14"/>
  <c r="K5199" i="14"/>
  <c r="L5199" i="14" s="1"/>
  <c r="I5200" i="14" s="1"/>
  <c r="J5362" i="14" a="1"/>
  <c r="J5362" i="14" s="1"/>
  <c r="N5363" i="14"/>
  <c r="M5366" i="13"/>
  <c r="K5200" i="14" l="1"/>
  <c r="L5200" i="14" s="1"/>
  <c r="I5201" i="14" s="1"/>
  <c r="K5178" i="13"/>
  <c r="L5178" i="13" s="1"/>
  <c r="I5179" i="13" s="1"/>
  <c r="J5364" i="13" a="1"/>
  <c r="J5364" i="13" s="1"/>
  <c r="N5365" i="13"/>
  <c r="M5367" i="13"/>
  <c r="N5364" i="14"/>
  <c r="J5363" i="14" a="1"/>
  <c r="J5363" i="14" s="1"/>
  <c r="M5368" i="14"/>
  <c r="K5179" i="13" l="1"/>
  <c r="L5179" i="13" s="1"/>
  <c r="I5180" i="13" s="1"/>
  <c r="K5201" i="14"/>
  <c r="L5201" i="14" s="1"/>
  <c r="I5202" i="14" s="1"/>
  <c r="M5369" i="14"/>
  <c r="M5368" i="13"/>
  <c r="N5366" i="13"/>
  <c r="J5365" i="13" a="1"/>
  <c r="J5365" i="13" s="1"/>
  <c r="J5364" i="14" a="1"/>
  <c r="J5364" i="14" s="1"/>
  <c r="N5365" i="14"/>
  <c r="K5180" i="13" l="1"/>
  <c r="L5180" i="13" s="1"/>
  <c r="I5181" i="13" s="1"/>
  <c r="J5365" i="14" a="1"/>
  <c r="J5365" i="14" s="1"/>
  <c r="N5366" i="14"/>
  <c r="M5369" i="13"/>
  <c r="K5202" i="14"/>
  <c r="L5202" i="14" s="1"/>
  <c r="I5203" i="14" s="1"/>
  <c r="J5366" i="13" a="1"/>
  <c r="J5366" i="13" s="1"/>
  <c r="N5367" i="13"/>
  <c r="M5370" i="14"/>
  <c r="K5181" i="13" l="1"/>
  <c r="L5181" i="13" s="1"/>
  <c r="I5182" i="13" s="1"/>
  <c r="M5371" i="14"/>
  <c r="N5367" i="14"/>
  <c r="J5366" i="14" a="1"/>
  <c r="J5366" i="14" s="1"/>
  <c r="K5203" i="14"/>
  <c r="L5203" i="14" s="1"/>
  <c r="I5204" i="14" s="1"/>
  <c r="N5368" i="13"/>
  <c r="J5367" i="13" a="1"/>
  <c r="J5367" i="13" s="1"/>
  <c r="M5370" i="13"/>
  <c r="K5182" i="13" l="1"/>
  <c r="L5182" i="13" s="1"/>
  <c r="I5183" i="13" s="1"/>
  <c r="M5371" i="13"/>
  <c r="K5204" i="14"/>
  <c r="L5204" i="14" s="1"/>
  <c r="I5205" i="14" s="1"/>
  <c r="M5372" i="14"/>
  <c r="J5368" i="13" a="1"/>
  <c r="J5368" i="13" s="1"/>
  <c r="N5369" i="13"/>
  <c r="N5368" i="14"/>
  <c r="J5367" i="14" a="1"/>
  <c r="J5367" i="14" s="1"/>
  <c r="K5205" i="14" l="1"/>
  <c r="L5205" i="14" s="1"/>
  <c r="I5206" i="14" s="1"/>
  <c r="K5183" i="13"/>
  <c r="L5183" i="13" s="1"/>
  <c r="I5184" i="13" s="1"/>
  <c r="J5368" i="14" a="1"/>
  <c r="J5368" i="14" s="1"/>
  <c r="N5369" i="14"/>
  <c r="M5373" i="14"/>
  <c r="M5372" i="13"/>
  <c r="N5370" i="13"/>
  <c r="J5369" i="13" a="1"/>
  <c r="J5369" i="13" s="1"/>
  <c r="K5206" i="14" l="1"/>
  <c r="L5206" i="14" s="1"/>
  <c r="I5207" i="14" s="1"/>
  <c r="J5370" i="13" a="1"/>
  <c r="J5370" i="13" s="1"/>
  <c r="N5371" i="13"/>
  <c r="M5374" i="14"/>
  <c r="K5184" i="13"/>
  <c r="L5184" i="13" s="1"/>
  <c r="I5185" i="13" s="1"/>
  <c r="M5373" i="13"/>
  <c r="J5369" i="14" a="1"/>
  <c r="J5369" i="14" s="1"/>
  <c r="N5370" i="14"/>
  <c r="K5185" i="13" l="1"/>
  <c r="L5185" i="13" s="1"/>
  <c r="I5186" i="13" s="1"/>
  <c r="K5207" i="14"/>
  <c r="L5207" i="14" s="1"/>
  <c r="I5208" i="14" s="1"/>
  <c r="J5370" i="14" a="1"/>
  <c r="J5370" i="14" s="1"/>
  <c r="N5371" i="14"/>
  <c r="N5372" i="13"/>
  <c r="J5371" i="13" a="1"/>
  <c r="J5371" i="13" s="1"/>
  <c r="M5375" i="14"/>
  <c r="M5374" i="13"/>
  <c r="K5186" i="13" l="1"/>
  <c r="L5186" i="13" s="1"/>
  <c r="I5187" i="13" s="1"/>
  <c r="M5375" i="13"/>
  <c r="K5208" i="14"/>
  <c r="L5208" i="14" s="1"/>
  <c r="I5209" i="14" s="1"/>
  <c r="J5372" i="13" a="1"/>
  <c r="J5372" i="13" s="1"/>
  <c r="N5373" i="13"/>
  <c r="N5372" i="14"/>
  <c r="J5371" i="14" a="1"/>
  <c r="J5371" i="14" s="1"/>
  <c r="M5376" i="14"/>
  <c r="K5209" i="14" l="1"/>
  <c r="L5209" i="14" s="1"/>
  <c r="I5210" i="14" s="1"/>
  <c r="K5187" i="13"/>
  <c r="L5187" i="13" s="1"/>
  <c r="I5188" i="13" s="1"/>
  <c r="M5377" i="14"/>
  <c r="N5374" i="13"/>
  <c r="J5373" i="13" a="1"/>
  <c r="J5373" i="13" s="1"/>
  <c r="M5376" i="13"/>
  <c r="J5372" i="14" a="1"/>
  <c r="J5372" i="14" s="1"/>
  <c r="N5373" i="14"/>
  <c r="K5188" i="13" l="1"/>
  <c r="L5188" i="13" s="1"/>
  <c r="I5189" i="13" s="1"/>
  <c r="K5210" i="14"/>
  <c r="L5210" i="14" s="1"/>
  <c r="I5211" i="14" s="1"/>
  <c r="J5373" i="14" a="1"/>
  <c r="J5373" i="14" s="1"/>
  <c r="N5374" i="14"/>
  <c r="J5374" i="13" a="1"/>
  <c r="J5374" i="13" s="1"/>
  <c r="N5375" i="13"/>
  <c r="M5377" i="13"/>
  <c r="M5378" i="14"/>
  <c r="K5211" i="14" l="1"/>
  <c r="L5211" i="14" s="1"/>
  <c r="I5212" i="14" s="1"/>
  <c r="K5189" i="13"/>
  <c r="L5189" i="13" s="1"/>
  <c r="I5190" i="13" s="1"/>
  <c r="N5376" i="13"/>
  <c r="J5375" i="13" a="1"/>
  <c r="J5375" i="13" s="1"/>
  <c r="M5379" i="14"/>
  <c r="N5375" i="14"/>
  <c r="J5374" i="14" a="1"/>
  <c r="J5374" i="14" s="1"/>
  <c r="M5378" i="13"/>
  <c r="N5376" i="14" l="1"/>
  <c r="J5375" i="14" a="1"/>
  <c r="J5375" i="14" s="1"/>
  <c r="M5379" i="13"/>
  <c r="M5380" i="14"/>
  <c r="K5190" i="13"/>
  <c r="L5190" i="13" s="1"/>
  <c r="I5191" i="13" s="1"/>
  <c r="J5376" i="13" a="1"/>
  <c r="J5376" i="13" s="1"/>
  <c r="N5377" i="13"/>
  <c r="K5212" i="14"/>
  <c r="L5212" i="14" s="1"/>
  <c r="I5213" i="14" s="1"/>
  <c r="N5378" i="13" l="1"/>
  <c r="J5377" i="13" a="1"/>
  <c r="J5377" i="13" s="1"/>
  <c r="K5191" i="13"/>
  <c r="L5191" i="13" s="1"/>
  <c r="I5192" i="13" s="1"/>
  <c r="M5380" i="13"/>
  <c r="K5213" i="14"/>
  <c r="L5213" i="14" s="1"/>
  <c r="I5214" i="14" s="1"/>
  <c r="M5381" i="14"/>
  <c r="J5376" i="14" a="1"/>
  <c r="J5376" i="14" s="1"/>
  <c r="N5377" i="14"/>
  <c r="J5377" i="14" l="1" a="1"/>
  <c r="J5377" i="14" s="1"/>
  <c r="N5378" i="14"/>
  <c r="K5214" i="14"/>
  <c r="L5214" i="14" s="1"/>
  <c r="I5215" i="14" s="1"/>
  <c r="K5192" i="13"/>
  <c r="L5192" i="13" s="1"/>
  <c r="I5193" i="13" s="1"/>
  <c r="M5382" i="14"/>
  <c r="M5381" i="13"/>
  <c r="J5378" i="13" a="1"/>
  <c r="J5378" i="13" s="1"/>
  <c r="N5379" i="13"/>
  <c r="K5215" i="14" l="1"/>
  <c r="L5215" i="14" s="1"/>
  <c r="I5216" i="14" s="1"/>
  <c r="N5380" i="13"/>
  <c r="J5379" i="13" a="1"/>
  <c r="J5379" i="13" s="1"/>
  <c r="M5383" i="14"/>
  <c r="M5382" i="13"/>
  <c r="K5193" i="13"/>
  <c r="L5193" i="13" s="1"/>
  <c r="I5194" i="13" s="1"/>
  <c r="J5378" i="14" a="1"/>
  <c r="J5378" i="14" s="1"/>
  <c r="N5379" i="14"/>
  <c r="K5194" i="13" l="1"/>
  <c r="L5194" i="13" s="1"/>
  <c r="I5195" i="13" s="1"/>
  <c r="K5216" i="14"/>
  <c r="L5216" i="14" s="1"/>
  <c r="I5217" i="14" s="1"/>
  <c r="J5380" i="13" a="1"/>
  <c r="J5380" i="13" s="1"/>
  <c r="N5381" i="13"/>
  <c r="N5380" i="14"/>
  <c r="J5379" i="14" a="1"/>
  <c r="J5379" i="14" s="1"/>
  <c r="M5383" i="13"/>
  <c r="M5384" i="14"/>
  <c r="K5217" i="14" l="1"/>
  <c r="L5217" i="14" s="1"/>
  <c r="I5218" i="14" s="1"/>
  <c r="K5195" i="13"/>
  <c r="L5195" i="13" s="1"/>
  <c r="I5196" i="13" s="1"/>
  <c r="M5385" i="14"/>
  <c r="J5380" i="14" a="1"/>
  <c r="J5380" i="14" s="1"/>
  <c r="N5381" i="14"/>
  <c r="N5382" i="13"/>
  <c r="J5381" i="13" a="1"/>
  <c r="J5381" i="13" s="1"/>
  <c r="M5384" i="13"/>
  <c r="K5218" i="14" l="1"/>
  <c r="L5218" i="14" s="1"/>
  <c r="I5219" i="14" s="1"/>
  <c r="K5196" i="13"/>
  <c r="L5196" i="13" s="1"/>
  <c r="I5197" i="13" s="1"/>
  <c r="J5381" i="14" a="1"/>
  <c r="J5381" i="14" s="1"/>
  <c r="N5382" i="14"/>
  <c r="M5385" i="13"/>
  <c r="J5382" i="13" a="1"/>
  <c r="J5382" i="13" s="1"/>
  <c r="N5383" i="13"/>
  <c r="M5386" i="14"/>
  <c r="K5219" i="14" l="1"/>
  <c r="L5219" i="14" s="1"/>
  <c r="I5220" i="14" s="1"/>
  <c r="M5387" i="14"/>
  <c r="N5384" i="13"/>
  <c r="J5383" i="13" a="1"/>
  <c r="J5383" i="13" s="1"/>
  <c r="M5386" i="13"/>
  <c r="K5197" i="13"/>
  <c r="L5197" i="13" s="1"/>
  <c r="I5198" i="13" s="1"/>
  <c r="N5383" i="14"/>
  <c r="J5382" i="14" a="1"/>
  <c r="J5382" i="14" s="1"/>
  <c r="K5198" i="13" l="1"/>
  <c r="L5198" i="13" s="1"/>
  <c r="I5199" i="13" s="1"/>
  <c r="K5220" i="14"/>
  <c r="L5220" i="14" s="1"/>
  <c r="I5221" i="14" s="1"/>
  <c r="M5387" i="13"/>
  <c r="N5384" i="14"/>
  <c r="J5383" i="14" a="1"/>
  <c r="J5383" i="14" s="1"/>
  <c r="M5388" i="14"/>
  <c r="J5384" i="13" a="1"/>
  <c r="J5384" i="13" s="1"/>
  <c r="N5385" i="13"/>
  <c r="K5221" i="14" l="1"/>
  <c r="L5221" i="14" s="1"/>
  <c r="I5222" i="14" s="1"/>
  <c r="K5199" i="13"/>
  <c r="L5199" i="13" s="1"/>
  <c r="I5200" i="13" s="1"/>
  <c r="N5386" i="13"/>
  <c r="J5385" i="13" a="1"/>
  <c r="J5385" i="13" s="1"/>
  <c r="J5384" i="14" a="1"/>
  <c r="J5384" i="14" s="1"/>
  <c r="N5385" i="14"/>
  <c r="M5389" i="14"/>
  <c r="M5388" i="13"/>
  <c r="K5200" i="13" l="1"/>
  <c r="L5200" i="13" s="1"/>
  <c r="I5201" i="13" s="1"/>
  <c r="K5222" i="14"/>
  <c r="L5222" i="14" s="1"/>
  <c r="I5223" i="14" s="1"/>
  <c r="J5385" i="14" a="1"/>
  <c r="J5385" i="14" s="1"/>
  <c r="N5386" i="14"/>
  <c r="M5389" i="13"/>
  <c r="M5390" i="14"/>
  <c r="J5386" i="13" a="1"/>
  <c r="J5386" i="13" s="1"/>
  <c r="N5387" i="13"/>
  <c r="K5223" i="14" l="1"/>
  <c r="L5223" i="14" s="1"/>
  <c r="I5224" i="14" s="1"/>
  <c r="K5201" i="13"/>
  <c r="L5201" i="13" s="1"/>
  <c r="I5202" i="13" s="1"/>
  <c r="N5388" i="13"/>
  <c r="J5387" i="13" a="1"/>
  <c r="J5387" i="13" s="1"/>
  <c r="M5390" i="13"/>
  <c r="N5387" i="14"/>
  <c r="J5386" i="14" a="1"/>
  <c r="J5386" i="14" s="1"/>
  <c r="M5391" i="14"/>
  <c r="K5202" i="13" l="1"/>
  <c r="L5202" i="13" s="1"/>
  <c r="I5203" i="13" s="1"/>
  <c r="K5224" i="14"/>
  <c r="L5224" i="14" s="1"/>
  <c r="I5225" i="14" s="1"/>
  <c r="M5391" i="13"/>
  <c r="M5392" i="14"/>
  <c r="N5388" i="14"/>
  <c r="J5387" i="14" a="1"/>
  <c r="J5387" i="14" s="1"/>
  <c r="J5388" i="13" a="1"/>
  <c r="J5388" i="13" s="1"/>
  <c r="N5389" i="13"/>
  <c r="K5225" i="14" l="1"/>
  <c r="L5225" i="14" s="1"/>
  <c r="I5226" i="14" s="1"/>
  <c r="K5203" i="13"/>
  <c r="L5203" i="13" s="1"/>
  <c r="I5204" i="13" s="1"/>
  <c r="N5390" i="13"/>
  <c r="J5389" i="13" a="1"/>
  <c r="J5389" i="13" s="1"/>
  <c r="M5393" i="14"/>
  <c r="J5388" i="14" a="1"/>
  <c r="J5388" i="14" s="1"/>
  <c r="N5389" i="14"/>
  <c r="M5392" i="13"/>
  <c r="K5204" i="13" l="1"/>
  <c r="L5204" i="13" s="1"/>
  <c r="I5205" i="13" s="1"/>
  <c r="K5226" i="14"/>
  <c r="L5226" i="14" s="1"/>
  <c r="I5227" i="14" s="1"/>
  <c r="J5389" i="14" a="1"/>
  <c r="J5389" i="14" s="1"/>
  <c r="N5390" i="14"/>
  <c r="M5393" i="13"/>
  <c r="M5394" i="14"/>
  <c r="J5390" i="13" a="1"/>
  <c r="J5390" i="13" s="1"/>
  <c r="N5391" i="13"/>
  <c r="K5205" i="13" l="1"/>
  <c r="L5205" i="13" s="1"/>
  <c r="I5206" i="13" s="1"/>
  <c r="N5392" i="13"/>
  <c r="J5391" i="13" a="1"/>
  <c r="J5391" i="13" s="1"/>
  <c r="M5394" i="13"/>
  <c r="K5227" i="14"/>
  <c r="L5227" i="14" s="1"/>
  <c r="I5228" i="14" s="1"/>
  <c r="N5391" i="14"/>
  <c r="J5390" i="14" a="1"/>
  <c r="J5390" i="14" s="1"/>
  <c r="M5395" i="14"/>
  <c r="K5228" i="14" l="1"/>
  <c r="L5228" i="14" s="1"/>
  <c r="I5229" i="14" s="1"/>
  <c r="K5206" i="13"/>
  <c r="L5206" i="13" s="1"/>
  <c r="I5207" i="13" s="1"/>
  <c r="J5392" i="13" a="1"/>
  <c r="J5392" i="13" s="1"/>
  <c r="N5393" i="13"/>
  <c r="M5396" i="14"/>
  <c r="M5395" i="13"/>
  <c r="N5392" i="14"/>
  <c r="J5391" i="14" a="1"/>
  <c r="J5391" i="14" s="1"/>
  <c r="K5207" i="13" l="1"/>
  <c r="L5207" i="13" s="1"/>
  <c r="I5208" i="13" s="1"/>
  <c r="K5229" i="14"/>
  <c r="L5229" i="14" s="1"/>
  <c r="I5230" i="14" s="1"/>
  <c r="M5396" i="13"/>
  <c r="J5392" i="14" a="1"/>
  <c r="J5392" i="14" s="1"/>
  <c r="N5393" i="14"/>
  <c r="M5397" i="14"/>
  <c r="N5394" i="13"/>
  <c r="J5393" i="13" a="1"/>
  <c r="J5393" i="13" s="1"/>
  <c r="K5208" i="13" l="1"/>
  <c r="L5208" i="13" s="1"/>
  <c r="I5209" i="13" s="1"/>
  <c r="J5393" i="14" a="1"/>
  <c r="J5393" i="14" s="1"/>
  <c r="N5394" i="14"/>
  <c r="K5230" i="14"/>
  <c r="L5230" i="14" s="1"/>
  <c r="I5231" i="14" s="1"/>
  <c r="M5398" i="14"/>
  <c r="M5397" i="13"/>
  <c r="J5394" i="13" a="1"/>
  <c r="J5394" i="13" s="1"/>
  <c r="N5395" i="13"/>
  <c r="K5231" i="14" l="1"/>
  <c r="L5231" i="14" s="1"/>
  <c r="I5232" i="14" s="1"/>
  <c r="K5209" i="13"/>
  <c r="L5209" i="13" s="1"/>
  <c r="I5210" i="13" s="1"/>
  <c r="N5396" i="13"/>
  <c r="J5395" i="13" a="1"/>
  <c r="J5395" i="13" s="1"/>
  <c r="M5399" i="14"/>
  <c r="J5394" i="14" a="1"/>
  <c r="J5394" i="14" s="1"/>
  <c r="N5395" i="14"/>
  <c r="M5398" i="13"/>
  <c r="K5210" i="13" l="1"/>
  <c r="L5210" i="13" s="1"/>
  <c r="I5211" i="13" s="1"/>
  <c r="K5232" i="14"/>
  <c r="L5232" i="14" s="1"/>
  <c r="I5233" i="14" s="1"/>
  <c r="M5399" i="13"/>
  <c r="M5400" i="14"/>
  <c r="N5396" i="14"/>
  <c r="J5395" i="14" a="1"/>
  <c r="J5395" i="14" s="1"/>
  <c r="J5396" i="13" a="1"/>
  <c r="J5396" i="13" s="1"/>
  <c r="N5397" i="13"/>
  <c r="K5233" i="14" l="1"/>
  <c r="L5233" i="14" s="1"/>
  <c r="I5234" i="14" s="1"/>
  <c r="K5211" i="13"/>
  <c r="L5211" i="13" s="1"/>
  <c r="I5212" i="13" s="1"/>
  <c r="N5398" i="13"/>
  <c r="J5397" i="13" a="1"/>
  <c r="J5397" i="13" s="1"/>
  <c r="M5401" i="14"/>
  <c r="J5396" i="14" a="1"/>
  <c r="J5396" i="14" s="1"/>
  <c r="N5397" i="14"/>
  <c r="M5400" i="13"/>
  <c r="K5212" i="13" l="1"/>
  <c r="L5212" i="13" s="1"/>
  <c r="I5213" i="13" s="1"/>
  <c r="K5234" i="14"/>
  <c r="L5234" i="14" s="1"/>
  <c r="I5235" i="14" s="1"/>
  <c r="J5397" i="14" a="1"/>
  <c r="J5397" i="14" s="1"/>
  <c r="N5398" i="14"/>
  <c r="M5401" i="13"/>
  <c r="M5402" i="14"/>
  <c r="J5398" i="13" a="1"/>
  <c r="J5398" i="13" s="1"/>
  <c r="N5399" i="13"/>
  <c r="K5235" i="14" l="1"/>
  <c r="L5235" i="14" s="1"/>
  <c r="I5236" i="14" s="1"/>
  <c r="K5213" i="13"/>
  <c r="L5213" i="13" s="1"/>
  <c r="I5214" i="13" s="1"/>
  <c r="N5400" i="13"/>
  <c r="J5399" i="13" a="1"/>
  <c r="J5399" i="13" s="1"/>
  <c r="M5402" i="13"/>
  <c r="N5399" i="14"/>
  <c r="J5398" i="14" a="1"/>
  <c r="J5398" i="14" s="1"/>
  <c r="M5403" i="14"/>
  <c r="K5214" i="13" l="1"/>
  <c r="L5214" i="13" s="1"/>
  <c r="I5215" i="13" s="1"/>
  <c r="K5236" i="14"/>
  <c r="L5236" i="14" s="1"/>
  <c r="I5237" i="14" s="1"/>
  <c r="M5403" i="13"/>
  <c r="M5404" i="14"/>
  <c r="N5400" i="14"/>
  <c r="J5399" i="14" a="1"/>
  <c r="J5399" i="14" s="1"/>
  <c r="J5400" i="13" a="1"/>
  <c r="J5400" i="13" s="1"/>
  <c r="N5401" i="13"/>
  <c r="K5215" i="13" l="1"/>
  <c r="L5215" i="13" s="1"/>
  <c r="I5216" i="13" s="1"/>
  <c r="K5237" i="14"/>
  <c r="L5237" i="14" s="1"/>
  <c r="I5238" i="14" s="1"/>
  <c r="N5402" i="13"/>
  <c r="J5401" i="13" a="1"/>
  <c r="J5401" i="13" s="1"/>
  <c r="M5405" i="14"/>
  <c r="J5400" i="14" a="1"/>
  <c r="J5400" i="14" s="1"/>
  <c r="N5401" i="14"/>
  <c r="M5404" i="13"/>
  <c r="K5238" i="14" l="1"/>
  <c r="L5238" i="14" s="1"/>
  <c r="I5239" i="14" s="1"/>
  <c r="K5216" i="13"/>
  <c r="L5216" i="13" s="1"/>
  <c r="I5217" i="13" s="1"/>
  <c r="J5401" i="14" a="1"/>
  <c r="J5401" i="14" s="1"/>
  <c r="N5402" i="14"/>
  <c r="M5405" i="13"/>
  <c r="M5406" i="14"/>
  <c r="J5402" i="13" a="1"/>
  <c r="J5402" i="13" s="1"/>
  <c r="N5403" i="13"/>
  <c r="K5239" i="14" l="1"/>
  <c r="L5239" i="14" s="1"/>
  <c r="I5240" i="14" s="1"/>
  <c r="N5404" i="13"/>
  <c r="J5403" i="13" a="1"/>
  <c r="J5403" i="13" s="1"/>
  <c r="M5406" i="13"/>
  <c r="K5217" i="13"/>
  <c r="L5217" i="13" s="1"/>
  <c r="I5218" i="13" s="1"/>
  <c r="M5407" i="14"/>
  <c r="J5402" i="14" a="1"/>
  <c r="J5402" i="14" s="1"/>
  <c r="N5403" i="14"/>
  <c r="K5218" i="13" l="1"/>
  <c r="L5218" i="13" s="1"/>
  <c r="I5219" i="13" s="1"/>
  <c r="K5240" i="14"/>
  <c r="L5240" i="14" s="1"/>
  <c r="I5241" i="14" s="1"/>
  <c r="J5404" i="13" a="1"/>
  <c r="J5404" i="13" s="1"/>
  <c r="N5405" i="13"/>
  <c r="N5404" i="14"/>
  <c r="J5403" i="14" a="1"/>
  <c r="J5403" i="14" s="1"/>
  <c r="M5407" i="13"/>
  <c r="M5408" i="14"/>
  <c r="K5241" i="14" l="1"/>
  <c r="L5241" i="14" s="1"/>
  <c r="I5242" i="14" s="1"/>
  <c r="K5219" i="13"/>
  <c r="L5219" i="13" s="1"/>
  <c r="I5220" i="13" s="1"/>
  <c r="M5408" i="13"/>
  <c r="M5409" i="14"/>
  <c r="J5404" i="14" a="1"/>
  <c r="J5404" i="14" s="1"/>
  <c r="N5405" i="14"/>
  <c r="N5406" i="13"/>
  <c r="J5405" i="13" a="1"/>
  <c r="J5405" i="13" s="1"/>
  <c r="K5242" i="14" l="1"/>
  <c r="L5242" i="14" s="1"/>
  <c r="I5243" i="14" s="1"/>
  <c r="K5220" i="13"/>
  <c r="L5220" i="13" s="1"/>
  <c r="I5221" i="13" s="1"/>
  <c r="J5406" i="13" a="1"/>
  <c r="J5406" i="13" s="1"/>
  <c r="N5407" i="13"/>
  <c r="M5410" i="14"/>
  <c r="J5405" i="14" a="1"/>
  <c r="J5405" i="14" s="1"/>
  <c r="N5406" i="14"/>
  <c r="M5409" i="13"/>
  <c r="K5221" i="13" l="1"/>
  <c r="L5221" i="13" s="1"/>
  <c r="I5222" i="13" s="1"/>
  <c r="K5243" i="14"/>
  <c r="L5243" i="14" s="1"/>
  <c r="I5244" i="14" s="1"/>
  <c r="N5407" i="14"/>
  <c r="J5406" i="14" a="1"/>
  <c r="J5406" i="14" s="1"/>
  <c r="M5411" i="14"/>
  <c r="M5410" i="13"/>
  <c r="N5408" i="13"/>
  <c r="J5407" i="13" a="1"/>
  <c r="J5407" i="13" s="1"/>
  <c r="K5222" i="13" l="1"/>
  <c r="L5222" i="13" s="1"/>
  <c r="I5223" i="13" s="1"/>
  <c r="J5408" i="13" a="1"/>
  <c r="J5408" i="13" s="1"/>
  <c r="N5409" i="13"/>
  <c r="K5244" i="14"/>
  <c r="L5244" i="14" s="1"/>
  <c r="I5245" i="14" s="1"/>
  <c r="M5412" i="14"/>
  <c r="M5411" i="13"/>
  <c r="N5408" i="14"/>
  <c r="J5407" i="14" a="1"/>
  <c r="J5407" i="14" s="1"/>
  <c r="K5245" i="14" l="1"/>
  <c r="L5245" i="14" s="1"/>
  <c r="I5246" i="14" s="1"/>
  <c r="K5223" i="13"/>
  <c r="L5223" i="13" s="1"/>
  <c r="I5224" i="13" s="1"/>
  <c r="N5410" i="13"/>
  <c r="J5409" i="13" a="1"/>
  <c r="J5409" i="13" s="1"/>
  <c r="J5408" i="14" a="1"/>
  <c r="J5408" i="14" s="1"/>
  <c r="N5409" i="14"/>
  <c r="M5413" i="14"/>
  <c r="M5412" i="13"/>
  <c r="K5246" i="14" l="1"/>
  <c r="L5246" i="14" s="1"/>
  <c r="I5247" i="14" s="1"/>
  <c r="M5413" i="13"/>
  <c r="J5409" i="14" a="1"/>
  <c r="J5409" i="14" s="1"/>
  <c r="N5410" i="14"/>
  <c r="K5224" i="13"/>
  <c r="L5224" i="13" s="1"/>
  <c r="I5225" i="13" s="1"/>
  <c r="M5414" i="14"/>
  <c r="J5410" i="13" a="1"/>
  <c r="J5410" i="13" s="1"/>
  <c r="N5411" i="13"/>
  <c r="K5247" i="14" l="1"/>
  <c r="L5247" i="14" s="1"/>
  <c r="I5248" i="14" s="1"/>
  <c r="N5412" i="13"/>
  <c r="J5411" i="13" a="1"/>
  <c r="J5411" i="13" s="1"/>
  <c r="M5414" i="13"/>
  <c r="K5225" i="13"/>
  <c r="L5225" i="13" s="1"/>
  <c r="I5226" i="13" s="1"/>
  <c r="M5415" i="14"/>
  <c r="J5410" i="14" a="1"/>
  <c r="J5410" i="14" s="1"/>
  <c r="N5411" i="14"/>
  <c r="K5226" i="13" l="1"/>
  <c r="L5226" i="13" s="1"/>
  <c r="I5227" i="13" s="1"/>
  <c r="K5248" i="14"/>
  <c r="L5248" i="14" s="1"/>
  <c r="I5249" i="14" s="1"/>
  <c r="N5412" i="14"/>
  <c r="J5411" i="14" a="1"/>
  <c r="J5411" i="14" s="1"/>
  <c r="J5412" i="13" a="1"/>
  <c r="J5412" i="13" s="1"/>
  <c r="N5413" i="13"/>
  <c r="M5415" i="13"/>
  <c r="M5416" i="14"/>
  <c r="K5249" i="14" l="1"/>
  <c r="L5249" i="14" s="1"/>
  <c r="I5250" i="14" s="1"/>
  <c r="K5227" i="13"/>
  <c r="L5227" i="13" s="1"/>
  <c r="I5228" i="13" s="1"/>
  <c r="N5414" i="13"/>
  <c r="J5413" i="13" a="1"/>
  <c r="J5413" i="13" s="1"/>
  <c r="M5417" i="14"/>
  <c r="M5416" i="13"/>
  <c r="J5412" i="14" a="1"/>
  <c r="J5412" i="14" s="1"/>
  <c r="N5413" i="14"/>
  <c r="K5250" i="14" l="1"/>
  <c r="L5250" i="14" s="1"/>
  <c r="I5251" i="14" s="1"/>
  <c r="J5413" i="14" a="1"/>
  <c r="J5413" i="14" s="1"/>
  <c r="N5414" i="14"/>
  <c r="K5228" i="13"/>
  <c r="L5228" i="13" s="1"/>
  <c r="I5229" i="13" s="1"/>
  <c r="M5418" i="14"/>
  <c r="M5417" i="13"/>
  <c r="J5414" i="13" a="1"/>
  <c r="J5414" i="13" s="1"/>
  <c r="N5415" i="13"/>
  <c r="K5229" i="13" l="1"/>
  <c r="L5229" i="13" s="1"/>
  <c r="I5230" i="13" s="1"/>
  <c r="K5251" i="14"/>
  <c r="L5251" i="14" s="1"/>
  <c r="I5252" i="14" s="1"/>
  <c r="N5416" i="13"/>
  <c r="J5415" i="13" a="1"/>
  <c r="J5415" i="13" s="1"/>
  <c r="M5419" i="14"/>
  <c r="N5415" i="14"/>
  <c r="J5414" i="14" a="1"/>
  <c r="J5414" i="14" s="1"/>
  <c r="M5418" i="13"/>
  <c r="K5252" i="14" l="1"/>
  <c r="L5252" i="14" s="1"/>
  <c r="I5253" i="14" s="1"/>
  <c r="K5230" i="13"/>
  <c r="L5230" i="13" s="1"/>
  <c r="I5231" i="13" s="1"/>
  <c r="M5419" i="13"/>
  <c r="M5420" i="14"/>
  <c r="N5416" i="14"/>
  <c r="J5415" i="14" a="1"/>
  <c r="J5415" i="14" s="1"/>
  <c r="J5416" i="13" a="1"/>
  <c r="J5416" i="13" s="1"/>
  <c r="N5417" i="13"/>
  <c r="K5231" i="13" l="1"/>
  <c r="L5231" i="13" s="1"/>
  <c r="I5232" i="13" s="1"/>
  <c r="K5253" i="14"/>
  <c r="L5253" i="14" s="1"/>
  <c r="I5254" i="14" s="1"/>
  <c r="J5416" i="14" a="1"/>
  <c r="J5416" i="14" s="1"/>
  <c r="N5417" i="14"/>
  <c r="M5421" i="14"/>
  <c r="N5418" i="13"/>
  <c r="J5417" i="13" a="1"/>
  <c r="J5417" i="13" s="1"/>
  <c r="M5420" i="13"/>
  <c r="K5232" i="13" l="1"/>
  <c r="L5232" i="13" s="1"/>
  <c r="I5233" i="13" s="1"/>
  <c r="J5418" i="13" a="1"/>
  <c r="J5418" i="13" s="1"/>
  <c r="N5419" i="13"/>
  <c r="M5421" i="13"/>
  <c r="M5422" i="14"/>
  <c r="K5254" i="14"/>
  <c r="L5254" i="14" s="1"/>
  <c r="I5255" i="14" s="1"/>
  <c r="J5417" i="14" a="1"/>
  <c r="J5417" i="14" s="1"/>
  <c r="N5418" i="14"/>
  <c r="K5255" i="14" l="1"/>
  <c r="L5255" i="14" s="1"/>
  <c r="I5256" i="14" s="1"/>
  <c r="K5233" i="13"/>
  <c r="L5233" i="13" s="1"/>
  <c r="I5234" i="13" s="1"/>
  <c r="N5419" i="14"/>
  <c r="J5418" i="14" a="1"/>
  <c r="J5418" i="14" s="1"/>
  <c r="M5423" i="14"/>
  <c r="N5420" i="13"/>
  <c r="J5419" i="13" a="1"/>
  <c r="J5419" i="13" s="1"/>
  <c r="M5422" i="13"/>
  <c r="K5234" i="13" l="1"/>
  <c r="L5234" i="13" s="1"/>
  <c r="I5235" i="13" s="1"/>
  <c r="K5256" i="14"/>
  <c r="L5256" i="14" s="1"/>
  <c r="I5257" i="14" s="1"/>
  <c r="M5423" i="13"/>
  <c r="M5424" i="14"/>
  <c r="J5420" i="13" a="1"/>
  <c r="J5420" i="13" s="1"/>
  <c r="N5421" i="13"/>
  <c r="N5420" i="14"/>
  <c r="J5419" i="14" a="1"/>
  <c r="J5419" i="14" s="1"/>
  <c r="K5235" i="13" l="1"/>
  <c r="L5235" i="13" s="1"/>
  <c r="I5236" i="13" s="1"/>
  <c r="M5425" i="14"/>
  <c r="J5420" i="14" a="1"/>
  <c r="J5420" i="14" s="1"/>
  <c r="N5421" i="14"/>
  <c r="K5257" i="14"/>
  <c r="L5257" i="14" s="1"/>
  <c r="I5258" i="14" s="1"/>
  <c r="N5422" i="13"/>
  <c r="J5421" i="13" a="1"/>
  <c r="J5421" i="13" s="1"/>
  <c r="M5424" i="13"/>
  <c r="K5258" i="14" l="1"/>
  <c r="L5258" i="14" s="1"/>
  <c r="I5259" i="14" s="1"/>
  <c r="K5236" i="13"/>
  <c r="L5236" i="13" s="1"/>
  <c r="I5237" i="13" s="1"/>
  <c r="M5426" i="14"/>
  <c r="M5425" i="13"/>
  <c r="N5422" i="14"/>
  <c r="J5421" i="14" a="1"/>
  <c r="J5421" i="14" s="1"/>
  <c r="J5422" i="13" a="1"/>
  <c r="J5422" i="13" s="1"/>
  <c r="N5423" i="13"/>
  <c r="K5237" i="13" l="1"/>
  <c r="L5237" i="13" s="1"/>
  <c r="I5238" i="13" s="1"/>
  <c r="K5259" i="14"/>
  <c r="L5259" i="14" s="1"/>
  <c r="I5260" i="14" s="1"/>
  <c r="N5424" i="13"/>
  <c r="J5423" i="13" a="1"/>
  <c r="J5423" i="13" s="1"/>
  <c r="M5426" i="13"/>
  <c r="M5427" i="14"/>
  <c r="N5423" i="14"/>
  <c r="J5422" i="14" a="1"/>
  <c r="J5422" i="14" s="1"/>
  <c r="K5238" i="13" l="1"/>
  <c r="L5238" i="13" s="1"/>
  <c r="I5239" i="13" s="1"/>
  <c r="M5427" i="13"/>
  <c r="N5424" i="14"/>
  <c r="J5423" i="14" a="1"/>
  <c r="J5423" i="14" s="1"/>
  <c r="K5260" i="14"/>
  <c r="L5260" i="14" s="1"/>
  <c r="I5261" i="14" s="1"/>
  <c r="M5428" i="14"/>
  <c r="J5424" i="13" a="1"/>
  <c r="J5424" i="13" s="1"/>
  <c r="N5425" i="13"/>
  <c r="K5239" i="13" l="1"/>
  <c r="L5239" i="13" s="1"/>
  <c r="I5240" i="13" s="1"/>
  <c r="N5426" i="13"/>
  <c r="J5425" i="13" a="1"/>
  <c r="J5425" i="13" s="1"/>
  <c r="K5261" i="14"/>
  <c r="L5261" i="14" s="1"/>
  <c r="I5262" i="14" s="1"/>
  <c r="M5428" i="13"/>
  <c r="M5429" i="14"/>
  <c r="J5424" i="14" a="1"/>
  <c r="J5424" i="14" s="1"/>
  <c r="N5425" i="14"/>
  <c r="K5262" i="14" l="1"/>
  <c r="L5262" i="14" s="1"/>
  <c r="I5263" i="14" s="1"/>
  <c r="K5240" i="13"/>
  <c r="L5240" i="13" s="1"/>
  <c r="I5241" i="13" s="1"/>
  <c r="N5426" i="14"/>
  <c r="J5425" i="14" a="1"/>
  <c r="J5425" i="14" s="1"/>
  <c r="M5429" i="13"/>
  <c r="J5426" i="13" a="1"/>
  <c r="J5426" i="13" s="1"/>
  <c r="N5427" i="13"/>
  <c r="M5430" i="14"/>
  <c r="K5263" i="14" l="1"/>
  <c r="L5263" i="14" s="1"/>
  <c r="I5264" i="14" s="1"/>
  <c r="K5241" i="13"/>
  <c r="L5241" i="13" s="1"/>
  <c r="I5242" i="13" s="1"/>
  <c r="M5431" i="14"/>
  <c r="N5428" i="13"/>
  <c r="J5427" i="13" a="1"/>
  <c r="J5427" i="13" s="1"/>
  <c r="M5430" i="13"/>
  <c r="N5427" i="14"/>
  <c r="J5426" i="14" a="1"/>
  <c r="J5426" i="14" s="1"/>
  <c r="K5242" i="13" l="1"/>
  <c r="L5242" i="13" s="1"/>
  <c r="I5243" i="13" s="1"/>
  <c r="K5264" i="14"/>
  <c r="L5264" i="14" s="1"/>
  <c r="I5265" i="14" s="1"/>
  <c r="J5428" i="13" a="1"/>
  <c r="J5428" i="13" s="1"/>
  <c r="N5429" i="13"/>
  <c r="N5428" i="14"/>
  <c r="J5427" i="14" a="1"/>
  <c r="J5427" i="14" s="1"/>
  <c r="M5431" i="13"/>
  <c r="M5432" i="14"/>
  <c r="K5243" i="13" l="1"/>
  <c r="L5243" i="13" s="1"/>
  <c r="I5244" i="13" s="1"/>
  <c r="J5428" i="14" a="1"/>
  <c r="J5428" i="14" s="1"/>
  <c r="N5429" i="14"/>
  <c r="M5432" i="13"/>
  <c r="M5433" i="14"/>
  <c r="K5265" i="14"/>
  <c r="L5265" i="14" s="1"/>
  <c r="I5266" i="14" s="1"/>
  <c r="N5430" i="13"/>
  <c r="J5429" i="13" a="1"/>
  <c r="J5429" i="13" s="1"/>
  <c r="K5266" i="14" l="1"/>
  <c r="L5266" i="14" s="1"/>
  <c r="I5267" i="14" s="1"/>
  <c r="K5244" i="13"/>
  <c r="L5244" i="13" s="1"/>
  <c r="I5245" i="13" s="1"/>
  <c r="N5430" i="14"/>
  <c r="J5429" i="14" a="1"/>
  <c r="J5429" i="14" s="1"/>
  <c r="M5434" i="14"/>
  <c r="J5430" i="13" a="1"/>
  <c r="J5430" i="13" s="1"/>
  <c r="N5431" i="13"/>
  <c r="M5433" i="13"/>
  <c r="K5267" i="14" l="1"/>
  <c r="L5267" i="14" s="1"/>
  <c r="I5268" i="14" s="1"/>
  <c r="M5434" i="13"/>
  <c r="M5435" i="14"/>
  <c r="K5245" i="13"/>
  <c r="L5245" i="13" s="1"/>
  <c r="I5246" i="13" s="1"/>
  <c r="N5432" i="13"/>
  <c r="J5431" i="13" a="1"/>
  <c r="J5431" i="13" s="1"/>
  <c r="N5431" i="14"/>
  <c r="J5430" i="14" a="1"/>
  <c r="J5430" i="14" s="1"/>
  <c r="K5268" i="14" l="1"/>
  <c r="L5268" i="14" s="1"/>
  <c r="I5269" i="14" s="1"/>
  <c r="M5435" i="13"/>
  <c r="N5432" i="14"/>
  <c r="J5431" i="14" a="1"/>
  <c r="J5431" i="14" s="1"/>
  <c r="K5246" i="13"/>
  <c r="L5246" i="13" s="1"/>
  <c r="I5247" i="13" s="1"/>
  <c r="J5432" i="13" a="1"/>
  <c r="J5432" i="13" s="1"/>
  <c r="N5433" i="13"/>
  <c r="M5436" i="14"/>
  <c r="K5269" i="14" l="1"/>
  <c r="L5269" i="14" s="1"/>
  <c r="I5270" i="14" s="1"/>
  <c r="N5434" i="13"/>
  <c r="J5433" i="13" a="1"/>
  <c r="J5433" i="13" s="1"/>
  <c r="M5437" i="14"/>
  <c r="K5247" i="13"/>
  <c r="L5247" i="13" s="1"/>
  <c r="I5248" i="13" s="1"/>
  <c r="M5436" i="13"/>
  <c r="J5432" i="14" a="1"/>
  <c r="J5432" i="14" s="1"/>
  <c r="N5433" i="14"/>
  <c r="K5248" i="13" l="1"/>
  <c r="L5248" i="13" s="1"/>
  <c r="I5249" i="13" s="1"/>
  <c r="K5270" i="14"/>
  <c r="L5270" i="14" s="1"/>
  <c r="I5271" i="14" s="1"/>
  <c r="N5434" i="14"/>
  <c r="J5433" i="14" a="1"/>
  <c r="J5433" i="14" s="1"/>
  <c r="J5434" i="13" a="1"/>
  <c r="J5434" i="13" s="1"/>
  <c r="N5435" i="13"/>
  <c r="M5437" i="13"/>
  <c r="M5438" i="14"/>
  <c r="K5249" i="13" l="1"/>
  <c r="L5249" i="13" s="1"/>
  <c r="I5250" i="13" s="1"/>
  <c r="K5271" i="14"/>
  <c r="L5271" i="14" s="1"/>
  <c r="I5272" i="14" s="1"/>
  <c r="M5438" i="13"/>
  <c r="M5439" i="14"/>
  <c r="N5436" i="13"/>
  <c r="J5435" i="13" a="1"/>
  <c r="J5435" i="13" s="1"/>
  <c r="N5435" i="14"/>
  <c r="J5434" i="14" a="1"/>
  <c r="J5434" i="14" s="1"/>
  <c r="K5250" i="13" l="1"/>
  <c r="L5250" i="13" s="1"/>
  <c r="I5251" i="13" s="1"/>
  <c r="N5436" i="14"/>
  <c r="J5435" i="14" a="1"/>
  <c r="J5435" i="14" s="1"/>
  <c r="M5440" i="14"/>
  <c r="K5272" i="14"/>
  <c r="L5272" i="14" s="1"/>
  <c r="I5273" i="14" s="1"/>
  <c r="M5439" i="13"/>
  <c r="J5436" i="13" a="1"/>
  <c r="J5436" i="13" s="1"/>
  <c r="N5437" i="13"/>
  <c r="K5273" i="14" l="1"/>
  <c r="L5273" i="14" s="1"/>
  <c r="I5274" i="14" s="1"/>
  <c r="K5251" i="13"/>
  <c r="L5251" i="13" s="1"/>
  <c r="I5252" i="13" s="1"/>
  <c r="N5438" i="13"/>
  <c r="J5437" i="13" a="1"/>
  <c r="J5437" i="13" s="1"/>
  <c r="J5436" i="14" a="1"/>
  <c r="J5436" i="14" s="1"/>
  <c r="N5437" i="14"/>
  <c r="M5441" i="14"/>
  <c r="M5440" i="13"/>
  <c r="K5274" i="14" l="1"/>
  <c r="L5274" i="14" s="1"/>
  <c r="I5275" i="14" s="1"/>
  <c r="M5441" i="13"/>
  <c r="N5438" i="14"/>
  <c r="J5437" i="14" a="1"/>
  <c r="J5437" i="14" s="1"/>
  <c r="K5252" i="13"/>
  <c r="L5252" i="13" s="1"/>
  <c r="I5253" i="13" s="1"/>
  <c r="M5442" i="14"/>
  <c r="J5438" i="13" a="1"/>
  <c r="J5438" i="13" s="1"/>
  <c r="N5439" i="13"/>
  <c r="K5275" i="14" l="1"/>
  <c r="L5275" i="14" s="1"/>
  <c r="I5276" i="14" s="1"/>
  <c r="N5440" i="13"/>
  <c r="J5439" i="13" a="1"/>
  <c r="J5439" i="13" s="1"/>
  <c r="K5253" i="13"/>
  <c r="L5253" i="13" s="1"/>
  <c r="I5254" i="13" s="1"/>
  <c r="M5442" i="13"/>
  <c r="M5443" i="14"/>
  <c r="N5439" i="14"/>
  <c r="J5438" i="14" a="1"/>
  <c r="J5438" i="14" s="1"/>
  <c r="K5254" i="13" l="1"/>
  <c r="L5254" i="13" s="1"/>
  <c r="I5255" i="13" s="1"/>
  <c r="K5276" i="14"/>
  <c r="L5276" i="14" s="1"/>
  <c r="I5277" i="14" s="1"/>
  <c r="J5440" i="13" a="1"/>
  <c r="J5440" i="13" s="1"/>
  <c r="N5441" i="13"/>
  <c r="N5440" i="14"/>
  <c r="J5439" i="14" a="1"/>
  <c r="J5439" i="14" s="1"/>
  <c r="M5443" i="13"/>
  <c r="M5444" i="14"/>
  <c r="K5277" i="14" l="1"/>
  <c r="L5277" i="14" s="1"/>
  <c r="I5278" i="14" s="1"/>
  <c r="K5255" i="13"/>
  <c r="L5255" i="13" s="1"/>
  <c r="I5256" i="13" s="1"/>
  <c r="J5440" i="14" a="1"/>
  <c r="J5440" i="14" s="1"/>
  <c r="N5441" i="14"/>
  <c r="N5442" i="13"/>
  <c r="J5441" i="13" a="1"/>
  <c r="J5441" i="13" s="1"/>
  <c r="M5445" i="14"/>
  <c r="M5444" i="13"/>
  <c r="K5278" i="14" l="1"/>
  <c r="L5278" i="14" s="1"/>
  <c r="I5279" i="14" s="1"/>
  <c r="K5256" i="13"/>
  <c r="L5256" i="13" s="1"/>
  <c r="I5257" i="13" s="1"/>
  <c r="M5446" i="14"/>
  <c r="M5445" i="13"/>
  <c r="J5442" i="13" a="1"/>
  <c r="J5442" i="13" s="1"/>
  <c r="N5443" i="13"/>
  <c r="N5442" i="14"/>
  <c r="J5441" i="14" a="1"/>
  <c r="J5441" i="14" s="1"/>
  <c r="K5257" i="13" l="1"/>
  <c r="L5257" i="13" s="1"/>
  <c r="I5258" i="13" s="1"/>
  <c r="K5279" i="14"/>
  <c r="L5279" i="14" s="1"/>
  <c r="I5280" i="14" s="1"/>
  <c r="N5443" i="14"/>
  <c r="J5442" i="14" a="1"/>
  <c r="J5442" i="14" s="1"/>
  <c r="M5446" i="13"/>
  <c r="N5444" i="13"/>
  <c r="J5443" i="13" a="1"/>
  <c r="J5443" i="13" s="1"/>
  <c r="M5447" i="14"/>
  <c r="K5258" i="13" l="1"/>
  <c r="L5258" i="13" s="1"/>
  <c r="I5259" i="13" s="1"/>
  <c r="K5280" i="14"/>
  <c r="L5280" i="14" s="1"/>
  <c r="I5281" i="14" s="1"/>
  <c r="M5447" i="13"/>
  <c r="M5448" i="14"/>
  <c r="J5444" i="13" a="1"/>
  <c r="J5444" i="13" s="1"/>
  <c r="N5445" i="13"/>
  <c r="N5444" i="14"/>
  <c r="J5443" i="14" a="1"/>
  <c r="J5443" i="14" s="1"/>
  <c r="K5281" i="14" l="1"/>
  <c r="L5281" i="14" s="1"/>
  <c r="I5282" i="14" s="1"/>
  <c r="K5259" i="13"/>
  <c r="L5259" i="13" s="1"/>
  <c r="I5260" i="13" s="1"/>
  <c r="J5444" i="14" a="1"/>
  <c r="J5444" i="14" s="1"/>
  <c r="N5445" i="14"/>
  <c r="M5449" i="14"/>
  <c r="N5446" i="13"/>
  <c r="J5445" i="13" a="1"/>
  <c r="J5445" i="13" s="1"/>
  <c r="M5448" i="13"/>
  <c r="K5282" i="14" l="1"/>
  <c r="L5282" i="14" s="1"/>
  <c r="I5283" i="14" s="1"/>
  <c r="J5446" i="13" a="1"/>
  <c r="J5446" i="13" s="1"/>
  <c r="N5447" i="13"/>
  <c r="M5449" i="13"/>
  <c r="M5450" i="14"/>
  <c r="K5260" i="13"/>
  <c r="L5260" i="13" s="1"/>
  <c r="I5261" i="13" s="1"/>
  <c r="N5446" i="14"/>
  <c r="J5445" i="14" a="1"/>
  <c r="J5445" i="14" s="1"/>
  <c r="K5261" i="13" l="1"/>
  <c r="L5261" i="13" s="1"/>
  <c r="I5262" i="13" s="1"/>
  <c r="K5283" i="14"/>
  <c r="L5283" i="14" s="1"/>
  <c r="I5284" i="14" s="1"/>
  <c r="M5451" i="14"/>
  <c r="N5448" i="13"/>
  <c r="J5447" i="13" a="1"/>
  <c r="J5447" i="13" s="1"/>
  <c r="N5447" i="14"/>
  <c r="J5446" i="14" a="1"/>
  <c r="J5446" i="14" s="1"/>
  <c r="M5450" i="13"/>
  <c r="K5262" i="13" l="1"/>
  <c r="L5262" i="13" s="1"/>
  <c r="I5263" i="13" s="1"/>
  <c r="J5448" i="13" a="1"/>
  <c r="J5448" i="13" s="1"/>
  <c r="N5449" i="13"/>
  <c r="M5451" i="13"/>
  <c r="K5284" i="14"/>
  <c r="L5284" i="14" s="1"/>
  <c r="I5285" i="14" s="1"/>
  <c r="N5448" i="14"/>
  <c r="J5447" i="14" a="1"/>
  <c r="J5447" i="14" s="1"/>
  <c r="M5452" i="14"/>
  <c r="K5285" i="14" l="1"/>
  <c r="L5285" i="14" s="1"/>
  <c r="I5286" i="14" s="1"/>
  <c r="K5263" i="13"/>
  <c r="L5263" i="13" s="1"/>
  <c r="I5264" i="13" s="1"/>
  <c r="N5450" i="13"/>
  <c r="J5449" i="13" a="1"/>
  <c r="J5449" i="13" s="1"/>
  <c r="M5453" i="14"/>
  <c r="J5448" i="14" a="1"/>
  <c r="J5448" i="14" s="1"/>
  <c r="N5449" i="14"/>
  <c r="M5452" i="13"/>
  <c r="K5264" i="13" l="1"/>
  <c r="L5264" i="13" s="1"/>
  <c r="I5265" i="13" s="1"/>
  <c r="K5286" i="14"/>
  <c r="L5286" i="14" s="1"/>
  <c r="I5287" i="14" s="1"/>
  <c r="N5450" i="14"/>
  <c r="J5449" i="14" a="1"/>
  <c r="J5449" i="14" s="1"/>
  <c r="M5454" i="14"/>
  <c r="M5453" i="13"/>
  <c r="J5450" i="13" a="1"/>
  <c r="J5450" i="13" s="1"/>
  <c r="N5451" i="13"/>
  <c r="K5287" i="14" l="1"/>
  <c r="L5287" i="14" s="1"/>
  <c r="I5288" i="14" s="1"/>
  <c r="N5452" i="13"/>
  <c r="J5451" i="13" a="1"/>
  <c r="J5451" i="13" s="1"/>
  <c r="M5455" i="14"/>
  <c r="M5454" i="13"/>
  <c r="N5451" i="14"/>
  <c r="J5450" i="14" a="1"/>
  <c r="J5450" i="14" s="1"/>
  <c r="K5265" i="13"/>
  <c r="L5265" i="13" s="1"/>
  <c r="I5266" i="13" s="1"/>
  <c r="K5266" i="13" l="1"/>
  <c r="L5266" i="13" s="1"/>
  <c r="I5267" i="13" s="1"/>
  <c r="K5288" i="14"/>
  <c r="L5288" i="14" s="1"/>
  <c r="I5289" i="14" s="1"/>
  <c r="M5455" i="13"/>
  <c r="J5452" i="13" a="1"/>
  <c r="J5452" i="13" s="1"/>
  <c r="N5453" i="13"/>
  <c r="N5452" i="14"/>
  <c r="J5451" i="14" a="1"/>
  <c r="J5451" i="14" s="1"/>
  <c r="M5456" i="14"/>
  <c r="K5267" i="13" l="1"/>
  <c r="L5267" i="13" s="1"/>
  <c r="I5268" i="13" s="1"/>
  <c r="M5457" i="14"/>
  <c r="N5454" i="13"/>
  <c r="J5453" i="13" a="1"/>
  <c r="J5453" i="13" s="1"/>
  <c r="K5289" i="14"/>
  <c r="L5289" i="14" s="1"/>
  <c r="I5290" i="14" s="1"/>
  <c r="J5452" i="14" a="1"/>
  <c r="J5452" i="14" s="1"/>
  <c r="N5453" i="14"/>
  <c r="M5456" i="13"/>
  <c r="K5268" i="13" l="1"/>
  <c r="L5268" i="13" s="1"/>
  <c r="I5269" i="13" s="1"/>
  <c r="M5457" i="13"/>
  <c r="M5458" i="14"/>
  <c r="N5454" i="14"/>
  <c r="J5453" i="14" a="1"/>
  <c r="J5453" i="14" s="1"/>
  <c r="K5290" i="14"/>
  <c r="L5290" i="14" s="1"/>
  <c r="I5291" i="14" s="1"/>
  <c r="J5454" i="13" a="1"/>
  <c r="J5454" i="13" s="1"/>
  <c r="N5455" i="13"/>
  <c r="K5291" i="14" l="1"/>
  <c r="L5291" i="14" s="1"/>
  <c r="I5292" i="14" s="1"/>
  <c r="K5269" i="13"/>
  <c r="L5269" i="13" s="1"/>
  <c r="I5270" i="13" s="1"/>
  <c r="J5454" i="14" a="1"/>
  <c r="J5454" i="14" s="1"/>
  <c r="N5455" i="14"/>
  <c r="M5458" i="13"/>
  <c r="N5456" i="13"/>
  <c r="J5455" i="13" a="1"/>
  <c r="J5455" i="13" s="1"/>
  <c r="M5459" i="14"/>
  <c r="K5292" i="14" l="1"/>
  <c r="L5292" i="14" s="1"/>
  <c r="I5293" i="14" s="1"/>
  <c r="N5456" i="14"/>
  <c r="J5455" i="14" a="1"/>
  <c r="J5455" i="14" s="1"/>
  <c r="M5459" i="13"/>
  <c r="M5460" i="14"/>
  <c r="K5270" i="13"/>
  <c r="L5270" i="13" s="1"/>
  <c r="I5271" i="13" s="1"/>
  <c r="J5456" i="13" a="1"/>
  <c r="J5456" i="13" s="1"/>
  <c r="N5457" i="13"/>
  <c r="K5271" i="13" l="1"/>
  <c r="L5271" i="13" s="1"/>
  <c r="I5272" i="13" s="1"/>
  <c r="K5293" i="14"/>
  <c r="L5293" i="14" s="1"/>
  <c r="I5294" i="14" s="1"/>
  <c r="J5456" i="14" a="1"/>
  <c r="J5456" i="14" s="1"/>
  <c r="N5457" i="14"/>
  <c r="M5461" i="14"/>
  <c r="N5458" i="13"/>
  <c r="J5457" i="13" a="1"/>
  <c r="J5457" i="13" s="1"/>
  <c r="M5460" i="13"/>
  <c r="K5294" i="14" l="1"/>
  <c r="L5294" i="14" s="1"/>
  <c r="I5295" i="14" s="1"/>
  <c r="K5272" i="13"/>
  <c r="L5272" i="13" s="1"/>
  <c r="I5273" i="13" s="1"/>
  <c r="J5458" i="13" a="1"/>
  <c r="J5458" i="13" s="1"/>
  <c r="N5459" i="13"/>
  <c r="M5461" i="13"/>
  <c r="M5462" i="14"/>
  <c r="J5457" i="14" a="1"/>
  <c r="J5457" i="14" s="1"/>
  <c r="N5458" i="14"/>
  <c r="K5295" i="14" l="1"/>
  <c r="L5295" i="14" s="1"/>
  <c r="I5296" i="14" s="1"/>
  <c r="M5463" i="14"/>
  <c r="J5458" i="14" a="1"/>
  <c r="J5458" i="14" s="1"/>
  <c r="N5459" i="14"/>
  <c r="M5462" i="13"/>
  <c r="K5273" i="13"/>
  <c r="L5273" i="13" s="1"/>
  <c r="I5274" i="13" s="1"/>
  <c r="N5460" i="13"/>
  <c r="J5459" i="13" a="1"/>
  <c r="J5459" i="13" s="1"/>
  <c r="K5274" i="13" l="1"/>
  <c r="L5274" i="13" s="1"/>
  <c r="I5275" i="13" s="1"/>
  <c r="K5296" i="14"/>
  <c r="L5296" i="14" s="1"/>
  <c r="I5297" i="14" s="1"/>
  <c r="N5460" i="14"/>
  <c r="J5459" i="14" a="1"/>
  <c r="J5459" i="14" s="1"/>
  <c r="M5463" i="13"/>
  <c r="J5460" i="13" a="1"/>
  <c r="J5460" i="13" s="1"/>
  <c r="N5461" i="13"/>
  <c r="M5464" i="14"/>
  <c r="K5275" i="13" l="1"/>
  <c r="L5275" i="13" s="1"/>
  <c r="I5276" i="13" s="1"/>
  <c r="K5297" i="14"/>
  <c r="L5297" i="14" s="1"/>
  <c r="I5298" i="14" s="1"/>
  <c r="N5462" i="13"/>
  <c r="J5461" i="13" a="1"/>
  <c r="J5461" i="13" s="1"/>
  <c r="M5465" i="14"/>
  <c r="M5464" i="13"/>
  <c r="J5460" i="14" a="1"/>
  <c r="J5460" i="14" s="1"/>
  <c r="N5461" i="14"/>
  <c r="K5298" i="14" l="1"/>
  <c r="L5298" i="14" s="1"/>
  <c r="I5299" i="14" s="1"/>
  <c r="K5276" i="13"/>
  <c r="L5276" i="13" s="1"/>
  <c r="I5277" i="13" s="1"/>
  <c r="J5461" i="14" a="1"/>
  <c r="J5461" i="14" s="1"/>
  <c r="N5462" i="14"/>
  <c r="M5466" i="14"/>
  <c r="M5465" i="13"/>
  <c r="J5462" i="13" a="1"/>
  <c r="J5462" i="13" s="1"/>
  <c r="N5463" i="13"/>
  <c r="K5299" i="14" l="1"/>
  <c r="L5299" i="14" s="1"/>
  <c r="I5300" i="14" s="1"/>
  <c r="N5464" i="13"/>
  <c r="J5463" i="13" a="1"/>
  <c r="J5463" i="13" s="1"/>
  <c r="M5467" i="14"/>
  <c r="K5277" i="13"/>
  <c r="L5277" i="13" s="1"/>
  <c r="I5278" i="13" s="1"/>
  <c r="N5463" i="14"/>
  <c r="J5462" i="14" a="1"/>
  <c r="J5462" i="14" s="1"/>
  <c r="M5466" i="13"/>
  <c r="K5278" i="13" l="1"/>
  <c r="L5278" i="13" s="1"/>
  <c r="I5279" i="13" s="1"/>
  <c r="K5300" i="14"/>
  <c r="L5300" i="14" s="1"/>
  <c r="I5301" i="14" s="1"/>
  <c r="M5467" i="13"/>
  <c r="J5464" i="13" a="1"/>
  <c r="J5464" i="13" s="1"/>
  <c r="N5465" i="13"/>
  <c r="N5464" i="14"/>
  <c r="J5463" i="14" a="1"/>
  <c r="J5463" i="14" s="1"/>
  <c r="M5468" i="14"/>
  <c r="K5279" i="13" l="1"/>
  <c r="L5279" i="13" s="1"/>
  <c r="I5280" i="13" s="1"/>
  <c r="N5466" i="13"/>
  <c r="J5465" i="13" a="1"/>
  <c r="J5465" i="13" s="1"/>
  <c r="K5301" i="14"/>
  <c r="L5301" i="14" s="1"/>
  <c r="I5302" i="14" s="1"/>
  <c r="M5469" i="14"/>
  <c r="J5464" i="14" a="1"/>
  <c r="J5464" i="14" s="1"/>
  <c r="N5465" i="14"/>
  <c r="M5468" i="13"/>
  <c r="K5302" i="14" l="1"/>
  <c r="L5302" i="14" s="1"/>
  <c r="I5303" i="14" s="1"/>
  <c r="K5280" i="13"/>
  <c r="L5280" i="13" s="1"/>
  <c r="I5281" i="13" s="1"/>
  <c r="N5466" i="14"/>
  <c r="J5465" i="14" a="1"/>
  <c r="J5465" i="14" s="1"/>
  <c r="M5469" i="13"/>
  <c r="M5470" i="14"/>
  <c r="J5466" i="13" a="1"/>
  <c r="J5466" i="13" s="1"/>
  <c r="N5467" i="13"/>
  <c r="K5281" i="13" l="1"/>
  <c r="L5281" i="13" s="1"/>
  <c r="I5282" i="13" s="1"/>
  <c r="K5303" i="14"/>
  <c r="L5303" i="14" s="1"/>
  <c r="I5304" i="14" s="1"/>
  <c r="N5468" i="13"/>
  <c r="J5467" i="13" a="1"/>
  <c r="J5467" i="13" s="1"/>
  <c r="M5470" i="13"/>
  <c r="M5471" i="14"/>
  <c r="N5467" i="14"/>
  <c r="J5466" i="14" a="1"/>
  <c r="J5466" i="14" s="1"/>
  <c r="K5282" i="13" l="1"/>
  <c r="L5282" i="13" s="1"/>
  <c r="I5283" i="13" s="1"/>
  <c r="M5471" i="13"/>
  <c r="K5304" i="14"/>
  <c r="L5304" i="14" s="1"/>
  <c r="I5305" i="14" s="1"/>
  <c r="N5468" i="14"/>
  <c r="J5467" i="14" a="1"/>
  <c r="J5467" i="14" s="1"/>
  <c r="M5472" i="14"/>
  <c r="J5468" i="13" a="1"/>
  <c r="J5468" i="13" s="1"/>
  <c r="N5469" i="13"/>
  <c r="K5305" i="14" l="1"/>
  <c r="L5305" i="14" s="1"/>
  <c r="I5306" i="14" s="1"/>
  <c r="K5283" i="13"/>
  <c r="L5283" i="13" s="1"/>
  <c r="I5284" i="13" s="1"/>
  <c r="J5468" i="14" a="1"/>
  <c r="J5468" i="14" s="1"/>
  <c r="N5469" i="14"/>
  <c r="M5472" i="13"/>
  <c r="N5470" i="13"/>
  <c r="J5469" i="13" a="1"/>
  <c r="J5469" i="13" s="1"/>
  <c r="M5473" i="14"/>
  <c r="K5284" i="13" l="1"/>
  <c r="L5284" i="13" s="1"/>
  <c r="I5285" i="13" s="1"/>
  <c r="K5306" i="14"/>
  <c r="L5306" i="14" s="1"/>
  <c r="I5307" i="14" s="1"/>
  <c r="N5470" i="14"/>
  <c r="J5469" i="14" a="1"/>
  <c r="J5469" i="14" s="1"/>
  <c r="M5474" i="14"/>
  <c r="M5473" i="13"/>
  <c r="J5470" i="13" a="1"/>
  <c r="J5470" i="13" s="1"/>
  <c r="N5471" i="13"/>
  <c r="K5285" i="13" l="1"/>
  <c r="L5285" i="13" s="1"/>
  <c r="I5286" i="13" s="1"/>
  <c r="M5474" i="13"/>
  <c r="N5472" i="13"/>
  <c r="J5471" i="13" a="1"/>
  <c r="J5471" i="13" s="1"/>
  <c r="M5475" i="14"/>
  <c r="K5307" i="14"/>
  <c r="L5307" i="14" s="1"/>
  <c r="I5308" i="14" s="1"/>
  <c r="N5471" i="14"/>
  <c r="J5470" i="14" a="1"/>
  <c r="J5470" i="14" s="1"/>
  <c r="K5286" i="13" l="1"/>
  <c r="L5286" i="13" s="1"/>
  <c r="I5287" i="13" s="1"/>
  <c r="K5308" i="14"/>
  <c r="L5308" i="14" s="1"/>
  <c r="I5309" i="14" s="1"/>
  <c r="N5472" i="14"/>
  <c r="J5471" i="14" a="1"/>
  <c r="J5471" i="14" s="1"/>
  <c r="M5476" i="14"/>
  <c r="M5475" i="13"/>
  <c r="J5472" i="13" a="1"/>
  <c r="J5472" i="13" s="1"/>
  <c r="N5473" i="13"/>
  <c r="K5309" i="14" l="1"/>
  <c r="L5309" i="14" s="1"/>
  <c r="I5310" i="14" s="1"/>
  <c r="K5287" i="13"/>
  <c r="L5287" i="13" s="1"/>
  <c r="I5288" i="13" s="1"/>
  <c r="M5476" i="13"/>
  <c r="N5474" i="13"/>
  <c r="J5473" i="13" a="1"/>
  <c r="J5473" i="13" s="1"/>
  <c r="M5477" i="14"/>
  <c r="J5472" i="14" a="1"/>
  <c r="J5472" i="14" s="1"/>
  <c r="N5473" i="14"/>
  <c r="K5288" i="13" l="1"/>
  <c r="L5288" i="13" s="1"/>
  <c r="I5289" i="13" s="1"/>
  <c r="K5310" i="14"/>
  <c r="L5310" i="14" s="1"/>
  <c r="I5311" i="14" s="1"/>
  <c r="N5474" i="14"/>
  <c r="J5473" i="14" a="1"/>
  <c r="J5473" i="14" s="1"/>
  <c r="J5474" i="13" a="1"/>
  <c r="J5474" i="13" s="1"/>
  <c r="N5475" i="13"/>
  <c r="M5477" i="13"/>
  <c r="M5478" i="14"/>
  <c r="K5311" i="14" l="1"/>
  <c r="L5311" i="14" s="1"/>
  <c r="I5312" i="14" s="1"/>
  <c r="K5289" i="13"/>
  <c r="L5289" i="13" s="1"/>
  <c r="I5290" i="13" s="1"/>
  <c r="J5475" i="13" a="1"/>
  <c r="J5475" i="13" s="1"/>
  <c r="N5476" i="13"/>
  <c r="M5479" i="14"/>
  <c r="M5478" i="13"/>
  <c r="N5475" i="14"/>
  <c r="J5474" i="14" a="1"/>
  <c r="J5474" i="14" s="1"/>
  <c r="K5312" i="14" l="1"/>
  <c r="L5312" i="14" s="1"/>
  <c r="I5313" i="14" s="1"/>
  <c r="M5480" i="14"/>
  <c r="K5290" i="13"/>
  <c r="L5290" i="13" s="1"/>
  <c r="I5291" i="13" s="1"/>
  <c r="N5476" i="14"/>
  <c r="J5475" i="14" a="1"/>
  <c r="J5475" i="14" s="1"/>
  <c r="J5476" i="13" a="1"/>
  <c r="J5476" i="13" s="1"/>
  <c r="N5477" i="13"/>
  <c r="M5479" i="13"/>
  <c r="K5313" i="14" l="1"/>
  <c r="L5313" i="14" s="1"/>
  <c r="I5314" i="14" s="1"/>
  <c r="K5291" i="13"/>
  <c r="L5291" i="13" s="1"/>
  <c r="I5292" i="13" s="1"/>
  <c r="N5478" i="13"/>
  <c r="J5477" i="13" a="1"/>
  <c r="J5477" i="13" s="1"/>
  <c r="M5480" i="13"/>
  <c r="J5476" i="14" a="1"/>
  <c r="J5476" i="14" s="1"/>
  <c r="N5477" i="14"/>
  <c r="M5481" i="14"/>
  <c r="K5314" i="14" l="1"/>
  <c r="L5314" i="14" s="1"/>
  <c r="I5315" i="14" s="1"/>
  <c r="M5482" i="14"/>
  <c r="M5481" i="13"/>
  <c r="K5292" i="13"/>
  <c r="L5292" i="13" s="1"/>
  <c r="I5293" i="13" s="1"/>
  <c r="N5478" i="14"/>
  <c r="J5477" i="14" a="1"/>
  <c r="J5477" i="14" s="1"/>
  <c r="J5478" i="13" a="1"/>
  <c r="J5478" i="13" s="1"/>
  <c r="N5479" i="13"/>
  <c r="K5315" i="14" l="1"/>
  <c r="L5315" i="14" s="1"/>
  <c r="I5316" i="14" s="1"/>
  <c r="J5479" i="13" a="1"/>
  <c r="J5479" i="13" s="1"/>
  <c r="N5480" i="13"/>
  <c r="M5483" i="14"/>
  <c r="K5293" i="13"/>
  <c r="L5293" i="13" s="1"/>
  <c r="I5294" i="13" s="1"/>
  <c r="N5479" i="14"/>
  <c r="J5478" i="14" a="1"/>
  <c r="J5478" i="14" s="1"/>
  <c r="M5482" i="13"/>
  <c r="K5294" i="13" l="1"/>
  <c r="L5294" i="13" s="1"/>
  <c r="I5295" i="13" s="1"/>
  <c r="K5316" i="14"/>
  <c r="L5316" i="14" s="1"/>
  <c r="I5317" i="14" s="1"/>
  <c r="J5480" i="13" a="1"/>
  <c r="J5480" i="13" s="1"/>
  <c r="N5481" i="13"/>
  <c r="M5483" i="13"/>
  <c r="N5480" i="14"/>
  <c r="J5479" i="14" a="1"/>
  <c r="J5479" i="14" s="1"/>
  <c r="M5484" i="14"/>
  <c r="K5317" i="14" l="1"/>
  <c r="L5317" i="14" s="1"/>
  <c r="I5318" i="14" s="1"/>
  <c r="K5295" i="13"/>
  <c r="L5295" i="13" s="1"/>
  <c r="I5296" i="13" s="1"/>
  <c r="M5485" i="14"/>
  <c r="M5484" i="13"/>
  <c r="N5482" i="13"/>
  <c r="J5481" i="13" a="1"/>
  <c r="J5481" i="13" s="1"/>
  <c r="J5480" i="14" a="1"/>
  <c r="J5480" i="14" s="1"/>
  <c r="N5481" i="14"/>
  <c r="K5318" i="14" l="1"/>
  <c r="L5318" i="14" s="1"/>
  <c r="I5319" i="14" s="1"/>
  <c r="N5482" i="14"/>
  <c r="J5481" i="14" a="1"/>
  <c r="J5481" i="14" s="1"/>
  <c r="M5485" i="13"/>
  <c r="K5296" i="13"/>
  <c r="L5296" i="13" s="1"/>
  <c r="I5297" i="13" s="1"/>
  <c r="M5486" i="14"/>
  <c r="J5482" i="13" a="1"/>
  <c r="J5482" i="13" s="1"/>
  <c r="N5483" i="13"/>
  <c r="K5297" i="13" l="1"/>
  <c r="L5297" i="13" s="1"/>
  <c r="I5298" i="13" s="1"/>
  <c r="K5319" i="14"/>
  <c r="L5319" i="14" s="1"/>
  <c r="I5320" i="14" s="1"/>
  <c r="N5483" i="14"/>
  <c r="J5482" i="14" a="1"/>
  <c r="J5482" i="14" s="1"/>
  <c r="J5483" i="13" a="1"/>
  <c r="J5483" i="13" s="1"/>
  <c r="N5484" i="13"/>
  <c r="M5487" i="14"/>
  <c r="M5486" i="13"/>
  <c r="K5320" i="14" l="1"/>
  <c r="L5320" i="14" s="1"/>
  <c r="I5321" i="14" s="1"/>
  <c r="K5298" i="13"/>
  <c r="L5298" i="13" s="1"/>
  <c r="I5299" i="13" s="1"/>
  <c r="J5484" i="13" a="1"/>
  <c r="J5484" i="13" s="1"/>
  <c r="N5485" i="13"/>
  <c r="M5487" i="13"/>
  <c r="M5488" i="14"/>
  <c r="N5484" i="14"/>
  <c r="J5483" i="14" a="1"/>
  <c r="J5483" i="14" s="1"/>
  <c r="K5299" i="13" l="1"/>
  <c r="L5299" i="13" s="1"/>
  <c r="I5300" i="13" s="1"/>
  <c r="J5484" i="14" a="1"/>
  <c r="J5484" i="14" s="1"/>
  <c r="N5485" i="14"/>
  <c r="M5488" i="13"/>
  <c r="M5489" i="14"/>
  <c r="N5486" i="13"/>
  <c r="J5485" i="13" a="1"/>
  <c r="J5485" i="13" s="1"/>
  <c r="K5321" i="14"/>
  <c r="L5321" i="14" s="1"/>
  <c r="I5322" i="14" s="1"/>
  <c r="K5322" i="14" l="1"/>
  <c r="L5322" i="14" s="1"/>
  <c r="I5323" i="14" s="1"/>
  <c r="K5300" i="13"/>
  <c r="L5300" i="13" s="1"/>
  <c r="I5301" i="13" s="1"/>
  <c r="M5490" i="14"/>
  <c r="N5486" i="14"/>
  <c r="J5485" i="14" a="1"/>
  <c r="J5485" i="14" s="1"/>
  <c r="M5489" i="13"/>
  <c r="J5486" i="13" a="1"/>
  <c r="J5486" i="13" s="1"/>
  <c r="N5487" i="13"/>
  <c r="K5301" i="13" l="1"/>
  <c r="L5301" i="13" s="1"/>
  <c r="I5302" i="13" s="1"/>
  <c r="K5323" i="14"/>
  <c r="L5323" i="14" s="1"/>
  <c r="I5324" i="14" s="1"/>
  <c r="J5487" i="13" a="1"/>
  <c r="J5487" i="13" s="1"/>
  <c r="N5488" i="13"/>
  <c r="N5487" i="14"/>
  <c r="J5486" i="14" a="1"/>
  <c r="J5486" i="14" s="1"/>
  <c r="M5491" i="14"/>
  <c r="M5490" i="13"/>
  <c r="K5324" i="14" l="1"/>
  <c r="L5324" i="14" s="1"/>
  <c r="I5325" i="14" s="1"/>
  <c r="K5302" i="13"/>
  <c r="L5302" i="13" s="1"/>
  <c r="I5303" i="13" s="1"/>
  <c r="M5491" i="13"/>
  <c r="N5488" i="14"/>
  <c r="J5487" i="14" a="1"/>
  <c r="J5487" i="14" s="1"/>
  <c r="J5488" i="13" a="1"/>
  <c r="J5488" i="13" s="1"/>
  <c r="N5489" i="13"/>
  <c r="M5492" i="14"/>
  <c r="K5325" i="14" l="1"/>
  <c r="L5325" i="14" s="1"/>
  <c r="I5326" i="14" s="1"/>
  <c r="M5493" i="14"/>
  <c r="J5488" i="14" a="1"/>
  <c r="J5488" i="14" s="1"/>
  <c r="N5489" i="14"/>
  <c r="K5303" i="13"/>
  <c r="L5303" i="13" s="1"/>
  <c r="I5304" i="13" s="1"/>
  <c r="N5490" i="13"/>
  <c r="J5489" i="13" a="1"/>
  <c r="J5489" i="13" s="1"/>
  <c r="M5492" i="13"/>
  <c r="K5326" i="14" l="1"/>
  <c r="L5326" i="14" s="1"/>
  <c r="I5327" i="14" s="1"/>
  <c r="J5490" i="13" a="1"/>
  <c r="J5490" i="13" s="1"/>
  <c r="N5491" i="13"/>
  <c r="M5493" i="13"/>
  <c r="K5304" i="13"/>
  <c r="L5304" i="13" s="1"/>
  <c r="I5305" i="13" s="1"/>
  <c r="M5494" i="14"/>
  <c r="N5490" i="14"/>
  <c r="J5489" i="14" a="1"/>
  <c r="J5489" i="14" s="1"/>
  <c r="K5305" i="13" l="1"/>
  <c r="L5305" i="13" s="1"/>
  <c r="I5306" i="13" s="1"/>
  <c r="K5327" i="14"/>
  <c r="L5327" i="14" s="1"/>
  <c r="I5328" i="14" s="1"/>
  <c r="J5491" i="13" a="1"/>
  <c r="J5491" i="13" s="1"/>
  <c r="N5492" i="13"/>
  <c r="N5491" i="14"/>
  <c r="J5490" i="14" a="1"/>
  <c r="J5490" i="14" s="1"/>
  <c r="M5495" i="14"/>
  <c r="M5494" i="13"/>
  <c r="K5328" i="14" l="1"/>
  <c r="L5328" i="14" s="1"/>
  <c r="I5329" i="14" s="1"/>
  <c r="K5306" i="13"/>
  <c r="L5306" i="13" s="1"/>
  <c r="I5307" i="13" s="1"/>
  <c r="M5495" i="13"/>
  <c r="N5492" i="14"/>
  <c r="J5491" i="14" a="1"/>
  <c r="J5491" i="14" s="1"/>
  <c r="J5492" i="13" a="1"/>
  <c r="J5492" i="13" s="1"/>
  <c r="N5493" i="13"/>
  <c r="M5496" i="14"/>
  <c r="K5307" i="13" l="1"/>
  <c r="L5307" i="13" s="1"/>
  <c r="I5308" i="13" s="1"/>
  <c r="K5329" i="14"/>
  <c r="L5329" i="14" s="1"/>
  <c r="I5330" i="14" s="1"/>
  <c r="J5492" i="14" a="1"/>
  <c r="J5492" i="14" s="1"/>
  <c r="N5493" i="14"/>
  <c r="M5497" i="14"/>
  <c r="N5494" i="13"/>
  <c r="J5493" i="13" a="1"/>
  <c r="J5493" i="13" s="1"/>
  <c r="M5496" i="13"/>
  <c r="K5330" i="14" l="1"/>
  <c r="L5330" i="14" s="1"/>
  <c r="I5331" i="14" s="1"/>
  <c r="K5308" i="13"/>
  <c r="L5308" i="13" s="1"/>
  <c r="I5309" i="13" s="1"/>
  <c r="N5494" i="14"/>
  <c r="J5493" i="14" a="1"/>
  <c r="J5493" i="14" s="1"/>
  <c r="M5497" i="13"/>
  <c r="J5494" i="13" a="1"/>
  <c r="J5494" i="13" s="1"/>
  <c r="N5495" i="13"/>
  <c r="M5498" i="14"/>
  <c r="K5331" i="14" l="1"/>
  <c r="L5331" i="14" s="1"/>
  <c r="I5332" i="14" s="1"/>
  <c r="K5309" i="13"/>
  <c r="L5309" i="13" s="1"/>
  <c r="I5310" i="13" s="1"/>
  <c r="M5499" i="14"/>
  <c r="M5498" i="13"/>
  <c r="J5495" i="13" a="1"/>
  <c r="J5495" i="13" s="1"/>
  <c r="N5496" i="13"/>
  <c r="N5495" i="14"/>
  <c r="J5494" i="14" a="1"/>
  <c r="J5494" i="14" s="1"/>
  <c r="K5310" i="13" l="1"/>
  <c r="L5310" i="13" s="1"/>
  <c r="I5311" i="13" s="1"/>
  <c r="K5332" i="14"/>
  <c r="L5332" i="14" s="1"/>
  <c r="I5333" i="14" s="1"/>
  <c r="N5496" i="14"/>
  <c r="J5495" i="14" a="1"/>
  <c r="J5495" i="14" s="1"/>
  <c r="M5499" i="13"/>
  <c r="J5496" i="13" a="1"/>
  <c r="J5496" i="13" s="1"/>
  <c r="N5497" i="13"/>
  <c r="M5500" i="14"/>
  <c r="K5311" i="13" l="1"/>
  <c r="L5311" i="13" s="1"/>
  <c r="I5312" i="13" s="1"/>
  <c r="K5333" i="14"/>
  <c r="L5333" i="14" s="1"/>
  <c r="I5334" i="14" s="1"/>
  <c r="N5498" i="13"/>
  <c r="J5497" i="13" a="1"/>
  <c r="J5497" i="13" s="1"/>
  <c r="M5501" i="14"/>
  <c r="M5500" i="13"/>
  <c r="J5496" i="14" a="1"/>
  <c r="J5496" i="14" s="1"/>
  <c r="N5497" i="14"/>
  <c r="K5334" i="14" l="1"/>
  <c r="L5334" i="14" s="1"/>
  <c r="I5335" i="14" s="1"/>
  <c r="K5312" i="13"/>
  <c r="L5312" i="13" s="1"/>
  <c r="I5313" i="13" s="1"/>
  <c r="N5498" i="14"/>
  <c r="J5497" i="14" a="1"/>
  <c r="J5497" i="14" s="1"/>
  <c r="M5502" i="14"/>
  <c r="M5501" i="13"/>
  <c r="J5498" i="13" a="1"/>
  <c r="J5498" i="13" s="1"/>
  <c r="N5499" i="13"/>
  <c r="K5313" i="13" l="1"/>
  <c r="L5313" i="13" s="1"/>
  <c r="I5314" i="13" s="1"/>
  <c r="K5335" i="14"/>
  <c r="L5335" i="14" s="1"/>
  <c r="I5336" i="14" s="1"/>
  <c r="J5499" i="13" a="1"/>
  <c r="J5499" i="13" s="1"/>
  <c r="N5500" i="13"/>
  <c r="M5503" i="14"/>
  <c r="M5502" i="13"/>
  <c r="N5499" i="14"/>
  <c r="J5498" i="14" a="1"/>
  <c r="J5498" i="14" s="1"/>
  <c r="K5336" i="14" l="1"/>
  <c r="L5336" i="14" s="1"/>
  <c r="I5337" i="14" s="1"/>
  <c r="K5314" i="13"/>
  <c r="L5314" i="13" s="1"/>
  <c r="I5315" i="13" s="1"/>
  <c r="N5500" i="14"/>
  <c r="J5499" i="14" a="1"/>
  <c r="J5499" i="14" s="1"/>
  <c r="M5504" i="14"/>
  <c r="J5500" i="13" a="1"/>
  <c r="J5500" i="13" s="1"/>
  <c r="N5501" i="13"/>
  <c r="M5503" i="13"/>
  <c r="K5315" i="13" l="1"/>
  <c r="L5315" i="13" s="1"/>
  <c r="I5316" i="13" s="1"/>
  <c r="K5337" i="14"/>
  <c r="L5337" i="14" s="1"/>
  <c r="I5338" i="14" s="1"/>
  <c r="N5502" i="13"/>
  <c r="J5501" i="13" a="1"/>
  <c r="J5501" i="13" s="1"/>
  <c r="M5505" i="14"/>
  <c r="M5504" i="13"/>
  <c r="J5500" i="14" a="1"/>
  <c r="J5500" i="14" s="1"/>
  <c r="N5501" i="14"/>
  <c r="K5316" i="13" l="1"/>
  <c r="L5316" i="13" s="1"/>
  <c r="I5317" i="13" s="1"/>
  <c r="M5505" i="13"/>
  <c r="N5502" i="14"/>
  <c r="J5501" i="14" a="1"/>
  <c r="J5501" i="14" s="1"/>
  <c r="M5506" i="14"/>
  <c r="K5338" i="14"/>
  <c r="L5338" i="14" s="1"/>
  <c r="I5339" i="14" s="1"/>
  <c r="J5502" i="13" a="1"/>
  <c r="J5502" i="13" s="1"/>
  <c r="N5503" i="13"/>
  <c r="K5339" i="14" l="1"/>
  <c r="L5339" i="14" s="1"/>
  <c r="I5340" i="14" s="1"/>
  <c r="K5317" i="13"/>
  <c r="L5317" i="13" s="1"/>
  <c r="I5318" i="13" s="1"/>
  <c r="J5503" i="13" a="1"/>
  <c r="J5503" i="13" s="1"/>
  <c r="N5504" i="13"/>
  <c r="M5507" i="14"/>
  <c r="M5506" i="13"/>
  <c r="N5503" i="14"/>
  <c r="J5502" i="14" a="1"/>
  <c r="J5502" i="14" s="1"/>
  <c r="K5340" i="14" l="1"/>
  <c r="L5340" i="14" s="1"/>
  <c r="I5341" i="14" s="1"/>
  <c r="K5318" i="13"/>
  <c r="L5318" i="13" s="1"/>
  <c r="I5319" i="13" s="1"/>
  <c r="M5508" i="14"/>
  <c r="J5504" i="13" a="1"/>
  <c r="J5504" i="13" s="1"/>
  <c r="N5505" i="13"/>
  <c r="N5504" i="14"/>
  <c r="J5503" i="14" a="1"/>
  <c r="J5503" i="14" s="1"/>
  <c r="M5507" i="13"/>
  <c r="K5341" i="14" l="1"/>
  <c r="L5341" i="14" s="1"/>
  <c r="I5342" i="14" s="1"/>
  <c r="N5506" i="13"/>
  <c r="J5505" i="13" a="1"/>
  <c r="J5505" i="13" s="1"/>
  <c r="K5319" i="13"/>
  <c r="L5319" i="13" s="1"/>
  <c r="I5320" i="13" s="1"/>
  <c r="M5508" i="13"/>
  <c r="M5509" i="14"/>
  <c r="J5504" i="14" a="1"/>
  <c r="J5504" i="14" s="1"/>
  <c r="N5505" i="14"/>
  <c r="K5320" i="13" l="1"/>
  <c r="L5320" i="13" s="1"/>
  <c r="I5321" i="13" s="1"/>
  <c r="K5342" i="14"/>
  <c r="L5342" i="14" s="1"/>
  <c r="I5343" i="14" s="1"/>
  <c r="J5506" i="13" a="1"/>
  <c r="J5506" i="13" s="1"/>
  <c r="N5507" i="13"/>
  <c r="N5506" i="14"/>
  <c r="J5505" i="14" a="1"/>
  <c r="J5505" i="14" s="1"/>
  <c r="M5509" i="13"/>
  <c r="M5510" i="14"/>
  <c r="K5343" i="14" l="1"/>
  <c r="L5343" i="14" s="1"/>
  <c r="I5344" i="14" s="1"/>
  <c r="K5321" i="13"/>
  <c r="L5321" i="13" s="1"/>
  <c r="I5322" i="13" s="1"/>
  <c r="M5510" i="13"/>
  <c r="M5511" i="14"/>
  <c r="N5507" i="14"/>
  <c r="J5506" i="14" a="1"/>
  <c r="J5506" i="14" s="1"/>
  <c r="J5507" i="13" a="1"/>
  <c r="J5507" i="13" s="1"/>
  <c r="N5508" i="13"/>
  <c r="K5322" i="13" l="1"/>
  <c r="L5322" i="13" s="1"/>
  <c r="I5323" i="13" s="1"/>
  <c r="K5344" i="14"/>
  <c r="L5344" i="14" s="1"/>
  <c r="I5345" i="14" s="1"/>
  <c r="J5508" i="13" a="1"/>
  <c r="J5508" i="13" s="1"/>
  <c r="N5509" i="13"/>
  <c r="M5512" i="14"/>
  <c r="N5508" i="14"/>
  <c r="J5507" i="14" a="1"/>
  <c r="J5507" i="14" s="1"/>
  <c r="M5511" i="13"/>
  <c r="K5345" i="14" l="1"/>
  <c r="L5345" i="14" s="1"/>
  <c r="I5346" i="14" s="1"/>
  <c r="K5323" i="13"/>
  <c r="L5323" i="13" s="1"/>
  <c r="I5324" i="13" s="1"/>
  <c r="J5508" i="14" a="1"/>
  <c r="J5508" i="14" s="1"/>
  <c r="N5509" i="14"/>
  <c r="M5512" i="13"/>
  <c r="M5513" i="14"/>
  <c r="N5510" i="13"/>
  <c r="J5509" i="13" a="1"/>
  <c r="J5509" i="13" s="1"/>
  <c r="M5513" i="13" l="1"/>
  <c r="K5324" i="13"/>
  <c r="L5324" i="13" s="1"/>
  <c r="I5325" i="13" s="1"/>
  <c r="J5510" i="13" a="1"/>
  <c r="J5510" i="13" s="1"/>
  <c r="N5511" i="13"/>
  <c r="M5514" i="14"/>
  <c r="N5510" i="14"/>
  <c r="J5509" i="14" a="1"/>
  <c r="J5509" i="14" s="1"/>
  <c r="K5346" i="14"/>
  <c r="L5346" i="14" s="1"/>
  <c r="I5347" i="14" s="1"/>
  <c r="N5511" i="14" l="1"/>
  <c r="J5510" i="14" a="1"/>
  <c r="J5510" i="14" s="1"/>
  <c r="M5515" i="14"/>
  <c r="K5347" i="14"/>
  <c r="L5347" i="14" s="1"/>
  <c r="I5348" i="14" s="1"/>
  <c r="K5325" i="13"/>
  <c r="L5325" i="13" s="1"/>
  <c r="I5326" i="13" s="1"/>
  <c r="J5511" i="13" a="1"/>
  <c r="J5511" i="13" s="1"/>
  <c r="N5512" i="13"/>
  <c r="M5514" i="13"/>
  <c r="K5348" i="14" l="1"/>
  <c r="L5348" i="14" s="1"/>
  <c r="I5349" i="14" s="1"/>
  <c r="J5512" i="13" a="1"/>
  <c r="J5512" i="13" s="1"/>
  <c r="N5513" i="13"/>
  <c r="M5515" i="13"/>
  <c r="K5326" i="13"/>
  <c r="L5326" i="13" s="1"/>
  <c r="I5327" i="13" s="1"/>
  <c r="M5516" i="14"/>
  <c r="N5512" i="14"/>
  <c r="J5511" i="14" a="1"/>
  <c r="J5511" i="14" s="1"/>
  <c r="K5327" i="13" l="1"/>
  <c r="L5327" i="13" s="1"/>
  <c r="I5328" i="13" s="1"/>
  <c r="K5349" i="14"/>
  <c r="L5349" i="14" s="1"/>
  <c r="I5350" i="14" s="1"/>
  <c r="N5514" i="13"/>
  <c r="J5513" i="13" a="1"/>
  <c r="J5513" i="13" s="1"/>
  <c r="J5512" i="14" a="1"/>
  <c r="J5512" i="14" s="1"/>
  <c r="N5513" i="14"/>
  <c r="M5517" i="14"/>
  <c r="M5516" i="13"/>
  <c r="K5328" i="13" l="1"/>
  <c r="L5328" i="13" s="1"/>
  <c r="I5329" i="13" s="1"/>
  <c r="M5517" i="13"/>
  <c r="N5514" i="14"/>
  <c r="J5513" i="14" a="1"/>
  <c r="J5513" i="14" s="1"/>
  <c r="K5350" i="14"/>
  <c r="L5350" i="14" s="1"/>
  <c r="I5351" i="14" s="1"/>
  <c r="M5518" i="14"/>
  <c r="J5514" i="13" a="1"/>
  <c r="J5514" i="13" s="1"/>
  <c r="N5515" i="13"/>
  <c r="K5329" i="13" l="1"/>
  <c r="L5329" i="13" s="1"/>
  <c r="I5330" i="13" s="1"/>
  <c r="J5515" i="13" a="1"/>
  <c r="J5515" i="13" s="1"/>
  <c r="N5516" i="13"/>
  <c r="K5351" i="14"/>
  <c r="L5351" i="14" s="1"/>
  <c r="I5352" i="14" s="1"/>
  <c r="M5518" i="13"/>
  <c r="M5519" i="14"/>
  <c r="N5515" i="14"/>
  <c r="J5514" i="14" a="1"/>
  <c r="J5514" i="14" s="1"/>
  <c r="K5330" i="13" l="1"/>
  <c r="L5330" i="13" s="1"/>
  <c r="I5331" i="13" s="1"/>
  <c r="K5352" i="14"/>
  <c r="L5352" i="14" s="1"/>
  <c r="I5353" i="14" s="1"/>
  <c r="J5516" i="13" a="1"/>
  <c r="J5516" i="13" s="1"/>
  <c r="N5517" i="13"/>
  <c r="N5516" i="14"/>
  <c r="J5515" i="14" a="1"/>
  <c r="J5515" i="14" s="1"/>
  <c r="M5519" i="13"/>
  <c r="M5520" i="14"/>
  <c r="K5331" i="13" l="1"/>
  <c r="L5331" i="13" s="1"/>
  <c r="I5332" i="13" s="1"/>
  <c r="J5516" i="14" a="1"/>
  <c r="J5516" i="14" s="1"/>
  <c r="N5517" i="14"/>
  <c r="K5353" i="14"/>
  <c r="L5353" i="14" s="1"/>
  <c r="I5354" i="14" s="1"/>
  <c r="N5518" i="13"/>
  <c r="J5517" i="13" a="1"/>
  <c r="J5517" i="13" s="1"/>
  <c r="M5521" i="14"/>
  <c r="M5520" i="13"/>
  <c r="K5354" i="14" l="1"/>
  <c r="L5354" i="14" s="1"/>
  <c r="I5355" i="14" s="1"/>
  <c r="K5332" i="13"/>
  <c r="L5332" i="13" s="1"/>
  <c r="I5333" i="13" s="1"/>
  <c r="N5518" i="14"/>
  <c r="J5517" i="14" a="1"/>
  <c r="J5517" i="14" s="1"/>
  <c r="M5521" i="13"/>
  <c r="M5522" i="14"/>
  <c r="J5518" i="13" a="1"/>
  <c r="J5518" i="13" s="1"/>
  <c r="N5519" i="13"/>
  <c r="K5355" i="14" l="1"/>
  <c r="L5355" i="14" s="1"/>
  <c r="I5356" i="14" s="1"/>
  <c r="J5519" i="13" a="1"/>
  <c r="J5519" i="13" s="1"/>
  <c r="N5520" i="13"/>
  <c r="K5333" i="13"/>
  <c r="L5333" i="13" s="1"/>
  <c r="I5334" i="13" s="1"/>
  <c r="M5522" i="13"/>
  <c r="M5523" i="14"/>
  <c r="J5518" i="14" a="1"/>
  <c r="J5518" i="14" s="1"/>
  <c r="N5519" i="14"/>
  <c r="K5334" i="13" l="1"/>
  <c r="L5334" i="13" s="1"/>
  <c r="I5335" i="13" s="1"/>
  <c r="K5356" i="14"/>
  <c r="L5356" i="14" s="1"/>
  <c r="I5357" i="14" s="1"/>
  <c r="M5523" i="13"/>
  <c r="N5520" i="14"/>
  <c r="J5519" i="14" a="1"/>
  <c r="J5519" i="14" s="1"/>
  <c r="J5520" i="13" a="1"/>
  <c r="J5520" i="13" s="1"/>
  <c r="N5521" i="13"/>
  <c r="M5524" i="14"/>
  <c r="K5335" i="13" l="1"/>
  <c r="L5335" i="13" s="1"/>
  <c r="I5336" i="13" s="1"/>
  <c r="M5525" i="14"/>
  <c r="K5357" i="14"/>
  <c r="L5357" i="14" s="1"/>
  <c r="I5358" i="14" s="1"/>
  <c r="J5520" i="14" a="1"/>
  <c r="J5520" i="14" s="1"/>
  <c r="N5521" i="14"/>
  <c r="N5522" i="13"/>
  <c r="J5521" i="13" a="1"/>
  <c r="J5521" i="13" s="1"/>
  <c r="M5524" i="13"/>
  <c r="K5358" i="14" l="1"/>
  <c r="L5358" i="14" s="1"/>
  <c r="I5359" i="14" s="1"/>
  <c r="K5336" i="13"/>
  <c r="L5336" i="13" s="1"/>
  <c r="I5337" i="13" s="1"/>
  <c r="M5525" i="13"/>
  <c r="J5521" i="14" a="1"/>
  <c r="J5521" i="14" s="1"/>
  <c r="N5522" i="14"/>
  <c r="M5526" i="14"/>
  <c r="J5522" i="13" a="1"/>
  <c r="J5522" i="13" s="1"/>
  <c r="N5523" i="13"/>
  <c r="K5359" i="14" l="1"/>
  <c r="L5359" i="14" s="1"/>
  <c r="I5360" i="14" s="1"/>
  <c r="J5522" i="14" a="1"/>
  <c r="J5522" i="14" s="1"/>
  <c r="N5523" i="14"/>
  <c r="J5523" i="13" a="1"/>
  <c r="J5523" i="13" s="1"/>
  <c r="N5524" i="13"/>
  <c r="K5337" i="13"/>
  <c r="L5337" i="13" s="1"/>
  <c r="I5338" i="13" s="1"/>
  <c r="M5527" i="14"/>
  <c r="M5526" i="13"/>
  <c r="K5360" i="14" l="1"/>
  <c r="L5360" i="14" s="1"/>
  <c r="I5361" i="14" s="1"/>
  <c r="J5524" i="13" a="1"/>
  <c r="J5524" i="13" s="1"/>
  <c r="N5525" i="13"/>
  <c r="M5528" i="14"/>
  <c r="N5524" i="14"/>
  <c r="J5523" i="14" a="1"/>
  <c r="J5523" i="14" s="1"/>
  <c r="K5338" i="13"/>
  <c r="L5338" i="13" s="1"/>
  <c r="I5339" i="13" s="1"/>
  <c r="M5527" i="13"/>
  <c r="K5339" i="13" l="1"/>
  <c r="L5339" i="13" s="1"/>
  <c r="I5340" i="13" s="1"/>
  <c r="K5361" i="14"/>
  <c r="L5361" i="14" s="1"/>
  <c r="I5362" i="14" s="1"/>
  <c r="N5526" i="13"/>
  <c r="J5525" i="13" a="1"/>
  <c r="J5525" i="13" s="1"/>
  <c r="M5528" i="13"/>
  <c r="J5524" i="14" a="1"/>
  <c r="J5524" i="14" s="1"/>
  <c r="N5525" i="14"/>
  <c r="M5529" i="14"/>
  <c r="K5340" i="13" l="1"/>
  <c r="L5340" i="13" s="1"/>
  <c r="I5341" i="13" s="1"/>
  <c r="K5362" i="14"/>
  <c r="L5362" i="14" s="1"/>
  <c r="I5363" i="14" s="1"/>
  <c r="J5526" i="13" a="1"/>
  <c r="J5526" i="13" s="1"/>
  <c r="N5527" i="13"/>
  <c r="M5529" i="13"/>
  <c r="M5530" i="14"/>
  <c r="J5525" i="14" a="1"/>
  <c r="J5525" i="14" s="1"/>
  <c r="N5526" i="14"/>
  <c r="K5363" i="14" l="1"/>
  <c r="L5363" i="14" s="1"/>
  <c r="I5364" i="14" s="1"/>
  <c r="K5341" i="13"/>
  <c r="L5341" i="13" s="1"/>
  <c r="I5342" i="13" s="1"/>
  <c r="N5527" i="14"/>
  <c r="J5526" i="14" a="1"/>
  <c r="J5526" i="14" s="1"/>
  <c r="M5530" i="13"/>
  <c r="M5531" i="14"/>
  <c r="J5527" i="13" a="1"/>
  <c r="J5527" i="13" s="1"/>
  <c r="N5528" i="13"/>
  <c r="K5364" i="14" l="1"/>
  <c r="L5364" i="14" s="1"/>
  <c r="I5365" i="14" s="1"/>
  <c r="J5528" i="13" a="1"/>
  <c r="J5528" i="13" s="1"/>
  <c r="N5529" i="13"/>
  <c r="K5342" i="13"/>
  <c r="L5342" i="13" s="1"/>
  <c r="I5343" i="13" s="1"/>
  <c r="M5531" i="13"/>
  <c r="M5532" i="14"/>
  <c r="N5528" i="14"/>
  <c r="J5527" i="14" a="1"/>
  <c r="J5527" i="14" s="1"/>
  <c r="K5343" i="13" l="1"/>
  <c r="L5343" i="13" s="1"/>
  <c r="I5344" i="13" s="1"/>
  <c r="K5365" i="14"/>
  <c r="L5365" i="14" s="1"/>
  <c r="I5366" i="14" s="1"/>
  <c r="N5530" i="13"/>
  <c r="J5529" i="13" a="1"/>
  <c r="J5529" i="13" s="1"/>
  <c r="M5532" i="13"/>
  <c r="J5528" i="14" a="1"/>
  <c r="J5528" i="14" s="1"/>
  <c r="N5529" i="14"/>
  <c r="M5533" i="14"/>
  <c r="K5344" i="13" l="1"/>
  <c r="L5344" i="13" s="1"/>
  <c r="I5345" i="13" s="1"/>
  <c r="N5530" i="14"/>
  <c r="J5529" i="14" a="1"/>
  <c r="J5529" i="14" s="1"/>
  <c r="M5534" i="14"/>
  <c r="M5533" i="13"/>
  <c r="K5366" i="14"/>
  <c r="L5366" i="14" s="1"/>
  <c r="I5367" i="14" s="1"/>
  <c r="J5530" i="13" a="1"/>
  <c r="J5530" i="13" s="1"/>
  <c r="N5531" i="13"/>
  <c r="K5367" i="14" l="1"/>
  <c r="L5367" i="14" s="1"/>
  <c r="I5368" i="14" s="1"/>
  <c r="K5345" i="13"/>
  <c r="L5345" i="13" s="1"/>
  <c r="I5346" i="13" s="1"/>
  <c r="J5531" i="13" a="1"/>
  <c r="J5531" i="13" s="1"/>
  <c r="N5532" i="13"/>
  <c r="N5531" i="14"/>
  <c r="J5530" i="14" a="1"/>
  <c r="J5530" i="14" s="1"/>
  <c r="M5534" i="13"/>
  <c r="M5535" i="14"/>
  <c r="K5346" i="13" l="1"/>
  <c r="L5346" i="13" s="1"/>
  <c r="I5347" i="13" s="1"/>
  <c r="K5368" i="14"/>
  <c r="L5368" i="14" s="1"/>
  <c r="I5369" i="14" s="1"/>
  <c r="M5535" i="13"/>
  <c r="M5536" i="14"/>
  <c r="N5532" i="14"/>
  <c r="J5531" i="14" a="1"/>
  <c r="J5531" i="14" s="1"/>
  <c r="J5532" i="13" a="1"/>
  <c r="J5532" i="13" s="1"/>
  <c r="N5533" i="13"/>
  <c r="K5347" i="13" l="1"/>
  <c r="L5347" i="13" s="1"/>
  <c r="I5348" i="13" s="1"/>
  <c r="N5534" i="13"/>
  <c r="J5533" i="13" a="1"/>
  <c r="J5533" i="13" s="1"/>
  <c r="M5537" i="14"/>
  <c r="K5369" i="14"/>
  <c r="L5369" i="14" s="1"/>
  <c r="I5370" i="14" s="1"/>
  <c r="J5532" i="14" a="1"/>
  <c r="J5532" i="14" s="1"/>
  <c r="N5533" i="14"/>
  <c r="M5536" i="13"/>
  <c r="K5370" i="14" l="1"/>
  <c r="L5370" i="14" s="1"/>
  <c r="I5371" i="14" s="1"/>
  <c r="K5348" i="13"/>
  <c r="L5348" i="13" s="1"/>
  <c r="I5349" i="13" s="1"/>
  <c r="J5534" i="13" a="1"/>
  <c r="J5534" i="13" s="1"/>
  <c r="N5535" i="13"/>
  <c r="M5537" i="13"/>
  <c r="N5534" i="14"/>
  <c r="J5533" i="14" a="1"/>
  <c r="J5533" i="14" s="1"/>
  <c r="M5538" i="14"/>
  <c r="K5349" i="13" l="1"/>
  <c r="L5349" i="13" s="1"/>
  <c r="I5350" i="13" s="1"/>
  <c r="K5371" i="14"/>
  <c r="L5371" i="14" s="1"/>
  <c r="I5372" i="14" s="1"/>
  <c r="M5539" i="14"/>
  <c r="M5538" i="13"/>
  <c r="J5535" i="13" a="1"/>
  <c r="J5535" i="13" s="1"/>
  <c r="N5536" i="13"/>
  <c r="N5535" i="14"/>
  <c r="J5534" i="14" a="1"/>
  <c r="J5534" i="14" s="1"/>
  <c r="K5372" i="14" l="1"/>
  <c r="L5372" i="14" s="1"/>
  <c r="I5373" i="14" s="1"/>
  <c r="K5350" i="13"/>
  <c r="L5350" i="13" s="1"/>
  <c r="I5351" i="13" s="1"/>
  <c r="J5536" i="13" a="1"/>
  <c r="J5536" i="13" s="1"/>
  <c r="N5537" i="13"/>
  <c r="N5536" i="14"/>
  <c r="J5535" i="14" a="1"/>
  <c r="J5535" i="14" s="1"/>
  <c r="M5539" i="13"/>
  <c r="M5540" i="14"/>
  <c r="K5351" i="13" l="1"/>
  <c r="L5351" i="13" s="1"/>
  <c r="I5352" i="13" s="1"/>
  <c r="K5373" i="14"/>
  <c r="L5373" i="14" s="1"/>
  <c r="I5374" i="14" s="1"/>
  <c r="N5538" i="13"/>
  <c r="J5537" i="13" a="1"/>
  <c r="J5537" i="13" s="1"/>
  <c r="M5540" i="13"/>
  <c r="M5541" i="14"/>
  <c r="J5536" i="14" a="1"/>
  <c r="J5536" i="14" s="1"/>
  <c r="N5537" i="14"/>
  <c r="K5374" i="14" l="1"/>
  <c r="L5374" i="14" s="1"/>
  <c r="I5375" i="14" s="1"/>
  <c r="K5352" i="13"/>
  <c r="L5352" i="13" s="1"/>
  <c r="I5353" i="13" s="1"/>
  <c r="N5538" i="14"/>
  <c r="J5537" i="14" a="1"/>
  <c r="J5537" i="14" s="1"/>
  <c r="M5541" i="13"/>
  <c r="M5542" i="14"/>
  <c r="J5538" i="13" a="1"/>
  <c r="J5538" i="13" s="1"/>
  <c r="N5539" i="13"/>
  <c r="K5375" i="14" l="1"/>
  <c r="L5375" i="14" s="1"/>
  <c r="I5376" i="14" s="1"/>
  <c r="J5539" i="13" a="1"/>
  <c r="J5539" i="13" s="1"/>
  <c r="N5540" i="13"/>
  <c r="M5542" i="13"/>
  <c r="K5353" i="13"/>
  <c r="L5353" i="13" s="1"/>
  <c r="I5354" i="13" s="1"/>
  <c r="M5543" i="14"/>
  <c r="N5539" i="14"/>
  <c r="J5538" i="14" a="1"/>
  <c r="J5538" i="14" s="1"/>
  <c r="K5376" i="14" l="1"/>
  <c r="L5376" i="14" s="1"/>
  <c r="I5377" i="14" s="1"/>
  <c r="J5540" i="13" a="1"/>
  <c r="J5540" i="13" s="1"/>
  <c r="N5541" i="13"/>
  <c r="N5540" i="14"/>
  <c r="J5539" i="14" a="1"/>
  <c r="J5539" i="14" s="1"/>
  <c r="K5354" i="13"/>
  <c r="L5354" i="13" s="1"/>
  <c r="I5355" i="13" s="1"/>
  <c r="M5544" i="14"/>
  <c r="M5543" i="13"/>
  <c r="K5355" i="13" l="1"/>
  <c r="L5355" i="13" s="1"/>
  <c r="I5356" i="13" s="1"/>
  <c r="K5377" i="14"/>
  <c r="L5377" i="14" s="1"/>
  <c r="I5378" i="14" s="1"/>
  <c r="N5542" i="13"/>
  <c r="J5541" i="13" a="1"/>
  <c r="J5541" i="13" s="1"/>
  <c r="M5544" i="13"/>
  <c r="M5545" i="14"/>
  <c r="J5540" i="14" a="1"/>
  <c r="J5540" i="14" s="1"/>
  <c r="N5541" i="14"/>
  <c r="K5378" i="14" l="1"/>
  <c r="L5378" i="14" s="1"/>
  <c r="I5379" i="14" s="1"/>
  <c r="K5356" i="13"/>
  <c r="L5356" i="13" s="1"/>
  <c r="I5357" i="13" s="1"/>
  <c r="N5542" i="14"/>
  <c r="J5541" i="14" a="1"/>
  <c r="J5541" i="14" s="1"/>
  <c r="M5545" i="13"/>
  <c r="M5546" i="14"/>
  <c r="J5542" i="13" a="1"/>
  <c r="J5542" i="13" s="1"/>
  <c r="N5543" i="13"/>
  <c r="K5379" i="14" l="1"/>
  <c r="L5379" i="14" s="1"/>
  <c r="I5380" i="14" s="1"/>
  <c r="J5543" i="13" a="1"/>
  <c r="J5543" i="13" s="1"/>
  <c r="N5544" i="13"/>
  <c r="M5546" i="13"/>
  <c r="K5357" i="13"/>
  <c r="L5357" i="13" s="1"/>
  <c r="I5358" i="13" s="1"/>
  <c r="M5547" i="14"/>
  <c r="N5543" i="14"/>
  <c r="J5542" i="14" a="1"/>
  <c r="J5542" i="14" s="1"/>
  <c r="K5380" i="14" l="1"/>
  <c r="L5380" i="14" s="1"/>
  <c r="I5381" i="14" s="1"/>
  <c r="K5358" i="13"/>
  <c r="L5358" i="13" s="1"/>
  <c r="I5359" i="13" s="1"/>
  <c r="J5544" i="13" a="1"/>
  <c r="J5544" i="13" s="1"/>
  <c r="N5545" i="13"/>
  <c r="N5544" i="14"/>
  <c r="J5543" i="14" a="1"/>
  <c r="J5543" i="14" s="1"/>
  <c r="M5548" i="14"/>
  <c r="M5547" i="13"/>
  <c r="K5359" i="13" l="1"/>
  <c r="L5359" i="13" s="1"/>
  <c r="I5360" i="13" s="1"/>
  <c r="K5381" i="14"/>
  <c r="L5381" i="14" s="1"/>
  <c r="I5382" i="14" s="1"/>
  <c r="M5548" i="13"/>
  <c r="J5544" i="14" a="1"/>
  <c r="J5544" i="14" s="1"/>
  <c r="N5545" i="14"/>
  <c r="M5549" i="14"/>
  <c r="N5546" i="13"/>
  <c r="J5545" i="13" a="1"/>
  <c r="J5545" i="13" s="1"/>
  <c r="K5382" i="14" l="1"/>
  <c r="L5382" i="14" s="1"/>
  <c r="I5383" i="14" s="1"/>
  <c r="K5360" i="13"/>
  <c r="L5360" i="13" s="1"/>
  <c r="I5361" i="13" s="1"/>
  <c r="N5546" i="14"/>
  <c r="J5545" i="14" a="1"/>
  <c r="J5545" i="14" s="1"/>
  <c r="M5549" i="13"/>
  <c r="J5546" i="13" a="1"/>
  <c r="J5546" i="13" s="1"/>
  <c r="N5547" i="13"/>
  <c r="M5550" i="14"/>
  <c r="K5361" i="13" l="1"/>
  <c r="L5361" i="13" s="1"/>
  <c r="I5362" i="13" s="1"/>
  <c r="K5383" i="14"/>
  <c r="L5383" i="14" s="1"/>
  <c r="I5384" i="14" s="1"/>
  <c r="M5550" i="13"/>
  <c r="J5547" i="13" a="1"/>
  <c r="J5547" i="13" s="1"/>
  <c r="N5548" i="13"/>
  <c r="M5551" i="14"/>
  <c r="N5547" i="14"/>
  <c r="J5546" i="14" a="1"/>
  <c r="J5546" i="14" s="1"/>
  <c r="J5548" i="13" l="1" a="1"/>
  <c r="J5548" i="13" s="1"/>
  <c r="N5549" i="13"/>
  <c r="N5548" i="14"/>
  <c r="J5547" i="14" a="1"/>
  <c r="J5547" i="14" s="1"/>
  <c r="K5384" i="14"/>
  <c r="L5384" i="14" s="1"/>
  <c r="I5385" i="14" s="1"/>
  <c r="M5552" i="14"/>
  <c r="M5551" i="13"/>
  <c r="K5362" i="13"/>
  <c r="L5362" i="13" s="1"/>
  <c r="I5363" i="13" s="1"/>
  <c r="K5363" i="13" l="1"/>
  <c r="L5363" i="13" s="1"/>
  <c r="I5364" i="13" s="1"/>
  <c r="M5553" i="14"/>
  <c r="J5548" i="14" a="1"/>
  <c r="J5548" i="14" s="1"/>
  <c r="N5549" i="14"/>
  <c r="M5552" i="13"/>
  <c r="N5550" i="13"/>
  <c r="J5549" i="13" a="1"/>
  <c r="J5549" i="13" s="1"/>
  <c r="K5385" i="14"/>
  <c r="L5385" i="14" s="1"/>
  <c r="I5386" i="14" s="1"/>
  <c r="K5364" i="13" l="1"/>
  <c r="L5364" i="13" s="1"/>
  <c r="I5365" i="13" s="1"/>
  <c r="J5550" i="13" a="1"/>
  <c r="J5550" i="13" s="1"/>
  <c r="N5551" i="13"/>
  <c r="M5553" i="13"/>
  <c r="M5554" i="14"/>
  <c r="K5386" i="14"/>
  <c r="L5386" i="14" s="1"/>
  <c r="I5387" i="14" s="1"/>
  <c r="N5550" i="14"/>
  <c r="J5549" i="14" a="1"/>
  <c r="J5549" i="14" s="1"/>
  <c r="K5387" i="14" l="1"/>
  <c r="L5387" i="14" s="1"/>
  <c r="I5388" i="14" s="1"/>
  <c r="K5365" i="13"/>
  <c r="L5365" i="13" s="1"/>
  <c r="I5366" i="13" s="1"/>
  <c r="M5555" i="14"/>
  <c r="J5551" i="13" a="1"/>
  <c r="J5551" i="13" s="1"/>
  <c r="N5552" i="13"/>
  <c r="N5551" i="14"/>
  <c r="J5550" i="14" a="1"/>
  <c r="J5550" i="14" s="1"/>
  <c r="M5554" i="13"/>
  <c r="K5366" i="13" l="1"/>
  <c r="L5366" i="13" s="1"/>
  <c r="I5367" i="13" s="1"/>
  <c r="K5388" i="14"/>
  <c r="L5388" i="14" s="1"/>
  <c r="I5389" i="14" s="1"/>
  <c r="J5552" i="13" a="1"/>
  <c r="J5552" i="13" s="1"/>
  <c r="N5553" i="13"/>
  <c r="M5555" i="13"/>
  <c r="N5552" i="14"/>
  <c r="J5551" i="14" a="1"/>
  <c r="J5551" i="14" s="1"/>
  <c r="M5556" i="14"/>
  <c r="K5389" i="14" l="1"/>
  <c r="L5389" i="14" s="1"/>
  <c r="I5390" i="14" s="1"/>
  <c r="K5367" i="13"/>
  <c r="L5367" i="13" s="1"/>
  <c r="I5368" i="13" s="1"/>
  <c r="N5554" i="13"/>
  <c r="J5553" i="13" a="1"/>
  <c r="J5553" i="13" s="1"/>
  <c r="M5557" i="14"/>
  <c r="M5556" i="13"/>
  <c r="J5552" i="14" a="1"/>
  <c r="J5552" i="14" s="1"/>
  <c r="N5553" i="14"/>
  <c r="K5368" i="13" l="1"/>
  <c r="L5368" i="13" s="1"/>
  <c r="I5369" i="13" s="1"/>
  <c r="K5390" i="14"/>
  <c r="L5390" i="14" s="1"/>
  <c r="I5391" i="14" s="1"/>
  <c r="N5554" i="14"/>
  <c r="J5553" i="14" a="1"/>
  <c r="J5553" i="14" s="1"/>
  <c r="M5558" i="14"/>
  <c r="M5557" i="13"/>
  <c r="J5554" i="13" a="1"/>
  <c r="J5554" i="13" s="1"/>
  <c r="N5555" i="13"/>
  <c r="K5391" i="14" l="1"/>
  <c r="L5391" i="14" s="1"/>
  <c r="I5392" i="14" s="1"/>
  <c r="K5369" i="13"/>
  <c r="L5369" i="13" s="1"/>
  <c r="I5370" i="13" s="1"/>
  <c r="J5555" i="13" a="1"/>
  <c r="J5555" i="13" s="1"/>
  <c r="N5556" i="13"/>
  <c r="M5559" i="14"/>
  <c r="M5558" i="13"/>
  <c r="N5555" i="14"/>
  <c r="J5554" i="14" a="1"/>
  <c r="J5554" i="14" s="1"/>
  <c r="K5370" i="13" l="1"/>
  <c r="L5370" i="13" s="1"/>
  <c r="I5371" i="13" s="1"/>
  <c r="K5392" i="14"/>
  <c r="L5392" i="14" s="1"/>
  <c r="I5393" i="14" s="1"/>
  <c r="M5560" i="14"/>
  <c r="J5556" i="13" a="1"/>
  <c r="J5556" i="13" s="1"/>
  <c r="N5557" i="13"/>
  <c r="N5556" i="14"/>
  <c r="J5555" i="14" a="1"/>
  <c r="J5555" i="14" s="1"/>
  <c r="M5559" i="13"/>
  <c r="K5371" i="13" l="1"/>
  <c r="L5371" i="13" s="1"/>
  <c r="I5372" i="13" s="1"/>
  <c r="N5558" i="13"/>
  <c r="J5557" i="13" a="1"/>
  <c r="J5557" i="13" s="1"/>
  <c r="M5560" i="13"/>
  <c r="K5393" i="14"/>
  <c r="L5393" i="14" s="1"/>
  <c r="I5394" i="14" s="1"/>
  <c r="J5556" i="14" a="1"/>
  <c r="J5556" i="14" s="1"/>
  <c r="N5557" i="14"/>
  <c r="M5561" i="14"/>
  <c r="K5394" i="14" l="1"/>
  <c r="L5394" i="14" s="1"/>
  <c r="I5395" i="14" s="1"/>
  <c r="K5372" i="13"/>
  <c r="L5372" i="13" s="1"/>
  <c r="I5373" i="13" s="1"/>
  <c r="J5558" i="13" a="1"/>
  <c r="J5558" i="13" s="1"/>
  <c r="N5559" i="13"/>
  <c r="N5558" i="14"/>
  <c r="J5557" i="14" a="1"/>
  <c r="J5557" i="14" s="1"/>
  <c r="M5561" i="13"/>
  <c r="M5562" i="14"/>
  <c r="K5373" i="13" l="1"/>
  <c r="L5373" i="13" s="1"/>
  <c r="I5374" i="13" s="1"/>
  <c r="K5395" i="14"/>
  <c r="L5395" i="14" s="1"/>
  <c r="I5396" i="14" s="1"/>
  <c r="N5559" i="14"/>
  <c r="J5558" i="14" a="1"/>
  <c r="J5558" i="14" s="1"/>
  <c r="J5559" i="13" a="1"/>
  <c r="J5559" i="13" s="1"/>
  <c r="N5560" i="13"/>
  <c r="M5563" i="14"/>
  <c r="M5562" i="13"/>
  <c r="K5396" i="14" l="1"/>
  <c r="L5396" i="14" s="1"/>
  <c r="I5397" i="14" s="1"/>
  <c r="K5374" i="13"/>
  <c r="L5374" i="13" s="1"/>
  <c r="I5375" i="13" s="1"/>
  <c r="J5560" i="13" a="1"/>
  <c r="J5560" i="13" s="1"/>
  <c r="N5561" i="13"/>
  <c r="M5563" i="13"/>
  <c r="M5564" i="14"/>
  <c r="N5560" i="14"/>
  <c r="J5559" i="14" a="1"/>
  <c r="J5559" i="14" s="1"/>
  <c r="K5397" i="14" l="1"/>
  <c r="L5397" i="14" s="1"/>
  <c r="I5398" i="14" s="1"/>
  <c r="K5375" i="13"/>
  <c r="L5375" i="13" s="1"/>
  <c r="I5376" i="13" s="1"/>
  <c r="M5564" i="13"/>
  <c r="N5562" i="13"/>
  <c r="J5561" i="13" a="1"/>
  <c r="J5561" i="13" s="1"/>
  <c r="J5560" i="14" a="1"/>
  <c r="J5560" i="14" s="1"/>
  <c r="N5561" i="14"/>
  <c r="M5565" i="14"/>
  <c r="K5376" i="13" l="1"/>
  <c r="L5376" i="13" s="1"/>
  <c r="I5377" i="13" s="1"/>
  <c r="K5398" i="14"/>
  <c r="L5398" i="14" s="1"/>
  <c r="I5399" i="14" s="1"/>
  <c r="N5562" i="14"/>
  <c r="J5561" i="14" a="1"/>
  <c r="J5561" i="14" s="1"/>
  <c r="M5565" i="13"/>
  <c r="M5566" i="14"/>
  <c r="J5562" i="13" a="1"/>
  <c r="J5562" i="13" s="1"/>
  <c r="N5563" i="13"/>
  <c r="K5399" i="14" l="1"/>
  <c r="L5399" i="14" s="1"/>
  <c r="I5400" i="14" s="1"/>
  <c r="K5377" i="13"/>
  <c r="L5377" i="13" s="1"/>
  <c r="I5378" i="13" s="1"/>
  <c r="J5563" i="13" a="1"/>
  <c r="J5563" i="13" s="1"/>
  <c r="N5564" i="13"/>
  <c r="M5566" i="13"/>
  <c r="M5567" i="14"/>
  <c r="N5563" i="14"/>
  <c r="J5562" i="14" a="1"/>
  <c r="J5562" i="14" s="1"/>
  <c r="K5378" i="13" l="1"/>
  <c r="L5378" i="13" s="1"/>
  <c r="I5379" i="13" s="1"/>
  <c r="K5400" i="14"/>
  <c r="L5400" i="14" s="1"/>
  <c r="I5401" i="14" s="1"/>
  <c r="N5564" i="14"/>
  <c r="J5563" i="14" a="1"/>
  <c r="J5563" i="14" s="1"/>
  <c r="M5567" i="13"/>
  <c r="J5564" i="13" a="1"/>
  <c r="J5564" i="13" s="1"/>
  <c r="N5565" i="13"/>
  <c r="M5568" i="14"/>
  <c r="K5379" i="13" l="1"/>
  <c r="L5379" i="13" s="1"/>
  <c r="I5380" i="13" s="1"/>
  <c r="M5569" i="14"/>
  <c r="M5568" i="13"/>
  <c r="K5401" i="14"/>
  <c r="L5401" i="14" s="1"/>
  <c r="I5402" i="14" s="1"/>
  <c r="N5566" i="13"/>
  <c r="J5565" i="13" a="1"/>
  <c r="J5565" i="13" s="1"/>
  <c r="J5564" i="14" a="1"/>
  <c r="J5564" i="14" s="1"/>
  <c r="N5565" i="14"/>
  <c r="K5380" i="13" l="1"/>
  <c r="L5380" i="13" s="1"/>
  <c r="I5381" i="13" s="1"/>
  <c r="N5566" i="14"/>
  <c r="J5565" i="14" a="1"/>
  <c r="J5565" i="14" s="1"/>
  <c r="M5570" i="14"/>
  <c r="K5402" i="14"/>
  <c r="L5402" i="14" s="1"/>
  <c r="I5403" i="14" s="1"/>
  <c r="M5569" i="13"/>
  <c r="J5566" i="13" a="1"/>
  <c r="J5566" i="13" s="1"/>
  <c r="N5567" i="13"/>
  <c r="K5403" i="14" l="1"/>
  <c r="L5403" i="14" s="1"/>
  <c r="I5404" i="14" s="1"/>
  <c r="K5381" i="13"/>
  <c r="L5381" i="13" s="1"/>
  <c r="I5382" i="13" s="1"/>
  <c r="J5567" i="13" a="1"/>
  <c r="J5567" i="13" s="1"/>
  <c r="N5568" i="13"/>
  <c r="N5567" i="14"/>
  <c r="J5566" i="14" a="1"/>
  <c r="J5566" i="14" s="1"/>
  <c r="M5571" i="14"/>
  <c r="M5570" i="13"/>
  <c r="K5404" i="14" l="1"/>
  <c r="L5404" i="14" s="1"/>
  <c r="I5405" i="14" s="1"/>
  <c r="N5568" i="14"/>
  <c r="J5567" i="14" a="1"/>
  <c r="J5567" i="14" s="1"/>
  <c r="K5382" i="13"/>
  <c r="L5382" i="13" s="1"/>
  <c r="I5383" i="13" s="1"/>
  <c r="J5568" i="13" a="1"/>
  <c r="J5568" i="13" s="1"/>
  <c r="N5569" i="13"/>
  <c r="M5571" i="13"/>
  <c r="M5572" i="14"/>
  <c r="K5383" i="13" l="1"/>
  <c r="L5383" i="13" s="1"/>
  <c r="I5384" i="13" s="1"/>
  <c r="K5405" i="14"/>
  <c r="L5405" i="14" s="1"/>
  <c r="I5406" i="14" s="1"/>
  <c r="N5570" i="13"/>
  <c r="J5569" i="13" a="1"/>
  <c r="J5569" i="13" s="1"/>
  <c r="J5568" i="14" a="1"/>
  <c r="J5568" i="14" s="1"/>
  <c r="N5569" i="14"/>
  <c r="M5573" i="14"/>
  <c r="M5572" i="13"/>
  <c r="K5406" i="14" l="1"/>
  <c r="L5406" i="14" s="1"/>
  <c r="I5407" i="14" s="1"/>
  <c r="K5384" i="13"/>
  <c r="L5384" i="13" s="1"/>
  <c r="I5385" i="13" s="1"/>
  <c r="N5570" i="14"/>
  <c r="J5569" i="14" a="1"/>
  <c r="J5569" i="14" s="1"/>
  <c r="M5573" i="13"/>
  <c r="M5574" i="14"/>
  <c r="J5570" i="13" a="1"/>
  <c r="J5570" i="13" s="1"/>
  <c r="N5571" i="13"/>
  <c r="K5385" i="13" l="1"/>
  <c r="L5385" i="13" s="1"/>
  <c r="I5386" i="13" s="1"/>
  <c r="K5407" i="14"/>
  <c r="L5407" i="14" s="1"/>
  <c r="I5408" i="14" s="1"/>
  <c r="M5574" i="13"/>
  <c r="J5571" i="13" a="1"/>
  <c r="J5571" i="13" s="1"/>
  <c r="N5572" i="13"/>
  <c r="M5575" i="14"/>
  <c r="N5571" i="14"/>
  <c r="J5570" i="14" a="1"/>
  <c r="J5570" i="14" s="1"/>
  <c r="K5408" i="14" l="1"/>
  <c r="L5408" i="14" s="1"/>
  <c r="I5409" i="14" s="1"/>
  <c r="K5386" i="13"/>
  <c r="L5386" i="13" s="1"/>
  <c r="I5387" i="13" s="1"/>
  <c r="J5572" i="13" a="1"/>
  <c r="J5572" i="13" s="1"/>
  <c r="N5573" i="13"/>
  <c r="N5572" i="14"/>
  <c r="J5571" i="14" a="1"/>
  <c r="J5571" i="14" s="1"/>
  <c r="M5576" i="14"/>
  <c r="M5575" i="13"/>
  <c r="K5387" i="13" l="1"/>
  <c r="L5387" i="13" s="1"/>
  <c r="I5388" i="13" s="1"/>
  <c r="K5409" i="14"/>
  <c r="L5409" i="14" s="1"/>
  <c r="I5410" i="14" s="1"/>
  <c r="J5572" i="14" a="1"/>
  <c r="J5572" i="14" s="1"/>
  <c r="N5573" i="14"/>
  <c r="N5574" i="13"/>
  <c r="J5573" i="13" a="1"/>
  <c r="J5573" i="13" s="1"/>
  <c r="M5576" i="13"/>
  <c r="M5577" i="14"/>
  <c r="K5410" i="14" l="1"/>
  <c r="L5410" i="14" s="1"/>
  <c r="I5411" i="14" s="1"/>
  <c r="K5388" i="13"/>
  <c r="L5388" i="13" s="1"/>
  <c r="I5389" i="13" s="1"/>
  <c r="J5574" i="13" a="1"/>
  <c r="J5574" i="13" s="1"/>
  <c r="N5575" i="13"/>
  <c r="M5577" i="13"/>
  <c r="N5574" i="14"/>
  <c r="J5573" i="14" a="1"/>
  <c r="J5573" i="14" s="1"/>
  <c r="M5578" i="14"/>
  <c r="K5389" i="13" l="1"/>
  <c r="L5389" i="13" s="1"/>
  <c r="I5390" i="13" s="1"/>
  <c r="K5411" i="14"/>
  <c r="L5411" i="14" s="1"/>
  <c r="I5412" i="14" s="1"/>
  <c r="M5579" i="14"/>
  <c r="N5575" i="14"/>
  <c r="J5574" i="14" a="1"/>
  <c r="J5574" i="14" s="1"/>
  <c r="M5578" i="13"/>
  <c r="J5575" i="13" a="1"/>
  <c r="J5575" i="13" s="1"/>
  <c r="N5576" i="13"/>
  <c r="K5412" i="14" l="1"/>
  <c r="L5412" i="14" s="1"/>
  <c r="I5413" i="14" s="1"/>
  <c r="K5390" i="13"/>
  <c r="L5390" i="13" s="1"/>
  <c r="I5391" i="13" s="1"/>
  <c r="N5576" i="14"/>
  <c r="J5575" i="14" a="1"/>
  <c r="J5575" i="14" s="1"/>
  <c r="J5576" i="13" a="1"/>
  <c r="J5576" i="13" s="1"/>
  <c r="N5577" i="13"/>
  <c r="M5579" i="13"/>
  <c r="M5580" i="14"/>
  <c r="K5391" i="13" l="1"/>
  <c r="L5391" i="13" s="1"/>
  <c r="I5392" i="13" s="1"/>
  <c r="K5413" i="14"/>
  <c r="L5413" i="14" s="1"/>
  <c r="I5414" i="14" s="1"/>
  <c r="N5578" i="13"/>
  <c r="J5577" i="13" a="1"/>
  <c r="J5577" i="13" s="1"/>
  <c r="M5581" i="14"/>
  <c r="M5580" i="13"/>
  <c r="J5576" i="14" a="1"/>
  <c r="J5576" i="14" s="1"/>
  <c r="N5577" i="14"/>
  <c r="K5414" i="14" l="1"/>
  <c r="L5414" i="14" s="1"/>
  <c r="I5415" i="14" s="1"/>
  <c r="K5392" i="13"/>
  <c r="L5392" i="13" s="1"/>
  <c r="I5393" i="13" s="1"/>
  <c r="N5578" i="14"/>
  <c r="J5577" i="14" a="1"/>
  <c r="J5577" i="14" s="1"/>
  <c r="M5582" i="14"/>
  <c r="M5581" i="13"/>
  <c r="J5578" i="13" a="1"/>
  <c r="J5578" i="13" s="1"/>
  <c r="N5579" i="13"/>
  <c r="K5393" i="13" l="1"/>
  <c r="L5393" i="13" s="1"/>
  <c r="I5394" i="13" s="1"/>
  <c r="N5579" i="14"/>
  <c r="J5578" i="14" a="1"/>
  <c r="J5578" i="14" s="1"/>
  <c r="J5579" i="13" a="1"/>
  <c r="J5579" i="13" s="1"/>
  <c r="N5580" i="13"/>
  <c r="M5583" i="14"/>
  <c r="M5582" i="13"/>
  <c r="K5415" i="14"/>
  <c r="L5415" i="14" s="1"/>
  <c r="I5416" i="14" s="1"/>
  <c r="K5416" i="14" l="1"/>
  <c r="L5416" i="14" s="1"/>
  <c r="I5417" i="14" s="1"/>
  <c r="K5394" i="13"/>
  <c r="L5394" i="13" s="1"/>
  <c r="I5395" i="13" s="1"/>
  <c r="N5580" i="14"/>
  <c r="J5579" i="14" a="1"/>
  <c r="J5579" i="14" s="1"/>
  <c r="M5584" i="14"/>
  <c r="J5580" i="13" a="1"/>
  <c r="J5580" i="13" s="1"/>
  <c r="N5581" i="13"/>
  <c r="M5583" i="13"/>
  <c r="K5395" i="13" l="1"/>
  <c r="L5395" i="13" s="1"/>
  <c r="I5396" i="13" s="1"/>
  <c r="K5417" i="14"/>
  <c r="L5417" i="14" s="1"/>
  <c r="I5418" i="14" s="1"/>
  <c r="N5582" i="13"/>
  <c r="J5581" i="13" a="1"/>
  <c r="J5581" i="13" s="1"/>
  <c r="M5585" i="14"/>
  <c r="M5584" i="13"/>
  <c r="J5580" i="14" a="1"/>
  <c r="J5580" i="14" s="1"/>
  <c r="N5581" i="14"/>
  <c r="K5418" i="14" l="1"/>
  <c r="L5418" i="14" s="1"/>
  <c r="I5419" i="14" s="1"/>
  <c r="K5396" i="13"/>
  <c r="L5396" i="13" s="1"/>
  <c r="I5397" i="13" s="1"/>
  <c r="N5582" i="14"/>
  <c r="J5581" i="14" a="1"/>
  <c r="J5581" i="14" s="1"/>
  <c r="M5586" i="14"/>
  <c r="M5585" i="13"/>
  <c r="J5582" i="13" a="1"/>
  <c r="J5582" i="13" s="1"/>
  <c r="N5583" i="13"/>
  <c r="K5419" i="14" l="1"/>
  <c r="L5419" i="14" s="1"/>
  <c r="I5420" i="14" s="1"/>
  <c r="J5583" i="13" a="1"/>
  <c r="J5583" i="13" s="1"/>
  <c r="N5584" i="13"/>
  <c r="M5587" i="14"/>
  <c r="M5586" i="13"/>
  <c r="K5397" i="13"/>
  <c r="L5397" i="13" s="1"/>
  <c r="I5398" i="13" s="1"/>
  <c r="J5582" i="14" a="1"/>
  <c r="J5582" i="14" s="1"/>
  <c r="N5583" i="14"/>
  <c r="K5398" i="13" l="1"/>
  <c r="L5398" i="13" s="1"/>
  <c r="I5399" i="13" s="1"/>
  <c r="K5420" i="14"/>
  <c r="L5420" i="14" s="1"/>
  <c r="I5421" i="14" s="1"/>
  <c r="N5584" i="14"/>
  <c r="J5583" i="14" a="1"/>
  <c r="J5583" i="14" s="1"/>
  <c r="J5584" i="13" a="1"/>
  <c r="J5584" i="13" s="1"/>
  <c r="N5585" i="13"/>
  <c r="M5587" i="13"/>
  <c r="M5588" i="14"/>
  <c r="K5421" i="14" l="1"/>
  <c r="L5421" i="14" s="1"/>
  <c r="I5422" i="14" s="1"/>
  <c r="K5399" i="13"/>
  <c r="L5399" i="13" s="1"/>
  <c r="I5400" i="13" s="1"/>
  <c r="N5586" i="13"/>
  <c r="J5585" i="13" a="1"/>
  <c r="J5585" i="13" s="1"/>
  <c r="M5589" i="14"/>
  <c r="M5588" i="13"/>
  <c r="J5584" i="14" a="1"/>
  <c r="J5584" i="14" s="1"/>
  <c r="N5585" i="14"/>
  <c r="K5400" i="13" l="1"/>
  <c r="L5400" i="13" s="1"/>
  <c r="I5401" i="13" s="1"/>
  <c r="K5422" i="14"/>
  <c r="L5422" i="14" s="1"/>
  <c r="I5423" i="14" s="1"/>
  <c r="M5590" i="14"/>
  <c r="J5585" i="14" a="1"/>
  <c r="J5585" i="14" s="1"/>
  <c r="N5586" i="14"/>
  <c r="M5589" i="13"/>
  <c r="J5586" i="13" a="1"/>
  <c r="J5586" i="13" s="1"/>
  <c r="N5587" i="13"/>
  <c r="K5423" i="14" l="1"/>
  <c r="L5423" i="14" s="1"/>
  <c r="I5424" i="14" s="1"/>
  <c r="K5401" i="13"/>
  <c r="L5401" i="13" s="1"/>
  <c r="I5402" i="13" s="1"/>
  <c r="J5587" i="13" a="1"/>
  <c r="J5587" i="13" s="1"/>
  <c r="N5588" i="13"/>
  <c r="J5586" i="14" a="1"/>
  <c r="J5586" i="14" s="1"/>
  <c r="N5587" i="14"/>
  <c r="M5591" i="14"/>
  <c r="M5590" i="13"/>
  <c r="K5402" i="13" l="1"/>
  <c r="L5402" i="13" s="1"/>
  <c r="I5403" i="13" s="1"/>
  <c r="K5424" i="14"/>
  <c r="L5424" i="14" s="1"/>
  <c r="I5425" i="14" s="1"/>
  <c r="N5588" i="14"/>
  <c r="J5587" i="14" a="1"/>
  <c r="J5587" i="14" s="1"/>
  <c r="M5591" i="13"/>
  <c r="J5588" i="13" a="1"/>
  <c r="J5588" i="13" s="1"/>
  <c r="N5589" i="13"/>
  <c r="M5592" i="14"/>
  <c r="K5425" i="14" l="1"/>
  <c r="L5425" i="14" s="1"/>
  <c r="I5426" i="14" s="1"/>
  <c r="K5403" i="13"/>
  <c r="L5403" i="13" s="1"/>
  <c r="I5404" i="13" s="1"/>
  <c r="N5590" i="13"/>
  <c r="J5589" i="13" a="1"/>
  <c r="J5589" i="13" s="1"/>
  <c r="M5593" i="14"/>
  <c r="M5592" i="13"/>
  <c r="J5588" i="14" a="1"/>
  <c r="J5588" i="14" s="1"/>
  <c r="N5589" i="14"/>
  <c r="K5404" i="13" l="1"/>
  <c r="L5404" i="13" s="1"/>
  <c r="I5405" i="13" s="1"/>
  <c r="K5426" i="14"/>
  <c r="L5426" i="14" s="1"/>
  <c r="I5427" i="14" s="1"/>
  <c r="J5589" i="14" a="1"/>
  <c r="J5589" i="14" s="1"/>
  <c r="N5590" i="14"/>
  <c r="M5593" i="13"/>
  <c r="M5594" i="14"/>
  <c r="J5590" i="13" a="1"/>
  <c r="J5590" i="13" s="1"/>
  <c r="N5591" i="13"/>
  <c r="K5427" i="14" l="1"/>
  <c r="L5427" i="14" s="1"/>
  <c r="I5428" i="14" s="1"/>
  <c r="K5405" i="13"/>
  <c r="L5405" i="13" s="1"/>
  <c r="I5406" i="13" s="1"/>
  <c r="J5591" i="13" a="1"/>
  <c r="J5591" i="13" s="1"/>
  <c r="N5592" i="13"/>
  <c r="M5595" i="14"/>
  <c r="M5594" i="13"/>
  <c r="N5591" i="14"/>
  <c r="J5590" i="14" a="1"/>
  <c r="J5590" i="14" s="1"/>
  <c r="K5406" i="13" l="1"/>
  <c r="L5406" i="13" s="1"/>
  <c r="I5407" i="13" s="1"/>
  <c r="K5428" i="14"/>
  <c r="L5428" i="14" s="1"/>
  <c r="I5429" i="14" s="1"/>
  <c r="N5592" i="14"/>
  <c r="J5591" i="14" a="1"/>
  <c r="J5591" i="14" s="1"/>
  <c r="M5596" i="14"/>
  <c r="J5592" i="13" a="1"/>
  <c r="J5592" i="13" s="1"/>
  <c r="N5593" i="13"/>
  <c r="M5595" i="13"/>
  <c r="K5429" i="14" l="1"/>
  <c r="L5429" i="14" s="1"/>
  <c r="I5430" i="14" s="1"/>
  <c r="K5407" i="13"/>
  <c r="L5407" i="13" s="1"/>
  <c r="I5408" i="13" s="1"/>
  <c r="N5594" i="13"/>
  <c r="J5593" i="13" a="1"/>
  <c r="J5593" i="13" s="1"/>
  <c r="M5596" i="13"/>
  <c r="M5597" i="14"/>
  <c r="J5592" i="14" a="1"/>
  <c r="J5592" i="14" s="1"/>
  <c r="N5593" i="14"/>
  <c r="K5408" i="13" l="1"/>
  <c r="L5408" i="13" s="1"/>
  <c r="I5409" i="13" s="1"/>
  <c r="K5430" i="14"/>
  <c r="L5430" i="14" s="1"/>
  <c r="I5431" i="14" s="1"/>
  <c r="N5594" i="14"/>
  <c r="J5593" i="14" a="1"/>
  <c r="J5593" i="14" s="1"/>
  <c r="M5597" i="13"/>
  <c r="M5598" i="14"/>
  <c r="J5594" i="13" a="1"/>
  <c r="J5594" i="13" s="1"/>
  <c r="N5595" i="13"/>
  <c r="K5431" i="14" l="1"/>
  <c r="L5431" i="14" s="1"/>
  <c r="I5432" i="14" s="1"/>
  <c r="K5409" i="13"/>
  <c r="L5409" i="13" s="1"/>
  <c r="I5410" i="13" s="1"/>
  <c r="J5595" i="13" a="1"/>
  <c r="J5595" i="13" s="1"/>
  <c r="N5596" i="13"/>
  <c r="M5598" i="13"/>
  <c r="M5599" i="14"/>
  <c r="N5595" i="14"/>
  <c r="J5594" i="14" a="1"/>
  <c r="J5594" i="14" s="1"/>
  <c r="K5410" i="13" l="1"/>
  <c r="L5410" i="13" s="1"/>
  <c r="I5411" i="13" s="1"/>
  <c r="K5432" i="14"/>
  <c r="L5432" i="14" s="1"/>
  <c r="I5433" i="14" s="1"/>
  <c r="N5596" i="14"/>
  <c r="J5595" i="14" a="1"/>
  <c r="J5595" i="14" s="1"/>
  <c r="M5599" i="13"/>
  <c r="M5600" i="14"/>
  <c r="J5596" i="13" a="1"/>
  <c r="J5596" i="13" s="1"/>
  <c r="N5597" i="13"/>
  <c r="K5433" i="14" l="1"/>
  <c r="L5433" i="14" s="1"/>
  <c r="I5434" i="14" s="1"/>
  <c r="K5411" i="13"/>
  <c r="L5411" i="13" s="1"/>
  <c r="I5412" i="13" s="1"/>
  <c r="M5600" i="13"/>
  <c r="N5598" i="13"/>
  <c r="J5597" i="13" a="1"/>
  <c r="J5597" i="13" s="1"/>
  <c r="M5601" i="14"/>
  <c r="J5596" i="14" a="1"/>
  <c r="J5596" i="14" s="1"/>
  <c r="N5597" i="14"/>
  <c r="K5412" i="13" l="1"/>
  <c r="L5412" i="13" s="1"/>
  <c r="I5413" i="13" s="1"/>
  <c r="K5434" i="14"/>
  <c r="L5434" i="14" s="1"/>
  <c r="I5435" i="14" s="1"/>
  <c r="J5598" i="13" a="1"/>
  <c r="J5598" i="13" s="1"/>
  <c r="N5599" i="13"/>
  <c r="J5597" i="14" a="1"/>
  <c r="J5597" i="14" s="1"/>
  <c r="N5598" i="14"/>
  <c r="M5602" i="14"/>
  <c r="M5601" i="13"/>
  <c r="K5435" i="14" l="1"/>
  <c r="L5435" i="14" s="1"/>
  <c r="I5436" i="14" s="1"/>
  <c r="K5413" i="13"/>
  <c r="L5413" i="13" s="1"/>
  <c r="I5414" i="13" s="1"/>
  <c r="N5599" i="14"/>
  <c r="J5598" i="14" a="1"/>
  <c r="J5598" i="14" s="1"/>
  <c r="J5599" i="13" a="1"/>
  <c r="J5599" i="13" s="1"/>
  <c r="N5600" i="13"/>
  <c r="M5602" i="13"/>
  <c r="M5603" i="14"/>
  <c r="K5414" i="13" l="1"/>
  <c r="L5414" i="13" s="1"/>
  <c r="I5415" i="13" s="1"/>
  <c r="K5436" i="14"/>
  <c r="L5436" i="14" s="1"/>
  <c r="I5437" i="14" s="1"/>
  <c r="J5600" i="13" a="1"/>
  <c r="J5600" i="13" s="1"/>
  <c r="N5601" i="13"/>
  <c r="M5604" i="14"/>
  <c r="M5603" i="13"/>
  <c r="J5599" i="14" a="1"/>
  <c r="J5599" i="14" s="1"/>
  <c r="N5600" i="14"/>
  <c r="K5437" i="14" l="1"/>
  <c r="L5437" i="14" s="1"/>
  <c r="I5438" i="14" s="1"/>
  <c r="K5415" i="13"/>
  <c r="L5415" i="13" s="1"/>
  <c r="I5416" i="13" s="1"/>
  <c r="J5600" i="14" a="1"/>
  <c r="J5600" i="14" s="1"/>
  <c r="N5601" i="14"/>
  <c r="M5605" i="14"/>
  <c r="N5602" i="13"/>
  <c r="J5601" i="13" a="1"/>
  <c r="J5601" i="13" s="1"/>
  <c r="M5604" i="13"/>
  <c r="K5416" i="13" l="1"/>
  <c r="L5416" i="13" s="1"/>
  <c r="I5417" i="13" s="1"/>
  <c r="K5438" i="14"/>
  <c r="L5438" i="14" s="1"/>
  <c r="I5439" i="14" s="1"/>
  <c r="M5606" i="14"/>
  <c r="J5602" i="13" a="1"/>
  <c r="J5602" i="13" s="1"/>
  <c r="N5603" i="13"/>
  <c r="M5605" i="13"/>
  <c r="J5601" i="14" a="1"/>
  <c r="J5601" i="14" s="1"/>
  <c r="N5602" i="14"/>
  <c r="K5439" i="14" l="1"/>
  <c r="L5439" i="14" s="1"/>
  <c r="I5440" i="14" s="1"/>
  <c r="K5417" i="13"/>
  <c r="L5417" i="13" s="1"/>
  <c r="I5418" i="13" s="1"/>
  <c r="J5603" i="13" a="1"/>
  <c r="J5603" i="13" s="1"/>
  <c r="N5604" i="13"/>
  <c r="N5603" i="14"/>
  <c r="J5602" i="14" a="1"/>
  <c r="J5602" i="14" s="1"/>
  <c r="M5606" i="13"/>
  <c r="M5607" i="14"/>
  <c r="K5418" i="13" l="1"/>
  <c r="L5418" i="13" s="1"/>
  <c r="I5419" i="13" s="1"/>
  <c r="K5440" i="14"/>
  <c r="L5440" i="14" s="1"/>
  <c r="I5441" i="14" s="1"/>
  <c r="J5603" i="14" a="1"/>
  <c r="J5603" i="14" s="1"/>
  <c r="N5604" i="14"/>
  <c r="J5604" i="13" a="1"/>
  <c r="J5604" i="13" s="1"/>
  <c r="N5605" i="13"/>
  <c r="M5608" i="14"/>
  <c r="M5607" i="13"/>
  <c r="K5441" i="14" l="1"/>
  <c r="L5441" i="14" s="1"/>
  <c r="I5442" i="14" s="1"/>
  <c r="K5419" i="13"/>
  <c r="L5419" i="13" s="1"/>
  <c r="I5420" i="13" s="1"/>
  <c r="N5606" i="13"/>
  <c r="J5605" i="13" a="1"/>
  <c r="J5605" i="13" s="1"/>
  <c r="J5604" i="14" a="1"/>
  <c r="J5604" i="14" s="1"/>
  <c r="N5605" i="14"/>
  <c r="M5608" i="13"/>
  <c r="M5609" i="14"/>
  <c r="K5420" i="13" l="1"/>
  <c r="L5420" i="13" s="1"/>
  <c r="I5421" i="13" s="1"/>
  <c r="K5442" i="14"/>
  <c r="L5442" i="14" s="1"/>
  <c r="I5443" i="14" s="1"/>
  <c r="N5606" i="14"/>
  <c r="J5605" i="14" a="1"/>
  <c r="J5605" i="14" s="1"/>
  <c r="M5610" i="14"/>
  <c r="M5609" i="13"/>
  <c r="J5606" i="13" a="1"/>
  <c r="J5606" i="13" s="1"/>
  <c r="N5607" i="13"/>
  <c r="K5443" i="14" l="1"/>
  <c r="L5443" i="14" s="1"/>
  <c r="I5444" i="14" s="1"/>
  <c r="M5610" i="13"/>
  <c r="J5607" i="13" a="1"/>
  <c r="J5607" i="13" s="1"/>
  <c r="N5608" i="13"/>
  <c r="N5607" i="14"/>
  <c r="J5606" i="14" a="1"/>
  <c r="J5606" i="14" s="1"/>
  <c r="K5421" i="13"/>
  <c r="L5421" i="13" s="1"/>
  <c r="I5422" i="13" s="1"/>
  <c r="M5611" i="14"/>
  <c r="K5422" i="13" l="1"/>
  <c r="L5422" i="13" s="1"/>
  <c r="I5423" i="13" s="1"/>
  <c r="K5444" i="14"/>
  <c r="L5444" i="14" s="1"/>
  <c r="I5445" i="14" s="1"/>
  <c r="M5612" i="14"/>
  <c r="J5607" i="14" a="1"/>
  <c r="J5607" i="14" s="1"/>
  <c r="N5608" i="14"/>
  <c r="M5611" i="13"/>
  <c r="J5608" i="13" a="1"/>
  <c r="J5608" i="13" s="1"/>
  <c r="N5609" i="13"/>
  <c r="K5445" i="14" l="1"/>
  <c r="L5445" i="14" s="1"/>
  <c r="I5446" i="14" s="1"/>
  <c r="K5423" i="13"/>
  <c r="L5423" i="13" s="1"/>
  <c r="I5424" i="13" s="1"/>
  <c r="N5609" i="14"/>
  <c r="J5608" i="14" a="1"/>
  <c r="J5608" i="14" s="1"/>
  <c r="N5610" i="13"/>
  <c r="J5609" i="13" a="1"/>
  <c r="J5609" i="13" s="1"/>
  <c r="M5613" i="14"/>
  <c r="M5612" i="13"/>
  <c r="K5424" i="13" l="1"/>
  <c r="L5424" i="13" s="1"/>
  <c r="I5425" i="13" s="1"/>
  <c r="K5446" i="14"/>
  <c r="L5446" i="14" s="1"/>
  <c r="I5447" i="14" s="1"/>
  <c r="J5610" i="13" a="1"/>
  <c r="J5610" i="13" s="1"/>
  <c r="N5611" i="13"/>
  <c r="M5613" i="13"/>
  <c r="M5614" i="14"/>
  <c r="N5610" i="14"/>
  <c r="J5609" i="14" a="1"/>
  <c r="J5609" i="14" s="1"/>
  <c r="K5447" i="14" l="1"/>
  <c r="L5447" i="14" s="1"/>
  <c r="I5448" i="14" s="1"/>
  <c r="K5425" i="13"/>
  <c r="L5425" i="13" s="1"/>
  <c r="I5426" i="13" s="1"/>
  <c r="N5611" i="14"/>
  <c r="J5610" i="14" a="1"/>
  <c r="J5610" i="14" s="1"/>
  <c r="M5614" i="13"/>
  <c r="J5611" i="13" a="1"/>
  <c r="J5611" i="13" s="1"/>
  <c r="N5612" i="13"/>
  <c r="M5615" i="14"/>
  <c r="K5448" i="14" l="1"/>
  <c r="L5448" i="14" s="1"/>
  <c r="I5449" i="14" s="1"/>
  <c r="J5612" i="13" a="1"/>
  <c r="J5612" i="13" s="1"/>
  <c r="N5613" i="13"/>
  <c r="M5616" i="14"/>
  <c r="K5426" i="13"/>
  <c r="L5426" i="13" s="1"/>
  <c r="I5427" i="13" s="1"/>
  <c r="M5615" i="13"/>
  <c r="J5611" i="14" a="1"/>
  <c r="J5611" i="14" s="1"/>
  <c r="N5612" i="14"/>
  <c r="K5427" i="13" l="1"/>
  <c r="L5427" i="13" s="1"/>
  <c r="I5428" i="13" s="1"/>
  <c r="K5449" i="14"/>
  <c r="L5449" i="14" s="1"/>
  <c r="I5450" i="14" s="1"/>
  <c r="N5614" i="13"/>
  <c r="J5613" i="13" a="1"/>
  <c r="J5613" i="13" s="1"/>
  <c r="N5613" i="14"/>
  <c r="J5612" i="14" a="1"/>
  <c r="J5612" i="14" s="1"/>
  <c r="M5616" i="13"/>
  <c r="M5617" i="14"/>
  <c r="K5450" i="14" l="1"/>
  <c r="L5450" i="14" s="1"/>
  <c r="I5451" i="14" s="1"/>
  <c r="K5428" i="13"/>
  <c r="L5428" i="13" s="1"/>
  <c r="I5429" i="13" s="1"/>
  <c r="N5614" i="14"/>
  <c r="J5613" i="14" a="1"/>
  <c r="J5613" i="14" s="1"/>
  <c r="M5618" i="14"/>
  <c r="M5617" i="13"/>
  <c r="J5614" i="13" a="1"/>
  <c r="J5614" i="13" s="1"/>
  <c r="N5615" i="13"/>
  <c r="K5429" i="13" l="1"/>
  <c r="L5429" i="13" s="1"/>
  <c r="I5430" i="13" s="1"/>
  <c r="K5451" i="14"/>
  <c r="L5451" i="14" s="1"/>
  <c r="I5452" i="14" s="1"/>
  <c r="J5615" i="13" a="1"/>
  <c r="J5615" i="13" s="1"/>
  <c r="N5616" i="13"/>
  <c r="M5619" i="14"/>
  <c r="M5618" i="13"/>
  <c r="N5615" i="14"/>
  <c r="J5614" i="14" a="1"/>
  <c r="J5614" i="14" s="1"/>
  <c r="K5430" i="13" l="1"/>
  <c r="L5430" i="13" s="1"/>
  <c r="I5431" i="13" s="1"/>
  <c r="K5452" i="14"/>
  <c r="L5452" i="14" s="1"/>
  <c r="I5453" i="14" s="1"/>
  <c r="J5615" i="14" a="1"/>
  <c r="J5615" i="14" s="1"/>
  <c r="N5616" i="14"/>
  <c r="M5620" i="14"/>
  <c r="J5616" i="13" a="1"/>
  <c r="J5616" i="13" s="1"/>
  <c r="N5617" i="13"/>
  <c r="M5619" i="13"/>
  <c r="K5453" i="14" l="1"/>
  <c r="L5453" i="14" s="1"/>
  <c r="I5454" i="14" s="1"/>
  <c r="K5431" i="13"/>
  <c r="L5431" i="13" s="1"/>
  <c r="I5432" i="13" s="1"/>
  <c r="N5618" i="13"/>
  <c r="J5617" i="13" a="1"/>
  <c r="J5617" i="13" s="1"/>
  <c r="M5620" i="13"/>
  <c r="M5621" i="14"/>
  <c r="N5617" i="14"/>
  <c r="J5616" i="14" a="1"/>
  <c r="J5616" i="14" s="1"/>
  <c r="K5432" i="13" l="1"/>
  <c r="L5432" i="13" s="1"/>
  <c r="I5433" i="13" s="1"/>
  <c r="K5454" i="14"/>
  <c r="L5454" i="14" s="1"/>
  <c r="I5455" i="14" s="1"/>
  <c r="N5618" i="14"/>
  <c r="J5617" i="14" a="1"/>
  <c r="J5617" i="14" s="1"/>
  <c r="M5621" i="13"/>
  <c r="M5622" i="14"/>
  <c r="J5618" i="13" a="1"/>
  <c r="J5618" i="13" s="1"/>
  <c r="N5619" i="13"/>
  <c r="K5455" i="14" l="1"/>
  <c r="L5455" i="14" s="1"/>
  <c r="I5456" i="14" s="1"/>
  <c r="K5433" i="13"/>
  <c r="L5433" i="13" s="1"/>
  <c r="I5434" i="13" s="1"/>
  <c r="J5619" i="13" a="1"/>
  <c r="J5619" i="13" s="1"/>
  <c r="N5620" i="13"/>
  <c r="M5622" i="13"/>
  <c r="M5623" i="14"/>
  <c r="N5619" i="14"/>
  <c r="J5618" i="14" a="1"/>
  <c r="J5618" i="14" s="1"/>
  <c r="K5434" i="13" l="1"/>
  <c r="L5434" i="13" s="1"/>
  <c r="I5435" i="13" s="1"/>
  <c r="J5619" i="14" a="1"/>
  <c r="J5619" i="14" s="1"/>
  <c r="N5620" i="14"/>
  <c r="M5623" i="13"/>
  <c r="J5620" i="13" a="1"/>
  <c r="J5620" i="13" s="1"/>
  <c r="N5621" i="13"/>
  <c r="M5624" i="14"/>
  <c r="K5456" i="14"/>
  <c r="L5456" i="14" s="1"/>
  <c r="I5457" i="14" s="1"/>
  <c r="K5457" i="14" l="1"/>
  <c r="L5457" i="14" s="1"/>
  <c r="I5458" i="14" s="1"/>
  <c r="K5435" i="13"/>
  <c r="L5435" i="13" s="1"/>
  <c r="I5436" i="13" s="1"/>
  <c r="N5622" i="13"/>
  <c r="J5621" i="13" a="1"/>
  <c r="J5621" i="13" s="1"/>
  <c r="N5621" i="14"/>
  <c r="J5620" i="14" a="1"/>
  <c r="J5620" i="14" s="1"/>
  <c r="M5625" i="14"/>
  <c r="M5624" i="13"/>
  <c r="K5458" i="14" l="1"/>
  <c r="L5458" i="14" s="1"/>
  <c r="I5459" i="14" s="1"/>
  <c r="N5622" i="14"/>
  <c r="J5621" i="14" a="1"/>
  <c r="J5621" i="14" s="1"/>
  <c r="K5436" i="13"/>
  <c r="L5436" i="13" s="1"/>
  <c r="I5437" i="13" s="1"/>
  <c r="M5625" i="13"/>
  <c r="M5626" i="14"/>
  <c r="J5622" i="13" a="1"/>
  <c r="J5622" i="13" s="1"/>
  <c r="N5623" i="13"/>
  <c r="K5437" i="13" l="1"/>
  <c r="L5437" i="13" s="1"/>
  <c r="I5438" i="13" s="1"/>
  <c r="K5459" i="14"/>
  <c r="L5459" i="14" s="1"/>
  <c r="I5460" i="14" s="1"/>
  <c r="N5623" i="14"/>
  <c r="J5622" i="14" a="1"/>
  <c r="J5622" i="14" s="1"/>
  <c r="J5623" i="13" a="1"/>
  <c r="J5623" i="13" s="1"/>
  <c r="N5624" i="13"/>
  <c r="M5626" i="13"/>
  <c r="M5627" i="14"/>
  <c r="K5460" i="14" l="1"/>
  <c r="L5460" i="14" s="1"/>
  <c r="I5461" i="14" s="1"/>
  <c r="K5438" i="13"/>
  <c r="L5438" i="13" s="1"/>
  <c r="I5439" i="13" s="1"/>
  <c r="J5624" i="13" a="1"/>
  <c r="J5624" i="13" s="1"/>
  <c r="N5625" i="13"/>
  <c r="M5628" i="14"/>
  <c r="M5627" i="13"/>
  <c r="J5623" i="14" a="1"/>
  <c r="J5623" i="14" s="1"/>
  <c r="N5624" i="14"/>
  <c r="K5439" i="13" l="1"/>
  <c r="L5439" i="13" s="1"/>
  <c r="I5440" i="13" s="1"/>
  <c r="K5461" i="14"/>
  <c r="L5461" i="14" s="1"/>
  <c r="I5462" i="14" s="1"/>
  <c r="M5628" i="13"/>
  <c r="N5625" i="14"/>
  <c r="J5624" i="14" a="1"/>
  <c r="J5624" i="14" s="1"/>
  <c r="M5629" i="14"/>
  <c r="N5626" i="13"/>
  <c r="J5625" i="13" a="1"/>
  <c r="J5625" i="13" s="1"/>
  <c r="K5462" i="14" l="1"/>
  <c r="L5462" i="14" s="1"/>
  <c r="I5463" i="14" s="1"/>
  <c r="K5440" i="13"/>
  <c r="L5440" i="13" s="1"/>
  <c r="I5441" i="13" s="1"/>
  <c r="N5626" i="14"/>
  <c r="J5625" i="14" a="1"/>
  <c r="J5625" i="14" s="1"/>
  <c r="J5626" i="13" a="1"/>
  <c r="J5626" i="13" s="1"/>
  <c r="N5627" i="13"/>
  <c r="M5630" i="14"/>
  <c r="M5629" i="13"/>
  <c r="K5441" i="13" l="1"/>
  <c r="L5441" i="13" s="1"/>
  <c r="I5442" i="13" s="1"/>
  <c r="K5463" i="14"/>
  <c r="L5463" i="14" s="1"/>
  <c r="I5464" i="14" s="1"/>
  <c r="J5627" i="13" a="1"/>
  <c r="J5627" i="13" s="1"/>
  <c r="N5628" i="13"/>
  <c r="M5630" i="13"/>
  <c r="M5631" i="14"/>
  <c r="N5627" i="14"/>
  <c r="J5626" i="14" a="1"/>
  <c r="J5626" i="14" s="1"/>
  <c r="K5464" i="14" l="1"/>
  <c r="L5464" i="14" s="1"/>
  <c r="I5465" i="14" s="1"/>
  <c r="K5442" i="13"/>
  <c r="L5442" i="13" s="1"/>
  <c r="I5443" i="13" s="1"/>
  <c r="J5627" i="14" a="1"/>
  <c r="J5627" i="14" s="1"/>
  <c r="N5628" i="14"/>
  <c r="M5631" i="13"/>
  <c r="M5632" i="14"/>
  <c r="J5628" i="13" a="1"/>
  <c r="J5628" i="13" s="1"/>
  <c r="N5629" i="13"/>
  <c r="K5443" i="13" l="1"/>
  <c r="L5443" i="13" s="1"/>
  <c r="I5444" i="13" s="1"/>
  <c r="K5465" i="14"/>
  <c r="L5465" i="14" s="1"/>
  <c r="I5466" i="14" s="1"/>
  <c r="N5630" i="13"/>
  <c r="J5629" i="13" a="1"/>
  <c r="J5629" i="13" s="1"/>
  <c r="M5632" i="13"/>
  <c r="N5629" i="14"/>
  <c r="J5628" i="14" a="1"/>
  <c r="J5628" i="14" s="1"/>
  <c r="M5633" i="14"/>
  <c r="K5466" i="14" l="1"/>
  <c r="L5466" i="14" s="1"/>
  <c r="I5467" i="14" s="1"/>
  <c r="K5444" i="13"/>
  <c r="L5444" i="13" s="1"/>
  <c r="I5445" i="13" s="1"/>
  <c r="M5634" i="14"/>
  <c r="M5633" i="13"/>
  <c r="N5630" i="14"/>
  <c r="J5629" i="14" a="1"/>
  <c r="J5629" i="14" s="1"/>
  <c r="J5630" i="13" a="1"/>
  <c r="J5630" i="13" s="1"/>
  <c r="N5631" i="13"/>
  <c r="K5445" i="13" l="1"/>
  <c r="L5445" i="13" s="1"/>
  <c r="I5446" i="13" s="1"/>
  <c r="K5467" i="14"/>
  <c r="L5467" i="14" s="1"/>
  <c r="I5468" i="14" s="1"/>
  <c r="J5631" i="13" a="1"/>
  <c r="J5631" i="13" s="1"/>
  <c r="N5632" i="13"/>
  <c r="M5634" i="13"/>
  <c r="N5631" i="14"/>
  <c r="J5630" i="14" a="1"/>
  <c r="J5630" i="14" s="1"/>
  <c r="M5635" i="14"/>
  <c r="K5446" i="13" l="1"/>
  <c r="L5446" i="13" s="1"/>
  <c r="I5447" i="13" s="1"/>
  <c r="K5468" i="14"/>
  <c r="L5468" i="14" s="1"/>
  <c r="I5469" i="14" s="1"/>
  <c r="J5632" i="13" a="1"/>
  <c r="J5632" i="13" s="1"/>
  <c r="N5633" i="13"/>
  <c r="M5636" i="14"/>
  <c r="M5635" i="13"/>
  <c r="J5631" i="14" a="1"/>
  <c r="J5631" i="14" s="1"/>
  <c r="N5632" i="14"/>
  <c r="K5469" i="14" l="1"/>
  <c r="L5469" i="14" s="1"/>
  <c r="I5470" i="14" s="1"/>
  <c r="K5447" i="13"/>
  <c r="L5447" i="13" s="1"/>
  <c r="I5448" i="13" s="1"/>
  <c r="N5633" i="14"/>
  <c r="J5632" i="14" a="1"/>
  <c r="J5632" i="14" s="1"/>
  <c r="M5637" i="14"/>
  <c r="N5634" i="13"/>
  <c r="J5633" i="13" a="1"/>
  <c r="J5633" i="13" s="1"/>
  <c r="M5636" i="13"/>
  <c r="K5448" i="13" l="1"/>
  <c r="L5448" i="13" s="1"/>
  <c r="I5449" i="13" s="1"/>
  <c r="K5470" i="14"/>
  <c r="L5470" i="14" s="1"/>
  <c r="I5471" i="14" s="1"/>
  <c r="M5638" i="14"/>
  <c r="M5637" i="13"/>
  <c r="J5634" i="13" a="1"/>
  <c r="J5634" i="13" s="1"/>
  <c r="N5635" i="13"/>
  <c r="N5634" i="14"/>
  <c r="J5633" i="14" a="1"/>
  <c r="J5633" i="14" s="1"/>
  <c r="K5471" i="14" l="1"/>
  <c r="L5471" i="14" s="1"/>
  <c r="I5472" i="14" s="1"/>
  <c r="K5449" i="13"/>
  <c r="L5449" i="13" s="1"/>
  <c r="I5450" i="13" s="1"/>
  <c r="N5635" i="14"/>
  <c r="J5634" i="14" a="1"/>
  <c r="J5634" i="14" s="1"/>
  <c r="M5638" i="13"/>
  <c r="J5635" i="13" a="1"/>
  <c r="J5635" i="13" s="1"/>
  <c r="N5636" i="13"/>
  <c r="M5639" i="14"/>
  <c r="K5450" i="13" l="1"/>
  <c r="L5450" i="13" s="1"/>
  <c r="I5451" i="13" s="1"/>
  <c r="K5472" i="14"/>
  <c r="L5472" i="14" s="1"/>
  <c r="I5473" i="14" s="1"/>
  <c r="J5636" i="13" a="1"/>
  <c r="J5636" i="13" s="1"/>
  <c r="N5637" i="13"/>
  <c r="M5640" i="14"/>
  <c r="M5639" i="13"/>
  <c r="J5635" i="14" a="1"/>
  <c r="J5635" i="14" s="1"/>
  <c r="N5636" i="14"/>
  <c r="K5473" i="14" l="1"/>
  <c r="L5473" i="14" s="1"/>
  <c r="I5474" i="14" s="1"/>
  <c r="K5451" i="13"/>
  <c r="L5451" i="13" s="1"/>
  <c r="I5452" i="13" s="1"/>
  <c r="N5637" i="14"/>
  <c r="J5636" i="14" a="1"/>
  <c r="J5636" i="14" s="1"/>
  <c r="M5641" i="14"/>
  <c r="N5638" i="13"/>
  <c r="J5637" i="13" a="1"/>
  <c r="J5637" i="13" s="1"/>
  <c r="M5640" i="13"/>
  <c r="K5452" i="13" l="1"/>
  <c r="L5452" i="13" s="1"/>
  <c r="I5453" i="13" s="1"/>
  <c r="K5474" i="14"/>
  <c r="L5474" i="14" s="1"/>
  <c r="I5475" i="14" s="1"/>
  <c r="M5642" i="14"/>
  <c r="M5641" i="13"/>
  <c r="J5638" i="13" a="1"/>
  <c r="J5638" i="13" s="1"/>
  <c r="N5639" i="13"/>
  <c r="N5638" i="14"/>
  <c r="J5637" i="14" a="1"/>
  <c r="J5637" i="14" s="1"/>
  <c r="K5475" i="14" l="1"/>
  <c r="L5475" i="14" s="1"/>
  <c r="I5476" i="14" s="1"/>
  <c r="K5453" i="13"/>
  <c r="L5453" i="13" s="1"/>
  <c r="I5454" i="13" s="1"/>
  <c r="N5639" i="14"/>
  <c r="J5638" i="14" a="1"/>
  <c r="J5638" i="14" s="1"/>
  <c r="M5642" i="13"/>
  <c r="J5639" i="13" a="1"/>
  <c r="J5639" i="13" s="1"/>
  <c r="N5640" i="13"/>
  <c r="M5643" i="14"/>
  <c r="K5476" i="14" l="1"/>
  <c r="L5476" i="14" s="1"/>
  <c r="I5477" i="14" s="1"/>
  <c r="M5644" i="14"/>
  <c r="M5643" i="13"/>
  <c r="K5454" i="13"/>
  <c r="L5454" i="13" s="1"/>
  <c r="I5455" i="13" s="1"/>
  <c r="J5640" i="13" a="1"/>
  <c r="J5640" i="13" s="1"/>
  <c r="N5641" i="13"/>
  <c r="J5639" i="14" a="1"/>
  <c r="J5639" i="14" s="1"/>
  <c r="N5640" i="14"/>
  <c r="K5455" i="13" l="1"/>
  <c r="L5455" i="13" s="1"/>
  <c r="I5456" i="13" s="1"/>
  <c r="K5477" i="14"/>
  <c r="L5477" i="14" s="1"/>
  <c r="I5478" i="14" s="1"/>
  <c r="N5641" i="14"/>
  <c r="J5640" i="14" a="1"/>
  <c r="J5640" i="14" s="1"/>
  <c r="M5645" i="14"/>
  <c r="N5642" i="13"/>
  <c r="J5641" i="13" a="1"/>
  <c r="J5641" i="13" s="1"/>
  <c r="M5644" i="13"/>
  <c r="K5478" i="14" l="1"/>
  <c r="L5478" i="14" s="1"/>
  <c r="I5479" i="14" s="1"/>
  <c r="K5456" i="13"/>
  <c r="L5456" i="13" s="1"/>
  <c r="I5457" i="13" s="1"/>
  <c r="J5642" i="13" a="1"/>
  <c r="J5642" i="13" s="1"/>
  <c r="N5643" i="13"/>
  <c r="M5645" i="13"/>
  <c r="M5646" i="14"/>
  <c r="J5641" i="14" a="1"/>
  <c r="J5641" i="14" s="1"/>
  <c r="N5642" i="14"/>
  <c r="K5457" i="13" l="1"/>
  <c r="L5457" i="13" s="1"/>
  <c r="I5458" i="13" s="1"/>
  <c r="K5479" i="14"/>
  <c r="L5479" i="14" s="1"/>
  <c r="I5480" i="14" s="1"/>
  <c r="N5643" i="14"/>
  <c r="J5642" i="14" a="1"/>
  <c r="J5642" i="14" s="1"/>
  <c r="M5646" i="13"/>
  <c r="J5643" i="13" a="1"/>
  <c r="J5643" i="13" s="1"/>
  <c r="N5644" i="13"/>
  <c r="M5647" i="14"/>
  <c r="K5458" i="13" l="1"/>
  <c r="L5458" i="13" s="1"/>
  <c r="I5459" i="13" s="1"/>
  <c r="J5644" i="13" a="1"/>
  <c r="J5644" i="13" s="1"/>
  <c r="N5645" i="13"/>
  <c r="M5648" i="14"/>
  <c r="M5647" i="13"/>
  <c r="K5480" i="14"/>
  <c r="L5480" i="14" s="1"/>
  <c r="I5481" i="14" s="1"/>
  <c r="J5643" i="14" a="1"/>
  <c r="J5643" i="14" s="1"/>
  <c r="N5644" i="14"/>
  <c r="K5481" i="14" l="1"/>
  <c r="L5481" i="14" s="1"/>
  <c r="I5482" i="14" s="1"/>
  <c r="K5459" i="13"/>
  <c r="L5459" i="13" s="1"/>
  <c r="I5460" i="13" s="1"/>
  <c r="N5646" i="13"/>
  <c r="J5645" i="13" a="1"/>
  <c r="J5645" i="13" s="1"/>
  <c r="M5648" i="13"/>
  <c r="J5644" i="14" a="1"/>
  <c r="J5644" i="14" s="1"/>
  <c r="N5645" i="14"/>
  <c r="M5649" i="14"/>
  <c r="K5460" i="13" l="1"/>
  <c r="L5460" i="13" s="1"/>
  <c r="I5461" i="13" s="1"/>
  <c r="K5482" i="14"/>
  <c r="L5482" i="14" s="1"/>
  <c r="I5483" i="14" s="1"/>
  <c r="J5645" i="14" a="1"/>
  <c r="J5645" i="14" s="1"/>
  <c r="N5646" i="14"/>
  <c r="M5650" i="14"/>
  <c r="M5649" i="13"/>
  <c r="J5646" i="13" a="1"/>
  <c r="J5646" i="13" s="1"/>
  <c r="N5647" i="13"/>
  <c r="K5483" i="14" l="1"/>
  <c r="L5483" i="14" s="1"/>
  <c r="I5484" i="14" s="1"/>
  <c r="K5461" i="13"/>
  <c r="L5461" i="13" s="1"/>
  <c r="I5462" i="13" s="1"/>
  <c r="J5647" i="13" a="1"/>
  <c r="J5647" i="13" s="1"/>
  <c r="N5648" i="13"/>
  <c r="M5651" i="14"/>
  <c r="N5647" i="14"/>
  <c r="J5646" i="14" a="1"/>
  <c r="J5646" i="14" s="1"/>
  <c r="M5650" i="13"/>
  <c r="K5462" i="13" l="1"/>
  <c r="L5462" i="13" s="1"/>
  <c r="I5463" i="13" s="1"/>
  <c r="K5484" i="14"/>
  <c r="L5484" i="14" s="1"/>
  <c r="I5485" i="14" s="1"/>
  <c r="M5651" i="13"/>
  <c r="M5652" i="14"/>
  <c r="J5648" i="13" a="1"/>
  <c r="J5648" i="13" s="1"/>
  <c r="N5649" i="13"/>
  <c r="J5647" i="14" a="1"/>
  <c r="J5647" i="14" s="1"/>
  <c r="N5648" i="14"/>
  <c r="K5485" i="14" l="1"/>
  <c r="L5485" i="14" s="1"/>
  <c r="I5486" i="14" s="1"/>
  <c r="K5463" i="13"/>
  <c r="L5463" i="13" s="1"/>
  <c r="I5464" i="13" s="1"/>
  <c r="J5648" i="14" a="1"/>
  <c r="J5648" i="14" s="1"/>
  <c r="N5649" i="14"/>
  <c r="M5653" i="14"/>
  <c r="N5650" i="13"/>
  <c r="J5649" i="13" a="1"/>
  <c r="J5649" i="13" s="1"/>
  <c r="M5652" i="13"/>
  <c r="K5464" i="13" l="1"/>
  <c r="L5464" i="13" s="1"/>
  <c r="I5465" i="13" s="1"/>
  <c r="K5486" i="14"/>
  <c r="L5486" i="14" s="1"/>
  <c r="I5487" i="14" s="1"/>
  <c r="M5653" i="13"/>
  <c r="M5654" i="14"/>
  <c r="J5649" i="14" a="1"/>
  <c r="J5649" i="14" s="1"/>
  <c r="N5650" i="14"/>
  <c r="J5650" i="13" a="1"/>
  <c r="J5650" i="13" s="1"/>
  <c r="N5651" i="13"/>
  <c r="K5487" i="14" l="1"/>
  <c r="L5487" i="14" s="1"/>
  <c r="I5488" i="14" s="1"/>
  <c r="K5465" i="13"/>
  <c r="L5465" i="13" s="1"/>
  <c r="I5466" i="13" s="1"/>
  <c r="M5655" i="14"/>
  <c r="N5651" i="14"/>
  <c r="J5650" i="14" a="1"/>
  <c r="J5650" i="14" s="1"/>
  <c r="J5651" i="13" a="1"/>
  <c r="J5651" i="13" s="1"/>
  <c r="N5652" i="13"/>
  <c r="M5654" i="13"/>
  <c r="K5466" i="13" l="1"/>
  <c r="L5466" i="13" s="1"/>
  <c r="I5467" i="13" s="1"/>
  <c r="K5488" i="14"/>
  <c r="L5488" i="14" s="1"/>
  <c r="I5489" i="14" s="1"/>
  <c r="J5651" i="14" a="1"/>
  <c r="J5651" i="14" s="1"/>
  <c r="N5652" i="14"/>
  <c r="J5652" i="13" a="1"/>
  <c r="J5652" i="13" s="1"/>
  <c r="N5653" i="13"/>
  <c r="M5656" i="14"/>
  <c r="M5655" i="13"/>
  <c r="K5489" i="14" l="1"/>
  <c r="L5489" i="14" s="1"/>
  <c r="I5490" i="14" s="1"/>
  <c r="K5467" i="13"/>
  <c r="L5467" i="13" s="1"/>
  <c r="I5468" i="13" s="1"/>
  <c r="N5654" i="13"/>
  <c r="J5653" i="13" a="1"/>
  <c r="J5653" i="13" s="1"/>
  <c r="J5652" i="14" a="1"/>
  <c r="J5652" i="14" s="1"/>
  <c r="N5653" i="14"/>
  <c r="M5656" i="13"/>
  <c r="M5657" i="14"/>
  <c r="K5468" i="13" l="1"/>
  <c r="L5468" i="13" s="1"/>
  <c r="I5469" i="13" s="1"/>
  <c r="K5490" i="14"/>
  <c r="L5490" i="14" s="1"/>
  <c r="I5491" i="14" s="1"/>
  <c r="M5658" i="14"/>
  <c r="N5654" i="14"/>
  <c r="J5653" i="14" a="1"/>
  <c r="J5653" i="14" s="1"/>
  <c r="M5657" i="13"/>
  <c r="J5654" i="13" a="1"/>
  <c r="J5654" i="13" s="1"/>
  <c r="N5655" i="13"/>
  <c r="K5491" i="14" l="1"/>
  <c r="L5491" i="14" s="1"/>
  <c r="I5492" i="14" s="1"/>
  <c r="K5469" i="13"/>
  <c r="L5469" i="13" s="1"/>
  <c r="I5470" i="13" s="1"/>
  <c r="N5655" i="14"/>
  <c r="J5654" i="14" a="1"/>
  <c r="J5654" i="14" s="1"/>
  <c r="J5655" i="13" a="1"/>
  <c r="J5655" i="13" s="1"/>
  <c r="N5656" i="13"/>
  <c r="M5658" i="13"/>
  <c r="M5659" i="14"/>
  <c r="K5470" i="13" l="1"/>
  <c r="L5470" i="13" s="1"/>
  <c r="I5471" i="13" s="1"/>
  <c r="K5492" i="14"/>
  <c r="L5492" i="14" s="1"/>
  <c r="I5493" i="14" s="1"/>
  <c r="M5660" i="14"/>
  <c r="J5656" i="13" a="1"/>
  <c r="J5656" i="13" s="1"/>
  <c r="N5657" i="13"/>
  <c r="M5659" i="13"/>
  <c r="J5655" i="14" a="1"/>
  <c r="J5655" i="14" s="1"/>
  <c r="N5656" i="14"/>
  <c r="K5493" i="14" l="1"/>
  <c r="L5493" i="14" s="1"/>
  <c r="I5494" i="14" s="1"/>
  <c r="K5471" i="13"/>
  <c r="L5471" i="13" s="1"/>
  <c r="I5472" i="13" s="1"/>
  <c r="N5657" i="14"/>
  <c r="J5656" i="14" a="1"/>
  <c r="J5656" i="14" s="1"/>
  <c r="N5658" i="13"/>
  <c r="J5657" i="13" a="1"/>
  <c r="J5657" i="13" s="1"/>
  <c r="M5661" i="14"/>
  <c r="M5660" i="13"/>
  <c r="K5472" i="13" l="1"/>
  <c r="L5472" i="13" s="1"/>
  <c r="I5473" i="13" s="1"/>
  <c r="K5494" i="14"/>
  <c r="L5494" i="14" s="1"/>
  <c r="I5495" i="14" s="1"/>
  <c r="J5658" i="13" a="1"/>
  <c r="J5658" i="13" s="1"/>
  <c r="N5659" i="13"/>
  <c r="M5661" i="13"/>
  <c r="M5662" i="14"/>
  <c r="J5657" i="14" a="1"/>
  <c r="J5657" i="14" s="1"/>
  <c r="N5658" i="14"/>
  <c r="K5495" i="14" l="1"/>
  <c r="L5495" i="14" s="1"/>
  <c r="I5496" i="14" s="1"/>
  <c r="K5473" i="13"/>
  <c r="L5473" i="13" s="1"/>
  <c r="I5474" i="13" s="1"/>
  <c r="N5659" i="14"/>
  <c r="J5658" i="14" a="1"/>
  <c r="J5658" i="14" s="1"/>
  <c r="M5662" i="13"/>
  <c r="J5659" i="13" a="1"/>
  <c r="J5659" i="13" s="1"/>
  <c r="N5660" i="13"/>
  <c r="M5663" i="14"/>
  <c r="K5474" i="13" l="1"/>
  <c r="L5474" i="13" s="1"/>
  <c r="I5475" i="13" s="1"/>
  <c r="K5496" i="14"/>
  <c r="L5496" i="14" s="1"/>
  <c r="I5497" i="14" s="1"/>
  <c r="M5664" i="14"/>
  <c r="J5660" i="13" a="1"/>
  <c r="J5660" i="13" s="1"/>
  <c r="N5661" i="13"/>
  <c r="M5663" i="13"/>
  <c r="J5659" i="14" a="1"/>
  <c r="J5659" i="14" s="1"/>
  <c r="N5660" i="14"/>
  <c r="K5497" i="14" l="1"/>
  <c r="L5497" i="14" s="1"/>
  <c r="I5498" i="14" s="1"/>
  <c r="K5475" i="13"/>
  <c r="L5475" i="13" s="1"/>
  <c r="I5476" i="13" s="1"/>
  <c r="J5660" i="14" a="1"/>
  <c r="J5660" i="14" s="1"/>
  <c r="N5661" i="14"/>
  <c r="N5662" i="13"/>
  <c r="J5661" i="13" a="1"/>
  <c r="J5661" i="13" s="1"/>
  <c r="M5664" i="13"/>
  <c r="M5665" i="14"/>
  <c r="K5476" i="13" l="1"/>
  <c r="L5476" i="13" s="1"/>
  <c r="I5477" i="13" s="1"/>
  <c r="K5498" i="14"/>
  <c r="L5498" i="14" s="1"/>
  <c r="I5499" i="14" s="1"/>
  <c r="M5666" i="14"/>
  <c r="J5662" i="13" a="1"/>
  <c r="J5662" i="13" s="1"/>
  <c r="N5663" i="13"/>
  <c r="M5665" i="13"/>
  <c r="J5661" i="14" a="1"/>
  <c r="J5661" i="14" s="1"/>
  <c r="N5662" i="14"/>
  <c r="K5499" i="14" l="1"/>
  <c r="L5499" i="14" s="1"/>
  <c r="I5500" i="14" s="1"/>
  <c r="K5477" i="13"/>
  <c r="L5477" i="13" s="1"/>
  <c r="I5478" i="13" s="1"/>
  <c r="J5663" i="13" a="1"/>
  <c r="J5663" i="13" s="1"/>
  <c r="N5664" i="13"/>
  <c r="N5663" i="14"/>
  <c r="J5662" i="14" a="1"/>
  <c r="J5662" i="14" s="1"/>
  <c r="M5666" i="13"/>
  <c r="M5667" i="14"/>
  <c r="K5478" i="13" l="1"/>
  <c r="L5478" i="13" s="1"/>
  <c r="I5479" i="13" s="1"/>
  <c r="K5500" i="14"/>
  <c r="L5500" i="14" s="1"/>
  <c r="I5501" i="14" s="1"/>
  <c r="J5663" i="14" a="1"/>
  <c r="J5663" i="14" s="1"/>
  <c r="N5664" i="14"/>
  <c r="J5664" i="13" a="1"/>
  <c r="J5664" i="13" s="1"/>
  <c r="N5665" i="13"/>
  <c r="M5668" i="14"/>
  <c r="M5667" i="13"/>
  <c r="K5501" i="14" l="1"/>
  <c r="L5501" i="14" s="1"/>
  <c r="I5502" i="14" s="1"/>
  <c r="K5479" i="13"/>
  <c r="L5479" i="13" s="1"/>
  <c r="I5480" i="13" s="1"/>
  <c r="N5666" i="13"/>
  <c r="J5665" i="13" a="1"/>
  <c r="J5665" i="13" s="1"/>
  <c r="J5664" i="14" a="1"/>
  <c r="J5664" i="14" s="1"/>
  <c r="N5665" i="14"/>
  <c r="M5668" i="13"/>
  <c r="M5669" i="14"/>
  <c r="K5480" i="13" l="1"/>
  <c r="L5480" i="13" s="1"/>
  <c r="I5481" i="13" s="1"/>
  <c r="K5502" i="14"/>
  <c r="L5502" i="14" s="1"/>
  <c r="I5503" i="14" s="1"/>
  <c r="M5670" i="14"/>
  <c r="J5665" i="14" a="1"/>
  <c r="J5665" i="14" s="1"/>
  <c r="N5666" i="14"/>
  <c r="M5669" i="13"/>
  <c r="J5666" i="13" a="1"/>
  <c r="J5666" i="13" s="1"/>
  <c r="N5667" i="13"/>
  <c r="K5503" i="14" l="1"/>
  <c r="L5503" i="14" s="1"/>
  <c r="I5504" i="14" s="1"/>
  <c r="K5481" i="13"/>
  <c r="L5481" i="13" s="1"/>
  <c r="I5482" i="13" s="1"/>
  <c r="N5667" i="14"/>
  <c r="J5666" i="14" a="1"/>
  <c r="J5666" i="14" s="1"/>
  <c r="J5667" i="13" a="1"/>
  <c r="J5667" i="13" s="1"/>
  <c r="N5668" i="13"/>
  <c r="M5670" i="13"/>
  <c r="M5671" i="14"/>
  <c r="K5482" i="13" l="1"/>
  <c r="L5482" i="13" s="1"/>
  <c r="I5483" i="13" s="1"/>
  <c r="K5504" i="14"/>
  <c r="L5504" i="14" s="1"/>
  <c r="I5505" i="14" s="1"/>
  <c r="J5668" i="13" a="1"/>
  <c r="J5668" i="13" s="1"/>
  <c r="N5669" i="13"/>
  <c r="M5672" i="14"/>
  <c r="M5671" i="13"/>
  <c r="J5667" i="14" a="1"/>
  <c r="J5667" i="14" s="1"/>
  <c r="N5668" i="14"/>
  <c r="K5505" i="14" l="1"/>
  <c r="L5505" i="14" s="1"/>
  <c r="I5506" i="14" s="1"/>
  <c r="K5483" i="13"/>
  <c r="L5483" i="13" s="1"/>
  <c r="I5484" i="13" s="1"/>
  <c r="M5673" i="14"/>
  <c r="N5670" i="13"/>
  <c r="J5669" i="13" a="1"/>
  <c r="J5669" i="13" s="1"/>
  <c r="J5668" i="14" a="1"/>
  <c r="J5668" i="14" s="1"/>
  <c r="N5669" i="14"/>
  <c r="M5672" i="13"/>
  <c r="K5484" i="13" l="1"/>
  <c r="L5484" i="13" s="1"/>
  <c r="I5485" i="13" s="1"/>
  <c r="K5506" i="14"/>
  <c r="L5506" i="14" s="1"/>
  <c r="I5507" i="14" s="1"/>
  <c r="J5670" i="13" a="1"/>
  <c r="J5670" i="13" s="1"/>
  <c r="N5671" i="13"/>
  <c r="N5670" i="14"/>
  <c r="J5669" i="14" a="1"/>
  <c r="J5669" i="14" s="1"/>
  <c r="M5674" i="14"/>
  <c r="M5673" i="13"/>
  <c r="K5507" i="14" l="1"/>
  <c r="L5507" i="14" s="1"/>
  <c r="I5508" i="14" s="1"/>
  <c r="K5485" i="13"/>
  <c r="L5485" i="13" s="1"/>
  <c r="I5486" i="13" s="1"/>
  <c r="M5674" i="13"/>
  <c r="N5671" i="14"/>
  <c r="J5670" i="14" a="1"/>
  <c r="J5670" i="14" s="1"/>
  <c r="J5671" i="13" a="1"/>
  <c r="J5671" i="13" s="1"/>
  <c r="N5672" i="13"/>
  <c r="M5675" i="14"/>
  <c r="K5486" i="13" l="1"/>
  <c r="L5486" i="13" s="1"/>
  <c r="I5487" i="13" s="1"/>
  <c r="K5508" i="14"/>
  <c r="L5508" i="14" s="1"/>
  <c r="I5509" i="14" s="1"/>
  <c r="J5671" i="14" a="1"/>
  <c r="J5671" i="14" s="1"/>
  <c r="N5672" i="14"/>
  <c r="J5672" i="13" a="1"/>
  <c r="J5672" i="13" s="1"/>
  <c r="N5673" i="13"/>
  <c r="M5676" i="14"/>
  <c r="M5675" i="13"/>
  <c r="K5509" i="14" l="1"/>
  <c r="L5509" i="14" s="1"/>
  <c r="I5510" i="14" s="1"/>
  <c r="K5487" i="13"/>
  <c r="L5487" i="13" s="1"/>
  <c r="I5488" i="13" s="1"/>
  <c r="N5674" i="13"/>
  <c r="J5673" i="13" a="1"/>
  <c r="J5673" i="13" s="1"/>
  <c r="N5673" i="14"/>
  <c r="J5672" i="14" a="1"/>
  <c r="J5672" i="14" s="1"/>
  <c r="M5676" i="13"/>
  <c r="M5677" i="14"/>
  <c r="K5488" i="13" l="1"/>
  <c r="L5488" i="13" s="1"/>
  <c r="I5489" i="13" s="1"/>
  <c r="K5510" i="14"/>
  <c r="L5510" i="14" s="1"/>
  <c r="I5511" i="14" s="1"/>
  <c r="N5674" i="14"/>
  <c r="J5673" i="14" a="1"/>
  <c r="J5673" i="14" s="1"/>
  <c r="M5678" i="14"/>
  <c r="M5677" i="13"/>
  <c r="J5674" i="13" a="1"/>
  <c r="J5674" i="13" s="1"/>
  <c r="N5675" i="13"/>
  <c r="K5511" i="14" l="1"/>
  <c r="L5511" i="14" s="1"/>
  <c r="I5512" i="14" s="1"/>
  <c r="K5489" i="13"/>
  <c r="L5489" i="13" s="1"/>
  <c r="I5490" i="13" s="1"/>
  <c r="J5675" i="13" a="1"/>
  <c r="J5675" i="13" s="1"/>
  <c r="N5676" i="13"/>
  <c r="M5679" i="14"/>
  <c r="M5678" i="13"/>
  <c r="N5675" i="14"/>
  <c r="J5674" i="14" a="1"/>
  <c r="J5674" i="14" s="1"/>
  <c r="K5490" i="13" l="1"/>
  <c r="L5490" i="13" s="1"/>
  <c r="I5491" i="13" s="1"/>
  <c r="K5512" i="14"/>
  <c r="L5512" i="14" s="1"/>
  <c r="I5513" i="14" s="1"/>
  <c r="J5675" i="14" a="1"/>
  <c r="J5675" i="14" s="1"/>
  <c r="N5676" i="14"/>
  <c r="M5680" i="14"/>
  <c r="J5676" i="13" a="1"/>
  <c r="J5676" i="13" s="1"/>
  <c r="N5677" i="13"/>
  <c r="M5679" i="13"/>
  <c r="K5513" i="14" l="1"/>
  <c r="L5513" i="14" s="1"/>
  <c r="I5514" i="14" s="1"/>
  <c r="K5491" i="13"/>
  <c r="L5491" i="13" s="1"/>
  <c r="I5492" i="13" s="1"/>
  <c r="M5680" i="13"/>
  <c r="M5681" i="14"/>
  <c r="N5678" i="13"/>
  <c r="J5677" i="13" a="1"/>
  <c r="J5677" i="13" s="1"/>
  <c r="J5676" i="14" a="1"/>
  <c r="J5676" i="14" s="1"/>
  <c r="N5677" i="14"/>
  <c r="K5492" i="13" l="1"/>
  <c r="L5492" i="13" s="1"/>
  <c r="I5493" i="13" s="1"/>
  <c r="K5514" i="14"/>
  <c r="L5514" i="14" s="1"/>
  <c r="I5515" i="14" s="1"/>
  <c r="M5682" i="14"/>
  <c r="N5678" i="14"/>
  <c r="J5677" i="14" a="1"/>
  <c r="J5677" i="14" s="1"/>
  <c r="M5681" i="13"/>
  <c r="J5678" i="13" a="1"/>
  <c r="J5678" i="13" s="1"/>
  <c r="N5679" i="13"/>
  <c r="K5515" i="14" l="1"/>
  <c r="L5515" i="14" s="1"/>
  <c r="I5516" i="14" s="1"/>
  <c r="K5493" i="13"/>
  <c r="L5493" i="13" s="1"/>
  <c r="I5494" i="13" s="1"/>
  <c r="N5679" i="14"/>
  <c r="J5678" i="14" a="1"/>
  <c r="J5678" i="14" s="1"/>
  <c r="J5679" i="13" a="1"/>
  <c r="J5679" i="13" s="1"/>
  <c r="N5680" i="13"/>
  <c r="M5682" i="13"/>
  <c r="M5683" i="14"/>
  <c r="K5494" i="13" l="1"/>
  <c r="L5494" i="13" s="1"/>
  <c r="I5495" i="13" s="1"/>
  <c r="K5516" i="14"/>
  <c r="L5516" i="14" s="1"/>
  <c r="I5517" i="14" s="1"/>
  <c r="J5680" i="13" a="1"/>
  <c r="J5680" i="13" s="1"/>
  <c r="N5681" i="13"/>
  <c r="M5684" i="14"/>
  <c r="M5683" i="13"/>
  <c r="J5679" i="14" a="1"/>
  <c r="J5679" i="14" s="1"/>
  <c r="N5680" i="14"/>
  <c r="K5517" i="14" l="1"/>
  <c r="L5517" i="14" s="1"/>
  <c r="I5518" i="14" s="1"/>
  <c r="K5495" i="13"/>
  <c r="L5495" i="13" s="1"/>
  <c r="I5496" i="13" s="1"/>
  <c r="J5680" i="14" a="1"/>
  <c r="J5680" i="14" s="1"/>
  <c r="N5681" i="14"/>
  <c r="M5685" i="14"/>
  <c r="N5682" i="13"/>
  <c r="J5681" i="13" a="1"/>
  <c r="J5681" i="13" s="1"/>
  <c r="M5684" i="13"/>
  <c r="K5496" i="13" l="1"/>
  <c r="L5496" i="13" s="1"/>
  <c r="I5497" i="13" s="1"/>
  <c r="K5518" i="14"/>
  <c r="L5518" i="14" s="1"/>
  <c r="I5519" i="14" s="1"/>
  <c r="M5685" i="13"/>
  <c r="M5686" i="14"/>
  <c r="J5682" i="13" a="1"/>
  <c r="J5682" i="13" s="1"/>
  <c r="N5683" i="13"/>
  <c r="J5681" i="14" a="1"/>
  <c r="J5681" i="14" s="1"/>
  <c r="N5682" i="14"/>
  <c r="K5497" i="13" l="1"/>
  <c r="L5497" i="13" s="1"/>
  <c r="I5498" i="13" s="1"/>
  <c r="N5683" i="14"/>
  <c r="J5682" i="14" a="1"/>
  <c r="J5682" i="14" s="1"/>
  <c r="M5687" i="14"/>
  <c r="K5519" i="14"/>
  <c r="L5519" i="14" s="1"/>
  <c r="I5520" i="14" s="1"/>
  <c r="J5683" i="13" a="1"/>
  <c r="J5683" i="13" s="1"/>
  <c r="N5684" i="13"/>
  <c r="M5686" i="13"/>
  <c r="K5520" i="14" l="1"/>
  <c r="L5520" i="14" s="1"/>
  <c r="I5521" i="14" s="1"/>
  <c r="K5498" i="13"/>
  <c r="L5498" i="13" s="1"/>
  <c r="I5499" i="13" s="1"/>
  <c r="M5687" i="13"/>
  <c r="J5683" i="14" a="1"/>
  <c r="J5683" i="14" s="1"/>
  <c r="N5684" i="14"/>
  <c r="J5684" i="13" a="1"/>
  <c r="J5684" i="13" s="1"/>
  <c r="N5685" i="13"/>
  <c r="M5688" i="14"/>
  <c r="K5499" i="13" l="1"/>
  <c r="L5499" i="13" s="1"/>
  <c r="I5500" i="13" s="1"/>
  <c r="K5521" i="14"/>
  <c r="L5521" i="14" s="1"/>
  <c r="I5522" i="14" s="1"/>
  <c r="J5684" i="14" a="1"/>
  <c r="J5684" i="14" s="1"/>
  <c r="N5685" i="14"/>
  <c r="M5689" i="14"/>
  <c r="N5686" i="13"/>
  <c r="J5685" i="13" a="1"/>
  <c r="J5685" i="13" s="1"/>
  <c r="M5688" i="13"/>
  <c r="K5522" i="14" l="1"/>
  <c r="L5522" i="14" s="1"/>
  <c r="I5523" i="14" s="1"/>
  <c r="K5500" i="13"/>
  <c r="L5500" i="13" s="1"/>
  <c r="I5501" i="13" s="1"/>
  <c r="M5689" i="13"/>
  <c r="M5690" i="14"/>
  <c r="J5686" i="13" a="1"/>
  <c r="J5686" i="13" s="1"/>
  <c r="N5687" i="13"/>
  <c r="N5686" i="14"/>
  <c r="J5685" i="14" a="1"/>
  <c r="J5685" i="14" s="1"/>
  <c r="K5501" i="13" l="1"/>
  <c r="L5501" i="13" s="1"/>
  <c r="I5502" i="13" s="1"/>
  <c r="K5523" i="14"/>
  <c r="L5523" i="14" s="1"/>
  <c r="I5524" i="14" s="1"/>
  <c r="N5687" i="14"/>
  <c r="J5686" i="14" a="1"/>
  <c r="J5686" i="14" s="1"/>
  <c r="M5691" i="14"/>
  <c r="J5687" i="13" a="1"/>
  <c r="J5687" i="13" s="1"/>
  <c r="N5688" i="13"/>
  <c r="M5690" i="13"/>
  <c r="K5524" i="14" l="1"/>
  <c r="L5524" i="14" s="1"/>
  <c r="I5525" i="14" s="1"/>
  <c r="K5502" i="13"/>
  <c r="L5502" i="13" s="1"/>
  <c r="I5503" i="13" s="1"/>
  <c r="M5691" i="13"/>
  <c r="M5692" i="14"/>
  <c r="J5688" i="13" a="1"/>
  <c r="J5688" i="13" s="1"/>
  <c r="N5689" i="13"/>
  <c r="J5687" i="14" a="1"/>
  <c r="J5687" i="14" s="1"/>
  <c r="N5688" i="14"/>
  <c r="K5503" i="13" l="1"/>
  <c r="L5503" i="13" s="1"/>
  <c r="I5504" i="13" s="1"/>
  <c r="K5525" i="14"/>
  <c r="L5525" i="14" s="1"/>
  <c r="I5526" i="14" s="1"/>
  <c r="J5688" i="14" a="1"/>
  <c r="J5688" i="14" s="1"/>
  <c r="N5689" i="14"/>
  <c r="M5693" i="14"/>
  <c r="N5690" i="13"/>
  <c r="J5689" i="13" a="1"/>
  <c r="J5689" i="13" s="1"/>
  <c r="M5692" i="13"/>
  <c r="K5526" i="14" l="1"/>
  <c r="L5526" i="14" s="1"/>
  <c r="I5527" i="14" s="1"/>
  <c r="K5504" i="13"/>
  <c r="L5504" i="13" s="1"/>
  <c r="I5505" i="13" s="1"/>
  <c r="M5693" i="13"/>
  <c r="M5694" i="14"/>
  <c r="J5690" i="13" a="1"/>
  <c r="J5690" i="13" s="1"/>
  <c r="N5691" i="13"/>
  <c r="J5689" i="14" a="1"/>
  <c r="J5689" i="14" s="1"/>
  <c r="N5690" i="14"/>
  <c r="K5505" i="13" l="1"/>
  <c r="L5505" i="13" s="1"/>
  <c r="I5506" i="13" s="1"/>
  <c r="K5527" i="14"/>
  <c r="L5527" i="14" s="1"/>
  <c r="I5528" i="14" s="1"/>
  <c r="J5691" i="13" a="1"/>
  <c r="J5691" i="13" s="1"/>
  <c r="N5692" i="13"/>
  <c r="N5691" i="14"/>
  <c r="J5690" i="14" a="1"/>
  <c r="J5690" i="14" s="1"/>
  <c r="M5695" i="14"/>
  <c r="M5694" i="13"/>
  <c r="K5528" i="14" l="1"/>
  <c r="L5528" i="14" s="1"/>
  <c r="I5529" i="14" s="1"/>
  <c r="K5506" i="13"/>
  <c r="L5506" i="13" s="1"/>
  <c r="I5507" i="13" s="1"/>
  <c r="M5695" i="13"/>
  <c r="J5691" i="14" a="1"/>
  <c r="J5691" i="14" s="1"/>
  <c r="N5692" i="14"/>
  <c r="J5692" i="13" a="1"/>
  <c r="J5692" i="13" s="1"/>
  <c r="N5693" i="13"/>
  <c r="M5696" i="14"/>
  <c r="K5507" i="13" l="1"/>
  <c r="L5507" i="13" s="1"/>
  <c r="I5508" i="13" s="1"/>
  <c r="K5529" i="14"/>
  <c r="L5529" i="14" s="1"/>
  <c r="I5530" i="14" s="1"/>
  <c r="J5692" i="14" a="1"/>
  <c r="J5692" i="14" s="1"/>
  <c r="N5693" i="14"/>
  <c r="N5694" i="13"/>
  <c r="J5693" i="13" a="1"/>
  <c r="J5693" i="13" s="1"/>
  <c r="M5697" i="14"/>
  <c r="M5696" i="13"/>
  <c r="K5530" i="14" l="1"/>
  <c r="L5530" i="14" s="1"/>
  <c r="I5531" i="14" s="1"/>
  <c r="K5508" i="13"/>
  <c r="L5508" i="13" s="1"/>
  <c r="I5509" i="13" s="1"/>
  <c r="M5697" i="13"/>
  <c r="J5694" i="13" a="1"/>
  <c r="J5694" i="13" s="1"/>
  <c r="N5695" i="13"/>
  <c r="N5694" i="14"/>
  <c r="J5693" i="14" a="1"/>
  <c r="J5693" i="14" s="1"/>
  <c r="M5698" i="14"/>
  <c r="K5509" i="13" l="1"/>
  <c r="L5509" i="13" s="1"/>
  <c r="I5510" i="13" s="1"/>
  <c r="K5531" i="14"/>
  <c r="L5531" i="14" s="1"/>
  <c r="I5532" i="14" s="1"/>
  <c r="J5695" i="13" a="1"/>
  <c r="J5695" i="13" s="1"/>
  <c r="N5696" i="13"/>
  <c r="M5699" i="14"/>
  <c r="N5695" i="14"/>
  <c r="J5694" i="14" a="1"/>
  <c r="J5694" i="14" s="1"/>
  <c r="M5698" i="13"/>
  <c r="K5532" i="14" l="1"/>
  <c r="L5532" i="14" s="1"/>
  <c r="I5533" i="14" s="1"/>
  <c r="K5510" i="13"/>
  <c r="L5510" i="13" s="1"/>
  <c r="I5511" i="13" s="1"/>
  <c r="J5695" i="14" a="1"/>
  <c r="J5695" i="14" s="1"/>
  <c r="N5696" i="14"/>
  <c r="M5699" i="13"/>
  <c r="M5700" i="14"/>
  <c r="J5696" i="13" a="1"/>
  <c r="J5696" i="13" s="1"/>
  <c r="N5697" i="13"/>
  <c r="K5511" i="13" l="1"/>
  <c r="L5511" i="13" s="1"/>
  <c r="I5512" i="13" s="1"/>
  <c r="K5533" i="14"/>
  <c r="L5533" i="14" s="1"/>
  <c r="I5534" i="14" s="1"/>
  <c r="N5698" i="13"/>
  <c r="J5697" i="13" a="1"/>
  <c r="J5697" i="13" s="1"/>
  <c r="M5700" i="13"/>
  <c r="J5696" i="14" a="1"/>
  <c r="J5696" i="14" s="1"/>
  <c r="N5697" i="14"/>
  <c r="M5701" i="14"/>
  <c r="K5512" i="13" l="1"/>
  <c r="L5512" i="13" s="1"/>
  <c r="I5513" i="13" s="1"/>
  <c r="J5697" i="14" a="1"/>
  <c r="J5697" i="14" s="1"/>
  <c r="N5698" i="14"/>
  <c r="M5702" i="14"/>
  <c r="M5701" i="13"/>
  <c r="K5534" i="14"/>
  <c r="L5534" i="14" s="1"/>
  <c r="I5535" i="14" s="1"/>
  <c r="J5698" i="13" a="1"/>
  <c r="J5698" i="13" s="1"/>
  <c r="N5699" i="13"/>
  <c r="K5535" i="14" l="1"/>
  <c r="L5535" i="14" s="1"/>
  <c r="I5536" i="14" s="1"/>
  <c r="K5513" i="13"/>
  <c r="L5513" i="13" s="1"/>
  <c r="I5514" i="13" s="1"/>
  <c r="N5699" i="14"/>
  <c r="J5698" i="14" a="1"/>
  <c r="J5698" i="14" s="1"/>
  <c r="J5699" i="13" a="1"/>
  <c r="J5699" i="13" s="1"/>
  <c r="N5700" i="13"/>
  <c r="M5702" i="13"/>
  <c r="M5703" i="14"/>
  <c r="K5536" i="14" l="1"/>
  <c r="L5536" i="14" s="1"/>
  <c r="I5537" i="14" s="1"/>
  <c r="J5700" i="13" a="1"/>
  <c r="J5700" i="13" s="1"/>
  <c r="N5701" i="13"/>
  <c r="K5514" i="13"/>
  <c r="L5514" i="13" s="1"/>
  <c r="I5515" i="13" s="1"/>
  <c r="M5704" i="14"/>
  <c r="M5703" i="13"/>
  <c r="J5699" i="14" a="1"/>
  <c r="J5699" i="14" s="1"/>
  <c r="N5700" i="14"/>
  <c r="K5515" i="13" l="1"/>
  <c r="L5515" i="13" s="1"/>
  <c r="I5516" i="13" s="1"/>
  <c r="K5537" i="14"/>
  <c r="L5537" i="14" s="1"/>
  <c r="I5538" i="14" s="1"/>
  <c r="J5700" i="14" a="1"/>
  <c r="J5700" i="14" s="1"/>
  <c r="N5701" i="14"/>
  <c r="N5702" i="13"/>
  <c r="J5701" i="13" a="1"/>
  <c r="J5701" i="13" s="1"/>
  <c r="M5705" i="14"/>
  <c r="M5704" i="13"/>
  <c r="K5538" i="14" l="1"/>
  <c r="L5538" i="14" s="1"/>
  <c r="I5539" i="14" s="1"/>
  <c r="K5516" i="13"/>
  <c r="L5516" i="13" s="1"/>
  <c r="I5517" i="13" s="1"/>
  <c r="J5702" i="13" a="1"/>
  <c r="J5702" i="13" s="1"/>
  <c r="N5703" i="13"/>
  <c r="N5702" i="14"/>
  <c r="J5701" i="14" a="1"/>
  <c r="J5701" i="14" s="1"/>
  <c r="M5705" i="13"/>
  <c r="M5706" i="14"/>
  <c r="K5517" i="13" l="1"/>
  <c r="L5517" i="13" s="1"/>
  <c r="I5518" i="13" s="1"/>
  <c r="K5539" i="14"/>
  <c r="L5539" i="14" s="1"/>
  <c r="I5540" i="14" s="1"/>
  <c r="N5703" i="14"/>
  <c r="J5702" i="14" a="1"/>
  <c r="J5702" i="14" s="1"/>
  <c r="J5703" i="13" a="1"/>
  <c r="J5703" i="13" s="1"/>
  <c r="N5704" i="13"/>
  <c r="M5707" i="14"/>
  <c r="M5706" i="13"/>
  <c r="K5540" i="14" l="1"/>
  <c r="L5540" i="14" s="1"/>
  <c r="I5541" i="14" s="1"/>
  <c r="K5518" i="13"/>
  <c r="L5518" i="13" s="1"/>
  <c r="I5519" i="13" s="1"/>
  <c r="J5704" i="13" a="1"/>
  <c r="J5704" i="13" s="1"/>
  <c r="N5705" i="13"/>
  <c r="M5707" i="13"/>
  <c r="M5708" i="14"/>
  <c r="J5703" i="14" a="1"/>
  <c r="J5703" i="14" s="1"/>
  <c r="N5704" i="14"/>
  <c r="K5519" i="13" l="1"/>
  <c r="L5519" i="13" s="1"/>
  <c r="I5520" i="13" s="1"/>
  <c r="K5541" i="14"/>
  <c r="L5541" i="14" s="1"/>
  <c r="I5542" i="14" s="1"/>
  <c r="J5704" i="14" a="1"/>
  <c r="J5704" i="14" s="1"/>
  <c r="N5705" i="14"/>
  <c r="M5708" i="13"/>
  <c r="N5706" i="13"/>
  <c r="J5705" i="13" a="1"/>
  <c r="J5705" i="13" s="1"/>
  <c r="M5709" i="14"/>
  <c r="K5542" i="14" l="1"/>
  <c r="L5542" i="14" s="1"/>
  <c r="I5543" i="14" s="1"/>
  <c r="K5520" i="13"/>
  <c r="L5520" i="13" s="1"/>
  <c r="I5521" i="13" s="1"/>
  <c r="M5710" i="14"/>
  <c r="M5709" i="13"/>
  <c r="J5706" i="13" a="1"/>
  <c r="J5706" i="13" s="1"/>
  <c r="N5707" i="13"/>
  <c r="J5705" i="14" a="1"/>
  <c r="J5705" i="14" s="1"/>
  <c r="N5706" i="14"/>
  <c r="K5521" i="13" l="1"/>
  <c r="L5521" i="13" s="1"/>
  <c r="I5522" i="13" s="1"/>
  <c r="K5543" i="14"/>
  <c r="L5543" i="14" s="1"/>
  <c r="I5544" i="14" s="1"/>
  <c r="N5707" i="14"/>
  <c r="J5706" i="14" a="1"/>
  <c r="J5706" i="14" s="1"/>
  <c r="M5710" i="13"/>
  <c r="J5707" i="13" a="1"/>
  <c r="J5707" i="13" s="1"/>
  <c r="N5708" i="13"/>
  <c r="M5711" i="14"/>
  <c r="K5544" i="14" l="1"/>
  <c r="L5544" i="14" s="1"/>
  <c r="I5545" i="14" s="1"/>
  <c r="K5522" i="13"/>
  <c r="L5522" i="13" s="1"/>
  <c r="I5523" i="13" s="1"/>
  <c r="J5708" i="13" a="1"/>
  <c r="J5708" i="13" s="1"/>
  <c r="N5709" i="13"/>
  <c r="M5712" i="14"/>
  <c r="M5711" i="13"/>
  <c r="J5707" i="14" a="1"/>
  <c r="J5707" i="14" s="1"/>
  <c r="N5708" i="14"/>
  <c r="K5523" i="13" l="1"/>
  <c r="L5523" i="13" s="1"/>
  <c r="I5524" i="13" s="1"/>
  <c r="K5545" i="14"/>
  <c r="L5545" i="14" s="1"/>
  <c r="I5546" i="14" s="1"/>
  <c r="J5708" i="14" a="1"/>
  <c r="J5708" i="14" s="1"/>
  <c r="N5709" i="14"/>
  <c r="M5713" i="14"/>
  <c r="N5710" i="13"/>
  <c r="J5709" i="13" a="1"/>
  <c r="J5709" i="13" s="1"/>
  <c r="M5712" i="13"/>
  <c r="J5710" i="13" l="1" a="1"/>
  <c r="J5710" i="13" s="1"/>
  <c r="N5711" i="13"/>
  <c r="M5713" i="13"/>
  <c r="M5714" i="14"/>
  <c r="K5546" i="14"/>
  <c r="L5546" i="14" s="1"/>
  <c r="I5547" i="14" s="1"/>
  <c r="N5710" i="14"/>
  <c r="J5709" i="14" a="1"/>
  <c r="J5709" i="14" s="1"/>
  <c r="K5524" i="13"/>
  <c r="L5524" i="13" s="1"/>
  <c r="I5525" i="13" s="1"/>
  <c r="K5525" i="13" l="1"/>
  <c r="L5525" i="13" s="1"/>
  <c r="I5526" i="13" s="1"/>
  <c r="K5547" i="14"/>
  <c r="L5547" i="14" s="1"/>
  <c r="I5548" i="14" s="1"/>
  <c r="M5714" i="13"/>
  <c r="J5711" i="13" a="1"/>
  <c r="J5711" i="13" s="1"/>
  <c r="N5712" i="13"/>
  <c r="N5711" i="14"/>
  <c r="J5710" i="14" a="1"/>
  <c r="J5710" i="14" s="1"/>
  <c r="M5715" i="14"/>
  <c r="K5526" i="13" l="1"/>
  <c r="L5526" i="13" s="1"/>
  <c r="I5527" i="13" s="1"/>
  <c r="J5712" i="13" a="1"/>
  <c r="J5712" i="13" s="1"/>
  <c r="N5713" i="13"/>
  <c r="K5548" i="14"/>
  <c r="L5548" i="14" s="1"/>
  <c r="I5549" i="14" s="1"/>
  <c r="M5716" i="14"/>
  <c r="J5711" i="14" a="1"/>
  <c r="J5711" i="14" s="1"/>
  <c r="N5712" i="14"/>
  <c r="M5715" i="13"/>
  <c r="K5549" i="14" l="1"/>
  <c r="L5549" i="14" s="1"/>
  <c r="I5550" i="14" s="1"/>
  <c r="K5527" i="13"/>
  <c r="L5527" i="13" s="1"/>
  <c r="I5528" i="13" s="1"/>
  <c r="N5714" i="13"/>
  <c r="J5713" i="13" a="1"/>
  <c r="J5713" i="13" s="1"/>
  <c r="M5717" i="14"/>
  <c r="M5716" i="13"/>
  <c r="J5712" i="14" a="1"/>
  <c r="J5712" i="14" s="1"/>
  <c r="N5713" i="14"/>
  <c r="K5528" i="13" l="1"/>
  <c r="L5528" i="13" s="1"/>
  <c r="I5529" i="13" s="1"/>
  <c r="K5550" i="14"/>
  <c r="L5550" i="14" s="1"/>
  <c r="I5551" i="14" s="1"/>
  <c r="J5713" i="14" a="1"/>
  <c r="J5713" i="14" s="1"/>
  <c r="N5714" i="14"/>
  <c r="M5718" i="14"/>
  <c r="M5717" i="13"/>
  <c r="J5714" i="13" a="1"/>
  <c r="J5714" i="13" s="1"/>
  <c r="N5715" i="13"/>
  <c r="K5551" i="14" l="1"/>
  <c r="L5551" i="14" s="1"/>
  <c r="I5552" i="14" s="1"/>
  <c r="K5529" i="13"/>
  <c r="L5529" i="13" s="1"/>
  <c r="I5530" i="13" s="1"/>
  <c r="J5715" i="13" a="1"/>
  <c r="J5715" i="13" s="1"/>
  <c r="N5716" i="13"/>
  <c r="M5719" i="14"/>
  <c r="N5715" i="14"/>
  <c r="J5714" i="14" a="1"/>
  <c r="J5714" i="14" s="1"/>
  <c r="M5718" i="13"/>
  <c r="K5530" i="13" l="1"/>
  <c r="L5530" i="13" s="1"/>
  <c r="I5531" i="13" s="1"/>
  <c r="K5552" i="14"/>
  <c r="L5552" i="14" s="1"/>
  <c r="I5553" i="14" s="1"/>
  <c r="J5715" i="14" a="1"/>
  <c r="J5715" i="14" s="1"/>
  <c r="N5716" i="14"/>
  <c r="M5719" i="13"/>
  <c r="M5720" i="14"/>
  <c r="J5716" i="13" a="1"/>
  <c r="J5716" i="13" s="1"/>
  <c r="N5717" i="13"/>
  <c r="K5553" i="14" l="1"/>
  <c r="L5553" i="14" s="1"/>
  <c r="I5554" i="14" s="1"/>
  <c r="K5531" i="13"/>
  <c r="L5531" i="13" s="1"/>
  <c r="I5532" i="13" s="1"/>
  <c r="N5718" i="13"/>
  <c r="J5717" i="13" a="1"/>
  <c r="J5717" i="13" s="1"/>
  <c r="M5720" i="13"/>
  <c r="J5716" i="14" a="1"/>
  <c r="J5716" i="14" s="1"/>
  <c r="N5717" i="14"/>
  <c r="M5721" i="14"/>
  <c r="K5532" i="13" l="1"/>
  <c r="L5532" i="13" s="1"/>
  <c r="I5533" i="13" s="1"/>
  <c r="K5554" i="14"/>
  <c r="L5554" i="14" s="1"/>
  <c r="I5555" i="14" s="1"/>
  <c r="N5718" i="14"/>
  <c r="J5717" i="14" a="1"/>
  <c r="J5717" i="14" s="1"/>
  <c r="M5722" i="14"/>
  <c r="M5721" i="13"/>
  <c r="J5718" i="13" a="1"/>
  <c r="J5718" i="13" s="1"/>
  <c r="N5719" i="13"/>
  <c r="K5555" i="14" l="1"/>
  <c r="L5555" i="14" s="1"/>
  <c r="I5556" i="14" s="1"/>
  <c r="K5533" i="13"/>
  <c r="L5533" i="13" s="1"/>
  <c r="I5534" i="13" s="1"/>
  <c r="J5719" i="13" a="1"/>
  <c r="J5719" i="13" s="1"/>
  <c r="N5720" i="13"/>
  <c r="M5723" i="14"/>
  <c r="M5722" i="13"/>
  <c r="N5719" i="14"/>
  <c r="J5718" i="14" a="1"/>
  <c r="J5718" i="14" s="1"/>
  <c r="K5534" i="13" l="1"/>
  <c r="L5534" i="13" s="1"/>
  <c r="I5535" i="13" s="1"/>
  <c r="K5556" i="14"/>
  <c r="L5556" i="14" s="1"/>
  <c r="I5557" i="14" s="1"/>
  <c r="J5719" i="14" a="1"/>
  <c r="J5719" i="14" s="1"/>
  <c r="N5720" i="14"/>
  <c r="M5724" i="14"/>
  <c r="J5720" i="13" a="1"/>
  <c r="J5720" i="13" s="1"/>
  <c r="N5721" i="13"/>
  <c r="M5723" i="13"/>
  <c r="K5557" i="14" l="1"/>
  <c r="L5557" i="14" s="1"/>
  <c r="I5558" i="14" s="1"/>
  <c r="K5535" i="13"/>
  <c r="L5535" i="13" s="1"/>
  <c r="I5536" i="13" s="1"/>
  <c r="M5724" i="13"/>
  <c r="M5725" i="14"/>
  <c r="J5720" i="14" a="1"/>
  <c r="J5720" i="14" s="1"/>
  <c r="N5721" i="14"/>
  <c r="N5722" i="13"/>
  <c r="J5721" i="13" a="1"/>
  <c r="J5721" i="13" s="1"/>
  <c r="K5536" i="13" l="1"/>
  <c r="L5536" i="13" s="1"/>
  <c r="I5537" i="13" s="1"/>
  <c r="K5558" i="14"/>
  <c r="L5558" i="14" s="1"/>
  <c r="I5559" i="14" s="1"/>
  <c r="M5726" i="14"/>
  <c r="J5722" i="13" a="1"/>
  <c r="J5722" i="13" s="1"/>
  <c r="N5723" i="13"/>
  <c r="J5721" i="14" a="1"/>
  <c r="J5721" i="14" s="1"/>
  <c r="N5722" i="14"/>
  <c r="M5725" i="13"/>
  <c r="K5559" i="14" l="1"/>
  <c r="L5559" i="14" s="1"/>
  <c r="I5560" i="14" s="1"/>
  <c r="K5537" i="13"/>
  <c r="L5537" i="13" s="1"/>
  <c r="I5538" i="13" s="1"/>
  <c r="J5723" i="13" a="1"/>
  <c r="J5723" i="13" s="1"/>
  <c r="N5724" i="13"/>
  <c r="N5723" i="14"/>
  <c r="J5722" i="14" a="1"/>
  <c r="J5722" i="14" s="1"/>
  <c r="M5726" i="13"/>
  <c r="M5727" i="14"/>
  <c r="K5538" i="13" l="1"/>
  <c r="L5538" i="13" s="1"/>
  <c r="I5539" i="13" s="1"/>
  <c r="K5560" i="14"/>
  <c r="L5560" i="14" s="1"/>
  <c r="I5561" i="14" s="1"/>
  <c r="J5723" i="14" a="1"/>
  <c r="J5723" i="14" s="1"/>
  <c r="N5724" i="14"/>
  <c r="J5724" i="13" a="1"/>
  <c r="J5724" i="13" s="1"/>
  <c r="N5725" i="13"/>
  <c r="M5728" i="14"/>
  <c r="M5727" i="13"/>
  <c r="K5561" i="14" l="1"/>
  <c r="L5561" i="14" s="1"/>
  <c r="I5562" i="14" s="1"/>
  <c r="K5539" i="13"/>
  <c r="L5539" i="13" s="1"/>
  <c r="I5540" i="13" s="1"/>
  <c r="N5726" i="13"/>
  <c r="J5725" i="13" a="1"/>
  <c r="J5725" i="13" s="1"/>
  <c r="J5724" i="14" a="1"/>
  <c r="J5724" i="14" s="1"/>
  <c r="N5725" i="14"/>
  <c r="M5728" i="13"/>
  <c r="M5729" i="14"/>
  <c r="K5540" i="13" l="1"/>
  <c r="L5540" i="13" s="1"/>
  <c r="I5541" i="13" s="1"/>
  <c r="K5562" i="14"/>
  <c r="L5562" i="14" s="1"/>
  <c r="I5563" i="14" s="1"/>
  <c r="M5730" i="14"/>
  <c r="J5725" i="14" a="1"/>
  <c r="J5725" i="14" s="1"/>
  <c r="N5726" i="14"/>
  <c r="M5729" i="13"/>
  <c r="J5726" i="13" a="1"/>
  <c r="J5726" i="13" s="1"/>
  <c r="N5727" i="13"/>
  <c r="K5563" i="14" l="1"/>
  <c r="L5563" i="14" s="1"/>
  <c r="I5564" i="14" s="1"/>
  <c r="K5541" i="13"/>
  <c r="L5541" i="13" s="1"/>
  <c r="I5542" i="13" s="1"/>
  <c r="N5727" i="14"/>
  <c r="J5726" i="14" a="1"/>
  <c r="J5726" i="14" s="1"/>
  <c r="J5727" i="13" a="1"/>
  <c r="J5727" i="13" s="1"/>
  <c r="N5728" i="13"/>
  <c r="M5730" i="13"/>
  <c r="M5731" i="14"/>
  <c r="K5542" i="13" l="1"/>
  <c r="L5542" i="13" s="1"/>
  <c r="I5543" i="13" s="1"/>
  <c r="M5731" i="13"/>
  <c r="K5564" i="14"/>
  <c r="L5564" i="14" s="1"/>
  <c r="I5565" i="14" s="1"/>
  <c r="J5728" i="13" a="1"/>
  <c r="J5728" i="13" s="1"/>
  <c r="N5729" i="13"/>
  <c r="J5727" i="14" a="1"/>
  <c r="J5727" i="14" s="1"/>
  <c r="N5728" i="14"/>
  <c r="M5732" i="14"/>
  <c r="K5565" i="14" l="1"/>
  <c r="L5565" i="14" s="1"/>
  <c r="I5566" i="14" s="1"/>
  <c r="K5543" i="13"/>
  <c r="L5543" i="13" s="1"/>
  <c r="I5544" i="13" s="1"/>
  <c r="N5730" i="13"/>
  <c r="J5729" i="13" a="1"/>
  <c r="J5729" i="13" s="1"/>
  <c r="M5732" i="13"/>
  <c r="J5728" i="14" a="1"/>
  <c r="J5728" i="14" s="1"/>
  <c r="N5729" i="14"/>
  <c r="M5733" i="14"/>
  <c r="K5544" i="13" l="1"/>
  <c r="L5544" i="13" s="1"/>
  <c r="I5545" i="13" s="1"/>
  <c r="K5566" i="14"/>
  <c r="L5566" i="14" s="1"/>
  <c r="I5567" i="14" s="1"/>
  <c r="M5734" i="14"/>
  <c r="J5729" i="14" a="1"/>
  <c r="J5729" i="14" s="1"/>
  <c r="N5730" i="14"/>
  <c r="M5733" i="13"/>
  <c r="J5730" i="13" a="1"/>
  <c r="J5730" i="13" s="1"/>
  <c r="N5731" i="13"/>
  <c r="K5567" i="14" l="1"/>
  <c r="L5567" i="14" s="1"/>
  <c r="I5568" i="14" s="1"/>
  <c r="K5545" i="13"/>
  <c r="L5545" i="13" s="1"/>
  <c r="I5546" i="13" s="1"/>
  <c r="J5731" i="13" a="1"/>
  <c r="J5731" i="13" s="1"/>
  <c r="N5732" i="13"/>
  <c r="N5731" i="14"/>
  <c r="J5730" i="14" a="1"/>
  <c r="J5730" i="14" s="1"/>
  <c r="M5734" i="13"/>
  <c r="M5735" i="14"/>
  <c r="K5546" i="13" l="1"/>
  <c r="L5546" i="13" s="1"/>
  <c r="I5547" i="13" s="1"/>
  <c r="K5568" i="14"/>
  <c r="L5568" i="14" s="1"/>
  <c r="I5569" i="14" s="1"/>
  <c r="J5731" i="14" a="1"/>
  <c r="J5731" i="14" s="1"/>
  <c r="N5732" i="14"/>
  <c r="M5736" i="14"/>
  <c r="J5732" i="13" a="1"/>
  <c r="J5732" i="13" s="1"/>
  <c r="N5733" i="13"/>
  <c r="M5735" i="13"/>
  <c r="K5569" i="14" l="1"/>
  <c r="L5569" i="14" s="1"/>
  <c r="I5570" i="14" s="1"/>
  <c r="K5547" i="13"/>
  <c r="L5547" i="13" s="1"/>
  <c r="I5548" i="13" s="1"/>
  <c r="N5734" i="13"/>
  <c r="J5733" i="13" a="1"/>
  <c r="J5733" i="13" s="1"/>
  <c r="M5736" i="13"/>
  <c r="M5737" i="14"/>
  <c r="J5732" i="14" a="1"/>
  <c r="J5732" i="14" s="1"/>
  <c r="N5733" i="14"/>
  <c r="K5548" i="13" l="1"/>
  <c r="L5548" i="13" s="1"/>
  <c r="I5549" i="13" s="1"/>
  <c r="K5570" i="14"/>
  <c r="L5570" i="14" s="1"/>
  <c r="I5571" i="14" s="1"/>
  <c r="J5733" i="14" a="1"/>
  <c r="J5733" i="14" s="1"/>
  <c r="N5734" i="14"/>
  <c r="M5737" i="13"/>
  <c r="M5738" i="14"/>
  <c r="J5734" i="13" a="1"/>
  <c r="J5734" i="13" s="1"/>
  <c r="N5735" i="13"/>
  <c r="K5571" i="14" l="1"/>
  <c r="L5571" i="14" s="1"/>
  <c r="I5572" i="14" s="1"/>
  <c r="K5549" i="13"/>
  <c r="L5549" i="13" s="1"/>
  <c r="I5550" i="13" s="1"/>
  <c r="J5735" i="13" a="1"/>
  <c r="J5735" i="13" s="1"/>
  <c r="N5736" i="13"/>
  <c r="M5738" i="13"/>
  <c r="N5735" i="14"/>
  <c r="J5734" i="14" a="1"/>
  <c r="J5734" i="14" s="1"/>
  <c r="M5739" i="14"/>
  <c r="K5550" i="13" l="1"/>
  <c r="L5550" i="13" s="1"/>
  <c r="I5551" i="13" s="1"/>
  <c r="K5572" i="14"/>
  <c r="L5572" i="14" s="1"/>
  <c r="I5573" i="14" s="1"/>
  <c r="J5735" i="14" a="1"/>
  <c r="J5735" i="14" s="1"/>
  <c r="N5736" i="14"/>
  <c r="M5740" i="14"/>
  <c r="M5739" i="13"/>
  <c r="J5736" i="13" a="1"/>
  <c r="J5736" i="13" s="1"/>
  <c r="N5737" i="13"/>
  <c r="K5551" i="13" l="1"/>
  <c r="L5551" i="13" s="1"/>
  <c r="I5552" i="13" s="1"/>
  <c r="N5738" i="13"/>
  <c r="J5737" i="13" a="1"/>
  <c r="J5737" i="13" s="1"/>
  <c r="M5741" i="14"/>
  <c r="K5573" i="14"/>
  <c r="L5573" i="14" s="1"/>
  <c r="I5574" i="14" s="1"/>
  <c r="J5736" i="14" a="1"/>
  <c r="J5736" i="14" s="1"/>
  <c r="N5737" i="14"/>
  <c r="M5740" i="13"/>
  <c r="K5574" i="14" l="1"/>
  <c r="L5574" i="14" s="1"/>
  <c r="I5575" i="14" s="1"/>
  <c r="K5552" i="13"/>
  <c r="L5552" i="13" s="1"/>
  <c r="I5553" i="13" s="1"/>
  <c r="M5741" i="13"/>
  <c r="J5738" i="13" a="1"/>
  <c r="J5738" i="13" s="1"/>
  <c r="N5739" i="13"/>
  <c r="J5737" i="14" a="1"/>
  <c r="J5737" i="14" s="1"/>
  <c r="N5738" i="14"/>
  <c r="M5742" i="14"/>
  <c r="K5553" i="13" l="1"/>
  <c r="L5553" i="13" s="1"/>
  <c r="I5554" i="13" s="1"/>
  <c r="K5575" i="14"/>
  <c r="L5575" i="14" s="1"/>
  <c r="I5576" i="14" s="1"/>
  <c r="J5739" i="13" a="1"/>
  <c r="J5739" i="13" s="1"/>
  <c r="N5740" i="13"/>
  <c r="N5739" i="14"/>
  <c r="J5738" i="14" a="1"/>
  <c r="J5738" i="14" s="1"/>
  <c r="M5743" i="14"/>
  <c r="M5742" i="13"/>
  <c r="K5576" i="14" l="1"/>
  <c r="L5576" i="14" s="1"/>
  <c r="I5577" i="14" s="1"/>
  <c r="K5554" i="13"/>
  <c r="L5554" i="13" s="1"/>
  <c r="I5555" i="13" s="1"/>
  <c r="J5739" i="14" a="1"/>
  <c r="J5739" i="14" s="1"/>
  <c r="N5740" i="14"/>
  <c r="J5740" i="13" a="1"/>
  <c r="J5740" i="13" s="1"/>
  <c r="N5741" i="13"/>
  <c r="M5743" i="13"/>
  <c r="M5744" i="14"/>
  <c r="K5555" i="13" l="1"/>
  <c r="L5555" i="13" s="1"/>
  <c r="I5556" i="13" s="1"/>
  <c r="K5577" i="14"/>
  <c r="L5577" i="14" s="1"/>
  <c r="I5578" i="14" s="1"/>
  <c r="N5742" i="13"/>
  <c r="J5741" i="13" a="1"/>
  <c r="J5741" i="13" s="1"/>
  <c r="J5740" i="14" a="1"/>
  <c r="J5740" i="14" s="1"/>
  <c r="N5741" i="14"/>
  <c r="M5745" i="14"/>
  <c r="M5744" i="13"/>
  <c r="K5578" i="14" l="1"/>
  <c r="L5578" i="14" s="1"/>
  <c r="I5579" i="14" s="1"/>
  <c r="K5556" i="13"/>
  <c r="L5556" i="13" s="1"/>
  <c r="I5557" i="13" s="1"/>
  <c r="M5745" i="13"/>
  <c r="N5742" i="14"/>
  <c r="J5741" i="14" a="1"/>
  <c r="J5741" i="14" s="1"/>
  <c r="M5746" i="14"/>
  <c r="J5742" i="13" a="1"/>
  <c r="J5742" i="13" s="1"/>
  <c r="N5743" i="13"/>
  <c r="K5557" i="13" l="1"/>
  <c r="L5557" i="13" s="1"/>
  <c r="I5558" i="13" s="1"/>
  <c r="K5579" i="14"/>
  <c r="L5579" i="14" s="1"/>
  <c r="I5580" i="14" s="1"/>
  <c r="J5743" i="13" a="1"/>
  <c r="J5743" i="13" s="1"/>
  <c r="N5744" i="13"/>
  <c r="N5743" i="14"/>
  <c r="J5742" i="14" a="1"/>
  <c r="J5742" i="14" s="1"/>
  <c r="M5747" i="14"/>
  <c r="M5746" i="13"/>
  <c r="K5580" i="14" l="1"/>
  <c r="L5580" i="14" s="1"/>
  <c r="I5581" i="14" s="1"/>
  <c r="K5558" i="13"/>
  <c r="L5558" i="13" s="1"/>
  <c r="I5559" i="13" s="1"/>
  <c r="J5743" i="14" a="1"/>
  <c r="J5743" i="14" s="1"/>
  <c r="N5744" i="14"/>
  <c r="J5744" i="13" a="1"/>
  <c r="J5744" i="13" s="1"/>
  <c r="N5745" i="13"/>
  <c r="M5747" i="13"/>
  <c r="M5748" i="14"/>
  <c r="K5559" i="13" l="1"/>
  <c r="L5559" i="13" s="1"/>
  <c r="I5560" i="13" s="1"/>
  <c r="K5581" i="14"/>
  <c r="L5581" i="14" s="1"/>
  <c r="I5582" i="14" s="1"/>
  <c r="N5746" i="13"/>
  <c r="J5745" i="13" a="1"/>
  <c r="J5745" i="13" s="1"/>
  <c r="J5744" i="14" a="1"/>
  <c r="J5744" i="14" s="1"/>
  <c r="N5745" i="14"/>
  <c r="M5749" i="14"/>
  <c r="M5748" i="13"/>
  <c r="K5582" i="14" l="1"/>
  <c r="L5582" i="14" s="1"/>
  <c r="I5583" i="14" s="1"/>
  <c r="K5560" i="13"/>
  <c r="L5560" i="13" s="1"/>
  <c r="I5561" i="13" s="1"/>
  <c r="J5745" i="14" a="1"/>
  <c r="J5745" i="14" s="1"/>
  <c r="N5746" i="14"/>
  <c r="M5749" i="13"/>
  <c r="M5750" i="14"/>
  <c r="J5746" i="13" a="1"/>
  <c r="J5746" i="13" s="1"/>
  <c r="N5747" i="13"/>
  <c r="K5561" i="13" l="1"/>
  <c r="L5561" i="13" s="1"/>
  <c r="I5562" i="13" s="1"/>
  <c r="K5583" i="14"/>
  <c r="L5583" i="14" s="1"/>
  <c r="I5584" i="14" s="1"/>
  <c r="J5747" i="13" a="1"/>
  <c r="J5747" i="13" s="1"/>
  <c r="N5748" i="13"/>
  <c r="M5750" i="13"/>
  <c r="N5747" i="14"/>
  <c r="J5746" i="14" a="1"/>
  <c r="J5746" i="14" s="1"/>
  <c r="M5751" i="14"/>
  <c r="K5584" i="14" l="1"/>
  <c r="L5584" i="14" s="1"/>
  <c r="I5585" i="14" s="1"/>
  <c r="K5562" i="13"/>
  <c r="L5562" i="13" s="1"/>
  <c r="I5563" i="13" s="1"/>
  <c r="M5752" i="14"/>
  <c r="M5751" i="13"/>
  <c r="J5748" i="13" a="1"/>
  <c r="J5748" i="13" s="1"/>
  <c r="N5749" i="13"/>
  <c r="J5747" i="14" a="1"/>
  <c r="J5747" i="14" s="1"/>
  <c r="N5748" i="14"/>
  <c r="K5563" i="13" l="1"/>
  <c r="L5563" i="13" s="1"/>
  <c r="I5564" i="13" s="1"/>
  <c r="K5585" i="14"/>
  <c r="L5585" i="14" s="1"/>
  <c r="I5586" i="14" s="1"/>
  <c r="J5748" i="14" a="1"/>
  <c r="J5748" i="14" s="1"/>
  <c r="N5749" i="14"/>
  <c r="M5752" i="13"/>
  <c r="N5750" i="13"/>
  <c r="J5749" i="13" a="1"/>
  <c r="J5749" i="13" s="1"/>
  <c r="M5753" i="14"/>
  <c r="K5586" i="14" l="1"/>
  <c r="L5586" i="14" s="1"/>
  <c r="I5587" i="14" s="1"/>
  <c r="K5564" i="13"/>
  <c r="L5564" i="13" s="1"/>
  <c r="I5565" i="13" s="1"/>
  <c r="M5754" i="14"/>
  <c r="M5753" i="13"/>
  <c r="J5750" i="13" a="1"/>
  <c r="J5750" i="13" s="1"/>
  <c r="N5751" i="13"/>
  <c r="N5750" i="14"/>
  <c r="J5749" i="14" a="1"/>
  <c r="J5749" i="14" s="1"/>
  <c r="K5565" i="13" l="1"/>
  <c r="L5565" i="13" s="1"/>
  <c r="I5566" i="13" s="1"/>
  <c r="K5587" i="14"/>
  <c r="L5587" i="14" s="1"/>
  <c r="I5588" i="14" s="1"/>
  <c r="N5751" i="14"/>
  <c r="J5750" i="14" a="1"/>
  <c r="J5750" i="14" s="1"/>
  <c r="M5754" i="13"/>
  <c r="J5751" i="13" a="1"/>
  <c r="J5751" i="13" s="1"/>
  <c r="N5752" i="13"/>
  <c r="M5755" i="14"/>
  <c r="K5588" i="14" l="1"/>
  <c r="L5588" i="14" s="1"/>
  <c r="I5589" i="14" s="1"/>
  <c r="K5566" i="13"/>
  <c r="L5566" i="13" s="1"/>
  <c r="I5567" i="13" s="1"/>
  <c r="J5752" i="13" a="1"/>
  <c r="J5752" i="13" s="1"/>
  <c r="N5753" i="13"/>
  <c r="M5756" i="14"/>
  <c r="M5755" i="13"/>
  <c r="J5751" i="14" a="1"/>
  <c r="J5751" i="14" s="1"/>
  <c r="N5752" i="14"/>
  <c r="K5567" i="13" l="1"/>
  <c r="L5567" i="13" s="1"/>
  <c r="I5568" i="13" s="1"/>
  <c r="K5589" i="14"/>
  <c r="L5589" i="14" s="1"/>
  <c r="I5590" i="14" s="1"/>
  <c r="J5752" i="14" a="1"/>
  <c r="J5752" i="14" s="1"/>
  <c r="N5753" i="14"/>
  <c r="M5757" i="14"/>
  <c r="N5754" i="13"/>
  <c r="J5753" i="13" a="1"/>
  <c r="J5753" i="13" s="1"/>
  <c r="M5756" i="13"/>
  <c r="K5590" i="14" l="1"/>
  <c r="L5590" i="14" s="1"/>
  <c r="I5591" i="14" s="1"/>
  <c r="K5568" i="13"/>
  <c r="L5568" i="13" s="1"/>
  <c r="I5569" i="13" s="1"/>
  <c r="M5757" i="13"/>
  <c r="M5758" i="14"/>
  <c r="J5754" i="13" a="1"/>
  <c r="J5754" i="13" s="1"/>
  <c r="N5755" i="13"/>
  <c r="J5753" i="14" a="1"/>
  <c r="J5753" i="14" s="1"/>
  <c r="N5754" i="14"/>
  <c r="K5569" i="13" l="1"/>
  <c r="L5569" i="13" s="1"/>
  <c r="I5570" i="13" s="1"/>
  <c r="K5591" i="14"/>
  <c r="L5591" i="14" s="1"/>
  <c r="I5592" i="14" s="1"/>
  <c r="N5755" i="14"/>
  <c r="J5754" i="14" a="1"/>
  <c r="J5754" i="14" s="1"/>
  <c r="M5759" i="14"/>
  <c r="J5755" i="13" a="1"/>
  <c r="J5755" i="13" s="1"/>
  <c r="N5756" i="13"/>
  <c r="M5758" i="13"/>
  <c r="K5592" i="14" l="1"/>
  <c r="L5592" i="14" s="1"/>
  <c r="I5593" i="14" s="1"/>
  <c r="K5570" i="13"/>
  <c r="L5570" i="13" s="1"/>
  <c r="I5571" i="13" s="1"/>
  <c r="M5759" i="13"/>
  <c r="M5760" i="14"/>
  <c r="J5756" i="13" a="1"/>
  <c r="J5756" i="13" s="1"/>
  <c r="N5757" i="13"/>
  <c r="J5755" i="14" a="1"/>
  <c r="J5755" i="14" s="1"/>
  <c r="N5756" i="14"/>
  <c r="K5571" i="13" l="1"/>
  <c r="L5571" i="13" s="1"/>
  <c r="I5572" i="13" s="1"/>
  <c r="K5593" i="14"/>
  <c r="L5593" i="14" s="1"/>
  <c r="I5594" i="14" s="1"/>
  <c r="J5756" i="14" a="1"/>
  <c r="J5756" i="14" s="1"/>
  <c r="N5757" i="14"/>
  <c r="M5761" i="14"/>
  <c r="N5758" i="13"/>
  <c r="J5757" i="13" a="1"/>
  <c r="J5757" i="13" s="1"/>
  <c r="M5760" i="13"/>
  <c r="K5594" i="14" l="1"/>
  <c r="L5594" i="14" s="1"/>
  <c r="I5595" i="14" s="1"/>
  <c r="K5572" i="13"/>
  <c r="L5572" i="13" s="1"/>
  <c r="I5573" i="13" s="1"/>
  <c r="M5761" i="13"/>
  <c r="M5762" i="14"/>
  <c r="N5758" i="14"/>
  <c r="J5757" i="14" a="1"/>
  <c r="J5757" i="14" s="1"/>
  <c r="J5758" i="13" a="1"/>
  <c r="J5758" i="13" s="1"/>
  <c r="N5759" i="13"/>
  <c r="K5573" i="13" l="1"/>
  <c r="L5573" i="13" s="1"/>
  <c r="I5574" i="13" s="1"/>
  <c r="K5595" i="14"/>
  <c r="L5595" i="14" s="1"/>
  <c r="I5596" i="14" s="1"/>
  <c r="M5763" i="14"/>
  <c r="J5759" i="13" a="1"/>
  <c r="J5759" i="13" s="1"/>
  <c r="N5760" i="13"/>
  <c r="N5759" i="14"/>
  <c r="J5758" i="14" a="1"/>
  <c r="J5758" i="14" s="1"/>
  <c r="M5762" i="13"/>
  <c r="K5596" i="14" l="1"/>
  <c r="L5596" i="14" s="1"/>
  <c r="I5597" i="14" s="1"/>
  <c r="K5574" i="13"/>
  <c r="L5574" i="13" s="1"/>
  <c r="I5575" i="13" s="1"/>
  <c r="J5760" i="13" a="1"/>
  <c r="J5760" i="13" s="1"/>
  <c r="N5761" i="13"/>
  <c r="M5763" i="13"/>
  <c r="J5759" i="14" a="1"/>
  <c r="J5759" i="14" s="1"/>
  <c r="N5760" i="14"/>
  <c r="M5764" i="14"/>
  <c r="K5575" i="13" l="1"/>
  <c r="L5575" i="13" s="1"/>
  <c r="I5576" i="13" s="1"/>
  <c r="K5597" i="14"/>
  <c r="L5597" i="14" s="1"/>
  <c r="I5598" i="14" s="1"/>
  <c r="J5760" i="14" a="1"/>
  <c r="J5760" i="14" s="1"/>
  <c r="N5761" i="14"/>
  <c r="M5765" i="14"/>
  <c r="M5764" i="13"/>
  <c r="N5762" i="13"/>
  <c r="J5761" i="13" a="1"/>
  <c r="J5761" i="13" s="1"/>
  <c r="K5598" i="14" l="1"/>
  <c r="L5598" i="14" s="1"/>
  <c r="I5599" i="14" s="1"/>
  <c r="K5576" i="13"/>
  <c r="L5576" i="13" s="1"/>
  <c r="I5577" i="13" s="1"/>
  <c r="M5766" i="14"/>
  <c r="J5762" i="13" a="1"/>
  <c r="J5762" i="13" s="1"/>
  <c r="N5763" i="13"/>
  <c r="J5761" i="14" a="1"/>
  <c r="J5761" i="14" s="1"/>
  <c r="N5762" i="14"/>
  <c r="M5765" i="13"/>
  <c r="K5577" i="13" l="1"/>
  <c r="L5577" i="13" s="1"/>
  <c r="I5578" i="13" s="1"/>
  <c r="K5599" i="14"/>
  <c r="L5599" i="14" s="1"/>
  <c r="I5600" i="14" s="1"/>
  <c r="J5763" i="13" a="1"/>
  <c r="J5763" i="13" s="1"/>
  <c r="N5764" i="13"/>
  <c r="N5763" i="14"/>
  <c r="J5762" i="14" a="1"/>
  <c r="J5762" i="14" s="1"/>
  <c r="M5766" i="13"/>
  <c r="M5767" i="14"/>
  <c r="K5600" i="14" l="1"/>
  <c r="L5600" i="14" s="1"/>
  <c r="I5601" i="14" s="1"/>
  <c r="K5578" i="13"/>
  <c r="L5578" i="13" s="1"/>
  <c r="I5579" i="13" s="1"/>
  <c r="J5763" i="14" a="1"/>
  <c r="J5763" i="14" s="1"/>
  <c r="N5764" i="14"/>
  <c r="J5764" i="13" a="1"/>
  <c r="J5764" i="13" s="1"/>
  <c r="N5765" i="13"/>
  <c r="M5768" i="14"/>
  <c r="M5767" i="13"/>
  <c r="K5579" i="13" l="1"/>
  <c r="L5579" i="13" s="1"/>
  <c r="I5580" i="13" s="1"/>
  <c r="K5601" i="14"/>
  <c r="L5601" i="14" s="1"/>
  <c r="I5602" i="14" s="1"/>
  <c r="N5766" i="13"/>
  <c r="J5765" i="13" a="1"/>
  <c r="J5765" i="13" s="1"/>
  <c r="J5764" i="14" a="1"/>
  <c r="J5764" i="14" s="1"/>
  <c r="N5765" i="14"/>
  <c r="M5768" i="13"/>
  <c r="M5769" i="14"/>
  <c r="K5602" i="14" l="1"/>
  <c r="L5602" i="14" s="1"/>
  <c r="I5603" i="14" s="1"/>
  <c r="K5580" i="13"/>
  <c r="L5580" i="13" s="1"/>
  <c r="I5581" i="13" s="1"/>
  <c r="N5766" i="14"/>
  <c r="J5765" i="14" a="1"/>
  <c r="J5765" i="14" s="1"/>
  <c r="M5770" i="14"/>
  <c r="M5769" i="13"/>
  <c r="J5766" i="13" a="1"/>
  <c r="J5766" i="13" s="1"/>
  <c r="N5767" i="13"/>
  <c r="K5581" i="13" l="1"/>
  <c r="L5581" i="13" s="1"/>
  <c r="I5582" i="13" s="1"/>
  <c r="K5603" i="14"/>
  <c r="L5603" i="14" s="1"/>
  <c r="I5604" i="14" s="1"/>
  <c r="J5767" i="13" a="1"/>
  <c r="J5767" i="13" s="1"/>
  <c r="N5768" i="13"/>
  <c r="M5771" i="14"/>
  <c r="M5770" i="13"/>
  <c r="N5767" i="14"/>
  <c r="J5766" i="14" a="1"/>
  <c r="J5766" i="14" s="1"/>
  <c r="K5604" i="14" l="1"/>
  <c r="L5604" i="14" s="1"/>
  <c r="I5605" i="14" s="1"/>
  <c r="K5582" i="13"/>
  <c r="L5582" i="13" s="1"/>
  <c r="I5583" i="13" s="1"/>
  <c r="J5767" i="14" a="1"/>
  <c r="J5767" i="14" s="1"/>
  <c r="N5768" i="14"/>
  <c r="M5772" i="14"/>
  <c r="J5768" i="13" a="1"/>
  <c r="J5768" i="13" s="1"/>
  <c r="N5769" i="13"/>
  <c r="M5771" i="13"/>
  <c r="K5583" i="13" l="1"/>
  <c r="L5583" i="13" s="1"/>
  <c r="I5584" i="13" s="1"/>
  <c r="K5605" i="14"/>
  <c r="L5605" i="14" s="1"/>
  <c r="I5606" i="14" s="1"/>
  <c r="M5772" i="13"/>
  <c r="M5773" i="14"/>
  <c r="N5770" i="13"/>
  <c r="J5769" i="13" a="1"/>
  <c r="J5769" i="13" s="1"/>
  <c r="J5768" i="14" a="1"/>
  <c r="J5768" i="14" s="1"/>
  <c r="N5769" i="14"/>
  <c r="K5606" i="14" l="1"/>
  <c r="L5606" i="14" s="1"/>
  <c r="I5607" i="14" s="1"/>
  <c r="K5584" i="13"/>
  <c r="L5584" i="13" s="1"/>
  <c r="I5585" i="13" s="1"/>
  <c r="J5769" i="14" a="1"/>
  <c r="J5769" i="14" s="1"/>
  <c r="N5770" i="14"/>
  <c r="M5774" i="14"/>
  <c r="M5773" i="13"/>
  <c r="J5770" i="13" a="1"/>
  <c r="J5770" i="13" s="1"/>
  <c r="N5771" i="13"/>
  <c r="K5585" i="13" l="1"/>
  <c r="L5585" i="13" s="1"/>
  <c r="I5586" i="13" s="1"/>
  <c r="K5607" i="14"/>
  <c r="L5607" i="14" s="1"/>
  <c r="I5608" i="14" s="1"/>
  <c r="J5771" i="13" a="1"/>
  <c r="J5771" i="13" s="1"/>
  <c r="N5772" i="13"/>
  <c r="M5775" i="14"/>
  <c r="N5771" i="14"/>
  <c r="J5770" i="14" a="1"/>
  <c r="J5770" i="14" s="1"/>
  <c r="M5774" i="13"/>
  <c r="K5608" i="14" l="1"/>
  <c r="L5608" i="14" s="1"/>
  <c r="I5609" i="14" s="1"/>
  <c r="K5586" i="13"/>
  <c r="L5586" i="13" s="1"/>
  <c r="I5587" i="13" s="1"/>
  <c r="J5771" i="14" a="1"/>
  <c r="J5771" i="14" s="1"/>
  <c r="N5772" i="14"/>
  <c r="M5775" i="13"/>
  <c r="M5776" i="14"/>
  <c r="J5772" i="13" a="1"/>
  <c r="J5772" i="13" s="1"/>
  <c r="N5773" i="13"/>
  <c r="K5587" i="13" l="1"/>
  <c r="L5587" i="13" s="1"/>
  <c r="I5588" i="13" s="1"/>
  <c r="K5609" i="14"/>
  <c r="L5609" i="14" s="1"/>
  <c r="I5610" i="14" s="1"/>
  <c r="N5774" i="13"/>
  <c r="J5773" i="13" a="1"/>
  <c r="J5773" i="13" s="1"/>
  <c r="M5776" i="13"/>
  <c r="J5772" i="14" a="1"/>
  <c r="J5772" i="14" s="1"/>
  <c r="N5773" i="14"/>
  <c r="M5777" i="14"/>
  <c r="K5610" i="14" l="1"/>
  <c r="L5610" i="14" s="1"/>
  <c r="I5611" i="14" s="1"/>
  <c r="K5588" i="13"/>
  <c r="L5588" i="13" s="1"/>
  <c r="I5589" i="13" s="1"/>
  <c r="M5778" i="14"/>
  <c r="M5777" i="13"/>
  <c r="N5774" i="14"/>
  <c r="J5773" i="14" a="1"/>
  <c r="J5773" i="14" s="1"/>
  <c r="J5774" i="13" a="1"/>
  <c r="J5774" i="13" s="1"/>
  <c r="N5775" i="13"/>
  <c r="K5589" i="13" l="1"/>
  <c r="L5589" i="13" s="1"/>
  <c r="I5590" i="13" s="1"/>
  <c r="K5611" i="14"/>
  <c r="L5611" i="14" s="1"/>
  <c r="I5612" i="14" s="1"/>
  <c r="J5775" i="13" a="1"/>
  <c r="J5775" i="13" s="1"/>
  <c r="N5776" i="13"/>
  <c r="M5778" i="13"/>
  <c r="N5775" i="14"/>
  <c r="J5774" i="14" a="1"/>
  <c r="J5774" i="14" s="1"/>
  <c r="M5779" i="14"/>
  <c r="K5612" i="14" l="1"/>
  <c r="L5612" i="14" s="1"/>
  <c r="I5613" i="14" s="1"/>
  <c r="K5590" i="13"/>
  <c r="L5590" i="13" s="1"/>
  <c r="I5591" i="13" s="1"/>
  <c r="J5775" i="14" a="1"/>
  <c r="J5775" i="14" s="1"/>
  <c r="N5776" i="14"/>
  <c r="M5780" i="14"/>
  <c r="M5779" i="13"/>
  <c r="J5776" i="13" a="1"/>
  <c r="J5776" i="13" s="1"/>
  <c r="N5777" i="13"/>
  <c r="K5591" i="13" l="1"/>
  <c r="L5591" i="13" s="1"/>
  <c r="I5592" i="13" s="1"/>
  <c r="K5613" i="14"/>
  <c r="L5613" i="14" s="1"/>
  <c r="I5614" i="14" s="1"/>
  <c r="N5778" i="13"/>
  <c r="J5777" i="13" a="1"/>
  <c r="J5777" i="13" s="1"/>
  <c r="M5781" i="14"/>
  <c r="J5776" i="14" a="1"/>
  <c r="J5776" i="14" s="1"/>
  <c r="N5777" i="14"/>
  <c r="M5780" i="13"/>
  <c r="K5614" i="14" l="1"/>
  <c r="L5614" i="14" s="1"/>
  <c r="I5615" i="14" s="1"/>
  <c r="K5592" i="13"/>
  <c r="L5592" i="13" s="1"/>
  <c r="I5593" i="13" s="1"/>
  <c r="M5781" i="13"/>
  <c r="M5782" i="14"/>
  <c r="J5777" i="14" a="1"/>
  <c r="J5777" i="14" s="1"/>
  <c r="N5778" i="14"/>
  <c r="J5778" i="13" a="1"/>
  <c r="J5778" i="13" s="1"/>
  <c r="N5779" i="13"/>
  <c r="K5593" i="13" l="1"/>
  <c r="L5593" i="13" s="1"/>
  <c r="I5594" i="13" s="1"/>
  <c r="K5615" i="14"/>
  <c r="L5615" i="14" s="1"/>
  <c r="I5616" i="14" s="1"/>
  <c r="J5779" i="13" a="1"/>
  <c r="J5779" i="13" s="1"/>
  <c r="N5780" i="13"/>
  <c r="M5783" i="14"/>
  <c r="N5779" i="14"/>
  <c r="J5778" i="14" a="1"/>
  <c r="J5778" i="14" s="1"/>
  <c r="M5782" i="13"/>
  <c r="K5616" i="14" l="1"/>
  <c r="L5616" i="14" s="1"/>
  <c r="I5617" i="14" s="1"/>
  <c r="K5594" i="13"/>
  <c r="L5594" i="13" s="1"/>
  <c r="I5595" i="13" s="1"/>
  <c r="J5779" i="14" a="1"/>
  <c r="J5779" i="14" s="1"/>
  <c r="N5780" i="14"/>
  <c r="M5783" i="13"/>
  <c r="M5784" i="14"/>
  <c r="J5780" i="13" a="1"/>
  <c r="J5780" i="13" s="1"/>
  <c r="N5781" i="13"/>
  <c r="K5595" i="13" l="1"/>
  <c r="L5595" i="13" s="1"/>
  <c r="I5596" i="13" s="1"/>
  <c r="K5617" i="14"/>
  <c r="L5617" i="14" s="1"/>
  <c r="I5618" i="14" s="1"/>
  <c r="N5782" i="13"/>
  <c r="J5781" i="13" a="1"/>
  <c r="J5781" i="13" s="1"/>
  <c r="M5784" i="13"/>
  <c r="M5785" i="14"/>
  <c r="J5780" i="14" a="1"/>
  <c r="J5780" i="14" s="1"/>
  <c r="N5781" i="14"/>
  <c r="K5618" i="14" l="1"/>
  <c r="L5618" i="14" s="1"/>
  <c r="I5619" i="14" s="1"/>
  <c r="K5596" i="13"/>
  <c r="L5596" i="13" s="1"/>
  <c r="I5597" i="13" s="1"/>
  <c r="N5782" i="14"/>
  <c r="J5781" i="14" a="1"/>
  <c r="J5781" i="14" s="1"/>
  <c r="M5785" i="13"/>
  <c r="M5786" i="14"/>
  <c r="J5782" i="13" a="1"/>
  <c r="J5782" i="13" s="1"/>
  <c r="N5783" i="13"/>
  <c r="K5597" i="13" l="1"/>
  <c r="L5597" i="13" s="1"/>
  <c r="I5598" i="13" s="1"/>
  <c r="K5619" i="14"/>
  <c r="L5619" i="14" s="1"/>
  <c r="I5620" i="14" s="1"/>
  <c r="J5783" i="13" a="1"/>
  <c r="J5783" i="13" s="1"/>
  <c r="N5784" i="13"/>
  <c r="M5786" i="13"/>
  <c r="M5787" i="14"/>
  <c r="N5783" i="14"/>
  <c r="J5782" i="14" a="1"/>
  <c r="J5782" i="14" s="1"/>
  <c r="K5620" i="14" l="1"/>
  <c r="L5620" i="14" s="1"/>
  <c r="I5621" i="14" s="1"/>
  <c r="K5598" i="13"/>
  <c r="L5598" i="13" s="1"/>
  <c r="I5599" i="13" s="1"/>
  <c r="J5783" i="14" a="1"/>
  <c r="J5783" i="14" s="1"/>
  <c r="N5784" i="14"/>
  <c r="M5787" i="13"/>
  <c r="J5784" i="13" a="1"/>
  <c r="J5784" i="13" s="1"/>
  <c r="N5785" i="13"/>
  <c r="M5788" i="14"/>
  <c r="K5599" i="13" l="1"/>
  <c r="L5599" i="13" s="1"/>
  <c r="I5600" i="13" s="1"/>
  <c r="K5621" i="14"/>
  <c r="L5621" i="14" s="1"/>
  <c r="I5622" i="14" s="1"/>
  <c r="M5789" i="14"/>
  <c r="M5788" i="13"/>
  <c r="N5786" i="13"/>
  <c r="J5785" i="13" a="1"/>
  <c r="J5785" i="13" s="1"/>
  <c r="J5784" i="14" a="1"/>
  <c r="J5784" i="14" s="1"/>
  <c r="N5785" i="14"/>
  <c r="K5622" i="14" l="1"/>
  <c r="L5622" i="14" s="1"/>
  <c r="I5623" i="14" s="1"/>
  <c r="K5600" i="13"/>
  <c r="L5600" i="13" s="1"/>
  <c r="I5601" i="13" s="1"/>
  <c r="J5785" i="14" a="1"/>
  <c r="J5785" i="14" s="1"/>
  <c r="N5786" i="14"/>
  <c r="M5789" i="13"/>
  <c r="M5790" i="14"/>
  <c r="J5786" i="13" a="1"/>
  <c r="J5786" i="13" s="1"/>
  <c r="N5787" i="13"/>
  <c r="K5601" i="13" l="1"/>
  <c r="L5601" i="13" s="1"/>
  <c r="I5602" i="13" s="1"/>
  <c r="K5623" i="14"/>
  <c r="L5623" i="14" s="1"/>
  <c r="I5624" i="14" s="1"/>
  <c r="J5787" i="13" a="1"/>
  <c r="J5787" i="13" s="1"/>
  <c r="N5788" i="13"/>
  <c r="M5790" i="13"/>
  <c r="N5787" i="14"/>
  <c r="J5786" i="14" a="1"/>
  <c r="J5786" i="14" s="1"/>
  <c r="M5791" i="14"/>
  <c r="K5624" i="14" l="1"/>
  <c r="L5624" i="14" s="1"/>
  <c r="I5625" i="14" s="1"/>
  <c r="K5602" i="13"/>
  <c r="L5602" i="13" s="1"/>
  <c r="I5603" i="13" s="1"/>
  <c r="J5787" i="14" a="1"/>
  <c r="J5787" i="14" s="1"/>
  <c r="N5788" i="14"/>
  <c r="M5792" i="14"/>
  <c r="M5791" i="13"/>
  <c r="J5788" i="13" a="1"/>
  <c r="J5788" i="13" s="1"/>
  <c r="N5789" i="13"/>
  <c r="K5603" i="13" l="1"/>
  <c r="L5603" i="13" s="1"/>
  <c r="I5604" i="13" s="1"/>
  <c r="K5625" i="14"/>
  <c r="L5625" i="14" s="1"/>
  <c r="I5626" i="14" s="1"/>
  <c r="N5790" i="13"/>
  <c r="J5789" i="13" a="1"/>
  <c r="J5789" i="13" s="1"/>
  <c r="M5793" i="14"/>
  <c r="J5788" i="14" a="1"/>
  <c r="J5788" i="14" s="1"/>
  <c r="N5789" i="14"/>
  <c r="M5792" i="13"/>
  <c r="K5626" i="14" l="1"/>
  <c r="L5626" i="14" s="1"/>
  <c r="I5627" i="14" s="1"/>
  <c r="K5604" i="13"/>
  <c r="L5604" i="13" s="1"/>
  <c r="I5605" i="13" s="1"/>
  <c r="J5789" i="14" a="1"/>
  <c r="J5789" i="14" s="1"/>
  <c r="N5790" i="14"/>
  <c r="M5793" i="13"/>
  <c r="M5794" i="14"/>
  <c r="J5790" i="13" a="1"/>
  <c r="J5790" i="13" s="1"/>
  <c r="N5791" i="13"/>
  <c r="K5605" i="13" l="1"/>
  <c r="L5605" i="13" s="1"/>
  <c r="I5606" i="13" s="1"/>
  <c r="K5627" i="14"/>
  <c r="L5627" i="14" s="1"/>
  <c r="I5628" i="14" s="1"/>
  <c r="J5791" i="13" a="1"/>
  <c r="J5791" i="13" s="1"/>
  <c r="N5792" i="13"/>
  <c r="M5794" i="13"/>
  <c r="N5791" i="14"/>
  <c r="J5790" i="14" a="1"/>
  <c r="J5790" i="14" s="1"/>
  <c r="M5795" i="14"/>
  <c r="K5628" i="14" l="1"/>
  <c r="L5628" i="14" s="1"/>
  <c r="I5629" i="14" s="1"/>
  <c r="K5606" i="13"/>
  <c r="L5606" i="13" s="1"/>
  <c r="I5607" i="13" s="1"/>
  <c r="M5796" i="14"/>
  <c r="J5792" i="13" a="1"/>
  <c r="J5792" i="13" s="1"/>
  <c r="N5793" i="13"/>
  <c r="M5795" i="13"/>
  <c r="J5791" i="14" a="1"/>
  <c r="J5791" i="14" s="1"/>
  <c r="N5792" i="14"/>
  <c r="K5607" i="13" l="1"/>
  <c r="L5607" i="13" s="1"/>
  <c r="I5608" i="13" s="1"/>
  <c r="K5629" i="14"/>
  <c r="L5629" i="14" s="1"/>
  <c r="I5630" i="14" s="1"/>
  <c r="N5794" i="13"/>
  <c r="J5793" i="13" a="1"/>
  <c r="J5793" i="13" s="1"/>
  <c r="J5792" i="14" a="1"/>
  <c r="J5792" i="14" s="1"/>
  <c r="N5793" i="14"/>
  <c r="M5796" i="13"/>
  <c r="M5797" i="14"/>
  <c r="K5630" i="14" l="1"/>
  <c r="L5630" i="14" s="1"/>
  <c r="I5631" i="14" s="1"/>
  <c r="K5608" i="13"/>
  <c r="L5608" i="13" s="1"/>
  <c r="I5609" i="13" s="1"/>
  <c r="M5798" i="14"/>
  <c r="J5793" i="14" a="1"/>
  <c r="J5793" i="14" s="1"/>
  <c r="N5794" i="14"/>
  <c r="M5797" i="13"/>
  <c r="J5794" i="13" a="1"/>
  <c r="J5794" i="13" s="1"/>
  <c r="N5795" i="13"/>
  <c r="K5609" i="13" l="1"/>
  <c r="L5609" i="13" s="1"/>
  <c r="I5610" i="13" s="1"/>
  <c r="K5631" i="14"/>
  <c r="L5631" i="14" s="1"/>
  <c r="I5632" i="14" s="1"/>
  <c r="N5795" i="14"/>
  <c r="J5794" i="14" a="1"/>
  <c r="J5794" i="14" s="1"/>
  <c r="J5795" i="13" a="1"/>
  <c r="J5795" i="13" s="1"/>
  <c r="N5796" i="13"/>
  <c r="M5798" i="13"/>
  <c r="M5799" i="14"/>
  <c r="K5632" i="14" l="1"/>
  <c r="L5632" i="14" s="1"/>
  <c r="I5633" i="14" s="1"/>
  <c r="K5610" i="13"/>
  <c r="L5610" i="13" s="1"/>
  <c r="I5611" i="13" s="1"/>
  <c r="M5800" i="14"/>
  <c r="J5796" i="13" a="1"/>
  <c r="J5796" i="13" s="1"/>
  <c r="N5797" i="13"/>
  <c r="M5799" i="13"/>
  <c r="J5795" i="14" a="1"/>
  <c r="J5795" i="14" s="1"/>
  <c r="N5796" i="14"/>
  <c r="K5611" i="13" l="1"/>
  <c r="L5611" i="13" s="1"/>
  <c r="I5612" i="13" s="1"/>
  <c r="K5633" i="14"/>
  <c r="L5633" i="14" s="1"/>
  <c r="I5634" i="14" s="1"/>
  <c r="J5796" i="14" a="1"/>
  <c r="J5796" i="14" s="1"/>
  <c r="N5797" i="14"/>
  <c r="N5798" i="13"/>
  <c r="J5797" i="13" a="1"/>
  <c r="J5797" i="13" s="1"/>
  <c r="M5800" i="13"/>
  <c r="M5801" i="14"/>
  <c r="K5634" i="14" l="1"/>
  <c r="L5634" i="14" s="1"/>
  <c r="I5635" i="14" s="1"/>
  <c r="K5612" i="13"/>
  <c r="L5612" i="13" s="1"/>
  <c r="I5613" i="13" s="1"/>
  <c r="M5802" i="14"/>
  <c r="J5798" i="13" a="1"/>
  <c r="J5798" i="13" s="1"/>
  <c r="N5799" i="13"/>
  <c r="J5797" i="14" a="1"/>
  <c r="J5797" i="14" s="1"/>
  <c r="N5798" i="14"/>
  <c r="M5801" i="13"/>
  <c r="K5635" i="14" l="1"/>
  <c r="L5635" i="14" s="1"/>
  <c r="I5636" i="14" s="1"/>
  <c r="J5799" i="13" a="1"/>
  <c r="J5799" i="13" s="1"/>
  <c r="N5800" i="13"/>
  <c r="N5799" i="14"/>
  <c r="J5798" i="14" a="1"/>
  <c r="J5798" i="14" s="1"/>
  <c r="M5802" i="13"/>
  <c r="K5613" i="13"/>
  <c r="L5613" i="13" s="1"/>
  <c r="I5614" i="13" s="1"/>
  <c r="M5803" i="14"/>
  <c r="K5636" i="14" l="1"/>
  <c r="L5636" i="14" s="1"/>
  <c r="I5637" i="14" s="1"/>
  <c r="J5800" i="13" a="1"/>
  <c r="J5800" i="13" s="1"/>
  <c r="N5801" i="13"/>
  <c r="M5804" i="14"/>
  <c r="M5803" i="13"/>
  <c r="K5614" i="13"/>
  <c r="L5614" i="13" s="1"/>
  <c r="I5615" i="13" s="1"/>
  <c r="J5799" i="14" a="1"/>
  <c r="J5799" i="14" s="1"/>
  <c r="N5800" i="14"/>
  <c r="K5615" i="13" l="1"/>
  <c r="L5615" i="13" s="1"/>
  <c r="I5616" i="13" s="1"/>
  <c r="K5637" i="14"/>
  <c r="L5637" i="14" s="1"/>
  <c r="I5638" i="14" s="1"/>
  <c r="J5800" i="14" a="1"/>
  <c r="J5800" i="14" s="1"/>
  <c r="N5801" i="14"/>
  <c r="N5802" i="13"/>
  <c r="J5801" i="13" a="1"/>
  <c r="J5801" i="13" s="1"/>
  <c r="M5804" i="13"/>
  <c r="M5805" i="14"/>
  <c r="K5616" i="13" l="1"/>
  <c r="L5616" i="13" s="1"/>
  <c r="I5617" i="13" s="1"/>
  <c r="M5806" i="14"/>
  <c r="K5638" i="14"/>
  <c r="L5638" i="14" s="1"/>
  <c r="I5639" i="14" s="1"/>
  <c r="J5801" i="14" a="1"/>
  <c r="J5801" i="14" s="1"/>
  <c r="N5802" i="14"/>
  <c r="J5802" i="13" a="1"/>
  <c r="J5802" i="13" s="1"/>
  <c r="N5803" i="13"/>
  <c r="M5805" i="13"/>
  <c r="K5639" i="14" l="1"/>
  <c r="L5639" i="14" s="1"/>
  <c r="I5640" i="14" s="1"/>
  <c r="K5617" i="13"/>
  <c r="L5617" i="13" s="1"/>
  <c r="I5618" i="13" s="1"/>
  <c r="J5803" i="13" a="1"/>
  <c r="J5803" i="13" s="1"/>
  <c r="N5804" i="13"/>
  <c r="N5803" i="14"/>
  <c r="J5802" i="14" a="1"/>
  <c r="J5802" i="14" s="1"/>
  <c r="M5806" i="13"/>
  <c r="M5807" i="14"/>
  <c r="K5618" i="13" l="1"/>
  <c r="L5618" i="13" s="1"/>
  <c r="I5619" i="13" s="1"/>
  <c r="K5640" i="14"/>
  <c r="L5640" i="14" s="1"/>
  <c r="I5641" i="14" s="1"/>
  <c r="J5803" i="14" a="1"/>
  <c r="J5803" i="14" s="1"/>
  <c r="N5804" i="14"/>
  <c r="M5808" i="14"/>
  <c r="J5804" i="13" a="1"/>
  <c r="J5804" i="13" s="1"/>
  <c r="N5805" i="13"/>
  <c r="M5807" i="13"/>
  <c r="K5619" i="13" l="1"/>
  <c r="L5619" i="13" s="1"/>
  <c r="I5620" i="13" s="1"/>
  <c r="N5806" i="13"/>
  <c r="J5805" i="13" a="1"/>
  <c r="J5805" i="13" s="1"/>
  <c r="M5809" i="14"/>
  <c r="M5808" i="13"/>
  <c r="K5641" i="14"/>
  <c r="L5641" i="14" s="1"/>
  <c r="I5642" i="14" s="1"/>
  <c r="J5804" i="14" a="1"/>
  <c r="J5804" i="14" s="1"/>
  <c r="N5805" i="14"/>
  <c r="K5642" i="14" l="1"/>
  <c r="L5642" i="14" s="1"/>
  <c r="I5643" i="14" s="1"/>
  <c r="K5620" i="13"/>
  <c r="L5620" i="13" s="1"/>
  <c r="I5621" i="13" s="1"/>
  <c r="J5806" i="13" a="1"/>
  <c r="J5806" i="13" s="1"/>
  <c r="N5807" i="13"/>
  <c r="J5805" i="14" a="1"/>
  <c r="J5805" i="14" s="1"/>
  <c r="N5806" i="14"/>
  <c r="M5809" i="13"/>
  <c r="M5810" i="14"/>
  <c r="K5643" i="14" l="1"/>
  <c r="L5643" i="14" s="1"/>
  <c r="I5644" i="14" s="1"/>
  <c r="N5807" i="14"/>
  <c r="J5806" i="14" a="1"/>
  <c r="J5806" i="14" s="1"/>
  <c r="K5621" i="13"/>
  <c r="L5621" i="13" s="1"/>
  <c r="I5622" i="13" s="1"/>
  <c r="J5807" i="13" a="1"/>
  <c r="J5807" i="13" s="1"/>
  <c r="N5808" i="13"/>
  <c r="M5811" i="14"/>
  <c r="M5810" i="13"/>
  <c r="K5622" i="13" l="1"/>
  <c r="L5622" i="13" s="1"/>
  <c r="I5623" i="13" s="1"/>
  <c r="K5644" i="14"/>
  <c r="L5644" i="14" s="1"/>
  <c r="I5645" i="14" s="1"/>
  <c r="J5808" i="13" a="1"/>
  <c r="J5808" i="13" s="1"/>
  <c r="N5809" i="13"/>
  <c r="M5811" i="13"/>
  <c r="J5807" i="14" a="1"/>
  <c r="J5807" i="14" s="1"/>
  <c r="N5808" i="14"/>
  <c r="M5812" i="14"/>
  <c r="K5645" i="14" l="1"/>
  <c r="L5645" i="14" s="1"/>
  <c r="I5646" i="14" s="1"/>
  <c r="K5623" i="13"/>
  <c r="L5623" i="13" s="1"/>
  <c r="I5624" i="13" s="1"/>
  <c r="J5808" i="14" a="1"/>
  <c r="J5808" i="14" s="1"/>
  <c r="N5809" i="14"/>
  <c r="M5813" i="14"/>
  <c r="M5812" i="13"/>
  <c r="N5810" i="13"/>
  <c r="J5809" i="13" a="1"/>
  <c r="J5809" i="13" s="1"/>
  <c r="K5624" i="13" l="1"/>
  <c r="L5624" i="13" s="1"/>
  <c r="I5625" i="13" s="1"/>
  <c r="M5814" i="14"/>
  <c r="J5810" i="13" a="1"/>
  <c r="J5810" i="13" s="1"/>
  <c r="N5811" i="13"/>
  <c r="M5813" i="13"/>
  <c r="N5810" i="14"/>
  <c r="J5809" i="14" a="1"/>
  <c r="J5809" i="14" s="1"/>
  <c r="K5646" i="14"/>
  <c r="L5646" i="14" s="1"/>
  <c r="I5647" i="14" s="1"/>
  <c r="K5625" i="13" l="1"/>
  <c r="L5625" i="13" s="1"/>
  <c r="I5626" i="13" s="1"/>
  <c r="K5647" i="14"/>
  <c r="L5647" i="14" s="1"/>
  <c r="I5648" i="14" s="1"/>
  <c r="M5814" i="13"/>
  <c r="M5815" i="14"/>
  <c r="J5811" i="13" a="1"/>
  <c r="J5811" i="13" s="1"/>
  <c r="N5812" i="13"/>
  <c r="N5811" i="14"/>
  <c r="J5810" i="14" a="1"/>
  <c r="J5810" i="14" s="1"/>
  <c r="K5648" i="14" l="1"/>
  <c r="L5648" i="14" s="1"/>
  <c r="I5649" i="14" s="1"/>
  <c r="K5626" i="13"/>
  <c r="L5626" i="13" s="1"/>
  <c r="I5627" i="13" s="1"/>
  <c r="J5811" i="14" a="1"/>
  <c r="J5811" i="14" s="1"/>
  <c r="N5812" i="14"/>
  <c r="M5816" i="14"/>
  <c r="J5812" i="13" a="1"/>
  <c r="J5812" i="13" s="1"/>
  <c r="N5813" i="13"/>
  <c r="M5815" i="13"/>
  <c r="M5817" i="14" l="1"/>
  <c r="K5627" i="13"/>
  <c r="L5627" i="13" s="1"/>
  <c r="I5628" i="13" s="1"/>
  <c r="M5816" i="13"/>
  <c r="N5814" i="13"/>
  <c r="J5813" i="13" a="1"/>
  <c r="J5813" i="13" s="1"/>
  <c r="J5812" i="14" a="1"/>
  <c r="J5812" i="14" s="1"/>
  <c r="N5813" i="14"/>
  <c r="K5649" i="14"/>
  <c r="L5649" i="14" s="1"/>
  <c r="I5650" i="14" s="1"/>
  <c r="K5650" i="14" l="1"/>
  <c r="L5650" i="14" s="1"/>
  <c r="I5651" i="14" s="1"/>
  <c r="K5628" i="13"/>
  <c r="L5628" i="13" s="1"/>
  <c r="I5629" i="13" s="1"/>
  <c r="J5813" i="14" a="1"/>
  <c r="J5813" i="14" s="1"/>
  <c r="N5814" i="14"/>
  <c r="M5817" i="13"/>
  <c r="M5818" i="14"/>
  <c r="J5814" i="13" a="1"/>
  <c r="J5814" i="13" s="1"/>
  <c r="N5815" i="13"/>
  <c r="K5629" i="13" l="1"/>
  <c r="L5629" i="13" s="1"/>
  <c r="I5630" i="13" s="1"/>
  <c r="K5651" i="14"/>
  <c r="L5651" i="14" s="1"/>
  <c r="I5652" i="14" s="1"/>
  <c r="J5815" i="13" a="1"/>
  <c r="J5815" i="13" s="1"/>
  <c r="N5816" i="13"/>
  <c r="M5818" i="13"/>
  <c r="N5815" i="14"/>
  <c r="J5814" i="14" a="1"/>
  <c r="J5814" i="14" s="1"/>
  <c r="M5819" i="14"/>
  <c r="K5630" i="13" l="1"/>
  <c r="L5630" i="13" s="1"/>
  <c r="I5631" i="13" s="1"/>
  <c r="M5820" i="14"/>
  <c r="M5819" i="13"/>
  <c r="K5652" i="14"/>
  <c r="L5652" i="14" s="1"/>
  <c r="I5653" i="14" s="1"/>
  <c r="J5816" i="13" a="1"/>
  <c r="J5816" i="13" s="1"/>
  <c r="N5817" i="13"/>
  <c r="J5815" i="14" a="1"/>
  <c r="J5815" i="14" s="1"/>
  <c r="N5816" i="14"/>
  <c r="K5631" i="13" l="1"/>
  <c r="L5631" i="13" s="1"/>
  <c r="I5632" i="13" s="1"/>
  <c r="J5816" i="14" a="1"/>
  <c r="J5816" i="14" s="1"/>
  <c r="N5817" i="14"/>
  <c r="K5653" i="14"/>
  <c r="L5653" i="14" s="1"/>
  <c r="I5654" i="14" s="1"/>
  <c r="M5821" i="14"/>
  <c r="N5818" i="13"/>
  <c r="J5817" i="13" a="1"/>
  <c r="J5817" i="13" s="1"/>
  <c r="M5820" i="13"/>
  <c r="K5654" i="14" l="1"/>
  <c r="L5654" i="14" s="1"/>
  <c r="I5655" i="14" s="1"/>
  <c r="K5632" i="13"/>
  <c r="L5632" i="13" s="1"/>
  <c r="I5633" i="13" s="1"/>
  <c r="M5821" i="13"/>
  <c r="M5822" i="14"/>
  <c r="N5818" i="14"/>
  <c r="J5817" i="14" a="1"/>
  <c r="J5817" i="14" s="1"/>
  <c r="J5818" i="13" a="1"/>
  <c r="J5818" i="13" s="1"/>
  <c r="N5819" i="13"/>
  <c r="K5633" i="13" l="1"/>
  <c r="L5633" i="13" s="1"/>
  <c r="I5634" i="13" s="1"/>
  <c r="K5655" i="14"/>
  <c r="L5655" i="14" s="1"/>
  <c r="I5656" i="14" s="1"/>
  <c r="J5819" i="13" a="1"/>
  <c r="J5819" i="13" s="1"/>
  <c r="N5820" i="13"/>
  <c r="M5823" i="14"/>
  <c r="N5819" i="14"/>
  <c r="J5818" i="14" a="1"/>
  <c r="J5818" i="14" s="1"/>
  <c r="M5822" i="13"/>
  <c r="K5656" i="14" l="1"/>
  <c r="L5656" i="14" s="1"/>
  <c r="I5657" i="14" s="1"/>
  <c r="K5634" i="13"/>
  <c r="L5634" i="13" s="1"/>
  <c r="I5635" i="13" s="1"/>
  <c r="M5823" i="13"/>
  <c r="M5824" i="14"/>
  <c r="J5820" i="13" a="1"/>
  <c r="J5820" i="13" s="1"/>
  <c r="N5821" i="13"/>
  <c r="J5819" i="14" a="1"/>
  <c r="J5819" i="14" s="1"/>
  <c r="N5820" i="14"/>
  <c r="K5657" i="14" l="1"/>
  <c r="L5657" i="14" s="1"/>
  <c r="I5658" i="14" s="1"/>
  <c r="J5820" i="14" a="1"/>
  <c r="J5820" i="14" s="1"/>
  <c r="N5821" i="14"/>
  <c r="M5825" i="14"/>
  <c r="K5635" i="13"/>
  <c r="L5635" i="13" s="1"/>
  <c r="I5636" i="13" s="1"/>
  <c r="N5822" i="13"/>
  <c r="J5821" i="13" a="1"/>
  <c r="J5821" i="13" s="1"/>
  <c r="M5824" i="13"/>
  <c r="K5658" i="14" l="1"/>
  <c r="L5658" i="14" s="1"/>
  <c r="I5659" i="14" s="1"/>
  <c r="K5636" i="13"/>
  <c r="L5636" i="13" s="1"/>
  <c r="I5637" i="13" s="1"/>
  <c r="M5825" i="13"/>
  <c r="N5822" i="14"/>
  <c r="J5821" i="14" a="1"/>
  <c r="J5821" i="14" s="1"/>
  <c r="M5826" i="14"/>
  <c r="J5822" i="13" a="1"/>
  <c r="J5822" i="13" s="1"/>
  <c r="N5823" i="13"/>
  <c r="K5637" i="13" l="1"/>
  <c r="L5637" i="13" s="1"/>
  <c r="I5638" i="13" s="1"/>
  <c r="K5659" i="14"/>
  <c r="L5659" i="14" s="1"/>
  <c r="I5660" i="14" s="1"/>
  <c r="J5823" i="13" a="1"/>
  <c r="J5823" i="13" s="1"/>
  <c r="N5824" i="13"/>
  <c r="N5823" i="14"/>
  <c r="J5822" i="14" a="1"/>
  <c r="J5822" i="14" s="1"/>
  <c r="M5827" i="14"/>
  <c r="M5826" i="13"/>
  <c r="K5660" i="14" l="1"/>
  <c r="L5660" i="14" s="1"/>
  <c r="I5661" i="14" s="1"/>
  <c r="K5638" i="13"/>
  <c r="L5638" i="13" s="1"/>
  <c r="I5639" i="13" s="1"/>
  <c r="J5823" i="14" a="1"/>
  <c r="J5823" i="14" s="1"/>
  <c r="N5824" i="14"/>
  <c r="J5824" i="13" a="1"/>
  <c r="J5824" i="13" s="1"/>
  <c r="N5825" i="13"/>
  <c r="M5827" i="13"/>
  <c r="M5828" i="14"/>
  <c r="K5639" i="13" l="1"/>
  <c r="L5639" i="13" s="1"/>
  <c r="I5640" i="13" s="1"/>
  <c r="K5661" i="14"/>
  <c r="L5661" i="14" s="1"/>
  <c r="I5662" i="14" s="1"/>
  <c r="N5826" i="13"/>
  <c r="J5825" i="13" a="1"/>
  <c r="J5825" i="13" s="1"/>
  <c r="M5829" i="14"/>
  <c r="J5824" i="14" a="1"/>
  <c r="J5824" i="14" s="1"/>
  <c r="N5825" i="14"/>
  <c r="M5828" i="13"/>
  <c r="K5662" i="14" l="1"/>
  <c r="L5662" i="14" s="1"/>
  <c r="I5663" i="14" s="1"/>
  <c r="K5640" i="13"/>
  <c r="L5640" i="13" s="1"/>
  <c r="I5641" i="13" s="1"/>
  <c r="N5826" i="14"/>
  <c r="J5825" i="14" a="1"/>
  <c r="J5825" i="14" s="1"/>
  <c r="M5829" i="13"/>
  <c r="M5830" i="14"/>
  <c r="J5826" i="13" a="1"/>
  <c r="J5826" i="13" s="1"/>
  <c r="N5827" i="13"/>
  <c r="K5641" i="13" l="1"/>
  <c r="L5641" i="13" s="1"/>
  <c r="I5642" i="13" s="1"/>
  <c r="K5663" i="14"/>
  <c r="L5663" i="14" s="1"/>
  <c r="I5664" i="14" s="1"/>
  <c r="J5827" i="13" a="1"/>
  <c r="J5827" i="13" s="1"/>
  <c r="N5828" i="13"/>
  <c r="M5830" i="13"/>
  <c r="M5831" i="14"/>
  <c r="N5827" i="14"/>
  <c r="J5826" i="14" a="1"/>
  <c r="J5826" i="14" s="1"/>
  <c r="K5664" i="14" l="1"/>
  <c r="L5664" i="14" s="1"/>
  <c r="I5665" i="14" s="1"/>
  <c r="K5642" i="13"/>
  <c r="L5642" i="13" s="1"/>
  <c r="I5643" i="13" s="1"/>
  <c r="J5827" i="14" a="1"/>
  <c r="J5827" i="14" s="1"/>
  <c r="N5828" i="14"/>
  <c r="M5831" i="13"/>
  <c r="J5828" i="13" a="1"/>
  <c r="J5828" i="13" s="1"/>
  <c r="N5829" i="13"/>
  <c r="M5832" i="14"/>
  <c r="K5643" i="13" l="1"/>
  <c r="L5643" i="13" s="1"/>
  <c r="I5644" i="13" s="1"/>
  <c r="K5665" i="14"/>
  <c r="L5665" i="14" s="1"/>
  <c r="I5666" i="14" s="1"/>
  <c r="M5833" i="14"/>
  <c r="N5830" i="13"/>
  <c r="J5829" i="13" a="1"/>
  <c r="J5829" i="13" s="1"/>
  <c r="M5832" i="13"/>
  <c r="J5828" i="14" a="1"/>
  <c r="J5828" i="14" s="1"/>
  <c r="N5829" i="14"/>
  <c r="K5666" i="14" l="1"/>
  <c r="L5666" i="14" s="1"/>
  <c r="I5667" i="14" s="1"/>
  <c r="K5644" i="13"/>
  <c r="L5644" i="13" s="1"/>
  <c r="I5645" i="13" s="1"/>
  <c r="J5830" i="13" a="1"/>
  <c r="J5830" i="13" s="1"/>
  <c r="N5831" i="13"/>
  <c r="J5829" i="14" a="1"/>
  <c r="J5829" i="14" s="1"/>
  <c r="N5830" i="14"/>
  <c r="M5833" i="13"/>
  <c r="M5834" i="14"/>
  <c r="K5645" i="13" l="1"/>
  <c r="L5645" i="13" s="1"/>
  <c r="I5646" i="13" s="1"/>
  <c r="K5667" i="14"/>
  <c r="L5667" i="14" s="1"/>
  <c r="I5668" i="14" s="1"/>
  <c r="N5831" i="14"/>
  <c r="J5830" i="14" a="1"/>
  <c r="J5830" i="14" s="1"/>
  <c r="J5831" i="13" a="1"/>
  <c r="J5831" i="13" s="1"/>
  <c r="N5832" i="13"/>
  <c r="M5835" i="14"/>
  <c r="M5834" i="13"/>
  <c r="K5668" i="14" l="1"/>
  <c r="L5668" i="14" s="1"/>
  <c r="I5669" i="14" s="1"/>
  <c r="K5646" i="13"/>
  <c r="L5646" i="13" s="1"/>
  <c r="I5647" i="13" s="1"/>
  <c r="J5832" i="13" a="1"/>
  <c r="J5832" i="13" s="1"/>
  <c r="N5833" i="13"/>
  <c r="M5835" i="13"/>
  <c r="M5836" i="14"/>
  <c r="J5831" i="14" a="1"/>
  <c r="J5831" i="14" s="1"/>
  <c r="N5832" i="14"/>
  <c r="K5647" i="13" l="1"/>
  <c r="L5647" i="13" s="1"/>
  <c r="I5648" i="13" s="1"/>
  <c r="K5669" i="14"/>
  <c r="L5669" i="14" s="1"/>
  <c r="I5670" i="14" s="1"/>
  <c r="J5832" i="14" a="1"/>
  <c r="J5832" i="14" s="1"/>
  <c r="N5833" i="14"/>
  <c r="M5836" i="13"/>
  <c r="N5834" i="13"/>
  <c r="J5833" i="13" a="1"/>
  <c r="J5833" i="13" s="1"/>
  <c r="M5837" i="14"/>
  <c r="K5670" i="14" l="1"/>
  <c r="L5670" i="14" s="1"/>
  <c r="I5671" i="14" s="1"/>
  <c r="K5648" i="13"/>
  <c r="L5648" i="13" s="1"/>
  <c r="I5649" i="13" s="1"/>
  <c r="M5838" i="14"/>
  <c r="M5837" i="13"/>
  <c r="J5834" i="13" a="1"/>
  <c r="J5834" i="13" s="1"/>
  <c r="N5835" i="13"/>
  <c r="N5834" i="14"/>
  <c r="J5833" i="14" a="1"/>
  <c r="J5833" i="14" s="1"/>
  <c r="K5649" i="13" l="1"/>
  <c r="L5649" i="13" s="1"/>
  <c r="I5650" i="13" s="1"/>
  <c r="K5671" i="14"/>
  <c r="L5671" i="14" s="1"/>
  <c r="I5672" i="14" s="1"/>
  <c r="N5835" i="14"/>
  <c r="J5834" i="14" a="1"/>
  <c r="J5834" i="14" s="1"/>
  <c r="M5838" i="13"/>
  <c r="J5835" i="13" a="1"/>
  <c r="J5835" i="13" s="1"/>
  <c r="N5836" i="13"/>
  <c r="M5839" i="14"/>
  <c r="K5672" i="14" l="1"/>
  <c r="L5672" i="14" s="1"/>
  <c r="I5673" i="14" s="1"/>
  <c r="K5650" i="13"/>
  <c r="L5650" i="13" s="1"/>
  <c r="I5651" i="13" s="1"/>
  <c r="J5836" i="13" a="1"/>
  <c r="J5836" i="13" s="1"/>
  <c r="N5837" i="13"/>
  <c r="M5840" i="14"/>
  <c r="M5839" i="13"/>
  <c r="J5835" i="14" a="1"/>
  <c r="J5835" i="14" s="1"/>
  <c r="N5836" i="14"/>
  <c r="K5651" i="13" l="1"/>
  <c r="L5651" i="13" s="1"/>
  <c r="I5652" i="13" s="1"/>
  <c r="K5673" i="14"/>
  <c r="L5673" i="14" s="1"/>
  <c r="I5674" i="14" s="1"/>
  <c r="J5836" i="14" a="1"/>
  <c r="J5836" i="14" s="1"/>
  <c r="N5837" i="14"/>
  <c r="M5841" i="14"/>
  <c r="N5838" i="13"/>
  <c r="J5837" i="13" a="1"/>
  <c r="J5837" i="13" s="1"/>
  <c r="M5840" i="13"/>
  <c r="K5674" i="14" l="1"/>
  <c r="L5674" i="14" s="1"/>
  <c r="I5675" i="14" s="1"/>
  <c r="K5652" i="13"/>
  <c r="L5652" i="13" s="1"/>
  <c r="I5653" i="13" s="1"/>
  <c r="J5838" i="13" a="1"/>
  <c r="J5838" i="13" s="1"/>
  <c r="N5839" i="13"/>
  <c r="M5841" i="13"/>
  <c r="M5842" i="14"/>
  <c r="N5838" i="14"/>
  <c r="J5837" i="14" a="1"/>
  <c r="J5837" i="14" s="1"/>
  <c r="K5653" i="13" l="1"/>
  <c r="L5653" i="13" s="1"/>
  <c r="I5654" i="13" s="1"/>
  <c r="K5675" i="14"/>
  <c r="L5675" i="14" s="1"/>
  <c r="I5676" i="14" s="1"/>
  <c r="N5839" i="14"/>
  <c r="J5838" i="14" a="1"/>
  <c r="J5838" i="14" s="1"/>
  <c r="M5842" i="13"/>
  <c r="J5839" i="13" a="1"/>
  <c r="J5839" i="13" s="1"/>
  <c r="N5840" i="13"/>
  <c r="M5843" i="14"/>
  <c r="K5676" i="14" l="1"/>
  <c r="L5676" i="14" s="1"/>
  <c r="I5677" i="14" s="1"/>
  <c r="K5654" i="13"/>
  <c r="L5654" i="13" s="1"/>
  <c r="I5655" i="13" s="1"/>
  <c r="J5840" i="13" a="1"/>
  <c r="J5840" i="13" s="1"/>
  <c r="N5841" i="13"/>
  <c r="M5844" i="14"/>
  <c r="M5843" i="13"/>
  <c r="J5839" i="14" a="1"/>
  <c r="J5839" i="14" s="1"/>
  <c r="N5840" i="14"/>
  <c r="K5655" i="13" l="1"/>
  <c r="L5655" i="13" s="1"/>
  <c r="I5656" i="13" s="1"/>
  <c r="K5677" i="14"/>
  <c r="L5677" i="14" s="1"/>
  <c r="I5678" i="14" s="1"/>
  <c r="N5841" i="14"/>
  <c r="J5840" i="14" a="1"/>
  <c r="J5840" i="14" s="1"/>
  <c r="M5845" i="14"/>
  <c r="N5842" i="13"/>
  <c r="J5841" i="13" a="1"/>
  <c r="J5841" i="13" s="1"/>
  <c r="M5844" i="13"/>
  <c r="K5678" i="14" l="1"/>
  <c r="L5678" i="14" s="1"/>
  <c r="I5679" i="14" s="1"/>
  <c r="K5656" i="13"/>
  <c r="L5656" i="13" s="1"/>
  <c r="I5657" i="13" s="1"/>
  <c r="M5845" i="13"/>
  <c r="M5846" i="14"/>
  <c r="J5842" i="13" a="1"/>
  <c r="J5842" i="13" s="1"/>
  <c r="N5843" i="13"/>
  <c r="N5842" i="14"/>
  <c r="J5841" i="14" a="1"/>
  <c r="J5841" i="14" s="1"/>
  <c r="K5657" i="13" l="1"/>
  <c r="L5657" i="13" s="1"/>
  <c r="I5658" i="13" s="1"/>
  <c r="K5679" i="14"/>
  <c r="L5679" i="14" s="1"/>
  <c r="I5680" i="14" s="1"/>
  <c r="J5842" i="14" a="1"/>
  <c r="J5842" i="14" s="1"/>
  <c r="N5843" i="14"/>
  <c r="M5847" i="14"/>
  <c r="J5843" i="13" a="1"/>
  <c r="J5843" i="13" s="1"/>
  <c r="N5844" i="13"/>
  <c r="M5846" i="13"/>
  <c r="K5680" i="14" l="1"/>
  <c r="L5680" i="14" s="1"/>
  <c r="I5681" i="14" s="1"/>
  <c r="K5658" i="13"/>
  <c r="L5658" i="13" s="1"/>
  <c r="I5659" i="13" s="1"/>
  <c r="J5844" i="13" a="1"/>
  <c r="J5844" i="13" s="1"/>
  <c r="N5845" i="13"/>
  <c r="M5848" i="14"/>
  <c r="M5847" i="13"/>
  <c r="N5844" i="14"/>
  <c r="J5843" i="14" a="1"/>
  <c r="J5843" i="14" s="1"/>
  <c r="K5659" i="13" l="1"/>
  <c r="L5659" i="13" s="1"/>
  <c r="I5660" i="13" s="1"/>
  <c r="K5681" i="14"/>
  <c r="L5681" i="14" s="1"/>
  <c r="I5682" i="14" s="1"/>
  <c r="M5849" i="14"/>
  <c r="N5845" i="14"/>
  <c r="J5844" i="14" a="1"/>
  <c r="J5844" i="14" s="1"/>
  <c r="N5846" i="13"/>
  <c r="J5845" i="13" a="1"/>
  <c r="J5845" i="13" s="1"/>
  <c r="M5848" i="13"/>
  <c r="K5682" i="14" l="1"/>
  <c r="L5682" i="14" s="1"/>
  <c r="I5683" i="14" s="1"/>
  <c r="K5660" i="13"/>
  <c r="L5660" i="13" s="1"/>
  <c r="I5661" i="13" s="1"/>
  <c r="M5849" i="13"/>
  <c r="N5846" i="14"/>
  <c r="J5845" i="14" a="1"/>
  <c r="J5845" i="14" s="1"/>
  <c r="J5846" i="13" a="1"/>
  <c r="J5846" i="13" s="1"/>
  <c r="N5847" i="13"/>
  <c r="M5850" i="14"/>
  <c r="K5661" i="13" l="1"/>
  <c r="L5661" i="13" s="1"/>
  <c r="I5662" i="13" s="1"/>
  <c r="K5683" i="14"/>
  <c r="L5683" i="14" s="1"/>
  <c r="I5684" i="14" s="1"/>
  <c r="J5846" i="14" a="1"/>
  <c r="J5846" i="14" s="1"/>
  <c r="N5847" i="14"/>
  <c r="J5847" i="13" a="1"/>
  <c r="J5847" i="13" s="1"/>
  <c r="N5848" i="13"/>
  <c r="M5851" i="14"/>
  <c r="M5850" i="13"/>
  <c r="K5684" i="14" l="1"/>
  <c r="L5684" i="14" s="1"/>
  <c r="I5685" i="14" s="1"/>
  <c r="K5662" i="13"/>
  <c r="L5662" i="13" s="1"/>
  <c r="I5663" i="13" s="1"/>
  <c r="J5848" i="13" a="1"/>
  <c r="J5848" i="13" s="1"/>
  <c r="N5849" i="13"/>
  <c r="N5848" i="14"/>
  <c r="J5847" i="14" a="1"/>
  <c r="J5847" i="14" s="1"/>
  <c r="M5851" i="13"/>
  <c r="M5852" i="14"/>
  <c r="K5663" i="13" l="1"/>
  <c r="L5663" i="13" s="1"/>
  <c r="I5664" i="13" s="1"/>
  <c r="K5685" i="14"/>
  <c r="L5685" i="14" s="1"/>
  <c r="I5686" i="14" s="1"/>
  <c r="N5849" i="14"/>
  <c r="J5848" i="14" a="1"/>
  <c r="J5848" i="14" s="1"/>
  <c r="M5853" i="14"/>
  <c r="N5850" i="13"/>
  <c r="J5849" i="13" a="1"/>
  <c r="J5849" i="13" s="1"/>
  <c r="M5852" i="13"/>
  <c r="K5686" i="14" l="1"/>
  <c r="L5686" i="14" s="1"/>
  <c r="I5687" i="14" s="1"/>
  <c r="K5664" i="13"/>
  <c r="L5664" i="13" s="1"/>
  <c r="I5665" i="13" s="1"/>
  <c r="M5853" i="13"/>
  <c r="M5854" i="14"/>
  <c r="J5850" i="13" a="1"/>
  <c r="J5850" i="13" s="1"/>
  <c r="N5851" i="13"/>
  <c r="N5850" i="14"/>
  <c r="J5849" i="14" a="1"/>
  <c r="J5849" i="14" s="1"/>
  <c r="K5665" i="13" l="1"/>
  <c r="L5665" i="13" s="1"/>
  <c r="I5666" i="13" s="1"/>
  <c r="K5687" i="14"/>
  <c r="L5687" i="14" s="1"/>
  <c r="I5688" i="14" s="1"/>
  <c r="M5855" i="14"/>
  <c r="J5850" i="14" a="1"/>
  <c r="J5850" i="14" s="1"/>
  <c r="N5851" i="14"/>
  <c r="J5851" i="13" a="1"/>
  <c r="J5851" i="13" s="1"/>
  <c r="N5852" i="13"/>
  <c r="M5854" i="13"/>
  <c r="K5688" i="14" l="1"/>
  <c r="L5688" i="14" s="1"/>
  <c r="I5689" i="14" s="1"/>
  <c r="K5666" i="13"/>
  <c r="L5666" i="13" s="1"/>
  <c r="I5667" i="13" s="1"/>
  <c r="N5852" i="14"/>
  <c r="J5851" i="14" a="1"/>
  <c r="J5851" i="14" s="1"/>
  <c r="J5852" i="13" a="1"/>
  <c r="J5852" i="13" s="1"/>
  <c r="N5853" i="13"/>
  <c r="M5855" i="13"/>
  <c r="M5856" i="14"/>
  <c r="K5667" i="13" l="1"/>
  <c r="L5667" i="13" s="1"/>
  <c r="I5668" i="13" s="1"/>
  <c r="K5689" i="14"/>
  <c r="L5689" i="14" s="1"/>
  <c r="I5690" i="14" s="1"/>
  <c r="M5857" i="14"/>
  <c r="N5854" i="13"/>
  <c r="J5853" i="13" a="1"/>
  <c r="J5853" i="13" s="1"/>
  <c r="M5856" i="13"/>
  <c r="N5853" i="14"/>
  <c r="J5852" i="14" a="1"/>
  <c r="J5852" i="14" s="1"/>
  <c r="K5690" i="14" l="1"/>
  <c r="L5690" i="14" s="1"/>
  <c r="I5691" i="14" s="1"/>
  <c r="K5668" i="13"/>
  <c r="L5668" i="13" s="1"/>
  <c r="I5669" i="13" s="1"/>
  <c r="N5854" i="14"/>
  <c r="J5853" i="14" a="1"/>
  <c r="J5853" i="14" s="1"/>
  <c r="J5854" i="13" a="1"/>
  <c r="J5854" i="13" s="1"/>
  <c r="N5855" i="13"/>
  <c r="M5857" i="13"/>
  <c r="M5858" i="14"/>
  <c r="K5669" i="13" l="1"/>
  <c r="L5669" i="13" s="1"/>
  <c r="I5670" i="13" s="1"/>
  <c r="K5691" i="14"/>
  <c r="L5691" i="14" s="1"/>
  <c r="I5692" i="14" s="1"/>
  <c r="J5855" i="13" a="1"/>
  <c r="J5855" i="13" s="1"/>
  <c r="N5856" i="13"/>
  <c r="M5859" i="14"/>
  <c r="M5858" i="13"/>
  <c r="J5854" i="14" a="1"/>
  <c r="J5854" i="14" s="1"/>
  <c r="N5855" i="14"/>
  <c r="K5692" i="14" l="1"/>
  <c r="L5692" i="14" s="1"/>
  <c r="I5693" i="14" s="1"/>
  <c r="K5670" i="13"/>
  <c r="L5670" i="13" s="1"/>
  <c r="I5671" i="13" s="1"/>
  <c r="M5860" i="14"/>
  <c r="J5856" i="13" a="1"/>
  <c r="J5856" i="13" s="1"/>
  <c r="N5857" i="13"/>
  <c r="N5856" i="14"/>
  <c r="J5855" i="14" a="1"/>
  <c r="J5855" i="14" s="1"/>
  <c r="M5859" i="13"/>
  <c r="K5671" i="13" l="1"/>
  <c r="L5671" i="13" s="1"/>
  <c r="I5672" i="13" s="1"/>
  <c r="K5693" i="14"/>
  <c r="L5693" i="14" s="1"/>
  <c r="I5694" i="14" s="1"/>
  <c r="N5858" i="13"/>
  <c r="J5857" i="13" a="1"/>
  <c r="J5857" i="13" s="1"/>
  <c r="M5860" i="13"/>
  <c r="M5861" i="14"/>
  <c r="N5857" i="14"/>
  <c r="J5856" i="14" a="1"/>
  <c r="J5856" i="14" s="1"/>
  <c r="K5694" i="14" l="1"/>
  <c r="L5694" i="14" s="1"/>
  <c r="I5695" i="14" s="1"/>
  <c r="K5672" i="13"/>
  <c r="L5672" i="13" s="1"/>
  <c r="I5673" i="13" s="1"/>
  <c r="M5861" i="13"/>
  <c r="N5858" i="14"/>
  <c r="J5857" i="14" a="1"/>
  <c r="J5857" i="14" s="1"/>
  <c r="M5862" i="14"/>
  <c r="J5858" i="13" a="1"/>
  <c r="J5858" i="13" s="1"/>
  <c r="N5859" i="13"/>
  <c r="K5673" i="13" l="1"/>
  <c r="L5673" i="13" s="1"/>
  <c r="I5674" i="13" s="1"/>
  <c r="K5695" i="14"/>
  <c r="L5695" i="14" s="1"/>
  <c r="I5696" i="14" s="1"/>
  <c r="J5859" i="13" a="1"/>
  <c r="J5859" i="13" s="1"/>
  <c r="N5860" i="13"/>
  <c r="J5858" i="14" a="1"/>
  <c r="J5858" i="14" s="1"/>
  <c r="N5859" i="14"/>
  <c r="M5863" i="14"/>
  <c r="M5862" i="13"/>
  <c r="K5696" i="14" l="1"/>
  <c r="L5696" i="14" s="1"/>
  <c r="I5697" i="14" s="1"/>
  <c r="K5674" i="13"/>
  <c r="L5674" i="13" s="1"/>
  <c r="I5675" i="13" s="1"/>
  <c r="N5860" i="14"/>
  <c r="J5859" i="14" a="1"/>
  <c r="J5859" i="14" s="1"/>
  <c r="M5863" i="13"/>
  <c r="M5864" i="14"/>
  <c r="J5860" i="13" a="1"/>
  <c r="J5860" i="13" s="1"/>
  <c r="N5861" i="13"/>
  <c r="K5675" i="13" l="1"/>
  <c r="L5675" i="13" s="1"/>
  <c r="I5676" i="13" s="1"/>
  <c r="K5697" i="14"/>
  <c r="L5697" i="14" s="1"/>
  <c r="I5698" i="14" s="1"/>
  <c r="M5864" i="13"/>
  <c r="N5862" i="13"/>
  <c r="J5861" i="13" a="1"/>
  <c r="J5861" i="13" s="1"/>
  <c r="M5865" i="14"/>
  <c r="N5861" i="14"/>
  <c r="J5860" i="14" a="1"/>
  <c r="J5860" i="14" s="1"/>
  <c r="K5698" i="14" l="1"/>
  <c r="L5698" i="14" s="1"/>
  <c r="I5699" i="14" s="1"/>
  <c r="K5676" i="13"/>
  <c r="L5676" i="13" s="1"/>
  <c r="I5677" i="13" s="1"/>
  <c r="N5862" i="14"/>
  <c r="J5861" i="14" a="1"/>
  <c r="J5861" i="14" s="1"/>
  <c r="M5865" i="13"/>
  <c r="J5862" i="13" a="1"/>
  <c r="J5862" i="13" s="1"/>
  <c r="N5863" i="13"/>
  <c r="M5866" i="14"/>
  <c r="K5677" i="13" l="1"/>
  <c r="L5677" i="13" s="1"/>
  <c r="I5678" i="13" s="1"/>
  <c r="K5699" i="14"/>
  <c r="L5699" i="14" s="1"/>
  <c r="I5700" i="14" s="1"/>
  <c r="M5867" i="14"/>
  <c r="M5866" i="13"/>
  <c r="J5863" i="13" a="1"/>
  <c r="J5863" i="13" s="1"/>
  <c r="N5864" i="13"/>
  <c r="J5862" i="14" a="1"/>
  <c r="J5862" i="14" s="1"/>
  <c r="N5863" i="14"/>
  <c r="K5700" i="14" l="1"/>
  <c r="L5700" i="14" s="1"/>
  <c r="I5701" i="14" s="1"/>
  <c r="K5678" i="13"/>
  <c r="L5678" i="13" s="1"/>
  <c r="I5679" i="13" s="1"/>
  <c r="N5864" i="14"/>
  <c r="J5863" i="14" a="1"/>
  <c r="J5863" i="14" s="1"/>
  <c r="M5867" i="13"/>
  <c r="J5864" i="13" a="1"/>
  <c r="J5864" i="13" s="1"/>
  <c r="N5865" i="13"/>
  <c r="M5868" i="14"/>
  <c r="K5679" i="13" l="1"/>
  <c r="L5679" i="13" s="1"/>
  <c r="I5680" i="13" s="1"/>
  <c r="K5701" i="14"/>
  <c r="L5701" i="14" s="1"/>
  <c r="I5702" i="14" s="1"/>
  <c r="M5869" i="14"/>
  <c r="M5868" i="13"/>
  <c r="N5866" i="13"/>
  <c r="J5865" i="13" a="1"/>
  <c r="J5865" i="13" s="1"/>
  <c r="J5864" i="14" a="1"/>
  <c r="J5864" i="14" s="1"/>
  <c r="N5865" i="14"/>
  <c r="K5702" i="14" l="1"/>
  <c r="L5702" i="14" s="1"/>
  <c r="I5703" i="14" s="1"/>
  <c r="K5680" i="13"/>
  <c r="L5680" i="13" s="1"/>
  <c r="I5681" i="13" s="1"/>
  <c r="M5869" i="13"/>
  <c r="N5866" i="14"/>
  <c r="J5865" i="14" a="1"/>
  <c r="J5865" i="14" s="1"/>
  <c r="J5866" i="13" a="1"/>
  <c r="J5866" i="13" s="1"/>
  <c r="N5867" i="13"/>
  <c r="M5870" i="14"/>
  <c r="K5681" i="13" l="1"/>
  <c r="L5681" i="13" s="1"/>
  <c r="I5682" i="13" s="1"/>
  <c r="K5703" i="14"/>
  <c r="L5703" i="14" s="1"/>
  <c r="I5704" i="14" s="1"/>
  <c r="J5866" i="14" a="1"/>
  <c r="J5866" i="14" s="1"/>
  <c r="N5867" i="14"/>
  <c r="J5867" i="13" a="1"/>
  <c r="J5867" i="13" s="1"/>
  <c r="N5868" i="13"/>
  <c r="M5871" i="14"/>
  <c r="M5870" i="13"/>
  <c r="K5704" i="14" l="1"/>
  <c r="L5704" i="14" s="1"/>
  <c r="I5705" i="14" s="1"/>
  <c r="K5682" i="13"/>
  <c r="L5682" i="13" s="1"/>
  <c r="I5683" i="13" s="1"/>
  <c r="J5868" i="13" a="1"/>
  <c r="J5868" i="13" s="1"/>
  <c r="N5869" i="13"/>
  <c r="J5867" i="14" a="1"/>
  <c r="J5867" i="14" s="1"/>
  <c r="N5868" i="14"/>
  <c r="M5871" i="13"/>
  <c r="M5872" i="14"/>
  <c r="K5683" i="13" l="1"/>
  <c r="L5683" i="13" s="1"/>
  <c r="I5684" i="13" s="1"/>
  <c r="K5705" i="14"/>
  <c r="L5705" i="14" s="1"/>
  <c r="I5706" i="14" s="1"/>
  <c r="J5868" i="14" a="1"/>
  <c r="J5868" i="14" s="1"/>
  <c r="N5869" i="14"/>
  <c r="M5873" i="14"/>
  <c r="N5870" i="13"/>
  <c r="J5869" i="13" a="1"/>
  <c r="J5869" i="13" s="1"/>
  <c r="M5872" i="13"/>
  <c r="K5706" i="14" l="1"/>
  <c r="L5706" i="14" s="1"/>
  <c r="I5707" i="14" s="1"/>
  <c r="K5684" i="13"/>
  <c r="L5684" i="13" s="1"/>
  <c r="I5685" i="13" s="1"/>
  <c r="M5873" i="13"/>
  <c r="M5874" i="14"/>
  <c r="N5870" i="14"/>
  <c r="J5869" i="14" a="1"/>
  <c r="J5869" i="14" s="1"/>
  <c r="J5870" i="13" a="1"/>
  <c r="J5870" i="13" s="1"/>
  <c r="N5871" i="13"/>
  <c r="K5685" i="13" l="1"/>
  <c r="L5685" i="13" s="1"/>
  <c r="I5686" i="13" s="1"/>
  <c r="K5707" i="14"/>
  <c r="L5707" i="14" s="1"/>
  <c r="I5708" i="14" s="1"/>
  <c r="J5871" i="13" a="1"/>
  <c r="J5871" i="13" s="1"/>
  <c r="N5872" i="13"/>
  <c r="M5875" i="14"/>
  <c r="J5870" i="14" a="1"/>
  <c r="J5870" i="14" s="1"/>
  <c r="N5871" i="14"/>
  <c r="M5874" i="13"/>
  <c r="K5708" i="14" l="1"/>
  <c r="L5708" i="14" s="1"/>
  <c r="I5709" i="14" s="1"/>
  <c r="K5686" i="13"/>
  <c r="L5686" i="13" s="1"/>
  <c r="I5687" i="13" s="1"/>
  <c r="M5875" i="13"/>
  <c r="M5876" i="14"/>
  <c r="J5871" i="14" a="1"/>
  <c r="J5871" i="14" s="1"/>
  <c r="N5872" i="14"/>
  <c r="J5872" i="13" a="1"/>
  <c r="J5872" i="13" s="1"/>
  <c r="N5873" i="13"/>
  <c r="K5687" i="13" l="1"/>
  <c r="L5687" i="13" s="1"/>
  <c r="I5688" i="13" s="1"/>
  <c r="K5709" i="14"/>
  <c r="L5709" i="14" s="1"/>
  <c r="I5710" i="14" s="1"/>
  <c r="N5874" i="13"/>
  <c r="J5873" i="13" a="1"/>
  <c r="J5873" i="13" s="1"/>
  <c r="M5877" i="14"/>
  <c r="N5873" i="14"/>
  <c r="J5872" i="14" a="1"/>
  <c r="J5872" i="14" s="1"/>
  <c r="M5876" i="13"/>
  <c r="K5710" i="14" l="1"/>
  <c r="L5710" i="14" s="1"/>
  <c r="I5711" i="14" s="1"/>
  <c r="K5688" i="13"/>
  <c r="L5688" i="13" s="1"/>
  <c r="I5689" i="13" s="1"/>
  <c r="M5877" i="13"/>
  <c r="M5878" i="14"/>
  <c r="N5874" i="14"/>
  <c r="J5873" i="14" a="1"/>
  <c r="J5873" i="14" s="1"/>
  <c r="J5874" i="13" a="1"/>
  <c r="J5874" i="13" s="1"/>
  <c r="N5875" i="13"/>
  <c r="K5689" i="13" l="1"/>
  <c r="L5689" i="13" s="1"/>
  <c r="I5690" i="13" s="1"/>
  <c r="K5711" i="14"/>
  <c r="L5711" i="14" s="1"/>
  <c r="I5712" i="14" s="1"/>
  <c r="J5875" i="13" a="1"/>
  <c r="J5875" i="13" s="1"/>
  <c r="N5876" i="13"/>
  <c r="M5879" i="14"/>
  <c r="J5874" i="14" a="1"/>
  <c r="J5874" i="14" s="1"/>
  <c r="N5875" i="14"/>
  <c r="M5878" i="13"/>
  <c r="K5712" i="14" l="1"/>
  <c r="L5712" i="14" s="1"/>
  <c r="I5713" i="14" s="1"/>
  <c r="K5690" i="13"/>
  <c r="L5690" i="13" s="1"/>
  <c r="I5691" i="13" s="1"/>
  <c r="M5880" i="14"/>
  <c r="M5879" i="13"/>
  <c r="N5876" i="14"/>
  <c r="J5875" i="14" a="1"/>
  <c r="J5875" i="14" s="1"/>
  <c r="J5876" i="13" a="1"/>
  <c r="J5876" i="13" s="1"/>
  <c r="N5877" i="13"/>
  <c r="K5691" i="13" l="1"/>
  <c r="L5691" i="13" s="1"/>
  <c r="I5692" i="13" s="1"/>
  <c r="K5713" i="14"/>
  <c r="L5713" i="14" s="1"/>
  <c r="I5714" i="14" s="1"/>
  <c r="N5878" i="13"/>
  <c r="J5877" i="13" a="1"/>
  <c r="J5877" i="13" s="1"/>
  <c r="M5880" i="13"/>
  <c r="M5881" i="14"/>
  <c r="N5877" i="14"/>
  <c r="J5876" i="14" a="1"/>
  <c r="J5876" i="14" s="1"/>
  <c r="K5714" i="14" l="1"/>
  <c r="L5714" i="14" s="1"/>
  <c r="I5715" i="14" s="1"/>
  <c r="K5692" i="13"/>
  <c r="L5692" i="13" s="1"/>
  <c r="I5693" i="13" s="1"/>
  <c r="N5878" i="14"/>
  <c r="J5877" i="14" a="1"/>
  <c r="J5877" i="14" s="1"/>
  <c r="M5881" i="13"/>
  <c r="M5882" i="14"/>
  <c r="J5878" i="13" a="1"/>
  <c r="J5878" i="13" s="1"/>
  <c r="N5879" i="13"/>
  <c r="K5693" i="13" l="1"/>
  <c r="L5693" i="13" s="1"/>
  <c r="I5694" i="13" s="1"/>
  <c r="K5715" i="14"/>
  <c r="L5715" i="14" s="1"/>
  <c r="I5716" i="14" s="1"/>
  <c r="M5882" i="13"/>
  <c r="J5879" i="13" a="1"/>
  <c r="J5879" i="13" s="1"/>
  <c r="N5880" i="13"/>
  <c r="M5883" i="14"/>
  <c r="J5878" i="14" a="1"/>
  <c r="J5878" i="14" s="1"/>
  <c r="N5879" i="14"/>
  <c r="K5716" i="14" l="1"/>
  <c r="L5716" i="14" s="1"/>
  <c r="I5717" i="14" s="1"/>
  <c r="K5694" i="13"/>
  <c r="L5694" i="13" s="1"/>
  <c r="I5695" i="13" s="1"/>
  <c r="N5880" i="14"/>
  <c r="J5879" i="14" a="1"/>
  <c r="J5879" i="14" s="1"/>
  <c r="J5880" i="13" a="1"/>
  <c r="J5880" i="13" s="1"/>
  <c r="N5881" i="13"/>
  <c r="M5884" i="14"/>
  <c r="M5883" i="13"/>
  <c r="K5695" i="13" l="1"/>
  <c r="L5695" i="13" s="1"/>
  <c r="I5696" i="13" s="1"/>
  <c r="K5717" i="14"/>
  <c r="L5717" i="14" s="1"/>
  <c r="I5718" i="14" s="1"/>
  <c r="N5882" i="13"/>
  <c r="J5881" i="13" a="1"/>
  <c r="J5881" i="13" s="1"/>
  <c r="M5885" i="14"/>
  <c r="M5884" i="13"/>
  <c r="N5881" i="14"/>
  <c r="J5880" i="14" a="1"/>
  <c r="J5880" i="14" s="1"/>
  <c r="K5718" i="14" l="1"/>
  <c r="L5718" i="14" s="1"/>
  <c r="I5719" i="14" s="1"/>
  <c r="K5696" i="13"/>
  <c r="L5696" i="13" s="1"/>
  <c r="I5697" i="13" s="1"/>
  <c r="N5882" i="14"/>
  <c r="J5881" i="14" a="1"/>
  <c r="J5881" i="14" s="1"/>
  <c r="M5886" i="14"/>
  <c r="M5885" i="13"/>
  <c r="J5882" i="13" a="1"/>
  <c r="J5882" i="13" s="1"/>
  <c r="N5883" i="13"/>
  <c r="K5697" i="13" l="1"/>
  <c r="L5697" i="13" s="1"/>
  <c r="I5698" i="13" s="1"/>
  <c r="K5719" i="14"/>
  <c r="L5719" i="14" s="1"/>
  <c r="I5720" i="14" s="1"/>
  <c r="M5887" i="14"/>
  <c r="J5883" i="13" a="1"/>
  <c r="J5883" i="13" s="1"/>
  <c r="N5884" i="13"/>
  <c r="M5886" i="13"/>
  <c r="J5882" i="14" a="1"/>
  <c r="J5882" i="14" s="1"/>
  <c r="N5883" i="14"/>
  <c r="K5720" i="14" l="1"/>
  <c r="L5720" i="14" s="1"/>
  <c r="I5721" i="14" s="1"/>
  <c r="K5698" i="13"/>
  <c r="L5698" i="13" s="1"/>
  <c r="I5699" i="13" s="1"/>
  <c r="N5884" i="14"/>
  <c r="J5883" i="14" a="1"/>
  <c r="J5883" i="14" s="1"/>
  <c r="J5884" i="13" a="1"/>
  <c r="J5884" i="13" s="1"/>
  <c r="N5885" i="13"/>
  <c r="M5887" i="13"/>
  <c r="M5888" i="14"/>
  <c r="K5699" i="13" l="1"/>
  <c r="L5699" i="13" s="1"/>
  <c r="I5700" i="13" s="1"/>
  <c r="K5721" i="14"/>
  <c r="L5721" i="14" s="1"/>
  <c r="I5722" i="14" s="1"/>
  <c r="N5886" i="13"/>
  <c r="J5885" i="13" a="1"/>
  <c r="J5885" i="13" s="1"/>
  <c r="M5889" i="14"/>
  <c r="M5888" i="13"/>
  <c r="N5885" i="14"/>
  <c r="J5884" i="14" a="1"/>
  <c r="J5884" i="14" s="1"/>
  <c r="K5722" i="14" l="1"/>
  <c r="L5722" i="14" s="1"/>
  <c r="I5723" i="14" s="1"/>
  <c r="K5700" i="13"/>
  <c r="L5700" i="13" s="1"/>
  <c r="I5701" i="13" s="1"/>
  <c r="N5886" i="14"/>
  <c r="J5885" i="14" a="1"/>
  <c r="J5885" i="14" s="1"/>
  <c r="M5890" i="14"/>
  <c r="M5889" i="13"/>
  <c r="J5886" i="13" a="1"/>
  <c r="J5886" i="13" s="1"/>
  <c r="N5887" i="13"/>
  <c r="K5701" i="13" l="1"/>
  <c r="L5701" i="13" s="1"/>
  <c r="I5702" i="13" s="1"/>
  <c r="K5723" i="14"/>
  <c r="L5723" i="14" s="1"/>
  <c r="I5724" i="14" s="1"/>
  <c r="M5891" i="14"/>
  <c r="J5887" i="13" a="1"/>
  <c r="J5887" i="13" s="1"/>
  <c r="N5888" i="13"/>
  <c r="M5890" i="13"/>
  <c r="J5886" i="14" a="1"/>
  <c r="J5886" i="14" s="1"/>
  <c r="N5887" i="14"/>
  <c r="K5702" i="13" l="1"/>
  <c r="L5702" i="13" s="1"/>
  <c r="I5703" i="13" s="1"/>
  <c r="J5888" i="13" a="1"/>
  <c r="J5888" i="13" s="1"/>
  <c r="N5889" i="13"/>
  <c r="K5724" i="14"/>
  <c r="L5724" i="14" s="1"/>
  <c r="I5725" i="14" s="1"/>
  <c r="N5888" i="14"/>
  <c r="J5887" i="14" a="1"/>
  <c r="J5887" i="14" s="1"/>
  <c r="M5892" i="14"/>
  <c r="M5891" i="13"/>
  <c r="K5725" i="14" l="1"/>
  <c r="L5725" i="14" s="1"/>
  <c r="I5726" i="14" s="1"/>
  <c r="K5703" i="13"/>
  <c r="L5703" i="13" s="1"/>
  <c r="I5704" i="13" s="1"/>
  <c r="N5890" i="13"/>
  <c r="J5889" i="13" a="1"/>
  <c r="J5889" i="13" s="1"/>
  <c r="N5889" i="14"/>
  <c r="J5888" i="14" a="1"/>
  <c r="J5888" i="14" s="1"/>
  <c r="M5893" i="14"/>
  <c r="M5892" i="13"/>
  <c r="K5704" i="13" l="1"/>
  <c r="L5704" i="13" s="1"/>
  <c r="I5705" i="13" s="1"/>
  <c r="K5726" i="14"/>
  <c r="L5726" i="14" s="1"/>
  <c r="I5727" i="14" s="1"/>
  <c r="N5890" i="14"/>
  <c r="J5889" i="14" a="1"/>
  <c r="J5889" i="14" s="1"/>
  <c r="M5893" i="13"/>
  <c r="M5894" i="14"/>
  <c r="J5890" i="13" a="1"/>
  <c r="J5890" i="13" s="1"/>
  <c r="N5891" i="13"/>
  <c r="K5727" i="14" l="1"/>
  <c r="L5727" i="14" s="1"/>
  <c r="I5728" i="14" s="1"/>
  <c r="K5705" i="13"/>
  <c r="L5705" i="13" s="1"/>
  <c r="I5706" i="13" s="1"/>
  <c r="M5894" i="13"/>
  <c r="J5891" i="13" a="1"/>
  <c r="J5891" i="13" s="1"/>
  <c r="N5892" i="13"/>
  <c r="M5895" i="14"/>
  <c r="J5890" i="14" a="1"/>
  <c r="J5890" i="14" s="1"/>
  <c r="N5891" i="14"/>
  <c r="K5706" i="13" l="1"/>
  <c r="L5706" i="13" s="1"/>
  <c r="I5707" i="13" s="1"/>
  <c r="K5728" i="14"/>
  <c r="L5728" i="14" s="1"/>
  <c r="I5729" i="14" s="1"/>
  <c r="N5892" i="14"/>
  <c r="J5891" i="14" a="1"/>
  <c r="J5891" i="14" s="1"/>
  <c r="J5892" i="13" a="1"/>
  <c r="J5892" i="13" s="1"/>
  <c r="N5893" i="13"/>
  <c r="M5896" i="14"/>
  <c r="M5895" i="13"/>
  <c r="K5729" i="14" l="1"/>
  <c r="L5729" i="14" s="1"/>
  <c r="I5730" i="14" s="1"/>
  <c r="K5707" i="13"/>
  <c r="L5707" i="13" s="1"/>
  <c r="I5708" i="13" s="1"/>
  <c r="N5894" i="13"/>
  <c r="J5893" i="13" a="1"/>
  <c r="J5893" i="13" s="1"/>
  <c r="M5896" i="13"/>
  <c r="M5897" i="14"/>
  <c r="N5893" i="14"/>
  <c r="J5892" i="14" a="1"/>
  <c r="J5892" i="14" s="1"/>
  <c r="K5708" i="13" l="1"/>
  <c r="L5708" i="13" s="1"/>
  <c r="I5709" i="13" s="1"/>
  <c r="K5730" i="14"/>
  <c r="L5730" i="14" s="1"/>
  <c r="I5731" i="14" s="1"/>
  <c r="M5897" i="13"/>
  <c r="N5894" i="14"/>
  <c r="J5893" i="14" a="1"/>
  <c r="J5893" i="14" s="1"/>
  <c r="M5898" i="14"/>
  <c r="J5894" i="13" a="1"/>
  <c r="J5894" i="13" s="1"/>
  <c r="N5895" i="13"/>
  <c r="K5709" i="13" l="1"/>
  <c r="L5709" i="13" s="1"/>
  <c r="I5710" i="13" s="1"/>
  <c r="K5731" i="14"/>
  <c r="L5731" i="14" s="1"/>
  <c r="I5732" i="14" s="1"/>
  <c r="J5894" i="14" a="1"/>
  <c r="J5894" i="14" s="1"/>
  <c r="N5895" i="14"/>
  <c r="J5895" i="13" a="1"/>
  <c r="J5895" i="13" s="1"/>
  <c r="N5896" i="13"/>
  <c r="M5899" i="14"/>
  <c r="M5898" i="13"/>
  <c r="K5732" i="14" l="1"/>
  <c r="L5732" i="14" s="1"/>
  <c r="I5733" i="14" s="1"/>
  <c r="K5710" i="13"/>
  <c r="L5710" i="13" s="1"/>
  <c r="I5711" i="13" s="1"/>
  <c r="J5896" i="13" a="1"/>
  <c r="J5896" i="13" s="1"/>
  <c r="N5897" i="13"/>
  <c r="M5900" i="14"/>
  <c r="M5899" i="13"/>
  <c r="N5896" i="14"/>
  <c r="J5895" i="14" a="1"/>
  <c r="J5895" i="14" s="1"/>
  <c r="K5711" i="13" l="1"/>
  <c r="L5711" i="13" s="1"/>
  <c r="I5712" i="13" s="1"/>
  <c r="K5733" i="14"/>
  <c r="L5733" i="14" s="1"/>
  <c r="I5734" i="14" s="1"/>
  <c r="M5901" i="14"/>
  <c r="N5897" i="14"/>
  <c r="J5896" i="14" a="1"/>
  <c r="J5896" i="14" s="1"/>
  <c r="N5898" i="13"/>
  <c r="J5897" i="13" a="1"/>
  <c r="J5897" i="13" s="1"/>
  <c r="M5900" i="13"/>
  <c r="K5734" i="14" l="1"/>
  <c r="L5734" i="14" s="1"/>
  <c r="I5735" i="14" s="1"/>
  <c r="K5712" i="13"/>
  <c r="L5712" i="13" s="1"/>
  <c r="I5713" i="13" s="1"/>
  <c r="M5901" i="13"/>
  <c r="N5898" i="14"/>
  <c r="J5897" i="14" a="1"/>
  <c r="J5897" i="14" s="1"/>
  <c r="J5898" i="13" a="1"/>
  <c r="J5898" i="13" s="1"/>
  <c r="N5899" i="13"/>
  <c r="M5902" i="14"/>
  <c r="K5713" i="13" l="1"/>
  <c r="L5713" i="13" s="1"/>
  <c r="I5714" i="13" s="1"/>
  <c r="K5735" i="14"/>
  <c r="L5735" i="14" s="1"/>
  <c r="I5736" i="14" s="1"/>
  <c r="M5903" i="14"/>
  <c r="J5898" i="14" a="1"/>
  <c r="J5898" i="14" s="1"/>
  <c r="N5899" i="14"/>
  <c r="J5899" i="13" a="1"/>
  <c r="J5899" i="13" s="1"/>
  <c r="N5900" i="13"/>
  <c r="M5902" i="13"/>
  <c r="K5736" i="14" l="1"/>
  <c r="L5736" i="14" s="1"/>
  <c r="I5737" i="14" s="1"/>
  <c r="K5714" i="13"/>
  <c r="L5714" i="13" s="1"/>
  <c r="I5715" i="13" s="1"/>
  <c r="N5900" i="14"/>
  <c r="J5899" i="14" a="1"/>
  <c r="J5899" i="14" s="1"/>
  <c r="J5900" i="13" a="1"/>
  <c r="J5900" i="13" s="1"/>
  <c r="N5901" i="13"/>
  <c r="M5903" i="13"/>
  <c r="M5904" i="14"/>
  <c r="K5715" i="13" l="1"/>
  <c r="L5715" i="13" s="1"/>
  <c r="I5716" i="13" s="1"/>
  <c r="K5737" i="14"/>
  <c r="L5737" i="14" s="1"/>
  <c r="I5738" i="14" s="1"/>
  <c r="N5902" i="13"/>
  <c r="J5901" i="13" a="1"/>
  <c r="J5901" i="13" s="1"/>
  <c r="M5905" i="14"/>
  <c r="M5904" i="13"/>
  <c r="N5901" i="14"/>
  <c r="J5900" i="14" a="1"/>
  <c r="J5900" i="14" s="1"/>
  <c r="K5738" i="14" l="1"/>
  <c r="L5738" i="14" s="1"/>
  <c r="I5739" i="14" s="1"/>
  <c r="K5716" i="13"/>
  <c r="L5716" i="13" s="1"/>
  <c r="I5717" i="13" s="1"/>
  <c r="N5902" i="14"/>
  <c r="J5901" i="14" a="1"/>
  <c r="J5901" i="14" s="1"/>
  <c r="M5906" i="14"/>
  <c r="M5905" i="13"/>
  <c r="J5902" i="13" a="1"/>
  <c r="J5902" i="13" s="1"/>
  <c r="N5903" i="13"/>
  <c r="K5717" i="13" l="1"/>
  <c r="L5717" i="13" s="1"/>
  <c r="I5718" i="13" s="1"/>
  <c r="K5739" i="14"/>
  <c r="L5739" i="14" s="1"/>
  <c r="I5740" i="14" s="1"/>
  <c r="J5903" i="13" a="1"/>
  <c r="J5903" i="13" s="1"/>
  <c r="N5904" i="13"/>
  <c r="M5907" i="14"/>
  <c r="M5906" i="13"/>
  <c r="J5902" i="14" a="1"/>
  <c r="J5902" i="14" s="1"/>
  <c r="N5903" i="14"/>
  <c r="K5740" i="14" l="1"/>
  <c r="L5740" i="14" s="1"/>
  <c r="I5741" i="14" s="1"/>
  <c r="K5718" i="13"/>
  <c r="L5718" i="13" s="1"/>
  <c r="I5719" i="13" s="1"/>
  <c r="N5904" i="14"/>
  <c r="J5903" i="14" a="1"/>
  <c r="J5903" i="14" s="1"/>
  <c r="M5908" i="14"/>
  <c r="J5904" i="13" a="1"/>
  <c r="J5904" i="13" s="1"/>
  <c r="N5905" i="13"/>
  <c r="M5907" i="13"/>
  <c r="K5719" i="13" l="1"/>
  <c r="L5719" i="13" s="1"/>
  <c r="I5720" i="13" s="1"/>
  <c r="K5741" i="14"/>
  <c r="L5741" i="14" s="1"/>
  <c r="I5742" i="14" s="1"/>
  <c r="M5909" i="14"/>
  <c r="N5906" i="13"/>
  <c r="J5905" i="13" a="1"/>
  <c r="J5905" i="13" s="1"/>
  <c r="M5908" i="13"/>
  <c r="N5905" i="14"/>
  <c r="J5904" i="14" a="1"/>
  <c r="J5904" i="14" s="1"/>
  <c r="K5742" i="14" l="1"/>
  <c r="L5742" i="14" s="1"/>
  <c r="I5743" i="14" s="1"/>
  <c r="K5720" i="13"/>
  <c r="L5720" i="13" s="1"/>
  <c r="I5721" i="13" s="1"/>
  <c r="J5906" i="13" a="1"/>
  <c r="J5906" i="13" s="1"/>
  <c r="N5907" i="13"/>
  <c r="M5909" i="13"/>
  <c r="N5906" i="14"/>
  <c r="J5905" i="14" a="1"/>
  <c r="J5905" i="14" s="1"/>
  <c r="M5910" i="14"/>
  <c r="K5721" i="13" l="1"/>
  <c r="L5721" i="13" s="1"/>
  <c r="I5722" i="13" s="1"/>
  <c r="K5743" i="14"/>
  <c r="L5743" i="14" s="1"/>
  <c r="I5744" i="14" s="1"/>
  <c r="J5906" i="14" a="1"/>
  <c r="J5906" i="14" s="1"/>
  <c r="N5907" i="14"/>
  <c r="M5911" i="14"/>
  <c r="M5910" i="13"/>
  <c r="J5907" i="13" a="1"/>
  <c r="J5907" i="13" s="1"/>
  <c r="N5908" i="13"/>
  <c r="K5744" i="14" l="1"/>
  <c r="L5744" i="14" s="1"/>
  <c r="I5745" i="14" s="1"/>
  <c r="K5722" i="13"/>
  <c r="L5722" i="13" s="1"/>
  <c r="I5723" i="13" s="1"/>
  <c r="J5908" i="13" a="1"/>
  <c r="J5908" i="13" s="1"/>
  <c r="N5909" i="13"/>
  <c r="M5912" i="14"/>
  <c r="N5908" i="14"/>
  <c r="J5907" i="14" a="1"/>
  <c r="J5907" i="14" s="1"/>
  <c r="M5911" i="13"/>
  <c r="K5723" i="13" l="1"/>
  <c r="L5723" i="13" s="1"/>
  <c r="I5724" i="13" s="1"/>
  <c r="K5745" i="14"/>
  <c r="L5745" i="14" s="1"/>
  <c r="I5746" i="14" s="1"/>
  <c r="M5913" i="14"/>
  <c r="N5909" i="14"/>
  <c r="J5908" i="14" a="1"/>
  <c r="J5908" i="14" s="1"/>
  <c r="M5912" i="13"/>
  <c r="N5910" i="13"/>
  <c r="J5909" i="13" a="1"/>
  <c r="J5909" i="13" s="1"/>
  <c r="K5746" i="14" l="1"/>
  <c r="L5746" i="14" s="1"/>
  <c r="I5747" i="14" s="1"/>
  <c r="K5724" i="13"/>
  <c r="L5724" i="13" s="1"/>
  <c r="I5725" i="13" s="1"/>
  <c r="N5910" i="14"/>
  <c r="J5909" i="14" a="1"/>
  <c r="J5909" i="14" s="1"/>
  <c r="M5913" i="13"/>
  <c r="J5910" i="13" a="1"/>
  <c r="J5910" i="13" s="1"/>
  <c r="N5911" i="13"/>
  <c r="M5914" i="14"/>
  <c r="K5725" i="13" l="1"/>
  <c r="L5725" i="13" s="1"/>
  <c r="I5726" i="13" s="1"/>
  <c r="K5747" i="14"/>
  <c r="L5747" i="14" s="1"/>
  <c r="I5748" i="14" s="1"/>
  <c r="J5911" i="13" a="1"/>
  <c r="J5911" i="13" s="1"/>
  <c r="N5912" i="13"/>
  <c r="M5915" i="14"/>
  <c r="M5914" i="13"/>
  <c r="J5910" i="14" a="1"/>
  <c r="J5910" i="14" s="1"/>
  <c r="N5911" i="14"/>
  <c r="K5748" i="14" l="1"/>
  <c r="L5748" i="14" s="1"/>
  <c r="I5749" i="14" s="1"/>
  <c r="K5726" i="13"/>
  <c r="L5726" i="13" s="1"/>
  <c r="I5727" i="13" s="1"/>
  <c r="N5912" i="14"/>
  <c r="J5911" i="14" a="1"/>
  <c r="J5911" i="14" s="1"/>
  <c r="M5916" i="14"/>
  <c r="J5912" i="13" a="1"/>
  <c r="J5912" i="13" s="1"/>
  <c r="N5913" i="13"/>
  <c r="M5915" i="13"/>
  <c r="K5727" i="13" l="1"/>
  <c r="L5727" i="13" s="1"/>
  <c r="I5728" i="13" s="1"/>
  <c r="K5749" i="14"/>
  <c r="L5749" i="14" s="1"/>
  <c r="I5750" i="14" s="1"/>
  <c r="M5917" i="14"/>
  <c r="N5914" i="13"/>
  <c r="J5913" i="13" a="1"/>
  <c r="J5913" i="13" s="1"/>
  <c r="M5916" i="13"/>
  <c r="N5913" i="14"/>
  <c r="J5912" i="14" a="1"/>
  <c r="J5912" i="14" s="1"/>
  <c r="K5750" i="14" l="1"/>
  <c r="L5750" i="14" s="1"/>
  <c r="I5751" i="14" s="1"/>
  <c r="K5728" i="13"/>
  <c r="L5728" i="13" s="1"/>
  <c r="I5729" i="13" s="1"/>
  <c r="N5914" i="14"/>
  <c r="J5913" i="14" a="1"/>
  <c r="J5913" i="14" s="1"/>
  <c r="M5917" i="13"/>
  <c r="J5914" i="13" a="1"/>
  <c r="J5914" i="13" s="1"/>
  <c r="N5915" i="13"/>
  <c r="M5918" i="14"/>
  <c r="K5729" i="13" l="1"/>
  <c r="L5729" i="13" s="1"/>
  <c r="I5730" i="13" s="1"/>
  <c r="K5751" i="14"/>
  <c r="L5751" i="14" s="1"/>
  <c r="I5752" i="14" s="1"/>
  <c r="M5919" i="14"/>
  <c r="J5915" i="13" a="1"/>
  <c r="J5915" i="13" s="1"/>
  <c r="N5916" i="13"/>
  <c r="M5918" i="13"/>
  <c r="J5914" i="14" a="1"/>
  <c r="J5914" i="14" s="1"/>
  <c r="N5915" i="14"/>
  <c r="K5752" i="14" l="1"/>
  <c r="L5752" i="14" s="1"/>
  <c r="I5753" i="14" s="1"/>
  <c r="K5730" i="13"/>
  <c r="L5730" i="13" s="1"/>
  <c r="I5731" i="13" s="1"/>
  <c r="J5916" i="13" a="1"/>
  <c r="J5916" i="13" s="1"/>
  <c r="N5917" i="13"/>
  <c r="N5916" i="14"/>
  <c r="J5915" i="14" a="1"/>
  <c r="J5915" i="14" s="1"/>
  <c r="M5919" i="13"/>
  <c r="M5920" i="14"/>
  <c r="K5731" i="13" l="1"/>
  <c r="L5731" i="13" s="1"/>
  <c r="I5732" i="13" s="1"/>
  <c r="K5753" i="14"/>
  <c r="L5753" i="14" s="1"/>
  <c r="I5754" i="14" s="1"/>
  <c r="N5917" i="14"/>
  <c r="J5916" i="14" a="1"/>
  <c r="J5916" i="14" s="1"/>
  <c r="N5918" i="13"/>
  <c r="J5917" i="13" a="1"/>
  <c r="J5917" i="13" s="1"/>
  <c r="M5921" i="14"/>
  <c r="M5920" i="13"/>
  <c r="K5754" i="14" l="1"/>
  <c r="L5754" i="14" s="1"/>
  <c r="I5755" i="14" s="1"/>
  <c r="K5732" i="13"/>
  <c r="L5732" i="13" s="1"/>
  <c r="I5733" i="13" s="1"/>
  <c r="J5918" i="13" a="1"/>
  <c r="J5918" i="13" s="1"/>
  <c r="N5919" i="13"/>
  <c r="M5921" i="13"/>
  <c r="M5922" i="14"/>
  <c r="N5918" i="14"/>
  <c r="J5917" i="14" a="1"/>
  <c r="J5917" i="14" s="1"/>
  <c r="K5733" i="13" l="1"/>
  <c r="L5733" i="13" s="1"/>
  <c r="I5734" i="13" s="1"/>
  <c r="K5755" i="14"/>
  <c r="L5755" i="14" s="1"/>
  <c r="I5756" i="14" s="1"/>
  <c r="J5918" i="14" a="1"/>
  <c r="J5918" i="14" s="1"/>
  <c r="N5919" i="14"/>
  <c r="M5922" i="13"/>
  <c r="J5919" i="13" a="1"/>
  <c r="J5919" i="13" s="1"/>
  <c r="N5920" i="13"/>
  <c r="M5923" i="14"/>
  <c r="K5756" i="14" l="1"/>
  <c r="L5756" i="14" s="1"/>
  <c r="I5757" i="14" s="1"/>
  <c r="K5734" i="13"/>
  <c r="L5734" i="13" s="1"/>
  <c r="I5735" i="13" s="1"/>
  <c r="M5924" i="14"/>
  <c r="M5923" i="13"/>
  <c r="N5920" i="14"/>
  <c r="J5919" i="14" a="1"/>
  <c r="J5919" i="14" s="1"/>
  <c r="J5920" i="13" a="1"/>
  <c r="J5920" i="13" s="1"/>
  <c r="N5921" i="13"/>
  <c r="K5735" i="13" l="1"/>
  <c r="L5735" i="13" s="1"/>
  <c r="I5736" i="13" s="1"/>
  <c r="K5757" i="14"/>
  <c r="L5757" i="14" s="1"/>
  <c r="I5758" i="14" s="1"/>
  <c r="N5922" i="13"/>
  <c r="J5921" i="13" a="1"/>
  <c r="J5921" i="13" s="1"/>
  <c r="M5924" i="13"/>
  <c r="M5925" i="14"/>
  <c r="N5921" i="14"/>
  <c r="J5920" i="14" a="1"/>
  <c r="J5920" i="14" s="1"/>
  <c r="K5758" i="14" l="1"/>
  <c r="L5758" i="14" s="1"/>
  <c r="I5759" i="14" s="1"/>
  <c r="K5736" i="13"/>
  <c r="L5736" i="13" s="1"/>
  <c r="I5737" i="13" s="1"/>
  <c r="M5925" i="13"/>
  <c r="N5922" i="14"/>
  <c r="J5921" i="14" a="1"/>
  <c r="J5921" i="14" s="1"/>
  <c r="M5926" i="14"/>
  <c r="J5922" i="13" a="1"/>
  <c r="J5922" i="13" s="1"/>
  <c r="N5923" i="13"/>
  <c r="K5737" i="13" l="1"/>
  <c r="L5737" i="13" s="1"/>
  <c r="I5738" i="13" s="1"/>
  <c r="K5759" i="14"/>
  <c r="L5759" i="14" s="1"/>
  <c r="I5760" i="14" s="1"/>
  <c r="J5922" i="14" a="1"/>
  <c r="J5922" i="14" s="1"/>
  <c r="N5923" i="14"/>
  <c r="J5923" i="13" a="1"/>
  <c r="J5923" i="13" s="1"/>
  <c r="N5924" i="13"/>
  <c r="M5927" i="14"/>
  <c r="M5926" i="13"/>
  <c r="K5760" i="14" l="1"/>
  <c r="L5760" i="14" s="1"/>
  <c r="I5761" i="14" s="1"/>
  <c r="K5738" i="13"/>
  <c r="L5738" i="13" s="1"/>
  <c r="I5739" i="13" s="1"/>
  <c r="J5924" i="13" a="1"/>
  <c r="J5924" i="13" s="1"/>
  <c r="N5925" i="13"/>
  <c r="N5924" i="14"/>
  <c r="J5923" i="14" a="1"/>
  <c r="J5923" i="14" s="1"/>
  <c r="M5927" i="13"/>
  <c r="M5928" i="14"/>
  <c r="K5739" i="13" l="1"/>
  <c r="L5739" i="13" s="1"/>
  <c r="I5740" i="13" s="1"/>
  <c r="K5761" i="14"/>
  <c r="L5761" i="14" s="1"/>
  <c r="I5762" i="14" s="1"/>
  <c r="N5925" i="14"/>
  <c r="J5924" i="14" a="1"/>
  <c r="J5924" i="14" s="1"/>
  <c r="N5926" i="13"/>
  <c r="J5925" i="13" a="1"/>
  <c r="J5925" i="13" s="1"/>
  <c r="M5929" i="14"/>
  <c r="M5928" i="13"/>
  <c r="K5762" i="14" l="1"/>
  <c r="L5762" i="14" s="1"/>
  <c r="I5763" i="14" s="1"/>
  <c r="K5740" i="13"/>
  <c r="L5740" i="13" s="1"/>
  <c r="I5741" i="13" s="1"/>
  <c r="J5926" i="13" a="1"/>
  <c r="J5926" i="13" s="1"/>
  <c r="N5927" i="13"/>
  <c r="M5929" i="13"/>
  <c r="M5930" i="14"/>
  <c r="N5926" i="14"/>
  <c r="J5925" i="14" a="1"/>
  <c r="J5925" i="14" s="1"/>
  <c r="K5741" i="13" l="1"/>
  <c r="L5741" i="13" s="1"/>
  <c r="I5742" i="13" s="1"/>
  <c r="K5763" i="14"/>
  <c r="L5763" i="14" s="1"/>
  <c r="I5764" i="14" s="1"/>
  <c r="J5926" i="14" a="1"/>
  <c r="J5926" i="14" s="1"/>
  <c r="N5927" i="14"/>
  <c r="M5930" i="13"/>
  <c r="J5927" i="13" a="1"/>
  <c r="J5927" i="13" s="1"/>
  <c r="N5928" i="13"/>
  <c r="M5931" i="14"/>
  <c r="K5764" i="14" l="1"/>
  <c r="L5764" i="14" s="1"/>
  <c r="I5765" i="14" s="1"/>
  <c r="K5742" i="13"/>
  <c r="L5742" i="13" s="1"/>
  <c r="I5743" i="13" s="1"/>
  <c r="J5928" i="13" a="1"/>
  <c r="J5928" i="13" s="1"/>
  <c r="N5929" i="13"/>
  <c r="M5932" i="14"/>
  <c r="M5931" i="13"/>
  <c r="N5928" i="14"/>
  <c r="J5927" i="14" a="1"/>
  <c r="J5927" i="14" s="1"/>
  <c r="K5743" i="13" l="1"/>
  <c r="L5743" i="13" s="1"/>
  <c r="I5744" i="13" s="1"/>
  <c r="K5765" i="14"/>
  <c r="L5765" i="14" s="1"/>
  <c r="I5766" i="14" s="1"/>
  <c r="J5928" i="14" a="1"/>
  <c r="J5928" i="14" s="1"/>
  <c r="N5929" i="14"/>
  <c r="N5930" i="13"/>
  <c r="J5929" i="13" a="1"/>
  <c r="J5929" i="13" s="1"/>
  <c r="M5933" i="14"/>
  <c r="M5932" i="13"/>
  <c r="K5766" i="14" l="1"/>
  <c r="L5766" i="14" s="1"/>
  <c r="I5767" i="14" s="1"/>
  <c r="K5744" i="13"/>
  <c r="L5744" i="13" s="1"/>
  <c r="I5745" i="13" s="1"/>
  <c r="J5930" i="13" a="1"/>
  <c r="J5930" i="13" s="1"/>
  <c r="N5931" i="13"/>
  <c r="N5930" i="14"/>
  <c r="J5929" i="14" a="1"/>
  <c r="J5929" i="14" s="1"/>
  <c r="M5933" i="13"/>
  <c r="M5934" i="14"/>
  <c r="K5745" i="13" l="1"/>
  <c r="L5745" i="13" s="1"/>
  <c r="I5746" i="13" s="1"/>
  <c r="K5767" i="14"/>
  <c r="L5767" i="14" s="1"/>
  <c r="I5768" i="14" s="1"/>
  <c r="J5930" i="14" a="1"/>
  <c r="J5930" i="14" s="1"/>
  <c r="N5931" i="14"/>
  <c r="M5935" i="14"/>
  <c r="J5931" i="13" a="1"/>
  <c r="J5931" i="13" s="1"/>
  <c r="N5932" i="13"/>
  <c r="M5934" i="13"/>
  <c r="K5768" i="14" l="1"/>
  <c r="L5768" i="14" s="1"/>
  <c r="I5769" i="14" s="1"/>
  <c r="K5746" i="13"/>
  <c r="L5746" i="13" s="1"/>
  <c r="I5747" i="13" s="1"/>
  <c r="J5932" i="13" a="1"/>
  <c r="J5932" i="13" s="1"/>
  <c r="N5933" i="13"/>
  <c r="M5935" i="13"/>
  <c r="M5936" i="14"/>
  <c r="J5931" i="14" a="1"/>
  <c r="J5931" i="14" s="1"/>
  <c r="N5932" i="14"/>
  <c r="K5747" i="13" l="1"/>
  <c r="L5747" i="13" s="1"/>
  <c r="I5748" i="13" s="1"/>
  <c r="K5769" i="14"/>
  <c r="L5769" i="14" s="1"/>
  <c r="I5770" i="14" s="1"/>
  <c r="N5933" i="14"/>
  <c r="J5932" i="14" a="1"/>
  <c r="J5932" i="14" s="1"/>
  <c r="M5936" i="13"/>
  <c r="N5934" i="13"/>
  <c r="J5933" i="13" a="1"/>
  <c r="J5933" i="13" s="1"/>
  <c r="M5937" i="14"/>
  <c r="K5770" i="14" l="1"/>
  <c r="L5770" i="14" s="1"/>
  <c r="I5771" i="14" s="1"/>
  <c r="K5748" i="13"/>
  <c r="L5748" i="13" s="1"/>
  <c r="I5749" i="13" s="1"/>
  <c r="M5937" i="13"/>
  <c r="J5934" i="13" a="1"/>
  <c r="J5934" i="13" s="1"/>
  <c r="N5935" i="13"/>
  <c r="M5938" i="14"/>
  <c r="J5933" i="14" a="1"/>
  <c r="J5933" i="14" s="1"/>
  <c r="N5934" i="14"/>
  <c r="K5749" i="13" l="1"/>
  <c r="L5749" i="13" s="1"/>
  <c r="I5750" i="13" s="1"/>
  <c r="K5771" i="14"/>
  <c r="L5771" i="14" s="1"/>
  <c r="I5772" i="14" s="1"/>
  <c r="J5935" i="13" a="1"/>
  <c r="J5935" i="13" s="1"/>
  <c r="N5936" i="13"/>
  <c r="J5934" i="14" a="1"/>
  <c r="J5934" i="14" s="1"/>
  <c r="N5935" i="14"/>
  <c r="M5939" i="14"/>
  <c r="M5938" i="13"/>
  <c r="K5772" i="14" l="1"/>
  <c r="L5772" i="14" s="1"/>
  <c r="I5773" i="14" s="1"/>
  <c r="K5750" i="13"/>
  <c r="L5750" i="13" s="1"/>
  <c r="I5751" i="13" s="1"/>
  <c r="N5936" i="14"/>
  <c r="J5935" i="14" a="1"/>
  <c r="J5935" i="14" s="1"/>
  <c r="J5936" i="13" a="1"/>
  <c r="J5936" i="13" s="1"/>
  <c r="N5937" i="13"/>
  <c r="M5939" i="13"/>
  <c r="M5940" i="14"/>
  <c r="K5751" i="13" l="1"/>
  <c r="L5751" i="13" s="1"/>
  <c r="I5752" i="13" s="1"/>
  <c r="K5773" i="14"/>
  <c r="L5773" i="14" s="1"/>
  <c r="I5774" i="14" s="1"/>
  <c r="N5938" i="13"/>
  <c r="J5937" i="13" a="1"/>
  <c r="J5937" i="13" s="1"/>
  <c r="M5941" i="14"/>
  <c r="M5940" i="13"/>
  <c r="J5936" i="14" a="1"/>
  <c r="J5936" i="14" s="1"/>
  <c r="N5937" i="14"/>
  <c r="K5774" i="14" l="1"/>
  <c r="L5774" i="14" s="1"/>
  <c r="I5775" i="14" s="1"/>
  <c r="K5752" i="13"/>
  <c r="L5752" i="13" s="1"/>
  <c r="I5753" i="13" s="1"/>
  <c r="J5937" i="14" a="1"/>
  <c r="J5937" i="14" s="1"/>
  <c r="N5938" i="14"/>
  <c r="M5942" i="14"/>
  <c r="M5941" i="13"/>
  <c r="J5938" i="13" a="1"/>
  <c r="J5938" i="13" s="1"/>
  <c r="N5939" i="13"/>
  <c r="K5753" i="13" l="1"/>
  <c r="L5753" i="13" s="1"/>
  <c r="I5754" i="13" s="1"/>
  <c r="K5775" i="14"/>
  <c r="L5775" i="14" s="1"/>
  <c r="I5776" i="14" s="1"/>
  <c r="J5939" i="13" a="1"/>
  <c r="J5939" i="13" s="1"/>
  <c r="N5940" i="13"/>
  <c r="M5943" i="14"/>
  <c r="J5938" i="14" a="1"/>
  <c r="J5938" i="14" s="1"/>
  <c r="N5939" i="14"/>
  <c r="M5942" i="13"/>
  <c r="K5776" i="14" l="1"/>
  <c r="L5776" i="14" s="1"/>
  <c r="I5777" i="14" s="1"/>
  <c r="K5754" i="13"/>
  <c r="L5754" i="13" s="1"/>
  <c r="I5755" i="13" s="1"/>
  <c r="N5940" i="14"/>
  <c r="J5939" i="14" a="1"/>
  <c r="J5939" i="14" s="1"/>
  <c r="M5943" i="13"/>
  <c r="M5944" i="14"/>
  <c r="J5940" i="13" a="1"/>
  <c r="J5940" i="13" s="1"/>
  <c r="N5941" i="13"/>
  <c r="K5755" i="13" l="1"/>
  <c r="L5755" i="13" s="1"/>
  <c r="I5756" i="13" s="1"/>
  <c r="K5777" i="14"/>
  <c r="L5777" i="14" s="1"/>
  <c r="I5778" i="14" s="1"/>
  <c r="N5942" i="13"/>
  <c r="J5941" i="13" a="1"/>
  <c r="J5941" i="13" s="1"/>
  <c r="M5944" i="13"/>
  <c r="M5945" i="14"/>
  <c r="J5940" i="14" a="1"/>
  <c r="J5940" i="14" s="1"/>
  <c r="N5941" i="14"/>
  <c r="K5778" i="14" l="1"/>
  <c r="L5778" i="14" s="1"/>
  <c r="I5779" i="14" s="1"/>
  <c r="K5756" i="13"/>
  <c r="L5756" i="13" s="1"/>
  <c r="I5757" i="13" s="1"/>
  <c r="J5941" i="14" a="1"/>
  <c r="J5941" i="14" s="1"/>
  <c r="N5942" i="14"/>
  <c r="M5945" i="13"/>
  <c r="M5946" i="14"/>
  <c r="J5942" i="13" a="1"/>
  <c r="J5942" i="13" s="1"/>
  <c r="N5943" i="13"/>
  <c r="K5757" i="13" l="1"/>
  <c r="L5757" i="13" s="1"/>
  <c r="I5758" i="13" s="1"/>
  <c r="K5779" i="14"/>
  <c r="L5779" i="14" s="1"/>
  <c r="I5780" i="14" s="1"/>
  <c r="J5943" i="13" a="1"/>
  <c r="J5943" i="13" s="1"/>
  <c r="N5944" i="13"/>
  <c r="M5946" i="13"/>
  <c r="N5943" i="14"/>
  <c r="J5942" i="14" a="1"/>
  <c r="J5942" i="14" s="1"/>
  <c r="M5947" i="14"/>
  <c r="K5780" i="14" l="1"/>
  <c r="L5780" i="14" s="1"/>
  <c r="I5781" i="14" s="1"/>
  <c r="K5758" i="13"/>
  <c r="L5758" i="13" s="1"/>
  <c r="I5759" i="13" s="1"/>
  <c r="M5948" i="14"/>
  <c r="M5947" i="13"/>
  <c r="J5944" i="13" a="1"/>
  <c r="J5944" i="13" s="1"/>
  <c r="N5945" i="13"/>
  <c r="N5944" i="14"/>
  <c r="J5943" i="14" a="1"/>
  <c r="J5943" i="14" s="1"/>
  <c r="K5759" i="13" l="1"/>
  <c r="L5759" i="13" s="1"/>
  <c r="I5760" i="13" s="1"/>
  <c r="K5781" i="14"/>
  <c r="L5781" i="14" s="1"/>
  <c r="I5782" i="14" s="1"/>
  <c r="J5944" i="14" a="1"/>
  <c r="J5944" i="14" s="1"/>
  <c r="N5945" i="14"/>
  <c r="M5948" i="13"/>
  <c r="N5946" i="13"/>
  <c r="J5945" i="13" a="1"/>
  <c r="J5945" i="13" s="1"/>
  <c r="M5949" i="14"/>
  <c r="K5782" i="14" l="1"/>
  <c r="L5782" i="14" s="1"/>
  <c r="I5783" i="14" s="1"/>
  <c r="K5760" i="13"/>
  <c r="L5760" i="13" s="1"/>
  <c r="I5761" i="13" s="1"/>
  <c r="M5950" i="14"/>
  <c r="M5949" i="13"/>
  <c r="N5946" i="14"/>
  <c r="J5945" i="14" a="1"/>
  <c r="J5945" i="14" s="1"/>
  <c r="J5946" i="13" a="1"/>
  <c r="J5946" i="13" s="1"/>
  <c r="N5947" i="13"/>
  <c r="K5761" i="13" l="1"/>
  <c r="L5761" i="13" s="1"/>
  <c r="I5762" i="13" s="1"/>
  <c r="K5783" i="14"/>
  <c r="L5783" i="14" s="1"/>
  <c r="I5784" i="14" s="1"/>
  <c r="J5947" i="13" a="1"/>
  <c r="J5947" i="13" s="1"/>
  <c r="N5948" i="13"/>
  <c r="M5950" i="13"/>
  <c r="M5951" i="14"/>
  <c r="N5947" i="14"/>
  <c r="J5946" i="14" a="1"/>
  <c r="J5946" i="14" s="1"/>
  <c r="K5784" i="14" l="1"/>
  <c r="L5784" i="14" s="1"/>
  <c r="I5785" i="14" s="1"/>
  <c r="K5762" i="13"/>
  <c r="L5762" i="13" s="1"/>
  <c r="I5763" i="13" s="1"/>
  <c r="N5948" i="14"/>
  <c r="J5947" i="14" a="1"/>
  <c r="J5947" i="14" s="1"/>
  <c r="M5951" i="13"/>
  <c r="J5948" i="13" a="1"/>
  <c r="J5948" i="13" s="1"/>
  <c r="N5949" i="13"/>
  <c r="M5952" i="14"/>
  <c r="K5763" i="13" l="1"/>
  <c r="L5763" i="13" s="1"/>
  <c r="I5764" i="13" s="1"/>
  <c r="K5785" i="14"/>
  <c r="L5785" i="14" s="1"/>
  <c r="I5786" i="14" s="1"/>
  <c r="M5953" i="14"/>
  <c r="N5950" i="13"/>
  <c r="J5949" i="13" a="1"/>
  <c r="J5949" i="13" s="1"/>
  <c r="M5952" i="13"/>
  <c r="J5948" i="14" a="1"/>
  <c r="J5948" i="14" s="1"/>
  <c r="N5949" i="14"/>
  <c r="K5786" i="14" l="1"/>
  <c r="L5786" i="14" s="1"/>
  <c r="I5787" i="14" s="1"/>
  <c r="K5764" i="13"/>
  <c r="L5764" i="13" s="1"/>
  <c r="I5765" i="13" s="1"/>
  <c r="J5950" i="13" a="1"/>
  <c r="J5950" i="13" s="1"/>
  <c r="N5951" i="13"/>
  <c r="N5950" i="14"/>
  <c r="J5949" i="14" a="1"/>
  <c r="J5949" i="14" s="1"/>
  <c r="M5953" i="13"/>
  <c r="M5954" i="14"/>
  <c r="K5765" i="13" l="1"/>
  <c r="L5765" i="13" s="1"/>
  <c r="I5766" i="13" s="1"/>
  <c r="K5787" i="14"/>
  <c r="L5787" i="14" s="1"/>
  <c r="I5788" i="14" s="1"/>
  <c r="N5951" i="14"/>
  <c r="J5950" i="14" a="1"/>
  <c r="J5950" i="14" s="1"/>
  <c r="J5951" i="13" a="1"/>
  <c r="J5951" i="13" s="1"/>
  <c r="N5952" i="13"/>
  <c r="M5955" i="14"/>
  <c r="M5954" i="13"/>
  <c r="K5788" i="14" l="1"/>
  <c r="L5788" i="14" s="1"/>
  <c r="I5789" i="14" s="1"/>
  <c r="K5766" i="13"/>
  <c r="L5766" i="13" s="1"/>
  <c r="I5767" i="13" s="1"/>
  <c r="J5952" i="13" a="1"/>
  <c r="J5952" i="13" s="1"/>
  <c r="N5953" i="13"/>
  <c r="M5955" i="13"/>
  <c r="M5956" i="14"/>
  <c r="N5952" i="14"/>
  <c r="J5951" i="14" a="1"/>
  <c r="J5951" i="14" s="1"/>
  <c r="K5767" i="13" l="1"/>
  <c r="L5767" i="13" s="1"/>
  <c r="I5768" i="13" s="1"/>
  <c r="K5789" i="14"/>
  <c r="L5789" i="14" s="1"/>
  <c r="I5790" i="14" s="1"/>
  <c r="J5952" i="14" a="1"/>
  <c r="J5952" i="14" s="1"/>
  <c r="N5953" i="14"/>
  <c r="M5956" i="13"/>
  <c r="N5954" i="13"/>
  <c r="J5953" i="13" a="1"/>
  <c r="J5953" i="13" s="1"/>
  <c r="M5957" i="14"/>
  <c r="K5790" i="14" l="1"/>
  <c r="L5790" i="14" s="1"/>
  <c r="I5791" i="14" s="1"/>
  <c r="K5768" i="13"/>
  <c r="L5768" i="13" s="1"/>
  <c r="I5769" i="13" s="1"/>
  <c r="M5958" i="14"/>
  <c r="M5957" i="13"/>
  <c r="J5954" i="13" a="1"/>
  <c r="J5954" i="13" s="1"/>
  <c r="N5955" i="13"/>
  <c r="N5954" i="14"/>
  <c r="J5953" i="14" a="1"/>
  <c r="J5953" i="14" s="1"/>
  <c r="K5769" i="13" l="1"/>
  <c r="L5769" i="13" s="1"/>
  <c r="I5770" i="13" s="1"/>
  <c r="K5791" i="14"/>
  <c r="L5791" i="14" s="1"/>
  <c r="I5792" i="14" s="1"/>
  <c r="N5955" i="14"/>
  <c r="J5954" i="14" a="1"/>
  <c r="J5954" i="14" s="1"/>
  <c r="M5958" i="13"/>
  <c r="J5955" i="13" a="1"/>
  <c r="J5955" i="13" s="1"/>
  <c r="N5956" i="13"/>
  <c r="M5959" i="14"/>
  <c r="K5792" i="14" l="1"/>
  <c r="L5792" i="14" s="1"/>
  <c r="I5793" i="14" s="1"/>
  <c r="K5770" i="13"/>
  <c r="L5770" i="13" s="1"/>
  <c r="I5771" i="13" s="1"/>
  <c r="J5956" i="13" a="1"/>
  <c r="J5956" i="13" s="1"/>
  <c r="N5957" i="13"/>
  <c r="M5960" i="14"/>
  <c r="M5959" i="13"/>
  <c r="J5955" i="14" a="1"/>
  <c r="J5955" i="14" s="1"/>
  <c r="N5956" i="14"/>
  <c r="K5771" i="13" l="1"/>
  <c r="L5771" i="13" s="1"/>
  <c r="I5772" i="13" s="1"/>
  <c r="K5793" i="14"/>
  <c r="L5793" i="14" s="1"/>
  <c r="I5794" i="14" s="1"/>
  <c r="J5956" i="14" a="1"/>
  <c r="J5956" i="14" s="1"/>
  <c r="N5957" i="14"/>
  <c r="M5961" i="14"/>
  <c r="N5958" i="13"/>
  <c r="J5957" i="13" a="1"/>
  <c r="J5957" i="13" s="1"/>
  <c r="M5960" i="13"/>
  <c r="K5794" i="14" l="1"/>
  <c r="L5794" i="14" s="1"/>
  <c r="I5795" i="14" s="1"/>
  <c r="K5772" i="13"/>
  <c r="L5772" i="13" s="1"/>
  <c r="I5773" i="13" s="1"/>
  <c r="M5961" i="13"/>
  <c r="M5962" i="14"/>
  <c r="N5958" i="14"/>
  <c r="J5957" i="14" a="1"/>
  <c r="J5957" i="14" s="1"/>
  <c r="J5958" i="13" a="1"/>
  <c r="J5958" i="13" s="1"/>
  <c r="N5959" i="13"/>
  <c r="K5773" i="13" l="1"/>
  <c r="L5773" i="13" s="1"/>
  <c r="I5774" i="13" s="1"/>
  <c r="K5795" i="14"/>
  <c r="L5795" i="14" s="1"/>
  <c r="I5796" i="14" s="1"/>
  <c r="J5959" i="13" a="1"/>
  <c r="J5959" i="13" s="1"/>
  <c r="N5960" i="13"/>
  <c r="M5963" i="14"/>
  <c r="N5959" i="14"/>
  <c r="J5958" i="14" a="1"/>
  <c r="J5958" i="14" s="1"/>
  <c r="M5962" i="13"/>
  <c r="K5796" i="14" l="1"/>
  <c r="L5796" i="14" s="1"/>
  <c r="I5797" i="14" s="1"/>
  <c r="K5774" i="13"/>
  <c r="L5774" i="13" s="1"/>
  <c r="I5775" i="13" s="1"/>
  <c r="J5959" i="14" a="1"/>
  <c r="J5959" i="14" s="1"/>
  <c r="N5960" i="14"/>
  <c r="M5963" i="13"/>
  <c r="M5964" i="14"/>
  <c r="J5960" i="13" a="1"/>
  <c r="J5960" i="13" s="1"/>
  <c r="N5961" i="13"/>
  <c r="K5775" i="13" l="1"/>
  <c r="L5775" i="13" s="1"/>
  <c r="I5776" i="13" s="1"/>
  <c r="K5797" i="14"/>
  <c r="L5797" i="14" s="1"/>
  <c r="I5798" i="14" s="1"/>
  <c r="N5962" i="13"/>
  <c r="J5961" i="13" a="1"/>
  <c r="J5961" i="13" s="1"/>
  <c r="M5964" i="13"/>
  <c r="J5960" i="14" a="1"/>
  <c r="J5960" i="14" s="1"/>
  <c r="N5961" i="14"/>
  <c r="M5965" i="14"/>
  <c r="K5798" i="14" l="1"/>
  <c r="L5798" i="14" s="1"/>
  <c r="I5799" i="14" s="1"/>
  <c r="K5776" i="13"/>
  <c r="L5776" i="13" s="1"/>
  <c r="I5777" i="13" s="1"/>
  <c r="N5962" i="14"/>
  <c r="J5961" i="14" a="1"/>
  <c r="J5961" i="14" s="1"/>
  <c r="M5966" i="14"/>
  <c r="M5965" i="13"/>
  <c r="J5962" i="13" a="1"/>
  <c r="J5962" i="13" s="1"/>
  <c r="N5963" i="13"/>
  <c r="K5777" i="13" l="1"/>
  <c r="L5777" i="13" s="1"/>
  <c r="I5778" i="13" s="1"/>
  <c r="K5799" i="14"/>
  <c r="L5799" i="14" s="1"/>
  <c r="I5800" i="14" s="1"/>
  <c r="M5967" i="14"/>
  <c r="J5963" i="13" a="1"/>
  <c r="J5963" i="13" s="1"/>
  <c r="N5964" i="13"/>
  <c r="M5966" i="13"/>
  <c r="N5963" i="14"/>
  <c r="J5962" i="14" a="1"/>
  <c r="J5962" i="14" s="1"/>
  <c r="K5800" i="14" l="1"/>
  <c r="L5800" i="14" s="1"/>
  <c r="I5801" i="14" s="1"/>
  <c r="K5778" i="13"/>
  <c r="L5778" i="13" s="1"/>
  <c r="I5779" i="13" s="1"/>
  <c r="J5964" i="13" a="1"/>
  <c r="J5964" i="13" s="1"/>
  <c r="N5965" i="13"/>
  <c r="J5963" i="14" a="1"/>
  <c r="J5963" i="14" s="1"/>
  <c r="N5964" i="14"/>
  <c r="M5967" i="13"/>
  <c r="M5968" i="14"/>
  <c r="K5779" i="13" l="1"/>
  <c r="L5779" i="13" s="1"/>
  <c r="I5780" i="13" s="1"/>
  <c r="K5801" i="14"/>
  <c r="L5801" i="14" s="1"/>
  <c r="I5802" i="14" s="1"/>
  <c r="J5964" i="14" a="1"/>
  <c r="J5964" i="14" s="1"/>
  <c r="N5965" i="14"/>
  <c r="M5969" i="14"/>
  <c r="N5966" i="13"/>
  <c r="J5965" i="13" a="1"/>
  <c r="J5965" i="13" s="1"/>
  <c r="M5968" i="13"/>
  <c r="K5802" i="14" l="1"/>
  <c r="L5802" i="14" s="1"/>
  <c r="I5803" i="14" s="1"/>
  <c r="K5780" i="13"/>
  <c r="L5780" i="13" s="1"/>
  <c r="I5781" i="13" s="1"/>
  <c r="M5969" i="13"/>
  <c r="M5970" i="14"/>
  <c r="J5966" i="13" a="1"/>
  <c r="J5966" i="13" s="1"/>
  <c r="N5967" i="13"/>
  <c r="N5966" i="14"/>
  <c r="J5965" i="14" a="1"/>
  <c r="J5965" i="14" s="1"/>
  <c r="K5781" i="13" l="1"/>
  <c r="L5781" i="13" s="1"/>
  <c r="I5782" i="13" s="1"/>
  <c r="K5803" i="14"/>
  <c r="L5803" i="14" s="1"/>
  <c r="I5804" i="14" s="1"/>
  <c r="N5967" i="14"/>
  <c r="J5966" i="14" a="1"/>
  <c r="J5966" i="14" s="1"/>
  <c r="M5971" i="14"/>
  <c r="J5967" i="13" a="1"/>
  <c r="J5967" i="13" s="1"/>
  <c r="N5968" i="13"/>
  <c r="M5970" i="13"/>
  <c r="K5804" i="14" l="1"/>
  <c r="L5804" i="14" s="1"/>
  <c r="I5805" i="14" s="1"/>
  <c r="K5782" i="13"/>
  <c r="L5782" i="13" s="1"/>
  <c r="I5783" i="13" s="1"/>
  <c r="J5968" i="13" a="1"/>
  <c r="J5968" i="13" s="1"/>
  <c r="N5969" i="13"/>
  <c r="M5971" i="13"/>
  <c r="M5972" i="14"/>
  <c r="J5967" i="14" a="1"/>
  <c r="J5967" i="14" s="1"/>
  <c r="N5968" i="14"/>
  <c r="K5783" i="13" l="1"/>
  <c r="L5783" i="13" s="1"/>
  <c r="I5784" i="13" s="1"/>
  <c r="K5805" i="14"/>
  <c r="L5805" i="14" s="1"/>
  <c r="I5806" i="14" s="1"/>
  <c r="J5968" i="14" a="1"/>
  <c r="J5968" i="14" s="1"/>
  <c r="N5969" i="14"/>
  <c r="M5972" i="13"/>
  <c r="N5970" i="13"/>
  <c r="J5969" i="13" a="1"/>
  <c r="J5969" i="13" s="1"/>
  <c r="M5973" i="14"/>
  <c r="K5806" i="14" l="1"/>
  <c r="L5806" i="14" s="1"/>
  <c r="I5807" i="14" s="1"/>
  <c r="K5784" i="13"/>
  <c r="L5784" i="13" s="1"/>
  <c r="I5785" i="13" s="1"/>
  <c r="J5970" i="13" a="1"/>
  <c r="J5970" i="13" s="1"/>
  <c r="N5971" i="13"/>
  <c r="M5974" i="14"/>
  <c r="M5973" i="13"/>
  <c r="N5970" i="14"/>
  <c r="J5969" i="14" a="1"/>
  <c r="J5969" i="14" s="1"/>
  <c r="K5785" i="13" l="1"/>
  <c r="L5785" i="13" s="1"/>
  <c r="I5786" i="13" s="1"/>
  <c r="K5807" i="14"/>
  <c r="L5807" i="14" s="1"/>
  <c r="I5808" i="14" s="1"/>
  <c r="M5975" i="14"/>
  <c r="J5971" i="13" a="1"/>
  <c r="J5971" i="13" s="1"/>
  <c r="N5972" i="13"/>
  <c r="N5971" i="14"/>
  <c r="J5970" i="14" a="1"/>
  <c r="J5970" i="14" s="1"/>
  <c r="M5974" i="13"/>
  <c r="K5808" i="14" l="1"/>
  <c r="L5808" i="14" s="1"/>
  <c r="I5809" i="14" s="1"/>
  <c r="K5786" i="13"/>
  <c r="L5786" i="13" s="1"/>
  <c r="I5787" i="13" s="1"/>
  <c r="J5972" i="13" a="1"/>
  <c r="J5972" i="13" s="1"/>
  <c r="N5973" i="13"/>
  <c r="M5975" i="13"/>
  <c r="J5971" i="14" a="1"/>
  <c r="J5971" i="14" s="1"/>
  <c r="N5972" i="14"/>
  <c r="M5976" i="14"/>
  <c r="K5787" i="13" l="1"/>
  <c r="L5787" i="13" s="1"/>
  <c r="I5788" i="13" s="1"/>
  <c r="K5809" i="14"/>
  <c r="L5809" i="14" s="1"/>
  <c r="I5810" i="14" s="1"/>
  <c r="M5977" i="14"/>
  <c r="M5976" i="13"/>
  <c r="N5974" i="13"/>
  <c r="J5973" i="13" a="1"/>
  <c r="J5973" i="13" s="1"/>
  <c r="J5972" i="14" a="1"/>
  <c r="J5972" i="14" s="1"/>
  <c r="N5973" i="14"/>
  <c r="K5810" i="14" l="1"/>
  <c r="L5810" i="14" s="1"/>
  <c r="I5811" i="14" s="1"/>
  <c r="K5788" i="13"/>
  <c r="L5788" i="13" s="1"/>
  <c r="I5789" i="13" s="1"/>
  <c r="M5977" i="13"/>
  <c r="M5978" i="14"/>
  <c r="N5974" i="14"/>
  <c r="J5973" i="14" a="1"/>
  <c r="J5973" i="14" s="1"/>
  <c r="J5974" i="13" a="1"/>
  <c r="J5974" i="13" s="1"/>
  <c r="N5975" i="13"/>
  <c r="K5789" i="13" l="1"/>
  <c r="L5789" i="13" s="1"/>
  <c r="I5790" i="13" s="1"/>
  <c r="K5811" i="14"/>
  <c r="L5811" i="14" s="1"/>
  <c r="I5812" i="14" s="1"/>
  <c r="M5979" i="14"/>
  <c r="J5975" i="13" a="1"/>
  <c r="J5975" i="13" s="1"/>
  <c r="N5976" i="13"/>
  <c r="N5975" i="14"/>
  <c r="J5974" i="14" a="1"/>
  <c r="J5974" i="14" s="1"/>
  <c r="M5978" i="13"/>
  <c r="K5812" i="14" l="1"/>
  <c r="L5812" i="14" s="1"/>
  <c r="I5813" i="14" s="1"/>
  <c r="K5790" i="13"/>
  <c r="L5790" i="13" s="1"/>
  <c r="I5791" i="13" s="1"/>
  <c r="J5976" i="13" a="1"/>
  <c r="J5976" i="13" s="1"/>
  <c r="N5977" i="13"/>
  <c r="M5979" i="13"/>
  <c r="J5975" i="14" a="1"/>
  <c r="J5975" i="14" s="1"/>
  <c r="N5976" i="14"/>
  <c r="M5980" i="14"/>
  <c r="K5791" i="13" l="1"/>
  <c r="L5791" i="13" s="1"/>
  <c r="I5792" i="13" s="1"/>
  <c r="K5813" i="14"/>
  <c r="L5813" i="14" s="1"/>
  <c r="I5814" i="14" s="1"/>
  <c r="M5981" i="14"/>
  <c r="M5980" i="13"/>
  <c r="N5978" i="13"/>
  <c r="J5977" i="13" a="1"/>
  <c r="J5977" i="13" s="1"/>
  <c r="J5976" i="14" a="1"/>
  <c r="J5976" i="14" s="1"/>
  <c r="N5977" i="14"/>
  <c r="K5814" i="14" l="1"/>
  <c r="L5814" i="14" s="1"/>
  <c r="I5815" i="14" s="1"/>
  <c r="K5792" i="13"/>
  <c r="L5792" i="13" s="1"/>
  <c r="I5793" i="13" s="1"/>
  <c r="N5978" i="14"/>
  <c r="J5977" i="14" a="1"/>
  <c r="J5977" i="14" s="1"/>
  <c r="M5981" i="13"/>
  <c r="M5982" i="14"/>
  <c r="J5978" i="13" a="1"/>
  <c r="J5978" i="13" s="1"/>
  <c r="N5979" i="13"/>
  <c r="K5793" i="13" l="1"/>
  <c r="L5793" i="13" s="1"/>
  <c r="I5794" i="13" s="1"/>
  <c r="K5815" i="14"/>
  <c r="L5815" i="14" s="1"/>
  <c r="I5816" i="14" s="1"/>
  <c r="J5979" i="13" a="1"/>
  <c r="J5979" i="13" s="1"/>
  <c r="N5980" i="13"/>
  <c r="M5982" i="13"/>
  <c r="M5983" i="14"/>
  <c r="N5979" i="14"/>
  <c r="J5978" i="14" a="1"/>
  <c r="J5978" i="14" s="1"/>
  <c r="K5816" i="14" l="1"/>
  <c r="L5816" i="14" s="1"/>
  <c r="I5817" i="14" s="1"/>
  <c r="K5794" i="13"/>
  <c r="L5794" i="13" s="1"/>
  <c r="I5795" i="13" s="1"/>
  <c r="J5979" i="14" a="1"/>
  <c r="J5979" i="14" s="1"/>
  <c r="N5980" i="14"/>
  <c r="M5983" i="13"/>
  <c r="J5980" i="13" a="1"/>
  <c r="J5980" i="13" s="1"/>
  <c r="N5981" i="13"/>
  <c r="M5984" i="14"/>
  <c r="K5795" i="13" l="1"/>
  <c r="L5795" i="13" s="1"/>
  <c r="I5796" i="13" s="1"/>
  <c r="K5817" i="14"/>
  <c r="L5817" i="14" s="1"/>
  <c r="I5818" i="14" s="1"/>
  <c r="M5985" i="14"/>
  <c r="M5984" i="13"/>
  <c r="J5980" i="14" a="1"/>
  <c r="J5980" i="14" s="1"/>
  <c r="N5981" i="14"/>
  <c r="N5982" i="13"/>
  <c r="J5981" i="13" a="1"/>
  <c r="J5981" i="13" s="1"/>
  <c r="K5818" i="14" l="1"/>
  <c r="L5818" i="14" s="1"/>
  <c r="I5819" i="14" s="1"/>
  <c r="K5796" i="13"/>
  <c r="L5796" i="13" s="1"/>
  <c r="I5797" i="13" s="1"/>
  <c r="M5985" i="13"/>
  <c r="N5982" i="14"/>
  <c r="J5981" i="14" a="1"/>
  <c r="J5981" i="14" s="1"/>
  <c r="M5986" i="14"/>
  <c r="J5982" i="13" a="1"/>
  <c r="J5982" i="13" s="1"/>
  <c r="N5983" i="13"/>
  <c r="K5797" i="13" l="1"/>
  <c r="L5797" i="13" s="1"/>
  <c r="I5798" i="13" s="1"/>
  <c r="K5819" i="14"/>
  <c r="L5819" i="14" s="1"/>
  <c r="I5820" i="14" s="1"/>
  <c r="N5983" i="14"/>
  <c r="J5982" i="14" a="1"/>
  <c r="J5982" i="14" s="1"/>
  <c r="J5983" i="13" a="1"/>
  <c r="J5983" i="13" s="1"/>
  <c r="N5984" i="13"/>
  <c r="M5987" i="14"/>
  <c r="M5986" i="13"/>
  <c r="K5820" i="14" l="1"/>
  <c r="L5820" i="14" s="1"/>
  <c r="I5821" i="14" s="1"/>
  <c r="K5798" i="13"/>
  <c r="L5798" i="13" s="1"/>
  <c r="I5799" i="13" s="1"/>
  <c r="J5984" i="13" a="1"/>
  <c r="J5984" i="13" s="1"/>
  <c r="N5985" i="13"/>
  <c r="M5987" i="13"/>
  <c r="M5988" i="14"/>
  <c r="J5983" i="14" a="1"/>
  <c r="J5983" i="14" s="1"/>
  <c r="N5984" i="14"/>
  <c r="K5799" i="13" l="1"/>
  <c r="L5799" i="13" s="1"/>
  <c r="I5800" i="13" s="1"/>
  <c r="K5821" i="14"/>
  <c r="L5821" i="14" s="1"/>
  <c r="I5822" i="14" s="1"/>
  <c r="J5984" i="14" a="1"/>
  <c r="J5984" i="14" s="1"/>
  <c r="N5985" i="14"/>
  <c r="M5988" i="13"/>
  <c r="N5986" i="13"/>
  <c r="J5985" i="13" a="1"/>
  <c r="J5985" i="13" s="1"/>
  <c r="M5989" i="14"/>
  <c r="K5822" i="14" l="1"/>
  <c r="L5822" i="14" s="1"/>
  <c r="I5823" i="14" s="1"/>
  <c r="K5800" i="13"/>
  <c r="L5800" i="13" s="1"/>
  <c r="I5801" i="13" s="1"/>
  <c r="J5986" i="13" a="1"/>
  <c r="J5986" i="13" s="1"/>
  <c r="N5987" i="13"/>
  <c r="M5990" i="14"/>
  <c r="M5989" i="13"/>
  <c r="J5985" i="14" a="1"/>
  <c r="J5985" i="14" s="1"/>
  <c r="N5986" i="14"/>
  <c r="K5801" i="13" l="1"/>
  <c r="L5801" i="13" s="1"/>
  <c r="I5802" i="13" s="1"/>
  <c r="K5823" i="14"/>
  <c r="L5823" i="14" s="1"/>
  <c r="I5824" i="14" s="1"/>
  <c r="M5991" i="14"/>
  <c r="J5987" i="13" a="1"/>
  <c r="J5987" i="13" s="1"/>
  <c r="N5988" i="13"/>
  <c r="N5987" i="14"/>
  <c r="J5986" i="14" a="1"/>
  <c r="J5986" i="14" s="1"/>
  <c r="M5990" i="13"/>
  <c r="K5824" i="14" l="1"/>
  <c r="L5824" i="14" s="1"/>
  <c r="I5825" i="14" s="1"/>
  <c r="K5802" i="13"/>
  <c r="L5802" i="13" s="1"/>
  <c r="I5803" i="13" s="1"/>
  <c r="J5988" i="13" a="1"/>
  <c r="J5988" i="13" s="1"/>
  <c r="N5989" i="13"/>
  <c r="M5991" i="13"/>
  <c r="J5987" i="14" a="1"/>
  <c r="J5987" i="14" s="1"/>
  <c r="N5988" i="14"/>
  <c r="M5992" i="14"/>
  <c r="K5803" i="13" l="1"/>
  <c r="L5803" i="13" s="1"/>
  <c r="I5804" i="13" s="1"/>
  <c r="K5825" i="14"/>
  <c r="L5825" i="14" s="1"/>
  <c r="I5826" i="14" s="1"/>
  <c r="J5988" i="14" a="1"/>
  <c r="J5988" i="14" s="1"/>
  <c r="N5989" i="14"/>
  <c r="M5993" i="14"/>
  <c r="M5992" i="13"/>
  <c r="N5990" i="13"/>
  <c r="J5989" i="13" a="1"/>
  <c r="J5989" i="13" s="1"/>
  <c r="K5826" i="14" l="1"/>
  <c r="L5826" i="14" s="1"/>
  <c r="I5827" i="14" s="1"/>
  <c r="K5804" i="13"/>
  <c r="L5804" i="13" s="1"/>
  <c r="I5805" i="13" s="1"/>
  <c r="M5994" i="14"/>
  <c r="J5990" i="13" a="1"/>
  <c r="J5990" i="13" s="1"/>
  <c r="N5991" i="13"/>
  <c r="N5990" i="14"/>
  <c r="J5989" i="14" a="1"/>
  <c r="J5989" i="14" s="1"/>
  <c r="M5993" i="13"/>
  <c r="K5805" i="13" l="1"/>
  <c r="L5805" i="13" s="1"/>
  <c r="I5806" i="13" s="1"/>
  <c r="K5827" i="14"/>
  <c r="L5827" i="14" s="1"/>
  <c r="I5828" i="14" s="1"/>
  <c r="J5991" i="13" a="1"/>
  <c r="J5991" i="13" s="1"/>
  <c r="N5992" i="13"/>
  <c r="M5994" i="13"/>
  <c r="N5991" i="14"/>
  <c r="J5990" i="14" a="1"/>
  <c r="J5990" i="14" s="1"/>
  <c r="M5995" i="14"/>
  <c r="K5828" i="14" l="1"/>
  <c r="L5828" i="14" s="1"/>
  <c r="I5829" i="14" s="1"/>
  <c r="K5806" i="13"/>
  <c r="L5806" i="13" s="1"/>
  <c r="I5807" i="13" s="1"/>
  <c r="J5991" i="14" a="1"/>
  <c r="J5991" i="14" s="1"/>
  <c r="N5992" i="14"/>
  <c r="M5996" i="14"/>
  <c r="M5995" i="13"/>
  <c r="J5992" i="13" a="1"/>
  <c r="J5992" i="13" s="1"/>
  <c r="N5993" i="13"/>
  <c r="K5807" i="13" l="1"/>
  <c r="L5807" i="13" s="1"/>
  <c r="I5808" i="13" s="1"/>
  <c r="K5829" i="14"/>
  <c r="L5829" i="14" s="1"/>
  <c r="I5830" i="14" s="1"/>
  <c r="N5994" i="13"/>
  <c r="J5993" i="13" a="1"/>
  <c r="J5993" i="13" s="1"/>
  <c r="M5997" i="14"/>
  <c r="J5992" i="14" a="1"/>
  <c r="J5992" i="14" s="1"/>
  <c r="N5993" i="14"/>
  <c r="M5996" i="13"/>
  <c r="K5830" i="14" l="1"/>
  <c r="L5830" i="14" s="1"/>
  <c r="I5831" i="14" s="1"/>
  <c r="K5808" i="13"/>
  <c r="L5808" i="13" s="1"/>
  <c r="I5809" i="13" s="1"/>
  <c r="M5997" i="13"/>
  <c r="M5998" i="14"/>
  <c r="J5993" i="14" a="1"/>
  <c r="J5993" i="14" s="1"/>
  <c r="N5994" i="14"/>
  <c r="J5994" i="13" a="1"/>
  <c r="J5994" i="13" s="1"/>
  <c r="N5995" i="13"/>
  <c r="K5809" i="13" l="1"/>
  <c r="L5809" i="13" s="1"/>
  <c r="I5810" i="13" s="1"/>
  <c r="K5831" i="14"/>
  <c r="L5831" i="14" s="1"/>
  <c r="I5832" i="14" s="1"/>
  <c r="J5995" i="13" a="1"/>
  <c r="J5995" i="13" s="1"/>
  <c r="N5996" i="13"/>
  <c r="M5999" i="14"/>
  <c r="N5995" i="14"/>
  <c r="J5994" i="14" a="1"/>
  <c r="J5994" i="14" s="1"/>
  <c r="M5998" i="13"/>
  <c r="K5832" i="14" l="1"/>
  <c r="L5832" i="14" s="1"/>
  <c r="I5833" i="14" s="1"/>
  <c r="K5810" i="13"/>
  <c r="L5810" i="13" s="1"/>
  <c r="I5811" i="13" s="1"/>
  <c r="J5995" i="14" a="1"/>
  <c r="J5995" i="14" s="1"/>
  <c r="N5996" i="14"/>
  <c r="M5999" i="13"/>
  <c r="M6000" i="14"/>
  <c r="J5996" i="13" a="1"/>
  <c r="J5996" i="13" s="1"/>
  <c r="N5997" i="13"/>
  <c r="K5811" i="13" l="1"/>
  <c r="L5811" i="13" s="1"/>
  <c r="I5812" i="13" s="1"/>
  <c r="K5833" i="14"/>
  <c r="L5833" i="14" s="1"/>
  <c r="I5834" i="14" s="1"/>
  <c r="M6000" i="13"/>
  <c r="N5998" i="13"/>
  <c r="J5997" i="13" a="1"/>
  <c r="J5997" i="13" s="1"/>
  <c r="M6001" i="14"/>
  <c r="J5996" i="14" a="1"/>
  <c r="J5996" i="14" s="1"/>
  <c r="N5997" i="14"/>
  <c r="K5834" i="14" l="1"/>
  <c r="L5834" i="14" s="1"/>
  <c r="I5835" i="14" s="1"/>
  <c r="K5812" i="13"/>
  <c r="L5812" i="13" s="1"/>
  <c r="I5813" i="13" s="1"/>
  <c r="J5998" i="13" a="1"/>
  <c r="J5998" i="13" s="1"/>
  <c r="N5999" i="13"/>
  <c r="M6001" i="13"/>
  <c r="N5998" i="14"/>
  <c r="J5997" i="14" a="1"/>
  <c r="J5997" i="14" s="1"/>
  <c r="M6002" i="14"/>
  <c r="K5813" i="13" l="1"/>
  <c r="L5813" i="13" s="1"/>
  <c r="I5814" i="13" s="1"/>
  <c r="K5835" i="14"/>
  <c r="L5835" i="14" s="1"/>
  <c r="I5836" i="14" s="1"/>
  <c r="J5999" i="13" a="1"/>
  <c r="J5999" i="13" s="1"/>
  <c r="N6000" i="13"/>
  <c r="M6003" i="14"/>
  <c r="M6002" i="13"/>
  <c r="N5999" i="14"/>
  <c r="J5998" i="14" a="1"/>
  <c r="J5998" i="14" s="1"/>
  <c r="K5836" i="14" l="1"/>
  <c r="L5836" i="14" s="1"/>
  <c r="I5837" i="14" s="1"/>
  <c r="K5814" i="13"/>
  <c r="L5814" i="13" s="1"/>
  <c r="I5815" i="13" s="1"/>
  <c r="J5999" i="14" a="1"/>
  <c r="J5999" i="14" s="1"/>
  <c r="N6000" i="14"/>
  <c r="M6004" i="14"/>
  <c r="J6000" i="13" a="1"/>
  <c r="J6000" i="13" s="1"/>
  <c r="N6001" i="13"/>
  <c r="M6003" i="13"/>
  <c r="K5815" i="13" l="1"/>
  <c r="L5815" i="13" s="1"/>
  <c r="I5816" i="13" s="1"/>
  <c r="K5837" i="14"/>
  <c r="L5837" i="14" s="1"/>
  <c r="I5838" i="14" s="1"/>
  <c r="M6005" i="14"/>
  <c r="N6002" i="13"/>
  <c r="J6001" i="13" a="1"/>
  <c r="J6001" i="13" s="1"/>
  <c r="M6004" i="13"/>
  <c r="J6000" i="14" a="1"/>
  <c r="J6000" i="14" s="1"/>
  <c r="N6001" i="14"/>
  <c r="K5838" i="14" l="1"/>
  <c r="L5838" i="14" s="1"/>
  <c r="I5839" i="14" s="1"/>
  <c r="K5816" i="13"/>
  <c r="L5816" i="13" s="1"/>
  <c r="I5817" i="13" s="1"/>
  <c r="J6002" i="13" a="1"/>
  <c r="J6002" i="13" s="1"/>
  <c r="N6003" i="13"/>
  <c r="N6002" i="14"/>
  <c r="J6001" i="14" a="1"/>
  <c r="J6001" i="14" s="1"/>
  <c r="M6005" i="13"/>
  <c r="M6006" i="14"/>
  <c r="K5817" i="13" l="1"/>
  <c r="L5817" i="13" s="1"/>
  <c r="I5818" i="13" s="1"/>
  <c r="K5839" i="14"/>
  <c r="L5839" i="14" s="1"/>
  <c r="I5840" i="14" s="1"/>
  <c r="N6003" i="14"/>
  <c r="J6002" i="14" a="1"/>
  <c r="J6002" i="14" s="1"/>
  <c r="J6003" i="13" a="1"/>
  <c r="J6003" i="13" s="1"/>
  <c r="N6004" i="13"/>
  <c r="M6007" i="14"/>
  <c r="M6006" i="13"/>
  <c r="K5840" i="14" l="1"/>
  <c r="L5840" i="14" s="1"/>
  <c r="I5841" i="14" s="1"/>
  <c r="K5818" i="13"/>
  <c r="L5818" i="13" s="1"/>
  <c r="I5819" i="13" s="1"/>
  <c r="J6004" i="13" a="1"/>
  <c r="J6004" i="13" s="1"/>
  <c r="N6005" i="13"/>
  <c r="M6007" i="13"/>
  <c r="M6008" i="14"/>
  <c r="J6003" i="14" a="1"/>
  <c r="J6003" i="14" s="1"/>
  <c r="N6004" i="14"/>
  <c r="K5819" i="13" l="1"/>
  <c r="L5819" i="13" s="1"/>
  <c r="I5820" i="13" s="1"/>
  <c r="K5841" i="14"/>
  <c r="L5841" i="14" s="1"/>
  <c r="I5842" i="14" s="1"/>
  <c r="J6004" i="14" a="1"/>
  <c r="J6004" i="14" s="1"/>
  <c r="N6005" i="14"/>
  <c r="M6008" i="13"/>
  <c r="N6006" i="13"/>
  <c r="J6005" i="13" a="1"/>
  <c r="J6005" i="13" s="1"/>
  <c r="M6009" i="14"/>
  <c r="K5842" i="14" l="1"/>
  <c r="L5842" i="14" s="1"/>
  <c r="I5843" i="14" s="1"/>
  <c r="K5820" i="13"/>
  <c r="L5820" i="13" s="1"/>
  <c r="I5821" i="13" s="1"/>
  <c r="M6009" i="13"/>
  <c r="M6010" i="14"/>
  <c r="N6006" i="14"/>
  <c r="J6005" i="14" a="1"/>
  <c r="J6005" i="14" s="1"/>
  <c r="J6006" i="13" a="1"/>
  <c r="J6006" i="13" s="1"/>
  <c r="N6007" i="13"/>
  <c r="K5821" i="13" l="1"/>
  <c r="L5821" i="13" s="1"/>
  <c r="I5822" i="13" s="1"/>
  <c r="K5843" i="14"/>
  <c r="L5843" i="14" s="1"/>
  <c r="I5844" i="14" s="1"/>
  <c r="J6007" i="13" a="1"/>
  <c r="J6007" i="13" s="1"/>
  <c r="N6008" i="13"/>
  <c r="M6011" i="14"/>
  <c r="N6007" i="14"/>
  <c r="J6006" i="14" a="1"/>
  <c r="J6006" i="14" s="1"/>
  <c r="M6010" i="13"/>
  <c r="K5844" i="14" l="1"/>
  <c r="L5844" i="14" s="1"/>
  <c r="I5845" i="14" s="1"/>
  <c r="K5822" i="13"/>
  <c r="L5822" i="13" s="1"/>
  <c r="I5823" i="13" s="1"/>
  <c r="M6012" i="14"/>
  <c r="N6008" i="14"/>
  <c r="J6007" i="14" a="1"/>
  <c r="J6007" i="14" s="1"/>
  <c r="M6011" i="13"/>
  <c r="J6008" i="13" a="1"/>
  <c r="J6008" i="13" s="1"/>
  <c r="N6009" i="13"/>
  <c r="K5823" i="13" l="1"/>
  <c r="L5823" i="13" s="1"/>
  <c r="I5824" i="13" s="1"/>
  <c r="K5845" i="14"/>
  <c r="L5845" i="14" s="1"/>
  <c r="I5846" i="14" s="1"/>
  <c r="N6010" i="13"/>
  <c r="J6009" i="13" a="1"/>
  <c r="J6009" i="13" s="1"/>
  <c r="N6009" i="14"/>
  <c r="J6008" i="14" a="1"/>
  <c r="J6008" i="14" s="1"/>
  <c r="M6013" i="14"/>
  <c r="M6012" i="13"/>
  <c r="K5846" i="14" l="1"/>
  <c r="L5846" i="14" s="1"/>
  <c r="I5847" i="14" s="1"/>
  <c r="K5824" i="13"/>
  <c r="L5824" i="13" s="1"/>
  <c r="I5825" i="13" s="1"/>
  <c r="M6013" i="13"/>
  <c r="N6010" i="14"/>
  <c r="J6009" i="14" a="1"/>
  <c r="J6009" i="14" s="1"/>
  <c r="M6014" i="14"/>
  <c r="J6010" i="13" a="1"/>
  <c r="J6010" i="13" s="1"/>
  <c r="N6011" i="13"/>
  <c r="K5825" i="13" l="1"/>
  <c r="L5825" i="13" s="1"/>
  <c r="I5826" i="13" s="1"/>
  <c r="K5847" i="14"/>
  <c r="L5847" i="14" s="1"/>
  <c r="I5848" i="14" s="1"/>
  <c r="J6010" i="14" a="1"/>
  <c r="J6010" i="14" s="1"/>
  <c r="N6011" i="14"/>
  <c r="M6015" i="14"/>
  <c r="J6011" i="13" a="1"/>
  <c r="J6011" i="13" s="1"/>
  <c r="N6012" i="13"/>
  <c r="M6014" i="13"/>
  <c r="K5848" i="14" l="1"/>
  <c r="L5848" i="14" s="1"/>
  <c r="I5849" i="14" s="1"/>
  <c r="K5826" i="13"/>
  <c r="L5826" i="13" s="1"/>
  <c r="I5827" i="13" s="1"/>
  <c r="M6016" i="14"/>
  <c r="M6015" i="13"/>
  <c r="N6012" i="14"/>
  <c r="J6011" i="14" a="1"/>
  <c r="J6011" i="14" s="1"/>
  <c r="J6012" i="13" a="1"/>
  <c r="J6012" i="13" s="1"/>
  <c r="N6013" i="13"/>
  <c r="K5827" i="13" l="1"/>
  <c r="L5827" i="13" s="1"/>
  <c r="I5828" i="13" s="1"/>
  <c r="K5849" i="14"/>
  <c r="L5849" i="14" s="1"/>
  <c r="I5850" i="14" s="1"/>
  <c r="N6014" i="13"/>
  <c r="J6013" i="13" a="1"/>
  <c r="J6013" i="13" s="1"/>
  <c r="M6016" i="13"/>
  <c r="M6017" i="14"/>
  <c r="J6012" i="14" a="1"/>
  <c r="J6012" i="14" s="1"/>
  <c r="N6013" i="14"/>
  <c r="K5850" i="14" l="1"/>
  <c r="L5850" i="14" s="1"/>
  <c r="I5851" i="14" s="1"/>
  <c r="K5828" i="13"/>
  <c r="L5828" i="13" s="1"/>
  <c r="I5829" i="13" s="1"/>
  <c r="N6014" i="14"/>
  <c r="J6013" i="14" a="1"/>
  <c r="J6013" i="14" s="1"/>
  <c r="M6017" i="13"/>
  <c r="M6018" i="14"/>
  <c r="J6014" i="13" a="1"/>
  <c r="J6014" i="13" s="1"/>
  <c r="N6015" i="13"/>
  <c r="K5829" i="13" l="1"/>
  <c r="L5829" i="13" s="1"/>
  <c r="I5830" i="13" s="1"/>
  <c r="K5851" i="14"/>
  <c r="L5851" i="14" s="1"/>
  <c r="I5852" i="14" s="1"/>
  <c r="J6015" i="13" a="1"/>
  <c r="J6015" i="13" s="1"/>
  <c r="N6016" i="13"/>
  <c r="M6018" i="13"/>
  <c r="M6019" i="14"/>
  <c r="J6014" i="14" a="1"/>
  <c r="J6014" i="14" s="1"/>
  <c r="N6015" i="14"/>
  <c r="K5852" i="14" l="1"/>
  <c r="L5852" i="14" s="1"/>
  <c r="I5853" i="14" s="1"/>
  <c r="K5830" i="13"/>
  <c r="L5830" i="13" s="1"/>
  <c r="I5831" i="13" s="1"/>
  <c r="J6015" i="14" a="1"/>
  <c r="J6015" i="14" s="1"/>
  <c r="N6016" i="14"/>
  <c r="M6019" i="13"/>
  <c r="J6016" i="13" a="1"/>
  <c r="J6016" i="13" s="1"/>
  <c r="N6017" i="13"/>
  <c r="M6020" i="14"/>
  <c r="K5831" i="13" l="1"/>
  <c r="L5831" i="13" s="1"/>
  <c r="I5832" i="13" s="1"/>
  <c r="K5853" i="14"/>
  <c r="L5853" i="14" s="1"/>
  <c r="I5854" i="14" s="1"/>
  <c r="N6018" i="13"/>
  <c r="J6017" i="13" a="1"/>
  <c r="J6017" i="13" s="1"/>
  <c r="M6021" i="14"/>
  <c r="M6020" i="13"/>
  <c r="J6016" i="14" a="1"/>
  <c r="J6016" i="14" s="1"/>
  <c r="N6017" i="14"/>
  <c r="K5854" i="14" l="1"/>
  <c r="L5854" i="14" s="1"/>
  <c r="I5855" i="14" s="1"/>
  <c r="K5832" i="13"/>
  <c r="L5832" i="13" s="1"/>
  <c r="I5833" i="13" s="1"/>
  <c r="N6018" i="14"/>
  <c r="J6017" i="14" a="1"/>
  <c r="J6017" i="14" s="1"/>
  <c r="M6022" i="14"/>
  <c r="M6021" i="13"/>
  <c r="J6018" i="13" a="1"/>
  <c r="J6018" i="13" s="1"/>
  <c r="N6019" i="13"/>
  <c r="K5833" i="13" l="1"/>
  <c r="L5833" i="13" s="1"/>
  <c r="I5834" i="13" s="1"/>
  <c r="K5855" i="14"/>
  <c r="L5855" i="14" s="1"/>
  <c r="I5856" i="14" s="1"/>
  <c r="J6019" i="13" a="1"/>
  <c r="J6019" i="13" s="1"/>
  <c r="N6020" i="13"/>
  <c r="M6023" i="14"/>
  <c r="M6022" i="13"/>
  <c r="J6018" i="14" a="1"/>
  <c r="J6018" i="14" s="1"/>
  <c r="N6019" i="14"/>
  <c r="K5856" i="14" l="1"/>
  <c r="L5856" i="14" s="1"/>
  <c r="I5857" i="14" s="1"/>
  <c r="K5834" i="13"/>
  <c r="L5834" i="13" s="1"/>
  <c r="I5835" i="13" s="1"/>
  <c r="N6020" i="14"/>
  <c r="J6019" i="14" a="1"/>
  <c r="J6019" i="14" s="1"/>
  <c r="M6024" i="14"/>
  <c r="J6020" i="13" a="1"/>
  <c r="J6020" i="13" s="1"/>
  <c r="N6021" i="13"/>
  <c r="M6023" i="13"/>
  <c r="K5835" i="13" l="1"/>
  <c r="L5835" i="13" s="1"/>
  <c r="I5836" i="13" s="1"/>
  <c r="K5857" i="14"/>
  <c r="L5857" i="14" s="1"/>
  <c r="I5858" i="14" s="1"/>
  <c r="M6025" i="14"/>
  <c r="N6022" i="13"/>
  <c r="J6021" i="13" a="1"/>
  <c r="J6021" i="13" s="1"/>
  <c r="M6024" i="13"/>
  <c r="N6021" i="14"/>
  <c r="J6020" i="14" a="1"/>
  <c r="J6020" i="14" s="1"/>
  <c r="K5858" i="14" l="1"/>
  <c r="L5858" i="14" s="1"/>
  <c r="I5859" i="14" s="1"/>
  <c r="K5836" i="13"/>
  <c r="L5836" i="13" s="1"/>
  <c r="I5837" i="13" s="1"/>
  <c r="J6022" i="13" a="1"/>
  <c r="J6022" i="13" s="1"/>
  <c r="N6023" i="13"/>
  <c r="N6022" i="14"/>
  <c r="J6021" i="14" a="1"/>
  <c r="J6021" i="14" s="1"/>
  <c r="M6025" i="13"/>
  <c r="M6026" i="14"/>
  <c r="K5837" i="13" l="1"/>
  <c r="L5837" i="13" s="1"/>
  <c r="I5838" i="13" s="1"/>
  <c r="K5859" i="14"/>
  <c r="L5859" i="14" s="1"/>
  <c r="I5860" i="14" s="1"/>
  <c r="M6027" i="14"/>
  <c r="J6022" i="14" a="1"/>
  <c r="J6022" i="14" s="1"/>
  <c r="N6023" i="14"/>
  <c r="J6023" i="13" a="1"/>
  <c r="J6023" i="13" s="1"/>
  <c r="N6024" i="13"/>
  <c r="M6026" i="13"/>
  <c r="K5860" i="14" l="1"/>
  <c r="L5860" i="14" s="1"/>
  <c r="I5861" i="14" s="1"/>
  <c r="K5838" i="13"/>
  <c r="L5838" i="13" s="1"/>
  <c r="I5839" i="13" s="1"/>
  <c r="N6024" i="14"/>
  <c r="J6023" i="14" a="1"/>
  <c r="J6023" i="14" s="1"/>
  <c r="J6024" i="13" a="1"/>
  <c r="J6024" i="13" s="1"/>
  <c r="N6025" i="13"/>
  <c r="M6028" i="14"/>
  <c r="M6027" i="13"/>
  <c r="K5839" i="13" l="1"/>
  <c r="L5839" i="13" s="1"/>
  <c r="I5840" i="13" s="1"/>
  <c r="K5861" i="14"/>
  <c r="L5861" i="14" s="1"/>
  <c r="I5862" i="14" s="1"/>
  <c r="N6026" i="13"/>
  <c r="J6025" i="13" a="1"/>
  <c r="J6025" i="13" s="1"/>
  <c r="M6028" i="13"/>
  <c r="M6029" i="14"/>
  <c r="N6025" i="14"/>
  <c r="J6024" i="14" a="1"/>
  <c r="J6024" i="14" s="1"/>
  <c r="K5862" i="14" l="1"/>
  <c r="L5862" i="14" s="1"/>
  <c r="I5863" i="14" s="1"/>
  <c r="K5840" i="13"/>
  <c r="L5840" i="13" s="1"/>
  <c r="I5841" i="13" s="1"/>
  <c r="M6029" i="13"/>
  <c r="N6026" i="14"/>
  <c r="J6025" i="14" a="1"/>
  <c r="J6025" i="14" s="1"/>
  <c r="M6030" i="14"/>
  <c r="J6026" i="13" a="1"/>
  <c r="J6026" i="13" s="1"/>
  <c r="N6027" i="13"/>
  <c r="K5841" i="13" l="1"/>
  <c r="L5841" i="13" s="1"/>
  <c r="I5842" i="13" s="1"/>
  <c r="K5863" i="14"/>
  <c r="L5863" i="14" s="1"/>
  <c r="I5864" i="14" s="1"/>
  <c r="J6027" i="13" a="1"/>
  <c r="J6027" i="13" s="1"/>
  <c r="N6028" i="13"/>
  <c r="J6026" i="14" a="1"/>
  <c r="J6026" i="14" s="1"/>
  <c r="N6027" i="14"/>
  <c r="M6031" i="14"/>
  <c r="M6030" i="13"/>
  <c r="K5864" i="14" l="1"/>
  <c r="L5864" i="14" s="1"/>
  <c r="I5865" i="14" s="1"/>
  <c r="K5842" i="13"/>
  <c r="L5842" i="13" s="1"/>
  <c r="I5843" i="13" s="1"/>
  <c r="N6028" i="14"/>
  <c r="J6027" i="14" a="1"/>
  <c r="J6027" i="14" s="1"/>
  <c r="M6031" i="13"/>
  <c r="M6032" i="14"/>
  <c r="J6028" i="13" a="1"/>
  <c r="J6028" i="13" s="1"/>
  <c r="N6029" i="13"/>
  <c r="K5843" i="13" l="1"/>
  <c r="L5843" i="13" s="1"/>
  <c r="I5844" i="13" s="1"/>
  <c r="K5865" i="14"/>
  <c r="L5865" i="14" s="1"/>
  <c r="I5866" i="14" s="1"/>
  <c r="N6030" i="13"/>
  <c r="J6029" i="13" a="1"/>
  <c r="J6029" i="13" s="1"/>
  <c r="M6032" i="13"/>
  <c r="M6033" i="14"/>
  <c r="N6029" i="14"/>
  <c r="J6028" i="14" a="1"/>
  <c r="J6028" i="14" s="1"/>
  <c r="K5866" i="14" l="1"/>
  <c r="L5866" i="14" s="1"/>
  <c r="I5867" i="14" s="1"/>
  <c r="K5844" i="13"/>
  <c r="L5844" i="13" s="1"/>
  <c r="I5845" i="13" s="1"/>
  <c r="M6033" i="13"/>
  <c r="N6030" i="14"/>
  <c r="J6029" i="14" a="1"/>
  <c r="J6029" i="14" s="1"/>
  <c r="M6034" i="14"/>
  <c r="J6030" i="13" a="1"/>
  <c r="J6030" i="13" s="1"/>
  <c r="N6031" i="13"/>
  <c r="K5867" i="14" l="1"/>
  <c r="L5867" i="14" s="1"/>
  <c r="I5868" i="14" s="1"/>
  <c r="J6031" i="13" a="1"/>
  <c r="J6031" i="13" s="1"/>
  <c r="N6032" i="13"/>
  <c r="K5845" i="13"/>
  <c r="L5845" i="13" s="1"/>
  <c r="I5846" i="13" s="1"/>
  <c r="J6030" i="14" a="1"/>
  <c r="J6030" i="14" s="1"/>
  <c r="N6031" i="14"/>
  <c r="M6035" i="14"/>
  <c r="M6034" i="13"/>
  <c r="K5846" i="13" l="1"/>
  <c r="L5846" i="13" s="1"/>
  <c r="I5847" i="13" s="1"/>
  <c r="K5868" i="14"/>
  <c r="L5868" i="14" s="1"/>
  <c r="I5869" i="14" s="1"/>
  <c r="N6032" i="14"/>
  <c r="J6031" i="14" a="1"/>
  <c r="J6031" i="14" s="1"/>
  <c r="J6032" i="13" a="1"/>
  <c r="J6032" i="13" s="1"/>
  <c r="N6033" i="13"/>
  <c r="M6035" i="13"/>
  <c r="M6036" i="14"/>
  <c r="K5869" i="14" l="1"/>
  <c r="L5869" i="14" s="1"/>
  <c r="I5870" i="14" s="1"/>
  <c r="K5847" i="13"/>
  <c r="L5847" i="13" s="1"/>
  <c r="I5848" i="13" s="1"/>
  <c r="N6034" i="13"/>
  <c r="J6033" i="13" a="1"/>
  <c r="J6033" i="13" s="1"/>
  <c r="M6037" i="14"/>
  <c r="M6036" i="13"/>
  <c r="J6032" i="14" a="1"/>
  <c r="J6032" i="14" s="1"/>
  <c r="N6033" i="14"/>
  <c r="K5848" i="13" l="1"/>
  <c r="L5848" i="13" s="1"/>
  <c r="I5849" i="13" s="1"/>
  <c r="K5870" i="14"/>
  <c r="L5870" i="14" s="1"/>
  <c r="I5871" i="14" s="1"/>
  <c r="N6034" i="14"/>
  <c r="J6033" i="14" a="1"/>
  <c r="J6033" i="14" s="1"/>
  <c r="M6038" i="14"/>
  <c r="M6037" i="13"/>
  <c r="J6034" i="13" a="1"/>
  <c r="J6034" i="13" s="1"/>
  <c r="N6035" i="13"/>
  <c r="K5871" i="14" l="1"/>
  <c r="L5871" i="14" s="1"/>
  <c r="I5872" i="14" s="1"/>
  <c r="K5849" i="13"/>
  <c r="L5849" i="13" s="1"/>
  <c r="I5850" i="13" s="1"/>
  <c r="J6035" i="13" a="1"/>
  <c r="J6035" i="13" s="1"/>
  <c r="N6036" i="13"/>
  <c r="M6039" i="14"/>
  <c r="M6038" i="13"/>
  <c r="J6034" i="14" a="1"/>
  <c r="J6034" i="14" s="1"/>
  <c r="N6035" i="14"/>
  <c r="K5850" i="13" l="1"/>
  <c r="L5850" i="13" s="1"/>
  <c r="I5851" i="13" s="1"/>
  <c r="K5872" i="14"/>
  <c r="L5872" i="14" s="1"/>
  <c r="I5873" i="14" s="1"/>
  <c r="N6036" i="14"/>
  <c r="J6035" i="14" a="1"/>
  <c r="J6035" i="14" s="1"/>
  <c r="M6040" i="14"/>
  <c r="J6036" i="13" a="1"/>
  <c r="J6036" i="13" s="1"/>
  <c r="N6037" i="13"/>
  <c r="M6039" i="13"/>
  <c r="K5873" i="14" l="1"/>
  <c r="L5873" i="14" s="1"/>
  <c r="I5874" i="14" s="1"/>
  <c r="K5851" i="13"/>
  <c r="L5851" i="13" s="1"/>
  <c r="I5852" i="13" s="1"/>
  <c r="N6038" i="13"/>
  <c r="J6037" i="13" a="1"/>
  <c r="J6037" i="13" s="1"/>
  <c r="M6041" i="14"/>
  <c r="M6040" i="13"/>
  <c r="N6037" i="14"/>
  <c r="J6036" i="14" a="1"/>
  <c r="J6036" i="14" s="1"/>
  <c r="K5852" i="13" l="1"/>
  <c r="L5852" i="13" s="1"/>
  <c r="I5853" i="13" s="1"/>
  <c r="K5874" i="14"/>
  <c r="L5874" i="14" s="1"/>
  <c r="I5875" i="14" s="1"/>
  <c r="M6042" i="14"/>
  <c r="N6038" i="14"/>
  <c r="J6037" i="14" a="1"/>
  <c r="J6037" i="14" s="1"/>
  <c r="M6041" i="13"/>
  <c r="J6038" i="13" a="1"/>
  <c r="J6038" i="13" s="1"/>
  <c r="N6039" i="13"/>
  <c r="K5875" i="14" l="1"/>
  <c r="L5875" i="14" s="1"/>
  <c r="I5876" i="14" s="1"/>
  <c r="K5853" i="13"/>
  <c r="L5853" i="13" s="1"/>
  <c r="I5854" i="13" s="1"/>
  <c r="J6038" i="14" a="1"/>
  <c r="J6038" i="14" s="1"/>
  <c r="N6039" i="14"/>
  <c r="J6039" i="13" a="1"/>
  <c r="J6039" i="13" s="1"/>
  <c r="N6040" i="13"/>
  <c r="M6042" i="13"/>
  <c r="M6043" i="14"/>
  <c r="K5854" i="13" l="1"/>
  <c r="L5854" i="13" s="1"/>
  <c r="I5855" i="13" s="1"/>
  <c r="K5876" i="14"/>
  <c r="L5876" i="14" s="1"/>
  <c r="I5877" i="14" s="1"/>
  <c r="J6040" i="13" a="1"/>
  <c r="J6040" i="13" s="1"/>
  <c r="N6041" i="13"/>
  <c r="M6044" i="14"/>
  <c r="N6040" i="14"/>
  <c r="J6039" i="14" a="1"/>
  <c r="J6039" i="14" s="1"/>
  <c r="M6043" i="13"/>
  <c r="K5877" i="14" l="1"/>
  <c r="L5877" i="14" s="1"/>
  <c r="I5878" i="14" s="1"/>
  <c r="K5855" i="13"/>
  <c r="L5855" i="13" s="1"/>
  <c r="I5856" i="13" s="1"/>
  <c r="M6045" i="14"/>
  <c r="N6041" i="14"/>
  <c r="J6040" i="14" a="1"/>
  <c r="J6040" i="14" s="1"/>
  <c r="M6044" i="13"/>
  <c r="N6042" i="13"/>
  <c r="J6041" i="13" a="1"/>
  <c r="J6041" i="13" s="1"/>
  <c r="K5856" i="13" l="1"/>
  <c r="L5856" i="13" s="1"/>
  <c r="I5857" i="13" s="1"/>
  <c r="K5878" i="14"/>
  <c r="L5878" i="14" s="1"/>
  <c r="I5879" i="14" s="1"/>
  <c r="N6042" i="14"/>
  <c r="J6041" i="14" a="1"/>
  <c r="J6041" i="14" s="1"/>
  <c r="M6045" i="13"/>
  <c r="J6042" i="13" a="1"/>
  <c r="J6042" i="13" s="1"/>
  <c r="N6043" i="13"/>
  <c r="M6046" i="14"/>
  <c r="K5879" i="14" l="1"/>
  <c r="L5879" i="14" s="1"/>
  <c r="I5880" i="14" s="1"/>
  <c r="K5857" i="13"/>
  <c r="L5857" i="13" s="1"/>
  <c r="I5858" i="13" s="1"/>
  <c r="M6047" i="14"/>
  <c r="J6043" i="13" a="1"/>
  <c r="J6043" i="13" s="1"/>
  <c r="N6044" i="13"/>
  <c r="M6046" i="13"/>
  <c r="J6042" i="14" a="1"/>
  <c r="J6042" i="14" s="1"/>
  <c r="N6043" i="14"/>
  <c r="K5858" i="13" l="1"/>
  <c r="L5858" i="13" s="1"/>
  <c r="I5859" i="13" s="1"/>
  <c r="K5880" i="14"/>
  <c r="L5880" i="14" s="1"/>
  <c r="I5881" i="14" s="1"/>
  <c r="J6044" i="13" a="1"/>
  <c r="J6044" i="13" s="1"/>
  <c r="N6045" i="13"/>
  <c r="N6044" i="14"/>
  <c r="J6043" i="14" a="1"/>
  <c r="J6043" i="14" s="1"/>
  <c r="M6048" i="14"/>
  <c r="M6047" i="13"/>
  <c r="K5881" i="14" l="1"/>
  <c r="L5881" i="14" s="1"/>
  <c r="I5882" i="14" s="1"/>
  <c r="K5859" i="13"/>
  <c r="L5859" i="13" s="1"/>
  <c r="I5860" i="13" s="1"/>
  <c r="J6044" i="14" a="1"/>
  <c r="J6044" i="14" s="1"/>
  <c r="N6045" i="14"/>
  <c r="M6048" i="13"/>
  <c r="N6046" i="13"/>
  <c r="J6045" i="13" a="1"/>
  <c r="J6045" i="13" s="1"/>
  <c r="M6049" i="14"/>
  <c r="K5860" i="13" l="1"/>
  <c r="L5860" i="13" s="1"/>
  <c r="I5861" i="13" s="1"/>
  <c r="K5882" i="14"/>
  <c r="L5882" i="14" s="1"/>
  <c r="I5883" i="14" s="1"/>
  <c r="M6049" i="13"/>
  <c r="M6050" i="14"/>
  <c r="N6046" i="14"/>
  <c r="J6045" i="14" a="1"/>
  <c r="J6045" i="14" s="1"/>
  <c r="J6046" i="13" a="1"/>
  <c r="J6046" i="13" s="1"/>
  <c r="N6047" i="13"/>
  <c r="K5883" i="14" l="1"/>
  <c r="L5883" i="14" s="1"/>
  <c r="I5884" i="14" s="1"/>
  <c r="K5861" i="13"/>
  <c r="L5861" i="13" s="1"/>
  <c r="I5862" i="13" s="1"/>
  <c r="J6047" i="13" a="1"/>
  <c r="J6047" i="13" s="1"/>
  <c r="N6048" i="13"/>
  <c r="M6051" i="14"/>
  <c r="J6046" i="14" a="1"/>
  <c r="J6046" i="14" s="1"/>
  <c r="N6047" i="14"/>
  <c r="M6050" i="13"/>
  <c r="K5862" i="13" l="1"/>
  <c r="L5862" i="13" s="1"/>
  <c r="I5863" i="13" s="1"/>
  <c r="K5884" i="14"/>
  <c r="L5884" i="14" s="1"/>
  <c r="I5885" i="14" s="1"/>
  <c r="N6048" i="14"/>
  <c r="J6047" i="14" a="1"/>
  <c r="J6047" i="14" s="1"/>
  <c r="M6051" i="13"/>
  <c r="M6052" i="14"/>
  <c r="J6048" i="13" a="1"/>
  <c r="J6048" i="13" s="1"/>
  <c r="N6049" i="13"/>
  <c r="K5885" i="14" l="1"/>
  <c r="L5885" i="14" s="1"/>
  <c r="I5886" i="14" s="1"/>
  <c r="K5863" i="13"/>
  <c r="L5863" i="13" s="1"/>
  <c r="I5864" i="13" s="1"/>
  <c r="N6050" i="13"/>
  <c r="J6049" i="13" a="1"/>
  <c r="J6049" i="13" s="1"/>
  <c r="M6052" i="13"/>
  <c r="M6053" i="14"/>
  <c r="J6048" i="14" a="1"/>
  <c r="J6048" i="14" s="1"/>
  <c r="N6049" i="14"/>
  <c r="K5864" i="13" l="1"/>
  <c r="L5864" i="13" s="1"/>
  <c r="I5865" i="13" s="1"/>
  <c r="K5886" i="14"/>
  <c r="L5886" i="14" s="1"/>
  <c r="I5887" i="14" s="1"/>
  <c r="N6050" i="14"/>
  <c r="J6049" i="14" a="1"/>
  <c r="J6049" i="14" s="1"/>
  <c r="M6053" i="13"/>
  <c r="M6054" i="14"/>
  <c r="J6050" i="13" a="1"/>
  <c r="J6050" i="13" s="1"/>
  <c r="N6051" i="13"/>
  <c r="K5887" i="14" l="1"/>
  <c r="L5887" i="14" s="1"/>
  <c r="I5888" i="14" s="1"/>
  <c r="K5865" i="13"/>
  <c r="L5865" i="13" s="1"/>
  <c r="I5866" i="13" s="1"/>
  <c r="J6051" i="13" a="1"/>
  <c r="J6051" i="13" s="1"/>
  <c r="N6052" i="13"/>
  <c r="M6054" i="13"/>
  <c r="M6055" i="14"/>
  <c r="J6050" i="14" a="1"/>
  <c r="J6050" i="14" s="1"/>
  <c r="N6051" i="14"/>
  <c r="K5866" i="13" l="1"/>
  <c r="L5866" i="13" s="1"/>
  <c r="I5867" i="13" s="1"/>
  <c r="K5888" i="14"/>
  <c r="L5888" i="14" s="1"/>
  <c r="I5889" i="14" s="1"/>
  <c r="N6052" i="14"/>
  <c r="J6051" i="14" a="1"/>
  <c r="J6051" i="14" s="1"/>
  <c r="M6055" i="13"/>
  <c r="J6052" i="13" a="1"/>
  <c r="J6052" i="13" s="1"/>
  <c r="N6053" i="13"/>
  <c r="M6056" i="14"/>
  <c r="K5889" i="14" l="1"/>
  <c r="L5889" i="14" s="1"/>
  <c r="I5890" i="14" s="1"/>
  <c r="K5867" i="13"/>
  <c r="L5867" i="13" s="1"/>
  <c r="I5868" i="13" s="1"/>
  <c r="M6057" i="14"/>
  <c r="M6056" i="13"/>
  <c r="N6054" i="13"/>
  <c r="J6053" i="13" a="1"/>
  <c r="J6053" i="13" s="1"/>
  <c r="N6053" i="14"/>
  <c r="J6052" i="14" a="1"/>
  <c r="J6052" i="14" s="1"/>
  <c r="K5868" i="13" l="1"/>
  <c r="L5868" i="13" s="1"/>
  <c r="I5869" i="13" s="1"/>
  <c r="K5890" i="14"/>
  <c r="L5890" i="14" s="1"/>
  <c r="I5891" i="14" s="1"/>
  <c r="M6057" i="13"/>
  <c r="N6054" i="14"/>
  <c r="J6053" i="14" a="1"/>
  <c r="J6053" i="14" s="1"/>
  <c r="J6054" i="13" a="1"/>
  <c r="J6054" i="13" s="1"/>
  <c r="N6055" i="13"/>
  <c r="M6058" i="14"/>
  <c r="K5869" i="13" l="1"/>
  <c r="L5869" i="13" s="1"/>
  <c r="I5870" i="13" s="1"/>
  <c r="J6054" i="14" a="1"/>
  <c r="J6054" i="14" s="1"/>
  <c r="N6055" i="14"/>
  <c r="J6055" i="13" a="1"/>
  <c r="J6055" i="13" s="1"/>
  <c r="N6056" i="13"/>
  <c r="M6059" i="14"/>
  <c r="K5891" i="14"/>
  <c r="L5891" i="14" s="1"/>
  <c r="I5892" i="14" s="1"/>
  <c r="M6058" i="13"/>
  <c r="K5870" i="13" l="1"/>
  <c r="L5870" i="13" s="1"/>
  <c r="I5871" i="13" s="1"/>
  <c r="K5892" i="14"/>
  <c r="L5892" i="14" s="1"/>
  <c r="I5893" i="14" s="1"/>
  <c r="M6059" i="13"/>
  <c r="M6060" i="14"/>
  <c r="N6056" i="14"/>
  <c r="J6055" i="14" a="1"/>
  <c r="J6055" i="14" s="1"/>
  <c r="J6056" i="13" a="1"/>
  <c r="J6056" i="13" s="1"/>
  <c r="N6057" i="13"/>
  <c r="K5893" i="14" l="1"/>
  <c r="L5893" i="14" s="1"/>
  <c r="I5894" i="14" s="1"/>
  <c r="K5871" i="13"/>
  <c r="L5871" i="13" s="1"/>
  <c r="I5872" i="13" s="1"/>
  <c r="N6058" i="13"/>
  <c r="J6057" i="13" a="1"/>
  <c r="J6057" i="13" s="1"/>
  <c r="M6061" i="14"/>
  <c r="N6057" i="14"/>
  <c r="J6056" i="14" a="1"/>
  <c r="J6056" i="14" s="1"/>
  <c r="M6060" i="13"/>
  <c r="K5894" i="14" l="1"/>
  <c r="L5894" i="14" s="1"/>
  <c r="I5895" i="14" s="1"/>
  <c r="M6062" i="14"/>
  <c r="M6061" i="13"/>
  <c r="K5872" i="13"/>
  <c r="L5872" i="13" s="1"/>
  <c r="I5873" i="13" s="1"/>
  <c r="N6058" i="14"/>
  <c r="J6057" i="14" a="1"/>
  <c r="J6057" i="14" s="1"/>
  <c r="J6058" i="13" a="1"/>
  <c r="J6058" i="13" s="1"/>
  <c r="N6059" i="13"/>
  <c r="K5873" i="13" l="1"/>
  <c r="L5873" i="13" s="1"/>
  <c r="I5874" i="13" s="1"/>
  <c r="K5895" i="14"/>
  <c r="L5895" i="14" s="1"/>
  <c r="I5896" i="14" s="1"/>
  <c r="M6063" i="14"/>
  <c r="J6059" i="13" a="1"/>
  <c r="J6059" i="13" s="1"/>
  <c r="N6060" i="13"/>
  <c r="J6058" i="14" a="1"/>
  <c r="J6058" i="14" s="1"/>
  <c r="N6059" i="14"/>
  <c r="M6062" i="13"/>
  <c r="K5896" i="14" l="1"/>
  <c r="L5896" i="14" s="1"/>
  <c r="I5897" i="14" s="1"/>
  <c r="K5874" i="13"/>
  <c r="L5874" i="13" s="1"/>
  <c r="I5875" i="13" s="1"/>
  <c r="J6060" i="13" a="1"/>
  <c r="J6060" i="13" s="1"/>
  <c r="N6061" i="13"/>
  <c r="M6063" i="13"/>
  <c r="N6060" i="14"/>
  <c r="J6059" i="14" a="1"/>
  <c r="J6059" i="14" s="1"/>
  <c r="M6064" i="14"/>
  <c r="K5875" i="13" l="1"/>
  <c r="L5875" i="13" s="1"/>
  <c r="I5876" i="13" s="1"/>
  <c r="K5897" i="14"/>
  <c r="L5897" i="14" s="1"/>
  <c r="I5898" i="14" s="1"/>
  <c r="N6061" i="14"/>
  <c r="J6060" i="14" a="1"/>
  <c r="J6060" i="14" s="1"/>
  <c r="M6065" i="14"/>
  <c r="M6064" i="13"/>
  <c r="N6062" i="13"/>
  <c r="J6061" i="13" a="1"/>
  <c r="J6061" i="13" s="1"/>
  <c r="K5898" i="14" l="1"/>
  <c r="L5898" i="14" s="1"/>
  <c r="I5899" i="14" s="1"/>
  <c r="K5876" i="13"/>
  <c r="L5876" i="13" s="1"/>
  <c r="I5877" i="13" s="1"/>
  <c r="J6062" i="13" a="1"/>
  <c r="J6062" i="13" s="1"/>
  <c r="N6063" i="13"/>
  <c r="M6066" i="14"/>
  <c r="M6065" i="13"/>
  <c r="N6062" i="14"/>
  <c r="J6061" i="14" a="1"/>
  <c r="J6061" i="14" s="1"/>
  <c r="K5877" i="13" l="1"/>
  <c r="L5877" i="13" s="1"/>
  <c r="I5878" i="13" s="1"/>
  <c r="K5899" i="14"/>
  <c r="L5899" i="14" s="1"/>
  <c r="I5900" i="14" s="1"/>
  <c r="J6062" i="14" a="1"/>
  <c r="J6062" i="14" s="1"/>
  <c r="N6063" i="14"/>
  <c r="J6063" i="13" a="1"/>
  <c r="J6063" i="13" s="1"/>
  <c r="N6064" i="13"/>
  <c r="M6067" i="14"/>
  <c r="M6066" i="13"/>
  <c r="K5900" i="14" l="1"/>
  <c r="L5900" i="14" s="1"/>
  <c r="I5901" i="14" s="1"/>
  <c r="K5878" i="13"/>
  <c r="L5878" i="13" s="1"/>
  <c r="I5879" i="13" s="1"/>
  <c r="J6064" i="13" a="1"/>
  <c r="J6064" i="13" s="1"/>
  <c r="N6065" i="13"/>
  <c r="M6067" i="13"/>
  <c r="N6064" i="14"/>
  <c r="J6063" i="14" a="1"/>
  <c r="J6063" i="14" s="1"/>
  <c r="M6068" i="14"/>
  <c r="K5879" i="13" l="1"/>
  <c r="L5879" i="13" s="1"/>
  <c r="I5880" i="13" s="1"/>
  <c r="K5901" i="14"/>
  <c r="L5901" i="14" s="1"/>
  <c r="I5902" i="14" s="1"/>
  <c r="M6069" i="14"/>
  <c r="J6064" i="14" a="1"/>
  <c r="J6064" i="14" s="1"/>
  <c r="N6065" i="14"/>
  <c r="M6068" i="13"/>
  <c r="N6066" i="13"/>
  <c r="J6065" i="13" a="1"/>
  <c r="J6065" i="13" s="1"/>
  <c r="K5902" i="14" l="1"/>
  <c r="L5902" i="14" s="1"/>
  <c r="I5903" i="14" s="1"/>
  <c r="K5880" i="13"/>
  <c r="L5880" i="13" s="1"/>
  <c r="I5881" i="13" s="1"/>
  <c r="N6066" i="14"/>
  <c r="J6065" i="14" a="1"/>
  <c r="J6065" i="14" s="1"/>
  <c r="M6069" i="13"/>
  <c r="J6066" i="13" a="1"/>
  <c r="J6066" i="13" s="1"/>
  <c r="N6067" i="13"/>
  <c r="M6070" i="14"/>
  <c r="K5881" i="13" l="1"/>
  <c r="L5881" i="13" s="1"/>
  <c r="I5882" i="13" s="1"/>
  <c r="K5903" i="14"/>
  <c r="L5903" i="14" s="1"/>
  <c r="I5904" i="14" s="1"/>
  <c r="J6067" i="13" a="1"/>
  <c r="J6067" i="13" s="1"/>
  <c r="N6068" i="13"/>
  <c r="M6071" i="14"/>
  <c r="M6070" i="13"/>
  <c r="J6066" i="14" a="1"/>
  <c r="J6066" i="14" s="1"/>
  <c r="N6067" i="14"/>
  <c r="K5904" i="14" l="1"/>
  <c r="L5904" i="14" s="1"/>
  <c r="I5905" i="14" s="1"/>
  <c r="K5882" i="13"/>
  <c r="L5882" i="13" s="1"/>
  <c r="I5883" i="13" s="1"/>
  <c r="N6068" i="14"/>
  <c r="J6067" i="14" a="1"/>
  <c r="J6067" i="14" s="1"/>
  <c r="M6072" i="14"/>
  <c r="J6068" i="13" a="1"/>
  <c r="J6068" i="13" s="1"/>
  <c r="N6069" i="13"/>
  <c r="M6071" i="13"/>
  <c r="K5883" i="13" l="1"/>
  <c r="L5883" i="13" s="1"/>
  <c r="I5884" i="13" s="1"/>
  <c r="K5905" i="14"/>
  <c r="L5905" i="14" s="1"/>
  <c r="I5906" i="14" s="1"/>
  <c r="M6073" i="14"/>
  <c r="N6070" i="13"/>
  <c r="J6069" i="13" a="1"/>
  <c r="J6069" i="13" s="1"/>
  <c r="M6072" i="13"/>
  <c r="N6069" i="14"/>
  <c r="J6068" i="14" a="1"/>
  <c r="J6068" i="14" s="1"/>
  <c r="K5906" i="14" l="1"/>
  <c r="L5906" i="14" s="1"/>
  <c r="I5907" i="14" s="1"/>
  <c r="K5884" i="13"/>
  <c r="L5884" i="13" s="1"/>
  <c r="I5885" i="13" s="1"/>
  <c r="N6070" i="14"/>
  <c r="J6069" i="14" a="1"/>
  <c r="J6069" i="14" s="1"/>
  <c r="M6073" i="13"/>
  <c r="J6070" i="13" a="1"/>
  <c r="J6070" i="13" s="1"/>
  <c r="N6071" i="13"/>
  <c r="M6074" i="14"/>
  <c r="K5885" i="13" l="1"/>
  <c r="L5885" i="13" s="1"/>
  <c r="I5886" i="13" s="1"/>
  <c r="K5907" i="14"/>
  <c r="L5907" i="14" s="1"/>
  <c r="I5908" i="14" s="1"/>
  <c r="J6071" i="13" a="1"/>
  <c r="J6071" i="13" s="1"/>
  <c r="N6072" i="13"/>
  <c r="M6075" i="14"/>
  <c r="M6074" i="13"/>
  <c r="J6070" i="14" a="1"/>
  <c r="J6070" i="14" s="1"/>
  <c r="N6071" i="14"/>
  <c r="K5908" i="14" l="1"/>
  <c r="L5908" i="14" s="1"/>
  <c r="I5909" i="14" s="1"/>
  <c r="K5886" i="13"/>
  <c r="L5886" i="13" s="1"/>
  <c r="I5887" i="13" s="1"/>
  <c r="N6072" i="14"/>
  <c r="J6071" i="14" a="1"/>
  <c r="J6071" i="14" s="1"/>
  <c r="M6076" i="14"/>
  <c r="J6072" i="13" a="1"/>
  <c r="J6072" i="13" s="1"/>
  <c r="N6073" i="13"/>
  <c r="M6075" i="13"/>
  <c r="K5887" i="13" l="1"/>
  <c r="L5887" i="13" s="1"/>
  <c r="I5888" i="13" s="1"/>
  <c r="K5909" i="14"/>
  <c r="L5909" i="14" s="1"/>
  <c r="I5910" i="14" s="1"/>
  <c r="N6074" i="13"/>
  <c r="J6073" i="13" a="1"/>
  <c r="J6073" i="13" s="1"/>
  <c r="M6077" i="14"/>
  <c r="M6076" i="13"/>
  <c r="N6073" i="14"/>
  <c r="J6072" i="14" a="1"/>
  <c r="J6072" i="14" s="1"/>
  <c r="K5910" i="14" l="1"/>
  <c r="L5910" i="14" s="1"/>
  <c r="I5911" i="14" s="1"/>
  <c r="K5888" i="13"/>
  <c r="L5888" i="13" s="1"/>
  <c r="I5889" i="13" s="1"/>
  <c r="N6074" i="14"/>
  <c r="J6073" i="14" a="1"/>
  <c r="J6073" i="14" s="1"/>
  <c r="M6078" i="14"/>
  <c r="M6077" i="13"/>
  <c r="J6074" i="13" a="1"/>
  <c r="J6074" i="13" s="1"/>
  <c r="N6075" i="13"/>
  <c r="K5889" i="13" l="1"/>
  <c r="L5889" i="13" s="1"/>
  <c r="I5890" i="13" s="1"/>
  <c r="K5911" i="14"/>
  <c r="L5911" i="14" s="1"/>
  <c r="I5912" i="14" s="1"/>
  <c r="M6079" i="14"/>
  <c r="J6075" i="13" a="1"/>
  <c r="J6075" i="13" s="1"/>
  <c r="N6076" i="13"/>
  <c r="M6078" i="13"/>
  <c r="J6074" i="14" a="1"/>
  <c r="J6074" i="14" s="1"/>
  <c r="N6075" i="14"/>
  <c r="K5912" i="14" l="1"/>
  <c r="L5912" i="14" s="1"/>
  <c r="I5913" i="14" s="1"/>
  <c r="K5890" i="13"/>
  <c r="L5890" i="13" s="1"/>
  <c r="I5891" i="13" s="1"/>
  <c r="J6076" i="13" a="1"/>
  <c r="J6076" i="13" s="1"/>
  <c r="N6077" i="13"/>
  <c r="N6076" i="14"/>
  <c r="J6075" i="14" a="1"/>
  <c r="J6075" i="14" s="1"/>
  <c r="M6080" i="14"/>
  <c r="M6079" i="13"/>
  <c r="K5891" i="13" l="1"/>
  <c r="L5891" i="13" s="1"/>
  <c r="I5892" i="13" s="1"/>
  <c r="K5913" i="14"/>
  <c r="L5913" i="14" s="1"/>
  <c r="I5914" i="14" s="1"/>
  <c r="M6080" i="13"/>
  <c r="N6077" i="14"/>
  <c r="J6076" i="14" a="1"/>
  <c r="J6076" i="14" s="1"/>
  <c r="M6081" i="14"/>
  <c r="N6078" i="13"/>
  <c r="J6077" i="13" a="1"/>
  <c r="J6077" i="13" s="1"/>
  <c r="K5914" i="14" l="1"/>
  <c r="L5914" i="14" s="1"/>
  <c r="I5915" i="14" s="1"/>
  <c r="K5892" i="13"/>
  <c r="L5892" i="13" s="1"/>
  <c r="I5893" i="13" s="1"/>
  <c r="N6078" i="14"/>
  <c r="J6077" i="14" a="1"/>
  <c r="J6077" i="14" s="1"/>
  <c r="J6078" i="13" a="1"/>
  <c r="J6078" i="13" s="1"/>
  <c r="N6079" i="13"/>
  <c r="M6081" i="13"/>
  <c r="M6082" i="14"/>
  <c r="K5893" i="13" l="1"/>
  <c r="L5893" i="13" s="1"/>
  <c r="I5894" i="13" s="1"/>
  <c r="K5915" i="14"/>
  <c r="L5915" i="14" s="1"/>
  <c r="I5916" i="14" s="1"/>
  <c r="M6083" i="14"/>
  <c r="J6079" i="13" a="1"/>
  <c r="J6079" i="13" s="1"/>
  <c r="N6080" i="13"/>
  <c r="M6082" i="13"/>
  <c r="J6078" i="14" a="1"/>
  <c r="J6078" i="14" s="1"/>
  <c r="N6079" i="14"/>
  <c r="K5916" i="14" l="1"/>
  <c r="L5916" i="14" s="1"/>
  <c r="I5917" i="14" s="1"/>
  <c r="K5894" i="13"/>
  <c r="L5894" i="13" s="1"/>
  <c r="I5895" i="13" s="1"/>
  <c r="J6080" i="13" a="1"/>
  <c r="J6080" i="13" s="1"/>
  <c r="N6081" i="13"/>
  <c r="J6079" i="14" a="1"/>
  <c r="J6079" i="14" s="1"/>
  <c r="N6080" i="14"/>
  <c r="M6083" i="13"/>
  <c r="M6084" i="14"/>
  <c r="K5895" i="13" l="1"/>
  <c r="L5895" i="13" s="1"/>
  <c r="I5896" i="13" s="1"/>
  <c r="K5917" i="14"/>
  <c r="L5917" i="14" s="1"/>
  <c r="I5918" i="14" s="1"/>
  <c r="M6085" i="14"/>
  <c r="J6080" i="14" a="1"/>
  <c r="J6080" i="14" s="1"/>
  <c r="N6081" i="14"/>
  <c r="N6082" i="13"/>
  <c r="J6081" i="13" a="1"/>
  <c r="J6081" i="13" s="1"/>
  <c r="M6084" i="13"/>
  <c r="K5918" i="14" l="1"/>
  <c r="L5918" i="14" s="1"/>
  <c r="I5919" i="14" s="1"/>
  <c r="K5896" i="13"/>
  <c r="L5896" i="13" s="1"/>
  <c r="I5897" i="13" s="1"/>
  <c r="M6085" i="13"/>
  <c r="N6082" i="14"/>
  <c r="J6081" i="14" a="1"/>
  <c r="J6081" i="14" s="1"/>
  <c r="J6082" i="13" a="1"/>
  <c r="J6082" i="13" s="1"/>
  <c r="N6083" i="13"/>
  <c r="M6086" i="14"/>
  <c r="K5897" i="13" l="1"/>
  <c r="L5897" i="13" s="1"/>
  <c r="I5898" i="13" s="1"/>
  <c r="K5919" i="14"/>
  <c r="L5919" i="14" s="1"/>
  <c r="I5920" i="14" s="1"/>
  <c r="J6082" i="14" a="1"/>
  <c r="J6082" i="14" s="1"/>
  <c r="N6083" i="14"/>
  <c r="J6083" i="13" a="1"/>
  <c r="J6083" i="13" s="1"/>
  <c r="N6084" i="13"/>
  <c r="M6087" i="14"/>
  <c r="M6086" i="13"/>
  <c r="K5920" i="14" l="1"/>
  <c r="L5920" i="14" s="1"/>
  <c r="I5921" i="14" s="1"/>
  <c r="K5898" i="13"/>
  <c r="L5898" i="13" s="1"/>
  <c r="I5899" i="13" s="1"/>
  <c r="J6084" i="13" a="1"/>
  <c r="J6084" i="13" s="1"/>
  <c r="N6085" i="13"/>
  <c r="J6083" i="14" a="1"/>
  <c r="J6083" i="14" s="1"/>
  <c r="N6084" i="14"/>
  <c r="M6087" i="13"/>
  <c r="M6088" i="14"/>
  <c r="K5899" i="13" l="1"/>
  <c r="L5899" i="13" s="1"/>
  <c r="I5900" i="13" s="1"/>
  <c r="K5921" i="14"/>
  <c r="L5921" i="14" s="1"/>
  <c r="I5922" i="14" s="1"/>
  <c r="M6089" i="14"/>
  <c r="N6085" i="14"/>
  <c r="J6084" i="14" a="1"/>
  <c r="J6084" i="14" s="1"/>
  <c r="N6086" i="13"/>
  <c r="J6085" i="13" a="1"/>
  <c r="J6085" i="13" s="1"/>
  <c r="M6088" i="13"/>
  <c r="K5922" i="14" l="1"/>
  <c r="L5922" i="14" s="1"/>
  <c r="I5923" i="14" s="1"/>
  <c r="K5900" i="13"/>
  <c r="L5900" i="13" s="1"/>
  <c r="I5901" i="13" s="1"/>
  <c r="M6089" i="13"/>
  <c r="N6086" i="14"/>
  <c r="J6085" i="14" a="1"/>
  <c r="J6085" i="14" s="1"/>
  <c r="J6086" i="13" a="1"/>
  <c r="J6086" i="13" s="1"/>
  <c r="N6087" i="13"/>
  <c r="M6090" i="14"/>
  <c r="K5901" i="13" l="1"/>
  <c r="L5901" i="13" s="1"/>
  <c r="I5902" i="13" s="1"/>
  <c r="K5923" i="14"/>
  <c r="L5923" i="14" s="1"/>
  <c r="I5924" i="14" s="1"/>
  <c r="J6086" i="14" a="1"/>
  <c r="J6086" i="14" s="1"/>
  <c r="N6087" i="14"/>
  <c r="J6087" i="13" a="1"/>
  <c r="J6087" i="13" s="1"/>
  <c r="N6088" i="13"/>
  <c r="M6091" i="14"/>
  <c r="M6090" i="13"/>
  <c r="K5924" i="14" l="1"/>
  <c r="L5924" i="14" s="1"/>
  <c r="I5925" i="14" s="1"/>
  <c r="K5902" i="13"/>
  <c r="L5902" i="13" s="1"/>
  <c r="I5903" i="13" s="1"/>
  <c r="J6088" i="13" a="1"/>
  <c r="J6088" i="13" s="1"/>
  <c r="N6089" i="13"/>
  <c r="N6088" i="14"/>
  <c r="J6087" i="14" a="1"/>
  <c r="J6087" i="14" s="1"/>
  <c r="M6091" i="13"/>
  <c r="M6092" i="14"/>
  <c r="K5903" i="13" l="1"/>
  <c r="L5903" i="13" s="1"/>
  <c r="I5904" i="13" s="1"/>
  <c r="K5925" i="14"/>
  <c r="L5925" i="14" s="1"/>
  <c r="I5926" i="14" s="1"/>
  <c r="N6089" i="14"/>
  <c r="J6088" i="14" a="1"/>
  <c r="J6088" i="14" s="1"/>
  <c r="N6090" i="13"/>
  <c r="J6089" i="13" a="1"/>
  <c r="J6089" i="13" s="1"/>
  <c r="M6093" i="14"/>
  <c r="M6092" i="13"/>
  <c r="K5926" i="14" l="1"/>
  <c r="L5926" i="14" s="1"/>
  <c r="I5927" i="14" s="1"/>
  <c r="K5904" i="13"/>
  <c r="L5904" i="13" s="1"/>
  <c r="I5905" i="13" s="1"/>
  <c r="J6090" i="13" a="1"/>
  <c r="J6090" i="13" s="1"/>
  <c r="N6091" i="13"/>
  <c r="M6093" i="13"/>
  <c r="M6094" i="14"/>
  <c r="N6090" i="14"/>
  <c r="J6089" i="14" a="1"/>
  <c r="J6089" i="14" s="1"/>
  <c r="K5905" i="13" l="1"/>
  <c r="L5905" i="13" s="1"/>
  <c r="I5906" i="13" s="1"/>
  <c r="K5927" i="14"/>
  <c r="L5927" i="14" s="1"/>
  <c r="I5928" i="14" s="1"/>
  <c r="J6090" i="14" a="1"/>
  <c r="J6090" i="14" s="1"/>
  <c r="N6091" i="14"/>
  <c r="M6094" i="13"/>
  <c r="J6091" i="13" a="1"/>
  <c r="J6091" i="13" s="1"/>
  <c r="N6092" i="13"/>
  <c r="M6095" i="14"/>
  <c r="K5928" i="14" l="1"/>
  <c r="L5928" i="14" s="1"/>
  <c r="I5929" i="14" s="1"/>
  <c r="K5906" i="13"/>
  <c r="L5906" i="13" s="1"/>
  <c r="I5907" i="13" s="1"/>
  <c r="J6092" i="13" a="1"/>
  <c r="J6092" i="13" s="1"/>
  <c r="N6093" i="13"/>
  <c r="M6096" i="14"/>
  <c r="M6095" i="13"/>
  <c r="N6092" i="14"/>
  <c r="J6091" i="14" a="1"/>
  <c r="J6091" i="14" s="1"/>
  <c r="K5907" i="13" l="1"/>
  <c r="L5907" i="13" s="1"/>
  <c r="I5908" i="13" s="1"/>
  <c r="K5929" i="14"/>
  <c r="L5929" i="14" s="1"/>
  <c r="I5930" i="14" s="1"/>
  <c r="M6097" i="14"/>
  <c r="N6093" i="14"/>
  <c r="J6092" i="14" a="1"/>
  <c r="J6092" i="14" s="1"/>
  <c r="N6094" i="13"/>
  <c r="J6093" i="13" a="1"/>
  <c r="J6093" i="13" s="1"/>
  <c r="M6096" i="13"/>
  <c r="K5930" i="14" l="1"/>
  <c r="L5930" i="14" s="1"/>
  <c r="I5931" i="14" s="1"/>
  <c r="K5908" i="13"/>
  <c r="L5908" i="13" s="1"/>
  <c r="I5909" i="13" s="1"/>
  <c r="N6094" i="14"/>
  <c r="J6093" i="14" a="1"/>
  <c r="J6093" i="14" s="1"/>
  <c r="M6097" i="13"/>
  <c r="J6094" i="13" a="1"/>
  <c r="J6094" i="13" s="1"/>
  <c r="N6095" i="13"/>
  <c r="M6098" i="14"/>
  <c r="K5909" i="13" l="1"/>
  <c r="L5909" i="13" s="1"/>
  <c r="I5910" i="13" s="1"/>
  <c r="K5931" i="14"/>
  <c r="L5931" i="14" s="1"/>
  <c r="I5932" i="14" s="1"/>
  <c r="M6099" i="14"/>
  <c r="J6095" i="13" a="1"/>
  <c r="J6095" i="13" s="1"/>
  <c r="N6096" i="13"/>
  <c r="M6098" i="13"/>
  <c r="J6094" i="14" a="1"/>
  <c r="J6094" i="14" s="1"/>
  <c r="N6095" i="14"/>
  <c r="K5932" i="14" l="1"/>
  <c r="L5932" i="14" s="1"/>
  <c r="I5933" i="14" s="1"/>
  <c r="K5910" i="13"/>
  <c r="L5910" i="13" s="1"/>
  <c r="I5911" i="13" s="1"/>
  <c r="J6096" i="13" a="1"/>
  <c r="J6096" i="13" s="1"/>
  <c r="N6097" i="13"/>
  <c r="N6096" i="14"/>
  <c r="J6095" i="14" a="1"/>
  <c r="J6095" i="14" s="1"/>
  <c r="M6099" i="13"/>
  <c r="M6100" i="14"/>
  <c r="K5911" i="13" l="1"/>
  <c r="L5911" i="13" s="1"/>
  <c r="I5912" i="13" s="1"/>
  <c r="K5933" i="14"/>
  <c r="L5933" i="14" s="1"/>
  <c r="I5934" i="14" s="1"/>
  <c r="M6101" i="14"/>
  <c r="J6096" i="14" a="1"/>
  <c r="J6096" i="14" s="1"/>
  <c r="N6097" i="14"/>
  <c r="N6098" i="13"/>
  <c r="J6097" i="13" a="1"/>
  <c r="J6097" i="13" s="1"/>
  <c r="M6100" i="13"/>
  <c r="K5934" i="14" l="1"/>
  <c r="L5934" i="14" s="1"/>
  <c r="I5935" i="14" s="1"/>
  <c r="K5912" i="13"/>
  <c r="L5912" i="13" s="1"/>
  <c r="I5913" i="13" s="1"/>
  <c r="N6098" i="14"/>
  <c r="J6097" i="14" a="1"/>
  <c r="J6097" i="14" s="1"/>
  <c r="M6101" i="13"/>
  <c r="J6098" i="13" a="1"/>
  <c r="J6098" i="13" s="1"/>
  <c r="N6099" i="13"/>
  <c r="M6102" i="14"/>
  <c r="K5913" i="13" l="1"/>
  <c r="L5913" i="13" s="1"/>
  <c r="I5914" i="13" s="1"/>
  <c r="K5935" i="14"/>
  <c r="L5935" i="14" s="1"/>
  <c r="I5936" i="14" s="1"/>
  <c r="J6099" i="13" a="1"/>
  <c r="J6099" i="13" s="1"/>
  <c r="N6100" i="13"/>
  <c r="M6103" i="14"/>
  <c r="M6102" i="13"/>
  <c r="J6098" i="14" a="1"/>
  <c r="J6098" i="14" s="1"/>
  <c r="N6099" i="14"/>
  <c r="K5936" i="14" l="1"/>
  <c r="L5936" i="14" s="1"/>
  <c r="I5937" i="14" s="1"/>
  <c r="K5914" i="13"/>
  <c r="L5914" i="13" s="1"/>
  <c r="I5915" i="13" s="1"/>
  <c r="J6099" i="14" a="1"/>
  <c r="J6099" i="14" s="1"/>
  <c r="N6100" i="14"/>
  <c r="M6104" i="14"/>
  <c r="J6100" i="13" a="1"/>
  <c r="J6100" i="13" s="1"/>
  <c r="N6101" i="13"/>
  <c r="M6103" i="13"/>
  <c r="K5915" i="13" l="1"/>
  <c r="L5915" i="13" s="1"/>
  <c r="I5916" i="13" s="1"/>
  <c r="K5937" i="14"/>
  <c r="L5937" i="14" s="1"/>
  <c r="I5938" i="14" s="1"/>
  <c r="M6105" i="14"/>
  <c r="N6102" i="13"/>
  <c r="J6101" i="13" a="1"/>
  <c r="J6101" i="13" s="1"/>
  <c r="M6104" i="13"/>
  <c r="N6101" i="14"/>
  <c r="J6100" i="14" a="1"/>
  <c r="J6100" i="14" s="1"/>
  <c r="K5938" i="14" l="1"/>
  <c r="L5938" i="14" s="1"/>
  <c r="I5939" i="14" s="1"/>
  <c r="K5916" i="13"/>
  <c r="L5916" i="13" s="1"/>
  <c r="I5917" i="13" s="1"/>
  <c r="N6102" i="14"/>
  <c r="J6101" i="14" a="1"/>
  <c r="J6101" i="14" s="1"/>
  <c r="M6105" i="13"/>
  <c r="J6102" i="13" a="1"/>
  <c r="J6102" i="13" s="1"/>
  <c r="N6103" i="13"/>
  <c r="M6106" i="14"/>
  <c r="K5917" i="13" l="1"/>
  <c r="L5917" i="13" s="1"/>
  <c r="I5918" i="13" s="1"/>
  <c r="K5939" i="14"/>
  <c r="L5939" i="14" s="1"/>
  <c r="I5940" i="14" s="1"/>
  <c r="J6103" i="13" a="1"/>
  <c r="J6103" i="13" s="1"/>
  <c r="N6104" i="13"/>
  <c r="M6107" i="14"/>
  <c r="M6106" i="13"/>
  <c r="J6102" i="14" a="1"/>
  <c r="J6102" i="14" s="1"/>
  <c r="N6103" i="14"/>
  <c r="K5940" i="14" l="1"/>
  <c r="L5940" i="14" s="1"/>
  <c r="I5941" i="14" s="1"/>
  <c r="K5918" i="13"/>
  <c r="L5918" i="13" s="1"/>
  <c r="I5919" i="13" s="1"/>
  <c r="J6103" i="14" a="1"/>
  <c r="J6103" i="14" s="1"/>
  <c r="N6104" i="14"/>
  <c r="M6108" i="14"/>
  <c r="J6104" i="13" a="1"/>
  <c r="J6104" i="13" s="1"/>
  <c r="N6105" i="13"/>
  <c r="M6107" i="13"/>
  <c r="K5919" i="13" l="1"/>
  <c r="L5919" i="13" s="1"/>
  <c r="I5920" i="13" s="1"/>
  <c r="K5941" i="14"/>
  <c r="L5941" i="14" s="1"/>
  <c r="I5942" i="14" s="1"/>
  <c r="N6106" i="13"/>
  <c r="J6105" i="13" a="1"/>
  <c r="J6105" i="13" s="1"/>
  <c r="M6109" i="14"/>
  <c r="M6108" i="13"/>
  <c r="N6105" i="14"/>
  <c r="J6104" i="14" a="1"/>
  <c r="J6104" i="14" s="1"/>
  <c r="K5942" i="14" l="1"/>
  <c r="L5942" i="14" s="1"/>
  <c r="I5943" i="14" s="1"/>
  <c r="K5920" i="13"/>
  <c r="L5920" i="13" s="1"/>
  <c r="I5921" i="13" s="1"/>
  <c r="N6106" i="14"/>
  <c r="J6105" i="14" a="1"/>
  <c r="J6105" i="14" s="1"/>
  <c r="M6110" i="14"/>
  <c r="M6109" i="13"/>
  <c r="J6106" i="13" a="1"/>
  <c r="J6106" i="13" s="1"/>
  <c r="N6107" i="13"/>
  <c r="K5921" i="13" l="1"/>
  <c r="L5921" i="13" s="1"/>
  <c r="I5922" i="13" s="1"/>
  <c r="K5943" i="14"/>
  <c r="L5943" i="14" s="1"/>
  <c r="I5944" i="14" s="1"/>
  <c r="J6107" i="13" a="1"/>
  <c r="J6107" i="13" s="1"/>
  <c r="N6108" i="13"/>
  <c r="M6111" i="14"/>
  <c r="M6110" i="13"/>
  <c r="J6106" i="14" a="1"/>
  <c r="J6106" i="14" s="1"/>
  <c r="N6107" i="14"/>
  <c r="K5944" i="14" l="1"/>
  <c r="L5944" i="14" s="1"/>
  <c r="I5945" i="14" s="1"/>
  <c r="K5922" i="13"/>
  <c r="L5922" i="13" s="1"/>
  <c r="I5923" i="13" s="1"/>
  <c r="J6107" i="14" a="1"/>
  <c r="J6107" i="14" s="1"/>
  <c r="N6108" i="14"/>
  <c r="M6112" i="14"/>
  <c r="J6108" i="13" a="1"/>
  <c r="J6108" i="13" s="1"/>
  <c r="N6109" i="13"/>
  <c r="M6111" i="13"/>
  <c r="K5923" i="13" l="1"/>
  <c r="L5923" i="13" s="1"/>
  <c r="I5924" i="13" s="1"/>
  <c r="K5945" i="14"/>
  <c r="L5945" i="14" s="1"/>
  <c r="I5946" i="14" s="1"/>
  <c r="N6110" i="13"/>
  <c r="J6109" i="13" a="1"/>
  <c r="J6109" i="13" s="1"/>
  <c r="M6113" i="14"/>
  <c r="M6112" i="13"/>
  <c r="N6109" i="14"/>
  <c r="J6108" i="14" a="1"/>
  <c r="J6108" i="14" s="1"/>
  <c r="K5946" i="14" l="1"/>
  <c r="L5946" i="14" s="1"/>
  <c r="I5947" i="14" s="1"/>
  <c r="K5924" i="13"/>
  <c r="L5924" i="13" s="1"/>
  <c r="I5925" i="13" s="1"/>
  <c r="N6110" i="14"/>
  <c r="J6109" i="14" a="1"/>
  <c r="J6109" i="14" s="1"/>
  <c r="M6114" i="14"/>
  <c r="M6113" i="13"/>
  <c r="J6110" i="13" a="1"/>
  <c r="J6110" i="13" s="1"/>
  <c r="N6111" i="13"/>
  <c r="K5925" i="13" l="1"/>
  <c r="L5925" i="13" s="1"/>
  <c r="I5926" i="13" s="1"/>
  <c r="K5947" i="14"/>
  <c r="L5947" i="14" s="1"/>
  <c r="I5948" i="14" s="1"/>
  <c r="J6111" i="13" a="1"/>
  <c r="J6111" i="13" s="1"/>
  <c r="N6112" i="13"/>
  <c r="M6115" i="14"/>
  <c r="M6114" i="13"/>
  <c r="J6110" i="14" a="1"/>
  <c r="J6110" i="14" s="1"/>
  <c r="N6111" i="14"/>
  <c r="K5948" i="14" l="1"/>
  <c r="L5948" i="14" s="1"/>
  <c r="I5949" i="14" s="1"/>
  <c r="K5926" i="13"/>
  <c r="L5926" i="13" s="1"/>
  <c r="I5927" i="13" s="1"/>
  <c r="J6111" i="14" a="1"/>
  <c r="J6111" i="14" s="1"/>
  <c r="N6112" i="14"/>
  <c r="M6116" i="14"/>
  <c r="J6112" i="13" a="1"/>
  <c r="J6112" i="13" s="1"/>
  <c r="N6113" i="13"/>
  <c r="M6115" i="13"/>
  <c r="K5927" i="13" l="1"/>
  <c r="L5927" i="13" s="1"/>
  <c r="I5928" i="13" s="1"/>
  <c r="K5949" i="14"/>
  <c r="L5949" i="14" s="1"/>
  <c r="I5950" i="14" s="1"/>
  <c r="M6117" i="14"/>
  <c r="N6114" i="13"/>
  <c r="J6113" i="13" a="1"/>
  <c r="J6113" i="13" s="1"/>
  <c r="M6116" i="13"/>
  <c r="N6113" i="14"/>
  <c r="J6112" i="14" a="1"/>
  <c r="J6112" i="14" s="1"/>
  <c r="K5928" i="13" l="1"/>
  <c r="L5928" i="13" s="1"/>
  <c r="I5929" i="13" s="1"/>
  <c r="K5950" i="14"/>
  <c r="L5950" i="14" s="1"/>
  <c r="I5951" i="14" s="1"/>
  <c r="N6114" i="14"/>
  <c r="J6113" i="14" a="1"/>
  <c r="J6113" i="14" s="1"/>
  <c r="M6117" i="13"/>
  <c r="J6114" i="13" a="1"/>
  <c r="J6114" i="13" s="1"/>
  <c r="N6115" i="13"/>
  <c r="M6118" i="14"/>
  <c r="K5951" i="14" l="1"/>
  <c r="L5951" i="14" s="1"/>
  <c r="I5952" i="14" s="1"/>
  <c r="K5929" i="13"/>
  <c r="L5929" i="13" s="1"/>
  <c r="I5930" i="13" s="1"/>
  <c r="J6115" i="13" a="1"/>
  <c r="J6115" i="13" s="1"/>
  <c r="N6116" i="13"/>
  <c r="M6119" i="14"/>
  <c r="M6118" i="13"/>
  <c r="J6114" i="14" a="1"/>
  <c r="J6114" i="14" s="1"/>
  <c r="N6115" i="14"/>
  <c r="K5930" i="13" l="1"/>
  <c r="L5930" i="13" s="1"/>
  <c r="I5931" i="13" s="1"/>
  <c r="K5952" i="14"/>
  <c r="L5952" i="14" s="1"/>
  <c r="I5953" i="14" s="1"/>
  <c r="M6120" i="14"/>
  <c r="J6116" i="13" a="1"/>
  <c r="J6116" i="13" s="1"/>
  <c r="N6117" i="13"/>
  <c r="J6115" i="14" a="1"/>
  <c r="J6115" i="14" s="1"/>
  <c r="N6116" i="14"/>
  <c r="M6119" i="13"/>
  <c r="K5953" i="14" l="1"/>
  <c r="L5953" i="14" s="1"/>
  <c r="I5954" i="14" s="1"/>
  <c r="K5931" i="13"/>
  <c r="L5931" i="13" s="1"/>
  <c r="I5932" i="13" s="1"/>
  <c r="N6118" i="13"/>
  <c r="J6117" i="13" a="1"/>
  <c r="J6117" i="13" s="1"/>
  <c r="J6116" i="14" a="1"/>
  <c r="J6116" i="14" s="1"/>
  <c r="N6117" i="14"/>
  <c r="M6121" i="14"/>
  <c r="M6120" i="13"/>
  <c r="K5932" i="13" l="1"/>
  <c r="L5932" i="13" s="1"/>
  <c r="I5933" i="13" s="1"/>
  <c r="K5954" i="14"/>
  <c r="L5954" i="14" s="1"/>
  <c r="I5955" i="14" s="1"/>
  <c r="M6121" i="13"/>
  <c r="N6118" i="14"/>
  <c r="J6117" i="14" a="1"/>
  <c r="J6117" i="14" s="1"/>
  <c r="M6122" i="14"/>
  <c r="J6118" i="13" a="1"/>
  <c r="J6118" i="13" s="1"/>
  <c r="N6119" i="13"/>
  <c r="K5955" i="14" l="1"/>
  <c r="L5955" i="14" s="1"/>
  <c r="I5956" i="14" s="1"/>
  <c r="K5933" i="13"/>
  <c r="L5933" i="13" s="1"/>
  <c r="I5934" i="13" s="1"/>
  <c r="J6118" i="14" a="1"/>
  <c r="J6118" i="14" s="1"/>
  <c r="N6119" i="14"/>
  <c r="J6119" i="13" a="1"/>
  <c r="J6119" i="13" s="1"/>
  <c r="N6120" i="13"/>
  <c r="M6123" i="14"/>
  <c r="M6122" i="13"/>
  <c r="K5934" i="13" l="1"/>
  <c r="L5934" i="13" s="1"/>
  <c r="I5935" i="13" s="1"/>
  <c r="K5956" i="14"/>
  <c r="L5956" i="14" s="1"/>
  <c r="I5957" i="14" s="1"/>
  <c r="J6120" i="13" a="1"/>
  <c r="J6120" i="13" s="1"/>
  <c r="N6121" i="13"/>
  <c r="J6119" i="14" a="1"/>
  <c r="J6119" i="14" s="1"/>
  <c r="N6120" i="14"/>
  <c r="M6123" i="13"/>
  <c r="M6124" i="14"/>
  <c r="K5957" i="14" l="1"/>
  <c r="L5957" i="14" s="1"/>
  <c r="I5958" i="14" s="1"/>
  <c r="K5935" i="13"/>
  <c r="L5935" i="13" s="1"/>
  <c r="I5936" i="13" s="1"/>
  <c r="M6125" i="14"/>
  <c r="N6121" i="14"/>
  <c r="J6120" i="14" a="1"/>
  <c r="J6120" i="14" s="1"/>
  <c r="N6122" i="13"/>
  <c r="J6121" i="13" a="1"/>
  <c r="J6121" i="13" s="1"/>
  <c r="M6124" i="13"/>
  <c r="K5936" i="13" l="1"/>
  <c r="L5936" i="13" s="1"/>
  <c r="I5937" i="13" s="1"/>
  <c r="K5958" i="14"/>
  <c r="L5958" i="14" s="1"/>
  <c r="I5959" i="14" s="1"/>
  <c r="N6122" i="14"/>
  <c r="J6121" i="14" a="1"/>
  <c r="J6121" i="14" s="1"/>
  <c r="M6125" i="13"/>
  <c r="J6122" i="13" a="1"/>
  <c r="J6122" i="13" s="1"/>
  <c r="N6123" i="13"/>
  <c r="M6126" i="14"/>
  <c r="K5959" i="14" l="1"/>
  <c r="L5959" i="14" s="1"/>
  <c r="I5960" i="14" s="1"/>
  <c r="K5937" i="13"/>
  <c r="L5937" i="13" s="1"/>
  <c r="I5938" i="13" s="1"/>
  <c r="J6123" i="13" a="1"/>
  <c r="J6123" i="13" s="1"/>
  <c r="N6124" i="13"/>
  <c r="M6127" i="14"/>
  <c r="M6126" i="13"/>
  <c r="J6122" i="14" a="1"/>
  <c r="J6122" i="14" s="1"/>
  <c r="N6123" i="14"/>
  <c r="K5938" i="13" l="1"/>
  <c r="L5938" i="13" s="1"/>
  <c r="I5939" i="13" s="1"/>
  <c r="K5960" i="14"/>
  <c r="L5960" i="14" s="1"/>
  <c r="I5961" i="14" s="1"/>
  <c r="J6123" i="14" a="1"/>
  <c r="J6123" i="14" s="1"/>
  <c r="N6124" i="14"/>
  <c r="M6128" i="14"/>
  <c r="J6124" i="13" a="1"/>
  <c r="J6124" i="13" s="1"/>
  <c r="N6125" i="13"/>
  <c r="M6127" i="13"/>
  <c r="K5961" i="14" l="1"/>
  <c r="L5961" i="14" s="1"/>
  <c r="I5962" i="14" s="1"/>
  <c r="K5939" i="13"/>
  <c r="L5939" i="13" s="1"/>
  <c r="I5940" i="13" s="1"/>
  <c r="M6129" i="14"/>
  <c r="M6128" i="13"/>
  <c r="J6124" i="14" a="1"/>
  <c r="J6124" i="14" s="1"/>
  <c r="N6125" i="14"/>
  <c r="N6126" i="13"/>
  <c r="J6125" i="13" a="1"/>
  <c r="J6125" i="13" s="1"/>
  <c r="K5940" i="13" l="1"/>
  <c r="L5940" i="13" s="1"/>
  <c r="I5941" i="13" s="1"/>
  <c r="K5962" i="14"/>
  <c r="L5962" i="14" s="1"/>
  <c r="I5963" i="14" s="1"/>
  <c r="M6129" i="13"/>
  <c r="J6126" i="13" a="1"/>
  <c r="J6126" i="13" s="1"/>
  <c r="N6127" i="13"/>
  <c r="N6126" i="14"/>
  <c r="J6125" i="14" a="1"/>
  <c r="J6125" i="14" s="1"/>
  <c r="M6130" i="14"/>
  <c r="K5963" i="14" l="1"/>
  <c r="L5963" i="14" s="1"/>
  <c r="I5964" i="14" s="1"/>
  <c r="K5941" i="13"/>
  <c r="L5941" i="13" s="1"/>
  <c r="I5942" i="13" s="1"/>
  <c r="J6127" i="13" a="1"/>
  <c r="J6127" i="13" s="1"/>
  <c r="N6128" i="13"/>
  <c r="M6131" i="14"/>
  <c r="J6126" i="14" a="1"/>
  <c r="J6126" i="14" s="1"/>
  <c r="N6127" i="14"/>
  <c r="M6130" i="13"/>
  <c r="K5942" i="13" l="1"/>
  <c r="L5942" i="13" s="1"/>
  <c r="I5943" i="13" s="1"/>
  <c r="K5964" i="14"/>
  <c r="L5964" i="14" s="1"/>
  <c r="I5965" i="14" s="1"/>
  <c r="M6131" i="13"/>
  <c r="M6132" i="14"/>
  <c r="J6128" i="13" a="1"/>
  <c r="J6128" i="13" s="1"/>
  <c r="N6129" i="13"/>
  <c r="N6128" i="14"/>
  <c r="J6127" i="14" a="1"/>
  <c r="J6127" i="14" s="1"/>
  <c r="K5965" i="14" l="1"/>
  <c r="L5965" i="14" s="1"/>
  <c r="I5966" i="14" s="1"/>
  <c r="K5943" i="13"/>
  <c r="L5943" i="13" s="1"/>
  <c r="I5944" i="13" s="1"/>
  <c r="J6128" i="14" a="1"/>
  <c r="J6128" i="14" s="1"/>
  <c r="N6129" i="14"/>
  <c r="M6133" i="14"/>
  <c r="N6130" i="13"/>
  <c r="J6129" i="13" a="1"/>
  <c r="J6129" i="13" s="1"/>
  <c r="M6132" i="13"/>
  <c r="K5944" i="13" l="1"/>
  <c r="L5944" i="13" s="1"/>
  <c r="I5945" i="13" s="1"/>
  <c r="K5966" i="14"/>
  <c r="L5966" i="14" s="1"/>
  <c r="I5967" i="14" s="1"/>
  <c r="M6133" i="13"/>
  <c r="M6134" i="14"/>
  <c r="N6130" i="14"/>
  <c r="J6129" i="14" a="1"/>
  <c r="J6129" i="14" s="1"/>
  <c r="J6130" i="13" a="1"/>
  <c r="J6130" i="13" s="1"/>
  <c r="N6131" i="13"/>
  <c r="K5967" i="14" l="1"/>
  <c r="L5967" i="14" s="1"/>
  <c r="I5968" i="14" s="1"/>
  <c r="K5945" i="13"/>
  <c r="L5945" i="13" s="1"/>
  <c r="I5946" i="13" s="1"/>
  <c r="J6131" i="13" a="1"/>
  <c r="J6131" i="13" s="1"/>
  <c r="N6132" i="13"/>
  <c r="M6135" i="14"/>
  <c r="N6131" i="14"/>
  <c r="J6130" i="14" a="1"/>
  <c r="J6130" i="14" s="1"/>
  <c r="M6134" i="13"/>
  <c r="K5946" i="13" l="1"/>
  <c r="L5946" i="13" s="1"/>
  <c r="I5947" i="13" s="1"/>
  <c r="K5968" i="14"/>
  <c r="L5968" i="14" s="1"/>
  <c r="I5969" i="14" s="1"/>
  <c r="N6132" i="14"/>
  <c r="J6131" i="14" a="1"/>
  <c r="J6131" i="14" s="1"/>
  <c r="M6135" i="13"/>
  <c r="M6136" i="14"/>
  <c r="J6132" i="13" a="1"/>
  <c r="J6132" i="13" s="1"/>
  <c r="N6133" i="13"/>
  <c r="K5969" i="14" l="1"/>
  <c r="L5969" i="14" s="1"/>
  <c r="I5970" i="14" s="1"/>
  <c r="K5947" i="13"/>
  <c r="L5947" i="13" s="1"/>
  <c r="I5948" i="13" s="1"/>
  <c r="N6134" i="13"/>
  <c r="J6133" i="13" a="1"/>
  <c r="J6133" i="13" s="1"/>
  <c r="M6136" i="13"/>
  <c r="M6137" i="14"/>
  <c r="J6132" i="14" a="1"/>
  <c r="J6132" i="14" s="1"/>
  <c r="N6133" i="14"/>
  <c r="K5948" i="13" l="1"/>
  <c r="L5948" i="13" s="1"/>
  <c r="I5949" i="13" s="1"/>
  <c r="K5970" i="14"/>
  <c r="L5970" i="14" s="1"/>
  <c r="I5971" i="14" s="1"/>
  <c r="N6134" i="14"/>
  <c r="J6133" i="14" a="1"/>
  <c r="J6133" i="14" s="1"/>
  <c r="M6137" i="13"/>
  <c r="M6138" i="14"/>
  <c r="J6134" i="13" a="1"/>
  <c r="J6134" i="13" s="1"/>
  <c r="N6135" i="13"/>
  <c r="K5971" i="14" l="1"/>
  <c r="L5971" i="14" s="1"/>
  <c r="I5972" i="14" s="1"/>
  <c r="K5949" i="13"/>
  <c r="L5949" i="13" s="1"/>
  <c r="I5950" i="13" s="1"/>
  <c r="J6135" i="13" a="1"/>
  <c r="J6135" i="13" s="1"/>
  <c r="N6136" i="13"/>
  <c r="M6138" i="13"/>
  <c r="M6139" i="14"/>
  <c r="N6135" i="14"/>
  <c r="J6134" i="14" a="1"/>
  <c r="J6134" i="14" s="1"/>
  <c r="K5950" i="13" l="1"/>
  <c r="L5950" i="13" s="1"/>
  <c r="I5951" i="13" s="1"/>
  <c r="K5972" i="14"/>
  <c r="L5972" i="14" s="1"/>
  <c r="I5973" i="14" s="1"/>
  <c r="N6136" i="14"/>
  <c r="J6135" i="14" a="1"/>
  <c r="J6135" i="14" s="1"/>
  <c r="M6139" i="13"/>
  <c r="J6136" i="13" a="1"/>
  <c r="J6136" i="13" s="1"/>
  <c r="N6137" i="13"/>
  <c r="M6140" i="14"/>
  <c r="K5973" i="14" l="1"/>
  <c r="L5973" i="14" s="1"/>
  <c r="I5974" i="14" s="1"/>
  <c r="K5951" i="13"/>
  <c r="L5951" i="13" s="1"/>
  <c r="I5952" i="13" s="1"/>
  <c r="N6138" i="13"/>
  <c r="J6137" i="13" a="1"/>
  <c r="J6137" i="13" s="1"/>
  <c r="M6141" i="14"/>
  <c r="M6140" i="13"/>
  <c r="J6136" i="14" a="1"/>
  <c r="J6136" i="14" s="1"/>
  <c r="N6137" i="14"/>
  <c r="K5952" i="13" l="1"/>
  <c r="L5952" i="13" s="1"/>
  <c r="I5953" i="13" s="1"/>
  <c r="K5974" i="14"/>
  <c r="L5974" i="14" s="1"/>
  <c r="I5975" i="14" s="1"/>
  <c r="N6138" i="14"/>
  <c r="J6137" i="14" a="1"/>
  <c r="J6137" i="14" s="1"/>
  <c r="M6142" i="14"/>
  <c r="M6141" i="13"/>
  <c r="J6138" i="13" a="1"/>
  <c r="J6138" i="13" s="1"/>
  <c r="N6139" i="13"/>
  <c r="K5975" i="14" l="1"/>
  <c r="L5975" i="14" s="1"/>
  <c r="I5976" i="14" s="1"/>
  <c r="K5953" i="13"/>
  <c r="L5953" i="13" s="1"/>
  <c r="I5954" i="13" s="1"/>
  <c r="J6139" i="13" a="1"/>
  <c r="J6139" i="13" s="1"/>
  <c r="N6140" i="13"/>
  <c r="M6143" i="14"/>
  <c r="M6142" i="13"/>
  <c r="N6139" i="14"/>
  <c r="J6138" i="14" a="1"/>
  <c r="J6138" i="14" s="1"/>
  <c r="K5954" i="13" l="1"/>
  <c r="L5954" i="13" s="1"/>
  <c r="I5955" i="13" s="1"/>
  <c r="K5976" i="14"/>
  <c r="L5976" i="14" s="1"/>
  <c r="I5977" i="14" s="1"/>
  <c r="N6140" i="14"/>
  <c r="J6139" i="14" a="1"/>
  <c r="J6139" i="14" s="1"/>
  <c r="M6144" i="14"/>
  <c r="J6140" i="13" a="1"/>
  <c r="J6140" i="13" s="1"/>
  <c r="N6141" i="13"/>
  <c r="M6143" i="13"/>
  <c r="K5977" i="14" l="1"/>
  <c r="L5977" i="14" s="1"/>
  <c r="I5978" i="14" s="1"/>
  <c r="K5955" i="13"/>
  <c r="L5955" i="13" s="1"/>
  <c r="I5956" i="13" s="1"/>
  <c r="M6145" i="14"/>
  <c r="N6142" i="13"/>
  <c r="J6141" i="13" a="1"/>
  <c r="J6141" i="13" s="1"/>
  <c r="M6144" i="13"/>
  <c r="J6140" i="14" a="1"/>
  <c r="J6140" i="14" s="1"/>
  <c r="N6141" i="14"/>
  <c r="K5956" i="13" l="1"/>
  <c r="L5956" i="13" s="1"/>
  <c r="I5957" i="13" s="1"/>
  <c r="K5978" i="14"/>
  <c r="L5978" i="14" s="1"/>
  <c r="I5979" i="14" s="1"/>
  <c r="J6142" i="13" a="1"/>
  <c r="J6142" i="13" s="1"/>
  <c r="N6143" i="13"/>
  <c r="N6142" i="14"/>
  <c r="J6141" i="14" a="1"/>
  <c r="J6141" i="14" s="1"/>
  <c r="M6145" i="13"/>
  <c r="M6146" i="14"/>
  <c r="K5979" i="14" l="1"/>
  <c r="L5979" i="14" s="1"/>
  <c r="I5980" i="14" s="1"/>
  <c r="K5957" i="13"/>
  <c r="L5957" i="13" s="1"/>
  <c r="I5958" i="13" s="1"/>
  <c r="N6143" i="14"/>
  <c r="J6142" i="14" a="1"/>
  <c r="J6142" i="14" s="1"/>
  <c r="M6147" i="14"/>
  <c r="J6143" i="13" a="1"/>
  <c r="J6143" i="13" s="1"/>
  <c r="N6144" i="13"/>
  <c r="M6146" i="13"/>
  <c r="K5958" i="13" l="1"/>
  <c r="L5958" i="13" s="1"/>
  <c r="I5959" i="13" s="1"/>
  <c r="K5980" i="14"/>
  <c r="L5980" i="14" s="1"/>
  <c r="I5981" i="14" s="1"/>
  <c r="J6144" i="13" a="1"/>
  <c r="J6144" i="13" s="1"/>
  <c r="N6145" i="13"/>
  <c r="M6147" i="13"/>
  <c r="M6148" i="14"/>
  <c r="N6144" i="14"/>
  <c r="J6143" i="14" a="1"/>
  <c r="J6143" i="14" s="1"/>
  <c r="K5981" i="14" l="1"/>
  <c r="L5981" i="14" s="1"/>
  <c r="I5982" i="14" s="1"/>
  <c r="K5959" i="13"/>
  <c r="L5959" i="13" s="1"/>
  <c r="I5960" i="13" s="1"/>
  <c r="J6144" i="14" a="1"/>
  <c r="J6144" i="14" s="1"/>
  <c r="N6145" i="14"/>
  <c r="M6148" i="13"/>
  <c r="N6146" i="13"/>
  <c r="J6145" i="13" a="1"/>
  <c r="J6145" i="13" s="1"/>
  <c r="M6149" i="14"/>
  <c r="K5960" i="13" l="1"/>
  <c r="L5960" i="13" s="1"/>
  <c r="I5961" i="13" s="1"/>
  <c r="K5982" i="14"/>
  <c r="L5982" i="14" s="1"/>
  <c r="I5983" i="14" s="1"/>
  <c r="M6150" i="14"/>
  <c r="M6149" i="13"/>
  <c r="J6146" i="13" a="1"/>
  <c r="J6146" i="13" s="1"/>
  <c r="N6147" i="13"/>
  <c r="N6146" i="14"/>
  <c r="J6145" i="14" a="1"/>
  <c r="J6145" i="14" s="1"/>
  <c r="K5961" i="13" l="1"/>
  <c r="L5961" i="13" s="1"/>
  <c r="I5962" i="13" s="1"/>
  <c r="N6147" i="14"/>
  <c r="J6146" i="14" a="1"/>
  <c r="J6146" i="14" s="1"/>
  <c r="M6150" i="13"/>
  <c r="K5983" i="14"/>
  <c r="L5983" i="14" s="1"/>
  <c r="I5984" i="14" s="1"/>
  <c r="J6147" i="13" a="1"/>
  <c r="J6147" i="13" s="1"/>
  <c r="N6148" i="13"/>
  <c r="M6151" i="14"/>
  <c r="K5984" i="14" l="1"/>
  <c r="L5984" i="14" s="1"/>
  <c r="I5985" i="14" s="1"/>
  <c r="K5962" i="13"/>
  <c r="L5962" i="13" s="1"/>
  <c r="I5963" i="13" s="1"/>
  <c r="M6152" i="14"/>
  <c r="N6148" i="14"/>
  <c r="J6147" i="14" a="1"/>
  <c r="J6147" i="14" s="1"/>
  <c r="J6148" i="13" a="1"/>
  <c r="J6148" i="13" s="1"/>
  <c r="N6149" i="13"/>
  <c r="M6151" i="13"/>
  <c r="K5963" i="13" l="1"/>
  <c r="L5963" i="13" s="1"/>
  <c r="I5964" i="13" s="1"/>
  <c r="K5985" i="14"/>
  <c r="L5985" i="14" s="1"/>
  <c r="I5986" i="14" s="1"/>
  <c r="J6148" i="14" a="1"/>
  <c r="J6148" i="14" s="1"/>
  <c r="N6149" i="14"/>
  <c r="N6150" i="13"/>
  <c r="J6149" i="13" a="1"/>
  <c r="J6149" i="13" s="1"/>
  <c r="M6153" i="14"/>
  <c r="M6152" i="13"/>
  <c r="K5986" i="14" l="1"/>
  <c r="L5986" i="14" s="1"/>
  <c r="I5987" i="14" s="1"/>
  <c r="K5964" i="13"/>
  <c r="L5964" i="13" s="1"/>
  <c r="I5965" i="13" s="1"/>
  <c r="J6150" i="13" a="1"/>
  <c r="J6150" i="13" s="1"/>
  <c r="N6151" i="13"/>
  <c r="N6150" i="14"/>
  <c r="J6149" i="14" a="1"/>
  <c r="J6149" i="14" s="1"/>
  <c r="M6153" i="13"/>
  <c r="M6154" i="14"/>
  <c r="K5965" i="13" l="1"/>
  <c r="L5965" i="13" s="1"/>
  <c r="I5966" i="13" s="1"/>
  <c r="K5987" i="14"/>
  <c r="L5987" i="14" s="1"/>
  <c r="I5988" i="14" s="1"/>
  <c r="M6155" i="14"/>
  <c r="N6151" i="14"/>
  <c r="J6150" i="14" a="1"/>
  <c r="J6150" i="14" s="1"/>
  <c r="J6151" i="13" a="1"/>
  <c r="J6151" i="13" s="1"/>
  <c r="N6152" i="13"/>
  <c r="M6154" i="13"/>
  <c r="K5988" i="14" l="1"/>
  <c r="L5988" i="14" s="1"/>
  <c r="I5989" i="14" s="1"/>
  <c r="K5966" i="13"/>
  <c r="L5966" i="13" s="1"/>
  <c r="I5967" i="13" s="1"/>
  <c r="M6155" i="13"/>
  <c r="N6152" i="14"/>
  <c r="J6151" i="14" a="1"/>
  <c r="J6151" i="14" s="1"/>
  <c r="J6152" i="13" a="1"/>
  <c r="J6152" i="13" s="1"/>
  <c r="N6153" i="13"/>
  <c r="M6156" i="14"/>
  <c r="K5967" i="13" l="1"/>
  <c r="L5967" i="13" s="1"/>
  <c r="I5968" i="13" s="1"/>
  <c r="K5989" i="14"/>
  <c r="L5989" i="14" s="1"/>
  <c r="I5990" i="14" s="1"/>
  <c r="M6157" i="14"/>
  <c r="J6152" i="14" a="1"/>
  <c r="J6152" i="14" s="1"/>
  <c r="N6153" i="14"/>
  <c r="N6154" i="13"/>
  <c r="J6153" i="13" a="1"/>
  <c r="J6153" i="13" s="1"/>
  <c r="M6156" i="13"/>
  <c r="K5990" i="14" l="1"/>
  <c r="L5990" i="14" s="1"/>
  <c r="I5991" i="14" s="1"/>
  <c r="K5968" i="13"/>
  <c r="L5968" i="13" s="1"/>
  <c r="I5969" i="13" s="1"/>
  <c r="M6157" i="13"/>
  <c r="N6154" i="14"/>
  <c r="J6153" i="14" a="1"/>
  <c r="J6153" i="14" s="1"/>
  <c r="M6158" i="14"/>
  <c r="J6154" i="13" a="1"/>
  <c r="J6154" i="13" s="1"/>
  <c r="N6155" i="13"/>
  <c r="K5969" i="13" l="1"/>
  <c r="L5969" i="13" s="1"/>
  <c r="I5970" i="13" s="1"/>
  <c r="K5991" i="14"/>
  <c r="L5991" i="14" s="1"/>
  <c r="I5992" i="14" s="1"/>
  <c r="N6155" i="14"/>
  <c r="J6154" i="14" a="1"/>
  <c r="J6154" i="14" s="1"/>
  <c r="J6155" i="13" a="1"/>
  <c r="J6155" i="13" s="1"/>
  <c r="N6156" i="13"/>
  <c r="M6159" i="14"/>
  <c r="M6158" i="13"/>
  <c r="K5992" i="14" l="1"/>
  <c r="L5992" i="14" s="1"/>
  <c r="I5993" i="14" s="1"/>
  <c r="K5970" i="13"/>
  <c r="L5970" i="13" s="1"/>
  <c r="I5971" i="13" s="1"/>
  <c r="J6156" i="13" a="1"/>
  <c r="J6156" i="13" s="1"/>
  <c r="N6157" i="13"/>
  <c r="M6159" i="13"/>
  <c r="M6160" i="14"/>
  <c r="N6156" i="14"/>
  <c r="J6155" i="14" a="1"/>
  <c r="J6155" i="14" s="1"/>
  <c r="K5971" i="13" l="1"/>
  <c r="L5971" i="13" s="1"/>
  <c r="I5972" i="13" s="1"/>
  <c r="K5993" i="14"/>
  <c r="L5993" i="14" s="1"/>
  <c r="I5994" i="14" s="1"/>
  <c r="J6156" i="14" a="1"/>
  <c r="J6156" i="14" s="1"/>
  <c r="N6157" i="14"/>
  <c r="M6160" i="13"/>
  <c r="N6158" i="13"/>
  <c r="J6157" i="13" a="1"/>
  <c r="J6157" i="13" s="1"/>
  <c r="M6161" i="14"/>
  <c r="K5994" i="14" l="1"/>
  <c r="L5994" i="14" s="1"/>
  <c r="I5995" i="14" s="1"/>
  <c r="K5972" i="13"/>
  <c r="L5972" i="13" s="1"/>
  <c r="I5973" i="13" s="1"/>
  <c r="M6161" i="13"/>
  <c r="J6158" i="13" a="1"/>
  <c r="J6158" i="13" s="1"/>
  <c r="N6159" i="13"/>
  <c r="M6162" i="14"/>
  <c r="N6158" i="14"/>
  <c r="J6157" i="14" a="1"/>
  <c r="J6157" i="14" s="1"/>
  <c r="K5973" i="13" l="1"/>
  <c r="L5973" i="13" s="1"/>
  <c r="I5974" i="13" s="1"/>
  <c r="K5995" i="14"/>
  <c r="L5995" i="14" s="1"/>
  <c r="I5996" i="14" s="1"/>
  <c r="J6159" i="13" a="1"/>
  <c r="J6159" i="13" s="1"/>
  <c r="N6160" i="13"/>
  <c r="J6158" i="14" a="1"/>
  <c r="J6158" i="14" s="1"/>
  <c r="N6159" i="14"/>
  <c r="M6163" i="14"/>
  <c r="M6162" i="13"/>
  <c r="K5996" i="14" l="1"/>
  <c r="L5996" i="14" s="1"/>
  <c r="I5997" i="14" s="1"/>
  <c r="K5974" i="13"/>
  <c r="L5974" i="13" s="1"/>
  <c r="I5975" i="13" s="1"/>
  <c r="N6160" i="14"/>
  <c r="J6159" i="14" a="1"/>
  <c r="J6159" i="14" s="1"/>
  <c r="M6163" i="13"/>
  <c r="J6160" i="13" a="1"/>
  <c r="J6160" i="13" s="1"/>
  <c r="N6161" i="13"/>
  <c r="M6164" i="14"/>
  <c r="K5975" i="13" l="1"/>
  <c r="L5975" i="13" s="1"/>
  <c r="I5976" i="13" s="1"/>
  <c r="K5997" i="14"/>
  <c r="L5997" i="14" s="1"/>
  <c r="I5998" i="14" s="1"/>
  <c r="M6165" i="14"/>
  <c r="M6164" i="13"/>
  <c r="N6162" i="13"/>
  <c r="J6161" i="13" a="1"/>
  <c r="J6161" i="13" s="1"/>
  <c r="J6160" i="14" a="1"/>
  <c r="J6160" i="14" s="1"/>
  <c r="N6161" i="14"/>
  <c r="K5998" i="14" l="1"/>
  <c r="L5998" i="14" s="1"/>
  <c r="I5999" i="14" s="1"/>
  <c r="K5976" i="13"/>
  <c r="L5976" i="13" s="1"/>
  <c r="I5977" i="13" s="1"/>
  <c r="J6161" i="14" a="1"/>
  <c r="J6161" i="14" s="1"/>
  <c r="N6162" i="14"/>
  <c r="M6165" i="13"/>
  <c r="J6162" i="13" a="1"/>
  <c r="J6162" i="13" s="1"/>
  <c r="N6163" i="13"/>
  <c r="M6166" i="14"/>
  <c r="K5977" i="13" l="1"/>
  <c r="L5977" i="13" s="1"/>
  <c r="I5978" i="13" s="1"/>
  <c r="K5999" i="14"/>
  <c r="L5999" i="14" s="1"/>
  <c r="I6000" i="14" s="1"/>
  <c r="J6163" i="13" a="1"/>
  <c r="J6163" i="13" s="1"/>
  <c r="N6164" i="13"/>
  <c r="M6167" i="14"/>
  <c r="M6166" i="13"/>
  <c r="N6163" i="14"/>
  <c r="J6162" i="14" a="1"/>
  <c r="J6162" i="14" s="1"/>
  <c r="K6000" i="14" l="1"/>
  <c r="L6000" i="14" s="1"/>
  <c r="I6001" i="14" s="1"/>
  <c r="K5978" i="13"/>
  <c r="L5978" i="13" s="1"/>
  <c r="I5979" i="13" s="1"/>
  <c r="N6164" i="14"/>
  <c r="J6163" i="14" a="1"/>
  <c r="J6163" i="14" s="1"/>
  <c r="M6168" i="14"/>
  <c r="J6164" i="13" a="1"/>
  <c r="J6164" i="13" s="1"/>
  <c r="N6165" i="13"/>
  <c r="M6167" i="13"/>
  <c r="K5979" i="13" l="1"/>
  <c r="L5979" i="13" s="1"/>
  <c r="I5980" i="13" s="1"/>
  <c r="K6001" i="14"/>
  <c r="L6001" i="14" s="1"/>
  <c r="I6002" i="14" s="1"/>
  <c r="N6166" i="13"/>
  <c r="J6165" i="13" a="1"/>
  <c r="J6165" i="13" s="1"/>
  <c r="M6168" i="13"/>
  <c r="M6169" i="14"/>
  <c r="J6164" i="14" a="1"/>
  <c r="J6164" i="14" s="1"/>
  <c r="N6165" i="14"/>
  <c r="K6002" i="14" l="1"/>
  <c r="L6002" i="14" s="1"/>
  <c r="I6003" i="14" s="1"/>
  <c r="K5980" i="13"/>
  <c r="L5980" i="13" s="1"/>
  <c r="I5981" i="13" s="1"/>
  <c r="N6166" i="14"/>
  <c r="J6165" i="14" a="1"/>
  <c r="J6165" i="14" s="1"/>
  <c r="M6169" i="13"/>
  <c r="M6170" i="14"/>
  <c r="J6166" i="13" a="1"/>
  <c r="J6166" i="13" s="1"/>
  <c r="N6167" i="13"/>
  <c r="K5981" i="13" l="1"/>
  <c r="L5981" i="13" s="1"/>
  <c r="I5982" i="13" s="1"/>
  <c r="K6003" i="14"/>
  <c r="L6003" i="14" s="1"/>
  <c r="I6004" i="14" s="1"/>
  <c r="J6167" i="13" a="1"/>
  <c r="J6167" i="13" s="1"/>
  <c r="N6168" i="13"/>
  <c r="M6170" i="13"/>
  <c r="M6171" i="14"/>
  <c r="N6167" i="14"/>
  <c r="J6166" i="14" a="1"/>
  <c r="J6166" i="14" s="1"/>
  <c r="K6004" i="14" l="1"/>
  <c r="L6004" i="14" s="1"/>
  <c r="I6005" i="14" s="1"/>
  <c r="K5982" i="13"/>
  <c r="L5982" i="13" s="1"/>
  <c r="I5983" i="13" s="1"/>
  <c r="N6168" i="14"/>
  <c r="J6167" i="14" a="1"/>
  <c r="J6167" i="14" s="1"/>
  <c r="M6171" i="13"/>
  <c r="J6168" i="13" a="1"/>
  <c r="J6168" i="13" s="1"/>
  <c r="N6169" i="13"/>
  <c r="M6172" i="14"/>
  <c r="K5983" i="13" l="1"/>
  <c r="L5983" i="13" s="1"/>
  <c r="I5984" i="13" s="1"/>
  <c r="K6005" i="14"/>
  <c r="L6005" i="14" s="1"/>
  <c r="I6006" i="14" s="1"/>
  <c r="N6170" i="13"/>
  <c r="J6169" i="13" a="1"/>
  <c r="J6169" i="13" s="1"/>
  <c r="M6173" i="14"/>
  <c r="M6172" i="13"/>
  <c r="J6168" i="14" a="1"/>
  <c r="J6168" i="14" s="1"/>
  <c r="N6169" i="14"/>
  <c r="K6006" i="14" l="1"/>
  <c r="L6006" i="14" s="1"/>
  <c r="I6007" i="14" s="1"/>
  <c r="K5984" i="13"/>
  <c r="L5984" i="13" s="1"/>
  <c r="I5985" i="13" s="1"/>
  <c r="N6170" i="14"/>
  <c r="J6169" i="14" a="1"/>
  <c r="J6169" i="14" s="1"/>
  <c r="M6174" i="14"/>
  <c r="M6173" i="13"/>
  <c r="J6170" i="13" a="1"/>
  <c r="J6170" i="13" s="1"/>
  <c r="N6171" i="13"/>
  <c r="K5985" i="13" l="1"/>
  <c r="L5985" i="13" s="1"/>
  <c r="I5986" i="13" s="1"/>
  <c r="K6007" i="14"/>
  <c r="L6007" i="14" s="1"/>
  <c r="I6008" i="14" s="1"/>
  <c r="J6171" i="13" a="1"/>
  <c r="J6171" i="13" s="1"/>
  <c r="N6172" i="13"/>
  <c r="M6175" i="14"/>
  <c r="M6174" i="13"/>
  <c r="N6171" i="14"/>
  <c r="J6170" i="14" a="1"/>
  <c r="J6170" i="14" s="1"/>
  <c r="K6008" i="14" l="1"/>
  <c r="L6008" i="14" s="1"/>
  <c r="I6009" i="14" s="1"/>
  <c r="K5986" i="13"/>
  <c r="L5986" i="13" s="1"/>
  <c r="I5987" i="13" s="1"/>
  <c r="N6172" i="14"/>
  <c r="J6171" i="14" a="1"/>
  <c r="J6171" i="14" s="1"/>
  <c r="M6176" i="14"/>
  <c r="N6173" i="13"/>
  <c r="J6172" i="13" a="1"/>
  <c r="J6172" i="13" s="1"/>
  <c r="M6175" i="13"/>
  <c r="K5987" i="13" l="1"/>
  <c r="L5987" i="13" s="1"/>
  <c r="I5988" i="13" s="1"/>
  <c r="K6009" i="14"/>
  <c r="L6009" i="14" s="1"/>
  <c r="I6010" i="14" s="1"/>
  <c r="M6176" i="13"/>
  <c r="M6177" i="14"/>
  <c r="N6174" i="13"/>
  <c r="J6173" i="13" a="1"/>
  <c r="J6173" i="13" s="1"/>
  <c r="J6172" i="14" a="1"/>
  <c r="J6172" i="14" s="1"/>
  <c r="N6173" i="14"/>
  <c r="K6010" i="14" l="1"/>
  <c r="L6010" i="14" s="1"/>
  <c r="I6011" i="14" s="1"/>
  <c r="K5988" i="13"/>
  <c r="L5988" i="13" s="1"/>
  <c r="I5989" i="13" s="1"/>
  <c r="N6174" i="14"/>
  <c r="J6173" i="14" a="1"/>
  <c r="J6173" i="14" s="1"/>
  <c r="M6178" i="14"/>
  <c r="M6177" i="13"/>
  <c r="J6174" i="13" a="1"/>
  <c r="J6174" i="13" s="1"/>
  <c r="N6175" i="13"/>
  <c r="K5989" i="13" l="1"/>
  <c r="L5989" i="13" s="1"/>
  <c r="I5990" i="13" s="1"/>
  <c r="K6011" i="14"/>
  <c r="L6011" i="14" s="1"/>
  <c r="I6012" i="14" s="1"/>
  <c r="N6176" i="13"/>
  <c r="J6175" i="13" a="1"/>
  <c r="J6175" i="13" s="1"/>
  <c r="M6179" i="14"/>
  <c r="M6178" i="13"/>
  <c r="N6175" i="14"/>
  <c r="J6174" i="14" a="1"/>
  <c r="J6174" i="14" s="1"/>
  <c r="K6012" i="14" l="1"/>
  <c r="L6012" i="14" s="1"/>
  <c r="I6013" i="14" s="1"/>
  <c r="K5990" i="13"/>
  <c r="L5990" i="13" s="1"/>
  <c r="I5991" i="13" s="1"/>
  <c r="N6176" i="14"/>
  <c r="J6175" i="14" a="1"/>
  <c r="J6175" i="14" s="1"/>
  <c r="M6180" i="14"/>
  <c r="M6179" i="13"/>
  <c r="J6176" i="13" a="1"/>
  <c r="J6176" i="13" s="1"/>
  <c r="N6177" i="13"/>
  <c r="K5991" i="13" l="1"/>
  <c r="L5991" i="13" s="1"/>
  <c r="I5992" i="13" s="1"/>
  <c r="K6013" i="14"/>
  <c r="L6013" i="14" s="1"/>
  <c r="I6014" i="14" s="1"/>
  <c r="M6181" i="14"/>
  <c r="N6178" i="13"/>
  <c r="J6177" i="13" a="1"/>
  <c r="J6177" i="13" s="1"/>
  <c r="M6180" i="13"/>
  <c r="J6176" i="14" a="1"/>
  <c r="J6176" i="14" s="1"/>
  <c r="N6177" i="14"/>
  <c r="K6014" i="14" l="1"/>
  <c r="L6014" i="14" s="1"/>
  <c r="I6015" i="14" s="1"/>
  <c r="K5992" i="13"/>
  <c r="L5992" i="13" s="1"/>
  <c r="I5993" i="13" s="1"/>
  <c r="N6178" i="14"/>
  <c r="J6177" i="14" a="1"/>
  <c r="J6177" i="14" s="1"/>
  <c r="J6178" i="13" a="1"/>
  <c r="J6178" i="13" s="1"/>
  <c r="N6179" i="13"/>
  <c r="M6182" i="14"/>
  <c r="M6181" i="13"/>
  <c r="K5993" i="13" l="1"/>
  <c r="L5993" i="13" s="1"/>
  <c r="I5994" i="13" s="1"/>
  <c r="K6015" i="14"/>
  <c r="L6015" i="14" s="1"/>
  <c r="I6016" i="14" s="1"/>
  <c r="J6179" i="13" a="1"/>
  <c r="J6179" i="13" s="1"/>
  <c r="N6180" i="13"/>
  <c r="M6182" i="13"/>
  <c r="M6183" i="14"/>
  <c r="N6179" i="14"/>
  <c r="J6178" i="14" a="1"/>
  <c r="J6178" i="14" s="1"/>
  <c r="K6016" i="14" l="1"/>
  <c r="L6016" i="14" s="1"/>
  <c r="I6017" i="14" s="1"/>
  <c r="K5994" i="13"/>
  <c r="L5994" i="13" s="1"/>
  <c r="I5995" i="13" s="1"/>
  <c r="M6183" i="13"/>
  <c r="N6180" i="14"/>
  <c r="J6179" i="14" a="1"/>
  <c r="J6179" i="14" s="1"/>
  <c r="N6181" i="13"/>
  <c r="J6180" i="13" a="1"/>
  <c r="J6180" i="13" s="1"/>
  <c r="M6184" i="14"/>
  <c r="K5995" i="13" l="1"/>
  <c r="L5995" i="13" s="1"/>
  <c r="I5996" i="13" s="1"/>
  <c r="K6017" i="14"/>
  <c r="L6017" i="14" s="1"/>
  <c r="I6018" i="14" s="1"/>
  <c r="M6185" i="14"/>
  <c r="J6180" i="14" a="1"/>
  <c r="J6180" i="14" s="1"/>
  <c r="N6181" i="14"/>
  <c r="N6182" i="13"/>
  <c r="J6181" i="13" a="1"/>
  <c r="J6181" i="13" s="1"/>
  <c r="M6184" i="13"/>
  <c r="K6018" i="14" l="1"/>
  <c r="L6018" i="14" s="1"/>
  <c r="I6019" i="14" s="1"/>
  <c r="K5996" i="13"/>
  <c r="L5996" i="13" s="1"/>
  <c r="I5997" i="13" s="1"/>
  <c r="M6185" i="13"/>
  <c r="N6182" i="14"/>
  <c r="J6181" i="14" a="1"/>
  <c r="J6181" i="14" s="1"/>
  <c r="M6186" i="14"/>
  <c r="J6182" i="13" a="1"/>
  <c r="J6182" i="13" s="1"/>
  <c r="N6183" i="13"/>
  <c r="K5997" i="13" l="1"/>
  <c r="L5997" i="13" s="1"/>
  <c r="I5998" i="13" s="1"/>
  <c r="K6019" i="14"/>
  <c r="L6019" i="14" s="1"/>
  <c r="I6020" i="14" s="1"/>
  <c r="N6183" i="14"/>
  <c r="J6182" i="14" a="1"/>
  <c r="J6182" i="14" s="1"/>
  <c r="N6184" i="13"/>
  <c r="J6183" i="13" a="1"/>
  <c r="J6183" i="13" s="1"/>
  <c r="M6187" i="14"/>
  <c r="M6186" i="13"/>
  <c r="K6020" i="14" l="1"/>
  <c r="L6020" i="14" s="1"/>
  <c r="I6021" i="14" s="1"/>
  <c r="K5998" i="13"/>
  <c r="L5998" i="13" s="1"/>
  <c r="I5999" i="13" s="1"/>
  <c r="N6185" i="13"/>
  <c r="J6184" i="13" a="1"/>
  <c r="J6184" i="13" s="1"/>
  <c r="M6187" i="13"/>
  <c r="M6188" i="14"/>
  <c r="N6184" i="14"/>
  <c r="J6183" i="14" a="1"/>
  <c r="J6183" i="14" s="1"/>
  <c r="K5999" i="13" l="1"/>
  <c r="L5999" i="13" s="1"/>
  <c r="I6000" i="13" s="1"/>
  <c r="K6021" i="14"/>
  <c r="L6021" i="14" s="1"/>
  <c r="I6022" i="14" s="1"/>
  <c r="M6188" i="13"/>
  <c r="J6184" i="14" a="1"/>
  <c r="J6184" i="14" s="1"/>
  <c r="N6185" i="14"/>
  <c r="M6189" i="14"/>
  <c r="N6186" i="13"/>
  <c r="J6185" i="13" a="1"/>
  <c r="J6185" i="13" s="1"/>
  <c r="K6022" i="14" l="1"/>
  <c r="L6022" i="14" s="1"/>
  <c r="I6023" i="14" s="1"/>
  <c r="K6000" i="13"/>
  <c r="L6000" i="13" s="1"/>
  <c r="I6001" i="13" s="1"/>
  <c r="N6186" i="14"/>
  <c r="J6185" i="14" a="1"/>
  <c r="J6185" i="14" s="1"/>
  <c r="M6190" i="14"/>
  <c r="J6186" i="13" a="1"/>
  <c r="J6186" i="13" s="1"/>
  <c r="N6187" i="13"/>
  <c r="M6189" i="13"/>
  <c r="K6001" i="13" l="1"/>
  <c r="L6001" i="13" s="1"/>
  <c r="I6002" i="13" s="1"/>
  <c r="K6023" i="14"/>
  <c r="L6023" i="14" s="1"/>
  <c r="I6024" i="14" s="1"/>
  <c r="N6188" i="13"/>
  <c r="J6187" i="13" a="1"/>
  <c r="J6187" i="13" s="1"/>
  <c r="M6190" i="13"/>
  <c r="M6191" i="14"/>
  <c r="N6187" i="14"/>
  <c r="J6186" i="14" a="1"/>
  <c r="J6186" i="14" s="1"/>
  <c r="K6024" i="14" l="1"/>
  <c r="L6024" i="14" s="1"/>
  <c r="I6025" i="14" s="1"/>
  <c r="K6002" i="13"/>
  <c r="L6002" i="13" s="1"/>
  <c r="I6003" i="13" s="1"/>
  <c r="M6191" i="13"/>
  <c r="N6188" i="14"/>
  <c r="J6187" i="14" a="1"/>
  <c r="J6187" i="14" s="1"/>
  <c r="M6192" i="14"/>
  <c r="N6189" i="13"/>
  <c r="J6188" i="13" a="1"/>
  <c r="J6188" i="13" s="1"/>
  <c r="K6003" i="13" l="1"/>
  <c r="L6003" i="13" s="1"/>
  <c r="I6004" i="13" s="1"/>
  <c r="K6025" i="14"/>
  <c r="L6025" i="14" s="1"/>
  <c r="I6026" i="14" s="1"/>
  <c r="N6189" i="14"/>
  <c r="J6188" i="14" a="1"/>
  <c r="J6188" i="14" s="1"/>
  <c r="M6193" i="14"/>
  <c r="N6190" i="13"/>
  <c r="J6189" i="13" a="1"/>
  <c r="J6189" i="13" s="1"/>
  <c r="M6192" i="13"/>
  <c r="K6026" i="14" l="1"/>
  <c r="L6026" i="14" s="1"/>
  <c r="I6027" i="14" s="1"/>
  <c r="K6004" i="13"/>
  <c r="L6004" i="13" s="1"/>
  <c r="I6005" i="13" s="1"/>
  <c r="M6194" i="14"/>
  <c r="M6193" i="13"/>
  <c r="J6190" i="13" a="1"/>
  <c r="J6190" i="13" s="1"/>
  <c r="N6191" i="13"/>
  <c r="J6189" i="14" a="1"/>
  <c r="J6189" i="14" s="1"/>
  <c r="N6190" i="14"/>
  <c r="K6005" i="13" l="1"/>
  <c r="L6005" i="13" s="1"/>
  <c r="I6006" i="13" s="1"/>
  <c r="K6027" i="14"/>
  <c r="L6027" i="14" s="1"/>
  <c r="I6028" i="14" s="1"/>
  <c r="N6191" i="14"/>
  <c r="J6190" i="14" a="1"/>
  <c r="J6190" i="14" s="1"/>
  <c r="M6194" i="13"/>
  <c r="N6192" i="13"/>
  <c r="J6191" i="13" a="1"/>
  <c r="J6191" i="13" s="1"/>
  <c r="M6195" i="14"/>
  <c r="K6028" i="14" l="1"/>
  <c r="L6028" i="14" s="1"/>
  <c r="I6029" i="14" s="1"/>
  <c r="K6006" i="13"/>
  <c r="L6006" i="13" s="1"/>
  <c r="I6007" i="13" s="1"/>
  <c r="M6196" i="14"/>
  <c r="M6195" i="13"/>
  <c r="N6193" i="13"/>
  <c r="J6192" i="13" a="1"/>
  <c r="J6192" i="13" s="1"/>
  <c r="J6191" i="14" a="1"/>
  <c r="J6191" i="14" s="1"/>
  <c r="N6192" i="14"/>
  <c r="K6007" i="13" l="1"/>
  <c r="L6007" i="13" s="1"/>
  <c r="I6008" i="13" s="1"/>
  <c r="K6029" i="14"/>
  <c r="L6029" i="14" s="1"/>
  <c r="I6030" i="14" s="1"/>
  <c r="J6192" i="14" a="1"/>
  <c r="J6192" i="14" s="1"/>
  <c r="N6193" i="14"/>
  <c r="M6196" i="13"/>
  <c r="N6194" i="13"/>
  <c r="J6193" i="13" a="1"/>
  <c r="J6193" i="13" s="1"/>
  <c r="M6197" i="14"/>
  <c r="K6030" i="14" l="1"/>
  <c r="L6030" i="14" s="1"/>
  <c r="I6031" i="14" s="1"/>
  <c r="K6008" i="13"/>
  <c r="L6008" i="13" s="1"/>
  <c r="I6009" i="13" s="1"/>
  <c r="M6198" i="14"/>
  <c r="M6197" i="13"/>
  <c r="J6194" i="13" a="1"/>
  <c r="J6194" i="13" s="1"/>
  <c r="N6195" i="13"/>
  <c r="J6193" i="14" a="1"/>
  <c r="J6193" i="14" s="1"/>
  <c r="N6194" i="14"/>
  <c r="K6009" i="13" l="1"/>
  <c r="L6009" i="13" s="1"/>
  <c r="I6010" i="13" s="1"/>
  <c r="K6031" i="14"/>
  <c r="L6031" i="14" s="1"/>
  <c r="I6032" i="14" s="1"/>
  <c r="N6195" i="14"/>
  <c r="J6194" i="14" a="1"/>
  <c r="J6194" i="14" s="1"/>
  <c r="M6198" i="13"/>
  <c r="N6196" i="13"/>
  <c r="J6195" i="13" a="1"/>
  <c r="J6195" i="13" s="1"/>
  <c r="M6199" i="14"/>
  <c r="K6032" i="14" l="1"/>
  <c r="L6032" i="14" s="1"/>
  <c r="I6033" i="14" s="1"/>
  <c r="K6010" i="13"/>
  <c r="L6010" i="13" s="1"/>
  <c r="I6011" i="13" s="1"/>
  <c r="M6199" i="13"/>
  <c r="N6197" i="13"/>
  <c r="J6196" i="13" a="1"/>
  <c r="J6196" i="13" s="1"/>
  <c r="M6200" i="14"/>
  <c r="J6195" i="14" a="1"/>
  <c r="J6195" i="14" s="1"/>
  <c r="N6196" i="14"/>
  <c r="K6011" i="13" l="1"/>
  <c r="L6011" i="13" s="1"/>
  <c r="I6012" i="13" s="1"/>
  <c r="K6033" i="14"/>
  <c r="L6033" i="14" s="1"/>
  <c r="I6034" i="14" s="1"/>
  <c r="N6198" i="13"/>
  <c r="J6197" i="13" a="1"/>
  <c r="J6197" i="13" s="1"/>
  <c r="J6196" i="14" a="1"/>
  <c r="J6196" i="14" s="1"/>
  <c r="N6197" i="14"/>
  <c r="M6201" i="14"/>
  <c r="M6200" i="13"/>
  <c r="K6034" i="14" l="1"/>
  <c r="L6034" i="14" s="1"/>
  <c r="I6035" i="14" s="1"/>
  <c r="K6012" i="13"/>
  <c r="L6012" i="13" s="1"/>
  <c r="I6013" i="13" s="1"/>
  <c r="M6201" i="13"/>
  <c r="J6197" i="14" a="1"/>
  <c r="J6197" i="14" s="1"/>
  <c r="N6198" i="14"/>
  <c r="M6202" i="14"/>
  <c r="J6198" i="13" a="1"/>
  <c r="J6198" i="13" s="1"/>
  <c r="N6199" i="13"/>
  <c r="K6013" i="13" l="1"/>
  <c r="L6013" i="13" s="1"/>
  <c r="I6014" i="13" s="1"/>
  <c r="K6035" i="14"/>
  <c r="L6035" i="14" s="1"/>
  <c r="I6036" i="14" s="1"/>
  <c r="N6199" i="14"/>
  <c r="J6198" i="14" a="1"/>
  <c r="J6198" i="14" s="1"/>
  <c r="N6200" i="13"/>
  <c r="J6199" i="13" a="1"/>
  <c r="J6199" i="13" s="1"/>
  <c r="M6203" i="14"/>
  <c r="M6202" i="13"/>
  <c r="K6036" i="14" l="1"/>
  <c r="L6036" i="14" s="1"/>
  <c r="I6037" i="14" s="1"/>
  <c r="K6014" i="13"/>
  <c r="L6014" i="13" s="1"/>
  <c r="I6015" i="13" s="1"/>
  <c r="N6201" i="13"/>
  <c r="J6200" i="13" a="1"/>
  <c r="J6200" i="13" s="1"/>
  <c r="M6203" i="13"/>
  <c r="M6204" i="14"/>
  <c r="J6199" i="14" a="1"/>
  <c r="J6199" i="14" s="1"/>
  <c r="N6200" i="14"/>
  <c r="K6015" i="13" l="1"/>
  <c r="L6015" i="13" s="1"/>
  <c r="I6016" i="13" s="1"/>
  <c r="J6200" i="14" a="1"/>
  <c r="J6200" i="14" s="1"/>
  <c r="N6201" i="14"/>
  <c r="M6204" i="13"/>
  <c r="M6205" i="14"/>
  <c r="N6202" i="13"/>
  <c r="J6201" i="13" a="1"/>
  <c r="J6201" i="13" s="1"/>
  <c r="K6037" i="14"/>
  <c r="L6037" i="14" s="1"/>
  <c r="I6038" i="14" s="1"/>
  <c r="K6038" i="14" l="1"/>
  <c r="L6038" i="14" s="1"/>
  <c r="I6039" i="14" s="1"/>
  <c r="K6016" i="13"/>
  <c r="L6016" i="13" s="1"/>
  <c r="I6017" i="13" s="1"/>
  <c r="M6206" i="14"/>
  <c r="N6202" i="14"/>
  <c r="J6201" i="14" a="1"/>
  <c r="J6201" i="14" s="1"/>
  <c r="M6205" i="13"/>
  <c r="J6202" i="13" a="1"/>
  <c r="J6202" i="13" s="1"/>
  <c r="N6203" i="13"/>
  <c r="K6039" i="14" l="1"/>
  <c r="L6039" i="14" s="1"/>
  <c r="I6040" i="14" s="1"/>
  <c r="N6204" i="13"/>
  <c r="J6203" i="13" a="1"/>
  <c r="J6203" i="13" s="1"/>
  <c r="N6203" i="14"/>
  <c r="J6202" i="14" a="1"/>
  <c r="J6202" i="14" s="1"/>
  <c r="K6017" i="13"/>
  <c r="L6017" i="13" s="1"/>
  <c r="I6018" i="13" s="1"/>
  <c r="M6206" i="13"/>
  <c r="M6207" i="14"/>
  <c r="K6040" i="14" l="1"/>
  <c r="L6040" i="14" s="1"/>
  <c r="I6041" i="14" s="1"/>
  <c r="M6208" i="14"/>
  <c r="N6205" i="13"/>
  <c r="J6204" i="13" a="1"/>
  <c r="J6204" i="13" s="1"/>
  <c r="M6207" i="13"/>
  <c r="K6018" i="13"/>
  <c r="L6018" i="13" s="1"/>
  <c r="I6019" i="13" s="1"/>
  <c r="J6203" i="14" a="1"/>
  <c r="J6203" i="14" s="1"/>
  <c r="N6204" i="14"/>
  <c r="K6019" i="13" l="1"/>
  <c r="L6019" i="13" s="1"/>
  <c r="I6020" i="13" s="1"/>
  <c r="K6041" i="14"/>
  <c r="L6041" i="14" s="1"/>
  <c r="I6042" i="14" s="1"/>
  <c r="N6205" i="14"/>
  <c r="J6204" i="14" a="1"/>
  <c r="J6204" i="14" s="1"/>
  <c r="M6208" i="13"/>
  <c r="M6209" i="14"/>
  <c r="N6206" i="13"/>
  <c r="J6205" i="13" a="1"/>
  <c r="J6205" i="13" s="1"/>
  <c r="K6020" i="13" l="1"/>
  <c r="L6020" i="13" s="1"/>
  <c r="I6021" i="13" s="1"/>
  <c r="M6209" i="13"/>
  <c r="K6042" i="14"/>
  <c r="L6042" i="14" s="1"/>
  <c r="I6043" i="14" s="1"/>
  <c r="M6210" i="14"/>
  <c r="J6206" i="13" a="1"/>
  <c r="J6206" i="13" s="1"/>
  <c r="N6207" i="13"/>
  <c r="N6206" i="14"/>
  <c r="J6205" i="14" a="1"/>
  <c r="J6205" i="14" s="1"/>
  <c r="K6043" i="14" l="1"/>
  <c r="L6043" i="14" s="1"/>
  <c r="I6044" i="14" s="1"/>
  <c r="K6021" i="13"/>
  <c r="L6021" i="13" s="1"/>
  <c r="I6022" i="13" s="1"/>
  <c r="N6207" i="14"/>
  <c r="J6206" i="14" a="1"/>
  <c r="J6206" i="14" s="1"/>
  <c r="M6211" i="14"/>
  <c r="M6210" i="13"/>
  <c r="N6208" i="13"/>
  <c r="J6207" i="13" a="1"/>
  <c r="J6207" i="13" s="1"/>
  <c r="K6022" i="13" l="1"/>
  <c r="L6022" i="13" s="1"/>
  <c r="I6023" i="13" s="1"/>
  <c r="K6044" i="14"/>
  <c r="L6044" i="14" s="1"/>
  <c r="I6045" i="14" s="1"/>
  <c r="N6209" i="13"/>
  <c r="J6208" i="13" a="1"/>
  <c r="J6208" i="13" s="1"/>
  <c r="M6212" i="14"/>
  <c r="M6211" i="13"/>
  <c r="J6207" i="14" a="1"/>
  <c r="J6207" i="14" s="1"/>
  <c r="N6208" i="14"/>
  <c r="K6045" i="14" l="1"/>
  <c r="L6045" i="14" s="1"/>
  <c r="I6046" i="14" s="1"/>
  <c r="K6023" i="13"/>
  <c r="L6023" i="13" s="1"/>
  <c r="I6024" i="13" s="1"/>
  <c r="N6209" i="14"/>
  <c r="J6208" i="14" a="1"/>
  <c r="J6208" i="14" s="1"/>
  <c r="M6213" i="14"/>
  <c r="M6212" i="13"/>
  <c r="N6210" i="13"/>
  <c r="J6209" i="13" a="1"/>
  <c r="J6209" i="13" s="1"/>
  <c r="K6024" i="13" l="1"/>
  <c r="L6024" i="13" s="1"/>
  <c r="I6025" i="13" s="1"/>
  <c r="K6046" i="14"/>
  <c r="L6046" i="14" s="1"/>
  <c r="I6047" i="14" s="1"/>
  <c r="M6214" i="14"/>
  <c r="J6210" i="13" a="1"/>
  <c r="J6210" i="13" s="1"/>
  <c r="N6211" i="13"/>
  <c r="M6213" i="13"/>
  <c r="N6210" i="14"/>
  <c r="J6209" i="14" a="1"/>
  <c r="J6209" i="14" s="1"/>
  <c r="K6025" i="13" l="1"/>
  <c r="L6025" i="13" s="1"/>
  <c r="I6026" i="13" s="1"/>
  <c r="N6212" i="13"/>
  <c r="J6211" i="13" a="1"/>
  <c r="J6211" i="13" s="1"/>
  <c r="K6047" i="14"/>
  <c r="L6047" i="14" s="1"/>
  <c r="I6048" i="14" s="1"/>
  <c r="N6211" i="14"/>
  <c r="J6210" i="14" a="1"/>
  <c r="J6210" i="14" s="1"/>
  <c r="M6214" i="13"/>
  <c r="M6215" i="14"/>
  <c r="K6048" i="14" l="1"/>
  <c r="L6048" i="14" s="1"/>
  <c r="I6049" i="14" s="1"/>
  <c r="K6026" i="13"/>
  <c r="L6026" i="13" s="1"/>
  <c r="I6027" i="13" s="1"/>
  <c r="M6216" i="14"/>
  <c r="N6213" i="13"/>
  <c r="J6212" i="13" a="1"/>
  <c r="J6212" i="13" s="1"/>
  <c r="J6211" i="14" a="1"/>
  <c r="J6211" i="14" s="1"/>
  <c r="N6212" i="14"/>
  <c r="M6215" i="13"/>
  <c r="K6027" i="13" l="1"/>
  <c r="L6027" i="13" s="1"/>
  <c r="I6028" i="13" s="1"/>
  <c r="K6049" i="14"/>
  <c r="L6049" i="14" s="1"/>
  <c r="I6050" i="14" s="1"/>
  <c r="N6214" i="13"/>
  <c r="J6213" i="13" a="1"/>
  <c r="J6213" i="13" s="1"/>
  <c r="N6213" i="14"/>
  <c r="J6212" i="14" a="1"/>
  <c r="J6212" i="14" s="1"/>
  <c r="M6217" i="14"/>
  <c r="M6216" i="13"/>
  <c r="K6050" i="14" l="1"/>
  <c r="L6050" i="14" s="1"/>
  <c r="I6051" i="14" s="1"/>
  <c r="K6028" i="13"/>
  <c r="L6028" i="13" s="1"/>
  <c r="I6029" i="13" s="1"/>
  <c r="N6214" i="14"/>
  <c r="J6213" i="14" a="1"/>
  <c r="J6213" i="14" s="1"/>
  <c r="M6217" i="13"/>
  <c r="M6218" i="14"/>
  <c r="J6214" i="13" a="1"/>
  <c r="J6214" i="13" s="1"/>
  <c r="N6215" i="13"/>
  <c r="K6029" i="13" l="1"/>
  <c r="L6029" i="13" s="1"/>
  <c r="I6030" i="13" s="1"/>
  <c r="K6051" i="14"/>
  <c r="L6051" i="14" s="1"/>
  <c r="I6052" i="14" s="1"/>
  <c r="N6216" i="13"/>
  <c r="J6215" i="13" a="1"/>
  <c r="J6215" i="13" s="1"/>
  <c r="M6218" i="13"/>
  <c r="M6219" i="14"/>
  <c r="N6215" i="14"/>
  <c r="J6214" i="14" a="1"/>
  <c r="J6214" i="14" s="1"/>
  <c r="K6052" i="14" l="1"/>
  <c r="L6052" i="14" s="1"/>
  <c r="I6053" i="14" s="1"/>
  <c r="K6030" i="13"/>
  <c r="L6030" i="13" s="1"/>
  <c r="I6031" i="13" s="1"/>
  <c r="J6215" i="14" a="1"/>
  <c r="J6215" i="14" s="1"/>
  <c r="N6216" i="14"/>
  <c r="M6219" i="13"/>
  <c r="M6220" i="14"/>
  <c r="N6217" i="13"/>
  <c r="J6216" i="13" a="1"/>
  <c r="J6216" i="13" s="1"/>
  <c r="K6031" i="13" l="1"/>
  <c r="L6031" i="13" s="1"/>
  <c r="I6032" i="13" s="1"/>
  <c r="K6053" i="14"/>
  <c r="L6053" i="14" s="1"/>
  <c r="I6054" i="14" s="1"/>
  <c r="M6220" i="13"/>
  <c r="N6218" i="13"/>
  <c r="J6217" i="13" a="1"/>
  <c r="J6217" i="13" s="1"/>
  <c r="N6217" i="14"/>
  <c r="J6216" i="14" a="1"/>
  <c r="J6216" i="14" s="1"/>
  <c r="M6221" i="14"/>
  <c r="K6054" i="14" l="1"/>
  <c r="L6054" i="14" s="1"/>
  <c r="I6055" i="14" s="1"/>
  <c r="K6032" i="13"/>
  <c r="L6032" i="13" s="1"/>
  <c r="I6033" i="13" s="1"/>
  <c r="M6222" i="14"/>
  <c r="J6218" i="13" a="1"/>
  <c r="J6218" i="13" s="1"/>
  <c r="N6219" i="13"/>
  <c r="M6221" i="13"/>
  <c r="N6218" i="14"/>
  <c r="J6217" i="14" a="1"/>
  <c r="J6217" i="14" s="1"/>
  <c r="K6033" i="13" l="1"/>
  <c r="L6033" i="13" s="1"/>
  <c r="I6034" i="13" s="1"/>
  <c r="K6055" i="14"/>
  <c r="L6055" i="14" s="1"/>
  <c r="I6056" i="14" s="1"/>
  <c r="N6220" i="13"/>
  <c r="J6219" i="13" a="1"/>
  <c r="J6219" i="13" s="1"/>
  <c r="N6219" i="14"/>
  <c r="J6218" i="14" a="1"/>
  <c r="J6218" i="14" s="1"/>
  <c r="M6222" i="13"/>
  <c r="M6223" i="14"/>
  <c r="K6056" i="14" l="1"/>
  <c r="L6056" i="14" s="1"/>
  <c r="I6057" i="14" s="1"/>
  <c r="K6034" i="13"/>
  <c r="L6034" i="13" s="1"/>
  <c r="I6035" i="13" s="1"/>
  <c r="J6219" i="14" a="1"/>
  <c r="J6219" i="14" s="1"/>
  <c r="N6220" i="14"/>
  <c r="M6224" i="14"/>
  <c r="M6223" i="13"/>
  <c r="N6221" i="13"/>
  <c r="J6220" i="13" a="1"/>
  <c r="J6220" i="13" s="1"/>
  <c r="K6035" i="13" l="1"/>
  <c r="L6035" i="13" s="1"/>
  <c r="I6036" i="13" s="1"/>
  <c r="K6057" i="14"/>
  <c r="L6057" i="14" s="1"/>
  <c r="I6058" i="14" s="1"/>
  <c r="N6222" i="13"/>
  <c r="J6221" i="13" a="1"/>
  <c r="J6221" i="13" s="1"/>
  <c r="M6225" i="14"/>
  <c r="J6220" i="14" a="1"/>
  <c r="J6220" i="14" s="1"/>
  <c r="N6221" i="14"/>
  <c r="M6224" i="13"/>
  <c r="K6058" i="14" l="1"/>
  <c r="L6058" i="14" s="1"/>
  <c r="I6059" i="14" s="1"/>
  <c r="K6036" i="13"/>
  <c r="L6036" i="13" s="1"/>
  <c r="I6037" i="13" s="1"/>
  <c r="M6225" i="13"/>
  <c r="M6226" i="14"/>
  <c r="N6222" i="14"/>
  <c r="J6221" i="14" a="1"/>
  <c r="J6221" i="14" s="1"/>
  <c r="J6222" i="13" a="1"/>
  <c r="J6222" i="13" s="1"/>
  <c r="N6223" i="13"/>
  <c r="K6037" i="13" l="1"/>
  <c r="L6037" i="13" s="1"/>
  <c r="I6038" i="13" s="1"/>
  <c r="K6059" i="14"/>
  <c r="L6059" i="14" s="1"/>
  <c r="I6060" i="14" s="1"/>
  <c r="N6224" i="13"/>
  <c r="J6223" i="13" a="1"/>
  <c r="J6223" i="13" s="1"/>
  <c r="M6227" i="14"/>
  <c r="N6223" i="14"/>
  <c r="J6222" i="14" a="1"/>
  <c r="J6222" i="14" s="1"/>
  <c r="M6226" i="13"/>
  <c r="K6060" i="14" l="1"/>
  <c r="L6060" i="14" s="1"/>
  <c r="I6061" i="14" s="1"/>
  <c r="K6038" i="13"/>
  <c r="L6038" i="13" s="1"/>
  <c r="I6039" i="13" s="1"/>
  <c r="M6227" i="13"/>
  <c r="M6228" i="14"/>
  <c r="J6223" i="14" a="1"/>
  <c r="J6223" i="14" s="1"/>
  <c r="N6224" i="14"/>
  <c r="J6224" i="13" a="1"/>
  <c r="J6224" i="13" s="1"/>
  <c r="N6225" i="13"/>
  <c r="K6039" i="13" l="1"/>
  <c r="L6039" i="13" s="1"/>
  <c r="I6040" i="13" s="1"/>
  <c r="K6061" i="14"/>
  <c r="L6061" i="14" s="1"/>
  <c r="I6062" i="14" s="1"/>
  <c r="N6226" i="13"/>
  <c r="J6225" i="13" a="1"/>
  <c r="J6225" i="13" s="1"/>
  <c r="M6229" i="14"/>
  <c r="J6224" i="14" a="1"/>
  <c r="J6224" i="14" s="1"/>
  <c r="N6225" i="14"/>
  <c r="M6228" i="13"/>
  <c r="K6062" i="14" l="1"/>
  <c r="L6062" i="14" s="1"/>
  <c r="I6063" i="14" s="1"/>
  <c r="K6040" i="13"/>
  <c r="L6040" i="13" s="1"/>
  <c r="I6041" i="13" s="1"/>
  <c r="M6229" i="13"/>
  <c r="M6230" i="14"/>
  <c r="N6226" i="14"/>
  <c r="J6225" i="14" a="1"/>
  <c r="J6225" i="14" s="1"/>
  <c r="J6226" i="13" a="1"/>
  <c r="J6226" i="13" s="1"/>
  <c r="N6227" i="13"/>
  <c r="K6041" i="13" l="1"/>
  <c r="L6041" i="13" s="1"/>
  <c r="I6042" i="13" s="1"/>
  <c r="K6063" i="14"/>
  <c r="L6063" i="14" s="1"/>
  <c r="I6064" i="14" s="1"/>
  <c r="J6227" i="13" a="1"/>
  <c r="J6227" i="13" s="1"/>
  <c r="N6228" i="13"/>
  <c r="M6231" i="14"/>
  <c r="N6227" i="14"/>
  <c r="J6226" i="14" a="1"/>
  <c r="J6226" i="14" s="1"/>
  <c r="M6230" i="13"/>
  <c r="K6064" i="14" l="1"/>
  <c r="L6064" i="14" s="1"/>
  <c r="I6065" i="14" s="1"/>
  <c r="K6042" i="13"/>
  <c r="L6042" i="13" s="1"/>
  <c r="I6043" i="13" s="1"/>
  <c r="M6231" i="13"/>
  <c r="J6227" i="14" a="1"/>
  <c r="J6227" i="14" s="1"/>
  <c r="N6228" i="14"/>
  <c r="M6232" i="14"/>
  <c r="N6229" i="13"/>
  <c r="J6228" i="13" a="1"/>
  <c r="J6228" i="13" s="1"/>
  <c r="K6043" i="13" l="1"/>
  <c r="L6043" i="13" s="1"/>
  <c r="I6044" i="13" s="1"/>
  <c r="K6065" i="14"/>
  <c r="L6065" i="14" s="1"/>
  <c r="I6066" i="14" s="1"/>
  <c r="J6228" i="14" a="1"/>
  <c r="J6228" i="14" s="1"/>
  <c r="N6229" i="14"/>
  <c r="N6230" i="13"/>
  <c r="J6229" i="13" a="1"/>
  <c r="J6229" i="13" s="1"/>
  <c r="M6233" i="14"/>
  <c r="M6232" i="13"/>
  <c r="K6066" i="14" l="1"/>
  <c r="L6066" i="14" s="1"/>
  <c r="I6067" i="14" s="1"/>
  <c r="K6044" i="13"/>
  <c r="L6044" i="13" s="1"/>
  <c r="I6045" i="13" s="1"/>
  <c r="J6230" i="13" a="1"/>
  <c r="J6230" i="13" s="1"/>
  <c r="N6231" i="13"/>
  <c r="M6233" i="13"/>
  <c r="M6234" i="14"/>
  <c r="N6230" i="14"/>
  <c r="J6229" i="14" a="1"/>
  <c r="J6229" i="14" s="1"/>
  <c r="K6045" i="13" l="1"/>
  <c r="L6045" i="13" s="1"/>
  <c r="I6046" i="13" s="1"/>
  <c r="K6067" i="14"/>
  <c r="L6067" i="14" s="1"/>
  <c r="I6068" i="14" s="1"/>
  <c r="N6231" i="14"/>
  <c r="J6230" i="14" a="1"/>
  <c r="J6230" i="14" s="1"/>
  <c r="M6234" i="13"/>
  <c r="N6232" i="13"/>
  <c r="J6231" i="13" a="1"/>
  <c r="J6231" i="13" s="1"/>
  <c r="M6235" i="14"/>
  <c r="K6068" i="14" l="1"/>
  <c r="L6068" i="14" s="1"/>
  <c r="I6069" i="14" s="1"/>
  <c r="K6046" i="13"/>
  <c r="L6046" i="13" s="1"/>
  <c r="I6047" i="13" s="1"/>
  <c r="M6236" i="14"/>
  <c r="M6235" i="13"/>
  <c r="N6233" i="13"/>
  <c r="J6232" i="13" a="1"/>
  <c r="J6232" i="13" s="1"/>
  <c r="J6231" i="14" a="1"/>
  <c r="J6231" i="14" s="1"/>
  <c r="N6232" i="14"/>
  <c r="K6047" i="13" l="1"/>
  <c r="L6047" i="13" s="1"/>
  <c r="I6048" i="13" s="1"/>
  <c r="K6069" i="14"/>
  <c r="L6069" i="14" s="1"/>
  <c r="I6070" i="14" s="1"/>
  <c r="N6233" i="14"/>
  <c r="J6232" i="14" a="1"/>
  <c r="J6232" i="14" s="1"/>
  <c r="M6236" i="13"/>
  <c r="M6237" i="14"/>
  <c r="N6234" i="13"/>
  <c r="J6233" i="13" a="1"/>
  <c r="J6233" i="13" s="1"/>
  <c r="K6070" i="14" l="1"/>
  <c r="L6070" i="14" s="1"/>
  <c r="I6071" i="14" s="1"/>
  <c r="K6048" i="13"/>
  <c r="L6048" i="13" s="1"/>
  <c r="I6049" i="13" s="1"/>
  <c r="M6237" i="13"/>
  <c r="J6234" i="13" a="1"/>
  <c r="J6234" i="13" s="1"/>
  <c r="N6235" i="13"/>
  <c r="M6238" i="14"/>
  <c r="J6233" i="14" a="1"/>
  <c r="J6233" i="14" s="1"/>
  <c r="N6234" i="14"/>
  <c r="K6049" i="13" l="1"/>
  <c r="L6049" i="13" s="1"/>
  <c r="I6050" i="13" s="1"/>
  <c r="K6071" i="14"/>
  <c r="L6071" i="14" s="1"/>
  <c r="I6072" i="14" s="1"/>
  <c r="N6236" i="13"/>
  <c r="J6235" i="13" a="1"/>
  <c r="J6235" i="13" s="1"/>
  <c r="N6235" i="14"/>
  <c r="J6234" i="14" a="1"/>
  <c r="J6234" i="14" s="1"/>
  <c r="M6239" i="14"/>
  <c r="M6238" i="13"/>
  <c r="K6050" i="13" l="1"/>
  <c r="L6050" i="13" s="1"/>
  <c r="I6051" i="13" s="1"/>
  <c r="M6239" i="13"/>
  <c r="J6235" i="14" a="1"/>
  <c r="J6235" i="14" s="1"/>
  <c r="N6236" i="14"/>
  <c r="K6072" i="14"/>
  <c r="L6072" i="14" s="1"/>
  <c r="I6073" i="14" s="1"/>
  <c r="M6240" i="14"/>
  <c r="N6237" i="13"/>
  <c r="J6236" i="13" a="1"/>
  <c r="J6236" i="13" s="1"/>
  <c r="K6051" i="13" l="1"/>
  <c r="L6051" i="13" s="1"/>
  <c r="I6052" i="13" s="1"/>
  <c r="M6240" i="13"/>
  <c r="N6238" i="13"/>
  <c r="J6237" i="13" a="1"/>
  <c r="J6237" i="13" s="1"/>
  <c r="K6073" i="14"/>
  <c r="L6073" i="14" s="1"/>
  <c r="I6074" i="14" s="1"/>
  <c r="J6236" i="14" a="1"/>
  <c r="J6236" i="14" s="1"/>
  <c r="N6237" i="14"/>
  <c r="M6241" i="14"/>
  <c r="K6074" i="14" l="1"/>
  <c r="L6074" i="14" s="1"/>
  <c r="I6075" i="14" s="1"/>
  <c r="K6052" i="13"/>
  <c r="L6052" i="13" s="1"/>
  <c r="I6053" i="13" s="1"/>
  <c r="M6242" i="14"/>
  <c r="M6241" i="13"/>
  <c r="J6237" i="14" a="1"/>
  <c r="J6237" i="14" s="1"/>
  <c r="N6238" i="14"/>
  <c r="J6238" i="13" a="1"/>
  <c r="J6238" i="13" s="1"/>
  <c r="N6239" i="13"/>
  <c r="K6053" i="13" l="1"/>
  <c r="L6053" i="13" s="1"/>
  <c r="I6054" i="13" s="1"/>
  <c r="K6075" i="14"/>
  <c r="L6075" i="14" s="1"/>
  <c r="I6076" i="14" s="1"/>
  <c r="N6240" i="13"/>
  <c r="J6239" i="13" a="1"/>
  <c r="J6239" i="13" s="1"/>
  <c r="M6242" i="13"/>
  <c r="N6239" i="14"/>
  <c r="J6238" i="14" a="1"/>
  <c r="J6238" i="14" s="1"/>
  <c r="M6243" i="14"/>
  <c r="K6076" i="14" l="1"/>
  <c r="L6076" i="14" s="1"/>
  <c r="I6077" i="14" s="1"/>
  <c r="K6054" i="13"/>
  <c r="L6054" i="13" s="1"/>
  <c r="I6055" i="13" s="1"/>
  <c r="M6243" i="13"/>
  <c r="M6244" i="14"/>
  <c r="J6239" i="14" a="1"/>
  <c r="J6239" i="14" s="1"/>
  <c r="N6240" i="14"/>
  <c r="J6240" i="13" a="1"/>
  <c r="J6240" i="13" s="1"/>
  <c r="N6241" i="13"/>
  <c r="K6055" i="13" l="1"/>
  <c r="L6055" i="13" s="1"/>
  <c r="I6056" i="13" s="1"/>
  <c r="K6077" i="14"/>
  <c r="L6077" i="14" s="1"/>
  <c r="I6078" i="14" s="1"/>
  <c r="N6242" i="13"/>
  <c r="J6241" i="13" a="1"/>
  <c r="J6241" i="13" s="1"/>
  <c r="M6245" i="14"/>
  <c r="J6240" i="14" a="1"/>
  <c r="J6240" i="14" s="1"/>
  <c r="N6241" i="14"/>
  <c r="M6244" i="13"/>
  <c r="K6078" i="14" l="1"/>
  <c r="L6078" i="14" s="1"/>
  <c r="I6079" i="14" s="1"/>
  <c r="K6056" i="13"/>
  <c r="L6056" i="13" s="1"/>
  <c r="I6057" i="13" s="1"/>
  <c r="J6241" i="14" a="1"/>
  <c r="J6241" i="14" s="1"/>
  <c r="N6242" i="14"/>
  <c r="M6245" i="13"/>
  <c r="M6246" i="14"/>
  <c r="J6242" i="13" a="1"/>
  <c r="J6242" i="13" s="1"/>
  <c r="N6243" i="13"/>
  <c r="K6057" i="13" l="1"/>
  <c r="L6057" i="13" s="1"/>
  <c r="I6058" i="13" s="1"/>
  <c r="K6079" i="14"/>
  <c r="L6079" i="14" s="1"/>
  <c r="I6080" i="14" s="1"/>
  <c r="J6243" i="13" a="1"/>
  <c r="J6243" i="13" s="1"/>
  <c r="N6244" i="13"/>
  <c r="M6246" i="13"/>
  <c r="N6243" i="14"/>
  <c r="J6242" i="14" a="1"/>
  <c r="J6242" i="14" s="1"/>
  <c r="M6247" i="14"/>
  <c r="K6080" i="14" l="1"/>
  <c r="L6080" i="14" s="1"/>
  <c r="I6081" i="14" s="1"/>
  <c r="K6058" i="13"/>
  <c r="L6058" i="13" s="1"/>
  <c r="I6059" i="13" s="1"/>
  <c r="M6247" i="13"/>
  <c r="M6248" i="14"/>
  <c r="N6245" i="13"/>
  <c r="J6244" i="13" a="1"/>
  <c r="J6244" i="13" s="1"/>
  <c r="J6243" i="14" a="1"/>
  <c r="J6243" i="14" s="1"/>
  <c r="N6244" i="14"/>
  <c r="K6059" i="13" l="1"/>
  <c r="L6059" i="13" s="1"/>
  <c r="I6060" i="13" s="1"/>
  <c r="K6081" i="14"/>
  <c r="L6081" i="14" s="1"/>
  <c r="I6082" i="14" s="1"/>
  <c r="M6249" i="14"/>
  <c r="N6245" i="14"/>
  <c r="J6244" i="14" a="1"/>
  <c r="J6244" i="14" s="1"/>
  <c r="N6246" i="13"/>
  <c r="J6245" i="13" a="1"/>
  <c r="J6245" i="13" s="1"/>
  <c r="M6248" i="13"/>
  <c r="K6082" i="14" l="1"/>
  <c r="L6082" i="14" s="1"/>
  <c r="I6083" i="14" s="1"/>
  <c r="K6060" i="13"/>
  <c r="L6060" i="13" s="1"/>
  <c r="I6061" i="13" s="1"/>
  <c r="N6246" i="14"/>
  <c r="J6245" i="14" a="1"/>
  <c r="J6245" i="14" s="1"/>
  <c r="M6250" i="14"/>
  <c r="M6249" i="13"/>
  <c r="J6246" i="13" a="1"/>
  <c r="J6246" i="13" s="1"/>
  <c r="N6247" i="13"/>
  <c r="K6061" i="13" l="1"/>
  <c r="L6061" i="13" s="1"/>
  <c r="I6062" i="13" s="1"/>
  <c r="K6083" i="14"/>
  <c r="L6083" i="14" s="1"/>
  <c r="I6084" i="14" s="1"/>
  <c r="N6248" i="13"/>
  <c r="J6247" i="13" a="1"/>
  <c r="J6247" i="13" s="1"/>
  <c r="M6250" i="13"/>
  <c r="N6247" i="14"/>
  <c r="J6246" i="14" a="1"/>
  <c r="J6246" i="14" s="1"/>
  <c r="K6084" i="14" l="1"/>
  <c r="L6084" i="14" s="1"/>
  <c r="I6085" i="14" s="1"/>
  <c r="K6062" i="13"/>
  <c r="L6062" i="13" s="1"/>
  <c r="I6063" i="13" s="1"/>
  <c r="J6247" i="14" a="1"/>
  <c r="J6247" i="14" s="1"/>
  <c r="N6248" i="14"/>
  <c r="N6249" i="13"/>
  <c r="J6248" i="13" a="1"/>
  <c r="J6248" i="13" s="1"/>
  <c r="K6063" i="13" l="1"/>
  <c r="L6063" i="13" s="1"/>
  <c r="I6064" i="13" s="1"/>
  <c r="K6085" i="14"/>
  <c r="L6085" i="14" s="1"/>
  <c r="I6086" i="14" s="1"/>
  <c r="N6250" i="13"/>
  <c r="J6249" i="13" a="1"/>
  <c r="J6249" i="13" s="1"/>
  <c r="J6248" i="14" a="1"/>
  <c r="J6248" i="14" s="1"/>
  <c r="N6249" i="14"/>
  <c r="K6086" i="14" l="1"/>
  <c r="L6086" i="14" s="1"/>
  <c r="I6087" i="14" s="1"/>
  <c r="K6064" i="13"/>
  <c r="L6064" i="13" s="1"/>
  <c r="I6065" i="13" s="1"/>
  <c r="N6250" i="14"/>
  <c r="J6249" i="14" a="1"/>
  <c r="J6249" i="14" s="1"/>
  <c r="J6250" i="13" a="1"/>
  <c r="J6250" i="13" s="1"/>
  <c r="Q103" i="10" a="1"/>
  <c r="Q103" i="10" s="1"/>
  <c r="Q880" i="10" a="1"/>
  <c r="Q880" i="10" s="1"/>
  <c r="Q1151" i="10" a="1"/>
  <c r="Q1151" i="10" s="1"/>
  <c r="Q23" i="10" a="1"/>
  <c r="Q23" i="10" s="1"/>
  <c r="Q612" i="10" a="1"/>
  <c r="Q612" i="10" s="1"/>
  <c r="Q707" i="10" a="1"/>
  <c r="Q707" i="10" s="1"/>
  <c r="Q290" i="10" a="1"/>
  <c r="Q290" i="10" s="1"/>
  <c r="Q621" i="10" a="1"/>
  <c r="Q621" i="10" s="1"/>
  <c r="Q864" i="10" a="1"/>
  <c r="Q864" i="10" s="1"/>
  <c r="Q1171" i="10" a="1"/>
  <c r="Q1171" i="10" s="1"/>
  <c r="Q311" i="10" a="1"/>
  <c r="Q311" i="10" s="1"/>
  <c r="Q204" i="10" a="1"/>
  <c r="Q204" i="10" s="1"/>
  <c r="Q438" i="10" a="1"/>
  <c r="Q438" i="10" s="1"/>
  <c r="Q394" i="10" a="1"/>
  <c r="Q394" i="10" s="1"/>
  <c r="Q34" i="10" a="1"/>
  <c r="Q34" i="10" s="1"/>
  <c r="Q608" i="10" a="1"/>
  <c r="Q608" i="10" s="1"/>
  <c r="Q479" i="10" a="1"/>
  <c r="Q479" i="10" s="1"/>
  <c r="Q117" i="10" a="1"/>
  <c r="Q117" i="10" s="1"/>
  <c r="Q1005" i="10" a="1"/>
  <c r="Q1005" i="10" s="1"/>
  <c r="Q373" i="10" a="1"/>
  <c r="Q373" i="10" s="1"/>
  <c r="Q535" i="10" a="1"/>
  <c r="Q535" i="10" s="1"/>
  <c r="Q947" i="10" a="1"/>
  <c r="Q947" i="10" s="1"/>
  <c r="Q368" i="10" a="1"/>
  <c r="Q368" i="10" s="1"/>
  <c r="Q1058" i="10" a="1"/>
  <c r="Q1058" i="10" s="1"/>
  <c r="Q223" i="10" a="1"/>
  <c r="Q223" i="10" s="1"/>
  <c r="Q521" i="10" a="1"/>
  <c r="Q521" i="10" s="1"/>
  <c r="Q100" i="10" a="1"/>
  <c r="Q100" i="10" s="1"/>
  <c r="Q839" i="10" a="1"/>
  <c r="Q839" i="10" s="1"/>
  <c r="Q694" i="10" a="1"/>
  <c r="Q694" i="10" s="1"/>
  <c r="Q1066" i="10" a="1"/>
  <c r="Q1066" i="10" s="1"/>
  <c r="Q451" i="10" a="1"/>
  <c r="Q451" i="10" s="1"/>
  <c r="Q624" i="10" a="1"/>
  <c r="Q624" i="10" s="1"/>
  <c r="Q205" i="10" a="1"/>
  <c r="Q205" i="10" s="1"/>
  <c r="Q460" i="10" a="1"/>
  <c r="Q460" i="10" s="1"/>
  <c r="Q1012" i="10" a="1"/>
  <c r="Q1012" i="10" s="1"/>
  <c r="Q777" i="10" a="1"/>
  <c r="Q777" i="10" s="1"/>
  <c r="Q691" i="10" a="1"/>
  <c r="Q691" i="10" s="1"/>
  <c r="Q299" i="10" a="1"/>
  <c r="Q299" i="10" s="1"/>
  <c r="Q798" i="10" a="1"/>
  <c r="Q798" i="10" s="1"/>
  <c r="Q804" i="10" a="1"/>
  <c r="Q804" i="10" s="1"/>
  <c r="Q511" i="10" a="1"/>
  <c r="Q511" i="10" s="1"/>
  <c r="Q727" i="10" a="1"/>
  <c r="Q727" i="10" s="1"/>
  <c r="Q1132" i="10" a="1"/>
  <c r="Q1132" i="10" s="1"/>
  <c r="Q781" i="10" a="1"/>
  <c r="Q781" i="10" s="1"/>
  <c r="Q960" i="10" a="1"/>
  <c r="Q960" i="10" s="1"/>
  <c r="Q538" i="10" a="1"/>
  <c r="Q538" i="10" s="1"/>
  <c r="Q811" i="10" a="1"/>
  <c r="Q811" i="10" s="1"/>
  <c r="Q704" i="10" a="1"/>
  <c r="Q704" i="10" s="1"/>
  <c r="Q569" i="10" a="1"/>
  <c r="Q569" i="10" s="1"/>
  <c r="Q617" i="10" a="1"/>
  <c r="Q617" i="10" s="1"/>
  <c r="Q313" i="10" a="1"/>
  <c r="Q313" i="10" s="1"/>
  <c r="Q105" i="10" a="1"/>
  <c r="Q105" i="10" s="1"/>
  <c r="Q483" i="10" a="1"/>
  <c r="Q483" i="10" s="1"/>
  <c r="Q456" i="10" a="1"/>
  <c r="Q456" i="10" s="1"/>
  <c r="Q43" i="10" a="1"/>
  <c r="Q43" i="10" s="1"/>
  <c r="Q787" i="10" a="1"/>
  <c r="Q787" i="10" s="1"/>
  <c r="Q1139" i="10" a="1"/>
  <c r="Q1139" i="10" s="1"/>
  <c r="Q141" i="10" a="1"/>
  <c r="Q141" i="10" s="1"/>
  <c r="Q370" i="10" a="1"/>
  <c r="Q370" i="10" s="1"/>
  <c r="Q909" i="10" a="1"/>
  <c r="Q909" i="10" s="1"/>
  <c r="Q879" i="10" a="1"/>
  <c r="Q879" i="10" s="1"/>
  <c r="Q428" i="10" a="1"/>
  <c r="Q428" i="10" s="1"/>
  <c r="Q367" i="10" a="1"/>
  <c r="Q367" i="10" s="1"/>
  <c r="Q660" i="10" a="1"/>
  <c r="Q660" i="10" s="1"/>
  <c r="Q230" i="10" a="1"/>
  <c r="Q230" i="10" s="1"/>
  <c r="Q712" i="10" a="1"/>
  <c r="Q712" i="10" s="1"/>
  <c r="Q435" i="10" a="1"/>
  <c r="Q435" i="10" s="1"/>
  <c r="Q1153" i="10" a="1"/>
  <c r="Q1153" i="10" s="1"/>
  <c r="Q972" i="10" a="1"/>
  <c r="Q972" i="10" s="1"/>
  <c r="Q195" i="10" a="1"/>
  <c r="Q195" i="10" s="1"/>
  <c r="Q1101" i="10" a="1"/>
  <c r="Q1101" i="10" s="1"/>
  <c r="Q1062" i="10" a="1"/>
  <c r="Q1062" i="10" s="1"/>
  <c r="Q828" i="10" a="1"/>
  <c r="Q828" i="10" s="1"/>
  <c r="Q957" i="10" a="1"/>
  <c r="Q957" i="10" s="1"/>
  <c r="Q246" i="10" a="1"/>
  <c r="Q246" i="10" s="1"/>
  <c r="Q1055" i="10" a="1"/>
  <c r="Q1055" i="10" s="1"/>
  <c r="Q900" i="10" a="1"/>
  <c r="Q900" i="10" s="1"/>
  <c r="Q764" i="10" a="1"/>
  <c r="Q764" i="10" s="1"/>
  <c r="Q477" i="10" a="1"/>
  <c r="Q477" i="10" s="1"/>
  <c r="Q661" i="10" a="1"/>
  <c r="Q661" i="10" s="1"/>
  <c r="Q495" i="10" a="1"/>
  <c r="Q495" i="10" s="1"/>
  <c r="Q1001" i="10" a="1"/>
  <c r="Q1001" i="10" s="1"/>
  <c r="Q812" i="10" a="1"/>
  <c r="Q812" i="10" s="1"/>
  <c r="Q154" i="10" a="1"/>
  <c r="Q154" i="10" s="1"/>
  <c r="Q358" i="10" a="1"/>
  <c r="Q358" i="10" s="1"/>
  <c r="Q37" i="10" a="1"/>
  <c r="Q37" i="10" s="1"/>
  <c r="Q778" i="10" a="1"/>
  <c r="Q778" i="10" s="1"/>
  <c r="Q566" i="10" a="1"/>
  <c r="Q566" i="10" s="1"/>
  <c r="Q588" i="10" a="1"/>
  <c r="Q588" i="10" s="1"/>
  <c r="Q250" i="10" a="1"/>
  <c r="Q250" i="10" s="1"/>
  <c r="Q941" i="10" a="1"/>
  <c r="Q941" i="10" s="1"/>
  <c r="Q690" i="10" a="1"/>
  <c r="Q690" i="10" s="1"/>
  <c r="Q762" i="10" a="1"/>
  <c r="Q762" i="10" s="1"/>
  <c r="Q751" i="10" a="1"/>
  <c r="Q751" i="10" s="1"/>
  <c r="Q320" i="10" a="1"/>
  <c r="Q320" i="10" s="1"/>
  <c r="Q330" i="10" a="1"/>
  <c r="Q330" i="10" s="1"/>
  <c r="Q562" i="10" a="1"/>
  <c r="Q562" i="10" s="1"/>
  <c r="Q128" i="10" a="1"/>
  <c r="Q128" i="10" s="1"/>
  <c r="Q20" i="10" a="1"/>
  <c r="Q20" i="10" s="1"/>
  <c r="Q789" i="10" a="1"/>
  <c r="Q789" i="10" s="1"/>
  <c r="Q419" i="10" a="1"/>
  <c r="Q419" i="10" s="1"/>
  <c r="Q1137" i="10" a="1"/>
  <c r="Q1137" i="10" s="1"/>
  <c r="Q869" i="10" a="1"/>
  <c r="Q869" i="10" s="1"/>
  <c r="Q32" i="10" a="1"/>
  <c r="Q32" i="10" s="1"/>
  <c r="Q340" i="10" a="1"/>
  <c r="Q340" i="10" s="1"/>
  <c r="Q821" i="10" a="1"/>
  <c r="Q821" i="10" s="1"/>
  <c r="Q643" i="10" a="1"/>
  <c r="Q643" i="10" s="1"/>
  <c r="Q201" i="10" a="1"/>
  <c r="Q201" i="10" s="1"/>
  <c r="Q1077" i="10" a="1"/>
  <c r="Q1077" i="10" s="1"/>
  <c r="Q700" i="10" a="1"/>
  <c r="Q700" i="10" s="1"/>
  <c r="Q565" i="10" a="1"/>
  <c r="Q565" i="10" s="1"/>
  <c r="Q339" i="10" a="1"/>
  <c r="Q339" i="10" s="1"/>
  <c r="Q889" i="10" a="1"/>
  <c r="Q889" i="10" s="1"/>
  <c r="Q60" i="10" a="1"/>
  <c r="Q60" i="10" s="1"/>
  <c r="Q212" i="10" a="1"/>
  <c r="Q212" i="10" s="1"/>
  <c r="Q585" i="10" a="1"/>
  <c r="Q585" i="10" s="1"/>
  <c r="Q287" i="10" a="1"/>
  <c r="Q287" i="10" s="1"/>
  <c r="Q1121" i="10" a="1"/>
  <c r="Q1121" i="10" s="1"/>
  <c r="Q944" i="10" a="1"/>
  <c r="Q944" i="10" s="1"/>
  <c r="Q860" i="10" a="1"/>
  <c r="Q860" i="10" s="1"/>
  <c r="Q1110" i="10" a="1"/>
  <c r="Q1110" i="10" s="1"/>
  <c r="Q720" i="10" a="1"/>
  <c r="Q720" i="10" s="1"/>
  <c r="Q1028" i="10" a="1"/>
  <c r="Q1028" i="10" s="1"/>
  <c r="Q127" i="10" a="1"/>
  <c r="Q127" i="10" s="1"/>
  <c r="Q898" i="10" a="1"/>
  <c r="Q898" i="10" s="1"/>
  <c r="Q784" i="10" a="1"/>
  <c r="Q784" i="10" s="1"/>
  <c r="Q557" i="10" a="1"/>
  <c r="Q557" i="10" s="1"/>
  <c r="Q210" i="10" a="1"/>
  <c r="Q210" i="10" s="1"/>
  <c r="Q1075" i="10" a="1"/>
  <c r="Q1075" i="10" s="1"/>
  <c r="Q228" i="10" a="1"/>
  <c r="Q228" i="10" s="1"/>
  <c r="Q757" i="10" a="1"/>
  <c r="Q757" i="10" s="1"/>
  <c r="Q835" i="10" a="1"/>
  <c r="Q835" i="10" s="1"/>
  <c r="Q285" i="10" a="1"/>
  <c r="Q285" i="10" s="1"/>
  <c r="Q1024" i="10" a="1"/>
  <c r="Q1024" i="10" s="1"/>
  <c r="Q35" i="10" a="1"/>
  <c r="Q35" i="10" s="1"/>
  <c r="Q71" i="10" a="1"/>
  <c r="Q71" i="10" s="1"/>
  <c r="Q1157" i="10" a="1"/>
  <c r="Q1157" i="10" s="1"/>
  <c r="Q988" i="10" a="1"/>
  <c r="Q988" i="10" s="1"/>
  <c r="Q845" i="10" a="1"/>
  <c r="Q845" i="10" s="1"/>
  <c r="Q214" i="10" a="1"/>
  <c r="Q214" i="10" s="1"/>
  <c r="Q108" i="10" a="1"/>
  <c r="Q108" i="10" s="1"/>
  <c r="Q68" i="10" a="1"/>
  <c r="Q68" i="10" s="1"/>
  <c r="Q505" i="10" a="1"/>
  <c r="Q505" i="10" s="1"/>
  <c r="Q188" i="10" a="1"/>
  <c r="Q188" i="10" s="1"/>
  <c r="Q551" i="10" a="1"/>
  <c r="Q551" i="10" s="1"/>
  <c r="Q53" i="10" a="1"/>
  <c r="Q53" i="10" s="1"/>
  <c r="Q52" i="10" a="1"/>
  <c r="Q52" i="10" s="1"/>
  <c r="Q800" i="10" a="1"/>
  <c r="Q800" i="10" s="1"/>
  <c r="Q797" i="10" a="1"/>
  <c r="Q797" i="10" s="1"/>
  <c r="Q847" i="10" a="1"/>
  <c r="Q847" i="10" s="1"/>
  <c r="Q836" i="10" a="1"/>
  <c r="Q836" i="10" s="1"/>
  <c r="Q349" i="10" a="1"/>
  <c r="Q349" i="10" s="1"/>
  <c r="Q146" i="10" a="1"/>
  <c r="Q146" i="10" s="1"/>
  <c r="Q1011" i="10" a="1"/>
  <c r="Q1011" i="10" s="1"/>
  <c r="Q663" i="10" a="1"/>
  <c r="Q663" i="10" s="1"/>
  <c r="Q437" i="10" a="1"/>
  <c r="Q437" i="10" s="1"/>
  <c r="Q259" i="10" a="1"/>
  <c r="Q259" i="10" s="1"/>
  <c r="Q82" i="10" a="1"/>
  <c r="Q82" i="10" s="1"/>
  <c r="Q595" i="10" a="1"/>
  <c r="Q595" i="10" s="1"/>
  <c r="Q834" i="10" a="1"/>
  <c r="Q834" i="10" s="1"/>
  <c r="Q412" i="10" a="1"/>
  <c r="Q412" i="10" s="1"/>
  <c r="Q471" i="10" a="1"/>
  <c r="Q471" i="10" s="1"/>
  <c r="Q213" i="10" a="1"/>
  <c r="Q213" i="10" s="1"/>
  <c r="Q99" i="10" a="1"/>
  <c r="Q99" i="10" s="1"/>
  <c r="Q870" i="10" a="1"/>
  <c r="Q870" i="10" s="1"/>
  <c r="Q636" i="10" a="1"/>
  <c r="Q636" i="10" s="1"/>
  <c r="Q381" i="10" a="1"/>
  <c r="Q381" i="10" s="1"/>
  <c r="Q54" i="10" a="1"/>
  <c r="Q54" i="10" s="1"/>
  <c r="Q76" i="10" a="1"/>
  <c r="Q76" i="10" s="1"/>
  <c r="Q39" i="10" a="1"/>
  <c r="Q39" i="10" s="1"/>
  <c r="Q1008" i="10" a="1"/>
  <c r="Q1008" i="10" s="1"/>
  <c r="Q517" i="10" a="1"/>
  <c r="Q517" i="10" s="1"/>
  <c r="Q276" i="10" a="1"/>
  <c r="Q276" i="10" s="1"/>
  <c r="Q138" i="10" a="1"/>
  <c r="Q138" i="10" s="1"/>
  <c r="Q403" i="10" a="1"/>
  <c r="Q403" i="10" s="1"/>
  <c r="Q1044" i="10" a="1"/>
  <c r="Q1044" i="10" s="1"/>
  <c r="Q50" i="10" a="1"/>
  <c r="Q50" i="10" s="1"/>
  <c r="Q723" i="10" a="1"/>
  <c r="Q723" i="10" s="1"/>
  <c r="Q1127" i="10" a="1"/>
  <c r="Q1127" i="10" s="1"/>
  <c r="Q364" i="10" a="1"/>
  <c r="Q364" i="10" s="1"/>
  <c r="Q580" i="10" a="1"/>
  <c r="Q580" i="10" s="1"/>
  <c r="Q761" i="10" a="1"/>
  <c r="Q761" i="10" s="1"/>
  <c r="Q527" i="10" a="1"/>
  <c r="Q527" i="10" s="1"/>
  <c r="Q1135" i="10" a="1"/>
  <c r="Q1135" i="10" s="1"/>
  <c r="Q544" i="10" a="1"/>
  <c r="Q544" i="10" s="1"/>
  <c r="Q397" i="10" a="1"/>
  <c r="Q397" i="10" s="1"/>
  <c r="Q226" i="10" a="1"/>
  <c r="Q226" i="10" s="1"/>
  <c r="Q48" i="10" a="1"/>
  <c r="Q48" i="10" s="1"/>
  <c r="Q323" i="10" a="1"/>
  <c r="Q323" i="10" s="1"/>
  <c r="Q1106" i="10" a="1"/>
  <c r="Q1106" i="10" s="1"/>
  <c r="Q256" i="10" a="1"/>
  <c r="Q256" i="10" s="1"/>
  <c r="Q903" i="10" a="1"/>
  <c r="Q903" i="10" s="1"/>
  <c r="Q498" i="10" a="1"/>
  <c r="Q498" i="10" s="1"/>
  <c r="Q918" i="10" a="1"/>
  <c r="Q918" i="10" s="1"/>
  <c r="Q476" i="10" a="1"/>
  <c r="Q476" i="10" s="1"/>
  <c r="Q676" i="10" a="1"/>
  <c r="Q676" i="10" s="1"/>
  <c r="Q809" i="10" a="1"/>
  <c r="Q809" i="10" s="1"/>
  <c r="Q703" i="10" a="1"/>
  <c r="Q703" i="10" s="1"/>
  <c r="Q119" i="10" a="1"/>
  <c r="Q119" i="10" s="1"/>
  <c r="Q1104" i="10" a="1"/>
  <c r="Q1104" i="10" s="1"/>
  <c r="Q883" i="10" a="1"/>
  <c r="Q883" i="10" s="1"/>
  <c r="Q151" i="10" a="1"/>
  <c r="Q151" i="10" s="1"/>
  <c r="Q1125" i="10" a="1"/>
  <c r="Q1125" i="10" s="1"/>
  <c r="Q282" i="10" a="1"/>
  <c r="Q282" i="10" s="1"/>
  <c r="Q546" i="10" a="1"/>
  <c r="Q546" i="10" s="1"/>
  <c r="Q1020" i="10" a="1"/>
  <c r="Q1020" i="10" s="1"/>
  <c r="Q730" i="10" a="1"/>
  <c r="Q730" i="10" s="1"/>
  <c r="Q42" i="10" a="1"/>
  <c r="Q42" i="10" s="1"/>
  <c r="Q402" i="10" a="1"/>
  <c r="Q402" i="10" s="1"/>
  <c r="Q160" i="10" a="1"/>
  <c r="Q160" i="10" s="1"/>
  <c r="Q84" i="10" a="1"/>
  <c r="Q84" i="10" s="1"/>
  <c r="Q693" i="10" a="1"/>
  <c r="Q693" i="10" s="1"/>
  <c r="Q515" i="10" a="1"/>
  <c r="Q515" i="10" s="1"/>
  <c r="Q850" i="10" a="1"/>
  <c r="Q850" i="10" s="1"/>
  <c r="Q1107" i="10" a="1"/>
  <c r="Q1107" i="10" s="1"/>
  <c r="Q375" i="10" a="1"/>
  <c r="Q375" i="10" s="1"/>
  <c r="Q69" i="10" a="1"/>
  <c r="Q69" i="10" s="1"/>
  <c r="Q1015" i="10" a="1"/>
  <c r="Q1015" i="10" s="1"/>
  <c r="Q469" i="10" a="1"/>
  <c r="Q469" i="10" s="1"/>
  <c r="Q355" i="10" a="1"/>
  <c r="Q355" i="10" s="1"/>
  <c r="Q1120" i="10" a="1"/>
  <c r="Q1120" i="10" s="1"/>
  <c r="Q892" i="10" a="1"/>
  <c r="Q892" i="10" s="1"/>
  <c r="Q26" i="10" a="1"/>
  <c r="Q26" i="10" s="1"/>
  <c r="Q310" i="10" a="1"/>
  <c r="Q310" i="10" s="1"/>
  <c r="Q332" i="10" a="1"/>
  <c r="Q332" i="10" s="1"/>
  <c r="Q881" i="10" a="1"/>
  <c r="Q881" i="10" s="1"/>
  <c r="Q1136" i="10" a="1"/>
  <c r="Q1136" i="10" s="1"/>
  <c r="Q773" i="10" a="1"/>
  <c r="Q773" i="10" s="1"/>
  <c r="Q740" i="10" a="1"/>
  <c r="Q740" i="10" s="1"/>
  <c r="Q967" i="10" a="1"/>
  <c r="Q967" i="10" s="1"/>
  <c r="Q887" i="10" a="1"/>
  <c r="Q887" i="10" s="1"/>
  <c r="Q383" i="10" a="1"/>
  <c r="Q383" i="10" s="1"/>
  <c r="Q234" i="10" a="1"/>
  <c r="Q234" i="10" s="1"/>
  <c r="Q724" i="10" a="1"/>
  <c r="Q724" i="10" s="1"/>
  <c r="Q338" i="10" a="1"/>
  <c r="Q338" i="10" s="1"/>
  <c r="Q242" i="10" a="1"/>
  <c r="Q242" i="10" s="1"/>
  <c r="Q148" i="10" a="1"/>
  <c r="Q148" i="10" s="1"/>
  <c r="Q194" i="10" a="1"/>
  <c r="Q194" i="10" s="1"/>
  <c r="Q357" i="10" a="1"/>
  <c r="Q357" i="10" s="1"/>
  <c r="Q396" i="10" a="1"/>
  <c r="Q396" i="10" s="1"/>
  <c r="Q196" i="10" a="1"/>
  <c r="Q196" i="10" s="1"/>
  <c r="Q239" i="10" a="1"/>
  <c r="Q239" i="10" s="1"/>
  <c r="Q306" i="10" a="1"/>
  <c r="Q306" i="10" s="1"/>
  <c r="Q533" i="10" a="1"/>
  <c r="Q533" i="10" s="1"/>
  <c r="Q934" i="10" a="1"/>
  <c r="Q934" i="10" s="1"/>
  <c r="Q950" i="10" a="1"/>
  <c r="Q950" i="10" s="1"/>
  <c r="Q327" i="10" a="1"/>
  <c r="Q327" i="10" s="1"/>
  <c r="Q572" i="10" a="1"/>
  <c r="Q572" i="10" s="1"/>
  <c r="Q1097" i="10" a="1"/>
  <c r="Q1097" i="10" s="1"/>
  <c r="Q791" i="10" a="1"/>
  <c r="Q791" i="10" s="1"/>
  <c r="Q38" i="10" a="1"/>
  <c r="Q38" i="10" s="1"/>
  <c r="Q519" i="10" a="1"/>
  <c r="Q519" i="10" s="1"/>
  <c r="Q1018" i="10" a="1"/>
  <c r="Q1018" i="10" s="1"/>
  <c r="Q237" i="10" a="1"/>
  <c r="Q237" i="10" s="1"/>
  <c r="Q964" i="10" a="1"/>
  <c r="Q964" i="10" s="1"/>
  <c r="Q407" i="10" a="1"/>
  <c r="Q407" i="10" s="1"/>
  <c r="Q930" i="10" a="1"/>
  <c r="Q930" i="10" s="1"/>
  <c r="Q425" i="10" a="1"/>
  <c r="Q425" i="10" s="1"/>
  <c r="Q133" i="10" a="1"/>
  <c r="Q133" i="10" s="1"/>
  <c r="Q447" i="10" a="1"/>
  <c r="Q447" i="10" s="1"/>
  <c r="Q765" i="10" a="1"/>
  <c r="Q765" i="10" s="1"/>
  <c r="Q391" i="10" a="1"/>
  <c r="Q391" i="10" s="1"/>
  <c r="Q605" i="10" a="1"/>
  <c r="Q605" i="10" s="1"/>
  <c r="Q748" i="10" a="1"/>
  <c r="Q748" i="10" s="1"/>
  <c r="Q559" i="10" a="1"/>
  <c r="Q559" i="10" s="1"/>
  <c r="Q717" i="10" a="1"/>
  <c r="Q717" i="10" s="1"/>
  <c r="Q530" i="10" a="1"/>
  <c r="Q530" i="10" s="1"/>
  <c r="Q1079" i="10" a="1"/>
  <c r="Q1079" i="10" s="1"/>
  <c r="Q405" i="10" a="1"/>
  <c r="Q405" i="10" s="1"/>
  <c r="Q243" i="10" a="1"/>
  <c r="Q243" i="10" s="1"/>
  <c r="Q826" i="10" a="1"/>
  <c r="Q826" i="10" s="1"/>
  <c r="Q1004" i="10" a="1"/>
  <c r="Q1004" i="10" s="1"/>
  <c r="Q556" i="10" a="1"/>
  <c r="Q556" i="10" s="1"/>
  <c r="Q975" i="10" a="1"/>
  <c r="Q975" i="10" s="1"/>
  <c r="Q393" i="10" a="1"/>
  <c r="Q393" i="10" s="1"/>
  <c r="Q278" i="10" a="1"/>
  <c r="Q278" i="10" s="1"/>
  <c r="Q623" i="10" a="1"/>
  <c r="Q623" i="10" s="1"/>
  <c r="Q853" i="10" a="1"/>
  <c r="Q853" i="10" s="1"/>
  <c r="Q57" i="10" a="1"/>
  <c r="Q57" i="10" s="1"/>
  <c r="Q200" i="10" a="1"/>
  <c r="Q200" i="10" s="1"/>
  <c r="Q570" i="10" a="1"/>
  <c r="Q570" i="10" s="1"/>
  <c r="Q197" i="10" a="1"/>
  <c r="Q197" i="10" s="1"/>
  <c r="Q708" i="10" a="1"/>
  <c r="Q708" i="10" s="1"/>
  <c r="Q283" i="10" a="1"/>
  <c r="Q283" i="10" s="1"/>
  <c r="Q796" i="10" a="1"/>
  <c r="Q796" i="10" s="1"/>
  <c r="Q164" i="10" a="1"/>
  <c r="Q164" i="10" s="1"/>
  <c r="Q111" i="10" a="1"/>
  <c r="Q111" i="10" s="1"/>
  <c r="Q767" i="10" a="1"/>
  <c r="Q767" i="10" s="1"/>
  <c r="Q861" i="10" a="1"/>
  <c r="Q861" i="10" s="1"/>
  <c r="Q759" i="10" a="1"/>
  <c r="Q759" i="10" s="1"/>
  <c r="Q825" i="10" a="1"/>
  <c r="Q825" i="10" s="1"/>
  <c r="Q369" i="10" a="1"/>
  <c r="Q369" i="10" s="1"/>
  <c r="Q341" i="10" a="1"/>
  <c r="Q341" i="10" s="1"/>
  <c r="Q790" i="10" a="1"/>
  <c r="Q790" i="10" s="1"/>
  <c r="Q912" i="10" a="1"/>
  <c r="Q912" i="10" s="1"/>
  <c r="Q522" i="10" a="1"/>
  <c r="Q522" i="10" s="1"/>
  <c r="Q597" i="10" a="1"/>
  <c r="Q597" i="10" s="1"/>
  <c r="Q882" i="10" a="1"/>
  <c r="Q882" i="10" s="1"/>
  <c r="Q1026" i="10" a="1"/>
  <c r="Q1026" i="10" s="1"/>
  <c r="Q626" i="10" a="1"/>
  <c r="Q626" i="10" s="1"/>
  <c r="Q684" i="10" a="1"/>
  <c r="Q684" i="10" s="1"/>
  <c r="Q625" i="10" a="1"/>
  <c r="Q625" i="10" s="1"/>
  <c r="Q352" i="10" a="1"/>
  <c r="Q352" i="10" s="1"/>
  <c r="Q468" i="10" a="1"/>
  <c r="Q468" i="10" s="1"/>
  <c r="Q885" i="10" a="1"/>
  <c r="Q885" i="10" s="1"/>
  <c r="Q112" i="10" a="1"/>
  <c r="Q112" i="10" s="1"/>
  <c r="Q692" i="10" a="1"/>
  <c r="Q692" i="10" s="1"/>
  <c r="Q322" i="10" a="1"/>
  <c r="Q322" i="10" s="1"/>
  <c r="Q308" i="10" a="1"/>
  <c r="Q308" i="10" s="1"/>
  <c r="Q741" i="10" a="1"/>
  <c r="Q741" i="10" s="1"/>
  <c r="Q499" i="10" a="1"/>
  <c r="Q499" i="10" s="1"/>
  <c r="Q1158" i="10" a="1"/>
  <c r="Q1158" i="10" s="1"/>
  <c r="Q1036" i="10" a="1"/>
  <c r="Q1036" i="10" s="1"/>
  <c r="Q771" i="10" a="1"/>
  <c r="Q771" i="10" s="1"/>
  <c r="Q855" i="10" a="1"/>
  <c r="Q855" i="10" s="1"/>
  <c r="Q768" i="10" a="1"/>
  <c r="Q768" i="10" s="1"/>
  <c r="Q324" i="10" a="1"/>
  <c r="Q324" i="10" s="1"/>
  <c r="Q581" i="10" a="1"/>
  <c r="Q581" i="10" s="1"/>
  <c r="Q404" i="10" a="1"/>
  <c r="Q404" i="10" s="1"/>
  <c r="Q725" i="10" a="1"/>
  <c r="Q725" i="10" s="1"/>
  <c r="Q611" i="10" a="1"/>
  <c r="Q611" i="10" s="1"/>
  <c r="Q948" i="10" a="1"/>
  <c r="Q948" i="10" s="1"/>
  <c r="Q1061" i="10" a="1"/>
  <c r="Q1061" i="10" s="1"/>
  <c r="Q819" i="10" a="1"/>
  <c r="Q819" i="10" s="1"/>
  <c r="Q823" i="10" a="1"/>
  <c r="Q823" i="10" s="1"/>
  <c r="Q501" i="10" a="1"/>
  <c r="Q501" i="10" s="1"/>
  <c r="Q579" i="10" a="1"/>
  <c r="Q579" i="10" s="1"/>
  <c r="Q165" i="10" a="1"/>
  <c r="Q165" i="10" s="1"/>
  <c r="Q106" i="10" a="1"/>
  <c r="Q106" i="10" s="1"/>
  <c r="Q149" i="10" a="1"/>
  <c r="Q149" i="10" s="1"/>
  <c r="Q325" i="10" a="1"/>
  <c r="Q325" i="10" s="1"/>
  <c r="Q745" i="10" a="1"/>
  <c r="Q745" i="10" s="1"/>
  <c r="Q815" i="10" a="1"/>
  <c r="Q815" i="10" s="1"/>
  <c r="Q215" i="10" a="1"/>
  <c r="Q215" i="10" s="1"/>
  <c r="Q41" i="10" a="1"/>
  <c r="Q41" i="10" s="1"/>
  <c r="Q378" i="10" a="1"/>
  <c r="Q378" i="10" s="1"/>
  <c r="Q706" i="10" a="1"/>
  <c r="Q706" i="10" s="1"/>
  <c r="Q336" i="10" a="1"/>
  <c r="Q336" i="10" s="1"/>
  <c r="Q564" i="10" a="1"/>
  <c r="Q564" i="10" s="1"/>
  <c r="Q786" i="10" a="1"/>
  <c r="Q786" i="10" s="1"/>
  <c r="Q1056" i="10" a="1"/>
  <c r="Q1056" i="10" s="1"/>
  <c r="Q858" i="10" a="1"/>
  <c r="Q858" i="10" s="1"/>
  <c r="Q738" i="10" a="1"/>
  <c r="Q738" i="10" s="1"/>
  <c r="Q560" i="10" a="1"/>
  <c r="Q560" i="10" s="1"/>
  <c r="Q118" i="10" a="1"/>
  <c r="Q118" i="10" s="1"/>
  <c r="Q116" i="10" a="1"/>
  <c r="Q116" i="10" s="1"/>
  <c r="Q954" i="10" a="1"/>
  <c r="Q954" i="10" s="1"/>
  <c r="Q183" i="10" a="1"/>
  <c r="Q183" i="10" s="1"/>
  <c r="Q79" i="10" a="1"/>
  <c r="Q79" i="10" s="1"/>
  <c r="Q575" i="10" a="1"/>
  <c r="Q575" i="10" s="1"/>
  <c r="Q1155" i="10" a="1"/>
  <c r="Q1155" i="10" s="1"/>
  <c r="Q1084" i="10" a="1"/>
  <c r="Q1084" i="10" s="1"/>
  <c r="Q586" i="10" a="1"/>
  <c r="Q586" i="10" s="1"/>
  <c r="Q502" i="10" a="1"/>
  <c r="Q502" i="10" s="1"/>
  <c r="Q268" i="10" a="1"/>
  <c r="Q268" i="10" s="1"/>
  <c r="Q455" i="10" a="1"/>
  <c r="Q455" i="10" s="1"/>
  <c r="Q618" i="10" a="1"/>
  <c r="Q618" i="10" s="1"/>
  <c r="Q946" i="10" a="1"/>
  <c r="Q946" i="10" s="1"/>
  <c r="Q831" i="10" a="1"/>
  <c r="Q831" i="10" s="1"/>
  <c r="Q372" i="10" a="1"/>
  <c r="Q372" i="10" s="1"/>
  <c r="Q64" i="10" a="1"/>
  <c r="Q64" i="10" s="1"/>
  <c r="Q44" i="10" a="1"/>
  <c r="Q44" i="10" s="1"/>
  <c r="Q452" i="10" a="1"/>
  <c r="Q452" i="10" s="1"/>
  <c r="Q697" i="10" a="1"/>
  <c r="Q697" i="10" s="1"/>
  <c r="Q463" i="10" a="1"/>
  <c r="Q463" i="10" s="1"/>
  <c r="Q1122" i="10" a="1"/>
  <c r="Q1122" i="10" s="1"/>
  <c r="Q992" i="10" a="1"/>
  <c r="Q992" i="10" s="1"/>
  <c r="Q666" i="10" a="1"/>
  <c r="Q666" i="10" s="1"/>
  <c r="Q674" i="10" a="1"/>
  <c r="Q674" i="10" s="1"/>
  <c r="Q752" i="10" a="1"/>
  <c r="Q752" i="10" s="1"/>
  <c r="Q1116" i="10" a="1"/>
  <c r="Q1116" i="10" s="1"/>
  <c r="Q854" i="10" a="1"/>
  <c r="Q854" i="10" s="1"/>
  <c r="Q884" i="10" a="1"/>
  <c r="Q884" i="10" s="1"/>
  <c r="Q1034" i="10" a="1"/>
  <c r="Q1034" i="10" s="1"/>
  <c r="Q500" i="10" a="1"/>
  <c r="Q500" i="10" s="1"/>
  <c r="Q901" i="10" a="1"/>
  <c r="Q901" i="10" s="1"/>
  <c r="Q467" i="10" a="1"/>
  <c r="Q467" i="10" s="1"/>
  <c r="Q1126" i="10" a="1"/>
  <c r="Q1126" i="10" s="1"/>
  <c r="Q21" i="10" a="1"/>
  <c r="Q21" i="10" s="1"/>
  <c r="Q346" i="10" a="1"/>
  <c r="Q346" i="10" s="1"/>
  <c r="Q422" i="10" a="1"/>
  <c r="Q422" i="10" s="1"/>
  <c r="Q101" i="10" a="1"/>
  <c r="Q101" i="10" s="1"/>
  <c r="Q288" i="10" a="1"/>
  <c r="Q288" i="10" s="1"/>
  <c r="Q994" i="10" a="1"/>
  <c r="Q994" i="10" s="1"/>
  <c r="Q783" i="10" a="1"/>
  <c r="Q783" i="10" s="1"/>
  <c r="Q630" i="10" a="1"/>
  <c r="Q630" i="10" s="1"/>
  <c r="Q304" i="10" a="1"/>
  <c r="Q304" i="10" s="1"/>
  <c r="Q295" i="10" a="1"/>
  <c r="Q295" i="10" s="1"/>
  <c r="Q976" i="10" a="1"/>
  <c r="Q976" i="10" s="1"/>
  <c r="Q399" i="10" a="1"/>
  <c r="Q399" i="10" s="1"/>
  <c r="Q1164" i="10" a="1"/>
  <c r="Q1164" i="10" s="1"/>
  <c r="Q928" i="10" a="1"/>
  <c r="Q928" i="10" s="1"/>
  <c r="Q813" i="10" a="1"/>
  <c r="Q813" i="10" s="1"/>
  <c r="Q354" i="10" a="1"/>
  <c r="Q354" i="10" s="1"/>
  <c r="Q176" i="10" a="1"/>
  <c r="Q176" i="10" s="1"/>
  <c r="Q714" i="10" a="1"/>
  <c r="Q714" i="10" s="1"/>
  <c r="Q681" i="10" a="1"/>
  <c r="Q681" i="10" s="1"/>
  <c r="Q291" i="10" a="1"/>
  <c r="Q291" i="10" s="1"/>
  <c r="Q754" i="10" a="1"/>
  <c r="Q754" i="10" s="1"/>
  <c r="Q493" i="10" a="1"/>
  <c r="Q493" i="10" s="1"/>
  <c r="Q130" i="10" a="1"/>
  <c r="Q130" i="10" s="1"/>
  <c r="Q1047" i="10" a="1"/>
  <c r="Q1047" i="10" s="1"/>
  <c r="Q549" i="10" a="1"/>
  <c r="Q549" i="10" s="1"/>
  <c r="Q307" i="10" a="1"/>
  <c r="Q307" i="10" s="1"/>
  <c r="Q1078" i="10" a="1"/>
  <c r="Q1078" i="10" s="1"/>
  <c r="Q1100" i="10" a="1"/>
  <c r="Q1100" i="10" s="1"/>
  <c r="Q996" i="10" a="1"/>
  <c r="Q996" i="10" s="1"/>
  <c r="Q1103" i="10" a="1"/>
  <c r="Q1103" i="10" s="1"/>
  <c r="Q999" i="10" a="1"/>
  <c r="Q999" i="10" s="1"/>
  <c r="Q1087" i="10" a="1"/>
  <c r="Q1087" i="10" s="1"/>
  <c r="Q668" i="10" a="1"/>
  <c r="Q668" i="10" s="1"/>
  <c r="Q1088" i="10" a="1"/>
  <c r="Q1088" i="10" s="1"/>
  <c r="Q303" i="10" a="1"/>
  <c r="Q303" i="10" s="1"/>
  <c r="Q1074" i="10" a="1"/>
  <c r="Q1074" i="10" s="1"/>
  <c r="Q640" i="10" a="1"/>
  <c r="Q640" i="10" s="1"/>
  <c r="Q87" i="10" a="1"/>
  <c r="Q87" i="10" s="1"/>
  <c r="Q277" i="10" a="1"/>
  <c r="Q277" i="10" s="1"/>
  <c r="Q1050" i="10" a="1"/>
  <c r="Q1050" i="10" s="1"/>
  <c r="Q678" i="10" a="1"/>
  <c r="Q678" i="10" s="1"/>
  <c r="Q444" i="10" a="1"/>
  <c r="Q444" i="10" s="1"/>
  <c r="Q1063" i="10" a="1"/>
  <c r="Q1063" i="10" s="1"/>
  <c r="Q457" i="10" a="1"/>
  <c r="Q457" i="10" s="1"/>
  <c r="Q415" i="10" a="1"/>
  <c r="Q415" i="10" s="1"/>
  <c r="Q1138" i="10" a="1"/>
  <c r="Q1138" i="10" s="1"/>
  <c r="Q1072" i="10" a="1"/>
  <c r="Q1072" i="10" s="1"/>
  <c r="Q240" i="10" a="1"/>
  <c r="Q240" i="10" s="1"/>
  <c r="Q943" i="10" a="1"/>
  <c r="Q943" i="10" s="1"/>
  <c r="Q937" i="10" a="1"/>
  <c r="Q937" i="10" s="1"/>
  <c r="Q294" i="10" a="1"/>
  <c r="Q294" i="10" s="1"/>
  <c r="Q548" i="10" a="1"/>
  <c r="Q548" i="10" s="1"/>
  <c r="Q567" i="10" a="1"/>
  <c r="Q567" i="10" s="1"/>
  <c r="Q389" i="10" a="1"/>
  <c r="Q389" i="10" s="1"/>
  <c r="Q1098" i="10" a="1"/>
  <c r="Q1098" i="10" s="1"/>
  <c r="Q726" i="10" a="1"/>
  <c r="Q726" i="10" s="1"/>
  <c r="Q620" i="10" a="1"/>
  <c r="Q620" i="10" s="1"/>
  <c r="Q1060" i="10" a="1"/>
  <c r="Q1060" i="10" s="1"/>
  <c r="Q1017" i="10" a="1"/>
  <c r="Q1017" i="10" s="1"/>
  <c r="Q951" i="10" a="1"/>
  <c r="Q951" i="10" s="1"/>
  <c r="Q1092" i="10" a="1"/>
  <c r="Q1092" i="10" s="1"/>
  <c r="Q1033" i="10" a="1"/>
  <c r="Q1033" i="10" s="1"/>
  <c r="Q735" i="10" a="1"/>
  <c r="Q735" i="10" s="1"/>
  <c r="Q260" i="10" a="1"/>
  <c r="Q260" i="10" s="1"/>
  <c r="Q1037" i="10" a="1"/>
  <c r="Q1037" i="10" s="1"/>
  <c r="Q377" i="10" a="1"/>
  <c r="Q377" i="10" s="1"/>
  <c r="Q655" i="10" a="1"/>
  <c r="Q655" i="10" s="1"/>
  <c r="Q279" i="10" a="1"/>
  <c r="Q279" i="10" s="1"/>
  <c r="Q73" i="10" a="1"/>
  <c r="Q73" i="10" s="1"/>
  <c r="Q474" i="10" a="1"/>
  <c r="Q474" i="10" s="1"/>
  <c r="Q610" i="10" a="1"/>
  <c r="Q610" i="10" s="1"/>
  <c r="Q432" i="10" a="1"/>
  <c r="Q432" i="10" s="1"/>
  <c r="Q687" i="10" a="1"/>
  <c r="Q687" i="10" s="1"/>
  <c r="Q86" i="10" a="1"/>
  <c r="Q86" i="10" s="1"/>
  <c r="Q803" i="10" a="1"/>
  <c r="Q803" i="10" s="1"/>
  <c r="Q1154" i="10" a="1"/>
  <c r="Q1154" i="10" s="1"/>
  <c r="Q186" i="10" a="1"/>
  <c r="Q186" i="10" s="1"/>
  <c r="Q386" i="10" a="1"/>
  <c r="Q386" i="10" s="1"/>
  <c r="Q272" i="10" a="1"/>
  <c r="Q272" i="10" s="1"/>
  <c r="Q436" i="10" a="1"/>
  <c r="Q436" i="10" s="1"/>
  <c r="Q805" i="10" a="1"/>
  <c r="Q805" i="10" s="1"/>
  <c r="Q563" i="10" a="1"/>
  <c r="Q563" i="10" s="1"/>
  <c r="Q263" i="10" a="1"/>
  <c r="Q263" i="10" s="1"/>
  <c r="Q245" i="10" a="1"/>
  <c r="Q245" i="10" s="1"/>
  <c r="Q410" i="10" a="1"/>
  <c r="Q410" i="10" s="1"/>
  <c r="Q679" i="10" a="1"/>
  <c r="Q679" i="10" s="1"/>
  <c r="Q265" i="10" a="1"/>
  <c r="Q265" i="10" s="1"/>
  <c r="Q1156" i="10" a="1"/>
  <c r="Q1156" i="10" s="1"/>
  <c r="Q802" i="10" a="1"/>
  <c r="Q802" i="10" s="1"/>
  <c r="Q677" i="10" a="1"/>
  <c r="Q677" i="10" s="1"/>
  <c r="Q1059" i="10" a="1"/>
  <c r="Q1059" i="10" s="1"/>
  <c r="Q810" i="10" a="1"/>
  <c r="Q810" i="10" s="1"/>
  <c r="Q658" i="10" a="1"/>
  <c r="Q658" i="10" s="1"/>
  <c r="Q416" i="10" a="1"/>
  <c r="Q416" i="10" s="1"/>
  <c r="Q596" i="10" a="1"/>
  <c r="Q596" i="10" s="1"/>
  <c r="Q949" i="10" a="1"/>
  <c r="Q949" i="10" s="1"/>
  <c r="Q688" i="10" a="1"/>
  <c r="Q688" i="10" s="1"/>
  <c r="Q92" i="10" a="1"/>
  <c r="Q92" i="10" s="1"/>
  <c r="Q598" i="10" a="1"/>
  <c r="Q598" i="10" s="1"/>
  <c r="Q208" i="10" a="1"/>
  <c r="Q208" i="10" s="1"/>
  <c r="Q615" i="10" a="1"/>
  <c r="Q615" i="10" s="1"/>
  <c r="Q970" i="10" a="1"/>
  <c r="Q970" i="10" s="1"/>
  <c r="Q642" i="10" a="1"/>
  <c r="Q642" i="10" s="1"/>
  <c r="Q528" i="10" a="1"/>
  <c r="Q528" i="10" s="1"/>
  <c r="Q207" i="10" a="1"/>
  <c r="Q207" i="10" s="1"/>
  <c r="Q978" i="10" a="1"/>
  <c r="Q978" i="10" s="1"/>
  <c r="Q736" i="10" a="1"/>
  <c r="Q736" i="10" s="1"/>
  <c r="Q989" i="10" a="1"/>
  <c r="Q989" i="10" s="1"/>
  <c r="Q418" i="10" a="1"/>
  <c r="Q418" i="10" s="1"/>
  <c r="Q496" i="10" a="1"/>
  <c r="Q496" i="10" s="1"/>
  <c r="Q244" i="10" a="1"/>
  <c r="Q244" i="10" s="1"/>
  <c r="Q512" i="10" a="1"/>
  <c r="Q512" i="10" s="1"/>
  <c r="Q301" i="10" a="1"/>
  <c r="Q301" i="10" s="1"/>
  <c r="Q1010" i="10" a="1"/>
  <c r="Q1010" i="10" s="1"/>
  <c r="Q1168" i="10" a="1"/>
  <c r="Q1168" i="10" s="1"/>
  <c r="Q732" i="10" a="1"/>
  <c r="Q732" i="10" s="1"/>
  <c r="Q61" i="10" a="1"/>
  <c r="Q61" i="10" s="1"/>
  <c r="Q1065" i="10" a="1"/>
  <c r="Q1065" i="10" s="1"/>
  <c r="Q959" i="10" a="1"/>
  <c r="Q959" i="10" s="1"/>
  <c r="Q647" i="10" a="1"/>
  <c r="Q647" i="10" s="1"/>
  <c r="Q249" i="10" a="1"/>
  <c r="Q249" i="10" s="1"/>
  <c r="Q1039" i="10" a="1"/>
  <c r="Q1039" i="10" s="1"/>
  <c r="Q980" i="10" a="1"/>
  <c r="Q980" i="10" s="1"/>
  <c r="Q969" i="10" a="1"/>
  <c r="Q969" i="10" s="1"/>
  <c r="Q927" i="10" a="1"/>
  <c r="Q927" i="10" s="1"/>
  <c r="Q695" i="10" a="1"/>
  <c r="Q695" i="10" s="1"/>
  <c r="Q573" i="10" a="1"/>
  <c r="Q573" i="10" s="1"/>
  <c r="Q852" i="10" a="1"/>
  <c r="Q852" i="10" s="1"/>
  <c r="Q899" i="10" a="1"/>
  <c r="Q899" i="10" s="1"/>
  <c r="Q713" i="10" a="1"/>
  <c r="Q713" i="10" s="1"/>
  <c r="Q594" i="10" a="1"/>
  <c r="Q594" i="10" s="1"/>
  <c r="Q1090" i="10" a="1"/>
  <c r="Q1090" i="10" s="1"/>
  <c r="Q820" i="10" a="1"/>
  <c r="Q820" i="10" s="1"/>
  <c r="Q997" i="10" a="1"/>
  <c r="Q997" i="10" s="1"/>
  <c r="Q755" i="10" a="1"/>
  <c r="Q755" i="10" s="1"/>
  <c r="Q135" i="10" a="1"/>
  <c r="Q135" i="10" s="1"/>
  <c r="Q181" i="10" a="1"/>
  <c r="Q181" i="10" s="1"/>
  <c r="Q429" i="10" a="1"/>
  <c r="Q429" i="10" s="1"/>
  <c r="Q421" i="10" a="1"/>
  <c r="Q421" i="10" s="1"/>
  <c r="Q874" i="10" a="1"/>
  <c r="Q874" i="10" s="1"/>
  <c r="Q66" i="10" a="1"/>
  <c r="Q66" i="10" s="1"/>
  <c r="Q1007" i="10" a="1"/>
  <c r="Q1007" i="10" s="1"/>
  <c r="Q406" i="10" a="1"/>
  <c r="Q406" i="10" s="1"/>
  <c r="Q1068" i="10" a="1"/>
  <c r="Q1068" i="10" s="1"/>
  <c r="Q906" i="10" a="1"/>
  <c r="Q906" i="10" s="1"/>
  <c r="Q614" i="10" a="1"/>
  <c r="Q614" i="10" s="1"/>
  <c r="Q868" i="10" a="1"/>
  <c r="Q868" i="10" s="1"/>
  <c r="Q905" i="10" a="1"/>
  <c r="Q905" i="10" s="1"/>
  <c r="Q863" i="10" a="1"/>
  <c r="Q863" i="10" s="1"/>
  <c r="Q516" i="10" a="1"/>
  <c r="Q516" i="10" s="1"/>
  <c r="Q335" i="10" a="1"/>
  <c r="Q335" i="10" s="1"/>
  <c r="Q1149" i="10" a="1"/>
  <c r="Q1149" i="10" s="1"/>
  <c r="Q319" i="10" a="1"/>
  <c r="Q319" i="10" s="1"/>
  <c r="Q156" i="10" a="1"/>
  <c r="Q156" i="10" s="1"/>
  <c r="Q576" i="10" a="1"/>
  <c r="Q576" i="10" s="1"/>
  <c r="Q47" i="10" a="1"/>
  <c r="Q47" i="10" s="1"/>
  <c r="Q818" i="10" a="1"/>
  <c r="Q818" i="10" s="1"/>
  <c r="Q532" i="10" a="1"/>
  <c r="Q532" i="10" s="1"/>
  <c r="Q1045" i="10" a="1"/>
  <c r="Q1045" i="10" s="1"/>
  <c r="Q1108" i="10" a="1"/>
  <c r="Q1108" i="10" s="1"/>
  <c r="Q1082" i="10" a="1"/>
  <c r="Q1082" i="10" s="1"/>
  <c r="Q613" i="10" a="1"/>
  <c r="Q613" i="10" s="1"/>
  <c r="Q316" i="10" a="1"/>
  <c r="Q316" i="10" s="1"/>
  <c r="Q543" i="10" a="1"/>
  <c r="Q543" i="10" s="1"/>
  <c r="Q261" i="10" a="1"/>
  <c r="Q261" i="10" s="1"/>
  <c r="Q298" i="10" a="1"/>
  <c r="Q298" i="10" s="1"/>
  <c r="Q1040" i="10" a="1"/>
  <c r="Q1040" i="10" s="1"/>
  <c r="Q224" i="10" a="1"/>
  <c r="Q224" i="10" s="1"/>
  <c r="Q67" i="10" a="1"/>
  <c r="Q67" i="10" s="1"/>
  <c r="Q578" i="10" a="1"/>
  <c r="Q578" i="10" s="1"/>
  <c r="Q220" i="10" a="1"/>
  <c r="Q220" i="10" s="1"/>
  <c r="Q1076" i="10" a="1"/>
  <c r="Q1076" i="10" s="1"/>
  <c r="Q631" i="10" a="1"/>
  <c r="Q631" i="10" s="1"/>
  <c r="Q374" i="10" a="1"/>
  <c r="Q374" i="10" s="1"/>
  <c r="Q583" i="10" a="1"/>
  <c r="Q583" i="10" s="1"/>
  <c r="Q788" i="10" a="1"/>
  <c r="Q788" i="10" s="1"/>
  <c r="Q915" i="10" a="1"/>
  <c r="Q915" i="10" s="1"/>
  <c r="Q979" i="10" a="1"/>
  <c r="Q979" i="10" s="1"/>
  <c r="Q163" i="10" a="1"/>
  <c r="Q163" i="10" s="1"/>
  <c r="Q179" i="10" a="1"/>
  <c r="Q179" i="10" s="1"/>
  <c r="Q634" i="10" a="1"/>
  <c r="Q634" i="10" s="1"/>
  <c r="Q806" i="10" a="1"/>
  <c r="Q806" i="10" s="1"/>
  <c r="Q157" i="10" a="1"/>
  <c r="Q157" i="10" s="1"/>
  <c r="Q388" i="10" a="1"/>
  <c r="Q388" i="10" s="1"/>
  <c r="Q1029" i="10" a="1"/>
  <c r="Q1029" i="10" s="1"/>
  <c r="Q147" i="10" a="1"/>
  <c r="Q147" i="10" s="1"/>
  <c r="Q185" i="10" a="1"/>
  <c r="Q185" i="10" s="1"/>
  <c r="Q480" i="10" a="1"/>
  <c r="Q480" i="10" s="1"/>
  <c r="Q719" i="10" a="1"/>
  <c r="Q719" i="10" s="1"/>
  <c r="Q95" i="10" a="1"/>
  <c r="Q95" i="10" s="1"/>
  <c r="Q175" i="10" a="1"/>
  <c r="Q175" i="10" s="1"/>
  <c r="Q55" i="10" a="1"/>
  <c r="Q55" i="10" s="1"/>
  <c r="Q470" i="10" a="1"/>
  <c r="Q470" i="10" s="1"/>
  <c r="Q848" i="10" a="1"/>
  <c r="Q848" i="10" s="1"/>
  <c r="Q274" i="10" a="1"/>
  <c r="Q274" i="10" s="1"/>
  <c r="Q131" i="10" a="1"/>
  <c r="Q131" i="10" s="1"/>
  <c r="Q932" i="10" a="1"/>
  <c r="Q932" i="10" s="1"/>
  <c r="Q489" i="10" a="1"/>
  <c r="Q489" i="10" s="1"/>
  <c r="Q1167" i="10" a="1"/>
  <c r="Q1167" i="10" s="1"/>
  <c r="Q450" i="10" a="1"/>
  <c r="Q450" i="10" s="1"/>
  <c r="Q387" i="10" a="1"/>
  <c r="Q387" i="10" s="1"/>
  <c r="Q629" i="10" a="1"/>
  <c r="Q629" i="10" s="1"/>
  <c r="Q919" i="10" a="1"/>
  <c r="Q919" i="10" s="1"/>
  <c r="Q1014" i="10" a="1"/>
  <c r="Q1014" i="10" s="1"/>
  <c r="Q252" i="10" a="1"/>
  <c r="Q252" i="10" s="1"/>
  <c r="Q922" i="10" a="1"/>
  <c r="Q922" i="10" s="1"/>
  <c r="Q525" i="10" a="1"/>
  <c r="Q525" i="10" s="1"/>
  <c r="Q935" i="10" a="1"/>
  <c r="Q935" i="10" s="1"/>
  <c r="Q1133" i="10" a="1"/>
  <c r="Q1133" i="10" s="1"/>
  <c r="Q109" i="10" a="1"/>
  <c r="Q109" i="10" s="1"/>
  <c r="Q1043" i="10" a="1"/>
  <c r="Q1043" i="10" s="1"/>
  <c r="Q711" i="10" a="1"/>
  <c r="Q711" i="10" s="1"/>
  <c r="Q30" i="10" a="1"/>
  <c r="Q30" i="10" s="1"/>
  <c r="Q656" i="10" a="1"/>
  <c r="Q656" i="10" s="1"/>
  <c r="Q1023" i="10" a="1"/>
  <c r="Q1023" i="10" s="1"/>
  <c r="Q1052" i="10" a="1"/>
  <c r="Q1052" i="10" s="1"/>
  <c r="Q113" i="10" a="1"/>
  <c r="Q113" i="10" s="1"/>
  <c r="Q132" i="10" a="1"/>
  <c r="Q132" i="10" s="1"/>
  <c r="Q940" i="10" a="1"/>
  <c r="Q940" i="10" s="1"/>
  <c r="Q965" i="10" a="1"/>
  <c r="Q965" i="10" s="1"/>
  <c r="Q258" i="10" a="1"/>
  <c r="Q258" i="10" s="1"/>
  <c r="Q709" i="10" a="1"/>
  <c r="Q709" i="10" s="1"/>
  <c r="Q172" i="10" a="1"/>
  <c r="Q172" i="10" s="1"/>
  <c r="Q733" i="10" a="1"/>
  <c r="Q733" i="10" s="1"/>
  <c r="Q286" i="10" a="1"/>
  <c r="Q286" i="10" s="1"/>
  <c r="Q968" i="10" a="1"/>
  <c r="Q968" i="10" s="1"/>
  <c r="Q400" i="10" a="1"/>
  <c r="Q400" i="10" s="1"/>
  <c r="Q871" i="10" a="1"/>
  <c r="Q871" i="10" s="1"/>
  <c r="Q292" i="10" a="1"/>
  <c r="Q292" i="10" s="1"/>
  <c r="Q1114" i="10" a="1"/>
  <c r="Q1114" i="10" s="1"/>
  <c r="Q531" i="10" a="1"/>
  <c r="Q531" i="10" s="1"/>
  <c r="Q227" i="10" a="1"/>
  <c r="Q227" i="10" s="1"/>
  <c r="Q275" i="10" a="1"/>
  <c r="Q275" i="10" s="1"/>
  <c r="Q247" i="10" a="1"/>
  <c r="Q247" i="10" s="1"/>
  <c r="Q542" i="10" a="1"/>
  <c r="Q542" i="10" s="1"/>
  <c r="Q380" i="10" a="1"/>
  <c r="Q380" i="10" s="1"/>
  <c r="Q384" i="10" a="1"/>
  <c r="Q384" i="10" s="1"/>
  <c r="Q675" i="10" a="1"/>
  <c r="Q675" i="10" s="1"/>
  <c r="Q18" i="10" a="1"/>
  <c r="Q18" i="10" s="1"/>
  <c r="Q671" i="10" a="1"/>
  <c r="Q671" i="10" s="1"/>
  <c r="Q550" i="10" a="1"/>
  <c r="Q550" i="10" s="1"/>
  <c r="Q841" i="10" a="1"/>
  <c r="Q841" i="10" s="1"/>
  <c r="Q1142" i="10" a="1"/>
  <c r="Q1142" i="10" s="1"/>
  <c r="Q121" i="10" a="1"/>
  <c r="Q121" i="10" s="1"/>
  <c r="Q1148" i="10" a="1"/>
  <c r="Q1148" i="10" s="1"/>
  <c r="Q466" i="10" a="1"/>
  <c r="Q466" i="10" s="1"/>
  <c r="Q1013" i="10" a="1"/>
  <c r="Q1013" i="10" s="1"/>
  <c r="Q851" i="10" a="1"/>
  <c r="Q851" i="10" s="1"/>
  <c r="Q662" i="10" a="1"/>
  <c r="Q662" i="10" s="1"/>
  <c r="Q553" i="10" a="1"/>
  <c r="Q553" i="10" s="1"/>
  <c r="Q931" i="10" a="1"/>
  <c r="Q931" i="10" s="1"/>
  <c r="Q202" i="10" a="1"/>
  <c r="Q202" i="10" s="1"/>
  <c r="Q644" i="10" a="1"/>
  <c r="Q644" i="10" s="1"/>
  <c r="Q178" i="10" a="1"/>
  <c r="Q178" i="10" s="1"/>
  <c r="Q669" i="10" a="1"/>
  <c r="Q669" i="10" s="1"/>
  <c r="Q599" i="10" a="1"/>
  <c r="Q599" i="10" s="1"/>
  <c r="Q652" i="10" a="1"/>
  <c r="Q652" i="10" s="1"/>
  <c r="Q716" i="10" a="1"/>
  <c r="Q716" i="10" s="1"/>
  <c r="Q799" i="10" a="1"/>
  <c r="Q799" i="10" s="1"/>
  <c r="Q317" i="10" a="1"/>
  <c r="Q317" i="10" s="1"/>
  <c r="Q639" i="10" a="1"/>
  <c r="Q639" i="10" s="1"/>
  <c r="Q722" i="10" a="1"/>
  <c r="Q722" i="10" s="1"/>
  <c r="Q162" i="10" a="1"/>
  <c r="Q162" i="10" s="1"/>
  <c r="Q953" i="10" a="1"/>
  <c r="Q953" i="10" s="1"/>
  <c r="Q137" i="10" a="1"/>
  <c r="Q137" i="10" s="1"/>
  <c r="Q1091" i="10" a="1"/>
  <c r="Q1091" i="10" s="1"/>
  <c r="Q547" i="10" a="1"/>
  <c r="Q547" i="10" s="1"/>
  <c r="Q490" i="10" a="1"/>
  <c r="Q490" i="10" s="1"/>
  <c r="Q1165" i="10" a="1"/>
  <c r="Q1165" i="10" s="1"/>
  <c r="Q627" i="10" a="1"/>
  <c r="Q627" i="10" s="1"/>
  <c r="Q309" i="10" a="1"/>
  <c r="Q309" i="10" s="1"/>
  <c r="Q508" i="10" a="1"/>
  <c r="Q508" i="10" s="1"/>
  <c r="Q924" i="10" a="1"/>
  <c r="Q924" i="10" s="1"/>
  <c r="Q896" i="10" a="1"/>
  <c r="Q896" i="10" s="1"/>
  <c r="Q80" i="10" a="1"/>
  <c r="Q80" i="10" s="1"/>
  <c r="Q96" i="10" a="1"/>
  <c r="Q96" i="10" s="1"/>
  <c r="Q963" i="10" a="1"/>
  <c r="Q963" i="10" s="1"/>
  <c r="Q231" i="10" a="1"/>
  <c r="Q231" i="10" s="1"/>
  <c r="Q485" i="10" a="1"/>
  <c r="Q485" i="10" s="1"/>
  <c r="Q780" i="10" a="1"/>
  <c r="Q780" i="10" s="1"/>
  <c r="Q420" i="10" a="1"/>
  <c r="Q420" i="10" s="1"/>
  <c r="Q233" i="10" a="1"/>
  <c r="Q233" i="10" s="1"/>
  <c r="Q102" i="10" a="1"/>
  <c r="Q102" i="10" s="1"/>
  <c r="Q351" i="10" a="1"/>
  <c r="Q351" i="10" s="1"/>
  <c r="Q27" i="10" a="1"/>
  <c r="Q27" i="10" s="1"/>
  <c r="Q1170" i="10" a="1"/>
  <c r="Q1170" i="10" s="1"/>
  <c r="Q448" i="10" a="1"/>
  <c r="Q448" i="10" s="1"/>
  <c r="Q458" i="10" a="1"/>
  <c r="Q458" i="10" s="1"/>
  <c r="Q1051" i="10" a="1"/>
  <c r="Q1051" i="10" s="1"/>
  <c r="Q628" i="10" a="1"/>
  <c r="Q628" i="10" s="1"/>
  <c r="Q1046" i="10" a="1"/>
  <c r="Q1046" i="10" s="1"/>
  <c r="Q1054" i="10" a="1"/>
  <c r="Q1054" i="10" s="1"/>
  <c r="Q114" i="10" a="1"/>
  <c r="Q114" i="10" s="1"/>
  <c r="Q180" i="10" a="1"/>
  <c r="Q180" i="10" s="1"/>
  <c r="Q682" i="10" a="1"/>
  <c r="Q682" i="10" s="1"/>
  <c r="Q893" i="10" a="1"/>
  <c r="Q893" i="10" s="1"/>
  <c r="Q1053" i="10" a="1"/>
  <c r="Q1053" i="10" s="1"/>
  <c r="Q770" i="10" a="1"/>
  <c r="Q770" i="10" s="1"/>
  <c r="Q539" i="10" a="1"/>
  <c r="Q539" i="10" s="1"/>
  <c r="Q1147" i="10" a="1"/>
  <c r="Q1147" i="10" s="1"/>
  <c r="Q555" i="10" a="1"/>
  <c r="Q555" i="10" s="1"/>
  <c r="Q453" i="10" a="1"/>
  <c r="Q453" i="10" s="1"/>
  <c r="Q1109" i="10" a="1"/>
  <c r="Q1109" i="10" s="1"/>
  <c r="Q361" i="10" a="1"/>
  <c r="Q361" i="10" s="1"/>
  <c r="Q742" i="10" a="1"/>
  <c r="Q742" i="10" s="1"/>
  <c r="Q534" i="10" a="1"/>
  <c r="Q534" i="10" s="1"/>
  <c r="Q1081" i="10" a="1"/>
  <c r="Q1081" i="10" s="1"/>
  <c r="Q873" i="10" a="1"/>
  <c r="Q873" i="10" s="1"/>
  <c r="Q144" i="10" a="1"/>
  <c r="Q144" i="10" s="1"/>
  <c r="Q795" i="10" a="1"/>
  <c r="Q795" i="10" s="1"/>
  <c r="Q29" i="10" a="1"/>
  <c r="Q29" i="10" s="1"/>
  <c r="Q749" i="10" a="1"/>
  <c r="Q749" i="10" s="1"/>
  <c r="Q182" i="10" a="1"/>
  <c r="Q182" i="10" s="1"/>
  <c r="Q991" i="10" a="1"/>
  <c r="Q991" i="10" s="1"/>
  <c r="Q772" i="10" a="1"/>
  <c r="Q772" i="10" s="1"/>
  <c r="Q431" i="10" a="1"/>
  <c r="Q431" i="10" s="1"/>
  <c r="Q633" i="10" a="1"/>
  <c r="Q633" i="10" s="1"/>
  <c r="Q911" i="10" a="1"/>
  <c r="Q911" i="10" s="1"/>
  <c r="Q807" i="10" a="1"/>
  <c r="Q807" i="10" s="1"/>
  <c r="Q329" i="10" a="1"/>
  <c r="Q329" i="10" s="1"/>
  <c r="Q31" i="10" a="1"/>
  <c r="Q31" i="10" s="1"/>
  <c r="Q866" i="10" a="1"/>
  <c r="Q866" i="10" s="1"/>
  <c r="Q189" i="10" a="1"/>
  <c r="Q189" i="10" s="1"/>
  <c r="Q434" i="10" a="1"/>
  <c r="Q434" i="10" s="1"/>
  <c r="Q63" i="10" a="1"/>
  <c r="Q63" i="10" s="1"/>
  <c r="Q439" i="10" a="1"/>
  <c r="Q439" i="10" s="1"/>
  <c r="Q659" i="10" a="1"/>
  <c r="Q659" i="10" s="1"/>
  <c r="Q895" i="10" a="1"/>
  <c r="Q895" i="10" s="1"/>
  <c r="Q1031" i="10" a="1"/>
  <c r="Q1031" i="10" s="1"/>
  <c r="Q441" i="10" a="1"/>
  <c r="Q441" i="10" s="1"/>
  <c r="Q124" i="10" a="1"/>
  <c r="Q124" i="10" s="1"/>
  <c r="Q356" i="10" a="1"/>
  <c r="Q356" i="10" s="1"/>
  <c r="Q649" i="10" a="1"/>
  <c r="Q649" i="10" s="1"/>
  <c r="Q607" i="10" a="1"/>
  <c r="Q607" i="10" s="1"/>
  <c r="Q1111" i="10" a="1"/>
  <c r="Q1111" i="10" s="1"/>
  <c r="Q998" i="10" a="1"/>
  <c r="Q998" i="10" s="1"/>
  <c r="Q348" i="10" a="1"/>
  <c r="Q348" i="10" s="1"/>
  <c r="Q342" i="10" a="1"/>
  <c r="Q342" i="10" s="1"/>
  <c r="Q983" i="10" a="1"/>
  <c r="Q983" i="10" s="1"/>
  <c r="Q653" i="10" a="1"/>
  <c r="Q653" i="10" s="1"/>
  <c r="Q1095" i="10" a="1"/>
  <c r="Q1095" i="10" s="1"/>
  <c r="Q645" i="10" a="1"/>
  <c r="Q645" i="10" s="1"/>
  <c r="Q211" i="10" a="1"/>
  <c r="Q211" i="10" s="1"/>
  <c r="Q982" i="10" a="1"/>
  <c r="Q982" i="10" s="1"/>
  <c r="Q876" i="10" a="1"/>
  <c r="Q876" i="10" s="1"/>
  <c r="Q701" i="10" a="1"/>
  <c r="Q701" i="10" s="1"/>
  <c r="Q166" i="10" a="1"/>
  <c r="Q166" i="10" s="1"/>
  <c r="Q956" i="10" a="1"/>
  <c r="Q956" i="10" s="1"/>
  <c r="Q115" i="10" a="1"/>
  <c r="Q115" i="10" s="1"/>
  <c r="Q886" i="10" a="1"/>
  <c r="Q886" i="10" s="1"/>
  <c r="Q908" i="10" a="1"/>
  <c r="Q908" i="10" s="1"/>
  <c r="Q442" i="10" a="1"/>
  <c r="Q442" i="10" s="1"/>
  <c r="Q371" i="10" a="1"/>
  <c r="Q371" i="10" s="1"/>
  <c r="Q140" i="10" a="1"/>
  <c r="Q140" i="10" s="1"/>
  <c r="Q426" i="10" a="1"/>
  <c r="Q426" i="10" s="1"/>
  <c r="Q90" i="10" a="1"/>
  <c r="Q90" i="10" s="1"/>
  <c r="Q604" i="10" a="1"/>
  <c r="Q604" i="10" s="1"/>
  <c r="Q464" i="10" a="1"/>
  <c r="Q464" i="10" s="1"/>
  <c r="Q143" i="10" a="1"/>
  <c r="Q143" i="10" s="1"/>
  <c r="Q914" i="10" a="1"/>
  <c r="Q914" i="10" s="1"/>
  <c r="Q672" i="10" a="1"/>
  <c r="Q672" i="10" s="1"/>
  <c r="Q45" i="10" a="1"/>
  <c r="Q45" i="10" s="1"/>
  <c r="Q98" i="10" a="1"/>
  <c r="Q98" i="10" s="1"/>
  <c r="Q1027" i="10" a="1"/>
  <c r="Q1027" i="10" s="1"/>
  <c r="Q756" i="10" a="1"/>
  <c r="Q756" i="10" s="1"/>
  <c r="Q169" i="10" a="1"/>
  <c r="Q169" i="10" s="1"/>
  <c r="Q1085" i="10" a="1"/>
  <c r="Q1085" i="10" s="1"/>
  <c r="Q1093" i="10" a="1"/>
  <c r="Q1093" i="10" s="1"/>
  <c r="Q916" i="10" a="1"/>
  <c r="Q916" i="10" s="1"/>
  <c r="Q981" i="10" a="1"/>
  <c r="Q981" i="10" s="1"/>
  <c r="Q867" i="10" a="1"/>
  <c r="Q867" i="10" s="1"/>
  <c r="Q503" i="10" a="1"/>
  <c r="Q503" i="10" s="1"/>
  <c r="Q293" i="10" a="1"/>
  <c r="Q293" i="10" s="1"/>
  <c r="Q51" i="10" a="1"/>
  <c r="Q51" i="10" s="1"/>
  <c r="Q822" i="10" a="1"/>
  <c r="Q822" i="10" s="1"/>
  <c r="Q844" i="10" a="1"/>
  <c r="Q844" i="10" s="1"/>
  <c r="Q986" i="10" a="1"/>
  <c r="Q986" i="10" s="1"/>
  <c r="Q933" i="10" a="1"/>
  <c r="Q933" i="10" s="1"/>
  <c r="Q83" i="10" a="1"/>
  <c r="Q83" i="10" s="1"/>
  <c r="Q917" i="10" a="1"/>
  <c r="Q917" i="10" s="1"/>
  <c r="Q837" i="10" a="1"/>
  <c r="Q837" i="10" s="1"/>
  <c r="Q150" i="10" a="1"/>
  <c r="Q150" i="10" s="1"/>
  <c r="Q1071" i="10" a="1"/>
  <c r="Q1071" i="10" s="1"/>
  <c r="Q743" i="10" a="1"/>
  <c r="Q743" i="10" s="1"/>
  <c r="Q297" i="10" a="1"/>
  <c r="Q297" i="10" s="1"/>
  <c r="Q191" i="10" a="1"/>
  <c r="Q191" i="10" s="1"/>
  <c r="Q962" i="10" a="1"/>
  <c r="Q962" i="10" s="1"/>
  <c r="Q592" i="10" a="1"/>
  <c r="Q592" i="10" s="1"/>
  <c r="Q271" i="10" a="1"/>
  <c r="Q271" i="10" s="1"/>
  <c r="Q1042" i="10" a="1"/>
  <c r="Q1042" i="10" s="1"/>
  <c r="Q159" i="10" a="1"/>
  <c r="Q159" i="10" s="1"/>
  <c r="Q816" i="10" a="1"/>
  <c r="Q816" i="10" s="1"/>
  <c r="Q484" i="10" a="1"/>
  <c r="Q484" i="10" s="1"/>
  <c r="Q482" i="10" a="1"/>
  <c r="Q482" i="10" s="1"/>
  <c r="Q492" i="10" a="1"/>
  <c r="Q492" i="10" s="1"/>
  <c r="Q359" i="10" a="1"/>
  <c r="Q359" i="10" s="1"/>
  <c r="Q229" i="10" a="1"/>
  <c r="Q229" i="10" s="1"/>
  <c r="Q1124" i="10" a="1"/>
  <c r="Q1124" i="10" s="1"/>
  <c r="Q758" i="10" a="1"/>
  <c r="Q758" i="10" s="1"/>
  <c r="Q524" i="10" a="1"/>
  <c r="Q524" i="10" s="1"/>
  <c r="Q58" i="10" a="1"/>
  <c r="Q58" i="10" s="1"/>
  <c r="Q591" i="10" a="1"/>
  <c r="Q591" i="10" s="1"/>
  <c r="Q487" i="10" a="1"/>
  <c r="Q487" i="10" s="1"/>
  <c r="Q236" i="10" a="1"/>
  <c r="Q236" i="10" s="1"/>
  <c r="Q445" i="10" a="1"/>
  <c r="Q445" i="10" s="1"/>
  <c r="Q832" i="10" a="1"/>
  <c r="Q832" i="10" s="1"/>
  <c r="Q300" i="10" a="1"/>
  <c r="Q300" i="10" s="1"/>
  <c r="Q36" i="10" a="1"/>
  <c r="Q36" i="10" s="1"/>
  <c r="Q155" i="10" a="1"/>
  <c r="Q155" i="10" s="1"/>
  <c r="Q728" i="10" a="1"/>
  <c r="Q728" i="10" s="1"/>
  <c r="Q715" i="10" a="1"/>
  <c r="Q715" i="10" s="1"/>
  <c r="Q1086" i="10" a="1"/>
  <c r="Q1086" i="10" s="1"/>
  <c r="Q77" i="10" a="1"/>
  <c r="Q77" i="10" s="1"/>
  <c r="Q664" i="10" a="1"/>
  <c r="Q664" i="10" s="1"/>
  <c r="Q1073" i="10" a="1"/>
  <c r="Q1073" i="10" s="1"/>
  <c r="Q398" i="10" a="1"/>
  <c r="Q398" i="10" s="1"/>
  <c r="Q877" i="10" a="1"/>
  <c r="Q877" i="10" s="1"/>
  <c r="Q145" i="10" a="1"/>
  <c r="Q145" i="10" s="1"/>
  <c r="Q785" i="10" a="1"/>
  <c r="Q785" i="10" s="1"/>
  <c r="Q683" i="10" a="1"/>
  <c r="Q683" i="10" s="1"/>
  <c r="Q1096" i="10" a="1"/>
  <c r="Q1096" i="10" s="1"/>
  <c r="Q284" i="10" a="1"/>
  <c r="Q284" i="10" s="1"/>
  <c r="Q255" i="10" a="1"/>
  <c r="Q255" i="10" s="1"/>
  <c r="Q739" i="10" a="1"/>
  <c r="Q739" i="10" s="1"/>
  <c r="Q343" i="10" a="1"/>
  <c r="Q343" i="10" s="1"/>
  <c r="Q199" i="10" a="1"/>
  <c r="Q199" i="10" s="1"/>
  <c r="Q28" i="10" a="1"/>
  <c r="Q28" i="10" s="1"/>
  <c r="Q22" i="10" a="1"/>
  <c r="Q22" i="10" s="1"/>
  <c r="Q72" i="10" a="1"/>
  <c r="Q72" i="10" s="1"/>
  <c r="Q486" i="10" a="1"/>
  <c r="Q486" i="10" s="1"/>
  <c r="Q253" i="10" a="1"/>
  <c r="Q253" i="10" s="1"/>
  <c r="Q19" i="10" a="1"/>
  <c r="Q19" i="10" s="1"/>
  <c r="Q514" i="10" a="1"/>
  <c r="Q514" i="10" s="1"/>
  <c r="Q995" i="10" a="1"/>
  <c r="Q995" i="10" s="1"/>
  <c r="Q775" i="10" a="1"/>
  <c r="Q775" i="10" s="1"/>
  <c r="Q545" i="10" a="1"/>
  <c r="Q545" i="10" s="1"/>
  <c r="Q838" i="10" a="1"/>
  <c r="Q838" i="10" s="1"/>
  <c r="Q296" i="10" a="1"/>
  <c r="Q296" i="10" s="1"/>
  <c r="Q494" i="10" a="1"/>
  <c r="Q494" i="10" s="1"/>
  <c r="Q266" i="10" a="1"/>
  <c r="Q266" i="10" s="1"/>
  <c r="Q136" i="10" a="1"/>
  <c r="Q136" i="10" s="1"/>
  <c r="Q568" i="10" a="1"/>
  <c r="Q568" i="10" s="1"/>
  <c r="Q857" i="10" a="1"/>
  <c r="Q857" i="10" s="1"/>
  <c r="Q315" i="10" a="1"/>
  <c r="Q315" i="10" s="1"/>
  <c r="Q513" i="10" a="1"/>
  <c r="Q513" i="10" s="1"/>
  <c r="Q926" i="10" a="1"/>
  <c r="Q926" i="10" s="1"/>
  <c r="Q632" i="10" a="1"/>
  <c r="Q632" i="10" s="1"/>
  <c r="Q921" i="10" a="1"/>
  <c r="Q921" i="10" s="1"/>
  <c r="Q379" i="10" a="1"/>
  <c r="Q379" i="10" s="1"/>
  <c r="Q577" i="10" a="1"/>
  <c r="Q577" i="10" s="1"/>
  <c r="Q990" i="10" a="1"/>
  <c r="Q990" i="10" s="1"/>
  <c r="Q219" i="10" a="1"/>
  <c r="Q219" i="10" s="1"/>
  <c r="Q651" i="10" a="1"/>
  <c r="Q651" i="10" s="1"/>
  <c r="Q958" i="10" a="1"/>
  <c r="Q958" i="10" s="1"/>
  <c r="Q1159" i="10" a="1"/>
  <c r="Q1159" i="10" s="1"/>
  <c r="Q600" i="10" a="1"/>
  <c r="Q600" i="10" s="1"/>
  <c r="Q1009" i="10" a="1"/>
  <c r="Q1009" i="10" s="1"/>
  <c r="Q167" i="10" a="1"/>
  <c r="Q167" i="10" s="1"/>
  <c r="Q540" i="10" a="1"/>
  <c r="Q540" i="10" s="1"/>
  <c r="Q192" i="10" a="1"/>
  <c r="Q192" i="10" s="1"/>
  <c r="Q85" i="10" a="1"/>
  <c r="Q85" i="10" s="1"/>
  <c r="Q93" i="10" a="1"/>
  <c r="Q93" i="10" s="1"/>
  <c r="Q462" i="10" a="1"/>
  <c r="Q462" i="10" s="1"/>
  <c r="Q1069" i="10" a="1"/>
  <c r="Q1069" i="10" s="1"/>
  <c r="Q209" i="10" a="1"/>
  <c r="Q209" i="10" s="1"/>
  <c r="Q849" i="10" a="1"/>
  <c r="Q849" i="10" s="1"/>
  <c r="Q747" i="10" a="1"/>
  <c r="Q747" i="10" s="1"/>
  <c r="Q49" i="10" a="1"/>
  <c r="Q49" i="10" s="1"/>
  <c r="Q481" i="10" a="1"/>
  <c r="Q481" i="10" s="1"/>
  <c r="Q774" i="10" a="1"/>
  <c r="Q774" i="10" s="1"/>
  <c r="Q232" i="10" a="1"/>
  <c r="Q232" i="10" s="1"/>
  <c r="Q430" i="10" a="1"/>
  <c r="Q430" i="10" s="1"/>
  <c r="Q74" i="10" a="1"/>
  <c r="Q74" i="10" s="1"/>
  <c r="Q344" i="10" a="1"/>
  <c r="Q344" i="10" s="1"/>
  <c r="Q254" i="10" a="1"/>
  <c r="Q254" i="10" s="1"/>
  <c r="Q1160" i="10" a="1"/>
  <c r="Q1160" i="10" s="1"/>
  <c r="Q1022" i="10" a="1"/>
  <c r="Q1022" i="10" s="1"/>
  <c r="Q1118" i="10" a="1"/>
  <c r="Q1118" i="10" s="1"/>
  <c r="Q523" i="10" a="1"/>
  <c r="Q523" i="10" s="1"/>
  <c r="Q792" i="10" a="1"/>
  <c r="Q792" i="10" s="1"/>
  <c r="Q843" i="10" a="1"/>
  <c r="Q843" i="10" s="1"/>
  <c r="Q110" i="10" a="1"/>
  <c r="Q110" i="10" s="1"/>
  <c r="Q558" i="10" a="1"/>
  <c r="Q558" i="10" s="1"/>
  <c r="Q609" i="10" a="1"/>
  <c r="Q609" i="10" s="1"/>
  <c r="Q878" i="10" a="1"/>
  <c r="Q878" i="10" s="1"/>
  <c r="Q929" i="10" a="1"/>
  <c r="Q929" i="10" s="1"/>
  <c r="Q842" i="10" a="1"/>
  <c r="Q842" i="10" s="1"/>
  <c r="Q737" i="10" a="1"/>
  <c r="Q737" i="10" s="1"/>
  <c r="Q552" i="10" a="1"/>
  <c r="Q552" i="10" s="1"/>
  <c r="Q1021" i="10" a="1"/>
  <c r="Q1021" i="10" s="1"/>
  <c r="Q454" i="10" a="1"/>
  <c r="Q454" i="10" s="1"/>
  <c r="Q814" i="10" a="1"/>
  <c r="Q814" i="10" s="1"/>
  <c r="Q81" i="10" a="1"/>
  <c r="Q81" i="10" s="1"/>
  <c r="Q1025" i="10" a="1"/>
  <c r="Q1025" i="10" s="1"/>
  <c r="Q731" i="10" a="1"/>
  <c r="Q731" i="10" s="1"/>
  <c r="Q891" i="10" a="1"/>
  <c r="Q891" i="10" s="1"/>
  <c r="Q698" i="10" a="1"/>
  <c r="Q698" i="10" s="1"/>
  <c r="Q794" i="10" a="1"/>
  <c r="Q794" i="10" s="1"/>
  <c r="Q670" i="10" a="1"/>
  <c r="Q670" i="10" s="1"/>
  <c r="Q257" i="10" a="1"/>
  <c r="Q257" i="10" s="1"/>
  <c r="Q59" i="10" a="1"/>
  <c r="Q59" i="10" s="1"/>
  <c r="Q601" i="10" a="1"/>
  <c r="Q601" i="10" s="1"/>
  <c r="Q312" i="10" a="1"/>
  <c r="Q312" i="10" s="1"/>
  <c r="Q1002" i="10" a="1"/>
  <c r="Q1002" i="10" s="1"/>
  <c r="Q734" i="10" a="1"/>
  <c r="Q734" i="10" s="1"/>
  <c r="Q321" i="10" a="1"/>
  <c r="Q321" i="10" s="1"/>
  <c r="Q123" i="10" a="1"/>
  <c r="Q123" i="10" s="1"/>
  <c r="Q665" i="10" a="1"/>
  <c r="Q665" i="10" s="1"/>
  <c r="Q376" i="10" a="1"/>
  <c r="Q376" i="10" s="1"/>
  <c r="Q472" i="10" a="1"/>
  <c r="Q472" i="10" s="1"/>
  <c r="Q1144" i="10" a="1"/>
  <c r="Q1144" i="10" s="1"/>
  <c r="Q729" i="10" a="1"/>
  <c r="Q729" i="10" s="1"/>
  <c r="Q440" i="10" a="1"/>
  <c r="Q440" i="10" s="1"/>
  <c r="Q347" i="10" a="1"/>
  <c r="Q347" i="10" s="1"/>
  <c r="Q1119" i="10" a="1"/>
  <c r="Q1119" i="10" s="1"/>
  <c r="Q705" i="10" a="1"/>
  <c r="Q705" i="10" s="1"/>
  <c r="Q507" i="10" a="1"/>
  <c r="Q507" i="10" s="1"/>
  <c r="Q1049" i="10" a="1"/>
  <c r="Q1049" i="10" s="1"/>
  <c r="Q760" i="10" a="1"/>
  <c r="Q760" i="10" s="1"/>
  <c r="Q616" i="10" a="1"/>
  <c r="Q616" i="10" s="1"/>
  <c r="Q689" i="10" a="1"/>
  <c r="Q689" i="10" s="1"/>
  <c r="Q830" i="10" a="1"/>
  <c r="Q830" i="10" s="1"/>
  <c r="Q331" i="10" a="1"/>
  <c r="Q331" i="10" s="1"/>
  <c r="Q619" i="10" a="1"/>
  <c r="Q619" i="10" s="1"/>
  <c r="Q685" i="10" a="1"/>
  <c r="Q685" i="10" s="1"/>
  <c r="Q977" i="10" a="1"/>
  <c r="Q977" i="10" s="1"/>
  <c r="Q273" i="10" a="1"/>
  <c r="Q273" i="10" s="1"/>
  <c r="Q170" i="10" a="1"/>
  <c r="Q170" i="10" s="1"/>
  <c r="Q782" i="10" a="1"/>
  <c r="Q782" i="10" s="1"/>
  <c r="Q433" i="10" a="1"/>
  <c r="Q433" i="10" s="1"/>
  <c r="Q24" i="10" a="1"/>
  <c r="Q24" i="10" s="1"/>
  <c r="Q382" i="10" a="1"/>
  <c r="Q382" i="10" s="1"/>
  <c r="Q657" i="10" a="1"/>
  <c r="Q657" i="10" s="1"/>
  <c r="Q75" i="10" a="1"/>
  <c r="Q75" i="10" s="1"/>
  <c r="Q846" i="10" a="1"/>
  <c r="Q846" i="10" s="1"/>
  <c r="Q241" i="10" a="1"/>
  <c r="Q241" i="10" s="1"/>
  <c r="Q939" i="10" a="1"/>
  <c r="Q939" i="10" s="1"/>
  <c r="Q62" i="10" a="1"/>
  <c r="Q62" i="10" s="1"/>
  <c r="Q465" i="10" a="1"/>
  <c r="Q465" i="10" s="1"/>
  <c r="Q554" i="10" a="1"/>
  <c r="Q554" i="10" s="1"/>
  <c r="Q654" i="10" a="1"/>
  <c r="Q654" i="10" s="1"/>
  <c r="Q305" i="10" a="1"/>
  <c r="Q305" i="10" s="1"/>
  <c r="Q1003" i="10" a="1"/>
  <c r="Q1003" i="10" s="1"/>
  <c r="Q190" i="10" a="1"/>
  <c r="Q190" i="10" s="1"/>
  <c r="Q529" i="10" a="1"/>
  <c r="Q529" i="10" s="1"/>
  <c r="Q746" i="10" a="1"/>
  <c r="Q746" i="10" s="1"/>
  <c r="Q718" i="10" a="1"/>
  <c r="Q718" i="10" s="1"/>
  <c r="Q593" i="10" a="1"/>
  <c r="Q593" i="10" s="1"/>
  <c r="Q776" i="10" a="1"/>
  <c r="Q776" i="10" s="1"/>
  <c r="Q890" i="10" a="1"/>
  <c r="Q890" i="10" s="1"/>
  <c r="Q248" i="10" a="1"/>
  <c r="Q248" i="10" s="1"/>
  <c r="Q449" i="10" a="1"/>
  <c r="Q449" i="10" s="1"/>
  <c r="Q587" i="10" a="1"/>
  <c r="Q587" i="10" s="1"/>
  <c r="Q699" i="10" a="1"/>
  <c r="Q699" i="10" s="1"/>
  <c r="Q859" i="10" a="1"/>
  <c r="Q859" i="10" s="1"/>
  <c r="Q973" i="10" a="1"/>
  <c r="Q973" i="10" s="1"/>
  <c r="Q710" i="10" a="1"/>
  <c r="Q710" i="10" s="1"/>
  <c r="Q584" i="10" a="1"/>
  <c r="Q584" i="10" s="1"/>
  <c r="Q171" i="10" a="1"/>
  <c r="Q171" i="10" s="1"/>
  <c r="Q942" i="10" a="1"/>
  <c r="Q942" i="10" s="1"/>
  <c r="Q744" i="10" a="1"/>
  <c r="Q744" i="10" s="1"/>
  <c r="Q1123" i="10" a="1"/>
  <c r="Q1123" i="10" s="1"/>
  <c r="Q993" i="10" a="1"/>
  <c r="Q993" i="10" s="1"/>
  <c r="Q648" i="10" a="1"/>
  <c r="Q648" i="10" s="1"/>
  <c r="Q235" i="10" a="1"/>
  <c r="Q235" i="10" s="1"/>
  <c r="Q1006" i="10" a="1"/>
  <c r="Q1006" i="10" s="1"/>
  <c r="Q808" i="10" a="1"/>
  <c r="Q808" i="10" s="1"/>
  <c r="Q1141" i="10" a="1"/>
  <c r="Q1141" i="10" s="1"/>
  <c r="Q1057" i="10" a="1"/>
  <c r="Q1057" i="10" s="1"/>
  <c r="Q46" i="10" a="1"/>
  <c r="Q46" i="10" s="1"/>
  <c r="Q955" i="10" a="1"/>
  <c r="Q955" i="10" s="1"/>
  <c r="Q390" i="10" a="1"/>
  <c r="Q390" i="10" s="1"/>
  <c r="Q97" i="10" a="1"/>
  <c r="Q97" i="10" s="1"/>
  <c r="Q574" i="10" a="1"/>
  <c r="Q574" i="10" s="1"/>
  <c r="Q974" i="10" a="1"/>
  <c r="Q974" i="10" s="1"/>
  <c r="Q872" i="10" a="1"/>
  <c r="Q872" i="10" s="1"/>
  <c r="Q409" i="10" a="1"/>
  <c r="Q409" i="10" s="1"/>
  <c r="Q267" i="10" a="1"/>
  <c r="Q267" i="10" s="1"/>
  <c r="Q408" i="10" a="1"/>
  <c r="Q408" i="10" s="1"/>
  <c r="Q459" i="10" a="1"/>
  <c r="Q459" i="10" s="1"/>
  <c r="Q638" i="10" a="1"/>
  <c r="Q638" i="10" s="1"/>
  <c r="Q94" i="10" a="1"/>
  <c r="Q94" i="10" s="1"/>
  <c r="Q25" i="10" a="1"/>
  <c r="Q25" i="10" s="1"/>
  <c r="Q602" i="10" a="1"/>
  <c r="Q602" i="10" s="1"/>
  <c r="Q945" i="10" a="1"/>
  <c r="Q945" i="10" s="1"/>
  <c r="Q360" i="10" a="1"/>
  <c r="Q360" i="10" s="1"/>
  <c r="Q520" i="10" a="1"/>
  <c r="Q520" i="10" s="1"/>
  <c r="Q680" i="10" a="1"/>
  <c r="Q680" i="10" s="1"/>
  <c r="Q328" i="10" a="1"/>
  <c r="Q328" i="10" s="1"/>
  <c r="Q488" i="10" a="1"/>
  <c r="Q488" i="10" s="1"/>
  <c r="Q392" i="10" a="1"/>
  <c r="Q392" i="10" s="1"/>
  <c r="Q1140" i="10" a="1"/>
  <c r="Q1140" i="10" s="1"/>
  <c r="Q1094" i="10" a="1"/>
  <c r="Q1094" i="10" s="1"/>
  <c r="Q1038" i="10" a="1"/>
  <c r="Q1038" i="10" s="1"/>
  <c r="Q862" i="10" a="1"/>
  <c r="Q862" i="10" s="1"/>
  <c r="Q865" i="10" a="1"/>
  <c r="Q865" i="10" s="1"/>
  <c r="Q667" i="10" a="1"/>
  <c r="Q667" i="10" s="1"/>
  <c r="Q827" i="10" a="1"/>
  <c r="Q827" i="10" s="1"/>
  <c r="Q1080" i="10" a="1"/>
  <c r="Q1080" i="10" s="1"/>
  <c r="Q1089" i="10" a="1"/>
  <c r="Q1089" i="10" s="1"/>
  <c r="Q33" i="10" a="1"/>
  <c r="Q33" i="10" s="1"/>
  <c r="Q473" i="10" a="1"/>
  <c r="Q473" i="10" s="1"/>
  <c r="Q923" i="10" a="1"/>
  <c r="Q923" i="10" s="1"/>
  <c r="Q413" i="10" a="1"/>
  <c r="Q413" i="10" s="1"/>
  <c r="Q174" i="10" a="1"/>
  <c r="Q174" i="10" s="1"/>
  <c r="Q1083" i="10" a="1"/>
  <c r="Q1083" i="10" s="1"/>
  <c r="Q518" i="10" a="1"/>
  <c r="Q518" i="10" s="1"/>
  <c r="Q225" i="10" a="1"/>
  <c r="Q225" i="10" s="1"/>
  <c r="Q987" i="10" a="1"/>
  <c r="Q987" i="10" s="1"/>
  <c r="Q589" i="10" a="1"/>
  <c r="Q589" i="10" s="1"/>
  <c r="Q238" i="10" a="1"/>
  <c r="Q238" i="10" s="1"/>
  <c r="Q40" i="10" a="1"/>
  <c r="Q40" i="10" s="1"/>
  <c r="Q582" i="10" a="1"/>
  <c r="Q582" i="10" s="1"/>
  <c r="Q289" i="10" a="1"/>
  <c r="Q289" i="10" s="1"/>
  <c r="Q385" i="10" a="1"/>
  <c r="Q385" i="10" s="1"/>
  <c r="Q187" i="10" a="1"/>
  <c r="Q187" i="10" s="1"/>
  <c r="Q646" i="10" a="1"/>
  <c r="Q646" i="10" s="1"/>
  <c r="Q353" i="10" a="1"/>
  <c r="Q353" i="10" s="1"/>
  <c r="Q264" i="10" a="1"/>
  <c r="Q264" i="10" s="1"/>
  <c r="Q650" i="10" a="1"/>
  <c r="Q650" i="10" s="1"/>
  <c r="Q622" i="10" a="1"/>
  <c r="Q622" i="10" s="1"/>
  <c r="Q424" i="10" a="1"/>
  <c r="Q424" i="10" s="1"/>
  <c r="Q966" i="10" a="1"/>
  <c r="Q966" i="10" s="1"/>
  <c r="Q673" i="10" a="1"/>
  <c r="Q673" i="10" s="1"/>
  <c r="Q134" i="10" a="1"/>
  <c r="Q134" i="10" s="1"/>
  <c r="Q363" i="10" a="1"/>
  <c r="Q363" i="10" s="1"/>
  <c r="Q1019" i="10" a="1"/>
  <c r="Q1019" i="10" s="1"/>
  <c r="Q161" i="10" a="1"/>
  <c r="Q161" i="10" s="1"/>
  <c r="Q366" i="10" a="1"/>
  <c r="Q366" i="10" s="1"/>
  <c r="Q417" i="10" a="1"/>
  <c r="Q417" i="10" s="1"/>
  <c r="Q269" i="10" a="1"/>
  <c r="Q269" i="10" s="1"/>
  <c r="Q1166" i="10" a="1"/>
  <c r="Q1166" i="10" s="1"/>
  <c r="Q779" i="10" a="1"/>
  <c r="Q779" i="10" s="1"/>
  <c r="Q925" i="10" a="1"/>
  <c r="Q925" i="10" s="1"/>
  <c r="Q350" i="10" a="1"/>
  <c r="Q350" i="10" s="1"/>
  <c r="Q1048" i="10" a="1"/>
  <c r="Q1048" i="10" s="1"/>
  <c r="Q122" i="10" a="1"/>
  <c r="Q122" i="10" s="1"/>
  <c r="Q281" i="10" a="1"/>
  <c r="Q281" i="10" s="1"/>
  <c r="Q1099" i="10" a="1"/>
  <c r="Q1099" i="10" s="1"/>
  <c r="Q365" i="10" a="1"/>
  <c r="Q365" i="10" s="1"/>
  <c r="Q158" i="10" a="1"/>
  <c r="Q158" i="10" s="1"/>
  <c r="Q856" i="10" a="1"/>
  <c r="Q856" i="10" s="1"/>
  <c r="Q637" i="10" a="1"/>
  <c r="Q637" i="10" s="1"/>
  <c r="Q89" i="10" a="1"/>
  <c r="Q89" i="10" s="1"/>
  <c r="Q907" i="10" a="1"/>
  <c r="Q907" i="10" s="1"/>
  <c r="Q541" i="10" a="1"/>
  <c r="Q541" i="10" s="1"/>
  <c r="Q222" i="10" a="1"/>
  <c r="Q222" i="10" s="1"/>
  <c r="Q920" i="10" a="1"/>
  <c r="Q920" i="10" s="1"/>
  <c r="Q829" i="10" a="1"/>
  <c r="Q829" i="10" s="1"/>
  <c r="Q153" i="10" a="1"/>
  <c r="Q153" i="10" s="1"/>
  <c r="Q971" i="10" a="1"/>
  <c r="Q971" i="10" s="1"/>
  <c r="Q1067" i="10" a="1"/>
  <c r="Q1067" i="10" s="1"/>
  <c r="Q1152" i="10" a="1"/>
  <c r="Q1152" i="10" s="1"/>
  <c r="Q221" i="10" a="1"/>
  <c r="Q221" i="10" s="1"/>
  <c r="Q936" i="10" a="1"/>
  <c r="Q936" i="10" s="1"/>
  <c r="Q78" i="10" a="1"/>
  <c r="Q78" i="10" s="1"/>
  <c r="Q401" i="10" a="1"/>
  <c r="Q401" i="10" s="1"/>
  <c r="Q334" i="10" a="1"/>
  <c r="Q334" i="10" s="1"/>
  <c r="Q217" i="10" a="1"/>
  <c r="Q217" i="10" s="1"/>
  <c r="Q606" i="10" a="1"/>
  <c r="Q606" i="10" s="1"/>
  <c r="Q536" i="10" a="1"/>
  <c r="Q536" i="10" s="1"/>
  <c r="Q504" i="10" a="1"/>
  <c r="Q504" i="10" s="1"/>
  <c r="Q497" i="10" a="1"/>
  <c r="Q497" i="10" s="1"/>
  <c r="Q88" i="10" a="1"/>
  <c r="Q88" i="10" s="1"/>
  <c r="Q510" i="10" a="1"/>
  <c r="Q510" i="10" s="1"/>
  <c r="Q721" i="10" a="1"/>
  <c r="Q721" i="10" s="1"/>
  <c r="Q139" i="10" a="1"/>
  <c r="Q139" i="10" s="1"/>
  <c r="Q910" i="10" a="1"/>
  <c r="Q910" i="10" s="1"/>
  <c r="Q561" i="10" a="1"/>
  <c r="Q561" i="10" s="1"/>
  <c r="Q152" i="10" a="1"/>
  <c r="Q152" i="10" s="1"/>
  <c r="Q913" i="10" a="1"/>
  <c r="Q913" i="10" s="1"/>
  <c r="Q203" i="10" a="1"/>
  <c r="Q203" i="10" s="1"/>
  <c r="Q1070" i="10" a="1"/>
  <c r="Q1070" i="10" s="1"/>
  <c r="Q1162" i="10" a="1"/>
  <c r="Q1162" i="10" s="1"/>
  <c r="Q270" i="10" a="1"/>
  <c r="Q270" i="10" s="1"/>
  <c r="Q120" i="10" a="1"/>
  <c r="Q120" i="10" s="1"/>
  <c r="Q1131" i="10" a="1"/>
  <c r="Q1131" i="10" s="1"/>
  <c r="Q753" i="10" a="1"/>
  <c r="Q753" i="10" s="1"/>
  <c r="Q894" i="10" a="1"/>
  <c r="Q894" i="10" s="1"/>
  <c r="Q395" i="10" a="1"/>
  <c r="Q395" i="10" s="1"/>
  <c r="Q817" i="10" a="1"/>
  <c r="Q817" i="10" s="1"/>
  <c r="Q446" i="10" a="1"/>
  <c r="Q446" i="10" s="1"/>
  <c r="Q1163" i="10" a="1"/>
  <c r="Q1163" i="10" s="1"/>
  <c r="Q173" i="10" a="1"/>
  <c r="Q173" i="10" s="1"/>
  <c r="Q461" i="10" a="1"/>
  <c r="Q461" i="10" s="1"/>
  <c r="Q318" i="10" a="1"/>
  <c r="Q318" i="10" s="1"/>
  <c r="Q423" i="10" a="1"/>
  <c r="Q423" i="10" s="1"/>
  <c r="Q766" i="10" a="1"/>
  <c r="Q766" i="10" s="1"/>
  <c r="Q902" i="10" a="1"/>
  <c r="Q902" i="10" s="1"/>
  <c r="Q107" i="10" a="1"/>
  <c r="Q107" i="10" s="1"/>
  <c r="Q1169" i="10" a="1"/>
  <c r="Q1169" i="10" s="1"/>
  <c r="Q686" i="10" a="1"/>
  <c r="Q686" i="10" s="1"/>
  <c r="Q1030" i="10" a="1"/>
  <c r="Q1030" i="10" s="1"/>
  <c r="Q750" i="10" a="1"/>
  <c r="Q750" i="10" s="1"/>
  <c r="Q801" i="10" a="1"/>
  <c r="Q801" i="10" s="1"/>
  <c r="Q1128" i="10" a="1"/>
  <c r="Q1128" i="10" s="1"/>
  <c r="Q793" i="10" a="1"/>
  <c r="Q793" i="10" s="1"/>
  <c r="Q1032" i="10" a="1"/>
  <c r="Q1032" i="10" s="1"/>
  <c r="Q1130" i="10" a="1"/>
  <c r="Q1130" i="10" s="1"/>
  <c r="Q262" i="10" a="1"/>
  <c r="Q262" i="10" s="1"/>
  <c r="Q1143" i="10" a="1"/>
  <c r="Q1143" i="10" s="1"/>
  <c r="Q326" i="10" a="1"/>
  <c r="Q326" i="10" s="1"/>
  <c r="Q129" i="10" a="1"/>
  <c r="Q129" i="10" s="1"/>
  <c r="Q184" i="10" a="1"/>
  <c r="Q184" i="10" s="1"/>
  <c r="Q840" i="10" a="1"/>
  <c r="Q840" i="10" s="1"/>
  <c r="Q427" i="10" a="1"/>
  <c r="Q427" i="10" s="1"/>
  <c r="Q1145" i="10" a="1"/>
  <c r="Q1145" i="10" s="1"/>
  <c r="Q1000" i="10" a="1"/>
  <c r="Q1000" i="10" s="1"/>
  <c r="Q125" i="10" a="1"/>
  <c r="Q125" i="10" s="1"/>
  <c r="Q142" i="10" a="1"/>
  <c r="Q142" i="10" s="1"/>
  <c r="Q904" i="10" a="1"/>
  <c r="Q904" i="10" s="1"/>
  <c r="Q491" i="10" a="1"/>
  <c r="Q491" i="10" s="1"/>
  <c r="Q1150" i="10" a="1"/>
  <c r="Q1150" i="10" s="1"/>
  <c r="Q1064" i="10" a="1"/>
  <c r="Q1064" i="10" s="1"/>
  <c r="Q333" i="10" a="1"/>
  <c r="Q333" i="10" s="1"/>
  <c r="Q206" i="10" a="1"/>
  <c r="Q206" i="10" s="1"/>
  <c r="Q302" i="10" a="1"/>
  <c r="Q302" i="10" s="1"/>
  <c r="Q104" i="10" a="1"/>
  <c r="Q104" i="10" s="1"/>
  <c r="Q509" i="10" a="1"/>
  <c r="Q509" i="10" s="1"/>
  <c r="Q526" i="10" a="1"/>
  <c r="Q526" i="10" s="1"/>
  <c r="Q177" i="10" a="1"/>
  <c r="Q177" i="10" s="1"/>
  <c r="Q875" i="10" a="1"/>
  <c r="Q875" i="10" s="1"/>
  <c r="Q1041" i="10" a="1"/>
  <c r="Q1041" i="10" s="1"/>
  <c r="Q337" i="10" a="1"/>
  <c r="Q337" i="10" s="1"/>
  <c r="Q362" i="10" a="1"/>
  <c r="Q362" i="10" s="1"/>
  <c r="Q590" i="10" a="1"/>
  <c r="Q590" i="10" s="1"/>
  <c r="Q952" i="10" a="1"/>
  <c r="Q952" i="10" s="1"/>
  <c r="Q193" i="10" a="1"/>
  <c r="Q193" i="10" s="1"/>
  <c r="Q537" i="10" a="1"/>
  <c r="Q537" i="10" s="1"/>
  <c r="Q91" i="10" a="1"/>
  <c r="Q91" i="10" s="1"/>
  <c r="Q251" i="10" a="1"/>
  <c r="Q251" i="10" s="1"/>
  <c r="Q641" i="10" a="1"/>
  <c r="Q641" i="10" s="1"/>
  <c r="Q443" i="10" a="1"/>
  <c r="Q443" i="10" s="1"/>
  <c r="Q985" i="10" a="1"/>
  <c r="Q985" i="10" s="1"/>
  <c r="Q696" i="10" a="1"/>
  <c r="Q696" i="10" s="1"/>
  <c r="Q603" i="10" a="1"/>
  <c r="Q603" i="10" s="1"/>
  <c r="Q1161" i="10" a="1"/>
  <c r="Q1161" i="10" s="1"/>
  <c r="Q961" i="10" a="1"/>
  <c r="Q961" i="10" s="1"/>
  <c r="Q763" i="10" a="1"/>
  <c r="Q763" i="10" s="1"/>
  <c r="Q198" i="10" a="1"/>
  <c r="Q198" i="10" s="1"/>
  <c r="Q1016" i="10" a="1"/>
  <c r="Q1016" i="10" s="1"/>
  <c r="Q411" i="10" a="1"/>
  <c r="Q411" i="10" s="1"/>
  <c r="Q1129" i="10" a="1"/>
  <c r="Q1129" i="10" s="1"/>
  <c r="Q769" i="10" a="1"/>
  <c r="Q769" i="10" s="1"/>
  <c r="Q571" i="10" a="1"/>
  <c r="Q571" i="10" s="1"/>
  <c r="Q1113" i="10" a="1"/>
  <c r="Q1113" i="10" s="1"/>
  <c r="Q824" i="10" a="1"/>
  <c r="Q824" i="10" s="1"/>
  <c r="Q475" i="10" a="1"/>
  <c r="Q475" i="10" s="1"/>
  <c r="Q1134" i="10" a="1"/>
  <c r="Q1134" i="10" s="1"/>
  <c r="Q833" i="10" a="1"/>
  <c r="Q833" i="10" s="1"/>
  <c r="Q635" i="10" a="1"/>
  <c r="Q635" i="10" s="1"/>
  <c r="Q70" i="10" a="1"/>
  <c r="Q70" i="10" s="1"/>
  <c r="Q888" i="10" a="1"/>
  <c r="Q888" i="10" s="1"/>
  <c r="Q897" i="10" a="1"/>
  <c r="Q897" i="10" s="1"/>
  <c r="Q1035" i="10" a="1"/>
  <c r="Q1035" i="10" s="1"/>
  <c r="Q280" i="10" a="1"/>
  <c r="Q280" i="10" s="1"/>
  <c r="Q126" i="10" a="1"/>
  <c r="Q126" i="10" s="1"/>
  <c r="Q1115" i="10" a="1"/>
  <c r="Q1115" i="10" s="1"/>
  <c r="Q168" i="10" a="1"/>
  <c r="Q168" i="10" s="1"/>
  <c r="Q984" i="10" a="1"/>
  <c r="Q984" i="10" s="1"/>
  <c r="Q938" i="10" a="1"/>
  <c r="Q938" i="10" s="1"/>
  <c r="Q1102" i="10" a="1"/>
  <c r="Q1102" i="10" s="1"/>
  <c r="Q1146" i="10" a="1"/>
  <c r="Q1146" i="10" s="1"/>
  <c r="Q1117" i="10" a="1"/>
  <c r="Q1117" i="10" s="1"/>
  <c r="Q414" i="10" a="1"/>
  <c r="Q414" i="10" s="1"/>
  <c r="Q1112" i="10" a="1"/>
  <c r="Q1112" i="10" s="1"/>
  <c r="Q314" i="10" a="1"/>
  <c r="Q314" i="10" s="1"/>
  <c r="Q345" i="10" a="1"/>
  <c r="Q345" i="10" s="1"/>
  <c r="Q56" i="10" a="1"/>
  <c r="Q56" i="10" s="1"/>
  <c r="Q218" i="10" a="1"/>
  <c r="Q218" i="10" s="1"/>
  <c r="Q478" i="10" a="1"/>
  <c r="Q478" i="10" s="1"/>
  <c r="Q65" i="10" a="1"/>
  <c r="Q65" i="10" s="1"/>
  <c r="Q506" i="10" a="1"/>
  <c r="Q506" i="10" s="1"/>
  <c r="Q216" i="10" a="1"/>
  <c r="Q216" i="10" s="1"/>
  <c r="Q702" i="10" a="1"/>
  <c r="Q702" i="10" s="1"/>
  <c r="Q1105" i="10" a="1"/>
  <c r="Q1105" i="10" s="1"/>
  <c r="R11" i="10" l="1" a="1"/>
  <c r="R11" i="10" s="1"/>
  <c r="S11" i="10" s="1"/>
  <c r="R12" i="10" a="1"/>
  <c r="R12" i="10" s="1"/>
  <c r="S12" i="10" s="1"/>
  <c r="R13" i="10" a="1"/>
  <c r="R13" i="10" s="1"/>
  <c r="S13" i="10" s="1"/>
  <c r="R14" i="10" a="1"/>
  <c r="R14" i="10" s="1"/>
  <c r="S14" i="10" s="1"/>
  <c r="R15" i="10" a="1"/>
  <c r="R15" i="10" s="1"/>
  <c r="S15" i="10" s="1"/>
  <c r="R16" i="10" a="1"/>
  <c r="R16" i="10" s="1"/>
  <c r="K6065" i="13"/>
  <c r="L6065" i="13" s="1"/>
  <c r="I6066" i="13" s="1"/>
  <c r="K6087" i="14"/>
  <c r="L6087" i="14" s="1"/>
  <c r="I6088" i="14" s="1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J6250" i="14" a="1"/>
  <c r="J6250" i="14" s="1"/>
  <c r="R1157" i="10" a="1"/>
  <c r="R1157" i="10" s="1"/>
  <c r="S1157" i="10" s="1"/>
  <c r="R874" i="10" a="1"/>
  <c r="R874" i="10" s="1"/>
  <c r="S874" i="10" s="1"/>
  <c r="R799" i="10" a="1"/>
  <c r="R799" i="10" s="1"/>
  <c r="S799" i="10" s="1"/>
  <c r="R248" i="10" a="1"/>
  <c r="R248" i="10" s="1"/>
  <c r="S248" i="10" s="1"/>
  <c r="R479" i="10" a="1"/>
  <c r="R479" i="10" s="1"/>
  <c r="S479" i="10" s="1"/>
  <c r="R1035" i="10" a="1"/>
  <c r="R1035" i="10" s="1"/>
  <c r="S1035" i="10" s="1"/>
  <c r="R404" i="10" a="1"/>
  <c r="R404" i="10" s="1"/>
  <c r="S404" i="10" s="1"/>
  <c r="R944" i="10" a="1"/>
  <c r="R944" i="10" s="1"/>
  <c r="S944" i="10" s="1"/>
  <c r="R181" i="10" a="1"/>
  <c r="R181" i="10" s="1"/>
  <c r="S181" i="10" s="1"/>
  <c r="R641" i="10" a="1"/>
  <c r="R641" i="10" s="1"/>
  <c r="S641" i="10" s="1"/>
  <c r="R62" i="10" a="1"/>
  <c r="R62" i="10" s="1"/>
  <c r="S62" i="10" s="1"/>
  <c r="R618" i="10" a="1"/>
  <c r="R618" i="10" s="1"/>
  <c r="S618" i="10" s="1"/>
  <c r="R856" i="10" a="1"/>
  <c r="R856" i="10" s="1"/>
  <c r="S856" i="10" s="1"/>
  <c r="R978" i="10" a="1"/>
  <c r="R978" i="10" s="1"/>
  <c r="S978" i="10" s="1"/>
  <c r="R831" i="10" a="1"/>
  <c r="R831" i="10" s="1"/>
  <c r="S831" i="10" s="1"/>
  <c r="R280" i="10" a="1"/>
  <c r="R280" i="10" s="1"/>
  <c r="S280" i="10" s="1"/>
  <c r="R594" i="10" a="1"/>
  <c r="R594" i="10" s="1"/>
  <c r="S594" i="10" s="1"/>
  <c r="R447" i="10" a="1"/>
  <c r="R447" i="10" s="1"/>
  <c r="S447" i="10" s="1"/>
  <c r="R785" i="10" a="1"/>
  <c r="R785" i="10" s="1"/>
  <c r="S785" i="10" s="1"/>
  <c r="R206" i="10" a="1"/>
  <c r="R206" i="10" s="1"/>
  <c r="S206" i="10" s="1"/>
  <c r="R698" i="10" a="1"/>
  <c r="R698" i="10" s="1"/>
  <c r="S698" i="10" s="1"/>
  <c r="R131" i="10" a="1"/>
  <c r="R131" i="10" s="1"/>
  <c r="S131" i="10" s="1"/>
  <c r="R591" i="10" a="1"/>
  <c r="R591" i="10" s="1"/>
  <c r="S591" i="10" s="1"/>
  <c r="R40" i="10" a="1"/>
  <c r="R40" i="10" s="1"/>
  <c r="S40" i="10" s="1"/>
  <c r="R580" i="10" a="1"/>
  <c r="R580" i="10" s="1"/>
  <c r="S580" i="10" s="1"/>
  <c r="R1118" i="10" a="1"/>
  <c r="R1118" i="10" s="1"/>
  <c r="S1118" i="10" s="1"/>
  <c r="R220" i="10" a="1"/>
  <c r="R220" i="10" s="1"/>
  <c r="S220" i="10" s="1"/>
  <c r="R760" i="10" a="1"/>
  <c r="R760" i="10" s="1"/>
  <c r="S760" i="10" s="1"/>
  <c r="R991" i="10" a="1"/>
  <c r="R991" i="10" s="1"/>
  <c r="S991" i="10" s="1"/>
  <c r="R440" i="10" a="1"/>
  <c r="R440" i="10" s="1"/>
  <c r="S440" i="10" s="1"/>
  <c r="R916" i="10" a="1"/>
  <c r="R916" i="10" s="1"/>
  <c r="S916" i="10" s="1"/>
  <c r="R153" i="10" a="1"/>
  <c r="R153" i="10" s="1"/>
  <c r="S153" i="10" s="1"/>
  <c r="R693" i="10" a="1"/>
  <c r="R693" i="10" s="1"/>
  <c r="S693" i="10" s="1"/>
  <c r="R34" i="10" a="1"/>
  <c r="R34" i="10" s="1"/>
  <c r="S34" i="10" s="1"/>
  <c r="R574" i="10" a="1"/>
  <c r="R574" i="10" s="1"/>
  <c r="S574" i="10" s="1"/>
  <c r="R23" i="10" a="1"/>
  <c r="R23" i="10" s="1"/>
  <c r="S23" i="10" s="1"/>
  <c r="R31" i="10" a="1"/>
  <c r="R31" i="10" s="1"/>
  <c r="S31" i="10" s="1"/>
  <c r="R587" i="10" a="1"/>
  <c r="R587" i="10" s="1"/>
  <c r="S587" i="10" s="1"/>
  <c r="R913" i="10" a="1"/>
  <c r="R913" i="10" s="1"/>
  <c r="S913" i="10" s="1"/>
  <c r="R826" i="10" a="1"/>
  <c r="R826" i="10" s="1"/>
  <c r="S826" i="10" s="1"/>
  <c r="R168" i="10" a="1"/>
  <c r="R168" i="10" s="1"/>
  <c r="S168" i="10" s="1"/>
  <c r="R708" i="10" a="1"/>
  <c r="R708" i="10" s="1"/>
  <c r="S708" i="10" s="1"/>
  <c r="R273" i="10" a="1"/>
  <c r="R273" i="10" s="1"/>
  <c r="S273" i="10" s="1"/>
  <c r="R79" i="10" a="1"/>
  <c r="R79" i="10" s="1"/>
  <c r="S79" i="10" s="1"/>
  <c r="R608" i="10" a="1"/>
  <c r="R608" i="10" s="1"/>
  <c r="S608" i="10" s="1"/>
  <c r="R561" i="10" a="1"/>
  <c r="R561" i="10" s="1"/>
  <c r="S561" i="10" s="1"/>
  <c r="R380" i="10" a="1"/>
  <c r="R380" i="10" s="1"/>
  <c r="S380" i="10" s="1"/>
  <c r="R788" i="10" a="1"/>
  <c r="R788" i="10" s="1"/>
  <c r="S788" i="10" s="1"/>
  <c r="R1025" i="10" a="1"/>
  <c r="R1025" i="10" s="1"/>
  <c r="S1025" i="10" s="1"/>
  <c r="R435" i="10" a="1"/>
  <c r="R435" i="10" s="1"/>
  <c r="S435" i="10" s="1"/>
  <c r="R779" i="10" a="1"/>
  <c r="R779" i="10" s="1"/>
  <c r="S779" i="10" s="1"/>
  <c r="R385" i="10" a="1"/>
  <c r="R385" i="10" s="1"/>
  <c r="S385" i="10" s="1"/>
  <c r="R882" i="10" a="1"/>
  <c r="R882" i="10" s="1"/>
  <c r="S882" i="10" s="1"/>
  <c r="R562" i="10" a="1"/>
  <c r="R562" i="10" s="1"/>
  <c r="S562" i="10" s="1"/>
  <c r="R1102" i="10" a="1"/>
  <c r="R1102" i="10" s="1"/>
  <c r="S1102" i="10" s="1"/>
  <c r="R487" i="10" a="1"/>
  <c r="R487" i="10" s="1"/>
  <c r="S487" i="10" s="1"/>
  <c r="R1027" i="10" a="1"/>
  <c r="R1027" i="10" s="1"/>
  <c r="S1027" i="10" s="1"/>
  <c r="R396" i="10" a="1"/>
  <c r="R396" i="10" s="1"/>
  <c r="S396" i="10" s="1"/>
  <c r="R936" i="10" a="1"/>
  <c r="R936" i="10" s="1"/>
  <c r="S936" i="10" s="1"/>
  <c r="R157" i="10" a="1"/>
  <c r="R157" i="10" s="1"/>
  <c r="S157" i="10" s="1"/>
  <c r="R1042" i="10" a="1"/>
  <c r="R1042" i="10" s="1"/>
  <c r="S1042" i="10" s="1"/>
  <c r="R191" i="10" a="1"/>
  <c r="R191" i="10" s="1"/>
  <c r="S191" i="10" s="1"/>
  <c r="R49" i="10" a="1"/>
  <c r="R49" i="10" s="1"/>
  <c r="S49" i="10" s="1"/>
  <c r="R914" i="10" a="1"/>
  <c r="R914" i="10" s="1"/>
  <c r="S914" i="10" s="1"/>
  <c r="R786" i="10" a="1"/>
  <c r="R786" i="10" s="1"/>
  <c r="S786" i="10" s="1"/>
  <c r="R689" i="10" a="1"/>
  <c r="R689" i="10" s="1"/>
  <c r="S689" i="10" s="1"/>
  <c r="R1003" i="10" a="1"/>
  <c r="R1003" i="10" s="1"/>
  <c r="S1003" i="10" s="1"/>
  <c r="R540" i="10" a="1"/>
  <c r="R540" i="10" s="1"/>
  <c r="S540" i="10" s="1"/>
  <c r="R1080" i="10" a="1"/>
  <c r="R1080" i="10" s="1"/>
  <c r="S1080" i="10" s="1"/>
  <c r="R237" i="10" a="1"/>
  <c r="R237" i="10" s="1"/>
  <c r="S237" i="10" s="1"/>
  <c r="R793" i="10" a="1"/>
  <c r="R793" i="10" s="1"/>
  <c r="S793" i="10" s="1"/>
  <c r="R214" i="10" a="1"/>
  <c r="R214" i="10" s="1"/>
  <c r="S214" i="10" s="1"/>
  <c r="R674" i="10" a="1"/>
  <c r="R674" i="10" s="1"/>
  <c r="S674" i="10" s="1"/>
  <c r="R123" i="10" a="1"/>
  <c r="R123" i="10" s="1"/>
  <c r="S123" i="10" s="1"/>
  <c r="R663" i="10" a="1"/>
  <c r="R663" i="10" s="1"/>
  <c r="S663" i="10" s="1"/>
  <c r="R96" i="10" a="1"/>
  <c r="R96" i="10" s="1"/>
  <c r="S96" i="10" s="1"/>
  <c r="R287" i="10" a="1"/>
  <c r="R287" i="10" s="1"/>
  <c r="S287" i="10" s="1"/>
  <c r="R843" i="10" a="1"/>
  <c r="R843" i="10" s="1"/>
  <c r="S843" i="10" s="1"/>
  <c r="R1074" i="10" a="1"/>
  <c r="R1074" i="10" s="1"/>
  <c r="S1074" i="10" s="1"/>
  <c r="R523" i="10" a="1"/>
  <c r="R523" i="10" s="1"/>
  <c r="S523" i="10" s="1"/>
  <c r="R999" i="10" a="1"/>
  <c r="R999" i="10" s="1"/>
  <c r="S999" i="10" s="1"/>
  <c r="R432" i="10" a="1"/>
  <c r="R432" i="10" s="1"/>
  <c r="S432" i="10" s="1"/>
  <c r="R908" i="10" a="1"/>
  <c r="R908" i="10" s="1"/>
  <c r="S908" i="10" s="1"/>
  <c r="R129" i="10" a="1"/>
  <c r="R129" i="10" s="1"/>
  <c r="S129" i="10" s="1"/>
  <c r="R669" i="10" a="1"/>
  <c r="R669" i="10" s="1"/>
  <c r="S669" i="10" s="1"/>
  <c r="R114" i="10" a="1"/>
  <c r="R114" i="10" s="1"/>
  <c r="S114" i="10" s="1"/>
  <c r="R668" i="10" a="1"/>
  <c r="R668" i="10" s="1"/>
  <c r="S668" i="10" s="1"/>
  <c r="R1159" i="10" a="1"/>
  <c r="R1159" i="10" s="1"/>
  <c r="S1159" i="10" s="1"/>
  <c r="R365" i="10" a="1"/>
  <c r="R365" i="10" s="1"/>
  <c r="S365" i="10" s="1"/>
  <c r="R921" i="10" a="1"/>
  <c r="R921" i="10" s="1"/>
  <c r="S921" i="10" s="1"/>
  <c r="R342" i="10" a="1"/>
  <c r="R342" i="10" s="1"/>
  <c r="S342" i="10" s="1"/>
  <c r="R802" i="10" a="1"/>
  <c r="R802" i="10" s="1"/>
  <c r="S802" i="10" s="1"/>
  <c r="R251" i="10" a="1"/>
  <c r="R251" i="10" s="1"/>
  <c r="S251" i="10" s="1"/>
  <c r="R791" i="10" a="1"/>
  <c r="R791" i="10" s="1"/>
  <c r="S791" i="10" s="1"/>
  <c r="R28" i="10" a="1"/>
  <c r="R28" i="10" s="1"/>
  <c r="S28" i="10" s="1"/>
  <c r="R568" i="10" a="1"/>
  <c r="R568" i="10" s="1"/>
  <c r="S568" i="10" s="1"/>
  <c r="R1044" i="10" a="1"/>
  <c r="R1044" i="10" s="1"/>
  <c r="S1044" i="10" s="1"/>
  <c r="R281" i="10" a="1"/>
  <c r="R281" i="10" s="1"/>
  <c r="S281" i="10" s="1"/>
  <c r="R821" i="10" a="1"/>
  <c r="R821" i="10" s="1"/>
  <c r="S821" i="10" s="1"/>
  <c r="R162" i="10" a="1"/>
  <c r="R162" i="10" s="1"/>
  <c r="S162" i="10" s="1"/>
  <c r="R702" i="10" a="1"/>
  <c r="R702" i="10" s="1"/>
  <c r="S702" i="10" s="1"/>
  <c r="R151" i="10" a="1"/>
  <c r="R151" i="10" s="1"/>
  <c r="S151" i="10" s="1"/>
  <c r="R691" i="10" a="1"/>
  <c r="R691" i="10" s="1"/>
  <c r="S691" i="10" s="1"/>
  <c r="R664" i="10" a="1"/>
  <c r="R664" i="10" s="1"/>
  <c r="S664" i="10" s="1"/>
  <c r="R113" i="10" a="1"/>
  <c r="R113" i="10" s="1"/>
  <c r="S113" i="10" s="1"/>
  <c r="R344" i="10" a="1"/>
  <c r="R344" i="10" s="1"/>
  <c r="S344" i="10" s="1"/>
  <c r="R146" i="10" a="1"/>
  <c r="R146" i="10" s="1"/>
  <c r="S146" i="10" s="1"/>
  <c r="R700" i="10" a="1"/>
  <c r="R700" i="10" s="1"/>
  <c r="S700" i="10" s="1"/>
  <c r="R1136" i="10" a="1"/>
  <c r="R1136" i="10" s="1"/>
  <c r="S1136" i="10" s="1"/>
  <c r="R946" i="10" a="1"/>
  <c r="R946" i="10" s="1"/>
  <c r="S946" i="10" s="1"/>
  <c r="R395" i="10" a="1"/>
  <c r="R395" i="10" s="1"/>
  <c r="S395" i="10" s="1"/>
  <c r="R871" i="10" a="1"/>
  <c r="R871" i="10" s="1"/>
  <c r="S871" i="10" s="1"/>
  <c r="R304" i="10" a="1"/>
  <c r="R304" i="10" s="1"/>
  <c r="S304" i="10" s="1"/>
  <c r="R780" i="10" a="1"/>
  <c r="R780" i="10" s="1"/>
  <c r="S780" i="10" s="1"/>
  <c r="R1169" i="10" a="1"/>
  <c r="R1169" i="10" s="1"/>
  <c r="S1169" i="10" s="1"/>
  <c r="R541" i="10" a="1"/>
  <c r="R541" i="10" s="1"/>
  <c r="S541" i="10" s="1"/>
  <c r="R1097" i="10" a="1"/>
  <c r="R1097" i="10" s="1"/>
  <c r="S1097" i="10" s="1"/>
  <c r="R476" i="10" a="1"/>
  <c r="R476" i="10" s="1"/>
  <c r="S476" i="10" s="1"/>
  <c r="R1016" i="10" a="1"/>
  <c r="R1016" i="10" s="1"/>
  <c r="S1016" i="10" s="1"/>
  <c r="R306" i="10" a="1"/>
  <c r="R306" i="10" s="1"/>
  <c r="S306" i="10" s="1"/>
  <c r="R846" i="10" a="1"/>
  <c r="R846" i="10" s="1"/>
  <c r="S846" i="10" s="1"/>
  <c r="R231" i="10" a="1"/>
  <c r="R231" i="10" s="1"/>
  <c r="S231" i="10" s="1"/>
  <c r="R771" i="10" a="1"/>
  <c r="R771" i="10" s="1"/>
  <c r="S771" i="10" s="1"/>
  <c r="R140" i="10" a="1"/>
  <c r="R140" i="10" s="1"/>
  <c r="S140" i="10" s="1"/>
  <c r="R680" i="10" a="1"/>
  <c r="R680" i="10" s="1"/>
  <c r="S680" i="10" s="1"/>
  <c r="R1171" i="10" a="1"/>
  <c r="R1171" i="10" s="1"/>
  <c r="S1171" i="10" s="1"/>
  <c r="R95" i="10" a="1"/>
  <c r="R95" i="10" s="1"/>
  <c r="S95" i="10" s="1"/>
  <c r="R20" i="10" a="1"/>
  <c r="R20" i="10" s="1"/>
  <c r="S20" i="10" s="1"/>
  <c r="R1036" i="10" a="1"/>
  <c r="R1036" i="10" s="1"/>
  <c r="S1036" i="10" s="1"/>
  <c r="R797" i="10" a="1"/>
  <c r="R797" i="10" s="1"/>
  <c r="S797" i="10" s="1"/>
  <c r="R828" i="10" a="1"/>
  <c r="R828" i="10" s="1"/>
  <c r="S828" i="10" s="1"/>
  <c r="R241" i="10" a="1"/>
  <c r="R241" i="10" s="1"/>
  <c r="S241" i="10" s="1"/>
  <c r="R216" i="10" a="1"/>
  <c r="R216" i="10" s="1"/>
  <c r="S216" i="10" s="1"/>
  <c r="R462" i="10" a="1"/>
  <c r="R462" i="10" s="1"/>
  <c r="S462" i="10" s="1"/>
  <c r="R387" i="10" a="1"/>
  <c r="R387" i="10" s="1"/>
  <c r="S387" i="10" s="1"/>
  <c r="R847" i="10" a="1"/>
  <c r="R847" i="10" s="1"/>
  <c r="S847" i="10" s="1"/>
  <c r="R836" i="10" a="1"/>
  <c r="R836" i="10" s="1"/>
  <c r="S836" i="10" s="1"/>
  <c r="R1099" i="10" a="1"/>
  <c r="R1099" i="10" s="1"/>
  <c r="S1099" i="10" s="1"/>
  <c r="R1131" i="10" a="1"/>
  <c r="R1131" i="10" s="1"/>
  <c r="S1131" i="10" s="1"/>
  <c r="R877" i="10" a="1"/>
  <c r="R877" i="10" s="1"/>
  <c r="S877" i="10" s="1"/>
  <c r="R854" i="10" a="1"/>
  <c r="R854" i="10" s="1"/>
  <c r="S854" i="10" s="1"/>
  <c r="R763" i="10" a="1"/>
  <c r="R763" i="10" s="1"/>
  <c r="S763" i="10" s="1"/>
  <c r="R178" i="10" a="1"/>
  <c r="R178" i="10" s="1"/>
  <c r="S178" i="10" s="1"/>
  <c r="R103" i="10" a="1"/>
  <c r="R103" i="10" s="1"/>
  <c r="S103" i="10" s="1"/>
  <c r="R1103" i="10" a="1"/>
  <c r="R1103" i="10" s="1"/>
  <c r="S1103" i="10" s="1"/>
  <c r="R1092" i="10" a="1"/>
  <c r="R1092" i="10" s="1"/>
  <c r="S1092" i="10" s="1"/>
  <c r="R305" i="10" a="1"/>
  <c r="R305" i="10" s="1"/>
  <c r="S305" i="10" s="1"/>
  <c r="R1087" i="10" a="1"/>
  <c r="R1087" i="10" s="1"/>
  <c r="S1087" i="10" s="1"/>
  <c r="R850" i="10" a="1"/>
  <c r="R850" i="10" s="1"/>
  <c r="S850" i="10" s="1"/>
  <c r="R930" i="10" a="1"/>
  <c r="R930" i="10" s="1"/>
  <c r="S930" i="10" s="1"/>
  <c r="R352" i="10" a="1"/>
  <c r="R352" i="10" s="1"/>
  <c r="S352" i="10" s="1"/>
  <c r="R1170" i="10" a="1"/>
  <c r="R1170" i="10" s="1"/>
  <c r="S1170" i="10" s="1"/>
  <c r="R290" i="10" a="1"/>
  <c r="R290" i="10" s="1"/>
  <c r="S290" i="10" s="1"/>
  <c r="R279" i="10" a="1"/>
  <c r="R279" i="10" s="1"/>
  <c r="S279" i="10" s="1"/>
  <c r="R719" i="10" a="1"/>
  <c r="R719" i="10" s="1"/>
  <c r="S719" i="10" s="1"/>
  <c r="R1052" i="10" a="1"/>
  <c r="R1052" i="10" s="1"/>
  <c r="S1052" i="10" s="1"/>
  <c r="R186" i="10" a="1"/>
  <c r="R186" i="10" s="1"/>
  <c r="S186" i="10" s="1"/>
  <c r="R635" i="10" a="1"/>
  <c r="R635" i="10" s="1"/>
  <c r="S635" i="10" s="1"/>
  <c r="R703" i="10" a="1"/>
  <c r="R703" i="10" s="1"/>
  <c r="S703" i="10" s="1"/>
  <c r="R63" i="10" a="1"/>
  <c r="R63" i="10" s="1"/>
  <c r="S63" i="10" s="1"/>
  <c r="R1127" i="10" a="1"/>
  <c r="R1127" i="10" s="1"/>
  <c r="S1127" i="10" s="1"/>
  <c r="R863" i="10" a="1"/>
  <c r="R863" i="10" s="1"/>
  <c r="S863" i="10" s="1"/>
  <c r="R25" i="10" a="1"/>
  <c r="R25" i="10" s="1"/>
  <c r="S25" i="10" s="1"/>
  <c r="R565" i="10" a="1"/>
  <c r="R565" i="10" s="1"/>
  <c r="S565" i="10" s="1"/>
  <c r="R1002" i="10" a="1"/>
  <c r="R1002" i="10" s="1"/>
  <c r="S1002" i="10" s="1"/>
  <c r="R148" i="10" a="1"/>
  <c r="R148" i="10" s="1"/>
  <c r="S148" i="10" s="1"/>
  <c r="R362" i="10" a="1"/>
  <c r="R362" i="10" s="1"/>
  <c r="S362" i="10" s="1"/>
  <c r="R977" i="10" a="1"/>
  <c r="R977" i="10" s="1"/>
  <c r="S977" i="10" s="1"/>
  <c r="R657" i="10" a="1"/>
  <c r="R657" i="10" s="1"/>
  <c r="S657" i="10" s="1"/>
  <c r="R78" i="10" a="1"/>
  <c r="R78" i="10" s="1"/>
  <c r="S78" i="10" s="1"/>
  <c r="R570" i="10" a="1"/>
  <c r="R570" i="10" s="1"/>
  <c r="S570" i="10" s="1"/>
  <c r="R1110" i="10" a="1"/>
  <c r="R1110" i="10" s="1"/>
  <c r="S1110" i="10" s="1"/>
  <c r="R463" i="10" a="1"/>
  <c r="R463" i="10" s="1"/>
  <c r="S463" i="10" s="1"/>
  <c r="R1019" i="10" a="1"/>
  <c r="R1019" i="10" s="1"/>
  <c r="S1019" i="10" s="1"/>
  <c r="R452" i="10" a="1"/>
  <c r="R452" i="10" s="1"/>
  <c r="S452" i="10" s="1"/>
  <c r="R1084" i="10" a="1"/>
  <c r="R1084" i="10" s="1"/>
  <c r="S1084" i="10" s="1"/>
  <c r="R920" i="10" a="1"/>
  <c r="R920" i="10" s="1"/>
  <c r="S920" i="10" s="1"/>
  <c r="R939" i="10" a="1"/>
  <c r="R939" i="10" s="1"/>
  <c r="S939" i="10" s="1"/>
  <c r="R1009" i="10" a="1"/>
  <c r="R1009" i="10" s="1"/>
  <c r="S1009" i="10" s="1"/>
  <c r="R444" i="10" a="1"/>
  <c r="R444" i="10" s="1"/>
  <c r="S444" i="10" s="1"/>
  <c r="R984" i="10" a="1"/>
  <c r="R984" i="10" s="1"/>
  <c r="S984" i="10" s="1"/>
  <c r="R607" i="10" a="1"/>
  <c r="R607" i="10" s="1"/>
  <c r="S607" i="10" s="1"/>
  <c r="R56" i="10" a="1"/>
  <c r="R56" i="10" s="1"/>
  <c r="S56" i="10" s="1"/>
  <c r="R532" i="10" a="1"/>
  <c r="R532" i="10" s="1"/>
  <c r="S532" i="10" s="1"/>
  <c r="R1072" i="10" a="1"/>
  <c r="R1072" i="10" s="1"/>
  <c r="S1072" i="10" s="1"/>
  <c r="R309" i="10" a="1"/>
  <c r="R309" i="10" s="1"/>
  <c r="S309" i="10" s="1"/>
  <c r="R769" i="10" a="1"/>
  <c r="R769" i="10" s="1"/>
  <c r="S769" i="10" s="1"/>
  <c r="R190" i="10" a="1"/>
  <c r="R190" i="10" s="1"/>
  <c r="S190" i="10" s="1"/>
  <c r="R746" i="10" a="1"/>
  <c r="R746" i="10" s="1"/>
  <c r="S746" i="10" s="1"/>
  <c r="R179" i="10" a="1"/>
  <c r="R179" i="10" s="1"/>
  <c r="S179" i="10" s="1"/>
  <c r="R370" i="10" a="1"/>
  <c r="R370" i="10" s="1"/>
  <c r="S370" i="10" s="1"/>
  <c r="R50" i="10" a="1"/>
  <c r="R50" i="10" s="1"/>
  <c r="S50" i="10" s="1"/>
  <c r="R590" i="10" a="1"/>
  <c r="R590" i="10" s="1"/>
  <c r="S590" i="10" s="1"/>
  <c r="R1082" i="10" a="1"/>
  <c r="R1082" i="10" s="1"/>
  <c r="S1082" i="10" s="1"/>
  <c r="R515" i="10" a="1"/>
  <c r="R515" i="10" s="1"/>
  <c r="S515" i="10" s="1"/>
  <c r="R975" i="10" a="1"/>
  <c r="R975" i="10" s="1"/>
  <c r="S975" i="10" s="1"/>
  <c r="R424" i="10" a="1"/>
  <c r="R424" i="10" s="1"/>
  <c r="S424" i="10" s="1"/>
  <c r="R964" i="10" a="1"/>
  <c r="R964" i="10" s="1"/>
  <c r="S964" i="10" s="1"/>
  <c r="R988" i="10" a="1"/>
  <c r="R988" i="10" s="1"/>
  <c r="S988" i="10" s="1"/>
  <c r="R209" i="10" a="1"/>
  <c r="R209" i="10" s="1"/>
  <c r="S209" i="10" s="1"/>
  <c r="R735" i="10" a="1"/>
  <c r="R735" i="10" s="1"/>
  <c r="S735" i="10" s="1"/>
  <c r="R184" i="10" a="1"/>
  <c r="R184" i="10" s="1"/>
  <c r="S184" i="10" s="1"/>
  <c r="R660" i="10" a="1"/>
  <c r="R660" i="10" s="1"/>
  <c r="S660" i="10" s="1"/>
  <c r="R1151" i="10" a="1"/>
  <c r="R1151" i="10" s="1"/>
  <c r="S1151" i="10" s="1"/>
  <c r="R437" i="10" a="1"/>
  <c r="R437" i="10" s="1"/>
  <c r="S437" i="10" s="1"/>
  <c r="R897" i="10" a="1"/>
  <c r="R897" i="10" s="1"/>
  <c r="S897" i="10" s="1"/>
  <c r="R318" i="10" a="1"/>
  <c r="R318" i="10" s="1"/>
  <c r="S318" i="10" s="1"/>
  <c r="R651" i="10" a="1"/>
  <c r="R651" i="10" s="1"/>
  <c r="S651" i="10" s="1"/>
  <c r="R560" i="10" a="1"/>
  <c r="R560" i="10" s="1"/>
  <c r="S560" i="10" s="1"/>
  <c r="R257" i="10" a="1"/>
  <c r="R257" i="10" s="1"/>
  <c r="S257" i="10" s="1"/>
  <c r="R234" i="10" a="1"/>
  <c r="R234" i="10" s="1"/>
  <c r="S234" i="10" s="1"/>
  <c r="R383" i="10" a="1"/>
  <c r="R383" i="10" s="1"/>
  <c r="S383" i="10" s="1"/>
  <c r="R1020" i="10" a="1"/>
  <c r="R1020" i="10" s="1"/>
  <c r="S1020" i="10" s="1"/>
  <c r="R767" i="10" a="1"/>
  <c r="R767" i="10" s="1"/>
  <c r="S767" i="10" s="1"/>
  <c r="R1041" i="10" a="1"/>
  <c r="R1041" i="10" s="1"/>
  <c r="S1041" i="10" s="1"/>
  <c r="R954" i="10" a="1"/>
  <c r="R954" i="10" s="1"/>
  <c r="S954" i="10" s="1"/>
  <c r="R296" i="10" a="1"/>
  <c r="R296" i="10" s="1"/>
  <c r="S296" i="10" s="1"/>
  <c r="R73" i="10" a="1"/>
  <c r="R73" i="10" s="1"/>
  <c r="S73" i="10" s="1"/>
  <c r="R543" i="10" a="1"/>
  <c r="R543" i="10" s="1"/>
  <c r="S543" i="10" s="1"/>
  <c r="R401" i="10" a="1"/>
  <c r="R401" i="10" s="1"/>
  <c r="S401" i="10" s="1"/>
  <c r="R314" i="10" a="1"/>
  <c r="R314" i="10" s="1"/>
  <c r="S314" i="10" s="1"/>
  <c r="R207" i="10" a="1"/>
  <c r="R207" i="10" s="1"/>
  <c r="S207" i="10" s="1"/>
  <c r="R196" i="10" a="1"/>
  <c r="R196" i="10" s="1"/>
  <c r="S196" i="10" s="1"/>
  <c r="R718" i="10" a="1"/>
  <c r="R718" i="10" s="1"/>
  <c r="S718" i="10" s="1"/>
  <c r="R643" i="10" a="1"/>
  <c r="R643" i="10" s="1"/>
  <c r="S643" i="10" s="1"/>
  <c r="R552" i="10" a="1"/>
  <c r="R552" i="10" s="1"/>
  <c r="S552" i="10" s="1"/>
  <c r="R127" i="10" a="1"/>
  <c r="R127" i="10" s="1"/>
  <c r="S127" i="10" s="1"/>
  <c r="R124" i="10" a="1"/>
  <c r="R124" i="10" s="1"/>
  <c r="S124" i="10" s="1"/>
  <c r="R796" i="10" a="1"/>
  <c r="R796" i="10" s="1"/>
  <c r="S796" i="10" s="1"/>
  <c r="R1049" i="10" a="1"/>
  <c r="R1049" i="10" s="1"/>
  <c r="S1049" i="10" s="1"/>
  <c r="R379" i="10" a="1"/>
  <c r="R379" i="10" s="1"/>
  <c r="S379" i="10" s="1"/>
  <c r="R626" i="10" a="1"/>
  <c r="R626" i="10" s="1"/>
  <c r="S626" i="10" s="1"/>
  <c r="R156" i="10" a="1"/>
  <c r="R156" i="10" s="1"/>
  <c r="S156" i="10" s="1"/>
  <c r="R409" i="10" a="1"/>
  <c r="R409" i="10" s="1"/>
  <c r="S409" i="10" s="1"/>
  <c r="R830" i="10" a="1"/>
  <c r="R830" i="10" s="1"/>
  <c r="S830" i="10" s="1"/>
  <c r="R334" i="10" a="1"/>
  <c r="R334" i="10" s="1"/>
  <c r="S334" i="10" s="1"/>
  <c r="R749" i="10" a="1"/>
  <c r="R749" i="10" s="1"/>
  <c r="S749" i="10" s="1"/>
  <c r="R726" i="10" a="1"/>
  <c r="R726" i="10" s="1"/>
  <c r="S726" i="10" s="1"/>
  <c r="R68" i="10" a="1"/>
  <c r="R68" i="10" s="1"/>
  <c r="S68" i="10" s="1"/>
  <c r="R959" i="10" a="1"/>
  <c r="R959" i="10" s="1"/>
  <c r="S959" i="10" s="1"/>
  <c r="R945" i="10" a="1"/>
  <c r="R945" i="10" s="1"/>
  <c r="S945" i="10" s="1"/>
  <c r="R312" i="10" a="1"/>
  <c r="R312" i="10" s="1"/>
  <c r="S312" i="10" s="1"/>
  <c r="R446" i="10" a="1"/>
  <c r="R446" i="10" s="1"/>
  <c r="S446" i="10" s="1"/>
  <c r="R721" i="10" a="1"/>
  <c r="R721" i="10" s="1"/>
  <c r="S721" i="10" s="1"/>
  <c r="R223" i="10" a="1"/>
  <c r="R223" i="10" s="1"/>
  <c r="S223" i="10" s="1"/>
  <c r="R688" i="10" a="1"/>
  <c r="R688" i="10" s="1"/>
  <c r="S688" i="10" s="1"/>
  <c r="R925" i="10" a="1"/>
  <c r="R925" i="10" s="1"/>
  <c r="S925" i="10" s="1"/>
  <c r="R732" i="10" a="1"/>
  <c r="R732" i="10" s="1"/>
  <c r="S732" i="10" s="1"/>
  <c r="R1168" i="10" a="1"/>
  <c r="R1168" i="10" s="1"/>
  <c r="S1168" i="10" s="1"/>
  <c r="R412" i="10" a="1"/>
  <c r="R412" i="10" s="1"/>
  <c r="S412" i="10" s="1"/>
  <c r="R952" i="10" a="1"/>
  <c r="R952" i="10" s="1"/>
  <c r="S952" i="10" s="1"/>
  <c r="R109" i="10" a="1"/>
  <c r="R109" i="10" s="1"/>
  <c r="S109" i="10" s="1"/>
  <c r="R665" i="10" a="1"/>
  <c r="R665" i="10" s="1"/>
  <c r="S665" i="10" s="1"/>
  <c r="R86" i="10" a="1"/>
  <c r="R86" i="10" s="1"/>
  <c r="S86" i="10" s="1"/>
  <c r="R546" i="10" a="1"/>
  <c r="R546" i="10" s="1"/>
  <c r="S546" i="10" s="1"/>
  <c r="R1086" i="10" a="1"/>
  <c r="R1086" i="10" s="1"/>
  <c r="S1086" i="10" s="1"/>
  <c r="R535" i="10" a="1"/>
  <c r="R535" i="10" s="1"/>
  <c r="S535" i="10" s="1"/>
  <c r="R722" i="10" a="1"/>
  <c r="R722" i="10" s="1"/>
  <c r="S722" i="10" s="1"/>
  <c r="R316" i="10" a="1"/>
  <c r="R316" i="10" s="1"/>
  <c r="S316" i="10" s="1"/>
  <c r="R764" i="10" a="1"/>
  <c r="R764" i="10" s="1"/>
  <c r="S764" i="10" s="1"/>
  <c r="R1153" i="10" a="1"/>
  <c r="R1153" i="10" s="1"/>
  <c r="S1153" i="10" s="1"/>
  <c r="R511" i="10" a="1"/>
  <c r="R511" i="10" s="1"/>
  <c r="S511" i="10" s="1"/>
  <c r="R1067" i="10" a="1"/>
  <c r="R1067" i="10" s="1"/>
  <c r="S1067" i="10" s="1"/>
  <c r="R690" i="10" a="1"/>
  <c r="R690" i="10" s="1"/>
  <c r="S690" i="10" s="1"/>
  <c r="R139" i="10" a="1"/>
  <c r="R139" i="10" s="1"/>
  <c r="S139" i="10" s="1"/>
  <c r="R615" i="10" a="1"/>
  <c r="R615" i="10" s="1"/>
  <c r="S615" i="10" s="1"/>
  <c r="R48" i="10" a="1"/>
  <c r="R48" i="10" s="1"/>
  <c r="S48" i="10" s="1"/>
  <c r="R524" i="10" a="1"/>
  <c r="R524" i="10" s="1"/>
  <c r="S524" i="10" s="1"/>
  <c r="R1064" i="10" a="1"/>
  <c r="R1064" i="10" s="1"/>
  <c r="S1064" i="10" s="1"/>
  <c r="R285" i="10" a="1"/>
  <c r="R285" i="10" s="1"/>
  <c r="S285" i="10" s="1"/>
  <c r="R841" i="10" a="1"/>
  <c r="R841" i="10" s="1"/>
  <c r="S841" i="10" s="1"/>
  <c r="R1140" i="10" a="1"/>
  <c r="R1140" i="10" s="1"/>
  <c r="S1140" i="10" s="1"/>
  <c r="R465" i="10" a="1"/>
  <c r="R465" i="10" s="1"/>
  <c r="S465" i="10" s="1"/>
  <c r="R924" i="10" a="1"/>
  <c r="R924" i="10" s="1"/>
  <c r="S924" i="10" s="1"/>
  <c r="R145" i="10" a="1"/>
  <c r="R145" i="10" s="1"/>
  <c r="S145" i="10" s="1"/>
  <c r="R621" i="10" a="1"/>
  <c r="R621" i="10" s="1"/>
  <c r="S621" i="10" s="1"/>
  <c r="R58" i="10" a="1"/>
  <c r="R58" i="10" s="1"/>
  <c r="S58" i="10" s="1"/>
  <c r="R598" i="10" a="1"/>
  <c r="R598" i="10" s="1"/>
  <c r="S598" i="10" s="1"/>
  <c r="R1058" i="10" a="1"/>
  <c r="R1058" i="10" s="1"/>
  <c r="S1058" i="10" s="1"/>
  <c r="R507" i="10" a="1"/>
  <c r="R507" i="10" s="1"/>
  <c r="S507" i="10" s="1"/>
  <c r="R1047" i="10" a="1"/>
  <c r="R1047" i="10" s="1"/>
  <c r="S1047" i="10" s="1"/>
  <c r="R1055" i="10" a="1"/>
  <c r="R1055" i="10" s="1"/>
  <c r="S1055" i="10" s="1"/>
  <c r="R504" i="10" a="1"/>
  <c r="R504" i="10" s="1"/>
  <c r="S504" i="10" s="1"/>
  <c r="R818" i="10" a="1"/>
  <c r="R818" i="10" s="1"/>
  <c r="S818" i="10" s="1"/>
  <c r="R267" i="10" a="1"/>
  <c r="R267" i="10" s="1"/>
  <c r="S267" i="10" s="1"/>
  <c r="R743" i="10" a="1"/>
  <c r="R743" i="10" s="1"/>
  <c r="S743" i="10" s="1"/>
  <c r="R176" i="10" a="1"/>
  <c r="R176" i="10" s="1"/>
  <c r="S176" i="10" s="1"/>
  <c r="R652" i="10" a="1"/>
  <c r="R652" i="10" s="1"/>
  <c r="S652" i="10" s="1"/>
  <c r="R1143" i="10" a="1"/>
  <c r="R1143" i="10" s="1"/>
  <c r="S1143" i="10" s="1"/>
  <c r="R413" i="10" a="1"/>
  <c r="R413" i="10" s="1"/>
  <c r="S413" i="10" s="1"/>
  <c r="R329" i="10" a="1"/>
  <c r="R329" i="10" s="1"/>
  <c r="S329" i="10" s="1"/>
  <c r="R536" i="10" a="1"/>
  <c r="R536" i="10" s="1"/>
  <c r="S536" i="10" s="1"/>
  <c r="R493" i="10" a="1"/>
  <c r="R493" i="10" s="1"/>
  <c r="S493" i="10" s="1"/>
  <c r="R470" i="10" a="1"/>
  <c r="R470" i="10" s="1"/>
  <c r="S470" i="10" s="1"/>
  <c r="R919" i="10" a="1"/>
  <c r="R919" i="10" s="1"/>
  <c r="S919" i="10" s="1"/>
  <c r="R696" i="10" a="1"/>
  <c r="R696" i="10" s="1"/>
  <c r="S696" i="10" s="1"/>
  <c r="R949" i="10" a="1"/>
  <c r="R949" i="10" s="1"/>
  <c r="S949" i="10" s="1"/>
  <c r="R259" i="10" a="1"/>
  <c r="R259" i="10" s="1"/>
  <c r="S259" i="10" s="1"/>
  <c r="R1162" i="10" a="1"/>
  <c r="R1162" i="10" s="1"/>
  <c r="S1162" i="10" s="1"/>
  <c r="R632" i="10" a="1"/>
  <c r="R632" i="10" s="1"/>
  <c r="S632" i="10" s="1"/>
  <c r="R92" i="10" a="1"/>
  <c r="R92" i="10" s="1"/>
  <c r="S92" i="10" s="1"/>
  <c r="R1053" i="10" a="1"/>
  <c r="R1053" i="10" s="1"/>
  <c r="S1053" i="10" s="1"/>
  <c r="R53" i="10" a="1"/>
  <c r="R53" i="10" s="1"/>
  <c r="S53" i="10" s="1"/>
  <c r="R442" i="10" a="1"/>
  <c r="R442" i="10" s="1"/>
  <c r="S442" i="10" s="1"/>
  <c r="R529" i="10" a="1"/>
  <c r="R529" i="10" s="1"/>
  <c r="S529" i="10" s="1"/>
  <c r="R811" i="10" a="1"/>
  <c r="R811" i="10" s="1"/>
  <c r="S811" i="10" s="1"/>
  <c r="R255" i="10" a="1"/>
  <c r="R255" i="10" s="1"/>
  <c r="S255" i="10" s="1"/>
  <c r="R658" i="10" a="1"/>
  <c r="R658" i="10" s="1"/>
  <c r="S658" i="10" s="1"/>
  <c r="R88" i="10" a="1"/>
  <c r="R88" i="10" s="1"/>
  <c r="S88" i="10" s="1"/>
  <c r="R1146" i="10" a="1"/>
  <c r="R1146" i="10" s="1"/>
  <c r="S1146" i="10" s="1"/>
  <c r="R1106" i="10" a="1"/>
  <c r="R1106" i="10" s="1"/>
  <c r="S1106" i="10" s="1"/>
  <c r="R792" i="10" a="1"/>
  <c r="R792" i="10" s="1"/>
  <c r="S792" i="10" s="1"/>
  <c r="R252" i="10" a="1"/>
  <c r="R252" i="10" s="1"/>
  <c r="S252" i="10" s="1"/>
  <c r="R639" i="10" a="1"/>
  <c r="R639" i="10" s="1"/>
  <c r="S639" i="10" s="1"/>
  <c r="R817" i="10" a="1"/>
  <c r="R817" i="10" s="1"/>
  <c r="S817" i="10" s="1"/>
  <c r="R1030" i="10" a="1"/>
  <c r="R1030" i="10" s="1"/>
  <c r="S1030" i="10" s="1"/>
  <c r="R407" i="10" a="1"/>
  <c r="R407" i="10" s="1"/>
  <c r="S407" i="10" s="1"/>
  <c r="R418" i="10" a="1"/>
  <c r="R418" i="10" s="1"/>
  <c r="S418" i="10" s="1"/>
  <c r="R359" i="10" a="1"/>
  <c r="R359" i="10" s="1"/>
  <c r="S359" i="10" s="1"/>
  <c r="R351" i="10" a="1"/>
  <c r="R351" i="10" s="1"/>
  <c r="S351" i="10" s="1"/>
  <c r="R466" i="10" a="1"/>
  <c r="R466" i="10" s="1"/>
  <c r="S466" i="10" s="1"/>
  <c r="R575" i="10" a="1"/>
  <c r="R575" i="10" s="1"/>
  <c r="S575" i="10" s="1"/>
  <c r="R450" i="10" a="1"/>
  <c r="R450" i="10" s="1"/>
  <c r="S450" i="10" s="1"/>
  <c r="R1045" i="10" a="1"/>
  <c r="R1045" i="10" s="1"/>
  <c r="S1045" i="10" s="1"/>
  <c r="R761" i="10" a="1"/>
  <c r="R761" i="10" s="1"/>
  <c r="S761" i="10" s="1"/>
  <c r="R269" i="10" a="1"/>
  <c r="R269" i="10" s="1"/>
  <c r="S269" i="10" s="1"/>
  <c r="R262" i="10" a="1"/>
  <c r="R262" i="10" s="1"/>
  <c r="S262" i="10" s="1"/>
  <c r="R192" i="10" a="1"/>
  <c r="R192" i="10" s="1"/>
  <c r="S192" i="10" s="1"/>
  <c r="R759" i="10" a="1"/>
  <c r="R759" i="10" s="1"/>
  <c r="S759" i="10" s="1"/>
  <c r="R219" i="10" a="1"/>
  <c r="R219" i="10" s="1"/>
  <c r="S219" i="10" s="1"/>
  <c r="R770" i="10" a="1"/>
  <c r="R770" i="10" s="1"/>
  <c r="S770" i="10" s="1"/>
  <c r="R246" i="10" a="1"/>
  <c r="R246" i="10" s="1"/>
  <c r="S246" i="10" s="1"/>
  <c r="R825" i="10" a="1"/>
  <c r="R825" i="10" s="1"/>
  <c r="S825" i="10" s="1"/>
  <c r="R333" i="10" a="1"/>
  <c r="R333" i="10" s="1"/>
  <c r="S333" i="10" s="1"/>
  <c r="R326" i="10" a="1"/>
  <c r="R326" i="10" s="1"/>
  <c r="S326" i="10" s="1"/>
  <c r="R905" i="10" a="1"/>
  <c r="R905" i="10" s="1"/>
  <c r="S905" i="10" s="1"/>
  <c r="R349" i="10" a="1"/>
  <c r="R349" i="10" s="1"/>
  <c r="S349" i="10" s="1"/>
  <c r="R1126" i="10" a="1"/>
  <c r="R1126" i="10" s="1"/>
  <c r="S1126" i="10" s="1"/>
  <c r="R588" i="10" a="1"/>
  <c r="R588" i="10" s="1"/>
  <c r="S588" i="10" s="1"/>
  <c r="R112" i="10" a="1"/>
  <c r="R112" i="10" s="1"/>
  <c r="S112" i="10" s="1"/>
  <c r="R679" i="10" a="1"/>
  <c r="R679" i="10" s="1"/>
  <c r="S679" i="10" s="1"/>
  <c r="R203" i="10" a="1"/>
  <c r="R203" i="10" s="1"/>
  <c r="S203" i="10" s="1"/>
  <c r="R754" i="10" a="1"/>
  <c r="R754" i="10" s="1"/>
  <c r="S754" i="10" s="1"/>
  <c r="R782" i="10" a="1"/>
  <c r="R782" i="10" s="1"/>
  <c r="S782" i="10" s="1"/>
  <c r="R242" i="10" a="1"/>
  <c r="R242" i="10" s="1"/>
  <c r="S242" i="10" s="1"/>
  <c r="R585" i="10" a="1"/>
  <c r="R585" i="10" s="1"/>
  <c r="S585" i="10" s="1"/>
  <c r="R513" i="10" a="1"/>
  <c r="R513" i="10" s="1"/>
  <c r="S513" i="10" s="1"/>
  <c r="R899" i="10" a="1"/>
  <c r="R899" i="10" s="1"/>
  <c r="S899" i="10" s="1"/>
  <c r="R1005" i="10" a="1"/>
  <c r="R1005" i="10" s="1"/>
  <c r="S1005" i="10" s="1"/>
  <c r="R284" i="10" a="1"/>
  <c r="R284" i="10" s="1"/>
  <c r="S284" i="10" s="1"/>
  <c r="R433" i="10" a="1"/>
  <c r="R433" i="10" s="1"/>
  <c r="S433" i="10" s="1"/>
  <c r="R24" i="10" a="1"/>
  <c r="R24" i="10" s="1"/>
  <c r="S24" i="10" s="1"/>
  <c r="R1112" i="10" a="1"/>
  <c r="R1112" i="10" s="1"/>
  <c r="S1112" i="10" s="1"/>
  <c r="R177" i="10" a="1"/>
  <c r="R177" i="10" s="1"/>
  <c r="S177" i="10" s="1"/>
  <c r="R402" i="10" a="1"/>
  <c r="R402" i="10" s="1"/>
  <c r="S402" i="10" s="1"/>
  <c r="R600" i="10" a="1"/>
  <c r="R600" i="10" s="1"/>
  <c r="S600" i="10" s="1"/>
  <c r="R881" i="10" a="1"/>
  <c r="R881" i="10" s="1"/>
  <c r="S881" i="10" s="1"/>
  <c r="R369" i="10" a="1"/>
  <c r="R369" i="10" s="1"/>
  <c r="S369" i="10" s="1"/>
  <c r="R958" i="10" a="1"/>
  <c r="R958" i="10" s="1"/>
  <c r="S958" i="10" s="1"/>
  <c r="R974" i="10" a="1"/>
  <c r="R974" i="10" s="1"/>
  <c r="S974" i="10" s="1"/>
  <c r="R210" i="10" a="1"/>
  <c r="R210" i="10" s="1"/>
  <c r="S210" i="10" s="1"/>
  <c r="R867" i="10" a="1"/>
  <c r="R867" i="10" s="1"/>
  <c r="S867" i="10" s="1"/>
  <c r="R358" i="10" a="1"/>
  <c r="R358" i="10" s="1"/>
  <c r="S358" i="10" s="1"/>
  <c r="R381" i="10" a="1"/>
  <c r="R381" i="10" s="1"/>
  <c r="S381" i="10" s="1"/>
  <c r="R620" i="10" a="1"/>
  <c r="R620" i="10" s="1"/>
  <c r="S620" i="10" s="1"/>
  <c r="R647" i="10" a="1"/>
  <c r="R647" i="10" s="1"/>
  <c r="S647" i="10" s="1"/>
  <c r="R160" i="10" a="1"/>
  <c r="R160" i="10" s="1"/>
  <c r="S160" i="10" s="1"/>
  <c r="R187" i="10" a="1"/>
  <c r="R187" i="10" s="1"/>
  <c r="S187" i="10" s="1"/>
  <c r="R278" i="10" a="1"/>
  <c r="R278" i="10" s="1"/>
  <c r="S278" i="10" s="1"/>
  <c r="R301" i="10" a="1"/>
  <c r="R301" i="10" s="1"/>
  <c r="S301" i="10" s="1"/>
  <c r="R604" i="10" a="1"/>
  <c r="R604" i="10" s="1"/>
  <c r="S604" i="10" s="1"/>
  <c r="R1116" i="10" a="1"/>
  <c r="R1116" i="10" s="1"/>
  <c r="S1116" i="10" s="1"/>
  <c r="R337" i="10" a="1"/>
  <c r="R337" i="10" s="1"/>
  <c r="S337" i="10" s="1"/>
  <c r="R891" i="10" a="1"/>
  <c r="R891" i="10" s="1"/>
  <c r="S891" i="10" s="1"/>
  <c r="R1077" i="10" a="1"/>
  <c r="R1077" i="10" s="1"/>
  <c r="S1077" i="10" s="1"/>
  <c r="R276" i="10" a="1"/>
  <c r="R276" i="10" s="1"/>
  <c r="S276" i="10" s="1"/>
  <c r="R434" i="10" a="1"/>
  <c r="R434" i="10" s="1"/>
  <c r="S434" i="10" s="1"/>
  <c r="R728" i="10" a="1"/>
  <c r="R728" i="10" s="1"/>
  <c r="S728" i="10" s="1"/>
  <c r="R1163" i="10" a="1"/>
  <c r="R1163" i="10" s="1"/>
  <c r="S1163" i="10" s="1"/>
  <c r="R1141" i="10" a="1"/>
  <c r="R1141" i="10" s="1"/>
  <c r="S1141" i="10" s="1"/>
  <c r="R572" i="10" a="1"/>
  <c r="R572" i="10" s="1"/>
  <c r="S572" i="10" s="1"/>
  <c r="R472" i="10" a="1"/>
  <c r="R472" i="10" s="1"/>
  <c r="S472" i="10" s="1"/>
  <c r="R1023" i="10" a="1"/>
  <c r="R1023" i="10" s="1"/>
  <c r="S1023" i="10" s="1"/>
  <c r="R497" i="10" a="1"/>
  <c r="R497" i="10" s="1"/>
  <c r="S497" i="10" s="1"/>
  <c r="R1125" i="10" a="1"/>
  <c r="R1125" i="10" s="1"/>
  <c r="S1125" i="10" s="1"/>
  <c r="R152" i="10" a="1"/>
  <c r="R152" i="10" s="1"/>
  <c r="S152" i="10" s="1"/>
  <c r="R895" i="10" a="1"/>
  <c r="R895" i="10" s="1"/>
  <c r="S895" i="10" s="1"/>
  <c r="R947" i="10" a="1"/>
  <c r="R947" i="10" s="1"/>
  <c r="S947" i="10" s="1"/>
  <c r="R29" i="10" a="1"/>
  <c r="R29" i="10" s="1"/>
  <c r="S29" i="10" s="1"/>
  <c r="R268" i="10" a="1"/>
  <c r="R268" i="10" s="1"/>
  <c r="S268" i="10" s="1"/>
  <c r="R1149" i="10" a="1"/>
  <c r="R1149" i="10" s="1"/>
  <c r="S1149" i="10" s="1"/>
  <c r="R188" i="10" a="1"/>
  <c r="R188" i="10" s="1"/>
  <c r="S188" i="10" s="1"/>
  <c r="R408" i="10" a="1"/>
  <c r="R408" i="10" s="1"/>
  <c r="S408" i="10" s="1"/>
  <c r="R367" i="10" a="1"/>
  <c r="R367" i="10" s="1"/>
  <c r="S367" i="10" s="1"/>
  <c r="R950" i="10" a="1"/>
  <c r="R950" i="10" s="1"/>
  <c r="S950" i="10" s="1"/>
  <c r="R666" i="10" a="1"/>
  <c r="R666" i="10" s="1"/>
  <c r="S666" i="10" s="1"/>
  <c r="R174" i="10" a="1"/>
  <c r="R174" i="10" s="1"/>
  <c r="S174" i="10" s="1"/>
  <c r="R453" i="10" a="1"/>
  <c r="R453" i="10" s="1"/>
  <c r="S453" i="10" s="1"/>
  <c r="R1167" i="10" a="1"/>
  <c r="R1167" i="10" s="1"/>
  <c r="S1167" i="10" s="1"/>
  <c r="R676" i="10" a="1"/>
  <c r="R676" i="10" s="1"/>
  <c r="S676" i="10" s="1"/>
  <c r="R136" i="10" a="1"/>
  <c r="R136" i="10" s="1"/>
  <c r="S136" i="10" s="1"/>
  <c r="R687" i="10" a="1"/>
  <c r="R687" i="10" s="1"/>
  <c r="S687" i="10" s="1"/>
  <c r="R163" i="10" a="1"/>
  <c r="R163" i="10" s="1"/>
  <c r="S163" i="10" s="1"/>
  <c r="R730" i="10" a="1"/>
  <c r="R730" i="10" s="1"/>
  <c r="S730" i="10" s="1"/>
  <c r="R238" i="10" a="1"/>
  <c r="R238" i="10" s="1"/>
  <c r="S238" i="10" s="1"/>
  <c r="R243" i="10" a="1"/>
  <c r="R243" i="10" s="1"/>
  <c r="S243" i="10" s="1"/>
  <c r="R810" i="10" a="1"/>
  <c r="R810" i="10" s="1"/>
  <c r="S810" i="10" s="1"/>
  <c r="R254" i="10" a="1"/>
  <c r="R254" i="10" s="1"/>
  <c r="S254" i="10" s="1"/>
  <c r="R833" i="10" a="1"/>
  <c r="R833" i="10" s="1"/>
  <c r="S833" i="10" s="1"/>
  <c r="R373" i="10" a="1"/>
  <c r="R373" i="10" s="1"/>
  <c r="S373" i="10" s="1"/>
  <c r="R1134" i="10" a="1"/>
  <c r="R1134" i="10" s="1"/>
  <c r="S1134" i="10" s="1"/>
  <c r="R596" i="10" a="1"/>
  <c r="R596" i="10" s="1"/>
  <c r="S596" i="10" s="1"/>
  <c r="R120" i="10" a="1"/>
  <c r="R120" i="10" s="1"/>
  <c r="S120" i="10" s="1"/>
  <c r="R671" i="10" a="1"/>
  <c r="R671" i="10" s="1"/>
  <c r="S671" i="10" s="1"/>
  <c r="R956" i="10" a="1"/>
  <c r="R956" i="10" s="1"/>
  <c r="S956" i="10" s="1"/>
  <c r="R864" i="10" a="1"/>
  <c r="R864" i="10" s="1"/>
  <c r="S864" i="10" s="1"/>
  <c r="R982" i="10" a="1"/>
  <c r="R982" i="10" s="1"/>
  <c r="S982" i="10" s="1"/>
  <c r="R753" i="10" a="1"/>
  <c r="R753" i="10" s="1"/>
  <c r="S753" i="10" s="1"/>
  <c r="R300" i="10" a="1"/>
  <c r="R300" i="10" s="1"/>
  <c r="S300" i="10" s="1"/>
  <c r="R583" i="10" a="1"/>
  <c r="R583" i="10" s="1"/>
  <c r="S583" i="10" s="1"/>
  <c r="R107" i="10" a="1"/>
  <c r="R107" i="10" s="1"/>
  <c r="S107" i="10" s="1"/>
  <c r="R937" i="10" a="1"/>
  <c r="R937" i="10" s="1"/>
  <c r="S937" i="10" s="1"/>
  <c r="R1158" i="10" a="1"/>
  <c r="R1158" i="10" s="1"/>
  <c r="S1158" i="10" s="1"/>
  <c r="R80" i="10" a="1"/>
  <c r="R80" i="10" s="1"/>
  <c r="S80" i="10" s="1"/>
  <c r="R171" i="10" a="1"/>
  <c r="R171" i="10" s="1"/>
  <c r="S171" i="10" s="1"/>
  <c r="R727" i="10" a="1"/>
  <c r="R727" i="10" s="1"/>
  <c r="S727" i="10" s="1"/>
  <c r="R738" i="10" a="1"/>
  <c r="R738" i="10" s="1"/>
  <c r="S738" i="10" s="1"/>
  <c r="R857" i="10" a="1"/>
  <c r="R857" i="10" s="1"/>
  <c r="S857" i="10" s="1"/>
  <c r="R1142" i="10" a="1"/>
  <c r="R1142" i="10" s="1"/>
  <c r="S1142" i="10" s="1"/>
  <c r="R715" i="10" a="1"/>
  <c r="R715" i="10" s="1"/>
  <c r="S715" i="10" s="1"/>
  <c r="R324" i="10" a="1"/>
  <c r="R324" i="10" s="1"/>
  <c r="S324" i="10" s="1"/>
  <c r="R335" i="10" a="1"/>
  <c r="R335" i="10" s="1"/>
  <c r="S335" i="10" s="1"/>
  <c r="R537" i="10" a="1"/>
  <c r="R537" i="10" s="1"/>
  <c r="S537" i="10" s="1"/>
  <c r="R530" i="10" a="1"/>
  <c r="R530" i="10" s="1"/>
  <c r="S530" i="10" s="1"/>
  <c r="R1048" i="10" a="1"/>
  <c r="R1048" i="10" s="1"/>
  <c r="S1048" i="10" s="1"/>
  <c r="R625" i="10" a="1"/>
  <c r="R625" i="10" s="1"/>
  <c r="S625" i="10" s="1"/>
  <c r="R875" i="10" a="1"/>
  <c r="R875" i="10" s="1"/>
  <c r="S875" i="10" s="1"/>
  <c r="R1073" i="10" a="1"/>
  <c r="R1073" i="10" s="1"/>
  <c r="S1073" i="10" s="1"/>
  <c r="R892" i="10" a="1"/>
  <c r="R892" i="10" s="1"/>
  <c r="S892" i="10" s="1"/>
  <c r="R808" i="10" a="1"/>
  <c r="R808" i="10" s="1"/>
  <c r="S808" i="10" s="1"/>
  <c r="R824" i="10" a="1"/>
  <c r="R824" i="10" s="1"/>
  <c r="S824" i="10" s="1"/>
  <c r="R274" i="10" a="1"/>
  <c r="R274" i="10" s="1"/>
  <c r="S274" i="10" s="1"/>
  <c r="R21" i="10" a="1"/>
  <c r="R21" i="10" s="1"/>
  <c r="S21" i="10" s="1"/>
  <c r="R500" i="10" a="1"/>
  <c r="R500" i="10" s="1"/>
  <c r="S500" i="10" s="1"/>
  <c r="R275" i="10" a="1"/>
  <c r="R275" i="10" s="1"/>
  <c r="S275" i="10" s="1"/>
  <c r="R286" i="10" a="1"/>
  <c r="R286" i="10" s="1"/>
  <c r="S286" i="10" s="1"/>
  <c r="R341" i="10" a="1"/>
  <c r="R341" i="10" s="1"/>
  <c r="S341" i="10" s="1"/>
  <c r="R564" i="10" a="1"/>
  <c r="R564" i="10" s="1"/>
  <c r="S564" i="10" s="1"/>
  <c r="R1135" i="10" a="1"/>
  <c r="R1135" i="10" s="1"/>
  <c r="S1135" i="10" s="1"/>
  <c r="R104" i="10" a="1"/>
  <c r="R104" i="10" s="1"/>
  <c r="S104" i="10" s="1"/>
  <c r="R195" i="10" a="1"/>
  <c r="R195" i="10" s="1"/>
  <c r="S195" i="10" s="1"/>
  <c r="R270" i="10" a="1"/>
  <c r="R270" i="10" s="1"/>
  <c r="S270" i="10" s="1"/>
  <c r="R159" i="10" a="1"/>
  <c r="R159" i="10" s="1"/>
  <c r="S159" i="10" s="1"/>
  <c r="R907" i="10" a="1"/>
  <c r="R907" i="10" s="1"/>
  <c r="S907" i="10" s="1"/>
  <c r="R338" i="10" a="1"/>
  <c r="R338" i="10" s="1"/>
  <c r="S338" i="10" s="1"/>
  <c r="R60" i="10" a="1"/>
  <c r="R60" i="10" s="1"/>
  <c r="S60" i="10" s="1"/>
  <c r="R82" i="10" a="1"/>
  <c r="R82" i="10" s="1"/>
  <c r="S82" i="10" s="1"/>
  <c r="R319" i="10" a="1"/>
  <c r="R319" i="10" s="1"/>
  <c r="S319" i="10" s="1"/>
  <c r="R636" i="10" a="1"/>
  <c r="R636" i="10" s="1"/>
  <c r="S636" i="10" s="1"/>
  <c r="R490" i="10" a="1"/>
  <c r="R490" i="10" s="1"/>
  <c r="S490" i="10" s="1"/>
  <c r="R816" i="10" a="1"/>
  <c r="R816" i="10" s="1"/>
  <c r="S816" i="10" s="1"/>
  <c r="R508" i="10" a="1"/>
  <c r="R508" i="10" s="1"/>
  <c r="S508" i="10" s="1"/>
  <c r="R1040" i="10" a="1"/>
  <c r="R1040" i="10" s="1"/>
  <c r="S1040" i="10" s="1"/>
  <c r="R357" i="10" a="1"/>
  <c r="R357" i="10" s="1"/>
  <c r="S357" i="10" s="1"/>
  <c r="R842" i="10" a="1"/>
  <c r="R842" i="10" s="1"/>
  <c r="S842" i="10" s="1"/>
  <c r="R865" i="10" a="1"/>
  <c r="R865" i="10" s="1"/>
  <c r="S865" i="10" s="1"/>
  <c r="R1104" i="10" a="1"/>
  <c r="R1104" i="10" s="1"/>
  <c r="S1104" i="10" s="1"/>
  <c r="R421" i="10" a="1"/>
  <c r="R421" i="10" s="1"/>
  <c r="S421" i="10" s="1"/>
  <c r="R644" i="10" a="1"/>
  <c r="R644" i="10" s="1"/>
  <c r="S644" i="10" s="1"/>
  <c r="R655" i="10" a="1"/>
  <c r="R655" i="10" s="1"/>
  <c r="S655" i="10" s="1"/>
  <c r="R762" i="10" a="1"/>
  <c r="R762" i="10" s="1"/>
  <c r="S762" i="10" s="1"/>
  <c r="R849" i="10" a="1"/>
  <c r="R849" i="10" s="1"/>
  <c r="S849" i="10" s="1"/>
  <c r="R1105" i="10" a="1"/>
  <c r="R1105" i="10" s="1"/>
  <c r="S1105" i="10" s="1"/>
  <c r="R526" i="10" a="1"/>
  <c r="R526" i="10" s="1"/>
  <c r="S526" i="10" s="1"/>
  <c r="R1018" i="10" a="1"/>
  <c r="R1018" i="10" s="1"/>
  <c r="S1018" i="10" s="1"/>
  <c r="R844" i="10" a="1"/>
  <c r="R844" i="10" s="1"/>
  <c r="S844" i="10" s="1"/>
  <c r="R137" i="10" a="1"/>
  <c r="R137" i="10" s="1"/>
  <c r="S137" i="10" s="1"/>
  <c r="R419" i="10" a="1"/>
  <c r="R419" i="10" s="1"/>
  <c r="S419" i="10" s="1"/>
  <c r="R74" i="10" a="1"/>
  <c r="R74" i="10" s="1"/>
  <c r="S74" i="10" s="1"/>
  <c r="R1017" i="10" a="1"/>
  <c r="R1017" i="10" s="1"/>
  <c r="S1017" i="10" s="1"/>
  <c r="R155" i="10" a="1"/>
  <c r="R155" i="10" s="1"/>
  <c r="S155" i="10" s="1"/>
  <c r="R1132" i="10" a="1"/>
  <c r="R1132" i="10" s="1"/>
  <c r="S1132" i="10" s="1"/>
  <c r="R98" i="10" a="1"/>
  <c r="R98" i="10" s="1"/>
  <c r="S98" i="10" s="1"/>
  <c r="R627" i="10" a="1"/>
  <c r="R627" i="10" s="1"/>
  <c r="S627" i="10" s="1"/>
  <c r="R630" i="10" a="1"/>
  <c r="R630" i="10" s="1"/>
  <c r="S630" i="10" s="1"/>
  <c r="R202" i="10" a="1"/>
  <c r="R202" i="10" s="1"/>
  <c r="S202" i="10" s="1"/>
  <c r="R606" i="10" a="1"/>
  <c r="R606" i="10" s="1"/>
  <c r="S606" i="10" s="1"/>
  <c r="R545" i="10" a="1"/>
  <c r="R545" i="10" s="1"/>
  <c r="S545" i="10" s="1"/>
  <c r="R1085" i="10" a="1"/>
  <c r="R1085" i="10" s="1"/>
  <c r="S1085" i="10" s="1"/>
  <c r="R522" i="10" a="1"/>
  <c r="R522" i="10" s="1"/>
  <c r="S522" i="10" s="1"/>
  <c r="R1062" i="10" a="1"/>
  <c r="R1062" i="10" s="1"/>
  <c r="S1062" i="10" s="1"/>
  <c r="R685" i="10" a="1"/>
  <c r="R685" i="10" s="1"/>
  <c r="S685" i="10" s="1"/>
  <c r="R122" i="10" a="1"/>
  <c r="R122" i="10" s="1"/>
  <c r="S122" i="10" s="1"/>
  <c r="R662" i="10" a="1"/>
  <c r="R662" i="10" s="1"/>
  <c r="S662" i="10" s="1"/>
  <c r="R866" i="10" a="1"/>
  <c r="R866" i="10" s="1"/>
  <c r="S866" i="10" s="1"/>
  <c r="R315" i="10" a="1"/>
  <c r="R315" i="10" s="1"/>
  <c r="S315" i="10" s="1"/>
  <c r="R855" i="10" a="1"/>
  <c r="R855" i="10" s="1"/>
  <c r="S855" i="10" s="1"/>
  <c r="R288" i="10" a="1"/>
  <c r="R288" i="10" s="1"/>
  <c r="S288" i="10" s="1"/>
  <c r="R299" i="10" a="1"/>
  <c r="R299" i="10" s="1"/>
  <c r="S299" i="10" s="1"/>
  <c r="R775" i="10" a="1"/>
  <c r="R775" i="10" s="1"/>
  <c r="S775" i="10" s="1"/>
  <c r="R208" i="10" a="1"/>
  <c r="R208" i="10" s="1"/>
  <c r="S208" i="10" s="1"/>
  <c r="R748" i="10" a="1"/>
  <c r="R748" i="10" s="1"/>
  <c r="S748" i="10" s="1"/>
  <c r="R1137" i="10" a="1"/>
  <c r="R1137" i="10" s="1"/>
  <c r="S1137" i="10" s="1"/>
  <c r="R509" i="10" a="1"/>
  <c r="R509" i="10" s="1"/>
  <c r="S509" i="10" s="1"/>
  <c r="R1065" i="10" a="1"/>
  <c r="R1065" i="10" s="1"/>
  <c r="S1065" i="10" s="1"/>
  <c r="R486" i="10" a="1"/>
  <c r="R486" i="10" s="1"/>
  <c r="S486" i="10" s="1"/>
  <c r="R224" i="10" a="1"/>
  <c r="R224" i="10" s="1"/>
  <c r="S224" i="10" s="1"/>
  <c r="R235" i="10" a="1"/>
  <c r="R235" i="10" s="1"/>
  <c r="S235" i="10" s="1"/>
  <c r="R711" i="10" a="1"/>
  <c r="R711" i="10" s="1"/>
  <c r="S711" i="10" s="1"/>
  <c r="R144" i="10" a="1"/>
  <c r="R144" i="10" s="1"/>
  <c r="S144" i="10" s="1"/>
  <c r="R684" i="10" a="1"/>
  <c r="R684" i="10" s="1"/>
  <c r="S684" i="10" s="1"/>
  <c r="R1120" i="10" a="1"/>
  <c r="R1120" i="10" s="1"/>
  <c r="S1120" i="10" s="1"/>
  <c r="R445" i="10" a="1"/>
  <c r="R445" i="10" s="1"/>
  <c r="S445" i="10" s="1"/>
  <c r="R1001" i="10" a="1"/>
  <c r="R1001" i="10" s="1"/>
  <c r="S1001" i="10" s="1"/>
  <c r="R422" i="10" a="1"/>
  <c r="R422" i="10" s="1"/>
  <c r="S422" i="10" s="1"/>
  <c r="R605" i="10" a="1"/>
  <c r="R605" i="10" s="1"/>
  <c r="S605" i="10" s="1"/>
  <c r="R494" i="10" a="1"/>
  <c r="R494" i="10" s="1"/>
  <c r="S494" i="10" s="1"/>
  <c r="R876" i="10" a="1"/>
  <c r="R876" i="10" s="1"/>
  <c r="S876" i="10" s="1"/>
  <c r="R1098" i="10" a="1"/>
  <c r="R1098" i="10" s="1"/>
  <c r="S1098" i="10" s="1"/>
  <c r="R430" i="10" a="1"/>
  <c r="R430" i="10" s="1"/>
  <c r="S430" i="10" s="1"/>
  <c r="R706" i="10" a="1"/>
  <c r="R706" i="10" s="1"/>
  <c r="S706" i="10" s="1"/>
  <c r="R873" i="10" a="1"/>
  <c r="R873" i="10" s="1"/>
  <c r="S873" i="10" s="1"/>
  <c r="R473" i="10" a="1"/>
  <c r="R473" i="10" s="1"/>
  <c r="S473" i="10" s="1"/>
  <c r="R638" i="10" a="1"/>
  <c r="R638" i="10" s="1"/>
  <c r="S638" i="10" s="1"/>
  <c r="R622" i="10" a="1"/>
  <c r="R622" i="10" s="1"/>
  <c r="S622" i="10" s="1"/>
  <c r="R1004" i="10" a="1"/>
  <c r="R1004" i="10" s="1"/>
  <c r="S1004" i="10" s="1"/>
  <c r="R119" i="10" a="1"/>
  <c r="R119" i="10" s="1"/>
  <c r="S119" i="10" s="1"/>
  <c r="R563" i="10" a="1"/>
  <c r="R563" i="10" s="1"/>
  <c r="S563" i="10" s="1"/>
  <c r="R1050" i="10" a="1"/>
  <c r="R1050" i="10" s="1"/>
  <c r="S1050" i="10" s="1"/>
  <c r="R1090" i="10" a="1"/>
  <c r="R1090" i="10" s="1"/>
  <c r="S1090" i="10" s="1"/>
  <c r="R138" i="10" a="1"/>
  <c r="R138" i="10" s="1"/>
  <c r="S138" i="10" s="1"/>
  <c r="R498" i="10" a="1"/>
  <c r="R498" i="10" s="1"/>
  <c r="S498" i="10" s="1"/>
  <c r="R1038" i="10" a="1"/>
  <c r="R1038" i="10" s="1"/>
  <c r="S1038" i="10" s="1"/>
  <c r="R423" i="10" a="1"/>
  <c r="R423" i="10" s="1"/>
  <c r="S423" i="10" s="1"/>
  <c r="R963" i="10" a="1"/>
  <c r="R963" i="10" s="1"/>
  <c r="S963" i="10" s="1"/>
  <c r="R332" i="10" a="1"/>
  <c r="R332" i="10" s="1"/>
  <c r="S332" i="10" s="1"/>
  <c r="R872" i="10" a="1"/>
  <c r="R872" i="10" s="1"/>
  <c r="S872" i="10" s="1"/>
  <c r="R93" i="10" a="1"/>
  <c r="R93" i="10" s="1"/>
  <c r="S93" i="10" s="1"/>
  <c r="R649" i="10" a="1"/>
  <c r="R649" i="10" s="1"/>
  <c r="S649" i="10" s="1"/>
  <c r="R70" i="10" a="1"/>
  <c r="R70" i="10" s="1"/>
  <c r="S70" i="10" s="1"/>
  <c r="R77" i="10" a="1"/>
  <c r="R77" i="10" s="1"/>
  <c r="S77" i="10" s="1"/>
  <c r="R569" i="10" a="1"/>
  <c r="R569" i="10" s="1"/>
  <c r="S569" i="10" s="1"/>
  <c r="R1109" i="10" a="1"/>
  <c r="R1109" i="10" s="1"/>
  <c r="S1109" i="10" s="1"/>
  <c r="R514" i="10" a="1"/>
  <c r="R514" i="10" s="1"/>
  <c r="S514" i="10" s="1"/>
  <c r="R1054" i="10" a="1"/>
  <c r="R1054" i="10" s="1"/>
  <c r="S1054" i="10" s="1"/>
  <c r="R503" i="10" a="1"/>
  <c r="R503" i="10" s="1"/>
  <c r="S503" i="10" s="1"/>
  <c r="R1043" i="10" a="1"/>
  <c r="R1043" i="10" s="1"/>
  <c r="S1043" i="10" s="1"/>
  <c r="R1121" i="10" a="1"/>
  <c r="R1121" i="10" s="1"/>
  <c r="S1121" i="10" s="1"/>
  <c r="R1164" i="10" a="1"/>
  <c r="R1164" i="10" s="1"/>
  <c r="S1164" i="10" s="1"/>
  <c r="R505" i="10" a="1"/>
  <c r="R505" i="10" s="1"/>
  <c r="S505" i="10" s="1"/>
  <c r="R789" i="10" a="1"/>
  <c r="R789" i="10" s="1"/>
  <c r="S789" i="10" s="1"/>
  <c r="R194" i="10" a="1"/>
  <c r="R194" i="10" s="1"/>
  <c r="S194" i="10" s="1"/>
  <c r="R734" i="10" a="1"/>
  <c r="R734" i="10" s="1"/>
  <c r="S734" i="10" s="1"/>
  <c r="R183" i="10" a="1"/>
  <c r="R183" i="10" s="1"/>
  <c r="S183" i="10" s="1"/>
  <c r="R723" i="10" a="1"/>
  <c r="R723" i="10" s="1"/>
  <c r="S723" i="10" s="1"/>
  <c r="R398" i="10" a="1"/>
  <c r="R398" i="10" s="1"/>
  <c r="S398" i="10" s="1"/>
  <c r="R890" i="10" a="1"/>
  <c r="R890" i="10" s="1"/>
  <c r="S890" i="10" s="1"/>
  <c r="R323" i="10" a="1"/>
  <c r="R323" i="10" s="1"/>
  <c r="S323" i="10" s="1"/>
  <c r="R783" i="10" a="1"/>
  <c r="R783" i="10" s="1"/>
  <c r="S783" i="10" s="1"/>
  <c r="R1083" i="10" a="1"/>
  <c r="R1083" i="10" s="1"/>
  <c r="S1083" i="10" s="1"/>
  <c r="R516" i="10" a="1"/>
  <c r="R516" i="10" s="1"/>
  <c r="S516" i="10" s="1"/>
  <c r="R1056" i="10" a="1"/>
  <c r="R1056" i="10" s="1"/>
  <c r="S1056" i="10" s="1"/>
  <c r="R293" i="10" a="1"/>
  <c r="R293" i="10" s="1"/>
  <c r="S293" i="10" s="1"/>
  <c r="R436" i="10" a="1"/>
  <c r="R436" i="10" s="1"/>
  <c r="S436" i="10" s="1"/>
  <c r="R976" i="10" a="1"/>
  <c r="R976" i="10" s="1"/>
  <c r="S976" i="10" s="1"/>
  <c r="R213" i="10" a="1"/>
  <c r="R213" i="10" s="1"/>
  <c r="S213" i="10" s="1"/>
  <c r="R737" i="10" a="1"/>
  <c r="R737" i="10" s="1"/>
  <c r="S737" i="10" s="1"/>
  <c r="R158" i="10" a="1"/>
  <c r="R158" i="10" s="1"/>
  <c r="S158" i="10" s="1"/>
  <c r="R714" i="10" a="1"/>
  <c r="R714" i="10" s="1"/>
  <c r="S714" i="10" s="1"/>
  <c r="R147" i="10" a="1"/>
  <c r="R147" i="10" s="1"/>
  <c r="S147" i="10" s="1"/>
  <c r="R992" i="10" a="1"/>
  <c r="R992" i="10" s="1"/>
  <c r="S992" i="10" s="1"/>
  <c r="R229" i="10" a="1"/>
  <c r="R229" i="10" s="1"/>
  <c r="S229" i="10" s="1"/>
  <c r="R372" i="10" a="1"/>
  <c r="R372" i="10" s="1"/>
  <c r="S372" i="10" s="1"/>
  <c r="R912" i="10" a="1"/>
  <c r="R912" i="10" s="1"/>
  <c r="S912" i="10" s="1"/>
  <c r="R149" i="10" a="1"/>
  <c r="R149" i="10" s="1"/>
  <c r="S149" i="10" s="1"/>
  <c r="R673" i="10" a="1"/>
  <c r="R673" i="10" s="1"/>
  <c r="S673" i="10" s="1"/>
  <c r="R94" i="10" a="1"/>
  <c r="R94" i="10" s="1"/>
  <c r="S94" i="10" s="1"/>
  <c r="R650" i="10" a="1"/>
  <c r="R650" i="10" s="1"/>
  <c r="S650" i="10" s="1"/>
  <c r="R83" i="10" a="1"/>
  <c r="R83" i="10" s="1"/>
  <c r="S83" i="10" s="1"/>
  <c r="R534" i="10" a="1"/>
  <c r="R534" i="10" s="1"/>
  <c r="S534" i="10" s="1"/>
  <c r="R510" i="10" a="1"/>
  <c r="R510" i="10" s="1"/>
  <c r="S510" i="10" s="1"/>
  <c r="R427" i="10" a="1"/>
  <c r="R427" i="10" s="1"/>
  <c r="S427" i="10" s="1"/>
  <c r="R597" i="10" a="1"/>
  <c r="R597" i="10" s="1"/>
  <c r="S597" i="10" s="1"/>
  <c r="R1015" i="10" a="1"/>
  <c r="R1015" i="10" s="1"/>
  <c r="S1015" i="10" s="1"/>
  <c r="R525" i="10" a="1"/>
  <c r="R525" i="10" s="1"/>
  <c r="S525" i="10" s="1"/>
  <c r="R623" i="10" a="1"/>
  <c r="R623" i="10" s="1"/>
  <c r="S623" i="10" s="1"/>
  <c r="R128" i="10" a="1"/>
  <c r="R128" i="10" s="1"/>
  <c r="S128" i="10" s="1"/>
  <c r="R752" i="10" a="1"/>
  <c r="R752" i="10" s="1"/>
  <c r="S752" i="10" s="1"/>
  <c r="R733" i="10" a="1"/>
  <c r="R733" i="10" s="1"/>
  <c r="S733" i="10" s="1"/>
  <c r="R717" i="10" a="1"/>
  <c r="R717" i="10" s="1"/>
  <c r="S717" i="10" s="1"/>
  <c r="R47" i="10" a="1"/>
  <c r="R47" i="10" s="1"/>
  <c r="S47" i="10" s="1"/>
  <c r="R297" i="10" a="1"/>
  <c r="R297" i="10" s="1"/>
  <c r="S297" i="10" s="1"/>
  <c r="R491" i="10" a="1"/>
  <c r="R491" i="10" s="1"/>
  <c r="S491" i="10" s="1"/>
  <c r="R400" i="10" a="1"/>
  <c r="R400" i="10" s="1"/>
  <c r="S400" i="10" s="1"/>
  <c r="R456" i="10" a="1"/>
  <c r="R456" i="10" s="1"/>
  <c r="S456" i="10" s="1"/>
  <c r="R678" i="10" a="1"/>
  <c r="R678" i="10" s="1"/>
  <c r="S678" i="10" s="1"/>
  <c r="R167" i="10" a="1"/>
  <c r="R167" i="10" s="1"/>
  <c r="S167" i="10" s="1"/>
  <c r="R707" i="10" a="1"/>
  <c r="R707" i="10" s="1"/>
  <c r="S707" i="10" s="1"/>
  <c r="R76" i="10" a="1"/>
  <c r="R76" i="10" s="1"/>
  <c r="S76" i="10" s="1"/>
  <c r="R616" i="10" a="1"/>
  <c r="R616" i="10" s="1"/>
  <c r="S616" i="10" s="1"/>
  <c r="R1154" i="10" a="1"/>
  <c r="R1154" i="10" s="1"/>
  <c r="S1154" i="10" s="1"/>
  <c r="R393" i="10" a="1"/>
  <c r="R393" i="10" s="1"/>
  <c r="S393" i="10" s="1"/>
  <c r="R933" i="10" a="1"/>
  <c r="R933" i="10" s="1"/>
  <c r="S933" i="10" s="1"/>
  <c r="R1076" i="10" a="1"/>
  <c r="R1076" i="10" s="1"/>
  <c r="S1076" i="10" s="1"/>
  <c r="R313" i="10" a="1"/>
  <c r="R313" i="10" s="1"/>
  <c r="S313" i="10" s="1"/>
  <c r="R853" i="10" a="1"/>
  <c r="R853" i="10" s="1"/>
  <c r="S853" i="10" s="1"/>
  <c r="R258" i="10" a="1"/>
  <c r="R258" i="10" s="1"/>
  <c r="S258" i="10" s="1"/>
  <c r="R798" i="10" a="1"/>
  <c r="R798" i="10" s="1"/>
  <c r="S798" i="10" s="1"/>
  <c r="R247" i="10" a="1"/>
  <c r="R247" i="10" s="1"/>
  <c r="S247" i="10" s="1"/>
  <c r="R787" i="10" a="1"/>
  <c r="R787" i="10" s="1"/>
  <c r="S787" i="10" s="1"/>
  <c r="R869" i="10" a="1"/>
  <c r="R869" i="10" s="1"/>
  <c r="S869" i="10" s="1"/>
  <c r="R1012" i="10" a="1"/>
  <c r="R1012" i="10" s="1"/>
  <c r="S1012" i="10" s="1"/>
  <c r="R249" i="10" a="1"/>
  <c r="R249" i="10" s="1"/>
  <c r="S249" i="10" s="1"/>
  <c r="R533" i="10" a="1"/>
  <c r="R533" i="10" s="1"/>
  <c r="S533" i="10" s="1"/>
  <c r="R1057" i="10" a="1"/>
  <c r="R1057" i="10" s="1"/>
  <c r="S1057" i="10" s="1"/>
  <c r="R478" i="10" a="1"/>
  <c r="R478" i="10" s="1"/>
  <c r="S478" i="10" s="1"/>
  <c r="R1034" i="10" a="1"/>
  <c r="R1034" i="10" s="1"/>
  <c r="S1034" i="10" s="1"/>
  <c r="R467" i="10" a="1"/>
  <c r="R467" i="10" s="1"/>
  <c r="S467" i="10" s="1"/>
  <c r="R142" i="10" a="1"/>
  <c r="R142" i="10" s="1"/>
  <c r="S142" i="10" s="1"/>
  <c r="R634" i="10" a="1"/>
  <c r="R634" i="10" s="1"/>
  <c r="S634" i="10" s="1"/>
  <c r="R67" i="10" a="1"/>
  <c r="R67" i="10" s="1"/>
  <c r="S67" i="10" s="1"/>
  <c r="R527" i="10" a="1"/>
  <c r="R527" i="10" s="1"/>
  <c r="S527" i="10" s="1"/>
  <c r="R827" i="10" a="1"/>
  <c r="R827" i="10" s="1"/>
  <c r="S827" i="10" s="1"/>
  <c r="R260" i="10" a="1"/>
  <c r="R260" i="10" s="1"/>
  <c r="S260" i="10" s="1"/>
  <c r="R800" i="10" a="1"/>
  <c r="R800" i="10" s="1"/>
  <c r="S800" i="10" s="1"/>
  <c r="R37" i="10" a="1"/>
  <c r="R37" i="10" s="1"/>
  <c r="S37" i="10" s="1"/>
  <c r="R180" i="10" a="1"/>
  <c r="R180" i="10" s="1"/>
  <c r="S180" i="10" s="1"/>
  <c r="R720" i="10" a="1"/>
  <c r="R720" i="10" s="1"/>
  <c r="S720" i="10" s="1"/>
  <c r="R1156" i="10" a="1"/>
  <c r="R1156" i="10" s="1"/>
  <c r="S1156" i="10" s="1"/>
  <c r="R481" i="10" a="1"/>
  <c r="R481" i="10" s="1"/>
  <c r="S481" i="10" s="1"/>
  <c r="R1021" i="10" a="1"/>
  <c r="R1021" i="10" s="1"/>
  <c r="S1021" i="10" s="1"/>
  <c r="R458" i="10" a="1"/>
  <c r="R458" i="10" s="1"/>
  <c r="S458" i="10" s="1"/>
  <c r="R998" i="10" a="1"/>
  <c r="R998" i="10" s="1"/>
  <c r="S998" i="10" s="1"/>
  <c r="R736" i="10" a="1"/>
  <c r="R736" i="10" s="1"/>
  <c r="S736" i="10" s="1"/>
  <c r="R747" i="10" a="1"/>
  <c r="R747" i="10" s="1"/>
  <c r="S747" i="10" s="1"/>
  <c r="R116" i="10" a="1"/>
  <c r="R116" i="10" s="1"/>
  <c r="S116" i="10" s="1"/>
  <c r="R656" i="10" a="1"/>
  <c r="R656" i="10" s="1"/>
  <c r="S656" i="10" s="1"/>
  <c r="R1147" i="10" a="1"/>
  <c r="R1147" i="10" s="1"/>
  <c r="S1147" i="10" s="1"/>
  <c r="R417" i="10" a="1"/>
  <c r="R417" i="10" s="1"/>
  <c r="S417" i="10" s="1"/>
  <c r="R957" i="10" a="1"/>
  <c r="R957" i="10" s="1"/>
  <c r="S957" i="10" s="1"/>
  <c r="R394" i="10" a="1"/>
  <c r="R394" i="10" s="1"/>
  <c r="S394" i="10" s="1"/>
  <c r="R934" i="10" a="1"/>
  <c r="R934" i="10" s="1"/>
  <c r="S934" i="10" s="1"/>
  <c r="R868" i="10" a="1"/>
  <c r="R868" i="10" s="1"/>
  <c r="S868" i="10" s="1"/>
  <c r="R468" i="10" a="1"/>
  <c r="R468" i="10" s="1"/>
  <c r="S468" i="10" s="1"/>
  <c r="R449" i="10" a="1"/>
  <c r="R449" i="10" s="1"/>
  <c r="S449" i="10" s="1"/>
  <c r="R966" i="10" a="1"/>
  <c r="R966" i="10" s="1"/>
  <c r="S966" i="10" s="1"/>
  <c r="R886" i="10" a="1"/>
  <c r="R886" i="10" s="1"/>
  <c r="S886" i="10" s="1"/>
  <c r="R292" i="10" a="1"/>
  <c r="R292" i="10" s="1"/>
  <c r="S292" i="10" s="1"/>
  <c r="R902" i="10" a="1"/>
  <c r="R902" i="10" s="1"/>
  <c r="S902" i="10" s="1"/>
  <c r="R822" i="10" a="1"/>
  <c r="R822" i="10" s="1"/>
  <c r="S822" i="10" s="1"/>
  <c r="R228" i="10" a="1"/>
  <c r="R228" i="10" s="1"/>
  <c r="S228" i="10" s="1"/>
  <c r="R926" i="10" a="1"/>
  <c r="R926" i="10" s="1"/>
  <c r="S926" i="10" s="1"/>
  <c r="R997" i="10" a="1"/>
  <c r="R997" i="10" s="1"/>
  <c r="S997" i="10" s="1"/>
  <c r="R322" i="10" a="1"/>
  <c r="R322" i="10" s="1"/>
  <c r="S322" i="10" s="1"/>
  <c r="R860" i="10" a="1"/>
  <c r="R860" i="10" s="1"/>
  <c r="S860" i="10" s="1"/>
  <c r="R81" i="10" a="1"/>
  <c r="R81" i="10" s="1"/>
  <c r="S81" i="10" s="1"/>
  <c r="R557" i="10" a="1"/>
  <c r="R557" i="10" s="1"/>
  <c r="S557" i="10" s="1"/>
  <c r="R1113" i="10" a="1"/>
  <c r="R1113" i="10" s="1"/>
  <c r="S1113" i="10" s="1"/>
  <c r="R1089" i="10" a="1"/>
  <c r="R1089" i="10" s="1"/>
  <c r="S1089" i="10" s="1"/>
  <c r="R677" i="10" a="1"/>
  <c r="R677" i="10" s="1"/>
  <c r="S677" i="10" s="1"/>
  <c r="R943" i="10" a="1"/>
  <c r="R943" i="10" s="1"/>
  <c r="S943" i="10" s="1"/>
  <c r="R531" i="10" a="1"/>
  <c r="R531" i="10" s="1"/>
  <c r="S531" i="10" s="1"/>
  <c r="R99" i="10" a="1"/>
  <c r="R99" i="10" s="1"/>
  <c r="S99" i="10" s="1"/>
  <c r="R612" i="10" a="1"/>
  <c r="R612" i="10" s="1"/>
  <c r="S612" i="10" s="1"/>
  <c r="R378" i="10" a="1"/>
  <c r="R378" i="10" s="1"/>
  <c r="S378" i="10" s="1"/>
  <c r="R571" i="10" a="1"/>
  <c r="R571" i="10" s="1"/>
  <c r="S571" i="10" s="1"/>
  <c r="R555" i="10" a="1"/>
  <c r="R555" i="10" s="1"/>
  <c r="S555" i="10" s="1"/>
  <c r="R1071" i="10" a="1"/>
  <c r="R1071" i="10" s="1"/>
  <c r="S1071" i="10" s="1"/>
  <c r="R659" i="10" a="1"/>
  <c r="R659" i="10" s="1"/>
  <c r="S659" i="10" s="1"/>
  <c r="R1079" i="10" a="1"/>
  <c r="R1079" i="10" s="1"/>
  <c r="S1079" i="10" s="1"/>
  <c r="R840" i="10" a="1"/>
  <c r="R840" i="10" s="1"/>
  <c r="S840" i="10" s="1"/>
  <c r="R61" i="10" a="1"/>
  <c r="R61" i="10" s="1"/>
  <c r="S61" i="10" s="1"/>
  <c r="R617" i="10" a="1"/>
  <c r="R617" i="10" s="1"/>
  <c r="S617" i="10" s="1"/>
  <c r="R38" i="10" a="1"/>
  <c r="R38" i="10" s="1"/>
  <c r="S38" i="10" s="1"/>
  <c r="R980" i="10" a="1"/>
  <c r="R980" i="10" s="1"/>
  <c r="S980" i="10" s="1"/>
  <c r="R217" i="10" a="1"/>
  <c r="R217" i="10" s="1"/>
  <c r="S217" i="10" s="1"/>
  <c r="R757" i="10" a="1"/>
  <c r="R757" i="10" s="1"/>
  <c r="S757" i="10" s="1"/>
  <c r="R961" i="10" a="1"/>
  <c r="R961" i="10" s="1"/>
  <c r="S961" i="10" s="1"/>
  <c r="R382" i="10" a="1"/>
  <c r="R382" i="10" s="1"/>
  <c r="S382" i="10" s="1"/>
  <c r="R938" i="10" a="1"/>
  <c r="R938" i="10" s="1"/>
  <c r="S938" i="10" s="1"/>
  <c r="R371" i="10" a="1"/>
  <c r="R371" i="10" s="1"/>
  <c r="S371" i="10" s="1"/>
  <c r="R366" i="10" a="1"/>
  <c r="R366" i="10" s="1"/>
  <c r="S366" i="10" s="1"/>
  <c r="R858" i="10" a="1"/>
  <c r="R858" i="10" s="1"/>
  <c r="S858" i="10" s="1"/>
  <c r="R291" i="10" a="1"/>
  <c r="R291" i="10" s="1"/>
  <c r="S291" i="10" s="1"/>
  <c r="R815" i="10" a="1"/>
  <c r="R815" i="10" s="1"/>
  <c r="S815" i="10" s="1"/>
  <c r="R264" i="10" a="1"/>
  <c r="R264" i="10" s="1"/>
  <c r="S264" i="10" s="1"/>
  <c r="R804" i="10" a="1"/>
  <c r="R804" i="10" s="1"/>
  <c r="S804" i="10" s="1"/>
  <c r="R41" i="10" a="1"/>
  <c r="R41" i="10" s="1"/>
  <c r="S41" i="10" s="1"/>
  <c r="R581" i="10" a="1"/>
  <c r="R581" i="10" s="1"/>
  <c r="S581" i="10" s="1"/>
  <c r="R307" i="10" a="1"/>
  <c r="R307" i="10" s="1"/>
  <c r="S307" i="10" s="1"/>
  <c r="R302" i="10" a="1"/>
  <c r="R302" i="10" s="1"/>
  <c r="S302" i="10" s="1"/>
  <c r="R794" i="10" a="1"/>
  <c r="R794" i="10" s="1"/>
  <c r="S794" i="10" s="1"/>
  <c r="R227" i="10" a="1"/>
  <c r="R227" i="10" s="1"/>
  <c r="S227" i="10" s="1"/>
  <c r="R751" i="10" a="1"/>
  <c r="R751" i="10" s="1"/>
  <c r="S751" i="10" s="1"/>
  <c r="R200" i="10" a="1"/>
  <c r="R200" i="10" s="1"/>
  <c r="S200" i="10" s="1"/>
  <c r="R740" i="10" a="1"/>
  <c r="R740" i="10" s="1"/>
  <c r="S740" i="10" s="1"/>
  <c r="R1129" i="10" a="1"/>
  <c r="R1129" i="10" s="1"/>
  <c r="S1129" i="10" s="1"/>
  <c r="R517" i="10" a="1"/>
  <c r="R517" i="10" s="1"/>
  <c r="S517" i="10" s="1"/>
  <c r="R1066" i="10" a="1"/>
  <c r="R1066" i="10" s="1"/>
  <c r="S1066" i="10" s="1"/>
  <c r="R903" i="10" a="1"/>
  <c r="R903" i="10" s="1"/>
  <c r="S903" i="10" s="1"/>
  <c r="R1119" i="10" a="1"/>
  <c r="R1119" i="10" s="1"/>
  <c r="S1119" i="10" s="1"/>
  <c r="R448" i="10" a="1"/>
  <c r="R448" i="10" s="1"/>
  <c r="S448" i="10" s="1"/>
  <c r="R839" i="10" a="1"/>
  <c r="R839" i="10" s="1"/>
  <c r="S839" i="10" s="1"/>
  <c r="R1096" i="10" a="1"/>
  <c r="R1096" i="10" s="1"/>
  <c r="S1096" i="10" s="1"/>
  <c r="R211" i="10" a="1"/>
  <c r="R211" i="10" s="1"/>
  <c r="S211" i="10" s="1"/>
  <c r="R918" i="10" a="1"/>
  <c r="R918" i="10" s="1"/>
  <c r="S918" i="10" s="1"/>
  <c r="R1111" i="10" a="1"/>
  <c r="R1111" i="10" s="1"/>
  <c r="S1111" i="10" s="1"/>
  <c r="R1031" i="10" a="1"/>
  <c r="R1031" i="10" s="1"/>
  <c r="S1031" i="10" s="1"/>
  <c r="R130" i="10" a="1"/>
  <c r="R130" i="10" s="1"/>
  <c r="S130" i="10" s="1"/>
  <c r="R576" i="10" a="1"/>
  <c r="R576" i="10" s="1"/>
  <c r="S576" i="10" s="1"/>
  <c r="R741" i="10" a="1"/>
  <c r="R741" i="10" s="1"/>
  <c r="S741" i="10" s="1"/>
  <c r="R121" i="10" a="1"/>
  <c r="R121" i="10" s="1"/>
  <c r="S121" i="10" s="1"/>
  <c r="R161" i="10" a="1"/>
  <c r="R161" i="10" s="1"/>
  <c r="S161" i="10" s="1"/>
  <c r="R595" i="10" a="1"/>
  <c r="R595" i="10" s="1"/>
  <c r="S595" i="10" s="1"/>
  <c r="R593" i="10" a="1"/>
  <c r="R593" i="10" s="1"/>
  <c r="S593" i="10" s="1"/>
  <c r="R1069" i="10" a="1"/>
  <c r="R1069" i="10" s="1"/>
  <c r="S1069" i="10" s="1"/>
  <c r="R506" i="10" a="1"/>
  <c r="R506" i="10" s="1"/>
  <c r="S506" i="10" s="1"/>
  <c r="R1046" i="10" a="1"/>
  <c r="R1046" i="10" s="1"/>
  <c r="S1046" i="10" s="1"/>
  <c r="R399" i="10" a="1"/>
  <c r="R399" i="10" s="1"/>
  <c r="S399" i="10" s="1"/>
  <c r="R955" i="10" a="1"/>
  <c r="R955" i="10" s="1"/>
  <c r="S955" i="10" s="1"/>
  <c r="R388" i="10" a="1"/>
  <c r="R388" i="10" s="1"/>
  <c r="S388" i="10" s="1"/>
  <c r="R928" i="10" a="1"/>
  <c r="R928" i="10" s="1"/>
  <c r="S928" i="10" s="1"/>
  <c r="R165" i="10" a="1"/>
  <c r="R165" i="10" s="1"/>
  <c r="S165" i="10" s="1"/>
  <c r="R308" i="10" a="1"/>
  <c r="R308" i="10" s="1"/>
  <c r="S308" i="10" s="1"/>
  <c r="R848" i="10" a="1"/>
  <c r="R848" i="10" s="1"/>
  <c r="S848" i="10" s="1"/>
  <c r="R85" i="10" a="1"/>
  <c r="R85" i="10" s="1"/>
  <c r="S85" i="10" s="1"/>
  <c r="R609" i="10" a="1"/>
  <c r="R609" i="10" s="1"/>
  <c r="S609" i="10" s="1"/>
  <c r="R30" i="10" a="1"/>
  <c r="R30" i="10" s="1"/>
  <c r="S30" i="10" s="1"/>
  <c r="R586" i="10" a="1"/>
  <c r="R586" i="10" s="1"/>
  <c r="S586" i="10" s="1"/>
  <c r="R101" i="10" a="1"/>
  <c r="R101" i="10" s="1"/>
  <c r="S101" i="10" s="1"/>
  <c r="R244" i="10" a="1"/>
  <c r="R244" i="10" s="1"/>
  <c r="S244" i="10" s="1"/>
  <c r="R784" i="10" a="1"/>
  <c r="R784" i="10" s="1"/>
  <c r="S784" i="10" s="1"/>
  <c r="R1068" i="10" a="1"/>
  <c r="R1068" i="10" s="1"/>
  <c r="S1068" i="10" s="1"/>
  <c r="R289" i="10" a="1"/>
  <c r="R289" i="10" s="1"/>
  <c r="S289" i="10" s="1"/>
  <c r="R829" i="10" a="1"/>
  <c r="R829" i="10" s="1"/>
  <c r="S829" i="10" s="1"/>
  <c r="R266" i="10" a="1"/>
  <c r="R266" i="10" s="1"/>
  <c r="S266" i="10" s="1"/>
  <c r="R806" i="10" a="1"/>
  <c r="R806" i="10" s="1"/>
  <c r="S806" i="10" s="1"/>
  <c r="R429" i="10" a="1"/>
  <c r="R429" i="10" s="1"/>
  <c r="S429" i="10" s="1"/>
  <c r="R985" i="10" a="1"/>
  <c r="R985" i="10" s="1"/>
  <c r="S985" i="10" s="1"/>
  <c r="R406" i="10" a="1"/>
  <c r="R406" i="10" s="1"/>
  <c r="S406" i="10" s="1"/>
  <c r="R610" i="10" a="1"/>
  <c r="R610" i="10" s="1"/>
  <c r="S610" i="10" s="1"/>
  <c r="R59" i="10" a="1"/>
  <c r="R59" i="10" s="1"/>
  <c r="S59" i="10" s="1"/>
  <c r="R599" i="10" a="1"/>
  <c r="R599" i="10" s="1"/>
  <c r="S599" i="10" s="1"/>
  <c r="R32" i="10" a="1"/>
  <c r="R32" i="10" s="1"/>
  <c r="S32" i="10" s="1"/>
  <c r="R43" i="10" a="1"/>
  <c r="R43" i="10" s="1"/>
  <c r="S43" i="10" s="1"/>
  <c r="R519" i="10" a="1"/>
  <c r="R519" i="10" s="1"/>
  <c r="S519" i="10" s="1"/>
  <c r="R1059" i="10" a="1"/>
  <c r="R1059" i="10" s="1"/>
  <c r="S1059" i="10" s="1"/>
  <c r="R492" i="10" a="1"/>
  <c r="R492" i="10" s="1"/>
  <c r="S492" i="10" s="1"/>
  <c r="R1032" i="10" a="1"/>
  <c r="R1032" i="10" s="1"/>
  <c r="S1032" i="10" s="1"/>
  <c r="R253" i="10" a="1"/>
  <c r="R253" i="10" s="1"/>
  <c r="S253" i="10" s="1"/>
  <c r="R809" i="10" a="1"/>
  <c r="R809" i="10" s="1"/>
  <c r="S809" i="10" s="1"/>
  <c r="R230" i="10" a="1"/>
  <c r="R230" i="10" s="1"/>
  <c r="S230" i="10" s="1"/>
  <c r="R1075" i="10" a="1"/>
  <c r="R1075" i="10" s="1"/>
  <c r="S1075" i="10" s="1"/>
  <c r="R1070" i="10" a="1"/>
  <c r="R1070" i="10" s="1"/>
  <c r="S1070" i="10" s="1"/>
  <c r="R455" i="10" a="1"/>
  <c r="R455" i="10" s="1"/>
  <c r="S455" i="10" s="1"/>
  <c r="R995" i="10" a="1"/>
  <c r="R995" i="10" s="1"/>
  <c r="S995" i="10" s="1"/>
  <c r="R428" i="10" a="1"/>
  <c r="R428" i="10" s="1"/>
  <c r="S428" i="10" s="1"/>
  <c r="R968" i="10" a="1"/>
  <c r="R968" i="10" s="1"/>
  <c r="S968" i="10" s="1"/>
  <c r="R189" i="10" a="1"/>
  <c r="R189" i="10" s="1"/>
  <c r="S189" i="10" s="1"/>
  <c r="R745" i="10" a="1"/>
  <c r="R745" i="10" s="1"/>
  <c r="S745" i="10" s="1"/>
  <c r="R166" i="10" a="1"/>
  <c r="R166" i="10" s="1"/>
  <c r="S166" i="10" s="1"/>
  <c r="R629" i="10" a="1"/>
  <c r="R629" i="10" s="1"/>
  <c r="S629" i="10" s="1"/>
  <c r="R983" i="10" a="1"/>
  <c r="R983" i="10" s="1"/>
  <c r="S983" i="10" s="1"/>
  <c r="R820" i="10" a="1"/>
  <c r="R820" i="10" s="1"/>
  <c r="S820" i="10" s="1"/>
  <c r="R1026" i="10" a="1"/>
  <c r="R1026" i="10" s="1"/>
  <c r="S1026" i="10" s="1"/>
  <c r="R169" i="10" a="1"/>
  <c r="R169" i="10" s="1"/>
  <c r="S169" i="10" s="1"/>
  <c r="R922" i="10" a="1"/>
  <c r="R922" i="10" s="1"/>
  <c r="S922" i="10" s="1"/>
  <c r="R72" i="10" a="1"/>
  <c r="R72" i="10" s="1"/>
  <c r="S72" i="10" s="1"/>
  <c r="R389" i="10" a="1"/>
  <c r="R389" i="10" s="1"/>
  <c r="S389" i="10" s="1"/>
  <c r="R1013" i="10" a="1"/>
  <c r="R1013" i="10" s="1"/>
  <c r="S1013" i="10" s="1"/>
  <c r="R87" i="10" a="1"/>
  <c r="R87" i="10" s="1"/>
  <c r="S87" i="10" s="1"/>
  <c r="R1114" i="10" a="1"/>
  <c r="R1114" i="10" s="1"/>
  <c r="S1114" i="10" s="1"/>
  <c r="R520" i="10" a="1"/>
  <c r="R520" i="10" s="1"/>
  <c r="S520" i="10" s="1"/>
  <c r="R742" i="10" a="1"/>
  <c r="R742" i="10" s="1"/>
  <c r="S742" i="10" s="1"/>
  <c r="R558" i="10" a="1"/>
  <c r="R558" i="10" s="1"/>
  <c r="S558" i="10" s="1"/>
  <c r="R566" i="10" a="1"/>
  <c r="R566" i="10" s="1"/>
  <c r="S566" i="10" s="1"/>
  <c r="R701" i="10" a="1"/>
  <c r="R701" i="10" s="1"/>
  <c r="S701" i="10" s="1"/>
  <c r="R813" i="10" a="1"/>
  <c r="R813" i="10" s="1"/>
  <c r="S813" i="10" s="1"/>
  <c r="R250" i="10" a="1"/>
  <c r="R250" i="10" s="1"/>
  <c r="S250" i="10" s="1"/>
  <c r="R790" i="10" a="1"/>
  <c r="R790" i="10" s="1"/>
  <c r="S790" i="10" s="1"/>
  <c r="R143" i="10" a="1"/>
  <c r="R143" i="10" s="1"/>
  <c r="S143" i="10" s="1"/>
  <c r="R699" i="10" a="1"/>
  <c r="R699" i="10" s="1"/>
  <c r="S699" i="10" s="1"/>
  <c r="R132" i="10" a="1"/>
  <c r="R132" i="10" s="1"/>
  <c r="S132" i="10" s="1"/>
  <c r="R672" i="10" a="1"/>
  <c r="R672" i="10" s="1"/>
  <c r="S672" i="10" s="1"/>
  <c r="R683" i="10" a="1"/>
  <c r="R683" i="10" s="1"/>
  <c r="S683" i="10" s="1"/>
  <c r="R52" i="10" a="1"/>
  <c r="R52" i="10" s="1"/>
  <c r="S52" i="10" s="1"/>
  <c r="R592" i="10" a="1"/>
  <c r="R592" i="10" s="1"/>
  <c r="S592" i="10" s="1"/>
  <c r="R1130" i="10" a="1"/>
  <c r="R1130" i="10" s="1"/>
  <c r="S1130" i="10" s="1"/>
  <c r="R353" i="10" a="1"/>
  <c r="R353" i="10" s="1"/>
  <c r="S353" i="10" s="1"/>
  <c r="R893" i="10" a="1"/>
  <c r="R893" i="10" s="1"/>
  <c r="S893" i="10" s="1"/>
  <c r="R330" i="10" a="1"/>
  <c r="R330" i="10" s="1"/>
  <c r="S330" i="10" s="1"/>
  <c r="R870" i="10" a="1"/>
  <c r="R870" i="10" s="1"/>
  <c r="S870" i="10" s="1"/>
  <c r="R619" i="10" a="1"/>
  <c r="R619" i="10" s="1"/>
  <c r="S619" i="10" s="1"/>
  <c r="R1095" i="10" a="1"/>
  <c r="R1095" i="10" s="1"/>
  <c r="S1095" i="10" s="1"/>
  <c r="R528" i="10" a="1"/>
  <c r="R528" i="10" s="1"/>
  <c r="S528" i="10" s="1"/>
  <c r="R812" i="10" a="1"/>
  <c r="R812" i="10" s="1"/>
  <c r="S812" i="10" s="1"/>
  <c r="R33" i="10" a="1"/>
  <c r="R33" i="10" s="1"/>
  <c r="S33" i="10" s="1"/>
  <c r="R573" i="10" a="1"/>
  <c r="R573" i="10" s="1"/>
  <c r="S573" i="10" s="1"/>
  <c r="R1123" i="10" a="1"/>
  <c r="R1123" i="10" s="1"/>
  <c r="S1123" i="10" s="1"/>
  <c r="R550" i="10" a="1"/>
  <c r="R550" i="10" s="1"/>
  <c r="S550" i="10" s="1"/>
  <c r="R173" i="10" a="1"/>
  <c r="R173" i="10" s="1"/>
  <c r="S173" i="10" s="1"/>
  <c r="R729" i="10" a="1"/>
  <c r="R729" i="10" s="1"/>
  <c r="S729" i="10" s="1"/>
  <c r="R150" i="10" a="1"/>
  <c r="R150" i="10" s="1"/>
  <c r="S150" i="10" s="1"/>
  <c r="R354" i="10" a="1"/>
  <c r="R354" i="10" s="1"/>
  <c r="S354" i="10" s="1"/>
  <c r="R894" i="10" a="1"/>
  <c r="R894" i="10" s="1"/>
  <c r="S894" i="10" s="1"/>
  <c r="R343" i="10" a="1"/>
  <c r="R343" i="10" s="1"/>
  <c r="S343" i="10" s="1"/>
  <c r="R883" i="10" a="1"/>
  <c r="R883" i="10" s="1"/>
  <c r="S883" i="10" s="1"/>
  <c r="R878" i="10" a="1"/>
  <c r="R878" i="10" s="1"/>
  <c r="S878" i="10" s="1"/>
  <c r="R263" i="10" a="1"/>
  <c r="R263" i="10" s="1"/>
  <c r="S263" i="10" s="1"/>
  <c r="R803" i="10" a="1"/>
  <c r="R803" i="10" s="1"/>
  <c r="S803" i="10" s="1"/>
  <c r="R236" i="10" a="1"/>
  <c r="R236" i="10" s="1"/>
  <c r="S236" i="10" s="1"/>
  <c r="R776" i="10" a="1"/>
  <c r="R776" i="10" s="1"/>
  <c r="S776" i="10" s="1"/>
  <c r="R1165" i="10" a="1"/>
  <c r="R1165" i="10" s="1"/>
  <c r="S1165" i="10" s="1"/>
  <c r="R553" i="10" a="1"/>
  <c r="R553" i="10" s="1"/>
  <c r="S553" i="10" s="1"/>
  <c r="R1093" i="10" a="1"/>
  <c r="R1093" i="10" s="1"/>
  <c r="S1093" i="10" s="1"/>
  <c r="R819" i="10" a="1"/>
  <c r="R819" i="10" s="1"/>
  <c r="S819" i="10" s="1"/>
  <c r="R814" i="10" a="1"/>
  <c r="R814" i="10" s="1"/>
  <c r="S814" i="10" s="1"/>
  <c r="R199" i="10" a="1"/>
  <c r="R199" i="10" s="1"/>
  <c r="S199" i="10" s="1"/>
  <c r="R739" i="10" a="1"/>
  <c r="R739" i="10" s="1"/>
  <c r="S739" i="10" s="1"/>
  <c r="R172" i="10" a="1"/>
  <c r="R172" i="10" s="1"/>
  <c r="S172" i="10" s="1"/>
  <c r="R712" i="10" a="1"/>
  <c r="R712" i="10" s="1"/>
  <c r="S712" i="10" s="1"/>
  <c r="R1148" i="10" a="1"/>
  <c r="R1148" i="10" s="1"/>
  <c r="S1148" i="10" s="1"/>
  <c r="R489" i="10" a="1"/>
  <c r="R489" i="10" s="1"/>
  <c r="S489" i="10" s="1"/>
  <c r="R1029" i="10" a="1"/>
  <c r="R1029" i="10" s="1"/>
  <c r="S1029" i="10" s="1"/>
  <c r="R1145" i="10" a="1"/>
  <c r="R1145" i="10" s="1"/>
  <c r="S1145" i="10" s="1"/>
  <c r="R464" i="10" a="1"/>
  <c r="R464" i="10" s="1"/>
  <c r="S464" i="10" s="1"/>
  <c r="R480" i="10" a="1"/>
  <c r="R480" i="10" s="1"/>
  <c r="S480" i="10" s="1"/>
  <c r="R940" i="10" a="1"/>
  <c r="R940" i="10" s="1"/>
  <c r="S940" i="10" s="1"/>
  <c r="R1108" i="10" a="1"/>
  <c r="R1108" i="10" s="1"/>
  <c r="S1108" i="10" s="1"/>
  <c r="R885" i="10" a="1"/>
  <c r="R885" i="10" s="1"/>
  <c r="S885" i="10" s="1"/>
  <c r="R766" i="10" a="1"/>
  <c r="R766" i="10" s="1"/>
  <c r="S766" i="10" s="1"/>
  <c r="R215" i="10" a="1"/>
  <c r="R215" i="10" s="1"/>
  <c r="S215" i="10" s="1"/>
  <c r="R750" i="10" a="1"/>
  <c r="R750" i="10" s="1"/>
  <c r="S750" i="10" s="1"/>
  <c r="R675" i="10" a="1"/>
  <c r="R675" i="10" s="1"/>
  <c r="S675" i="10" s="1"/>
  <c r="R648" i="10" a="1"/>
  <c r="R648" i="10" s="1"/>
  <c r="S648" i="10" s="1"/>
  <c r="R425" i="10" a="1"/>
  <c r="R425" i="10" s="1"/>
  <c r="S425" i="10" s="1"/>
  <c r="R686" i="10" a="1"/>
  <c r="R686" i="10" s="1"/>
  <c r="S686" i="10" s="1"/>
  <c r="R355" i="10" a="1"/>
  <c r="R355" i="10" s="1"/>
  <c r="S355" i="10" s="1"/>
  <c r="R328" i="10" a="1"/>
  <c r="R328" i="10" s="1"/>
  <c r="S328" i="10" s="1"/>
  <c r="R645" i="10" a="1"/>
  <c r="R645" i="10" s="1"/>
  <c r="S645" i="10" s="1"/>
  <c r="R1008" i="10" a="1"/>
  <c r="R1008" i="10" s="1"/>
  <c r="S1008" i="10" s="1"/>
  <c r="R989" i="10" a="1"/>
  <c r="R989" i="10" s="1"/>
  <c r="S989" i="10" s="1"/>
  <c r="R973" i="10" a="1"/>
  <c r="R973" i="10" s="1"/>
  <c r="S973" i="10" s="1"/>
  <c r="R303" i="10" a="1"/>
  <c r="R303" i="10" s="1"/>
  <c r="S303" i="10" s="1"/>
  <c r="R832" i="10" a="1"/>
  <c r="R832" i="10" s="1"/>
  <c r="S832" i="10" s="1"/>
  <c r="R909" i="10" a="1"/>
  <c r="R909" i="10" s="1"/>
  <c r="S909" i="10" s="1"/>
  <c r="R239" i="10" a="1"/>
  <c r="R239" i="10" s="1"/>
  <c r="S239" i="10" s="1"/>
  <c r="R768" i="10" a="1"/>
  <c r="R768" i="10" s="1"/>
  <c r="S768" i="10" s="1"/>
  <c r="R375" i="10" a="1"/>
  <c r="R375" i="10" s="1"/>
  <c r="S375" i="10" s="1"/>
  <c r="R377" i="10" a="1"/>
  <c r="R377" i="10" s="1"/>
  <c r="S377" i="10" s="1"/>
  <c r="R311" i="10" a="1"/>
  <c r="R311" i="10" s="1"/>
  <c r="S311" i="10" s="1"/>
  <c r="R927" i="10" a="1"/>
  <c r="R927" i="10" s="1"/>
  <c r="S927" i="10" s="1"/>
  <c r="R376" i="10" a="1"/>
  <c r="R376" i="10" s="1"/>
  <c r="S376" i="10" s="1"/>
  <c r="R852" i="10" a="1"/>
  <c r="R852" i="10" s="1"/>
  <c r="S852" i="10" s="1"/>
  <c r="R368" i="10" a="1"/>
  <c r="R368" i="10" s="1"/>
  <c r="S368" i="10" s="1"/>
  <c r="R360" i="10" a="1"/>
  <c r="R360" i="10" s="1"/>
  <c r="S360" i="10" s="1"/>
  <c r="R589" i="10" a="1"/>
  <c r="R589" i="10" s="1"/>
  <c r="S589" i="10" s="1"/>
  <c r="R392" i="10" a="1"/>
  <c r="R392" i="10" s="1"/>
  <c r="S392" i="10" s="1"/>
  <c r="R518" i="10" a="1"/>
  <c r="R518" i="10" s="1"/>
  <c r="S518" i="10" s="1"/>
  <c r="R556" i="10" a="1"/>
  <c r="R556" i="10" s="1"/>
  <c r="S556" i="10" s="1"/>
  <c r="R1150" i="10" a="1"/>
  <c r="R1150" i="10" s="1"/>
  <c r="S1150" i="10" s="1"/>
  <c r="R835" i="10" a="1"/>
  <c r="R835" i="10" s="1"/>
  <c r="S835" i="10" s="1"/>
  <c r="R1028" i="10" a="1"/>
  <c r="R1028" i="10" s="1"/>
  <c r="S1028" i="10" s="1"/>
  <c r="R948" i="10" a="1"/>
  <c r="R948" i="10" s="1"/>
  <c r="S948" i="10" s="1"/>
  <c r="R225" i="10" a="1"/>
  <c r="R225" i="10" s="1"/>
  <c r="S225" i="10" s="1"/>
  <c r="R106" i="10" a="1"/>
  <c r="R106" i="10" s="1"/>
  <c r="S106" i="10" s="1"/>
  <c r="R233" i="10" a="1"/>
  <c r="R233" i="10" s="1"/>
  <c r="S233" i="10" s="1"/>
  <c r="R923" i="10" a="1"/>
  <c r="R923" i="10" s="1"/>
  <c r="S923" i="10" s="1"/>
  <c r="R356" i="10" a="1"/>
  <c r="R356" i="10" s="1"/>
  <c r="S356" i="10" s="1"/>
  <c r="R896" i="10" a="1"/>
  <c r="R896" i="10" s="1"/>
  <c r="S896" i="10" s="1"/>
  <c r="R133" i="10" a="1"/>
  <c r="R133" i="10" s="1"/>
  <c r="S133" i="10" s="1"/>
  <c r="R1063" i="10" a="1"/>
  <c r="R1063" i="10" s="1"/>
  <c r="S1063" i="10" s="1"/>
  <c r="R496" i="10" a="1"/>
  <c r="R496" i="10" s="1"/>
  <c r="S496" i="10" s="1"/>
  <c r="R972" i="10" a="1"/>
  <c r="R972" i="10" s="1"/>
  <c r="S972" i="10" s="1"/>
  <c r="R1152" i="10" a="1"/>
  <c r="R1152" i="10" s="1"/>
  <c r="S1152" i="10" s="1"/>
  <c r="R477" i="10" a="1"/>
  <c r="R477" i="10" s="1"/>
  <c r="S477" i="10" s="1"/>
  <c r="R1033" i="10" a="1"/>
  <c r="R1033" i="10" s="1"/>
  <c r="S1033" i="10" s="1"/>
  <c r="R454" i="10" a="1"/>
  <c r="R454" i="10" s="1"/>
  <c r="S454" i="10" s="1"/>
  <c r="R461" i="10" a="1"/>
  <c r="R461" i="10" s="1"/>
  <c r="S461" i="10" s="1"/>
  <c r="R953" i="10" a="1"/>
  <c r="R953" i="10" s="1"/>
  <c r="S953" i="10" s="1"/>
  <c r="R374" i="10" a="1"/>
  <c r="R374" i="10" s="1"/>
  <c r="S374" i="10" s="1"/>
  <c r="R898" i="10" a="1"/>
  <c r="R898" i="10" s="1"/>
  <c r="S898" i="10" s="1"/>
  <c r="R347" i="10" a="1"/>
  <c r="R347" i="10" s="1"/>
  <c r="S347" i="10" s="1"/>
  <c r="R887" i="10" a="1"/>
  <c r="R887" i="10" s="1"/>
  <c r="S887" i="10" s="1"/>
  <c r="R320" i="10" a="1"/>
  <c r="R320" i="10" s="1"/>
  <c r="S320" i="10" s="1"/>
  <c r="R969" i="10" a="1"/>
  <c r="R969" i="10" s="1"/>
  <c r="S969" i="10" s="1"/>
  <c r="R390" i="10" a="1"/>
  <c r="R390" i="10" s="1"/>
  <c r="S390" i="10" s="1"/>
  <c r="R397" i="10" a="1"/>
  <c r="R397" i="10" s="1"/>
  <c r="S397" i="10" s="1"/>
  <c r="R889" i="10" a="1"/>
  <c r="R889" i="10" s="1"/>
  <c r="S889" i="10" s="1"/>
  <c r="R310" i="10" a="1"/>
  <c r="R310" i="10" s="1"/>
  <c r="S310" i="10" s="1"/>
  <c r="R834" i="10" a="1"/>
  <c r="R834" i="10" s="1"/>
  <c r="S834" i="10" s="1"/>
  <c r="R283" i="10" a="1"/>
  <c r="R283" i="10" s="1"/>
  <c r="S283" i="10" s="1"/>
  <c r="R823" i="10" a="1"/>
  <c r="R823" i="10" s="1"/>
  <c r="S823" i="10" s="1"/>
  <c r="R256" i="10" a="1"/>
  <c r="R256" i="10" s="1"/>
  <c r="S256" i="10" s="1"/>
  <c r="R994" i="10" a="1"/>
  <c r="R994" i="10" s="1"/>
  <c r="S994" i="10" s="1"/>
  <c r="R416" i="10" a="1"/>
  <c r="R416" i="10" s="1"/>
  <c r="S416" i="10" s="1"/>
  <c r="R57" i="10" a="1"/>
  <c r="R57" i="10" s="1"/>
  <c r="S57" i="10" s="1"/>
  <c r="R475" i="10" a="1"/>
  <c r="R475" i="10" s="1"/>
  <c r="S475" i="10" s="1"/>
  <c r="R709" i="10" a="1"/>
  <c r="R709" i="10" s="1"/>
  <c r="S709" i="10" s="1"/>
  <c r="R272" i="10" a="1"/>
  <c r="R272" i="10" s="1"/>
  <c r="S272" i="10" s="1"/>
  <c r="R222" i="10" a="1"/>
  <c r="R222" i="10" s="1"/>
  <c r="S222" i="10" s="1"/>
  <c r="R910" i="10" a="1"/>
  <c r="R910" i="10" s="1"/>
  <c r="S910" i="10" s="1"/>
  <c r="R204" i="10" a="1"/>
  <c r="R204" i="10" s="1"/>
  <c r="S204" i="10" s="1"/>
  <c r="R544" i="10" a="1"/>
  <c r="R544" i="10" s="1"/>
  <c r="S544" i="10" s="1"/>
  <c r="R185" i="10" a="1"/>
  <c r="R185" i="10" s="1"/>
  <c r="S185" i="10" s="1"/>
  <c r="R603" i="10" a="1"/>
  <c r="R603" i="10" s="1"/>
  <c r="S603" i="10" s="1"/>
  <c r="R837" i="10" a="1"/>
  <c r="R837" i="10" s="1"/>
  <c r="S837" i="10" s="1"/>
  <c r="R653" i="10" a="1"/>
  <c r="R653" i="10" s="1"/>
  <c r="S653" i="10" s="1"/>
  <c r="R483" i="10" a="1"/>
  <c r="R483" i="10" s="1"/>
  <c r="S483" i="10" s="1"/>
  <c r="R539" i="10" a="1"/>
  <c r="R539" i="10" s="1"/>
  <c r="S539" i="10" s="1"/>
  <c r="R348" i="10" a="1"/>
  <c r="R348" i="10" s="1"/>
  <c r="S348" i="10" s="1"/>
  <c r="R888" i="10" a="1"/>
  <c r="R888" i="10" s="1"/>
  <c r="S888" i="10" s="1"/>
  <c r="R45" i="10" a="1"/>
  <c r="R45" i="10" s="1"/>
  <c r="S45" i="10" s="1"/>
  <c r="R601" i="10" a="1"/>
  <c r="R601" i="10" s="1"/>
  <c r="S601" i="10" s="1"/>
  <c r="R22" i="10" a="1"/>
  <c r="R22" i="10" s="1"/>
  <c r="S22" i="10" s="1"/>
  <c r="R482" i="10" a="1"/>
  <c r="R482" i="10" s="1"/>
  <c r="S482" i="10" s="1"/>
  <c r="R1022" i="10" a="1"/>
  <c r="R1022" i="10" s="1"/>
  <c r="S1022" i="10" s="1"/>
  <c r="R471" i="10" a="1"/>
  <c r="R471" i="10" s="1"/>
  <c r="S471" i="10" s="1"/>
  <c r="R1011" i="10" a="1"/>
  <c r="R1011" i="10" s="1"/>
  <c r="S1011" i="10" s="1"/>
  <c r="R1006" i="10" a="1"/>
  <c r="R1006" i="10" s="1"/>
  <c r="S1006" i="10" s="1"/>
  <c r="R391" i="10" a="1"/>
  <c r="R391" i="10" s="1"/>
  <c r="S391" i="10" s="1"/>
  <c r="R931" i="10" a="1"/>
  <c r="R931" i="10" s="1"/>
  <c r="S931" i="10" s="1"/>
  <c r="R364" i="10" a="1"/>
  <c r="R364" i="10" s="1"/>
  <c r="S364" i="10" s="1"/>
  <c r="R904" i="10" a="1"/>
  <c r="R904" i="10" s="1"/>
  <c r="S904" i="10" s="1"/>
  <c r="R125" i="10" a="1"/>
  <c r="R125" i="10" s="1"/>
  <c r="S125" i="10" s="1"/>
  <c r="R681" i="10" a="1"/>
  <c r="R681" i="10" s="1"/>
  <c r="S681" i="10" s="1"/>
  <c r="R102" i="10" a="1"/>
  <c r="R102" i="10" s="1"/>
  <c r="S102" i="10" s="1"/>
  <c r="R942" i="10" a="1"/>
  <c r="R942" i="10" s="1"/>
  <c r="S942" i="10" s="1"/>
  <c r="R327" i="10" a="1"/>
  <c r="R327" i="10" s="1"/>
  <c r="S327" i="10" s="1"/>
  <c r="R611" i="10" a="1"/>
  <c r="R611" i="10" s="1"/>
  <c r="S611" i="10" s="1"/>
  <c r="R44" i="10" a="1"/>
  <c r="R44" i="10" s="1"/>
  <c r="S44" i="10" s="1"/>
  <c r="R584" i="10" a="1"/>
  <c r="R584" i="10" s="1"/>
  <c r="S584" i="10" s="1"/>
  <c r="R1122" i="10" a="1"/>
  <c r="R1122" i="10" s="1"/>
  <c r="S1122" i="10" s="1"/>
  <c r="R361" i="10" a="1"/>
  <c r="R361" i="10" s="1"/>
  <c r="S361" i="10" s="1"/>
  <c r="R901" i="10" a="1"/>
  <c r="R901" i="10" s="1"/>
  <c r="S901" i="10" s="1"/>
  <c r="R724" i="10" a="1"/>
  <c r="R724" i="10" s="1"/>
  <c r="S724" i="10" s="1"/>
  <c r="R1160" i="10" a="1"/>
  <c r="R1160" i="10" s="1"/>
  <c r="S1160" i="10" s="1"/>
  <c r="R501" i="10" a="1"/>
  <c r="R501" i="10" s="1"/>
  <c r="S501" i="10" s="1"/>
  <c r="R705" i="10" a="1"/>
  <c r="R705" i="10" s="1"/>
  <c r="S705" i="10" s="1"/>
  <c r="R126" i="10" a="1"/>
  <c r="R126" i="10" s="1"/>
  <c r="S126" i="10" s="1"/>
  <c r="R682" i="10" a="1"/>
  <c r="R682" i="10" s="1"/>
  <c r="S682" i="10" s="1"/>
  <c r="R115" i="10" a="1"/>
  <c r="R115" i="10" s="1"/>
  <c r="S115" i="10" s="1"/>
  <c r="R110" i="10" a="1"/>
  <c r="R110" i="10" s="1"/>
  <c r="S110" i="10" s="1"/>
  <c r="R602" i="10" a="1"/>
  <c r="R602" i="10" s="1"/>
  <c r="S602" i="10" s="1"/>
  <c r="R35" i="10" a="1"/>
  <c r="R35" i="10" s="1"/>
  <c r="S35" i="10" s="1"/>
  <c r="R559" i="10" a="1"/>
  <c r="R559" i="10" s="1"/>
  <c r="S559" i="10" s="1"/>
  <c r="R1115" i="10" a="1"/>
  <c r="R1115" i="10" s="1"/>
  <c r="S1115" i="10" s="1"/>
  <c r="R548" i="10" a="1"/>
  <c r="R548" i="10" s="1"/>
  <c r="S548" i="10" s="1"/>
  <c r="R1088" i="10" a="1"/>
  <c r="R1088" i="10" s="1"/>
  <c r="S1088" i="10" s="1"/>
  <c r="R325" i="10" a="1"/>
  <c r="R325" i="10" s="1"/>
  <c r="S325" i="10" s="1"/>
  <c r="R51" i="10" a="1"/>
  <c r="R51" i="10" s="1"/>
  <c r="S51" i="10" s="1"/>
  <c r="R46" i="10" a="1"/>
  <c r="R46" i="10" s="1"/>
  <c r="S46" i="10" s="1"/>
  <c r="R538" i="10" a="1"/>
  <c r="R538" i="10" s="1"/>
  <c r="S538" i="10" s="1"/>
  <c r="R1078" i="10" a="1"/>
  <c r="R1078" i="10" s="1"/>
  <c r="S1078" i="10" s="1"/>
  <c r="R495" i="10" a="1"/>
  <c r="R495" i="10" s="1"/>
  <c r="S495" i="10" s="1"/>
  <c r="R1051" i="10" a="1"/>
  <c r="R1051" i="10" s="1"/>
  <c r="S1051" i="10" s="1"/>
  <c r="R484" i="10" a="1"/>
  <c r="R484" i="10" s="1"/>
  <c r="S484" i="10" s="1"/>
  <c r="R1024" i="10" a="1"/>
  <c r="R1024" i="10" s="1"/>
  <c r="S1024" i="10" s="1"/>
  <c r="R261" i="10" a="1"/>
  <c r="R261" i="10" s="1"/>
  <c r="S261" i="10" s="1"/>
  <c r="R911" i="10" a="1"/>
  <c r="R911" i="10" s="1"/>
  <c r="S911" i="10" s="1"/>
  <c r="R42" i="10" a="1"/>
  <c r="R42" i="10" s="1"/>
  <c r="S42" i="10" s="1"/>
  <c r="R986" i="10" a="1"/>
  <c r="R986" i="10" s="1"/>
  <c r="S986" i="10" s="1"/>
  <c r="R97" i="10" a="1"/>
  <c r="R97" i="10" s="1"/>
  <c r="S97" i="10" s="1"/>
  <c r="R614" i="10" a="1"/>
  <c r="R614" i="10" s="1"/>
  <c r="S614" i="10" s="1"/>
  <c r="R317" i="10" a="1"/>
  <c r="R317" i="10" s="1"/>
  <c r="S317" i="10" s="1"/>
  <c r="R941" i="10" a="1"/>
  <c r="R941" i="10" s="1"/>
  <c r="S941" i="10" s="1"/>
  <c r="R271" i="10" a="1"/>
  <c r="R271" i="10" s="1"/>
  <c r="S271" i="10" s="1"/>
  <c r="R265" i="10" a="1"/>
  <c r="R265" i="10" s="1"/>
  <c r="S265" i="10" s="1"/>
  <c r="R670" i="10" a="1"/>
  <c r="R670" i="10" s="1"/>
  <c r="S670" i="10" s="1"/>
  <c r="R967" i="10" a="1"/>
  <c r="R967" i="10" s="1"/>
  <c r="S967" i="10" s="1"/>
  <c r="R55" i="10" a="1"/>
  <c r="R55" i="10" s="1"/>
  <c r="S55" i="10" s="1"/>
  <c r="R345" i="10" a="1"/>
  <c r="R345" i="10" s="1"/>
  <c r="S345" i="10" s="1"/>
  <c r="R226" i="10" a="1"/>
  <c r="R226" i="10" s="1"/>
  <c r="S226" i="10" s="1"/>
  <c r="R755" i="10" a="1"/>
  <c r="R755" i="10" s="1"/>
  <c r="S755" i="10" s="1"/>
  <c r="R135" i="10" a="1"/>
  <c r="R135" i="10" s="1"/>
  <c r="S135" i="10" s="1"/>
  <c r="R108" i="10" a="1"/>
  <c r="R108" i="10" s="1"/>
  <c r="S108" i="10" s="1"/>
  <c r="R1139" i="10" a="1"/>
  <c r="R1139" i="10" s="1"/>
  <c r="S1139" i="10" s="1"/>
  <c r="R965" i="10" a="1"/>
  <c r="R965" i="10" s="1"/>
  <c r="S965" i="10" s="1"/>
  <c r="R71" i="10" a="1"/>
  <c r="R71" i="10" s="1"/>
  <c r="S71" i="10" s="1"/>
  <c r="R879" i="10" a="1"/>
  <c r="R879" i="10" s="1"/>
  <c r="S879" i="10" s="1"/>
  <c r="R105" i="10" a="1"/>
  <c r="R105" i="10" s="1"/>
  <c r="S105" i="10" s="1"/>
  <c r="R245" i="10" a="1"/>
  <c r="R245" i="10" s="1"/>
  <c r="S245" i="10" s="1"/>
  <c r="R426" i="10" a="1"/>
  <c r="R426" i="10" s="1"/>
  <c r="S426" i="10" s="1"/>
  <c r="R346" i="10" a="1"/>
  <c r="R346" i="10" s="1"/>
  <c r="S346" i="10" s="1"/>
  <c r="R859" i="10" a="1"/>
  <c r="R859" i="10" s="1"/>
  <c r="S859" i="10" s="1"/>
  <c r="R69" i="10" a="1"/>
  <c r="R69" i="10" s="1"/>
  <c r="S69" i="10" s="1"/>
  <c r="R282" i="10" a="1"/>
  <c r="R282" i="10" s="1"/>
  <c r="S282" i="10" s="1"/>
  <c r="R795" i="10" a="1"/>
  <c r="R795" i="10" s="1"/>
  <c r="S795" i="10" s="1"/>
  <c r="R915" i="10" a="1"/>
  <c r="R915" i="10" s="1"/>
  <c r="S915" i="10" s="1"/>
  <c r="R1138" i="10" a="1"/>
  <c r="R1138" i="10" s="1"/>
  <c r="S1138" i="10" s="1"/>
  <c r="R862" i="10" a="1"/>
  <c r="R862" i="10" s="1"/>
  <c r="S862" i="10" s="1"/>
  <c r="R1010" i="10" a="1"/>
  <c r="R1010" i="10" s="1"/>
  <c r="S1010" i="10" s="1"/>
  <c r="R459" i="10" a="1"/>
  <c r="R459" i="10" s="1"/>
  <c r="S459" i="10" s="1"/>
  <c r="R935" i="10" a="1"/>
  <c r="R935" i="10" s="1"/>
  <c r="S935" i="10" s="1"/>
  <c r="R451" i="10" a="1"/>
  <c r="R451" i="10" s="1"/>
  <c r="S451" i="10" s="1"/>
  <c r="R900" i="10" a="1"/>
  <c r="R900" i="10" s="1"/>
  <c r="S900" i="10" s="1"/>
  <c r="R1081" i="10" a="1"/>
  <c r="R1081" i="10" s="1"/>
  <c r="S1081" i="10" s="1"/>
  <c r="R932" i="10" a="1"/>
  <c r="R932" i="10" s="1"/>
  <c r="S932" i="10" s="1"/>
  <c r="R756" i="10" a="1"/>
  <c r="R756" i="10" s="1"/>
  <c r="S756" i="10" s="1"/>
  <c r="R801" i="10" a="1"/>
  <c r="R801" i="10" s="1"/>
  <c r="S801" i="10" s="1"/>
  <c r="R294" i="10" a="1"/>
  <c r="R294" i="10" s="1"/>
  <c r="S294" i="10" s="1"/>
  <c r="R1124" i="10" a="1"/>
  <c r="R1124" i="10" s="1"/>
  <c r="S1124" i="10" s="1"/>
  <c r="R170" i="10" a="1"/>
  <c r="R170" i="10" s="1"/>
  <c r="S170" i="10" s="1"/>
  <c r="R90" i="10" a="1"/>
  <c r="R90" i="10" s="1"/>
  <c r="S90" i="10" s="1"/>
  <c r="R765" i="10" a="1"/>
  <c r="R765" i="10" s="1"/>
  <c r="S765" i="10" s="1"/>
  <c r="R1007" i="10" a="1"/>
  <c r="R1007" i="10" s="1"/>
  <c r="S1007" i="10" s="1"/>
  <c r="R773" i="10" a="1"/>
  <c r="R773" i="10" s="1"/>
  <c r="S773" i="10" s="1"/>
  <c r="R990" i="10" a="1"/>
  <c r="R990" i="10" s="1"/>
  <c r="S990" i="10" s="1"/>
  <c r="R439" i="10" a="1"/>
  <c r="R439" i="10" s="1"/>
  <c r="S439" i="10" s="1"/>
  <c r="R979" i="10" a="1"/>
  <c r="R979" i="10" s="1"/>
  <c r="S979" i="10" s="1"/>
  <c r="R654" i="10" a="1"/>
  <c r="R654" i="10" s="1"/>
  <c r="S654" i="10" s="1"/>
  <c r="R39" i="10" a="1"/>
  <c r="R39" i="10" s="1"/>
  <c r="S39" i="10" s="1"/>
  <c r="R579" i="10" a="1"/>
  <c r="R579" i="10" s="1"/>
  <c r="S579" i="10" s="1"/>
  <c r="R1039" i="10" a="1"/>
  <c r="R1039" i="10" s="1"/>
  <c r="S1039" i="10" s="1"/>
  <c r="R232" i="10" a="1"/>
  <c r="R232" i="10" s="1"/>
  <c r="S232" i="10" s="1"/>
  <c r="R772" i="10" a="1"/>
  <c r="R772" i="10" s="1"/>
  <c r="S772" i="10" s="1"/>
  <c r="R1161" i="10" a="1"/>
  <c r="R1161" i="10" s="1"/>
  <c r="S1161" i="10" s="1"/>
  <c r="R549" i="10" a="1"/>
  <c r="R549" i="10" s="1"/>
  <c r="S549" i="10" s="1"/>
  <c r="R692" i="10" a="1"/>
  <c r="R692" i="10" s="1"/>
  <c r="S692" i="10" s="1"/>
  <c r="R1128" i="10" a="1"/>
  <c r="R1128" i="10" s="1"/>
  <c r="S1128" i="10" s="1"/>
  <c r="R469" i="10" a="1"/>
  <c r="R469" i="10" s="1"/>
  <c r="S469" i="10" s="1"/>
  <c r="R993" i="10" a="1"/>
  <c r="R993" i="10" s="1"/>
  <c r="S993" i="10" s="1"/>
  <c r="R414" i="10" a="1"/>
  <c r="R414" i="10" s="1"/>
  <c r="S414" i="10" s="1"/>
  <c r="R970" i="10" a="1"/>
  <c r="R970" i="10" s="1"/>
  <c r="S970" i="10" s="1"/>
  <c r="R403" i="10" a="1"/>
  <c r="R403" i="10" s="1"/>
  <c r="S403" i="10" s="1"/>
  <c r="R1144" i="10" a="1"/>
  <c r="R1144" i="10" s="1"/>
  <c r="S1144" i="10" s="1"/>
  <c r="R485" i="10" a="1"/>
  <c r="R485" i="10" s="1"/>
  <c r="S485" i="10" s="1"/>
  <c r="R628" i="10" a="1"/>
  <c r="R628" i="10" s="1"/>
  <c r="S628" i="10" s="1"/>
  <c r="R1166" i="10" a="1"/>
  <c r="R1166" i="10" s="1"/>
  <c r="S1166" i="10" s="1"/>
  <c r="R405" i="10" a="1"/>
  <c r="R405" i="10" s="1"/>
  <c r="S405" i="10" s="1"/>
  <c r="R929" i="10" a="1"/>
  <c r="R929" i="10" s="1"/>
  <c r="S929" i="10" s="1"/>
  <c r="R350" i="10" a="1"/>
  <c r="R350" i="10" s="1"/>
  <c r="S350" i="10" s="1"/>
  <c r="R906" i="10" a="1"/>
  <c r="R906" i="10" s="1"/>
  <c r="S906" i="10" s="1"/>
  <c r="R339" i="10" a="1"/>
  <c r="R339" i="10" s="1"/>
  <c r="S339" i="10" s="1"/>
  <c r="R443" i="10" a="1"/>
  <c r="R443" i="10" s="1"/>
  <c r="S443" i="10" s="1"/>
  <c r="R582" i="10" a="1"/>
  <c r="R582" i="10" s="1"/>
  <c r="S582" i="10" s="1"/>
  <c r="R502" i="10" a="1"/>
  <c r="R502" i="10" s="1"/>
  <c r="S502" i="10" s="1"/>
  <c r="R637" i="10" a="1"/>
  <c r="R637" i="10" s="1"/>
  <c r="S637" i="10" s="1"/>
  <c r="R613" i="10" a="1"/>
  <c r="R613" i="10" s="1"/>
  <c r="S613" i="10" s="1"/>
  <c r="R277" i="10" a="1"/>
  <c r="R277" i="10" s="1"/>
  <c r="S277" i="10" s="1"/>
  <c r="R695" i="10" a="1"/>
  <c r="R695" i="10" s="1"/>
  <c r="S695" i="10" s="1"/>
  <c r="R212" i="10" a="1"/>
  <c r="R212" i="10" s="1"/>
  <c r="S212" i="10" s="1"/>
  <c r="R193" i="10" a="1"/>
  <c r="R193" i="10" s="1"/>
  <c r="S193" i="10" s="1"/>
  <c r="R710" i="10" a="1"/>
  <c r="R710" i="10" s="1"/>
  <c r="S710" i="10" s="1"/>
  <c r="R547" i="10" a="1"/>
  <c r="R547" i="10" s="1"/>
  <c r="S547" i="10" s="1"/>
  <c r="R1060" i="10" a="1"/>
  <c r="R1060" i="10" s="1"/>
  <c r="S1060" i="10" s="1"/>
  <c r="R201" i="10" a="1"/>
  <c r="R201" i="10" s="1"/>
  <c r="S201" i="10" s="1"/>
  <c r="R884" i="10" a="1"/>
  <c r="R884" i="10" s="1"/>
  <c r="S884" i="10" s="1"/>
  <c r="R661" i="10" a="1"/>
  <c r="R661" i="10" s="1"/>
  <c r="S661" i="10" s="1"/>
  <c r="R996" i="10" a="1"/>
  <c r="R996" i="10" s="1"/>
  <c r="S996" i="10" s="1"/>
  <c r="R415" i="10" a="1"/>
  <c r="R415" i="10" s="1"/>
  <c r="S415" i="10" s="1"/>
  <c r="R971" i="10" a="1"/>
  <c r="R971" i="10" s="1"/>
  <c r="S971" i="10" s="1"/>
  <c r="R340" i="10" a="1"/>
  <c r="R340" i="10" s="1"/>
  <c r="S340" i="10" s="1"/>
  <c r="R880" i="10" a="1"/>
  <c r="R880" i="10" s="1"/>
  <c r="S880" i="10" s="1"/>
  <c r="R117" i="10" a="1"/>
  <c r="R117" i="10" s="1"/>
  <c r="S117" i="10" s="1"/>
  <c r="R577" i="10" a="1"/>
  <c r="R577" i="10" s="1"/>
  <c r="S577" i="10" s="1"/>
  <c r="R1117" i="10" a="1"/>
  <c r="R1117" i="10" s="1"/>
  <c r="S1117" i="10" s="1"/>
  <c r="R554" i="10" a="1"/>
  <c r="R554" i="10" s="1"/>
  <c r="S554" i="10" s="1"/>
  <c r="R1094" i="10" a="1"/>
  <c r="R1094" i="10" s="1"/>
  <c r="S1094" i="10" s="1"/>
  <c r="R1101" i="10" a="1"/>
  <c r="R1101" i="10" s="1"/>
  <c r="S1101" i="10" s="1"/>
  <c r="R474" i="10" a="1"/>
  <c r="R474" i="10" s="1"/>
  <c r="S474" i="10" s="1"/>
  <c r="R1014" i="10" a="1"/>
  <c r="R1014" i="10" s="1"/>
  <c r="S1014" i="10" s="1"/>
  <c r="R431" i="10" a="1"/>
  <c r="R431" i="10" s="1"/>
  <c r="S431" i="10" s="1"/>
  <c r="R987" i="10" a="1"/>
  <c r="R987" i="10" s="1"/>
  <c r="S987" i="10" s="1"/>
  <c r="R420" i="10" a="1"/>
  <c r="R420" i="10" s="1"/>
  <c r="S420" i="10" s="1"/>
  <c r="R960" i="10" a="1"/>
  <c r="R960" i="10" s="1"/>
  <c r="S960" i="10" s="1"/>
  <c r="R197" i="10" a="1"/>
  <c r="R197" i="10" s="1"/>
  <c r="S197" i="10" s="1"/>
  <c r="R1037" i="10" a="1"/>
  <c r="R1037" i="10" s="1"/>
  <c r="S1037" i="10" s="1"/>
  <c r="R410" i="10" a="1"/>
  <c r="R410" i="10" s="1"/>
  <c r="S410" i="10" s="1"/>
  <c r="R694" i="10" a="1"/>
  <c r="R694" i="10" s="1"/>
  <c r="S694" i="10" s="1"/>
  <c r="R111" i="10" a="1"/>
  <c r="R111" i="10" s="1"/>
  <c r="S111" i="10" s="1"/>
  <c r="R667" i="10" a="1"/>
  <c r="R667" i="10" s="1"/>
  <c r="S667" i="10" s="1"/>
  <c r="R100" i="10" a="1"/>
  <c r="R100" i="10" s="1"/>
  <c r="S100" i="10" s="1"/>
  <c r="R640" i="10" a="1"/>
  <c r="R640" i="10" s="1"/>
  <c r="S640" i="10" s="1"/>
  <c r="R331" i="10" a="1"/>
  <c r="R331" i="10" s="1"/>
  <c r="S331" i="10" s="1"/>
  <c r="R807" i="10" a="1"/>
  <c r="R807" i="10" s="1"/>
  <c r="S807" i="10" s="1"/>
  <c r="R240" i="10" a="1"/>
  <c r="R240" i="10" s="1"/>
  <c r="S240" i="10" s="1"/>
  <c r="R716" i="10" a="1"/>
  <c r="R716" i="10" s="1"/>
  <c r="S716" i="10" s="1"/>
  <c r="R1000" i="10" a="1"/>
  <c r="R1000" i="10" s="1"/>
  <c r="S1000" i="10" s="1"/>
  <c r="R221" i="10" a="1"/>
  <c r="R221" i="10" s="1"/>
  <c r="S221" i="10" s="1"/>
  <c r="R777" i="10" a="1"/>
  <c r="R777" i="10" s="1"/>
  <c r="S777" i="10" s="1"/>
  <c r="R198" i="10" a="1"/>
  <c r="R198" i="10" s="1"/>
  <c r="S198" i="10" s="1"/>
  <c r="R205" i="10" a="1"/>
  <c r="R205" i="10" s="1"/>
  <c r="S205" i="10" s="1"/>
  <c r="R697" i="10" a="1"/>
  <c r="R697" i="10" s="1"/>
  <c r="S697" i="10" s="1"/>
  <c r="R118" i="10" a="1"/>
  <c r="R118" i="10" s="1"/>
  <c r="S118" i="10" s="1"/>
  <c r="R642" i="10" a="1"/>
  <c r="R642" i="10" s="1"/>
  <c r="S642" i="10" s="1"/>
  <c r="R91" i="10" a="1"/>
  <c r="R91" i="10" s="1"/>
  <c r="S91" i="10" s="1"/>
  <c r="R631" i="10" a="1"/>
  <c r="R631" i="10" s="1"/>
  <c r="S631" i="10" s="1"/>
  <c r="R64" i="10" a="1"/>
  <c r="R64" i="10" s="1"/>
  <c r="S64" i="10" s="1"/>
  <c r="R713" i="10" a="1"/>
  <c r="R713" i="10" s="1"/>
  <c r="S713" i="10" s="1"/>
  <c r="R134" i="10" a="1"/>
  <c r="R134" i="10" s="1"/>
  <c r="S134" i="10" s="1"/>
  <c r="R141" i="10" a="1"/>
  <c r="R141" i="10" s="1"/>
  <c r="S141" i="10" s="1"/>
  <c r="R633" i="10" a="1"/>
  <c r="R633" i="10" s="1"/>
  <c r="S633" i="10" s="1"/>
  <c r="R54" i="10" a="1"/>
  <c r="R54" i="10" s="1"/>
  <c r="S54" i="10" s="1"/>
  <c r="R578" i="10" a="1"/>
  <c r="R578" i="10" s="1"/>
  <c r="S578" i="10" s="1"/>
  <c r="R27" i="10" a="1"/>
  <c r="R27" i="10" s="1"/>
  <c r="S27" i="10" s="1"/>
  <c r="R567" i="10" a="1"/>
  <c r="R567" i="10" s="1"/>
  <c r="S567" i="10" s="1"/>
  <c r="R1107" i="10" a="1"/>
  <c r="R1107" i="10" s="1"/>
  <c r="S1107" i="10" s="1"/>
  <c r="R89" i="10" a="1"/>
  <c r="R89" i="10" s="1"/>
  <c r="S89" i="10" s="1"/>
  <c r="R65" i="10" a="1"/>
  <c r="R65" i="10" s="1"/>
  <c r="S65" i="10" s="1"/>
  <c r="R499" i="10" a="1"/>
  <c r="R499" i="10" s="1"/>
  <c r="S499" i="10" s="1"/>
  <c r="R336" i="10" a="1"/>
  <c r="R336" i="10" s="1"/>
  <c r="S336" i="10" s="1"/>
  <c r="R542" i="10" a="1"/>
  <c r="R542" i="10" s="1"/>
  <c r="S542" i="10" s="1"/>
  <c r="R363" i="10" a="1"/>
  <c r="R363" i="10" s="1"/>
  <c r="S363" i="10" s="1"/>
  <c r="R182" i="10" a="1"/>
  <c r="R182" i="10" s="1"/>
  <c r="S182" i="10" s="1"/>
  <c r="R778" i="10" a="1"/>
  <c r="R778" i="10" s="1"/>
  <c r="S778" i="10" s="1"/>
  <c r="R295" i="10" a="1"/>
  <c r="R295" i="10" s="1"/>
  <c r="S295" i="10" s="1"/>
  <c r="R488" i="10" a="1"/>
  <c r="R488" i="10" s="1"/>
  <c r="S488" i="10" s="1"/>
  <c r="R805" i="10" a="1"/>
  <c r="R805" i="10" s="1"/>
  <c r="S805" i="10" s="1"/>
  <c r="R725" i="10" a="1"/>
  <c r="R725" i="10" s="1"/>
  <c r="S725" i="10" s="1"/>
  <c r="R36" i="10" a="1"/>
  <c r="R36" i="10" s="1"/>
  <c r="S36" i="10" s="1"/>
  <c r="R646" i="10" a="1"/>
  <c r="R646" i="10" s="1"/>
  <c r="S646" i="10" s="1"/>
  <c r="R26" i="10" a="1"/>
  <c r="R26" i="10" s="1"/>
  <c r="S26" i="10" s="1"/>
  <c r="R66" i="10" a="1"/>
  <c r="R66" i="10" s="1"/>
  <c r="S66" i="10" s="1"/>
  <c r="R512" i="10" a="1"/>
  <c r="R512" i="10" s="1"/>
  <c r="S512" i="10" s="1"/>
  <c r="R84" i="10" a="1"/>
  <c r="R84" i="10" s="1"/>
  <c r="S84" i="10" s="1"/>
  <c r="R624" i="10" a="1"/>
  <c r="R624" i="10" s="1"/>
  <c r="S624" i="10" s="1"/>
  <c r="R1100" i="10" a="1"/>
  <c r="R1100" i="10" s="1"/>
  <c r="S1100" i="10" s="1"/>
  <c r="R321" i="10" a="1"/>
  <c r="R321" i="10" s="1"/>
  <c r="S321" i="10" s="1"/>
  <c r="R861" i="10" a="1"/>
  <c r="R861" i="10" s="1"/>
  <c r="S861" i="10" s="1"/>
  <c r="R298" i="10" a="1"/>
  <c r="R298" i="10" s="1"/>
  <c r="S298" i="10" s="1"/>
  <c r="R838" i="10" a="1"/>
  <c r="R838" i="10" s="1"/>
  <c r="S838" i="10" s="1"/>
  <c r="R845" i="10" a="1"/>
  <c r="R845" i="10" s="1"/>
  <c r="S845" i="10" s="1"/>
  <c r="R218" i="10" a="1"/>
  <c r="R218" i="10" s="1"/>
  <c r="S218" i="10" s="1"/>
  <c r="R758" i="10" a="1"/>
  <c r="R758" i="10" s="1"/>
  <c r="S758" i="10" s="1"/>
  <c r="R175" i="10" a="1"/>
  <c r="R175" i="10" s="1"/>
  <c r="S175" i="10" s="1"/>
  <c r="R731" i="10" a="1"/>
  <c r="R731" i="10" s="1"/>
  <c r="S731" i="10" s="1"/>
  <c r="R164" i="10" a="1"/>
  <c r="R164" i="10" s="1"/>
  <c r="S164" i="10" s="1"/>
  <c r="R704" i="10" a="1"/>
  <c r="R704" i="10" s="1"/>
  <c r="S704" i="10" s="1"/>
  <c r="R774" i="10" a="1"/>
  <c r="R774" i="10" s="1"/>
  <c r="S774" i="10" s="1"/>
  <c r="R781" i="10" a="1"/>
  <c r="R781" i="10" s="1"/>
  <c r="S781" i="10" s="1"/>
  <c r="R154" i="10" a="1"/>
  <c r="R154" i="10" s="1"/>
  <c r="S154" i="10" s="1"/>
  <c r="R438" i="10" a="1"/>
  <c r="R438" i="10" s="1"/>
  <c r="S438" i="10" s="1"/>
  <c r="R962" i="10" a="1"/>
  <c r="R962" i="10" s="1"/>
  <c r="S962" i="10" s="1"/>
  <c r="R411" i="10" a="1"/>
  <c r="R411" i="10" s="1"/>
  <c r="S411" i="10" s="1"/>
  <c r="R951" i="10" a="1"/>
  <c r="R951" i="10" s="1"/>
  <c r="S951" i="10" s="1"/>
  <c r="R384" i="10" a="1"/>
  <c r="R384" i="10" s="1"/>
  <c r="S384" i="10" s="1"/>
  <c r="R75" i="10" a="1"/>
  <c r="R75" i="10" s="1"/>
  <c r="S75" i="10" s="1"/>
  <c r="R551" i="10" a="1"/>
  <c r="R551" i="10" s="1"/>
  <c r="S551" i="10" s="1"/>
  <c r="R1091" i="10" a="1"/>
  <c r="R1091" i="10" s="1"/>
  <c r="S1091" i="10" s="1"/>
  <c r="R460" i="10" a="1"/>
  <c r="R460" i="10" s="1"/>
  <c r="S460" i="10" s="1"/>
  <c r="R744" i="10" a="1"/>
  <c r="R744" i="10" s="1"/>
  <c r="S744" i="10" s="1"/>
  <c r="R1133" i="10" a="1"/>
  <c r="R1133" i="10" s="1"/>
  <c r="S1133" i="10" s="1"/>
  <c r="R521" i="10" a="1"/>
  <c r="R521" i="10" s="1"/>
  <c r="S521" i="10" s="1"/>
  <c r="R1061" i="10" a="1"/>
  <c r="R1061" i="10" s="1"/>
  <c r="S1061" i="10" s="1"/>
  <c r="R1155" i="10" a="1"/>
  <c r="R1155" i="10" s="1"/>
  <c r="S1155" i="10" s="1"/>
  <c r="R441" i="10" a="1"/>
  <c r="R441" i="10" s="1"/>
  <c r="S441" i="10" s="1"/>
  <c r="R981" i="10" a="1"/>
  <c r="R981" i="10" s="1"/>
  <c r="S981" i="10" s="1"/>
  <c r="R386" i="10" a="1"/>
  <c r="R386" i="10" s="1"/>
  <c r="S386" i="10" s="1"/>
  <c r="R457" i="10" a="1"/>
  <c r="R457" i="10" s="1"/>
  <c r="S457" i="10" s="1"/>
  <c r="R917" i="10" a="1"/>
  <c r="R917" i="10" s="1"/>
  <c r="S917" i="10" s="1"/>
  <c r="R851" i="10" a="1"/>
  <c r="R851" i="10" s="1"/>
  <c r="S851" i="10" s="1"/>
  <c r="K6088" i="14" l="1"/>
  <c r="L6088" i="14" s="1"/>
  <c r="I6089" i="14" s="1"/>
  <c r="K6066" i="13"/>
  <c r="L6066" i="13" s="1"/>
  <c r="I6067" i="13" s="1"/>
  <c r="C8" i="14"/>
  <c r="C36" i="14"/>
  <c r="C22" i="14"/>
  <c r="C52" i="14"/>
  <c r="C14" i="14"/>
  <c r="C60" i="14"/>
  <c r="C9" i="14"/>
  <c r="C10" i="14"/>
  <c r="C11" i="14"/>
  <c r="C12" i="14"/>
  <c r="C13" i="14"/>
  <c r="C15" i="14"/>
  <c r="C16" i="14"/>
  <c r="C17" i="14"/>
  <c r="C18" i="14"/>
  <c r="C19" i="14"/>
  <c r="C20" i="14"/>
  <c r="C21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3" i="14"/>
  <c r="C54" i="14"/>
  <c r="C55" i="14"/>
  <c r="C56" i="14"/>
  <c r="C57" i="14"/>
  <c r="C58" i="14"/>
  <c r="C59" i="14"/>
  <c r="C61" i="14"/>
  <c r="C62" i="14"/>
  <c r="C63" i="14"/>
  <c r="C64" i="14"/>
  <c r="C65" i="14"/>
  <c r="C66" i="14"/>
  <c r="C67" i="14"/>
  <c r="C68" i="14"/>
  <c r="C69" i="14"/>
  <c r="C70" i="14"/>
  <c r="C71" i="14"/>
  <c r="K6067" i="13" l="1"/>
  <c r="L6067" i="13" s="1"/>
  <c r="I6068" i="13" s="1"/>
  <c r="K6089" i="14"/>
  <c r="L6089" i="14" s="1"/>
  <c r="I6090" i="14" s="1"/>
  <c r="K6090" i="14" l="1"/>
  <c r="L6090" i="14" s="1"/>
  <c r="I6091" i="14" s="1"/>
  <c r="K6068" i="13"/>
  <c r="L6068" i="13" s="1"/>
  <c r="I6069" i="13" s="1"/>
  <c r="K6069" i="13" l="1"/>
  <c r="L6069" i="13" s="1"/>
  <c r="I6070" i="13" s="1"/>
  <c r="K6091" i="14"/>
  <c r="L6091" i="14" s="1"/>
  <c r="I6092" i="14" s="1"/>
  <c r="K6092" i="14" l="1"/>
  <c r="L6092" i="14" s="1"/>
  <c r="I6093" i="14" s="1"/>
  <c r="K6070" i="13"/>
  <c r="L6070" i="13" s="1"/>
  <c r="I6071" i="13" s="1"/>
  <c r="K6071" i="13" l="1"/>
  <c r="L6071" i="13" s="1"/>
  <c r="I6072" i="13" s="1"/>
  <c r="K6093" i="14"/>
  <c r="L6093" i="14" s="1"/>
  <c r="I6094" i="14" s="1"/>
  <c r="K6094" i="14" l="1"/>
  <c r="L6094" i="14" s="1"/>
  <c r="I6095" i="14" s="1"/>
  <c r="K6072" i="13"/>
  <c r="L6072" i="13" s="1"/>
  <c r="I6073" i="13" s="1"/>
  <c r="K6073" i="13" l="1"/>
  <c r="L6073" i="13" s="1"/>
  <c r="I6074" i="13" s="1"/>
  <c r="K6095" i="14"/>
  <c r="L6095" i="14" s="1"/>
  <c r="I6096" i="14" s="1"/>
  <c r="K6074" i="13" l="1"/>
  <c r="L6074" i="13" s="1"/>
  <c r="I6075" i="13" s="1"/>
  <c r="K6096" i="14"/>
  <c r="L6096" i="14" s="1"/>
  <c r="I6097" i="14" s="1"/>
  <c r="K6097" i="14" l="1"/>
  <c r="L6097" i="14" s="1"/>
  <c r="I6098" i="14" s="1"/>
  <c r="K6075" i="13"/>
  <c r="L6075" i="13" s="1"/>
  <c r="I6076" i="13" s="1"/>
  <c r="K6076" i="13" l="1"/>
  <c r="L6076" i="13" s="1"/>
  <c r="I6077" i="13" s="1"/>
  <c r="K6098" i="14"/>
  <c r="L6098" i="14" s="1"/>
  <c r="I6099" i="14" s="1"/>
  <c r="K6099" i="14" l="1"/>
  <c r="L6099" i="14" s="1"/>
  <c r="I6100" i="14" s="1"/>
  <c r="K6077" i="13"/>
  <c r="L6077" i="13" s="1"/>
  <c r="I6078" i="13" s="1"/>
  <c r="K6100" i="14" l="1"/>
  <c r="L6100" i="14" s="1"/>
  <c r="I6101" i="14" s="1"/>
  <c r="K6078" i="13"/>
  <c r="L6078" i="13" s="1"/>
  <c r="I6079" i="13" s="1"/>
  <c r="K6079" i="13" l="1"/>
  <c r="L6079" i="13" s="1"/>
  <c r="I6080" i="13" s="1"/>
  <c r="K6101" i="14"/>
  <c r="L6101" i="14" s="1"/>
  <c r="I6102" i="14" s="1"/>
  <c r="K6102" i="14" l="1"/>
  <c r="L6102" i="14" s="1"/>
  <c r="I6103" i="14" s="1"/>
  <c r="K6080" i="13"/>
  <c r="L6080" i="13" s="1"/>
  <c r="I6081" i="13" s="1"/>
  <c r="K6081" i="13" l="1"/>
  <c r="L6081" i="13" s="1"/>
  <c r="I6082" i="13" s="1"/>
  <c r="K6103" i="14"/>
  <c r="L6103" i="14" s="1"/>
  <c r="I6104" i="14" s="1"/>
  <c r="K6104" i="14" l="1"/>
  <c r="L6104" i="14" s="1"/>
  <c r="I6105" i="14" s="1"/>
  <c r="K6082" i="13"/>
  <c r="L6082" i="13" s="1"/>
  <c r="I6083" i="13" s="1"/>
  <c r="K6083" i="13" l="1"/>
  <c r="L6083" i="13" s="1"/>
  <c r="I6084" i="13" s="1"/>
  <c r="K6105" i="14"/>
  <c r="L6105" i="14" s="1"/>
  <c r="I6106" i="14" s="1"/>
  <c r="K6106" i="14" l="1"/>
  <c r="L6106" i="14" s="1"/>
  <c r="I6107" i="14" s="1"/>
  <c r="K6084" i="13"/>
  <c r="L6084" i="13" s="1"/>
  <c r="I6085" i="13" s="1"/>
  <c r="K6085" i="13" l="1"/>
  <c r="L6085" i="13" s="1"/>
  <c r="I6086" i="13" s="1"/>
  <c r="K6107" i="14"/>
  <c r="L6107" i="14" s="1"/>
  <c r="I6108" i="14" s="1"/>
  <c r="K6108" i="14" l="1"/>
  <c r="L6108" i="14" s="1"/>
  <c r="I6109" i="14" s="1"/>
  <c r="K6086" i="13"/>
  <c r="L6086" i="13" s="1"/>
  <c r="I6087" i="13" s="1"/>
  <c r="K6087" i="13" l="1"/>
  <c r="L6087" i="13" s="1"/>
  <c r="I6088" i="13" s="1"/>
  <c r="K6109" i="14"/>
  <c r="L6109" i="14" s="1"/>
  <c r="I6110" i="14" s="1"/>
  <c r="K6110" i="14" l="1"/>
  <c r="L6110" i="14" s="1"/>
  <c r="I6111" i="14" s="1"/>
  <c r="K6088" i="13"/>
  <c r="L6088" i="13" s="1"/>
  <c r="I6089" i="13" s="1"/>
  <c r="K6089" i="13" l="1"/>
  <c r="L6089" i="13" s="1"/>
  <c r="I6090" i="13" s="1"/>
  <c r="K6111" i="14"/>
  <c r="L6111" i="14" s="1"/>
  <c r="I6112" i="14" s="1"/>
  <c r="K6112" i="14" l="1"/>
  <c r="L6112" i="14" s="1"/>
  <c r="I6113" i="14" s="1"/>
  <c r="K6090" i="13"/>
  <c r="L6090" i="13" s="1"/>
  <c r="I6091" i="13" s="1"/>
  <c r="K6113" i="14" l="1"/>
  <c r="L6113" i="14" s="1"/>
  <c r="I6114" i="14" s="1"/>
  <c r="K6091" i="13"/>
  <c r="L6091" i="13" s="1"/>
  <c r="I6092" i="13" s="1"/>
  <c r="K6092" i="13" l="1"/>
  <c r="L6092" i="13" s="1"/>
  <c r="I6093" i="13" s="1"/>
  <c r="K6114" i="14"/>
  <c r="L6114" i="14" s="1"/>
  <c r="I6115" i="14" s="1"/>
  <c r="K6115" i="14" l="1"/>
  <c r="L6115" i="14" s="1"/>
  <c r="I6116" i="14" s="1"/>
  <c r="K6093" i="13"/>
  <c r="L6093" i="13" s="1"/>
  <c r="I6094" i="13" s="1"/>
  <c r="K6094" i="13" l="1"/>
  <c r="L6094" i="13" s="1"/>
  <c r="I6095" i="13" s="1"/>
  <c r="K6116" i="14"/>
  <c r="L6116" i="14" s="1"/>
  <c r="I6117" i="14" s="1"/>
  <c r="K6095" i="13" l="1"/>
  <c r="L6095" i="13" s="1"/>
  <c r="I6096" i="13" s="1"/>
  <c r="K6117" i="14"/>
  <c r="L6117" i="14" s="1"/>
  <c r="I6118" i="14" s="1"/>
  <c r="K6118" i="14" l="1"/>
  <c r="L6118" i="14" s="1"/>
  <c r="I6119" i="14" s="1"/>
  <c r="K6096" i="13"/>
  <c r="L6096" i="13" s="1"/>
  <c r="I6097" i="13" s="1"/>
  <c r="K6097" i="13" l="1"/>
  <c r="L6097" i="13" s="1"/>
  <c r="I6098" i="13" s="1"/>
  <c r="K6119" i="14"/>
  <c r="L6119" i="14" s="1"/>
  <c r="I6120" i="14" s="1"/>
  <c r="K6120" i="14" l="1"/>
  <c r="L6120" i="14" s="1"/>
  <c r="I6121" i="14" s="1"/>
  <c r="K6098" i="13"/>
  <c r="L6098" i="13" s="1"/>
  <c r="I6099" i="13" s="1"/>
  <c r="K6099" i="13" l="1"/>
  <c r="L6099" i="13" s="1"/>
  <c r="I6100" i="13" s="1"/>
  <c r="K6121" i="14"/>
  <c r="L6121" i="14" s="1"/>
  <c r="I6122" i="14" s="1"/>
  <c r="K6122" i="14" l="1"/>
  <c r="L6122" i="14" s="1"/>
  <c r="I6123" i="14" s="1"/>
  <c r="K6100" i="13"/>
  <c r="L6100" i="13" s="1"/>
  <c r="I6101" i="13" s="1"/>
  <c r="K6101" i="13" l="1"/>
  <c r="L6101" i="13" s="1"/>
  <c r="I6102" i="13" s="1"/>
  <c r="K6123" i="14"/>
  <c r="L6123" i="14" s="1"/>
  <c r="I6124" i="14" s="1"/>
  <c r="K6124" i="14" l="1"/>
  <c r="L6124" i="14" s="1"/>
  <c r="I6125" i="14" s="1"/>
  <c r="K6102" i="13"/>
  <c r="L6102" i="13" s="1"/>
  <c r="I6103" i="13" s="1"/>
  <c r="K6103" i="13" l="1"/>
  <c r="L6103" i="13" s="1"/>
  <c r="I6104" i="13" s="1"/>
  <c r="K6125" i="14"/>
  <c r="L6125" i="14" s="1"/>
  <c r="I6126" i="14" s="1"/>
  <c r="K6126" i="14" l="1"/>
  <c r="L6126" i="14" s="1"/>
  <c r="I6127" i="14" s="1"/>
  <c r="K6104" i="13"/>
  <c r="L6104" i="13" s="1"/>
  <c r="I6105" i="13" s="1"/>
  <c r="K6105" i="13" l="1"/>
  <c r="L6105" i="13" s="1"/>
  <c r="I6106" i="13" s="1"/>
  <c r="K6127" i="14"/>
  <c r="L6127" i="14" s="1"/>
  <c r="I6128" i="14" s="1"/>
  <c r="K6128" i="14" l="1"/>
  <c r="L6128" i="14" s="1"/>
  <c r="I6129" i="14" s="1"/>
  <c r="K6106" i="13"/>
  <c r="L6106" i="13" s="1"/>
  <c r="I6107" i="13" s="1"/>
  <c r="K6107" i="13" l="1"/>
  <c r="L6107" i="13" s="1"/>
  <c r="I6108" i="13" s="1"/>
  <c r="K6129" i="14"/>
  <c r="L6129" i="14" s="1"/>
  <c r="I6130" i="14" s="1"/>
  <c r="K6130" i="14" l="1"/>
  <c r="L6130" i="14" s="1"/>
  <c r="I6131" i="14" s="1"/>
  <c r="K6108" i="13"/>
  <c r="L6108" i="13" s="1"/>
  <c r="I6109" i="13" s="1"/>
  <c r="K6109" i="13" l="1"/>
  <c r="L6109" i="13" s="1"/>
  <c r="I6110" i="13" s="1"/>
  <c r="K6131" i="14"/>
  <c r="L6131" i="14" s="1"/>
  <c r="I6132" i="14" s="1"/>
  <c r="K6132" i="14" l="1"/>
  <c r="L6132" i="14" s="1"/>
  <c r="I6133" i="14" s="1"/>
  <c r="K6110" i="13"/>
  <c r="L6110" i="13" s="1"/>
  <c r="I6111" i="13" s="1"/>
  <c r="K6111" i="13" l="1"/>
  <c r="L6111" i="13" s="1"/>
  <c r="I6112" i="13" s="1"/>
  <c r="K6133" i="14"/>
  <c r="L6133" i="14" s="1"/>
  <c r="I6134" i="14" s="1"/>
  <c r="K6134" i="14" l="1"/>
  <c r="L6134" i="14" s="1"/>
  <c r="I6135" i="14" s="1"/>
  <c r="K6112" i="13"/>
  <c r="L6112" i="13" s="1"/>
  <c r="I6113" i="13" s="1"/>
  <c r="K6113" i="13" l="1"/>
  <c r="L6113" i="13" s="1"/>
  <c r="I6114" i="13" s="1"/>
  <c r="K6135" i="14"/>
  <c r="L6135" i="14" s="1"/>
  <c r="I6136" i="14" s="1"/>
  <c r="K6136" i="14" l="1"/>
  <c r="L6136" i="14" s="1"/>
  <c r="I6137" i="14" s="1"/>
  <c r="K6114" i="13"/>
  <c r="L6114" i="13" s="1"/>
  <c r="I6115" i="13" s="1"/>
  <c r="K6115" i="13" l="1"/>
  <c r="L6115" i="13" s="1"/>
  <c r="I6116" i="13" s="1"/>
  <c r="K6137" i="14"/>
  <c r="L6137" i="14" s="1"/>
  <c r="I6138" i="14" s="1"/>
  <c r="K6138" i="14" l="1"/>
  <c r="L6138" i="14" s="1"/>
  <c r="I6139" i="14" s="1"/>
  <c r="K6116" i="13"/>
  <c r="L6116" i="13" s="1"/>
  <c r="I6117" i="13" s="1"/>
  <c r="K6117" i="13" l="1"/>
  <c r="L6117" i="13" s="1"/>
  <c r="I6118" i="13" s="1"/>
  <c r="K6139" i="14"/>
  <c r="L6139" i="14" s="1"/>
  <c r="I6140" i="14" s="1"/>
  <c r="K6140" i="14" l="1"/>
  <c r="L6140" i="14" s="1"/>
  <c r="I6141" i="14" s="1"/>
  <c r="K6118" i="13"/>
  <c r="L6118" i="13" s="1"/>
  <c r="I6119" i="13" s="1"/>
  <c r="K6119" i="13" l="1"/>
  <c r="L6119" i="13" s="1"/>
  <c r="I6120" i="13" s="1"/>
  <c r="K6141" i="14"/>
  <c r="L6141" i="14" s="1"/>
  <c r="I6142" i="14" s="1"/>
  <c r="K6142" i="14" l="1"/>
  <c r="L6142" i="14" s="1"/>
  <c r="I6143" i="14" s="1"/>
  <c r="K6120" i="13"/>
  <c r="L6120" i="13" s="1"/>
  <c r="I6121" i="13" s="1"/>
  <c r="K6121" i="13" l="1"/>
  <c r="L6121" i="13" s="1"/>
  <c r="I6122" i="13" s="1"/>
  <c r="K6143" i="14"/>
  <c r="L6143" i="14" s="1"/>
  <c r="I6144" i="14" s="1"/>
  <c r="K6144" i="14" l="1"/>
  <c r="L6144" i="14" s="1"/>
  <c r="I6145" i="14" s="1"/>
  <c r="K6122" i="13"/>
  <c r="L6122" i="13" s="1"/>
  <c r="I6123" i="13" s="1"/>
  <c r="K6123" i="13" l="1"/>
  <c r="L6123" i="13" s="1"/>
  <c r="I6124" i="13" s="1"/>
  <c r="K6145" i="14"/>
  <c r="L6145" i="14" s="1"/>
  <c r="I6146" i="14" s="1"/>
  <c r="K6146" i="14" l="1"/>
  <c r="L6146" i="14" s="1"/>
  <c r="I6147" i="14" s="1"/>
  <c r="K6124" i="13"/>
  <c r="L6124" i="13" s="1"/>
  <c r="I6125" i="13" s="1"/>
  <c r="K6125" i="13" l="1"/>
  <c r="L6125" i="13" s="1"/>
  <c r="I6126" i="13" s="1"/>
  <c r="K6147" i="14"/>
  <c r="L6147" i="14" s="1"/>
  <c r="I6148" i="14" s="1"/>
  <c r="K6148" i="14" l="1"/>
  <c r="L6148" i="14" s="1"/>
  <c r="I6149" i="14" s="1"/>
  <c r="K6126" i="13"/>
  <c r="L6126" i="13" s="1"/>
  <c r="I6127" i="13" s="1"/>
  <c r="K6127" i="13" l="1"/>
  <c r="L6127" i="13" s="1"/>
  <c r="I6128" i="13" s="1"/>
  <c r="K6149" i="14"/>
  <c r="L6149" i="14" s="1"/>
  <c r="I6150" i="14" s="1"/>
  <c r="K6150" i="14" l="1"/>
  <c r="L6150" i="14" s="1"/>
  <c r="I6151" i="14" s="1"/>
  <c r="K6128" i="13"/>
  <c r="L6128" i="13" s="1"/>
  <c r="I6129" i="13" s="1"/>
  <c r="K6129" i="13" l="1"/>
  <c r="L6129" i="13" s="1"/>
  <c r="I6130" i="13" s="1"/>
  <c r="K6151" i="14"/>
  <c r="L6151" i="14" s="1"/>
  <c r="I6152" i="14" s="1"/>
  <c r="K6152" i="14" l="1"/>
  <c r="L6152" i="14" s="1"/>
  <c r="I6153" i="14" s="1"/>
  <c r="K6130" i="13"/>
  <c r="L6130" i="13" s="1"/>
  <c r="I6131" i="13" s="1"/>
  <c r="K6131" i="13" l="1"/>
  <c r="L6131" i="13" s="1"/>
  <c r="I6132" i="13" s="1"/>
  <c r="K6153" i="14"/>
  <c r="L6153" i="14" s="1"/>
  <c r="I6154" i="14" s="1"/>
  <c r="K6154" i="14" l="1"/>
  <c r="L6154" i="14" s="1"/>
  <c r="I6155" i="14" s="1"/>
  <c r="K6132" i="13"/>
  <c r="L6132" i="13" s="1"/>
  <c r="I6133" i="13" s="1"/>
  <c r="K6133" i="13" l="1"/>
  <c r="L6133" i="13" s="1"/>
  <c r="I6134" i="13" s="1"/>
  <c r="K6155" i="14"/>
  <c r="L6155" i="14" s="1"/>
  <c r="I6156" i="14" s="1"/>
  <c r="K6156" i="14" l="1"/>
  <c r="L6156" i="14" s="1"/>
  <c r="I6157" i="14" s="1"/>
  <c r="K6134" i="13"/>
  <c r="L6134" i="13" s="1"/>
  <c r="I6135" i="13" s="1"/>
  <c r="K6135" i="13" l="1"/>
  <c r="L6135" i="13" s="1"/>
  <c r="I6136" i="13" s="1"/>
  <c r="K6157" i="14"/>
  <c r="L6157" i="14" s="1"/>
  <c r="I6158" i="14" s="1"/>
  <c r="K6158" i="14" l="1"/>
  <c r="L6158" i="14" s="1"/>
  <c r="I6159" i="14" s="1"/>
  <c r="K6136" i="13"/>
  <c r="L6136" i="13" s="1"/>
  <c r="I6137" i="13" s="1"/>
  <c r="K6137" i="13" l="1"/>
  <c r="L6137" i="13" s="1"/>
  <c r="I6138" i="13" s="1"/>
  <c r="K6159" i="14"/>
  <c r="L6159" i="14" s="1"/>
  <c r="I6160" i="14" s="1"/>
  <c r="K6160" i="14" l="1"/>
  <c r="L6160" i="14" s="1"/>
  <c r="I6161" i="14" s="1"/>
  <c r="K6138" i="13"/>
  <c r="L6138" i="13" s="1"/>
  <c r="I6139" i="13" s="1"/>
  <c r="K6139" i="13" l="1"/>
  <c r="L6139" i="13" s="1"/>
  <c r="I6140" i="13" s="1"/>
  <c r="K6161" i="14"/>
  <c r="L6161" i="14" s="1"/>
  <c r="I6162" i="14" s="1"/>
  <c r="K6162" i="14" l="1"/>
  <c r="L6162" i="14" s="1"/>
  <c r="I6163" i="14" s="1"/>
  <c r="K6140" i="13"/>
  <c r="L6140" i="13" s="1"/>
  <c r="I6141" i="13" s="1"/>
  <c r="K6141" i="13" l="1"/>
  <c r="L6141" i="13" s="1"/>
  <c r="I6142" i="13" s="1"/>
  <c r="K6163" i="14"/>
  <c r="L6163" i="14" s="1"/>
  <c r="I6164" i="14" s="1"/>
  <c r="K6164" i="14" l="1"/>
  <c r="L6164" i="14" s="1"/>
  <c r="I6165" i="14" s="1"/>
  <c r="K6142" i="13"/>
  <c r="L6142" i="13" s="1"/>
  <c r="I6143" i="13" s="1"/>
  <c r="K6143" i="13" l="1"/>
  <c r="L6143" i="13" s="1"/>
  <c r="I6144" i="13" s="1"/>
  <c r="K6165" i="14"/>
  <c r="L6165" i="14" s="1"/>
  <c r="I6166" i="14" s="1"/>
  <c r="K6166" i="14" l="1"/>
  <c r="L6166" i="14" s="1"/>
  <c r="I6167" i="14" s="1"/>
  <c r="K6144" i="13"/>
  <c r="L6144" i="13" s="1"/>
  <c r="I6145" i="13" s="1"/>
  <c r="K6145" i="13" l="1"/>
  <c r="L6145" i="13" s="1"/>
  <c r="I6146" i="13" s="1"/>
  <c r="K6167" i="14"/>
  <c r="L6167" i="14" s="1"/>
  <c r="I6168" i="14" s="1"/>
  <c r="K6168" i="14" l="1"/>
  <c r="L6168" i="14" s="1"/>
  <c r="I6169" i="14" s="1"/>
  <c r="K6146" i="13"/>
  <c r="L6146" i="13" s="1"/>
  <c r="I6147" i="13" s="1"/>
  <c r="K6147" i="13" l="1"/>
  <c r="L6147" i="13" s="1"/>
  <c r="I6148" i="13" s="1"/>
  <c r="K6169" i="14"/>
  <c r="L6169" i="14" s="1"/>
  <c r="I6170" i="14" s="1"/>
  <c r="K6170" i="14" l="1"/>
  <c r="L6170" i="14" s="1"/>
  <c r="I6171" i="14" s="1"/>
  <c r="K6148" i="13"/>
  <c r="L6148" i="13" s="1"/>
  <c r="I6149" i="13" s="1"/>
  <c r="K6149" i="13" l="1"/>
  <c r="L6149" i="13" s="1"/>
  <c r="I6150" i="13" s="1"/>
  <c r="K6171" i="14"/>
  <c r="L6171" i="14" s="1"/>
  <c r="I6172" i="14" s="1"/>
  <c r="K6172" i="14" l="1"/>
  <c r="L6172" i="14" s="1"/>
  <c r="I6173" i="14" s="1"/>
  <c r="K6150" i="13"/>
  <c r="L6150" i="13" s="1"/>
  <c r="I6151" i="13" s="1"/>
  <c r="K6151" i="13" l="1"/>
  <c r="L6151" i="13" s="1"/>
  <c r="I6152" i="13" s="1"/>
  <c r="K6173" i="14"/>
  <c r="L6173" i="14" s="1"/>
  <c r="I6174" i="14" s="1"/>
  <c r="K6174" i="14" l="1"/>
  <c r="L6174" i="14" s="1"/>
  <c r="I6175" i="14" s="1"/>
  <c r="K6152" i="13"/>
  <c r="L6152" i="13" s="1"/>
  <c r="I6153" i="13" s="1"/>
  <c r="K6153" i="13" l="1"/>
  <c r="L6153" i="13" s="1"/>
  <c r="I6154" i="13" s="1"/>
  <c r="K6175" i="14"/>
  <c r="L6175" i="14" s="1"/>
  <c r="I6176" i="14" s="1"/>
  <c r="K6176" i="14" l="1"/>
  <c r="L6176" i="14" s="1"/>
  <c r="I6177" i="14" s="1"/>
  <c r="K6154" i="13"/>
  <c r="L6154" i="13" s="1"/>
  <c r="I6155" i="13" s="1"/>
  <c r="K6155" i="13" l="1"/>
  <c r="L6155" i="13" s="1"/>
  <c r="I6156" i="13" s="1"/>
  <c r="K6177" i="14"/>
  <c r="L6177" i="14" s="1"/>
  <c r="I6178" i="14" s="1"/>
  <c r="K6178" i="14" l="1"/>
  <c r="L6178" i="14" s="1"/>
  <c r="I6179" i="14" s="1"/>
  <c r="K6156" i="13"/>
  <c r="L6156" i="13" s="1"/>
  <c r="I6157" i="13" s="1"/>
  <c r="K6179" i="14" l="1"/>
  <c r="L6179" i="14" s="1"/>
  <c r="I6180" i="14" s="1"/>
  <c r="K6157" i="13"/>
  <c r="L6157" i="13" s="1"/>
  <c r="I6158" i="13" s="1"/>
  <c r="K6158" i="13" l="1"/>
  <c r="L6158" i="13" s="1"/>
  <c r="I6159" i="13" s="1"/>
  <c r="K6180" i="14"/>
  <c r="L6180" i="14" s="1"/>
  <c r="I6181" i="14" s="1"/>
  <c r="K6181" i="14" l="1"/>
  <c r="L6181" i="14" s="1"/>
  <c r="I6182" i="14" s="1"/>
  <c r="K6159" i="13"/>
  <c r="L6159" i="13" s="1"/>
  <c r="I6160" i="13" s="1"/>
  <c r="K6182" i="14" l="1"/>
  <c r="L6182" i="14" s="1"/>
  <c r="I6183" i="14" s="1"/>
  <c r="K6160" i="13"/>
  <c r="L6160" i="13" s="1"/>
  <c r="I6161" i="13" s="1"/>
  <c r="K6161" i="13" l="1"/>
  <c r="L6161" i="13" s="1"/>
  <c r="I6162" i="13" s="1"/>
  <c r="K6183" i="14"/>
  <c r="L6183" i="14" s="1"/>
  <c r="I6184" i="14" s="1"/>
  <c r="K6184" i="14" l="1"/>
  <c r="L6184" i="14" s="1"/>
  <c r="I6185" i="14" s="1"/>
  <c r="K6162" i="13"/>
  <c r="L6162" i="13" s="1"/>
  <c r="I6163" i="13" s="1"/>
  <c r="K6163" i="13" l="1"/>
  <c r="L6163" i="13" s="1"/>
  <c r="I6164" i="13" s="1"/>
  <c r="K6185" i="14"/>
  <c r="L6185" i="14" s="1"/>
  <c r="I6186" i="14" s="1"/>
  <c r="K6186" i="14" l="1"/>
  <c r="L6186" i="14" s="1"/>
  <c r="I6187" i="14" s="1"/>
  <c r="K6164" i="13"/>
  <c r="L6164" i="13" s="1"/>
  <c r="I6165" i="13" s="1"/>
  <c r="K6165" i="13" l="1"/>
  <c r="L6165" i="13" s="1"/>
  <c r="I6166" i="13" s="1"/>
  <c r="K6187" i="14"/>
  <c r="L6187" i="14" s="1"/>
  <c r="I6188" i="14" s="1"/>
  <c r="K6188" i="14" l="1"/>
  <c r="L6188" i="14" s="1"/>
  <c r="I6189" i="14" s="1"/>
  <c r="K6166" i="13"/>
  <c r="L6166" i="13" s="1"/>
  <c r="I6167" i="13" s="1"/>
  <c r="K6167" i="13" l="1"/>
  <c r="L6167" i="13" s="1"/>
  <c r="I6168" i="13" s="1"/>
  <c r="K6189" i="14"/>
  <c r="L6189" i="14" s="1"/>
  <c r="I6190" i="14" s="1"/>
  <c r="K6190" i="14" l="1"/>
  <c r="L6190" i="14" s="1"/>
  <c r="I6191" i="14" s="1"/>
  <c r="K6168" i="13"/>
  <c r="L6168" i="13" s="1"/>
  <c r="I6169" i="13" s="1"/>
  <c r="K6169" i="13" l="1"/>
  <c r="L6169" i="13" s="1"/>
  <c r="I6170" i="13" s="1"/>
  <c r="K6191" i="14"/>
  <c r="L6191" i="14" s="1"/>
  <c r="I6192" i="14" s="1"/>
  <c r="K6192" i="14" l="1"/>
  <c r="L6192" i="14" s="1"/>
  <c r="I6193" i="14" s="1"/>
  <c r="K6170" i="13"/>
  <c r="L6170" i="13" s="1"/>
  <c r="I6171" i="13" s="1"/>
  <c r="K6171" i="13" l="1"/>
  <c r="L6171" i="13" s="1"/>
  <c r="I6172" i="13" s="1"/>
  <c r="K6193" i="14"/>
  <c r="L6193" i="14" s="1"/>
  <c r="I6194" i="14" s="1"/>
  <c r="K6194" i="14" l="1"/>
  <c r="L6194" i="14" s="1"/>
  <c r="I6195" i="14" s="1"/>
  <c r="K6172" i="13"/>
  <c r="L6172" i="13" s="1"/>
  <c r="I6173" i="13" s="1"/>
  <c r="K6173" i="13" l="1"/>
  <c r="L6173" i="13" s="1"/>
  <c r="I6174" i="13" s="1"/>
  <c r="K6195" i="14"/>
  <c r="L6195" i="14" s="1"/>
  <c r="I6196" i="14" s="1"/>
  <c r="K6196" i="14" l="1"/>
  <c r="L6196" i="14" s="1"/>
  <c r="I6197" i="14" s="1"/>
  <c r="K6174" i="13"/>
  <c r="L6174" i="13" s="1"/>
  <c r="I6175" i="13" s="1"/>
  <c r="K6175" i="13" l="1"/>
  <c r="L6175" i="13" s="1"/>
  <c r="I6176" i="13" s="1"/>
  <c r="K6197" i="14"/>
  <c r="L6197" i="14" s="1"/>
  <c r="I6198" i="14" s="1"/>
  <c r="K6198" i="14" l="1"/>
  <c r="L6198" i="14" s="1"/>
  <c r="I6199" i="14" s="1"/>
  <c r="K6176" i="13"/>
  <c r="L6176" i="13" s="1"/>
  <c r="I6177" i="13" s="1"/>
  <c r="K6177" i="13" l="1"/>
  <c r="L6177" i="13" s="1"/>
  <c r="I6178" i="13" s="1"/>
  <c r="K6199" i="14"/>
  <c r="L6199" i="14" s="1"/>
  <c r="I6200" i="14" s="1"/>
  <c r="K6200" i="14" l="1"/>
  <c r="L6200" i="14" s="1"/>
  <c r="I6201" i="14" s="1"/>
  <c r="K6178" i="13"/>
  <c r="L6178" i="13" s="1"/>
  <c r="I6179" i="13" s="1"/>
  <c r="K6179" i="13" l="1"/>
  <c r="L6179" i="13" s="1"/>
  <c r="I6180" i="13" s="1"/>
  <c r="K6201" i="14"/>
  <c r="L6201" i="14" s="1"/>
  <c r="I6202" i="14" s="1"/>
  <c r="K6202" i="14" l="1"/>
  <c r="L6202" i="14" s="1"/>
  <c r="I6203" i="14" s="1"/>
  <c r="K6180" i="13"/>
  <c r="L6180" i="13" s="1"/>
  <c r="I6181" i="13" s="1"/>
  <c r="K6181" i="13" l="1"/>
  <c r="L6181" i="13" s="1"/>
  <c r="I6182" i="13" s="1"/>
  <c r="K6203" i="14"/>
  <c r="L6203" i="14" s="1"/>
  <c r="I6204" i="14" s="1"/>
  <c r="K6182" i="13" l="1"/>
  <c r="L6182" i="13" s="1"/>
  <c r="I6183" i="13" s="1"/>
  <c r="K6204" i="14"/>
  <c r="L6204" i="14" s="1"/>
  <c r="I6205" i="14" s="1"/>
  <c r="K6205" i="14" l="1"/>
  <c r="L6205" i="14" s="1"/>
  <c r="I6206" i="14" s="1"/>
  <c r="K6183" i="13"/>
  <c r="L6183" i="13" s="1"/>
  <c r="I6184" i="13" s="1"/>
  <c r="K6184" i="13" l="1"/>
  <c r="L6184" i="13" s="1"/>
  <c r="I6185" i="13" s="1"/>
  <c r="K6206" i="14"/>
  <c r="L6206" i="14" s="1"/>
  <c r="I6207" i="14" s="1"/>
  <c r="K6207" i="14" l="1"/>
  <c r="L6207" i="14" s="1"/>
  <c r="I6208" i="14" s="1"/>
  <c r="K6185" i="13"/>
  <c r="L6185" i="13" s="1"/>
  <c r="I6186" i="13" s="1"/>
  <c r="K6186" i="13" l="1"/>
  <c r="L6186" i="13" s="1"/>
  <c r="I6187" i="13" s="1"/>
  <c r="K6208" i="14"/>
  <c r="L6208" i="14" s="1"/>
  <c r="I6209" i="14" s="1"/>
  <c r="K6209" i="14" l="1"/>
  <c r="L6209" i="14" s="1"/>
  <c r="I6210" i="14" s="1"/>
  <c r="K6187" i="13"/>
  <c r="L6187" i="13" s="1"/>
  <c r="I6188" i="13" s="1"/>
  <c r="K6188" i="13" l="1"/>
  <c r="L6188" i="13" s="1"/>
  <c r="I6189" i="13" s="1"/>
  <c r="K6210" i="14"/>
  <c r="L6210" i="14" s="1"/>
  <c r="I6211" i="14" s="1"/>
  <c r="K6211" i="14" l="1"/>
  <c r="L6211" i="14" s="1"/>
  <c r="I6212" i="14" s="1"/>
  <c r="K6189" i="13"/>
  <c r="L6189" i="13" s="1"/>
  <c r="I6190" i="13" s="1"/>
  <c r="K6190" i="13" l="1"/>
  <c r="L6190" i="13" s="1"/>
  <c r="I6191" i="13" s="1"/>
  <c r="K6212" i="14"/>
  <c r="L6212" i="14" s="1"/>
  <c r="I6213" i="14" s="1"/>
  <c r="K6213" i="14" l="1"/>
  <c r="L6213" i="14" s="1"/>
  <c r="I6214" i="14" s="1"/>
  <c r="K6191" i="13"/>
  <c r="L6191" i="13" s="1"/>
  <c r="I6192" i="13" s="1"/>
  <c r="K6192" i="13" l="1"/>
  <c r="L6192" i="13" s="1"/>
  <c r="I6193" i="13" s="1"/>
  <c r="K6214" i="14"/>
  <c r="L6214" i="14" s="1"/>
  <c r="I6215" i="14" s="1"/>
  <c r="K6215" i="14" l="1"/>
  <c r="L6215" i="14" s="1"/>
  <c r="I6216" i="14" s="1"/>
  <c r="K6193" i="13"/>
  <c r="L6193" i="13" s="1"/>
  <c r="I6194" i="13" s="1"/>
  <c r="K6194" i="13" l="1"/>
  <c r="L6194" i="13" s="1"/>
  <c r="I6195" i="13" s="1"/>
  <c r="K6216" i="14"/>
  <c r="L6216" i="14" s="1"/>
  <c r="I6217" i="14" s="1"/>
  <c r="K6217" i="14" l="1"/>
  <c r="L6217" i="14" s="1"/>
  <c r="I6218" i="14" s="1"/>
  <c r="K6195" i="13"/>
  <c r="L6195" i="13" s="1"/>
  <c r="I6196" i="13" s="1"/>
  <c r="K6196" i="13" l="1"/>
  <c r="L6196" i="13" s="1"/>
  <c r="I6197" i="13" s="1"/>
  <c r="K6218" i="14"/>
  <c r="L6218" i="14" s="1"/>
  <c r="I6219" i="14" s="1"/>
  <c r="K6219" i="14" l="1"/>
  <c r="L6219" i="14" s="1"/>
  <c r="I6220" i="14" s="1"/>
  <c r="K6197" i="13"/>
  <c r="L6197" i="13" s="1"/>
  <c r="I6198" i="13" s="1"/>
  <c r="K6198" i="13" l="1"/>
  <c r="L6198" i="13" s="1"/>
  <c r="I6199" i="13" s="1"/>
  <c r="K6220" i="14"/>
  <c r="L6220" i="14" s="1"/>
  <c r="I6221" i="14" s="1"/>
  <c r="K6221" i="14" l="1"/>
  <c r="L6221" i="14" s="1"/>
  <c r="I6222" i="14" s="1"/>
  <c r="K6199" i="13"/>
  <c r="L6199" i="13" s="1"/>
  <c r="I6200" i="13" s="1"/>
  <c r="K6200" i="13" l="1"/>
  <c r="L6200" i="13" s="1"/>
  <c r="I6201" i="13" s="1"/>
  <c r="K6222" i="14"/>
  <c r="L6222" i="14" s="1"/>
  <c r="I6223" i="14" s="1"/>
  <c r="K6223" i="14" l="1"/>
  <c r="L6223" i="14" s="1"/>
  <c r="I6224" i="14" s="1"/>
  <c r="K6201" i="13"/>
  <c r="L6201" i="13" s="1"/>
  <c r="I6202" i="13" s="1"/>
  <c r="K6202" i="13" l="1"/>
  <c r="L6202" i="13" s="1"/>
  <c r="I6203" i="13" s="1"/>
  <c r="K6224" i="14"/>
  <c r="L6224" i="14" s="1"/>
  <c r="I6225" i="14" s="1"/>
  <c r="K6225" i="14" l="1"/>
  <c r="L6225" i="14" s="1"/>
  <c r="I6226" i="14" s="1"/>
  <c r="K6203" i="13"/>
  <c r="L6203" i="13" s="1"/>
  <c r="I6204" i="13" s="1"/>
  <c r="K6204" i="13" l="1"/>
  <c r="L6204" i="13" s="1"/>
  <c r="I6205" i="13" s="1"/>
  <c r="K6226" i="14"/>
  <c r="L6226" i="14" s="1"/>
  <c r="I6227" i="14" s="1"/>
  <c r="K6227" i="14" l="1"/>
  <c r="L6227" i="14" s="1"/>
  <c r="I6228" i="14" s="1"/>
  <c r="K6205" i="13"/>
  <c r="L6205" i="13" s="1"/>
  <c r="I6206" i="13" s="1"/>
  <c r="K6206" i="13" l="1"/>
  <c r="L6206" i="13" s="1"/>
  <c r="I6207" i="13" s="1"/>
  <c r="K6228" i="14"/>
  <c r="L6228" i="14" s="1"/>
  <c r="I6229" i="14" s="1"/>
  <c r="K6229" i="14" l="1"/>
  <c r="L6229" i="14" s="1"/>
  <c r="I6230" i="14" s="1"/>
  <c r="K6207" i="13"/>
  <c r="L6207" i="13" s="1"/>
  <c r="I6208" i="13" s="1"/>
  <c r="K6208" i="13" l="1"/>
  <c r="L6208" i="13" s="1"/>
  <c r="I6209" i="13" s="1"/>
  <c r="K6230" i="14"/>
  <c r="L6230" i="14" s="1"/>
  <c r="I6231" i="14" s="1"/>
  <c r="K6231" i="14" l="1"/>
  <c r="L6231" i="14" s="1"/>
  <c r="I6232" i="14" s="1"/>
  <c r="K6209" i="13"/>
  <c r="L6209" i="13" s="1"/>
  <c r="I6210" i="13" s="1"/>
  <c r="K6210" i="13" l="1"/>
  <c r="L6210" i="13" s="1"/>
  <c r="I6211" i="13" s="1"/>
  <c r="K6232" i="14"/>
  <c r="L6232" i="14" s="1"/>
  <c r="I6233" i="14" s="1"/>
  <c r="K6233" i="14" l="1"/>
  <c r="L6233" i="14" s="1"/>
  <c r="I6234" i="14" s="1"/>
  <c r="K6211" i="13"/>
  <c r="L6211" i="13" s="1"/>
  <c r="I6212" i="13" s="1"/>
  <c r="K6212" i="13" l="1"/>
  <c r="L6212" i="13" s="1"/>
  <c r="I6213" i="13" s="1"/>
  <c r="K6234" i="14"/>
  <c r="L6234" i="14" s="1"/>
  <c r="I6235" i="14" s="1"/>
  <c r="K6235" i="14" l="1"/>
  <c r="L6235" i="14" s="1"/>
  <c r="I6236" i="14" s="1"/>
  <c r="K6213" i="13"/>
  <c r="L6213" i="13" s="1"/>
  <c r="I6214" i="13" s="1"/>
  <c r="K6214" i="13" l="1"/>
  <c r="L6214" i="13" s="1"/>
  <c r="I6215" i="13" s="1"/>
  <c r="K6236" i="14"/>
  <c r="L6236" i="14" s="1"/>
  <c r="I6237" i="14" s="1"/>
  <c r="K6237" i="14" l="1"/>
  <c r="L6237" i="14" s="1"/>
  <c r="I6238" i="14" s="1"/>
  <c r="K6215" i="13"/>
  <c r="L6215" i="13" s="1"/>
  <c r="I6216" i="13" s="1"/>
  <c r="K6216" i="13" l="1"/>
  <c r="L6216" i="13" s="1"/>
  <c r="I6217" i="13" s="1"/>
  <c r="K6238" i="14"/>
  <c r="L6238" i="14" s="1"/>
  <c r="I6239" i="14" s="1"/>
  <c r="K6239" i="14" l="1"/>
  <c r="L6239" i="14" s="1"/>
  <c r="I6240" i="14" s="1"/>
  <c r="K6217" i="13"/>
  <c r="L6217" i="13" s="1"/>
  <c r="I6218" i="13" s="1"/>
  <c r="K6218" i="13" l="1"/>
  <c r="L6218" i="13" s="1"/>
  <c r="I6219" i="13" s="1"/>
  <c r="K6240" i="14"/>
  <c r="L6240" i="14" s="1"/>
  <c r="I6241" i="14" s="1"/>
  <c r="K6241" i="14" l="1"/>
  <c r="L6241" i="14" s="1"/>
  <c r="I6242" i="14" s="1"/>
  <c r="K6219" i="13"/>
  <c r="L6219" i="13" s="1"/>
  <c r="I6220" i="13" s="1"/>
  <c r="K6220" i="13" l="1"/>
  <c r="L6220" i="13" s="1"/>
  <c r="I6221" i="13" s="1"/>
  <c r="K6242" i="14"/>
  <c r="L6242" i="14" s="1"/>
  <c r="I6243" i="14" s="1"/>
  <c r="K6243" i="14" l="1"/>
  <c r="L6243" i="14" s="1"/>
  <c r="I6244" i="14" s="1"/>
  <c r="K6221" i="13"/>
  <c r="L6221" i="13" s="1"/>
  <c r="I6222" i="13" s="1"/>
  <c r="K6244" i="14" l="1"/>
  <c r="L6244" i="14" s="1"/>
  <c r="I6245" i="14" s="1"/>
  <c r="K6222" i="13"/>
  <c r="L6222" i="13" s="1"/>
  <c r="I6223" i="13" s="1"/>
  <c r="K6223" i="13" l="1"/>
  <c r="L6223" i="13" s="1"/>
  <c r="I6224" i="13" s="1"/>
  <c r="K6245" i="14"/>
  <c r="L6245" i="14" s="1"/>
  <c r="I6246" i="14" s="1"/>
  <c r="K6224" i="13" l="1"/>
  <c r="L6224" i="13" s="1"/>
  <c r="I6225" i="13" s="1"/>
  <c r="K6246" i="14"/>
  <c r="L6246" i="14" s="1"/>
  <c r="I6247" i="14" s="1"/>
  <c r="K6247" i="14" l="1"/>
  <c r="L6247" i="14" s="1"/>
  <c r="I6248" i="14" s="1"/>
  <c r="K6225" i="13"/>
  <c r="L6225" i="13" s="1"/>
  <c r="I6226" i="13" s="1"/>
  <c r="K6226" i="13" l="1"/>
  <c r="L6226" i="13" s="1"/>
  <c r="I6227" i="13" s="1"/>
  <c r="K6248" i="14"/>
  <c r="L6248" i="14" s="1"/>
  <c r="I6249" i="14" s="1"/>
  <c r="K6249" i="14" l="1"/>
  <c r="L6249" i="14" s="1"/>
  <c r="I6250" i="14" s="1"/>
  <c r="K6227" i="13"/>
  <c r="L6227" i="13" s="1"/>
  <c r="I6228" i="13" s="1"/>
  <c r="K6228" i="13" l="1"/>
  <c r="L6228" i="13" s="1"/>
  <c r="I6229" i="13" s="1"/>
  <c r="K6250" i="14"/>
  <c r="K6229" i="13" l="1"/>
  <c r="L6229" i="13" s="1"/>
  <c r="I6230" i="13" s="1"/>
  <c r="D27" i="14"/>
  <c r="D33" i="14"/>
  <c r="D49" i="14"/>
  <c r="D19" i="14"/>
  <c r="D8" i="14"/>
  <c r="E8" i="14" s="1"/>
  <c r="B9" i="14" s="1"/>
  <c r="D9" i="14"/>
  <c r="D10" i="14"/>
  <c r="D11" i="14"/>
  <c r="D12" i="14"/>
  <c r="D13" i="14"/>
  <c r="D14" i="14"/>
  <c r="D15" i="14"/>
  <c r="D16" i="14"/>
  <c r="D17" i="14"/>
  <c r="D18" i="14"/>
  <c r="D20" i="14"/>
  <c r="D21" i="14"/>
  <c r="D22" i="14"/>
  <c r="D23" i="14"/>
  <c r="D24" i="14"/>
  <c r="D25" i="14"/>
  <c r="D26" i="14"/>
  <c r="D28" i="14"/>
  <c r="D29" i="14"/>
  <c r="D30" i="14"/>
  <c r="D31" i="14"/>
  <c r="D32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9" i="14"/>
  <c r="D67" i="14"/>
  <c r="D68" i="14"/>
  <c r="D70" i="14"/>
  <c r="D71" i="14"/>
  <c r="L6250" i="14"/>
  <c r="E9" i="14" l="1"/>
  <c r="B10" i="14" s="1"/>
  <c r="E10" i="14" s="1"/>
  <c r="B11" i="14" s="1"/>
  <c r="E11" i="14" s="1"/>
  <c r="B12" i="14" s="1"/>
  <c r="E12" i="14" s="1"/>
  <c r="B13" i="14" s="1"/>
  <c r="E13" i="14" s="1"/>
  <c r="B14" i="14" s="1"/>
  <c r="E14" i="14" s="1"/>
  <c r="B15" i="14" s="1"/>
  <c r="E15" i="14" s="1"/>
  <c r="B16" i="14" s="1"/>
  <c r="E16" i="14" s="1"/>
  <c r="B17" i="14" s="1"/>
  <c r="E17" i="14" s="1"/>
  <c r="B18" i="14" s="1"/>
  <c r="E18" i="14" s="1"/>
  <c r="B19" i="14" s="1"/>
  <c r="E19" i="14" s="1"/>
  <c r="B20" i="14" s="1"/>
  <c r="E20" i="14" s="1"/>
  <c r="B21" i="14" s="1"/>
  <c r="E21" i="14" s="1"/>
  <c r="B22" i="14" s="1"/>
  <c r="E22" i="14" s="1"/>
  <c r="B23" i="14" s="1"/>
  <c r="E23" i="14" s="1"/>
  <c r="B24" i="14" s="1"/>
  <c r="E24" i="14" s="1"/>
  <c r="B25" i="14" s="1"/>
  <c r="E25" i="14" s="1"/>
  <c r="B26" i="14" s="1"/>
  <c r="E26" i="14" s="1"/>
  <c r="B27" i="14" s="1"/>
  <c r="E27" i="14" s="1"/>
  <c r="B28" i="14" s="1"/>
  <c r="E28" i="14" s="1"/>
  <c r="B29" i="14" s="1"/>
  <c r="E29" i="14" s="1"/>
  <c r="B30" i="14" s="1"/>
  <c r="E30" i="14" s="1"/>
  <c r="B31" i="14" s="1"/>
  <c r="E31" i="14" s="1"/>
  <c r="B32" i="14" s="1"/>
  <c r="E32" i="14" s="1"/>
  <c r="B33" i="14" s="1"/>
  <c r="E33" i="14" s="1"/>
  <c r="B34" i="14" s="1"/>
  <c r="E34" i="14" s="1"/>
  <c r="B35" i="14" s="1"/>
  <c r="E35" i="14" s="1"/>
  <c r="B36" i="14" s="1"/>
  <c r="E36" i="14" s="1"/>
  <c r="B37" i="14" s="1"/>
  <c r="E37" i="14" s="1"/>
  <c r="B38" i="14" s="1"/>
  <c r="E38" i="14" s="1"/>
  <c r="B39" i="14" s="1"/>
  <c r="E39" i="14" s="1"/>
  <c r="B40" i="14" s="1"/>
  <c r="E40" i="14" s="1"/>
  <c r="B41" i="14" s="1"/>
  <c r="E41" i="14" s="1"/>
  <c r="B42" i="14" s="1"/>
  <c r="E42" i="14" s="1"/>
  <c r="B43" i="14" s="1"/>
  <c r="E43" i="14" s="1"/>
  <c r="B44" i="14" s="1"/>
  <c r="E44" i="14" s="1"/>
  <c r="B45" i="14" s="1"/>
  <c r="E45" i="14" s="1"/>
  <c r="B46" i="14" s="1"/>
  <c r="E46" i="14" s="1"/>
  <c r="B47" i="14" s="1"/>
  <c r="E47" i="14" s="1"/>
  <c r="B48" i="14" s="1"/>
  <c r="E48" i="14" s="1"/>
  <c r="B49" i="14" s="1"/>
  <c r="E49" i="14" s="1"/>
  <c r="B50" i="14" s="1"/>
  <c r="E50" i="14" s="1"/>
  <c r="B51" i="14" s="1"/>
  <c r="E51" i="14" s="1"/>
  <c r="B52" i="14" s="1"/>
  <c r="E52" i="14" s="1"/>
  <c r="B53" i="14" s="1"/>
  <c r="E53" i="14" s="1"/>
  <c r="B54" i="14" s="1"/>
  <c r="E54" i="14" s="1"/>
  <c r="B55" i="14" s="1"/>
  <c r="E55" i="14" s="1"/>
  <c r="B56" i="14" s="1"/>
  <c r="E56" i="14" s="1"/>
  <c r="B57" i="14" s="1"/>
  <c r="E57" i="14" s="1"/>
  <c r="B58" i="14" s="1"/>
  <c r="E58" i="14" s="1"/>
  <c r="B59" i="14" s="1"/>
  <c r="E59" i="14" s="1"/>
  <c r="B60" i="14" s="1"/>
  <c r="E60" i="14" s="1"/>
  <c r="B61" i="14" s="1"/>
  <c r="E61" i="14" s="1"/>
  <c r="B62" i="14" s="1"/>
  <c r="E62" i="14" s="1"/>
  <c r="B63" i="14" s="1"/>
  <c r="E63" i="14" s="1"/>
  <c r="B64" i="14" s="1"/>
  <c r="E64" i="14" s="1"/>
  <c r="B65" i="14" s="1"/>
  <c r="E65" i="14" s="1"/>
  <c r="B66" i="14" s="1"/>
  <c r="E66" i="14" s="1"/>
  <c r="B67" i="14" s="1"/>
  <c r="E67" i="14" s="1"/>
  <c r="B68" i="14" s="1"/>
  <c r="E68" i="14" s="1"/>
  <c r="B69" i="14" s="1"/>
  <c r="E69" i="14" s="1"/>
  <c r="B70" i="14" s="1"/>
  <c r="E70" i="14" s="1"/>
  <c r="B71" i="14" s="1"/>
  <c r="E71" i="14" s="1"/>
  <c r="K6230" i="13"/>
  <c r="L6230" i="13" s="1"/>
  <c r="I6231" i="13" s="1"/>
  <c r="R17" i="10" a="1"/>
  <c r="R17" i="10" s="1"/>
  <c r="S17" i="10" s="1"/>
  <c r="R18" i="10" a="1"/>
  <c r="R18" i="10" s="1"/>
  <c r="S18" i="10" s="1"/>
  <c r="R19" i="10" a="1"/>
  <c r="R19" i="10" s="1"/>
  <c r="S19" i="10" s="1"/>
  <c r="B4" i="14"/>
  <c r="E7" i="10" s="1"/>
  <c r="C4" i="14"/>
  <c r="D4" i="14" s="1" a="1"/>
  <c r="D4" i="14" s="1"/>
  <c r="F7" i="10" s="1"/>
  <c r="G7" i="10" s="1"/>
  <c r="K6231" i="13" l="1"/>
  <c r="L6231" i="13" s="1"/>
  <c r="I6232" i="13" s="1"/>
  <c r="K6232" i="13" l="1"/>
  <c r="L6232" i="13" s="1"/>
  <c r="I6233" i="13" s="1"/>
  <c r="K6233" i="13" l="1"/>
  <c r="L6233" i="13" s="1"/>
  <c r="I6234" i="13" s="1"/>
  <c r="K6234" i="13" l="1"/>
  <c r="L6234" i="13" s="1"/>
  <c r="I6235" i="13" s="1"/>
  <c r="K6235" i="13" l="1"/>
  <c r="L6235" i="13" s="1"/>
  <c r="I6236" i="13" s="1"/>
  <c r="K6236" i="13" l="1"/>
  <c r="L6236" i="13" s="1"/>
  <c r="I6237" i="13" s="1"/>
  <c r="K6237" i="13" l="1"/>
  <c r="L6237" i="13" s="1"/>
  <c r="I6238" i="13" s="1"/>
  <c r="K6238" i="13" l="1"/>
  <c r="L6238" i="13" s="1"/>
  <c r="I6239" i="13" s="1"/>
  <c r="K6239" i="13" l="1"/>
  <c r="L6239" i="13" s="1"/>
  <c r="I6240" i="13" s="1"/>
  <c r="K6240" i="13" l="1"/>
  <c r="L6240" i="13" s="1"/>
  <c r="I6241" i="13" s="1"/>
  <c r="K6241" i="13" l="1"/>
  <c r="L6241" i="13" s="1"/>
  <c r="I6242" i="13" s="1"/>
  <c r="K6242" i="13" l="1"/>
  <c r="L6242" i="13" s="1"/>
  <c r="I6243" i="13" s="1"/>
  <c r="K6243" i="13" l="1"/>
  <c r="L6243" i="13" s="1"/>
  <c r="I6244" i="13" s="1"/>
  <c r="K6244" i="13" l="1"/>
  <c r="L6244" i="13" s="1"/>
  <c r="I6245" i="13" s="1"/>
  <c r="K6245" i="13" l="1"/>
  <c r="L6245" i="13" s="1"/>
  <c r="I6246" i="13" s="1"/>
  <c r="K6246" i="13" l="1"/>
  <c r="L6246" i="13" s="1"/>
  <c r="I6247" i="13" s="1"/>
  <c r="K6247" i="13" l="1"/>
  <c r="L6247" i="13" s="1"/>
  <c r="I6248" i="13" s="1"/>
  <c r="K6248" i="13" l="1"/>
  <c r="L6248" i="13" s="1"/>
  <c r="I6249" i="13" s="1"/>
  <c r="K6249" i="13" l="1"/>
  <c r="L6249" i="13" s="1"/>
  <c r="I6250" i="13" s="1"/>
  <c r="K6250" i="13" l="1"/>
  <c r="D8" i="13" l="1"/>
  <c r="E8" i="13" s="1"/>
  <c r="B9" i="13" s="1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80" i="13"/>
  <c r="D111" i="13"/>
  <c r="D135" i="13"/>
  <c r="D93" i="13"/>
  <c r="D78" i="13"/>
  <c r="D71" i="13"/>
  <c r="D84" i="13"/>
  <c r="D133" i="13"/>
  <c r="D104" i="13"/>
  <c r="D77" i="13"/>
  <c r="D129" i="13"/>
  <c r="D90" i="13"/>
  <c r="D105" i="13"/>
  <c r="D95" i="13"/>
  <c r="D88" i="13"/>
  <c r="D69" i="13"/>
  <c r="D109" i="13"/>
  <c r="D98" i="13"/>
  <c r="D128" i="13"/>
  <c r="D101" i="13"/>
  <c r="D86" i="13"/>
  <c r="D81" i="13"/>
  <c r="D97" i="13"/>
  <c r="D127" i="13"/>
  <c r="D112" i="13"/>
  <c r="D85" i="13"/>
  <c r="D130" i="13"/>
  <c r="D108" i="13"/>
  <c r="D120" i="13"/>
  <c r="D103" i="13"/>
  <c r="D96" i="13"/>
  <c r="D102" i="13"/>
  <c r="D124" i="13"/>
  <c r="D91" i="13"/>
  <c r="D113" i="13"/>
  <c r="D125" i="13"/>
  <c r="D115" i="13"/>
  <c r="D134" i="13"/>
  <c r="D136" i="13"/>
  <c r="D74" i="13"/>
  <c r="D83" i="13"/>
  <c r="D94" i="13"/>
  <c r="D121" i="13"/>
  <c r="D68" i="13"/>
  <c r="D75" i="13"/>
  <c r="D89" i="13"/>
  <c r="D87" i="13"/>
  <c r="D126" i="13"/>
  <c r="D82" i="13"/>
  <c r="D118" i="13"/>
  <c r="D114" i="13"/>
  <c r="D122" i="13"/>
  <c r="D99" i="13"/>
  <c r="D110" i="13"/>
  <c r="D72" i="13"/>
  <c r="D92" i="13"/>
  <c r="D76" i="13"/>
  <c r="D131" i="13"/>
  <c r="D107" i="13"/>
  <c r="D117" i="13"/>
  <c r="D67" i="13"/>
  <c r="D116" i="13"/>
  <c r="D132" i="13"/>
  <c r="D70" i="13"/>
  <c r="D123" i="13"/>
  <c r="D73" i="13"/>
  <c r="D100" i="13"/>
  <c r="D106" i="13"/>
  <c r="D79" i="13"/>
  <c r="D119" i="13"/>
  <c r="L6250" i="13"/>
  <c r="E9" i="13" l="1"/>
  <c r="B10" i="13" s="1"/>
  <c r="E10" i="13" s="1"/>
  <c r="B11" i="13" s="1"/>
  <c r="E11" i="13" s="1"/>
  <c r="B12" i="13" s="1"/>
  <c r="E12" i="13" s="1"/>
  <c r="B13" i="13" s="1"/>
  <c r="E13" i="13" s="1"/>
  <c r="B14" i="13" s="1"/>
  <c r="E14" i="13" s="1"/>
  <c r="B15" i="13" s="1"/>
  <c r="E15" i="13" s="1"/>
  <c r="B16" i="13" s="1"/>
  <c r="E16" i="13" s="1"/>
  <c r="B17" i="13" s="1"/>
  <c r="E17" i="13" s="1"/>
  <c r="B18" i="13" s="1"/>
  <c r="E18" i="13" s="1"/>
  <c r="B19" i="13" s="1"/>
  <c r="E19" i="13" s="1"/>
  <c r="B20" i="13" s="1"/>
  <c r="E20" i="13" s="1"/>
  <c r="B21" i="13" s="1"/>
  <c r="E21" i="13" s="1"/>
  <c r="B22" i="13" s="1"/>
  <c r="E22" i="13" s="1"/>
  <c r="B23" i="13" s="1"/>
  <c r="E23" i="13" s="1"/>
  <c r="B24" i="13" s="1"/>
  <c r="E24" i="13" s="1"/>
  <c r="B25" i="13" s="1"/>
  <c r="E25" i="13" s="1"/>
  <c r="B26" i="13" s="1"/>
  <c r="E26" i="13" s="1"/>
  <c r="B27" i="13" s="1"/>
  <c r="E27" i="13" s="1"/>
  <c r="B28" i="13" s="1"/>
  <c r="E28" i="13" s="1"/>
  <c r="B29" i="13" s="1"/>
  <c r="E29" i="13" s="1"/>
  <c r="B30" i="13" s="1"/>
  <c r="E30" i="13" s="1"/>
  <c r="B31" i="13" s="1"/>
  <c r="E31" i="13" s="1"/>
  <c r="B32" i="13" s="1"/>
  <c r="E32" i="13" s="1"/>
  <c r="B33" i="13" s="1"/>
  <c r="E33" i="13" s="1"/>
  <c r="B34" i="13" s="1"/>
  <c r="E34" i="13" s="1"/>
  <c r="B35" i="13" s="1"/>
  <c r="E35" i="13" s="1"/>
  <c r="B36" i="13" s="1"/>
  <c r="E36" i="13" s="1"/>
  <c r="B37" i="13" s="1"/>
  <c r="E37" i="13" s="1"/>
  <c r="B38" i="13" s="1"/>
  <c r="E38" i="13" s="1"/>
  <c r="B39" i="13" s="1"/>
  <c r="E39" i="13" s="1"/>
  <c r="B40" i="13" s="1"/>
  <c r="E40" i="13" s="1"/>
  <c r="B41" i="13" s="1"/>
  <c r="E41" i="13" s="1"/>
  <c r="B42" i="13" s="1"/>
  <c r="E42" i="13" s="1"/>
  <c r="B43" i="13" s="1"/>
  <c r="E43" i="13" s="1"/>
  <c r="B44" i="13" s="1"/>
  <c r="E44" i="13" s="1"/>
  <c r="B45" i="13" s="1"/>
  <c r="E45" i="13" s="1"/>
  <c r="B46" i="13" s="1"/>
  <c r="E46" i="13" s="1"/>
  <c r="B47" i="13" s="1"/>
  <c r="E47" i="13" s="1"/>
  <c r="B48" i="13" s="1"/>
  <c r="E48" i="13" s="1"/>
  <c r="B49" i="13" s="1"/>
  <c r="E49" i="13" s="1"/>
  <c r="B50" i="13" s="1"/>
  <c r="E50" i="13" s="1"/>
  <c r="B51" i="13" s="1"/>
  <c r="E51" i="13" s="1"/>
  <c r="B52" i="13" s="1"/>
  <c r="E52" i="13" s="1"/>
  <c r="B53" i="13" s="1"/>
  <c r="E53" i="13" s="1"/>
  <c r="B54" i="13" s="1"/>
  <c r="E54" i="13" s="1"/>
  <c r="B55" i="13" s="1"/>
  <c r="E55" i="13" s="1"/>
  <c r="B56" i="13" s="1"/>
  <c r="E56" i="13" s="1"/>
  <c r="B57" i="13" s="1"/>
  <c r="E57" i="13" s="1"/>
  <c r="B58" i="13" s="1"/>
  <c r="E58" i="13" s="1"/>
  <c r="B59" i="13" s="1"/>
  <c r="E59" i="13" s="1"/>
  <c r="B60" i="13" s="1"/>
  <c r="E60" i="13" s="1"/>
  <c r="B61" i="13" s="1"/>
  <c r="E61" i="13" s="1"/>
  <c r="B62" i="13" s="1"/>
  <c r="E62" i="13" s="1"/>
  <c r="B63" i="13" s="1"/>
  <c r="E63" i="13" s="1"/>
  <c r="B64" i="13" s="1"/>
  <c r="E64" i="13" s="1"/>
  <c r="B65" i="13" s="1"/>
  <c r="E65" i="13" s="1"/>
  <c r="B66" i="13" s="1"/>
  <c r="E66" i="13" s="1"/>
  <c r="B67" i="13" s="1"/>
  <c r="E67" i="13" s="1"/>
  <c r="B68" i="13" s="1"/>
  <c r="E68" i="13" s="1"/>
  <c r="B69" i="13" s="1"/>
  <c r="E69" i="13" s="1"/>
  <c r="B70" i="13" s="1"/>
  <c r="E70" i="13" s="1"/>
  <c r="B71" i="13" s="1"/>
  <c r="E71" i="13" s="1"/>
  <c r="B72" i="13" s="1"/>
  <c r="E72" i="13" s="1"/>
  <c r="B73" i="13" s="1"/>
  <c r="E73" i="13" s="1"/>
  <c r="B74" i="13" s="1"/>
  <c r="E74" i="13" s="1"/>
  <c r="B75" i="13" s="1"/>
  <c r="E75" i="13" s="1"/>
  <c r="B76" i="13" s="1"/>
  <c r="E76" i="13" s="1"/>
  <c r="B77" i="13" s="1"/>
  <c r="E77" i="13" s="1"/>
  <c r="B78" i="13" s="1"/>
  <c r="E78" i="13" s="1"/>
  <c r="B79" i="13" s="1"/>
  <c r="E79" i="13" s="1"/>
  <c r="B80" i="13" s="1"/>
  <c r="E80" i="13" s="1"/>
  <c r="B81" i="13" s="1"/>
  <c r="E81" i="13" s="1"/>
  <c r="B82" i="13" s="1"/>
  <c r="E82" i="13" s="1"/>
  <c r="B83" i="13" s="1"/>
  <c r="E83" i="13" s="1"/>
  <c r="B84" i="13" s="1"/>
  <c r="E84" i="13" s="1"/>
  <c r="B85" i="13" s="1"/>
  <c r="E85" i="13" s="1"/>
  <c r="B86" i="13" s="1"/>
  <c r="E86" i="13" s="1"/>
  <c r="B87" i="13" s="1"/>
  <c r="E87" i="13" s="1"/>
  <c r="B88" i="13" s="1"/>
  <c r="E88" i="13" s="1"/>
  <c r="B89" i="13" s="1"/>
  <c r="E89" i="13" s="1"/>
  <c r="B90" i="13" s="1"/>
  <c r="E90" i="13" s="1"/>
  <c r="B91" i="13" s="1"/>
  <c r="E91" i="13" s="1"/>
  <c r="B92" i="13" s="1"/>
  <c r="E92" i="13" s="1"/>
  <c r="B93" i="13" s="1"/>
  <c r="E93" i="13" s="1"/>
  <c r="B94" i="13" s="1"/>
  <c r="E94" i="13" s="1"/>
  <c r="B95" i="13" s="1"/>
  <c r="E95" i="13" s="1"/>
  <c r="B96" i="13" s="1"/>
  <c r="E96" i="13" s="1"/>
  <c r="B97" i="13" s="1"/>
  <c r="E97" i="13" s="1"/>
  <c r="B98" i="13" s="1"/>
  <c r="E98" i="13" s="1"/>
  <c r="B99" i="13" s="1"/>
  <c r="E99" i="13" s="1"/>
  <c r="B100" i="13" s="1"/>
  <c r="E100" i="13" s="1"/>
  <c r="B101" i="13" s="1"/>
  <c r="E101" i="13" s="1"/>
  <c r="B102" i="13" s="1"/>
  <c r="E102" i="13" s="1"/>
  <c r="B103" i="13" s="1"/>
  <c r="E103" i="13" s="1"/>
  <c r="B104" i="13" s="1"/>
  <c r="E104" i="13" s="1"/>
  <c r="B105" i="13" s="1"/>
  <c r="E105" i="13" s="1"/>
  <c r="B106" i="13" s="1"/>
  <c r="E106" i="13" s="1"/>
  <c r="B107" i="13" s="1"/>
  <c r="E107" i="13" s="1"/>
  <c r="B108" i="13" s="1"/>
  <c r="E108" i="13" s="1"/>
  <c r="B109" i="13" s="1"/>
  <c r="E109" i="13" s="1"/>
  <c r="B110" i="13" s="1"/>
  <c r="E110" i="13" s="1"/>
  <c r="B111" i="13" s="1"/>
  <c r="E111" i="13" s="1"/>
  <c r="B112" i="13" s="1"/>
  <c r="E112" i="13" s="1"/>
  <c r="B113" i="13" s="1"/>
  <c r="E113" i="13" s="1"/>
  <c r="B114" i="13" s="1"/>
  <c r="E114" i="13" s="1"/>
  <c r="B115" i="13" s="1"/>
  <c r="E115" i="13" s="1"/>
  <c r="B116" i="13" s="1"/>
  <c r="E116" i="13" s="1"/>
  <c r="B117" i="13" s="1"/>
  <c r="E117" i="13" s="1"/>
  <c r="B118" i="13" s="1"/>
  <c r="E118" i="13" s="1"/>
  <c r="B119" i="13" s="1"/>
  <c r="E119" i="13" s="1"/>
  <c r="B120" i="13" s="1"/>
  <c r="E120" i="13" s="1"/>
  <c r="B121" i="13" s="1"/>
  <c r="E121" i="13" s="1"/>
  <c r="B122" i="13" s="1"/>
  <c r="E122" i="13" s="1"/>
  <c r="B123" i="13" s="1"/>
  <c r="E123" i="13" s="1"/>
  <c r="B124" i="13" s="1"/>
  <c r="E124" i="13" s="1"/>
  <c r="B125" i="13" s="1"/>
  <c r="E125" i="13" s="1"/>
  <c r="B126" i="13" s="1"/>
  <c r="E126" i="13" s="1"/>
  <c r="B127" i="13" s="1"/>
  <c r="E127" i="13" s="1"/>
  <c r="B128" i="13" s="1"/>
  <c r="E128" i="13" s="1"/>
  <c r="B129" i="13" s="1"/>
  <c r="E129" i="13" s="1"/>
  <c r="B130" i="13" s="1"/>
  <c r="E130" i="13" s="1"/>
  <c r="B131" i="13" s="1"/>
  <c r="E131" i="13" s="1"/>
  <c r="B132" i="13" s="1"/>
  <c r="E132" i="13" s="1"/>
  <c r="B133" i="13" s="1"/>
  <c r="E133" i="13" s="1"/>
  <c r="B134" i="13" s="1"/>
  <c r="E134" i="13" s="1"/>
  <c r="B135" i="13" s="1"/>
  <c r="E135" i="13" s="1"/>
  <c r="B136" i="13" s="1"/>
  <c r="E136" i="13" s="1"/>
  <c r="Q16" i="10" a="1"/>
  <c r="Q16" i="10" s="1"/>
  <c r="S16" i="10" s="1"/>
  <c r="C4" i="13"/>
  <c r="D4" i="13" s="1" a="1"/>
  <c r="D4" i="13" s="1"/>
  <c r="F6" i="10" s="1"/>
  <c r="G6" i="10" s="1"/>
  <c r="B4" i="13"/>
  <c r="E6" i="10" s="1"/>
</calcChain>
</file>

<file path=xl/sharedStrings.xml><?xml version="1.0" encoding="utf-8"?>
<sst xmlns="http://schemas.openxmlformats.org/spreadsheetml/2006/main" count="5063" uniqueCount="1125">
  <si>
    <r>
      <rPr>
        <sz val="12"/>
        <color theme="1"/>
        <rFont val="Aptos"/>
        <family val="2"/>
      </rPr>
      <t xml:space="preserve">Here is the </t>
    </r>
    <r>
      <rPr>
        <b/>
        <sz val="12"/>
        <color theme="1"/>
        <rFont val="Aptos"/>
        <family val="2"/>
      </rPr>
      <t>percentage of total household investables</t>
    </r>
    <r>
      <rPr>
        <sz val="12"/>
        <color theme="1"/>
        <rFont val="Aptos"/>
        <family val="2"/>
      </rPr>
      <t xml:space="preserve"> ($1,118,616) for each individual asset/fund, based on the target weights and current account balances you provided.</t>
    </r>
  </si>
  <si>
    <r>
      <rPr>
        <b/>
        <sz val="12"/>
        <color theme="1"/>
        <rFont val="Aptos"/>
        <family val="2"/>
      </rPr>
      <t>Total Household Investables</t>
    </r>
    <r>
      <rPr>
        <sz val="12"/>
        <color theme="1"/>
        <rFont val="Aptos"/>
        <family val="2"/>
      </rPr>
      <t xml:space="preserve">: </t>
    </r>
    <r>
      <rPr>
        <b/>
        <sz val="12"/>
        <color theme="1"/>
        <rFont val="Aptos"/>
        <family val="2"/>
      </rPr>
      <t>$1,118,616</t>
    </r>
    <r>
      <rPr>
        <sz val="12"/>
        <color theme="1"/>
        <rFont val="Aptos"/>
        <family val="2"/>
      </rPr>
      <t xml:space="preserve"> (Crypto + M1 + TSP + Cleveland Clinic 403(b))</t>
    </r>
  </si>
  <si>
    <t>Crypto Assets (Total Crypto: $16,700 → 1.49% of household)</t>
  </si>
  <si>
    <r>
      <rPr>
        <sz val="12"/>
        <color theme="1"/>
        <rFont val="Aptos"/>
        <family val="2"/>
      </rPr>
      <t xml:space="preserve">BTC: </t>
    </r>
    <r>
      <rPr>
        <b/>
        <sz val="12"/>
        <color theme="1"/>
        <rFont val="Aptos"/>
        <family val="2"/>
      </rPr>
      <t>$6,680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0.60%</t>
    </r>
  </si>
  <si>
    <r>
      <rPr>
        <sz val="12"/>
        <color theme="1"/>
        <rFont val="Aptos"/>
        <family val="2"/>
      </rPr>
      <t xml:space="preserve">ETH: </t>
    </r>
    <r>
      <rPr>
        <b/>
        <sz val="12"/>
        <color theme="1"/>
        <rFont val="Aptos"/>
        <family val="2"/>
      </rPr>
      <t>$3,340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0.30%</t>
    </r>
  </si>
  <si>
    <r>
      <rPr>
        <sz val="12"/>
        <color theme="1"/>
        <rFont val="Aptos"/>
        <family val="2"/>
      </rPr>
      <t xml:space="preserve">SOL: </t>
    </r>
    <r>
      <rPr>
        <b/>
        <sz val="12"/>
        <color theme="1"/>
        <rFont val="Aptos"/>
        <family val="2"/>
      </rPr>
      <t>$1,670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0.15%</t>
    </r>
  </si>
  <si>
    <r>
      <rPr>
        <sz val="12"/>
        <color theme="1"/>
        <rFont val="Aptos"/>
        <family val="2"/>
      </rPr>
      <t xml:space="preserve">BNB: </t>
    </r>
    <r>
      <rPr>
        <b/>
        <sz val="12"/>
        <color theme="1"/>
        <rFont val="Aptos"/>
        <family val="2"/>
      </rPr>
      <t>$1,002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0.09%</t>
    </r>
  </si>
  <si>
    <r>
      <rPr>
        <sz val="12"/>
        <color theme="1"/>
        <rFont val="Aptos"/>
        <family val="2"/>
      </rPr>
      <t xml:space="preserve">LINK: </t>
    </r>
    <r>
      <rPr>
        <b/>
        <sz val="12"/>
        <color theme="1"/>
        <rFont val="Aptos"/>
        <family val="2"/>
      </rPr>
      <t>$1,002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0.09%</t>
    </r>
  </si>
  <si>
    <r>
      <rPr>
        <sz val="12"/>
        <color theme="1"/>
        <rFont val="Aptos"/>
        <family val="2"/>
      </rPr>
      <t xml:space="preserve">TAO: </t>
    </r>
    <r>
      <rPr>
        <b/>
        <sz val="12"/>
        <color theme="1"/>
        <rFont val="Aptos"/>
        <family val="2"/>
      </rPr>
      <t>$835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0.07%</t>
    </r>
  </si>
  <si>
    <r>
      <rPr>
        <sz val="12"/>
        <color theme="1"/>
        <rFont val="Aptos"/>
        <family val="2"/>
      </rPr>
      <t xml:space="preserve">HYPE: </t>
    </r>
    <r>
      <rPr>
        <b/>
        <sz val="12"/>
        <color theme="1"/>
        <rFont val="Aptos"/>
        <family val="2"/>
      </rPr>
      <t>$835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0.07%</t>
    </r>
  </si>
  <si>
    <r>
      <rPr>
        <sz val="12"/>
        <color theme="1"/>
        <rFont val="Aptos"/>
        <family val="2"/>
      </rPr>
      <t xml:space="preserve">XRP: </t>
    </r>
    <r>
      <rPr>
        <b/>
        <sz val="12"/>
        <color theme="1"/>
        <rFont val="Aptos"/>
        <family val="2"/>
      </rPr>
      <t>$501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0.04%</t>
    </r>
  </si>
  <si>
    <r>
      <rPr>
        <sz val="12"/>
        <color theme="1"/>
        <rFont val="Aptos"/>
        <family val="2"/>
      </rPr>
      <t xml:space="preserve">TRX: </t>
    </r>
    <r>
      <rPr>
        <b/>
        <sz val="12"/>
        <color theme="1"/>
        <rFont val="Aptos"/>
        <family val="2"/>
      </rPr>
      <t>$501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0.04%</t>
    </r>
  </si>
  <si>
    <r>
      <rPr>
        <sz val="12"/>
        <color theme="1"/>
        <rFont val="Aptos"/>
        <family val="2"/>
      </rPr>
      <t xml:space="preserve">AVAX: </t>
    </r>
    <r>
      <rPr>
        <b/>
        <sz val="12"/>
        <color theme="1"/>
        <rFont val="Aptos"/>
        <family val="2"/>
      </rPr>
      <t>$334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0.03%</t>
    </r>
  </si>
  <si>
    <t>M1 Finance Pie Assets (Total M1: $85,600 → 7.65% of household)</t>
  </si>
  <si>
    <r>
      <rPr>
        <sz val="12"/>
        <color theme="1"/>
        <rFont val="Aptos"/>
        <family val="2"/>
      </rPr>
      <t xml:space="preserve">VOO: </t>
    </r>
    <r>
      <rPr>
        <b/>
        <sz val="12"/>
        <color theme="1"/>
        <rFont val="Aptos"/>
        <family val="2"/>
      </rPr>
      <t>$21,400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1.91%</t>
    </r>
  </si>
  <si>
    <r>
      <rPr>
        <sz val="12"/>
        <color theme="1"/>
        <rFont val="Aptos"/>
        <family val="2"/>
      </rPr>
      <t xml:space="preserve">VEA: </t>
    </r>
    <r>
      <rPr>
        <b/>
        <sz val="12"/>
        <color theme="1"/>
        <rFont val="Aptos"/>
        <family val="2"/>
      </rPr>
      <t>$21,400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1.91%</t>
    </r>
  </si>
  <si>
    <r>
      <rPr>
        <sz val="12"/>
        <color theme="1"/>
        <rFont val="Aptos"/>
        <family val="2"/>
      </rPr>
      <t xml:space="preserve">VWO: </t>
    </r>
    <r>
      <rPr>
        <b/>
        <sz val="12"/>
        <color theme="1"/>
        <rFont val="Aptos"/>
        <family val="2"/>
      </rPr>
      <t>$21,400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1.91%</t>
    </r>
  </si>
  <si>
    <r>
      <rPr>
        <sz val="12"/>
        <color theme="1"/>
        <rFont val="Aptos"/>
        <family val="2"/>
      </rPr>
      <t xml:space="preserve">IVOV: </t>
    </r>
    <r>
      <rPr>
        <b/>
        <sz val="12"/>
        <color theme="1"/>
        <rFont val="Aptos"/>
        <family val="2"/>
      </rPr>
      <t>$8,560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0.77%</t>
    </r>
  </si>
  <si>
    <r>
      <rPr>
        <sz val="12"/>
        <color theme="1"/>
        <rFont val="Aptos"/>
        <family val="2"/>
      </rPr>
      <t xml:space="preserve">VIOV: </t>
    </r>
    <r>
      <rPr>
        <b/>
        <sz val="12"/>
        <color theme="1"/>
        <rFont val="Aptos"/>
        <family val="2"/>
      </rPr>
      <t>$8,560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0.77%</t>
    </r>
  </si>
  <si>
    <r>
      <rPr>
        <sz val="12"/>
        <color theme="1"/>
        <rFont val="Aptos"/>
        <family val="2"/>
      </rPr>
      <t xml:space="preserve">VNQ: </t>
    </r>
    <r>
      <rPr>
        <b/>
        <sz val="12"/>
        <color theme="1"/>
        <rFont val="Aptos"/>
        <family val="2"/>
      </rPr>
      <t>$4,280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0.38%</t>
    </r>
  </si>
  <si>
    <t>TSP Assets (Total TSP: $526,714 → 47.09% of household)</t>
  </si>
  <si>
    <r>
      <rPr>
        <sz val="12"/>
        <color theme="1"/>
        <rFont val="Aptos"/>
        <family val="2"/>
      </rPr>
      <t xml:space="preserve">C Fund: </t>
    </r>
    <r>
      <rPr>
        <b/>
        <sz val="12"/>
        <color theme="1"/>
        <rFont val="Aptos"/>
        <family val="2"/>
      </rPr>
      <t>$263,357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23.55%</t>
    </r>
  </si>
  <si>
    <r>
      <rPr>
        <sz val="12"/>
        <color theme="1"/>
        <rFont val="Aptos"/>
        <family val="2"/>
      </rPr>
      <t xml:space="preserve">S Fund: </t>
    </r>
    <r>
      <rPr>
        <b/>
        <sz val="12"/>
        <color theme="1"/>
        <rFont val="Aptos"/>
        <family val="2"/>
      </rPr>
      <t>$105,343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9.42%</t>
    </r>
  </si>
  <si>
    <r>
      <rPr>
        <sz val="12"/>
        <color theme="1"/>
        <rFont val="Aptos"/>
        <family val="2"/>
      </rPr>
      <t xml:space="preserve">I Fund: </t>
    </r>
    <r>
      <rPr>
        <b/>
        <sz val="12"/>
        <color theme="1"/>
        <rFont val="Aptos"/>
        <family val="2"/>
      </rPr>
      <t>$158,014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14.13%</t>
    </r>
  </si>
  <si>
    <t>Cleveland Clinic 403(b) Assets (Total 403(b): $489,602 → 43.77% of household)</t>
  </si>
  <si>
    <r>
      <rPr>
        <sz val="12"/>
        <color theme="1"/>
        <rFont val="Aptos"/>
        <family val="2"/>
      </rPr>
      <t xml:space="preserve">VIIIX: </t>
    </r>
    <r>
      <rPr>
        <b/>
        <sz val="12"/>
        <color theme="1"/>
        <rFont val="Aptos"/>
        <family val="2"/>
      </rPr>
      <t>$244,801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21.89%</t>
    </r>
  </si>
  <si>
    <r>
      <rPr>
        <sz val="12"/>
        <color theme="1"/>
        <rFont val="Aptos"/>
        <family val="2"/>
      </rPr>
      <t xml:space="preserve">VEMPX: </t>
    </r>
    <r>
      <rPr>
        <b/>
        <sz val="12"/>
        <color theme="1"/>
        <rFont val="Aptos"/>
        <family val="2"/>
      </rPr>
      <t>$97,920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8.75%</t>
    </r>
  </si>
  <si>
    <r>
      <rPr>
        <sz val="12"/>
        <color theme="1"/>
        <rFont val="Aptos"/>
        <family val="2"/>
      </rPr>
      <t xml:space="preserve">VTPSX: </t>
    </r>
    <r>
      <rPr>
        <b/>
        <sz val="12"/>
        <color theme="1"/>
        <rFont val="Aptos"/>
        <family val="2"/>
      </rPr>
      <t>$146,881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13.13%</t>
    </r>
  </si>
  <si>
    <t>Summary by Major Category</t>
  </si>
  <si>
    <r>
      <rPr>
        <b/>
        <sz val="12"/>
        <color theme="1"/>
        <rFont val="Aptos"/>
        <family val="2"/>
      </rPr>
      <t>U.S. Large-Cap Equities</t>
    </r>
    <r>
      <rPr>
        <sz val="12"/>
        <color theme="1"/>
        <rFont val="Aptos"/>
        <family val="2"/>
      </rPr>
      <t xml:space="preserve"> (VOO + VIIIX + C Fund): </t>
    </r>
    <r>
      <rPr>
        <b/>
        <sz val="12"/>
        <color theme="1"/>
        <rFont val="Aptos"/>
        <family val="2"/>
      </rPr>
      <t>~$529,558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~47.3%</t>
    </r>
  </si>
  <si>
    <r>
      <rPr>
        <b/>
        <sz val="12"/>
        <color theme="1"/>
        <rFont val="Aptos"/>
        <family val="2"/>
      </rPr>
      <t>U.S. Small/Mid-Cap Equities</t>
    </r>
    <r>
      <rPr>
        <sz val="12"/>
        <color theme="1"/>
        <rFont val="Aptos"/>
        <family val="2"/>
      </rPr>
      <t xml:space="preserve"> (VEMPX + S Fund + IVOV + VIOV): </t>
    </r>
    <r>
      <rPr>
        <b/>
        <sz val="12"/>
        <color theme="1"/>
        <rFont val="Aptos"/>
        <family val="2"/>
      </rPr>
      <t>~$220,383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~19.7%</t>
    </r>
  </si>
  <si>
    <r>
      <rPr>
        <b/>
        <sz val="12"/>
        <color theme="1"/>
        <rFont val="Aptos"/>
        <family val="2"/>
      </rPr>
      <t>International Equities</t>
    </r>
    <r>
      <rPr>
        <sz val="12"/>
        <color theme="1"/>
        <rFont val="Aptos"/>
        <family val="2"/>
      </rPr>
      <t xml:space="preserve"> (VTPSX + I Fund + VEA + VWO): </t>
    </r>
    <r>
      <rPr>
        <b/>
        <sz val="12"/>
        <color theme="1"/>
        <rFont val="Aptos"/>
        <family val="2"/>
      </rPr>
      <t>~$347,695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~31.1%</t>
    </r>
  </si>
  <si>
    <r>
      <rPr>
        <b/>
        <sz val="12"/>
        <color theme="1"/>
        <rFont val="Aptos"/>
        <family val="2"/>
      </rPr>
      <t>U.S. REITs</t>
    </r>
    <r>
      <rPr>
        <sz val="12"/>
        <color theme="1"/>
        <rFont val="Aptos"/>
        <family val="2"/>
      </rPr>
      <t xml:space="preserve"> (VNQ): </t>
    </r>
    <r>
      <rPr>
        <b/>
        <sz val="12"/>
        <color theme="1"/>
        <rFont val="Aptos"/>
        <family val="2"/>
      </rPr>
      <t>$4,280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~0.4%</t>
    </r>
  </si>
  <si>
    <r>
      <rPr>
        <b/>
        <sz val="12"/>
        <color theme="1"/>
        <rFont val="Aptos"/>
        <family val="2"/>
      </rPr>
      <t>Crypto</t>
    </r>
    <r>
      <rPr>
        <sz val="12"/>
        <color theme="1"/>
        <rFont val="Aptos"/>
        <family val="2"/>
      </rPr>
      <t xml:space="preserve"> (all 10 assets combined): </t>
    </r>
    <r>
      <rPr>
        <b/>
        <sz val="12"/>
        <color theme="1"/>
        <rFont val="Aptos"/>
        <family val="2"/>
      </rPr>
      <t>$16,700</t>
    </r>
    <r>
      <rPr>
        <sz val="12"/>
        <color theme="1"/>
        <rFont val="Aptos"/>
        <family val="2"/>
      </rPr>
      <t xml:space="preserve"> → </t>
    </r>
    <r>
      <rPr>
        <b/>
        <sz val="12"/>
        <color theme="1"/>
        <rFont val="Aptos"/>
        <family val="2"/>
      </rPr>
      <t>~1.5%</t>
    </r>
  </si>
  <si>
    <t>Liquid Cash</t>
  </si>
  <si>
    <t>Total Assets</t>
  </si>
  <si>
    <t>Proposed</t>
  </si>
  <si>
    <t>Current</t>
  </si>
  <si>
    <t>Crypto Deposit</t>
  </si>
  <si>
    <t>Cash On Hand</t>
  </si>
  <si>
    <t>Total Liabilities</t>
  </si>
  <si>
    <t>Stocks</t>
  </si>
  <si>
    <t>Crypto Profit</t>
  </si>
  <si>
    <t>1 yr</t>
  </si>
  <si>
    <t>PayPal</t>
  </si>
  <si>
    <t>Net Worth</t>
  </si>
  <si>
    <t>Crypto</t>
  </si>
  <si>
    <t>M1 Deposit</t>
  </si>
  <si>
    <t>2 yr</t>
  </si>
  <si>
    <t>Huntington Checking</t>
  </si>
  <si>
    <t>M1 Profit</t>
  </si>
  <si>
    <t>3 yr</t>
  </si>
  <si>
    <t>PNC Checking</t>
  </si>
  <si>
    <t>Liabilities</t>
  </si>
  <si>
    <t>M1 Finance</t>
  </si>
  <si>
    <t>DFS Deposit</t>
  </si>
  <si>
    <t>4 yr</t>
  </si>
  <si>
    <t>PNC Savings</t>
  </si>
  <si>
    <t>Rocket Mortgage</t>
  </si>
  <si>
    <t>Kraken</t>
  </si>
  <si>
    <t>DFS Profit</t>
  </si>
  <si>
    <t>5 yr</t>
  </si>
  <si>
    <t>Total Liquid Cash</t>
  </si>
  <si>
    <t>Lormet</t>
  </si>
  <si>
    <t>New Deposit</t>
  </si>
  <si>
    <t>Total Deposit</t>
  </si>
  <si>
    <t>6 yr</t>
  </si>
  <si>
    <t>GM Financial</t>
  </si>
  <si>
    <t>Total</t>
  </si>
  <si>
    <t>Total Profit</t>
  </si>
  <si>
    <t>7 yr</t>
  </si>
  <si>
    <t>Savings Investments</t>
  </si>
  <si>
    <t>Deposit</t>
  </si>
  <si>
    <t>8 yr</t>
  </si>
  <si>
    <t>Isaac - M1</t>
  </si>
  <si>
    <t>9 yr</t>
  </si>
  <si>
    <t>Regan-M1</t>
  </si>
  <si>
    <t>Available Cash</t>
  </si>
  <si>
    <t>BinanceUS</t>
  </si>
  <si>
    <t>12/31 Crypto Bal</t>
  </si>
  <si>
    <t>10 yr</t>
  </si>
  <si>
    <t>Crypto - Kraken</t>
  </si>
  <si>
    <t>2023 Crypto Deposit</t>
  </si>
  <si>
    <t>2023 Crypto Withdraw</t>
  </si>
  <si>
    <t>Current Net Worth</t>
  </si>
  <si>
    <t>2026 Current Gain</t>
  </si>
  <si>
    <t>Current Crypto Bal</t>
  </si>
  <si>
    <t>2023 Crypto Return</t>
  </si>
  <si>
    <t>2026 Projected</t>
  </si>
  <si>
    <t>2026 Projected Gain</t>
  </si>
  <si>
    <t>DFS</t>
  </si>
  <si>
    <t>Total Invested</t>
  </si>
  <si>
    <t>Total Savings Investments</t>
  </si>
  <si>
    <t>Asset Type</t>
  </si>
  <si>
    <t>Net Worth Balance</t>
  </si>
  <si>
    <t>Net Worth Pct</t>
  </si>
  <si>
    <t>C Fund - US Large Cap</t>
  </si>
  <si>
    <t>TSP</t>
  </si>
  <si>
    <t>Goal</t>
  </si>
  <si>
    <t>Distance</t>
  </si>
  <si>
    <t>VIIIX - US Large Cap</t>
  </si>
  <si>
    <t>Clinic</t>
  </si>
  <si>
    <t>Retirement Investments</t>
  </si>
  <si>
    <t>Kids Savings</t>
  </si>
  <si>
    <t>VOO - US Large Cap</t>
  </si>
  <si>
    <t>M1</t>
  </si>
  <si>
    <t>TSP Civilian</t>
  </si>
  <si>
    <t>Stock Investments</t>
  </si>
  <si>
    <t>I Fund - International</t>
  </si>
  <si>
    <t>TSP Uniformed Service</t>
  </si>
  <si>
    <t>Crypto Investments</t>
  </si>
  <si>
    <t>VTPSX - International</t>
  </si>
  <si>
    <t>Cleveland Clinic 403b</t>
  </si>
  <si>
    <t>VEA - International</t>
  </si>
  <si>
    <t>Cleveland Clinic 401a</t>
  </si>
  <si>
    <t>Real Estate</t>
  </si>
  <si>
    <t>VWO - International</t>
  </si>
  <si>
    <t>Total Retirement Investments</t>
  </si>
  <si>
    <t>Vehicles</t>
  </si>
  <si>
    <t>S Fund - US Small/Mid Cap</t>
  </si>
  <si>
    <t>VEMPX - US Small/Mid Cap</t>
  </si>
  <si>
    <t>IVOV - US Small/Mid Cap</t>
  </si>
  <si>
    <t>Main Home - Redfin</t>
  </si>
  <si>
    <t>VIOV - US Small/Mid Cap</t>
  </si>
  <si>
    <t>Rental Property - Redfin</t>
  </si>
  <si>
    <t>Real</t>
  </si>
  <si>
    <t>Total Property Values</t>
  </si>
  <si>
    <t>VNQ - US REIT</t>
  </si>
  <si>
    <t>2019 Chevy Silverado (JAF3923)</t>
  </si>
  <si>
    <t>2019 Toyota Rav 4 (JZJ5569)</t>
  </si>
  <si>
    <t>US Large Cap</t>
  </si>
  <si>
    <t>2013 Toyota Corolla (KLM2660)</t>
  </si>
  <si>
    <t>International</t>
  </si>
  <si>
    <t>2005 Gulf Stream Sun Voyager (HEH3760)</t>
  </si>
  <si>
    <t>US Small/Mid Cap</t>
  </si>
  <si>
    <t>Total Vehicle Values</t>
  </si>
  <si>
    <t>2003 Toyota Corolla (KFB5773)</t>
  </si>
  <si>
    <t>Totals</t>
  </si>
  <si>
    <t>2008 Honda Fit (EJV3194)</t>
  </si>
  <si>
    <t>2001 EZGO (KKB6096)</t>
  </si>
  <si>
    <t>Actual</t>
  </si>
  <si>
    <t>Income</t>
  </si>
  <si>
    <t>Needs</t>
  </si>
  <si>
    <t>Wants</t>
  </si>
  <si>
    <t>Savings</t>
  </si>
  <si>
    <t>Lorri Pay</t>
  </si>
  <si>
    <t>Isaac Pay</t>
  </si>
  <si>
    <t>Isaac Guard</t>
  </si>
  <si>
    <t>Monthly Difference</t>
  </si>
  <si>
    <t>Rental</t>
  </si>
  <si>
    <t>Variable Savings</t>
  </si>
  <si>
    <t>2026 PROPOSED BUDGET</t>
  </si>
  <si>
    <t>MONTHLY</t>
  </si>
  <si>
    <t>%</t>
  </si>
  <si>
    <t>ANNUAL</t>
  </si>
  <si>
    <t>WEEKLY</t>
  </si>
  <si>
    <t>TOTALS</t>
  </si>
  <si>
    <t>Gross Pay</t>
  </si>
  <si>
    <t>D</t>
  </si>
  <si>
    <t>Groceries/Household</t>
  </si>
  <si>
    <t>Health/Life Insurance</t>
  </si>
  <si>
    <t>Dining Out</t>
  </si>
  <si>
    <t>Retirement</t>
  </si>
  <si>
    <t>Misc Food</t>
  </si>
  <si>
    <t>Pre-Tax Deductions</t>
  </si>
  <si>
    <t>Gasoline</t>
  </si>
  <si>
    <t>Family Entertainment</t>
  </si>
  <si>
    <t>Taxable Pay</t>
  </si>
  <si>
    <t>Miscellaneous Spending</t>
  </si>
  <si>
    <t>Department Stores/Clothes</t>
  </si>
  <si>
    <t>Federal Tax</t>
  </si>
  <si>
    <t>Alcohol/Bars</t>
  </si>
  <si>
    <t>Ohio Tax</t>
  </si>
  <si>
    <t>Medicare</t>
  </si>
  <si>
    <t>F</t>
  </si>
  <si>
    <t>Social Security</t>
  </si>
  <si>
    <t>EH Roberts</t>
  </si>
  <si>
    <t>FERS Retirement</t>
  </si>
  <si>
    <t>Verizon Wireless</t>
  </si>
  <si>
    <t>Cleveland Tax</t>
  </si>
  <si>
    <t>Spectrum TV/Internet</t>
  </si>
  <si>
    <t>Employee Taxes</t>
  </si>
  <si>
    <t>First Energy</t>
  </si>
  <si>
    <t>Vivint Home Security</t>
  </si>
  <si>
    <t>Combined Take Home</t>
  </si>
  <si>
    <t>Columbia Gas</t>
  </si>
  <si>
    <t>Medical Bills</t>
  </si>
  <si>
    <t>Guard Take Home</t>
  </si>
  <si>
    <t>Planet Fitness</t>
  </si>
  <si>
    <t>Rental Income</t>
  </si>
  <si>
    <t>Lowes Rewards</t>
  </si>
  <si>
    <t>Wells Fargo - Pool</t>
  </si>
  <si>
    <t>Total Take Home</t>
  </si>
  <si>
    <t>Wells Fargo - Deck</t>
  </si>
  <si>
    <t>Massage Envy</t>
  </si>
  <si>
    <t>Streaming/Music</t>
  </si>
  <si>
    <t>ISAAC</t>
  </si>
  <si>
    <t>GM Financial/Toyota</t>
  </si>
  <si>
    <t>PAY PERIOD</t>
  </si>
  <si>
    <t>Ohio Turnpike</t>
  </si>
  <si>
    <t>Water Bill - Main</t>
  </si>
  <si>
    <t>Water Bill - Rental</t>
  </si>
  <si>
    <t>Health Ins</t>
  </si>
  <si>
    <t>R</t>
  </si>
  <si>
    <t>Vehicle Maintenance</t>
  </si>
  <si>
    <t>Car Insurance</t>
  </si>
  <si>
    <t>Rental Garbage</t>
  </si>
  <si>
    <t>Garbage</t>
  </si>
  <si>
    <t>Sanitation - Main</t>
  </si>
  <si>
    <t>Camping/Vacation</t>
  </si>
  <si>
    <t>Home Maintenance</t>
  </si>
  <si>
    <t>Rental Repairs</t>
  </si>
  <si>
    <t>Rental Insurance</t>
  </si>
  <si>
    <t>Rental Property Taxes</t>
  </si>
  <si>
    <t>Rental Sanitation</t>
  </si>
  <si>
    <t>Take Home</t>
  </si>
  <si>
    <t>S</t>
  </si>
  <si>
    <t>Our Savings</t>
  </si>
  <si>
    <t>LORRI</t>
  </si>
  <si>
    <t>GTL</t>
  </si>
  <si>
    <t>Gross Earnings</t>
  </si>
  <si>
    <t>Life Insurance</t>
  </si>
  <si>
    <t>Dental</t>
  </si>
  <si>
    <t>PTOTRDN</t>
  </si>
  <si>
    <t>Month</t>
  </si>
  <si>
    <t>L</t>
  </si>
  <si>
    <t>I</t>
  </si>
  <si>
    <t>P Income</t>
  </si>
  <si>
    <t>A Income</t>
  </si>
  <si>
    <t>Diff</t>
  </si>
  <si>
    <t>% Over</t>
  </si>
  <si>
    <t>P Spending</t>
  </si>
  <si>
    <t>A Spending</t>
  </si>
  <si>
    <t>% Under</t>
  </si>
  <si>
    <t>P Savings</t>
  </si>
  <si>
    <t>A Savings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</si>
  <si>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</si>
  <si>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</si>
  <si>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</si>
  <si>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</si>
  <si>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</si>
  <si>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</si>
  <si>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</si>
  <si>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</si>
  <si>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</si>
  <si>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</si>
  <si>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</si>
  <si>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</si>
  <si>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 Fixed</t>
  </si>
  <si>
    <t>A Fixed</t>
  </si>
  <si>
    <t>P Non-Fixed</t>
  </si>
  <si>
    <t>A Non-Fixed</t>
  </si>
  <si>
    <t>P NMB</t>
  </si>
  <si>
    <t>A NMB</t>
  </si>
  <si>
    <t>Monthly</t>
  </si>
  <si>
    <t xml:space="preserve">% </t>
  </si>
  <si>
    <t>Average</t>
  </si>
  <si>
    <t>Spent</t>
  </si>
  <si>
    <t>Difference</t>
  </si>
  <si>
    <t>Under</t>
  </si>
  <si>
    <t>Budget</t>
  </si>
  <si>
    <t>ID</t>
  </si>
  <si>
    <t>SPEND ACCOUNT</t>
  </si>
  <si>
    <t>Made</t>
  </si>
  <si>
    <t>More</t>
  </si>
  <si>
    <t>Lorri Income</t>
  </si>
  <si>
    <t>Isaac Income</t>
  </si>
  <si>
    <t>Isaac Guard Income</t>
  </si>
  <si>
    <t>Date</t>
  </si>
  <si>
    <t>Description</t>
  </si>
  <si>
    <t>Checking Account Balance</t>
  </si>
  <si>
    <t>PNC (I)</t>
  </si>
  <si>
    <t>PNC (L)</t>
  </si>
  <si>
    <t>Chase (I)</t>
  </si>
  <si>
    <t>Chase (L)</t>
  </si>
  <si>
    <t>#1 (8539)</t>
  </si>
  <si>
    <t>#2 (4990)</t>
  </si>
  <si>
    <t>#3 (5153)</t>
  </si>
  <si>
    <t>#4 (2711)</t>
  </si>
  <si>
    <t>#6 (5411)</t>
  </si>
  <si>
    <t>Available Credit</t>
  </si>
  <si>
    <t>DEBIT</t>
  </si>
  <si>
    <t>CREDIT</t>
  </si>
  <si>
    <t>BALANCE</t>
  </si>
  <si>
    <t>s</t>
  </si>
  <si>
    <t>April Savings</t>
  </si>
  <si>
    <t>r</t>
  </si>
  <si>
    <t>x</t>
  </si>
  <si>
    <t>Sanitation Bill</t>
  </si>
  <si>
    <t>d</t>
  </si>
  <si>
    <t>Transfer to Venmo - Nurses Week Breakfast</t>
  </si>
  <si>
    <t>i</t>
  </si>
  <si>
    <t>Isaac Pay Check</t>
  </si>
  <si>
    <t>Lorri Pay Check</t>
  </si>
  <si>
    <t>f</t>
  </si>
  <si>
    <t>BP Global</t>
  </si>
  <si>
    <t>Friendship</t>
  </si>
  <si>
    <t>Puerto Rico - Cash</t>
  </si>
  <si>
    <t>cash</t>
  </si>
  <si>
    <t>April Rent</t>
  </si>
  <si>
    <t>Amazon Marketplace</t>
  </si>
  <si>
    <t>Chipotle</t>
  </si>
  <si>
    <t>Transfer to Regan</t>
  </si>
  <si>
    <t>Transfer to Julie</t>
  </si>
  <si>
    <t>Heinens Grocery Store</t>
  </si>
  <si>
    <t>Julie State Tax Return</t>
  </si>
  <si>
    <t>Walmart</t>
  </si>
  <si>
    <t>Lorri Golf Outing</t>
  </si>
  <si>
    <t>Coopershawk</t>
  </si>
  <si>
    <t>Biggby Coffee</t>
  </si>
  <si>
    <t>Speedway</t>
  </si>
  <si>
    <t>ALDI</t>
  </si>
  <si>
    <t>Uber</t>
  </si>
  <si>
    <t>MCO LGC</t>
  </si>
  <si>
    <t>Spectrum</t>
  </si>
  <si>
    <t>Rumpke Waste</t>
  </si>
  <si>
    <t>Isaac Guard Check</t>
  </si>
  <si>
    <t>Orlando Market</t>
  </si>
  <si>
    <t>Paninis</t>
  </si>
  <si>
    <t>Lorain Smokes and Beverage</t>
  </si>
  <si>
    <t>Target</t>
  </si>
  <si>
    <t>Transfer to Venmo - Raffle Tickets</t>
  </si>
  <si>
    <t>MyClevelandClinic Org</t>
  </si>
  <si>
    <t>Spotify</t>
  </si>
  <si>
    <t>Aramark Cleveland</t>
  </si>
  <si>
    <t>Barrio</t>
  </si>
  <si>
    <t>Mr. Hero</t>
  </si>
  <si>
    <t>ARCO</t>
  </si>
  <si>
    <t>Disney+</t>
  </si>
  <si>
    <t>Sams Club</t>
  </si>
  <si>
    <t>Crepes in the City</t>
  </si>
  <si>
    <t>84 Lumber</t>
  </si>
  <si>
    <t>Olive Garden</t>
  </si>
  <si>
    <t>City of Lorain</t>
  </si>
  <si>
    <t>Sheetz</t>
  </si>
  <si>
    <t>xx</t>
  </si>
  <si>
    <t>Lorri - Hair</t>
  </si>
  <si>
    <t>Shein</t>
  </si>
  <si>
    <t>Vecchio - Lorri Dentist</t>
  </si>
  <si>
    <t>Claude</t>
  </si>
  <si>
    <t>Harbor Freight</t>
  </si>
  <si>
    <t>Julie Tax Filing</t>
  </si>
  <si>
    <t>Toyota Starter</t>
  </si>
  <si>
    <t>Shop Funds</t>
  </si>
  <si>
    <t>Uber Eats</t>
  </si>
  <si>
    <t>Raising Canes</t>
  </si>
  <si>
    <t>Circle K</t>
  </si>
  <si>
    <t>Dunkin Donuts</t>
  </si>
  <si>
    <t>Laporte Inn</t>
  </si>
  <si>
    <t>Booking.com</t>
  </si>
  <si>
    <t>Pulp</t>
  </si>
  <si>
    <t>Netflix</t>
  </si>
  <si>
    <t>Marcos Pizza</t>
  </si>
  <si>
    <t>Bowling Fees</t>
  </si>
  <si>
    <t>Gulf Oil</t>
  </si>
  <si>
    <t>Mahd House</t>
  </si>
  <si>
    <t>Hotshots Bar &amp; Grill</t>
  </si>
  <si>
    <t>McDonalds</t>
  </si>
  <si>
    <t>SP Med Threads</t>
  </si>
  <si>
    <t>Community West Foundation</t>
  </si>
  <si>
    <t>Lowes Rewards - Kitchen</t>
  </si>
  <si>
    <t>Fairview Convienient</t>
  </si>
  <si>
    <t>Sunoco</t>
  </si>
  <si>
    <t>Bob Evans</t>
  </si>
  <si>
    <t>Golf Outing</t>
  </si>
  <si>
    <t>LOC Citizens</t>
  </si>
  <si>
    <t>Vivint</t>
  </si>
  <si>
    <t>Apples</t>
  </si>
  <si>
    <t>Home Depot</t>
  </si>
  <si>
    <t>Orange Theory</t>
  </si>
  <si>
    <t>Taco Bell</t>
  </si>
  <si>
    <t>Regan Clothes</t>
  </si>
  <si>
    <t>My Corner Bar</t>
  </si>
  <si>
    <t>Transfer to Kids Savings</t>
  </si>
  <si>
    <t>Pandora</t>
  </si>
  <si>
    <t>Hunan King</t>
  </si>
  <si>
    <t>Transfer to Savings</t>
  </si>
  <si>
    <t>Transfer to Venmo - Kim Conners; ParTee Golf</t>
  </si>
  <si>
    <t>Crumbl</t>
  </si>
  <si>
    <t>Dicks Sporting Goods</t>
  </si>
  <si>
    <t>Sweeties Candy</t>
  </si>
  <si>
    <t>Sweeties Soda Shoppe</t>
  </si>
  <si>
    <t>March Rent</t>
  </si>
  <si>
    <t>Wingstop</t>
  </si>
  <si>
    <t>McJames Sports Pub</t>
  </si>
  <si>
    <t>Burger King</t>
  </si>
  <si>
    <t>West Park</t>
  </si>
  <si>
    <t>CCF Parking Services</t>
  </si>
  <si>
    <t>Transfer to Venmo</t>
  </si>
  <si>
    <t>Arbys</t>
  </si>
  <si>
    <t>Cash App - Joe Spencer</t>
  </si>
  <si>
    <t>First Watch</t>
  </si>
  <si>
    <t>Trader Joes</t>
  </si>
  <si>
    <t>Mochinut</t>
  </si>
  <si>
    <t>Night at Races</t>
  </si>
  <si>
    <t>Pull Tabs</t>
  </si>
  <si>
    <t>Lowes</t>
  </si>
  <si>
    <t>Action Network</t>
  </si>
  <si>
    <t>Northfield Park</t>
  </si>
  <si>
    <t>Don Tequila</t>
  </si>
  <si>
    <t>Apple TV</t>
  </si>
  <si>
    <t xml:space="preserve">Lormet </t>
  </si>
  <si>
    <t>Regan - Cash</t>
  </si>
  <si>
    <t>Applebees</t>
  </si>
  <si>
    <t>Cleveland Clinic - Family Medical</t>
  </si>
  <si>
    <t>Dart Connect</t>
  </si>
  <si>
    <t>February Rent</t>
  </si>
  <si>
    <t>Chick-fil-A</t>
  </si>
  <si>
    <t>Cleveland Maennerchor</t>
  </si>
  <si>
    <t>Kintaro</t>
  </si>
  <si>
    <t>Table Capture</t>
  </si>
  <si>
    <t>ATM Fee Reimbursement</t>
  </si>
  <si>
    <t>Transfer to Venmo - Patti Akins; Retirement Gift</t>
  </si>
  <si>
    <t>Five Guys</t>
  </si>
  <si>
    <t>Cleveland Clinic - Lorri Labs</t>
  </si>
  <si>
    <t>Payment to Chase</t>
  </si>
  <si>
    <t>Cash App - Yasmary; Vacation</t>
  </si>
  <si>
    <t>Wendys</t>
  </si>
  <si>
    <t>G&amp;J Pepsi</t>
  </si>
  <si>
    <t>7-Eleven</t>
  </si>
  <si>
    <t>Cash App - Gabbi</t>
  </si>
  <si>
    <t>Tom - Plate Registration</t>
  </si>
  <si>
    <t>Sanitation</t>
  </si>
  <si>
    <t>DoorDash</t>
  </si>
  <si>
    <t>February Savings</t>
  </si>
  <si>
    <t>Transfer to Venmo - Sarah Ridenour; Dinner</t>
  </si>
  <si>
    <t>Transfer from Venmo</t>
  </si>
  <si>
    <t>Discount Drug Mart</t>
  </si>
  <si>
    <t>ATM Withdrawal</t>
  </si>
  <si>
    <t>X-Golf</t>
  </si>
  <si>
    <t>GetGo</t>
  </si>
  <si>
    <t>Luckys Bar and Grill</t>
  </si>
  <si>
    <t>Julie - Car Insurance</t>
  </si>
  <si>
    <t>Austin Food</t>
  </si>
  <si>
    <t>Red Lantern</t>
  </si>
  <si>
    <t>Transfer to Venmo - Julie</t>
  </si>
  <si>
    <t>Hotel Cleveland</t>
  </si>
  <si>
    <t>Food Court</t>
  </si>
  <si>
    <t>Cash App - Julie</t>
  </si>
  <si>
    <t>Casino/SFTH Drinks</t>
  </si>
  <si>
    <t>Community West Foundation - Raffle Tickets</t>
  </si>
  <si>
    <t>North Ridge Laser Wash</t>
  </si>
  <si>
    <t>Mens Wearhouse</t>
  </si>
  <si>
    <t>Kohls</t>
  </si>
  <si>
    <t>Marcs</t>
  </si>
  <si>
    <t>Checking Interest</t>
  </si>
  <si>
    <t>Smoothie King</t>
  </si>
  <si>
    <t>Venmo - Football Squares</t>
  </si>
  <si>
    <t>Qdoba</t>
  </si>
  <si>
    <t>Vending Machine</t>
  </si>
  <si>
    <t>Lowes - Kitchen Remodel</t>
  </si>
  <si>
    <t>Drug Mart</t>
  </si>
  <si>
    <t>Menards - Kitchen Remodel</t>
  </si>
  <si>
    <t>Shell</t>
  </si>
  <si>
    <t>Venmo - Work Party</t>
  </si>
  <si>
    <t>Meijer</t>
  </si>
  <si>
    <t>Longhorn Steakhouse</t>
  </si>
  <si>
    <t>January Savings</t>
  </si>
  <si>
    <t>Rental Utilities</t>
  </si>
  <si>
    <t>Frontier Airlines</t>
  </si>
  <si>
    <t>Home Depot - Kitchen Remodel</t>
  </si>
  <si>
    <t>Shotz Bar</t>
  </si>
  <si>
    <t>Transfer to Venmo - Kathleen Chambers;Challenge</t>
  </si>
  <si>
    <t>Sorrento</t>
  </si>
  <si>
    <t>Cash from Casino</t>
  </si>
  <si>
    <t>Garretts Mill Diner</t>
  </si>
  <si>
    <t>Accelerated Fitness</t>
  </si>
  <si>
    <t>Guard Hotel</t>
  </si>
  <si>
    <t>Fairview Tavern</t>
  </si>
  <si>
    <t>PJ McIntyres</t>
  </si>
  <si>
    <t>Zack Drzik - Oil Change</t>
  </si>
  <si>
    <t>Winking Lizard</t>
  </si>
  <si>
    <t>January Rent</t>
  </si>
  <si>
    <t>Ohio Lottery</t>
  </si>
  <si>
    <t>Maple Grove</t>
  </si>
  <si>
    <t>Amazon Prime Membership</t>
  </si>
  <si>
    <t>Buffalo Wild Wings</t>
  </si>
  <si>
    <t>Regan Grades</t>
  </si>
  <si>
    <t>AMF Bowling</t>
  </si>
  <si>
    <t>Fat Heads Brewery</t>
  </si>
  <si>
    <t>Dillards</t>
  </si>
  <si>
    <t>Movie Tickets</t>
  </si>
  <si>
    <t>Regal Cinemas</t>
  </si>
  <si>
    <t>Quick Change</t>
  </si>
  <si>
    <t>Cash to Regan</t>
  </si>
  <si>
    <t>Comfort Inn</t>
  </si>
  <si>
    <t>z</t>
  </si>
  <si>
    <t>Starting Checking Balance</t>
  </si>
  <si>
    <t>TOTAL BALANCE</t>
  </si>
  <si>
    <t>SAVINGS</t>
  </si>
  <si>
    <t>CC REWARDS - XMAS</t>
  </si>
  <si>
    <t>DIFF:</t>
  </si>
  <si>
    <t>BAL:</t>
  </si>
  <si>
    <t>SPENT</t>
  </si>
  <si>
    <t>Amount</t>
  </si>
  <si>
    <t>Amount ($25) Per Week</t>
  </si>
  <si>
    <t>Interest ($625)</t>
  </si>
  <si>
    <t>SAVED</t>
  </si>
  <si>
    <t>DATE</t>
  </si>
  <si>
    <t>TOTAL</t>
  </si>
  <si>
    <t>DESCRIPTION</t>
  </si>
  <si>
    <t>April Transfer</t>
  </si>
  <si>
    <t>Lorri CC Rewards</t>
  </si>
  <si>
    <t>Interest Payment</t>
  </si>
  <si>
    <t>84 Lumber - Deck</t>
  </si>
  <si>
    <t>Toyota Corolla Starter</t>
  </si>
  <si>
    <t>Lorri - Columbus</t>
  </si>
  <si>
    <t>Isaac CC Rewards</t>
  </si>
  <si>
    <t>March Savings</t>
  </si>
  <si>
    <t>March Transfer</t>
  </si>
  <si>
    <t>Drew Bachtell - Labor</t>
  </si>
  <si>
    <t>Transaction Fee</t>
  </si>
  <si>
    <t>Hardrock</t>
  </si>
  <si>
    <t>Caesars</t>
  </si>
  <si>
    <t>Fanduel</t>
  </si>
  <si>
    <t>Bet365</t>
  </si>
  <si>
    <t>BetMGM</t>
  </si>
  <si>
    <t>Draftkings</t>
  </si>
  <si>
    <t>Nashville - Julie</t>
  </si>
  <si>
    <t>Puerto Rico - Excursion</t>
  </si>
  <si>
    <t>February Transfer</t>
  </si>
  <si>
    <t>Kitchen Remodel</t>
  </si>
  <si>
    <t>Jack Casino</t>
  </si>
  <si>
    <t>Property Taxes</t>
  </si>
  <si>
    <t>Puerto Rico House/Car</t>
  </si>
  <si>
    <t>Puerto Rico Airfare</t>
  </si>
  <si>
    <t>January Transfer</t>
  </si>
  <si>
    <t>Casino</t>
  </si>
  <si>
    <t>Oil Change - 13 Corolla</t>
  </si>
  <si>
    <t>Nashville</t>
  </si>
  <si>
    <t>Cleveland Clinic - Grocery Reimburse</t>
  </si>
  <si>
    <t>Toyota Rav4 Oil Change</t>
  </si>
  <si>
    <t>Starting Balance</t>
  </si>
  <si>
    <t>Per Month</t>
  </si>
  <si>
    <t>Per Yr</t>
  </si>
  <si>
    <t>per yr</t>
  </si>
  <si>
    <t>Insurance</t>
  </si>
  <si>
    <t>3 mos</t>
  </si>
  <si>
    <t>2 mos</t>
  </si>
  <si>
    <t>Water</t>
  </si>
  <si>
    <t>1 mo</t>
  </si>
  <si>
    <t>Repair Budget</t>
  </si>
  <si>
    <t>Total Cost</t>
  </si>
  <si>
    <t>Monthly Rent</t>
  </si>
  <si>
    <t>Profit</t>
  </si>
  <si>
    <t>ROI</t>
  </si>
  <si>
    <t>Current Salary:</t>
  </si>
  <si>
    <t>Lorri Salary</t>
  </si>
  <si>
    <t>SS Benefits</t>
  </si>
  <si>
    <t>Age 62</t>
  </si>
  <si>
    <t>Age 67</t>
  </si>
  <si>
    <t>Age 70</t>
  </si>
  <si>
    <t>Disability</t>
  </si>
  <si>
    <t>Pensions</t>
  </si>
  <si>
    <t>Annual</t>
  </si>
  <si>
    <t>Retirement Tax</t>
  </si>
  <si>
    <t>Pct Above in Ret:</t>
  </si>
  <si>
    <t>Isaac Salary</t>
  </si>
  <si>
    <t>Lorri</t>
  </si>
  <si>
    <t>FERS</t>
  </si>
  <si>
    <t>Tax Rate</t>
  </si>
  <si>
    <t>Retirement Salary:</t>
  </si>
  <si>
    <t>Guard Salary</t>
  </si>
  <si>
    <t>Isaac</t>
  </si>
  <si>
    <t>Guard</t>
  </si>
  <si>
    <t>Taxes Due</t>
  </si>
  <si>
    <t>Ret Age</t>
  </si>
  <si>
    <t>Act Age</t>
  </si>
  <si>
    <t>Ret Date</t>
  </si>
  <si>
    <t>Annuity Length</t>
  </si>
  <si>
    <t>Zero Balance</t>
  </si>
  <si>
    <t>Zero Bal Age</t>
  </si>
  <si>
    <t>Ret Income</t>
  </si>
  <si>
    <t>Isaac Retirement Age:</t>
  </si>
  <si>
    <t>Disbursement Percent</t>
  </si>
  <si>
    <t>Ret Tax</t>
  </si>
  <si>
    <t>Lorri Retirement Age:</t>
  </si>
  <si>
    <t>Ret Takehome</t>
  </si>
  <si>
    <t>Isaac Age</t>
  </si>
  <si>
    <t>Lorri Age</t>
  </si>
  <si>
    <t>Isaac SS</t>
  </si>
  <si>
    <t>Lorri SS</t>
  </si>
  <si>
    <t>TSP Retirement</t>
  </si>
  <si>
    <t>Clinic Retirement</t>
  </si>
  <si>
    <t>Monthly Target</t>
  </si>
  <si>
    <t>Fixed Monthly</t>
  </si>
  <si>
    <t>From Retirement</t>
  </si>
  <si>
    <t>Isaac Ret Bal</t>
  </si>
  <si>
    <t>Lorri Ret Bal</t>
  </si>
  <si>
    <t>Total Retirement</t>
  </si>
  <si>
    <t>Start Date</t>
  </si>
  <si>
    <t>End Date</t>
  </si>
  <si>
    <t>Total Cont.</t>
  </si>
  <si>
    <t>Current Amt.</t>
  </si>
  <si>
    <t>Annual Growth</t>
  </si>
  <si>
    <t>Double?</t>
  </si>
  <si>
    <t>Overall Growth</t>
  </si>
  <si>
    <t>Civilian Service</t>
  </si>
  <si>
    <t>Uniform Service</t>
  </si>
  <si>
    <t>CC SIP 403(b) Plan</t>
  </si>
  <si>
    <t>Cleveland Clinic IPP 401(a)</t>
  </si>
  <si>
    <t>Qtr Rank</t>
  </si>
  <si>
    <t>Contribution</t>
  </si>
  <si>
    <t>Change In Value</t>
  </si>
  <si>
    <t>End Balance</t>
  </si>
  <si>
    <t>Qtr Ret</t>
  </si>
  <si>
    <t>Missed Cont</t>
  </si>
  <si>
    <t>Total Contribution</t>
  </si>
  <si>
    <t>Fees/Credits</t>
  </si>
  <si>
    <t>Change in Value</t>
  </si>
  <si>
    <t>Employer Cont.</t>
  </si>
  <si>
    <t>Pos Qtr</t>
  </si>
  <si>
    <t>Pos Avg</t>
  </si>
  <si>
    <t>Neg Qtr</t>
  </si>
  <si>
    <t>Neg Avg</t>
  </si>
  <si>
    <t>Q1 Avg</t>
  </si>
  <si>
    <t>Q2 Avg</t>
  </si>
  <si>
    <t>Q3 Avg</t>
  </si>
  <si>
    <t>Q4 Avg</t>
  </si>
  <si>
    <t>Today's Date:</t>
  </si>
  <si>
    <t>Technician TSP</t>
  </si>
  <si>
    <t>Guard TSP</t>
  </si>
  <si>
    <t>Cleveland Clinic</t>
  </si>
  <si>
    <t>Cleveland Clinic Pension</t>
  </si>
  <si>
    <t>Tax Brackets</t>
  </si>
  <si>
    <t>Isaac Ret Date:</t>
  </si>
  <si>
    <t>Low</t>
  </si>
  <si>
    <t>High</t>
  </si>
  <si>
    <t>Salary</t>
  </si>
  <si>
    <t>Tax</t>
  </si>
  <si>
    <t>Isaac Yrs Till Ret:</t>
  </si>
  <si>
    <t>Growth Rate:</t>
  </si>
  <si>
    <t>Lorri Ret Date:</t>
  </si>
  <si>
    <t>Lorri Yrs Till Ret:</t>
  </si>
  <si>
    <t>Total Present Value:</t>
  </si>
  <si>
    <t>Present Value:</t>
  </si>
  <si>
    <t>Total Future Value:</t>
  </si>
  <si>
    <t>Future Value:</t>
  </si>
  <si>
    <t>Tech Salary</t>
  </si>
  <si>
    <t>Clinic Salary</t>
  </si>
  <si>
    <t>Total Salary</t>
  </si>
  <si>
    <t>Lorri Social Security</t>
  </si>
  <si>
    <t>Isaac Social Security</t>
  </si>
  <si>
    <t>Yrs of Service</t>
  </si>
  <si>
    <t>Retirement Goal</t>
  </si>
  <si>
    <t>Age</t>
  </si>
  <si>
    <t>FERS Annual</t>
  </si>
  <si>
    <t>Guard Annual</t>
  </si>
  <si>
    <t>Pension Annual</t>
  </si>
  <si>
    <t>Pct of Takehome</t>
  </si>
  <si>
    <t>FERS Monthly</t>
  </si>
  <si>
    <t>Guard Monthly</t>
  </si>
  <si>
    <t>Pension Monthly</t>
  </si>
  <si>
    <t>Annuity</t>
  </si>
  <si>
    <t>Supplement</t>
  </si>
  <si>
    <t>Starting Principle</t>
  </si>
  <si>
    <t>Annual Growth Rate</t>
  </si>
  <si>
    <t>L Income Rate</t>
  </si>
  <si>
    <t>Annuity Length (Yrs)</t>
  </si>
  <si>
    <t>Year</t>
  </si>
  <si>
    <t>Opening Balance</t>
  </si>
  <si>
    <t>Payments</t>
  </si>
  <si>
    <t>Interest</t>
  </si>
  <si>
    <t>Closing Balance</t>
  </si>
  <si>
    <t>Yr</t>
  </si>
  <si>
    <t>LIRKX</t>
  </si>
  <si>
    <t>Total Pts:</t>
  </si>
  <si>
    <t>Updated on</t>
  </si>
  <si>
    <t>Yrs Serv:</t>
  </si>
  <si>
    <t>Avg Pts</t>
  </si>
  <si>
    <t>Yrs Serv</t>
  </si>
  <si>
    <t>W-2</t>
  </si>
  <si>
    <t>W-3</t>
  </si>
  <si>
    <t>W-4</t>
  </si>
  <si>
    <t>W-5</t>
  </si>
  <si>
    <t>Bas Pay</t>
  </si>
  <si>
    <t>Username</t>
  </si>
  <si>
    <t>Password</t>
  </si>
  <si>
    <t>Pin</t>
  </si>
  <si>
    <t>Web URL</t>
  </si>
  <si>
    <t>1-800-238-8722 (ADT USAA department)</t>
  </si>
  <si>
    <t>ADT</t>
  </si>
  <si>
    <t>isaac.d.martin@gmail.com</t>
  </si>
  <si>
    <t>IDMartin2</t>
  </si>
  <si>
    <t>https://www.myadt.com/</t>
  </si>
  <si>
    <t>Casino Total Rewards</t>
  </si>
  <si>
    <t>idmartin</t>
  </si>
  <si>
    <t>IDMartin11!!</t>
  </si>
  <si>
    <t>Chase</t>
  </si>
  <si>
    <t>idmartin22</t>
  </si>
  <si>
    <t>IDMartin00</t>
  </si>
  <si>
    <t>https://www.chase.com/</t>
  </si>
  <si>
    <t>lorrismith24</t>
  </si>
  <si>
    <t>lorrimartin24</t>
  </si>
  <si>
    <t>martinl11</t>
  </si>
  <si>
    <t>regan22</t>
  </si>
  <si>
    <t>https://lawprod.ccf.org:40201/lawson/portal/</t>
  </si>
  <si>
    <t>LORRI24</t>
  </si>
  <si>
    <t>IDMartin22</t>
  </si>
  <si>
    <t>http://www.columbiagasohio.com</t>
  </si>
  <si>
    <t>IDMartin2431182</t>
  </si>
  <si>
    <t>DirecTV</t>
  </si>
  <si>
    <t>isaac.d.martin2@gmail.com</t>
  </si>
  <si>
    <t>https://www.directv.com/DTVAPP/login/login.jsp?lpos=header</t>
  </si>
  <si>
    <t>Fidelity</t>
  </si>
  <si>
    <t>ReganNoel22</t>
  </si>
  <si>
    <t>https://login.fidelity.com/ftgw/Fas/Fidelity/IspCust/Login/Init</t>
  </si>
  <si>
    <t>United Concordia</t>
  </si>
  <si>
    <t>isaac.martin1</t>
  </si>
  <si>
    <t>LorriSmith2431182!!</t>
  </si>
  <si>
    <t>https://myaccess.dmdc.osd.mil/identitymanagement/authenticate.do?execution=e3s1</t>
  </si>
  <si>
    <t>email</t>
  </si>
  <si>
    <t>IDMartin00))</t>
  </si>
  <si>
    <t>Mypay</t>
  </si>
  <si>
    <t>isaac.martin</t>
  </si>
  <si>
    <t>IDMartin2431182^^^^</t>
  </si>
  <si>
    <t>https://mypay.dfas.mil/mypay.aspx</t>
  </si>
  <si>
    <t>https://signup.netflix.com/Login</t>
  </si>
  <si>
    <t>Ohio Edison</t>
  </si>
  <si>
    <t>https://www.firstenergycorp.com/log_in.html</t>
  </si>
  <si>
    <t>Ohio University</t>
  </si>
  <si>
    <t>lm133410</t>
  </si>
  <si>
    <t>lm0394</t>
  </si>
  <si>
    <t>https://my.ohio.edu/portal/uPortal/render.userLayoutRootNode.uP</t>
  </si>
  <si>
    <t>Regan Cleveland Clinic</t>
  </si>
  <si>
    <t>Scottrade</t>
  </si>
  <si>
    <t>53967781</t>
  </si>
  <si>
    <t>Sirius</t>
  </si>
  <si>
    <t>lorri24!</t>
  </si>
  <si>
    <t>https://care.siriusxm.com/login_view.action</t>
  </si>
  <si>
    <t>Social Security Isaac</t>
  </si>
  <si>
    <t>IDMartin33##</t>
  </si>
  <si>
    <t>https://secure.ssa.gov/RIL/SiView.do</t>
  </si>
  <si>
    <t>Social Security Lorri</t>
  </si>
  <si>
    <t>TaxAct</t>
  </si>
  <si>
    <t>momsreturn</t>
  </si>
  <si>
    <t>48145</t>
  </si>
  <si>
    <t>tpuskarich</t>
  </si>
  <si>
    <t>tomsreturn</t>
  </si>
  <si>
    <t>29548</t>
  </si>
  <si>
    <t xml:space="preserve"> v</t>
  </si>
  <si>
    <t>Tricare Dental</t>
  </si>
  <si>
    <t>lorri24</t>
  </si>
  <si>
    <t>https://epm.highmark.com/cidlogin/loginHTML.html</t>
  </si>
  <si>
    <t>IDMartin2431182!!</t>
  </si>
  <si>
    <t>https://www.tsp.gov/index.shtml</t>
  </si>
  <si>
    <t>Turbo Tax</t>
  </si>
  <si>
    <t>Isaac: 22241</t>
  </si>
  <si>
    <t>Lorri: 24221</t>
  </si>
  <si>
    <t>USAA</t>
  </si>
  <si>
    <t>https://www.usaa.com</t>
  </si>
  <si>
    <t>Verizon</t>
  </si>
  <si>
    <t>http://www.verizonwireless.com/b2c/index.html</t>
  </si>
  <si>
    <t>Water Bill</t>
  </si>
  <si>
    <t>http://secure.cityofelyria.org/Login.aspx</t>
  </si>
  <si>
    <t xml:space="preserve">704943038-001 </t>
  </si>
  <si>
    <t>704943032-002</t>
  </si>
  <si>
    <t>AKO</t>
  </si>
  <si>
    <t>IsaacMartin@@22</t>
  </si>
  <si>
    <t>Fifth Third Bank</t>
  </si>
  <si>
    <t>Republic Services</t>
  </si>
  <si>
    <t>Isaac Credit Karma</t>
  </si>
  <si>
    <t>idmartin22@yahoo.com</t>
  </si>
  <si>
    <t>Binance Google Authenticator</t>
  </si>
  <si>
    <t>YTFECKQ4OXNYJ3AN</t>
  </si>
  <si>
    <t>=F33*F34</t>
  </si>
  <si>
    <t>Electric Price</t>
  </si>
  <si>
    <t>Gas Price</t>
  </si>
  <si>
    <t>Main Home</t>
  </si>
  <si>
    <t>0.0569c</t>
  </si>
  <si>
    <t>Better Buy Energy</t>
  </si>
  <si>
    <t>Ohio Gas &amp; Electric</t>
  </si>
  <si>
    <t>Rental Home</t>
  </si>
  <si>
    <t>0.0818c</t>
  </si>
  <si>
    <t>Account</t>
  </si>
  <si>
    <t>Customer #</t>
  </si>
  <si>
    <t>Company</t>
  </si>
  <si>
    <t>$/KWh</t>
  </si>
  <si>
    <t>Length</t>
  </si>
  <si>
    <t>Date Signed</t>
  </si>
  <si>
    <t>End</t>
  </si>
  <si>
    <t>Main</t>
  </si>
  <si>
    <t>08036702040000657950</t>
  </si>
  <si>
    <t>12mo</t>
  </si>
  <si>
    <t>08036417900000657946</t>
  </si>
  <si>
    <t>1099-DIV</t>
  </si>
  <si>
    <t>Total Ordinary Dividends</t>
  </si>
  <si>
    <t>Total Capital Gains</t>
  </si>
  <si>
    <t>Section 897 Ordinary Dividends</t>
  </si>
  <si>
    <t>Nondividend Distributions</t>
  </si>
  <si>
    <t>Section 199A Dividends</t>
  </si>
  <si>
    <t>Foreign Tax Paid</t>
  </si>
  <si>
    <t>Short Term Proceeds</t>
  </si>
  <si>
    <t>Short Term Cost Basis</t>
  </si>
  <si>
    <t>Wash/Disallowed</t>
  </si>
  <si>
    <t>Net Gain or Loss</t>
  </si>
  <si>
    <t>Long Term Proceeds</t>
  </si>
  <si>
    <t>Long Term Cost Basis</t>
  </si>
  <si>
    <t>Total Gain/Loss</t>
  </si>
  <si>
    <t>5MB92034</t>
  </si>
  <si>
    <t>5MC10290</t>
  </si>
  <si>
    <t>5MC10287</t>
  </si>
  <si>
    <t>FMB92034</t>
  </si>
  <si>
    <t>Consolidated</t>
  </si>
  <si>
    <t>Fund / Asset</t>
  </si>
  <si>
    <t>C Fund</t>
  </si>
  <si>
    <t>S Fund</t>
  </si>
  <si>
    <t>I Fund</t>
  </si>
  <si>
    <t>TSP Uniformed</t>
  </si>
  <si>
    <t>VIIIX</t>
  </si>
  <si>
    <t>Fidelity 403b</t>
  </si>
  <si>
    <t>VTPSX</t>
  </si>
  <si>
    <t>VEMPX</t>
  </si>
  <si>
    <t>Fidelity 401a</t>
  </si>
  <si>
    <t>VTI</t>
  </si>
  <si>
    <t>QQQM</t>
  </si>
  <si>
    <t>AVUV</t>
  </si>
  <si>
    <t>AVDV</t>
  </si>
  <si>
    <t>AVES</t>
  </si>
  <si>
    <t>BTC</t>
  </si>
  <si>
    <t>ETH</t>
  </si>
  <si>
    <t>SOL</t>
  </si>
  <si>
    <t>TAO</t>
  </si>
  <si>
    <t>HYPE</t>
  </si>
  <si>
    <t>LINK</t>
  </si>
  <si>
    <t>XRP</t>
  </si>
  <si>
    <t>Regan Investment</t>
  </si>
  <si>
    <t>VXUS</t>
  </si>
  <si>
    <t>Shares Owned</t>
  </si>
  <si>
    <t>Giant Eagle</t>
  </si>
  <si>
    <t>Dollar Tree</t>
  </si>
  <si>
    <t>Famouse Footwear</t>
  </si>
  <si>
    <t>The Winchester - Concert</t>
  </si>
  <si>
    <t>Amazon - Kindle Book</t>
  </si>
  <si>
    <t>Lormet - RAV4</t>
  </si>
  <si>
    <t>Wells Fargo - Deck (Feb 3, 2028)</t>
  </si>
  <si>
    <t>Lowes - Aug 14, 2026</t>
  </si>
  <si>
    <t>Lowes - Dec 15, 2026</t>
  </si>
  <si>
    <t>Lowes - Mar 2027</t>
  </si>
  <si>
    <t>Wells Fargo - Pool (Aug 11, 2030)</t>
  </si>
  <si>
    <t>Trailer Rental - Deck</t>
  </si>
  <si>
    <t>Sun Belt Rentals - Deck</t>
  </si>
  <si>
    <t>Frankenmuth Insurance - Rental</t>
  </si>
  <si>
    <t>Litehouse Pools</t>
  </si>
  <si>
    <t>Little Met Golf Course</t>
  </si>
  <si>
    <t>Home Depot - Deck</t>
  </si>
  <si>
    <t>Consumers Builders Supply - Deck</t>
  </si>
  <si>
    <t>Lowes - Deck</t>
  </si>
  <si>
    <t>Yard House</t>
  </si>
  <si>
    <t>Fleet Feet</t>
  </si>
  <si>
    <t>Subway</t>
  </si>
  <si>
    <t>Cheesecake Factory</t>
  </si>
  <si>
    <t>Digital Media</t>
  </si>
  <si>
    <t>Zachery Drzik - Corolla Oil Change</t>
  </si>
  <si>
    <t>Rav 4 &amp; Corolla Oil Change</t>
  </si>
  <si>
    <t>Deck Materials</t>
  </si>
  <si>
    <t>Pool Maintenance - Chemicals</t>
  </si>
  <si>
    <t>Sportsbooks Withdrawal</t>
  </si>
  <si>
    <t>E-Zpass</t>
  </si>
  <si>
    <t>Amazon - Kindle Unlimited</t>
  </si>
  <si>
    <t>Amazon - Prime Video</t>
  </si>
  <si>
    <t>Cash App - Yasmary</t>
  </si>
  <si>
    <t>Cash App - Superbowl Squares</t>
  </si>
  <si>
    <t>Cash App - Starbucks</t>
  </si>
  <si>
    <t>Cash App - McDonalds</t>
  </si>
  <si>
    <t>Backstage Bar</t>
  </si>
  <si>
    <t>Fujiyama</t>
  </si>
  <si>
    <t>Coastal Local Seafood</t>
  </si>
  <si>
    <t>El Vaquero</t>
  </si>
  <si>
    <t>ATM Withdrawal - Columbus</t>
  </si>
  <si>
    <t>Transfer to Venmo - Kate Thomas</t>
  </si>
  <si>
    <t>Cash App - Shop Funds</t>
  </si>
  <si>
    <t>Barleys Brewing Compnay</t>
  </si>
  <si>
    <t>Barrel &amp; Bottle</t>
  </si>
  <si>
    <t>Pool Maintenance - Robot (Amazon)</t>
  </si>
  <si>
    <t>Cash - Misc</t>
  </si>
  <si>
    <t>Cash - Food</t>
  </si>
  <si>
    <t>Cash - Entertainment</t>
  </si>
  <si>
    <t>World Market</t>
  </si>
  <si>
    <t>PJ McIntyre's Irish Pub</t>
  </si>
  <si>
    <t>Dantes Pizza - Lorri Refund</t>
  </si>
  <si>
    <t>Amazon Marketplace - Robot Vacuum</t>
  </si>
  <si>
    <t>BP</t>
  </si>
  <si>
    <t>ATM Withdrawal - Grad Party</t>
  </si>
  <si>
    <t>May Transfer</t>
  </si>
  <si>
    <t>Dantes Pizza - Cleveland Clinic</t>
  </si>
  <si>
    <t>Transfer to Venmo - Dominic Cruz; Golf Outing</t>
  </si>
  <si>
    <t>Transfer to Venmo - Stroke Awareness</t>
  </si>
  <si>
    <t>Lowes - Landscaping</t>
  </si>
  <si>
    <t>Pandys Garden Center - Landscaping</t>
  </si>
  <si>
    <t>Five Below</t>
  </si>
  <si>
    <t>2003 Toyota Corolla</t>
  </si>
  <si>
    <t>Le Petit</t>
  </si>
  <si>
    <t>May Savings</t>
  </si>
  <si>
    <t>Transfer to Kraken</t>
  </si>
  <si>
    <t>Transfer to M1</t>
  </si>
  <si>
    <t>Uber One Membership</t>
  </si>
  <si>
    <t>Online Food Order</t>
  </si>
  <si>
    <t>GM Financial (1 payment left)</t>
  </si>
  <si>
    <t>Lowes Rewards CC - Kitchen</t>
  </si>
  <si>
    <t>First Energy - Main</t>
  </si>
  <si>
    <t>Water My Battery</t>
  </si>
  <si>
    <t>Marathon</t>
  </si>
  <si>
    <t>The Clean Plate</t>
  </si>
  <si>
    <t>HDSA.org</t>
  </si>
  <si>
    <t>Interest Income</t>
  </si>
  <si>
    <t>Amazon Prime</t>
  </si>
  <si>
    <t>May Rent</t>
  </si>
  <si>
    <t>Rays Auto - RV Service</t>
  </si>
  <si>
    <t>Progressive Insurance</t>
  </si>
  <si>
    <t>RV Service/Repair</t>
  </si>
  <si>
    <t>Golf Outing - Dominic Cruz</t>
  </si>
  <si>
    <t>Amazon Marketplace - Tom Extra</t>
  </si>
  <si>
    <t>Amazon Marketplace - Tom Payment</t>
  </si>
  <si>
    <t>Pappasito's Cantina</t>
  </si>
  <si>
    <t>Sorrento Ristorante</t>
  </si>
  <si>
    <t>Cherry Ridge Golf Course</t>
  </si>
  <si>
    <t>Transfer to Regan - Food/Grades</t>
  </si>
  <si>
    <t>Nashville - Lainey Wilson</t>
  </si>
  <si>
    <t>Nashville - Lucky Bastard</t>
  </si>
  <si>
    <t>Nashville - Uber</t>
  </si>
  <si>
    <t>Disney Plus</t>
  </si>
  <si>
    <t>Nashville - Honky Tonk</t>
  </si>
  <si>
    <t>Nashville - Postys</t>
  </si>
  <si>
    <t>Nashville - Kid Rock</t>
  </si>
  <si>
    <t>Nashville - Jelly Rolls</t>
  </si>
  <si>
    <t>Nashville - Marathon</t>
  </si>
  <si>
    <t>Nashville - Bucee's</t>
  </si>
  <si>
    <t>AppleTV</t>
  </si>
  <si>
    <t>Nashville - Jungle Jims</t>
  </si>
  <si>
    <t>Nashville - Taco Bell</t>
  </si>
  <si>
    <t>Nashville - Walmart</t>
  </si>
  <si>
    <t>Nashville - Pizza</t>
  </si>
  <si>
    <t>Nashville - Misc Cash</t>
  </si>
  <si>
    <t>Nashville - Sheetz</t>
  </si>
  <si>
    <t>Nashville - Speedway</t>
  </si>
  <si>
    <t>Nashville - Coyote Ugly</t>
  </si>
  <si>
    <t>Nashvill - IHOP</t>
  </si>
  <si>
    <t>Transfer to Venmo - Kristin Hanes; Cyclebar</t>
  </si>
  <si>
    <t>Hello Bistro</t>
  </si>
  <si>
    <t>Nashville - Venmo Brittany Food</t>
  </si>
  <si>
    <t>Lake Erie Liberty 5k</t>
  </si>
  <si>
    <t>June Transfer</t>
  </si>
  <si>
    <t>Florida - Frontier</t>
  </si>
  <si>
    <t>Floria - Lorri</t>
  </si>
  <si>
    <t>Transfer from Zelle - Joe Spencer</t>
  </si>
  <si>
    <t>Golf Outing - Bunker Hill</t>
  </si>
  <si>
    <t>Bunker Hill - Golf Outing</t>
  </si>
  <si>
    <t>Amoco - Alcohol</t>
  </si>
  <si>
    <t>Stelas Ice Cream</t>
  </si>
  <si>
    <t>Dairylicious</t>
  </si>
  <si>
    <t>Amazon Kindle</t>
  </si>
  <si>
    <t>Mohican Campground</t>
  </si>
  <si>
    <t>Trails End Pizza</t>
  </si>
  <si>
    <t>Mohican Campground - Steve</t>
  </si>
  <si>
    <t>Golf Cart</t>
  </si>
  <si>
    <t>Citizens One</t>
  </si>
  <si>
    <t>Stub Hub - Olivia Rodrigo Tickets</t>
  </si>
  <si>
    <t>Kyuramen</t>
  </si>
  <si>
    <t>Transfer to Venmo - Julie; Food</t>
  </si>
  <si>
    <t>Mohican Adventures - Canoe</t>
  </si>
  <si>
    <t>Alcohol - Cash</t>
  </si>
  <si>
    <t>Food - Cash</t>
  </si>
  <si>
    <t>Misc - Cash</t>
  </si>
  <si>
    <t>Mohican Campground - Maddi</t>
  </si>
  <si>
    <t>Mohican Campground - Brittany, Billy</t>
  </si>
  <si>
    <t>Mohican Campground - 2027 (3) Sites</t>
  </si>
  <si>
    <t>Dixie Food Mart</t>
  </si>
  <si>
    <t>June Savings</t>
  </si>
  <si>
    <t>Golf Cart - Zack</t>
  </si>
  <si>
    <t>Starter - 2003 Corolla</t>
  </si>
  <si>
    <t>Regan - Olivia Rodrigo Tickets</t>
  </si>
  <si>
    <t>June Rent</t>
  </si>
  <si>
    <t>Custom EZGO TXT</t>
  </si>
  <si>
    <t>Family Fare Supermarkets</t>
  </si>
  <si>
    <t>Gallaghers Sports Grille</t>
  </si>
  <si>
    <t>Grayling Retail</t>
  </si>
  <si>
    <t>Amazon Prime Video Ultra</t>
  </si>
  <si>
    <t>ATM Withdrawal - Misc/Entertainment</t>
  </si>
  <si>
    <t>Spikes Keg O Nails</t>
  </si>
  <si>
    <t>Coppertop Golf Valley</t>
  </si>
  <si>
    <t>Dunkin</t>
  </si>
  <si>
    <t>Smittys</t>
  </si>
  <si>
    <t>LEGO Store</t>
  </si>
  <si>
    <t>Amazon Marketplace - Tom</t>
  </si>
  <si>
    <t>ATM Withdrawal - Regan Band Camp</t>
  </si>
  <si>
    <t>Golf Outing - Repayment</t>
  </si>
  <si>
    <t>Bunkerhill Golf Course</t>
  </si>
  <si>
    <t>Normans Tavern</t>
  </si>
  <si>
    <t>Dough Mamas</t>
  </si>
  <si>
    <t>Masthead Brewing</t>
  </si>
  <si>
    <t>Huntington Garage</t>
  </si>
  <si>
    <t>Pizza Hut</t>
  </si>
  <si>
    <t>Trents Joint</t>
  </si>
  <si>
    <t>Pancake House</t>
  </si>
  <si>
    <t>Dog House Bar</t>
  </si>
  <si>
    <t>Amazon Digital Services</t>
  </si>
  <si>
    <t>Golf Cart - Battery 12v Reducer</t>
  </si>
  <si>
    <t>Community West Foundation - Refund</t>
  </si>
  <si>
    <t>Camping - Mohican 2027 (Mandy/Steve half)</t>
  </si>
  <si>
    <t>Olivia Rodrigo Concert Tix</t>
  </si>
  <si>
    <t>Misc Cash</t>
  </si>
  <si>
    <t>July Savings</t>
  </si>
  <si>
    <t>July Transfer</t>
  </si>
  <si>
    <t>Aramark Café</t>
  </si>
  <si>
    <t>Quick Change - Rav4</t>
  </si>
  <si>
    <t>Regal Crocker Park</t>
  </si>
  <si>
    <t>Community West Foundation - Raffle Tix</t>
  </si>
  <si>
    <t>Transfer to Venmo - Matt Frye; Velasano Basket</t>
  </si>
  <si>
    <t>July Rent</t>
  </si>
  <si>
    <t>Top Golf</t>
  </si>
  <si>
    <t>Black River Beverage</t>
  </si>
  <si>
    <t>Fishing License</t>
  </si>
  <si>
    <t>Dairy Mart</t>
  </si>
  <si>
    <t>The Nest - Grey Hawk</t>
  </si>
  <si>
    <t>The Grille and Terra</t>
  </si>
  <si>
    <t>Tom - Cash</t>
  </si>
  <si>
    <t>Golf Outing Raffle</t>
  </si>
  <si>
    <t>Dovin &amp; Reber Jones</t>
  </si>
  <si>
    <t>Amazon</t>
  </si>
  <si>
    <t>Marshalls</t>
  </si>
  <si>
    <t>August Rent</t>
  </si>
  <si>
    <t>Cedar Point</t>
  </si>
  <si>
    <t>Marching Band Merch</t>
  </si>
  <si>
    <t>Golf Outing Repayment</t>
  </si>
  <si>
    <t>Golf Outing Repayment - Venmo</t>
  </si>
  <si>
    <t>Funeral</t>
  </si>
  <si>
    <t>FanDraft</t>
  </si>
  <si>
    <t>Transfer to Venmo - Sarah; Food</t>
  </si>
  <si>
    <t>Charleys - Doordash</t>
  </si>
  <si>
    <t>Salty Marys Oyster Bar</t>
  </si>
  <si>
    <t>August Transfer</t>
  </si>
  <si>
    <t>Pandys - Landscaping</t>
  </si>
  <si>
    <t>Smiles from Smith</t>
  </si>
  <si>
    <t>Insurance Refund</t>
  </si>
  <si>
    <t>August Savings</t>
  </si>
  <si>
    <t>Fantasy Football</t>
  </si>
  <si>
    <t>Bowling</t>
  </si>
  <si>
    <t>High School Football</t>
  </si>
  <si>
    <t>Bowling - Alchohol</t>
  </si>
  <si>
    <t>Bowling Prize Money</t>
  </si>
  <si>
    <t>Youtube - Sunday Ticket</t>
  </si>
  <si>
    <t>Paper Moon Winery</t>
  </si>
  <si>
    <t>The Aviator Pub &amp; Resturant</t>
  </si>
  <si>
    <t>Ross Store</t>
  </si>
  <si>
    <t>Rainbow Market</t>
  </si>
  <si>
    <t>ATM Withdrawal - Florida</t>
  </si>
  <si>
    <t>Transfer for Regan Transportation</t>
  </si>
  <si>
    <t>USBC Membership</t>
  </si>
  <si>
    <t>Rebman Recreation</t>
  </si>
  <si>
    <t>Fanatics</t>
  </si>
  <si>
    <t>Seafood Shake</t>
  </si>
  <si>
    <t>Milan Melon Festival</t>
  </si>
  <si>
    <t>Transfer to Venmo - Dana Hibsman</t>
  </si>
  <si>
    <t>Transfer to Venmo - Jay Coonce; Golf</t>
  </si>
  <si>
    <t>Pool Gas Line</t>
  </si>
  <si>
    <t>Race Trac</t>
  </si>
  <si>
    <t>Regal Golf Coast</t>
  </si>
  <si>
    <t>ABC Fine Wine</t>
  </si>
  <si>
    <t>Amazon Digital Services - Kindle Book</t>
  </si>
  <si>
    <t>Mugs N Jugs</t>
  </si>
  <si>
    <t>Audible</t>
  </si>
  <si>
    <t>Willard Park Garage</t>
  </si>
  <si>
    <t>The Solver</t>
  </si>
  <si>
    <t>Transfer to Venmo - Victoria Nicholson</t>
  </si>
  <si>
    <t>North Ridgeville Athletics</t>
  </si>
  <si>
    <t>Transfer from CashApp</t>
  </si>
  <si>
    <t>Transfer to CashApp</t>
  </si>
  <si>
    <t>Transfer to Zelle</t>
  </si>
  <si>
    <t>School Pictures</t>
  </si>
  <si>
    <t>Mulligans</t>
  </si>
  <si>
    <t>Transfer to Venmo - James Brower; CST Week</t>
  </si>
  <si>
    <t>Avason</t>
  </si>
  <si>
    <t>Transfer to Venmo - Brittany; Concert Tix</t>
  </si>
  <si>
    <t>September Transfer</t>
  </si>
  <si>
    <t>Valor</t>
  </si>
  <si>
    <t>September Rent</t>
  </si>
  <si>
    <t>Amherst Skeleton Run</t>
  </si>
  <si>
    <t>Stownut Doughnut</t>
  </si>
  <si>
    <t>Trivs</t>
  </si>
  <si>
    <t>September Savings</t>
  </si>
  <si>
    <t>Microsoft Office</t>
  </si>
  <si>
    <t>Home To Suites</t>
  </si>
  <si>
    <t>Stromboli's</t>
  </si>
  <si>
    <t>Gameday Math</t>
  </si>
  <si>
    <t>Hilton Grand Vacations</t>
  </si>
  <si>
    <t>Transfer to Venmo - Smiles from Smith</t>
  </si>
  <si>
    <t>Hollywood Casino</t>
  </si>
  <si>
    <t>ATM Withdrawal - Bowling</t>
  </si>
  <si>
    <t>Transfer to Venmo - Pina Gillespie; Homecoming</t>
  </si>
  <si>
    <t>Transfer to Venmo - Geralynn Pantina; Potluck</t>
  </si>
  <si>
    <t>Schuster's</t>
  </si>
  <si>
    <t>Golf Cart - Austin</t>
  </si>
  <si>
    <t>Innovative Counseling</t>
  </si>
  <si>
    <t>Just One More</t>
  </si>
  <si>
    <t>Minotti</t>
  </si>
  <si>
    <t>Elyria Schools</t>
  </si>
  <si>
    <t>Mapleside Farms</t>
  </si>
  <si>
    <t>Cash App - Pulp</t>
  </si>
  <si>
    <t>Cash App - Water</t>
  </si>
  <si>
    <t>Autozone</t>
  </si>
  <si>
    <t>AMF North Ridgeville</t>
  </si>
  <si>
    <t>Transfer to Venmo - Brittany; Ramen</t>
  </si>
  <si>
    <t>Transfer to Venmo - Katie Cammerata; Wine</t>
  </si>
  <si>
    <t>October Rent</t>
  </si>
  <si>
    <t>Transfer from Regan</t>
  </si>
  <si>
    <t>JM Tax Prep</t>
  </si>
  <si>
    <t>Progressive Field</t>
  </si>
  <si>
    <t>DAZN</t>
  </si>
  <si>
    <t>Southern Tier Brewing</t>
  </si>
  <si>
    <t>Transfer to Venmo - Robin Weiss;Guardians</t>
  </si>
  <si>
    <t>Ohio Tax Return</t>
  </si>
  <si>
    <t>Spirit Halloween</t>
  </si>
  <si>
    <t>NBA TV</t>
  </si>
  <si>
    <t>Hot Topic</t>
  </si>
  <si>
    <t>RB Liquidations</t>
  </si>
  <si>
    <t>Christmas Towne</t>
  </si>
  <si>
    <t>Cedar Point Food</t>
  </si>
  <si>
    <t>Federal Tax Return</t>
  </si>
  <si>
    <t>Xmas Gifts</t>
  </si>
  <si>
    <t>y</t>
  </si>
  <si>
    <t>Consumers Builders Supply</t>
  </si>
  <si>
    <t>Personal Creations</t>
  </si>
  <si>
    <t>Goodwill</t>
  </si>
  <si>
    <t>Tranfer from CashApp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</si>
</sst>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F400]h:mm:ss\ AM/PM"/>
    <numFmt numFmtId="165" formatCode="&quot;$&quot;#,##0.00"/>
    <numFmt numFmtId="166" formatCode="0.0%"/>
    <numFmt numFmtId="167" formatCode="0.0"/>
    <numFmt numFmtId="168" formatCode="0.0000"/>
    <numFmt numFmtId="169" formatCode="0.000"/>
    <numFmt numFmtId="170" formatCode="0.000000000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8"/>
      <color rgb="FF5A5F6D"/>
      <name val="Quattrocento Sans"/>
    </font>
    <font>
      <sz val="11"/>
      <color theme="1"/>
      <name val="Calibri"/>
      <family val="2"/>
      <scheme val="minor"/>
    </font>
    <font>
      <b/>
      <sz val="22"/>
      <color theme="1"/>
      <name val="Courier New"/>
      <family val="3"/>
    </font>
    <font>
      <sz val="8"/>
      <color theme="1"/>
      <name val="Courier New"/>
      <family val="3"/>
    </font>
    <font>
      <b/>
      <sz val="8"/>
      <color theme="1"/>
      <name val="Courier New"/>
      <family val="3"/>
    </font>
    <font>
      <sz val="9"/>
      <color theme="1"/>
      <name val="Courier New"/>
      <family val="3"/>
    </font>
    <font>
      <sz val="8"/>
      <color theme="1"/>
      <name val="Calibri"/>
      <family val="2"/>
    </font>
    <font>
      <u/>
      <sz val="8"/>
      <color theme="1"/>
      <name val="Courier New"/>
      <family val="3"/>
    </font>
    <font>
      <u/>
      <sz val="11"/>
      <color theme="10"/>
      <name val="Calibri"/>
      <family val="2"/>
    </font>
    <font>
      <u/>
      <sz val="8"/>
      <color theme="1"/>
      <name val="Courier New"/>
      <family val="3"/>
    </font>
    <font>
      <sz val="11"/>
      <color rgb="FF0A0A0A"/>
      <name val="Calibri"/>
      <family val="2"/>
    </font>
    <font>
      <u/>
      <sz val="11"/>
      <color theme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E5B8B7"/>
        <bgColor rgb="FFE5B8B7"/>
      </patternFill>
    </fill>
    <fill>
      <patternFill patternType="solid">
        <fgColor rgb="FFD6E3BC"/>
        <bgColor rgb="FFD6E3BC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FABF8F"/>
        <bgColor rgb="FFFABF8F"/>
      </patternFill>
    </fill>
    <fill>
      <patternFill patternType="solid">
        <fgColor rgb="FF938953"/>
        <bgColor rgb="FF938953"/>
      </patternFill>
    </fill>
    <fill>
      <patternFill patternType="solid">
        <fgColor rgb="FFC2D69B"/>
        <bgColor rgb="FFC2D69B"/>
      </patternFill>
    </fill>
    <fill>
      <patternFill patternType="solid">
        <fgColor rgb="FF548DD4"/>
        <bgColor rgb="FF548DD4"/>
      </patternFill>
    </fill>
    <fill>
      <patternFill patternType="solid">
        <fgColor rgb="FFD99594"/>
        <bgColor rgb="FFD99594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92CDDC"/>
        <bgColor rgb="FF92CDDC"/>
      </patternFill>
    </fill>
    <fill>
      <patternFill patternType="solid">
        <fgColor rgb="FFFF0000"/>
        <bgColor rgb="FFFF0000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164" fontId="0" fillId="0" borderId="0"/>
    <xf numFmtId="164" fontId="19" fillId="0" borderId="0" applyNumberFormat="0" applyFill="0" applyBorder="0" applyAlignment="0" applyProtection="0"/>
  </cellStyleXfs>
  <cellXfs count="576">
    <xf numFmtId="164" fontId="0" fillId="0" borderId="0" xfId="0"/>
    <xf numFmtId="164" fontId="2" fillId="0" borderId="0" xfId="0" applyFont="1" applyAlignment="1">
      <alignment vertical="center"/>
    </xf>
    <xf numFmtId="164" fontId="3" fillId="0" borderId="0" xfId="0" applyFont="1" applyAlignment="1">
      <alignment vertical="center"/>
    </xf>
    <xf numFmtId="164" fontId="2" fillId="0" borderId="0" xfId="0" applyFont="1" applyAlignment="1">
      <alignment horizontal="left" vertical="center"/>
    </xf>
    <xf numFmtId="164" fontId="3" fillId="0" borderId="0" xfId="0" applyFont="1" applyAlignment="1">
      <alignment horizontal="left" vertical="center"/>
    </xf>
    <xf numFmtId="164" fontId="6" fillId="0" borderId="4" xfId="0" applyFont="1" applyBorder="1"/>
    <xf numFmtId="44" fontId="6" fillId="0" borderId="5" xfId="0" applyNumberFormat="1" applyFont="1" applyBorder="1"/>
    <xf numFmtId="44" fontId="6" fillId="0" borderId="0" xfId="0" applyNumberFormat="1" applyFont="1"/>
    <xf numFmtId="164" fontId="6" fillId="0" borderId="6" xfId="0" applyFont="1" applyBorder="1" applyAlignment="1">
      <alignment horizontal="left"/>
    </xf>
    <xf numFmtId="165" fontId="6" fillId="0" borderId="7" xfId="0" applyNumberFormat="1" applyFont="1" applyBorder="1" applyAlignment="1">
      <alignment horizontal="center"/>
    </xf>
    <xf numFmtId="164" fontId="6" fillId="0" borderId="8" xfId="0" applyFont="1" applyBorder="1" applyAlignment="1">
      <alignment horizontal="center"/>
    </xf>
    <xf numFmtId="164" fontId="6" fillId="0" borderId="0" xfId="0" applyFont="1" applyAlignment="1">
      <alignment horizontal="center"/>
    </xf>
    <xf numFmtId="9" fontId="6" fillId="0" borderId="0" xfId="0" applyNumberFormat="1" applyFont="1"/>
    <xf numFmtId="164" fontId="6" fillId="0" borderId="9" xfId="0" applyFont="1" applyBorder="1"/>
    <xf numFmtId="44" fontId="6" fillId="0" borderId="10" xfId="0" applyNumberFormat="1" applyFont="1" applyBorder="1"/>
    <xf numFmtId="14" fontId="6" fillId="0" borderId="11" xfId="0" applyNumberFormat="1" applyFont="1" applyBorder="1" applyAlignment="1">
      <alignment horizontal="center"/>
    </xf>
    <xf numFmtId="44" fontId="6" fillId="0" borderId="11" xfId="0" applyNumberFormat="1" applyFont="1" applyBorder="1"/>
    <xf numFmtId="10" fontId="6" fillId="0" borderId="0" xfId="0" applyNumberFormat="1" applyFont="1" applyAlignment="1">
      <alignment horizontal="left"/>
    </xf>
    <xf numFmtId="164" fontId="6" fillId="0" borderId="9" xfId="0" applyFont="1" applyBorder="1" applyAlignment="1">
      <alignment horizontal="left"/>
    </xf>
    <xf numFmtId="9" fontId="6" fillId="0" borderId="10" xfId="0" applyNumberFormat="1" applyFont="1" applyBorder="1" applyAlignment="1">
      <alignment horizontal="center"/>
    </xf>
    <xf numFmtId="10" fontId="6" fillId="0" borderId="11" xfId="0" applyNumberFormat="1" applyFont="1" applyBorder="1" applyAlignment="1">
      <alignment horizontal="center"/>
    </xf>
    <xf numFmtId="164" fontId="6" fillId="0" borderId="12" xfId="0" applyFont="1" applyBorder="1"/>
    <xf numFmtId="44" fontId="6" fillId="0" borderId="13" xfId="0" applyNumberFormat="1" applyFont="1" applyBorder="1"/>
    <xf numFmtId="165" fontId="6" fillId="0" borderId="0" xfId="0" applyNumberFormat="1" applyFont="1"/>
    <xf numFmtId="164" fontId="6" fillId="0" borderId="14" xfId="0" applyFont="1" applyBorder="1" applyAlignment="1">
      <alignment horizontal="left"/>
    </xf>
    <xf numFmtId="165" fontId="6" fillId="0" borderId="0" xfId="0" applyNumberFormat="1" applyFont="1" applyAlignment="1">
      <alignment horizontal="center"/>
    </xf>
    <xf numFmtId="164" fontId="6" fillId="0" borderId="15" xfId="0" applyFont="1" applyBorder="1" applyAlignment="1">
      <alignment horizontal="center"/>
    </xf>
    <xf numFmtId="164" fontId="6" fillId="0" borderId="16" xfId="0" applyFont="1" applyBorder="1"/>
    <xf numFmtId="44" fontId="6" fillId="0" borderId="17" xfId="0" applyNumberFormat="1" applyFont="1" applyBorder="1"/>
    <xf numFmtId="3" fontId="6" fillId="0" borderId="9" xfId="0" applyNumberFormat="1" applyFont="1" applyBorder="1" applyAlignment="1">
      <alignment horizontal="left"/>
    </xf>
    <xf numFmtId="44" fontId="6" fillId="0" borderId="10" xfId="0" applyNumberFormat="1" applyFont="1" applyBorder="1" applyAlignment="1">
      <alignment horizontal="center"/>
    </xf>
    <xf numFmtId="164" fontId="7" fillId="0" borderId="9" xfId="0" applyFont="1" applyBorder="1"/>
    <xf numFmtId="14" fontId="6" fillId="0" borderId="11" xfId="0" applyNumberFormat="1" applyFont="1" applyBorder="1"/>
    <xf numFmtId="44" fontId="6" fillId="0" borderId="18" xfId="0" applyNumberFormat="1" applyFont="1" applyBorder="1"/>
    <xf numFmtId="10" fontId="6" fillId="0" borderId="13" xfId="0" applyNumberFormat="1" applyFont="1" applyBorder="1" applyAlignment="1">
      <alignment horizontal="center"/>
    </xf>
    <xf numFmtId="164" fontId="6" fillId="0" borderId="19" xfId="0" applyFont="1" applyBorder="1"/>
    <xf numFmtId="44" fontId="6" fillId="0" borderId="20" xfId="0" applyNumberFormat="1" applyFont="1" applyBorder="1"/>
    <xf numFmtId="14" fontId="6" fillId="0" borderId="0" xfId="0" applyNumberFormat="1" applyFont="1" applyAlignment="1">
      <alignment horizontal="center"/>
    </xf>
    <xf numFmtId="164" fontId="6" fillId="0" borderId="13" xfId="0" applyFont="1" applyBorder="1"/>
    <xf numFmtId="44" fontId="6" fillId="0" borderId="0" xfId="0" applyNumberFormat="1" applyFont="1" applyAlignment="1">
      <alignment horizontal="center"/>
    </xf>
    <xf numFmtId="44" fontId="6" fillId="0" borderId="11" xfId="0" applyNumberFormat="1" applyFont="1" applyBorder="1" applyAlignment="1">
      <alignment horizontal="center"/>
    </xf>
    <xf numFmtId="164" fontId="6" fillId="0" borderId="21" xfId="0" applyFont="1" applyBorder="1"/>
    <xf numFmtId="44" fontId="6" fillId="0" borderId="22" xfId="0" applyNumberFormat="1" applyFont="1" applyBorder="1"/>
    <xf numFmtId="164" fontId="6" fillId="0" borderId="12" xfId="0" applyFont="1" applyBorder="1" applyAlignment="1">
      <alignment horizontal="left"/>
    </xf>
    <xf numFmtId="44" fontId="6" fillId="0" borderId="18" xfId="0" applyNumberFormat="1" applyFont="1" applyBorder="1" applyAlignment="1">
      <alignment horizontal="center"/>
    </xf>
    <xf numFmtId="44" fontId="6" fillId="0" borderId="13" xfId="0" applyNumberFormat="1" applyFont="1" applyBorder="1" applyAlignment="1">
      <alignment horizontal="center"/>
    </xf>
    <xf numFmtId="0" fontId="6" fillId="0" borderId="0" xfId="0" applyNumberFormat="1" applyFont="1"/>
    <xf numFmtId="164" fontId="6" fillId="0" borderId="10" xfId="0" applyFont="1" applyBorder="1"/>
    <xf numFmtId="44" fontId="6" fillId="0" borderId="23" xfId="0" applyNumberFormat="1" applyFont="1" applyBorder="1"/>
    <xf numFmtId="164" fontId="6" fillId="0" borderId="0" xfId="0" applyFont="1" applyAlignment="1">
      <alignment horizontal="left"/>
    </xf>
    <xf numFmtId="10" fontId="6" fillId="0" borderId="0" xfId="0" applyNumberFormat="1" applyFont="1" applyAlignment="1">
      <alignment horizontal="center"/>
    </xf>
    <xf numFmtId="44" fontId="6" fillId="0" borderId="24" xfId="0" applyNumberFormat="1" applyFont="1" applyBorder="1"/>
    <xf numFmtId="10" fontId="4" fillId="0" borderId="4" xfId="0" applyNumberFormat="1" applyFont="1" applyBorder="1" applyAlignment="1">
      <alignment horizontal="center"/>
    </xf>
    <xf numFmtId="44" fontId="4" fillId="0" borderId="25" xfId="0" applyNumberFormat="1" applyFont="1" applyBorder="1" applyAlignment="1">
      <alignment horizontal="center"/>
    </xf>
    <xf numFmtId="164" fontId="4" fillId="0" borderId="5" xfId="0" applyFont="1" applyBorder="1" applyAlignment="1">
      <alignment horizontal="center"/>
    </xf>
    <xf numFmtId="44" fontId="6" fillId="0" borderId="26" xfId="0" applyNumberFormat="1" applyFont="1" applyBorder="1"/>
    <xf numFmtId="44" fontId="6" fillId="0" borderId="12" xfId="0" applyNumberFormat="1" applyFont="1" applyBorder="1" applyAlignment="1">
      <alignment horizontal="center"/>
    </xf>
    <xf numFmtId="164" fontId="6" fillId="0" borderId="4" xfId="0" applyFont="1" applyBorder="1" applyAlignment="1">
      <alignment horizontal="left"/>
    </xf>
    <xf numFmtId="165" fontId="6" fillId="0" borderId="25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164" fontId="6" fillId="0" borderId="27" xfId="0" applyFont="1" applyBorder="1"/>
    <xf numFmtId="14" fontId="4" fillId="0" borderId="4" xfId="0" applyNumberFormat="1" applyFont="1" applyBorder="1" applyAlignment="1">
      <alignment horizontal="center"/>
    </xf>
    <xf numFmtId="44" fontId="4" fillId="0" borderId="5" xfId="0" applyNumberFormat="1" applyFont="1" applyBorder="1" applyAlignment="1">
      <alignment horizontal="center"/>
    </xf>
    <xf numFmtId="165" fontId="6" fillId="0" borderId="10" xfId="0" applyNumberFormat="1" applyFont="1" applyBorder="1" applyAlignment="1">
      <alignment horizontal="center"/>
    </xf>
    <xf numFmtId="165" fontId="6" fillId="0" borderId="18" xfId="0" applyNumberFormat="1" applyFont="1" applyBorder="1" applyAlignment="1">
      <alignment horizontal="center"/>
    </xf>
    <xf numFmtId="14" fontId="6" fillId="0" borderId="0" xfId="0" applyNumberFormat="1" applyFont="1"/>
    <xf numFmtId="0" fontId="4" fillId="0" borderId="0" xfId="0" applyNumberFormat="1" applyFont="1"/>
    <xf numFmtId="44" fontId="4" fillId="0" borderId="0" xfId="0" applyNumberFormat="1" applyFont="1"/>
    <xf numFmtId="164" fontId="6" fillId="0" borderId="28" xfId="0" applyFont="1" applyBorder="1"/>
    <xf numFmtId="44" fontId="4" fillId="0" borderId="21" xfId="0" applyNumberFormat="1" applyFont="1" applyBorder="1" applyAlignment="1">
      <alignment horizontal="center"/>
    </xf>
    <xf numFmtId="164" fontId="4" fillId="0" borderId="29" xfId="0" applyFont="1" applyBorder="1" applyAlignment="1">
      <alignment horizontal="center"/>
    </xf>
    <xf numFmtId="44" fontId="4" fillId="0" borderId="22" xfId="0" applyNumberFormat="1" applyFont="1" applyBorder="1" applyAlignment="1">
      <alignment horizontal="center"/>
    </xf>
    <xf numFmtId="44" fontId="6" fillId="0" borderId="25" xfId="0" applyNumberFormat="1" applyFont="1" applyBorder="1"/>
    <xf numFmtId="10" fontId="6" fillId="0" borderId="25" xfId="0" applyNumberFormat="1" applyFont="1" applyBorder="1" applyAlignment="1">
      <alignment horizontal="center"/>
    </xf>
    <xf numFmtId="164" fontId="6" fillId="0" borderId="5" xfId="0" applyFont="1" applyBorder="1"/>
    <xf numFmtId="44" fontId="6" fillId="0" borderId="19" xfId="0" applyNumberFormat="1" applyFont="1" applyBorder="1"/>
    <xf numFmtId="44" fontId="6" fillId="0" borderId="30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/>
    </xf>
    <xf numFmtId="10" fontId="6" fillId="0" borderId="10" xfId="0" applyNumberFormat="1" applyFont="1" applyBorder="1" applyAlignment="1">
      <alignment horizontal="center"/>
    </xf>
    <xf numFmtId="164" fontId="6" fillId="0" borderId="11" xfId="0" applyFont="1" applyBorder="1"/>
    <xf numFmtId="44" fontId="6" fillId="0" borderId="9" xfId="0" applyNumberFormat="1" applyFont="1" applyBorder="1"/>
    <xf numFmtId="44" fontId="6" fillId="0" borderId="0" xfId="0" applyNumberFormat="1" applyFont="1" applyAlignment="1">
      <alignment horizontal="left"/>
    </xf>
    <xf numFmtId="10" fontId="6" fillId="0" borderId="24" xfId="0" applyNumberFormat="1" applyFont="1" applyBorder="1" applyAlignment="1">
      <alignment horizontal="center"/>
    </xf>
    <xf numFmtId="164" fontId="6" fillId="0" borderId="17" xfId="0" applyFont="1" applyBorder="1"/>
    <xf numFmtId="164" fontId="8" fillId="0" borderId="0" xfId="0" applyFont="1"/>
    <xf numFmtId="44" fontId="6" fillId="0" borderId="12" xfId="0" applyNumberFormat="1" applyFont="1" applyBorder="1"/>
    <xf numFmtId="164" fontId="6" fillId="0" borderId="0" xfId="0" applyFont="1"/>
    <xf numFmtId="44" fontId="6" fillId="0" borderId="29" xfId="0" applyNumberFormat="1" applyFont="1" applyBorder="1"/>
    <xf numFmtId="10" fontId="6" fillId="0" borderId="29" xfId="0" applyNumberFormat="1" applyFont="1" applyBorder="1" applyAlignment="1">
      <alignment horizontal="center"/>
    </xf>
    <xf numFmtId="164" fontId="6" fillId="0" borderId="22" xfId="0" applyFont="1" applyBorder="1"/>
    <xf numFmtId="164" fontId="6" fillId="0" borderId="0" xfId="0" applyFont="1" applyAlignment="1">
      <alignment horizontal="right"/>
    </xf>
    <xf numFmtId="10" fontId="6" fillId="0" borderId="17" xfId="0" applyNumberFormat="1" applyFont="1" applyBorder="1" applyAlignment="1">
      <alignment horizontal="center"/>
    </xf>
    <xf numFmtId="0" fontId="9" fillId="0" borderId="0" xfId="0" applyNumberFormat="1" applyFont="1"/>
    <xf numFmtId="164" fontId="4" fillId="0" borderId="21" xfId="0" applyFont="1" applyBorder="1"/>
    <xf numFmtId="44" fontId="4" fillId="0" borderId="29" xfId="0" applyNumberFormat="1" applyFont="1" applyBorder="1"/>
    <xf numFmtId="9" fontId="4" fillId="0" borderId="22" xfId="0" applyNumberFormat="1" applyFont="1" applyBorder="1" applyAlignment="1">
      <alignment horizontal="center"/>
    </xf>
    <xf numFmtId="164" fontId="6" fillId="2" borderId="4" xfId="0" applyFont="1" applyFill="1" applyBorder="1"/>
    <xf numFmtId="10" fontId="6" fillId="0" borderId="10" xfId="0" applyNumberFormat="1" applyFont="1" applyBorder="1"/>
    <xf numFmtId="164" fontId="6" fillId="2" borderId="9" xfId="0" applyFont="1" applyFill="1" applyBorder="1"/>
    <xf numFmtId="44" fontId="6" fillId="3" borderId="10" xfId="0" applyNumberFormat="1" applyFont="1" applyFill="1" applyBorder="1" applyAlignment="1">
      <alignment horizontal="center"/>
    </xf>
    <xf numFmtId="10" fontId="6" fillId="3" borderId="10" xfId="0" applyNumberFormat="1" applyFont="1" applyFill="1" applyBorder="1" applyAlignment="1">
      <alignment horizontal="center"/>
    </xf>
    <xf numFmtId="44" fontId="6" fillId="4" borderId="10" xfId="0" applyNumberFormat="1" applyFont="1" applyFill="1" applyBorder="1" applyAlignment="1">
      <alignment horizontal="center"/>
    </xf>
    <xf numFmtId="10" fontId="6" fillId="4" borderId="11" xfId="0" applyNumberFormat="1" applyFont="1" applyFill="1" applyBorder="1" applyAlignment="1">
      <alignment horizontal="center"/>
    </xf>
    <xf numFmtId="44" fontId="6" fillId="3" borderId="10" xfId="0" applyNumberFormat="1" applyFont="1" applyFill="1" applyBorder="1"/>
    <xf numFmtId="44" fontId="6" fillId="4" borderId="10" xfId="0" applyNumberFormat="1" applyFont="1" applyFill="1" applyBorder="1"/>
    <xf numFmtId="164" fontId="6" fillId="2" borderId="33" xfId="0" applyFont="1" applyFill="1" applyBorder="1"/>
    <xf numFmtId="44" fontId="6" fillId="3" borderId="34" xfId="0" applyNumberFormat="1" applyFont="1" applyFill="1" applyBorder="1" applyAlignment="1">
      <alignment horizontal="center"/>
    </xf>
    <xf numFmtId="10" fontId="6" fillId="3" borderId="34" xfId="0" applyNumberFormat="1" applyFont="1" applyFill="1" applyBorder="1" applyAlignment="1">
      <alignment horizontal="center"/>
    </xf>
    <xf numFmtId="44" fontId="6" fillId="4" borderId="34" xfId="0" applyNumberFormat="1" applyFont="1" applyFill="1" applyBorder="1" applyAlignment="1">
      <alignment horizontal="center"/>
    </xf>
    <xf numFmtId="10" fontId="6" fillId="4" borderId="35" xfId="0" applyNumberFormat="1" applyFont="1" applyFill="1" applyBorder="1" applyAlignment="1">
      <alignment horizontal="center"/>
    </xf>
    <xf numFmtId="164" fontId="6" fillId="3" borderId="10" xfId="0" applyFont="1" applyFill="1" applyBorder="1" applyAlignment="1">
      <alignment horizontal="center"/>
    </xf>
    <xf numFmtId="10" fontId="6" fillId="0" borderId="18" xfId="0" applyNumberFormat="1" applyFont="1" applyBorder="1"/>
    <xf numFmtId="164" fontId="6" fillId="2" borderId="12" xfId="0" applyFont="1" applyFill="1" applyBorder="1"/>
    <xf numFmtId="44" fontId="6" fillId="3" borderId="18" xfId="0" applyNumberFormat="1" applyFont="1" applyFill="1" applyBorder="1"/>
    <xf numFmtId="10" fontId="6" fillId="3" borderId="18" xfId="0" applyNumberFormat="1" applyFont="1" applyFill="1" applyBorder="1" applyAlignment="1">
      <alignment horizontal="center"/>
    </xf>
    <xf numFmtId="44" fontId="6" fillId="4" borderId="18" xfId="0" applyNumberFormat="1" applyFont="1" applyFill="1" applyBorder="1"/>
    <xf numFmtId="10" fontId="6" fillId="4" borderId="13" xfId="0" applyNumberFormat="1" applyFont="1" applyFill="1" applyBorder="1" applyAlignment="1">
      <alignment horizontal="center"/>
    </xf>
    <xf numFmtId="10" fontId="6" fillId="0" borderId="0" xfId="0" applyNumberFormat="1" applyFont="1"/>
    <xf numFmtId="2" fontId="6" fillId="0" borderId="0" xfId="0" applyNumberFormat="1" applyFont="1"/>
    <xf numFmtId="164" fontId="11" fillId="0" borderId="0" xfId="0" applyFont="1" applyAlignment="1">
      <alignment vertical="center"/>
    </xf>
    <xf numFmtId="44" fontId="11" fillId="0" borderId="0" xfId="0" applyNumberFormat="1" applyFont="1" applyAlignment="1">
      <alignment vertical="center"/>
    </xf>
    <xf numFmtId="164" fontId="6" fillId="0" borderId="0" xfId="0" applyFont="1" applyAlignment="1">
      <alignment vertical="center"/>
    </xf>
    <xf numFmtId="164" fontId="11" fillId="0" borderId="0" xfId="0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64" fontId="11" fillId="0" borderId="4" xfId="0" applyFont="1" applyBorder="1" applyAlignment="1">
      <alignment horizontal="center" vertical="center"/>
    </xf>
    <xf numFmtId="164" fontId="11" fillId="0" borderId="25" xfId="0" applyFont="1" applyBorder="1" applyAlignment="1">
      <alignment horizontal="center" vertical="center"/>
    </xf>
    <xf numFmtId="164" fontId="11" fillId="0" borderId="5" xfId="0" applyFont="1" applyBorder="1" applyAlignment="1">
      <alignment horizontal="center" vertical="center"/>
    </xf>
    <xf numFmtId="164" fontId="11" fillId="0" borderId="4" xfId="0" applyFont="1" applyBorder="1" applyAlignment="1">
      <alignment vertical="center"/>
    </xf>
    <xf numFmtId="164" fontId="11" fillId="0" borderId="21" xfId="0" applyFont="1" applyBorder="1" applyAlignment="1">
      <alignment vertical="center"/>
    </xf>
    <xf numFmtId="44" fontId="11" fillId="0" borderId="36" xfId="0" applyNumberFormat="1" applyFont="1" applyBorder="1" applyAlignment="1">
      <alignment horizontal="center" vertical="center"/>
    </xf>
    <xf numFmtId="10" fontId="11" fillId="0" borderId="18" xfId="0" applyNumberFormat="1" applyFont="1" applyBorder="1" applyAlignment="1">
      <alignment horizontal="center" vertical="center"/>
    </xf>
    <xf numFmtId="44" fontId="11" fillId="0" borderId="18" xfId="0" applyNumberFormat="1" applyFont="1" applyBorder="1" applyAlignment="1">
      <alignment horizontal="center" vertical="center"/>
    </xf>
    <xf numFmtId="44" fontId="11" fillId="0" borderId="13" xfId="0" applyNumberFormat="1" applyFont="1" applyBorder="1" applyAlignment="1">
      <alignment horizontal="center" vertical="center"/>
    </xf>
    <xf numFmtId="164" fontId="12" fillId="5" borderId="9" xfId="0" applyFont="1" applyFill="1" applyBorder="1" applyAlignment="1">
      <alignment vertical="center"/>
    </xf>
    <xf numFmtId="44" fontId="12" fillId="5" borderId="10" xfId="0" applyNumberFormat="1" applyFont="1" applyFill="1" applyBorder="1" applyAlignment="1">
      <alignment horizontal="center" vertical="center"/>
    </xf>
    <xf numFmtId="164" fontId="12" fillId="5" borderId="10" xfId="0" applyFont="1" applyFill="1" applyBorder="1" applyAlignment="1">
      <alignment horizontal="center" vertical="center"/>
    </xf>
    <xf numFmtId="44" fontId="12" fillId="5" borderId="11" xfId="0" applyNumberFormat="1" applyFont="1" applyFill="1" applyBorder="1" applyAlignment="1">
      <alignment horizontal="center" vertical="center"/>
    </xf>
    <xf numFmtId="44" fontId="11" fillId="0" borderId="0" xfId="0" applyNumberFormat="1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64" fontId="11" fillId="0" borderId="9" xfId="0" applyFont="1" applyBorder="1" applyAlignment="1">
      <alignment vertical="center"/>
    </xf>
    <xf numFmtId="44" fontId="11" fillId="0" borderId="10" xfId="0" applyNumberFormat="1" applyFont="1" applyBorder="1" applyAlignment="1">
      <alignment horizontal="center" vertical="center"/>
    </xf>
    <xf numFmtId="164" fontId="11" fillId="0" borderId="10" xfId="0" applyFont="1" applyBorder="1" applyAlignment="1">
      <alignment horizontal="center" vertical="center"/>
    </xf>
    <xf numFmtId="44" fontId="11" fillId="0" borderId="11" xfId="0" applyNumberFormat="1" applyFont="1" applyBorder="1" applyAlignment="1">
      <alignment horizontal="center" vertical="center"/>
    </xf>
    <xf numFmtId="1" fontId="11" fillId="0" borderId="25" xfId="0" applyNumberFormat="1" applyFont="1" applyBorder="1" applyAlignment="1">
      <alignment horizontal="center" vertical="center"/>
    </xf>
    <xf numFmtId="164" fontId="12" fillId="0" borderId="25" xfId="0" applyFont="1" applyBorder="1" applyAlignment="1">
      <alignment vertical="center"/>
    </xf>
    <xf numFmtId="44" fontId="11" fillId="0" borderId="25" xfId="0" applyNumberFormat="1" applyFont="1" applyBorder="1" applyAlignment="1">
      <alignment horizontal="center" vertical="center"/>
    </xf>
    <xf numFmtId="10" fontId="11" fillId="0" borderId="25" xfId="0" applyNumberFormat="1" applyFont="1" applyBorder="1" applyAlignment="1">
      <alignment horizontal="center" vertical="center"/>
    </xf>
    <xf numFmtId="44" fontId="11" fillId="0" borderId="5" xfId="0" applyNumberFormat="1" applyFont="1" applyBorder="1" applyAlignment="1">
      <alignment horizontal="center" vertical="center"/>
    </xf>
    <xf numFmtId="10" fontId="11" fillId="0" borderId="10" xfId="0" applyNumberFormat="1" applyFont="1" applyBorder="1" applyAlignment="1">
      <alignment horizontal="center" vertical="center"/>
    </xf>
    <xf numFmtId="164" fontId="11" fillId="0" borderId="9" xfId="0" applyFont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64" fontId="12" fillId="0" borderId="10" xfId="0" applyFont="1" applyBorder="1" applyAlignment="1">
      <alignment vertical="center"/>
    </xf>
    <xf numFmtId="10" fontId="12" fillId="5" borderId="10" xfId="0" applyNumberFormat="1" applyFont="1" applyFill="1" applyBorder="1" applyAlignment="1">
      <alignment horizontal="center" vertical="center"/>
    </xf>
    <xf numFmtId="164" fontId="11" fillId="0" borderId="16" xfId="0" applyFont="1" applyBorder="1" applyAlignment="1">
      <alignment horizontal="center" vertical="center"/>
    </xf>
    <xf numFmtId="1" fontId="11" fillId="0" borderId="24" xfId="0" applyNumberFormat="1" applyFont="1" applyBorder="1" applyAlignment="1">
      <alignment horizontal="center" vertical="center"/>
    </xf>
    <xf numFmtId="164" fontId="12" fillId="0" borderId="24" xfId="0" applyFont="1" applyBorder="1" applyAlignment="1">
      <alignment vertical="center"/>
    </xf>
    <xf numFmtId="44" fontId="11" fillId="0" borderId="24" xfId="0" applyNumberFormat="1" applyFont="1" applyBorder="1" applyAlignment="1">
      <alignment horizontal="center" vertical="center"/>
    </xf>
    <xf numFmtId="10" fontId="11" fillId="0" borderId="24" xfId="0" applyNumberFormat="1" applyFont="1" applyBorder="1" applyAlignment="1">
      <alignment horizontal="center" vertical="center"/>
    </xf>
    <xf numFmtId="44" fontId="11" fillId="0" borderId="17" xfId="0" applyNumberFormat="1" applyFont="1" applyBorder="1" applyAlignment="1">
      <alignment horizontal="center" vertical="center"/>
    </xf>
    <xf numFmtId="164" fontId="11" fillId="0" borderId="12" xfId="0" applyFont="1" applyBorder="1" applyAlignment="1">
      <alignment horizontal="center" vertical="center"/>
    </xf>
    <xf numFmtId="1" fontId="11" fillId="0" borderId="18" xfId="0" applyNumberFormat="1" applyFont="1" applyBorder="1" applyAlignment="1">
      <alignment horizontal="center" vertical="center"/>
    </xf>
    <xf numFmtId="164" fontId="12" fillId="0" borderId="18" xfId="0" applyFont="1" applyBorder="1" applyAlignment="1">
      <alignment vertical="center"/>
    </xf>
    <xf numFmtId="164" fontId="12" fillId="0" borderId="0" xfId="0" applyFont="1" applyAlignment="1">
      <alignment vertical="center"/>
    </xf>
    <xf numFmtId="164" fontId="11" fillId="0" borderId="25" xfId="0" applyFont="1" applyBorder="1" applyAlignment="1">
      <alignment vertical="center"/>
    </xf>
    <xf numFmtId="164" fontId="11" fillId="0" borderId="10" xfId="0" applyFont="1" applyBorder="1" applyAlignment="1">
      <alignment vertical="center"/>
    </xf>
    <xf numFmtId="164" fontId="11" fillId="6" borderId="10" xfId="0" applyFont="1" applyFill="1" applyBorder="1" applyAlignment="1">
      <alignment vertical="center"/>
    </xf>
    <xf numFmtId="164" fontId="12" fillId="7" borderId="9" xfId="0" applyFont="1" applyFill="1" applyBorder="1" applyAlignment="1">
      <alignment vertical="center"/>
    </xf>
    <xf numFmtId="44" fontId="12" fillId="7" borderId="10" xfId="0" applyNumberFormat="1" applyFont="1" applyFill="1" applyBorder="1" applyAlignment="1">
      <alignment horizontal="center" vertical="center"/>
    </xf>
    <xf numFmtId="10" fontId="12" fillId="7" borderId="10" xfId="0" applyNumberFormat="1" applyFont="1" applyFill="1" applyBorder="1" applyAlignment="1">
      <alignment horizontal="center" vertical="center"/>
    </xf>
    <xf numFmtId="44" fontId="12" fillId="7" borderId="11" xfId="0" applyNumberFormat="1" applyFont="1" applyFill="1" applyBorder="1" applyAlignment="1">
      <alignment horizontal="center" vertical="center"/>
    </xf>
    <xf numFmtId="164" fontId="12" fillId="7" borderId="12" xfId="0" applyFont="1" applyFill="1" applyBorder="1" applyAlignment="1">
      <alignment vertical="center"/>
    </xf>
    <xf numFmtId="44" fontId="12" fillId="7" borderId="18" xfId="0" applyNumberFormat="1" applyFont="1" applyFill="1" applyBorder="1" applyAlignment="1">
      <alignment horizontal="center" vertical="center"/>
    </xf>
    <xf numFmtId="10" fontId="12" fillId="7" borderId="18" xfId="0" applyNumberFormat="1" applyFont="1" applyFill="1" applyBorder="1" applyAlignment="1">
      <alignment horizontal="center" vertical="center"/>
    </xf>
    <xf numFmtId="44" fontId="12" fillId="7" borderId="13" xfId="0" applyNumberFormat="1" applyFont="1" applyFill="1" applyBorder="1" applyAlignment="1">
      <alignment horizontal="center" vertical="center"/>
    </xf>
    <xf numFmtId="165" fontId="11" fillId="0" borderId="0" xfId="0" applyNumberFormat="1" applyFont="1" applyAlignment="1">
      <alignment vertical="center"/>
    </xf>
    <xf numFmtId="44" fontId="11" fillId="0" borderId="25" xfId="0" applyNumberFormat="1" applyFont="1" applyBorder="1" applyAlignment="1">
      <alignment vertical="center"/>
    </xf>
    <xf numFmtId="164" fontId="11" fillId="0" borderId="5" xfId="0" applyFont="1" applyBorder="1" applyAlignment="1">
      <alignment vertical="center"/>
    </xf>
    <xf numFmtId="164" fontId="11" fillId="0" borderId="11" xfId="0" applyFont="1" applyBorder="1" applyAlignment="1">
      <alignment horizontal="center" vertical="center"/>
    </xf>
    <xf numFmtId="164" fontId="11" fillId="0" borderId="18" xfId="0" applyFont="1" applyBorder="1" applyAlignment="1">
      <alignment vertical="center"/>
    </xf>
    <xf numFmtId="164" fontId="11" fillId="7" borderId="12" xfId="0" applyFont="1" applyFill="1" applyBorder="1" applyAlignment="1">
      <alignment vertical="center"/>
    </xf>
    <xf numFmtId="44" fontId="11" fillId="7" borderId="18" xfId="0" applyNumberFormat="1" applyFont="1" applyFill="1" applyBorder="1" applyAlignment="1">
      <alignment horizontal="center" vertical="center"/>
    </xf>
    <xf numFmtId="10" fontId="11" fillId="7" borderId="18" xfId="0" applyNumberFormat="1" applyFont="1" applyFill="1" applyBorder="1" applyAlignment="1">
      <alignment horizontal="center" vertical="center"/>
    </xf>
    <xf numFmtId="44" fontId="11" fillId="7" borderId="13" xfId="0" applyNumberFormat="1" applyFont="1" applyFill="1" applyBorder="1" applyAlignment="1">
      <alignment horizontal="center" vertical="center"/>
    </xf>
    <xf numFmtId="165" fontId="11" fillId="0" borderId="18" xfId="0" applyNumberFormat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4" fontId="11" fillId="8" borderId="4" xfId="0" applyFont="1" applyFill="1" applyBorder="1" applyAlignment="1">
      <alignment horizontal="center"/>
    </xf>
    <xf numFmtId="164" fontId="11" fillId="8" borderId="37" xfId="0" applyFont="1" applyFill="1" applyBorder="1" applyAlignment="1">
      <alignment horizontal="center"/>
    </xf>
    <xf numFmtId="164" fontId="11" fillId="8" borderId="5" xfId="0" applyFont="1" applyFill="1" applyBorder="1" applyAlignment="1">
      <alignment horizontal="center"/>
    </xf>
    <xf numFmtId="164" fontId="11" fillId="0" borderId="0" xfId="0" applyFont="1" applyAlignment="1">
      <alignment horizontal="center"/>
    </xf>
    <xf numFmtId="44" fontId="11" fillId="5" borderId="4" xfId="0" applyNumberFormat="1" applyFont="1" applyFill="1" applyBorder="1" applyAlignment="1">
      <alignment horizontal="center"/>
    </xf>
    <xf numFmtId="44" fontId="11" fillId="5" borderId="38" xfId="0" applyNumberFormat="1" applyFont="1" applyFill="1" applyBorder="1" applyAlignment="1">
      <alignment horizontal="center"/>
    </xf>
    <xf numFmtId="44" fontId="11" fillId="5" borderId="25" xfId="0" applyNumberFormat="1" applyFont="1" applyFill="1" applyBorder="1" applyAlignment="1">
      <alignment horizontal="center"/>
    </xf>
    <xf numFmtId="10" fontId="11" fillId="5" borderId="5" xfId="0" applyNumberFormat="1" applyFont="1" applyFill="1" applyBorder="1" applyAlignment="1">
      <alignment horizontal="center"/>
    </xf>
    <xf numFmtId="44" fontId="11" fillId="0" borderId="0" xfId="0" applyNumberFormat="1" applyFont="1" applyAlignment="1">
      <alignment horizontal="center"/>
    </xf>
    <xf numFmtId="44" fontId="11" fillId="9" borderId="4" xfId="0" applyNumberFormat="1" applyFont="1" applyFill="1" applyBorder="1" applyAlignment="1">
      <alignment horizontal="center"/>
    </xf>
    <xf numFmtId="44" fontId="11" fillId="9" borderId="37" xfId="0" applyNumberFormat="1" applyFont="1" applyFill="1" applyBorder="1" applyAlignment="1">
      <alignment horizontal="center"/>
    </xf>
    <xf numFmtId="44" fontId="11" fillId="9" borderId="39" xfId="0" applyNumberFormat="1" applyFont="1" applyFill="1" applyBorder="1" applyAlignment="1">
      <alignment horizontal="center"/>
    </xf>
    <xf numFmtId="10" fontId="11" fillId="9" borderId="5" xfId="0" applyNumberFormat="1" applyFont="1" applyFill="1" applyBorder="1" applyAlignment="1">
      <alignment horizontal="center"/>
    </xf>
    <xf numFmtId="44" fontId="11" fillId="0" borderId="0" xfId="0" applyNumberFormat="1" applyFont="1"/>
    <xf numFmtId="44" fontId="11" fillId="10" borderId="4" xfId="0" applyNumberFormat="1" applyFont="1" applyFill="1" applyBorder="1" applyAlignment="1">
      <alignment horizontal="center"/>
    </xf>
    <xf numFmtId="44" fontId="11" fillId="10" borderId="37" xfId="0" applyNumberFormat="1" applyFont="1" applyFill="1" applyBorder="1" applyAlignment="1">
      <alignment horizontal="center"/>
    </xf>
    <xf numFmtId="44" fontId="11" fillId="10" borderId="5" xfId="0" applyNumberFormat="1" applyFont="1" applyFill="1" applyBorder="1" applyAlignment="1">
      <alignment horizontal="center"/>
    </xf>
    <xf numFmtId="16" fontId="11" fillId="8" borderId="9" xfId="0" applyNumberFormat="1" applyFont="1" applyFill="1" applyBorder="1" applyAlignment="1">
      <alignment horizontal="center"/>
    </xf>
    <xf numFmtId="1" fontId="11" fillId="8" borderId="40" xfId="0" applyNumberFormat="1" applyFont="1" applyFill="1" applyBorder="1" applyAlignment="1">
      <alignment horizontal="center"/>
    </xf>
    <xf numFmtId="1" fontId="11" fillId="8" borderId="11" xfId="0" applyNumberFormat="1" applyFont="1" applyFill="1" applyBorder="1" applyAlignment="1">
      <alignment horizontal="center"/>
    </xf>
    <xf numFmtId="44" fontId="11" fillId="5" borderId="9" xfId="0" applyNumberFormat="1" applyFont="1" applyFill="1" applyBorder="1"/>
    <xf numFmtId="44" fontId="11" fillId="5" borderId="41" xfId="0" applyNumberFormat="1" applyFont="1" applyFill="1" applyBorder="1"/>
    <xf numFmtId="44" fontId="11" fillId="5" borderId="10" xfId="0" applyNumberFormat="1" applyFont="1" applyFill="1" applyBorder="1"/>
    <xf numFmtId="10" fontId="11" fillId="5" borderId="11" xfId="0" applyNumberFormat="1" applyFont="1" applyFill="1" applyBorder="1" applyAlignment="1">
      <alignment horizontal="center"/>
    </xf>
    <xf numFmtId="44" fontId="11" fillId="9" borderId="9" xfId="0" applyNumberFormat="1" applyFont="1" applyFill="1" applyBorder="1" applyAlignment="1">
      <alignment horizontal="center"/>
    </xf>
    <xf numFmtId="44" fontId="11" fillId="9" borderId="40" xfId="0" applyNumberFormat="1" applyFont="1" applyFill="1" applyBorder="1" applyAlignment="1">
      <alignment horizontal="center"/>
    </xf>
    <xf numFmtId="44" fontId="11" fillId="9" borderId="42" xfId="0" applyNumberFormat="1" applyFont="1" applyFill="1" applyBorder="1"/>
    <xf numFmtId="10" fontId="11" fillId="9" borderId="11" xfId="0" applyNumberFormat="1" applyFont="1" applyFill="1" applyBorder="1" applyAlignment="1">
      <alignment horizontal="center"/>
    </xf>
    <xf numFmtId="44" fontId="11" fillId="10" borderId="9" xfId="0" applyNumberFormat="1" applyFont="1" applyFill="1" applyBorder="1"/>
    <xf numFmtId="44" fontId="11" fillId="10" borderId="40" xfId="0" applyNumberFormat="1" applyFont="1" applyFill="1" applyBorder="1"/>
    <xf numFmtId="44" fontId="11" fillId="10" borderId="11" xfId="0" applyNumberFormat="1" applyFont="1" applyFill="1" applyBorder="1"/>
    <xf numFmtId="16" fontId="11" fillId="8" borderId="9" xfId="0" quotePrefix="1" applyNumberFormat="1" applyFont="1" applyFill="1" applyBorder="1" applyAlignment="1">
      <alignment horizontal="center"/>
    </xf>
    <xf numFmtId="164" fontId="11" fillId="8" borderId="9" xfId="0" applyFont="1" applyFill="1" applyBorder="1" applyAlignment="1">
      <alignment horizontal="center"/>
    </xf>
    <xf numFmtId="10" fontId="11" fillId="10" borderId="11" xfId="0" applyNumberFormat="1" applyFont="1" applyFill="1" applyBorder="1" applyAlignment="1">
      <alignment horizontal="center"/>
    </xf>
    <xf numFmtId="44" fontId="11" fillId="11" borderId="4" xfId="0" applyNumberFormat="1" applyFont="1" applyFill="1" applyBorder="1" applyAlignment="1">
      <alignment horizontal="center"/>
    </xf>
    <xf numFmtId="44" fontId="11" fillId="11" borderId="38" xfId="0" applyNumberFormat="1" applyFont="1" applyFill="1" applyBorder="1" applyAlignment="1">
      <alignment horizontal="center"/>
    </xf>
    <xf numFmtId="44" fontId="11" fillId="11" borderId="25" xfId="0" applyNumberFormat="1" applyFont="1" applyFill="1" applyBorder="1" applyAlignment="1">
      <alignment horizontal="center"/>
    </xf>
    <xf numFmtId="10" fontId="11" fillId="11" borderId="5" xfId="0" applyNumberFormat="1" applyFont="1" applyFill="1" applyBorder="1" applyAlignment="1">
      <alignment horizontal="center"/>
    </xf>
    <xf numFmtId="44" fontId="11" fillId="12" borderId="4" xfId="0" applyNumberFormat="1" applyFont="1" applyFill="1" applyBorder="1" applyAlignment="1">
      <alignment horizontal="center"/>
    </xf>
    <xf numFmtId="44" fontId="11" fillId="12" borderId="38" xfId="0" applyNumberFormat="1" applyFont="1" applyFill="1" applyBorder="1" applyAlignment="1">
      <alignment horizontal="center"/>
    </xf>
    <xf numFmtId="44" fontId="11" fillId="12" borderId="25" xfId="0" applyNumberFormat="1" applyFont="1" applyFill="1" applyBorder="1" applyAlignment="1">
      <alignment horizontal="center"/>
    </xf>
    <xf numFmtId="10" fontId="11" fillId="12" borderId="5" xfId="0" applyNumberFormat="1" applyFont="1" applyFill="1" applyBorder="1" applyAlignment="1">
      <alignment horizontal="center"/>
    </xf>
    <xf numFmtId="44" fontId="11" fillId="13" borderId="4" xfId="0" applyNumberFormat="1" applyFont="1" applyFill="1" applyBorder="1" applyAlignment="1">
      <alignment horizontal="center"/>
    </xf>
    <xf numFmtId="44" fontId="11" fillId="13" borderId="37" xfId="0" applyNumberFormat="1" applyFont="1" applyFill="1" applyBorder="1" applyAlignment="1">
      <alignment horizontal="center"/>
    </xf>
    <xf numFmtId="44" fontId="11" fillId="13" borderId="5" xfId="0" applyNumberFormat="1" applyFont="1" applyFill="1" applyBorder="1" applyAlignment="1">
      <alignment horizontal="center"/>
    </xf>
    <xf numFmtId="44" fontId="11" fillId="11" borderId="9" xfId="0" applyNumberFormat="1" applyFont="1" applyFill="1" applyBorder="1"/>
    <xf numFmtId="44" fontId="11" fillId="11" borderId="41" xfId="0" applyNumberFormat="1" applyFont="1" applyFill="1" applyBorder="1"/>
    <xf numFmtId="44" fontId="11" fillId="11" borderId="10" xfId="0" applyNumberFormat="1" applyFont="1" applyFill="1" applyBorder="1"/>
    <xf numFmtId="10" fontId="11" fillId="11" borderId="11" xfId="0" applyNumberFormat="1" applyFont="1" applyFill="1" applyBorder="1" applyAlignment="1">
      <alignment horizontal="center"/>
    </xf>
    <xf numFmtId="44" fontId="11" fillId="12" borderId="9" xfId="0" applyNumberFormat="1" applyFont="1" applyFill="1" applyBorder="1"/>
    <xf numFmtId="44" fontId="11" fillId="12" borderId="41" xfId="0" applyNumberFormat="1" applyFont="1" applyFill="1" applyBorder="1"/>
    <xf numFmtId="44" fontId="11" fillId="12" borderId="10" xfId="0" applyNumberFormat="1" applyFont="1" applyFill="1" applyBorder="1"/>
    <xf numFmtId="10" fontId="11" fillId="12" borderId="11" xfId="0" applyNumberFormat="1" applyFont="1" applyFill="1" applyBorder="1" applyAlignment="1">
      <alignment horizontal="center"/>
    </xf>
    <xf numFmtId="44" fontId="11" fillId="13" borderId="9" xfId="0" applyNumberFormat="1" applyFont="1" applyFill="1" applyBorder="1"/>
    <xf numFmtId="44" fontId="11" fillId="13" borderId="40" xfId="0" applyNumberFormat="1" applyFont="1" applyFill="1" applyBorder="1"/>
    <xf numFmtId="44" fontId="11" fillId="13" borderId="11" xfId="0" applyNumberFormat="1" applyFont="1" applyFill="1" applyBorder="1"/>
    <xf numFmtId="164" fontId="11" fillId="5" borderId="43" xfId="0" applyFont="1" applyFill="1" applyBorder="1"/>
    <xf numFmtId="1" fontId="11" fillId="5" borderId="43" xfId="0" applyNumberFormat="1" applyFont="1" applyFill="1" applyBorder="1"/>
    <xf numFmtId="16" fontId="11" fillId="5" borderId="43" xfId="0" applyNumberFormat="1" applyFont="1" applyFill="1" applyBorder="1" applyAlignment="1">
      <alignment horizontal="left" vertical="center"/>
    </xf>
    <xf numFmtId="16" fontId="11" fillId="5" borderId="43" xfId="0" applyNumberFormat="1" applyFont="1" applyFill="1" applyBorder="1" applyAlignment="1">
      <alignment horizontal="center" vertical="center"/>
    </xf>
    <xf numFmtId="164" fontId="12" fillId="5" borderId="10" xfId="0" applyFont="1" applyFill="1" applyBorder="1" applyAlignment="1">
      <alignment horizontal="center"/>
    </xf>
    <xf numFmtId="10" fontId="12" fillId="5" borderId="10" xfId="0" applyNumberFormat="1" applyFont="1" applyFill="1" applyBorder="1" applyAlignment="1">
      <alignment horizontal="center"/>
    </xf>
    <xf numFmtId="14" fontId="11" fillId="9" borderId="10" xfId="0" applyNumberFormat="1" applyFont="1" applyFill="1" applyBorder="1"/>
    <xf numFmtId="14" fontId="11" fillId="11" borderId="10" xfId="0" applyNumberFormat="1" applyFont="1" applyFill="1" applyBorder="1"/>
    <xf numFmtId="14" fontId="11" fillId="14" borderId="10" xfId="0" applyNumberFormat="1" applyFont="1" applyFill="1" applyBorder="1"/>
    <xf numFmtId="14" fontId="11" fillId="12" borderId="10" xfId="0" applyNumberFormat="1" applyFont="1" applyFill="1" applyBorder="1"/>
    <xf numFmtId="14" fontId="11" fillId="10" borderId="10" xfId="0" applyNumberFormat="1" applyFont="1" applyFill="1" applyBorder="1"/>
    <xf numFmtId="14" fontId="11" fillId="13" borderId="10" xfId="0" applyNumberFormat="1" applyFont="1" applyFill="1" applyBorder="1"/>
    <xf numFmtId="14" fontId="11" fillId="15" borderId="10" xfId="0" applyNumberFormat="1" applyFont="1" applyFill="1" applyBorder="1"/>
    <xf numFmtId="14" fontId="11" fillId="8" borderId="10" xfId="0" applyNumberFormat="1" applyFont="1" applyFill="1" applyBorder="1"/>
    <xf numFmtId="1" fontId="11" fillId="5" borderId="10" xfId="0" applyNumberFormat="1" applyFont="1" applyFill="1" applyBorder="1" applyAlignment="1">
      <alignment horizontal="center"/>
    </xf>
    <xf numFmtId="16" fontId="11" fillId="5" borderId="42" xfId="0" applyNumberFormat="1" applyFont="1" applyFill="1" applyBorder="1" applyAlignment="1">
      <alignment horizontal="left" vertical="center"/>
    </xf>
    <xf numFmtId="16" fontId="11" fillId="5" borderId="42" xfId="0" applyNumberFormat="1" applyFont="1" applyFill="1" applyBorder="1" applyAlignment="1">
      <alignment horizontal="center" vertical="center"/>
    </xf>
    <xf numFmtId="164" fontId="11" fillId="9" borderId="10" xfId="0" applyFont="1" applyFill="1" applyBorder="1" applyAlignment="1">
      <alignment horizontal="center"/>
    </xf>
    <xf numFmtId="164" fontId="11" fillId="11" borderId="10" xfId="0" applyFont="1" applyFill="1" applyBorder="1" applyAlignment="1">
      <alignment horizontal="center"/>
    </xf>
    <xf numFmtId="164" fontId="11" fillId="14" borderId="10" xfId="0" applyFont="1" applyFill="1" applyBorder="1" applyAlignment="1">
      <alignment horizontal="center"/>
    </xf>
    <xf numFmtId="164" fontId="11" fillId="12" borderId="10" xfId="0" applyFont="1" applyFill="1" applyBorder="1" applyAlignment="1">
      <alignment horizontal="center"/>
    </xf>
    <xf numFmtId="164" fontId="11" fillId="10" borderId="10" xfId="0" applyFont="1" applyFill="1" applyBorder="1" applyAlignment="1">
      <alignment horizontal="center"/>
    </xf>
    <xf numFmtId="164" fontId="11" fillId="13" borderId="10" xfId="0" applyFont="1" applyFill="1" applyBorder="1" applyAlignment="1">
      <alignment horizontal="center"/>
    </xf>
    <xf numFmtId="164" fontId="11" fillId="15" borderId="10" xfId="0" applyFont="1" applyFill="1" applyBorder="1" applyAlignment="1">
      <alignment horizontal="center"/>
    </xf>
    <xf numFmtId="164" fontId="11" fillId="8" borderId="10" xfId="0" applyFont="1" applyFill="1" applyBorder="1" applyAlignment="1">
      <alignment horizontal="center"/>
    </xf>
    <xf numFmtId="164" fontId="11" fillId="5" borderId="42" xfId="0" applyFont="1" applyFill="1" applyBorder="1" applyAlignment="1">
      <alignment horizontal="left" vertical="center"/>
    </xf>
    <xf numFmtId="164" fontId="11" fillId="5" borderId="42" xfId="0" applyFont="1" applyFill="1" applyBorder="1" applyAlignment="1">
      <alignment horizontal="center" vertical="center"/>
    </xf>
    <xf numFmtId="44" fontId="12" fillId="5" borderId="10" xfId="0" applyNumberFormat="1" applyFont="1" applyFill="1" applyBorder="1" applyAlignment="1">
      <alignment horizontal="center"/>
    </xf>
    <xf numFmtId="10" fontId="12" fillId="5" borderId="42" xfId="0" applyNumberFormat="1" applyFont="1" applyFill="1" applyBorder="1" applyAlignment="1">
      <alignment horizontal="center"/>
    </xf>
    <xf numFmtId="44" fontId="11" fillId="9" borderId="10" xfId="0" applyNumberFormat="1" applyFont="1" applyFill="1" applyBorder="1"/>
    <xf numFmtId="164" fontId="11" fillId="9" borderId="10" xfId="0" applyFont="1" applyFill="1" applyBorder="1"/>
    <xf numFmtId="164" fontId="11" fillId="11" borderId="10" xfId="0" applyFont="1" applyFill="1" applyBorder="1"/>
    <xf numFmtId="44" fontId="11" fillId="14" borderId="10" xfId="0" applyNumberFormat="1" applyFont="1" applyFill="1" applyBorder="1"/>
    <xf numFmtId="164" fontId="11" fillId="14" borderId="10" xfId="0" applyFont="1" applyFill="1" applyBorder="1"/>
    <xf numFmtId="164" fontId="11" fillId="12" borderId="10" xfId="0" applyFont="1" applyFill="1" applyBorder="1"/>
    <xf numFmtId="44" fontId="11" fillId="10" borderId="10" xfId="0" applyNumberFormat="1" applyFont="1" applyFill="1" applyBorder="1"/>
    <xf numFmtId="164" fontId="11" fillId="10" borderId="10" xfId="0" applyFont="1" applyFill="1" applyBorder="1"/>
    <xf numFmtId="44" fontId="11" fillId="13" borderId="10" xfId="0" applyNumberFormat="1" applyFont="1" applyFill="1" applyBorder="1"/>
    <xf numFmtId="164" fontId="11" fillId="13" borderId="10" xfId="0" applyFont="1" applyFill="1" applyBorder="1"/>
    <xf numFmtId="44" fontId="11" fillId="15" borderId="10" xfId="0" applyNumberFormat="1" applyFont="1" applyFill="1" applyBorder="1"/>
    <xf numFmtId="164" fontId="11" fillId="15" borderId="10" xfId="0" applyFont="1" applyFill="1" applyBorder="1"/>
    <xf numFmtId="44" fontId="11" fillId="8" borderId="10" xfId="0" applyNumberFormat="1" applyFont="1" applyFill="1" applyBorder="1"/>
    <xf numFmtId="164" fontId="11" fillId="8" borderId="10" xfId="0" applyFont="1" applyFill="1" applyBorder="1"/>
    <xf numFmtId="164" fontId="11" fillId="5" borderId="10" xfId="0" applyFont="1" applyFill="1" applyBorder="1" applyAlignment="1">
      <alignment horizontal="center"/>
    </xf>
    <xf numFmtId="10" fontId="11" fillId="5" borderId="10" xfId="0" applyNumberFormat="1" applyFont="1" applyFill="1" applyBorder="1" applyAlignment="1">
      <alignment horizontal="center"/>
    </xf>
    <xf numFmtId="44" fontId="11" fillId="5" borderId="10" xfId="0" applyNumberFormat="1" applyFont="1" applyFill="1" applyBorder="1" applyAlignment="1">
      <alignment horizontal="center"/>
    </xf>
    <xf numFmtId="164" fontId="11" fillId="5" borderId="10" xfId="0" applyFont="1" applyFill="1" applyBorder="1" applyAlignment="1">
      <alignment horizontal="left" vertical="center"/>
    </xf>
    <xf numFmtId="44" fontId="11" fillId="5" borderId="42" xfId="0" applyNumberFormat="1" applyFont="1" applyFill="1" applyBorder="1" applyAlignment="1">
      <alignment horizontal="center" vertical="center"/>
    </xf>
    <xf numFmtId="44" fontId="12" fillId="5" borderId="42" xfId="0" applyNumberFormat="1" applyFont="1" applyFill="1" applyBorder="1" applyAlignment="1">
      <alignment horizontal="center"/>
    </xf>
    <xf numFmtId="164" fontId="12" fillId="5" borderId="42" xfId="0" applyFont="1" applyFill="1" applyBorder="1" applyAlignment="1">
      <alignment horizontal="center"/>
    </xf>
    <xf numFmtId="44" fontId="11" fillId="5" borderId="10" xfId="0" applyNumberFormat="1" applyFont="1" applyFill="1" applyBorder="1" applyAlignment="1">
      <alignment horizontal="center" vertical="center"/>
    </xf>
    <xf numFmtId="44" fontId="11" fillId="5" borderId="10" xfId="0" applyNumberFormat="1" applyFont="1" applyFill="1" applyBorder="1" applyAlignment="1">
      <alignment horizontal="left" vertical="center"/>
    </xf>
    <xf numFmtId="1" fontId="11" fillId="0" borderId="0" xfId="0" applyNumberFormat="1" applyFont="1" applyAlignment="1">
      <alignment horizontal="center"/>
    </xf>
    <xf numFmtId="164" fontId="11" fillId="0" borderId="0" xfId="0" applyFont="1" applyAlignment="1">
      <alignment horizontal="left" vertical="center"/>
    </xf>
    <xf numFmtId="164" fontId="11" fillId="0" borderId="0" xfId="0" applyFont="1"/>
    <xf numFmtId="10" fontId="11" fillId="0" borderId="0" xfId="0" applyNumberFormat="1" applyFont="1" applyAlignment="1">
      <alignment horizontal="center"/>
    </xf>
    <xf numFmtId="44" fontId="12" fillId="5" borderId="10" xfId="0" applyNumberFormat="1" applyFont="1" applyFill="1" applyBorder="1"/>
    <xf numFmtId="14" fontId="13" fillId="0" borderId="10" xfId="0" applyNumberFormat="1" applyFont="1" applyBorder="1"/>
    <xf numFmtId="164" fontId="13" fillId="0" borderId="10" xfId="0" applyFont="1" applyBorder="1"/>
    <xf numFmtId="165" fontId="13" fillId="0" borderId="10" xfId="0" applyNumberFormat="1" applyFont="1" applyBorder="1" applyAlignment="1">
      <alignment horizontal="left"/>
    </xf>
    <xf numFmtId="164" fontId="13" fillId="0" borderId="0" xfId="0" applyFont="1"/>
    <xf numFmtId="1" fontId="13" fillId="10" borderId="10" xfId="0" applyNumberFormat="1" applyFont="1" applyFill="1" applyBorder="1" applyAlignment="1">
      <alignment horizontal="center"/>
    </xf>
    <xf numFmtId="44" fontId="13" fillId="10" borderId="10" xfId="0" applyNumberFormat="1" applyFont="1" applyFill="1" applyBorder="1"/>
    <xf numFmtId="164" fontId="13" fillId="13" borderId="10" xfId="0" applyFont="1" applyFill="1" applyBorder="1"/>
    <xf numFmtId="44" fontId="13" fillId="13" borderId="10" xfId="0" applyNumberFormat="1" applyFont="1" applyFill="1" applyBorder="1"/>
    <xf numFmtId="164" fontId="13" fillId="15" borderId="10" xfId="0" applyFont="1" applyFill="1" applyBorder="1"/>
    <xf numFmtId="44" fontId="13" fillId="15" borderId="10" xfId="0" applyNumberFormat="1" applyFont="1" applyFill="1" applyBorder="1"/>
    <xf numFmtId="164" fontId="13" fillId="8" borderId="10" xfId="0" applyFont="1" applyFill="1" applyBorder="1"/>
    <xf numFmtId="44" fontId="13" fillId="8" borderId="10" xfId="0" applyNumberFormat="1" applyFont="1" applyFill="1" applyBorder="1"/>
    <xf numFmtId="164" fontId="13" fillId="9" borderId="10" xfId="0" applyFont="1" applyFill="1" applyBorder="1"/>
    <xf numFmtId="44" fontId="13" fillId="9" borderId="10" xfId="0" applyNumberFormat="1" applyFont="1" applyFill="1" applyBorder="1"/>
    <xf numFmtId="1" fontId="13" fillId="0" borderId="10" xfId="0" applyNumberFormat="1" applyFont="1" applyBorder="1"/>
    <xf numFmtId="2" fontId="13" fillId="0" borderId="10" xfId="0" applyNumberFormat="1" applyFont="1" applyBorder="1"/>
    <xf numFmtId="1" fontId="13" fillId="10" borderId="10" xfId="0" applyNumberFormat="1" applyFont="1" applyFill="1" applyBorder="1"/>
    <xf numFmtId="164" fontId="13" fillId="12" borderId="10" xfId="0" applyFont="1" applyFill="1" applyBorder="1"/>
    <xf numFmtId="44" fontId="13" fillId="12" borderId="10" xfId="0" applyNumberFormat="1" applyFont="1" applyFill="1" applyBorder="1"/>
    <xf numFmtId="1" fontId="13" fillId="10" borderId="43" xfId="0" applyNumberFormat="1" applyFont="1" applyFill="1" applyBorder="1"/>
    <xf numFmtId="44" fontId="13" fillId="10" borderId="43" xfId="0" applyNumberFormat="1" applyFont="1" applyFill="1" applyBorder="1"/>
    <xf numFmtId="164" fontId="13" fillId="13" borderId="43" xfId="0" applyFont="1" applyFill="1" applyBorder="1"/>
    <xf numFmtId="44" fontId="13" fillId="13" borderId="43" xfId="0" applyNumberFormat="1" applyFont="1" applyFill="1" applyBorder="1"/>
    <xf numFmtId="164" fontId="13" fillId="15" borderId="43" xfId="0" applyFont="1" applyFill="1" applyBorder="1"/>
    <xf numFmtId="44" fontId="13" fillId="15" borderId="43" xfId="0" applyNumberFormat="1" applyFont="1" applyFill="1" applyBorder="1"/>
    <xf numFmtId="164" fontId="13" fillId="8" borderId="43" xfId="0" applyFont="1" applyFill="1" applyBorder="1"/>
    <xf numFmtId="44" fontId="13" fillId="8" borderId="43" xfId="0" applyNumberFormat="1" applyFont="1" applyFill="1" applyBorder="1"/>
    <xf numFmtId="164" fontId="13" fillId="12" borderId="43" xfId="0" applyFont="1" applyFill="1" applyBorder="1"/>
    <xf numFmtId="44" fontId="13" fillId="12" borderId="43" xfId="0" applyNumberFormat="1" applyFont="1" applyFill="1" applyBorder="1"/>
    <xf numFmtId="164" fontId="13" fillId="9" borderId="43" xfId="0" applyFont="1" applyFill="1" applyBorder="1"/>
    <xf numFmtId="44" fontId="13" fillId="9" borderId="43" xfId="0" applyNumberFormat="1" applyFont="1" applyFill="1" applyBorder="1"/>
    <xf numFmtId="164" fontId="13" fillId="0" borderId="10" xfId="0" applyFont="1" applyBorder="1" applyAlignment="1">
      <alignment horizontal="center"/>
    </xf>
    <xf numFmtId="1" fontId="13" fillId="0" borderId="10" xfId="0" applyNumberFormat="1" applyFont="1" applyBorder="1" applyAlignment="1">
      <alignment horizontal="center"/>
    </xf>
    <xf numFmtId="44" fontId="13" fillId="0" borderId="24" xfId="0" applyNumberFormat="1" applyFont="1" applyBorder="1" applyAlignment="1">
      <alignment horizontal="center"/>
    </xf>
    <xf numFmtId="44" fontId="13" fillId="0" borderId="10" xfId="0" applyNumberFormat="1" applyFont="1" applyBorder="1" applyAlignment="1">
      <alignment horizontal="center"/>
    </xf>
    <xf numFmtId="165" fontId="13" fillId="0" borderId="10" xfId="0" applyNumberFormat="1" applyFont="1" applyBorder="1"/>
    <xf numFmtId="14" fontId="13" fillId="0" borderId="0" xfId="0" applyNumberFormat="1" applyFont="1"/>
    <xf numFmtId="1" fontId="13" fillId="0" borderId="0" xfId="0" applyNumberFormat="1" applyFont="1" applyAlignment="1">
      <alignment horizontal="center"/>
    </xf>
    <xf numFmtId="44" fontId="13" fillId="0" borderId="0" xfId="0" applyNumberFormat="1" applyFont="1"/>
    <xf numFmtId="164" fontId="13" fillId="16" borderId="10" xfId="0" applyFont="1" applyFill="1" applyBorder="1"/>
    <xf numFmtId="14" fontId="11" fillId="5" borderId="10" xfId="0" applyNumberFormat="1" applyFont="1" applyFill="1" applyBorder="1" applyAlignment="1">
      <alignment horizontal="center"/>
    </xf>
    <xf numFmtId="164" fontId="11" fillId="5" borderId="42" xfId="0" applyFont="1" applyFill="1" applyBorder="1" applyAlignment="1">
      <alignment horizontal="center"/>
    </xf>
    <xf numFmtId="164" fontId="11" fillId="5" borderId="10" xfId="0" applyFont="1" applyFill="1" applyBorder="1"/>
    <xf numFmtId="165" fontId="11" fillId="5" borderId="10" xfId="0" applyNumberFormat="1" applyFont="1" applyFill="1" applyBorder="1" applyAlignment="1">
      <alignment horizontal="center"/>
    </xf>
    <xf numFmtId="165" fontId="11" fillId="4" borderId="41" xfId="0" applyNumberFormat="1" applyFont="1" applyFill="1" applyBorder="1" applyAlignment="1">
      <alignment horizontal="center"/>
    </xf>
    <xf numFmtId="165" fontId="11" fillId="4" borderId="10" xfId="0" applyNumberFormat="1" applyFont="1" applyFill="1" applyBorder="1" applyAlignment="1">
      <alignment horizontal="center"/>
    </xf>
    <xf numFmtId="165" fontId="11" fillId="14" borderId="42" xfId="0" applyNumberFormat="1" applyFont="1" applyFill="1" applyBorder="1" applyAlignment="1">
      <alignment horizontal="center"/>
    </xf>
    <xf numFmtId="165" fontId="11" fillId="14" borderId="10" xfId="0" applyNumberFormat="1" applyFont="1" applyFill="1" applyBorder="1" applyAlignment="1">
      <alignment horizontal="center"/>
    </xf>
    <xf numFmtId="165" fontId="11" fillId="4" borderId="42" xfId="0" applyNumberFormat="1" applyFont="1" applyFill="1" applyBorder="1" applyAlignment="1">
      <alignment horizontal="center"/>
    </xf>
    <xf numFmtId="165" fontId="11" fillId="5" borderId="42" xfId="0" applyNumberFormat="1" applyFont="1" applyFill="1" applyBorder="1" applyAlignment="1">
      <alignment horizontal="center"/>
    </xf>
    <xf numFmtId="164" fontId="11" fillId="5" borderId="10" xfId="0" applyFont="1" applyFill="1" applyBorder="1" applyAlignment="1">
      <alignment horizontal="left"/>
    </xf>
    <xf numFmtId="14" fontId="6" fillId="17" borderId="4" xfId="0" applyNumberFormat="1" applyFont="1" applyFill="1" applyBorder="1" applyAlignment="1">
      <alignment horizontal="left"/>
    </xf>
    <xf numFmtId="165" fontId="6" fillId="17" borderId="39" xfId="0" applyNumberFormat="1" applyFont="1" applyFill="1" applyBorder="1" applyAlignment="1">
      <alignment horizontal="center"/>
    </xf>
    <xf numFmtId="165" fontId="6" fillId="17" borderId="4" xfId="0" applyNumberFormat="1" applyFont="1" applyFill="1" applyBorder="1"/>
    <xf numFmtId="165" fontId="6" fillId="7" borderId="39" xfId="0" applyNumberFormat="1" applyFont="1" applyFill="1" applyBorder="1" applyAlignment="1">
      <alignment horizontal="center"/>
    </xf>
    <xf numFmtId="165" fontId="6" fillId="17" borderId="4" xfId="0" applyNumberFormat="1" applyFont="1" applyFill="1" applyBorder="1" applyAlignment="1">
      <alignment horizontal="center"/>
    </xf>
    <xf numFmtId="165" fontId="6" fillId="17" borderId="25" xfId="0" applyNumberFormat="1" applyFont="1" applyFill="1" applyBorder="1" applyAlignment="1">
      <alignment horizontal="center"/>
    </xf>
    <xf numFmtId="14" fontId="6" fillId="17" borderId="9" xfId="0" applyNumberFormat="1" applyFont="1" applyFill="1" applyBorder="1" applyAlignment="1">
      <alignment horizontal="left"/>
    </xf>
    <xf numFmtId="166" fontId="6" fillId="7" borderId="42" xfId="0" applyNumberFormat="1" applyFont="1" applyFill="1" applyBorder="1" applyAlignment="1">
      <alignment horizontal="center"/>
    </xf>
    <xf numFmtId="165" fontId="6" fillId="17" borderId="9" xfId="0" applyNumberFormat="1" applyFont="1" applyFill="1" applyBorder="1"/>
    <xf numFmtId="165" fontId="6" fillId="7" borderId="42" xfId="0" applyNumberFormat="1" applyFont="1" applyFill="1" applyBorder="1" applyAlignment="1">
      <alignment horizontal="center"/>
    </xf>
    <xf numFmtId="165" fontId="6" fillId="17" borderId="9" xfId="0" applyNumberFormat="1" applyFont="1" applyFill="1" applyBorder="1" applyAlignment="1">
      <alignment horizontal="center"/>
    </xf>
    <xf numFmtId="165" fontId="6" fillId="7" borderId="10" xfId="0" applyNumberFormat="1" applyFont="1" applyFill="1" applyBorder="1" applyAlignment="1">
      <alignment horizontal="center"/>
    </xf>
    <xf numFmtId="164" fontId="6" fillId="17" borderId="9" xfId="0" applyFont="1" applyFill="1" applyBorder="1" applyAlignment="1">
      <alignment horizontal="center"/>
    </xf>
    <xf numFmtId="165" fontId="6" fillId="17" borderId="10" xfId="0" applyNumberFormat="1" applyFont="1" applyFill="1" applyBorder="1" applyAlignment="1">
      <alignment horizontal="center"/>
    </xf>
    <xf numFmtId="165" fontId="6" fillId="17" borderId="42" xfId="0" applyNumberFormat="1" applyFont="1" applyFill="1" applyBorder="1" applyAlignment="1">
      <alignment horizontal="center"/>
    </xf>
    <xf numFmtId="10" fontId="6" fillId="12" borderId="11" xfId="0" applyNumberFormat="1" applyFont="1" applyFill="1" applyBorder="1" applyAlignment="1">
      <alignment horizontal="center"/>
    </xf>
    <xf numFmtId="14" fontId="6" fillId="17" borderId="12" xfId="0" applyNumberFormat="1" applyFont="1" applyFill="1" applyBorder="1" applyAlignment="1">
      <alignment horizontal="left"/>
    </xf>
    <xf numFmtId="165" fontId="6" fillId="17" borderId="46" xfId="0" applyNumberFormat="1" applyFont="1" applyFill="1" applyBorder="1" applyAlignment="1">
      <alignment horizontal="center"/>
    </xf>
    <xf numFmtId="165" fontId="6" fillId="17" borderId="12" xfId="0" applyNumberFormat="1" applyFont="1" applyFill="1" applyBorder="1"/>
    <xf numFmtId="165" fontId="6" fillId="7" borderId="46" xfId="0" applyNumberFormat="1" applyFont="1" applyFill="1" applyBorder="1" applyAlignment="1">
      <alignment horizontal="center"/>
    </xf>
    <xf numFmtId="165" fontId="6" fillId="17" borderId="12" xfId="0" applyNumberFormat="1" applyFont="1" applyFill="1" applyBorder="1" applyAlignment="1">
      <alignment horizontal="center"/>
    </xf>
    <xf numFmtId="165" fontId="6" fillId="7" borderId="18" xfId="0" applyNumberFormat="1" applyFont="1" applyFill="1" applyBorder="1" applyAlignment="1">
      <alignment horizontal="center"/>
    </xf>
    <xf numFmtId="164" fontId="6" fillId="17" borderId="12" xfId="0" applyFont="1" applyFill="1" applyBorder="1" applyAlignment="1">
      <alignment horizontal="center"/>
    </xf>
    <xf numFmtId="165" fontId="6" fillId="17" borderId="18" xfId="0" applyNumberFormat="1" applyFont="1" applyFill="1" applyBorder="1" applyAlignment="1">
      <alignment horizontal="center"/>
    </xf>
    <xf numFmtId="165" fontId="6" fillId="12" borderId="13" xfId="0" applyNumberFormat="1" applyFont="1" applyFill="1" applyBorder="1" applyAlignment="1">
      <alignment horizontal="center"/>
    </xf>
    <xf numFmtId="14" fontId="6" fillId="0" borderId="0" xfId="0" applyNumberFormat="1" applyFont="1" applyAlignment="1">
      <alignment horizontal="left"/>
    </xf>
    <xf numFmtId="164" fontId="6" fillId="17" borderId="25" xfId="0" applyFont="1" applyFill="1" applyBorder="1" applyAlignment="1">
      <alignment horizontal="center"/>
    </xf>
    <xf numFmtId="165" fontId="6" fillId="8" borderId="4" xfId="0" applyNumberFormat="1" applyFont="1" applyFill="1" applyBorder="1" applyAlignment="1">
      <alignment horizontal="center"/>
    </xf>
    <xf numFmtId="165" fontId="6" fillId="8" borderId="5" xfId="0" applyNumberFormat="1" applyFont="1" applyFill="1" applyBorder="1" applyAlignment="1">
      <alignment horizontal="center"/>
    </xf>
    <xf numFmtId="164" fontId="6" fillId="17" borderId="4" xfId="0" applyFont="1" applyFill="1" applyBorder="1"/>
    <xf numFmtId="165" fontId="6" fillId="17" borderId="5" xfId="0" applyNumberFormat="1" applyFont="1" applyFill="1" applyBorder="1" applyAlignment="1">
      <alignment horizontal="center"/>
    </xf>
    <xf numFmtId="167" fontId="6" fillId="7" borderId="10" xfId="0" applyNumberFormat="1" applyFont="1" applyFill="1" applyBorder="1" applyAlignment="1">
      <alignment horizontal="center"/>
    </xf>
    <xf numFmtId="2" fontId="6" fillId="17" borderId="10" xfId="0" applyNumberFormat="1" applyFont="1" applyFill="1" applyBorder="1" applyAlignment="1">
      <alignment horizontal="center"/>
    </xf>
    <xf numFmtId="14" fontId="6" fillId="17" borderId="10" xfId="0" applyNumberFormat="1" applyFont="1" applyFill="1" applyBorder="1" applyAlignment="1">
      <alignment horizontal="center"/>
    </xf>
    <xf numFmtId="2" fontId="6" fillId="17" borderId="42" xfId="0" applyNumberFormat="1" applyFont="1" applyFill="1" applyBorder="1" applyAlignment="1">
      <alignment horizontal="center"/>
    </xf>
    <xf numFmtId="14" fontId="6" fillId="8" borderId="9" xfId="0" applyNumberFormat="1" applyFont="1" applyFill="1" applyBorder="1" applyAlignment="1">
      <alignment horizontal="center"/>
    </xf>
    <xf numFmtId="2" fontId="6" fillId="8" borderId="11" xfId="0" applyNumberFormat="1" applyFont="1" applyFill="1" applyBorder="1" applyAlignment="1">
      <alignment horizontal="center"/>
    </xf>
    <xf numFmtId="164" fontId="6" fillId="17" borderId="9" xfId="0" applyFont="1" applyFill="1" applyBorder="1"/>
    <xf numFmtId="165" fontId="6" fillId="17" borderId="11" xfId="0" applyNumberFormat="1" applyFont="1" applyFill="1" applyBorder="1" applyAlignment="1">
      <alignment horizontal="center"/>
    </xf>
    <xf numFmtId="167" fontId="6" fillId="7" borderId="18" xfId="0" applyNumberFormat="1" applyFont="1" applyFill="1" applyBorder="1" applyAlignment="1">
      <alignment horizontal="center"/>
    </xf>
    <xf numFmtId="2" fontId="6" fillId="17" borderId="18" xfId="0" applyNumberFormat="1" applyFont="1" applyFill="1" applyBorder="1" applyAlignment="1">
      <alignment horizontal="center"/>
    </xf>
    <xf numFmtId="14" fontId="6" fillId="17" borderId="18" xfId="0" applyNumberFormat="1" applyFont="1" applyFill="1" applyBorder="1" applyAlignment="1">
      <alignment horizontal="center"/>
    </xf>
    <xf numFmtId="2" fontId="6" fillId="17" borderId="46" xfId="0" applyNumberFormat="1" applyFont="1" applyFill="1" applyBorder="1" applyAlignment="1">
      <alignment horizontal="center"/>
    </xf>
    <xf numFmtId="14" fontId="6" fillId="8" borderId="12" xfId="0" applyNumberFormat="1" applyFont="1" applyFill="1" applyBorder="1" applyAlignment="1">
      <alignment horizontal="center"/>
    </xf>
    <xf numFmtId="2" fontId="6" fillId="8" borderId="13" xfId="0" applyNumberFormat="1" applyFont="1" applyFill="1" applyBorder="1" applyAlignment="1">
      <alignment horizontal="center"/>
    </xf>
    <xf numFmtId="10" fontId="6" fillId="7" borderId="12" xfId="0" applyNumberFormat="1" applyFont="1" applyFill="1" applyBorder="1" applyAlignment="1">
      <alignment horizontal="center"/>
    </xf>
    <xf numFmtId="10" fontId="6" fillId="7" borderId="13" xfId="0" applyNumberFormat="1" applyFont="1" applyFill="1" applyBorder="1" applyAlignment="1">
      <alignment horizontal="center"/>
    </xf>
    <xf numFmtId="164" fontId="6" fillId="17" borderId="12" xfId="0" applyFont="1" applyFill="1" applyBorder="1"/>
    <xf numFmtId="165" fontId="6" fillId="17" borderId="13" xfId="0" applyNumberFormat="1" applyFont="1" applyFill="1" applyBorder="1" applyAlignment="1">
      <alignment horizontal="center"/>
    </xf>
    <xf numFmtId="2" fontId="6" fillId="0" borderId="0" xfId="0" applyNumberFormat="1" applyFont="1" applyAlignment="1">
      <alignment horizontal="center"/>
    </xf>
    <xf numFmtId="8" fontId="11" fillId="5" borderId="10" xfId="0" applyNumberFormat="1" applyFont="1" applyFill="1" applyBorder="1" applyAlignment="1">
      <alignment horizontal="center"/>
    </xf>
    <xf numFmtId="8" fontId="1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2" fontId="11" fillId="5" borderId="10" xfId="0" applyNumberFormat="1" applyFont="1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1" fontId="11" fillId="0" borderId="0" xfId="0" applyNumberFormat="1" applyFont="1"/>
    <xf numFmtId="14" fontId="11" fillId="0" borderId="0" xfId="0" applyNumberFormat="1" applyFont="1"/>
    <xf numFmtId="8" fontId="11" fillId="0" borderId="0" xfId="0" applyNumberFormat="1" applyFont="1"/>
    <xf numFmtId="1" fontId="11" fillId="17" borderId="10" xfId="0" applyNumberFormat="1" applyFont="1" applyFill="1" applyBorder="1" applyAlignment="1">
      <alignment horizontal="center"/>
    </xf>
    <xf numFmtId="8" fontId="11" fillId="14" borderId="10" xfId="0" applyNumberFormat="1" applyFont="1" applyFill="1" applyBorder="1" applyAlignment="1">
      <alignment horizontal="center"/>
    </xf>
    <xf numFmtId="8" fontId="11" fillId="3" borderId="10" xfId="0" applyNumberFormat="1" applyFont="1" applyFill="1" applyBorder="1" applyAlignment="1">
      <alignment horizontal="center"/>
    </xf>
    <xf numFmtId="1" fontId="11" fillId="0" borderId="10" xfId="0" applyNumberFormat="1" applyFont="1" applyBorder="1" applyAlignment="1">
      <alignment horizontal="center"/>
    </xf>
    <xf numFmtId="14" fontId="11" fillId="0" borderId="10" xfId="0" applyNumberFormat="1" applyFont="1" applyBorder="1"/>
    <xf numFmtId="10" fontId="11" fillId="14" borderId="10" xfId="0" applyNumberFormat="1" applyFont="1" applyFill="1" applyBorder="1" applyAlignment="1">
      <alignment horizontal="center"/>
    </xf>
    <xf numFmtId="10" fontId="11" fillId="3" borderId="10" xfId="0" applyNumberFormat="1" applyFont="1" applyFill="1" applyBorder="1" applyAlignment="1">
      <alignment horizontal="center"/>
    </xf>
    <xf numFmtId="14" fontId="11" fillId="0" borderId="30" xfId="0" applyNumberFormat="1" applyFont="1" applyBorder="1"/>
    <xf numFmtId="14" fontId="11" fillId="0" borderId="44" xfId="0" applyNumberFormat="1" applyFont="1" applyBorder="1"/>
    <xf numFmtId="14" fontId="11" fillId="0" borderId="24" xfId="0" applyNumberFormat="1" applyFont="1" applyBorder="1"/>
    <xf numFmtId="8" fontId="11" fillId="5" borderId="34" xfId="0" applyNumberFormat="1" applyFont="1" applyFill="1" applyBorder="1" applyAlignment="1">
      <alignment horizontal="center"/>
    </xf>
    <xf numFmtId="165" fontId="11" fillId="5" borderId="34" xfId="0" applyNumberFormat="1" applyFont="1" applyFill="1" applyBorder="1" applyAlignment="1">
      <alignment horizontal="center"/>
    </xf>
    <xf numFmtId="8" fontId="11" fillId="14" borderId="34" xfId="0" applyNumberFormat="1" applyFont="1" applyFill="1" applyBorder="1" applyAlignment="1">
      <alignment horizontal="center"/>
    </xf>
    <xf numFmtId="10" fontId="11" fillId="14" borderId="34" xfId="0" applyNumberFormat="1" applyFont="1" applyFill="1" applyBorder="1" applyAlignment="1">
      <alignment horizontal="center"/>
    </xf>
    <xf numFmtId="8" fontId="11" fillId="3" borderId="34" xfId="0" applyNumberFormat="1" applyFont="1" applyFill="1" applyBorder="1" applyAlignment="1">
      <alignment horizontal="center"/>
    </xf>
    <xf numFmtId="10" fontId="11" fillId="3" borderId="34" xfId="0" applyNumberFormat="1" applyFont="1" applyFill="1" applyBorder="1" applyAlignment="1">
      <alignment horizontal="center"/>
    </xf>
    <xf numFmtId="10" fontId="11" fillId="5" borderId="34" xfId="0" applyNumberFormat="1" applyFont="1" applyFill="1" applyBorder="1" applyAlignment="1">
      <alignment horizontal="center"/>
    </xf>
    <xf numFmtId="1" fontId="11" fillId="0" borderId="10" xfId="0" applyNumberFormat="1" applyFont="1" applyBorder="1"/>
    <xf numFmtId="8" fontId="11" fillId="0" borderId="10" xfId="0" applyNumberFormat="1" applyFont="1" applyBorder="1"/>
    <xf numFmtId="8" fontId="11" fillId="0" borderId="10" xfId="0" applyNumberFormat="1" applyFont="1" applyBorder="1" applyAlignment="1">
      <alignment horizontal="center"/>
    </xf>
    <xf numFmtId="10" fontId="11" fillId="0" borderId="10" xfId="0" applyNumberFormat="1" applyFont="1" applyBorder="1" applyAlignment="1">
      <alignment horizontal="center"/>
    </xf>
    <xf numFmtId="164" fontId="11" fillId="0" borderId="10" xfId="0" applyFont="1" applyBorder="1" applyAlignment="1">
      <alignment horizontal="center"/>
    </xf>
    <xf numFmtId="164" fontId="14" fillId="0" borderId="10" xfId="0" applyFont="1" applyBorder="1"/>
    <xf numFmtId="14" fontId="14" fillId="0" borderId="10" xfId="0" applyNumberFormat="1" applyFont="1" applyBorder="1" applyAlignment="1">
      <alignment horizontal="center"/>
    </xf>
    <xf numFmtId="164" fontId="14" fillId="0" borderId="0" xfId="0" applyFont="1"/>
    <xf numFmtId="10" fontId="14" fillId="0" borderId="4" xfId="0" applyNumberFormat="1" applyFont="1" applyBorder="1" applyAlignment="1">
      <alignment horizontal="center"/>
    </xf>
    <xf numFmtId="165" fontId="14" fillId="0" borderId="25" xfId="0" applyNumberFormat="1" applyFont="1" applyBorder="1" applyAlignment="1">
      <alignment horizontal="center"/>
    </xf>
    <xf numFmtId="165" fontId="14" fillId="0" borderId="5" xfId="0" applyNumberFormat="1" applyFont="1" applyBorder="1" applyAlignment="1">
      <alignment horizontal="center"/>
    </xf>
    <xf numFmtId="164" fontId="14" fillId="0" borderId="10" xfId="0" applyFont="1" applyBorder="1" applyAlignment="1">
      <alignment horizontal="left"/>
    </xf>
    <xf numFmtId="165" fontId="14" fillId="0" borderId="10" xfId="0" applyNumberFormat="1" applyFont="1" applyBorder="1" applyAlignment="1">
      <alignment horizontal="center"/>
    </xf>
    <xf numFmtId="2" fontId="14" fillId="0" borderId="9" xfId="0" applyNumberFormat="1" applyFont="1" applyBorder="1" applyAlignment="1">
      <alignment horizontal="center"/>
    </xf>
    <xf numFmtId="2" fontId="14" fillId="0" borderId="10" xfId="0" applyNumberFormat="1" applyFont="1" applyBorder="1" applyAlignment="1">
      <alignment horizontal="center"/>
    </xf>
    <xf numFmtId="164" fontId="14" fillId="0" borderId="10" xfId="0" applyFont="1" applyBorder="1" applyAlignment="1">
      <alignment horizontal="center"/>
    </xf>
    <xf numFmtId="164" fontId="14" fillId="0" borderId="11" xfId="0" applyFont="1" applyBorder="1" applyAlignment="1">
      <alignment horizontal="center"/>
    </xf>
    <xf numFmtId="10" fontId="14" fillId="0" borderId="10" xfId="0" applyNumberFormat="1" applyFont="1" applyBorder="1" applyAlignment="1">
      <alignment horizontal="center"/>
    </xf>
    <xf numFmtId="10" fontId="14" fillId="0" borderId="9" xfId="0" applyNumberFormat="1" applyFont="1" applyBorder="1" applyAlignment="1">
      <alignment horizontal="center"/>
    </xf>
    <xf numFmtId="165" fontId="14" fillId="0" borderId="11" xfId="0" applyNumberFormat="1" applyFont="1" applyBorder="1" applyAlignment="1">
      <alignment horizontal="center"/>
    </xf>
    <xf numFmtId="8" fontId="14" fillId="0" borderId="0" xfId="0" applyNumberFormat="1" applyFont="1" applyAlignment="1">
      <alignment horizontal="center"/>
    </xf>
    <xf numFmtId="8" fontId="14" fillId="0" borderId="10" xfId="0" applyNumberFormat="1" applyFont="1" applyBorder="1" applyAlignment="1">
      <alignment horizontal="center"/>
    </xf>
    <xf numFmtId="164" fontId="14" fillId="0" borderId="0" xfId="0" applyFont="1" applyAlignment="1">
      <alignment horizontal="center"/>
    </xf>
    <xf numFmtId="8" fontId="14" fillId="0" borderId="0" xfId="0" applyNumberFormat="1" applyFont="1"/>
    <xf numFmtId="10" fontId="14" fillId="0" borderId="12" xfId="0" applyNumberFormat="1" applyFont="1" applyBorder="1" applyAlignment="1">
      <alignment horizontal="center"/>
    </xf>
    <xf numFmtId="165" fontId="14" fillId="0" borderId="18" xfId="0" applyNumberFormat="1" applyFont="1" applyBorder="1" applyAlignment="1">
      <alignment horizontal="center"/>
    </xf>
    <xf numFmtId="165" fontId="14" fillId="0" borderId="13" xfId="0" applyNumberFormat="1" applyFont="1" applyBorder="1" applyAlignment="1">
      <alignment horizontal="center"/>
    </xf>
    <xf numFmtId="2" fontId="14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center" vertical="center"/>
    </xf>
    <xf numFmtId="164" fontId="14" fillId="0" borderId="0" xfId="0" applyFont="1" applyAlignment="1">
      <alignment horizontal="left"/>
    </xf>
    <xf numFmtId="164" fontId="14" fillId="0" borderId="0" xfId="0" applyFont="1" applyAlignment="1">
      <alignment horizontal="center" vertical="center"/>
    </xf>
    <xf numFmtId="165" fontId="14" fillId="0" borderId="0" xfId="0" applyNumberFormat="1" applyFont="1" applyAlignment="1">
      <alignment horizontal="center"/>
    </xf>
    <xf numFmtId="14" fontId="14" fillId="0" borderId="0" xfId="0" applyNumberFormat="1" applyFont="1" applyAlignment="1">
      <alignment horizontal="center"/>
    </xf>
    <xf numFmtId="165" fontId="14" fillId="0" borderId="0" xfId="0" applyNumberFormat="1" applyFont="1"/>
    <xf numFmtId="9" fontId="14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165" fontId="14" fillId="18" borderId="43" xfId="0" applyNumberFormat="1" applyFont="1" applyFill="1" applyBorder="1"/>
    <xf numFmtId="10" fontId="14" fillId="0" borderId="0" xfId="0" applyNumberFormat="1" applyFont="1"/>
    <xf numFmtId="40" fontId="14" fillId="0" borderId="0" xfId="0" applyNumberFormat="1" applyFont="1" applyAlignment="1">
      <alignment horizontal="center"/>
    </xf>
    <xf numFmtId="14" fontId="14" fillId="0" borderId="0" xfId="0" applyNumberFormat="1" applyFont="1"/>
    <xf numFmtId="0" fontId="11" fillId="0" borderId="0" xfId="0" applyNumberFormat="1" applyFont="1"/>
    <xf numFmtId="0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5" fontId="11" fillId="0" borderId="0" xfId="0" applyNumberFormat="1" applyFont="1"/>
    <xf numFmtId="165" fontId="12" fillId="0" borderId="0" xfId="0" applyNumberFormat="1" applyFont="1"/>
    <xf numFmtId="165" fontId="12" fillId="18" borderId="43" xfId="0" applyNumberFormat="1" applyFont="1" applyFill="1" applyBorder="1" applyAlignment="1">
      <alignment horizontal="center"/>
    </xf>
    <xf numFmtId="165" fontId="12" fillId="18" borderId="43" xfId="0" applyNumberFormat="1" applyFont="1" applyFill="1" applyBorder="1"/>
    <xf numFmtId="49" fontId="11" fillId="0" borderId="0" xfId="0" applyNumberFormat="1" applyFont="1"/>
    <xf numFmtId="49" fontId="15" fillId="0" borderId="0" xfId="0" applyNumberFormat="1" applyFont="1"/>
    <xf numFmtId="49" fontId="11" fillId="0" borderId="0" xfId="0" applyNumberFormat="1" applyFont="1" applyAlignment="1">
      <alignment horizontal="left"/>
    </xf>
    <xf numFmtId="49" fontId="16" fillId="0" borderId="0" xfId="0" applyNumberFormat="1" applyFont="1"/>
    <xf numFmtId="164" fontId="17" fillId="0" borderId="0" xfId="0" applyFont="1"/>
    <xf numFmtId="1" fontId="6" fillId="0" borderId="0" xfId="0" applyNumberFormat="1" applyFont="1"/>
    <xf numFmtId="49" fontId="6" fillId="0" borderId="0" xfId="0" applyNumberFormat="1" applyFont="1" applyAlignment="1">
      <alignment horizontal="center"/>
    </xf>
    <xf numFmtId="168" fontId="6" fillId="0" borderId="0" xfId="0" applyNumberFormat="1" applyFont="1" applyAlignment="1">
      <alignment horizontal="center"/>
    </xf>
    <xf numFmtId="169" fontId="6" fillId="0" borderId="0" xfId="0" applyNumberFormat="1" applyFont="1"/>
    <xf numFmtId="168" fontId="6" fillId="0" borderId="0" xfId="0" applyNumberFormat="1" applyFont="1"/>
    <xf numFmtId="49" fontId="18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5" fontId="6" fillId="19" borderId="43" xfId="0" applyNumberFormat="1" applyFont="1" applyFill="1" applyBorder="1" applyAlignment="1">
      <alignment horizontal="center"/>
    </xf>
    <xf numFmtId="165" fontId="6" fillId="4" borderId="43" xfId="0" applyNumberFormat="1" applyFont="1" applyFill="1" applyBorder="1" applyAlignment="1">
      <alignment horizontal="center"/>
    </xf>
    <xf numFmtId="1" fontId="4" fillId="0" borderId="24" xfId="0" applyNumberFormat="1" applyFont="1" applyBorder="1" applyAlignment="1">
      <alignment horizontal="center"/>
    </xf>
    <xf numFmtId="164" fontId="4" fillId="0" borderId="24" xfId="0" applyFont="1" applyBorder="1"/>
    <xf numFmtId="165" fontId="4" fillId="2" borderId="34" xfId="0" applyNumberFormat="1" applyFont="1" applyFill="1" applyBorder="1" applyAlignment="1">
      <alignment horizontal="center"/>
    </xf>
    <xf numFmtId="165" fontId="4" fillId="19" borderId="34" xfId="0" applyNumberFormat="1" applyFont="1" applyFill="1" applyBorder="1" applyAlignment="1">
      <alignment horizontal="center"/>
    </xf>
    <xf numFmtId="165" fontId="4" fillId="4" borderId="34" xfId="0" applyNumberFormat="1" applyFont="1" applyFill="1" applyBorder="1" applyAlignment="1">
      <alignment horizontal="center"/>
    </xf>
    <xf numFmtId="164" fontId="4" fillId="0" borderId="0" xfId="0" applyFont="1"/>
    <xf numFmtId="165" fontId="4" fillId="0" borderId="0" xfId="0" applyNumberFormat="1" applyFont="1"/>
    <xf numFmtId="164" fontId="4" fillId="0" borderId="0" xfId="0" applyFont="1" applyAlignment="1">
      <alignment horizontal="center"/>
    </xf>
    <xf numFmtId="1" fontId="6" fillId="0" borderId="4" xfId="0" applyNumberFormat="1" applyFont="1" applyBorder="1" applyAlignment="1">
      <alignment horizontal="center"/>
    </xf>
    <xf numFmtId="164" fontId="6" fillId="0" borderId="25" xfId="0" applyFont="1" applyBorder="1"/>
    <xf numFmtId="165" fontId="6" fillId="2" borderId="25" xfId="0" applyNumberFormat="1" applyFont="1" applyFill="1" applyBorder="1" applyAlignment="1">
      <alignment horizontal="center"/>
    </xf>
    <xf numFmtId="165" fontId="6" fillId="19" borderId="25" xfId="0" applyNumberFormat="1" applyFont="1" applyFill="1" applyBorder="1" applyAlignment="1">
      <alignment horizontal="center"/>
    </xf>
    <xf numFmtId="165" fontId="6" fillId="4" borderId="25" xfId="0" applyNumberFormat="1" applyFont="1" applyFill="1" applyBorder="1" applyAlignment="1">
      <alignment horizontal="center"/>
    </xf>
    <xf numFmtId="165" fontId="6" fillId="4" borderId="5" xfId="0" applyNumberFormat="1" applyFont="1" applyFill="1" applyBorder="1" applyAlignment="1">
      <alignment horizontal="center"/>
    </xf>
    <xf numFmtId="1" fontId="6" fillId="0" borderId="9" xfId="0" applyNumberFormat="1" applyFont="1" applyBorder="1" applyAlignment="1">
      <alignment horizontal="center"/>
    </xf>
    <xf numFmtId="165" fontId="6" fillId="2" borderId="10" xfId="0" applyNumberFormat="1" applyFont="1" applyFill="1" applyBorder="1" applyAlignment="1">
      <alignment horizontal="center"/>
    </xf>
    <xf numFmtId="165" fontId="6" fillId="19" borderId="10" xfId="0" applyNumberFormat="1" applyFont="1" applyFill="1" applyBorder="1" applyAlignment="1">
      <alignment horizontal="center"/>
    </xf>
    <xf numFmtId="165" fontId="6" fillId="4" borderId="10" xfId="0" applyNumberFormat="1" applyFont="1" applyFill="1" applyBorder="1" applyAlignment="1">
      <alignment horizontal="center"/>
    </xf>
    <xf numFmtId="165" fontId="6" fillId="4" borderId="11" xfId="0" applyNumberFormat="1" applyFont="1" applyFill="1" applyBorder="1" applyAlignment="1">
      <alignment horizontal="center"/>
    </xf>
    <xf numFmtId="1" fontId="4" fillId="0" borderId="12" xfId="0" applyNumberFormat="1" applyFont="1" applyBorder="1" applyAlignment="1">
      <alignment horizontal="center"/>
    </xf>
    <xf numFmtId="164" fontId="4" fillId="0" borderId="18" xfId="0" applyFont="1" applyBorder="1"/>
    <xf numFmtId="165" fontId="4" fillId="2" borderId="18" xfId="0" applyNumberFormat="1" applyFont="1" applyFill="1" applyBorder="1" applyAlignment="1">
      <alignment horizontal="center"/>
    </xf>
    <xf numFmtId="165" fontId="4" fillId="19" borderId="18" xfId="0" applyNumberFormat="1" applyFont="1" applyFill="1" applyBorder="1" applyAlignment="1">
      <alignment horizontal="center"/>
    </xf>
    <xf numFmtId="165" fontId="4" fillId="4" borderId="18" xfId="0" applyNumberFormat="1" applyFont="1" applyFill="1" applyBorder="1" applyAlignment="1">
      <alignment horizontal="center"/>
    </xf>
    <xf numFmtId="165" fontId="4" fillId="4" borderId="13" xfId="0" applyNumberFormat="1" applyFont="1" applyFill="1" applyBorder="1" applyAlignment="1">
      <alignment horizontal="center"/>
    </xf>
    <xf numFmtId="165" fontId="4" fillId="7" borderId="43" xfId="0" applyNumberFormat="1" applyFont="1" applyFill="1" applyBorder="1"/>
    <xf numFmtId="165" fontId="6" fillId="2" borderId="43" xfId="0" applyNumberFormat="1" applyFont="1" applyFill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" fontId="4" fillId="0" borderId="21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left"/>
    </xf>
    <xf numFmtId="165" fontId="4" fillId="2" borderId="29" xfId="0" applyNumberFormat="1" applyFont="1" applyFill="1" applyBorder="1" applyAlignment="1">
      <alignment horizontal="center"/>
    </xf>
    <xf numFmtId="165" fontId="4" fillId="19" borderId="29" xfId="0" applyNumberFormat="1" applyFont="1" applyFill="1" applyBorder="1" applyAlignment="1">
      <alignment horizontal="center"/>
    </xf>
    <xf numFmtId="165" fontId="4" fillId="4" borderId="29" xfId="0" applyNumberFormat="1" applyFont="1" applyFill="1" applyBorder="1" applyAlignment="1">
      <alignment horizontal="center"/>
    </xf>
    <xf numFmtId="165" fontId="4" fillId="4" borderId="22" xfId="0" applyNumberFormat="1" applyFont="1" applyFill="1" applyBorder="1" applyAlignment="1">
      <alignment horizontal="center"/>
    </xf>
    <xf numFmtId="164" fontId="1" fillId="0" borderId="0" xfId="0" applyFont="1"/>
    <xf numFmtId="44" fontId="13" fillId="0" borderId="34" xfId="0" applyNumberFormat="1" applyFont="1" applyBorder="1" applyAlignment="1">
      <alignment horizontal="center"/>
    </xf>
    <xf numFmtId="170" fontId="1" fillId="0" borderId="0" xfId="0" applyNumberFormat="1" applyFont="1"/>
    <xf numFmtId="170" fontId="0" fillId="0" borderId="0" xfId="0" applyNumberFormat="1"/>
    <xf numFmtId="164" fontId="7" fillId="0" borderId="33" xfId="0" applyFont="1" applyBorder="1"/>
    <xf numFmtId="44" fontId="6" fillId="0" borderId="34" xfId="0" applyNumberFormat="1" applyFont="1" applyBorder="1"/>
    <xf numFmtId="14" fontId="6" fillId="0" borderId="35" xfId="0" applyNumberFormat="1" applyFont="1" applyBorder="1"/>
    <xf numFmtId="164" fontId="19" fillId="0" borderId="33" xfId="1" applyBorder="1"/>
    <xf numFmtId="164" fontId="19" fillId="0" borderId="9" xfId="1" applyBorder="1"/>
    <xf numFmtId="164" fontId="13" fillId="20" borderId="10" xfId="0" applyFont="1" applyFill="1" applyBorder="1" applyAlignment="1">
      <alignment horizontal="center"/>
    </xf>
    <xf numFmtId="1" fontId="13" fillId="20" borderId="10" xfId="0" applyNumberFormat="1" applyFont="1" applyFill="1" applyBorder="1" applyAlignment="1">
      <alignment horizontal="center"/>
    </xf>
    <xf numFmtId="14" fontId="13" fillId="20" borderId="10" xfId="0" applyNumberFormat="1" applyFont="1" applyFill="1" applyBorder="1"/>
    <xf numFmtId="164" fontId="13" fillId="20" borderId="10" xfId="0" applyFont="1" applyFill="1" applyBorder="1"/>
    <xf numFmtId="44" fontId="13" fillId="20" borderId="24" xfId="0" applyNumberFormat="1" applyFont="1" applyFill="1" applyBorder="1" applyAlignment="1">
      <alignment horizontal="center"/>
    </xf>
    <xf numFmtId="165" fontId="13" fillId="20" borderId="10" xfId="0" applyNumberFormat="1" applyFont="1" applyFill="1" applyBorder="1"/>
    <xf numFmtId="14" fontId="13" fillId="20" borderId="0" xfId="0" applyNumberFormat="1" applyFont="1" applyFill="1"/>
    <xf numFmtId="1" fontId="13" fillId="20" borderId="0" xfId="0" applyNumberFormat="1" applyFont="1" applyFill="1" applyAlignment="1">
      <alignment horizontal="center"/>
    </xf>
    <xf numFmtId="44" fontId="13" fillId="20" borderId="0" xfId="0" applyNumberFormat="1" applyFont="1" applyFill="1"/>
    <xf numFmtId="164" fontId="13" fillId="20" borderId="0" xfId="0" applyFont="1" applyFill="1"/>
    <xf numFmtId="164" fontId="0" fillId="20" borderId="0" xfId="0" applyFill="1"/>
    <xf numFmtId="164" fontId="6" fillId="2" borderId="50" xfId="0" applyFont="1" applyFill="1" applyBorder="1"/>
    <xf numFmtId="44" fontId="6" fillId="3" borderId="50" xfId="0" applyNumberFormat="1" applyFont="1" applyFill="1" applyBorder="1" applyAlignment="1">
      <alignment horizontal="center"/>
    </xf>
    <xf numFmtId="10" fontId="6" fillId="3" borderId="50" xfId="0" applyNumberFormat="1" applyFont="1" applyFill="1" applyBorder="1" applyAlignment="1">
      <alignment horizontal="center"/>
    </xf>
    <xf numFmtId="44" fontId="6" fillId="4" borderId="50" xfId="0" applyNumberFormat="1" applyFont="1" applyFill="1" applyBorder="1" applyAlignment="1">
      <alignment horizontal="center"/>
    </xf>
    <xf numFmtId="10" fontId="6" fillId="4" borderId="50" xfId="0" applyNumberFormat="1" applyFont="1" applyFill="1" applyBorder="1" applyAlignment="1">
      <alignment horizontal="center"/>
    </xf>
    <xf numFmtId="164" fontId="6" fillId="0" borderId="33" xfId="0" applyFont="1" applyBorder="1"/>
    <xf numFmtId="164" fontId="13" fillId="0" borderId="44" xfId="0" applyFont="1" applyBorder="1" applyAlignment="1">
      <alignment horizontal="center"/>
    </xf>
    <xf numFmtId="0" fontId="5" fillId="0" borderId="26" xfId="0" applyNumberFormat="1" applyFont="1" applyBorder="1"/>
    <xf numFmtId="44" fontId="13" fillId="0" borderId="44" xfId="0" applyNumberFormat="1" applyFont="1" applyBorder="1" applyAlignment="1">
      <alignment horizontal="center"/>
    </xf>
    <xf numFmtId="164" fontId="13" fillId="12" borderId="44" xfId="0" applyFont="1" applyFill="1" applyBorder="1" applyAlignment="1">
      <alignment horizontal="center"/>
    </xf>
    <xf numFmtId="164" fontId="4" fillId="0" borderId="1" xfId="0" applyFont="1" applyBorder="1" applyAlignment="1">
      <alignment horizontal="center"/>
    </xf>
    <xf numFmtId="0" fontId="5" fillId="0" borderId="2" xfId="0" applyNumberFormat="1" applyFont="1" applyBorder="1"/>
    <xf numFmtId="0" fontId="5" fillId="0" borderId="3" xfId="0" applyNumberFormat="1" applyFont="1" applyBorder="1"/>
    <xf numFmtId="164" fontId="6" fillId="0" borderId="1" xfId="0" applyFont="1" applyBorder="1" applyAlignment="1">
      <alignment horizontal="center"/>
    </xf>
    <xf numFmtId="164" fontId="6" fillId="4" borderId="31" xfId="0" applyFont="1" applyFill="1" applyBorder="1" applyAlignment="1">
      <alignment horizontal="center"/>
    </xf>
    <xf numFmtId="44" fontId="6" fillId="3" borderId="31" xfId="0" applyNumberFormat="1" applyFont="1" applyFill="1" applyBorder="1" applyAlignment="1">
      <alignment horizontal="center"/>
    </xf>
    <xf numFmtId="0" fontId="5" fillId="0" borderId="32" xfId="0" applyNumberFormat="1" applyFont="1" applyBorder="1"/>
    <xf numFmtId="44" fontId="6" fillId="0" borderId="31" xfId="0" applyNumberFormat="1" applyFont="1" applyBorder="1" applyAlignment="1">
      <alignment horizontal="center"/>
    </xf>
    <xf numFmtId="164" fontId="6" fillId="0" borderId="31" xfId="0" applyFont="1" applyBorder="1" applyAlignment="1">
      <alignment horizontal="center"/>
    </xf>
    <xf numFmtId="164" fontId="10" fillId="0" borderId="0" xfId="0" applyFont="1" applyAlignment="1">
      <alignment horizontal="center" vertical="center"/>
    </xf>
    <xf numFmtId="164" fontId="0" fillId="0" borderId="0" xfId="0"/>
    <xf numFmtId="164" fontId="11" fillId="5" borderId="44" xfId="0" applyFont="1" applyFill="1" applyBorder="1" applyAlignment="1">
      <alignment horizontal="center"/>
    </xf>
    <xf numFmtId="0" fontId="5" fillId="0" borderId="45" xfId="0" applyNumberFormat="1" applyFont="1" applyBorder="1"/>
    <xf numFmtId="165" fontId="11" fillId="4" borderId="44" xfId="0" applyNumberFormat="1" applyFont="1" applyFill="1" applyBorder="1" applyAlignment="1">
      <alignment horizontal="center"/>
    </xf>
    <xf numFmtId="165" fontId="11" fillId="14" borderId="44" xfId="0" applyNumberFormat="1" applyFont="1" applyFill="1" applyBorder="1" applyAlignment="1">
      <alignment horizontal="center"/>
    </xf>
    <xf numFmtId="165" fontId="6" fillId="17" borderId="1" xfId="0" applyNumberFormat="1" applyFont="1" applyFill="1" applyBorder="1" applyAlignment="1">
      <alignment horizontal="center"/>
    </xf>
    <xf numFmtId="14" fontId="11" fillId="5" borderId="44" xfId="0" applyNumberFormat="1" applyFont="1" applyFill="1" applyBorder="1" applyAlignment="1">
      <alignment horizontal="center"/>
    </xf>
    <xf numFmtId="8" fontId="11" fillId="14" borderId="44" xfId="0" applyNumberFormat="1" applyFont="1" applyFill="1" applyBorder="1" applyAlignment="1">
      <alignment horizontal="center"/>
    </xf>
    <xf numFmtId="8" fontId="11" fillId="3" borderId="44" xfId="0" applyNumberFormat="1" applyFont="1" applyFill="1" applyBorder="1" applyAlignment="1">
      <alignment horizontal="center"/>
    </xf>
    <xf numFmtId="164" fontId="14" fillId="0" borderId="44" xfId="0" applyFont="1" applyBorder="1" applyAlignment="1">
      <alignment horizontal="center"/>
    </xf>
    <xf numFmtId="2" fontId="14" fillId="0" borderId="31" xfId="0" applyNumberFormat="1" applyFont="1" applyBorder="1" applyAlignment="1">
      <alignment horizontal="center"/>
    </xf>
    <xf numFmtId="164" fontId="11" fillId="0" borderId="0" xfId="0" applyFont="1" applyAlignment="1">
      <alignment horizontal="center"/>
    </xf>
    <xf numFmtId="165" fontId="4" fillId="2" borderId="47" xfId="0" applyNumberFormat="1" applyFont="1" applyFill="1" applyBorder="1" applyAlignment="1">
      <alignment horizontal="center"/>
    </xf>
    <xf numFmtId="0" fontId="5" fillId="0" borderId="48" xfId="0" applyNumberFormat="1" applyFont="1" applyBorder="1"/>
    <xf numFmtId="0" fontId="5" fillId="0" borderId="49" xfId="0" applyNumberFormat="1" applyFont="1" applyBorder="1"/>
  </cellXfs>
  <cellStyles count="2">
    <cellStyle name="Hyperlink" xfId="1" builtinId="8"/>
    <cellStyle name="Normal" xfId="0" builtinId="0"/>
  </cellStyles>
  <dxfs count="10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C2D69B"/>
          <bgColor rgb="FFC2D69B"/>
        </patternFill>
      </fill>
    </dxf>
    <dxf>
      <fill>
        <patternFill patternType="solid">
          <fgColor rgb="FF92CDDC"/>
          <bgColor rgb="FF92CDDC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D99594"/>
          <bgColor rgb="FFD99594"/>
        </patternFill>
      </fill>
    </dxf>
    <dxf>
      <fill>
        <patternFill patternType="solid">
          <fgColor rgb="FF938953"/>
          <bgColor rgb="FF93895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login.fidelity.com/ftgw/Fas/Fidelity/IspCust/Login/Init" TargetMode="External"/><Relationship Id="rId13" Type="http://schemas.openxmlformats.org/officeDocument/2006/relationships/hyperlink" Target="https://www.wellsfargo.com/" TargetMode="External"/><Relationship Id="rId3" Type="http://schemas.openxmlformats.org/officeDocument/2006/relationships/hyperlink" Target="https://dashboard.m1finance.com/login" TargetMode="External"/><Relationship Id="rId7" Type="http://schemas.openxmlformats.org/officeDocument/2006/relationships/hyperlink" Target="https://login.fidelity.com/ftgw/Fas/Fidelity/IspCust/Login/Init" TargetMode="External"/><Relationship Id="rId12" Type="http://schemas.openxmlformats.org/officeDocument/2006/relationships/hyperlink" Target="https://swivelpay.com/login?institutionId=f2b951bb-bba0-4c8a-bbd4-953565bf1dc0" TargetMode="External"/><Relationship Id="rId2" Type="http://schemas.openxmlformats.org/officeDocument/2006/relationships/hyperlink" Target="https://www.gmfinancial.com/en-us/myaccount/login.html" TargetMode="External"/><Relationship Id="rId1" Type="http://schemas.openxmlformats.org/officeDocument/2006/relationships/hyperlink" Target="https://rocketaccount.com/" TargetMode="External"/><Relationship Id="rId6" Type="http://schemas.openxmlformats.org/officeDocument/2006/relationships/hyperlink" Target="https://secure.tsp.gov/tsp/login.html" TargetMode="External"/><Relationship Id="rId11" Type="http://schemas.openxmlformats.org/officeDocument/2006/relationships/hyperlink" Target="https://www.wellsfargo.com/" TargetMode="External"/><Relationship Id="rId5" Type="http://schemas.openxmlformats.org/officeDocument/2006/relationships/hyperlink" Target="https://secure.tsp.gov/tsp/login.html" TargetMode="External"/><Relationship Id="rId10" Type="http://schemas.openxmlformats.org/officeDocument/2006/relationships/hyperlink" Target="https://www.redfin.com/OH/Elyria/41403-Elmwood-St-44035/home/66327750" TargetMode="External"/><Relationship Id="rId4" Type="http://schemas.openxmlformats.org/officeDocument/2006/relationships/hyperlink" Target="https://dashboard.m1finance.com/login" TargetMode="External"/><Relationship Id="rId9" Type="http://schemas.openxmlformats.org/officeDocument/2006/relationships/hyperlink" Target="https://www.redfin.com/OH/Elyria/41377-Elmwood-St-44035/home/77213055" TargetMode="External"/><Relationship Id="rId14" Type="http://schemas.openxmlformats.org/officeDocument/2006/relationships/hyperlink" Target="https://lowes.syf.com/accounts/login/?token=eyJlbmMiOiJBMjU2Q0JDLUhTNTEyIiwiYWxnIjoiUlNBLU9BRVAtMjU2In0.QMX1ocv4_8-Z4HRw9u2yRJQKCHD69o_RPB7kg4Q2lKOp1QCCW0f7uDpeF6ohl3KVFJcEm7YR6zX3KxjKJxA1oosXYGPEJeOmc9kpbmsjyEgGgAOtNkI4nLs8wpRW8uSfCODPJ2rATyc6Vi-l5EKitRXOSE_Uz7gO31cdTrUgWMbxrADrFCJxu8k3vXXPh-FAQjEG1HDhSfm2pKvkyLLrLdXCBTuX0hSCAXy2kT2hqQmKUF16QYm7X7hex0bDu9hCl-SvikM_zHYQUujGzPl7GzuRvyy58_Uy6pQBUry9VUOtOgvBhy2N-yBxAlIokfw2eScNX8mfnAnDejoAB5vWtw.Hf6mG0pt67bwkBOFA60CKw.5qPcoSE1TmsKXdZXDh-CwF-dSEt5k3UrhSNXKvZWeUpaFNXOyHVtMRaZT1u2E2wj_Y_N7p6X39GzE_9RaDvW0xCePE1PQpleC2PKALAfsdyfcbWdUaa6OFVCJEYU0PYcSwc3ZtzLh_EBSDv9d4T702ILhCNc42PIWlVfHnitC24GoUYtII_u9HUscI0hFU_6NbWo9vz0AWiTm0lC3bemCQlUIzLZqWoTsg5ZTBk9L4tOjZw2iGq05Jlh79caUaO3Ji_9CwjY2E8cdnil-bHb8J7bLNCT7UBvVq3We0bL5FvUcGVE17bPPvPYDX0oq6swPgjHzlwKVKP42QBUR2koifo8GTB_oxcH-sQlwyD1Sfkj1UU0CHSTFx22dbSJOAH3gpt5dtThDRwxd6tU-8eJvTZya-uqsdfWhJgroOivf1ucwyo58ya2cgfOIsoo0oKUVNhhoRbfb5ttAVupWURbSYp3ORdx4V2qEHpPvW7LRPj5f8Y96NX-bJs-lvWCqMPL07YZ-nCyfgSbZdDGKYCMSUqUKGfWtdnpCnT2VicfHsyMD-Rjs7-nxCyAU_ZRIGfT1mHC9chvYRNi8_V0Fuopuo2NmG4vlppC1AX-Trsnz5s5VeM31JbMZIsUZscTWyAwovTz7mOLzytfN5Z4F151KL1aL6a0A_Bl5E35Yc6ojd0k2lbsE9R1OJE4tGRdS3C4TQzjBc86TbspH4QMpUXHJ2ajkTGX-fAyhmcnljNYvzBG1Oc4kCcBdMNfBg9VuiJwgjkIo-UIi3LXNRqF0uMsceA_Ml7G2UgWMf5hGtiBb15hQ6Bufm9cRPJZW48tjFAlNhqrjznLRQ6oDkPN0pMXyW725XD9op5Iwr1BiAWtiCyWh735KNsy0Pb6Mp_FQ0tmM1Qao7pIjFGEQ0kiA4X-GyRg8R4QY5V6ZgnlNpC7LscDRwmayyg8YE-D_8_ANpL-VoEwGQjFYt5NY57g-U25_5WZ8uniWbJqICQcp0F1PfI3NeQg2ORzA9i-AQSPkodYBGMcvIc-RMiiXTjiqzRESh50KSc2fXy_SX4R-t-qBQs.Gl_cHOrgUzbvUoeqxAttTRtxwQ-ql4pErY4QXM4P0wo&amp;ui_locales=en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secure.ssa.gov/RIL/SiView.do" TargetMode="External"/><Relationship Id="rId3" Type="http://schemas.openxmlformats.org/officeDocument/2006/relationships/hyperlink" Target="https://myaccess.dmdc.osd.mil/identitymanagement/authenticate.do?execution=e3s1" TargetMode="External"/><Relationship Id="rId7" Type="http://schemas.openxmlformats.org/officeDocument/2006/relationships/hyperlink" Target="mailto:isaac.d.martin@gmail.com" TargetMode="External"/><Relationship Id="rId2" Type="http://schemas.openxmlformats.org/officeDocument/2006/relationships/hyperlink" Target="mailto:isaac.d.martin@gmail.com" TargetMode="External"/><Relationship Id="rId1" Type="http://schemas.openxmlformats.org/officeDocument/2006/relationships/hyperlink" Target="mailto:isaac.d.martin2@gmail.com" TargetMode="External"/><Relationship Id="rId6" Type="http://schemas.openxmlformats.org/officeDocument/2006/relationships/hyperlink" Target="mailto:isaac.d.martin@gmail.com" TargetMode="External"/><Relationship Id="rId5" Type="http://schemas.openxmlformats.org/officeDocument/2006/relationships/hyperlink" Target="https://www.myedaccount.com/accounts/Login.aspx?c=Yes" TargetMode="External"/><Relationship Id="rId10" Type="http://schemas.openxmlformats.org/officeDocument/2006/relationships/hyperlink" Target="mailto:idmartin22@yahoo.com" TargetMode="External"/><Relationship Id="rId4" Type="http://schemas.openxmlformats.org/officeDocument/2006/relationships/hyperlink" Target="https://www.firstenergycorp.com/log_in.html" TargetMode="External"/><Relationship Id="rId9" Type="http://schemas.openxmlformats.org/officeDocument/2006/relationships/hyperlink" Target="mailto:isaac.d.mart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" ht="14.25" customHeight="1" x14ac:dyDescent="0.25">
      <c r="A1" s="1" t="s">
        <v>0</v>
      </c>
    </row>
    <row r="2" spans="1:1" ht="14.25" customHeight="1" x14ac:dyDescent="0.25">
      <c r="A2" s="2" t="s">
        <v>1</v>
      </c>
    </row>
    <row r="3" spans="1:1" ht="14.25" customHeight="1" x14ac:dyDescent="0.25">
      <c r="A3" s="2" t="s">
        <v>2</v>
      </c>
    </row>
    <row r="4" spans="1:1" ht="14.25" customHeight="1" x14ac:dyDescent="0.25">
      <c r="A4" s="3" t="s">
        <v>3</v>
      </c>
    </row>
    <row r="5" spans="1:1" ht="14.25" customHeight="1" x14ac:dyDescent="0.25">
      <c r="A5" s="3" t="s">
        <v>4</v>
      </c>
    </row>
    <row r="6" spans="1:1" ht="14.25" customHeight="1" x14ac:dyDescent="0.25">
      <c r="A6" s="3" t="s">
        <v>5</v>
      </c>
    </row>
    <row r="7" spans="1:1" ht="14.25" customHeight="1" x14ac:dyDescent="0.25">
      <c r="A7" s="3" t="s">
        <v>6</v>
      </c>
    </row>
    <row r="8" spans="1:1" ht="14.25" customHeight="1" x14ac:dyDescent="0.25">
      <c r="A8" s="3" t="s">
        <v>7</v>
      </c>
    </row>
    <row r="9" spans="1:1" ht="14.25" customHeight="1" x14ac:dyDescent="0.25">
      <c r="A9" s="3" t="s">
        <v>8</v>
      </c>
    </row>
    <row r="10" spans="1:1" ht="14.25" customHeight="1" x14ac:dyDescent="0.25">
      <c r="A10" s="3" t="s">
        <v>9</v>
      </c>
    </row>
    <row r="11" spans="1:1" ht="14.25" customHeight="1" x14ac:dyDescent="0.25">
      <c r="A11" s="3" t="s">
        <v>10</v>
      </c>
    </row>
    <row r="12" spans="1:1" ht="14.25" customHeight="1" x14ac:dyDescent="0.25">
      <c r="A12" s="3" t="s">
        <v>11</v>
      </c>
    </row>
    <row r="13" spans="1:1" ht="14.25" customHeight="1" x14ac:dyDescent="0.25">
      <c r="A13" s="3" t="s">
        <v>12</v>
      </c>
    </row>
    <row r="14" spans="1:1" ht="14.25" customHeight="1" x14ac:dyDescent="0.25">
      <c r="A14" s="2" t="s">
        <v>13</v>
      </c>
    </row>
    <row r="15" spans="1:1" ht="14.25" customHeight="1" x14ac:dyDescent="0.25">
      <c r="A15" s="3" t="s">
        <v>14</v>
      </c>
    </row>
    <row r="16" spans="1:1" ht="14.25" customHeight="1" x14ac:dyDescent="0.25">
      <c r="A16" s="3" t="s">
        <v>15</v>
      </c>
    </row>
    <row r="17" spans="1:1" ht="14.25" customHeight="1" x14ac:dyDescent="0.25">
      <c r="A17" s="3" t="s">
        <v>16</v>
      </c>
    </row>
    <row r="18" spans="1:1" ht="14.25" customHeight="1" x14ac:dyDescent="0.25">
      <c r="A18" s="3" t="s">
        <v>17</v>
      </c>
    </row>
    <row r="19" spans="1:1" ht="14.25" customHeight="1" x14ac:dyDescent="0.25">
      <c r="A19" s="3" t="s">
        <v>18</v>
      </c>
    </row>
    <row r="20" spans="1:1" ht="14.25" customHeight="1" x14ac:dyDescent="0.25">
      <c r="A20" s="3" t="s">
        <v>19</v>
      </c>
    </row>
    <row r="21" spans="1:1" ht="14.25" customHeight="1" x14ac:dyDescent="0.25">
      <c r="A21" s="2" t="s">
        <v>20</v>
      </c>
    </row>
    <row r="22" spans="1:1" ht="14.25" customHeight="1" x14ac:dyDescent="0.25">
      <c r="A22" s="3" t="s">
        <v>21</v>
      </c>
    </row>
    <row r="23" spans="1:1" ht="14.25" customHeight="1" x14ac:dyDescent="0.25">
      <c r="A23" s="3" t="s">
        <v>22</v>
      </c>
    </row>
    <row r="24" spans="1:1" ht="14.25" customHeight="1" x14ac:dyDescent="0.25">
      <c r="A24" s="3" t="s">
        <v>23</v>
      </c>
    </row>
    <row r="25" spans="1:1" ht="14.25" customHeight="1" x14ac:dyDescent="0.25">
      <c r="A25" s="2" t="s">
        <v>24</v>
      </c>
    </row>
    <row r="26" spans="1:1" ht="14.25" customHeight="1" x14ac:dyDescent="0.25">
      <c r="A26" s="3" t="s">
        <v>25</v>
      </c>
    </row>
    <row r="27" spans="1:1" ht="14.25" customHeight="1" x14ac:dyDescent="0.25">
      <c r="A27" s="3" t="s">
        <v>26</v>
      </c>
    </row>
    <row r="28" spans="1:1" ht="14.25" customHeight="1" x14ac:dyDescent="0.25">
      <c r="A28" s="3" t="s">
        <v>27</v>
      </c>
    </row>
    <row r="29" spans="1:1" ht="14.25" customHeight="1" x14ac:dyDescent="0.25">
      <c r="A29" s="2" t="s">
        <v>28</v>
      </c>
    </row>
    <row r="30" spans="1:1" ht="14.25" customHeight="1" x14ac:dyDescent="0.25">
      <c r="A30" s="4" t="s">
        <v>29</v>
      </c>
    </row>
    <row r="31" spans="1:1" ht="14.25" customHeight="1" x14ac:dyDescent="0.25">
      <c r="A31" s="4" t="s">
        <v>30</v>
      </c>
    </row>
    <row r="32" spans="1:1" ht="14.25" customHeight="1" x14ac:dyDescent="0.25">
      <c r="A32" s="4" t="s">
        <v>31</v>
      </c>
    </row>
    <row r="33" spans="1:1" ht="14.25" customHeight="1" x14ac:dyDescent="0.25">
      <c r="A33" s="4" t="s">
        <v>32</v>
      </c>
    </row>
    <row r="34" spans="1:1" ht="14.25" customHeight="1" x14ac:dyDescent="0.25">
      <c r="A34" s="4" t="s">
        <v>33</v>
      </c>
    </row>
    <row r="35" spans="1:1" ht="14.25" customHeight="1" x14ac:dyDescent="0.25"/>
    <row r="36" spans="1:1" ht="14.25" customHeight="1" x14ac:dyDescent="0.25"/>
    <row r="37" spans="1:1" ht="14.25" customHeight="1" x14ac:dyDescent="0.25"/>
    <row r="38" spans="1:1" ht="14.25" customHeight="1" x14ac:dyDescent="0.25"/>
    <row r="39" spans="1:1" ht="14.25" customHeight="1" x14ac:dyDescent="0.25"/>
    <row r="40" spans="1:1" ht="14.25" customHeight="1" x14ac:dyDescent="0.25"/>
    <row r="41" spans="1:1" ht="14.25" customHeight="1" x14ac:dyDescent="0.25"/>
    <row r="42" spans="1:1" ht="14.25" customHeight="1" x14ac:dyDescent="0.25"/>
    <row r="43" spans="1:1" ht="14.25" customHeight="1" x14ac:dyDescent="0.25"/>
    <row r="44" spans="1:1" ht="14.25" customHeight="1" x14ac:dyDescent="0.25"/>
    <row r="45" spans="1:1" ht="14.25" customHeight="1" x14ac:dyDescent="0.25"/>
    <row r="46" spans="1:1" ht="14.25" customHeight="1" x14ac:dyDescent="0.25"/>
    <row r="47" spans="1:1" ht="14.25" customHeight="1" x14ac:dyDescent="0.25"/>
    <row r="48" spans="1: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6B9D-9BD3-4A9B-9AD5-048136FAD479}">
  <dimension ref="A1:C27"/>
  <sheetViews>
    <sheetView workbookViewId="0">
      <selection activeCell="C16" sqref="C16"/>
    </sheetView>
  </sheetViews>
  <sheetFormatPr defaultRowHeight="15" x14ac:dyDescent="0.25"/>
  <cols>
    <col min="1" max="1" width="16.7109375" bestFit="1" customWidth="1"/>
    <col min="2" max="2" width="11.7109375" bestFit="1" customWidth="1"/>
    <col min="3" max="3" width="14.7109375" style="524" bestFit="1" customWidth="1"/>
    <col min="4" max="7" width="11.28515625" bestFit="1" customWidth="1"/>
  </cols>
  <sheetData>
    <row r="1" spans="1:3" x14ac:dyDescent="0.25">
      <c r="A1" t="s">
        <v>774</v>
      </c>
      <c r="B1" t="s">
        <v>804</v>
      </c>
      <c r="C1" s="523" t="s">
        <v>828</v>
      </c>
    </row>
    <row r="2" spans="1:3" x14ac:dyDescent="0.25">
      <c r="A2" t="s">
        <v>106</v>
      </c>
      <c r="B2" t="s">
        <v>805</v>
      </c>
      <c r="C2" s="524">
        <v>1996.7504309999999</v>
      </c>
    </row>
    <row r="3" spans="1:3" x14ac:dyDescent="0.25">
      <c r="A3" t="s">
        <v>106</v>
      </c>
      <c r="B3" t="s">
        <v>806</v>
      </c>
      <c r="C3" s="524">
        <v>961.81152799999995</v>
      </c>
    </row>
    <row r="4" spans="1:3" x14ac:dyDescent="0.25">
      <c r="A4" t="s">
        <v>106</v>
      </c>
      <c r="B4" t="s">
        <v>807</v>
      </c>
      <c r="C4" s="524">
        <v>1367.980092</v>
      </c>
    </row>
    <row r="5" spans="1:3" x14ac:dyDescent="0.25">
      <c r="A5" t="s">
        <v>808</v>
      </c>
      <c r="B5" t="s">
        <v>805</v>
      </c>
      <c r="C5" s="524">
        <v>464.38822099999999</v>
      </c>
    </row>
    <row r="6" spans="1:3" x14ac:dyDescent="0.25">
      <c r="A6" t="s">
        <v>808</v>
      </c>
      <c r="B6" t="s">
        <v>806</v>
      </c>
      <c r="C6" s="524">
        <v>738.12772700000005</v>
      </c>
    </row>
    <row r="7" spans="1:3" x14ac:dyDescent="0.25">
      <c r="A7" t="s">
        <v>810</v>
      </c>
      <c r="B7" t="s">
        <v>809</v>
      </c>
      <c r="C7" s="524">
        <v>208.27799999999999</v>
      </c>
    </row>
    <row r="8" spans="1:3" x14ac:dyDescent="0.25">
      <c r="A8" t="s">
        <v>810</v>
      </c>
      <c r="B8" t="s">
        <v>811</v>
      </c>
      <c r="C8" s="524">
        <v>1246.5709999999999</v>
      </c>
    </row>
    <row r="9" spans="1:3" x14ac:dyDescent="0.25">
      <c r="A9" t="s">
        <v>810</v>
      </c>
      <c r="B9" t="s">
        <v>812</v>
      </c>
      <c r="C9" s="524">
        <v>141.73699999999999</v>
      </c>
    </row>
    <row r="10" spans="1:3" x14ac:dyDescent="0.25">
      <c r="A10" t="s">
        <v>813</v>
      </c>
      <c r="B10" t="s">
        <v>811</v>
      </c>
      <c r="C10" s="524">
        <v>701.83600000000001</v>
      </c>
    </row>
    <row r="11" spans="1:3" x14ac:dyDescent="0.25">
      <c r="A11" t="s">
        <v>54</v>
      </c>
      <c r="B11" t="s">
        <v>814</v>
      </c>
      <c r="C11" s="524">
        <v>51.696950000000001</v>
      </c>
    </row>
    <row r="12" spans="1:3" x14ac:dyDescent="0.25">
      <c r="A12" t="s">
        <v>54</v>
      </c>
      <c r="B12" t="s">
        <v>815</v>
      </c>
      <c r="C12" s="524">
        <v>33.098590000000002</v>
      </c>
    </row>
    <row r="13" spans="1:3" x14ac:dyDescent="0.25">
      <c r="A13" t="s">
        <v>54</v>
      </c>
      <c r="B13" t="s">
        <v>816</v>
      </c>
      <c r="C13" s="524">
        <v>238.65392</v>
      </c>
    </row>
    <row r="14" spans="1:3" x14ac:dyDescent="0.25">
      <c r="A14" t="s">
        <v>54</v>
      </c>
      <c r="B14" t="s">
        <v>817</v>
      </c>
      <c r="C14" s="524">
        <v>221.08779999999999</v>
      </c>
    </row>
    <row r="15" spans="1:3" x14ac:dyDescent="0.25">
      <c r="A15" t="s">
        <v>54</v>
      </c>
      <c r="B15" t="s">
        <v>818</v>
      </c>
      <c r="C15" s="524">
        <v>219.96960000000001</v>
      </c>
    </row>
    <row r="16" spans="1:3" x14ac:dyDescent="0.25">
      <c r="A16" t="s">
        <v>59</v>
      </c>
      <c r="B16" t="s">
        <v>819</v>
      </c>
      <c r="C16" s="524">
        <v>0.13134000000000001</v>
      </c>
    </row>
    <row r="17" spans="1:3" x14ac:dyDescent="0.25">
      <c r="A17" t="s">
        <v>59</v>
      </c>
      <c r="B17" t="s">
        <v>820</v>
      </c>
      <c r="C17" s="524">
        <v>1.7378899999999999</v>
      </c>
    </row>
    <row r="18" spans="1:3" x14ac:dyDescent="0.25">
      <c r="A18" t="s">
        <v>59</v>
      </c>
      <c r="B18" t="s">
        <v>821</v>
      </c>
      <c r="C18" s="524">
        <v>24.803419999999999</v>
      </c>
    </row>
    <row r="19" spans="1:3" x14ac:dyDescent="0.25">
      <c r="A19" t="s">
        <v>59</v>
      </c>
      <c r="B19" t="s">
        <v>822</v>
      </c>
      <c r="C19" s="524">
        <v>6.1864220000000003</v>
      </c>
    </row>
    <row r="20" spans="1:3" x14ac:dyDescent="0.25">
      <c r="A20" t="s">
        <v>59</v>
      </c>
      <c r="B20" t="s">
        <v>823</v>
      </c>
      <c r="C20" s="524">
        <v>19.99126</v>
      </c>
    </row>
    <row r="21" spans="1:3" x14ac:dyDescent="0.25">
      <c r="A21" t="s">
        <v>59</v>
      </c>
      <c r="B21" t="s">
        <v>824</v>
      </c>
      <c r="C21" s="524">
        <v>183.82106999999999</v>
      </c>
    </row>
    <row r="22" spans="1:3" x14ac:dyDescent="0.25">
      <c r="A22" t="s">
        <v>59</v>
      </c>
      <c r="B22" t="s">
        <v>825</v>
      </c>
      <c r="C22" s="524">
        <v>410.49151000000001</v>
      </c>
    </row>
    <row r="23" spans="1:3" x14ac:dyDescent="0.25">
      <c r="A23" s="521" t="s">
        <v>826</v>
      </c>
      <c r="B23" s="521" t="s">
        <v>814</v>
      </c>
      <c r="C23" s="524">
        <v>8.88401</v>
      </c>
    </row>
    <row r="24" spans="1:3" x14ac:dyDescent="0.25">
      <c r="A24" s="521" t="s">
        <v>826</v>
      </c>
      <c r="B24" s="521" t="s">
        <v>816</v>
      </c>
      <c r="C24" s="524">
        <v>28.26182</v>
      </c>
    </row>
    <row r="25" spans="1:3" x14ac:dyDescent="0.25">
      <c r="A25" s="521" t="s">
        <v>826</v>
      </c>
      <c r="B25" s="521" t="s">
        <v>827</v>
      </c>
      <c r="C25" s="524">
        <v>32.098460000000003</v>
      </c>
    </row>
    <row r="26" spans="1:3" x14ac:dyDescent="0.25">
      <c r="A26" s="521" t="s">
        <v>826</v>
      </c>
      <c r="B26" s="521" t="s">
        <v>817</v>
      </c>
      <c r="C26" s="524">
        <v>25.095179999999999</v>
      </c>
    </row>
    <row r="27" spans="1:3" x14ac:dyDescent="0.25">
      <c r="A27" s="521" t="s">
        <v>826</v>
      </c>
      <c r="B27" s="521" t="s">
        <v>818</v>
      </c>
      <c r="C27" s="524">
        <v>20.74981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tabSelected="1" zoomScale="80" zoomScaleNormal="80" workbookViewId="0">
      <selection activeCell="A14" sqref="A14"/>
    </sheetView>
  </sheetViews>
  <sheetFormatPr defaultColWidth="14.42578125" defaultRowHeight="15" customHeight="1" x14ac:dyDescent="0.25"/>
  <cols>
    <col min="1" max="1" width="41.28515625" customWidth="1"/>
    <col min="2" max="2" width="14.7109375" customWidth="1"/>
    <col min="3" max="3" width="11.28515625" customWidth="1"/>
    <col min="4" max="4" width="14.7109375" customWidth="1"/>
    <col min="5" max="5" width="31.7109375" bestFit="1" customWidth="1"/>
    <col min="6" max="6" width="19.42578125" customWidth="1"/>
    <col min="7" max="7" width="20" customWidth="1"/>
    <col min="8" max="8" width="13.42578125" customWidth="1"/>
    <col min="9" max="9" width="15.5703125" customWidth="1"/>
    <col min="10" max="10" width="24.28515625" customWidth="1"/>
    <col min="11" max="11" width="13" customWidth="1"/>
    <col min="12" max="12" width="12.28515625" customWidth="1"/>
    <col min="13" max="13" width="14.140625" customWidth="1"/>
    <col min="14" max="14" width="26.5703125" customWidth="1"/>
    <col min="15" max="15" width="14.7109375" customWidth="1"/>
    <col min="16" max="16" width="14.140625" customWidth="1"/>
    <col min="17" max="17" width="7.7109375" customWidth="1"/>
    <col min="18" max="18" width="13.28515625" customWidth="1"/>
    <col min="19" max="26" width="14.140625" customWidth="1"/>
  </cols>
  <sheetData>
    <row r="1" spans="1:18" x14ac:dyDescent="0.25">
      <c r="A1" s="551" t="s">
        <v>34</v>
      </c>
      <c r="B1" s="552"/>
      <c r="C1" s="553"/>
      <c r="E1" s="5" t="s">
        <v>35</v>
      </c>
      <c r="F1" s="6">
        <f ca="1">SUM($B$7,$B$19,$B$26,$B$31,$B$40)</f>
        <v>1785117.22</v>
      </c>
      <c r="H1" s="7"/>
      <c r="I1" s="7"/>
      <c r="J1" s="8"/>
      <c r="K1" s="9" t="s">
        <v>36</v>
      </c>
      <c r="L1" s="10" t="s">
        <v>37</v>
      </c>
      <c r="N1" s="5" t="s">
        <v>38</v>
      </c>
      <c r="O1" s="6">
        <v>28500</v>
      </c>
      <c r="P1" s="11"/>
      <c r="Q1" s="12">
        <v>0.15</v>
      </c>
    </row>
    <row r="2" spans="1:18" x14ac:dyDescent="0.25">
      <c r="A2" s="13" t="s">
        <v>39</v>
      </c>
      <c r="B2" s="14">
        <f>'Checking Transaction Log'!G2</f>
        <v>180</v>
      </c>
      <c r="C2" s="15">
        <f t="shared" ref="C2:C6" ca="1" si="0">TODAY()</f>
        <v>46324</v>
      </c>
      <c r="E2" s="13" t="s">
        <v>40</v>
      </c>
      <c r="F2" s="16">
        <f>F14</f>
        <v>169226.55</v>
      </c>
      <c r="H2" s="17"/>
      <c r="J2" s="18" t="s">
        <v>41</v>
      </c>
      <c r="K2" s="19">
        <v>0.75</v>
      </c>
      <c r="L2" s="20">
        <f>K5/(K5+K6)</f>
        <v>0.80162650313581263</v>
      </c>
      <c r="N2" s="21" t="s">
        <v>42</v>
      </c>
      <c r="O2" s="22">
        <f>B12-O1</f>
        <v>-4875</v>
      </c>
      <c r="P2" s="11"/>
      <c r="Q2" s="23" t="s">
        <v>43</v>
      </c>
      <c r="R2" s="23">
        <f ca="1">E20*(1+$Q$1)</f>
        <v>1858274.2704999999</v>
      </c>
    </row>
    <row r="3" spans="1:18" x14ac:dyDescent="0.25">
      <c r="A3" s="13" t="s">
        <v>44</v>
      </c>
      <c r="B3" s="14">
        <v>0</v>
      </c>
      <c r="C3" s="15">
        <f t="shared" ca="1" si="0"/>
        <v>46324</v>
      </c>
      <c r="E3" s="21" t="s">
        <v>45</v>
      </c>
      <c r="F3" s="22">
        <f ca="1">F1-F2</f>
        <v>1615890.67</v>
      </c>
      <c r="H3" s="17"/>
      <c r="J3" s="18" t="s">
        <v>46</v>
      </c>
      <c r="K3" s="19">
        <v>0.25</v>
      </c>
      <c r="L3" s="20">
        <f>K6/(K5+K6)</f>
        <v>0.19837349686418734</v>
      </c>
      <c r="N3" s="5" t="s">
        <v>47</v>
      </c>
      <c r="O3" s="6">
        <v>67870.080000000002</v>
      </c>
      <c r="P3" s="11"/>
      <c r="Q3" s="23" t="s">
        <v>48</v>
      </c>
      <c r="R3" s="23">
        <f t="shared" ref="R3:R11" ca="1" si="1">R2*(1+$Q$1)</f>
        <v>2137015.4110749997</v>
      </c>
    </row>
    <row r="4" spans="1:18" x14ac:dyDescent="0.25">
      <c r="A4" s="13" t="s">
        <v>49</v>
      </c>
      <c r="B4" s="14">
        <v>0</v>
      </c>
      <c r="C4" s="15">
        <f t="shared" ca="1" si="0"/>
        <v>46324</v>
      </c>
      <c r="F4" s="7"/>
      <c r="H4" s="17"/>
      <c r="J4" s="24"/>
      <c r="K4" s="25"/>
      <c r="L4" s="26"/>
      <c r="N4" s="27" t="s">
        <v>50</v>
      </c>
      <c r="O4" s="28">
        <f>B10-O3</f>
        <v>27598.449999999997</v>
      </c>
      <c r="P4" s="11"/>
      <c r="Q4" s="23" t="s">
        <v>51</v>
      </c>
      <c r="R4" s="23">
        <f t="shared" ca="1" si="1"/>
        <v>2457567.7227362497</v>
      </c>
    </row>
    <row r="5" spans="1:18" x14ac:dyDescent="0.25">
      <c r="A5" s="13" t="s">
        <v>52</v>
      </c>
      <c r="B5" s="14">
        <f ca="1">'Checking Transaction Log'!G1</f>
        <v>7573.1299999999947</v>
      </c>
      <c r="C5" s="15">
        <f t="shared" ca="1" si="0"/>
        <v>46324</v>
      </c>
      <c r="E5" s="554" t="s">
        <v>53</v>
      </c>
      <c r="F5" s="552"/>
      <c r="G5" s="553"/>
      <c r="H5" s="17"/>
      <c r="J5" s="29" t="s">
        <v>54</v>
      </c>
      <c r="K5" s="30">
        <f>B10</f>
        <v>95468.53</v>
      </c>
      <c r="L5" s="20">
        <f ca="1">K5/F3</f>
        <v>5.9081057754977941E-2</v>
      </c>
      <c r="N5" s="5" t="s">
        <v>55</v>
      </c>
      <c r="O5" s="6"/>
      <c r="P5" s="11"/>
      <c r="Q5" s="23" t="s">
        <v>56</v>
      </c>
      <c r="R5" s="23">
        <f t="shared" ca="1" si="1"/>
        <v>2826202.8811466871</v>
      </c>
    </row>
    <row r="6" spans="1:18" x14ac:dyDescent="0.25">
      <c r="A6" s="13" t="s">
        <v>57</v>
      </c>
      <c r="B6" s="14">
        <f>'Savings Transaction Log'!A3</f>
        <v>23930.53000000001</v>
      </c>
      <c r="C6" s="15">
        <f t="shared" ca="1" si="0"/>
        <v>46324</v>
      </c>
      <c r="E6" s="31" t="s">
        <v>58</v>
      </c>
      <c r="F6" s="14">
        <v>134615.22</v>
      </c>
      <c r="G6" s="32">
        <v>46310</v>
      </c>
      <c r="H6" s="17"/>
      <c r="J6" s="18" t="s">
        <v>59</v>
      </c>
      <c r="K6" s="30">
        <f>B12</f>
        <v>23625</v>
      </c>
      <c r="L6" s="20">
        <f ca="1">K6/F3</f>
        <v>1.4620419833230426E-2</v>
      </c>
      <c r="N6" s="21" t="s">
        <v>60</v>
      </c>
      <c r="O6" s="22"/>
      <c r="P6" s="11"/>
      <c r="Q6" s="23" t="s">
        <v>61</v>
      </c>
      <c r="R6" s="23">
        <f t="shared" ca="1" si="1"/>
        <v>3250133.3133186898</v>
      </c>
    </row>
    <row r="7" spans="1:18" x14ac:dyDescent="0.25">
      <c r="A7" s="21" t="s">
        <v>62</v>
      </c>
      <c r="B7" s="33">
        <f ca="1">SUM(B2:B6)</f>
        <v>31683.660000000003</v>
      </c>
      <c r="C7" s="34">
        <f ca="1">B7/F3</f>
        <v>1.9607551790617125E-2</v>
      </c>
      <c r="E7" s="529" t="s">
        <v>834</v>
      </c>
      <c r="F7" s="14">
        <v>16806</v>
      </c>
      <c r="G7" s="32">
        <v>46310</v>
      </c>
      <c r="H7" s="7"/>
      <c r="J7" s="18" t="s">
        <v>64</v>
      </c>
      <c r="K7" s="30">
        <f>IF((B3+B4+B6)&gt;10000,(B3+B4+B6-10000),0)</f>
        <v>13930.53000000001</v>
      </c>
      <c r="L7" s="26"/>
      <c r="N7" s="35" t="s">
        <v>65</v>
      </c>
      <c r="O7" s="36">
        <f t="shared" ref="O7:O8" si="2">O1+O3+O5</f>
        <v>96370.08</v>
      </c>
      <c r="P7" s="11"/>
      <c r="Q7" s="23" t="s">
        <v>66</v>
      </c>
      <c r="R7" s="23">
        <f t="shared" ca="1" si="1"/>
        <v>3737653.3103164928</v>
      </c>
    </row>
    <row r="8" spans="1:18" x14ac:dyDescent="0.25">
      <c r="B8" s="7"/>
      <c r="C8" s="37"/>
      <c r="E8" s="529" t="s">
        <v>898</v>
      </c>
      <c r="F8" s="14">
        <v>0</v>
      </c>
      <c r="G8" s="32">
        <v>46310</v>
      </c>
      <c r="H8" s="7"/>
      <c r="I8" s="7"/>
      <c r="J8" s="18" t="s">
        <v>68</v>
      </c>
      <c r="K8" s="30">
        <f>SUM(K5:K7)</f>
        <v>133024.06</v>
      </c>
      <c r="L8" s="20">
        <f ca="1">K8/F3</f>
        <v>8.2322438311992985E-2</v>
      </c>
      <c r="N8" s="21" t="s">
        <v>69</v>
      </c>
      <c r="O8" s="22">
        <f t="shared" si="2"/>
        <v>22723.449999999997</v>
      </c>
      <c r="P8" s="11"/>
      <c r="Q8" s="23" t="s">
        <v>70</v>
      </c>
      <c r="R8" s="23">
        <f t="shared" ca="1" si="1"/>
        <v>4298301.3068639664</v>
      </c>
    </row>
    <row r="9" spans="1:18" x14ac:dyDescent="0.25">
      <c r="A9" s="551" t="s">
        <v>71</v>
      </c>
      <c r="B9" s="552"/>
      <c r="C9" s="553"/>
      <c r="E9" s="528" t="s">
        <v>839</v>
      </c>
      <c r="F9" s="526">
        <v>8840</v>
      </c>
      <c r="G9" s="527">
        <v>46310</v>
      </c>
      <c r="H9" s="7"/>
      <c r="I9" s="7"/>
      <c r="J9" s="24"/>
      <c r="K9" s="39" t="s">
        <v>72</v>
      </c>
      <c r="L9" s="26" t="s">
        <v>68</v>
      </c>
      <c r="P9" s="11"/>
      <c r="Q9" s="23" t="s">
        <v>73</v>
      </c>
      <c r="R9" s="23">
        <f t="shared" ca="1" si="1"/>
        <v>4943046.5028935606</v>
      </c>
    </row>
    <row r="10" spans="1:18" x14ac:dyDescent="0.25">
      <c r="A10" s="31" t="s">
        <v>74</v>
      </c>
      <c r="B10" s="14">
        <v>95468.53</v>
      </c>
      <c r="C10" s="15">
        <v>46312</v>
      </c>
      <c r="D10" s="17"/>
      <c r="E10" s="528" t="s">
        <v>835</v>
      </c>
      <c r="F10" s="526">
        <v>8965.33</v>
      </c>
      <c r="G10" s="527">
        <v>46310</v>
      </c>
      <c r="H10" s="17"/>
      <c r="I10" s="7"/>
      <c r="J10" s="18" t="s">
        <v>54</v>
      </c>
      <c r="K10" s="30">
        <f>(K8*K2)-K5</f>
        <v>4299.5149999999994</v>
      </c>
      <c r="L10" s="40">
        <f t="shared" ref="L10:L11" si="3">K10+K5</f>
        <v>99768.044999999998</v>
      </c>
      <c r="P10" s="11"/>
      <c r="Q10" s="23" t="s">
        <v>75</v>
      </c>
      <c r="R10" s="23">
        <f t="shared" ca="1" si="1"/>
        <v>5684503.4783275938</v>
      </c>
    </row>
    <row r="11" spans="1:18" x14ac:dyDescent="0.25">
      <c r="A11" s="31" t="s">
        <v>76</v>
      </c>
      <c r="B11" s="14">
        <v>13417.66</v>
      </c>
      <c r="C11" s="15">
        <v>46312</v>
      </c>
      <c r="D11" s="17"/>
      <c r="E11" s="528" t="s">
        <v>836</v>
      </c>
      <c r="F11" s="526">
        <v>0</v>
      </c>
      <c r="G11" s="527">
        <v>46310</v>
      </c>
      <c r="H11" s="17"/>
      <c r="I11" s="7"/>
      <c r="J11" s="43" t="s">
        <v>78</v>
      </c>
      <c r="K11" s="44">
        <f>(K8*K3)-K6</f>
        <v>9631.0149999999994</v>
      </c>
      <c r="L11" s="45">
        <f t="shared" si="3"/>
        <v>33256.014999999999</v>
      </c>
      <c r="N11" s="46" t="s">
        <v>79</v>
      </c>
      <c r="O11" s="7">
        <v>5258.27</v>
      </c>
      <c r="P11" s="11"/>
      <c r="Q11" s="23" t="s">
        <v>80</v>
      </c>
      <c r="R11" s="23">
        <f t="shared" ca="1" si="1"/>
        <v>6537179.0000767326</v>
      </c>
    </row>
    <row r="12" spans="1:18" x14ac:dyDescent="0.25">
      <c r="A12" s="47" t="s">
        <v>81</v>
      </c>
      <c r="B12" s="48">
        <v>23625</v>
      </c>
      <c r="C12" s="15">
        <v>46312</v>
      </c>
      <c r="D12" s="17"/>
      <c r="E12" s="525" t="s">
        <v>837</v>
      </c>
      <c r="F12" s="526">
        <v>0</v>
      </c>
      <c r="G12" s="527">
        <v>46310</v>
      </c>
      <c r="I12" s="7"/>
      <c r="J12" s="49"/>
      <c r="K12" s="25"/>
      <c r="L12" s="50">
        <f ca="1">L11/F3</f>
        <v>2.0580609577998246E-2</v>
      </c>
      <c r="N12" s="46" t="s">
        <v>82</v>
      </c>
      <c r="O12" s="7">
        <v>6000</v>
      </c>
      <c r="P12" s="11"/>
      <c r="Q12" s="23"/>
    </row>
    <row r="13" spans="1:18" x14ac:dyDescent="0.25">
      <c r="A13" s="27"/>
      <c r="B13" s="51"/>
      <c r="C13" s="15"/>
      <c r="D13" s="17"/>
      <c r="E13" s="525" t="s">
        <v>838</v>
      </c>
      <c r="F13" s="526">
        <v>0</v>
      </c>
      <c r="G13" s="527">
        <v>46310</v>
      </c>
      <c r="J13" s="49"/>
      <c r="K13" s="25"/>
      <c r="L13" s="11"/>
      <c r="N13" s="46" t="s">
        <v>83</v>
      </c>
      <c r="O13" s="7">
        <v>0</v>
      </c>
      <c r="P13" s="11"/>
      <c r="Q13" s="23"/>
    </row>
    <row r="14" spans="1:18" x14ac:dyDescent="0.25">
      <c r="A14" s="27"/>
      <c r="B14" s="51"/>
      <c r="C14" s="15"/>
      <c r="D14" s="17"/>
      <c r="E14" s="21" t="s">
        <v>40</v>
      </c>
      <c r="F14" s="33">
        <f>SUM(F6:F13)</f>
        <v>169226.55</v>
      </c>
      <c r="G14" s="38"/>
      <c r="J14" s="49"/>
      <c r="K14" s="25"/>
      <c r="L14" s="11"/>
      <c r="N14" s="46" t="s">
        <v>86</v>
      </c>
      <c r="O14" s="7">
        <f>B18</f>
        <v>0</v>
      </c>
      <c r="P14" s="11"/>
      <c r="Q14" s="23"/>
    </row>
    <row r="15" spans="1:18" x14ac:dyDescent="0.25">
      <c r="A15" s="47"/>
      <c r="B15" s="55"/>
      <c r="C15" s="15"/>
      <c r="F15" s="7"/>
      <c r="J15" s="57" t="s">
        <v>41</v>
      </c>
      <c r="K15" s="58">
        <f>SUM(B10:B11)</f>
        <v>108886.19</v>
      </c>
      <c r="L15" s="59">
        <f ca="1">K15/F3</f>
        <v>6.7384626956228419E-2</v>
      </c>
      <c r="N15" s="46" t="s">
        <v>87</v>
      </c>
      <c r="O15" s="7">
        <f>O14-O11-O12</f>
        <v>-11258.27</v>
      </c>
      <c r="P15" s="11"/>
      <c r="Q15" s="23"/>
    </row>
    <row r="16" spans="1:18" x14ac:dyDescent="0.25">
      <c r="A16" s="60"/>
      <c r="B16" s="51"/>
      <c r="C16" s="15"/>
      <c r="E16" s="41" t="s">
        <v>77</v>
      </c>
      <c r="F16" s="42">
        <f ca="1">SUM(B7,B10,B18,B13,B12,B17,B15,B16,B14)</f>
        <v>150777.19</v>
      </c>
      <c r="I16" s="7"/>
      <c r="J16" s="18" t="s">
        <v>46</v>
      </c>
      <c r="K16" s="63">
        <f>B12</f>
        <v>23625</v>
      </c>
      <c r="L16" s="20">
        <f ca="1">K16/F3</f>
        <v>1.4620419833230426E-2</v>
      </c>
      <c r="P16" s="11"/>
      <c r="Q16" s="23"/>
    </row>
    <row r="17" spans="1:17" x14ac:dyDescent="0.25">
      <c r="A17" s="47"/>
      <c r="B17" s="48"/>
      <c r="C17" s="15"/>
      <c r="E17" s="7"/>
      <c r="I17" s="7"/>
      <c r="J17" s="43" t="s">
        <v>90</v>
      </c>
      <c r="K17" s="64">
        <f>SUM(B13)</f>
        <v>0</v>
      </c>
      <c r="L17" s="34">
        <f ca="1">K17/F3</f>
        <v>0</v>
      </c>
      <c r="P17" s="11"/>
    </row>
    <row r="18" spans="1:17" x14ac:dyDescent="0.25">
      <c r="A18" s="47"/>
      <c r="B18" s="48"/>
      <c r="C18" s="15"/>
      <c r="E18" s="17"/>
      <c r="G18" s="7"/>
      <c r="I18" s="7"/>
      <c r="J18" s="49"/>
      <c r="K18" s="25"/>
      <c r="L18" s="11"/>
      <c r="N18" s="66" t="s">
        <v>91</v>
      </c>
      <c r="O18" s="67">
        <f>B19+B26+B31-F6</f>
        <v>1532118.3399999999</v>
      </c>
      <c r="P18" s="11"/>
    </row>
    <row r="19" spans="1:17" x14ac:dyDescent="0.25">
      <c r="A19" s="68" t="s">
        <v>92</v>
      </c>
      <c r="B19" s="33">
        <f>SUM(B10:B18)</f>
        <v>132511.19</v>
      </c>
      <c r="C19" s="34">
        <f ca="1">B19/F3</f>
        <v>8.2005046789458844E-2</v>
      </c>
      <c r="E19" s="52" t="s">
        <v>84</v>
      </c>
      <c r="F19" s="53" t="s">
        <v>85</v>
      </c>
      <c r="G19" s="54" t="s">
        <v>85</v>
      </c>
      <c r="I19" s="7"/>
      <c r="J19" s="49"/>
      <c r="K19" s="25"/>
      <c r="L19" s="11"/>
      <c r="N19" s="5" t="s">
        <v>96</v>
      </c>
      <c r="O19" s="72">
        <f>($B$22+$B$23)*0.5</f>
        <v>288756.30999999994</v>
      </c>
      <c r="P19" s="73">
        <f t="shared" ref="P19:P32" si="4">O19/$O$18</f>
        <v>0.18846867272667722</v>
      </c>
      <c r="Q19" s="74" t="s">
        <v>97</v>
      </c>
    </row>
    <row r="20" spans="1:17" x14ac:dyDescent="0.25">
      <c r="B20" s="7"/>
      <c r="C20" s="37"/>
      <c r="E20" s="56">
        <f ca="1">F3</f>
        <v>1615890.67</v>
      </c>
      <c r="F20" s="44">
        <f ca="1">E20-E22</f>
        <v>200888.24</v>
      </c>
      <c r="G20" s="34">
        <f ca="1">(E20-E22)/E22</f>
        <v>0.1419702438249523</v>
      </c>
      <c r="I20" s="7"/>
      <c r="J20" s="49" t="s">
        <v>98</v>
      </c>
      <c r="K20" s="25" t="s">
        <v>99</v>
      </c>
      <c r="L20" s="11"/>
      <c r="N20" s="13" t="s">
        <v>100</v>
      </c>
      <c r="O20" s="14">
        <f>($B$24+$B$25)*0.5</f>
        <v>268354.875</v>
      </c>
      <c r="P20" s="78">
        <f t="shared" si="4"/>
        <v>0.17515283773706411</v>
      </c>
      <c r="Q20" s="79" t="s">
        <v>101</v>
      </c>
    </row>
    <row r="21" spans="1:17" ht="15.75" customHeight="1" x14ac:dyDescent="0.25">
      <c r="A21" s="551" t="s">
        <v>102</v>
      </c>
      <c r="B21" s="552"/>
      <c r="C21" s="553"/>
      <c r="E21" s="61">
        <v>46023</v>
      </c>
      <c r="F21" s="62" t="s">
        <v>88</v>
      </c>
      <c r="G21" s="54" t="s">
        <v>89</v>
      </c>
      <c r="I21" s="7"/>
      <c r="J21" s="81">
        <v>2000000</v>
      </c>
      <c r="K21" s="50">
        <f ca="1">1-($E$20/J21)</f>
        <v>0.19205466500000001</v>
      </c>
      <c r="L21" s="11"/>
      <c r="N21" s="27" t="s">
        <v>104</v>
      </c>
      <c r="O21" s="51">
        <f>($B$10+$B$11)*0.25</f>
        <v>27221.547500000001</v>
      </c>
      <c r="P21" s="82">
        <f t="shared" si="4"/>
        <v>1.7767261698596992E-2</v>
      </c>
      <c r="Q21" s="83" t="s">
        <v>105</v>
      </c>
    </row>
    <row r="22" spans="1:17" ht="15.75" customHeight="1" x14ac:dyDescent="0.25">
      <c r="A22" s="31" t="s">
        <v>106</v>
      </c>
      <c r="B22" s="14">
        <f>-'TSP-401K'!H84</f>
        <v>439148.42999999993</v>
      </c>
      <c r="C22" s="15">
        <v>46312</v>
      </c>
      <c r="E22" s="56">
        <v>1415002.43</v>
      </c>
      <c r="F22" s="45">
        <f ca="1">((F20/(C2-E21))*365)+E22</f>
        <v>1658604.448604651</v>
      </c>
      <c r="G22" s="34">
        <f ca="1">(F22-E22)/E22</f>
        <v>0.17215660796049029</v>
      </c>
      <c r="I22" s="7"/>
      <c r="J22" s="81">
        <v>3000000</v>
      </c>
      <c r="K22" s="50">
        <f ca="1">1-($E$20/J22)</f>
        <v>0.46136977666666668</v>
      </c>
      <c r="L22" s="11"/>
      <c r="N22" s="5" t="s">
        <v>108</v>
      </c>
      <c r="O22" s="72">
        <f>($B$22+$B$23)*0.3</f>
        <v>173253.78599999996</v>
      </c>
      <c r="P22" s="73">
        <f t="shared" si="4"/>
        <v>0.11308120363600632</v>
      </c>
      <c r="Q22" s="74" t="s">
        <v>97</v>
      </c>
    </row>
    <row r="23" spans="1:17" ht="15.75" customHeight="1" x14ac:dyDescent="0.25">
      <c r="A23" s="31" t="s">
        <v>109</v>
      </c>
      <c r="B23" s="14">
        <f>-'TSP-401K'!L84</f>
        <v>138364.19</v>
      </c>
      <c r="C23" s="15">
        <f>C22</f>
        <v>46312</v>
      </c>
      <c r="E23" s="7"/>
      <c r="G23" s="65"/>
      <c r="I23" s="7"/>
      <c r="J23" s="81">
        <v>4000000</v>
      </c>
      <c r="K23" s="50">
        <f ca="1">1-($E$20/J23)</f>
        <v>0.59602733250000006</v>
      </c>
      <c r="L23" s="11"/>
      <c r="N23" s="13" t="s">
        <v>111</v>
      </c>
      <c r="O23" s="14">
        <f>($B$24+$B$25)*0.3</f>
        <v>161012.92499999999</v>
      </c>
      <c r="P23" s="78">
        <f t="shared" si="4"/>
        <v>0.10509170264223847</v>
      </c>
      <c r="Q23" s="79" t="s">
        <v>101</v>
      </c>
    </row>
    <row r="24" spans="1:17" ht="15.75" customHeight="1" x14ac:dyDescent="0.25">
      <c r="A24" s="31" t="s">
        <v>112</v>
      </c>
      <c r="B24" s="14">
        <f>-'TSP-401K'!Q84</f>
        <v>411046.00999999995</v>
      </c>
      <c r="C24" s="15">
        <f>C22</f>
        <v>46312</v>
      </c>
      <c r="E24" s="69" t="s">
        <v>93</v>
      </c>
      <c r="F24" s="70" t="s">
        <v>94</v>
      </c>
      <c r="G24" s="71" t="s">
        <v>95</v>
      </c>
      <c r="I24" s="7"/>
      <c r="J24" s="7">
        <v>5000000</v>
      </c>
      <c r="K24" s="50">
        <f ca="1">1-($E$20/J24)</f>
        <v>0.67682186600000005</v>
      </c>
      <c r="L24" s="11"/>
      <c r="N24" s="13" t="s">
        <v>113</v>
      </c>
      <c r="O24" s="14">
        <f t="shared" ref="O24:O25" si="5">($B$10+$B$11)*0.25</f>
        <v>27221.547500000001</v>
      </c>
      <c r="P24" s="78">
        <f t="shared" si="4"/>
        <v>1.7767261698596992E-2</v>
      </c>
      <c r="Q24" s="79" t="s">
        <v>105</v>
      </c>
    </row>
    <row r="25" spans="1:17" ht="15.75" customHeight="1" x14ac:dyDescent="0.25">
      <c r="A25" s="31" t="s">
        <v>114</v>
      </c>
      <c r="B25" s="14">
        <f>-'TSP-401K'!V84</f>
        <v>125663.74000000006</v>
      </c>
      <c r="C25" s="15">
        <f>C22</f>
        <v>46312</v>
      </c>
      <c r="E25" s="75" t="s">
        <v>34</v>
      </c>
      <c r="F25" s="76">
        <f ca="1">B7</f>
        <v>31683.660000000003</v>
      </c>
      <c r="G25" s="77">
        <f t="shared" ref="G25:G31" ca="1" si="6">F25/SUM($F$25:$F$31)</f>
        <v>1.9393852956731242E-2</v>
      </c>
      <c r="I25" s="7"/>
      <c r="J25" s="84"/>
      <c r="K25" s="25"/>
      <c r="L25" s="11"/>
      <c r="N25" s="27" t="s">
        <v>116</v>
      </c>
      <c r="O25" s="51">
        <f t="shared" si="5"/>
        <v>27221.547500000001</v>
      </c>
      <c r="P25" s="82">
        <f t="shared" si="4"/>
        <v>1.7767261698596992E-2</v>
      </c>
      <c r="Q25" s="83" t="s">
        <v>105</v>
      </c>
    </row>
    <row r="26" spans="1:17" ht="15.75" customHeight="1" x14ac:dyDescent="0.25">
      <c r="A26" s="21" t="s">
        <v>117</v>
      </c>
      <c r="B26" s="33">
        <f>SUM(B22:B25)</f>
        <v>1114222.3699999999</v>
      </c>
      <c r="C26" s="34">
        <f ca="1">B26/F3</f>
        <v>0.68954069151225428</v>
      </c>
      <c r="E26" s="80" t="s">
        <v>103</v>
      </c>
      <c r="F26" s="30">
        <f>(B11)</f>
        <v>13417.66</v>
      </c>
      <c r="G26" s="20">
        <f t="shared" ca="1" si="6"/>
        <v>8.2130702407302216E-3</v>
      </c>
      <c r="I26" s="7"/>
      <c r="J26" s="49"/>
      <c r="K26" s="25"/>
      <c r="L26" s="11"/>
      <c r="N26" s="5" t="s">
        <v>119</v>
      </c>
      <c r="O26" s="72">
        <f>($B$22+$B$23)*0.2</f>
        <v>115502.52399999998</v>
      </c>
      <c r="P26" s="73">
        <f t="shared" si="4"/>
        <v>7.5387469090670886E-2</v>
      </c>
      <c r="Q26" s="74" t="s">
        <v>97</v>
      </c>
    </row>
    <row r="27" spans="1:17" ht="15.75" customHeight="1" x14ac:dyDescent="0.25">
      <c r="B27" s="7"/>
      <c r="C27" s="37"/>
      <c r="E27" s="80" t="s">
        <v>107</v>
      </c>
      <c r="F27" s="30">
        <f>B10</f>
        <v>95468.53</v>
      </c>
      <c r="G27" s="20">
        <f t="shared" ca="1" si="6"/>
        <v>5.8437144976788827E-2</v>
      </c>
      <c r="I27" s="7"/>
      <c r="J27" s="49"/>
      <c r="K27" s="25"/>
      <c r="L27" s="11"/>
      <c r="N27" s="13" t="s">
        <v>120</v>
      </c>
      <c r="O27" s="14">
        <f>($B$24+$B$25)*0.2</f>
        <v>107341.95000000001</v>
      </c>
      <c r="P27" s="78">
        <f t="shared" si="4"/>
        <v>7.0061135094825658E-2</v>
      </c>
      <c r="Q27" s="79" t="s">
        <v>101</v>
      </c>
    </row>
    <row r="28" spans="1:17" ht="15.75" customHeight="1" x14ac:dyDescent="0.25">
      <c r="A28" s="551" t="s">
        <v>115</v>
      </c>
      <c r="B28" s="552"/>
      <c r="C28" s="553"/>
      <c r="E28" s="80" t="s">
        <v>110</v>
      </c>
      <c r="F28" s="30">
        <f>B12</f>
        <v>23625</v>
      </c>
      <c r="G28" s="20">
        <f t="shared" ca="1" si="6"/>
        <v>1.4461074765439837E-2</v>
      </c>
      <c r="I28" s="7"/>
      <c r="J28" s="49"/>
      <c r="K28" s="25"/>
      <c r="L28" s="11"/>
      <c r="N28" s="13" t="s">
        <v>121</v>
      </c>
      <c r="O28" s="14">
        <f t="shared" ref="O28:O29" si="7">($B$10+$B$11)*0.1</f>
        <v>10888.619000000001</v>
      </c>
      <c r="P28" s="78">
        <f t="shared" si="4"/>
        <v>7.1069046794387967E-3</v>
      </c>
      <c r="Q28" s="79" t="s">
        <v>105</v>
      </c>
    </row>
    <row r="29" spans="1:17" ht="15.75" customHeight="1" x14ac:dyDescent="0.25">
      <c r="A29" s="31" t="s">
        <v>122</v>
      </c>
      <c r="B29" s="14">
        <v>315000</v>
      </c>
      <c r="C29" s="15">
        <v>46305</v>
      </c>
      <c r="E29" s="80" t="s">
        <v>102</v>
      </c>
      <c r="F29" s="30">
        <f>B26</f>
        <v>1114222.3699999999</v>
      </c>
      <c r="G29" s="20">
        <f t="shared" ca="1" si="6"/>
        <v>0.68202552372044734</v>
      </c>
      <c r="H29" s="86"/>
      <c r="I29" s="7"/>
      <c r="J29" s="49"/>
      <c r="K29" s="25"/>
      <c r="L29" s="11"/>
      <c r="N29" s="27" t="s">
        <v>123</v>
      </c>
      <c r="O29" s="51">
        <f t="shared" si="7"/>
        <v>10888.619000000001</v>
      </c>
      <c r="P29" s="82">
        <f t="shared" si="4"/>
        <v>7.1069046794387967E-3</v>
      </c>
      <c r="Q29" s="83" t="s">
        <v>105</v>
      </c>
    </row>
    <row r="30" spans="1:17" ht="15.75" customHeight="1" x14ac:dyDescent="0.25">
      <c r="A30" s="31" t="s">
        <v>124</v>
      </c>
      <c r="B30" s="14">
        <v>105000</v>
      </c>
      <c r="C30" s="15">
        <v>46305</v>
      </c>
      <c r="E30" s="80" t="s">
        <v>115</v>
      </c>
      <c r="F30" s="30">
        <f>B31-F6</f>
        <v>285384.78000000003</v>
      </c>
      <c r="G30" s="20">
        <f t="shared" ca="1" si="6"/>
        <v>0.17468658795761269</v>
      </c>
      <c r="H30" s="86"/>
      <c r="I30" s="7"/>
      <c r="J30" s="49"/>
      <c r="K30" s="25"/>
      <c r="L30" s="11"/>
      <c r="N30" s="5" t="s">
        <v>115</v>
      </c>
      <c r="O30" s="72">
        <f>B31-F6</f>
        <v>285384.78000000003</v>
      </c>
      <c r="P30" s="73">
        <f t="shared" si="4"/>
        <v>0.18626810511255942</v>
      </c>
      <c r="Q30" s="74" t="s">
        <v>125</v>
      </c>
    </row>
    <row r="31" spans="1:17" ht="15.75" customHeight="1" x14ac:dyDescent="0.25">
      <c r="A31" s="21" t="s">
        <v>126</v>
      </c>
      <c r="B31" s="33">
        <f>SUM(B29:B30)</f>
        <v>420000</v>
      </c>
      <c r="C31" s="34">
        <f ca="1">(B31-F6)/F3</f>
        <v>0.17661144116885089</v>
      </c>
      <c r="E31" s="85" t="s">
        <v>118</v>
      </c>
      <c r="F31" s="44">
        <f>B40-F8-F7</f>
        <v>69894</v>
      </c>
      <c r="G31" s="34">
        <f t="shared" ca="1" si="6"/>
        <v>4.2782745382249819E-2</v>
      </c>
      <c r="I31" s="7"/>
      <c r="J31" s="49"/>
      <c r="K31" s="25"/>
      <c r="L31" s="11"/>
      <c r="N31" s="27" t="s">
        <v>127</v>
      </c>
      <c r="O31" s="51">
        <f>($B$10+$B$11)*0.05</f>
        <v>5444.3095000000003</v>
      </c>
      <c r="P31" s="82">
        <f t="shared" si="4"/>
        <v>3.5534523397193984E-3</v>
      </c>
      <c r="Q31" s="83" t="s">
        <v>105</v>
      </c>
    </row>
    <row r="32" spans="1:17" ht="15" customHeight="1" x14ac:dyDescent="0.25">
      <c r="E32" s="7"/>
      <c r="G32" s="7"/>
      <c r="N32" s="41" t="s">
        <v>46</v>
      </c>
      <c r="O32" s="87">
        <f>B12</f>
        <v>23625</v>
      </c>
      <c r="P32" s="88">
        <f t="shared" si="4"/>
        <v>1.5419827165569992E-2</v>
      </c>
      <c r="Q32" s="89" t="s">
        <v>59</v>
      </c>
    </row>
    <row r="33" spans="1:16" ht="15.75" customHeight="1" x14ac:dyDescent="0.25">
      <c r="A33" s="551" t="s">
        <v>118</v>
      </c>
      <c r="B33" s="552"/>
      <c r="C33" s="553"/>
      <c r="D33" s="11"/>
      <c r="E33" s="7"/>
      <c r="G33" s="7"/>
      <c r="H33" s="11"/>
      <c r="I33" s="39"/>
      <c r="J33" s="86"/>
      <c r="P33" s="11"/>
    </row>
    <row r="34" spans="1:16" ht="15.75" customHeight="1" x14ac:dyDescent="0.25">
      <c r="A34" s="13" t="s">
        <v>128</v>
      </c>
      <c r="B34" s="14">
        <v>21500</v>
      </c>
      <c r="C34" s="15">
        <v>46305</v>
      </c>
      <c r="D34" s="25"/>
      <c r="E34" s="17"/>
      <c r="G34" s="7"/>
      <c r="H34" s="25"/>
      <c r="I34" s="25"/>
      <c r="J34" s="90"/>
      <c r="P34" s="11"/>
    </row>
    <row r="35" spans="1:16" ht="15.75" customHeight="1" x14ac:dyDescent="0.25">
      <c r="A35" s="13" t="s">
        <v>129</v>
      </c>
      <c r="B35" s="14">
        <v>20500</v>
      </c>
      <c r="C35" s="15">
        <v>46305</v>
      </c>
      <c r="D35" s="25"/>
      <c r="E35" s="17"/>
      <c r="F35" s="86"/>
      <c r="G35" s="7"/>
      <c r="H35" s="25"/>
      <c r="I35" s="25"/>
      <c r="J35" s="90"/>
      <c r="N35" s="5" t="s">
        <v>130</v>
      </c>
      <c r="O35" s="72">
        <f>SUM(O19:O21)</f>
        <v>584332.73249999993</v>
      </c>
      <c r="P35" s="59">
        <f t="shared" ref="P35:P39" si="8">O35/$O$18</f>
        <v>0.3813887721623383</v>
      </c>
    </row>
    <row r="36" spans="1:16" ht="15.75" customHeight="1" x14ac:dyDescent="0.25">
      <c r="A36" s="13" t="s">
        <v>131</v>
      </c>
      <c r="B36" s="14">
        <v>9000</v>
      </c>
      <c r="C36" s="15">
        <v>46305</v>
      </c>
      <c r="D36" s="25"/>
      <c r="E36" s="7"/>
      <c r="F36" s="86"/>
      <c r="G36" s="7"/>
      <c r="H36" s="25"/>
      <c r="I36" s="25"/>
      <c r="J36" s="90"/>
      <c r="N36" s="13" t="s">
        <v>132</v>
      </c>
      <c r="O36" s="14">
        <f>SUM(O22:O25)</f>
        <v>388709.80599999992</v>
      </c>
      <c r="P36" s="20">
        <f t="shared" si="8"/>
        <v>0.25370742967543874</v>
      </c>
    </row>
    <row r="37" spans="1:16" ht="15.75" customHeight="1" x14ac:dyDescent="0.25">
      <c r="A37" s="13" t="s">
        <v>891</v>
      </c>
      <c r="B37" s="14">
        <v>2700</v>
      </c>
      <c r="C37" s="15">
        <v>46305</v>
      </c>
      <c r="D37" s="86"/>
      <c r="I37" s="7"/>
      <c r="N37" s="13" t="s">
        <v>134</v>
      </c>
      <c r="O37" s="14">
        <f>SUM(O26:O29)</f>
        <v>244621.712</v>
      </c>
      <c r="P37" s="20">
        <f t="shared" si="8"/>
        <v>0.15966241354437413</v>
      </c>
    </row>
    <row r="38" spans="1:16" ht="15.75" customHeight="1" x14ac:dyDescent="0.25">
      <c r="A38" s="13" t="s">
        <v>133</v>
      </c>
      <c r="B38" s="14">
        <v>23000</v>
      </c>
      <c r="C38" s="15">
        <v>46305</v>
      </c>
      <c r="D38" s="86"/>
      <c r="E38" s="39"/>
      <c r="F38" s="11"/>
      <c r="G38" s="39"/>
      <c r="I38" s="7"/>
      <c r="N38" s="13" t="s">
        <v>115</v>
      </c>
      <c r="O38" s="14">
        <f>O30+O31</f>
        <v>290829.0895</v>
      </c>
      <c r="P38" s="20">
        <f t="shared" si="8"/>
        <v>0.1898215574522788</v>
      </c>
    </row>
    <row r="39" spans="1:16" ht="15" customHeight="1" x14ac:dyDescent="0.25">
      <c r="A39" s="546" t="s">
        <v>973</v>
      </c>
      <c r="B39" s="526">
        <v>10000</v>
      </c>
      <c r="C39" s="15">
        <v>46305</v>
      </c>
      <c r="E39" s="25"/>
      <c r="F39" s="25"/>
      <c r="G39" s="25"/>
      <c r="N39" s="27" t="s">
        <v>46</v>
      </c>
      <c r="O39" s="51">
        <f>O32</f>
        <v>23625</v>
      </c>
      <c r="P39" s="91">
        <f t="shared" si="8"/>
        <v>1.5419827165569992E-2</v>
      </c>
    </row>
    <row r="40" spans="1:16" ht="15" customHeight="1" x14ac:dyDescent="0.25">
      <c r="A40" s="21" t="s">
        <v>135</v>
      </c>
      <c r="B40" s="33">
        <f>SUM(B34:B39)</f>
        <v>86700</v>
      </c>
      <c r="C40" s="34">
        <f ca="1">(B40-F8-F7)/F3</f>
        <v>4.3254163971378087E-2</v>
      </c>
      <c r="E40" s="25"/>
      <c r="F40" s="25"/>
      <c r="G40" s="25"/>
      <c r="N40" s="93" t="s">
        <v>137</v>
      </c>
      <c r="O40" s="94">
        <f t="shared" ref="O40:P40" si="9">SUM(O35:O39)</f>
        <v>1532118.3399999999</v>
      </c>
      <c r="P40" s="95">
        <f t="shared" si="9"/>
        <v>1</v>
      </c>
    </row>
    <row r="41" spans="1:16" ht="15" customHeight="1" x14ac:dyDescent="0.25">
      <c r="E41" s="25"/>
      <c r="F41" s="25"/>
      <c r="G41" s="25"/>
      <c r="P41" s="11"/>
    </row>
    <row r="42" spans="1:16" ht="15" customHeight="1" x14ac:dyDescent="0.25">
      <c r="A42" s="92" t="s">
        <v>136</v>
      </c>
      <c r="E42" s="7"/>
      <c r="G42" s="7"/>
      <c r="P42" s="11"/>
    </row>
    <row r="43" spans="1:16" ht="15.75" customHeight="1" x14ac:dyDescent="0.25">
      <c r="A43" s="92" t="s">
        <v>138</v>
      </c>
      <c r="E43" s="7"/>
      <c r="G43" s="7"/>
      <c r="P43" s="11"/>
    </row>
    <row r="44" spans="1:16" ht="15.75" customHeight="1" x14ac:dyDescent="0.25">
      <c r="A44" s="92" t="s">
        <v>139</v>
      </c>
      <c r="P44" s="11"/>
    </row>
    <row r="45" spans="1:16" ht="15.75" customHeight="1" x14ac:dyDescent="0.25">
      <c r="P45" s="11"/>
    </row>
    <row r="46" spans="1:16" ht="15.75" customHeight="1" x14ac:dyDescent="0.25">
      <c r="P46" s="11"/>
    </row>
    <row r="47" spans="1:16" ht="15.75" customHeight="1" x14ac:dyDescent="0.25">
      <c r="P47" s="11"/>
    </row>
    <row r="48" spans="1:16" ht="15.75" customHeight="1" x14ac:dyDescent="0.25">
      <c r="P48" s="11"/>
    </row>
    <row r="49" spans="16:16" ht="15.75" customHeight="1" x14ac:dyDescent="0.25">
      <c r="P49" s="11"/>
    </row>
    <row r="50" spans="16:16" ht="15.75" customHeight="1" x14ac:dyDescent="0.25">
      <c r="P50" s="11"/>
    </row>
    <row r="51" spans="16:16" ht="15.75" customHeight="1" x14ac:dyDescent="0.25">
      <c r="P51" s="11"/>
    </row>
    <row r="52" spans="16:16" ht="15.75" customHeight="1" x14ac:dyDescent="0.25">
      <c r="P52" s="11"/>
    </row>
    <row r="53" spans="16:16" ht="15.75" customHeight="1" x14ac:dyDescent="0.25">
      <c r="P53" s="11"/>
    </row>
    <row r="54" spans="16:16" ht="15.75" customHeight="1" x14ac:dyDescent="0.25">
      <c r="P54" s="11"/>
    </row>
    <row r="55" spans="16:16" ht="15.75" customHeight="1" x14ac:dyDescent="0.25">
      <c r="P55" s="11"/>
    </row>
    <row r="56" spans="16:16" ht="15.75" customHeight="1" x14ac:dyDescent="0.25">
      <c r="P56" s="11"/>
    </row>
    <row r="57" spans="16:16" ht="15.75" customHeight="1" x14ac:dyDescent="0.25">
      <c r="P57" s="11"/>
    </row>
    <row r="58" spans="16:16" ht="15.75" customHeight="1" x14ac:dyDescent="0.25">
      <c r="P58" s="11"/>
    </row>
    <row r="59" spans="16:16" ht="15.75" customHeight="1" x14ac:dyDescent="0.25">
      <c r="P59" s="11"/>
    </row>
    <row r="60" spans="16:16" ht="15.75" customHeight="1" x14ac:dyDescent="0.25">
      <c r="P60" s="11"/>
    </row>
    <row r="61" spans="16:16" ht="15.75" customHeight="1" x14ac:dyDescent="0.25">
      <c r="P61" s="11"/>
    </row>
    <row r="62" spans="16:16" ht="15.75" customHeight="1" x14ac:dyDescent="0.25">
      <c r="P62" s="11"/>
    </row>
    <row r="63" spans="16:16" ht="15.75" customHeight="1" x14ac:dyDescent="0.25">
      <c r="P63" s="11"/>
    </row>
    <row r="64" spans="16:16" ht="15.75" customHeight="1" x14ac:dyDescent="0.25">
      <c r="P64" s="11"/>
    </row>
    <row r="65" spans="16:16" ht="15.75" customHeight="1" x14ac:dyDescent="0.25">
      <c r="P65" s="11"/>
    </row>
    <row r="66" spans="16:16" ht="15.75" customHeight="1" x14ac:dyDescent="0.25">
      <c r="P66" s="11"/>
    </row>
    <row r="67" spans="16:16" ht="15.75" customHeight="1" x14ac:dyDescent="0.25">
      <c r="P67" s="11"/>
    </row>
    <row r="68" spans="16:16" ht="15.75" customHeight="1" x14ac:dyDescent="0.25">
      <c r="P68" s="11"/>
    </row>
    <row r="69" spans="16:16" ht="15.75" customHeight="1" x14ac:dyDescent="0.25">
      <c r="P69" s="11"/>
    </row>
    <row r="70" spans="16:16" ht="15.75" customHeight="1" x14ac:dyDescent="0.25">
      <c r="P70" s="11"/>
    </row>
    <row r="71" spans="16:16" ht="15.75" customHeight="1" x14ac:dyDescent="0.25">
      <c r="P71" s="11"/>
    </row>
    <row r="72" spans="16:16" ht="15.75" customHeight="1" x14ac:dyDescent="0.25">
      <c r="P72" s="11"/>
    </row>
    <row r="73" spans="16:16" ht="15.75" customHeight="1" x14ac:dyDescent="0.25">
      <c r="P73" s="11"/>
    </row>
    <row r="74" spans="16:16" ht="15.75" customHeight="1" x14ac:dyDescent="0.25">
      <c r="P74" s="11"/>
    </row>
    <row r="75" spans="16:16" ht="15.75" customHeight="1" x14ac:dyDescent="0.25">
      <c r="P75" s="11"/>
    </row>
    <row r="76" spans="16:16" ht="15.75" customHeight="1" x14ac:dyDescent="0.25">
      <c r="P76" s="11"/>
    </row>
    <row r="77" spans="16:16" ht="15.75" customHeight="1" x14ac:dyDescent="0.25">
      <c r="P77" s="11"/>
    </row>
    <row r="78" spans="16:16" ht="15.75" customHeight="1" x14ac:dyDescent="0.25">
      <c r="P78" s="11"/>
    </row>
    <row r="79" spans="16:16" ht="15.75" customHeight="1" x14ac:dyDescent="0.25">
      <c r="P79" s="11"/>
    </row>
    <row r="80" spans="16:16" ht="15.75" customHeight="1" x14ac:dyDescent="0.25">
      <c r="P80" s="11"/>
    </row>
    <row r="81" spans="16:16" ht="15.75" customHeight="1" x14ac:dyDescent="0.25">
      <c r="P81" s="11"/>
    </row>
    <row r="82" spans="16:16" ht="15.75" customHeight="1" x14ac:dyDescent="0.25">
      <c r="P82" s="11"/>
    </row>
    <row r="83" spans="16:16" ht="15.75" customHeight="1" x14ac:dyDescent="0.25">
      <c r="P83" s="11"/>
    </row>
    <row r="84" spans="16:16" ht="15.75" customHeight="1" x14ac:dyDescent="0.25">
      <c r="P84" s="11"/>
    </row>
    <row r="85" spans="16:16" ht="15.75" customHeight="1" x14ac:dyDescent="0.25">
      <c r="P85" s="11"/>
    </row>
    <row r="86" spans="16:16" ht="15.75" customHeight="1" x14ac:dyDescent="0.25">
      <c r="P86" s="11"/>
    </row>
    <row r="87" spans="16:16" ht="15.75" customHeight="1" x14ac:dyDescent="0.25">
      <c r="P87" s="11"/>
    </row>
    <row r="88" spans="16:16" ht="15.75" customHeight="1" x14ac:dyDescent="0.25">
      <c r="P88" s="11"/>
    </row>
    <row r="89" spans="16:16" ht="15.75" customHeight="1" x14ac:dyDescent="0.25">
      <c r="P89" s="11"/>
    </row>
    <row r="90" spans="16:16" ht="15.75" customHeight="1" x14ac:dyDescent="0.25">
      <c r="P90" s="11"/>
    </row>
    <row r="91" spans="16:16" ht="15.75" customHeight="1" x14ac:dyDescent="0.25">
      <c r="P91" s="11"/>
    </row>
    <row r="92" spans="16:16" ht="15.75" customHeight="1" x14ac:dyDescent="0.25">
      <c r="P92" s="11"/>
    </row>
    <row r="93" spans="16:16" ht="15.75" customHeight="1" x14ac:dyDescent="0.25">
      <c r="P93" s="11"/>
    </row>
    <row r="94" spans="16:16" ht="15.75" customHeight="1" x14ac:dyDescent="0.25">
      <c r="P94" s="11"/>
    </row>
    <row r="95" spans="16:16" ht="15.75" customHeight="1" x14ac:dyDescent="0.25">
      <c r="P95" s="11"/>
    </row>
    <row r="96" spans="16:16" ht="15.75" customHeight="1" x14ac:dyDescent="0.25">
      <c r="P96" s="11"/>
    </row>
    <row r="97" spans="16:16" ht="15.75" customHeight="1" x14ac:dyDescent="0.25">
      <c r="P97" s="11"/>
    </row>
    <row r="98" spans="16:16" ht="15.75" customHeight="1" x14ac:dyDescent="0.25">
      <c r="P98" s="11"/>
    </row>
    <row r="99" spans="16:16" ht="15.75" customHeight="1" x14ac:dyDescent="0.25">
      <c r="P99" s="11"/>
    </row>
    <row r="100" spans="16:16" ht="15.75" customHeight="1" x14ac:dyDescent="0.25">
      <c r="P100" s="11"/>
    </row>
    <row r="101" spans="16:16" ht="15.75" customHeight="1" x14ac:dyDescent="0.25">
      <c r="P101" s="11"/>
    </row>
    <row r="102" spans="16:16" ht="15.75" customHeight="1" x14ac:dyDescent="0.25">
      <c r="P102" s="11"/>
    </row>
    <row r="103" spans="16:16" ht="15.75" customHeight="1" x14ac:dyDescent="0.25">
      <c r="P103" s="11"/>
    </row>
    <row r="104" spans="16:16" ht="15.75" customHeight="1" x14ac:dyDescent="0.25">
      <c r="P104" s="11"/>
    </row>
    <row r="105" spans="16:16" ht="15.75" customHeight="1" x14ac:dyDescent="0.25">
      <c r="P105" s="11"/>
    </row>
    <row r="106" spans="16:16" ht="15.75" customHeight="1" x14ac:dyDescent="0.25">
      <c r="P106" s="11"/>
    </row>
    <row r="107" spans="16:16" ht="15.75" customHeight="1" x14ac:dyDescent="0.25">
      <c r="P107" s="11"/>
    </row>
    <row r="108" spans="16:16" ht="15.75" customHeight="1" x14ac:dyDescent="0.25">
      <c r="P108" s="11"/>
    </row>
    <row r="109" spans="16:16" ht="15.75" customHeight="1" x14ac:dyDescent="0.25">
      <c r="P109" s="11"/>
    </row>
    <row r="110" spans="16:16" ht="15.75" customHeight="1" x14ac:dyDescent="0.25">
      <c r="P110" s="11"/>
    </row>
    <row r="111" spans="16:16" ht="15.75" customHeight="1" x14ac:dyDescent="0.25">
      <c r="P111" s="11"/>
    </row>
    <row r="112" spans="16:16" ht="15.75" customHeight="1" x14ac:dyDescent="0.25">
      <c r="P112" s="11"/>
    </row>
    <row r="113" spans="16:16" ht="15.75" customHeight="1" x14ac:dyDescent="0.25">
      <c r="P113" s="11"/>
    </row>
    <row r="114" spans="16:16" ht="15.75" customHeight="1" x14ac:dyDescent="0.25">
      <c r="P114" s="11"/>
    </row>
    <row r="115" spans="16:16" ht="15.75" customHeight="1" x14ac:dyDescent="0.25">
      <c r="P115" s="11"/>
    </row>
    <row r="116" spans="16:16" ht="15.75" customHeight="1" x14ac:dyDescent="0.25">
      <c r="P116" s="11"/>
    </row>
    <row r="117" spans="16:16" ht="15.75" customHeight="1" x14ac:dyDescent="0.25">
      <c r="P117" s="11"/>
    </row>
    <row r="118" spans="16:16" ht="15.75" customHeight="1" x14ac:dyDescent="0.25">
      <c r="P118" s="11"/>
    </row>
    <row r="119" spans="16:16" ht="15.75" customHeight="1" x14ac:dyDescent="0.25">
      <c r="P119" s="11"/>
    </row>
    <row r="120" spans="16:16" ht="15.75" customHeight="1" x14ac:dyDescent="0.25">
      <c r="P120" s="11"/>
    </row>
    <row r="121" spans="16:16" ht="15.75" customHeight="1" x14ac:dyDescent="0.25">
      <c r="P121" s="11"/>
    </row>
    <row r="122" spans="16:16" ht="15.75" customHeight="1" x14ac:dyDescent="0.25">
      <c r="P122" s="11"/>
    </row>
    <row r="123" spans="16:16" ht="15.75" customHeight="1" x14ac:dyDescent="0.25">
      <c r="P123" s="11"/>
    </row>
    <row r="124" spans="16:16" ht="15.75" customHeight="1" x14ac:dyDescent="0.25">
      <c r="P124" s="11"/>
    </row>
    <row r="125" spans="16:16" ht="15.75" customHeight="1" x14ac:dyDescent="0.25">
      <c r="P125" s="11"/>
    </row>
    <row r="126" spans="16:16" ht="15.75" customHeight="1" x14ac:dyDescent="0.25">
      <c r="P126" s="11"/>
    </row>
    <row r="127" spans="16:16" ht="15.75" customHeight="1" x14ac:dyDescent="0.25">
      <c r="P127" s="11"/>
    </row>
    <row r="128" spans="16:16" ht="15.75" customHeight="1" x14ac:dyDescent="0.25">
      <c r="P128" s="11"/>
    </row>
    <row r="129" spans="16:16" ht="15.75" customHeight="1" x14ac:dyDescent="0.25">
      <c r="P129" s="11"/>
    </row>
    <row r="130" spans="16:16" ht="15.75" customHeight="1" x14ac:dyDescent="0.25">
      <c r="P130" s="11"/>
    </row>
    <row r="131" spans="16:16" ht="15.75" customHeight="1" x14ac:dyDescent="0.25">
      <c r="P131" s="11"/>
    </row>
    <row r="132" spans="16:16" ht="15.75" customHeight="1" x14ac:dyDescent="0.25">
      <c r="P132" s="11"/>
    </row>
    <row r="133" spans="16:16" ht="15.75" customHeight="1" x14ac:dyDescent="0.25">
      <c r="P133" s="11"/>
    </row>
    <row r="134" spans="16:16" ht="15.75" customHeight="1" x14ac:dyDescent="0.25">
      <c r="P134" s="11"/>
    </row>
    <row r="135" spans="16:16" ht="15.75" customHeight="1" x14ac:dyDescent="0.25">
      <c r="P135" s="11"/>
    </row>
    <row r="136" spans="16:16" ht="15.75" customHeight="1" x14ac:dyDescent="0.25">
      <c r="P136" s="11"/>
    </row>
    <row r="137" spans="16:16" ht="15.75" customHeight="1" x14ac:dyDescent="0.25">
      <c r="P137" s="11"/>
    </row>
    <row r="138" spans="16:16" ht="15.75" customHeight="1" x14ac:dyDescent="0.25">
      <c r="P138" s="11"/>
    </row>
    <row r="139" spans="16:16" ht="15.75" customHeight="1" x14ac:dyDescent="0.25">
      <c r="P139" s="11"/>
    </row>
    <row r="140" spans="16:16" ht="15.75" customHeight="1" x14ac:dyDescent="0.25">
      <c r="P140" s="11"/>
    </row>
    <row r="141" spans="16:16" ht="15.75" customHeight="1" x14ac:dyDescent="0.25">
      <c r="P141" s="11"/>
    </row>
    <row r="142" spans="16:16" ht="15.75" customHeight="1" x14ac:dyDescent="0.25">
      <c r="P142" s="11"/>
    </row>
    <row r="143" spans="16:16" ht="15.75" customHeight="1" x14ac:dyDescent="0.25">
      <c r="P143" s="11"/>
    </row>
    <row r="144" spans="16:16" ht="15.75" customHeight="1" x14ac:dyDescent="0.25">
      <c r="P144" s="11"/>
    </row>
    <row r="145" spans="16:16" ht="15.75" customHeight="1" x14ac:dyDescent="0.25">
      <c r="P145" s="11"/>
    </row>
    <row r="146" spans="16:16" ht="15.75" customHeight="1" x14ac:dyDescent="0.25">
      <c r="P146" s="11"/>
    </row>
    <row r="147" spans="16:16" ht="15.75" customHeight="1" x14ac:dyDescent="0.25">
      <c r="P147" s="11"/>
    </row>
    <row r="148" spans="16:16" ht="15.75" customHeight="1" x14ac:dyDescent="0.25">
      <c r="P148" s="11"/>
    </row>
    <row r="149" spans="16:16" ht="15.75" customHeight="1" x14ac:dyDescent="0.25">
      <c r="P149" s="11"/>
    </row>
    <row r="150" spans="16:16" ht="15.75" customHeight="1" x14ac:dyDescent="0.25">
      <c r="P150" s="11"/>
    </row>
    <row r="151" spans="16:16" ht="15.75" customHeight="1" x14ac:dyDescent="0.25">
      <c r="P151" s="11"/>
    </row>
    <row r="152" spans="16:16" ht="15.75" customHeight="1" x14ac:dyDescent="0.25">
      <c r="P152" s="11"/>
    </row>
    <row r="153" spans="16:16" ht="15.75" customHeight="1" x14ac:dyDescent="0.25">
      <c r="P153" s="11"/>
    </row>
    <row r="154" spans="16:16" ht="15.75" customHeight="1" x14ac:dyDescent="0.25">
      <c r="P154" s="11"/>
    </row>
    <row r="155" spans="16:16" ht="15.75" customHeight="1" x14ac:dyDescent="0.25">
      <c r="P155" s="11"/>
    </row>
    <row r="156" spans="16:16" ht="15.75" customHeight="1" x14ac:dyDescent="0.25">
      <c r="P156" s="11"/>
    </row>
    <row r="157" spans="16:16" ht="15.75" customHeight="1" x14ac:dyDescent="0.25">
      <c r="P157" s="11"/>
    </row>
    <row r="158" spans="16:16" ht="15.75" customHeight="1" x14ac:dyDescent="0.25">
      <c r="P158" s="11"/>
    </row>
    <row r="159" spans="16:16" ht="15.75" customHeight="1" x14ac:dyDescent="0.25">
      <c r="P159" s="11"/>
    </row>
    <row r="160" spans="16:16" ht="15.75" customHeight="1" x14ac:dyDescent="0.25">
      <c r="P160" s="11"/>
    </row>
    <row r="161" spans="16:16" ht="15.75" customHeight="1" x14ac:dyDescent="0.25">
      <c r="P161" s="11"/>
    </row>
    <row r="162" spans="16:16" ht="15.75" customHeight="1" x14ac:dyDescent="0.25">
      <c r="P162" s="11"/>
    </row>
    <row r="163" spans="16:16" ht="15.75" customHeight="1" x14ac:dyDescent="0.25">
      <c r="P163" s="11"/>
    </row>
    <row r="164" spans="16:16" ht="15.75" customHeight="1" x14ac:dyDescent="0.25">
      <c r="P164" s="11"/>
    </row>
    <row r="165" spans="16:16" ht="15.75" customHeight="1" x14ac:dyDescent="0.25">
      <c r="P165" s="11"/>
    </row>
    <row r="166" spans="16:16" ht="15.75" customHeight="1" x14ac:dyDescent="0.25">
      <c r="P166" s="11"/>
    </row>
    <row r="167" spans="16:16" ht="15.75" customHeight="1" x14ac:dyDescent="0.25">
      <c r="P167" s="11"/>
    </row>
    <row r="168" spans="16:16" ht="15.75" customHeight="1" x14ac:dyDescent="0.25">
      <c r="P168" s="11"/>
    </row>
    <row r="169" spans="16:16" ht="15.75" customHeight="1" x14ac:dyDescent="0.25">
      <c r="P169" s="11"/>
    </row>
    <row r="170" spans="16:16" ht="15.75" customHeight="1" x14ac:dyDescent="0.25">
      <c r="P170" s="11"/>
    </row>
    <row r="171" spans="16:16" ht="15.75" customHeight="1" x14ac:dyDescent="0.25">
      <c r="P171" s="11"/>
    </row>
    <row r="172" spans="16:16" ht="15.75" customHeight="1" x14ac:dyDescent="0.25">
      <c r="P172" s="11"/>
    </row>
    <row r="173" spans="16:16" ht="15.75" customHeight="1" x14ac:dyDescent="0.25">
      <c r="P173" s="11"/>
    </row>
    <row r="174" spans="16:16" ht="15.75" customHeight="1" x14ac:dyDescent="0.25">
      <c r="P174" s="11"/>
    </row>
    <row r="175" spans="16:16" ht="15.75" customHeight="1" x14ac:dyDescent="0.25">
      <c r="P175" s="11"/>
    </row>
    <row r="176" spans="16:16" ht="15.75" customHeight="1" x14ac:dyDescent="0.25">
      <c r="P176" s="11"/>
    </row>
    <row r="177" spans="16:16" ht="15.75" customHeight="1" x14ac:dyDescent="0.25">
      <c r="P177" s="11"/>
    </row>
    <row r="178" spans="16:16" ht="15.75" customHeight="1" x14ac:dyDescent="0.25">
      <c r="P178" s="11"/>
    </row>
    <row r="179" spans="16:16" ht="15.75" customHeight="1" x14ac:dyDescent="0.25">
      <c r="P179" s="11"/>
    </row>
    <row r="180" spans="16:16" ht="15.75" customHeight="1" x14ac:dyDescent="0.25">
      <c r="P180" s="11"/>
    </row>
    <row r="181" spans="16:16" ht="15.75" customHeight="1" x14ac:dyDescent="0.25">
      <c r="P181" s="11"/>
    </row>
    <row r="182" spans="16:16" ht="15.75" customHeight="1" x14ac:dyDescent="0.25">
      <c r="P182" s="11"/>
    </row>
    <row r="183" spans="16:16" ht="15.75" customHeight="1" x14ac:dyDescent="0.25">
      <c r="P183" s="11"/>
    </row>
    <row r="184" spans="16:16" ht="15.75" customHeight="1" x14ac:dyDescent="0.25">
      <c r="P184" s="11"/>
    </row>
    <row r="185" spans="16:16" ht="15.75" customHeight="1" x14ac:dyDescent="0.25">
      <c r="P185" s="11"/>
    </row>
    <row r="186" spans="16:16" ht="15.75" customHeight="1" x14ac:dyDescent="0.25">
      <c r="P186" s="11"/>
    </row>
    <row r="187" spans="16:16" ht="15.75" customHeight="1" x14ac:dyDescent="0.25">
      <c r="P187" s="11"/>
    </row>
    <row r="188" spans="16:16" ht="15.75" customHeight="1" x14ac:dyDescent="0.25">
      <c r="P188" s="11"/>
    </row>
    <row r="189" spans="16:16" ht="15.75" customHeight="1" x14ac:dyDescent="0.25">
      <c r="P189" s="11"/>
    </row>
    <row r="190" spans="16:16" ht="15.75" customHeight="1" x14ac:dyDescent="0.25">
      <c r="P190" s="11"/>
    </row>
    <row r="191" spans="16:16" ht="15.75" customHeight="1" x14ac:dyDescent="0.25">
      <c r="P191" s="11"/>
    </row>
    <row r="192" spans="16:16" ht="15.75" customHeight="1" x14ac:dyDescent="0.25">
      <c r="P192" s="11"/>
    </row>
    <row r="193" spans="16:16" ht="15.75" customHeight="1" x14ac:dyDescent="0.25">
      <c r="P193" s="11"/>
    </row>
    <row r="194" spans="16:16" ht="15.75" customHeight="1" x14ac:dyDescent="0.25">
      <c r="P194" s="11"/>
    </row>
    <row r="195" spans="16:16" ht="15.75" customHeight="1" x14ac:dyDescent="0.25">
      <c r="P195" s="11"/>
    </row>
    <row r="196" spans="16:16" ht="15.75" customHeight="1" x14ac:dyDescent="0.25">
      <c r="P196" s="11"/>
    </row>
    <row r="197" spans="16:16" ht="15.75" customHeight="1" x14ac:dyDescent="0.25">
      <c r="P197" s="11"/>
    </row>
    <row r="198" spans="16:16" ht="15.75" customHeight="1" x14ac:dyDescent="0.25">
      <c r="P198" s="11"/>
    </row>
    <row r="199" spans="16:16" ht="15.75" customHeight="1" x14ac:dyDescent="0.25">
      <c r="P199" s="11"/>
    </row>
    <row r="200" spans="16:16" ht="15.75" customHeight="1" x14ac:dyDescent="0.25">
      <c r="P200" s="11"/>
    </row>
    <row r="201" spans="16:16" ht="15.75" customHeight="1" x14ac:dyDescent="0.25">
      <c r="P201" s="11"/>
    </row>
    <row r="202" spans="16:16" ht="15.75" customHeight="1" x14ac:dyDescent="0.25">
      <c r="P202" s="11"/>
    </row>
    <row r="203" spans="16:16" ht="15.75" customHeight="1" x14ac:dyDescent="0.25">
      <c r="P203" s="11"/>
    </row>
    <row r="204" spans="16:16" ht="15.75" customHeight="1" x14ac:dyDescent="0.25">
      <c r="P204" s="11"/>
    </row>
    <row r="205" spans="16:16" ht="15.75" customHeight="1" x14ac:dyDescent="0.25">
      <c r="P205" s="11"/>
    </row>
    <row r="206" spans="16:16" ht="15.75" customHeight="1" x14ac:dyDescent="0.25">
      <c r="P206" s="11"/>
    </row>
    <row r="207" spans="16:16" ht="15.75" customHeight="1" x14ac:dyDescent="0.25">
      <c r="P207" s="11"/>
    </row>
    <row r="208" spans="16:16" ht="15.75" customHeight="1" x14ac:dyDescent="0.25">
      <c r="P208" s="11"/>
    </row>
    <row r="209" spans="16:16" ht="15.75" customHeight="1" x14ac:dyDescent="0.25">
      <c r="P209" s="11"/>
    </row>
    <row r="210" spans="16:16" ht="15.75" customHeight="1" x14ac:dyDescent="0.25">
      <c r="P210" s="11"/>
    </row>
    <row r="211" spans="16:16" ht="15.75" customHeight="1" x14ac:dyDescent="0.25">
      <c r="P211" s="11"/>
    </row>
    <row r="212" spans="16:16" ht="15.75" customHeight="1" x14ac:dyDescent="0.25">
      <c r="P212" s="11"/>
    </row>
    <row r="213" spans="16:16" ht="15.75" customHeight="1" x14ac:dyDescent="0.25">
      <c r="P213" s="11"/>
    </row>
    <row r="214" spans="16:16" ht="15.75" customHeight="1" x14ac:dyDescent="0.25">
      <c r="P214" s="11"/>
    </row>
    <row r="215" spans="16:16" ht="15.75" customHeight="1" x14ac:dyDescent="0.25">
      <c r="P215" s="11"/>
    </row>
    <row r="216" spans="16:16" ht="15.75" customHeight="1" x14ac:dyDescent="0.25">
      <c r="P216" s="11"/>
    </row>
    <row r="217" spans="16:16" ht="15.75" customHeight="1" x14ac:dyDescent="0.25">
      <c r="P217" s="11"/>
    </row>
    <row r="218" spans="16:16" ht="15.75" customHeight="1" x14ac:dyDescent="0.25">
      <c r="P218" s="11"/>
    </row>
    <row r="219" spans="16:16" ht="15.75" customHeight="1" x14ac:dyDescent="0.25">
      <c r="P219" s="11"/>
    </row>
    <row r="220" spans="16:16" ht="15.75" customHeight="1" x14ac:dyDescent="0.25">
      <c r="P220" s="11"/>
    </row>
    <row r="221" spans="16:16" ht="15.75" customHeight="1" x14ac:dyDescent="0.25">
      <c r="P221" s="11"/>
    </row>
    <row r="222" spans="16:16" ht="15.75" customHeight="1" x14ac:dyDescent="0.25">
      <c r="P222" s="11"/>
    </row>
    <row r="223" spans="16:16" ht="15.75" customHeight="1" x14ac:dyDescent="0.25">
      <c r="P223" s="11"/>
    </row>
    <row r="224" spans="16:16" ht="15.75" customHeight="1" x14ac:dyDescent="0.25">
      <c r="P224" s="11"/>
    </row>
    <row r="225" spans="16:16" ht="15.75" customHeight="1" x14ac:dyDescent="0.25">
      <c r="P225" s="11"/>
    </row>
    <row r="226" spans="16:16" ht="15.75" customHeight="1" x14ac:dyDescent="0.25">
      <c r="P226" s="11"/>
    </row>
    <row r="227" spans="16:16" ht="15.75" customHeight="1" x14ac:dyDescent="0.25">
      <c r="P227" s="11"/>
    </row>
    <row r="228" spans="16:16" ht="15.75" customHeight="1" x14ac:dyDescent="0.25">
      <c r="P228" s="11"/>
    </row>
    <row r="229" spans="16:16" ht="15.75" customHeight="1" x14ac:dyDescent="0.25">
      <c r="P229" s="11"/>
    </row>
    <row r="230" spans="16:16" ht="15.75" customHeight="1" x14ac:dyDescent="0.25">
      <c r="P230" s="11"/>
    </row>
    <row r="231" spans="16:16" ht="15.75" customHeight="1" x14ac:dyDescent="0.25">
      <c r="P231" s="11"/>
    </row>
    <row r="232" spans="16:16" ht="15.75" customHeight="1" x14ac:dyDescent="0.25">
      <c r="P232" s="11"/>
    </row>
    <row r="233" spans="16:16" ht="15.75" customHeight="1" x14ac:dyDescent="0.25">
      <c r="P233" s="11"/>
    </row>
    <row r="234" spans="16:16" ht="15.75" customHeight="1" x14ac:dyDescent="0.25">
      <c r="P234" s="11"/>
    </row>
    <row r="235" spans="16:16" ht="15.75" customHeight="1" x14ac:dyDescent="0.25">
      <c r="P235" s="11"/>
    </row>
    <row r="236" spans="16:16" ht="15.75" customHeight="1" x14ac:dyDescent="0.25">
      <c r="P236" s="11"/>
    </row>
    <row r="237" spans="16:16" ht="15.75" customHeight="1" x14ac:dyDescent="0.25">
      <c r="P237" s="11"/>
    </row>
    <row r="238" spans="16:16" ht="15.75" customHeight="1" x14ac:dyDescent="0.25">
      <c r="P238" s="11"/>
    </row>
    <row r="239" spans="16:16" ht="15.75" customHeight="1" x14ac:dyDescent="0.25">
      <c r="P239" s="11"/>
    </row>
    <row r="240" spans="16:16" ht="15.75" customHeight="1" x14ac:dyDescent="0.25">
      <c r="P240" s="11"/>
    </row>
    <row r="241" spans="16:16" ht="15.75" customHeight="1" x14ac:dyDescent="0.25">
      <c r="P241" s="11"/>
    </row>
    <row r="242" spans="16:16" ht="15.75" customHeight="1" x14ac:dyDescent="0.25">
      <c r="P242" s="11"/>
    </row>
    <row r="243" spans="16:16" ht="15.75" customHeight="1" x14ac:dyDescent="0.25">
      <c r="P243" s="11"/>
    </row>
    <row r="244" spans="16:16" ht="15.75" customHeight="1" x14ac:dyDescent="0.25">
      <c r="P244" s="11"/>
    </row>
    <row r="245" spans="16:16" ht="15.75" customHeight="1" x14ac:dyDescent="0.25">
      <c r="P245" s="11"/>
    </row>
    <row r="246" spans="16:16" ht="15.75" customHeight="1" x14ac:dyDescent="0.25">
      <c r="P246" s="11"/>
    </row>
    <row r="247" spans="16:16" ht="15.75" customHeight="1" x14ac:dyDescent="0.25">
      <c r="P247" s="11"/>
    </row>
    <row r="248" spans="16:16" ht="15.75" customHeight="1" x14ac:dyDescent="0.25">
      <c r="P248" s="11"/>
    </row>
    <row r="249" spans="16:16" ht="15.75" customHeight="1" x14ac:dyDescent="0.25">
      <c r="P249" s="11"/>
    </row>
    <row r="250" spans="16:16" ht="15.75" customHeight="1" x14ac:dyDescent="0.25">
      <c r="P250" s="11"/>
    </row>
    <row r="251" spans="16:16" ht="15.75" customHeight="1" x14ac:dyDescent="0.25">
      <c r="P251" s="11"/>
    </row>
    <row r="252" spans="16:16" ht="15.75" customHeight="1" x14ac:dyDescent="0.25">
      <c r="P252" s="11"/>
    </row>
    <row r="253" spans="16:16" ht="15.75" customHeight="1" x14ac:dyDescent="0.25">
      <c r="P253" s="11"/>
    </row>
    <row r="254" spans="16:16" ht="15.75" customHeight="1" x14ac:dyDescent="0.25">
      <c r="P254" s="11"/>
    </row>
    <row r="255" spans="16:16" ht="15.75" customHeight="1" x14ac:dyDescent="0.25">
      <c r="P255" s="11"/>
    </row>
    <row r="256" spans="16:16" ht="15.75" customHeight="1" x14ac:dyDescent="0.25">
      <c r="P256" s="11"/>
    </row>
    <row r="257" spans="16:16" ht="15.75" customHeight="1" x14ac:dyDescent="0.25">
      <c r="P257" s="11"/>
    </row>
    <row r="258" spans="16:16" ht="15.75" customHeight="1" x14ac:dyDescent="0.25">
      <c r="P258" s="11"/>
    </row>
    <row r="259" spans="16:16" ht="15.75" customHeight="1" x14ac:dyDescent="0.25">
      <c r="P259" s="11"/>
    </row>
    <row r="260" spans="16:16" ht="15.75" customHeight="1" x14ac:dyDescent="0.25">
      <c r="P260" s="11"/>
    </row>
    <row r="261" spans="16:16" ht="15.75" customHeight="1" x14ac:dyDescent="0.25">
      <c r="P261" s="11"/>
    </row>
    <row r="262" spans="16:16" ht="15.75" customHeight="1" x14ac:dyDescent="0.25">
      <c r="P262" s="11"/>
    </row>
    <row r="263" spans="16:16" ht="15.75" customHeight="1" x14ac:dyDescent="0.25">
      <c r="P263" s="11"/>
    </row>
    <row r="264" spans="16:16" ht="15.75" customHeight="1" x14ac:dyDescent="0.25">
      <c r="P264" s="11"/>
    </row>
    <row r="265" spans="16:16" ht="15.75" customHeight="1" x14ac:dyDescent="0.25">
      <c r="P265" s="11"/>
    </row>
    <row r="266" spans="16:16" ht="15.75" customHeight="1" x14ac:dyDescent="0.25">
      <c r="P266" s="11"/>
    </row>
    <row r="267" spans="16:16" ht="15.75" customHeight="1" x14ac:dyDescent="0.25">
      <c r="P267" s="11"/>
    </row>
    <row r="268" spans="16:16" ht="15.75" customHeight="1" x14ac:dyDescent="0.25">
      <c r="P268" s="11"/>
    </row>
    <row r="269" spans="16:16" ht="15.75" customHeight="1" x14ac:dyDescent="0.25">
      <c r="P269" s="11"/>
    </row>
    <row r="270" spans="16:16" ht="15.75" customHeight="1" x14ac:dyDescent="0.25">
      <c r="P270" s="11"/>
    </row>
    <row r="271" spans="16:16" ht="15.75" customHeight="1" x14ac:dyDescent="0.25">
      <c r="P271" s="11"/>
    </row>
    <row r="272" spans="16:16" ht="15.75" customHeight="1" x14ac:dyDescent="0.25">
      <c r="P272" s="11"/>
    </row>
    <row r="273" spans="16:16" ht="15.75" customHeight="1" x14ac:dyDescent="0.25">
      <c r="P273" s="11"/>
    </row>
    <row r="274" spans="16:16" ht="15.75" customHeight="1" x14ac:dyDescent="0.25">
      <c r="P274" s="11"/>
    </row>
    <row r="275" spans="16:16" ht="15.75" customHeight="1" x14ac:dyDescent="0.25">
      <c r="P275" s="11"/>
    </row>
    <row r="276" spans="16:16" ht="15.75" customHeight="1" x14ac:dyDescent="0.25">
      <c r="P276" s="11"/>
    </row>
    <row r="277" spans="16:16" ht="15.75" customHeight="1" x14ac:dyDescent="0.25">
      <c r="P277" s="11"/>
    </row>
    <row r="278" spans="16:16" ht="15.75" customHeight="1" x14ac:dyDescent="0.25">
      <c r="P278" s="11"/>
    </row>
    <row r="279" spans="16:16" ht="15.75" customHeight="1" x14ac:dyDescent="0.25">
      <c r="P279" s="11"/>
    </row>
    <row r="280" spans="16:16" ht="15.75" customHeight="1" x14ac:dyDescent="0.25">
      <c r="P280" s="11"/>
    </row>
    <row r="281" spans="16:16" ht="15.75" customHeight="1" x14ac:dyDescent="0.25">
      <c r="P281" s="11"/>
    </row>
    <row r="282" spans="16:16" ht="15.75" customHeight="1" x14ac:dyDescent="0.25">
      <c r="P282" s="11"/>
    </row>
    <row r="283" spans="16:16" ht="15.75" customHeight="1" x14ac:dyDescent="0.25">
      <c r="P283" s="11"/>
    </row>
    <row r="284" spans="16:16" ht="15.75" customHeight="1" x14ac:dyDescent="0.25">
      <c r="P284" s="11"/>
    </row>
    <row r="285" spans="16:16" ht="15.75" customHeight="1" x14ac:dyDescent="0.25">
      <c r="P285" s="11"/>
    </row>
    <row r="286" spans="16:16" ht="15.75" customHeight="1" x14ac:dyDescent="0.25">
      <c r="P286" s="11"/>
    </row>
    <row r="287" spans="16:16" ht="15.75" customHeight="1" x14ac:dyDescent="0.25">
      <c r="P287" s="11"/>
    </row>
    <row r="288" spans="16:16" ht="15.75" customHeight="1" x14ac:dyDescent="0.25">
      <c r="P288" s="11"/>
    </row>
    <row r="289" spans="16:16" ht="15.75" customHeight="1" x14ac:dyDescent="0.25">
      <c r="P289" s="11"/>
    </row>
    <row r="290" spans="16:16" ht="15.75" customHeight="1" x14ac:dyDescent="0.25">
      <c r="P290" s="11"/>
    </row>
    <row r="291" spans="16:16" ht="15.75" customHeight="1" x14ac:dyDescent="0.25">
      <c r="P291" s="11"/>
    </row>
    <row r="292" spans="16:16" ht="15.75" customHeight="1" x14ac:dyDescent="0.25">
      <c r="P292" s="11"/>
    </row>
    <row r="293" spans="16:16" ht="15.75" customHeight="1" x14ac:dyDescent="0.25">
      <c r="P293" s="11"/>
    </row>
    <row r="294" spans="16:16" ht="15.75" customHeight="1" x14ac:dyDescent="0.25">
      <c r="P294" s="11"/>
    </row>
    <row r="295" spans="16:16" ht="15.75" customHeight="1" x14ac:dyDescent="0.25">
      <c r="P295" s="11"/>
    </row>
    <row r="296" spans="16:16" ht="15.75" customHeight="1" x14ac:dyDescent="0.25">
      <c r="P296" s="11"/>
    </row>
    <row r="297" spans="16:16" ht="15.75" customHeight="1" x14ac:dyDescent="0.25">
      <c r="P297" s="11"/>
    </row>
    <row r="298" spans="16:16" ht="15.75" customHeight="1" x14ac:dyDescent="0.25">
      <c r="P298" s="11"/>
    </row>
    <row r="299" spans="16:16" ht="15.75" customHeight="1" x14ac:dyDescent="0.25">
      <c r="P299" s="11"/>
    </row>
    <row r="300" spans="16:16" ht="15.75" customHeight="1" x14ac:dyDescent="0.25">
      <c r="P300" s="11"/>
    </row>
    <row r="301" spans="16:16" ht="15.75" customHeight="1" x14ac:dyDescent="0.25">
      <c r="P301" s="11"/>
    </row>
    <row r="302" spans="16:16" ht="15.75" customHeight="1" x14ac:dyDescent="0.25">
      <c r="P302" s="11"/>
    </row>
    <row r="303" spans="16:16" ht="15.75" customHeight="1" x14ac:dyDescent="0.25">
      <c r="P303" s="11"/>
    </row>
    <row r="304" spans="16:16" ht="15.75" customHeight="1" x14ac:dyDescent="0.25">
      <c r="P304" s="11"/>
    </row>
    <row r="305" spans="16:16" ht="15.75" customHeight="1" x14ac:dyDescent="0.25">
      <c r="P305" s="11"/>
    </row>
    <row r="306" spans="16:16" ht="15.75" customHeight="1" x14ac:dyDescent="0.25">
      <c r="P306" s="11"/>
    </row>
    <row r="307" spans="16:16" ht="15.75" customHeight="1" x14ac:dyDescent="0.25">
      <c r="P307" s="11"/>
    </row>
    <row r="308" spans="16:16" ht="15.75" customHeight="1" x14ac:dyDescent="0.25">
      <c r="P308" s="11"/>
    </row>
    <row r="309" spans="16:16" ht="15.75" customHeight="1" x14ac:dyDescent="0.25">
      <c r="P309" s="11"/>
    </row>
    <row r="310" spans="16:16" ht="15.75" customHeight="1" x14ac:dyDescent="0.25">
      <c r="P310" s="11"/>
    </row>
    <row r="311" spans="16:16" ht="15.75" customHeight="1" x14ac:dyDescent="0.25">
      <c r="P311" s="11"/>
    </row>
    <row r="312" spans="16:16" ht="15.75" customHeight="1" x14ac:dyDescent="0.25">
      <c r="P312" s="11"/>
    </row>
    <row r="313" spans="16:16" ht="15.75" customHeight="1" x14ac:dyDescent="0.25">
      <c r="P313" s="11"/>
    </row>
    <row r="314" spans="16:16" ht="15.75" customHeight="1" x14ac:dyDescent="0.25">
      <c r="P314" s="11"/>
    </row>
    <row r="315" spans="16:16" ht="15.75" customHeight="1" x14ac:dyDescent="0.25">
      <c r="P315" s="11"/>
    </row>
    <row r="316" spans="16:16" ht="15.75" customHeight="1" x14ac:dyDescent="0.25">
      <c r="P316" s="11"/>
    </row>
    <row r="317" spans="16:16" ht="15.75" customHeight="1" x14ac:dyDescent="0.25">
      <c r="P317" s="11"/>
    </row>
    <row r="318" spans="16:16" ht="15.75" customHeight="1" x14ac:dyDescent="0.25">
      <c r="P318" s="11"/>
    </row>
    <row r="319" spans="16:16" ht="15.75" customHeight="1" x14ac:dyDescent="0.25">
      <c r="P319" s="11"/>
    </row>
    <row r="320" spans="16:16" ht="15.75" customHeight="1" x14ac:dyDescent="0.25">
      <c r="P320" s="11"/>
    </row>
    <row r="321" spans="16:16" ht="15.75" customHeight="1" x14ac:dyDescent="0.25">
      <c r="P321" s="11"/>
    </row>
    <row r="322" spans="16:16" ht="15.75" customHeight="1" x14ac:dyDescent="0.25">
      <c r="P322" s="11"/>
    </row>
    <row r="323" spans="16:16" ht="15.75" customHeight="1" x14ac:dyDescent="0.25">
      <c r="P323" s="11"/>
    </row>
    <row r="324" spans="16:16" ht="15.75" customHeight="1" x14ac:dyDescent="0.25">
      <c r="P324" s="11"/>
    </row>
    <row r="325" spans="16:16" ht="15.75" customHeight="1" x14ac:dyDescent="0.25">
      <c r="P325" s="11"/>
    </row>
    <row r="326" spans="16:16" ht="15.75" customHeight="1" x14ac:dyDescent="0.25">
      <c r="P326" s="11"/>
    </row>
    <row r="327" spans="16:16" ht="15.75" customHeight="1" x14ac:dyDescent="0.25">
      <c r="P327" s="11"/>
    </row>
    <row r="328" spans="16:16" ht="15.75" customHeight="1" x14ac:dyDescent="0.25">
      <c r="P328" s="11"/>
    </row>
    <row r="329" spans="16:16" ht="15.75" customHeight="1" x14ac:dyDescent="0.25">
      <c r="P329" s="11"/>
    </row>
    <row r="330" spans="16:16" ht="15.75" customHeight="1" x14ac:dyDescent="0.25">
      <c r="P330" s="11"/>
    </row>
    <row r="331" spans="16:16" ht="15.75" customHeight="1" x14ac:dyDescent="0.25">
      <c r="P331" s="11"/>
    </row>
    <row r="332" spans="16:16" ht="15.75" customHeight="1" x14ac:dyDescent="0.25">
      <c r="P332" s="11"/>
    </row>
    <row r="333" spans="16:16" ht="15.75" customHeight="1" x14ac:dyDescent="0.25">
      <c r="P333" s="11"/>
    </row>
    <row r="334" spans="16:16" ht="15.75" customHeight="1" x14ac:dyDescent="0.25">
      <c r="P334" s="11"/>
    </row>
    <row r="335" spans="16:16" ht="15.75" customHeight="1" x14ac:dyDescent="0.25">
      <c r="P335" s="11"/>
    </row>
    <row r="336" spans="16:16" ht="15.75" customHeight="1" x14ac:dyDescent="0.25">
      <c r="P336" s="11"/>
    </row>
    <row r="337" spans="16:16" ht="15.75" customHeight="1" x14ac:dyDescent="0.25">
      <c r="P337" s="11"/>
    </row>
    <row r="338" spans="16:16" ht="15.75" customHeight="1" x14ac:dyDescent="0.25">
      <c r="P338" s="11"/>
    </row>
    <row r="339" spans="16:16" ht="15.75" customHeight="1" x14ac:dyDescent="0.25">
      <c r="P339" s="11"/>
    </row>
    <row r="340" spans="16:16" ht="15.75" customHeight="1" x14ac:dyDescent="0.25">
      <c r="P340" s="11"/>
    </row>
    <row r="341" spans="16:16" ht="15.75" customHeight="1" x14ac:dyDescent="0.25">
      <c r="P341" s="11"/>
    </row>
    <row r="342" spans="16:16" ht="15.75" customHeight="1" x14ac:dyDescent="0.25">
      <c r="P342" s="11"/>
    </row>
    <row r="343" spans="16:16" ht="15.75" customHeight="1" x14ac:dyDescent="0.25">
      <c r="P343" s="11"/>
    </row>
    <row r="344" spans="16:16" ht="15.75" customHeight="1" x14ac:dyDescent="0.25">
      <c r="P344" s="11"/>
    </row>
    <row r="345" spans="16:16" ht="15.75" customHeight="1" x14ac:dyDescent="0.25">
      <c r="P345" s="11"/>
    </row>
    <row r="346" spans="16:16" ht="15.75" customHeight="1" x14ac:dyDescent="0.25">
      <c r="P346" s="11"/>
    </row>
    <row r="347" spans="16:16" ht="15.75" customHeight="1" x14ac:dyDescent="0.25">
      <c r="P347" s="11"/>
    </row>
    <row r="348" spans="16:16" ht="15.75" customHeight="1" x14ac:dyDescent="0.25">
      <c r="P348" s="11"/>
    </row>
    <row r="349" spans="16:16" ht="15.75" customHeight="1" x14ac:dyDescent="0.25">
      <c r="P349" s="11"/>
    </row>
    <row r="350" spans="16:16" ht="15.75" customHeight="1" x14ac:dyDescent="0.25">
      <c r="P350" s="11"/>
    </row>
    <row r="351" spans="16:16" ht="15.75" customHeight="1" x14ac:dyDescent="0.25">
      <c r="P351" s="11"/>
    </row>
    <row r="352" spans="16:16" ht="15.75" customHeight="1" x14ac:dyDescent="0.25">
      <c r="P352" s="11"/>
    </row>
    <row r="353" spans="16:16" ht="15.75" customHeight="1" x14ac:dyDescent="0.25">
      <c r="P353" s="11"/>
    </row>
    <row r="354" spans="16:16" ht="15.75" customHeight="1" x14ac:dyDescent="0.25">
      <c r="P354" s="11"/>
    </row>
    <row r="355" spans="16:16" ht="15.75" customHeight="1" x14ac:dyDescent="0.25">
      <c r="P355" s="11"/>
    </row>
    <row r="356" spans="16:16" ht="15.75" customHeight="1" x14ac:dyDescent="0.25">
      <c r="P356" s="11"/>
    </row>
    <row r="357" spans="16:16" ht="15.75" customHeight="1" x14ac:dyDescent="0.25">
      <c r="P357" s="11"/>
    </row>
    <row r="358" spans="16:16" ht="15.75" customHeight="1" x14ac:dyDescent="0.25">
      <c r="P358" s="11"/>
    </row>
    <row r="359" spans="16:16" ht="15.75" customHeight="1" x14ac:dyDescent="0.25">
      <c r="P359" s="11"/>
    </row>
    <row r="360" spans="16:16" ht="15.75" customHeight="1" x14ac:dyDescent="0.25">
      <c r="P360" s="11"/>
    </row>
    <row r="361" spans="16:16" ht="15.75" customHeight="1" x14ac:dyDescent="0.25">
      <c r="P361" s="11"/>
    </row>
    <row r="362" spans="16:16" ht="15.75" customHeight="1" x14ac:dyDescent="0.25">
      <c r="P362" s="11"/>
    </row>
    <row r="363" spans="16:16" ht="15.75" customHeight="1" x14ac:dyDescent="0.25">
      <c r="P363" s="11"/>
    </row>
    <row r="364" spans="16:16" ht="15.75" customHeight="1" x14ac:dyDescent="0.25">
      <c r="P364" s="11"/>
    </row>
    <row r="365" spans="16:16" ht="15.75" customHeight="1" x14ac:dyDescent="0.25">
      <c r="P365" s="11"/>
    </row>
    <row r="366" spans="16:16" ht="15.75" customHeight="1" x14ac:dyDescent="0.25">
      <c r="P366" s="11"/>
    </row>
    <row r="367" spans="16:16" ht="15.75" customHeight="1" x14ac:dyDescent="0.25">
      <c r="P367" s="11"/>
    </row>
    <row r="368" spans="16:16" ht="15.75" customHeight="1" x14ac:dyDescent="0.25">
      <c r="P368" s="11"/>
    </row>
    <row r="369" spans="16:16" ht="15.75" customHeight="1" x14ac:dyDescent="0.25">
      <c r="P369" s="11"/>
    </row>
    <row r="370" spans="16:16" ht="15.75" customHeight="1" x14ac:dyDescent="0.25">
      <c r="P370" s="11"/>
    </row>
    <row r="371" spans="16:16" ht="15.75" customHeight="1" x14ac:dyDescent="0.25">
      <c r="P371" s="11"/>
    </row>
    <row r="372" spans="16:16" ht="15.75" customHeight="1" x14ac:dyDescent="0.25">
      <c r="P372" s="11"/>
    </row>
    <row r="373" spans="16:16" ht="15.75" customHeight="1" x14ac:dyDescent="0.25">
      <c r="P373" s="11"/>
    </row>
    <row r="374" spans="16:16" ht="15.75" customHeight="1" x14ac:dyDescent="0.25">
      <c r="P374" s="11"/>
    </row>
    <row r="375" spans="16:16" ht="15.75" customHeight="1" x14ac:dyDescent="0.25">
      <c r="P375" s="11"/>
    </row>
    <row r="376" spans="16:16" ht="15.75" customHeight="1" x14ac:dyDescent="0.25">
      <c r="P376" s="11"/>
    </row>
    <row r="377" spans="16:16" ht="15.75" customHeight="1" x14ac:dyDescent="0.25">
      <c r="P377" s="11"/>
    </row>
    <row r="378" spans="16:16" ht="15.75" customHeight="1" x14ac:dyDescent="0.25">
      <c r="P378" s="11"/>
    </row>
    <row r="379" spans="16:16" ht="15.75" customHeight="1" x14ac:dyDescent="0.25">
      <c r="P379" s="11"/>
    </row>
    <row r="380" spans="16:16" ht="15.75" customHeight="1" x14ac:dyDescent="0.25">
      <c r="P380" s="11"/>
    </row>
    <row r="381" spans="16:16" ht="15.75" customHeight="1" x14ac:dyDescent="0.25">
      <c r="P381" s="11"/>
    </row>
    <row r="382" spans="16:16" ht="15.75" customHeight="1" x14ac:dyDescent="0.25">
      <c r="P382" s="11"/>
    </row>
    <row r="383" spans="16:16" ht="15.75" customHeight="1" x14ac:dyDescent="0.25">
      <c r="P383" s="11"/>
    </row>
    <row r="384" spans="16:16" ht="15.75" customHeight="1" x14ac:dyDescent="0.25">
      <c r="P384" s="11"/>
    </row>
    <row r="385" spans="16:16" ht="15.75" customHeight="1" x14ac:dyDescent="0.25">
      <c r="P385" s="11"/>
    </row>
    <row r="386" spans="16:16" ht="15.75" customHeight="1" x14ac:dyDescent="0.25">
      <c r="P386" s="11"/>
    </row>
    <row r="387" spans="16:16" ht="15.75" customHeight="1" x14ac:dyDescent="0.25">
      <c r="P387" s="11"/>
    </row>
    <row r="388" spans="16:16" ht="15.75" customHeight="1" x14ac:dyDescent="0.25">
      <c r="P388" s="11"/>
    </row>
    <row r="389" spans="16:16" ht="15.75" customHeight="1" x14ac:dyDescent="0.25">
      <c r="P389" s="11"/>
    </row>
    <row r="390" spans="16:16" ht="15.75" customHeight="1" x14ac:dyDescent="0.25">
      <c r="P390" s="11"/>
    </row>
    <row r="391" spans="16:16" ht="15.75" customHeight="1" x14ac:dyDescent="0.25">
      <c r="P391" s="11"/>
    </row>
    <row r="392" spans="16:16" ht="15.75" customHeight="1" x14ac:dyDescent="0.25">
      <c r="P392" s="11"/>
    </row>
    <row r="393" spans="16:16" ht="15.75" customHeight="1" x14ac:dyDescent="0.25">
      <c r="P393" s="11"/>
    </row>
    <row r="394" spans="16:16" ht="15.75" customHeight="1" x14ac:dyDescent="0.25">
      <c r="P394" s="11"/>
    </row>
    <row r="395" spans="16:16" ht="15.75" customHeight="1" x14ac:dyDescent="0.25">
      <c r="P395" s="11"/>
    </row>
    <row r="396" spans="16:16" ht="15.75" customHeight="1" x14ac:dyDescent="0.25">
      <c r="P396" s="11"/>
    </row>
    <row r="397" spans="16:16" ht="15.75" customHeight="1" x14ac:dyDescent="0.25">
      <c r="P397" s="11"/>
    </row>
    <row r="398" spans="16:16" ht="15.75" customHeight="1" x14ac:dyDescent="0.25">
      <c r="P398" s="11"/>
    </row>
    <row r="399" spans="16:16" ht="15.75" customHeight="1" x14ac:dyDescent="0.25">
      <c r="P399" s="11"/>
    </row>
    <row r="400" spans="16:16" ht="15.75" customHeight="1" x14ac:dyDescent="0.25">
      <c r="P400" s="11"/>
    </row>
    <row r="401" spans="16:16" ht="15.75" customHeight="1" x14ac:dyDescent="0.25">
      <c r="P401" s="11"/>
    </row>
    <row r="402" spans="16:16" ht="15.75" customHeight="1" x14ac:dyDescent="0.25">
      <c r="P402" s="11"/>
    </row>
    <row r="403" spans="16:16" ht="15.75" customHeight="1" x14ac:dyDescent="0.25">
      <c r="P403" s="11"/>
    </row>
    <row r="404" spans="16:16" ht="15.75" customHeight="1" x14ac:dyDescent="0.25">
      <c r="P404" s="11"/>
    </row>
    <row r="405" spans="16:16" ht="15.75" customHeight="1" x14ac:dyDescent="0.25">
      <c r="P405" s="11"/>
    </row>
    <row r="406" spans="16:16" ht="15.75" customHeight="1" x14ac:dyDescent="0.25">
      <c r="P406" s="11"/>
    </row>
    <row r="407" spans="16:16" ht="15.75" customHeight="1" x14ac:dyDescent="0.25">
      <c r="P407" s="11"/>
    </row>
    <row r="408" spans="16:16" ht="15.75" customHeight="1" x14ac:dyDescent="0.25">
      <c r="P408" s="11"/>
    </row>
    <row r="409" spans="16:16" ht="15.75" customHeight="1" x14ac:dyDescent="0.25">
      <c r="P409" s="11"/>
    </row>
    <row r="410" spans="16:16" ht="15.75" customHeight="1" x14ac:dyDescent="0.25">
      <c r="P410" s="11"/>
    </row>
    <row r="411" spans="16:16" ht="15.75" customHeight="1" x14ac:dyDescent="0.25">
      <c r="P411" s="11"/>
    </row>
    <row r="412" spans="16:16" ht="15.75" customHeight="1" x14ac:dyDescent="0.25">
      <c r="P412" s="11"/>
    </row>
    <row r="413" spans="16:16" ht="15.75" customHeight="1" x14ac:dyDescent="0.25">
      <c r="P413" s="11"/>
    </row>
    <row r="414" spans="16:16" ht="15.75" customHeight="1" x14ac:dyDescent="0.25">
      <c r="P414" s="11"/>
    </row>
    <row r="415" spans="16:16" ht="15.75" customHeight="1" x14ac:dyDescent="0.25">
      <c r="P415" s="11"/>
    </row>
    <row r="416" spans="16:16" ht="15.75" customHeight="1" x14ac:dyDescent="0.25">
      <c r="P416" s="11"/>
    </row>
    <row r="417" spans="16:16" ht="15.75" customHeight="1" x14ac:dyDescent="0.25">
      <c r="P417" s="11"/>
    </row>
    <row r="418" spans="16:16" ht="15.75" customHeight="1" x14ac:dyDescent="0.25">
      <c r="P418" s="11"/>
    </row>
    <row r="419" spans="16:16" ht="15.75" customHeight="1" x14ac:dyDescent="0.25">
      <c r="P419" s="11"/>
    </row>
    <row r="420" spans="16:16" ht="15.75" customHeight="1" x14ac:dyDescent="0.25">
      <c r="P420" s="11"/>
    </row>
    <row r="421" spans="16:16" ht="15.75" customHeight="1" x14ac:dyDescent="0.25">
      <c r="P421" s="11"/>
    </row>
    <row r="422" spans="16:16" ht="15.75" customHeight="1" x14ac:dyDescent="0.25">
      <c r="P422" s="11"/>
    </row>
    <row r="423" spans="16:16" ht="15.75" customHeight="1" x14ac:dyDescent="0.25">
      <c r="P423" s="11"/>
    </row>
    <row r="424" spans="16:16" ht="15.75" customHeight="1" x14ac:dyDescent="0.25">
      <c r="P424" s="11"/>
    </row>
    <row r="425" spans="16:16" ht="15.75" customHeight="1" x14ac:dyDescent="0.25">
      <c r="P425" s="11"/>
    </row>
    <row r="426" spans="16:16" ht="15.75" customHeight="1" x14ac:dyDescent="0.25">
      <c r="P426" s="11"/>
    </row>
    <row r="427" spans="16:16" ht="15.75" customHeight="1" x14ac:dyDescent="0.25">
      <c r="P427" s="11"/>
    </row>
    <row r="428" spans="16:16" ht="15.75" customHeight="1" x14ac:dyDescent="0.25">
      <c r="P428" s="11"/>
    </row>
    <row r="429" spans="16:16" ht="15.75" customHeight="1" x14ac:dyDescent="0.25">
      <c r="P429" s="11"/>
    </row>
    <row r="430" spans="16:16" ht="15.75" customHeight="1" x14ac:dyDescent="0.25">
      <c r="P430" s="11"/>
    </row>
    <row r="431" spans="16:16" ht="15.75" customHeight="1" x14ac:dyDescent="0.25">
      <c r="P431" s="11"/>
    </row>
    <row r="432" spans="16:16" ht="15.75" customHeight="1" x14ac:dyDescent="0.25">
      <c r="P432" s="11"/>
    </row>
    <row r="433" spans="16:16" ht="15.75" customHeight="1" x14ac:dyDescent="0.25">
      <c r="P433" s="11"/>
    </row>
    <row r="434" spans="16:16" ht="15.75" customHeight="1" x14ac:dyDescent="0.25">
      <c r="P434" s="11"/>
    </row>
    <row r="435" spans="16:16" ht="15.75" customHeight="1" x14ac:dyDescent="0.25">
      <c r="P435" s="11"/>
    </row>
    <row r="436" spans="16:16" ht="15.75" customHeight="1" x14ac:dyDescent="0.25">
      <c r="P436" s="11"/>
    </row>
    <row r="437" spans="16:16" ht="15.75" customHeight="1" x14ac:dyDescent="0.25">
      <c r="P437" s="11"/>
    </row>
    <row r="438" spans="16:16" ht="15.75" customHeight="1" x14ac:dyDescent="0.25">
      <c r="P438" s="11"/>
    </row>
    <row r="439" spans="16:16" ht="15.75" customHeight="1" x14ac:dyDescent="0.25">
      <c r="P439" s="11"/>
    </row>
    <row r="440" spans="16:16" ht="15.75" customHeight="1" x14ac:dyDescent="0.25">
      <c r="P440" s="11"/>
    </row>
    <row r="441" spans="16:16" ht="15.75" customHeight="1" x14ac:dyDescent="0.25">
      <c r="P441" s="11"/>
    </row>
    <row r="442" spans="16:16" ht="15.75" customHeight="1" x14ac:dyDescent="0.25">
      <c r="P442" s="11"/>
    </row>
    <row r="443" spans="16:16" ht="15.75" customHeight="1" x14ac:dyDescent="0.25">
      <c r="P443" s="11"/>
    </row>
    <row r="444" spans="16:16" ht="15.75" customHeight="1" x14ac:dyDescent="0.25">
      <c r="P444" s="11"/>
    </row>
    <row r="445" spans="16:16" ht="15.75" customHeight="1" x14ac:dyDescent="0.25">
      <c r="P445" s="11"/>
    </row>
    <row r="446" spans="16:16" ht="15.75" customHeight="1" x14ac:dyDescent="0.25">
      <c r="P446" s="11"/>
    </row>
    <row r="447" spans="16:16" ht="15.75" customHeight="1" x14ac:dyDescent="0.25">
      <c r="P447" s="11"/>
    </row>
    <row r="448" spans="16:16" ht="15.75" customHeight="1" x14ac:dyDescent="0.25">
      <c r="P448" s="11"/>
    </row>
    <row r="449" spans="16:16" ht="15.75" customHeight="1" x14ac:dyDescent="0.25">
      <c r="P449" s="11"/>
    </row>
    <row r="450" spans="16:16" ht="15.75" customHeight="1" x14ac:dyDescent="0.25">
      <c r="P450" s="11"/>
    </row>
    <row r="451" spans="16:16" ht="15.75" customHeight="1" x14ac:dyDescent="0.25">
      <c r="P451" s="11"/>
    </row>
    <row r="452" spans="16:16" ht="15.75" customHeight="1" x14ac:dyDescent="0.25">
      <c r="P452" s="11"/>
    </row>
    <row r="453" spans="16:16" ht="15.75" customHeight="1" x14ac:dyDescent="0.25">
      <c r="P453" s="11"/>
    </row>
    <row r="454" spans="16:16" ht="15.75" customHeight="1" x14ac:dyDescent="0.25">
      <c r="P454" s="11"/>
    </row>
    <row r="455" spans="16:16" ht="15.75" customHeight="1" x14ac:dyDescent="0.25">
      <c r="P455" s="11"/>
    </row>
    <row r="456" spans="16:16" ht="15.75" customHeight="1" x14ac:dyDescent="0.25">
      <c r="P456" s="11"/>
    </row>
    <row r="457" spans="16:16" ht="15.75" customHeight="1" x14ac:dyDescent="0.25">
      <c r="P457" s="11"/>
    </row>
    <row r="458" spans="16:16" ht="15.75" customHeight="1" x14ac:dyDescent="0.25">
      <c r="P458" s="11"/>
    </row>
    <row r="459" spans="16:16" ht="15.75" customHeight="1" x14ac:dyDescent="0.25">
      <c r="P459" s="11"/>
    </row>
    <row r="460" spans="16:16" ht="15.75" customHeight="1" x14ac:dyDescent="0.25">
      <c r="P460" s="11"/>
    </row>
    <row r="461" spans="16:16" ht="15.75" customHeight="1" x14ac:dyDescent="0.25">
      <c r="P461" s="11"/>
    </row>
    <row r="462" spans="16:16" ht="15.75" customHeight="1" x14ac:dyDescent="0.25">
      <c r="P462" s="11"/>
    </row>
    <row r="463" spans="16:16" ht="15.75" customHeight="1" x14ac:dyDescent="0.25">
      <c r="P463" s="11"/>
    </row>
    <row r="464" spans="16:16" ht="15.75" customHeight="1" x14ac:dyDescent="0.25">
      <c r="P464" s="11"/>
    </row>
    <row r="465" spans="16:16" ht="15.75" customHeight="1" x14ac:dyDescent="0.25">
      <c r="P465" s="11"/>
    </row>
    <row r="466" spans="16:16" ht="15.75" customHeight="1" x14ac:dyDescent="0.25">
      <c r="P466" s="11"/>
    </row>
    <row r="467" spans="16:16" ht="15.75" customHeight="1" x14ac:dyDescent="0.25">
      <c r="P467" s="11"/>
    </row>
    <row r="468" spans="16:16" ht="15.75" customHeight="1" x14ac:dyDescent="0.25">
      <c r="P468" s="11"/>
    </row>
    <row r="469" spans="16:16" ht="15.75" customHeight="1" x14ac:dyDescent="0.25">
      <c r="P469" s="11"/>
    </row>
    <row r="470" spans="16:16" ht="15.75" customHeight="1" x14ac:dyDescent="0.25">
      <c r="P470" s="11"/>
    </row>
    <row r="471" spans="16:16" ht="15.75" customHeight="1" x14ac:dyDescent="0.25">
      <c r="P471" s="11"/>
    </row>
    <row r="472" spans="16:16" ht="15.75" customHeight="1" x14ac:dyDescent="0.25">
      <c r="P472" s="11"/>
    </row>
    <row r="473" spans="16:16" ht="15.75" customHeight="1" x14ac:dyDescent="0.25">
      <c r="P473" s="11"/>
    </row>
    <row r="474" spans="16:16" ht="15.75" customHeight="1" x14ac:dyDescent="0.25">
      <c r="P474" s="11"/>
    </row>
    <row r="475" spans="16:16" ht="15.75" customHeight="1" x14ac:dyDescent="0.25">
      <c r="P475" s="11"/>
    </row>
    <row r="476" spans="16:16" ht="15.75" customHeight="1" x14ac:dyDescent="0.25">
      <c r="P476" s="11"/>
    </row>
    <row r="477" spans="16:16" ht="15.75" customHeight="1" x14ac:dyDescent="0.25">
      <c r="P477" s="11"/>
    </row>
    <row r="478" spans="16:16" ht="15.75" customHeight="1" x14ac:dyDescent="0.25">
      <c r="P478" s="11"/>
    </row>
    <row r="479" spans="16:16" ht="15.75" customHeight="1" x14ac:dyDescent="0.25">
      <c r="P479" s="11"/>
    </row>
    <row r="480" spans="16:16" ht="15.75" customHeight="1" x14ac:dyDescent="0.25">
      <c r="P480" s="11"/>
    </row>
    <row r="481" spans="16:16" ht="15.75" customHeight="1" x14ac:dyDescent="0.25">
      <c r="P481" s="11"/>
    </row>
    <row r="482" spans="16:16" ht="15.75" customHeight="1" x14ac:dyDescent="0.25">
      <c r="P482" s="11"/>
    </row>
    <row r="483" spans="16:16" ht="15.75" customHeight="1" x14ac:dyDescent="0.25">
      <c r="P483" s="11"/>
    </row>
    <row r="484" spans="16:16" ht="15.75" customHeight="1" x14ac:dyDescent="0.25">
      <c r="P484" s="11"/>
    </row>
    <row r="485" spans="16:16" ht="15.75" customHeight="1" x14ac:dyDescent="0.25">
      <c r="P485" s="11"/>
    </row>
    <row r="486" spans="16:16" ht="15.75" customHeight="1" x14ac:dyDescent="0.25">
      <c r="P486" s="11"/>
    </row>
    <row r="487" spans="16:16" ht="15.75" customHeight="1" x14ac:dyDescent="0.25">
      <c r="P487" s="11"/>
    </row>
    <row r="488" spans="16:16" ht="15.75" customHeight="1" x14ac:dyDescent="0.25">
      <c r="P488" s="11"/>
    </row>
    <row r="489" spans="16:16" ht="15.75" customHeight="1" x14ac:dyDescent="0.25">
      <c r="P489" s="11"/>
    </row>
    <row r="490" spans="16:16" ht="15.75" customHeight="1" x14ac:dyDescent="0.25">
      <c r="P490" s="11"/>
    </row>
    <row r="491" spans="16:16" ht="15.75" customHeight="1" x14ac:dyDescent="0.25">
      <c r="P491" s="11"/>
    </row>
    <row r="492" spans="16:16" ht="15.75" customHeight="1" x14ac:dyDescent="0.25">
      <c r="P492" s="11"/>
    </row>
    <row r="493" spans="16:16" ht="15.75" customHeight="1" x14ac:dyDescent="0.25">
      <c r="P493" s="11"/>
    </row>
    <row r="494" spans="16:16" ht="15.75" customHeight="1" x14ac:dyDescent="0.25">
      <c r="P494" s="11"/>
    </row>
    <row r="495" spans="16:16" ht="15.75" customHeight="1" x14ac:dyDescent="0.25">
      <c r="P495" s="11"/>
    </row>
    <row r="496" spans="16:16" ht="15.75" customHeight="1" x14ac:dyDescent="0.25">
      <c r="P496" s="11"/>
    </row>
    <row r="497" spans="16:16" ht="15.75" customHeight="1" x14ac:dyDescent="0.25">
      <c r="P497" s="11"/>
    </row>
    <row r="498" spans="16:16" ht="15.75" customHeight="1" x14ac:dyDescent="0.25">
      <c r="P498" s="11"/>
    </row>
    <row r="499" spans="16:16" ht="15.75" customHeight="1" x14ac:dyDescent="0.25">
      <c r="P499" s="11"/>
    </row>
    <row r="500" spans="16:16" ht="15.75" customHeight="1" x14ac:dyDescent="0.25">
      <c r="P500" s="11"/>
    </row>
    <row r="501" spans="16:16" ht="15.75" customHeight="1" x14ac:dyDescent="0.25">
      <c r="P501" s="11"/>
    </row>
    <row r="502" spans="16:16" ht="15.75" customHeight="1" x14ac:dyDescent="0.25">
      <c r="P502" s="11"/>
    </row>
    <row r="503" spans="16:16" ht="15.75" customHeight="1" x14ac:dyDescent="0.25">
      <c r="P503" s="11"/>
    </row>
    <row r="504" spans="16:16" ht="15.75" customHeight="1" x14ac:dyDescent="0.25">
      <c r="P504" s="11"/>
    </row>
    <row r="505" spans="16:16" ht="15.75" customHeight="1" x14ac:dyDescent="0.25">
      <c r="P505" s="11"/>
    </row>
    <row r="506" spans="16:16" ht="15.75" customHeight="1" x14ac:dyDescent="0.25">
      <c r="P506" s="11"/>
    </row>
    <row r="507" spans="16:16" ht="15.75" customHeight="1" x14ac:dyDescent="0.25">
      <c r="P507" s="11"/>
    </row>
    <row r="508" spans="16:16" ht="15.75" customHeight="1" x14ac:dyDescent="0.25">
      <c r="P508" s="11"/>
    </row>
    <row r="509" spans="16:16" ht="15.75" customHeight="1" x14ac:dyDescent="0.25">
      <c r="P509" s="11"/>
    </row>
    <row r="510" spans="16:16" ht="15.75" customHeight="1" x14ac:dyDescent="0.25">
      <c r="P510" s="11"/>
    </row>
    <row r="511" spans="16:16" ht="15.75" customHeight="1" x14ac:dyDescent="0.25">
      <c r="P511" s="11"/>
    </row>
    <row r="512" spans="16:16" ht="15.75" customHeight="1" x14ac:dyDescent="0.25">
      <c r="P512" s="11"/>
    </row>
    <row r="513" spans="16:16" ht="15.75" customHeight="1" x14ac:dyDescent="0.25">
      <c r="P513" s="11"/>
    </row>
    <row r="514" spans="16:16" ht="15.75" customHeight="1" x14ac:dyDescent="0.25">
      <c r="P514" s="11"/>
    </row>
    <row r="515" spans="16:16" ht="15.75" customHeight="1" x14ac:dyDescent="0.25">
      <c r="P515" s="11"/>
    </row>
    <row r="516" spans="16:16" ht="15.75" customHeight="1" x14ac:dyDescent="0.25">
      <c r="P516" s="11"/>
    </row>
    <row r="517" spans="16:16" ht="15.75" customHeight="1" x14ac:dyDescent="0.25">
      <c r="P517" s="11"/>
    </row>
    <row r="518" spans="16:16" ht="15.75" customHeight="1" x14ac:dyDescent="0.25">
      <c r="P518" s="11"/>
    </row>
    <row r="519" spans="16:16" ht="15.75" customHeight="1" x14ac:dyDescent="0.25">
      <c r="P519" s="11"/>
    </row>
    <row r="520" spans="16:16" ht="15.75" customHeight="1" x14ac:dyDescent="0.25">
      <c r="P520" s="11"/>
    </row>
    <row r="521" spans="16:16" ht="15.75" customHeight="1" x14ac:dyDescent="0.25">
      <c r="P521" s="11"/>
    </row>
    <row r="522" spans="16:16" ht="15.75" customHeight="1" x14ac:dyDescent="0.25">
      <c r="P522" s="11"/>
    </row>
    <row r="523" spans="16:16" ht="15.75" customHeight="1" x14ac:dyDescent="0.25">
      <c r="P523" s="11"/>
    </row>
    <row r="524" spans="16:16" ht="15.75" customHeight="1" x14ac:dyDescent="0.25">
      <c r="P524" s="11"/>
    </row>
    <row r="525" spans="16:16" ht="15.75" customHeight="1" x14ac:dyDescent="0.25">
      <c r="P525" s="11"/>
    </row>
    <row r="526" spans="16:16" ht="15.75" customHeight="1" x14ac:dyDescent="0.25">
      <c r="P526" s="11"/>
    </row>
    <row r="527" spans="16:16" ht="15.75" customHeight="1" x14ac:dyDescent="0.25">
      <c r="P527" s="11"/>
    </row>
    <row r="528" spans="16:16" ht="15.75" customHeight="1" x14ac:dyDescent="0.25">
      <c r="P528" s="11"/>
    </row>
    <row r="529" spans="16:16" ht="15.75" customHeight="1" x14ac:dyDescent="0.25">
      <c r="P529" s="11"/>
    </row>
    <row r="530" spans="16:16" ht="15.75" customHeight="1" x14ac:dyDescent="0.25">
      <c r="P530" s="11"/>
    </row>
    <row r="531" spans="16:16" ht="15.75" customHeight="1" x14ac:dyDescent="0.25">
      <c r="P531" s="11"/>
    </row>
    <row r="532" spans="16:16" ht="15.75" customHeight="1" x14ac:dyDescent="0.25">
      <c r="P532" s="11"/>
    </row>
    <row r="533" spans="16:16" ht="15.75" customHeight="1" x14ac:dyDescent="0.25">
      <c r="P533" s="11"/>
    </row>
    <row r="534" spans="16:16" ht="15.75" customHeight="1" x14ac:dyDescent="0.25">
      <c r="P534" s="11"/>
    </row>
    <row r="535" spans="16:16" ht="15.75" customHeight="1" x14ac:dyDescent="0.25">
      <c r="P535" s="11"/>
    </row>
    <row r="536" spans="16:16" ht="15.75" customHeight="1" x14ac:dyDescent="0.25">
      <c r="P536" s="11"/>
    </row>
    <row r="537" spans="16:16" ht="15.75" customHeight="1" x14ac:dyDescent="0.25">
      <c r="P537" s="11"/>
    </row>
    <row r="538" spans="16:16" ht="15.75" customHeight="1" x14ac:dyDescent="0.25">
      <c r="P538" s="11"/>
    </row>
    <row r="539" spans="16:16" ht="15.75" customHeight="1" x14ac:dyDescent="0.25">
      <c r="P539" s="11"/>
    </row>
    <row r="540" spans="16:16" ht="15.75" customHeight="1" x14ac:dyDescent="0.25">
      <c r="P540" s="11"/>
    </row>
    <row r="541" spans="16:16" ht="15.75" customHeight="1" x14ac:dyDescent="0.25">
      <c r="P541" s="11"/>
    </row>
    <row r="542" spans="16:16" ht="15.75" customHeight="1" x14ac:dyDescent="0.25">
      <c r="P542" s="11"/>
    </row>
    <row r="543" spans="16:16" ht="15.75" customHeight="1" x14ac:dyDescent="0.25">
      <c r="P543" s="11"/>
    </row>
    <row r="544" spans="16:16" ht="15.75" customHeight="1" x14ac:dyDescent="0.25">
      <c r="P544" s="11"/>
    </row>
    <row r="545" spans="16:16" ht="15.75" customHeight="1" x14ac:dyDescent="0.25">
      <c r="P545" s="11"/>
    </row>
    <row r="546" spans="16:16" ht="15.75" customHeight="1" x14ac:dyDescent="0.25">
      <c r="P546" s="11"/>
    </row>
    <row r="547" spans="16:16" ht="15.75" customHeight="1" x14ac:dyDescent="0.25">
      <c r="P547" s="11"/>
    </row>
    <row r="548" spans="16:16" ht="15.75" customHeight="1" x14ac:dyDescent="0.25">
      <c r="P548" s="11"/>
    </row>
    <row r="549" spans="16:16" ht="15.75" customHeight="1" x14ac:dyDescent="0.25">
      <c r="P549" s="11"/>
    </row>
    <row r="550" spans="16:16" ht="15.75" customHeight="1" x14ac:dyDescent="0.25">
      <c r="P550" s="11"/>
    </row>
    <row r="551" spans="16:16" ht="15.75" customHeight="1" x14ac:dyDescent="0.25">
      <c r="P551" s="11"/>
    </row>
    <row r="552" spans="16:16" ht="15.75" customHeight="1" x14ac:dyDescent="0.25">
      <c r="P552" s="11"/>
    </row>
    <row r="553" spans="16:16" ht="15.75" customHeight="1" x14ac:dyDescent="0.25">
      <c r="P553" s="11"/>
    </row>
    <row r="554" spans="16:16" ht="15.75" customHeight="1" x14ac:dyDescent="0.25">
      <c r="P554" s="11"/>
    </row>
    <row r="555" spans="16:16" ht="15.75" customHeight="1" x14ac:dyDescent="0.25">
      <c r="P555" s="11"/>
    </row>
    <row r="556" spans="16:16" ht="15.75" customHeight="1" x14ac:dyDescent="0.25">
      <c r="P556" s="11"/>
    </row>
    <row r="557" spans="16:16" ht="15.75" customHeight="1" x14ac:dyDescent="0.25">
      <c r="P557" s="11"/>
    </row>
    <row r="558" spans="16:16" ht="15.75" customHeight="1" x14ac:dyDescent="0.25">
      <c r="P558" s="11"/>
    </row>
    <row r="559" spans="16:16" ht="15.75" customHeight="1" x14ac:dyDescent="0.25">
      <c r="P559" s="11"/>
    </row>
    <row r="560" spans="16:16" ht="15.75" customHeight="1" x14ac:dyDescent="0.25">
      <c r="P560" s="11"/>
    </row>
    <row r="561" spans="16:16" ht="15.75" customHeight="1" x14ac:dyDescent="0.25">
      <c r="P561" s="11"/>
    </row>
    <row r="562" spans="16:16" ht="15.75" customHeight="1" x14ac:dyDescent="0.25">
      <c r="P562" s="11"/>
    </row>
    <row r="563" spans="16:16" ht="15.75" customHeight="1" x14ac:dyDescent="0.25">
      <c r="P563" s="11"/>
    </row>
    <row r="564" spans="16:16" ht="15.75" customHeight="1" x14ac:dyDescent="0.25">
      <c r="P564" s="11"/>
    </row>
    <row r="565" spans="16:16" ht="15.75" customHeight="1" x14ac:dyDescent="0.25">
      <c r="P565" s="11"/>
    </row>
    <row r="566" spans="16:16" ht="15.75" customHeight="1" x14ac:dyDescent="0.25">
      <c r="P566" s="11"/>
    </row>
    <row r="567" spans="16:16" ht="15.75" customHeight="1" x14ac:dyDescent="0.25">
      <c r="P567" s="11"/>
    </row>
    <row r="568" spans="16:16" ht="15.75" customHeight="1" x14ac:dyDescent="0.25">
      <c r="P568" s="11"/>
    </row>
    <row r="569" spans="16:16" ht="15.75" customHeight="1" x14ac:dyDescent="0.25">
      <c r="P569" s="11"/>
    </row>
    <row r="570" spans="16:16" ht="15.75" customHeight="1" x14ac:dyDescent="0.25">
      <c r="P570" s="11"/>
    </row>
    <row r="571" spans="16:16" ht="15.75" customHeight="1" x14ac:dyDescent="0.25">
      <c r="P571" s="11"/>
    </row>
    <row r="572" spans="16:16" ht="15.75" customHeight="1" x14ac:dyDescent="0.25">
      <c r="P572" s="11"/>
    </row>
    <row r="573" spans="16:16" ht="15.75" customHeight="1" x14ac:dyDescent="0.25">
      <c r="P573" s="11"/>
    </row>
    <row r="574" spans="16:16" ht="15.75" customHeight="1" x14ac:dyDescent="0.25">
      <c r="P574" s="11"/>
    </row>
    <row r="575" spans="16:16" ht="15.75" customHeight="1" x14ac:dyDescent="0.25">
      <c r="P575" s="11"/>
    </row>
    <row r="576" spans="16:16" ht="15.75" customHeight="1" x14ac:dyDescent="0.25">
      <c r="P576" s="11"/>
    </row>
    <row r="577" spans="16:16" ht="15.75" customHeight="1" x14ac:dyDescent="0.25">
      <c r="P577" s="11"/>
    </row>
    <row r="578" spans="16:16" ht="15.75" customHeight="1" x14ac:dyDescent="0.25">
      <c r="P578" s="11"/>
    </row>
    <row r="579" spans="16:16" ht="15.75" customHeight="1" x14ac:dyDescent="0.25">
      <c r="P579" s="11"/>
    </row>
    <row r="580" spans="16:16" ht="15.75" customHeight="1" x14ac:dyDescent="0.25">
      <c r="P580" s="11"/>
    </row>
    <row r="581" spans="16:16" ht="15.75" customHeight="1" x14ac:dyDescent="0.25">
      <c r="P581" s="11"/>
    </row>
    <row r="582" spans="16:16" ht="15.75" customHeight="1" x14ac:dyDescent="0.25">
      <c r="P582" s="11"/>
    </row>
    <row r="583" spans="16:16" ht="15.75" customHeight="1" x14ac:dyDescent="0.25">
      <c r="P583" s="11"/>
    </row>
    <row r="584" spans="16:16" ht="15.75" customHeight="1" x14ac:dyDescent="0.25">
      <c r="P584" s="11"/>
    </row>
    <row r="585" spans="16:16" ht="15.75" customHeight="1" x14ac:dyDescent="0.25">
      <c r="P585" s="11"/>
    </row>
    <row r="586" spans="16:16" ht="15.75" customHeight="1" x14ac:dyDescent="0.25">
      <c r="P586" s="11"/>
    </row>
    <row r="587" spans="16:16" ht="15.75" customHeight="1" x14ac:dyDescent="0.25">
      <c r="P587" s="11"/>
    </row>
    <row r="588" spans="16:16" ht="15.75" customHeight="1" x14ac:dyDescent="0.25">
      <c r="P588" s="11"/>
    </row>
    <row r="589" spans="16:16" ht="15.75" customHeight="1" x14ac:dyDescent="0.25">
      <c r="P589" s="11"/>
    </row>
    <row r="590" spans="16:16" ht="15.75" customHeight="1" x14ac:dyDescent="0.25">
      <c r="P590" s="11"/>
    </row>
    <row r="591" spans="16:16" ht="15.75" customHeight="1" x14ac:dyDescent="0.25">
      <c r="P591" s="11"/>
    </row>
    <row r="592" spans="16:16" ht="15.75" customHeight="1" x14ac:dyDescent="0.25">
      <c r="P592" s="11"/>
    </row>
    <row r="593" spans="16:16" ht="15.75" customHeight="1" x14ac:dyDescent="0.25">
      <c r="P593" s="11"/>
    </row>
    <row r="594" spans="16:16" ht="15.75" customHeight="1" x14ac:dyDescent="0.25">
      <c r="P594" s="11"/>
    </row>
    <row r="595" spans="16:16" ht="15.75" customHeight="1" x14ac:dyDescent="0.25">
      <c r="P595" s="11"/>
    </row>
    <row r="596" spans="16:16" ht="15.75" customHeight="1" x14ac:dyDescent="0.25">
      <c r="P596" s="11"/>
    </row>
    <row r="597" spans="16:16" ht="15.75" customHeight="1" x14ac:dyDescent="0.25">
      <c r="P597" s="11"/>
    </row>
    <row r="598" spans="16:16" ht="15.75" customHeight="1" x14ac:dyDescent="0.25">
      <c r="P598" s="11"/>
    </row>
    <row r="599" spans="16:16" ht="15.75" customHeight="1" x14ac:dyDescent="0.25">
      <c r="P599" s="11"/>
    </row>
    <row r="600" spans="16:16" ht="15.75" customHeight="1" x14ac:dyDescent="0.25">
      <c r="P600" s="11"/>
    </row>
    <row r="601" spans="16:16" ht="15.75" customHeight="1" x14ac:dyDescent="0.25">
      <c r="P601" s="11"/>
    </row>
    <row r="602" spans="16:16" ht="15.75" customHeight="1" x14ac:dyDescent="0.25">
      <c r="P602" s="11"/>
    </row>
    <row r="603" spans="16:16" ht="15.75" customHeight="1" x14ac:dyDescent="0.25">
      <c r="P603" s="11"/>
    </row>
    <row r="604" spans="16:16" ht="15.75" customHeight="1" x14ac:dyDescent="0.25">
      <c r="P604" s="11"/>
    </row>
    <row r="605" spans="16:16" ht="15.75" customHeight="1" x14ac:dyDescent="0.25">
      <c r="P605" s="11"/>
    </row>
    <row r="606" spans="16:16" ht="15.75" customHeight="1" x14ac:dyDescent="0.25">
      <c r="P606" s="11"/>
    </row>
    <row r="607" spans="16:16" ht="15.75" customHeight="1" x14ac:dyDescent="0.25">
      <c r="P607" s="11"/>
    </row>
    <row r="608" spans="16:16" ht="15.75" customHeight="1" x14ac:dyDescent="0.25">
      <c r="P608" s="11"/>
    </row>
    <row r="609" spans="16:16" ht="15.75" customHeight="1" x14ac:dyDescent="0.25">
      <c r="P609" s="11"/>
    </row>
    <row r="610" spans="16:16" ht="15.75" customHeight="1" x14ac:dyDescent="0.25">
      <c r="P610" s="11"/>
    </row>
    <row r="611" spans="16:16" ht="15.75" customHeight="1" x14ac:dyDescent="0.25">
      <c r="P611" s="11"/>
    </row>
    <row r="612" spans="16:16" ht="15.75" customHeight="1" x14ac:dyDescent="0.25">
      <c r="P612" s="11"/>
    </row>
    <row r="613" spans="16:16" ht="15.75" customHeight="1" x14ac:dyDescent="0.25">
      <c r="P613" s="11"/>
    </row>
    <row r="614" spans="16:16" ht="15.75" customHeight="1" x14ac:dyDescent="0.25">
      <c r="P614" s="11"/>
    </row>
    <row r="615" spans="16:16" ht="15.75" customHeight="1" x14ac:dyDescent="0.25">
      <c r="P615" s="11"/>
    </row>
    <row r="616" spans="16:16" ht="15.75" customHeight="1" x14ac:dyDescent="0.25">
      <c r="P616" s="11"/>
    </row>
    <row r="617" spans="16:16" ht="15.75" customHeight="1" x14ac:dyDescent="0.25">
      <c r="P617" s="11"/>
    </row>
    <row r="618" spans="16:16" ht="15.75" customHeight="1" x14ac:dyDescent="0.25">
      <c r="P618" s="11"/>
    </row>
    <row r="619" spans="16:16" ht="15.75" customHeight="1" x14ac:dyDescent="0.25">
      <c r="P619" s="11"/>
    </row>
    <row r="620" spans="16:16" ht="15.75" customHeight="1" x14ac:dyDescent="0.25">
      <c r="P620" s="11"/>
    </row>
    <row r="621" spans="16:16" ht="15.75" customHeight="1" x14ac:dyDescent="0.25">
      <c r="P621" s="11"/>
    </row>
    <row r="622" spans="16:16" ht="15.75" customHeight="1" x14ac:dyDescent="0.25">
      <c r="P622" s="11"/>
    </row>
    <row r="623" spans="16:16" ht="15.75" customHeight="1" x14ac:dyDescent="0.25">
      <c r="P623" s="11"/>
    </row>
    <row r="624" spans="16:16" ht="15.75" customHeight="1" x14ac:dyDescent="0.25">
      <c r="P624" s="11"/>
    </row>
    <row r="625" spans="16:16" ht="15.75" customHeight="1" x14ac:dyDescent="0.25">
      <c r="P625" s="11"/>
    </row>
    <row r="626" spans="16:16" ht="15.75" customHeight="1" x14ac:dyDescent="0.25">
      <c r="P626" s="11"/>
    </row>
    <row r="627" spans="16:16" ht="15.75" customHeight="1" x14ac:dyDescent="0.25">
      <c r="P627" s="11"/>
    </row>
    <row r="628" spans="16:16" ht="15.75" customHeight="1" x14ac:dyDescent="0.25">
      <c r="P628" s="11"/>
    </row>
    <row r="629" spans="16:16" ht="15.75" customHeight="1" x14ac:dyDescent="0.25">
      <c r="P629" s="11"/>
    </row>
    <row r="630" spans="16:16" ht="15.75" customHeight="1" x14ac:dyDescent="0.25">
      <c r="P630" s="11"/>
    </row>
    <row r="631" spans="16:16" ht="15.75" customHeight="1" x14ac:dyDescent="0.25">
      <c r="P631" s="11"/>
    </row>
    <row r="632" spans="16:16" ht="15.75" customHeight="1" x14ac:dyDescent="0.25">
      <c r="P632" s="11"/>
    </row>
    <row r="633" spans="16:16" ht="15.75" customHeight="1" x14ac:dyDescent="0.25">
      <c r="P633" s="11"/>
    </row>
    <row r="634" spans="16:16" ht="15.75" customHeight="1" x14ac:dyDescent="0.25">
      <c r="P634" s="11"/>
    </row>
    <row r="635" spans="16:16" ht="15.75" customHeight="1" x14ac:dyDescent="0.25">
      <c r="P635" s="11"/>
    </row>
    <row r="636" spans="16:16" ht="15.75" customHeight="1" x14ac:dyDescent="0.25">
      <c r="P636" s="11"/>
    </row>
    <row r="637" spans="16:16" ht="15.75" customHeight="1" x14ac:dyDescent="0.25">
      <c r="P637" s="11"/>
    </row>
    <row r="638" spans="16:16" ht="15.75" customHeight="1" x14ac:dyDescent="0.25">
      <c r="P638" s="11"/>
    </row>
    <row r="639" spans="16:16" ht="15.75" customHeight="1" x14ac:dyDescent="0.25">
      <c r="P639" s="11"/>
    </row>
    <row r="640" spans="16:16" ht="15.75" customHeight="1" x14ac:dyDescent="0.25">
      <c r="P640" s="11"/>
    </row>
    <row r="641" spans="16:16" ht="15.75" customHeight="1" x14ac:dyDescent="0.25">
      <c r="P641" s="11"/>
    </row>
    <row r="642" spans="16:16" ht="15.75" customHeight="1" x14ac:dyDescent="0.25">
      <c r="P642" s="11"/>
    </row>
    <row r="643" spans="16:16" ht="15.75" customHeight="1" x14ac:dyDescent="0.25">
      <c r="P643" s="11"/>
    </row>
    <row r="644" spans="16:16" ht="15.75" customHeight="1" x14ac:dyDescent="0.25">
      <c r="P644" s="11"/>
    </row>
    <row r="645" spans="16:16" ht="15.75" customHeight="1" x14ac:dyDescent="0.25">
      <c r="P645" s="11"/>
    </row>
    <row r="646" spans="16:16" ht="15.75" customHeight="1" x14ac:dyDescent="0.25">
      <c r="P646" s="11"/>
    </row>
    <row r="647" spans="16:16" ht="15.75" customHeight="1" x14ac:dyDescent="0.25">
      <c r="P647" s="11"/>
    </row>
    <row r="648" spans="16:16" ht="15.75" customHeight="1" x14ac:dyDescent="0.25">
      <c r="P648" s="11"/>
    </row>
    <row r="649" spans="16:16" ht="15.75" customHeight="1" x14ac:dyDescent="0.25">
      <c r="P649" s="11"/>
    </row>
    <row r="650" spans="16:16" ht="15.75" customHeight="1" x14ac:dyDescent="0.25">
      <c r="P650" s="11"/>
    </row>
    <row r="651" spans="16:16" ht="15.75" customHeight="1" x14ac:dyDescent="0.25">
      <c r="P651" s="11"/>
    </row>
    <row r="652" spans="16:16" ht="15.75" customHeight="1" x14ac:dyDescent="0.25">
      <c r="P652" s="11"/>
    </row>
    <row r="653" spans="16:16" ht="15.75" customHeight="1" x14ac:dyDescent="0.25">
      <c r="P653" s="11"/>
    </row>
    <row r="654" spans="16:16" ht="15.75" customHeight="1" x14ac:dyDescent="0.25">
      <c r="P654" s="11"/>
    </row>
    <row r="655" spans="16:16" ht="15.75" customHeight="1" x14ac:dyDescent="0.25">
      <c r="P655" s="11"/>
    </row>
    <row r="656" spans="16:16" ht="15.75" customHeight="1" x14ac:dyDescent="0.25">
      <c r="P656" s="11"/>
    </row>
    <row r="657" spans="16:16" ht="15.75" customHeight="1" x14ac:dyDescent="0.25">
      <c r="P657" s="11"/>
    </row>
    <row r="658" spans="16:16" ht="15.75" customHeight="1" x14ac:dyDescent="0.25">
      <c r="P658" s="11"/>
    </row>
    <row r="659" spans="16:16" ht="15.75" customHeight="1" x14ac:dyDescent="0.25">
      <c r="P659" s="11"/>
    </row>
    <row r="660" spans="16:16" ht="15.75" customHeight="1" x14ac:dyDescent="0.25">
      <c r="P660" s="11"/>
    </row>
    <row r="661" spans="16:16" ht="15.75" customHeight="1" x14ac:dyDescent="0.25">
      <c r="P661" s="11"/>
    </row>
    <row r="662" spans="16:16" ht="15.75" customHeight="1" x14ac:dyDescent="0.25">
      <c r="P662" s="11"/>
    </row>
    <row r="663" spans="16:16" ht="15.75" customHeight="1" x14ac:dyDescent="0.25">
      <c r="P663" s="11"/>
    </row>
    <row r="664" spans="16:16" ht="15.75" customHeight="1" x14ac:dyDescent="0.25">
      <c r="P664" s="11"/>
    </row>
    <row r="665" spans="16:16" ht="15.75" customHeight="1" x14ac:dyDescent="0.25">
      <c r="P665" s="11"/>
    </row>
    <row r="666" spans="16:16" ht="15.75" customHeight="1" x14ac:dyDescent="0.25">
      <c r="P666" s="11"/>
    </row>
    <row r="667" spans="16:16" ht="15.75" customHeight="1" x14ac:dyDescent="0.25">
      <c r="P667" s="11"/>
    </row>
    <row r="668" spans="16:16" ht="15.75" customHeight="1" x14ac:dyDescent="0.25">
      <c r="P668" s="11"/>
    </row>
    <row r="669" spans="16:16" ht="15.75" customHeight="1" x14ac:dyDescent="0.25">
      <c r="P669" s="11"/>
    </row>
    <row r="670" spans="16:16" ht="15.75" customHeight="1" x14ac:dyDescent="0.25">
      <c r="P670" s="11"/>
    </row>
    <row r="671" spans="16:16" ht="15.75" customHeight="1" x14ac:dyDescent="0.25">
      <c r="P671" s="11"/>
    </row>
    <row r="672" spans="16:16" ht="15.75" customHeight="1" x14ac:dyDescent="0.25">
      <c r="P672" s="11"/>
    </row>
    <row r="673" spans="16:16" ht="15.75" customHeight="1" x14ac:dyDescent="0.25">
      <c r="P673" s="11"/>
    </row>
    <row r="674" spans="16:16" ht="15.75" customHeight="1" x14ac:dyDescent="0.25">
      <c r="P674" s="11"/>
    </row>
    <row r="675" spans="16:16" ht="15.75" customHeight="1" x14ac:dyDescent="0.25">
      <c r="P675" s="11"/>
    </row>
    <row r="676" spans="16:16" ht="15.75" customHeight="1" x14ac:dyDescent="0.25">
      <c r="P676" s="11"/>
    </row>
    <row r="677" spans="16:16" ht="15.75" customHeight="1" x14ac:dyDescent="0.25">
      <c r="P677" s="11"/>
    </row>
    <row r="678" spans="16:16" ht="15.75" customHeight="1" x14ac:dyDescent="0.25">
      <c r="P678" s="11"/>
    </row>
    <row r="679" spans="16:16" ht="15.75" customHeight="1" x14ac:dyDescent="0.25">
      <c r="P679" s="11"/>
    </row>
    <row r="680" spans="16:16" ht="15.75" customHeight="1" x14ac:dyDescent="0.25">
      <c r="P680" s="11"/>
    </row>
    <row r="681" spans="16:16" ht="15.75" customHeight="1" x14ac:dyDescent="0.25">
      <c r="P681" s="11"/>
    </row>
    <row r="682" spans="16:16" ht="15.75" customHeight="1" x14ac:dyDescent="0.25">
      <c r="P682" s="11"/>
    </row>
    <row r="683" spans="16:16" ht="15.75" customHeight="1" x14ac:dyDescent="0.25">
      <c r="P683" s="11"/>
    </row>
    <row r="684" spans="16:16" ht="15.75" customHeight="1" x14ac:dyDescent="0.25">
      <c r="P684" s="11"/>
    </row>
    <row r="685" spans="16:16" ht="15.75" customHeight="1" x14ac:dyDescent="0.25">
      <c r="P685" s="11"/>
    </row>
    <row r="686" spans="16:16" ht="15.75" customHeight="1" x14ac:dyDescent="0.25">
      <c r="P686" s="11"/>
    </row>
    <row r="687" spans="16:16" ht="15.75" customHeight="1" x14ac:dyDescent="0.25">
      <c r="P687" s="11"/>
    </row>
    <row r="688" spans="16:16" ht="15.75" customHeight="1" x14ac:dyDescent="0.25">
      <c r="P688" s="11"/>
    </row>
    <row r="689" spans="16:16" ht="15.75" customHeight="1" x14ac:dyDescent="0.25">
      <c r="P689" s="11"/>
    </row>
    <row r="690" spans="16:16" ht="15.75" customHeight="1" x14ac:dyDescent="0.25">
      <c r="P690" s="11"/>
    </row>
    <row r="691" spans="16:16" ht="15.75" customHeight="1" x14ac:dyDescent="0.25">
      <c r="P691" s="11"/>
    </row>
    <row r="692" spans="16:16" ht="15.75" customHeight="1" x14ac:dyDescent="0.25">
      <c r="P692" s="11"/>
    </row>
    <row r="693" spans="16:16" ht="15.75" customHeight="1" x14ac:dyDescent="0.25">
      <c r="P693" s="11"/>
    </row>
    <row r="694" spans="16:16" ht="15.75" customHeight="1" x14ac:dyDescent="0.25">
      <c r="P694" s="11"/>
    </row>
    <row r="695" spans="16:16" ht="15.75" customHeight="1" x14ac:dyDescent="0.25">
      <c r="P695" s="11"/>
    </row>
    <row r="696" spans="16:16" ht="15.75" customHeight="1" x14ac:dyDescent="0.25">
      <c r="P696" s="11"/>
    </row>
    <row r="697" spans="16:16" ht="15.75" customHeight="1" x14ac:dyDescent="0.25">
      <c r="P697" s="11"/>
    </row>
    <row r="698" spans="16:16" ht="15.75" customHeight="1" x14ac:dyDescent="0.25">
      <c r="P698" s="11"/>
    </row>
    <row r="699" spans="16:16" ht="15.75" customHeight="1" x14ac:dyDescent="0.25">
      <c r="P699" s="11"/>
    </row>
    <row r="700" spans="16:16" ht="15.75" customHeight="1" x14ac:dyDescent="0.25">
      <c r="P700" s="11"/>
    </row>
    <row r="701" spans="16:16" ht="15.75" customHeight="1" x14ac:dyDescent="0.25">
      <c r="P701" s="11"/>
    </row>
    <row r="702" spans="16:16" ht="15.75" customHeight="1" x14ac:dyDescent="0.25">
      <c r="P702" s="11"/>
    </row>
    <row r="703" spans="16:16" ht="15.75" customHeight="1" x14ac:dyDescent="0.25">
      <c r="P703" s="11"/>
    </row>
    <row r="704" spans="16:16" ht="15.75" customHeight="1" x14ac:dyDescent="0.25">
      <c r="P704" s="11"/>
    </row>
    <row r="705" spans="16:16" ht="15.75" customHeight="1" x14ac:dyDescent="0.25">
      <c r="P705" s="11"/>
    </row>
    <row r="706" spans="16:16" ht="15.75" customHeight="1" x14ac:dyDescent="0.25">
      <c r="P706" s="11"/>
    </row>
    <row r="707" spans="16:16" ht="15.75" customHeight="1" x14ac:dyDescent="0.25">
      <c r="P707" s="11"/>
    </row>
    <row r="708" spans="16:16" ht="15.75" customHeight="1" x14ac:dyDescent="0.25">
      <c r="P708" s="11"/>
    </row>
    <row r="709" spans="16:16" ht="15.75" customHeight="1" x14ac:dyDescent="0.25">
      <c r="P709" s="11"/>
    </row>
    <row r="710" spans="16:16" ht="15.75" customHeight="1" x14ac:dyDescent="0.25">
      <c r="P710" s="11"/>
    </row>
    <row r="711" spans="16:16" ht="15.75" customHeight="1" x14ac:dyDescent="0.25">
      <c r="P711" s="11"/>
    </row>
    <row r="712" spans="16:16" ht="15.75" customHeight="1" x14ac:dyDescent="0.25">
      <c r="P712" s="11"/>
    </row>
    <row r="713" spans="16:16" ht="15.75" customHeight="1" x14ac:dyDescent="0.25">
      <c r="P713" s="11"/>
    </row>
    <row r="714" spans="16:16" ht="15.75" customHeight="1" x14ac:dyDescent="0.25">
      <c r="P714" s="11"/>
    </row>
    <row r="715" spans="16:16" ht="15.75" customHeight="1" x14ac:dyDescent="0.25">
      <c r="P715" s="11"/>
    </row>
    <row r="716" spans="16:16" ht="15.75" customHeight="1" x14ac:dyDescent="0.25">
      <c r="P716" s="11"/>
    </row>
    <row r="717" spans="16:16" ht="15.75" customHeight="1" x14ac:dyDescent="0.25">
      <c r="P717" s="11"/>
    </row>
    <row r="718" spans="16:16" ht="15.75" customHeight="1" x14ac:dyDescent="0.25">
      <c r="P718" s="11"/>
    </row>
    <row r="719" spans="16:16" ht="15.75" customHeight="1" x14ac:dyDescent="0.25">
      <c r="P719" s="11"/>
    </row>
    <row r="720" spans="16:16" ht="15.75" customHeight="1" x14ac:dyDescent="0.25">
      <c r="P720" s="11"/>
    </row>
    <row r="721" spans="16:16" ht="15.75" customHeight="1" x14ac:dyDescent="0.25">
      <c r="P721" s="11"/>
    </row>
    <row r="722" spans="16:16" ht="15.75" customHeight="1" x14ac:dyDescent="0.25">
      <c r="P722" s="11"/>
    </row>
    <row r="723" spans="16:16" ht="15.75" customHeight="1" x14ac:dyDescent="0.25">
      <c r="P723" s="11"/>
    </row>
    <row r="724" spans="16:16" ht="15.75" customHeight="1" x14ac:dyDescent="0.25">
      <c r="P724" s="11"/>
    </row>
    <row r="725" spans="16:16" ht="15.75" customHeight="1" x14ac:dyDescent="0.25">
      <c r="P725" s="11"/>
    </row>
    <row r="726" spans="16:16" ht="15.75" customHeight="1" x14ac:dyDescent="0.25">
      <c r="P726" s="11"/>
    </row>
    <row r="727" spans="16:16" ht="15.75" customHeight="1" x14ac:dyDescent="0.25">
      <c r="P727" s="11"/>
    </row>
    <row r="728" spans="16:16" ht="15.75" customHeight="1" x14ac:dyDescent="0.25">
      <c r="P728" s="11"/>
    </row>
    <row r="729" spans="16:16" ht="15.75" customHeight="1" x14ac:dyDescent="0.25">
      <c r="P729" s="11"/>
    </row>
    <row r="730" spans="16:16" ht="15.75" customHeight="1" x14ac:dyDescent="0.25">
      <c r="P730" s="11"/>
    </row>
    <row r="731" spans="16:16" ht="15.75" customHeight="1" x14ac:dyDescent="0.25">
      <c r="P731" s="11"/>
    </row>
    <row r="732" spans="16:16" ht="15.75" customHeight="1" x14ac:dyDescent="0.25">
      <c r="P732" s="11"/>
    </row>
    <row r="733" spans="16:16" ht="15.75" customHeight="1" x14ac:dyDescent="0.25">
      <c r="P733" s="11"/>
    </row>
    <row r="734" spans="16:16" ht="15.75" customHeight="1" x14ac:dyDescent="0.25">
      <c r="P734" s="11"/>
    </row>
    <row r="735" spans="16:16" ht="15.75" customHeight="1" x14ac:dyDescent="0.25">
      <c r="P735" s="11"/>
    </row>
    <row r="736" spans="16:16" ht="15.75" customHeight="1" x14ac:dyDescent="0.25">
      <c r="P736" s="11"/>
    </row>
    <row r="737" spans="16:16" ht="15.75" customHeight="1" x14ac:dyDescent="0.25">
      <c r="P737" s="11"/>
    </row>
    <row r="738" spans="16:16" ht="15.75" customHeight="1" x14ac:dyDescent="0.25">
      <c r="P738" s="11"/>
    </row>
    <row r="739" spans="16:16" ht="15.75" customHeight="1" x14ac:dyDescent="0.25">
      <c r="P739" s="11"/>
    </row>
    <row r="740" spans="16:16" ht="15.75" customHeight="1" x14ac:dyDescent="0.25">
      <c r="P740" s="11"/>
    </row>
    <row r="741" spans="16:16" ht="15.75" customHeight="1" x14ac:dyDescent="0.25">
      <c r="P741" s="11"/>
    </row>
    <row r="742" spans="16:16" ht="15.75" customHeight="1" x14ac:dyDescent="0.25">
      <c r="P742" s="11"/>
    </row>
    <row r="743" spans="16:16" ht="15.75" customHeight="1" x14ac:dyDescent="0.25">
      <c r="P743" s="11"/>
    </row>
    <row r="744" spans="16:16" ht="15.75" customHeight="1" x14ac:dyDescent="0.25">
      <c r="P744" s="11"/>
    </row>
    <row r="745" spans="16:16" ht="15.75" customHeight="1" x14ac:dyDescent="0.25">
      <c r="P745" s="11"/>
    </row>
    <row r="746" spans="16:16" ht="15.75" customHeight="1" x14ac:dyDescent="0.25">
      <c r="P746" s="11"/>
    </row>
    <row r="747" spans="16:16" ht="15.75" customHeight="1" x14ac:dyDescent="0.25">
      <c r="P747" s="11"/>
    </row>
    <row r="748" spans="16:16" ht="15.75" customHeight="1" x14ac:dyDescent="0.25">
      <c r="P748" s="11"/>
    </row>
    <row r="749" spans="16:16" ht="15.75" customHeight="1" x14ac:dyDescent="0.25">
      <c r="P749" s="11"/>
    </row>
    <row r="750" spans="16:16" ht="15.75" customHeight="1" x14ac:dyDescent="0.25">
      <c r="P750" s="11"/>
    </row>
    <row r="751" spans="16:16" ht="15.75" customHeight="1" x14ac:dyDescent="0.25">
      <c r="P751" s="11"/>
    </row>
    <row r="752" spans="16:16" ht="15.75" customHeight="1" x14ac:dyDescent="0.25">
      <c r="P752" s="11"/>
    </row>
    <row r="753" spans="16:16" ht="15.75" customHeight="1" x14ac:dyDescent="0.25">
      <c r="P753" s="11"/>
    </row>
    <row r="754" spans="16:16" ht="15.75" customHeight="1" x14ac:dyDescent="0.25">
      <c r="P754" s="11"/>
    </row>
    <row r="755" spans="16:16" ht="15.75" customHeight="1" x14ac:dyDescent="0.25">
      <c r="P755" s="11"/>
    </row>
    <row r="756" spans="16:16" ht="15.75" customHeight="1" x14ac:dyDescent="0.25">
      <c r="P756" s="11"/>
    </row>
    <row r="757" spans="16:16" ht="15.75" customHeight="1" x14ac:dyDescent="0.25">
      <c r="P757" s="11"/>
    </row>
    <row r="758" spans="16:16" ht="15.75" customHeight="1" x14ac:dyDescent="0.25">
      <c r="P758" s="11"/>
    </row>
    <row r="759" spans="16:16" ht="15.75" customHeight="1" x14ac:dyDescent="0.25">
      <c r="P759" s="11"/>
    </row>
    <row r="760" spans="16:16" ht="15.75" customHeight="1" x14ac:dyDescent="0.25">
      <c r="P760" s="11"/>
    </row>
    <row r="761" spans="16:16" ht="15.75" customHeight="1" x14ac:dyDescent="0.25">
      <c r="P761" s="11"/>
    </row>
    <row r="762" spans="16:16" ht="15.75" customHeight="1" x14ac:dyDescent="0.25">
      <c r="P762" s="11"/>
    </row>
    <row r="763" spans="16:16" ht="15.75" customHeight="1" x14ac:dyDescent="0.25">
      <c r="P763" s="11"/>
    </row>
    <row r="764" spans="16:16" ht="15.75" customHeight="1" x14ac:dyDescent="0.25">
      <c r="P764" s="11"/>
    </row>
    <row r="765" spans="16:16" ht="15.75" customHeight="1" x14ac:dyDescent="0.25">
      <c r="P765" s="11"/>
    </row>
    <row r="766" spans="16:16" ht="15.75" customHeight="1" x14ac:dyDescent="0.25">
      <c r="P766" s="11"/>
    </row>
    <row r="767" spans="16:16" ht="15.75" customHeight="1" x14ac:dyDescent="0.25">
      <c r="P767" s="11"/>
    </row>
    <row r="768" spans="16:16" ht="15.75" customHeight="1" x14ac:dyDescent="0.25">
      <c r="P768" s="11"/>
    </row>
    <row r="769" spans="16:16" ht="15.75" customHeight="1" x14ac:dyDescent="0.25">
      <c r="P769" s="11"/>
    </row>
    <row r="770" spans="16:16" ht="15.75" customHeight="1" x14ac:dyDescent="0.25">
      <c r="P770" s="11"/>
    </row>
    <row r="771" spans="16:16" ht="15.75" customHeight="1" x14ac:dyDescent="0.25">
      <c r="P771" s="11"/>
    </row>
    <row r="772" spans="16:16" ht="15.75" customHeight="1" x14ac:dyDescent="0.25">
      <c r="P772" s="11"/>
    </row>
    <row r="773" spans="16:16" ht="15.75" customHeight="1" x14ac:dyDescent="0.25">
      <c r="P773" s="11"/>
    </row>
    <row r="774" spans="16:16" ht="15.75" customHeight="1" x14ac:dyDescent="0.25">
      <c r="P774" s="11"/>
    </row>
    <row r="775" spans="16:16" ht="15.75" customHeight="1" x14ac:dyDescent="0.25">
      <c r="P775" s="11"/>
    </row>
    <row r="776" spans="16:16" ht="15.75" customHeight="1" x14ac:dyDescent="0.25">
      <c r="P776" s="11"/>
    </row>
    <row r="777" spans="16:16" ht="15.75" customHeight="1" x14ac:dyDescent="0.25">
      <c r="P777" s="11"/>
    </row>
    <row r="778" spans="16:16" ht="15.75" customHeight="1" x14ac:dyDescent="0.25">
      <c r="P778" s="11"/>
    </row>
    <row r="779" spans="16:16" ht="15.75" customHeight="1" x14ac:dyDescent="0.25">
      <c r="P779" s="11"/>
    </row>
    <row r="780" spans="16:16" ht="15.75" customHeight="1" x14ac:dyDescent="0.25">
      <c r="P780" s="11"/>
    </row>
    <row r="781" spans="16:16" ht="15.75" customHeight="1" x14ac:dyDescent="0.25">
      <c r="P781" s="11"/>
    </row>
    <row r="782" spans="16:16" ht="15.75" customHeight="1" x14ac:dyDescent="0.25">
      <c r="P782" s="11"/>
    </row>
    <row r="783" spans="16:16" ht="15.75" customHeight="1" x14ac:dyDescent="0.25">
      <c r="P783" s="11"/>
    </row>
    <row r="784" spans="16:16" ht="15.75" customHeight="1" x14ac:dyDescent="0.25">
      <c r="P784" s="11"/>
    </row>
    <row r="785" spans="16:16" ht="15.75" customHeight="1" x14ac:dyDescent="0.25">
      <c r="P785" s="11"/>
    </row>
    <row r="786" spans="16:16" ht="15.75" customHeight="1" x14ac:dyDescent="0.25">
      <c r="P786" s="11"/>
    </row>
    <row r="787" spans="16:16" ht="15.75" customHeight="1" x14ac:dyDescent="0.25">
      <c r="P787" s="11"/>
    </row>
    <row r="788" spans="16:16" ht="15.75" customHeight="1" x14ac:dyDescent="0.25">
      <c r="P788" s="11"/>
    </row>
    <row r="789" spans="16:16" ht="15.75" customHeight="1" x14ac:dyDescent="0.25">
      <c r="P789" s="11"/>
    </row>
    <row r="790" spans="16:16" ht="15.75" customHeight="1" x14ac:dyDescent="0.25">
      <c r="P790" s="11"/>
    </row>
    <row r="791" spans="16:16" ht="15.75" customHeight="1" x14ac:dyDescent="0.25">
      <c r="P791" s="11"/>
    </row>
    <row r="792" spans="16:16" ht="15.75" customHeight="1" x14ac:dyDescent="0.25">
      <c r="P792" s="11"/>
    </row>
    <row r="793" spans="16:16" ht="15.75" customHeight="1" x14ac:dyDescent="0.25">
      <c r="P793" s="11"/>
    </row>
    <row r="794" spans="16:16" ht="15.75" customHeight="1" x14ac:dyDescent="0.25">
      <c r="P794" s="11"/>
    </row>
    <row r="795" spans="16:16" ht="15.75" customHeight="1" x14ac:dyDescent="0.25">
      <c r="P795" s="11"/>
    </row>
    <row r="796" spans="16:16" ht="15.75" customHeight="1" x14ac:dyDescent="0.25">
      <c r="P796" s="11"/>
    </row>
    <row r="797" spans="16:16" ht="15.75" customHeight="1" x14ac:dyDescent="0.25">
      <c r="P797" s="11"/>
    </row>
    <row r="798" spans="16:16" ht="15.75" customHeight="1" x14ac:dyDescent="0.25">
      <c r="P798" s="11"/>
    </row>
    <row r="799" spans="16:16" ht="15.75" customHeight="1" x14ac:dyDescent="0.25">
      <c r="P799" s="11"/>
    </row>
    <row r="800" spans="16:16" ht="15.75" customHeight="1" x14ac:dyDescent="0.25">
      <c r="P800" s="11"/>
    </row>
    <row r="801" spans="16:16" ht="15.75" customHeight="1" x14ac:dyDescent="0.25">
      <c r="P801" s="11"/>
    </row>
    <row r="802" spans="16:16" ht="15.75" customHeight="1" x14ac:dyDescent="0.25">
      <c r="P802" s="11"/>
    </row>
    <row r="803" spans="16:16" ht="15.75" customHeight="1" x14ac:dyDescent="0.25">
      <c r="P803" s="11"/>
    </row>
    <row r="804" spans="16:16" ht="15.75" customHeight="1" x14ac:dyDescent="0.25">
      <c r="P804" s="11"/>
    </row>
    <row r="805" spans="16:16" ht="15.75" customHeight="1" x14ac:dyDescent="0.25">
      <c r="P805" s="11"/>
    </row>
    <row r="806" spans="16:16" ht="15.75" customHeight="1" x14ac:dyDescent="0.25">
      <c r="P806" s="11"/>
    </row>
    <row r="807" spans="16:16" ht="15.75" customHeight="1" x14ac:dyDescent="0.25">
      <c r="P807" s="11"/>
    </row>
    <row r="808" spans="16:16" ht="15.75" customHeight="1" x14ac:dyDescent="0.25">
      <c r="P808" s="11"/>
    </row>
    <row r="809" spans="16:16" ht="15.75" customHeight="1" x14ac:dyDescent="0.25">
      <c r="P809" s="11"/>
    </row>
    <row r="810" spans="16:16" ht="15.75" customHeight="1" x14ac:dyDescent="0.25">
      <c r="P810" s="11"/>
    </row>
    <row r="811" spans="16:16" ht="15.75" customHeight="1" x14ac:dyDescent="0.25">
      <c r="P811" s="11"/>
    </row>
    <row r="812" spans="16:16" ht="15.75" customHeight="1" x14ac:dyDescent="0.25">
      <c r="P812" s="11"/>
    </row>
    <row r="813" spans="16:16" ht="15.75" customHeight="1" x14ac:dyDescent="0.25">
      <c r="P813" s="11"/>
    </row>
    <row r="814" spans="16:16" ht="15.75" customHeight="1" x14ac:dyDescent="0.25">
      <c r="P814" s="11"/>
    </row>
    <row r="815" spans="16:16" ht="15.75" customHeight="1" x14ac:dyDescent="0.25">
      <c r="P815" s="11"/>
    </row>
    <row r="816" spans="16:16" ht="15.75" customHeight="1" x14ac:dyDescent="0.25">
      <c r="P816" s="11"/>
    </row>
    <row r="817" spans="16:16" ht="15.75" customHeight="1" x14ac:dyDescent="0.25">
      <c r="P817" s="11"/>
    </row>
    <row r="818" spans="16:16" ht="15.75" customHeight="1" x14ac:dyDescent="0.25">
      <c r="P818" s="11"/>
    </row>
    <row r="819" spans="16:16" ht="15.75" customHeight="1" x14ac:dyDescent="0.25">
      <c r="P819" s="11"/>
    </row>
    <row r="820" spans="16:16" ht="15.75" customHeight="1" x14ac:dyDescent="0.25">
      <c r="P820" s="11"/>
    </row>
    <row r="821" spans="16:16" ht="15.75" customHeight="1" x14ac:dyDescent="0.25">
      <c r="P821" s="11"/>
    </row>
    <row r="822" spans="16:16" ht="15.75" customHeight="1" x14ac:dyDescent="0.25">
      <c r="P822" s="11"/>
    </row>
    <row r="823" spans="16:16" ht="15.75" customHeight="1" x14ac:dyDescent="0.25">
      <c r="P823" s="11"/>
    </row>
    <row r="824" spans="16:16" ht="15.75" customHeight="1" x14ac:dyDescent="0.25">
      <c r="P824" s="11"/>
    </row>
    <row r="825" spans="16:16" ht="15.75" customHeight="1" x14ac:dyDescent="0.25">
      <c r="P825" s="11"/>
    </row>
    <row r="826" spans="16:16" ht="15.75" customHeight="1" x14ac:dyDescent="0.25">
      <c r="P826" s="11"/>
    </row>
    <row r="827" spans="16:16" ht="15.75" customHeight="1" x14ac:dyDescent="0.25">
      <c r="P827" s="11"/>
    </row>
    <row r="828" spans="16:16" ht="15.75" customHeight="1" x14ac:dyDescent="0.25">
      <c r="P828" s="11"/>
    </row>
    <row r="829" spans="16:16" ht="15.75" customHeight="1" x14ac:dyDescent="0.25">
      <c r="P829" s="11"/>
    </row>
    <row r="830" spans="16:16" ht="15.75" customHeight="1" x14ac:dyDescent="0.25">
      <c r="P830" s="11"/>
    </row>
    <row r="831" spans="16:16" ht="15.75" customHeight="1" x14ac:dyDescent="0.25">
      <c r="P831" s="11"/>
    </row>
    <row r="832" spans="16:16" ht="15.75" customHeight="1" x14ac:dyDescent="0.25">
      <c r="P832" s="11"/>
    </row>
    <row r="833" spans="16:16" ht="15.75" customHeight="1" x14ac:dyDescent="0.25">
      <c r="P833" s="11"/>
    </row>
    <row r="834" spans="16:16" ht="15.75" customHeight="1" x14ac:dyDescent="0.25">
      <c r="P834" s="11"/>
    </row>
    <row r="835" spans="16:16" ht="15.75" customHeight="1" x14ac:dyDescent="0.25">
      <c r="P835" s="11"/>
    </row>
    <row r="836" spans="16:16" ht="15.75" customHeight="1" x14ac:dyDescent="0.25">
      <c r="P836" s="11"/>
    </row>
    <row r="837" spans="16:16" ht="15.75" customHeight="1" x14ac:dyDescent="0.25">
      <c r="P837" s="11"/>
    </row>
    <row r="838" spans="16:16" ht="15.75" customHeight="1" x14ac:dyDescent="0.25">
      <c r="P838" s="11"/>
    </row>
    <row r="839" spans="16:16" ht="15.75" customHeight="1" x14ac:dyDescent="0.25">
      <c r="P839" s="11"/>
    </row>
    <row r="840" spans="16:16" ht="15.75" customHeight="1" x14ac:dyDescent="0.25">
      <c r="P840" s="11"/>
    </row>
    <row r="841" spans="16:16" ht="15.75" customHeight="1" x14ac:dyDescent="0.25">
      <c r="P841" s="11"/>
    </row>
    <row r="842" spans="16:16" ht="15.75" customHeight="1" x14ac:dyDescent="0.25">
      <c r="P842" s="11"/>
    </row>
    <row r="843" spans="16:16" ht="15.75" customHeight="1" x14ac:dyDescent="0.25">
      <c r="P843" s="11"/>
    </row>
    <row r="844" spans="16:16" ht="15.75" customHeight="1" x14ac:dyDescent="0.25">
      <c r="P844" s="11"/>
    </row>
    <row r="845" spans="16:16" ht="15.75" customHeight="1" x14ac:dyDescent="0.25">
      <c r="P845" s="11"/>
    </row>
    <row r="846" spans="16:16" ht="15.75" customHeight="1" x14ac:dyDescent="0.25">
      <c r="P846" s="11"/>
    </row>
    <row r="847" spans="16:16" ht="15.75" customHeight="1" x14ac:dyDescent="0.25">
      <c r="P847" s="11"/>
    </row>
    <row r="848" spans="16:16" ht="15.75" customHeight="1" x14ac:dyDescent="0.25">
      <c r="P848" s="11"/>
    </row>
    <row r="849" spans="16:16" ht="15.75" customHeight="1" x14ac:dyDescent="0.25">
      <c r="P849" s="11"/>
    </row>
    <row r="850" spans="16:16" ht="15.75" customHeight="1" x14ac:dyDescent="0.25">
      <c r="P850" s="11"/>
    </row>
    <row r="851" spans="16:16" ht="15.75" customHeight="1" x14ac:dyDescent="0.25">
      <c r="P851" s="11"/>
    </row>
    <row r="852" spans="16:16" ht="15.75" customHeight="1" x14ac:dyDescent="0.25">
      <c r="P852" s="11"/>
    </row>
    <row r="853" spans="16:16" ht="15.75" customHeight="1" x14ac:dyDescent="0.25">
      <c r="P853" s="11"/>
    </row>
    <row r="854" spans="16:16" ht="15.75" customHeight="1" x14ac:dyDescent="0.25">
      <c r="P854" s="11"/>
    </row>
    <row r="855" spans="16:16" ht="15.75" customHeight="1" x14ac:dyDescent="0.25">
      <c r="P855" s="11"/>
    </row>
    <row r="856" spans="16:16" ht="15.75" customHeight="1" x14ac:dyDescent="0.25">
      <c r="P856" s="11"/>
    </row>
    <row r="857" spans="16:16" ht="15.75" customHeight="1" x14ac:dyDescent="0.25">
      <c r="P857" s="11"/>
    </row>
    <row r="858" spans="16:16" ht="15.75" customHeight="1" x14ac:dyDescent="0.25">
      <c r="P858" s="11"/>
    </row>
    <row r="859" spans="16:16" ht="15.75" customHeight="1" x14ac:dyDescent="0.25">
      <c r="P859" s="11"/>
    </row>
    <row r="860" spans="16:16" ht="15.75" customHeight="1" x14ac:dyDescent="0.25">
      <c r="P860" s="11"/>
    </row>
    <row r="861" spans="16:16" ht="15.75" customHeight="1" x14ac:dyDescent="0.25">
      <c r="P861" s="11"/>
    </row>
    <row r="862" spans="16:16" ht="15.75" customHeight="1" x14ac:dyDescent="0.25">
      <c r="P862" s="11"/>
    </row>
    <row r="863" spans="16:16" ht="15.75" customHeight="1" x14ac:dyDescent="0.25">
      <c r="P863" s="11"/>
    </row>
    <row r="864" spans="16:16" ht="15.75" customHeight="1" x14ac:dyDescent="0.25">
      <c r="P864" s="11"/>
    </row>
    <row r="865" spans="16:16" ht="15.75" customHeight="1" x14ac:dyDescent="0.25">
      <c r="P865" s="11"/>
    </row>
    <row r="866" spans="16:16" ht="15.75" customHeight="1" x14ac:dyDescent="0.25">
      <c r="P866" s="11"/>
    </row>
    <row r="867" spans="16:16" ht="15.75" customHeight="1" x14ac:dyDescent="0.25">
      <c r="P867" s="11"/>
    </row>
    <row r="868" spans="16:16" ht="15.75" customHeight="1" x14ac:dyDescent="0.25">
      <c r="P868" s="11"/>
    </row>
    <row r="869" spans="16:16" ht="15.75" customHeight="1" x14ac:dyDescent="0.25">
      <c r="P869" s="11"/>
    </row>
    <row r="870" spans="16:16" ht="15.75" customHeight="1" x14ac:dyDescent="0.25">
      <c r="P870" s="11"/>
    </row>
    <row r="871" spans="16:16" ht="15.75" customHeight="1" x14ac:dyDescent="0.25">
      <c r="P871" s="11"/>
    </row>
    <row r="872" spans="16:16" ht="15.75" customHeight="1" x14ac:dyDescent="0.25">
      <c r="P872" s="11"/>
    </row>
    <row r="873" spans="16:16" ht="15.75" customHeight="1" x14ac:dyDescent="0.25">
      <c r="P873" s="11"/>
    </row>
    <row r="874" spans="16:16" ht="15.75" customHeight="1" x14ac:dyDescent="0.25">
      <c r="P874" s="11"/>
    </row>
    <row r="875" spans="16:16" ht="15.75" customHeight="1" x14ac:dyDescent="0.25">
      <c r="P875" s="11"/>
    </row>
    <row r="876" spans="16:16" ht="15.75" customHeight="1" x14ac:dyDescent="0.25">
      <c r="P876" s="11"/>
    </row>
    <row r="877" spans="16:16" ht="15.75" customHeight="1" x14ac:dyDescent="0.25">
      <c r="P877" s="11"/>
    </row>
    <row r="878" spans="16:16" ht="15.75" customHeight="1" x14ac:dyDescent="0.25">
      <c r="P878" s="11"/>
    </row>
    <row r="879" spans="16:16" ht="15.75" customHeight="1" x14ac:dyDescent="0.25">
      <c r="P879" s="11"/>
    </row>
    <row r="880" spans="16:16" ht="15.75" customHeight="1" x14ac:dyDescent="0.25">
      <c r="P880" s="11"/>
    </row>
    <row r="881" spans="16:16" ht="15.75" customHeight="1" x14ac:dyDescent="0.25">
      <c r="P881" s="11"/>
    </row>
    <row r="882" spans="16:16" ht="15.75" customHeight="1" x14ac:dyDescent="0.25">
      <c r="P882" s="11"/>
    </row>
    <row r="883" spans="16:16" ht="15.75" customHeight="1" x14ac:dyDescent="0.25">
      <c r="P883" s="11"/>
    </row>
    <row r="884" spans="16:16" ht="15.75" customHeight="1" x14ac:dyDescent="0.25">
      <c r="P884" s="11"/>
    </row>
    <row r="885" spans="16:16" ht="15.75" customHeight="1" x14ac:dyDescent="0.25">
      <c r="P885" s="11"/>
    </row>
    <row r="886" spans="16:16" ht="15.75" customHeight="1" x14ac:dyDescent="0.25">
      <c r="P886" s="11"/>
    </row>
    <row r="887" spans="16:16" ht="15.75" customHeight="1" x14ac:dyDescent="0.25">
      <c r="P887" s="11"/>
    </row>
    <row r="888" spans="16:16" ht="15.75" customHeight="1" x14ac:dyDescent="0.25">
      <c r="P888" s="11"/>
    </row>
    <row r="889" spans="16:16" ht="15.75" customHeight="1" x14ac:dyDescent="0.25">
      <c r="P889" s="11"/>
    </row>
    <row r="890" spans="16:16" ht="15.75" customHeight="1" x14ac:dyDescent="0.25">
      <c r="P890" s="11"/>
    </row>
    <row r="891" spans="16:16" ht="15.75" customHeight="1" x14ac:dyDescent="0.25">
      <c r="P891" s="11"/>
    </row>
    <row r="892" spans="16:16" ht="15.75" customHeight="1" x14ac:dyDescent="0.25">
      <c r="P892" s="11"/>
    </row>
    <row r="893" spans="16:16" ht="15.75" customHeight="1" x14ac:dyDescent="0.25">
      <c r="P893" s="11"/>
    </row>
    <row r="894" spans="16:16" ht="15.75" customHeight="1" x14ac:dyDescent="0.25">
      <c r="P894" s="11"/>
    </row>
    <row r="895" spans="16:16" ht="15.75" customHeight="1" x14ac:dyDescent="0.25">
      <c r="P895" s="11"/>
    </row>
    <row r="896" spans="16:16" ht="15.75" customHeight="1" x14ac:dyDescent="0.25">
      <c r="P896" s="11"/>
    </row>
    <row r="897" spans="16:16" ht="15.75" customHeight="1" x14ac:dyDescent="0.25">
      <c r="P897" s="11"/>
    </row>
    <row r="898" spans="16:16" ht="15.75" customHeight="1" x14ac:dyDescent="0.25">
      <c r="P898" s="11"/>
    </row>
    <row r="899" spans="16:16" ht="15.75" customHeight="1" x14ac:dyDescent="0.25">
      <c r="P899" s="11"/>
    </row>
    <row r="900" spans="16:16" ht="15.75" customHeight="1" x14ac:dyDescent="0.25">
      <c r="P900" s="11"/>
    </row>
    <row r="901" spans="16:16" ht="15.75" customHeight="1" x14ac:dyDescent="0.25">
      <c r="P901" s="11"/>
    </row>
    <row r="902" spans="16:16" ht="15.75" customHeight="1" x14ac:dyDescent="0.25">
      <c r="P902" s="11"/>
    </row>
    <row r="903" spans="16:16" ht="15.75" customHeight="1" x14ac:dyDescent="0.25">
      <c r="P903" s="11"/>
    </row>
    <row r="904" spans="16:16" ht="15.75" customHeight="1" x14ac:dyDescent="0.25">
      <c r="P904" s="11"/>
    </row>
    <row r="905" spans="16:16" ht="15.75" customHeight="1" x14ac:dyDescent="0.25">
      <c r="P905" s="11"/>
    </row>
    <row r="906" spans="16:16" ht="15.75" customHeight="1" x14ac:dyDescent="0.25">
      <c r="P906" s="11"/>
    </row>
    <row r="907" spans="16:16" ht="15.75" customHeight="1" x14ac:dyDescent="0.25">
      <c r="P907" s="11"/>
    </row>
    <row r="908" spans="16:16" ht="15.75" customHeight="1" x14ac:dyDescent="0.25">
      <c r="P908" s="11"/>
    </row>
    <row r="909" spans="16:16" ht="15.75" customHeight="1" x14ac:dyDescent="0.25">
      <c r="P909" s="11"/>
    </row>
    <row r="910" spans="16:16" ht="15.75" customHeight="1" x14ac:dyDescent="0.25">
      <c r="P910" s="11"/>
    </row>
    <row r="911" spans="16:16" ht="15.75" customHeight="1" x14ac:dyDescent="0.25">
      <c r="P911" s="11"/>
    </row>
    <row r="912" spans="16:16" ht="15.75" customHeight="1" x14ac:dyDescent="0.25">
      <c r="P912" s="11"/>
    </row>
    <row r="913" spans="16:16" ht="15.75" customHeight="1" x14ac:dyDescent="0.25">
      <c r="P913" s="11"/>
    </row>
    <row r="914" spans="16:16" ht="15.75" customHeight="1" x14ac:dyDescent="0.25">
      <c r="P914" s="11"/>
    </row>
    <row r="915" spans="16:16" ht="15.75" customHeight="1" x14ac:dyDescent="0.25">
      <c r="P915" s="11"/>
    </row>
    <row r="916" spans="16:16" ht="15.75" customHeight="1" x14ac:dyDescent="0.25">
      <c r="P916" s="11"/>
    </row>
    <row r="917" spans="16:16" ht="15.75" customHeight="1" x14ac:dyDescent="0.25">
      <c r="P917" s="11"/>
    </row>
    <row r="918" spans="16:16" ht="15.75" customHeight="1" x14ac:dyDescent="0.25">
      <c r="P918" s="11"/>
    </row>
    <row r="919" spans="16:16" ht="15.75" customHeight="1" x14ac:dyDescent="0.25">
      <c r="P919" s="11"/>
    </row>
    <row r="920" spans="16:16" ht="15.75" customHeight="1" x14ac:dyDescent="0.25">
      <c r="P920" s="11"/>
    </row>
    <row r="921" spans="16:16" ht="15.75" customHeight="1" x14ac:dyDescent="0.25">
      <c r="P921" s="11"/>
    </row>
    <row r="922" spans="16:16" ht="15.75" customHeight="1" x14ac:dyDescent="0.25">
      <c r="P922" s="11"/>
    </row>
    <row r="923" spans="16:16" ht="15.75" customHeight="1" x14ac:dyDescent="0.25">
      <c r="P923" s="11"/>
    </row>
    <row r="924" spans="16:16" ht="15.75" customHeight="1" x14ac:dyDescent="0.25">
      <c r="P924" s="11"/>
    </row>
    <row r="925" spans="16:16" ht="15.75" customHeight="1" x14ac:dyDescent="0.25">
      <c r="P925" s="11"/>
    </row>
    <row r="926" spans="16:16" ht="15.75" customHeight="1" x14ac:dyDescent="0.25">
      <c r="P926" s="11"/>
    </row>
    <row r="927" spans="16:16" ht="15.75" customHeight="1" x14ac:dyDescent="0.25">
      <c r="P927" s="11"/>
    </row>
    <row r="928" spans="16:16" ht="15.75" customHeight="1" x14ac:dyDescent="0.25">
      <c r="P928" s="11"/>
    </row>
    <row r="929" spans="16:16" ht="15.75" customHeight="1" x14ac:dyDescent="0.25">
      <c r="P929" s="11"/>
    </row>
    <row r="930" spans="16:16" ht="15.75" customHeight="1" x14ac:dyDescent="0.25">
      <c r="P930" s="11"/>
    </row>
    <row r="931" spans="16:16" ht="15.75" customHeight="1" x14ac:dyDescent="0.25">
      <c r="P931" s="11"/>
    </row>
    <row r="932" spans="16:16" ht="15.75" customHeight="1" x14ac:dyDescent="0.25">
      <c r="P932" s="11"/>
    </row>
    <row r="933" spans="16:16" ht="15.75" customHeight="1" x14ac:dyDescent="0.25">
      <c r="P933" s="11"/>
    </row>
    <row r="934" spans="16:16" ht="15.75" customHeight="1" x14ac:dyDescent="0.25">
      <c r="P934" s="11"/>
    </row>
    <row r="935" spans="16:16" ht="15.75" customHeight="1" x14ac:dyDescent="0.25">
      <c r="P935" s="11"/>
    </row>
    <row r="936" spans="16:16" ht="15.75" customHeight="1" x14ac:dyDescent="0.25">
      <c r="P936" s="11"/>
    </row>
    <row r="937" spans="16:16" ht="15.75" customHeight="1" x14ac:dyDescent="0.25">
      <c r="P937" s="11"/>
    </row>
    <row r="938" spans="16:16" ht="15.75" customHeight="1" x14ac:dyDescent="0.25">
      <c r="P938" s="11"/>
    </row>
    <row r="939" spans="16:16" ht="15.75" customHeight="1" x14ac:dyDescent="0.25">
      <c r="P939" s="11"/>
    </row>
    <row r="940" spans="16:16" ht="15.75" customHeight="1" x14ac:dyDescent="0.25">
      <c r="P940" s="11"/>
    </row>
    <row r="941" spans="16:16" ht="15.75" customHeight="1" x14ac:dyDescent="0.25">
      <c r="P941" s="11"/>
    </row>
    <row r="942" spans="16:16" ht="15.75" customHeight="1" x14ac:dyDescent="0.25">
      <c r="P942" s="11"/>
    </row>
    <row r="943" spans="16:16" ht="15.75" customHeight="1" x14ac:dyDescent="0.25">
      <c r="P943" s="11"/>
    </row>
    <row r="944" spans="16:16" ht="15.75" customHeight="1" x14ac:dyDescent="0.25">
      <c r="P944" s="11"/>
    </row>
    <row r="945" spans="16:16" ht="15.75" customHeight="1" x14ac:dyDescent="0.25">
      <c r="P945" s="11"/>
    </row>
    <row r="946" spans="16:16" ht="15.75" customHeight="1" x14ac:dyDescent="0.25">
      <c r="P946" s="11"/>
    </row>
    <row r="947" spans="16:16" ht="15.75" customHeight="1" x14ac:dyDescent="0.25">
      <c r="P947" s="11"/>
    </row>
    <row r="948" spans="16:16" ht="15.75" customHeight="1" x14ac:dyDescent="0.25">
      <c r="P948" s="11"/>
    </row>
    <row r="949" spans="16:16" ht="15.75" customHeight="1" x14ac:dyDescent="0.25">
      <c r="P949" s="11"/>
    </row>
    <row r="950" spans="16:16" ht="15.75" customHeight="1" x14ac:dyDescent="0.25">
      <c r="P950" s="11"/>
    </row>
    <row r="951" spans="16:16" ht="15.75" customHeight="1" x14ac:dyDescent="0.25">
      <c r="P951" s="11"/>
    </row>
    <row r="952" spans="16:16" ht="15.75" customHeight="1" x14ac:dyDescent="0.25">
      <c r="P952" s="11"/>
    </row>
    <row r="953" spans="16:16" ht="15.75" customHeight="1" x14ac:dyDescent="0.25">
      <c r="P953" s="11"/>
    </row>
    <row r="954" spans="16:16" ht="15.75" customHeight="1" x14ac:dyDescent="0.25">
      <c r="P954" s="11"/>
    </row>
    <row r="955" spans="16:16" ht="15.75" customHeight="1" x14ac:dyDescent="0.25">
      <c r="P955" s="11"/>
    </row>
    <row r="956" spans="16:16" ht="15.75" customHeight="1" x14ac:dyDescent="0.25">
      <c r="P956" s="11"/>
    </row>
    <row r="957" spans="16:16" ht="15.75" customHeight="1" x14ac:dyDescent="0.25">
      <c r="P957" s="11"/>
    </row>
    <row r="958" spans="16:16" ht="15.75" customHeight="1" x14ac:dyDescent="0.25">
      <c r="P958" s="11"/>
    </row>
    <row r="959" spans="16:16" ht="15.75" customHeight="1" x14ac:dyDescent="0.25">
      <c r="P959" s="11"/>
    </row>
    <row r="960" spans="16:16" ht="15.75" customHeight="1" x14ac:dyDescent="0.25">
      <c r="P960" s="11"/>
    </row>
    <row r="961" spans="16:16" ht="15.75" customHeight="1" x14ac:dyDescent="0.25">
      <c r="P961" s="11"/>
    </row>
    <row r="962" spans="16:16" ht="15.75" customHeight="1" x14ac:dyDescent="0.25">
      <c r="P962" s="11"/>
    </row>
    <row r="963" spans="16:16" ht="15.75" customHeight="1" x14ac:dyDescent="0.25">
      <c r="P963" s="11"/>
    </row>
    <row r="964" spans="16:16" ht="15.75" customHeight="1" x14ac:dyDescent="0.25">
      <c r="P964" s="11"/>
    </row>
    <row r="965" spans="16:16" ht="15.75" customHeight="1" x14ac:dyDescent="0.25">
      <c r="P965" s="11"/>
    </row>
    <row r="966" spans="16:16" ht="15.75" customHeight="1" x14ac:dyDescent="0.25">
      <c r="P966" s="11"/>
    </row>
    <row r="967" spans="16:16" ht="15.75" customHeight="1" x14ac:dyDescent="0.25">
      <c r="P967" s="11"/>
    </row>
    <row r="968" spans="16:16" ht="15.75" customHeight="1" x14ac:dyDescent="0.25">
      <c r="P968" s="11"/>
    </row>
    <row r="969" spans="16:16" ht="15.75" customHeight="1" x14ac:dyDescent="0.25">
      <c r="P969" s="11"/>
    </row>
    <row r="970" spans="16:16" ht="15.75" customHeight="1" x14ac:dyDescent="0.25">
      <c r="P970" s="11"/>
    </row>
    <row r="971" spans="16:16" ht="15.75" customHeight="1" x14ac:dyDescent="0.25">
      <c r="P971" s="11"/>
    </row>
    <row r="972" spans="16:16" ht="15.75" customHeight="1" x14ac:dyDescent="0.25">
      <c r="P972" s="11"/>
    </row>
    <row r="973" spans="16:16" ht="15.75" customHeight="1" x14ac:dyDescent="0.25">
      <c r="P973" s="11"/>
    </row>
    <row r="974" spans="16:16" ht="15.75" customHeight="1" x14ac:dyDescent="0.25">
      <c r="P974" s="11"/>
    </row>
    <row r="975" spans="16:16" ht="15.75" customHeight="1" x14ac:dyDescent="0.25">
      <c r="P975" s="11"/>
    </row>
    <row r="976" spans="16:16" ht="15.75" customHeight="1" x14ac:dyDescent="0.25">
      <c r="P976" s="11"/>
    </row>
    <row r="977" spans="16:16" ht="15.75" customHeight="1" x14ac:dyDescent="0.25">
      <c r="P977" s="11"/>
    </row>
    <row r="978" spans="16:16" ht="15.75" customHeight="1" x14ac:dyDescent="0.25">
      <c r="P978" s="11"/>
    </row>
    <row r="979" spans="16:16" ht="15.75" customHeight="1" x14ac:dyDescent="0.25">
      <c r="P979" s="11"/>
    </row>
    <row r="980" spans="16:16" ht="15.75" customHeight="1" x14ac:dyDescent="0.25">
      <c r="P980" s="11"/>
    </row>
    <row r="981" spans="16:16" ht="15.75" customHeight="1" x14ac:dyDescent="0.25">
      <c r="P981" s="11"/>
    </row>
    <row r="982" spans="16:16" ht="15.75" customHeight="1" x14ac:dyDescent="0.25">
      <c r="P982" s="11"/>
    </row>
    <row r="983" spans="16:16" ht="15.75" customHeight="1" x14ac:dyDescent="0.25">
      <c r="P983" s="11"/>
    </row>
    <row r="984" spans="16:16" ht="15.75" customHeight="1" x14ac:dyDescent="0.25">
      <c r="P984" s="11"/>
    </row>
    <row r="985" spans="16:16" ht="15.75" customHeight="1" x14ac:dyDescent="0.25">
      <c r="P985" s="11"/>
    </row>
    <row r="986" spans="16:16" ht="15.75" customHeight="1" x14ac:dyDescent="0.25">
      <c r="P986" s="11"/>
    </row>
    <row r="987" spans="16:16" ht="15.75" customHeight="1" x14ac:dyDescent="0.25">
      <c r="P987" s="11"/>
    </row>
    <row r="988" spans="16:16" ht="15.75" customHeight="1" x14ac:dyDescent="0.25">
      <c r="P988" s="11"/>
    </row>
    <row r="989" spans="16:16" ht="15.75" customHeight="1" x14ac:dyDescent="0.25">
      <c r="P989" s="11"/>
    </row>
    <row r="990" spans="16:16" ht="15.75" customHeight="1" x14ac:dyDescent="0.25">
      <c r="P990" s="11"/>
    </row>
    <row r="991" spans="16:16" ht="15.75" customHeight="1" x14ac:dyDescent="0.25">
      <c r="P991" s="11"/>
    </row>
    <row r="992" spans="16:16" ht="15.75" customHeight="1" x14ac:dyDescent="0.25">
      <c r="P992" s="11"/>
    </row>
    <row r="993" spans="16:16" ht="15.75" customHeight="1" x14ac:dyDescent="0.25">
      <c r="P993" s="11"/>
    </row>
    <row r="994" spans="16:16" ht="15.75" customHeight="1" x14ac:dyDescent="0.25">
      <c r="P994" s="11"/>
    </row>
    <row r="995" spans="16:16" ht="15.75" customHeight="1" x14ac:dyDescent="0.25">
      <c r="P995" s="11"/>
    </row>
    <row r="996" spans="16:16" ht="15.75" customHeight="1" x14ac:dyDescent="0.25">
      <c r="P996" s="11"/>
    </row>
    <row r="997" spans="16:16" ht="15.75" customHeight="1" x14ac:dyDescent="0.25">
      <c r="P997" s="11"/>
    </row>
    <row r="998" spans="16:16" ht="15.75" customHeight="1" x14ac:dyDescent="0.25">
      <c r="P998" s="11"/>
    </row>
    <row r="999" spans="16:16" ht="15.75" customHeight="1" x14ac:dyDescent="0.25">
      <c r="P999" s="11"/>
    </row>
    <row r="1000" spans="16:16" ht="15.75" customHeight="1" x14ac:dyDescent="0.25">
      <c r="P1000" s="11"/>
    </row>
  </sheetData>
  <mergeCells count="6">
    <mergeCell ref="A33:C33"/>
    <mergeCell ref="A1:C1"/>
    <mergeCell ref="E5:G5"/>
    <mergeCell ref="A9:C9"/>
    <mergeCell ref="A21:C21"/>
    <mergeCell ref="A28:C28"/>
  </mergeCells>
  <hyperlinks>
    <hyperlink ref="E6" r:id="rId1" xr:uid="{00000000-0004-0000-0100-000000000000}"/>
    <hyperlink ref="E8" r:id="rId2" xr:uid="{00000000-0004-0000-0100-000001000000}"/>
    <hyperlink ref="A10" r:id="rId3" xr:uid="{00000000-0004-0000-0100-000002000000}"/>
    <hyperlink ref="A11" r:id="rId4" xr:uid="{00000000-0004-0000-0100-000003000000}"/>
    <hyperlink ref="A22" r:id="rId5" xr:uid="{00000000-0004-0000-0100-000004000000}"/>
    <hyperlink ref="A23" r:id="rId6" xr:uid="{00000000-0004-0000-0100-000005000000}"/>
    <hyperlink ref="A24" r:id="rId7" xr:uid="{00000000-0004-0000-0100-000006000000}"/>
    <hyperlink ref="A25" r:id="rId8" xr:uid="{00000000-0004-0000-0100-000007000000}"/>
    <hyperlink ref="A29" r:id="rId9" xr:uid="{00000000-0004-0000-0100-000008000000}"/>
    <hyperlink ref="A30" r:id="rId10" xr:uid="{00000000-0004-0000-0100-000009000000}"/>
    <hyperlink ref="E9" r:id="rId11" display="Wells Fargo - Pool" xr:uid="{447F31EB-DDF6-4407-9696-065E03C7FE91}"/>
    <hyperlink ref="E7" r:id="rId12" display="Lormet" xr:uid="{115BBF13-F01D-41E6-B0EF-46A6ACD8A052}"/>
    <hyperlink ref="E10" r:id="rId13" display="Wells Fargo - Deck" xr:uid="{176CD373-BD22-41C1-83E4-FE88E9626C26}"/>
    <hyperlink ref="E11" r:id="rId14" xr:uid="{BD51C313-7641-4E5E-8F0C-3820B93045B1}"/>
  </hyperlink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0"/>
  <sheetViews>
    <sheetView zoomScale="80" zoomScaleNormal="80" workbookViewId="0">
      <selection activeCell="O28" sqref="O28"/>
    </sheetView>
  </sheetViews>
  <sheetFormatPr defaultColWidth="14.42578125" defaultRowHeight="15" customHeight="1" x14ac:dyDescent="0.25"/>
  <cols>
    <col min="1" max="1" width="12.85546875" bestFit="1" customWidth="1"/>
    <col min="2" max="2" width="13.42578125" bestFit="1" customWidth="1"/>
    <col min="3" max="3" width="7.7109375" bestFit="1" customWidth="1"/>
    <col min="4" max="4" width="13.42578125" bestFit="1" customWidth="1"/>
    <col min="5" max="5" width="7.7109375" bestFit="1" customWidth="1"/>
    <col min="6" max="6" width="7.28515625" customWidth="1"/>
    <col min="7" max="7" width="22.42578125" bestFit="1" customWidth="1"/>
    <col min="8" max="8" width="12.28515625" bestFit="1" customWidth="1"/>
    <col min="9" max="9" width="7.7109375" bestFit="1" customWidth="1"/>
    <col min="10" max="10" width="12.28515625" bestFit="1" customWidth="1"/>
    <col min="11" max="11" width="7.7109375" bestFit="1" customWidth="1"/>
    <col min="12" max="12" width="8.7109375" customWidth="1"/>
    <col min="13" max="13" width="28.42578125" bestFit="1" customWidth="1"/>
    <col min="14" max="14" width="12.28515625" bestFit="1" customWidth="1"/>
    <col min="15" max="15" width="7.7109375" bestFit="1" customWidth="1"/>
    <col min="16" max="16" width="12.28515625" bestFit="1" customWidth="1"/>
    <col min="17" max="17" width="7.7109375" bestFit="1" customWidth="1"/>
    <col min="18" max="18" width="8.7109375" customWidth="1"/>
    <col min="19" max="19" width="20.140625" bestFit="1" customWidth="1"/>
    <col min="20" max="20" width="12.28515625" bestFit="1" customWidth="1"/>
    <col min="21" max="21" width="7.7109375" bestFit="1" customWidth="1"/>
    <col min="22" max="22" width="13" bestFit="1" customWidth="1"/>
    <col min="23" max="23" width="8.42578125" bestFit="1" customWidth="1"/>
  </cols>
  <sheetData>
    <row r="1" spans="1:23" x14ac:dyDescent="0.25">
      <c r="A1" s="5"/>
      <c r="B1" s="558" t="s">
        <v>36</v>
      </c>
      <c r="C1" s="557"/>
      <c r="D1" s="559" t="s">
        <v>140</v>
      </c>
      <c r="E1" s="553"/>
      <c r="G1" s="96"/>
      <c r="H1" s="556" t="s">
        <v>36</v>
      </c>
      <c r="I1" s="557"/>
      <c r="J1" s="555" t="s">
        <v>140</v>
      </c>
      <c r="K1" s="553"/>
      <c r="M1" s="96"/>
      <c r="N1" s="556" t="s">
        <v>36</v>
      </c>
      <c r="O1" s="557"/>
      <c r="P1" s="555" t="s">
        <v>140</v>
      </c>
      <c r="Q1" s="553"/>
      <c r="S1" s="96"/>
      <c r="T1" s="556" t="s">
        <v>36</v>
      </c>
      <c r="U1" s="557"/>
      <c r="V1" s="555" t="s">
        <v>140</v>
      </c>
      <c r="W1" s="553"/>
    </row>
    <row r="2" spans="1:23" x14ac:dyDescent="0.25">
      <c r="A2" s="13" t="s">
        <v>141</v>
      </c>
      <c r="B2" s="14">
        <f>SUM(B4:B7)</f>
        <v>206163.20206191996</v>
      </c>
      <c r="C2" s="97"/>
      <c r="D2" s="30">
        <f>SUM(D4:D7)</f>
        <v>169150.76</v>
      </c>
      <c r="E2" s="20"/>
      <c r="G2" s="98" t="s">
        <v>142</v>
      </c>
      <c r="H2" s="99">
        <f>SUM(H4:H30)</f>
        <v>88260</v>
      </c>
      <c r="I2" s="100">
        <f>H2/B2</f>
        <v>0.42810743681353769</v>
      </c>
      <c r="J2" s="101">
        <f>SUM(J4:J30)</f>
        <v>74465.425000000003</v>
      </c>
      <c r="K2" s="102">
        <f>J2/D2</f>
        <v>0.440231099168576</v>
      </c>
      <c r="M2" s="98" t="s">
        <v>143</v>
      </c>
      <c r="N2" s="99">
        <f>SUM(N4:N19)</f>
        <v>67740</v>
      </c>
      <c r="O2" s="100">
        <f>N2/B2</f>
        <v>0.32857464049115165</v>
      </c>
      <c r="P2" s="101">
        <f>SUM(P4:P19)</f>
        <v>65604.125</v>
      </c>
      <c r="Q2" s="102">
        <f>P2/D2</f>
        <v>0.38784410427715488</v>
      </c>
      <c r="S2" s="98" t="s">
        <v>144</v>
      </c>
      <c r="T2" s="103">
        <f>SUM(T4:T7)</f>
        <v>50163.202061919961</v>
      </c>
      <c r="U2" s="100">
        <f>T2/B2</f>
        <v>0.24331792269531069</v>
      </c>
      <c r="V2" s="104">
        <f>SUM(V4:V7)</f>
        <v>29081.210000000017</v>
      </c>
      <c r="W2" s="102">
        <f>V2/D2</f>
        <v>0.1719247965542692</v>
      </c>
    </row>
    <row r="3" spans="1:23" x14ac:dyDescent="0.25">
      <c r="A3" s="13"/>
      <c r="B3" s="14"/>
      <c r="C3" s="97"/>
      <c r="D3" s="30"/>
      <c r="E3" s="20"/>
      <c r="G3" s="105"/>
      <c r="H3" s="106"/>
      <c r="I3" s="107"/>
      <c r="J3" s="108"/>
      <c r="K3" s="109"/>
      <c r="M3" s="105"/>
      <c r="N3" s="106"/>
      <c r="O3" s="107"/>
      <c r="P3" s="108"/>
      <c r="Q3" s="109"/>
      <c r="S3" s="98"/>
      <c r="T3" s="103"/>
      <c r="U3" s="110"/>
      <c r="V3" s="104"/>
      <c r="W3" s="102"/>
    </row>
    <row r="4" spans="1:23" x14ac:dyDescent="0.25">
      <c r="A4" s="13" t="s">
        <v>145</v>
      </c>
      <c r="B4" s="14">
        <f>'Proposed Budget'!N68</f>
        <v>110347.83093191999</v>
      </c>
      <c r="C4" s="97">
        <f t="shared" ref="C4:C7" si="0">B4/$B$2</f>
        <v>0.53524503804892221</v>
      </c>
      <c r="D4" s="30">
        <f>'Monthly Breakdown'!E49</f>
        <v>87081.64</v>
      </c>
      <c r="E4" s="20">
        <f t="shared" ref="E4:E7" si="1">D4/$D$2</f>
        <v>0.51481672325918015</v>
      </c>
      <c r="G4" s="541" t="str">
        <f>'Proposed Budget'!C5</f>
        <v>Groceries/Household</v>
      </c>
      <c r="H4" s="542">
        <f>'Proposed Budget'!F5</f>
        <v>14400</v>
      </c>
      <c r="I4" s="543">
        <f>H4/$B$2</f>
        <v>6.98475763665867E-2</v>
      </c>
      <c r="J4" s="544">
        <f>'Monthly Breakdown'!E5</f>
        <v>10679.769999999999</v>
      </c>
      <c r="K4" s="545">
        <f>J4/$D$2</f>
        <v>6.3137582119051655E-2</v>
      </c>
      <c r="M4" s="541" t="str">
        <f>'Proposed Budget'!C6</f>
        <v>Dining Out</v>
      </c>
      <c r="N4" s="542">
        <f>'Proposed Budget'!F6</f>
        <v>14400</v>
      </c>
      <c r="O4" s="543">
        <f t="shared" ref="O4:O12" si="2">N4/$B$2</f>
        <v>6.98475763665867E-2</v>
      </c>
      <c r="P4" s="544">
        <f>'Monthly Breakdown'!E6</f>
        <v>10506.119999999999</v>
      </c>
      <c r="Q4" s="545">
        <f t="shared" ref="Q4:Q12" si="3">P4/$D$2</f>
        <v>6.2110983125349233E-2</v>
      </c>
      <c r="S4" s="98" t="str">
        <f>'Proposed Budget'!C46</f>
        <v>Our Savings</v>
      </c>
      <c r="T4" s="103">
        <f>'Proposed Budget'!F46</f>
        <v>49563.202061919961</v>
      </c>
      <c r="U4" s="100">
        <f t="shared" ref="U4:U5" si="4">T4/$B$2</f>
        <v>0.24040760701336958</v>
      </c>
      <c r="V4" s="104">
        <f>'Monthly Breakdown'!E46</f>
        <v>42892.82</v>
      </c>
      <c r="W4" s="102">
        <f t="shared" ref="W4:W7" si="5">V4/$D$2</f>
        <v>0.25357745953964378</v>
      </c>
    </row>
    <row r="5" spans="1:23" x14ac:dyDescent="0.25">
      <c r="A5" s="13" t="s">
        <v>146</v>
      </c>
      <c r="B5" s="14">
        <f>'Proposed Budget'!N44</f>
        <v>71858.371129999985</v>
      </c>
      <c r="C5" s="97">
        <f t="shared" si="0"/>
        <v>0.34855090729730576</v>
      </c>
      <c r="D5" s="30">
        <f>'Monthly Breakdown'!E50</f>
        <v>61728.679999999993</v>
      </c>
      <c r="E5" s="20">
        <f t="shared" si="1"/>
        <v>0.36493291546546991</v>
      </c>
      <c r="G5" s="541" t="str">
        <f>'Proposed Budget'!C7</f>
        <v>Misc Food</v>
      </c>
      <c r="H5" s="542">
        <f>'Proposed Budget'!F7*0.5</f>
        <v>900</v>
      </c>
      <c r="I5" s="543">
        <f>H5/$B$2</f>
        <v>4.3654735229116687E-3</v>
      </c>
      <c r="J5" s="544">
        <f>'Monthly Breakdown'!E7*0.5</f>
        <v>556.38499999999999</v>
      </c>
      <c r="K5" s="545">
        <f t="shared" ref="K5:K30" si="6">J5/$D$2</f>
        <v>3.289284659436351E-3</v>
      </c>
      <c r="M5" s="541" t="str">
        <f>'Proposed Budget'!C7</f>
        <v>Misc Food</v>
      </c>
      <c r="N5" s="542">
        <f>'Proposed Budget'!F7*0.5</f>
        <v>900</v>
      </c>
      <c r="O5" s="543">
        <f>N5/$B$2</f>
        <v>4.3654735229116687E-3</v>
      </c>
      <c r="P5" s="544">
        <f>'Monthly Breakdown'!E7*0.5</f>
        <v>556.38499999999999</v>
      </c>
      <c r="Q5" s="545">
        <f>P5/$D$2</f>
        <v>3.289284659436351E-3</v>
      </c>
      <c r="S5" s="98" t="str">
        <f>'Proposed Budget'!C45</f>
        <v>Kids Savings</v>
      </c>
      <c r="T5" s="103">
        <f>'Proposed Budget'!F45</f>
        <v>600</v>
      </c>
      <c r="U5" s="100">
        <f t="shared" si="4"/>
        <v>2.9103156819411126E-3</v>
      </c>
      <c r="V5" s="104">
        <f>'Monthly Breakdown'!E45</f>
        <v>450</v>
      </c>
      <c r="W5" s="102">
        <f t="shared" si="5"/>
        <v>2.6603486735737986E-3</v>
      </c>
    </row>
    <row r="6" spans="1:23" x14ac:dyDescent="0.25">
      <c r="A6" s="13" t="s">
        <v>147</v>
      </c>
      <c r="B6" s="14">
        <f>'Proposed Budget'!J21</f>
        <v>14357</v>
      </c>
      <c r="C6" s="97">
        <f t="shared" si="0"/>
        <v>6.9639003742714256E-2</v>
      </c>
      <c r="D6" s="30">
        <f>'Monthly Breakdown'!E51</f>
        <v>12340.440000000002</v>
      </c>
      <c r="E6" s="20">
        <f t="shared" si="1"/>
        <v>7.2955273745149013E-2</v>
      </c>
      <c r="G6" s="541" t="str">
        <f>'Proposed Budget'!C8</f>
        <v>Gasoline</v>
      </c>
      <c r="H6" s="542">
        <f>'Proposed Budget'!F8</f>
        <v>7200</v>
      </c>
      <c r="I6" s="543">
        <f>H6/$B$2</f>
        <v>3.492378818329335E-2</v>
      </c>
      <c r="J6" s="544">
        <f>'Monthly Breakdown'!E8</f>
        <v>6416.07</v>
      </c>
      <c r="K6" s="545">
        <f>J6/$D$2</f>
        <v>3.793107403123698E-2</v>
      </c>
      <c r="M6" s="541" t="str">
        <f>'Proposed Budget'!C9</f>
        <v>Family Entertainment</v>
      </c>
      <c r="N6" s="542">
        <f>'Proposed Budget'!F9</f>
        <v>8400</v>
      </c>
      <c r="O6" s="543">
        <f t="shared" si="2"/>
        <v>4.074441954717558E-2</v>
      </c>
      <c r="P6" s="544">
        <f>'Monthly Breakdown'!E9</f>
        <v>8009.17</v>
      </c>
      <c r="Q6" s="545">
        <f t="shared" si="3"/>
        <v>4.7349299524282358E-2</v>
      </c>
      <c r="S6" s="98" t="s">
        <v>148</v>
      </c>
      <c r="T6" s="103"/>
      <c r="U6" s="100"/>
      <c r="V6" s="104">
        <f>'Budget Breakdown'!T16</f>
        <v>5043.6500000000087</v>
      </c>
      <c r="W6" s="102">
        <f t="shared" si="5"/>
        <v>2.9817483527712251E-2</v>
      </c>
    </row>
    <row r="7" spans="1:23" x14ac:dyDescent="0.25">
      <c r="A7" s="21" t="s">
        <v>149</v>
      </c>
      <c r="B7" s="33">
        <f>'Proposed Budget'!J22</f>
        <v>9600</v>
      </c>
      <c r="C7" s="111">
        <f t="shared" si="0"/>
        <v>4.6565050911057802E-2</v>
      </c>
      <c r="D7" s="44">
        <f>'Monthly Breakdown'!E52</f>
        <v>8000</v>
      </c>
      <c r="E7" s="34">
        <f t="shared" si="1"/>
        <v>4.7295087530200869E-2</v>
      </c>
      <c r="G7" s="541" t="str">
        <f>'Proposed Budget'!C14</f>
        <v>Rocket Mortgage</v>
      </c>
      <c r="H7" s="542">
        <f>'Proposed Budget'!F14</f>
        <v>15420</v>
      </c>
      <c r="I7" s="543">
        <f t="shared" ref="I7:I30" si="7">H7/$B$2</f>
        <v>7.4795113025886595E-2</v>
      </c>
      <c r="J7" s="544">
        <f>'Monthly Breakdown'!E14</f>
        <v>12516.200000000003</v>
      </c>
      <c r="K7" s="545">
        <f t="shared" si="6"/>
        <v>7.399434681818752E-2</v>
      </c>
      <c r="M7" s="541" t="str">
        <f>'Proposed Budget'!C10</f>
        <v>Miscellaneous Spending</v>
      </c>
      <c r="N7" s="542">
        <f>'Proposed Budget'!F10</f>
        <v>10800</v>
      </c>
      <c r="O7" s="543">
        <f>N7/$B$2</f>
        <v>5.2385682274940025E-2</v>
      </c>
      <c r="P7" s="544">
        <f>'Monthly Breakdown'!E10</f>
        <v>8495.7100000000009</v>
      </c>
      <c r="Q7" s="545">
        <f>P7/$D$2</f>
        <v>5.0225668510150354E-2</v>
      </c>
      <c r="S7" s="112" t="s">
        <v>150</v>
      </c>
      <c r="T7" s="113"/>
      <c r="U7" s="114"/>
      <c r="V7" s="115">
        <f>'Savings Transaction Log'!I2+'Savings Transaction Log'!K2+'Savings Transaction Log'!M2+'Savings Transaction Log'!O2+'Savings Transaction Log'!Q2+'Savings Transaction Log'!S2+'Savings Transaction Log'!U2+'Savings Transaction Log'!W2+'Savings Transaction Log'!Y2+'Savings Transaction Log'!AA2+'Savings Transaction Log'!AC2</f>
        <v>-19305.259999999991</v>
      </c>
      <c r="W7" s="116">
        <f t="shared" si="5"/>
        <v>-0.11413049518666064</v>
      </c>
    </row>
    <row r="8" spans="1:23" x14ac:dyDescent="0.25">
      <c r="B8" s="7"/>
      <c r="C8" s="117"/>
      <c r="D8" s="39"/>
      <c r="E8" s="50"/>
      <c r="G8" s="541" t="str">
        <f>'Proposed Budget'!C15</f>
        <v>EH Roberts</v>
      </c>
      <c r="H8" s="542">
        <f>'Proposed Budget'!F15</f>
        <v>240</v>
      </c>
      <c r="I8" s="543">
        <f t="shared" ref="I8:I16" si="8">H8/$B$2</f>
        <v>1.164126272776445E-3</v>
      </c>
      <c r="J8" s="544">
        <f>'Monthly Breakdown'!E15</f>
        <v>161.10000000000002</v>
      </c>
      <c r="K8" s="545">
        <f t="shared" ref="K8:K16" si="9">J8/$D$2</f>
        <v>9.5240482513942013E-4</v>
      </c>
      <c r="M8" s="541" t="str">
        <f>'Proposed Budget'!C11</f>
        <v>Department Stores/Clothes</v>
      </c>
      <c r="N8" s="542">
        <f>'Proposed Budget'!F11</f>
        <v>4200</v>
      </c>
      <c r="O8" s="543">
        <f>N8/$B$2</f>
        <v>2.037220977358779E-2</v>
      </c>
      <c r="P8" s="544">
        <f>'Monthly Breakdown'!E11</f>
        <v>2911.15</v>
      </c>
      <c r="Q8" s="545">
        <f>P8/$D$2</f>
        <v>1.7210386757943032E-2</v>
      </c>
      <c r="T8" s="7"/>
      <c r="U8" s="11"/>
      <c r="V8" s="7"/>
      <c r="W8" s="50"/>
    </row>
    <row r="9" spans="1:23" x14ac:dyDescent="0.25">
      <c r="D9" s="39"/>
      <c r="E9" s="50"/>
      <c r="G9" s="541" t="str">
        <f>'Proposed Budget'!C16</f>
        <v>Verizon Wireless</v>
      </c>
      <c r="H9" s="542">
        <f>'Proposed Budget'!F16</f>
        <v>3240</v>
      </c>
      <c r="I9" s="543">
        <f t="shared" si="8"/>
        <v>1.5715704682482009E-2</v>
      </c>
      <c r="J9" s="544">
        <f>'Monthly Breakdown'!E16</f>
        <v>2847.2799999999997</v>
      </c>
      <c r="K9" s="545">
        <f t="shared" si="9"/>
        <v>1.6832794602873791E-2</v>
      </c>
      <c r="M9" s="541" t="str">
        <f>'Proposed Budget'!C12</f>
        <v>Alcohol/Bars</v>
      </c>
      <c r="N9" s="542">
        <f>'Proposed Budget'!F12</f>
        <v>8400</v>
      </c>
      <c r="O9" s="543">
        <f t="shared" si="2"/>
        <v>4.074441954717558E-2</v>
      </c>
      <c r="P9" s="544">
        <f>'Monthly Breakdown'!E12</f>
        <v>7347.5700000000006</v>
      </c>
      <c r="Q9" s="545">
        <f t="shared" si="3"/>
        <v>4.3437995785534748E-2</v>
      </c>
      <c r="T9" s="7"/>
      <c r="U9" s="11"/>
      <c r="V9" s="7"/>
      <c r="W9" s="50"/>
    </row>
    <row r="10" spans="1:23" x14ac:dyDescent="0.25">
      <c r="A10" s="65"/>
      <c r="D10" s="39"/>
      <c r="E10" s="50"/>
      <c r="G10" s="541" t="str">
        <f>'Proposed Budget'!C17</f>
        <v>Spectrum TV/Internet</v>
      </c>
      <c r="H10" s="542">
        <f>'Proposed Budget'!F17*0.5</f>
        <v>1230</v>
      </c>
      <c r="I10" s="543">
        <f t="shared" si="8"/>
        <v>5.9661471479792814E-3</v>
      </c>
      <c r="J10" s="544">
        <f>'Monthly Breakdown'!E17*0.5</f>
        <v>1037.9549999999999</v>
      </c>
      <c r="K10" s="545">
        <f t="shared" si="9"/>
        <v>6.1362715721762044E-3</v>
      </c>
      <c r="M10" s="541" t="str">
        <f>'Proposed Budget'!C17</f>
        <v>Spectrum TV/Internet</v>
      </c>
      <c r="N10" s="542">
        <f>'Proposed Budget'!F17*0.5</f>
        <v>1230</v>
      </c>
      <c r="O10" s="543">
        <f>N10/$B$2</f>
        <v>5.9661471479792814E-3</v>
      </c>
      <c r="P10" s="544">
        <f>'Monthly Breakdown'!E17*0.5</f>
        <v>1037.9549999999999</v>
      </c>
      <c r="Q10" s="545">
        <f>P10/$D$2</f>
        <v>6.1362715721762044E-3</v>
      </c>
      <c r="T10" s="7"/>
      <c r="U10" s="11"/>
      <c r="V10" s="7"/>
      <c r="W10" s="50"/>
    </row>
    <row r="11" spans="1:23" x14ac:dyDescent="0.25">
      <c r="A11" s="65"/>
      <c r="D11" s="39"/>
      <c r="E11" s="50"/>
      <c r="G11" s="541" t="str">
        <f>'Proposed Budget'!C18</f>
        <v>First Energy</v>
      </c>
      <c r="H11" s="542">
        <f>'Proposed Budget'!F18</f>
        <v>2160</v>
      </c>
      <c r="I11" s="543">
        <f t="shared" si="8"/>
        <v>1.0477136454988005E-2</v>
      </c>
      <c r="J11" s="544">
        <f>'Monthly Breakdown'!E18</f>
        <v>2065.9699999999998</v>
      </c>
      <c r="K11" s="545">
        <f t="shared" si="9"/>
        <v>1.2213778998096135E-2</v>
      </c>
      <c r="M11" s="541" t="str">
        <f>'Proposed Budget'!C22</f>
        <v>Planet Fitness</v>
      </c>
      <c r="N11" s="542">
        <f>'Proposed Budget'!F22</f>
        <v>1740</v>
      </c>
      <c r="O11" s="543">
        <f>N11/$B$2</f>
        <v>8.4399154776292271E-3</v>
      </c>
      <c r="P11" s="544">
        <f>'Monthly Breakdown'!E22</f>
        <v>1639.0800000000002</v>
      </c>
      <c r="Q11" s="545">
        <f>P11/$D$2</f>
        <v>9.6900540086252047E-3</v>
      </c>
      <c r="T11" s="7"/>
      <c r="U11" s="11"/>
      <c r="V11" s="7"/>
      <c r="W11" s="50"/>
    </row>
    <row r="12" spans="1:23" x14ac:dyDescent="0.25">
      <c r="D12" s="39"/>
      <c r="E12" s="50"/>
      <c r="G12" s="541" t="str">
        <f>'Proposed Budget'!C19</f>
        <v>Vivint Home Security</v>
      </c>
      <c r="H12" s="542">
        <f>'Proposed Budget'!F19</f>
        <v>1680</v>
      </c>
      <c r="I12" s="543">
        <f t="shared" si="8"/>
        <v>8.1488839094351149E-3</v>
      </c>
      <c r="J12" s="544">
        <f>'Monthly Breakdown'!E19</f>
        <v>1366.8000000000002</v>
      </c>
      <c r="K12" s="545">
        <f t="shared" si="9"/>
        <v>8.0803657045348184E-3</v>
      </c>
      <c r="M12" s="541" t="str">
        <f>'Proposed Budget'!C23</f>
        <v>Lowes Rewards</v>
      </c>
      <c r="N12" s="542">
        <f>'Proposed Budget'!F23*0.5</f>
        <v>2400</v>
      </c>
      <c r="O12" s="543">
        <f t="shared" si="2"/>
        <v>1.1641262727764451E-2</v>
      </c>
      <c r="P12" s="544">
        <f>'Monthly Breakdown'!E23*0.5</f>
        <v>1000</v>
      </c>
      <c r="Q12" s="545">
        <f t="shared" si="3"/>
        <v>5.9118859412751086E-3</v>
      </c>
      <c r="T12" s="7"/>
      <c r="U12" s="11"/>
      <c r="V12" s="7"/>
      <c r="W12" s="50"/>
    </row>
    <row r="13" spans="1:23" x14ac:dyDescent="0.25">
      <c r="A13" s="118"/>
      <c r="D13" s="39"/>
      <c r="E13" s="50"/>
      <c r="G13" s="541" t="str">
        <f>'Proposed Budget'!C20</f>
        <v>Columbia Gas</v>
      </c>
      <c r="H13" s="542">
        <f>'Proposed Budget'!F20</f>
        <v>1200</v>
      </c>
      <c r="I13" s="543">
        <f t="shared" si="8"/>
        <v>5.8206313638822253E-3</v>
      </c>
      <c r="J13" s="544">
        <f>'Monthly Breakdown'!E20</f>
        <v>1071.3599999999999</v>
      </c>
      <c r="K13" s="545">
        <f t="shared" si="9"/>
        <v>6.3337581220444996E-3</v>
      </c>
      <c r="M13" s="541" t="str">
        <f>'Proposed Budget'!C24</f>
        <v>Wells Fargo - Pool</v>
      </c>
      <c r="N13" s="542">
        <f>'Proposed Budget'!F24</f>
        <v>2400</v>
      </c>
      <c r="O13" s="543">
        <f t="shared" ref="O13:O18" si="10">N13/$B$2</f>
        <v>1.1641262727764451E-2</v>
      </c>
      <c r="P13" s="544">
        <f>'Monthly Breakdown'!E24</f>
        <v>2000</v>
      </c>
      <c r="Q13" s="545">
        <f t="shared" ref="Q13:Q18" si="11">P13/$D$2</f>
        <v>1.1823771882550217E-2</v>
      </c>
      <c r="T13" s="7"/>
      <c r="U13" s="11"/>
      <c r="V13" s="7"/>
      <c r="W13" s="50"/>
    </row>
    <row r="14" spans="1:23" x14ac:dyDescent="0.25">
      <c r="D14" s="39"/>
      <c r="E14" s="50"/>
      <c r="G14" s="541" t="str">
        <f>'Proposed Budget'!C21</f>
        <v>Medical Bills</v>
      </c>
      <c r="H14" s="542">
        <f>'Proposed Budget'!F21</f>
        <v>0</v>
      </c>
      <c r="I14" s="543">
        <f t="shared" si="8"/>
        <v>0</v>
      </c>
      <c r="J14" s="544">
        <f>'Monthly Breakdown'!E21</f>
        <v>1898.1499999999999</v>
      </c>
      <c r="K14" s="545">
        <f t="shared" si="9"/>
        <v>1.1221646299431346E-2</v>
      </c>
      <c r="M14" s="541" t="str">
        <f>'Proposed Budget'!C25</f>
        <v>Wells Fargo - Deck</v>
      </c>
      <c r="N14" s="542">
        <f>'Proposed Budget'!F25*0.5</f>
        <v>3600</v>
      </c>
      <c r="O14" s="543">
        <f t="shared" si="10"/>
        <v>1.7461894091646675E-2</v>
      </c>
      <c r="P14" s="544">
        <f>'Monthly Breakdown'!E25*0.5</f>
        <v>1800</v>
      </c>
      <c r="Q14" s="545">
        <f t="shared" si="11"/>
        <v>1.0641394694295194E-2</v>
      </c>
      <c r="T14" s="7"/>
      <c r="U14" s="11"/>
      <c r="V14" s="7"/>
      <c r="W14" s="50"/>
    </row>
    <row r="15" spans="1:23" x14ac:dyDescent="0.25">
      <c r="D15" s="39"/>
      <c r="E15" s="50"/>
      <c r="G15" s="541" t="str">
        <f>'Proposed Budget'!C23</f>
        <v>Lowes Rewards</v>
      </c>
      <c r="H15" s="542">
        <f>'Proposed Budget'!F23*0.5</f>
        <v>2400</v>
      </c>
      <c r="I15" s="543">
        <f t="shared" si="8"/>
        <v>1.1641262727764451E-2</v>
      </c>
      <c r="J15" s="544">
        <f>'Monthly Breakdown'!E23*0.5</f>
        <v>1000</v>
      </c>
      <c r="K15" s="545">
        <f t="shared" si="9"/>
        <v>5.9118859412751086E-3</v>
      </c>
      <c r="M15" s="541" t="str">
        <f>'Proposed Budget'!C26</f>
        <v>Massage Envy</v>
      </c>
      <c r="N15" s="542">
        <f>'Proposed Budget'!F26</f>
        <v>1020</v>
      </c>
      <c r="O15" s="543">
        <f t="shared" si="10"/>
        <v>4.9475366592998914E-3</v>
      </c>
      <c r="P15" s="544">
        <f>'Monthly Breakdown'!E26</f>
        <v>934.73000000000013</v>
      </c>
      <c r="Q15" s="545">
        <f t="shared" si="11"/>
        <v>5.5260171458880831E-3</v>
      </c>
      <c r="T15" s="7"/>
      <c r="U15" s="11"/>
      <c r="V15" s="7"/>
      <c r="W15" s="50"/>
    </row>
    <row r="16" spans="1:23" x14ac:dyDescent="0.25">
      <c r="D16" s="39"/>
      <c r="E16" s="50"/>
      <c r="G16" s="541" t="str">
        <f>'Proposed Budget'!C25</f>
        <v>Wells Fargo - Deck</v>
      </c>
      <c r="H16" s="542">
        <f>'Proposed Budget'!F25*0.5</f>
        <v>3600</v>
      </c>
      <c r="I16" s="543">
        <f t="shared" si="8"/>
        <v>1.7461894091646675E-2</v>
      </c>
      <c r="J16" s="544">
        <f>'Monthly Breakdown'!E25*0.5</f>
        <v>1800</v>
      </c>
      <c r="K16" s="545">
        <f t="shared" si="9"/>
        <v>1.0641394694295194E-2</v>
      </c>
      <c r="M16" s="541" t="str">
        <f>'Proposed Budget'!C27</f>
        <v>Streaming/Music</v>
      </c>
      <c r="N16" s="542">
        <f>'Proposed Budget'!F27</f>
        <v>1200</v>
      </c>
      <c r="O16" s="543">
        <f t="shared" si="10"/>
        <v>5.8206313638822253E-3</v>
      </c>
      <c r="P16" s="544">
        <f>'Monthly Breakdown'!E27</f>
        <v>1390.1100000000001</v>
      </c>
      <c r="Q16" s="545">
        <f t="shared" si="11"/>
        <v>8.2181717658259424E-3</v>
      </c>
      <c r="T16" s="7"/>
      <c r="U16" s="11"/>
      <c r="V16" s="7"/>
      <c r="W16" s="50"/>
    </row>
    <row r="17" spans="7:17" x14ac:dyDescent="0.25">
      <c r="G17" s="541" t="str">
        <f>'Proposed Budget'!C28</f>
        <v>GM Financial/Toyota</v>
      </c>
      <c r="H17" s="542">
        <f>'Proposed Budget'!F28</f>
        <v>14400</v>
      </c>
      <c r="I17" s="543">
        <f t="shared" si="7"/>
        <v>6.98475763665867E-2</v>
      </c>
      <c r="J17" s="544">
        <f>'Monthly Breakdown'!E28</f>
        <v>9148.86</v>
      </c>
      <c r="K17" s="545">
        <f t="shared" si="6"/>
        <v>5.4087016812694191E-2</v>
      </c>
      <c r="M17" s="541" t="str">
        <f>'Proposed Budget'!C38</f>
        <v>Camping/Vacation</v>
      </c>
      <c r="N17" s="542">
        <f>'Proposed Budget'!F38</f>
        <v>4800</v>
      </c>
      <c r="O17" s="543">
        <f t="shared" si="10"/>
        <v>2.3282525455528901E-2</v>
      </c>
      <c r="P17" s="544">
        <f>'Savings Transaction Log'!R5</f>
        <v>6641.09</v>
      </c>
      <c r="Q17" s="545">
        <f t="shared" si="11"/>
        <v>3.9261366605742712E-2</v>
      </c>
    </row>
    <row r="18" spans="7:17" x14ac:dyDescent="0.25">
      <c r="G18" s="541" t="str">
        <f>'Proposed Budget'!C29</f>
        <v>Ohio Turnpike</v>
      </c>
      <c r="H18" s="542">
        <f>'Proposed Budget'!F29</f>
        <v>1440</v>
      </c>
      <c r="I18" s="543">
        <f t="shared" ref="I18:I25" si="12">H18/$B$2</f>
        <v>6.9847576366586705E-3</v>
      </c>
      <c r="J18" s="544">
        <f>'Monthly Breakdown'!E29</f>
        <v>1022.5</v>
      </c>
      <c r="K18" s="545">
        <f t="shared" ref="K18:K25" si="13">J18/$D$2</f>
        <v>6.044903374953798E-3</v>
      </c>
      <c r="M18" s="541" t="str">
        <f>'Proposed Budget'!C39</f>
        <v>Home Maintenance</v>
      </c>
      <c r="N18" s="542">
        <f>'Proposed Budget'!F39*0.5</f>
        <v>2250</v>
      </c>
      <c r="O18" s="543">
        <f t="shared" si="10"/>
        <v>1.0913683807279173E-2</v>
      </c>
      <c r="P18" s="544">
        <f>'Savings Transaction Log'!T5*0.5</f>
        <v>11335.054999999997</v>
      </c>
      <c r="Q18" s="545">
        <f t="shared" si="11"/>
        <v>6.7011552298080104E-2</v>
      </c>
    </row>
    <row r="19" spans="7:17" x14ac:dyDescent="0.25">
      <c r="G19" s="541" t="str">
        <f>'Proposed Budget'!C30</f>
        <v>Water Bill - Main</v>
      </c>
      <c r="H19" s="542">
        <f>'Proposed Budget'!F30</f>
        <v>900</v>
      </c>
      <c r="I19" s="543">
        <f t="shared" si="12"/>
        <v>4.3654735229116687E-3</v>
      </c>
      <c r="J19" s="544">
        <f>'Monthly Breakdown'!E30</f>
        <v>912.12</v>
      </c>
      <c r="K19" s="545">
        <f t="shared" si="13"/>
        <v>5.3923494047558515E-3</v>
      </c>
      <c r="N19" s="11"/>
      <c r="O19" s="11"/>
      <c r="P19" s="11"/>
      <c r="Q19" s="11"/>
    </row>
    <row r="20" spans="7:17" x14ac:dyDescent="0.25">
      <c r="G20" s="541" t="str">
        <f>'Proposed Budget'!C31</f>
        <v>Water Bill - Rental</v>
      </c>
      <c r="H20" s="542">
        <f>'Proposed Budget'!F31</f>
        <v>900</v>
      </c>
      <c r="I20" s="543">
        <f t="shared" si="12"/>
        <v>4.3654735229116687E-3</v>
      </c>
      <c r="J20" s="544">
        <f>'Monthly Breakdown'!E31</f>
        <v>635.79</v>
      </c>
      <c r="K20" s="545">
        <f t="shared" si="13"/>
        <v>3.7587179626033008E-3</v>
      </c>
      <c r="N20" s="39"/>
      <c r="O20" s="50"/>
      <c r="P20" s="39"/>
      <c r="Q20" s="50"/>
    </row>
    <row r="21" spans="7:17" ht="15.75" customHeight="1" x14ac:dyDescent="0.25">
      <c r="G21" s="541" t="str">
        <f>'Proposed Budget'!C33</f>
        <v>Vehicle Maintenance</v>
      </c>
      <c r="H21" s="542">
        <f>'Proposed Budget'!F33</f>
        <v>4200</v>
      </c>
      <c r="I21" s="543">
        <f t="shared" si="12"/>
        <v>2.037220977358779E-2</v>
      </c>
      <c r="J21" s="544">
        <f>'Savings Transaction Log'!H5</f>
        <v>1616.6400000000003</v>
      </c>
      <c r="K21" s="545">
        <f t="shared" si="13"/>
        <v>9.557391288102993E-3</v>
      </c>
      <c r="N21" s="39"/>
      <c r="O21" s="50"/>
      <c r="P21" s="39"/>
      <c r="Q21" s="50"/>
    </row>
    <row r="22" spans="7:17" ht="15.75" customHeight="1" x14ac:dyDescent="0.25">
      <c r="G22" s="541" t="str">
        <f>'Proposed Budget'!C34</f>
        <v>Car Insurance</v>
      </c>
      <c r="H22" s="542">
        <f>'Proposed Budget'!F34</f>
        <v>3840</v>
      </c>
      <c r="I22" s="543">
        <f t="shared" si="12"/>
        <v>1.862602036442312E-2</v>
      </c>
      <c r="J22" s="544">
        <f>'Savings Transaction Log'!J5</f>
        <v>2159</v>
      </c>
      <c r="K22" s="545">
        <f t="shared" si="13"/>
        <v>1.2763761747212958E-2</v>
      </c>
      <c r="N22" s="39"/>
      <c r="O22" s="11"/>
      <c r="P22" s="39"/>
      <c r="Q22" s="50"/>
    </row>
    <row r="23" spans="7:17" ht="15.75" customHeight="1" x14ac:dyDescent="0.25">
      <c r="G23" s="541" t="str">
        <f>'Proposed Budget'!C35</f>
        <v>Rental Garbage</v>
      </c>
      <c r="H23" s="542">
        <f>'Proposed Budget'!F35</f>
        <v>300</v>
      </c>
      <c r="I23" s="543">
        <f t="shared" si="12"/>
        <v>1.4551578409705563E-3</v>
      </c>
      <c r="J23" s="544">
        <f>'Savings Transaction Log'!L5</f>
        <v>260.78999999999996</v>
      </c>
      <c r="K23" s="545">
        <f t="shared" si="13"/>
        <v>1.5417607346251353E-3</v>
      </c>
      <c r="N23" s="39"/>
      <c r="O23" s="11"/>
      <c r="P23" s="39"/>
      <c r="Q23" s="50"/>
    </row>
    <row r="24" spans="7:17" ht="15.75" customHeight="1" x14ac:dyDescent="0.25">
      <c r="G24" s="541" t="str">
        <f>'Proposed Budget'!C36</f>
        <v>Garbage</v>
      </c>
      <c r="H24" s="542">
        <f>'Proposed Budget'!F36</f>
        <v>300</v>
      </c>
      <c r="I24" s="543">
        <f t="shared" si="12"/>
        <v>1.4551578409705563E-3</v>
      </c>
      <c r="J24" s="544">
        <f>'Savings Transaction Log'!N5</f>
        <v>260.78999999999996</v>
      </c>
      <c r="K24" s="545">
        <f t="shared" si="13"/>
        <v>1.5417607346251353E-3</v>
      </c>
      <c r="N24" s="11"/>
      <c r="O24" s="11"/>
      <c r="P24" s="11"/>
      <c r="Q24" s="11"/>
    </row>
    <row r="25" spans="7:17" ht="15.75" customHeight="1" x14ac:dyDescent="0.25">
      <c r="G25" s="541" t="str">
        <f>'Proposed Budget'!C37</f>
        <v>Sanitation - Main</v>
      </c>
      <c r="H25" s="542">
        <f>'Proposed Budget'!F37</f>
        <v>540</v>
      </c>
      <c r="I25" s="543">
        <f t="shared" si="12"/>
        <v>2.6192841137470013E-3</v>
      </c>
      <c r="J25" s="544">
        <f>'Savings Transaction Log'!P5</f>
        <v>374.28</v>
      </c>
      <c r="K25" s="545">
        <f t="shared" si="13"/>
        <v>2.2127006701004475E-3</v>
      </c>
      <c r="N25" s="11"/>
      <c r="O25" s="11"/>
      <c r="P25" s="11"/>
      <c r="Q25" s="11"/>
    </row>
    <row r="26" spans="7:17" ht="15.75" customHeight="1" x14ac:dyDescent="0.25">
      <c r="G26" s="541" t="str">
        <f>'Proposed Budget'!C39</f>
        <v>Home Maintenance</v>
      </c>
      <c r="H26" s="542">
        <f>'Proposed Budget'!F39*0.5</f>
        <v>2250</v>
      </c>
      <c r="I26" s="543">
        <f t="shared" si="7"/>
        <v>1.0913683807279173E-2</v>
      </c>
      <c r="J26" s="544">
        <f>'Savings Transaction Log'!T5*0.5</f>
        <v>11335.054999999997</v>
      </c>
      <c r="K26" s="545">
        <f t="shared" si="6"/>
        <v>6.7011552298080104E-2</v>
      </c>
      <c r="N26" s="11"/>
      <c r="O26" s="11"/>
      <c r="P26" s="11"/>
      <c r="Q26" s="11"/>
    </row>
    <row r="27" spans="7:17" ht="15.75" customHeight="1" x14ac:dyDescent="0.25">
      <c r="G27" s="541" t="str">
        <f>'Proposed Budget'!C40</f>
        <v>Rental Repairs</v>
      </c>
      <c r="H27" s="542">
        <f>'Proposed Budget'!F40</f>
        <v>1200</v>
      </c>
      <c r="I27" s="543">
        <f>H27/$B$2</f>
        <v>5.8206313638822253E-3</v>
      </c>
      <c r="J27" s="544">
        <f>'Savings Transaction Log'!V5</f>
        <v>0</v>
      </c>
      <c r="K27" s="545">
        <f>J27/$D$2</f>
        <v>0</v>
      </c>
      <c r="N27" s="11"/>
      <c r="O27" s="11"/>
      <c r="P27" s="11"/>
      <c r="Q27" s="11"/>
    </row>
    <row r="28" spans="7:17" ht="15.75" customHeight="1" x14ac:dyDescent="0.25">
      <c r="G28" s="541" t="str">
        <f>'Proposed Budget'!C41</f>
        <v>Rental Insurance</v>
      </c>
      <c r="H28" s="542">
        <f>'Proposed Budget'!F41</f>
        <v>1020</v>
      </c>
      <c r="I28" s="543">
        <f>H28/$B$2</f>
        <v>4.9475366592998914E-3</v>
      </c>
      <c r="J28" s="544">
        <f>'Savings Transaction Log'!X5</f>
        <v>500.5</v>
      </c>
      <c r="K28" s="545">
        <f>J28/$D$2</f>
        <v>2.9588989136081919E-3</v>
      </c>
      <c r="N28" s="11"/>
      <c r="O28" s="11"/>
      <c r="P28" s="11"/>
      <c r="Q28" s="11"/>
    </row>
    <row r="29" spans="7:17" ht="15.75" customHeight="1" x14ac:dyDescent="0.25">
      <c r="G29" s="541" t="str">
        <f>'Proposed Budget'!C42</f>
        <v>Rental Property Taxes</v>
      </c>
      <c r="H29" s="542">
        <f>'Proposed Budget'!F42</f>
        <v>2760</v>
      </c>
      <c r="I29" s="543">
        <f t="shared" si="7"/>
        <v>1.3387452136929118E-2</v>
      </c>
      <c r="J29" s="544">
        <f>'Savings Transaction Log'!Z5</f>
        <v>2447.7800000000002</v>
      </c>
      <c r="K29" s="545">
        <f t="shared" si="6"/>
        <v>1.4470996169334387E-2</v>
      </c>
      <c r="N29" s="11"/>
      <c r="O29" s="11"/>
      <c r="P29" s="11"/>
      <c r="Q29" s="11"/>
    </row>
    <row r="30" spans="7:17" ht="15.75" customHeight="1" x14ac:dyDescent="0.25">
      <c r="G30" s="541" t="str">
        <f>'Proposed Budget'!C43</f>
        <v>Rental Sanitation</v>
      </c>
      <c r="H30" s="542">
        <f>'Proposed Budget'!F43</f>
        <v>540</v>
      </c>
      <c r="I30" s="543">
        <f t="shared" si="7"/>
        <v>2.6192841137470013E-3</v>
      </c>
      <c r="J30" s="544">
        <f>'Savings Transaction Log'!AB5</f>
        <v>374.28</v>
      </c>
      <c r="K30" s="545">
        <f t="shared" si="6"/>
        <v>2.2127006701004475E-3</v>
      </c>
      <c r="N30" s="11"/>
      <c r="O30" s="11"/>
      <c r="P30" s="11"/>
      <c r="Q30" s="11"/>
    </row>
    <row r="31" spans="7:17" ht="15.75" customHeight="1" x14ac:dyDescent="0.25">
      <c r="N31" s="11"/>
      <c r="O31" s="11"/>
      <c r="P31" s="11"/>
      <c r="Q31" s="11"/>
    </row>
    <row r="32" spans="7:17" ht="15.75" customHeight="1" x14ac:dyDescent="0.25">
      <c r="N32" s="11"/>
      <c r="O32" s="11"/>
      <c r="P32" s="11"/>
      <c r="Q32" s="11"/>
    </row>
    <row r="33" spans="14:17" ht="15.75" customHeight="1" x14ac:dyDescent="0.25">
      <c r="N33" s="11"/>
      <c r="O33" s="11"/>
      <c r="P33" s="11"/>
      <c r="Q33" s="11"/>
    </row>
    <row r="34" spans="14:17" ht="15.75" customHeight="1" x14ac:dyDescent="0.25">
      <c r="N34" s="11"/>
      <c r="O34" s="11"/>
      <c r="P34" s="11"/>
      <c r="Q34" s="11"/>
    </row>
    <row r="35" spans="14:17" ht="15.75" customHeight="1" x14ac:dyDescent="0.25">
      <c r="N35" s="11"/>
      <c r="O35" s="11"/>
      <c r="P35" s="11"/>
      <c r="Q35" s="11"/>
    </row>
    <row r="36" spans="14:17" ht="15.75" customHeight="1" x14ac:dyDescent="0.25">
      <c r="N36" s="11"/>
      <c r="O36" s="11"/>
      <c r="P36" s="11"/>
      <c r="Q36" s="11"/>
    </row>
    <row r="37" spans="14:17" ht="15.75" customHeight="1" x14ac:dyDescent="0.25">
      <c r="N37" s="11"/>
      <c r="O37" s="11"/>
      <c r="P37" s="11"/>
      <c r="Q37" s="11"/>
    </row>
    <row r="38" spans="14:17" ht="15.75" customHeight="1" x14ac:dyDescent="0.25">
      <c r="N38" s="11"/>
      <c r="O38" s="11"/>
      <c r="P38" s="11"/>
      <c r="Q38" s="11"/>
    </row>
    <row r="39" spans="14:17" ht="15.75" customHeight="1" x14ac:dyDescent="0.25">
      <c r="N39" s="11"/>
      <c r="O39" s="11"/>
      <c r="P39" s="11"/>
      <c r="Q39" s="11"/>
    </row>
    <row r="40" spans="14:17" ht="15.75" customHeight="1" x14ac:dyDescent="0.25">
      <c r="N40" s="11"/>
      <c r="O40" s="11"/>
      <c r="P40" s="11"/>
      <c r="Q40" s="11"/>
    </row>
    <row r="41" spans="14:17" ht="15.75" customHeight="1" x14ac:dyDescent="0.25">
      <c r="N41" s="11"/>
      <c r="O41" s="11"/>
      <c r="P41" s="11"/>
      <c r="Q41" s="11"/>
    </row>
    <row r="42" spans="14:17" ht="15.75" customHeight="1" x14ac:dyDescent="0.25">
      <c r="N42" s="11"/>
      <c r="O42" s="11"/>
      <c r="P42" s="11"/>
      <c r="Q42" s="11"/>
    </row>
    <row r="43" spans="14:17" ht="15.75" customHeight="1" x14ac:dyDescent="0.25">
      <c r="N43" s="11"/>
      <c r="O43" s="11"/>
      <c r="P43" s="11"/>
      <c r="Q43" s="11"/>
    </row>
    <row r="44" spans="14:17" ht="15.75" customHeight="1" x14ac:dyDescent="0.25">
      <c r="N44" s="11"/>
      <c r="O44" s="11"/>
      <c r="P44" s="11"/>
      <c r="Q44" s="11"/>
    </row>
    <row r="45" spans="14:17" ht="15.75" customHeight="1" x14ac:dyDescent="0.25">
      <c r="N45" s="11"/>
      <c r="O45" s="11"/>
      <c r="P45" s="11"/>
      <c r="Q45" s="11"/>
    </row>
    <row r="46" spans="14:17" ht="15.75" customHeight="1" x14ac:dyDescent="0.25">
      <c r="N46" s="11"/>
      <c r="O46" s="11"/>
      <c r="P46" s="11"/>
      <c r="Q46" s="11"/>
    </row>
    <row r="47" spans="14:17" ht="15.75" customHeight="1" x14ac:dyDescent="0.25">
      <c r="N47" s="11"/>
      <c r="O47" s="11"/>
      <c r="P47" s="11"/>
      <c r="Q47" s="11"/>
    </row>
    <row r="48" spans="14:17" ht="15.75" customHeight="1" x14ac:dyDescent="0.25">
      <c r="N48" s="11"/>
      <c r="O48" s="11"/>
      <c r="P48" s="11"/>
      <c r="Q48" s="11"/>
    </row>
    <row r="49" spans="14:17" ht="15.75" customHeight="1" x14ac:dyDescent="0.25">
      <c r="N49" s="11"/>
      <c r="O49" s="11"/>
      <c r="P49" s="11"/>
      <c r="Q49" s="11"/>
    </row>
    <row r="50" spans="14:17" ht="15.75" customHeight="1" x14ac:dyDescent="0.25">
      <c r="N50" s="11"/>
      <c r="O50" s="11"/>
      <c r="P50" s="11"/>
      <c r="Q50" s="11"/>
    </row>
    <row r="51" spans="14:17" ht="15.75" customHeight="1" x14ac:dyDescent="0.25">
      <c r="N51" s="11"/>
      <c r="O51" s="11"/>
      <c r="P51" s="11"/>
      <c r="Q51" s="11"/>
    </row>
    <row r="52" spans="14:17" ht="15.75" customHeight="1" x14ac:dyDescent="0.25">
      <c r="N52" s="11"/>
      <c r="O52" s="11"/>
      <c r="P52" s="11"/>
      <c r="Q52" s="11"/>
    </row>
    <row r="53" spans="14:17" ht="15.75" customHeight="1" x14ac:dyDescent="0.25">
      <c r="N53" s="11"/>
      <c r="O53" s="11"/>
      <c r="P53" s="11"/>
      <c r="Q53" s="11"/>
    </row>
    <row r="54" spans="14:17" ht="15.75" customHeight="1" x14ac:dyDescent="0.25">
      <c r="N54" s="11"/>
      <c r="O54" s="11"/>
      <c r="P54" s="11"/>
      <c r="Q54" s="11"/>
    </row>
    <row r="55" spans="14:17" ht="15.75" customHeight="1" x14ac:dyDescent="0.25">
      <c r="N55" s="11"/>
      <c r="O55" s="11"/>
      <c r="P55" s="11"/>
      <c r="Q55" s="11"/>
    </row>
    <row r="56" spans="14:17" ht="15.75" customHeight="1" x14ac:dyDescent="0.25">
      <c r="N56" s="11"/>
      <c r="O56" s="11"/>
      <c r="P56" s="11"/>
      <c r="Q56" s="11"/>
    </row>
    <row r="57" spans="14:17" ht="15.75" customHeight="1" x14ac:dyDescent="0.25">
      <c r="N57" s="11"/>
      <c r="O57" s="11"/>
      <c r="P57" s="11"/>
      <c r="Q57" s="11"/>
    </row>
    <row r="58" spans="14:17" ht="15.75" customHeight="1" x14ac:dyDescent="0.25">
      <c r="N58" s="11"/>
      <c r="O58" s="11"/>
      <c r="P58" s="11"/>
      <c r="Q58" s="11"/>
    </row>
    <row r="59" spans="14:17" ht="15.75" customHeight="1" x14ac:dyDescent="0.25">
      <c r="N59" s="11"/>
      <c r="O59" s="11"/>
      <c r="P59" s="11"/>
      <c r="Q59" s="11"/>
    </row>
    <row r="60" spans="14:17" ht="15.75" customHeight="1" x14ac:dyDescent="0.25">
      <c r="N60" s="11"/>
      <c r="O60" s="11"/>
      <c r="P60" s="11"/>
      <c r="Q60" s="11"/>
    </row>
    <row r="61" spans="14:17" ht="15.75" customHeight="1" x14ac:dyDescent="0.25">
      <c r="N61" s="11"/>
      <c r="O61" s="11"/>
      <c r="P61" s="11"/>
      <c r="Q61" s="11"/>
    </row>
    <row r="62" spans="14:17" ht="15.75" customHeight="1" x14ac:dyDescent="0.25">
      <c r="N62" s="11"/>
      <c r="O62" s="11"/>
      <c r="P62" s="11"/>
      <c r="Q62" s="11"/>
    </row>
    <row r="63" spans="14:17" ht="15.75" customHeight="1" x14ac:dyDescent="0.25">
      <c r="N63" s="11"/>
      <c r="O63" s="11"/>
      <c r="P63" s="11"/>
      <c r="Q63" s="11"/>
    </row>
    <row r="64" spans="14:17" ht="15.75" customHeight="1" x14ac:dyDescent="0.25">
      <c r="N64" s="11"/>
      <c r="O64" s="11"/>
      <c r="P64" s="11"/>
      <c r="Q64" s="11"/>
    </row>
    <row r="65" spans="14:17" ht="15.75" customHeight="1" x14ac:dyDescent="0.25">
      <c r="N65" s="11"/>
      <c r="O65" s="11"/>
      <c r="P65" s="11"/>
      <c r="Q65" s="11"/>
    </row>
    <row r="66" spans="14:17" ht="15.75" customHeight="1" x14ac:dyDescent="0.25">
      <c r="N66" s="11"/>
      <c r="O66" s="11"/>
      <c r="P66" s="11"/>
      <c r="Q66" s="11"/>
    </row>
    <row r="67" spans="14:17" ht="15.75" customHeight="1" x14ac:dyDescent="0.25">
      <c r="N67" s="11"/>
      <c r="O67" s="11"/>
      <c r="P67" s="11"/>
      <c r="Q67" s="11"/>
    </row>
    <row r="68" spans="14:17" ht="15.75" customHeight="1" x14ac:dyDescent="0.25">
      <c r="N68" s="11"/>
      <c r="O68" s="11"/>
      <c r="P68" s="11"/>
      <c r="Q68" s="11"/>
    </row>
    <row r="69" spans="14:17" ht="15.75" customHeight="1" x14ac:dyDescent="0.25">
      <c r="N69" s="11"/>
      <c r="O69" s="11"/>
      <c r="P69" s="11"/>
      <c r="Q69" s="11"/>
    </row>
    <row r="70" spans="14:17" ht="15.75" customHeight="1" x14ac:dyDescent="0.25">
      <c r="N70" s="11"/>
      <c r="O70" s="11"/>
      <c r="P70" s="11"/>
      <c r="Q70" s="11"/>
    </row>
    <row r="71" spans="14:17" ht="15.75" customHeight="1" x14ac:dyDescent="0.25">
      <c r="N71" s="11"/>
      <c r="O71" s="11"/>
      <c r="P71" s="11"/>
      <c r="Q71" s="11"/>
    </row>
    <row r="72" spans="14:17" ht="15.75" customHeight="1" x14ac:dyDescent="0.25">
      <c r="N72" s="11"/>
      <c r="O72" s="11"/>
      <c r="P72" s="11"/>
      <c r="Q72" s="11"/>
    </row>
    <row r="73" spans="14:17" ht="15.75" customHeight="1" x14ac:dyDescent="0.25">
      <c r="N73" s="11"/>
      <c r="O73" s="11"/>
      <c r="P73" s="11"/>
      <c r="Q73" s="11"/>
    </row>
    <row r="74" spans="14:17" ht="15.75" customHeight="1" x14ac:dyDescent="0.25">
      <c r="N74" s="11"/>
      <c r="O74" s="11"/>
      <c r="P74" s="11"/>
      <c r="Q74" s="11"/>
    </row>
    <row r="75" spans="14:17" ht="15.75" customHeight="1" x14ac:dyDescent="0.25">
      <c r="N75" s="11"/>
      <c r="O75" s="11"/>
      <c r="P75" s="11"/>
      <c r="Q75" s="11"/>
    </row>
    <row r="76" spans="14:17" ht="15.75" customHeight="1" x14ac:dyDescent="0.25">
      <c r="N76" s="11"/>
      <c r="O76" s="11"/>
      <c r="P76" s="11"/>
      <c r="Q76" s="11"/>
    </row>
    <row r="77" spans="14:17" ht="15.75" customHeight="1" x14ac:dyDescent="0.25">
      <c r="N77" s="11"/>
      <c r="O77" s="11"/>
      <c r="P77" s="11"/>
      <c r="Q77" s="11"/>
    </row>
    <row r="78" spans="14:17" ht="15.75" customHeight="1" x14ac:dyDescent="0.25">
      <c r="N78" s="11"/>
      <c r="O78" s="11"/>
      <c r="P78" s="11"/>
      <c r="Q78" s="11"/>
    </row>
    <row r="79" spans="14:17" ht="15.75" customHeight="1" x14ac:dyDescent="0.25">
      <c r="N79" s="11"/>
      <c r="O79" s="11"/>
      <c r="P79" s="11"/>
      <c r="Q79" s="11"/>
    </row>
    <row r="80" spans="14:17" ht="15.75" customHeight="1" x14ac:dyDescent="0.25">
      <c r="N80" s="11"/>
      <c r="O80" s="11"/>
      <c r="P80" s="11"/>
      <c r="Q80" s="11"/>
    </row>
    <row r="81" spans="14:17" ht="15.75" customHeight="1" x14ac:dyDescent="0.25">
      <c r="N81" s="11"/>
      <c r="O81" s="11"/>
      <c r="P81" s="11"/>
      <c r="Q81" s="11"/>
    </row>
    <row r="82" spans="14:17" ht="15.75" customHeight="1" x14ac:dyDescent="0.25">
      <c r="N82" s="11"/>
      <c r="O82" s="11"/>
      <c r="P82" s="11"/>
      <c r="Q82" s="11"/>
    </row>
    <row r="83" spans="14:17" ht="15.75" customHeight="1" x14ac:dyDescent="0.25">
      <c r="N83" s="11"/>
      <c r="O83" s="11"/>
      <c r="P83" s="11"/>
      <c r="Q83" s="11"/>
    </row>
    <row r="84" spans="14:17" ht="15.75" customHeight="1" x14ac:dyDescent="0.25">
      <c r="N84" s="11"/>
      <c r="O84" s="11"/>
      <c r="P84" s="11"/>
      <c r="Q84" s="11"/>
    </row>
    <row r="85" spans="14:17" ht="15.75" customHeight="1" x14ac:dyDescent="0.25">
      <c r="N85" s="11"/>
      <c r="O85" s="11"/>
      <c r="P85" s="11"/>
      <c r="Q85" s="11"/>
    </row>
    <row r="86" spans="14:17" ht="15.75" customHeight="1" x14ac:dyDescent="0.25">
      <c r="N86" s="11"/>
      <c r="O86" s="11"/>
      <c r="P86" s="11"/>
      <c r="Q86" s="11"/>
    </row>
    <row r="87" spans="14:17" ht="15.75" customHeight="1" x14ac:dyDescent="0.25">
      <c r="N87" s="11"/>
      <c r="O87" s="11"/>
      <c r="P87" s="11"/>
      <c r="Q87" s="11"/>
    </row>
    <row r="88" spans="14:17" ht="15.75" customHeight="1" x14ac:dyDescent="0.25">
      <c r="N88" s="11"/>
      <c r="O88" s="11"/>
      <c r="P88" s="11"/>
      <c r="Q88" s="11"/>
    </row>
    <row r="89" spans="14:17" ht="15.75" customHeight="1" x14ac:dyDescent="0.25">
      <c r="N89" s="11"/>
      <c r="O89" s="11"/>
      <c r="P89" s="11"/>
      <c r="Q89" s="11"/>
    </row>
    <row r="90" spans="14:17" ht="15.75" customHeight="1" x14ac:dyDescent="0.25">
      <c r="N90" s="11"/>
      <c r="O90" s="11"/>
      <c r="P90" s="11"/>
      <c r="Q90" s="11"/>
    </row>
    <row r="91" spans="14:17" ht="15.75" customHeight="1" x14ac:dyDescent="0.25">
      <c r="N91" s="11"/>
      <c r="O91" s="11"/>
      <c r="P91" s="11"/>
      <c r="Q91" s="11"/>
    </row>
    <row r="92" spans="14:17" ht="15.75" customHeight="1" x14ac:dyDescent="0.25">
      <c r="N92" s="11"/>
      <c r="O92" s="11"/>
      <c r="P92" s="11"/>
      <c r="Q92" s="11"/>
    </row>
    <row r="93" spans="14:17" ht="15.75" customHeight="1" x14ac:dyDescent="0.25">
      <c r="N93" s="11"/>
      <c r="O93" s="11"/>
      <c r="P93" s="11"/>
      <c r="Q93" s="11"/>
    </row>
    <row r="94" spans="14:17" ht="15.75" customHeight="1" x14ac:dyDescent="0.25">
      <c r="N94" s="11"/>
      <c r="O94" s="11"/>
      <c r="P94" s="11"/>
      <c r="Q94" s="11"/>
    </row>
    <row r="95" spans="14:17" ht="15.75" customHeight="1" x14ac:dyDescent="0.25">
      <c r="N95" s="11"/>
      <c r="O95" s="11"/>
      <c r="P95" s="11"/>
      <c r="Q95" s="11"/>
    </row>
    <row r="96" spans="14:17" ht="15.75" customHeight="1" x14ac:dyDescent="0.25">
      <c r="N96" s="11"/>
      <c r="O96" s="11"/>
      <c r="P96" s="11"/>
      <c r="Q96" s="11"/>
    </row>
    <row r="97" spans="14:17" ht="15.75" customHeight="1" x14ac:dyDescent="0.25">
      <c r="N97" s="11"/>
      <c r="O97" s="11"/>
      <c r="P97" s="11"/>
      <c r="Q97" s="11"/>
    </row>
    <row r="98" spans="14:17" ht="15.75" customHeight="1" x14ac:dyDescent="0.25">
      <c r="N98" s="11"/>
      <c r="O98" s="11"/>
      <c r="P98" s="11"/>
      <c r="Q98" s="11"/>
    </row>
    <row r="99" spans="14:17" ht="15.75" customHeight="1" x14ac:dyDescent="0.25">
      <c r="N99" s="11"/>
      <c r="O99" s="11"/>
      <c r="P99" s="11"/>
      <c r="Q99" s="11"/>
    </row>
    <row r="100" spans="14:17" ht="15.75" customHeight="1" x14ac:dyDescent="0.25">
      <c r="N100" s="11"/>
      <c r="O100" s="11"/>
      <c r="P100" s="11"/>
      <c r="Q100" s="11"/>
    </row>
    <row r="101" spans="14:17" ht="15.75" customHeight="1" x14ac:dyDescent="0.25">
      <c r="N101" s="11"/>
      <c r="O101" s="11"/>
      <c r="P101" s="11"/>
      <c r="Q101" s="11"/>
    </row>
    <row r="102" spans="14:17" ht="15.75" customHeight="1" x14ac:dyDescent="0.25">
      <c r="N102" s="11"/>
      <c r="O102" s="11"/>
      <c r="P102" s="11"/>
      <c r="Q102" s="11"/>
    </row>
    <row r="103" spans="14:17" ht="15.75" customHeight="1" x14ac:dyDescent="0.25">
      <c r="N103" s="11"/>
      <c r="O103" s="11"/>
      <c r="P103" s="11"/>
      <c r="Q103" s="11"/>
    </row>
    <row r="104" spans="14:17" ht="15.75" customHeight="1" x14ac:dyDescent="0.25">
      <c r="N104" s="11"/>
      <c r="O104" s="11"/>
      <c r="P104" s="11"/>
      <c r="Q104" s="11"/>
    </row>
    <row r="105" spans="14:17" ht="15.75" customHeight="1" x14ac:dyDescent="0.25">
      <c r="N105" s="11"/>
      <c r="O105" s="11"/>
      <c r="P105" s="11"/>
      <c r="Q105" s="11"/>
    </row>
    <row r="106" spans="14:17" ht="15.75" customHeight="1" x14ac:dyDescent="0.25">
      <c r="N106" s="11"/>
      <c r="O106" s="11"/>
      <c r="P106" s="11"/>
      <c r="Q106" s="11"/>
    </row>
    <row r="107" spans="14:17" ht="15.75" customHeight="1" x14ac:dyDescent="0.25">
      <c r="N107" s="11"/>
      <c r="O107" s="11"/>
      <c r="P107" s="11"/>
      <c r="Q107" s="11"/>
    </row>
    <row r="108" spans="14:17" ht="15.75" customHeight="1" x14ac:dyDescent="0.25">
      <c r="N108" s="11"/>
      <c r="O108" s="11"/>
      <c r="P108" s="11"/>
      <c r="Q108" s="11"/>
    </row>
    <row r="109" spans="14:17" ht="15.75" customHeight="1" x14ac:dyDescent="0.25">
      <c r="N109" s="11"/>
      <c r="O109" s="11"/>
      <c r="P109" s="11"/>
      <c r="Q109" s="11"/>
    </row>
    <row r="110" spans="14:17" ht="15.75" customHeight="1" x14ac:dyDescent="0.25">
      <c r="N110" s="11"/>
      <c r="O110" s="11"/>
      <c r="P110" s="11"/>
      <c r="Q110" s="11"/>
    </row>
    <row r="111" spans="14:17" ht="15.75" customHeight="1" x14ac:dyDescent="0.25">
      <c r="N111" s="11"/>
      <c r="O111" s="11"/>
      <c r="P111" s="11"/>
      <c r="Q111" s="11"/>
    </row>
    <row r="112" spans="14:17" ht="15.75" customHeight="1" x14ac:dyDescent="0.25">
      <c r="N112" s="11"/>
      <c r="O112" s="11"/>
      <c r="P112" s="11"/>
      <c r="Q112" s="11"/>
    </row>
    <row r="113" spans="14:17" ht="15.75" customHeight="1" x14ac:dyDescent="0.25">
      <c r="N113" s="11"/>
      <c r="O113" s="11"/>
      <c r="P113" s="11"/>
      <c r="Q113" s="11"/>
    </row>
    <row r="114" spans="14:17" ht="15.75" customHeight="1" x14ac:dyDescent="0.25">
      <c r="N114" s="11"/>
      <c r="O114" s="11"/>
      <c r="P114" s="11"/>
      <c r="Q114" s="11"/>
    </row>
    <row r="115" spans="14:17" ht="15.75" customHeight="1" x14ac:dyDescent="0.25">
      <c r="N115" s="11"/>
      <c r="O115" s="11"/>
      <c r="P115" s="11"/>
      <c r="Q115" s="11"/>
    </row>
    <row r="116" spans="14:17" ht="15.75" customHeight="1" x14ac:dyDescent="0.25">
      <c r="N116" s="11"/>
      <c r="O116" s="11"/>
      <c r="P116" s="11"/>
      <c r="Q116" s="11"/>
    </row>
    <row r="117" spans="14:17" ht="15.75" customHeight="1" x14ac:dyDescent="0.25">
      <c r="N117" s="11"/>
      <c r="O117" s="11"/>
      <c r="P117" s="11"/>
      <c r="Q117" s="11"/>
    </row>
    <row r="118" spans="14:17" ht="15.75" customHeight="1" x14ac:dyDescent="0.25">
      <c r="N118" s="11"/>
      <c r="O118" s="11"/>
      <c r="P118" s="11"/>
      <c r="Q118" s="11"/>
    </row>
    <row r="119" spans="14:17" ht="15.75" customHeight="1" x14ac:dyDescent="0.25">
      <c r="N119" s="11"/>
      <c r="O119" s="11"/>
      <c r="P119" s="11"/>
      <c r="Q119" s="11"/>
    </row>
    <row r="120" spans="14:17" ht="15.75" customHeight="1" x14ac:dyDescent="0.25">
      <c r="N120" s="11"/>
      <c r="O120" s="11"/>
      <c r="P120" s="11"/>
      <c r="Q120" s="11"/>
    </row>
    <row r="121" spans="14:17" ht="15.75" customHeight="1" x14ac:dyDescent="0.25">
      <c r="N121" s="11"/>
      <c r="O121" s="11"/>
      <c r="P121" s="11"/>
      <c r="Q121" s="11"/>
    </row>
    <row r="122" spans="14:17" ht="15.75" customHeight="1" x14ac:dyDescent="0.25">
      <c r="N122" s="11"/>
      <c r="O122" s="11"/>
      <c r="P122" s="11"/>
      <c r="Q122" s="11"/>
    </row>
    <row r="123" spans="14:17" ht="15.75" customHeight="1" x14ac:dyDescent="0.25">
      <c r="N123" s="11"/>
      <c r="O123" s="11"/>
      <c r="P123" s="11"/>
      <c r="Q123" s="11"/>
    </row>
    <row r="124" spans="14:17" ht="15.75" customHeight="1" x14ac:dyDescent="0.25">
      <c r="N124" s="11"/>
      <c r="O124" s="11"/>
      <c r="P124" s="11"/>
      <c r="Q124" s="11"/>
    </row>
    <row r="125" spans="14:17" ht="15.75" customHeight="1" x14ac:dyDescent="0.25">
      <c r="N125" s="11"/>
      <c r="O125" s="11"/>
      <c r="P125" s="11"/>
      <c r="Q125" s="11"/>
    </row>
    <row r="126" spans="14:17" ht="15.75" customHeight="1" x14ac:dyDescent="0.25">
      <c r="N126" s="11"/>
      <c r="O126" s="11"/>
      <c r="P126" s="11"/>
      <c r="Q126" s="11"/>
    </row>
    <row r="127" spans="14:17" ht="15.75" customHeight="1" x14ac:dyDescent="0.25">
      <c r="N127" s="11"/>
      <c r="O127" s="11"/>
      <c r="P127" s="11"/>
      <c r="Q127" s="11"/>
    </row>
    <row r="128" spans="14:17" ht="15.75" customHeight="1" x14ac:dyDescent="0.25">
      <c r="N128" s="11"/>
      <c r="O128" s="11"/>
      <c r="P128" s="11"/>
      <c r="Q128" s="11"/>
    </row>
    <row r="129" spans="14:17" ht="15.75" customHeight="1" x14ac:dyDescent="0.25">
      <c r="N129" s="11"/>
      <c r="O129" s="11"/>
      <c r="P129" s="11"/>
      <c r="Q129" s="11"/>
    </row>
    <row r="130" spans="14:17" ht="15.75" customHeight="1" x14ac:dyDescent="0.25">
      <c r="N130" s="11"/>
      <c r="O130" s="11"/>
      <c r="P130" s="11"/>
      <c r="Q130" s="11"/>
    </row>
    <row r="131" spans="14:17" ht="15.75" customHeight="1" x14ac:dyDescent="0.25">
      <c r="N131" s="11"/>
      <c r="O131" s="11"/>
      <c r="P131" s="11"/>
      <c r="Q131" s="11"/>
    </row>
    <row r="132" spans="14:17" ht="15.75" customHeight="1" x14ac:dyDescent="0.25">
      <c r="N132" s="11"/>
      <c r="O132" s="11"/>
      <c r="P132" s="11"/>
      <c r="Q132" s="11"/>
    </row>
    <row r="133" spans="14:17" ht="15.75" customHeight="1" x14ac:dyDescent="0.25">
      <c r="N133" s="11"/>
      <c r="O133" s="11"/>
      <c r="P133" s="11"/>
      <c r="Q133" s="11"/>
    </row>
    <row r="134" spans="14:17" ht="15.75" customHeight="1" x14ac:dyDescent="0.25">
      <c r="N134" s="11"/>
      <c r="O134" s="11"/>
      <c r="P134" s="11"/>
      <c r="Q134" s="11"/>
    </row>
    <row r="135" spans="14:17" ht="15.75" customHeight="1" x14ac:dyDescent="0.25">
      <c r="N135" s="11"/>
      <c r="O135" s="11"/>
      <c r="P135" s="11"/>
      <c r="Q135" s="11"/>
    </row>
    <row r="136" spans="14:17" ht="15.75" customHeight="1" x14ac:dyDescent="0.25">
      <c r="N136" s="11"/>
      <c r="O136" s="11"/>
      <c r="P136" s="11"/>
      <c r="Q136" s="11"/>
    </row>
    <row r="137" spans="14:17" ht="15.75" customHeight="1" x14ac:dyDescent="0.25">
      <c r="N137" s="11"/>
      <c r="O137" s="11"/>
      <c r="P137" s="11"/>
      <c r="Q137" s="11"/>
    </row>
    <row r="138" spans="14:17" ht="15.75" customHeight="1" x14ac:dyDescent="0.25">
      <c r="N138" s="11"/>
      <c r="O138" s="11"/>
      <c r="P138" s="11"/>
      <c r="Q138" s="11"/>
    </row>
    <row r="139" spans="14:17" ht="15.75" customHeight="1" x14ac:dyDescent="0.25">
      <c r="N139" s="11"/>
      <c r="O139" s="11"/>
      <c r="P139" s="11"/>
      <c r="Q139" s="11"/>
    </row>
    <row r="140" spans="14:17" ht="15.75" customHeight="1" x14ac:dyDescent="0.25">
      <c r="N140" s="11"/>
      <c r="O140" s="11"/>
      <c r="P140" s="11"/>
      <c r="Q140" s="11"/>
    </row>
    <row r="141" spans="14:17" ht="15.75" customHeight="1" x14ac:dyDescent="0.25">
      <c r="N141" s="11"/>
      <c r="O141" s="11"/>
      <c r="P141" s="11"/>
      <c r="Q141" s="11"/>
    </row>
    <row r="142" spans="14:17" ht="15.75" customHeight="1" x14ac:dyDescent="0.25">
      <c r="N142" s="11"/>
      <c r="O142" s="11"/>
      <c r="P142" s="11"/>
      <c r="Q142" s="11"/>
    </row>
    <row r="143" spans="14:17" ht="15.75" customHeight="1" x14ac:dyDescent="0.25">
      <c r="N143" s="11"/>
      <c r="O143" s="11"/>
      <c r="P143" s="11"/>
      <c r="Q143" s="11"/>
    </row>
    <row r="144" spans="14:17" ht="15.75" customHeight="1" x14ac:dyDescent="0.25">
      <c r="N144" s="11"/>
      <c r="O144" s="11"/>
      <c r="P144" s="11"/>
      <c r="Q144" s="11"/>
    </row>
    <row r="145" spans="14:17" ht="15.75" customHeight="1" x14ac:dyDescent="0.25">
      <c r="N145" s="11"/>
      <c r="O145" s="11"/>
      <c r="P145" s="11"/>
      <c r="Q145" s="11"/>
    </row>
    <row r="146" spans="14:17" ht="15.75" customHeight="1" x14ac:dyDescent="0.25">
      <c r="N146" s="11"/>
      <c r="O146" s="11"/>
      <c r="P146" s="11"/>
      <c r="Q146" s="11"/>
    </row>
    <row r="147" spans="14:17" ht="15.75" customHeight="1" x14ac:dyDescent="0.25">
      <c r="N147" s="11"/>
      <c r="O147" s="11"/>
      <c r="P147" s="11"/>
      <c r="Q147" s="11"/>
    </row>
    <row r="148" spans="14:17" ht="15.75" customHeight="1" x14ac:dyDescent="0.25">
      <c r="N148" s="11"/>
      <c r="O148" s="11"/>
      <c r="P148" s="11"/>
      <c r="Q148" s="11"/>
    </row>
    <row r="149" spans="14:17" ht="15.75" customHeight="1" x14ac:dyDescent="0.25">
      <c r="N149" s="11"/>
      <c r="O149" s="11"/>
      <c r="P149" s="11"/>
      <c r="Q149" s="11"/>
    </row>
    <row r="150" spans="14:17" ht="15.75" customHeight="1" x14ac:dyDescent="0.25">
      <c r="N150" s="11"/>
      <c r="O150" s="11"/>
      <c r="P150" s="11"/>
      <c r="Q150" s="11"/>
    </row>
    <row r="151" spans="14:17" ht="15.75" customHeight="1" x14ac:dyDescent="0.25">
      <c r="N151" s="11"/>
      <c r="O151" s="11"/>
      <c r="P151" s="11"/>
      <c r="Q151" s="11"/>
    </row>
    <row r="152" spans="14:17" ht="15.75" customHeight="1" x14ac:dyDescent="0.25">
      <c r="N152" s="11"/>
      <c r="O152" s="11"/>
      <c r="P152" s="11"/>
      <c r="Q152" s="11"/>
    </row>
    <row r="153" spans="14:17" ht="15.75" customHeight="1" x14ac:dyDescent="0.25">
      <c r="N153" s="11"/>
      <c r="O153" s="11"/>
      <c r="P153" s="11"/>
      <c r="Q153" s="11"/>
    </row>
    <row r="154" spans="14:17" ht="15.75" customHeight="1" x14ac:dyDescent="0.25">
      <c r="N154" s="11"/>
      <c r="O154" s="11"/>
      <c r="P154" s="11"/>
      <c r="Q154" s="11"/>
    </row>
    <row r="155" spans="14:17" ht="15.75" customHeight="1" x14ac:dyDescent="0.25">
      <c r="N155" s="11"/>
      <c r="O155" s="11"/>
      <c r="P155" s="11"/>
      <c r="Q155" s="11"/>
    </row>
    <row r="156" spans="14:17" ht="15.75" customHeight="1" x14ac:dyDescent="0.25">
      <c r="N156" s="11"/>
      <c r="O156" s="11"/>
      <c r="P156" s="11"/>
      <c r="Q156" s="11"/>
    </row>
    <row r="157" spans="14:17" ht="15.75" customHeight="1" x14ac:dyDescent="0.25">
      <c r="N157" s="11"/>
      <c r="O157" s="11"/>
      <c r="P157" s="11"/>
      <c r="Q157" s="11"/>
    </row>
    <row r="158" spans="14:17" ht="15.75" customHeight="1" x14ac:dyDescent="0.25">
      <c r="N158" s="11"/>
      <c r="O158" s="11"/>
      <c r="P158" s="11"/>
      <c r="Q158" s="11"/>
    </row>
    <row r="159" spans="14:17" ht="15.75" customHeight="1" x14ac:dyDescent="0.25">
      <c r="N159" s="11"/>
      <c r="O159" s="11"/>
      <c r="P159" s="11"/>
      <c r="Q159" s="11"/>
    </row>
    <row r="160" spans="14:17" ht="15.75" customHeight="1" x14ac:dyDescent="0.25">
      <c r="N160" s="11"/>
      <c r="O160" s="11"/>
      <c r="P160" s="11"/>
      <c r="Q160" s="11"/>
    </row>
    <row r="161" spans="14:17" ht="15.75" customHeight="1" x14ac:dyDescent="0.25">
      <c r="N161" s="11"/>
      <c r="O161" s="11"/>
      <c r="P161" s="11"/>
      <c r="Q161" s="11"/>
    </row>
    <row r="162" spans="14:17" ht="15.75" customHeight="1" x14ac:dyDescent="0.25">
      <c r="N162" s="11"/>
      <c r="O162" s="11"/>
      <c r="P162" s="11"/>
      <c r="Q162" s="11"/>
    </row>
    <row r="163" spans="14:17" ht="15.75" customHeight="1" x14ac:dyDescent="0.25">
      <c r="N163" s="11"/>
      <c r="O163" s="11"/>
      <c r="P163" s="11"/>
      <c r="Q163" s="11"/>
    </row>
    <row r="164" spans="14:17" ht="15.75" customHeight="1" x14ac:dyDescent="0.25">
      <c r="N164" s="11"/>
      <c r="O164" s="11"/>
      <c r="P164" s="11"/>
      <c r="Q164" s="11"/>
    </row>
    <row r="165" spans="14:17" ht="15.75" customHeight="1" x14ac:dyDescent="0.25">
      <c r="N165" s="11"/>
      <c r="O165" s="11"/>
      <c r="P165" s="11"/>
      <c r="Q165" s="11"/>
    </row>
    <row r="166" spans="14:17" ht="15.75" customHeight="1" x14ac:dyDescent="0.25">
      <c r="N166" s="11"/>
      <c r="O166" s="11"/>
      <c r="P166" s="11"/>
      <c r="Q166" s="11"/>
    </row>
    <row r="167" spans="14:17" ht="15.75" customHeight="1" x14ac:dyDescent="0.25">
      <c r="N167" s="11"/>
      <c r="O167" s="11"/>
      <c r="P167" s="11"/>
      <c r="Q167" s="11"/>
    </row>
    <row r="168" spans="14:17" ht="15.75" customHeight="1" x14ac:dyDescent="0.25">
      <c r="N168" s="11"/>
      <c r="O168" s="11"/>
      <c r="P168" s="11"/>
      <c r="Q168" s="11"/>
    </row>
    <row r="169" spans="14:17" ht="15.75" customHeight="1" x14ac:dyDescent="0.25">
      <c r="N169" s="11"/>
      <c r="O169" s="11"/>
      <c r="P169" s="11"/>
      <c r="Q169" s="11"/>
    </row>
    <row r="170" spans="14:17" ht="15.75" customHeight="1" x14ac:dyDescent="0.25">
      <c r="N170" s="11"/>
      <c r="O170" s="11"/>
      <c r="P170" s="11"/>
      <c r="Q170" s="11"/>
    </row>
    <row r="171" spans="14:17" ht="15.75" customHeight="1" x14ac:dyDescent="0.25">
      <c r="N171" s="11"/>
      <c r="O171" s="11"/>
      <c r="P171" s="11"/>
      <c r="Q171" s="11"/>
    </row>
    <row r="172" spans="14:17" ht="15.75" customHeight="1" x14ac:dyDescent="0.25">
      <c r="N172" s="11"/>
      <c r="O172" s="11"/>
      <c r="P172" s="11"/>
      <c r="Q172" s="11"/>
    </row>
    <row r="173" spans="14:17" ht="15.75" customHeight="1" x14ac:dyDescent="0.25">
      <c r="N173" s="11"/>
      <c r="O173" s="11"/>
      <c r="P173" s="11"/>
      <c r="Q173" s="11"/>
    </row>
    <row r="174" spans="14:17" ht="15.75" customHeight="1" x14ac:dyDescent="0.25">
      <c r="N174" s="11"/>
      <c r="O174" s="11"/>
      <c r="P174" s="11"/>
      <c r="Q174" s="11"/>
    </row>
    <row r="175" spans="14:17" ht="15.75" customHeight="1" x14ac:dyDescent="0.25">
      <c r="N175" s="11"/>
      <c r="O175" s="11"/>
      <c r="P175" s="11"/>
      <c r="Q175" s="11"/>
    </row>
    <row r="176" spans="14:17" ht="15.75" customHeight="1" x14ac:dyDescent="0.25">
      <c r="N176" s="11"/>
      <c r="O176" s="11"/>
      <c r="P176" s="11"/>
      <c r="Q176" s="11"/>
    </row>
    <row r="177" spans="14:17" ht="15.75" customHeight="1" x14ac:dyDescent="0.25">
      <c r="N177" s="11"/>
      <c r="O177" s="11"/>
      <c r="P177" s="11"/>
      <c r="Q177" s="11"/>
    </row>
    <row r="178" spans="14:17" ht="15.75" customHeight="1" x14ac:dyDescent="0.25">
      <c r="N178" s="11"/>
      <c r="O178" s="11"/>
      <c r="P178" s="11"/>
      <c r="Q178" s="11"/>
    </row>
    <row r="179" spans="14:17" ht="15.75" customHeight="1" x14ac:dyDescent="0.25">
      <c r="N179" s="11"/>
      <c r="O179" s="11"/>
      <c r="P179" s="11"/>
      <c r="Q179" s="11"/>
    </row>
    <row r="180" spans="14:17" ht="15.75" customHeight="1" x14ac:dyDescent="0.25">
      <c r="N180" s="11"/>
      <c r="O180" s="11"/>
      <c r="P180" s="11"/>
      <c r="Q180" s="11"/>
    </row>
    <row r="181" spans="14:17" ht="15.75" customHeight="1" x14ac:dyDescent="0.25">
      <c r="N181" s="11"/>
      <c r="O181" s="11"/>
      <c r="P181" s="11"/>
      <c r="Q181" s="11"/>
    </row>
    <row r="182" spans="14:17" ht="15.75" customHeight="1" x14ac:dyDescent="0.25">
      <c r="N182" s="11"/>
      <c r="O182" s="11"/>
      <c r="P182" s="11"/>
      <c r="Q182" s="11"/>
    </row>
    <row r="183" spans="14:17" ht="15.75" customHeight="1" x14ac:dyDescent="0.25">
      <c r="N183" s="11"/>
      <c r="O183" s="11"/>
      <c r="P183" s="11"/>
      <c r="Q183" s="11"/>
    </row>
    <row r="184" spans="14:17" ht="15.75" customHeight="1" x14ac:dyDescent="0.25">
      <c r="N184" s="11"/>
      <c r="O184" s="11"/>
      <c r="P184" s="11"/>
      <c r="Q184" s="11"/>
    </row>
    <row r="185" spans="14:17" ht="15.75" customHeight="1" x14ac:dyDescent="0.25">
      <c r="N185" s="11"/>
      <c r="O185" s="11"/>
      <c r="P185" s="11"/>
      <c r="Q185" s="11"/>
    </row>
    <row r="186" spans="14:17" ht="15.75" customHeight="1" x14ac:dyDescent="0.25">
      <c r="N186" s="11"/>
      <c r="O186" s="11"/>
      <c r="P186" s="11"/>
      <c r="Q186" s="11"/>
    </row>
    <row r="187" spans="14:17" ht="15.75" customHeight="1" x14ac:dyDescent="0.25">
      <c r="N187" s="11"/>
      <c r="O187" s="11"/>
      <c r="P187" s="11"/>
      <c r="Q187" s="11"/>
    </row>
    <row r="188" spans="14:17" ht="15.75" customHeight="1" x14ac:dyDescent="0.25">
      <c r="N188" s="11"/>
      <c r="O188" s="11"/>
      <c r="P188" s="11"/>
      <c r="Q188" s="11"/>
    </row>
    <row r="189" spans="14:17" ht="15.75" customHeight="1" x14ac:dyDescent="0.25">
      <c r="N189" s="11"/>
      <c r="O189" s="11"/>
      <c r="P189" s="11"/>
      <c r="Q189" s="11"/>
    </row>
    <row r="190" spans="14:17" ht="15.75" customHeight="1" x14ac:dyDescent="0.25">
      <c r="N190" s="11"/>
      <c r="O190" s="11"/>
      <c r="P190" s="11"/>
      <c r="Q190" s="11"/>
    </row>
    <row r="191" spans="14:17" ht="15.75" customHeight="1" x14ac:dyDescent="0.25">
      <c r="N191" s="11"/>
      <c r="O191" s="11"/>
      <c r="P191" s="11"/>
      <c r="Q191" s="11"/>
    </row>
    <row r="192" spans="14:17" ht="15.75" customHeight="1" x14ac:dyDescent="0.25">
      <c r="N192" s="11"/>
      <c r="O192" s="11"/>
      <c r="P192" s="11"/>
      <c r="Q192" s="11"/>
    </row>
    <row r="193" spans="14:17" ht="15.75" customHeight="1" x14ac:dyDescent="0.25">
      <c r="N193" s="11"/>
      <c r="O193" s="11"/>
      <c r="P193" s="11"/>
      <c r="Q193" s="11"/>
    </row>
    <row r="194" spans="14:17" ht="15.75" customHeight="1" x14ac:dyDescent="0.25">
      <c r="N194" s="11"/>
      <c r="O194" s="11"/>
      <c r="P194" s="11"/>
      <c r="Q194" s="11"/>
    </row>
    <row r="195" spans="14:17" ht="15.75" customHeight="1" x14ac:dyDescent="0.25">
      <c r="N195" s="11"/>
      <c r="O195" s="11"/>
      <c r="P195" s="11"/>
      <c r="Q195" s="11"/>
    </row>
    <row r="196" spans="14:17" ht="15.75" customHeight="1" x14ac:dyDescent="0.25">
      <c r="N196" s="11"/>
      <c r="O196" s="11"/>
      <c r="P196" s="11"/>
      <c r="Q196" s="11"/>
    </row>
    <row r="197" spans="14:17" ht="15.75" customHeight="1" x14ac:dyDescent="0.25">
      <c r="N197" s="11"/>
      <c r="O197" s="11"/>
      <c r="P197" s="11"/>
      <c r="Q197" s="11"/>
    </row>
    <row r="198" spans="14:17" ht="15.75" customHeight="1" x14ac:dyDescent="0.25">
      <c r="N198" s="11"/>
      <c r="O198" s="11"/>
      <c r="P198" s="11"/>
      <c r="Q198" s="11"/>
    </row>
    <row r="199" spans="14:17" ht="15.75" customHeight="1" x14ac:dyDescent="0.25">
      <c r="N199" s="11"/>
      <c r="O199" s="11"/>
      <c r="P199" s="11"/>
      <c r="Q199" s="11"/>
    </row>
    <row r="200" spans="14:17" ht="15.75" customHeight="1" x14ac:dyDescent="0.25">
      <c r="N200" s="11"/>
      <c r="O200" s="11"/>
      <c r="P200" s="11"/>
      <c r="Q200" s="11"/>
    </row>
    <row r="201" spans="14:17" ht="15.75" customHeight="1" x14ac:dyDescent="0.25">
      <c r="N201" s="11"/>
      <c r="O201" s="11"/>
      <c r="P201" s="11"/>
      <c r="Q201" s="11"/>
    </row>
    <row r="202" spans="14:17" ht="15.75" customHeight="1" x14ac:dyDescent="0.25">
      <c r="N202" s="11"/>
      <c r="O202" s="11"/>
      <c r="P202" s="11"/>
      <c r="Q202" s="11"/>
    </row>
    <row r="203" spans="14:17" ht="15.75" customHeight="1" x14ac:dyDescent="0.25">
      <c r="N203" s="11"/>
      <c r="O203" s="11"/>
      <c r="P203" s="11"/>
      <c r="Q203" s="11"/>
    </row>
    <row r="204" spans="14:17" ht="15.75" customHeight="1" x14ac:dyDescent="0.25">
      <c r="N204" s="11"/>
      <c r="O204" s="11"/>
      <c r="P204" s="11"/>
      <c r="Q204" s="11"/>
    </row>
    <row r="205" spans="14:17" ht="15.75" customHeight="1" x14ac:dyDescent="0.25">
      <c r="N205" s="11"/>
      <c r="O205" s="11"/>
      <c r="P205" s="11"/>
      <c r="Q205" s="11"/>
    </row>
    <row r="206" spans="14:17" ht="15.75" customHeight="1" x14ac:dyDescent="0.25">
      <c r="N206" s="11"/>
      <c r="O206" s="11"/>
      <c r="P206" s="11"/>
      <c r="Q206" s="11"/>
    </row>
    <row r="207" spans="14:17" ht="15.75" customHeight="1" x14ac:dyDescent="0.25">
      <c r="N207" s="11"/>
      <c r="O207" s="11"/>
      <c r="P207" s="11"/>
      <c r="Q207" s="11"/>
    </row>
    <row r="208" spans="14:17" ht="15.75" customHeight="1" x14ac:dyDescent="0.25">
      <c r="N208" s="11"/>
      <c r="O208" s="11"/>
      <c r="P208" s="11"/>
      <c r="Q208" s="11"/>
    </row>
    <row r="209" spans="14:17" ht="15.75" customHeight="1" x14ac:dyDescent="0.25">
      <c r="N209" s="11"/>
      <c r="O209" s="11"/>
      <c r="P209" s="11"/>
      <c r="Q209" s="11"/>
    </row>
    <row r="210" spans="14:17" ht="15.75" customHeight="1" x14ac:dyDescent="0.25">
      <c r="N210" s="11"/>
      <c r="O210" s="11"/>
      <c r="P210" s="11"/>
      <c r="Q210" s="11"/>
    </row>
    <row r="211" spans="14:17" ht="15.75" customHeight="1" x14ac:dyDescent="0.25">
      <c r="N211" s="11"/>
      <c r="O211" s="11"/>
      <c r="P211" s="11"/>
      <c r="Q211" s="11"/>
    </row>
    <row r="212" spans="14:17" ht="15.75" customHeight="1" x14ac:dyDescent="0.25">
      <c r="N212" s="11"/>
      <c r="O212" s="11"/>
      <c r="P212" s="11"/>
      <c r="Q212" s="11"/>
    </row>
    <row r="213" spans="14:17" ht="15.75" customHeight="1" x14ac:dyDescent="0.25">
      <c r="N213" s="11"/>
      <c r="O213" s="11"/>
      <c r="P213" s="11"/>
      <c r="Q213" s="11"/>
    </row>
    <row r="214" spans="14:17" ht="15.75" customHeight="1" x14ac:dyDescent="0.25">
      <c r="N214" s="11"/>
      <c r="O214" s="11"/>
      <c r="P214" s="11"/>
      <c r="Q214" s="11"/>
    </row>
    <row r="215" spans="14:17" ht="15.75" customHeight="1" x14ac:dyDescent="0.25">
      <c r="N215" s="11"/>
      <c r="O215" s="11"/>
      <c r="P215" s="11"/>
      <c r="Q215" s="11"/>
    </row>
    <row r="216" spans="14:17" ht="15.75" customHeight="1" x14ac:dyDescent="0.25">
      <c r="N216" s="11"/>
      <c r="O216" s="11"/>
      <c r="P216" s="11"/>
      <c r="Q216" s="11"/>
    </row>
    <row r="217" spans="14:17" ht="15.75" customHeight="1" x14ac:dyDescent="0.25">
      <c r="N217" s="11"/>
      <c r="O217" s="11"/>
      <c r="P217" s="11"/>
      <c r="Q217" s="11"/>
    </row>
    <row r="218" spans="14:17" ht="15.75" customHeight="1" x14ac:dyDescent="0.25">
      <c r="N218" s="11"/>
      <c r="O218" s="11"/>
      <c r="P218" s="11"/>
      <c r="Q218" s="11"/>
    </row>
    <row r="219" spans="14:17" ht="15.75" customHeight="1" x14ac:dyDescent="0.25">
      <c r="N219" s="11"/>
      <c r="O219" s="11"/>
      <c r="P219" s="11"/>
      <c r="Q219" s="11"/>
    </row>
    <row r="220" spans="14:17" ht="15.75" customHeight="1" x14ac:dyDescent="0.25">
      <c r="N220" s="11"/>
      <c r="O220" s="11"/>
      <c r="P220" s="11"/>
      <c r="Q220" s="11"/>
    </row>
    <row r="221" spans="14:17" ht="15.75" customHeight="1" x14ac:dyDescent="0.25">
      <c r="N221" s="11"/>
      <c r="O221" s="11"/>
      <c r="P221" s="11"/>
      <c r="Q221" s="11"/>
    </row>
    <row r="222" spans="14:17" ht="15.75" customHeight="1" x14ac:dyDescent="0.25">
      <c r="N222" s="11"/>
      <c r="O222" s="11"/>
      <c r="P222" s="11"/>
      <c r="Q222" s="11"/>
    </row>
    <row r="223" spans="14:17" ht="15.75" customHeight="1" x14ac:dyDescent="0.25">
      <c r="N223" s="11"/>
      <c r="O223" s="11"/>
      <c r="P223" s="11"/>
      <c r="Q223" s="11"/>
    </row>
    <row r="224" spans="14:17" ht="15.75" customHeight="1" x14ac:dyDescent="0.25">
      <c r="N224" s="11"/>
      <c r="O224" s="11"/>
      <c r="P224" s="11"/>
      <c r="Q224" s="11"/>
    </row>
    <row r="225" spans="14:17" ht="15.75" customHeight="1" x14ac:dyDescent="0.25">
      <c r="N225" s="11"/>
      <c r="O225" s="11"/>
      <c r="P225" s="11"/>
      <c r="Q225" s="11"/>
    </row>
    <row r="226" spans="14:17" ht="15.75" customHeight="1" x14ac:dyDescent="0.25">
      <c r="N226" s="11"/>
      <c r="O226" s="11"/>
      <c r="P226" s="11"/>
      <c r="Q226" s="11"/>
    </row>
    <row r="227" spans="14:17" ht="15.75" customHeight="1" x14ac:dyDescent="0.25">
      <c r="N227" s="11"/>
      <c r="O227" s="11"/>
      <c r="P227" s="11"/>
      <c r="Q227" s="11"/>
    </row>
    <row r="228" spans="14:17" ht="15.75" customHeight="1" x14ac:dyDescent="0.25">
      <c r="N228" s="11"/>
      <c r="O228" s="11"/>
      <c r="P228" s="11"/>
      <c r="Q228" s="11"/>
    </row>
    <row r="229" spans="14:17" ht="15.75" customHeight="1" x14ac:dyDescent="0.25">
      <c r="N229" s="11"/>
      <c r="O229" s="11"/>
      <c r="P229" s="11"/>
      <c r="Q229" s="11"/>
    </row>
    <row r="230" spans="14:17" ht="15.75" customHeight="1" x14ac:dyDescent="0.25">
      <c r="N230" s="11"/>
      <c r="O230" s="11"/>
      <c r="P230" s="11"/>
      <c r="Q230" s="11"/>
    </row>
    <row r="231" spans="14:17" ht="15.75" customHeight="1" x14ac:dyDescent="0.25">
      <c r="N231" s="11"/>
      <c r="O231" s="11"/>
      <c r="P231" s="11"/>
      <c r="Q231" s="11"/>
    </row>
    <row r="232" spans="14:17" ht="15.75" customHeight="1" x14ac:dyDescent="0.25">
      <c r="N232" s="11"/>
      <c r="O232" s="11"/>
      <c r="P232" s="11"/>
      <c r="Q232" s="11"/>
    </row>
    <row r="233" spans="14:17" ht="15.75" customHeight="1" x14ac:dyDescent="0.25">
      <c r="N233" s="11"/>
      <c r="O233" s="11"/>
      <c r="P233" s="11"/>
      <c r="Q233" s="11"/>
    </row>
    <row r="234" spans="14:17" ht="15.75" customHeight="1" x14ac:dyDescent="0.25">
      <c r="N234" s="11"/>
      <c r="O234" s="11"/>
      <c r="P234" s="11"/>
      <c r="Q234" s="11"/>
    </row>
    <row r="235" spans="14:17" ht="15.75" customHeight="1" x14ac:dyDescent="0.25">
      <c r="N235" s="11"/>
      <c r="O235" s="11"/>
      <c r="P235" s="11"/>
      <c r="Q235" s="11"/>
    </row>
    <row r="236" spans="14:17" ht="15.75" customHeight="1" x14ac:dyDescent="0.25">
      <c r="N236" s="11"/>
      <c r="O236" s="11"/>
      <c r="P236" s="11"/>
      <c r="Q236" s="11"/>
    </row>
    <row r="237" spans="14:17" ht="15.75" customHeight="1" x14ac:dyDescent="0.25">
      <c r="N237" s="11"/>
      <c r="O237" s="11"/>
      <c r="P237" s="11"/>
      <c r="Q237" s="11"/>
    </row>
    <row r="238" spans="14:17" ht="15.75" customHeight="1" x14ac:dyDescent="0.25">
      <c r="N238" s="11"/>
      <c r="O238" s="11"/>
      <c r="P238" s="11"/>
      <c r="Q238" s="11"/>
    </row>
    <row r="239" spans="14:17" ht="15.75" customHeight="1" x14ac:dyDescent="0.25">
      <c r="N239" s="11"/>
      <c r="O239" s="11"/>
      <c r="P239" s="11"/>
      <c r="Q239" s="11"/>
    </row>
    <row r="240" spans="14:17" ht="15.75" customHeight="1" x14ac:dyDescent="0.25">
      <c r="N240" s="11"/>
      <c r="O240" s="11"/>
      <c r="P240" s="11"/>
      <c r="Q240" s="11"/>
    </row>
    <row r="241" spans="14:17" ht="15.75" customHeight="1" x14ac:dyDescent="0.25">
      <c r="N241" s="11"/>
      <c r="O241" s="11"/>
      <c r="P241" s="11"/>
      <c r="Q241" s="11"/>
    </row>
    <row r="242" spans="14:17" ht="15.75" customHeight="1" x14ac:dyDescent="0.25">
      <c r="N242" s="11"/>
      <c r="O242" s="11"/>
      <c r="P242" s="11"/>
      <c r="Q242" s="11"/>
    </row>
    <row r="243" spans="14:17" ht="15.75" customHeight="1" x14ac:dyDescent="0.25">
      <c r="N243" s="11"/>
      <c r="O243" s="11"/>
      <c r="P243" s="11"/>
      <c r="Q243" s="11"/>
    </row>
    <row r="244" spans="14:17" ht="15.75" customHeight="1" x14ac:dyDescent="0.25">
      <c r="N244" s="11"/>
      <c r="O244" s="11"/>
      <c r="P244" s="11"/>
      <c r="Q244" s="11"/>
    </row>
    <row r="245" spans="14:17" ht="15.75" customHeight="1" x14ac:dyDescent="0.25">
      <c r="N245" s="11"/>
      <c r="O245" s="11"/>
      <c r="P245" s="11"/>
      <c r="Q245" s="11"/>
    </row>
    <row r="246" spans="14:17" ht="15.75" customHeight="1" x14ac:dyDescent="0.25">
      <c r="N246" s="11"/>
      <c r="O246" s="11"/>
      <c r="P246" s="11"/>
      <c r="Q246" s="11"/>
    </row>
    <row r="247" spans="14:17" ht="15.75" customHeight="1" x14ac:dyDescent="0.25">
      <c r="N247" s="11"/>
      <c r="O247" s="11"/>
      <c r="P247" s="11"/>
      <c r="Q247" s="11"/>
    </row>
    <row r="248" spans="14:17" ht="15.75" customHeight="1" x14ac:dyDescent="0.25">
      <c r="N248" s="11"/>
      <c r="O248" s="11"/>
      <c r="P248" s="11"/>
      <c r="Q248" s="11"/>
    </row>
    <row r="249" spans="14:17" ht="15.75" customHeight="1" x14ac:dyDescent="0.25">
      <c r="N249" s="11"/>
      <c r="O249" s="11"/>
      <c r="P249" s="11"/>
      <c r="Q249" s="11"/>
    </row>
    <row r="250" spans="14:17" ht="15.75" customHeight="1" x14ac:dyDescent="0.25">
      <c r="N250" s="11"/>
      <c r="O250" s="11"/>
      <c r="P250" s="11"/>
      <c r="Q250" s="11"/>
    </row>
    <row r="251" spans="14:17" ht="15.75" customHeight="1" x14ac:dyDescent="0.25">
      <c r="N251" s="11"/>
      <c r="O251" s="11"/>
      <c r="P251" s="11"/>
      <c r="Q251" s="11"/>
    </row>
    <row r="252" spans="14:17" ht="15.75" customHeight="1" x14ac:dyDescent="0.25">
      <c r="N252" s="11"/>
      <c r="O252" s="11"/>
      <c r="P252" s="11"/>
      <c r="Q252" s="11"/>
    </row>
    <row r="253" spans="14:17" ht="15.75" customHeight="1" x14ac:dyDescent="0.25">
      <c r="N253" s="11"/>
      <c r="O253" s="11"/>
      <c r="P253" s="11"/>
      <c r="Q253" s="11"/>
    </row>
    <row r="254" spans="14:17" ht="15.75" customHeight="1" x14ac:dyDescent="0.25">
      <c r="N254" s="11"/>
      <c r="O254" s="11"/>
      <c r="P254" s="11"/>
      <c r="Q254" s="11"/>
    </row>
    <row r="255" spans="14:17" ht="15.75" customHeight="1" x14ac:dyDescent="0.25">
      <c r="N255" s="11"/>
      <c r="O255" s="11"/>
      <c r="P255" s="11"/>
      <c r="Q255" s="11"/>
    </row>
    <row r="256" spans="14:17" ht="15.75" customHeight="1" x14ac:dyDescent="0.25">
      <c r="N256" s="11"/>
      <c r="O256" s="11"/>
      <c r="P256" s="11"/>
      <c r="Q256" s="11"/>
    </row>
    <row r="257" spans="14:17" ht="15.75" customHeight="1" x14ac:dyDescent="0.25">
      <c r="N257" s="11"/>
      <c r="O257" s="11"/>
      <c r="P257" s="11"/>
      <c r="Q257" s="11"/>
    </row>
    <row r="258" spans="14:17" ht="15.75" customHeight="1" x14ac:dyDescent="0.25">
      <c r="N258" s="11"/>
      <c r="O258" s="11"/>
      <c r="P258" s="11"/>
      <c r="Q258" s="11"/>
    </row>
    <row r="259" spans="14:17" ht="15.75" customHeight="1" x14ac:dyDescent="0.25">
      <c r="N259" s="11"/>
      <c r="O259" s="11"/>
      <c r="P259" s="11"/>
      <c r="Q259" s="11"/>
    </row>
    <row r="260" spans="14:17" ht="15.75" customHeight="1" x14ac:dyDescent="0.25">
      <c r="N260" s="11"/>
      <c r="O260" s="11"/>
      <c r="P260" s="11"/>
      <c r="Q260" s="11"/>
    </row>
    <row r="261" spans="14:17" ht="15.75" customHeight="1" x14ac:dyDescent="0.25">
      <c r="N261" s="11"/>
      <c r="O261" s="11"/>
      <c r="P261" s="11"/>
      <c r="Q261" s="11"/>
    </row>
    <row r="262" spans="14:17" ht="15.75" customHeight="1" x14ac:dyDescent="0.25">
      <c r="N262" s="11"/>
      <c r="O262" s="11"/>
      <c r="P262" s="11"/>
      <c r="Q262" s="11"/>
    </row>
    <row r="263" spans="14:17" ht="15.75" customHeight="1" x14ac:dyDescent="0.25">
      <c r="N263" s="11"/>
      <c r="O263" s="11"/>
      <c r="P263" s="11"/>
      <c r="Q263" s="11"/>
    </row>
    <row r="264" spans="14:17" ht="15.75" customHeight="1" x14ac:dyDescent="0.25">
      <c r="N264" s="11"/>
      <c r="O264" s="11"/>
      <c r="P264" s="11"/>
      <c r="Q264" s="11"/>
    </row>
    <row r="265" spans="14:17" ht="15.75" customHeight="1" x14ac:dyDescent="0.25">
      <c r="N265" s="11"/>
      <c r="O265" s="11"/>
      <c r="P265" s="11"/>
      <c r="Q265" s="11"/>
    </row>
    <row r="266" spans="14:17" ht="15.75" customHeight="1" x14ac:dyDescent="0.25">
      <c r="N266" s="11"/>
      <c r="O266" s="11"/>
      <c r="P266" s="11"/>
      <c r="Q266" s="11"/>
    </row>
    <row r="267" spans="14:17" ht="15.75" customHeight="1" x14ac:dyDescent="0.25">
      <c r="N267" s="11"/>
      <c r="O267" s="11"/>
      <c r="P267" s="11"/>
      <c r="Q267" s="11"/>
    </row>
    <row r="268" spans="14:17" ht="15.75" customHeight="1" x14ac:dyDescent="0.25">
      <c r="N268" s="11"/>
      <c r="O268" s="11"/>
      <c r="P268" s="11"/>
      <c r="Q268" s="11"/>
    </row>
    <row r="269" spans="14:17" ht="15.75" customHeight="1" x14ac:dyDescent="0.25">
      <c r="N269" s="11"/>
      <c r="O269" s="11"/>
      <c r="P269" s="11"/>
      <c r="Q269" s="11"/>
    </row>
    <row r="270" spans="14:17" ht="15.75" customHeight="1" x14ac:dyDescent="0.25">
      <c r="N270" s="11"/>
      <c r="O270" s="11"/>
      <c r="P270" s="11"/>
      <c r="Q270" s="11"/>
    </row>
    <row r="271" spans="14:17" ht="15.75" customHeight="1" x14ac:dyDescent="0.25">
      <c r="N271" s="11"/>
      <c r="O271" s="11"/>
      <c r="P271" s="11"/>
      <c r="Q271" s="11"/>
    </row>
    <row r="272" spans="14:17" ht="15.75" customHeight="1" x14ac:dyDescent="0.25">
      <c r="N272" s="11"/>
      <c r="O272" s="11"/>
      <c r="P272" s="11"/>
      <c r="Q272" s="11"/>
    </row>
    <row r="273" spans="14:17" ht="15.75" customHeight="1" x14ac:dyDescent="0.25">
      <c r="N273" s="11"/>
      <c r="O273" s="11"/>
      <c r="P273" s="11"/>
      <c r="Q273" s="11"/>
    </row>
    <row r="274" spans="14:17" ht="15.75" customHeight="1" x14ac:dyDescent="0.25">
      <c r="N274" s="11"/>
      <c r="O274" s="11"/>
      <c r="P274" s="11"/>
      <c r="Q274" s="11"/>
    </row>
    <row r="275" spans="14:17" ht="15.75" customHeight="1" x14ac:dyDescent="0.25">
      <c r="N275" s="11"/>
      <c r="O275" s="11"/>
      <c r="P275" s="11"/>
      <c r="Q275" s="11"/>
    </row>
    <row r="276" spans="14:17" ht="15.75" customHeight="1" x14ac:dyDescent="0.25">
      <c r="N276" s="11"/>
      <c r="O276" s="11"/>
      <c r="P276" s="11"/>
      <c r="Q276" s="11"/>
    </row>
    <row r="277" spans="14:17" ht="15.75" customHeight="1" x14ac:dyDescent="0.25">
      <c r="N277" s="11"/>
      <c r="O277" s="11"/>
      <c r="P277" s="11"/>
      <c r="Q277" s="11"/>
    </row>
    <row r="278" spans="14:17" ht="15.75" customHeight="1" x14ac:dyDescent="0.25">
      <c r="N278" s="11"/>
      <c r="O278" s="11"/>
      <c r="P278" s="11"/>
      <c r="Q278" s="11"/>
    </row>
    <row r="279" spans="14:17" ht="15.75" customHeight="1" x14ac:dyDescent="0.25">
      <c r="N279" s="11"/>
      <c r="O279" s="11"/>
      <c r="P279" s="11"/>
      <c r="Q279" s="11"/>
    </row>
    <row r="280" spans="14:17" ht="15.75" customHeight="1" x14ac:dyDescent="0.25">
      <c r="N280" s="11"/>
      <c r="O280" s="11"/>
      <c r="P280" s="11"/>
      <c r="Q280" s="11"/>
    </row>
    <row r="281" spans="14:17" ht="15.75" customHeight="1" x14ac:dyDescent="0.25">
      <c r="N281" s="11"/>
      <c r="O281" s="11"/>
      <c r="P281" s="11"/>
      <c r="Q281" s="11"/>
    </row>
    <row r="282" spans="14:17" ht="15.75" customHeight="1" x14ac:dyDescent="0.25">
      <c r="N282" s="11"/>
      <c r="O282" s="11"/>
      <c r="P282" s="11"/>
      <c r="Q282" s="11"/>
    </row>
    <row r="283" spans="14:17" ht="15.75" customHeight="1" x14ac:dyDescent="0.25">
      <c r="N283" s="11"/>
      <c r="O283" s="11"/>
      <c r="P283" s="11"/>
      <c r="Q283" s="11"/>
    </row>
    <row r="284" spans="14:17" ht="15.75" customHeight="1" x14ac:dyDescent="0.25">
      <c r="N284" s="11"/>
      <c r="O284" s="11"/>
      <c r="P284" s="11"/>
      <c r="Q284" s="11"/>
    </row>
    <row r="285" spans="14:17" ht="15.75" customHeight="1" x14ac:dyDescent="0.25">
      <c r="N285" s="11"/>
      <c r="O285" s="11"/>
      <c r="P285" s="11"/>
      <c r="Q285" s="11"/>
    </row>
    <row r="286" spans="14:17" ht="15.75" customHeight="1" x14ac:dyDescent="0.25">
      <c r="N286" s="11"/>
      <c r="O286" s="11"/>
      <c r="P286" s="11"/>
      <c r="Q286" s="11"/>
    </row>
    <row r="287" spans="14:17" ht="15.75" customHeight="1" x14ac:dyDescent="0.25">
      <c r="N287" s="11"/>
      <c r="O287" s="11"/>
      <c r="P287" s="11"/>
      <c r="Q287" s="11"/>
    </row>
    <row r="288" spans="14:17" ht="15.75" customHeight="1" x14ac:dyDescent="0.25">
      <c r="N288" s="11"/>
      <c r="O288" s="11"/>
      <c r="P288" s="11"/>
      <c r="Q288" s="11"/>
    </row>
    <row r="289" spans="14:17" ht="15.75" customHeight="1" x14ac:dyDescent="0.25">
      <c r="N289" s="11"/>
      <c r="O289" s="11"/>
      <c r="P289" s="11"/>
      <c r="Q289" s="11"/>
    </row>
    <row r="290" spans="14:17" ht="15.75" customHeight="1" x14ac:dyDescent="0.25">
      <c r="N290" s="11"/>
      <c r="O290" s="11"/>
      <c r="P290" s="11"/>
      <c r="Q290" s="11"/>
    </row>
    <row r="291" spans="14:17" ht="15.75" customHeight="1" x14ac:dyDescent="0.25">
      <c r="N291" s="11"/>
      <c r="O291" s="11"/>
      <c r="P291" s="11"/>
      <c r="Q291" s="11"/>
    </row>
    <row r="292" spans="14:17" ht="15.75" customHeight="1" x14ac:dyDescent="0.25">
      <c r="N292" s="11"/>
      <c r="O292" s="11"/>
      <c r="P292" s="11"/>
      <c r="Q292" s="11"/>
    </row>
    <row r="293" spans="14:17" ht="15.75" customHeight="1" x14ac:dyDescent="0.25">
      <c r="N293" s="11"/>
      <c r="O293" s="11"/>
      <c r="P293" s="11"/>
      <c r="Q293" s="11"/>
    </row>
    <row r="294" spans="14:17" ht="15.75" customHeight="1" x14ac:dyDescent="0.25">
      <c r="N294" s="11"/>
      <c r="O294" s="11"/>
      <c r="P294" s="11"/>
      <c r="Q294" s="11"/>
    </row>
    <row r="295" spans="14:17" ht="15.75" customHeight="1" x14ac:dyDescent="0.25">
      <c r="N295" s="11"/>
      <c r="O295" s="11"/>
      <c r="P295" s="11"/>
      <c r="Q295" s="11"/>
    </row>
    <row r="296" spans="14:17" ht="15.75" customHeight="1" x14ac:dyDescent="0.25">
      <c r="N296" s="11"/>
      <c r="O296" s="11"/>
      <c r="P296" s="11"/>
      <c r="Q296" s="11"/>
    </row>
    <row r="297" spans="14:17" ht="15.75" customHeight="1" x14ac:dyDescent="0.25">
      <c r="N297" s="11"/>
      <c r="O297" s="11"/>
      <c r="P297" s="11"/>
      <c r="Q297" s="11"/>
    </row>
    <row r="298" spans="14:17" ht="15.75" customHeight="1" x14ac:dyDescent="0.25">
      <c r="N298" s="11"/>
      <c r="O298" s="11"/>
      <c r="P298" s="11"/>
      <c r="Q298" s="11"/>
    </row>
    <row r="299" spans="14:17" ht="15.75" customHeight="1" x14ac:dyDescent="0.25">
      <c r="N299" s="11"/>
      <c r="O299" s="11"/>
      <c r="P299" s="11"/>
      <c r="Q299" s="11"/>
    </row>
    <row r="300" spans="14:17" ht="15.75" customHeight="1" x14ac:dyDescent="0.25">
      <c r="N300" s="11"/>
      <c r="O300" s="11"/>
      <c r="P300" s="11"/>
      <c r="Q300" s="11"/>
    </row>
    <row r="301" spans="14:17" ht="15.75" customHeight="1" x14ac:dyDescent="0.25">
      <c r="N301" s="11"/>
      <c r="O301" s="11"/>
      <c r="P301" s="11"/>
      <c r="Q301" s="11"/>
    </row>
    <row r="302" spans="14:17" ht="15.75" customHeight="1" x14ac:dyDescent="0.25">
      <c r="N302" s="11"/>
      <c r="O302" s="11"/>
      <c r="P302" s="11"/>
      <c r="Q302" s="11"/>
    </row>
    <row r="303" spans="14:17" ht="15.75" customHeight="1" x14ac:dyDescent="0.25">
      <c r="N303" s="11"/>
      <c r="O303" s="11"/>
      <c r="P303" s="11"/>
      <c r="Q303" s="11"/>
    </row>
    <row r="304" spans="14:17" ht="15.75" customHeight="1" x14ac:dyDescent="0.25">
      <c r="N304" s="11"/>
      <c r="O304" s="11"/>
      <c r="P304" s="11"/>
      <c r="Q304" s="11"/>
    </row>
    <row r="305" spans="14:17" ht="15.75" customHeight="1" x14ac:dyDescent="0.25">
      <c r="N305" s="11"/>
      <c r="O305" s="11"/>
      <c r="P305" s="11"/>
      <c r="Q305" s="11"/>
    </row>
    <row r="306" spans="14:17" ht="15.75" customHeight="1" x14ac:dyDescent="0.25">
      <c r="N306" s="11"/>
      <c r="O306" s="11"/>
      <c r="P306" s="11"/>
      <c r="Q306" s="11"/>
    </row>
    <row r="307" spans="14:17" ht="15.75" customHeight="1" x14ac:dyDescent="0.25">
      <c r="N307" s="11"/>
      <c r="O307" s="11"/>
      <c r="P307" s="11"/>
      <c r="Q307" s="11"/>
    </row>
    <row r="308" spans="14:17" ht="15.75" customHeight="1" x14ac:dyDescent="0.25">
      <c r="N308" s="11"/>
      <c r="O308" s="11"/>
      <c r="P308" s="11"/>
      <c r="Q308" s="11"/>
    </row>
    <row r="309" spans="14:17" ht="15.75" customHeight="1" x14ac:dyDescent="0.25">
      <c r="N309" s="11"/>
      <c r="O309" s="11"/>
      <c r="P309" s="11"/>
      <c r="Q309" s="11"/>
    </row>
    <row r="310" spans="14:17" ht="15.75" customHeight="1" x14ac:dyDescent="0.25">
      <c r="N310" s="11"/>
      <c r="O310" s="11"/>
      <c r="P310" s="11"/>
      <c r="Q310" s="11"/>
    </row>
    <row r="311" spans="14:17" ht="15.75" customHeight="1" x14ac:dyDescent="0.25">
      <c r="N311" s="11"/>
      <c r="O311" s="11"/>
      <c r="P311" s="11"/>
      <c r="Q311" s="11"/>
    </row>
    <row r="312" spans="14:17" ht="15.75" customHeight="1" x14ac:dyDescent="0.25">
      <c r="N312" s="11"/>
      <c r="O312" s="11"/>
      <c r="P312" s="11"/>
      <c r="Q312" s="11"/>
    </row>
    <row r="313" spans="14:17" ht="15.75" customHeight="1" x14ac:dyDescent="0.25">
      <c r="N313" s="11"/>
      <c r="O313" s="11"/>
      <c r="P313" s="11"/>
      <c r="Q313" s="11"/>
    </row>
    <row r="314" spans="14:17" ht="15.75" customHeight="1" x14ac:dyDescent="0.25">
      <c r="N314" s="11"/>
      <c r="O314" s="11"/>
      <c r="P314" s="11"/>
      <c r="Q314" s="11"/>
    </row>
    <row r="315" spans="14:17" ht="15.75" customHeight="1" x14ac:dyDescent="0.25">
      <c r="N315" s="11"/>
      <c r="O315" s="11"/>
      <c r="P315" s="11"/>
      <c r="Q315" s="11"/>
    </row>
    <row r="316" spans="14:17" ht="15.75" customHeight="1" x14ac:dyDescent="0.25">
      <c r="N316" s="11"/>
      <c r="O316" s="11"/>
      <c r="P316" s="11"/>
      <c r="Q316" s="11"/>
    </row>
    <row r="317" spans="14:17" ht="15.75" customHeight="1" x14ac:dyDescent="0.25">
      <c r="N317" s="11"/>
      <c r="O317" s="11"/>
      <c r="P317" s="11"/>
      <c r="Q317" s="11"/>
    </row>
    <row r="318" spans="14:17" ht="15.75" customHeight="1" x14ac:dyDescent="0.25">
      <c r="N318" s="11"/>
      <c r="O318" s="11"/>
      <c r="P318" s="11"/>
      <c r="Q318" s="11"/>
    </row>
    <row r="319" spans="14:17" ht="15.75" customHeight="1" x14ac:dyDescent="0.25">
      <c r="N319" s="11"/>
      <c r="O319" s="11"/>
      <c r="P319" s="11"/>
      <c r="Q319" s="11"/>
    </row>
    <row r="320" spans="14:17" ht="15.75" customHeight="1" x14ac:dyDescent="0.25">
      <c r="N320" s="11"/>
      <c r="O320" s="11"/>
      <c r="P320" s="11"/>
      <c r="Q320" s="11"/>
    </row>
    <row r="321" spans="14:17" ht="15.75" customHeight="1" x14ac:dyDescent="0.25">
      <c r="N321" s="11"/>
      <c r="O321" s="11"/>
      <c r="P321" s="11"/>
      <c r="Q321" s="11"/>
    </row>
    <row r="322" spans="14:17" ht="15.75" customHeight="1" x14ac:dyDescent="0.25">
      <c r="N322" s="11"/>
      <c r="O322" s="11"/>
      <c r="P322" s="11"/>
      <c r="Q322" s="11"/>
    </row>
    <row r="323" spans="14:17" ht="15.75" customHeight="1" x14ac:dyDescent="0.25">
      <c r="N323" s="11"/>
      <c r="O323" s="11"/>
      <c r="P323" s="11"/>
      <c r="Q323" s="11"/>
    </row>
    <row r="324" spans="14:17" ht="15.75" customHeight="1" x14ac:dyDescent="0.25">
      <c r="N324" s="11"/>
      <c r="O324" s="11"/>
      <c r="P324" s="11"/>
      <c r="Q324" s="11"/>
    </row>
    <row r="325" spans="14:17" ht="15.75" customHeight="1" x14ac:dyDescent="0.25">
      <c r="N325" s="11"/>
      <c r="O325" s="11"/>
      <c r="P325" s="11"/>
      <c r="Q325" s="11"/>
    </row>
    <row r="326" spans="14:17" ht="15.75" customHeight="1" x14ac:dyDescent="0.25">
      <c r="N326" s="11"/>
      <c r="O326" s="11"/>
      <c r="P326" s="11"/>
      <c r="Q326" s="11"/>
    </row>
    <row r="327" spans="14:17" ht="15.75" customHeight="1" x14ac:dyDescent="0.25">
      <c r="N327" s="11"/>
      <c r="O327" s="11"/>
      <c r="P327" s="11"/>
      <c r="Q327" s="11"/>
    </row>
    <row r="328" spans="14:17" ht="15.75" customHeight="1" x14ac:dyDescent="0.25">
      <c r="N328" s="11"/>
      <c r="O328" s="11"/>
      <c r="P328" s="11"/>
      <c r="Q328" s="11"/>
    </row>
    <row r="329" spans="14:17" ht="15.75" customHeight="1" x14ac:dyDescent="0.25">
      <c r="N329" s="11"/>
      <c r="O329" s="11"/>
      <c r="P329" s="11"/>
      <c r="Q329" s="11"/>
    </row>
    <row r="330" spans="14:17" ht="15.75" customHeight="1" x14ac:dyDescent="0.25">
      <c r="N330" s="11"/>
      <c r="O330" s="11"/>
      <c r="P330" s="11"/>
      <c r="Q330" s="11"/>
    </row>
    <row r="331" spans="14:17" ht="15.75" customHeight="1" x14ac:dyDescent="0.25">
      <c r="N331" s="11"/>
      <c r="O331" s="11"/>
      <c r="P331" s="11"/>
      <c r="Q331" s="11"/>
    </row>
    <row r="332" spans="14:17" ht="15.75" customHeight="1" x14ac:dyDescent="0.25">
      <c r="N332" s="11"/>
      <c r="O332" s="11"/>
      <c r="P332" s="11"/>
      <c r="Q332" s="11"/>
    </row>
    <row r="333" spans="14:17" ht="15.75" customHeight="1" x14ac:dyDescent="0.25">
      <c r="N333" s="11"/>
      <c r="O333" s="11"/>
      <c r="P333" s="11"/>
      <c r="Q333" s="11"/>
    </row>
    <row r="334" spans="14:17" ht="15.75" customHeight="1" x14ac:dyDescent="0.25">
      <c r="N334" s="11"/>
      <c r="O334" s="11"/>
      <c r="P334" s="11"/>
      <c r="Q334" s="11"/>
    </row>
    <row r="335" spans="14:17" ht="15.75" customHeight="1" x14ac:dyDescent="0.25">
      <c r="N335" s="11"/>
      <c r="O335" s="11"/>
      <c r="P335" s="11"/>
      <c r="Q335" s="11"/>
    </row>
    <row r="336" spans="14:17" ht="15.75" customHeight="1" x14ac:dyDescent="0.25">
      <c r="N336" s="11"/>
      <c r="O336" s="11"/>
      <c r="P336" s="11"/>
      <c r="Q336" s="11"/>
    </row>
    <row r="337" spans="14:17" ht="15.75" customHeight="1" x14ac:dyDescent="0.25">
      <c r="N337" s="11"/>
      <c r="O337" s="11"/>
      <c r="P337" s="11"/>
      <c r="Q337" s="11"/>
    </row>
    <row r="338" spans="14:17" ht="15.75" customHeight="1" x14ac:dyDescent="0.25">
      <c r="N338" s="11"/>
      <c r="O338" s="11"/>
      <c r="P338" s="11"/>
      <c r="Q338" s="11"/>
    </row>
    <row r="339" spans="14:17" ht="15.75" customHeight="1" x14ac:dyDescent="0.25">
      <c r="N339" s="11"/>
      <c r="O339" s="11"/>
      <c r="P339" s="11"/>
      <c r="Q339" s="11"/>
    </row>
    <row r="340" spans="14:17" ht="15.75" customHeight="1" x14ac:dyDescent="0.25">
      <c r="N340" s="11"/>
      <c r="O340" s="11"/>
      <c r="P340" s="11"/>
      <c r="Q340" s="11"/>
    </row>
    <row r="341" spans="14:17" ht="15.75" customHeight="1" x14ac:dyDescent="0.25">
      <c r="N341" s="11"/>
      <c r="O341" s="11"/>
      <c r="P341" s="11"/>
      <c r="Q341" s="11"/>
    </row>
    <row r="342" spans="14:17" ht="15.75" customHeight="1" x14ac:dyDescent="0.25">
      <c r="N342" s="11"/>
      <c r="O342" s="11"/>
      <c r="P342" s="11"/>
      <c r="Q342" s="11"/>
    </row>
    <row r="343" spans="14:17" ht="15.75" customHeight="1" x14ac:dyDescent="0.25">
      <c r="N343" s="11"/>
      <c r="O343" s="11"/>
      <c r="P343" s="11"/>
      <c r="Q343" s="11"/>
    </row>
    <row r="344" spans="14:17" ht="15.75" customHeight="1" x14ac:dyDescent="0.25">
      <c r="N344" s="11"/>
      <c r="O344" s="11"/>
      <c r="P344" s="11"/>
      <c r="Q344" s="11"/>
    </row>
    <row r="345" spans="14:17" ht="15.75" customHeight="1" x14ac:dyDescent="0.25">
      <c r="N345" s="11"/>
      <c r="O345" s="11"/>
      <c r="P345" s="11"/>
      <c r="Q345" s="11"/>
    </row>
    <row r="346" spans="14:17" ht="15.75" customHeight="1" x14ac:dyDescent="0.25">
      <c r="N346" s="11"/>
      <c r="O346" s="11"/>
      <c r="P346" s="11"/>
      <c r="Q346" s="11"/>
    </row>
    <row r="347" spans="14:17" ht="15.75" customHeight="1" x14ac:dyDescent="0.25">
      <c r="N347" s="11"/>
      <c r="O347" s="11"/>
      <c r="P347" s="11"/>
      <c r="Q347" s="11"/>
    </row>
    <row r="348" spans="14:17" ht="15.75" customHeight="1" x14ac:dyDescent="0.25">
      <c r="N348" s="11"/>
      <c r="O348" s="11"/>
      <c r="P348" s="11"/>
      <c r="Q348" s="11"/>
    </row>
    <row r="349" spans="14:17" ht="15.75" customHeight="1" x14ac:dyDescent="0.25">
      <c r="N349" s="11"/>
      <c r="O349" s="11"/>
      <c r="P349" s="11"/>
      <c r="Q349" s="11"/>
    </row>
    <row r="350" spans="14:17" ht="15.75" customHeight="1" x14ac:dyDescent="0.25">
      <c r="N350" s="11"/>
      <c r="O350" s="11"/>
      <c r="P350" s="11"/>
      <c r="Q350" s="11"/>
    </row>
    <row r="351" spans="14:17" ht="15.75" customHeight="1" x14ac:dyDescent="0.25">
      <c r="N351" s="11"/>
      <c r="O351" s="11"/>
      <c r="P351" s="11"/>
      <c r="Q351" s="11"/>
    </row>
    <row r="352" spans="14:17" ht="15.75" customHeight="1" x14ac:dyDescent="0.25">
      <c r="N352" s="11"/>
      <c r="O352" s="11"/>
      <c r="P352" s="11"/>
      <c r="Q352" s="11"/>
    </row>
    <row r="353" spans="14:17" ht="15.75" customHeight="1" x14ac:dyDescent="0.25">
      <c r="N353" s="11"/>
      <c r="O353" s="11"/>
      <c r="P353" s="11"/>
      <c r="Q353" s="11"/>
    </row>
    <row r="354" spans="14:17" ht="15.75" customHeight="1" x14ac:dyDescent="0.25">
      <c r="N354" s="11"/>
      <c r="O354" s="11"/>
      <c r="P354" s="11"/>
      <c r="Q354" s="11"/>
    </row>
    <row r="355" spans="14:17" ht="15.75" customHeight="1" x14ac:dyDescent="0.25">
      <c r="N355" s="11"/>
      <c r="O355" s="11"/>
      <c r="P355" s="11"/>
      <c r="Q355" s="11"/>
    </row>
    <row r="356" spans="14:17" ht="15.75" customHeight="1" x14ac:dyDescent="0.25">
      <c r="N356" s="11"/>
      <c r="O356" s="11"/>
      <c r="P356" s="11"/>
      <c r="Q356" s="11"/>
    </row>
    <row r="357" spans="14:17" ht="15.75" customHeight="1" x14ac:dyDescent="0.25">
      <c r="N357" s="11"/>
      <c r="O357" s="11"/>
      <c r="P357" s="11"/>
      <c r="Q357" s="11"/>
    </row>
    <row r="358" spans="14:17" ht="15.75" customHeight="1" x14ac:dyDescent="0.25">
      <c r="N358" s="11"/>
      <c r="O358" s="11"/>
      <c r="P358" s="11"/>
      <c r="Q358" s="11"/>
    </row>
    <row r="359" spans="14:17" ht="15.75" customHeight="1" x14ac:dyDescent="0.25">
      <c r="N359" s="11"/>
      <c r="O359" s="11"/>
      <c r="P359" s="11"/>
      <c r="Q359" s="11"/>
    </row>
    <row r="360" spans="14:17" ht="15.75" customHeight="1" x14ac:dyDescent="0.25">
      <c r="N360" s="11"/>
      <c r="O360" s="11"/>
      <c r="P360" s="11"/>
      <c r="Q360" s="11"/>
    </row>
    <row r="361" spans="14:17" ht="15.75" customHeight="1" x14ac:dyDescent="0.25">
      <c r="N361" s="11"/>
      <c r="O361" s="11"/>
      <c r="P361" s="11"/>
      <c r="Q361" s="11"/>
    </row>
    <row r="362" spans="14:17" ht="15.75" customHeight="1" x14ac:dyDescent="0.25">
      <c r="N362" s="11"/>
      <c r="O362" s="11"/>
      <c r="P362" s="11"/>
      <c r="Q362" s="11"/>
    </row>
    <row r="363" spans="14:17" ht="15.75" customHeight="1" x14ac:dyDescent="0.25">
      <c r="N363" s="11"/>
      <c r="O363" s="11"/>
      <c r="P363" s="11"/>
      <c r="Q363" s="11"/>
    </row>
    <row r="364" spans="14:17" ht="15.75" customHeight="1" x14ac:dyDescent="0.25">
      <c r="N364" s="11"/>
      <c r="O364" s="11"/>
      <c r="P364" s="11"/>
      <c r="Q364" s="11"/>
    </row>
    <row r="365" spans="14:17" ht="15.75" customHeight="1" x14ac:dyDescent="0.25">
      <c r="N365" s="11"/>
      <c r="O365" s="11"/>
      <c r="P365" s="11"/>
      <c r="Q365" s="11"/>
    </row>
    <row r="366" spans="14:17" ht="15.75" customHeight="1" x14ac:dyDescent="0.25">
      <c r="N366" s="11"/>
      <c r="O366" s="11"/>
      <c r="P366" s="11"/>
      <c r="Q366" s="11"/>
    </row>
    <row r="367" spans="14:17" ht="15.75" customHeight="1" x14ac:dyDescent="0.25">
      <c r="N367" s="11"/>
      <c r="O367" s="11"/>
      <c r="P367" s="11"/>
      <c r="Q367" s="11"/>
    </row>
    <row r="368" spans="14:17" ht="15.75" customHeight="1" x14ac:dyDescent="0.25">
      <c r="N368" s="11"/>
      <c r="O368" s="11"/>
      <c r="P368" s="11"/>
      <c r="Q368" s="11"/>
    </row>
    <row r="369" spans="14:17" ht="15.75" customHeight="1" x14ac:dyDescent="0.25">
      <c r="N369" s="11"/>
      <c r="O369" s="11"/>
      <c r="P369" s="11"/>
      <c r="Q369" s="11"/>
    </row>
    <row r="370" spans="14:17" ht="15.75" customHeight="1" x14ac:dyDescent="0.25">
      <c r="N370" s="11"/>
      <c r="O370" s="11"/>
      <c r="P370" s="11"/>
      <c r="Q370" s="11"/>
    </row>
    <row r="371" spans="14:17" ht="15.75" customHeight="1" x14ac:dyDescent="0.25">
      <c r="N371" s="11"/>
      <c r="O371" s="11"/>
      <c r="P371" s="11"/>
      <c r="Q371" s="11"/>
    </row>
    <row r="372" spans="14:17" ht="15.75" customHeight="1" x14ac:dyDescent="0.25">
      <c r="N372" s="11"/>
      <c r="O372" s="11"/>
      <c r="P372" s="11"/>
      <c r="Q372" s="11"/>
    </row>
    <row r="373" spans="14:17" ht="15.75" customHeight="1" x14ac:dyDescent="0.25">
      <c r="N373" s="11"/>
      <c r="O373" s="11"/>
      <c r="P373" s="11"/>
      <c r="Q373" s="11"/>
    </row>
    <row r="374" spans="14:17" ht="15.75" customHeight="1" x14ac:dyDescent="0.25">
      <c r="N374" s="11"/>
      <c r="O374" s="11"/>
      <c r="P374" s="11"/>
      <c r="Q374" s="11"/>
    </row>
    <row r="375" spans="14:17" ht="15.75" customHeight="1" x14ac:dyDescent="0.25">
      <c r="N375" s="11"/>
      <c r="O375" s="11"/>
      <c r="P375" s="11"/>
      <c r="Q375" s="11"/>
    </row>
    <row r="376" spans="14:17" ht="15.75" customHeight="1" x14ac:dyDescent="0.25">
      <c r="N376" s="11"/>
      <c r="O376" s="11"/>
      <c r="P376" s="11"/>
      <c r="Q376" s="11"/>
    </row>
    <row r="377" spans="14:17" ht="15.75" customHeight="1" x14ac:dyDescent="0.25">
      <c r="N377" s="11"/>
      <c r="O377" s="11"/>
      <c r="P377" s="11"/>
      <c r="Q377" s="11"/>
    </row>
    <row r="378" spans="14:17" ht="15.75" customHeight="1" x14ac:dyDescent="0.25">
      <c r="N378" s="11"/>
      <c r="O378" s="11"/>
      <c r="P378" s="11"/>
      <c r="Q378" s="11"/>
    </row>
    <row r="379" spans="14:17" ht="15.75" customHeight="1" x14ac:dyDescent="0.25">
      <c r="N379" s="11"/>
      <c r="O379" s="11"/>
      <c r="P379" s="11"/>
      <c r="Q379" s="11"/>
    </row>
    <row r="380" spans="14:17" ht="15.75" customHeight="1" x14ac:dyDescent="0.25">
      <c r="N380" s="11"/>
      <c r="O380" s="11"/>
      <c r="P380" s="11"/>
      <c r="Q380" s="11"/>
    </row>
    <row r="381" spans="14:17" ht="15.75" customHeight="1" x14ac:dyDescent="0.25">
      <c r="N381" s="11"/>
      <c r="O381" s="11"/>
      <c r="P381" s="11"/>
      <c r="Q381" s="11"/>
    </row>
    <row r="382" spans="14:17" ht="15.75" customHeight="1" x14ac:dyDescent="0.25">
      <c r="N382" s="11"/>
      <c r="O382" s="11"/>
      <c r="P382" s="11"/>
      <c r="Q382" s="11"/>
    </row>
    <row r="383" spans="14:17" ht="15.75" customHeight="1" x14ac:dyDescent="0.25">
      <c r="N383" s="11"/>
      <c r="O383" s="11"/>
      <c r="P383" s="11"/>
      <c r="Q383" s="11"/>
    </row>
    <row r="384" spans="14:17" ht="15.75" customHeight="1" x14ac:dyDescent="0.25">
      <c r="N384" s="11"/>
      <c r="O384" s="11"/>
      <c r="P384" s="11"/>
      <c r="Q384" s="11"/>
    </row>
    <row r="385" spans="14:17" ht="15.75" customHeight="1" x14ac:dyDescent="0.25">
      <c r="N385" s="11"/>
      <c r="O385" s="11"/>
      <c r="P385" s="11"/>
      <c r="Q385" s="11"/>
    </row>
    <row r="386" spans="14:17" ht="15.75" customHeight="1" x14ac:dyDescent="0.25">
      <c r="N386" s="11"/>
      <c r="O386" s="11"/>
      <c r="P386" s="11"/>
      <c r="Q386" s="11"/>
    </row>
    <row r="387" spans="14:17" ht="15.75" customHeight="1" x14ac:dyDescent="0.25">
      <c r="N387" s="11"/>
      <c r="O387" s="11"/>
      <c r="P387" s="11"/>
      <c r="Q387" s="11"/>
    </row>
    <row r="388" spans="14:17" ht="15.75" customHeight="1" x14ac:dyDescent="0.25">
      <c r="N388" s="11"/>
      <c r="O388" s="11"/>
      <c r="P388" s="11"/>
      <c r="Q388" s="11"/>
    </row>
    <row r="389" spans="14:17" ht="15.75" customHeight="1" x14ac:dyDescent="0.25">
      <c r="N389" s="11"/>
      <c r="O389" s="11"/>
      <c r="P389" s="11"/>
      <c r="Q389" s="11"/>
    </row>
    <row r="390" spans="14:17" ht="15.75" customHeight="1" x14ac:dyDescent="0.25">
      <c r="N390" s="11"/>
      <c r="O390" s="11"/>
      <c r="P390" s="11"/>
      <c r="Q390" s="11"/>
    </row>
    <row r="391" spans="14:17" ht="15.75" customHeight="1" x14ac:dyDescent="0.25">
      <c r="N391" s="11"/>
      <c r="O391" s="11"/>
      <c r="P391" s="11"/>
      <c r="Q391" s="11"/>
    </row>
    <row r="392" spans="14:17" ht="15.75" customHeight="1" x14ac:dyDescent="0.25">
      <c r="N392" s="11"/>
      <c r="O392" s="11"/>
      <c r="P392" s="11"/>
      <c r="Q392" s="11"/>
    </row>
    <row r="393" spans="14:17" ht="15.75" customHeight="1" x14ac:dyDescent="0.25">
      <c r="N393" s="11"/>
      <c r="O393" s="11"/>
      <c r="P393" s="11"/>
      <c r="Q393" s="11"/>
    </row>
    <row r="394" spans="14:17" ht="15.75" customHeight="1" x14ac:dyDescent="0.25">
      <c r="N394" s="11"/>
      <c r="O394" s="11"/>
      <c r="P394" s="11"/>
      <c r="Q394" s="11"/>
    </row>
    <row r="395" spans="14:17" ht="15.75" customHeight="1" x14ac:dyDescent="0.25">
      <c r="N395" s="11"/>
      <c r="O395" s="11"/>
      <c r="P395" s="11"/>
      <c r="Q395" s="11"/>
    </row>
    <row r="396" spans="14:17" ht="15.75" customHeight="1" x14ac:dyDescent="0.25">
      <c r="N396" s="11"/>
      <c r="O396" s="11"/>
      <c r="P396" s="11"/>
      <c r="Q396" s="11"/>
    </row>
    <row r="397" spans="14:17" ht="15.75" customHeight="1" x14ac:dyDescent="0.25">
      <c r="N397" s="11"/>
      <c r="O397" s="11"/>
      <c r="P397" s="11"/>
      <c r="Q397" s="11"/>
    </row>
    <row r="398" spans="14:17" ht="15.75" customHeight="1" x14ac:dyDescent="0.25">
      <c r="N398" s="11"/>
      <c r="O398" s="11"/>
      <c r="P398" s="11"/>
      <c r="Q398" s="11"/>
    </row>
    <row r="399" spans="14:17" ht="15.75" customHeight="1" x14ac:dyDescent="0.25">
      <c r="N399" s="11"/>
      <c r="O399" s="11"/>
      <c r="P399" s="11"/>
      <c r="Q399" s="11"/>
    </row>
    <row r="400" spans="14:17" ht="15.75" customHeight="1" x14ac:dyDescent="0.25">
      <c r="N400" s="11"/>
      <c r="O400" s="11"/>
      <c r="P400" s="11"/>
      <c r="Q400" s="11"/>
    </row>
    <row r="401" spans="14:17" ht="15.75" customHeight="1" x14ac:dyDescent="0.25">
      <c r="N401" s="11"/>
      <c r="O401" s="11"/>
      <c r="P401" s="11"/>
      <c r="Q401" s="11"/>
    </row>
    <row r="402" spans="14:17" ht="15.75" customHeight="1" x14ac:dyDescent="0.25">
      <c r="N402" s="11"/>
      <c r="O402" s="11"/>
      <c r="P402" s="11"/>
      <c r="Q402" s="11"/>
    </row>
    <row r="403" spans="14:17" ht="15.75" customHeight="1" x14ac:dyDescent="0.25">
      <c r="N403" s="11"/>
      <c r="O403" s="11"/>
      <c r="P403" s="11"/>
      <c r="Q403" s="11"/>
    </row>
    <row r="404" spans="14:17" ht="15.75" customHeight="1" x14ac:dyDescent="0.25">
      <c r="N404" s="11"/>
      <c r="O404" s="11"/>
      <c r="P404" s="11"/>
      <c r="Q404" s="11"/>
    </row>
    <row r="405" spans="14:17" ht="15.75" customHeight="1" x14ac:dyDescent="0.25">
      <c r="N405" s="11"/>
      <c r="O405" s="11"/>
      <c r="P405" s="11"/>
      <c r="Q405" s="11"/>
    </row>
    <row r="406" spans="14:17" ht="15.75" customHeight="1" x14ac:dyDescent="0.25">
      <c r="N406" s="11"/>
      <c r="O406" s="11"/>
      <c r="P406" s="11"/>
      <c r="Q406" s="11"/>
    </row>
    <row r="407" spans="14:17" ht="15.75" customHeight="1" x14ac:dyDescent="0.25">
      <c r="N407" s="11"/>
      <c r="O407" s="11"/>
      <c r="P407" s="11"/>
      <c r="Q407" s="11"/>
    </row>
    <row r="408" spans="14:17" ht="15.75" customHeight="1" x14ac:dyDescent="0.25">
      <c r="N408" s="11"/>
      <c r="O408" s="11"/>
      <c r="P408" s="11"/>
      <c r="Q408" s="11"/>
    </row>
    <row r="409" spans="14:17" ht="15.75" customHeight="1" x14ac:dyDescent="0.25">
      <c r="N409" s="11"/>
      <c r="O409" s="11"/>
      <c r="P409" s="11"/>
      <c r="Q409" s="11"/>
    </row>
    <row r="410" spans="14:17" ht="15.75" customHeight="1" x14ac:dyDescent="0.25">
      <c r="N410" s="11"/>
      <c r="O410" s="11"/>
      <c r="P410" s="11"/>
      <c r="Q410" s="11"/>
    </row>
    <row r="411" spans="14:17" ht="15.75" customHeight="1" x14ac:dyDescent="0.25">
      <c r="N411" s="11"/>
      <c r="O411" s="11"/>
      <c r="P411" s="11"/>
      <c r="Q411" s="11"/>
    </row>
    <row r="412" spans="14:17" ht="15.75" customHeight="1" x14ac:dyDescent="0.25">
      <c r="N412" s="11"/>
      <c r="O412" s="11"/>
      <c r="P412" s="11"/>
      <c r="Q412" s="11"/>
    </row>
    <row r="413" spans="14:17" ht="15.75" customHeight="1" x14ac:dyDescent="0.25">
      <c r="N413" s="11"/>
      <c r="O413" s="11"/>
      <c r="P413" s="11"/>
      <c r="Q413" s="11"/>
    </row>
    <row r="414" spans="14:17" ht="15.75" customHeight="1" x14ac:dyDescent="0.25">
      <c r="N414" s="11"/>
      <c r="O414" s="11"/>
      <c r="P414" s="11"/>
      <c r="Q414" s="11"/>
    </row>
    <row r="415" spans="14:17" ht="15.75" customHeight="1" x14ac:dyDescent="0.25">
      <c r="N415" s="11"/>
      <c r="O415" s="11"/>
      <c r="P415" s="11"/>
      <c r="Q415" s="11"/>
    </row>
    <row r="416" spans="14:17" ht="15.75" customHeight="1" x14ac:dyDescent="0.25">
      <c r="N416" s="11"/>
      <c r="O416" s="11"/>
      <c r="P416" s="11"/>
      <c r="Q416" s="11"/>
    </row>
    <row r="417" spans="14:17" ht="15.75" customHeight="1" x14ac:dyDescent="0.25">
      <c r="N417" s="11"/>
      <c r="O417" s="11"/>
      <c r="P417" s="11"/>
      <c r="Q417" s="11"/>
    </row>
    <row r="418" spans="14:17" ht="15.75" customHeight="1" x14ac:dyDescent="0.25">
      <c r="N418" s="11"/>
      <c r="O418" s="11"/>
      <c r="P418" s="11"/>
      <c r="Q418" s="11"/>
    </row>
    <row r="419" spans="14:17" ht="15.75" customHeight="1" x14ac:dyDescent="0.25">
      <c r="N419" s="11"/>
      <c r="O419" s="11"/>
      <c r="P419" s="11"/>
      <c r="Q419" s="11"/>
    </row>
    <row r="420" spans="14:17" ht="15.75" customHeight="1" x14ac:dyDescent="0.25">
      <c r="N420" s="11"/>
      <c r="O420" s="11"/>
      <c r="P420" s="11"/>
      <c r="Q420" s="11"/>
    </row>
    <row r="421" spans="14:17" ht="15.75" customHeight="1" x14ac:dyDescent="0.25">
      <c r="N421" s="11"/>
      <c r="O421" s="11"/>
      <c r="P421" s="11"/>
      <c r="Q421" s="11"/>
    </row>
    <row r="422" spans="14:17" ht="15.75" customHeight="1" x14ac:dyDescent="0.25">
      <c r="N422" s="11"/>
      <c r="O422" s="11"/>
      <c r="P422" s="11"/>
      <c r="Q422" s="11"/>
    </row>
    <row r="423" spans="14:17" ht="15.75" customHeight="1" x14ac:dyDescent="0.25">
      <c r="N423" s="11"/>
      <c r="O423" s="11"/>
      <c r="P423" s="11"/>
      <c r="Q423" s="11"/>
    </row>
    <row r="424" spans="14:17" ht="15.75" customHeight="1" x14ac:dyDescent="0.25">
      <c r="N424" s="11"/>
      <c r="O424" s="11"/>
      <c r="P424" s="11"/>
      <c r="Q424" s="11"/>
    </row>
    <row r="425" spans="14:17" ht="15.75" customHeight="1" x14ac:dyDescent="0.25">
      <c r="N425" s="11"/>
      <c r="O425" s="11"/>
      <c r="P425" s="11"/>
      <c r="Q425" s="11"/>
    </row>
    <row r="426" spans="14:17" ht="15.75" customHeight="1" x14ac:dyDescent="0.25">
      <c r="N426" s="11"/>
      <c r="O426" s="11"/>
      <c r="P426" s="11"/>
      <c r="Q426" s="11"/>
    </row>
    <row r="427" spans="14:17" ht="15.75" customHeight="1" x14ac:dyDescent="0.25">
      <c r="N427" s="11"/>
      <c r="O427" s="11"/>
      <c r="P427" s="11"/>
      <c r="Q427" s="11"/>
    </row>
    <row r="428" spans="14:17" ht="15.75" customHeight="1" x14ac:dyDescent="0.25">
      <c r="N428" s="11"/>
      <c r="O428" s="11"/>
      <c r="P428" s="11"/>
      <c r="Q428" s="11"/>
    </row>
    <row r="429" spans="14:17" ht="15.75" customHeight="1" x14ac:dyDescent="0.25">
      <c r="N429" s="11"/>
      <c r="O429" s="11"/>
      <c r="P429" s="11"/>
      <c r="Q429" s="11"/>
    </row>
    <row r="430" spans="14:17" ht="15.75" customHeight="1" x14ac:dyDescent="0.25">
      <c r="N430" s="11"/>
      <c r="O430" s="11"/>
      <c r="P430" s="11"/>
      <c r="Q430" s="11"/>
    </row>
    <row r="431" spans="14:17" ht="15.75" customHeight="1" x14ac:dyDescent="0.25">
      <c r="N431" s="11"/>
      <c r="O431" s="11"/>
      <c r="P431" s="11"/>
      <c r="Q431" s="11"/>
    </row>
    <row r="432" spans="14:17" ht="15.75" customHeight="1" x14ac:dyDescent="0.25">
      <c r="N432" s="11"/>
      <c r="O432" s="11"/>
      <c r="P432" s="11"/>
      <c r="Q432" s="11"/>
    </row>
    <row r="433" spans="14:17" ht="15.75" customHeight="1" x14ac:dyDescent="0.25">
      <c r="N433" s="11"/>
      <c r="O433" s="11"/>
      <c r="P433" s="11"/>
      <c r="Q433" s="11"/>
    </row>
    <row r="434" spans="14:17" ht="15.75" customHeight="1" x14ac:dyDescent="0.25">
      <c r="N434" s="11"/>
      <c r="O434" s="11"/>
      <c r="P434" s="11"/>
      <c r="Q434" s="11"/>
    </row>
    <row r="435" spans="14:17" ht="15.75" customHeight="1" x14ac:dyDescent="0.25">
      <c r="N435" s="11"/>
      <c r="O435" s="11"/>
      <c r="P435" s="11"/>
      <c r="Q435" s="11"/>
    </row>
    <row r="436" spans="14:17" ht="15.75" customHeight="1" x14ac:dyDescent="0.25">
      <c r="N436" s="11"/>
      <c r="O436" s="11"/>
      <c r="P436" s="11"/>
      <c r="Q436" s="11"/>
    </row>
    <row r="437" spans="14:17" ht="15.75" customHeight="1" x14ac:dyDescent="0.25">
      <c r="N437" s="11"/>
      <c r="O437" s="11"/>
      <c r="P437" s="11"/>
      <c r="Q437" s="11"/>
    </row>
    <row r="438" spans="14:17" ht="15.75" customHeight="1" x14ac:dyDescent="0.25">
      <c r="N438" s="11"/>
      <c r="O438" s="11"/>
      <c r="P438" s="11"/>
      <c r="Q438" s="11"/>
    </row>
    <row r="439" spans="14:17" ht="15.75" customHeight="1" x14ac:dyDescent="0.25">
      <c r="N439" s="11"/>
      <c r="O439" s="11"/>
      <c r="P439" s="11"/>
      <c r="Q439" s="11"/>
    </row>
    <row r="440" spans="14:17" ht="15.75" customHeight="1" x14ac:dyDescent="0.25">
      <c r="N440" s="11"/>
      <c r="O440" s="11"/>
      <c r="P440" s="11"/>
      <c r="Q440" s="11"/>
    </row>
    <row r="441" spans="14:17" ht="15.75" customHeight="1" x14ac:dyDescent="0.25">
      <c r="N441" s="11"/>
      <c r="O441" s="11"/>
      <c r="P441" s="11"/>
      <c r="Q441" s="11"/>
    </row>
    <row r="442" spans="14:17" ht="15.75" customHeight="1" x14ac:dyDescent="0.25">
      <c r="N442" s="11"/>
      <c r="O442" s="11"/>
      <c r="P442" s="11"/>
      <c r="Q442" s="11"/>
    </row>
    <row r="443" spans="14:17" ht="15.75" customHeight="1" x14ac:dyDescent="0.25">
      <c r="N443" s="11"/>
      <c r="O443" s="11"/>
      <c r="P443" s="11"/>
      <c r="Q443" s="11"/>
    </row>
    <row r="444" spans="14:17" ht="15.75" customHeight="1" x14ac:dyDescent="0.25">
      <c r="N444" s="11"/>
      <c r="O444" s="11"/>
      <c r="P444" s="11"/>
      <c r="Q444" s="11"/>
    </row>
    <row r="445" spans="14:17" ht="15.75" customHeight="1" x14ac:dyDescent="0.25">
      <c r="N445" s="11"/>
      <c r="O445" s="11"/>
      <c r="P445" s="11"/>
      <c r="Q445" s="11"/>
    </row>
    <row r="446" spans="14:17" ht="15.75" customHeight="1" x14ac:dyDescent="0.25">
      <c r="N446" s="11"/>
      <c r="O446" s="11"/>
      <c r="P446" s="11"/>
      <c r="Q446" s="11"/>
    </row>
    <row r="447" spans="14:17" ht="15.75" customHeight="1" x14ac:dyDescent="0.25">
      <c r="N447" s="11"/>
      <c r="O447" s="11"/>
      <c r="P447" s="11"/>
      <c r="Q447" s="11"/>
    </row>
    <row r="448" spans="14:17" ht="15.75" customHeight="1" x14ac:dyDescent="0.25">
      <c r="N448" s="11"/>
      <c r="O448" s="11"/>
      <c r="P448" s="11"/>
      <c r="Q448" s="11"/>
    </row>
    <row r="449" spans="14:17" ht="15.75" customHeight="1" x14ac:dyDescent="0.25">
      <c r="N449" s="11"/>
      <c r="O449" s="11"/>
      <c r="P449" s="11"/>
      <c r="Q449" s="11"/>
    </row>
    <row r="450" spans="14:17" ht="15.75" customHeight="1" x14ac:dyDescent="0.25">
      <c r="N450" s="11"/>
      <c r="O450" s="11"/>
      <c r="P450" s="11"/>
      <c r="Q450" s="11"/>
    </row>
    <row r="451" spans="14:17" ht="15.75" customHeight="1" x14ac:dyDescent="0.25">
      <c r="N451" s="11"/>
      <c r="O451" s="11"/>
      <c r="P451" s="11"/>
      <c r="Q451" s="11"/>
    </row>
    <row r="452" spans="14:17" ht="15.75" customHeight="1" x14ac:dyDescent="0.25">
      <c r="N452" s="11"/>
      <c r="O452" s="11"/>
      <c r="P452" s="11"/>
      <c r="Q452" s="11"/>
    </row>
    <row r="453" spans="14:17" ht="15.75" customHeight="1" x14ac:dyDescent="0.25">
      <c r="N453" s="11"/>
      <c r="O453" s="11"/>
      <c r="P453" s="11"/>
      <c r="Q453" s="11"/>
    </row>
    <row r="454" spans="14:17" ht="15.75" customHeight="1" x14ac:dyDescent="0.25">
      <c r="N454" s="11"/>
      <c r="O454" s="11"/>
      <c r="P454" s="11"/>
      <c r="Q454" s="11"/>
    </row>
    <row r="455" spans="14:17" ht="15.75" customHeight="1" x14ac:dyDescent="0.25">
      <c r="N455" s="11"/>
      <c r="O455" s="11"/>
      <c r="P455" s="11"/>
      <c r="Q455" s="11"/>
    </row>
    <row r="456" spans="14:17" ht="15.75" customHeight="1" x14ac:dyDescent="0.25">
      <c r="N456" s="11"/>
      <c r="O456" s="11"/>
      <c r="P456" s="11"/>
      <c r="Q456" s="11"/>
    </row>
    <row r="457" spans="14:17" ht="15.75" customHeight="1" x14ac:dyDescent="0.25">
      <c r="N457" s="11"/>
      <c r="O457" s="11"/>
      <c r="P457" s="11"/>
      <c r="Q457" s="11"/>
    </row>
    <row r="458" spans="14:17" ht="15.75" customHeight="1" x14ac:dyDescent="0.25">
      <c r="N458" s="11"/>
      <c r="O458" s="11"/>
      <c r="P458" s="11"/>
      <c r="Q458" s="11"/>
    </row>
    <row r="459" spans="14:17" ht="15.75" customHeight="1" x14ac:dyDescent="0.25">
      <c r="N459" s="11"/>
      <c r="O459" s="11"/>
      <c r="P459" s="11"/>
      <c r="Q459" s="11"/>
    </row>
    <row r="460" spans="14:17" ht="15.75" customHeight="1" x14ac:dyDescent="0.25">
      <c r="N460" s="11"/>
      <c r="O460" s="11"/>
      <c r="P460" s="11"/>
      <c r="Q460" s="11"/>
    </row>
    <row r="461" spans="14:17" ht="15.75" customHeight="1" x14ac:dyDescent="0.25">
      <c r="N461" s="11"/>
      <c r="O461" s="11"/>
      <c r="P461" s="11"/>
      <c r="Q461" s="11"/>
    </row>
    <row r="462" spans="14:17" ht="15.75" customHeight="1" x14ac:dyDescent="0.25">
      <c r="N462" s="11"/>
      <c r="O462" s="11"/>
      <c r="P462" s="11"/>
      <c r="Q462" s="11"/>
    </row>
    <row r="463" spans="14:17" ht="15.75" customHeight="1" x14ac:dyDescent="0.25">
      <c r="N463" s="11"/>
      <c r="O463" s="11"/>
      <c r="P463" s="11"/>
      <c r="Q463" s="11"/>
    </row>
    <row r="464" spans="14:17" ht="15.75" customHeight="1" x14ac:dyDescent="0.25">
      <c r="N464" s="11"/>
      <c r="O464" s="11"/>
      <c r="P464" s="11"/>
      <c r="Q464" s="11"/>
    </row>
    <row r="465" spans="14:17" ht="15.75" customHeight="1" x14ac:dyDescent="0.25">
      <c r="N465" s="11"/>
      <c r="O465" s="11"/>
      <c r="P465" s="11"/>
      <c r="Q465" s="11"/>
    </row>
    <row r="466" spans="14:17" ht="15.75" customHeight="1" x14ac:dyDescent="0.25">
      <c r="N466" s="11"/>
      <c r="O466" s="11"/>
      <c r="P466" s="11"/>
      <c r="Q466" s="11"/>
    </row>
    <row r="467" spans="14:17" ht="15.75" customHeight="1" x14ac:dyDescent="0.25">
      <c r="N467" s="11"/>
      <c r="O467" s="11"/>
      <c r="P467" s="11"/>
      <c r="Q467" s="11"/>
    </row>
    <row r="468" spans="14:17" ht="15.75" customHeight="1" x14ac:dyDescent="0.25">
      <c r="N468" s="11"/>
      <c r="O468" s="11"/>
      <c r="P468" s="11"/>
      <c r="Q468" s="11"/>
    </row>
    <row r="469" spans="14:17" ht="15.75" customHeight="1" x14ac:dyDescent="0.25">
      <c r="N469" s="11"/>
      <c r="O469" s="11"/>
      <c r="P469" s="11"/>
      <c r="Q469" s="11"/>
    </row>
    <row r="470" spans="14:17" ht="15.75" customHeight="1" x14ac:dyDescent="0.25">
      <c r="N470" s="11"/>
      <c r="O470" s="11"/>
      <c r="P470" s="11"/>
      <c r="Q470" s="11"/>
    </row>
    <row r="471" spans="14:17" ht="15.75" customHeight="1" x14ac:dyDescent="0.25">
      <c r="N471" s="11"/>
      <c r="O471" s="11"/>
      <c r="P471" s="11"/>
      <c r="Q471" s="11"/>
    </row>
    <row r="472" spans="14:17" ht="15.75" customHeight="1" x14ac:dyDescent="0.25">
      <c r="N472" s="11"/>
      <c r="O472" s="11"/>
      <c r="P472" s="11"/>
      <c r="Q472" s="11"/>
    </row>
    <row r="473" spans="14:17" ht="15.75" customHeight="1" x14ac:dyDescent="0.25">
      <c r="N473" s="11"/>
      <c r="O473" s="11"/>
      <c r="P473" s="11"/>
      <c r="Q473" s="11"/>
    </row>
    <row r="474" spans="14:17" ht="15.75" customHeight="1" x14ac:dyDescent="0.25">
      <c r="N474" s="11"/>
      <c r="O474" s="11"/>
      <c r="P474" s="11"/>
      <c r="Q474" s="11"/>
    </row>
    <row r="475" spans="14:17" ht="15.75" customHeight="1" x14ac:dyDescent="0.25">
      <c r="N475" s="11"/>
      <c r="O475" s="11"/>
      <c r="P475" s="11"/>
      <c r="Q475" s="11"/>
    </row>
    <row r="476" spans="14:17" ht="15.75" customHeight="1" x14ac:dyDescent="0.25">
      <c r="N476" s="11"/>
      <c r="O476" s="11"/>
      <c r="P476" s="11"/>
      <c r="Q476" s="11"/>
    </row>
    <row r="477" spans="14:17" ht="15.75" customHeight="1" x14ac:dyDescent="0.25">
      <c r="N477" s="11"/>
      <c r="O477" s="11"/>
      <c r="P477" s="11"/>
      <c r="Q477" s="11"/>
    </row>
    <row r="478" spans="14:17" ht="15.75" customHeight="1" x14ac:dyDescent="0.25">
      <c r="N478" s="11"/>
      <c r="O478" s="11"/>
      <c r="P478" s="11"/>
      <c r="Q478" s="11"/>
    </row>
    <row r="479" spans="14:17" ht="15.75" customHeight="1" x14ac:dyDescent="0.25">
      <c r="N479" s="11"/>
      <c r="O479" s="11"/>
      <c r="P479" s="11"/>
      <c r="Q479" s="11"/>
    </row>
    <row r="480" spans="14:17" ht="15.75" customHeight="1" x14ac:dyDescent="0.25">
      <c r="N480" s="11"/>
      <c r="O480" s="11"/>
      <c r="P480" s="11"/>
      <c r="Q480" s="11"/>
    </row>
    <row r="481" spans="14:17" ht="15.75" customHeight="1" x14ac:dyDescent="0.25">
      <c r="N481" s="11"/>
      <c r="O481" s="11"/>
      <c r="P481" s="11"/>
      <c r="Q481" s="11"/>
    </row>
    <row r="482" spans="14:17" ht="15.75" customHeight="1" x14ac:dyDescent="0.25">
      <c r="N482" s="11"/>
      <c r="O482" s="11"/>
      <c r="P482" s="11"/>
      <c r="Q482" s="11"/>
    </row>
    <row r="483" spans="14:17" ht="15.75" customHeight="1" x14ac:dyDescent="0.25">
      <c r="N483" s="11"/>
      <c r="O483" s="11"/>
      <c r="P483" s="11"/>
      <c r="Q483" s="11"/>
    </row>
    <row r="484" spans="14:17" ht="15.75" customHeight="1" x14ac:dyDescent="0.25">
      <c r="N484" s="11"/>
      <c r="O484" s="11"/>
      <c r="P484" s="11"/>
      <c r="Q484" s="11"/>
    </row>
    <row r="485" spans="14:17" ht="15.75" customHeight="1" x14ac:dyDescent="0.25">
      <c r="N485" s="11"/>
      <c r="O485" s="11"/>
      <c r="P485" s="11"/>
      <c r="Q485" s="11"/>
    </row>
    <row r="486" spans="14:17" ht="15.75" customHeight="1" x14ac:dyDescent="0.25">
      <c r="N486" s="11"/>
      <c r="O486" s="11"/>
      <c r="P486" s="11"/>
      <c r="Q486" s="11"/>
    </row>
    <row r="487" spans="14:17" ht="15.75" customHeight="1" x14ac:dyDescent="0.25">
      <c r="N487" s="11"/>
      <c r="O487" s="11"/>
      <c r="P487" s="11"/>
      <c r="Q487" s="11"/>
    </row>
    <row r="488" spans="14:17" ht="15.75" customHeight="1" x14ac:dyDescent="0.25">
      <c r="N488" s="11"/>
      <c r="O488" s="11"/>
      <c r="P488" s="11"/>
      <c r="Q488" s="11"/>
    </row>
    <row r="489" spans="14:17" ht="15.75" customHeight="1" x14ac:dyDescent="0.25">
      <c r="N489" s="11"/>
      <c r="O489" s="11"/>
      <c r="P489" s="11"/>
      <c r="Q489" s="11"/>
    </row>
    <row r="490" spans="14:17" ht="15.75" customHeight="1" x14ac:dyDescent="0.25">
      <c r="N490" s="11"/>
      <c r="O490" s="11"/>
      <c r="P490" s="11"/>
      <c r="Q490" s="11"/>
    </row>
    <row r="491" spans="14:17" ht="15.75" customHeight="1" x14ac:dyDescent="0.25">
      <c r="N491" s="11"/>
      <c r="O491" s="11"/>
      <c r="P491" s="11"/>
      <c r="Q491" s="11"/>
    </row>
    <row r="492" spans="14:17" ht="15.75" customHeight="1" x14ac:dyDescent="0.25">
      <c r="N492" s="11"/>
      <c r="O492" s="11"/>
      <c r="P492" s="11"/>
      <c r="Q492" s="11"/>
    </row>
    <row r="493" spans="14:17" ht="15.75" customHeight="1" x14ac:dyDescent="0.25">
      <c r="N493" s="11"/>
      <c r="O493" s="11"/>
      <c r="P493" s="11"/>
      <c r="Q493" s="11"/>
    </row>
    <row r="494" spans="14:17" ht="15.75" customHeight="1" x14ac:dyDescent="0.25">
      <c r="N494" s="11"/>
      <c r="O494" s="11"/>
      <c r="P494" s="11"/>
      <c r="Q494" s="11"/>
    </row>
    <row r="495" spans="14:17" ht="15.75" customHeight="1" x14ac:dyDescent="0.25">
      <c r="N495" s="11"/>
      <c r="O495" s="11"/>
      <c r="P495" s="11"/>
      <c r="Q495" s="11"/>
    </row>
    <row r="496" spans="14:17" ht="15.75" customHeight="1" x14ac:dyDescent="0.25">
      <c r="N496" s="11"/>
      <c r="O496" s="11"/>
      <c r="P496" s="11"/>
      <c r="Q496" s="11"/>
    </row>
    <row r="497" spans="14:17" ht="15.75" customHeight="1" x14ac:dyDescent="0.25">
      <c r="N497" s="11"/>
      <c r="O497" s="11"/>
      <c r="P497" s="11"/>
      <c r="Q497" s="11"/>
    </row>
    <row r="498" spans="14:17" ht="15.75" customHeight="1" x14ac:dyDescent="0.25">
      <c r="N498" s="11"/>
      <c r="O498" s="11"/>
      <c r="P498" s="11"/>
      <c r="Q498" s="11"/>
    </row>
    <row r="499" spans="14:17" ht="15.75" customHeight="1" x14ac:dyDescent="0.25">
      <c r="N499" s="11"/>
      <c r="O499" s="11"/>
      <c r="P499" s="11"/>
      <c r="Q499" s="11"/>
    </row>
    <row r="500" spans="14:17" ht="15.75" customHeight="1" x14ac:dyDescent="0.25">
      <c r="N500" s="11"/>
      <c r="O500" s="11"/>
      <c r="P500" s="11"/>
      <c r="Q500" s="11"/>
    </row>
    <row r="501" spans="14:17" ht="15.75" customHeight="1" x14ac:dyDescent="0.25">
      <c r="N501" s="11"/>
      <c r="O501" s="11"/>
      <c r="P501" s="11"/>
      <c r="Q501" s="11"/>
    </row>
    <row r="502" spans="14:17" ht="15.75" customHeight="1" x14ac:dyDescent="0.25">
      <c r="N502" s="11"/>
      <c r="O502" s="11"/>
      <c r="P502" s="11"/>
      <c r="Q502" s="11"/>
    </row>
    <row r="503" spans="14:17" ht="15.75" customHeight="1" x14ac:dyDescent="0.25">
      <c r="N503" s="11"/>
      <c r="O503" s="11"/>
      <c r="P503" s="11"/>
      <c r="Q503" s="11"/>
    </row>
    <row r="504" spans="14:17" ht="15.75" customHeight="1" x14ac:dyDescent="0.25">
      <c r="N504" s="11"/>
      <c r="O504" s="11"/>
      <c r="P504" s="11"/>
      <c r="Q504" s="11"/>
    </row>
    <row r="505" spans="14:17" ht="15.75" customHeight="1" x14ac:dyDescent="0.25">
      <c r="N505" s="11"/>
      <c r="O505" s="11"/>
      <c r="P505" s="11"/>
      <c r="Q505" s="11"/>
    </row>
    <row r="506" spans="14:17" ht="15.75" customHeight="1" x14ac:dyDescent="0.25">
      <c r="N506" s="11"/>
      <c r="O506" s="11"/>
      <c r="P506" s="11"/>
      <c r="Q506" s="11"/>
    </row>
    <row r="507" spans="14:17" ht="15.75" customHeight="1" x14ac:dyDescent="0.25">
      <c r="N507" s="11"/>
      <c r="O507" s="11"/>
      <c r="P507" s="11"/>
      <c r="Q507" s="11"/>
    </row>
    <row r="508" spans="14:17" ht="15.75" customHeight="1" x14ac:dyDescent="0.25">
      <c r="N508" s="11"/>
      <c r="O508" s="11"/>
      <c r="P508" s="11"/>
      <c r="Q508" s="11"/>
    </row>
    <row r="509" spans="14:17" ht="15.75" customHeight="1" x14ac:dyDescent="0.25">
      <c r="N509" s="11"/>
      <c r="O509" s="11"/>
      <c r="P509" s="11"/>
      <c r="Q509" s="11"/>
    </row>
    <row r="510" spans="14:17" ht="15.75" customHeight="1" x14ac:dyDescent="0.25">
      <c r="N510" s="11"/>
      <c r="O510" s="11"/>
      <c r="P510" s="11"/>
      <c r="Q510" s="11"/>
    </row>
    <row r="511" spans="14:17" ht="15.75" customHeight="1" x14ac:dyDescent="0.25">
      <c r="N511" s="11"/>
      <c r="O511" s="11"/>
      <c r="P511" s="11"/>
      <c r="Q511" s="11"/>
    </row>
    <row r="512" spans="14:17" ht="15.75" customHeight="1" x14ac:dyDescent="0.25">
      <c r="N512" s="11"/>
      <c r="O512" s="11"/>
      <c r="P512" s="11"/>
      <c r="Q512" s="11"/>
    </row>
    <row r="513" spans="14:17" ht="15.75" customHeight="1" x14ac:dyDescent="0.25">
      <c r="N513" s="11"/>
      <c r="O513" s="11"/>
      <c r="P513" s="11"/>
      <c r="Q513" s="11"/>
    </row>
    <row r="514" spans="14:17" ht="15.75" customHeight="1" x14ac:dyDescent="0.25">
      <c r="N514" s="11"/>
      <c r="O514" s="11"/>
      <c r="P514" s="11"/>
      <c r="Q514" s="11"/>
    </row>
    <row r="515" spans="14:17" ht="15.75" customHeight="1" x14ac:dyDescent="0.25">
      <c r="N515" s="11"/>
      <c r="O515" s="11"/>
      <c r="P515" s="11"/>
      <c r="Q515" s="11"/>
    </row>
    <row r="516" spans="14:17" ht="15.75" customHeight="1" x14ac:dyDescent="0.25">
      <c r="N516" s="11"/>
      <c r="O516" s="11"/>
      <c r="P516" s="11"/>
      <c r="Q516" s="11"/>
    </row>
    <row r="517" spans="14:17" ht="15.75" customHeight="1" x14ac:dyDescent="0.25">
      <c r="N517" s="11"/>
      <c r="O517" s="11"/>
      <c r="P517" s="11"/>
      <c r="Q517" s="11"/>
    </row>
    <row r="518" spans="14:17" ht="15.75" customHeight="1" x14ac:dyDescent="0.25">
      <c r="N518" s="11"/>
      <c r="O518" s="11"/>
      <c r="P518" s="11"/>
      <c r="Q518" s="11"/>
    </row>
    <row r="519" spans="14:17" ht="15.75" customHeight="1" x14ac:dyDescent="0.25">
      <c r="N519" s="11"/>
      <c r="O519" s="11"/>
      <c r="P519" s="11"/>
      <c r="Q519" s="11"/>
    </row>
    <row r="520" spans="14:17" ht="15.75" customHeight="1" x14ac:dyDescent="0.25">
      <c r="N520" s="11"/>
      <c r="O520" s="11"/>
      <c r="P520" s="11"/>
      <c r="Q520" s="11"/>
    </row>
    <row r="521" spans="14:17" ht="15.75" customHeight="1" x14ac:dyDescent="0.25">
      <c r="N521" s="11"/>
      <c r="O521" s="11"/>
      <c r="P521" s="11"/>
      <c r="Q521" s="11"/>
    </row>
    <row r="522" spans="14:17" ht="15.75" customHeight="1" x14ac:dyDescent="0.25">
      <c r="N522" s="11"/>
      <c r="O522" s="11"/>
      <c r="P522" s="11"/>
      <c r="Q522" s="11"/>
    </row>
    <row r="523" spans="14:17" ht="15.75" customHeight="1" x14ac:dyDescent="0.25">
      <c r="N523" s="11"/>
      <c r="O523" s="11"/>
      <c r="P523" s="11"/>
      <c r="Q523" s="11"/>
    </row>
    <row r="524" spans="14:17" ht="15.75" customHeight="1" x14ac:dyDescent="0.25">
      <c r="N524" s="11"/>
      <c r="O524" s="11"/>
      <c r="P524" s="11"/>
      <c r="Q524" s="11"/>
    </row>
    <row r="525" spans="14:17" ht="15.75" customHeight="1" x14ac:dyDescent="0.25">
      <c r="N525" s="11"/>
      <c r="O525" s="11"/>
      <c r="P525" s="11"/>
      <c r="Q525" s="11"/>
    </row>
    <row r="526" spans="14:17" ht="15.75" customHeight="1" x14ac:dyDescent="0.25">
      <c r="N526" s="11"/>
      <c r="O526" s="11"/>
      <c r="P526" s="11"/>
      <c r="Q526" s="11"/>
    </row>
    <row r="527" spans="14:17" ht="15.75" customHeight="1" x14ac:dyDescent="0.25">
      <c r="N527" s="11"/>
      <c r="O527" s="11"/>
      <c r="P527" s="11"/>
      <c r="Q527" s="11"/>
    </row>
    <row r="528" spans="14:17" ht="15.75" customHeight="1" x14ac:dyDescent="0.25">
      <c r="N528" s="11"/>
      <c r="O528" s="11"/>
      <c r="P528" s="11"/>
      <c r="Q528" s="11"/>
    </row>
    <row r="529" spans="14:17" ht="15.75" customHeight="1" x14ac:dyDescent="0.25">
      <c r="N529" s="11"/>
      <c r="O529" s="11"/>
      <c r="P529" s="11"/>
      <c r="Q529" s="11"/>
    </row>
    <row r="530" spans="14:17" ht="15.75" customHeight="1" x14ac:dyDescent="0.25">
      <c r="N530" s="11"/>
      <c r="O530" s="11"/>
      <c r="P530" s="11"/>
      <c r="Q530" s="11"/>
    </row>
    <row r="531" spans="14:17" ht="15.75" customHeight="1" x14ac:dyDescent="0.25">
      <c r="N531" s="11"/>
      <c r="O531" s="11"/>
      <c r="P531" s="11"/>
      <c r="Q531" s="11"/>
    </row>
    <row r="532" spans="14:17" ht="15.75" customHeight="1" x14ac:dyDescent="0.25">
      <c r="N532" s="11"/>
      <c r="O532" s="11"/>
      <c r="P532" s="11"/>
      <c r="Q532" s="11"/>
    </row>
    <row r="533" spans="14:17" ht="15.75" customHeight="1" x14ac:dyDescent="0.25">
      <c r="N533" s="11"/>
      <c r="O533" s="11"/>
      <c r="P533" s="11"/>
      <c r="Q533" s="11"/>
    </row>
    <row r="534" spans="14:17" ht="15.75" customHeight="1" x14ac:dyDescent="0.25">
      <c r="N534" s="11"/>
      <c r="O534" s="11"/>
      <c r="P534" s="11"/>
      <c r="Q534" s="11"/>
    </row>
    <row r="535" spans="14:17" ht="15.75" customHeight="1" x14ac:dyDescent="0.25">
      <c r="N535" s="11"/>
      <c r="O535" s="11"/>
      <c r="P535" s="11"/>
      <c r="Q535" s="11"/>
    </row>
    <row r="536" spans="14:17" ht="15.75" customHeight="1" x14ac:dyDescent="0.25">
      <c r="N536" s="11"/>
      <c r="O536" s="11"/>
      <c r="P536" s="11"/>
      <c r="Q536" s="11"/>
    </row>
    <row r="537" spans="14:17" ht="15.75" customHeight="1" x14ac:dyDescent="0.25">
      <c r="N537" s="11"/>
      <c r="O537" s="11"/>
      <c r="P537" s="11"/>
      <c r="Q537" s="11"/>
    </row>
    <row r="538" spans="14:17" ht="15.75" customHeight="1" x14ac:dyDescent="0.25">
      <c r="N538" s="11"/>
      <c r="O538" s="11"/>
      <c r="P538" s="11"/>
      <c r="Q538" s="11"/>
    </row>
    <row r="539" spans="14:17" ht="15.75" customHeight="1" x14ac:dyDescent="0.25">
      <c r="N539" s="11"/>
      <c r="O539" s="11"/>
      <c r="P539" s="11"/>
      <c r="Q539" s="11"/>
    </row>
    <row r="540" spans="14:17" ht="15.75" customHeight="1" x14ac:dyDescent="0.25">
      <c r="N540" s="11"/>
      <c r="O540" s="11"/>
      <c r="P540" s="11"/>
      <c r="Q540" s="11"/>
    </row>
    <row r="541" spans="14:17" ht="15.75" customHeight="1" x14ac:dyDescent="0.25">
      <c r="N541" s="11"/>
      <c r="O541" s="11"/>
      <c r="P541" s="11"/>
      <c r="Q541" s="11"/>
    </row>
    <row r="542" spans="14:17" ht="15.75" customHeight="1" x14ac:dyDescent="0.25">
      <c r="N542" s="11"/>
      <c r="O542" s="11"/>
      <c r="P542" s="11"/>
      <c r="Q542" s="11"/>
    </row>
    <row r="543" spans="14:17" ht="15.75" customHeight="1" x14ac:dyDescent="0.25">
      <c r="N543" s="11"/>
      <c r="O543" s="11"/>
      <c r="P543" s="11"/>
      <c r="Q543" s="11"/>
    </row>
    <row r="544" spans="14:17" ht="15.75" customHeight="1" x14ac:dyDescent="0.25">
      <c r="N544" s="11"/>
      <c r="O544" s="11"/>
      <c r="P544" s="11"/>
      <c r="Q544" s="11"/>
    </row>
    <row r="545" spans="14:17" ht="15.75" customHeight="1" x14ac:dyDescent="0.25">
      <c r="N545" s="11"/>
      <c r="O545" s="11"/>
      <c r="P545" s="11"/>
      <c r="Q545" s="11"/>
    </row>
    <row r="546" spans="14:17" ht="15.75" customHeight="1" x14ac:dyDescent="0.25">
      <c r="N546" s="11"/>
      <c r="O546" s="11"/>
      <c r="P546" s="11"/>
      <c r="Q546" s="11"/>
    </row>
    <row r="547" spans="14:17" ht="15.75" customHeight="1" x14ac:dyDescent="0.25">
      <c r="N547" s="11"/>
      <c r="O547" s="11"/>
      <c r="P547" s="11"/>
      <c r="Q547" s="11"/>
    </row>
    <row r="548" spans="14:17" ht="15.75" customHeight="1" x14ac:dyDescent="0.25">
      <c r="N548" s="11"/>
      <c r="O548" s="11"/>
      <c r="P548" s="11"/>
      <c r="Q548" s="11"/>
    </row>
    <row r="549" spans="14:17" ht="15.75" customHeight="1" x14ac:dyDescent="0.25">
      <c r="N549" s="11"/>
      <c r="O549" s="11"/>
      <c r="P549" s="11"/>
      <c r="Q549" s="11"/>
    </row>
    <row r="550" spans="14:17" ht="15.75" customHeight="1" x14ac:dyDescent="0.25">
      <c r="N550" s="11"/>
      <c r="O550" s="11"/>
      <c r="P550" s="11"/>
      <c r="Q550" s="11"/>
    </row>
    <row r="551" spans="14:17" ht="15.75" customHeight="1" x14ac:dyDescent="0.25">
      <c r="N551" s="11"/>
      <c r="O551" s="11"/>
      <c r="P551" s="11"/>
      <c r="Q551" s="11"/>
    </row>
    <row r="552" spans="14:17" ht="15.75" customHeight="1" x14ac:dyDescent="0.25">
      <c r="N552" s="11"/>
      <c r="O552" s="11"/>
      <c r="P552" s="11"/>
      <c r="Q552" s="11"/>
    </row>
    <row r="553" spans="14:17" ht="15.75" customHeight="1" x14ac:dyDescent="0.25">
      <c r="N553" s="11"/>
      <c r="O553" s="11"/>
      <c r="P553" s="11"/>
      <c r="Q553" s="11"/>
    </row>
    <row r="554" spans="14:17" ht="15.75" customHeight="1" x14ac:dyDescent="0.25">
      <c r="N554" s="11"/>
      <c r="O554" s="11"/>
      <c r="P554" s="11"/>
      <c r="Q554" s="11"/>
    </row>
    <row r="555" spans="14:17" ht="15.75" customHeight="1" x14ac:dyDescent="0.25">
      <c r="N555" s="11"/>
      <c r="O555" s="11"/>
      <c r="P555" s="11"/>
      <c r="Q555" s="11"/>
    </row>
    <row r="556" spans="14:17" ht="15.75" customHeight="1" x14ac:dyDescent="0.25">
      <c r="N556" s="11"/>
      <c r="O556" s="11"/>
      <c r="P556" s="11"/>
      <c r="Q556" s="11"/>
    </row>
    <row r="557" spans="14:17" ht="15.75" customHeight="1" x14ac:dyDescent="0.25">
      <c r="N557" s="11"/>
      <c r="O557" s="11"/>
      <c r="P557" s="11"/>
      <c r="Q557" s="11"/>
    </row>
    <row r="558" spans="14:17" ht="15.75" customHeight="1" x14ac:dyDescent="0.25">
      <c r="N558" s="11"/>
      <c r="O558" s="11"/>
      <c r="P558" s="11"/>
      <c r="Q558" s="11"/>
    </row>
    <row r="559" spans="14:17" ht="15.75" customHeight="1" x14ac:dyDescent="0.25">
      <c r="N559" s="11"/>
      <c r="O559" s="11"/>
      <c r="P559" s="11"/>
      <c r="Q559" s="11"/>
    </row>
    <row r="560" spans="14:17" ht="15.75" customHeight="1" x14ac:dyDescent="0.25">
      <c r="N560" s="11"/>
      <c r="O560" s="11"/>
      <c r="P560" s="11"/>
      <c r="Q560" s="11"/>
    </row>
    <row r="561" spans="14:17" ht="15.75" customHeight="1" x14ac:dyDescent="0.25">
      <c r="N561" s="11"/>
      <c r="O561" s="11"/>
      <c r="P561" s="11"/>
      <c r="Q561" s="11"/>
    </row>
    <row r="562" spans="14:17" ht="15.75" customHeight="1" x14ac:dyDescent="0.25">
      <c r="N562" s="11"/>
      <c r="O562" s="11"/>
      <c r="P562" s="11"/>
      <c r="Q562" s="11"/>
    </row>
    <row r="563" spans="14:17" ht="15.75" customHeight="1" x14ac:dyDescent="0.25">
      <c r="N563" s="11"/>
      <c r="O563" s="11"/>
      <c r="P563" s="11"/>
      <c r="Q563" s="11"/>
    </row>
    <row r="564" spans="14:17" ht="15.75" customHeight="1" x14ac:dyDescent="0.25">
      <c r="N564" s="11"/>
      <c r="O564" s="11"/>
      <c r="P564" s="11"/>
      <c r="Q564" s="11"/>
    </row>
    <row r="565" spans="14:17" ht="15.75" customHeight="1" x14ac:dyDescent="0.25">
      <c r="N565" s="11"/>
      <c r="O565" s="11"/>
      <c r="P565" s="11"/>
      <c r="Q565" s="11"/>
    </row>
    <row r="566" spans="14:17" ht="15.75" customHeight="1" x14ac:dyDescent="0.25">
      <c r="N566" s="11"/>
      <c r="O566" s="11"/>
      <c r="P566" s="11"/>
      <c r="Q566" s="11"/>
    </row>
    <row r="567" spans="14:17" ht="15.75" customHeight="1" x14ac:dyDescent="0.25">
      <c r="N567" s="11"/>
      <c r="O567" s="11"/>
      <c r="P567" s="11"/>
      <c r="Q567" s="11"/>
    </row>
    <row r="568" spans="14:17" ht="15.75" customHeight="1" x14ac:dyDescent="0.25">
      <c r="N568" s="11"/>
      <c r="O568" s="11"/>
      <c r="P568" s="11"/>
      <c r="Q568" s="11"/>
    </row>
    <row r="569" spans="14:17" ht="15.75" customHeight="1" x14ac:dyDescent="0.25">
      <c r="N569" s="11"/>
      <c r="O569" s="11"/>
      <c r="P569" s="11"/>
      <c r="Q569" s="11"/>
    </row>
    <row r="570" spans="14:17" ht="15.75" customHeight="1" x14ac:dyDescent="0.25">
      <c r="N570" s="11"/>
      <c r="O570" s="11"/>
      <c r="P570" s="11"/>
      <c r="Q570" s="11"/>
    </row>
    <row r="571" spans="14:17" ht="15.75" customHeight="1" x14ac:dyDescent="0.25">
      <c r="N571" s="11"/>
      <c r="O571" s="11"/>
      <c r="P571" s="11"/>
      <c r="Q571" s="11"/>
    </row>
    <row r="572" spans="14:17" ht="15.75" customHeight="1" x14ac:dyDescent="0.25">
      <c r="N572" s="11"/>
      <c r="O572" s="11"/>
      <c r="P572" s="11"/>
      <c r="Q572" s="11"/>
    </row>
    <row r="573" spans="14:17" ht="15.75" customHeight="1" x14ac:dyDescent="0.25">
      <c r="N573" s="11"/>
      <c r="O573" s="11"/>
      <c r="P573" s="11"/>
      <c r="Q573" s="11"/>
    </row>
    <row r="574" spans="14:17" ht="15.75" customHeight="1" x14ac:dyDescent="0.25">
      <c r="N574" s="11"/>
      <c r="O574" s="11"/>
      <c r="P574" s="11"/>
      <c r="Q574" s="11"/>
    </row>
    <row r="575" spans="14:17" ht="15.75" customHeight="1" x14ac:dyDescent="0.25">
      <c r="N575" s="11"/>
      <c r="O575" s="11"/>
      <c r="P575" s="11"/>
      <c r="Q575" s="11"/>
    </row>
    <row r="576" spans="14:17" ht="15.75" customHeight="1" x14ac:dyDescent="0.25">
      <c r="N576" s="11"/>
      <c r="O576" s="11"/>
      <c r="P576" s="11"/>
      <c r="Q576" s="11"/>
    </row>
    <row r="577" spans="14:17" ht="15.75" customHeight="1" x14ac:dyDescent="0.25">
      <c r="N577" s="11"/>
      <c r="O577" s="11"/>
      <c r="P577" s="11"/>
      <c r="Q577" s="11"/>
    </row>
    <row r="578" spans="14:17" ht="15.75" customHeight="1" x14ac:dyDescent="0.25">
      <c r="N578" s="11"/>
      <c r="O578" s="11"/>
      <c r="P578" s="11"/>
      <c r="Q578" s="11"/>
    </row>
    <row r="579" spans="14:17" ht="15.75" customHeight="1" x14ac:dyDescent="0.25">
      <c r="N579" s="11"/>
      <c r="O579" s="11"/>
      <c r="P579" s="11"/>
      <c r="Q579" s="11"/>
    </row>
    <row r="580" spans="14:17" ht="15.75" customHeight="1" x14ac:dyDescent="0.25">
      <c r="N580" s="11"/>
      <c r="O580" s="11"/>
      <c r="P580" s="11"/>
      <c r="Q580" s="11"/>
    </row>
    <row r="581" spans="14:17" ht="15.75" customHeight="1" x14ac:dyDescent="0.25">
      <c r="N581" s="11"/>
      <c r="O581" s="11"/>
      <c r="P581" s="11"/>
      <c r="Q581" s="11"/>
    </row>
    <row r="582" spans="14:17" ht="15.75" customHeight="1" x14ac:dyDescent="0.25">
      <c r="N582" s="11"/>
      <c r="O582" s="11"/>
      <c r="P582" s="11"/>
      <c r="Q582" s="11"/>
    </row>
    <row r="583" spans="14:17" ht="15.75" customHeight="1" x14ac:dyDescent="0.25">
      <c r="N583" s="11"/>
      <c r="O583" s="11"/>
      <c r="P583" s="11"/>
      <c r="Q583" s="11"/>
    </row>
    <row r="584" spans="14:17" ht="15.75" customHeight="1" x14ac:dyDescent="0.25">
      <c r="N584" s="11"/>
      <c r="O584" s="11"/>
      <c r="P584" s="11"/>
      <c r="Q584" s="11"/>
    </row>
    <row r="585" spans="14:17" ht="15.75" customHeight="1" x14ac:dyDescent="0.25">
      <c r="N585" s="11"/>
      <c r="O585" s="11"/>
      <c r="P585" s="11"/>
      <c r="Q585" s="11"/>
    </row>
    <row r="586" spans="14:17" ht="15.75" customHeight="1" x14ac:dyDescent="0.25">
      <c r="N586" s="11"/>
      <c r="O586" s="11"/>
      <c r="P586" s="11"/>
      <c r="Q586" s="11"/>
    </row>
    <row r="587" spans="14:17" ht="15.75" customHeight="1" x14ac:dyDescent="0.25">
      <c r="N587" s="11"/>
      <c r="O587" s="11"/>
      <c r="P587" s="11"/>
      <c r="Q587" s="11"/>
    </row>
    <row r="588" spans="14:17" ht="15.75" customHeight="1" x14ac:dyDescent="0.25">
      <c r="N588" s="11"/>
      <c r="O588" s="11"/>
      <c r="P588" s="11"/>
      <c r="Q588" s="11"/>
    </row>
    <row r="589" spans="14:17" ht="15.75" customHeight="1" x14ac:dyDescent="0.25">
      <c r="N589" s="11"/>
      <c r="O589" s="11"/>
      <c r="P589" s="11"/>
      <c r="Q589" s="11"/>
    </row>
    <row r="590" spans="14:17" ht="15.75" customHeight="1" x14ac:dyDescent="0.25">
      <c r="N590" s="11"/>
      <c r="O590" s="11"/>
      <c r="P590" s="11"/>
      <c r="Q590" s="11"/>
    </row>
    <row r="591" spans="14:17" ht="15.75" customHeight="1" x14ac:dyDescent="0.25">
      <c r="N591" s="11"/>
      <c r="O591" s="11"/>
      <c r="P591" s="11"/>
      <c r="Q591" s="11"/>
    </row>
    <row r="592" spans="14:17" ht="15.75" customHeight="1" x14ac:dyDescent="0.25">
      <c r="N592" s="11"/>
      <c r="O592" s="11"/>
      <c r="P592" s="11"/>
      <c r="Q592" s="11"/>
    </row>
    <row r="593" spans="14:17" ht="15.75" customHeight="1" x14ac:dyDescent="0.25">
      <c r="N593" s="11"/>
      <c r="O593" s="11"/>
      <c r="P593" s="11"/>
      <c r="Q593" s="11"/>
    </row>
    <row r="594" spans="14:17" ht="15.75" customHeight="1" x14ac:dyDescent="0.25">
      <c r="N594" s="11"/>
      <c r="O594" s="11"/>
      <c r="P594" s="11"/>
      <c r="Q594" s="11"/>
    </row>
    <row r="595" spans="14:17" ht="15.75" customHeight="1" x14ac:dyDescent="0.25">
      <c r="N595" s="11"/>
      <c r="O595" s="11"/>
      <c r="P595" s="11"/>
      <c r="Q595" s="11"/>
    </row>
    <row r="596" spans="14:17" ht="15.75" customHeight="1" x14ac:dyDescent="0.25">
      <c r="N596" s="11"/>
      <c r="O596" s="11"/>
      <c r="P596" s="11"/>
      <c r="Q596" s="11"/>
    </row>
    <row r="597" spans="14:17" ht="15.75" customHeight="1" x14ac:dyDescent="0.25">
      <c r="N597" s="11"/>
      <c r="O597" s="11"/>
      <c r="P597" s="11"/>
      <c r="Q597" s="11"/>
    </row>
    <row r="598" spans="14:17" ht="15.75" customHeight="1" x14ac:dyDescent="0.25">
      <c r="N598" s="11"/>
      <c r="O598" s="11"/>
      <c r="P598" s="11"/>
      <c r="Q598" s="11"/>
    </row>
    <row r="599" spans="14:17" ht="15.75" customHeight="1" x14ac:dyDescent="0.25">
      <c r="N599" s="11"/>
      <c r="O599" s="11"/>
      <c r="P599" s="11"/>
      <c r="Q599" s="11"/>
    </row>
    <row r="600" spans="14:17" ht="15.75" customHeight="1" x14ac:dyDescent="0.25">
      <c r="N600" s="11"/>
      <c r="O600" s="11"/>
      <c r="P600" s="11"/>
      <c r="Q600" s="11"/>
    </row>
    <row r="601" spans="14:17" ht="15.75" customHeight="1" x14ac:dyDescent="0.25">
      <c r="N601" s="11"/>
      <c r="O601" s="11"/>
      <c r="P601" s="11"/>
      <c r="Q601" s="11"/>
    </row>
    <row r="602" spans="14:17" ht="15.75" customHeight="1" x14ac:dyDescent="0.25">
      <c r="N602" s="11"/>
      <c r="O602" s="11"/>
      <c r="P602" s="11"/>
      <c r="Q602" s="11"/>
    </row>
    <row r="603" spans="14:17" ht="15.75" customHeight="1" x14ac:dyDescent="0.25">
      <c r="N603" s="11"/>
      <c r="O603" s="11"/>
      <c r="P603" s="11"/>
      <c r="Q603" s="11"/>
    </row>
    <row r="604" spans="14:17" ht="15.75" customHeight="1" x14ac:dyDescent="0.25">
      <c r="N604" s="11"/>
      <c r="O604" s="11"/>
      <c r="P604" s="11"/>
      <c r="Q604" s="11"/>
    </row>
    <row r="605" spans="14:17" ht="15.75" customHeight="1" x14ac:dyDescent="0.25">
      <c r="N605" s="11"/>
      <c r="O605" s="11"/>
      <c r="P605" s="11"/>
      <c r="Q605" s="11"/>
    </row>
    <row r="606" spans="14:17" ht="15.75" customHeight="1" x14ac:dyDescent="0.25">
      <c r="N606" s="11"/>
      <c r="O606" s="11"/>
      <c r="P606" s="11"/>
      <c r="Q606" s="11"/>
    </row>
    <row r="607" spans="14:17" ht="15.75" customHeight="1" x14ac:dyDescent="0.25">
      <c r="N607" s="11"/>
      <c r="O607" s="11"/>
      <c r="P607" s="11"/>
      <c r="Q607" s="11"/>
    </row>
    <row r="608" spans="14:17" ht="15.75" customHeight="1" x14ac:dyDescent="0.25">
      <c r="N608" s="11"/>
      <c r="O608" s="11"/>
      <c r="P608" s="11"/>
      <c r="Q608" s="11"/>
    </row>
    <row r="609" spans="14:17" ht="15.75" customHeight="1" x14ac:dyDescent="0.25">
      <c r="N609" s="11"/>
      <c r="O609" s="11"/>
      <c r="P609" s="11"/>
      <c r="Q609" s="11"/>
    </row>
    <row r="610" spans="14:17" ht="15.75" customHeight="1" x14ac:dyDescent="0.25">
      <c r="N610" s="11"/>
      <c r="O610" s="11"/>
      <c r="P610" s="11"/>
      <c r="Q610" s="11"/>
    </row>
    <row r="611" spans="14:17" ht="15.75" customHeight="1" x14ac:dyDescent="0.25">
      <c r="N611" s="11"/>
      <c r="O611" s="11"/>
      <c r="P611" s="11"/>
      <c r="Q611" s="11"/>
    </row>
    <row r="612" spans="14:17" ht="15.75" customHeight="1" x14ac:dyDescent="0.25">
      <c r="N612" s="11"/>
      <c r="O612" s="11"/>
      <c r="P612" s="11"/>
      <c r="Q612" s="11"/>
    </row>
    <row r="613" spans="14:17" ht="15.75" customHeight="1" x14ac:dyDescent="0.25">
      <c r="N613" s="11"/>
      <c r="O613" s="11"/>
      <c r="P613" s="11"/>
      <c r="Q613" s="11"/>
    </row>
    <row r="614" spans="14:17" ht="15.75" customHeight="1" x14ac:dyDescent="0.25">
      <c r="N614" s="11"/>
      <c r="O614" s="11"/>
      <c r="P614" s="11"/>
      <c r="Q614" s="11"/>
    </row>
    <row r="615" spans="14:17" ht="15.75" customHeight="1" x14ac:dyDescent="0.25">
      <c r="N615" s="11"/>
      <c r="O615" s="11"/>
      <c r="P615" s="11"/>
      <c r="Q615" s="11"/>
    </row>
    <row r="616" spans="14:17" ht="15.75" customHeight="1" x14ac:dyDescent="0.25">
      <c r="N616" s="11"/>
      <c r="O616" s="11"/>
      <c r="P616" s="11"/>
      <c r="Q616" s="11"/>
    </row>
    <row r="617" spans="14:17" ht="15.75" customHeight="1" x14ac:dyDescent="0.25">
      <c r="N617" s="11"/>
      <c r="O617" s="11"/>
      <c r="P617" s="11"/>
      <c r="Q617" s="11"/>
    </row>
    <row r="618" spans="14:17" ht="15.75" customHeight="1" x14ac:dyDescent="0.25">
      <c r="N618" s="11"/>
      <c r="O618" s="11"/>
      <c r="P618" s="11"/>
      <c r="Q618" s="11"/>
    </row>
    <row r="619" spans="14:17" ht="15.75" customHeight="1" x14ac:dyDescent="0.25">
      <c r="N619" s="11"/>
      <c r="O619" s="11"/>
      <c r="P619" s="11"/>
      <c r="Q619" s="11"/>
    </row>
    <row r="620" spans="14:17" ht="15.75" customHeight="1" x14ac:dyDescent="0.25">
      <c r="N620" s="11"/>
      <c r="O620" s="11"/>
      <c r="P620" s="11"/>
      <c r="Q620" s="11"/>
    </row>
    <row r="621" spans="14:17" ht="15.75" customHeight="1" x14ac:dyDescent="0.25">
      <c r="N621" s="11"/>
      <c r="O621" s="11"/>
      <c r="P621" s="11"/>
      <c r="Q621" s="11"/>
    </row>
    <row r="622" spans="14:17" ht="15.75" customHeight="1" x14ac:dyDescent="0.25">
      <c r="N622" s="11"/>
      <c r="O622" s="11"/>
      <c r="P622" s="11"/>
      <c r="Q622" s="11"/>
    </row>
    <row r="623" spans="14:17" ht="15.75" customHeight="1" x14ac:dyDescent="0.25">
      <c r="N623" s="11"/>
      <c r="O623" s="11"/>
      <c r="P623" s="11"/>
      <c r="Q623" s="11"/>
    </row>
    <row r="624" spans="14:17" ht="15.75" customHeight="1" x14ac:dyDescent="0.25">
      <c r="N624" s="11"/>
      <c r="O624" s="11"/>
      <c r="P624" s="11"/>
      <c r="Q624" s="11"/>
    </row>
    <row r="625" spans="14:17" ht="15.75" customHeight="1" x14ac:dyDescent="0.25">
      <c r="N625" s="11"/>
      <c r="O625" s="11"/>
      <c r="P625" s="11"/>
      <c r="Q625" s="11"/>
    </row>
    <row r="626" spans="14:17" ht="15.75" customHeight="1" x14ac:dyDescent="0.25">
      <c r="N626" s="11"/>
      <c r="O626" s="11"/>
      <c r="P626" s="11"/>
      <c r="Q626" s="11"/>
    </row>
    <row r="627" spans="14:17" ht="15.75" customHeight="1" x14ac:dyDescent="0.25">
      <c r="N627" s="11"/>
      <c r="O627" s="11"/>
      <c r="P627" s="11"/>
      <c r="Q627" s="11"/>
    </row>
    <row r="628" spans="14:17" ht="15.75" customHeight="1" x14ac:dyDescent="0.25">
      <c r="N628" s="11"/>
      <c r="O628" s="11"/>
      <c r="P628" s="11"/>
      <c r="Q628" s="11"/>
    </row>
    <row r="629" spans="14:17" ht="15.75" customHeight="1" x14ac:dyDescent="0.25">
      <c r="N629" s="11"/>
      <c r="O629" s="11"/>
      <c r="P629" s="11"/>
      <c r="Q629" s="11"/>
    </row>
    <row r="630" spans="14:17" ht="15.75" customHeight="1" x14ac:dyDescent="0.25">
      <c r="N630" s="11"/>
      <c r="O630" s="11"/>
      <c r="P630" s="11"/>
      <c r="Q630" s="11"/>
    </row>
    <row r="631" spans="14:17" ht="15.75" customHeight="1" x14ac:dyDescent="0.25">
      <c r="N631" s="11"/>
      <c r="O631" s="11"/>
      <c r="P631" s="11"/>
      <c r="Q631" s="11"/>
    </row>
    <row r="632" spans="14:17" ht="15.75" customHeight="1" x14ac:dyDescent="0.25">
      <c r="N632" s="11"/>
      <c r="O632" s="11"/>
      <c r="P632" s="11"/>
      <c r="Q632" s="11"/>
    </row>
    <row r="633" spans="14:17" ht="15.75" customHeight="1" x14ac:dyDescent="0.25">
      <c r="N633" s="11"/>
      <c r="O633" s="11"/>
      <c r="P633" s="11"/>
      <c r="Q633" s="11"/>
    </row>
    <row r="634" spans="14:17" ht="15.75" customHeight="1" x14ac:dyDescent="0.25">
      <c r="N634" s="11"/>
      <c r="O634" s="11"/>
      <c r="P634" s="11"/>
      <c r="Q634" s="11"/>
    </row>
    <row r="635" spans="14:17" ht="15.75" customHeight="1" x14ac:dyDescent="0.25">
      <c r="N635" s="11"/>
      <c r="O635" s="11"/>
      <c r="P635" s="11"/>
      <c r="Q635" s="11"/>
    </row>
    <row r="636" spans="14:17" ht="15.75" customHeight="1" x14ac:dyDescent="0.25">
      <c r="N636" s="11"/>
      <c r="O636" s="11"/>
      <c r="P636" s="11"/>
      <c r="Q636" s="11"/>
    </row>
    <row r="637" spans="14:17" ht="15.75" customHeight="1" x14ac:dyDescent="0.25">
      <c r="N637" s="11"/>
      <c r="O637" s="11"/>
      <c r="P637" s="11"/>
      <c r="Q637" s="11"/>
    </row>
    <row r="638" spans="14:17" ht="15.75" customHeight="1" x14ac:dyDescent="0.25">
      <c r="N638" s="11"/>
      <c r="O638" s="11"/>
      <c r="P638" s="11"/>
      <c r="Q638" s="11"/>
    </row>
    <row r="639" spans="14:17" ht="15.75" customHeight="1" x14ac:dyDescent="0.25">
      <c r="N639" s="11"/>
      <c r="O639" s="11"/>
      <c r="P639" s="11"/>
      <c r="Q639" s="11"/>
    </row>
    <row r="640" spans="14:17" ht="15.75" customHeight="1" x14ac:dyDescent="0.25">
      <c r="N640" s="11"/>
      <c r="O640" s="11"/>
      <c r="P640" s="11"/>
      <c r="Q640" s="11"/>
    </row>
    <row r="641" spans="14:17" ht="15.75" customHeight="1" x14ac:dyDescent="0.25">
      <c r="N641" s="11"/>
      <c r="O641" s="11"/>
      <c r="P641" s="11"/>
      <c r="Q641" s="11"/>
    </row>
    <row r="642" spans="14:17" ht="15.75" customHeight="1" x14ac:dyDescent="0.25">
      <c r="N642" s="11"/>
      <c r="O642" s="11"/>
      <c r="P642" s="11"/>
      <c r="Q642" s="11"/>
    </row>
    <row r="643" spans="14:17" ht="15.75" customHeight="1" x14ac:dyDescent="0.25">
      <c r="N643" s="11"/>
      <c r="O643" s="11"/>
      <c r="P643" s="11"/>
      <c r="Q643" s="11"/>
    </row>
    <row r="644" spans="14:17" ht="15.75" customHeight="1" x14ac:dyDescent="0.25">
      <c r="N644" s="11"/>
      <c r="O644" s="11"/>
      <c r="P644" s="11"/>
      <c r="Q644" s="11"/>
    </row>
    <row r="645" spans="14:17" ht="15.75" customHeight="1" x14ac:dyDescent="0.25">
      <c r="N645" s="11"/>
      <c r="O645" s="11"/>
      <c r="P645" s="11"/>
      <c r="Q645" s="11"/>
    </row>
    <row r="646" spans="14:17" ht="15.75" customHeight="1" x14ac:dyDescent="0.25">
      <c r="N646" s="11"/>
      <c r="O646" s="11"/>
      <c r="P646" s="11"/>
      <c r="Q646" s="11"/>
    </row>
    <row r="647" spans="14:17" ht="15.75" customHeight="1" x14ac:dyDescent="0.25">
      <c r="N647" s="11"/>
      <c r="O647" s="11"/>
      <c r="P647" s="11"/>
      <c r="Q647" s="11"/>
    </row>
    <row r="648" spans="14:17" ht="15.75" customHeight="1" x14ac:dyDescent="0.25">
      <c r="N648" s="11"/>
      <c r="O648" s="11"/>
      <c r="P648" s="11"/>
      <c r="Q648" s="11"/>
    </row>
    <row r="649" spans="14:17" ht="15.75" customHeight="1" x14ac:dyDescent="0.25">
      <c r="N649" s="11"/>
      <c r="O649" s="11"/>
      <c r="P649" s="11"/>
      <c r="Q649" s="11"/>
    </row>
    <row r="650" spans="14:17" ht="15.75" customHeight="1" x14ac:dyDescent="0.25">
      <c r="N650" s="11"/>
      <c r="O650" s="11"/>
      <c r="P650" s="11"/>
      <c r="Q650" s="11"/>
    </row>
    <row r="651" spans="14:17" ht="15.75" customHeight="1" x14ac:dyDescent="0.25">
      <c r="N651" s="11"/>
      <c r="O651" s="11"/>
      <c r="P651" s="11"/>
      <c r="Q651" s="11"/>
    </row>
    <row r="652" spans="14:17" ht="15.75" customHeight="1" x14ac:dyDescent="0.25">
      <c r="N652" s="11"/>
      <c r="O652" s="11"/>
      <c r="P652" s="11"/>
      <c r="Q652" s="11"/>
    </row>
    <row r="653" spans="14:17" ht="15.75" customHeight="1" x14ac:dyDescent="0.25">
      <c r="N653" s="11"/>
      <c r="O653" s="11"/>
      <c r="P653" s="11"/>
      <c r="Q653" s="11"/>
    </row>
    <row r="654" spans="14:17" ht="15.75" customHeight="1" x14ac:dyDescent="0.25">
      <c r="N654" s="11"/>
      <c r="O654" s="11"/>
      <c r="P654" s="11"/>
      <c r="Q654" s="11"/>
    </row>
    <row r="655" spans="14:17" ht="15.75" customHeight="1" x14ac:dyDescent="0.25">
      <c r="N655" s="11"/>
      <c r="O655" s="11"/>
      <c r="P655" s="11"/>
      <c r="Q655" s="11"/>
    </row>
    <row r="656" spans="14:17" ht="15.75" customHeight="1" x14ac:dyDescent="0.25">
      <c r="N656" s="11"/>
      <c r="O656" s="11"/>
      <c r="P656" s="11"/>
      <c r="Q656" s="11"/>
    </row>
    <row r="657" spans="14:17" ht="15.75" customHeight="1" x14ac:dyDescent="0.25">
      <c r="N657" s="11"/>
      <c r="O657" s="11"/>
      <c r="P657" s="11"/>
      <c r="Q657" s="11"/>
    </row>
    <row r="658" spans="14:17" ht="15.75" customHeight="1" x14ac:dyDescent="0.25">
      <c r="N658" s="11"/>
      <c r="O658" s="11"/>
      <c r="P658" s="11"/>
      <c r="Q658" s="11"/>
    </row>
    <row r="659" spans="14:17" ht="15.75" customHeight="1" x14ac:dyDescent="0.25">
      <c r="N659" s="11"/>
      <c r="O659" s="11"/>
      <c r="P659" s="11"/>
      <c r="Q659" s="11"/>
    </row>
    <row r="660" spans="14:17" ht="15.75" customHeight="1" x14ac:dyDescent="0.25">
      <c r="N660" s="11"/>
      <c r="O660" s="11"/>
      <c r="P660" s="11"/>
      <c r="Q660" s="11"/>
    </row>
    <row r="661" spans="14:17" ht="15.75" customHeight="1" x14ac:dyDescent="0.25">
      <c r="N661" s="11"/>
      <c r="O661" s="11"/>
      <c r="P661" s="11"/>
      <c r="Q661" s="11"/>
    </row>
    <row r="662" spans="14:17" ht="15.75" customHeight="1" x14ac:dyDescent="0.25">
      <c r="N662" s="11"/>
      <c r="O662" s="11"/>
      <c r="P662" s="11"/>
      <c r="Q662" s="11"/>
    </row>
    <row r="663" spans="14:17" ht="15.75" customHeight="1" x14ac:dyDescent="0.25">
      <c r="N663" s="11"/>
      <c r="O663" s="11"/>
      <c r="P663" s="11"/>
      <c r="Q663" s="11"/>
    </row>
    <row r="664" spans="14:17" ht="15.75" customHeight="1" x14ac:dyDescent="0.25">
      <c r="N664" s="11"/>
      <c r="O664" s="11"/>
      <c r="P664" s="11"/>
      <c r="Q664" s="11"/>
    </row>
    <row r="665" spans="14:17" ht="15.75" customHeight="1" x14ac:dyDescent="0.25">
      <c r="N665" s="11"/>
      <c r="O665" s="11"/>
      <c r="P665" s="11"/>
      <c r="Q665" s="11"/>
    </row>
    <row r="666" spans="14:17" ht="15.75" customHeight="1" x14ac:dyDescent="0.25">
      <c r="N666" s="11"/>
      <c r="O666" s="11"/>
      <c r="P666" s="11"/>
      <c r="Q666" s="11"/>
    </row>
    <row r="667" spans="14:17" ht="15.75" customHeight="1" x14ac:dyDescent="0.25">
      <c r="N667" s="11"/>
      <c r="O667" s="11"/>
      <c r="P667" s="11"/>
      <c r="Q667" s="11"/>
    </row>
    <row r="668" spans="14:17" ht="15.75" customHeight="1" x14ac:dyDescent="0.25">
      <c r="N668" s="11"/>
      <c r="O668" s="11"/>
      <c r="P668" s="11"/>
      <c r="Q668" s="11"/>
    </row>
    <row r="669" spans="14:17" ht="15.75" customHeight="1" x14ac:dyDescent="0.25">
      <c r="N669" s="11"/>
      <c r="O669" s="11"/>
      <c r="P669" s="11"/>
      <c r="Q669" s="11"/>
    </row>
    <row r="670" spans="14:17" ht="15.75" customHeight="1" x14ac:dyDescent="0.25">
      <c r="N670" s="11"/>
      <c r="O670" s="11"/>
      <c r="P670" s="11"/>
      <c r="Q670" s="11"/>
    </row>
    <row r="671" spans="14:17" ht="15.75" customHeight="1" x14ac:dyDescent="0.25">
      <c r="N671" s="11"/>
      <c r="O671" s="11"/>
      <c r="P671" s="11"/>
      <c r="Q671" s="11"/>
    </row>
    <row r="672" spans="14:17" ht="15.75" customHeight="1" x14ac:dyDescent="0.25">
      <c r="N672" s="11"/>
      <c r="O672" s="11"/>
      <c r="P672" s="11"/>
      <c r="Q672" s="11"/>
    </row>
    <row r="673" spans="14:17" ht="15.75" customHeight="1" x14ac:dyDescent="0.25">
      <c r="N673" s="11"/>
      <c r="O673" s="11"/>
      <c r="P673" s="11"/>
      <c r="Q673" s="11"/>
    </row>
    <row r="674" spans="14:17" ht="15.75" customHeight="1" x14ac:dyDescent="0.25">
      <c r="N674" s="11"/>
      <c r="O674" s="11"/>
      <c r="P674" s="11"/>
      <c r="Q674" s="11"/>
    </row>
    <row r="675" spans="14:17" ht="15.75" customHeight="1" x14ac:dyDescent="0.25">
      <c r="N675" s="11"/>
      <c r="O675" s="11"/>
      <c r="P675" s="11"/>
      <c r="Q675" s="11"/>
    </row>
    <row r="676" spans="14:17" ht="15.75" customHeight="1" x14ac:dyDescent="0.25">
      <c r="N676" s="11"/>
      <c r="O676" s="11"/>
      <c r="P676" s="11"/>
      <c r="Q676" s="11"/>
    </row>
    <row r="677" spans="14:17" ht="15.75" customHeight="1" x14ac:dyDescent="0.25">
      <c r="N677" s="11"/>
      <c r="O677" s="11"/>
      <c r="P677" s="11"/>
      <c r="Q677" s="11"/>
    </row>
    <row r="678" spans="14:17" ht="15.75" customHeight="1" x14ac:dyDescent="0.25">
      <c r="N678" s="11"/>
      <c r="O678" s="11"/>
      <c r="P678" s="11"/>
      <c r="Q678" s="11"/>
    </row>
    <row r="679" spans="14:17" ht="15.75" customHeight="1" x14ac:dyDescent="0.25">
      <c r="N679" s="11"/>
      <c r="O679" s="11"/>
      <c r="P679" s="11"/>
      <c r="Q679" s="11"/>
    </row>
    <row r="680" spans="14:17" ht="15.75" customHeight="1" x14ac:dyDescent="0.25">
      <c r="N680" s="11"/>
      <c r="O680" s="11"/>
      <c r="P680" s="11"/>
      <c r="Q680" s="11"/>
    </row>
    <row r="681" spans="14:17" ht="15.75" customHeight="1" x14ac:dyDescent="0.25">
      <c r="N681" s="11"/>
      <c r="O681" s="11"/>
      <c r="P681" s="11"/>
      <c r="Q681" s="11"/>
    </row>
    <row r="682" spans="14:17" ht="15.75" customHeight="1" x14ac:dyDescent="0.25">
      <c r="N682" s="11"/>
      <c r="O682" s="11"/>
      <c r="P682" s="11"/>
      <c r="Q682" s="11"/>
    </row>
    <row r="683" spans="14:17" ht="15.75" customHeight="1" x14ac:dyDescent="0.25">
      <c r="N683" s="11"/>
      <c r="O683" s="11"/>
      <c r="P683" s="11"/>
      <c r="Q683" s="11"/>
    </row>
    <row r="684" spans="14:17" ht="15.75" customHeight="1" x14ac:dyDescent="0.25">
      <c r="N684" s="11"/>
      <c r="O684" s="11"/>
      <c r="P684" s="11"/>
      <c r="Q684" s="11"/>
    </row>
    <row r="685" spans="14:17" ht="15.75" customHeight="1" x14ac:dyDescent="0.25">
      <c r="N685" s="11"/>
      <c r="O685" s="11"/>
      <c r="P685" s="11"/>
      <c r="Q685" s="11"/>
    </row>
    <row r="686" spans="14:17" ht="15.75" customHeight="1" x14ac:dyDescent="0.25">
      <c r="N686" s="11"/>
      <c r="O686" s="11"/>
      <c r="P686" s="11"/>
      <c r="Q686" s="11"/>
    </row>
    <row r="687" spans="14:17" ht="15.75" customHeight="1" x14ac:dyDescent="0.25">
      <c r="N687" s="11"/>
      <c r="O687" s="11"/>
      <c r="P687" s="11"/>
      <c r="Q687" s="11"/>
    </row>
    <row r="688" spans="14:17" ht="15.75" customHeight="1" x14ac:dyDescent="0.25">
      <c r="N688" s="11"/>
      <c r="O688" s="11"/>
      <c r="P688" s="11"/>
      <c r="Q688" s="11"/>
    </row>
    <row r="689" spans="14:17" ht="15.75" customHeight="1" x14ac:dyDescent="0.25">
      <c r="N689" s="11"/>
      <c r="O689" s="11"/>
      <c r="P689" s="11"/>
      <c r="Q689" s="11"/>
    </row>
    <row r="690" spans="14:17" ht="15.75" customHeight="1" x14ac:dyDescent="0.25">
      <c r="N690" s="11"/>
      <c r="O690" s="11"/>
      <c r="P690" s="11"/>
      <c r="Q690" s="11"/>
    </row>
    <row r="691" spans="14:17" ht="15.75" customHeight="1" x14ac:dyDescent="0.25">
      <c r="N691" s="11"/>
      <c r="O691" s="11"/>
      <c r="P691" s="11"/>
      <c r="Q691" s="11"/>
    </row>
    <row r="692" spans="14:17" ht="15.75" customHeight="1" x14ac:dyDescent="0.25">
      <c r="N692" s="11"/>
      <c r="O692" s="11"/>
      <c r="P692" s="11"/>
      <c r="Q692" s="11"/>
    </row>
    <row r="693" spans="14:17" ht="15.75" customHeight="1" x14ac:dyDescent="0.25">
      <c r="N693" s="11"/>
      <c r="O693" s="11"/>
      <c r="P693" s="11"/>
      <c r="Q693" s="11"/>
    </row>
    <row r="694" spans="14:17" ht="15.75" customHeight="1" x14ac:dyDescent="0.25">
      <c r="N694" s="11"/>
      <c r="O694" s="11"/>
      <c r="P694" s="11"/>
      <c r="Q694" s="11"/>
    </row>
    <row r="695" spans="14:17" ht="15.75" customHeight="1" x14ac:dyDescent="0.25">
      <c r="N695" s="11"/>
      <c r="O695" s="11"/>
      <c r="P695" s="11"/>
      <c r="Q695" s="11"/>
    </row>
    <row r="696" spans="14:17" ht="15.75" customHeight="1" x14ac:dyDescent="0.25">
      <c r="N696" s="11"/>
      <c r="O696" s="11"/>
      <c r="P696" s="11"/>
      <c r="Q696" s="11"/>
    </row>
    <row r="697" spans="14:17" ht="15.75" customHeight="1" x14ac:dyDescent="0.25">
      <c r="N697" s="11"/>
      <c r="O697" s="11"/>
      <c r="P697" s="11"/>
      <c r="Q697" s="11"/>
    </row>
    <row r="698" spans="14:17" ht="15.75" customHeight="1" x14ac:dyDescent="0.25">
      <c r="N698" s="11"/>
      <c r="O698" s="11"/>
      <c r="P698" s="11"/>
      <c r="Q698" s="11"/>
    </row>
    <row r="699" spans="14:17" ht="15.75" customHeight="1" x14ac:dyDescent="0.25">
      <c r="N699" s="11"/>
      <c r="O699" s="11"/>
      <c r="P699" s="11"/>
      <c r="Q699" s="11"/>
    </row>
    <row r="700" spans="14:17" ht="15.75" customHeight="1" x14ac:dyDescent="0.25">
      <c r="N700" s="11"/>
      <c r="O700" s="11"/>
      <c r="P700" s="11"/>
      <c r="Q700" s="11"/>
    </row>
    <row r="701" spans="14:17" ht="15.75" customHeight="1" x14ac:dyDescent="0.25">
      <c r="N701" s="11"/>
      <c r="O701" s="11"/>
      <c r="P701" s="11"/>
      <c r="Q701" s="11"/>
    </row>
    <row r="702" spans="14:17" ht="15.75" customHeight="1" x14ac:dyDescent="0.25">
      <c r="N702" s="11"/>
      <c r="O702" s="11"/>
      <c r="P702" s="11"/>
      <c r="Q702" s="11"/>
    </row>
    <row r="703" spans="14:17" ht="15.75" customHeight="1" x14ac:dyDescent="0.25">
      <c r="N703" s="11"/>
      <c r="O703" s="11"/>
      <c r="P703" s="11"/>
      <c r="Q703" s="11"/>
    </row>
    <row r="704" spans="14:17" ht="15.75" customHeight="1" x14ac:dyDescent="0.25">
      <c r="N704" s="11"/>
      <c r="O704" s="11"/>
      <c r="P704" s="11"/>
      <c r="Q704" s="11"/>
    </row>
    <row r="705" spans="14:17" ht="15.75" customHeight="1" x14ac:dyDescent="0.25">
      <c r="N705" s="11"/>
      <c r="O705" s="11"/>
      <c r="P705" s="11"/>
      <c r="Q705" s="11"/>
    </row>
    <row r="706" spans="14:17" ht="15.75" customHeight="1" x14ac:dyDescent="0.25">
      <c r="N706" s="11"/>
      <c r="O706" s="11"/>
      <c r="P706" s="11"/>
      <c r="Q706" s="11"/>
    </row>
    <row r="707" spans="14:17" ht="15.75" customHeight="1" x14ac:dyDescent="0.25">
      <c r="N707" s="11"/>
      <c r="O707" s="11"/>
      <c r="P707" s="11"/>
      <c r="Q707" s="11"/>
    </row>
    <row r="708" spans="14:17" ht="15.75" customHeight="1" x14ac:dyDescent="0.25">
      <c r="N708" s="11"/>
      <c r="O708" s="11"/>
      <c r="P708" s="11"/>
      <c r="Q708" s="11"/>
    </row>
    <row r="709" spans="14:17" ht="15.75" customHeight="1" x14ac:dyDescent="0.25">
      <c r="N709" s="11"/>
      <c r="O709" s="11"/>
      <c r="P709" s="11"/>
      <c r="Q709" s="11"/>
    </row>
    <row r="710" spans="14:17" ht="15.75" customHeight="1" x14ac:dyDescent="0.25">
      <c r="N710" s="11"/>
      <c r="O710" s="11"/>
      <c r="P710" s="11"/>
      <c r="Q710" s="11"/>
    </row>
    <row r="711" spans="14:17" ht="15.75" customHeight="1" x14ac:dyDescent="0.25">
      <c r="N711" s="11"/>
      <c r="O711" s="11"/>
      <c r="P711" s="11"/>
      <c r="Q711" s="11"/>
    </row>
    <row r="712" spans="14:17" ht="15.75" customHeight="1" x14ac:dyDescent="0.25">
      <c r="N712" s="11"/>
      <c r="O712" s="11"/>
      <c r="P712" s="11"/>
      <c r="Q712" s="11"/>
    </row>
    <row r="713" spans="14:17" ht="15.75" customHeight="1" x14ac:dyDescent="0.25">
      <c r="N713" s="11"/>
      <c r="O713" s="11"/>
      <c r="P713" s="11"/>
      <c r="Q713" s="11"/>
    </row>
    <row r="714" spans="14:17" ht="15.75" customHeight="1" x14ac:dyDescent="0.25">
      <c r="N714" s="11"/>
      <c r="O714" s="11"/>
      <c r="P714" s="11"/>
      <c r="Q714" s="11"/>
    </row>
    <row r="715" spans="14:17" ht="15.75" customHeight="1" x14ac:dyDescent="0.25">
      <c r="N715" s="11"/>
      <c r="O715" s="11"/>
      <c r="P715" s="11"/>
      <c r="Q715" s="11"/>
    </row>
    <row r="716" spans="14:17" ht="15.75" customHeight="1" x14ac:dyDescent="0.25">
      <c r="N716" s="11"/>
      <c r="O716" s="11"/>
      <c r="P716" s="11"/>
      <c r="Q716" s="11"/>
    </row>
    <row r="717" spans="14:17" ht="15.75" customHeight="1" x14ac:dyDescent="0.25">
      <c r="N717" s="11"/>
      <c r="O717" s="11"/>
      <c r="P717" s="11"/>
      <c r="Q717" s="11"/>
    </row>
    <row r="718" spans="14:17" ht="15.75" customHeight="1" x14ac:dyDescent="0.25">
      <c r="N718" s="11"/>
      <c r="O718" s="11"/>
      <c r="P718" s="11"/>
      <c r="Q718" s="11"/>
    </row>
    <row r="719" spans="14:17" ht="15.75" customHeight="1" x14ac:dyDescent="0.25">
      <c r="N719" s="11"/>
      <c r="O719" s="11"/>
      <c r="P719" s="11"/>
      <c r="Q719" s="11"/>
    </row>
    <row r="720" spans="14:17" ht="15.75" customHeight="1" x14ac:dyDescent="0.25">
      <c r="N720" s="11"/>
      <c r="O720" s="11"/>
      <c r="P720" s="11"/>
      <c r="Q720" s="11"/>
    </row>
    <row r="721" spans="14:17" ht="15.75" customHeight="1" x14ac:dyDescent="0.25">
      <c r="N721" s="11"/>
      <c r="O721" s="11"/>
      <c r="P721" s="11"/>
      <c r="Q721" s="11"/>
    </row>
    <row r="722" spans="14:17" ht="15.75" customHeight="1" x14ac:dyDescent="0.25">
      <c r="N722" s="11"/>
      <c r="O722" s="11"/>
      <c r="P722" s="11"/>
      <c r="Q722" s="11"/>
    </row>
    <row r="723" spans="14:17" ht="15.75" customHeight="1" x14ac:dyDescent="0.25">
      <c r="N723" s="11"/>
      <c r="O723" s="11"/>
      <c r="P723" s="11"/>
      <c r="Q723" s="11"/>
    </row>
    <row r="724" spans="14:17" ht="15.75" customHeight="1" x14ac:dyDescent="0.25">
      <c r="N724" s="11"/>
      <c r="O724" s="11"/>
      <c r="P724" s="11"/>
      <c r="Q724" s="11"/>
    </row>
    <row r="725" spans="14:17" ht="15.75" customHeight="1" x14ac:dyDescent="0.25">
      <c r="N725" s="11"/>
      <c r="O725" s="11"/>
      <c r="P725" s="11"/>
      <c r="Q725" s="11"/>
    </row>
    <row r="726" spans="14:17" ht="15.75" customHeight="1" x14ac:dyDescent="0.25">
      <c r="N726" s="11"/>
      <c r="O726" s="11"/>
      <c r="P726" s="11"/>
      <c r="Q726" s="11"/>
    </row>
    <row r="727" spans="14:17" ht="15.75" customHeight="1" x14ac:dyDescent="0.25">
      <c r="N727" s="11"/>
      <c r="O727" s="11"/>
      <c r="P727" s="11"/>
      <c r="Q727" s="11"/>
    </row>
    <row r="728" spans="14:17" ht="15.75" customHeight="1" x14ac:dyDescent="0.25">
      <c r="N728" s="11"/>
      <c r="O728" s="11"/>
      <c r="P728" s="11"/>
      <c r="Q728" s="11"/>
    </row>
    <row r="729" spans="14:17" ht="15.75" customHeight="1" x14ac:dyDescent="0.25">
      <c r="N729" s="11"/>
      <c r="O729" s="11"/>
      <c r="P729" s="11"/>
      <c r="Q729" s="11"/>
    </row>
    <row r="730" spans="14:17" ht="15.75" customHeight="1" x14ac:dyDescent="0.25">
      <c r="N730" s="11"/>
      <c r="O730" s="11"/>
      <c r="P730" s="11"/>
      <c r="Q730" s="11"/>
    </row>
    <row r="731" spans="14:17" ht="15.75" customHeight="1" x14ac:dyDescent="0.25">
      <c r="N731" s="11"/>
      <c r="O731" s="11"/>
      <c r="P731" s="11"/>
      <c r="Q731" s="11"/>
    </row>
    <row r="732" spans="14:17" ht="15.75" customHeight="1" x14ac:dyDescent="0.25">
      <c r="N732" s="11"/>
      <c r="O732" s="11"/>
      <c r="P732" s="11"/>
      <c r="Q732" s="11"/>
    </row>
    <row r="733" spans="14:17" ht="15.75" customHeight="1" x14ac:dyDescent="0.25">
      <c r="N733" s="11"/>
      <c r="O733" s="11"/>
      <c r="P733" s="11"/>
      <c r="Q733" s="11"/>
    </row>
    <row r="734" spans="14:17" ht="15.75" customHeight="1" x14ac:dyDescent="0.25">
      <c r="N734" s="11"/>
      <c r="O734" s="11"/>
      <c r="P734" s="11"/>
      <c r="Q734" s="11"/>
    </row>
    <row r="735" spans="14:17" ht="15.75" customHeight="1" x14ac:dyDescent="0.25">
      <c r="N735" s="11"/>
      <c r="O735" s="11"/>
      <c r="P735" s="11"/>
      <c r="Q735" s="11"/>
    </row>
    <row r="736" spans="14:17" ht="15.75" customHeight="1" x14ac:dyDescent="0.25">
      <c r="N736" s="11"/>
      <c r="O736" s="11"/>
      <c r="P736" s="11"/>
      <c r="Q736" s="11"/>
    </row>
    <row r="737" spans="14:17" ht="15.75" customHeight="1" x14ac:dyDescent="0.25">
      <c r="N737" s="11"/>
      <c r="O737" s="11"/>
      <c r="P737" s="11"/>
      <c r="Q737" s="11"/>
    </row>
    <row r="738" spans="14:17" ht="15.75" customHeight="1" x14ac:dyDescent="0.25">
      <c r="N738" s="11"/>
      <c r="O738" s="11"/>
      <c r="P738" s="11"/>
      <c r="Q738" s="11"/>
    </row>
    <row r="739" spans="14:17" ht="15.75" customHeight="1" x14ac:dyDescent="0.25">
      <c r="N739" s="11"/>
      <c r="O739" s="11"/>
      <c r="P739" s="11"/>
      <c r="Q739" s="11"/>
    </row>
    <row r="740" spans="14:17" ht="15.75" customHeight="1" x14ac:dyDescent="0.25">
      <c r="N740" s="11"/>
      <c r="O740" s="11"/>
      <c r="P740" s="11"/>
      <c r="Q740" s="11"/>
    </row>
    <row r="741" spans="14:17" ht="15.75" customHeight="1" x14ac:dyDescent="0.25">
      <c r="N741" s="11"/>
      <c r="O741" s="11"/>
      <c r="P741" s="11"/>
      <c r="Q741" s="11"/>
    </row>
    <row r="742" spans="14:17" ht="15.75" customHeight="1" x14ac:dyDescent="0.25">
      <c r="N742" s="11"/>
      <c r="O742" s="11"/>
      <c r="P742" s="11"/>
      <c r="Q742" s="11"/>
    </row>
    <row r="743" spans="14:17" ht="15.75" customHeight="1" x14ac:dyDescent="0.25">
      <c r="N743" s="11"/>
      <c r="O743" s="11"/>
      <c r="P743" s="11"/>
      <c r="Q743" s="11"/>
    </row>
    <row r="744" spans="14:17" ht="15.75" customHeight="1" x14ac:dyDescent="0.25">
      <c r="N744" s="11"/>
      <c r="O744" s="11"/>
      <c r="P744" s="11"/>
      <c r="Q744" s="11"/>
    </row>
    <row r="745" spans="14:17" ht="15.75" customHeight="1" x14ac:dyDescent="0.25">
      <c r="N745" s="11"/>
      <c r="O745" s="11"/>
      <c r="P745" s="11"/>
      <c r="Q745" s="11"/>
    </row>
    <row r="746" spans="14:17" ht="15.75" customHeight="1" x14ac:dyDescent="0.25">
      <c r="N746" s="11"/>
      <c r="O746" s="11"/>
      <c r="P746" s="11"/>
      <c r="Q746" s="11"/>
    </row>
    <row r="747" spans="14:17" ht="15.75" customHeight="1" x14ac:dyDescent="0.25">
      <c r="N747" s="11"/>
      <c r="O747" s="11"/>
      <c r="P747" s="11"/>
      <c r="Q747" s="11"/>
    </row>
    <row r="748" spans="14:17" ht="15.75" customHeight="1" x14ac:dyDescent="0.25">
      <c r="N748" s="11"/>
      <c r="O748" s="11"/>
      <c r="P748" s="11"/>
      <c r="Q748" s="11"/>
    </row>
    <row r="749" spans="14:17" ht="15.75" customHeight="1" x14ac:dyDescent="0.25">
      <c r="N749" s="11"/>
      <c r="O749" s="11"/>
      <c r="P749" s="11"/>
      <c r="Q749" s="11"/>
    </row>
    <row r="750" spans="14:17" ht="15.75" customHeight="1" x14ac:dyDescent="0.25">
      <c r="N750" s="11"/>
      <c r="O750" s="11"/>
      <c r="P750" s="11"/>
      <c r="Q750" s="11"/>
    </row>
    <row r="751" spans="14:17" ht="15.75" customHeight="1" x14ac:dyDescent="0.25">
      <c r="N751" s="11"/>
      <c r="O751" s="11"/>
      <c r="P751" s="11"/>
      <c r="Q751" s="11"/>
    </row>
    <row r="752" spans="14:17" ht="15.75" customHeight="1" x14ac:dyDescent="0.25">
      <c r="N752" s="11"/>
      <c r="O752" s="11"/>
      <c r="P752" s="11"/>
      <c r="Q752" s="11"/>
    </row>
    <row r="753" spans="14:17" ht="15.75" customHeight="1" x14ac:dyDescent="0.25">
      <c r="N753" s="11"/>
      <c r="O753" s="11"/>
      <c r="P753" s="11"/>
      <c r="Q753" s="11"/>
    </row>
    <row r="754" spans="14:17" ht="15.75" customHeight="1" x14ac:dyDescent="0.25">
      <c r="N754" s="11"/>
      <c r="O754" s="11"/>
      <c r="P754" s="11"/>
      <c r="Q754" s="11"/>
    </row>
    <row r="755" spans="14:17" ht="15.75" customHeight="1" x14ac:dyDescent="0.25">
      <c r="N755" s="11"/>
      <c r="O755" s="11"/>
      <c r="P755" s="11"/>
      <c r="Q755" s="11"/>
    </row>
    <row r="756" spans="14:17" ht="15.75" customHeight="1" x14ac:dyDescent="0.25">
      <c r="N756" s="11"/>
      <c r="O756" s="11"/>
      <c r="P756" s="11"/>
      <c r="Q756" s="11"/>
    </row>
    <row r="757" spans="14:17" ht="15.75" customHeight="1" x14ac:dyDescent="0.25">
      <c r="N757" s="11"/>
      <c r="O757" s="11"/>
      <c r="P757" s="11"/>
      <c r="Q757" s="11"/>
    </row>
    <row r="758" spans="14:17" ht="15.75" customHeight="1" x14ac:dyDescent="0.25">
      <c r="N758" s="11"/>
      <c r="O758" s="11"/>
      <c r="P758" s="11"/>
      <c r="Q758" s="11"/>
    </row>
    <row r="759" spans="14:17" ht="15.75" customHeight="1" x14ac:dyDescent="0.25">
      <c r="N759" s="11"/>
      <c r="O759" s="11"/>
      <c r="P759" s="11"/>
      <c r="Q759" s="11"/>
    </row>
    <row r="760" spans="14:17" ht="15.75" customHeight="1" x14ac:dyDescent="0.25">
      <c r="N760" s="11"/>
      <c r="O760" s="11"/>
      <c r="P760" s="11"/>
      <c r="Q760" s="11"/>
    </row>
    <row r="761" spans="14:17" ht="15.75" customHeight="1" x14ac:dyDescent="0.25">
      <c r="N761" s="11"/>
      <c r="O761" s="11"/>
      <c r="P761" s="11"/>
      <c r="Q761" s="11"/>
    </row>
    <row r="762" spans="14:17" ht="15.75" customHeight="1" x14ac:dyDescent="0.25">
      <c r="N762" s="11"/>
      <c r="O762" s="11"/>
      <c r="P762" s="11"/>
      <c r="Q762" s="11"/>
    </row>
    <row r="763" spans="14:17" ht="15.75" customHeight="1" x14ac:dyDescent="0.25">
      <c r="N763" s="11"/>
      <c r="O763" s="11"/>
      <c r="P763" s="11"/>
      <c r="Q763" s="11"/>
    </row>
    <row r="764" spans="14:17" ht="15.75" customHeight="1" x14ac:dyDescent="0.25">
      <c r="N764" s="11"/>
      <c r="O764" s="11"/>
      <c r="P764" s="11"/>
      <c r="Q764" s="11"/>
    </row>
    <row r="765" spans="14:17" ht="15.75" customHeight="1" x14ac:dyDescent="0.25">
      <c r="N765" s="11"/>
      <c r="O765" s="11"/>
      <c r="P765" s="11"/>
      <c r="Q765" s="11"/>
    </row>
    <row r="766" spans="14:17" ht="15.75" customHeight="1" x14ac:dyDescent="0.25">
      <c r="N766" s="11"/>
      <c r="O766" s="11"/>
      <c r="P766" s="11"/>
      <c r="Q766" s="11"/>
    </row>
    <row r="767" spans="14:17" ht="15.75" customHeight="1" x14ac:dyDescent="0.25">
      <c r="N767" s="11"/>
      <c r="O767" s="11"/>
      <c r="P767" s="11"/>
      <c r="Q767" s="11"/>
    </row>
    <row r="768" spans="14:17" ht="15.75" customHeight="1" x14ac:dyDescent="0.25">
      <c r="N768" s="11"/>
      <c r="O768" s="11"/>
      <c r="P768" s="11"/>
      <c r="Q768" s="11"/>
    </row>
    <row r="769" spans="14:17" ht="15.75" customHeight="1" x14ac:dyDescent="0.25">
      <c r="N769" s="11"/>
      <c r="O769" s="11"/>
      <c r="P769" s="11"/>
      <c r="Q769" s="11"/>
    </row>
    <row r="770" spans="14:17" ht="15.75" customHeight="1" x14ac:dyDescent="0.25">
      <c r="N770" s="11"/>
      <c r="O770" s="11"/>
      <c r="P770" s="11"/>
      <c r="Q770" s="11"/>
    </row>
    <row r="771" spans="14:17" ht="15.75" customHeight="1" x14ac:dyDescent="0.25">
      <c r="N771" s="11"/>
      <c r="O771" s="11"/>
      <c r="P771" s="11"/>
      <c r="Q771" s="11"/>
    </row>
    <row r="772" spans="14:17" ht="15.75" customHeight="1" x14ac:dyDescent="0.25">
      <c r="N772" s="11"/>
      <c r="O772" s="11"/>
      <c r="P772" s="11"/>
      <c r="Q772" s="11"/>
    </row>
    <row r="773" spans="14:17" ht="15.75" customHeight="1" x14ac:dyDescent="0.25">
      <c r="N773" s="11"/>
      <c r="O773" s="11"/>
      <c r="P773" s="11"/>
      <c r="Q773" s="11"/>
    </row>
    <row r="774" spans="14:17" ht="15.75" customHeight="1" x14ac:dyDescent="0.25">
      <c r="N774" s="11"/>
      <c r="O774" s="11"/>
      <c r="P774" s="11"/>
      <c r="Q774" s="11"/>
    </row>
    <row r="775" spans="14:17" ht="15.75" customHeight="1" x14ac:dyDescent="0.25">
      <c r="N775" s="11"/>
      <c r="O775" s="11"/>
      <c r="P775" s="11"/>
      <c r="Q775" s="11"/>
    </row>
    <row r="776" spans="14:17" ht="15.75" customHeight="1" x14ac:dyDescent="0.25">
      <c r="N776" s="11"/>
      <c r="O776" s="11"/>
      <c r="P776" s="11"/>
      <c r="Q776" s="11"/>
    </row>
    <row r="777" spans="14:17" ht="15.75" customHeight="1" x14ac:dyDescent="0.25">
      <c r="N777" s="11"/>
      <c r="O777" s="11"/>
      <c r="P777" s="11"/>
      <c r="Q777" s="11"/>
    </row>
    <row r="778" spans="14:17" ht="15.75" customHeight="1" x14ac:dyDescent="0.25">
      <c r="N778" s="11"/>
      <c r="O778" s="11"/>
      <c r="P778" s="11"/>
      <c r="Q778" s="11"/>
    </row>
    <row r="779" spans="14:17" ht="15.75" customHeight="1" x14ac:dyDescent="0.25">
      <c r="N779" s="11"/>
      <c r="O779" s="11"/>
      <c r="P779" s="11"/>
      <c r="Q779" s="11"/>
    </row>
    <row r="780" spans="14:17" ht="15.75" customHeight="1" x14ac:dyDescent="0.25">
      <c r="N780" s="11"/>
      <c r="O780" s="11"/>
      <c r="P780" s="11"/>
      <c r="Q780" s="11"/>
    </row>
    <row r="781" spans="14:17" ht="15.75" customHeight="1" x14ac:dyDescent="0.25">
      <c r="N781" s="11"/>
      <c r="O781" s="11"/>
      <c r="P781" s="11"/>
      <c r="Q781" s="11"/>
    </row>
    <row r="782" spans="14:17" ht="15.75" customHeight="1" x14ac:dyDescent="0.25">
      <c r="N782" s="11"/>
      <c r="O782" s="11"/>
      <c r="P782" s="11"/>
      <c r="Q782" s="11"/>
    </row>
    <row r="783" spans="14:17" ht="15.75" customHeight="1" x14ac:dyDescent="0.25">
      <c r="N783" s="11"/>
      <c r="O783" s="11"/>
      <c r="P783" s="11"/>
      <c r="Q783" s="11"/>
    </row>
    <row r="784" spans="14:17" ht="15.75" customHeight="1" x14ac:dyDescent="0.25">
      <c r="N784" s="11"/>
      <c r="O784" s="11"/>
      <c r="P784" s="11"/>
      <c r="Q784" s="11"/>
    </row>
    <row r="785" spans="14:17" ht="15.75" customHeight="1" x14ac:dyDescent="0.25">
      <c r="N785" s="11"/>
      <c r="O785" s="11"/>
      <c r="P785" s="11"/>
      <c r="Q785" s="11"/>
    </row>
    <row r="786" spans="14:17" ht="15.75" customHeight="1" x14ac:dyDescent="0.25">
      <c r="N786" s="11"/>
      <c r="O786" s="11"/>
      <c r="P786" s="11"/>
      <c r="Q786" s="11"/>
    </row>
    <row r="787" spans="14:17" ht="15.75" customHeight="1" x14ac:dyDescent="0.25">
      <c r="N787" s="11"/>
      <c r="O787" s="11"/>
      <c r="P787" s="11"/>
      <c r="Q787" s="11"/>
    </row>
    <row r="788" spans="14:17" ht="15.75" customHeight="1" x14ac:dyDescent="0.25">
      <c r="N788" s="11"/>
      <c r="O788" s="11"/>
      <c r="P788" s="11"/>
      <c r="Q788" s="11"/>
    </row>
    <row r="789" spans="14:17" ht="15.75" customHeight="1" x14ac:dyDescent="0.25">
      <c r="N789" s="11"/>
      <c r="O789" s="11"/>
      <c r="P789" s="11"/>
      <c r="Q789" s="11"/>
    </row>
    <row r="790" spans="14:17" ht="15.75" customHeight="1" x14ac:dyDescent="0.25">
      <c r="N790" s="11"/>
      <c r="O790" s="11"/>
      <c r="P790" s="11"/>
      <c r="Q790" s="11"/>
    </row>
    <row r="791" spans="14:17" ht="15.75" customHeight="1" x14ac:dyDescent="0.25">
      <c r="N791" s="11"/>
      <c r="O791" s="11"/>
      <c r="P791" s="11"/>
      <c r="Q791" s="11"/>
    </row>
    <row r="792" spans="14:17" ht="15.75" customHeight="1" x14ac:dyDescent="0.25">
      <c r="N792" s="11"/>
      <c r="O792" s="11"/>
      <c r="P792" s="11"/>
      <c r="Q792" s="11"/>
    </row>
    <row r="793" spans="14:17" ht="15.75" customHeight="1" x14ac:dyDescent="0.25">
      <c r="N793" s="11"/>
      <c r="O793" s="11"/>
      <c r="P793" s="11"/>
      <c r="Q793" s="11"/>
    </row>
    <row r="794" spans="14:17" ht="15.75" customHeight="1" x14ac:dyDescent="0.25">
      <c r="N794" s="11"/>
      <c r="O794" s="11"/>
      <c r="P794" s="11"/>
      <c r="Q794" s="11"/>
    </row>
    <row r="795" spans="14:17" ht="15.75" customHeight="1" x14ac:dyDescent="0.25">
      <c r="N795" s="11"/>
      <c r="O795" s="11"/>
      <c r="P795" s="11"/>
      <c r="Q795" s="11"/>
    </row>
    <row r="796" spans="14:17" ht="15.75" customHeight="1" x14ac:dyDescent="0.25">
      <c r="N796" s="11"/>
      <c r="O796" s="11"/>
      <c r="P796" s="11"/>
      <c r="Q796" s="11"/>
    </row>
    <row r="797" spans="14:17" ht="15.75" customHeight="1" x14ac:dyDescent="0.25">
      <c r="N797" s="11"/>
      <c r="O797" s="11"/>
      <c r="P797" s="11"/>
      <c r="Q797" s="11"/>
    </row>
    <row r="798" spans="14:17" ht="15.75" customHeight="1" x14ac:dyDescent="0.25">
      <c r="N798" s="11"/>
      <c r="O798" s="11"/>
      <c r="P798" s="11"/>
      <c r="Q798" s="11"/>
    </row>
    <row r="799" spans="14:17" ht="15.75" customHeight="1" x14ac:dyDescent="0.25">
      <c r="N799" s="11"/>
      <c r="O799" s="11"/>
      <c r="P799" s="11"/>
      <c r="Q799" s="11"/>
    </row>
    <row r="800" spans="14:17" ht="15.75" customHeight="1" x14ac:dyDescent="0.25">
      <c r="N800" s="11"/>
      <c r="O800" s="11"/>
      <c r="P800" s="11"/>
      <c r="Q800" s="11"/>
    </row>
    <row r="801" spans="14:17" ht="15.75" customHeight="1" x14ac:dyDescent="0.25">
      <c r="N801" s="11"/>
      <c r="O801" s="11"/>
      <c r="P801" s="11"/>
      <c r="Q801" s="11"/>
    </row>
    <row r="802" spans="14:17" ht="15.75" customHeight="1" x14ac:dyDescent="0.25">
      <c r="N802" s="11"/>
      <c r="O802" s="11"/>
      <c r="P802" s="11"/>
      <c r="Q802" s="11"/>
    </row>
    <row r="803" spans="14:17" ht="15.75" customHeight="1" x14ac:dyDescent="0.25">
      <c r="N803" s="11"/>
      <c r="O803" s="11"/>
      <c r="P803" s="11"/>
      <c r="Q803" s="11"/>
    </row>
    <row r="804" spans="14:17" ht="15.75" customHeight="1" x14ac:dyDescent="0.25">
      <c r="N804" s="11"/>
      <c r="O804" s="11"/>
      <c r="P804" s="11"/>
      <c r="Q804" s="11"/>
    </row>
    <row r="805" spans="14:17" ht="15.75" customHeight="1" x14ac:dyDescent="0.25">
      <c r="N805" s="11"/>
      <c r="O805" s="11"/>
      <c r="P805" s="11"/>
      <c r="Q805" s="11"/>
    </row>
    <row r="806" spans="14:17" ht="15.75" customHeight="1" x14ac:dyDescent="0.25">
      <c r="N806" s="11"/>
      <c r="O806" s="11"/>
      <c r="P806" s="11"/>
      <c r="Q806" s="11"/>
    </row>
    <row r="807" spans="14:17" ht="15.75" customHeight="1" x14ac:dyDescent="0.25">
      <c r="N807" s="11"/>
      <c r="O807" s="11"/>
      <c r="P807" s="11"/>
      <c r="Q807" s="11"/>
    </row>
    <row r="808" spans="14:17" ht="15.75" customHeight="1" x14ac:dyDescent="0.25">
      <c r="N808" s="11"/>
      <c r="O808" s="11"/>
      <c r="P808" s="11"/>
      <c r="Q808" s="11"/>
    </row>
    <row r="809" spans="14:17" ht="15.75" customHeight="1" x14ac:dyDescent="0.25">
      <c r="N809" s="11"/>
      <c r="O809" s="11"/>
      <c r="P809" s="11"/>
      <c r="Q809" s="11"/>
    </row>
    <row r="810" spans="14:17" ht="15.75" customHeight="1" x14ac:dyDescent="0.25">
      <c r="N810" s="11"/>
      <c r="O810" s="11"/>
      <c r="P810" s="11"/>
      <c r="Q810" s="11"/>
    </row>
    <row r="811" spans="14:17" ht="15.75" customHeight="1" x14ac:dyDescent="0.25">
      <c r="N811" s="11"/>
      <c r="O811" s="11"/>
      <c r="P811" s="11"/>
      <c r="Q811" s="11"/>
    </row>
    <row r="812" spans="14:17" ht="15.75" customHeight="1" x14ac:dyDescent="0.25">
      <c r="N812" s="11"/>
      <c r="O812" s="11"/>
      <c r="P812" s="11"/>
      <c r="Q812" s="11"/>
    </row>
    <row r="813" spans="14:17" ht="15.75" customHeight="1" x14ac:dyDescent="0.25">
      <c r="N813" s="11"/>
      <c r="O813" s="11"/>
      <c r="P813" s="11"/>
      <c r="Q813" s="11"/>
    </row>
    <row r="814" spans="14:17" ht="15.75" customHeight="1" x14ac:dyDescent="0.25">
      <c r="N814" s="11"/>
      <c r="O814" s="11"/>
      <c r="P814" s="11"/>
      <c r="Q814" s="11"/>
    </row>
    <row r="815" spans="14:17" ht="15.75" customHeight="1" x14ac:dyDescent="0.25">
      <c r="N815" s="11"/>
      <c r="O815" s="11"/>
      <c r="P815" s="11"/>
      <c r="Q815" s="11"/>
    </row>
    <row r="816" spans="14:17" ht="15.75" customHeight="1" x14ac:dyDescent="0.25">
      <c r="N816" s="11"/>
      <c r="O816" s="11"/>
      <c r="P816" s="11"/>
      <c r="Q816" s="11"/>
    </row>
    <row r="817" spans="14:17" ht="15.75" customHeight="1" x14ac:dyDescent="0.25">
      <c r="N817" s="11"/>
      <c r="O817" s="11"/>
      <c r="P817" s="11"/>
      <c r="Q817" s="11"/>
    </row>
    <row r="818" spans="14:17" ht="15.75" customHeight="1" x14ac:dyDescent="0.25">
      <c r="N818" s="11"/>
      <c r="O818" s="11"/>
      <c r="P818" s="11"/>
      <c r="Q818" s="11"/>
    </row>
    <row r="819" spans="14:17" ht="15.75" customHeight="1" x14ac:dyDescent="0.25">
      <c r="N819" s="11"/>
      <c r="O819" s="11"/>
      <c r="P819" s="11"/>
      <c r="Q819" s="11"/>
    </row>
    <row r="820" spans="14:17" ht="15.75" customHeight="1" x14ac:dyDescent="0.25">
      <c r="N820" s="11"/>
      <c r="O820" s="11"/>
      <c r="P820" s="11"/>
      <c r="Q820" s="11"/>
    </row>
    <row r="821" spans="14:17" ht="15.75" customHeight="1" x14ac:dyDescent="0.25">
      <c r="N821" s="11"/>
      <c r="O821" s="11"/>
      <c r="P821" s="11"/>
      <c r="Q821" s="11"/>
    </row>
    <row r="822" spans="14:17" ht="15.75" customHeight="1" x14ac:dyDescent="0.25">
      <c r="N822" s="11"/>
      <c r="O822" s="11"/>
      <c r="P822" s="11"/>
      <c r="Q822" s="11"/>
    </row>
    <row r="823" spans="14:17" ht="15.75" customHeight="1" x14ac:dyDescent="0.25">
      <c r="N823" s="11"/>
      <c r="O823" s="11"/>
      <c r="P823" s="11"/>
      <c r="Q823" s="11"/>
    </row>
    <row r="824" spans="14:17" ht="15.75" customHeight="1" x14ac:dyDescent="0.25">
      <c r="N824" s="11"/>
      <c r="O824" s="11"/>
      <c r="P824" s="11"/>
      <c r="Q824" s="11"/>
    </row>
    <row r="825" spans="14:17" ht="15.75" customHeight="1" x14ac:dyDescent="0.25">
      <c r="N825" s="11"/>
      <c r="O825" s="11"/>
      <c r="P825" s="11"/>
      <c r="Q825" s="11"/>
    </row>
    <row r="826" spans="14:17" ht="15.75" customHeight="1" x14ac:dyDescent="0.25">
      <c r="N826" s="11"/>
      <c r="O826" s="11"/>
      <c r="P826" s="11"/>
      <c r="Q826" s="11"/>
    </row>
    <row r="827" spans="14:17" ht="15.75" customHeight="1" x14ac:dyDescent="0.25">
      <c r="N827" s="11"/>
      <c r="O827" s="11"/>
      <c r="P827" s="11"/>
      <c r="Q827" s="11"/>
    </row>
    <row r="828" spans="14:17" ht="15.75" customHeight="1" x14ac:dyDescent="0.25">
      <c r="N828" s="11"/>
      <c r="O828" s="11"/>
      <c r="P828" s="11"/>
      <c r="Q828" s="11"/>
    </row>
    <row r="829" spans="14:17" ht="15.75" customHeight="1" x14ac:dyDescent="0.25">
      <c r="N829" s="11"/>
      <c r="O829" s="11"/>
      <c r="P829" s="11"/>
      <c r="Q829" s="11"/>
    </row>
    <row r="830" spans="14:17" ht="15.75" customHeight="1" x14ac:dyDescent="0.25">
      <c r="N830" s="11"/>
      <c r="O830" s="11"/>
      <c r="P830" s="11"/>
      <c r="Q830" s="11"/>
    </row>
    <row r="831" spans="14:17" ht="15.75" customHeight="1" x14ac:dyDescent="0.25">
      <c r="N831" s="11"/>
      <c r="O831" s="11"/>
      <c r="P831" s="11"/>
      <c r="Q831" s="11"/>
    </row>
    <row r="832" spans="14:17" ht="15.75" customHeight="1" x14ac:dyDescent="0.25">
      <c r="N832" s="11"/>
      <c r="O832" s="11"/>
      <c r="P832" s="11"/>
      <c r="Q832" s="11"/>
    </row>
    <row r="833" spans="14:17" ht="15.75" customHeight="1" x14ac:dyDescent="0.25">
      <c r="N833" s="11"/>
      <c r="O833" s="11"/>
      <c r="P833" s="11"/>
      <c r="Q833" s="11"/>
    </row>
    <row r="834" spans="14:17" ht="15.75" customHeight="1" x14ac:dyDescent="0.25">
      <c r="N834" s="11"/>
      <c r="O834" s="11"/>
      <c r="P834" s="11"/>
      <c r="Q834" s="11"/>
    </row>
    <row r="835" spans="14:17" ht="15.75" customHeight="1" x14ac:dyDescent="0.25">
      <c r="N835" s="11"/>
      <c r="O835" s="11"/>
      <c r="P835" s="11"/>
      <c r="Q835" s="11"/>
    </row>
    <row r="836" spans="14:17" ht="15.75" customHeight="1" x14ac:dyDescent="0.25">
      <c r="N836" s="11"/>
      <c r="O836" s="11"/>
      <c r="P836" s="11"/>
      <c r="Q836" s="11"/>
    </row>
    <row r="837" spans="14:17" ht="15.75" customHeight="1" x14ac:dyDescent="0.25">
      <c r="N837" s="11"/>
      <c r="O837" s="11"/>
      <c r="P837" s="11"/>
      <c r="Q837" s="11"/>
    </row>
    <row r="838" spans="14:17" ht="15.75" customHeight="1" x14ac:dyDescent="0.25">
      <c r="N838" s="11"/>
      <c r="O838" s="11"/>
      <c r="P838" s="11"/>
      <c r="Q838" s="11"/>
    </row>
    <row r="839" spans="14:17" ht="15.75" customHeight="1" x14ac:dyDescent="0.25">
      <c r="N839" s="11"/>
      <c r="O839" s="11"/>
      <c r="P839" s="11"/>
      <c r="Q839" s="11"/>
    </row>
    <row r="840" spans="14:17" ht="15.75" customHeight="1" x14ac:dyDescent="0.25">
      <c r="N840" s="11"/>
      <c r="O840" s="11"/>
      <c r="P840" s="11"/>
      <c r="Q840" s="11"/>
    </row>
    <row r="841" spans="14:17" ht="15.75" customHeight="1" x14ac:dyDescent="0.25">
      <c r="N841" s="11"/>
      <c r="O841" s="11"/>
      <c r="P841" s="11"/>
      <c r="Q841" s="11"/>
    </row>
    <row r="842" spans="14:17" ht="15.75" customHeight="1" x14ac:dyDescent="0.25">
      <c r="N842" s="11"/>
      <c r="O842" s="11"/>
      <c r="P842" s="11"/>
      <c r="Q842" s="11"/>
    </row>
    <row r="843" spans="14:17" ht="15.75" customHeight="1" x14ac:dyDescent="0.25">
      <c r="N843" s="11"/>
      <c r="O843" s="11"/>
      <c r="P843" s="11"/>
      <c r="Q843" s="11"/>
    </row>
    <row r="844" spans="14:17" ht="15.75" customHeight="1" x14ac:dyDescent="0.25">
      <c r="N844" s="11"/>
      <c r="O844" s="11"/>
      <c r="P844" s="11"/>
      <c r="Q844" s="11"/>
    </row>
    <row r="845" spans="14:17" ht="15.75" customHeight="1" x14ac:dyDescent="0.25">
      <c r="N845" s="11"/>
      <c r="O845" s="11"/>
      <c r="P845" s="11"/>
      <c r="Q845" s="11"/>
    </row>
    <row r="846" spans="14:17" ht="15.75" customHeight="1" x14ac:dyDescent="0.25">
      <c r="N846" s="11"/>
      <c r="O846" s="11"/>
      <c r="P846" s="11"/>
      <c r="Q846" s="11"/>
    </row>
    <row r="847" spans="14:17" ht="15.75" customHeight="1" x14ac:dyDescent="0.25">
      <c r="N847" s="11"/>
      <c r="O847" s="11"/>
      <c r="P847" s="11"/>
      <c r="Q847" s="11"/>
    </row>
    <row r="848" spans="14:17" ht="15.75" customHeight="1" x14ac:dyDescent="0.25">
      <c r="N848" s="11"/>
      <c r="O848" s="11"/>
      <c r="P848" s="11"/>
      <c r="Q848" s="11"/>
    </row>
    <row r="849" spans="14:17" ht="15.75" customHeight="1" x14ac:dyDescent="0.25">
      <c r="N849" s="11"/>
      <c r="O849" s="11"/>
      <c r="P849" s="11"/>
      <c r="Q849" s="11"/>
    </row>
    <row r="850" spans="14:17" ht="15.75" customHeight="1" x14ac:dyDescent="0.25">
      <c r="N850" s="11"/>
      <c r="O850" s="11"/>
      <c r="P850" s="11"/>
      <c r="Q850" s="11"/>
    </row>
    <row r="851" spans="14:17" ht="15.75" customHeight="1" x14ac:dyDescent="0.25">
      <c r="N851" s="11"/>
      <c r="O851" s="11"/>
      <c r="P851" s="11"/>
      <c r="Q851" s="11"/>
    </row>
    <row r="852" spans="14:17" ht="15.75" customHeight="1" x14ac:dyDescent="0.25">
      <c r="N852" s="11"/>
      <c r="O852" s="11"/>
      <c r="P852" s="11"/>
      <c r="Q852" s="11"/>
    </row>
    <row r="853" spans="14:17" ht="15.75" customHeight="1" x14ac:dyDescent="0.25">
      <c r="N853" s="11"/>
      <c r="O853" s="11"/>
      <c r="P853" s="11"/>
      <c r="Q853" s="11"/>
    </row>
    <row r="854" spans="14:17" ht="15.75" customHeight="1" x14ac:dyDescent="0.25">
      <c r="N854" s="11"/>
      <c r="O854" s="11"/>
      <c r="P854" s="11"/>
      <c r="Q854" s="11"/>
    </row>
    <row r="855" spans="14:17" ht="15.75" customHeight="1" x14ac:dyDescent="0.25">
      <c r="N855" s="11"/>
      <c r="O855" s="11"/>
      <c r="P855" s="11"/>
      <c r="Q855" s="11"/>
    </row>
    <row r="856" spans="14:17" ht="15.75" customHeight="1" x14ac:dyDescent="0.25">
      <c r="N856" s="11"/>
      <c r="O856" s="11"/>
      <c r="P856" s="11"/>
      <c r="Q856" s="11"/>
    </row>
    <row r="857" spans="14:17" ht="15.75" customHeight="1" x14ac:dyDescent="0.25">
      <c r="N857" s="11"/>
      <c r="O857" s="11"/>
      <c r="P857" s="11"/>
      <c r="Q857" s="11"/>
    </row>
    <row r="858" spans="14:17" ht="15.75" customHeight="1" x14ac:dyDescent="0.25">
      <c r="N858" s="11"/>
      <c r="O858" s="11"/>
      <c r="P858" s="11"/>
      <c r="Q858" s="11"/>
    </row>
    <row r="859" spans="14:17" ht="15.75" customHeight="1" x14ac:dyDescent="0.25">
      <c r="N859" s="11"/>
      <c r="O859" s="11"/>
      <c r="P859" s="11"/>
      <c r="Q859" s="11"/>
    </row>
    <row r="860" spans="14:17" ht="15.75" customHeight="1" x14ac:dyDescent="0.25">
      <c r="N860" s="11"/>
      <c r="O860" s="11"/>
      <c r="P860" s="11"/>
      <c r="Q860" s="11"/>
    </row>
    <row r="861" spans="14:17" ht="15.75" customHeight="1" x14ac:dyDescent="0.25">
      <c r="N861" s="11"/>
      <c r="O861" s="11"/>
      <c r="P861" s="11"/>
      <c r="Q861" s="11"/>
    </row>
    <row r="862" spans="14:17" ht="15.75" customHeight="1" x14ac:dyDescent="0.25">
      <c r="N862" s="11"/>
      <c r="O862" s="11"/>
      <c r="P862" s="11"/>
      <c r="Q862" s="11"/>
    </row>
    <row r="863" spans="14:17" ht="15.75" customHeight="1" x14ac:dyDescent="0.25">
      <c r="N863" s="11"/>
      <c r="O863" s="11"/>
      <c r="P863" s="11"/>
      <c r="Q863" s="11"/>
    </row>
    <row r="864" spans="14:17" ht="15.75" customHeight="1" x14ac:dyDescent="0.25">
      <c r="N864" s="11"/>
      <c r="O864" s="11"/>
      <c r="P864" s="11"/>
      <c r="Q864" s="11"/>
    </row>
    <row r="865" spans="14:17" ht="15.75" customHeight="1" x14ac:dyDescent="0.25">
      <c r="N865" s="11"/>
      <c r="O865" s="11"/>
      <c r="P865" s="11"/>
      <c r="Q865" s="11"/>
    </row>
    <row r="866" spans="14:17" ht="15.75" customHeight="1" x14ac:dyDescent="0.25">
      <c r="N866" s="11"/>
      <c r="O866" s="11"/>
      <c r="P866" s="11"/>
      <c r="Q866" s="11"/>
    </row>
    <row r="867" spans="14:17" ht="15.75" customHeight="1" x14ac:dyDescent="0.25">
      <c r="N867" s="11"/>
      <c r="O867" s="11"/>
      <c r="P867" s="11"/>
      <c r="Q867" s="11"/>
    </row>
    <row r="868" spans="14:17" ht="15.75" customHeight="1" x14ac:dyDescent="0.25">
      <c r="N868" s="11"/>
      <c r="O868" s="11"/>
      <c r="P868" s="11"/>
      <c r="Q868" s="11"/>
    </row>
    <row r="869" spans="14:17" ht="15.75" customHeight="1" x14ac:dyDescent="0.25">
      <c r="N869" s="11"/>
      <c r="O869" s="11"/>
      <c r="P869" s="11"/>
      <c r="Q869" s="11"/>
    </row>
    <row r="870" spans="14:17" ht="15.75" customHeight="1" x14ac:dyDescent="0.25">
      <c r="N870" s="11"/>
      <c r="O870" s="11"/>
      <c r="P870" s="11"/>
      <c r="Q870" s="11"/>
    </row>
    <row r="871" spans="14:17" ht="15.75" customHeight="1" x14ac:dyDescent="0.25">
      <c r="N871" s="11"/>
      <c r="O871" s="11"/>
      <c r="P871" s="11"/>
      <c r="Q871" s="11"/>
    </row>
    <row r="872" spans="14:17" ht="15.75" customHeight="1" x14ac:dyDescent="0.25">
      <c r="N872" s="11"/>
      <c r="O872" s="11"/>
      <c r="P872" s="11"/>
      <c r="Q872" s="11"/>
    </row>
    <row r="873" spans="14:17" ht="15.75" customHeight="1" x14ac:dyDescent="0.25">
      <c r="N873" s="11"/>
      <c r="O873" s="11"/>
      <c r="P873" s="11"/>
      <c r="Q873" s="11"/>
    </row>
    <row r="874" spans="14:17" ht="15.75" customHeight="1" x14ac:dyDescent="0.25">
      <c r="N874" s="11"/>
      <c r="O874" s="11"/>
      <c r="P874" s="11"/>
      <c r="Q874" s="11"/>
    </row>
    <row r="875" spans="14:17" ht="15.75" customHeight="1" x14ac:dyDescent="0.25">
      <c r="N875" s="11"/>
      <c r="O875" s="11"/>
      <c r="P875" s="11"/>
      <c r="Q875" s="11"/>
    </row>
    <row r="876" spans="14:17" ht="15.75" customHeight="1" x14ac:dyDescent="0.25">
      <c r="N876" s="11"/>
      <c r="O876" s="11"/>
      <c r="P876" s="11"/>
      <c r="Q876" s="11"/>
    </row>
    <row r="877" spans="14:17" ht="15.75" customHeight="1" x14ac:dyDescent="0.25">
      <c r="N877" s="11"/>
      <c r="O877" s="11"/>
      <c r="P877" s="11"/>
      <c r="Q877" s="11"/>
    </row>
    <row r="878" spans="14:17" ht="15.75" customHeight="1" x14ac:dyDescent="0.25">
      <c r="N878" s="11"/>
      <c r="O878" s="11"/>
      <c r="P878" s="11"/>
      <c r="Q878" s="11"/>
    </row>
    <row r="879" spans="14:17" ht="15.75" customHeight="1" x14ac:dyDescent="0.25">
      <c r="N879" s="11"/>
      <c r="O879" s="11"/>
      <c r="P879" s="11"/>
      <c r="Q879" s="11"/>
    </row>
    <row r="880" spans="14:17" ht="15.75" customHeight="1" x14ac:dyDescent="0.25">
      <c r="N880" s="11"/>
      <c r="O880" s="11"/>
      <c r="P880" s="11"/>
      <c r="Q880" s="11"/>
    </row>
    <row r="881" spans="14:17" ht="15.75" customHeight="1" x14ac:dyDescent="0.25">
      <c r="N881" s="11"/>
      <c r="O881" s="11"/>
      <c r="P881" s="11"/>
      <c r="Q881" s="11"/>
    </row>
    <row r="882" spans="14:17" ht="15.75" customHeight="1" x14ac:dyDescent="0.25">
      <c r="N882" s="11"/>
      <c r="O882" s="11"/>
      <c r="P882" s="11"/>
      <c r="Q882" s="11"/>
    </row>
    <row r="883" spans="14:17" ht="15.75" customHeight="1" x14ac:dyDescent="0.25">
      <c r="N883" s="11"/>
      <c r="O883" s="11"/>
      <c r="P883" s="11"/>
      <c r="Q883" s="11"/>
    </row>
    <row r="884" spans="14:17" ht="15.75" customHeight="1" x14ac:dyDescent="0.25">
      <c r="N884" s="11"/>
      <c r="O884" s="11"/>
      <c r="P884" s="11"/>
      <c r="Q884" s="11"/>
    </row>
    <row r="885" spans="14:17" ht="15.75" customHeight="1" x14ac:dyDescent="0.25">
      <c r="N885" s="11"/>
      <c r="O885" s="11"/>
      <c r="P885" s="11"/>
      <c r="Q885" s="11"/>
    </row>
    <row r="886" spans="14:17" ht="15.75" customHeight="1" x14ac:dyDescent="0.25">
      <c r="N886" s="11"/>
      <c r="O886" s="11"/>
      <c r="P886" s="11"/>
      <c r="Q886" s="11"/>
    </row>
    <row r="887" spans="14:17" ht="15.75" customHeight="1" x14ac:dyDescent="0.25">
      <c r="N887" s="11"/>
      <c r="O887" s="11"/>
      <c r="P887" s="11"/>
      <c r="Q887" s="11"/>
    </row>
    <row r="888" spans="14:17" ht="15.75" customHeight="1" x14ac:dyDescent="0.25">
      <c r="N888" s="11"/>
      <c r="O888" s="11"/>
      <c r="P888" s="11"/>
      <c r="Q888" s="11"/>
    </row>
    <row r="889" spans="14:17" ht="15.75" customHeight="1" x14ac:dyDescent="0.25">
      <c r="N889" s="11"/>
      <c r="O889" s="11"/>
      <c r="P889" s="11"/>
      <c r="Q889" s="11"/>
    </row>
    <row r="890" spans="14:17" ht="15.75" customHeight="1" x14ac:dyDescent="0.25">
      <c r="N890" s="11"/>
      <c r="O890" s="11"/>
      <c r="P890" s="11"/>
      <c r="Q890" s="11"/>
    </row>
    <row r="891" spans="14:17" ht="15.75" customHeight="1" x14ac:dyDescent="0.25">
      <c r="N891" s="11"/>
      <c r="O891" s="11"/>
      <c r="P891" s="11"/>
      <c r="Q891" s="11"/>
    </row>
    <row r="892" spans="14:17" ht="15.75" customHeight="1" x14ac:dyDescent="0.25">
      <c r="N892" s="11"/>
      <c r="O892" s="11"/>
      <c r="P892" s="11"/>
      <c r="Q892" s="11"/>
    </row>
    <row r="893" spans="14:17" ht="15.75" customHeight="1" x14ac:dyDescent="0.25">
      <c r="N893" s="11"/>
      <c r="O893" s="11"/>
      <c r="P893" s="11"/>
      <c r="Q893" s="11"/>
    </row>
    <row r="894" spans="14:17" ht="15.75" customHeight="1" x14ac:dyDescent="0.25">
      <c r="N894" s="11"/>
      <c r="O894" s="11"/>
      <c r="P894" s="11"/>
      <c r="Q894" s="11"/>
    </row>
    <row r="895" spans="14:17" ht="15.75" customHeight="1" x14ac:dyDescent="0.25">
      <c r="N895" s="11"/>
      <c r="O895" s="11"/>
      <c r="P895" s="11"/>
      <c r="Q895" s="11"/>
    </row>
    <row r="896" spans="14:17" ht="15.75" customHeight="1" x14ac:dyDescent="0.25">
      <c r="N896" s="11"/>
      <c r="O896" s="11"/>
      <c r="P896" s="11"/>
      <c r="Q896" s="11"/>
    </row>
    <row r="897" spans="14:17" ht="15.75" customHeight="1" x14ac:dyDescent="0.25">
      <c r="N897" s="11"/>
      <c r="O897" s="11"/>
      <c r="P897" s="11"/>
      <c r="Q897" s="11"/>
    </row>
    <row r="898" spans="14:17" ht="15.75" customHeight="1" x14ac:dyDescent="0.25">
      <c r="N898" s="11"/>
      <c r="O898" s="11"/>
      <c r="P898" s="11"/>
      <c r="Q898" s="11"/>
    </row>
    <row r="899" spans="14:17" ht="15.75" customHeight="1" x14ac:dyDescent="0.25">
      <c r="N899" s="11"/>
      <c r="O899" s="11"/>
      <c r="P899" s="11"/>
      <c r="Q899" s="11"/>
    </row>
    <row r="900" spans="14:17" ht="15.75" customHeight="1" x14ac:dyDescent="0.25">
      <c r="N900" s="11"/>
      <c r="O900" s="11"/>
      <c r="P900" s="11"/>
      <c r="Q900" s="11"/>
    </row>
    <row r="901" spans="14:17" ht="15.75" customHeight="1" x14ac:dyDescent="0.25">
      <c r="N901" s="11"/>
      <c r="O901" s="11"/>
      <c r="P901" s="11"/>
      <c r="Q901" s="11"/>
    </row>
    <row r="902" spans="14:17" ht="15.75" customHeight="1" x14ac:dyDescent="0.25">
      <c r="N902" s="11"/>
      <c r="O902" s="11"/>
      <c r="P902" s="11"/>
      <c r="Q902" s="11"/>
    </row>
    <row r="903" spans="14:17" ht="15.75" customHeight="1" x14ac:dyDescent="0.25">
      <c r="N903" s="11"/>
      <c r="O903" s="11"/>
      <c r="P903" s="11"/>
      <c r="Q903" s="11"/>
    </row>
    <row r="904" spans="14:17" ht="15.75" customHeight="1" x14ac:dyDescent="0.25">
      <c r="N904" s="11"/>
      <c r="O904" s="11"/>
      <c r="P904" s="11"/>
      <c r="Q904" s="11"/>
    </row>
    <row r="905" spans="14:17" ht="15.75" customHeight="1" x14ac:dyDescent="0.25">
      <c r="N905" s="11"/>
      <c r="O905" s="11"/>
      <c r="P905" s="11"/>
      <c r="Q905" s="11"/>
    </row>
    <row r="906" spans="14:17" ht="15.75" customHeight="1" x14ac:dyDescent="0.25">
      <c r="N906" s="11"/>
      <c r="O906" s="11"/>
      <c r="P906" s="11"/>
      <c r="Q906" s="11"/>
    </row>
    <row r="907" spans="14:17" ht="15.75" customHeight="1" x14ac:dyDescent="0.25">
      <c r="N907" s="11"/>
      <c r="O907" s="11"/>
      <c r="P907" s="11"/>
      <c r="Q907" s="11"/>
    </row>
    <row r="908" spans="14:17" ht="15.75" customHeight="1" x14ac:dyDescent="0.25">
      <c r="N908" s="11"/>
      <c r="O908" s="11"/>
      <c r="P908" s="11"/>
      <c r="Q908" s="11"/>
    </row>
    <row r="909" spans="14:17" ht="15.75" customHeight="1" x14ac:dyDescent="0.25">
      <c r="N909" s="11"/>
      <c r="O909" s="11"/>
      <c r="P909" s="11"/>
      <c r="Q909" s="11"/>
    </row>
    <row r="910" spans="14:17" ht="15.75" customHeight="1" x14ac:dyDescent="0.25">
      <c r="N910" s="11"/>
      <c r="O910" s="11"/>
      <c r="P910" s="11"/>
      <c r="Q910" s="11"/>
    </row>
    <row r="911" spans="14:17" ht="15.75" customHeight="1" x14ac:dyDescent="0.25">
      <c r="N911" s="11"/>
      <c r="O911" s="11"/>
      <c r="P911" s="11"/>
      <c r="Q911" s="11"/>
    </row>
    <row r="912" spans="14:17" ht="15.75" customHeight="1" x14ac:dyDescent="0.25">
      <c r="N912" s="11"/>
      <c r="O912" s="11"/>
      <c r="P912" s="11"/>
      <c r="Q912" s="11"/>
    </row>
    <row r="913" spans="14:17" ht="15.75" customHeight="1" x14ac:dyDescent="0.25">
      <c r="N913" s="11"/>
      <c r="O913" s="11"/>
      <c r="P913" s="11"/>
      <c r="Q913" s="11"/>
    </row>
    <row r="914" spans="14:17" ht="15.75" customHeight="1" x14ac:dyDescent="0.25">
      <c r="N914" s="11"/>
      <c r="O914" s="11"/>
      <c r="P914" s="11"/>
      <c r="Q914" s="11"/>
    </row>
    <row r="915" spans="14:17" ht="15.75" customHeight="1" x14ac:dyDescent="0.25">
      <c r="N915" s="11"/>
      <c r="O915" s="11"/>
      <c r="P915" s="11"/>
      <c r="Q915" s="11"/>
    </row>
    <row r="916" spans="14:17" ht="15.75" customHeight="1" x14ac:dyDescent="0.25">
      <c r="N916" s="11"/>
      <c r="O916" s="11"/>
      <c r="P916" s="11"/>
      <c r="Q916" s="11"/>
    </row>
    <row r="917" spans="14:17" ht="15.75" customHeight="1" x14ac:dyDescent="0.25">
      <c r="N917" s="11"/>
      <c r="O917" s="11"/>
      <c r="P917" s="11"/>
      <c r="Q917" s="11"/>
    </row>
    <row r="918" spans="14:17" ht="15.75" customHeight="1" x14ac:dyDescent="0.25">
      <c r="N918" s="11"/>
      <c r="O918" s="11"/>
      <c r="P918" s="11"/>
      <c r="Q918" s="11"/>
    </row>
    <row r="919" spans="14:17" ht="15.75" customHeight="1" x14ac:dyDescent="0.25">
      <c r="N919" s="11"/>
      <c r="O919" s="11"/>
      <c r="P919" s="11"/>
      <c r="Q919" s="11"/>
    </row>
    <row r="920" spans="14:17" ht="15.75" customHeight="1" x14ac:dyDescent="0.25">
      <c r="N920" s="11"/>
      <c r="O920" s="11"/>
      <c r="P920" s="11"/>
      <c r="Q920" s="11"/>
    </row>
    <row r="921" spans="14:17" ht="15.75" customHeight="1" x14ac:dyDescent="0.25">
      <c r="N921" s="11"/>
      <c r="O921" s="11"/>
      <c r="P921" s="11"/>
      <c r="Q921" s="11"/>
    </row>
    <row r="922" spans="14:17" ht="15.75" customHeight="1" x14ac:dyDescent="0.25">
      <c r="N922" s="11"/>
      <c r="O922" s="11"/>
      <c r="P922" s="11"/>
      <c r="Q922" s="11"/>
    </row>
    <row r="923" spans="14:17" ht="15.75" customHeight="1" x14ac:dyDescent="0.25">
      <c r="N923" s="11"/>
      <c r="O923" s="11"/>
      <c r="P923" s="11"/>
      <c r="Q923" s="11"/>
    </row>
    <row r="924" spans="14:17" ht="15.75" customHeight="1" x14ac:dyDescent="0.25">
      <c r="N924" s="11"/>
      <c r="O924" s="11"/>
      <c r="P924" s="11"/>
      <c r="Q924" s="11"/>
    </row>
    <row r="925" spans="14:17" ht="15.75" customHeight="1" x14ac:dyDescent="0.25">
      <c r="N925" s="11"/>
      <c r="O925" s="11"/>
      <c r="P925" s="11"/>
      <c r="Q925" s="11"/>
    </row>
    <row r="926" spans="14:17" ht="15.75" customHeight="1" x14ac:dyDescent="0.25">
      <c r="N926" s="11"/>
      <c r="O926" s="11"/>
      <c r="P926" s="11"/>
      <c r="Q926" s="11"/>
    </row>
    <row r="927" spans="14:17" ht="15.75" customHeight="1" x14ac:dyDescent="0.25">
      <c r="N927" s="11"/>
      <c r="O927" s="11"/>
      <c r="P927" s="11"/>
      <c r="Q927" s="11"/>
    </row>
    <row r="928" spans="14:17" ht="15.75" customHeight="1" x14ac:dyDescent="0.25">
      <c r="N928" s="11"/>
      <c r="O928" s="11"/>
      <c r="P928" s="11"/>
      <c r="Q928" s="11"/>
    </row>
    <row r="929" spans="14:17" ht="15.75" customHeight="1" x14ac:dyDescent="0.25">
      <c r="N929" s="11"/>
      <c r="O929" s="11"/>
      <c r="P929" s="11"/>
      <c r="Q929" s="11"/>
    </row>
    <row r="930" spans="14:17" ht="15.75" customHeight="1" x14ac:dyDescent="0.25">
      <c r="N930" s="11"/>
      <c r="O930" s="11"/>
      <c r="P930" s="11"/>
      <c r="Q930" s="11"/>
    </row>
    <row r="931" spans="14:17" ht="15.75" customHeight="1" x14ac:dyDescent="0.25">
      <c r="N931" s="11"/>
      <c r="O931" s="11"/>
      <c r="P931" s="11"/>
      <c r="Q931" s="11"/>
    </row>
    <row r="932" spans="14:17" ht="15.75" customHeight="1" x14ac:dyDescent="0.25">
      <c r="N932" s="11"/>
      <c r="O932" s="11"/>
      <c r="P932" s="11"/>
      <c r="Q932" s="11"/>
    </row>
    <row r="933" spans="14:17" ht="15.75" customHeight="1" x14ac:dyDescent="0.25">
      <c r="N933" s="11"/>
      <c r="O933" s="11"/>
      <c r="P933" s="11"/>
      <c r="Q933" s="11"/>
    </row>
    <row r="934" spans="14:17" ht="15.75" customHeight="1" x14ac:dyDescent="0.25">
      <c r="N934" s="11"/>
      <c r="O934" s="11"/>
      <c r="P934" s="11"/>
      <c r="Q934" s="11"/>
    </row>
    <row r="935" spans="14:17" ht="15.75" customHeight="1" x14ac:dyDescent="0.25">
      <c r="N935" s="11"/>
      <c r="O935" s="11"/>
      <c r="P935" s="11"/>
      <c r="Q935" s="11"/>
    </row>
    <row r="936" spans="14:17" ht="15.75" customHeight="1" x14ac:dyDescent="0.25">
      <c r="N936" s="11"/>
      <c r="O936" s="11"/>
      <c r="P936" s="11"/>
      <c r="Q936" s="11"/>
    </row>
    <row r="937" spans="14:17" ht="15.75" customHeight="1" x14ac:dyDescent="0.25">
      <c r="N937" s="11"/>
      <c r="O937" s="11"/>
      <c r="P937" s="11"/>
      <c r="Q937" s="11"/>
    </row>
    <row r="938" spans="14:17" ht="15.75" customHeight="1" x14ac:dyDescent="0.25">
      <c r="N938" s="11"/>
      <c r="O938" s="11"/>
      <c r="P938" s="11"/>
      <c r="Q938" s="11"/>
    </row>
    <row r="939" spans="14:17" ht="15.75" customHeight="1" x14ac:dyDescent="0.25">
      <c r="N939" s="11"/>
      <c r="O939" s="11"/>
      <c r="P939" s="11"/>
      <c r="Q939" s="11"/>
    </row>
    <row r="940" spans="14:17" ht="15.75" customHeight="1" x14ac:dyDescent="0.25">
      <c r="N940" s="11"/>
      <c r="O940" s="11"/>
      <c r="P940" s="11"/>
      <c r="Q940" s="11"/>
    </row>
    <row r="941" spans="14:17" ht="15.75" customHeight="1" x14ac:dyDescent="0.25">
      <c r="N941" s="11"/>
      <c r="O941" s="11"/>
      <c r="P941" s="11"/>
      <c r="Q941" s="11"/>
    </row>
    <row r="942" spans="14:17" ht="15.75" customHeight="1" x14ac:dyDescent="0.25">
      <c r="N942" s="11"/>
      <c r="O942" s="11"/>
      <c r="P942" s="11"/>
      <c r="Q942" s="11"/>
    </row>
    <row r="943" spans="14:17" ht="15.75" customHeight="1" x14ac:dyDescent="0.25">
      <c r="N943" s="11"/>
      <c r="O943" s="11"/>
      <c r="P943" s="11"/>
      <c r="Q943" s="11"/>
    </row>
    <row r="944" spans="14:17" ht="15.75" customHeight="1" x14ac:dyDescent="0.25">
      <c r="N944" s="11"/>
      <c r="O944" s="11"/>
      <c r="P944" s="11"/>
      <c r="Q944" s="11"/>
    </row>
    <row r="945" spans="14:17" ht="15.75" customHeight="1" x14ac:dyDescent="0.25">
      <c r="N945" s="11"/>
      <c r="O945" s="11"/>
      <c r="P945" s="11"/>
      <c r="Q945" s="11"/>
    </row>
    <row r="946" spans="14:17" ht="15.75" customHeight="1" x14ac:dyDescent="0.25">
      <c r="N946" s="11"/>
      <c r="O946" s="11"/>
      <c r="P946" s="11"/>
      <c r="Q946" s="11"/>
    </row>
    <row r="947" spans="14:17" ht="15.75" customHeight="1" x14ac:dyDescent="0.25">
      <c r="N947" s="11"/>
      <c r="O947" s="11"/>
      <c r="P947" s="11"/>
      <c r="Q947" s="11"/>
    </row>
    <row r="948" spans="14:17" ht="15.75" customHeight="1" x14ac:dyDescent="0.25">
      <c r="N948" s="11"/>
      <c r="O948" s="11"/>
      <c r="P948" s="11"/>
      <c r="Q948" s="11"/>
    </row>
    <row r="949" spans="14:17" ht="15.75" customHeight="1" x14ac:dyDescent="0.25">
      <c r="N949" s="11"/>
      <c r="O949" s="11"/>
      <c r="P949" s="11"/>
      <c r="Q949" s="11"/>
    </row>
    <row r="950" spans="14:17" ht="15.75" customHeight="1" x14ac:dyDescent="0.25">
      <c r="N950" s="11"/>
      <c r="O950" s="11"/>
      <c r="P950" s="11"/>
      <c r="Q950" s="11"/>
    </row>
    <row r="951" spans="14:17" ht="15.75" customHeight="1" x14ac:dyDescent="0.25">
      <c r="N951" s="11"/>
      <c r="O951" s="11"/>
      <c r="P951" s="11"/>
      <c r="Q951" s="11"/>
    </row>
    <row r="952" spans="14:17" ht="15.75" customHeight="1" x14ac:dyDescent="0.25">
      <c r="N952" s="11"/>
      <c r="O952" s="11"/>
      <c r="P952" s="11"/>
      <c r="Q952" s="11"/>
    </row>
    <row r="953" spans="14:17" ht="15.75" customHeight="1" x14ac:dyDescent="0.25">
      <c r="N953" s="11"/>
      <c r="O953" s="11"/>
      <c r="P953" s="11"/>
      <c r="Q953" s="11"/>
    </row>
    <row r="954" spans="14:17" ht="15.75" customHeight="1" x14ac:dyDescent="0.25">
      <c r="N954" s="11"/>
      <c r="O954" s="11"/>
      <c r="P954" s="11"/>
      <c r="Q954" s="11"/>
    </row>
    <row r="955" spans="14:17" ht="15.75" customHeight="1" x14ac:dyDescent="0.25">
      <c r="N955" s="11"/>
      <c r="O955" s="11"/>
      <c r="P955" s="11"/>
      <c r="Q955" s="11"/>
    </row>
    <row r="956" spans="14:17" ht="15.75" customHeight="1" x14ac:dyDescent="0.25">
      <c r="N956" s="11"/>
      <c r="O956" s="11"/>
      <c r="P956" s="11"/>
      <c r="Q956" s="11"/>
    </row>
    <row r="957" spans="14:17" ht="15.75" customHeight="1" x14ac:dyDescent="0.25">
      <c r="N957" s="11"/>
      <c r="O957" s="11"/>
      <c r="P957" s="11"/>
      <c r="Q957" s="11"/>
    </row>
    <row r="958" spans="14:17" ht="15.75" customHeight="1" x14ac:dyDescent="0.25">
      <c r="N958" s="11"/>
      <c r="O958" s="11"/>
      <c r="P958" s="11"/>
      <c r="Q958" s="11"/>
    </row>
    <row r="959" spans="14:17" ht="15.75" customHeight="1" x14ac:dyDescent="0.25">
      <c r="N959" s="11"/>
      <c r="O959" s="11"/>
      <c r="P959" s="11"/>
      <c r="Q959" s="11"/>
    </row>
    <row r="960" spans="14:17" ht="15.75" customHeight="1" x14ac:dyDescent="0.25">
      <c r="N960" s="11"/>
      <c r="O960" s="11"/>
      <c r="P960" s="11"/>
      <c r="Q960" s="11"/>
    </row>
    <row r="961" spans="14:17" ht="15.75" customHeight="1" x14ac:dyDescent="0.25">
      <c r="N961" s="11"/>
      <c r="O961" s="11"/>
      <c r="P961" s="11"/>
      <c r="Q961" s="11"/>
    </row>
    <row r="962" spans="14:17" ht="15.75" customHeight="1" x14ac:dyDescent="0.25">
      <c r="N962" s="11"/>
      <c r="O962" s="11"/>
      <c r="P962" s="11"/>
      <c r="Q962" s="11"/>
    </row>
    <row r="963" spans="14:17" ht="15.75" customHeight="1" x14ac:dyDescent="0.25">
      <c r="N963" s="11"/>
      <c r="O963" s="11"/>
      <c r="P963" s="11"/>
      <c r="Q963" s="11"/>
    </row>
    <row r="964" spans="14:17" ht="15.75" customHeight="1" x14ac:dyDescent="0.25">
      <c r="N964" s="11"/>
      <c r="O964" s="11"/>
      <c r="P964" s="11"/>
      <c r="Q964" s="11"/>
    </row>
    <row r="965" spans="14:17" ht="15.75" customHeight="1" x14ac:dyDescent="0.25">
      <c r="N965" s="11"/>
      <c r="O965" s="11"/>
      <c r="P965" s="11"/>
      <c r="Q965" s="11"/>
    </row>
    <row r="966" spans="14:17" ht="15.75" customHeight="1" x14ac:dyDescent="0.25">
      <c r="N966" s="11"/>
      <c r="O966" s="11"/>
      <c r="P966" s="11"/>
      <c r="Q966" s="11"/>
    </row>
    <row r="967" spans="14:17" ht="15.75" customHeight="1" x14ac:dyDescent="0.25">
      <c r="N967" s="11"/>
      <c r="O967" s="11"/>
      <c r="P967" s="11"/>
      <c r="Q967" s="11"/>
    </row>
    <row r="968" spans="14:17" ht="15.75" customHeight="1" x14ac:dyDescent="0.25">
      <c r="N968" s="11"/>
      <c r="O968" s="11"/>
      <c r="P968" s="11"/>
      <c r="Q968" s="11"/>
    </row>
    <row r="969" spans="14:17" ht="15.75" customHeight="1" x14ac:dyDescent="0.25">
      <c r="N969" s="11"/>
      <c r="O969" s="11"/>
      <c r="P969" s="11"/>
      <c r="Q969" s="11"/>
    </row>
    <row r="970" spans="14:17" ht="15.75" customHeight="1" x14ac:dyDescent="0.25">
      <c r="N970" s="11"/>
      <c r="O970" s="11"/>
      <c r="P970" s="11"/>
      <c r="Q970" s="11"/>
    </row>
    <row r="971" spans="14:17" ht="15.75" customHeight="1" x14ac:dyDescent="0.25">
      <c r="N971" s="11"/>
      <c r="O971" s="11"/>
      <c r="P971" s="11"/>
      <c r="Q971" s="11"/>
    </row>
    <row r="972" spans="14:17" ht="15.75" customHeight="1" x14ac:dyDescent="0.25">
      <c r="N972" s="11"/>
      <c r="O972" s="11"/>
      <c r="P972" s="11"/>
      <c r="Q972" s="11"/>
    </row>
    <row r="973" spans="14:17" ht="15.75" customHeight="1" x14ac:dyDescent="0.25">
      <c r="N973" s="11"/>
      <c r="O973" s="11"/>
      <c r="P973" s="11"/>
      <c r="Q973" s="11"/>
    </row>
    <row r="974" spans="14:17" ht="15.75" customHeight="1" x14ac:dyDescent="0.25">
      <c r="N974" s="11"/>
      <c r="O974" s="11"/>
      <c r="P974" s="11"/>
      <c r="Q974" s="11"/>
    </row>
    <row r="975" spans="14:17" ht="15.75" customHeight="1" x14ac:dyDescent="0.25">
      <c r="N975" s="11"/>
      <c r="O975" s="11"/>
      <c r="P975" s="11"/>
      <c r="Q975" s="11"/>
    </row>
    <row r="976" spans="14:17" ht="15.75" customHeight="1" x14ac:dyDescent="0.25">
      <c r="N976" s="11"/>
      <c r="O976" s="11"/>
      <c r="P976" s="11"/>
      <c r="Q976" s="11"/>
    </row>
    <row r="977" spans="14:17" ht="15.75" customHeight="1" x14ac:dyDescent="0.25">
      <c r="N977" s="11"/>
      <c r="O977" s="11"/>
      <c r="P977" s="11"/>
      <c r="Q977" s="11"/>
    </row>
    <row r="978" spans="14:17" ht="15.75" customHeight="1" x14ac:dyDescent="0.25">
      <c r="N978" s="11"/>
      <c r="O978" s="11"/>
      <c r="P978" s="11"/>
      <c r="Q978" s="11"/>
    </row>
    <row r="979" spans="14:17" ht="15.75" customHeight="1" x14ac:dyDescent="0.25">
      <c r="N979" s="11"/>
      <c r="O979" s="11"/>
      <c r="P979" s="11"/>
      <c r="Q979" s="11"/>
    </row>
    <row r="980" spans="14:17" ht="15.75" customHeight="1" x14ac:dyDescent="0.25">
      <c r="N980" s="11"/>
      <c r="O980" s="11"/>
      <c r="P980" s="11"/>
      <c r="Q980" s="11"/>
    </row>
    <row r="981" spans="14:17" ht="15.75" customHeight="1" x14ac:dyDescent="0.25">
      <c r="N981" s="11"/>
      <c r="O981" s="11"/>
      <c r="P981" s="11"/>
      <c r="Q981" s="11"/>
    </row>
    <row r="982" spans="14:17" ht="15.75" customHeight="1" x14ac:dyDescent="0.25">
      <c r="N982" s="11"/>
      <c r="O982" s="11"/>
      <c r="P982" s="11"/>
      <c r="Q982" s="11"/>
    </row>
    <row r="983" spans="14:17" ht="15.75" customHeight="1" x14ac:dyDescent="0.25">
      <c r="N983" s="11"/>
      <c r="O983" s="11"/>
      <c r="P983" s="11"/>
      <c r="Q983" s="11"/>
    </row>
    <row r="984" spans="14:17" ht="15.75" customHeight="1" x14ac:dyDescent="0.25">
      <c r="N984" s="11"/>
      <c r="O984" s="11"/>
      <c r="P984" s="11"/>
      <c r="Q984" s="11"/>
    </row>
    <row r="985" spans="14:17" ht="15.75" customHeight="1" x14ac:dyDescent="0.25">
      <c r="N985" s="11"/>
      <c r="O985" s="11"/>
      <c r="P985" s="11"/>
      <c r="Q985" s="11"/>
    </row>
    <row r="986" spans="14:17" ht="15.75" customHeight="1" x14ac:dyDescent="0.25">
      <c r="N986" s="11"/>
      <c r="O986" s="11"/>
      <c r="P986" s="11"/>
      <c r="Q986" s="11"/>
    </row>
    <row r="987" spans="14:17" ht="15.75" customHeight="1" x14ac:dyDescent="0.25">
      <c r="N987" s="11"/>
      <c r="O987" s="11"/>
      <c r="P987" s="11"/>
      <c r="Q987" s="11"/>
    </row>
    <row r="988" spans="14:17" ht="15.75" customHeight="1" x14ac:dyDescent="0.25">
      <c r="N988" s="11"/>
      <c r="O988" s="11"/>
      <c r="P988" s="11"/>
      <c r="Q988" s="11"/>
    </row>
    <row r="989" spans="14:17" ht="15.75" customHeight="1" x14ac:dyDescent="0.25">
      <c r="N989" s="11"/>
      <c r="O989" s="11"/>
      <c r="P989" s="11"/>
      <c r="Q989" s="11"/>
    </row>
    <row r="990" spans="14:17" ht="15.75" customHeight="1" x14ac:dyDescent="0.25">
      <c r="N990" s="11"/>
      <c r="O990" s="11"/>
      <c r="P990" s="11"/>
      <c r="Q990" s="11"/>
    </row>
    <row r="991" spans="14:17" ht="15.75" customHeight="1" x14ac:dyDescent="0.25">
      <c r="N991" s="11"/>
      <c r="O991" s="11"/>
      <c r="P991" s="11"/>
      <c r="Q991" s="11"/>
    </row>
    <row r="992" spans="14:17" ht="15.75" customHeight="1" x14ac:dyDescent="0.25">
      <c r="N992" s="11"/>
      <c r="O992" s="11"/>
      <c r="P992" s="11"/>
      <c r="Q992" s="11"/>
    </row>
    <row r="993" spans="14:17" ht="15.75" customHeight="1" x14ac:dyDescent="0.25">
      <c r="N993" s="11"/>
      <c r="O993" s="11"/>
      <c r="P993" s="11"/>
      <c r="Q993" s="11"/>
    </row>
    <row r="994" spans="14:17" ht="15.75" customHeight="1" x14ac:dyDescent="0.25">
      <c r="N994" s="11"/>
      <c r="O994" s="11"/>
      <c r="P994" s="11"/>
      <c r="Q994" s="11"/>
    </row>
    <row r="995" spans="14:17" ht="15.75" customHeight="1" x14ac:dyDescent="0.25">
      <c r="N995" s="11"/>
      <c r="O995" s="11"/>
      <c r="P995" s="11"/>
      <c r="Q995" s="11"/>
    </row>
    <row r="996" spans="14:17" ht="15.75" customHeight="1" x14ac:dyDescent="0.25">
      <c r="N996" s="11"/>
      <c r="O996" s="11"/>
      <c r="P996" s="11"/>
      <c r="Q996" s="11"/>
    </row>
    <row r="997" spans="14:17" ht="15.75" customHeight="1" x14ac:dyDescent="0.25">
      <c r="N997" s="11"/>
      <c r="O997" s="11"/>
      <c r="P997" s="11"/>
      <c r="Q997" s="11"/>
    </row>
    <row r="998" spans="14:17" ht="15.75" customHeight="1" x14ac:dyDescent="0.25">
      <c r="N998" s="11"/>
      <c r="O998" s="11"/>
      <c r="P998" s="11"/>
      <c r="Q998" s="11"/>
    </row>
    <row r="999" spans="14:17" ht="15.75" customHeight="1" x14ac:dyDescent="0.25">
      <c r="N999" s="11"/>
      <c r="O999" s="11"/>
      <c r="P999" s="11"/>
      <c r="Q999" s="11"/>
    </row>
    <row r="1000" spans="14:17" ht="15.75" customHeight="1" x14ac:dyDescent="0.25"/>
  </sheetData>
  <mergeCells count="8">
    <mergeCell ref="P1:Q1"/>
    <mergeCell ref="T1:U1"/>
    <mergeCell ref="V1:W1"/>
    <mergeCell ref="B1:C1"/>
    <mergeCell ref="D1:E1"/>
    <mergeCell ref="H1:I1"/>
    <mergeCell ref="J1:K1"/>
    <mergeCell ref="N1:O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workbookViewId="0">
      <selection activeCell="O33" sqref="O33"/>
    </sheetView>
  </sheetViews>
  <sheetFormatPr defaultColWidth="14.42578125" defaultRowHeight="15" customHeight="1" x14ac:dyDescent="0.25"/>
  <cols>
    <col min="1" max="1" width="2" customWidth="1"/>
    <col min="2" max="2" width="3" customWidth="1"/>
    <col min="3" max="3" width="26.5703125" customWidth="1"/>
    <col min="4" max="4" width="13.140625" customWidth="1"/>
    <col min="5" max="5" width="8" customWidth="1"/>
    <col min="6" max="6" width="14.140625" customWidth="1"/>
    <col min="7" max="7" width="12" customWidth="1"/>
    <col min="8" max="8" width="1.7109375" customWidth="1"/>
    <col min="9" max="9" width="22.42578125" customWidth="1"/>
    <col min="10" max="10" width="14.140625" customWidth="1"/>
    <col min="11" max="11" width="8" customWidth="1"/>
    <col min="12" max="12" width="14.140625" customWidth="1"/>
    <col min="13" max="13" width="13.140625" customWidth="1"/>
    <col min="14" max="14" width="18.28515625" customWidth="1"/>
    <col min="15" max="15" width="13.140625" customWidth="1"/>
  </cols>
  <sheetData>
    <row r="1" spans="1:26" ht="11.25" customHeight="1" x14ac:dyDescent="0.25">
      <c r="A1" s="560" t="s">
        <v>151</v>
      </c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119"/>
      <c r="O1" s="120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 spans="1:26" ht="11.25" customHeight="1" x14ac:dyDescent="0.25">
      <c r="A2" s="122"/>
      <c r="B2" s="123"/>
      <c r="C2" s="119"/>
      <c r="D2" s="124" t="s">
        <v>152</v>
      </c>
      <c r="E2" s="125" t="s">
        <v>153</v>
      </c>
      <c r="F2" s="125" t="s">
        <v>154</v>
      </c>
      <c r="G2" s="126" t="s">
        <v>155</v>
      </c>
      <c r="H2" s="119"/>
      <c r="I2" s="127"/>
      <c r="J2" s="125" t="s">
        <v>154</v>
      </c>
      <c r="K2" s="125" t="s">
        <v>153</v>
      </c>
      <c r="L2" s="126" t="s">
        <v>152</v>
      </c>
      <c r="M2" s="122"/>
      <c r="N2" s="119"/>
      <c r="O2" s="120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spans="1:26" ht="11.25" customHeight="1" x14ac:dyDescent="0.25">
      <c r="A3" s="122"/>
      <c r="B3" s="123"/>
      <c r="C3" s="128" t="s">
        <v>156</v>
      </c>
      <c r="D3" s="129">
        <f t="shared" ref="D3:F3" si="0">SUM(D5:D61)</f>
        <v>17180.266838493331</v>
      </c>
      <c r="E3" s="130">
        <f t="shared" si="0"/>
        <v>1</v>
      </c>
      <c r="F3" s="131">
        <f t="shared" si="0"/>
        <v>206163.20206191996</v>
      </c>
      <c r="G3" s="132">
        <f>F3/52</f>
        <v>3964.6769627292301</v>
      </c>
      <c r="H3" s="119"/>
      <c r="I3" s="133" t="s">
        <v>157</v>
      </c>
      <c r="J3" s="134">
        <f>L29+L49</f>
        <v>276499.56874399999</v>
      </c>
      <c r="K3" s="135"/>
      <c r="L3" s="136">
        <f>J3/12</f>
        <v>23041.630728666667</v>
      </c>
      <c r="M3" s="122"/>
      <c r="N3" s="119"/>
      <c r="O3" s="120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ht="11.25" customHeight="1" x14ac:dyDescent="0.25">
      <c r="A4" s="122"/>
      <c r="B4" s="123"/>
      <c r="C4" s="119"/>
      <c r="D4" s="137"/>
      <c r="E4" s="138"/>
      <c r="F4" s="137"/>
      <c r="G4" s="137"/>
      <c r="H4" s="119"/>
      <c r="I4" s="139"/>
      <c r="J4" s="140"/>
      <c r="K4" s="141"/>
      <c r="L4" s="142"/>
      <c r="M4" s="122"/>
      <c r="N4" s="119"/>
      <c r="O4" s="120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</row>
    <row r="5" spans="1:26" ht="11.25" customHeight="1" x14ac:dyDescent="0.25">
      <c r="A5" s="124" t="s">
        <v>158</v>
      </c>
      <c r="B5" s="143">
        <v>1</v>
      </c>
      <c r="C5" s="144" t="s">
        <v>159</v>
      </c>
      <c r="D5" s="145">
        <v>1200</v>
      </c>
      <c r="E5" s="146">
        <f t="shared" ref="E5:E12" si="1">D5/$O$24</f>
        <v>6.98475763665867E-2</v>
      </c>
      <c r="F5" s="145">
        <f t="shared" ref="F5:F12" si="2">D5*12</f>
        <v>14400</v>
      </c>
      <c r="G5" s="147">
        <f t="shared" ref="G5:G12" si="3">F5/52</f>
        <v>276.92307692307691</v>
      </c>
      <c r="H5" s="119"/>
      <c r="I5" s="139" t="s">
        <v>160</v>
      </c>
      <c r="J5" s="140">
        <f>L31+L53+L54+L55</f>
        <v>4120.8999999999996</v>
      </c>
      <c r="K5" s="148">
        <f>J5/J3</f>
        <v>1.4903820713787E-2</v>
      </c>
      <c r="L5" s="142">
        <f t="shared" ref="L5:L6" si="4">J5/12</f>
        <v>343.4083333333333</v>
      </c>
      <c r="M5" s="122"/>
      <c r="N5" s="119"/>
      <c r="O5" s="120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 spans="1:26" ht="11.25" customHeight="1" x14ac:dyDescent="0.25">
      <c r="A6" s="149" t="s">
        <v>158</v>
      </c>
      <c r="B6" s="150">
        <v>2</v>
      </c>
      <c r="C6" s="151" t="s">
        <v>161</v>
      </c>
      <c r="D6" s="140">
        <v>1200</v>
      </c>
      <c r="E6" s="148">
        <f t="shared" si="1"/>
        <v>6.98475763665867E-2</v>
      </c>
      <c r="F6" s="140">
        <f t="shared" si="2"/>
        <v>14400</v>
      </c>
      <c r="G6" s="142">
        <f t="shared" si="3"/>
        <v>276.92307692307691</v>
      </c>
      <c r="H6" s="119"/>
      <c r="I6" s="139" t="s">
        <v>162</v>
      </c>
      <c r="J6" s="140">
        <f>L32+L56</f>
        <v>17269.97781208</v>
      </c>
      <c r="K6" s="148">
        <f>J6/J3</f>
        <v>6.2459330010997557E-2</v>
      </c>
      <c r="L6" s="142">
        <f t="shared" si="4"/>
        <v>1439.1648176733333</v>
      </c>
      <c r="M6" s="122"/>
      <c r="N6" s="119"/>
      <c r="O6" s="120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 spans="1:26" ht="11.25" customHeight="1" x14ac:dyDescent="0.25">
      <c r="A7" s="149" t="s">
        <v>158</v>
      </c>
      <c r="B7" s="150">
        <v>3</v>
      </c>
      <c r="C7" s="151" t="s">
        <v>163</v>
      </c>
      <c r="D7" s="140">
        <v>150</v>
      </c>
      <c r="E7" s="148">
        <f t="shared" si="1"/>
        <v>8.7309470458233375E-3</v>
      </c>
      <c r="F7" s="140">
        <f t="shared" si="2"/>
        <v>1800</v>
      </c>
      <c r="G7" s="142">
        <f t="shared" si="3"/>
        <v>34.615384615384613</v>
      </c>
      <c r="H7" s="119"/>
      <c r="I7" s="133" t="s">
        <v>164</v>
      </c>
      <c r="J7" s="134">
        <f>SUM(J5:J6)</f>
        <v>21390.877812079998</v>
      </c>
      <c r="K7" s="152">
        <f>J7/J3</f>
        <v>7.7363150724784543E-2</v>
      </c>
      <c r="L7" s="136">
        <f>SUM(L5:L6)</f>
        <v>1782.5731510066666</v>
      </c>
      <c r="M7" s="122"/>
      <c r="N7" s="119"/>
      <c r="O7" s="120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 spans="1:26" ht="11.25" customHeight="1" x14ac:dyDescent="0.25">
      <c r="A8" s="149" t="s">
        <v>158</v>
      </c>
      <c r="B8" s="150">
        <v>4</v>
      </c>
      <c r="C8" s="151" t="s">
        <v>165</v>
      </c>
      <c r="D8" s="140">
        <v>600</v>
      </c>
      <c r="E8" s="148">
        <f t="shared" si="1"/>
        <v>3.492378818329335E-2</v>
      </c>
      <c r="F8" s="140">
        <f t="shared" si="2"/>
        <v>7200</v>
      </c>
      <c r="G8" s="142">
        <f t="shared" si="3"/>
        <v>138.46153846153845</v>
      </c>
      <c r="H8" s="119"/>
      <c r="I8" s="139"/>
      <c r="J8" s="141"/>
      <c r="K8" s="148"/>
      <c r="L8" s="142"/>
      <c r="M8" s="122"/>
      <c r="N8" s="119"/>
      <c r="O8" s="120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 spans="1:26" ht="11.25" customHeight="1" x14ac:dyDescent="0.25">
      <c r="A9" s="149" t="s">
        <v>158</v>
      </c>
      <c r="B9" s="150">
        <v>5</v>
      </c>
      <c r="C9" s="151" t="s">
        <v>166</v>
      </c>
      <c r="D9" s="140">
        <v>700</v>
      </c>
      <c r="E9" s="148">
        <f t="shared" si="1"/>
        <v>4.0744419547175573E-2</v>
      </c>
      <c r="F9" s="140">
        <f t="shared" si="2"/>
        <v>8400</v>
      </c>
      <c r="G9" s="142">
        <f t="shared" si="3"/>
        <v>161.53846153846155</v>
      </c>
      <c r="H9" s="119"/>
      <c r="I9" s="133" t="s">
        <v>167</v>
      </c>
      <c r="J9" s="134">
        <f>L35+L59</f>
        <v>255924.69093192002</v>
      </c>
      <c r="K9" s="152"/>
      <c r="L9" s="136">
        <f>J9/12</f>
        <v>21327.057577660002</v>
      </c>
      <c r="M9" s="137"/>
      <c r="N9" s="119"/>
      <c r="O9" s="120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ht="11.25" customHeight="1" x14ac:dyDescent="0.25">
      <c r="A10" s="149" t="s">
        <v>158</v>
      </c>
      <c r="B10" s="150">
        <v>6</v>
      </c>
      <c r="C10" s="151" t="s">
        <v>168</v>
      </c>
      <c r="D10" s="140">
        <v>900</v>
      </c>
      <c r="E10" s="148">
        <f t="shared" si="1"/>
        <v>5.2385682274940025E-2</v>
      </c>
      <c r="F10" s="140">
        <f t="shared" si="2"/>
        <v>10800</v>
      </c>
      <c r="G10" s="142">
        <f t="shared" si="3"/>
        <v>207.69230769230768</v>
      </c>
      <c r="H10" s="119"/>
      <c r="I10" s="139"/>
      <c r="J10" s="140"/>
      <c r="K10" s="148"/>
      <c r="L10" s="142"/>
      <c r="M10" s="137"/>
      <c r="N10" s="119"/>
      <c r="O10" s="120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 spans="1:26" ht="11.25" customHeight="1" x14ac:dyDescent="0.25">
      <c r="A11" s="153" t="s">
        <v>158</v>
      </c>
      <c r="B11" s="154">
        <v>7</v>
      </c>
      <c r="C11" s="155" t="s">
        <v>169</v>
      </c>
      <c r="D11" s="156">
        <v>350</v>
      </c>
      <c r="E11" s="157">
        <f t="shared" si="1"/>
        <v>2.0372209773587786E-2</v>
      </c>
      <c r="F11" s="156">
        <f t="shared" si="2"/>
        <v>4200</v>
      </c>
      <c r="G11" s="158">
        <f t="shared" si="3"/>
        <v>80.769230769230774</v>
      </c>
      <c r="H11" s="119"/>
      <c r="I11" s="139" t="s">
        <v>170</v>
      </c>
      <c r="J11" s="140">
        <f t="shared" ref="J11:J14" si="5">L37+L61</f>
        <v>39427.360000000001</v>
      </c>
      <c r="K11" s="148">
        <f>J11/J9</f>
        <v>0.15405844530447552</v>
      </c>
      <c r="L11" s="142">
        <f t="shared" ref="L11:L16" si="6">J11/12</f>
        <v>3285.6133333333332</v>
      </c>
      <c r="M11" s="122"/>
      <c r="N11" s="119"/>
      <c r="O11" s="120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 spans="1:26" ht="11.25" customHeight="1" x14ac:dyDescent="0.25">
      <c r="A12" s="159" t="s">
        <v>158</v>
      </c>
      <c r="B12" s="160">
        <v>8</v>
      </c>
      <c r="C12" s="161" t="s">
        <v>171</v>
      </c>
      <c r="D12" s="131">
        <v>700</v>
      </c>
      <c r="E12" s="130">
        <f t="shared" si="1"/>
        <v>4.0744419547175573E-2</v>
      </c>
      <c r="F12" s="131">
        <f t="shared" si="2"/>
        <v>8400</v>
      </c>
      <c r="G12" s="132">
        <f t="shared" si="3"/>
        <v>161.53846153846155</v>
      </c>
      <c r="H12" s="119"/>
      <c r="I12" s="139" t="s">
        <v>172</v>
      </c>
      <c r="J12" s="140">
        <f t="shared" si="5"/>
        <v>7415.6</v>
      </c>
      <c r="K12" s="148">
        <f>J12/J9</f>
        <v>2.8975711460261823E-2</v>
      </c>
      <c r="L12" s="142">
        <f t="shared" si="6"/>
        <v>617.9666666666667</v>
      </c>
      <c r="M12" s="122"/>
      <c r="N12" s="119"/>
      <c r="O12" s="120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 spans="1:26" ht="11.25" customHeight="1" x14ac:dyDescent="0.25">
      <c r="A13" s="122"/>
      <c r="B13" s="123"/>
      <c r="C13" s="162"/>
      <c r="D13" s="137"/>
      <c r="E13" s="138"/>
      <c r="F13" s="137"/>
      <c r="G13" s="137"/>
      <c r="H13" s="119"/>
      <c r="I13" s="139" t="s">
        <v>173</v>
      </c>
      <c r="J13" s="140">
        <f t="shared" si="5"/>
        <v>3961.26451</v>
      </c>
      <c r="K13" s="148">
        <f>J13/(J9+J6)</f>
        <v>1.4499787013457225E-2</v>
      </c>
      <c r="L13" s="142">
        <f t="shared" si="6"/>
        <v>330.10537583333331</v>
      </c>
      <c r="M13" s="122"/>
      <c r="N13" s="119"/>
      <c r="O13" s="120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 spans="1:26" ht="11.25" customHeight="1" x14ac:dyDescent="0.25">
      <c r="A14" s="124" t="s">
        <v>174</v>
      </c>
      <c r="B14" s="143">
        <v>9</v>
      </c>
      <c r="C14" s="163" t="s">
        <v>58</v>
      </c>
      <c r="D14" s="145">
        <v>1285</v>
      </c>
      <c r="E14" s="146">
        <f t="shared" ref="E14:E31" si="7">D14/$O$24</f>
        <v>7.4795113025886595E-2</v>
      </c>
      <c r="F14" s="145">
        <f t="shared" ref="F14:F31" si="8">D14*12</f>
        <v>15420</v>
      </c>
      <c r="G14" s="147">
        <f t="shared" ref="G14:G31" si="9">F14/52</f>
        <v>296.53846153846155</v>
      </c>
      <c r="H14" s="119"/>
      <c r="I14" s="139" t="s">
        <v>175</v>
      </c>
      <c r="J14" s="140">
        <f t="shared" si="5"/>
        <v>16938.027560000002</v>
      </c>
      <c r="K14" s="148">
        <f>J14/(J9+J6)</f>
        <v>6.1999846621721456E-2</v>
      </c>
      <c r="L14" s="142">
        <f t="shared" si="6"/>
        <v>1411.5022966666668</v>
      </c>
      <c r="M14" s="122"/>
      <c r="N14" s="119"/>
      <c r="O14" s="120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spans="1:26" ht="11.25" customHeight="1" x14ac:dyDescent="0.25">
      <c r="A15" s="149" t="s">
        <v>174</v>
      </c>
      <c r="B15" s="150">
        <v>10</v>
      </c>
      <c r="C15" s="164" t="s">
        <v>176</v>
      </c>
      <c r="D15" s="140">
        <v>20</v>
      </c>
      <c r="E15" s="148">
        <f t="shared" si="7"/>
        <v>1.164126272776445E-3</v>
      </c>
      <c r="F15" s="140">
        <f t="shared" si="8"/>
        <v>240</v>
      </c>
      <c r="G15" s="142">
        <f t="shared" si="9"/>
        <v>4.615384615384615</v>
      </c>
      <c r="H15" s="119"/>
      <c r="I15" s="139" t="s">
        <v>177</v>
      </c>
      <c r="J15" s="140">
        <f>L41</f>
        <v>833.99680000000001</v>
      </c>
      <c r="K15" s="148">
        <f>J15/J3</f>
        <v>3.0162679956009793E-3</v>
      </c>
      <c r="L15" s="142">
        <f t="shared" si="6"/>
        <v>69.499733333333339</v>
      </c>
      <c r="M15" s="122"/>
      <c r="N15" s="119"/>
      <c r="O15" s="120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1:26" ht="11.25" customHeight="1" x14ac:dyDescent="0.25">
      <c r="A16" s="149" t="s">
        <v>174</v>
      </c>
      <c r="B16" s="150">
        <v>11</v>
      </c>
      <c r="C16" s="164" t="s">
        <v>178</v>
      </c>
      <c r="D16" s="140">
        <v>270</v>
      </c>
      <c r="E16" s="148">
        <f t="shared" si="7"/>
        <v>1.5715704682482009E-2</v>
      </c>
      <c r="F16" s="140">
        <f t="shared" si="8"/>
        <v>3240</v>
      </c>
      <c r="G16" s="142">
        <f t="shared" si="9"/>
        <v>62.307692307692307</v>
      </c>
      <c r="H16" s="119"/>
      <c r="I16" s="139" t="s">
        <v>179</v>
      </c>
      <c r="J16" s="140">
        <f>L65</f>
        <v>4326.24</v>
      </c>
      <c r="K16" s="148">
        <f>J16/J9</f>
        <v>1.6904347854232039E-2</v>
      </c>
      <c r="L16" s="142">
        <f t="shared" si="6"/>
        <v>360.52</v>
      </c>
      <c r="M16" s="122"/>
      <c r="N16" s="119"/>
      <c r="O16" s="120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spans="1:26" ht="11.25" customHeight="1" x14ac:dyDescent="0.25">
      <c r="A17" s="149" t="s">
        <v>174</v>
      </c>
      <c r="B17" s="150">
        <v>12</v>
      </c>
      <c r="C17" s="151" t="s">
        <v>180</v>
      </c>
      <c r="D17" s="140">
        <v>205</v>
      </c>
      <c r="E17" s="148">
        <f t="shared" si="7"/>
        <v>1.1932294295958561E-2</v>
      </c>
      <c r="F17" s="140">
        <f t="shared" si="8"/>
        <v>2460</v>
      </c>
      <c r="G17" s="142">
        <f t="shared" si="9"/>
        <v>47.307692307692307</v>
      </c>
      <c r="H17" s="119"/>
      <c r="I17" s="133" t="s">
        <v>181</v>
      </c>
      <c r="J17" s="134">
        <f>SUM(J11:J16)</f>
        <v>72902.488870000001</v>
      </c>
      <c r="K17" s="152">
        <f>J17/J3</f>
        <v>0.26366221546442098</v>
      </c>
      <c r="L17" s="136">
        <f>SUM(L11:L16)</f>
        <v>6075.2074058333328</v>
      </c>
      <c r="M17" s="122"/>
      <c r="N17" s="119"/>
      <c r="O17" s="120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spans="1:26" ht="11.25" customHeight="1" x14ac:dyDescent="0.25">
      <c r="A18" s="149" t="s">
        <v>174</v>
      </c>
      <c r="B18" s="150">
        <v>13</v>
      </c>
      <c r="C18" s="151" t="s">
        <v>182</v>
      </c>
      <c r="D18" s="140">
        <v>180</v>
      </c>
      <c r="E18" s="148">
        <f t="shared" si="7"/>
        <v>1.0477136454988005E-2</v>
      </c>
      <c r="F18" s="140">
        <f t="shared" si="8"/>
        <v>2160</v>
      </c>
      <c r="G18" s="142">
        <f t="shared" si="9"/>
        <v>41.53846153846154</v>
      </c>
      <c r="H18" s="119"/>
      <c r="I18" s="139"/>
      <c r="J18" s="140"/>
      <c r="K18" s="148"/>
      <c r="L18" s="142"/>
      <c r="M18" s="122"/>
      <c r="N18" s="119"/>
      <c r="O18" s="120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 spans="1:26" ht="11.25" customHeight="1" x14ac:dyDescent="0.25">
      <c r="A19" s="149" t="s">
        <v>174</v>
      </c>
      <c r="B19" s="150">
        <v>14</v>
      </c>
      <c r="C19" s="165" t="s">
        <v>183</v>
      </c>
      <c r="D19" s="140">
        <v>140</v>
      </c>
      <c r="E19" s="148">
        <f t="shared" si="7"/>
        <v>8.1488839094351149E-3</v>
      </c>
      <c r="F19" s="140">
        <f t="shared" si="8"/>
        <v>1680</v>
      </c>
      <c r="G19" s="142">
        <f t="shared" si="9"/>
        <v>32.307692307692307</v>
      </c>
      <c r="H19" s="119"/>
      <c r="I19" s="166" t="s">
        <v>184</v>
      </c>
      <c r="J19" s="167">
        <f>L44+L68</f>
        <v>182206.20206191996</v>
      </c>
      <c r="K19" s="168">
        <f>J19/J3</f>
        <v>0.65897463381079435</v>
      </c>
      <c r="L19" s="169"/>
      <c r="M19" s="122"/>
      <c r="N19" s="119"/>
      <c r="O19" s="120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 spans="1:26" ht="11.25" customHeight="1" x14ac:dyDescent="0.25">
      <c r="A20" s="149" t="s">
        <v>174</v>
      </c>
      <c r="B20" s="150">
        <v>15</v>
      </c>
      <c r="C20" s="151" t="s">
        <v>185</v>
      </c>
      <c r="D20" s="140">
        <v>100</v>
      </c>
      <c r="E20" s="148">
        <f t="shared" si="7"/>
        <v>5.8206313638822253E-3</v>
      </c>
      <c r="F20" s="140">
        <f t="shared" si="8"/>
        <v>1200</v>
      </c>
      <c r="G20" s="142">
        <f t="shared" si="9"/>
        <v>23.076923076923077</v>
      </c>
      <c r="H20" s="119"/>
      <c r="I20" s="139"/>
      <c r="J20" s="140"/>
      <c r="K20" s="148"/>
      <c r="L20" s="142"/>
      <c r="M20" s="122"/>
      <c r="N20" s="119"/>
      <c r="O20" s="120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 spans="1:26" ht="11.25" customHeight="1" x14ac:dyDescent="0.25">
      <c r="A21" s="149" t="s">
        <v>174</v>
      </c>
      <c r="B21" s="150">
        <v>16</v>
      </c>
      <c r="C21" s="164" t="s">
        <v>186</v>
      </c>
      <c r="D21" s="140">
        <v>0</v>
      </c>
      <c r="E21" s="148">
        <f t="shared" si="7"/>
        <v>0</v>
      </c>
      <c r="F21" s="140">
        <f t="shared" si="8"/>
        <v>0</v>
      </c>
      <c r="G21" s="142">
        <f t="shared" si="9"/>
        <v>0</v>
      </c>
      <c r="H21" s="119"/>
      <c r="I21" s="139" t="s">
        <v>187</v>
      </c>
      <c r="J21" s="140">
        <v>14357</v>
      </c>
      <c r="K21" s="148"/>
      <c r="L21" s="142">
        <f t="shared" ref="L21:L22" si="10">J21/12</f>
        <v>1196.4166666666667</v>
      </c>
      <c r="M21" s="122"/>
      <c r="N21" s="119"/>
      <c r="O21" s="120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 spans="1:26" ht="11.25" customHeight="1" x14ac:dyDescent="0.25">
      <c r="A22" s="149" t="s">
        <v>174</v>
      </c>
      <c r="B22" s="150">
        <v>17</v>
      </c>
      <c r="C22" s="151" t="s">
        <v>188</v>
      </c>
      <c r="D22" s="140">
        <v>145</v>
      </c>
      <c r="E22" s="148">
        <f t="shared" si="7"/>
        <v>8.4399154776292253E-3</v>
      </c>
      <c r="F22" s="140">
        <f t="shared" si="8"/>
        <v>1740</v>
      </c>
      <c r="G22" s="142">
        <f t="shared" si="9"/>
        <v>33.46153846153846</v>
      </c>
      <c r="H22" s="119"/>
      <c r="I22" s="139" t="s">
        <v>189</v>
      </c>
      <c r="J22" s="140">
        <v>9600</v>
      </c>
      <c r="K22" s="148"/>
      <c r="L22" s="142">
        <f t="shared" si="10"/>
        <v>800</v>
      </c>
      <c r="M22" s="137">
        <f>L22-D31-D35-D40-D41-D42-D43</f>
        <v>240</v>
      </c>
      <c r="N22" s="120">
        <f>M22*12</f>
        <v>2880</v>
      </c>
      <c r="O22" s="120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 spans="1:26" ht="11.25" customHeight="1" x14ac:dyDescent="0.25">
      <c r="A23" s="149" t="s">
        <v>174</v>
      </c>
      <c r="B23" s="150">
        <v>18</v>
      </c>
      <c r="C23" s="165" t="s">
        <v>190</v>
      </c>
      <c r="D23" s="140">
        <v>400</v>
      </c>
      <c r="E23" s="148">
        <f t="shared" si="7"/>
        <v>2.3282525455528901E-2</v>
      </c>
      <c r="F23" s="140">
        <f t="shared" si="8"/>
        <v>4800</v>
      </c>
      <c r="G23" s="142">
        <f t="shared" si="9"/>
        <v>92.307692307692307</v>
      </c>
      <c r="H23" s="119"/>
      <c r="I23" s="139"/>
      <c r="J23" s="141"/>
      <c r="K23" s="141"/>
      <c r="L23" s="142"/>
      <c r="M23" s="122"/>
      <c r="N23" s="119"/>
      <c r="O23" s="120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 spans="1:26" ht="11.25" customHeight="1" x14ac:dyDescent="0.25">
      <c r="A24" s="149" t="s">
        <v>174</v>
      </c>
      <c r="B24" s="150">
        <v>19</v>
      </c>
      <c r="C24" s="165" t="s">
        <v>191</v>
      </c>
      <c r="D24" s="140">
        <v>200</v>
      </c>
      <c r="E24" s="148">
        <f t="shared" si="7"/>
        <v>1.1641262727764451E-2</v>
      </c>
      <c r="F24" s="140">
        <f t="shared" si="8"/>
        <v>2400</v>
      </c>
      <c r="G24" s="142">
        <f t="shared" si="9"/>
        <v>46.153846153846153</v>
      </c>
      <c r="H24" s="119"/>
      <c r="I24" s="170" t="s">
        <v>192</v>
      </c>
      <c r="J24" s="171">
        <f>J19+J22+J21</f>
        <v>206163.20206191996</v>
      </c>
      <c r="K24" s="172">
        <f>(J24+J6)/J3</f>
        <v>0.8080778602619374</v>
      </c>
      <c r="L24" s="173">
        <f>J24/12</f>
        <v>17180.266838493331</v>
      </c>
      <c r="M24" s="122"/>
      <c r="N24" s="174">
        <f>J21+J22+N44+N68</f>
        <v>206163.20206191996</v>
      </c>
      <c r="O24" s="120">
        <f>N24/12</f>
        <v>17180.266838493331</v>
      </c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 spans="1:26" ht="11.25" customHeight="1" x14ac:dyDescent="0.25">
      <c r="A25" s="149" t="s">
        <v>174</v>
      </c>
      <c r="B25" s="150">
        <v>20</v>
      </c>
      <c r="C25" s="165" t="s">
        <v>193</v>
      </c>
      <c r="D25" s="140">
        <v>600</v>
      </c>
      <c r="E25" s="148">
        <f t="shared" si="7"/>
        <v>3.492378818329335E-2</v>
      </c>
      <c r="F25" s="140">
        <f t="shared" si="8"/>
        <v>7200</v>
      </c>
      <c r="G25" s="142">
        <f t="shared" si="9"/>
        <v>138.46153846153845</v>
      </c>
      <c r="H25" s="119"/>
      <c r="I25" s="119"/>
      <c r="J25" s="137"/>
      <c r="K25" s="138"/>
      <c r="L25" s="137"/>
      <c r="M25" s="122"/>
      <c r="N25" s="119"/>
      <c r="O25" s="120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 spans="1:26" ht="11.25" customHeight="1" x14ac:dyDescent="0.25">
      <c r="A26" s="149" t="s">
        <v>174</v>
      </c>
      <c r="B26" s="150">
        <v>21</v>
      </c>
      <c r="C26" s="164" t="s">
        <v>194</v>
      </c>
      <c r="D26" s="140">
        <v>85</v>
      </c>
      <c r="E26" s="148">
        <f t="shared" si="7"/>
        <v>4.9475366592998914E-3</v>
      </c>
      <c r="F26" s="140">
        <f t="shared" si="8"/>
        <v>1020</v>
      </c>
      <c r="G26" s="142">
        <f t="shared" si="9"/>
        <v>19.615384615384617</v>
      </c>
      <c r="H26" s="119"/>
      <c r="I26" s="119"/>
      <c r="J26" s="137"/>
      <c r="K26" s="138"/>
      <c r="L26" s="137"/>
      <c r="M26" s="122"/>
      <c r="N26" s="119"/>
      <c r="O26" s="120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 spans="1:26" ht="11.25" customHeight="1" x14ac:dyDescent="0.25">
      <c r="A27" s="149" t="s">
        <v>174</v>
      </c>
      <c r="B27" s="150">
        <v>22</v>
      </c>
      <c r="C27" s="164" t="s">
        <v>195</v>
      </c>
      <c r="D27" s="140">
        <v>100</v>
      </c>
      <c r="E27" s="148">
        <f t="shared" si="7"/>
        <v>5.8206313638822253E-3</v>
      </c>
      <c r="F27" s="140">
        <f t="shared" si="8"/>
        <v>1200</v>
      </c>
      <c r="G27" s="142">
        <f t="shared" si="9"/>
        <v>23.076923076923077</v>
      </c>
      <c r="H27" s="119"/>
      <c r="I27" s="127" t="s">
        <v>196</v>
      </c>
      <c r="J27" s="175">
        <v>50.12</v>
      </c>
      <c r="K27" s="163"/>
      <c r="L27" s="163"/>
      <c r="M27" s="176"/>
      <c r="N27" s="119"/>
      <c r="O27" s="120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 spans="1:26" ht="11.25" customHeight="1" x14ac:dyDescent="0.25">
      <c r="A28" s="149" t="s">
        <v>174</v>
      </c>
      <c r="B28" s="150">
        <v>23</v>
      </c>
      <c r="C28" s="165" t="s">
        <v>197</v>
      </c>
      <c r="D28" s="140">
        <v>1200</v>
      </c>
      <c r="E28" s="148">
        <f t="shared" si="7"/>
        <v>6.98475763665867E-2</v>
      </c>
      <c r="F28" s="140">
        <f t="shared" si="8"/>
        <v>14400</v>
      </c>
      <c r="G28" s="142">
        <f t="shared" si="9"/>
        <v>276.92307692307691</v>
      </c>
      <c r="H28" s="119"/>
      <c r="I28" s="139"/>
      <c r="J28" s="141" t="s">
        <v>198</v>
      </c>
      <c r="K28" s="141" t="s">
        <v>153</v>
      </c>
      <c r="L28" s="141" t="s">
        <v>154</v>
      </c>
      <c r="M28" s="177" t="s">
        <v>152</v>
      </c>
      <c r="N28" s="119"/>
      <c r="O28" s="120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spans="1:26" ht="11.25" customHeight="1" x14ac:dyDescent="0.25">
      <c r="A29" s="149" t="s">
        <v>174</v>
      </c>
      <c r="B29" s="150">
        <v>24</v>
      </c>
      <c r="C29" s="164" t="s">
        <v>199</v>
      </c>
      <c r="D29" s="140">
        <v>120</v>
      </c>
      <c r="E29" s="148">
        <f t="shared" si="7"/>
        <v>6.9847576366586697E-3</v>
      </c>
      <c r="F29" s="140">
        <f t="shared" si="8"/>
        <v>1440</v>
      </c>
      <c r="G29" s="142">
        <f t="shared" si="9"/>
        <v>27.692307692307693</v>
      </c>
      <c r="H29" s="119"/>
      <c r="I29" s="133" t="s">
        <v>157</v>
      </c>
      <c r="J29" s="134">
        <f>J27*80</f>
        <v>4009.6</v>
      </c>
      <c r="K29" s="135"/>
      <c r="L29" s="134">
        <f>J29*26</f>
        <v>104249.59999999999</v>
      </c>
      <c r="M29" s="136">
        <f>L29/12</f>
        <v>8687.4666666666653</v>
      </c>
      <c r="N29" s="119"/>
      <c r="O29" s="120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11.25" customHeight="1" x14ac:dyDescent="0.25">
      <c r="A30" s="149" t="s">
        <v>174</v>
      </c>
      <c r="B30" s="150">
        <v>42</v>
      </c>
      <c r="C30" s="164" t="s">
        <v>200</v>
      </c>
      <c r="D30" s="140">
        <v>75</v>
      </c>
      <c r="E30" s="148">
        <f t="shared" si="7"/>
        <v>4.3654735229116687E-3</v>
      </c>
      <c r="F30" s="140">
        <f t="shared" si="8"/>
        <v>900</v>
      </c>
      <c r="G30" s="142">
        <f t="shared" si="9"/>
        <v>17.307692307692307</v>
      </c>
      <c r="H30" s="119"/>
      <c r="I30" s="139"/>
      <c r="J30" s="140"/>
      <c r="K30" s="141"/>
      <c r="L30" s="140"/>
      <c r="M30" s="142"/>
      <c r="N30" s="119"/>
      <c r="O30" s="120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 spans="1:26" ht="11.25" customHeight="1" x14ac:dyDescent="0.25">
      <c r="A31" s="159" t="s">
        <v>174</v>
      </c>
      <c r="B31" s="160">
        <v>43</v>
      </c>
      <c r="C31" s="178" t="s">
        <v>201</v>
      </c>
      <c r="D31" s="131">
        <v>75</v>
      </c>
      <c r="E31" s="130">
        <f t="shared" si="7"/>
        <v>4.3654735229116687E-3</v>
      </c>
      <c r="F31" s="131">
        <f t="shared" si="8"/>
        <v>900</v>
      </c>
      <c r="G31" s="132">
        <f t="shared" si="9"/>
        <v>17.307692307692307</v>
      </c>
      <c r="H31" s="119"/>
      <c r="I31" s="139" t="s">
        <v>202</v>
      </c>
      <c r="J31" s="140">
        <v>157.97</v>
      </c>
      <c r="K31" s="148">
        <f>J31/J29</f>
        <v>3.9397944932162809E-2</v>
      </c>
      <c r="L31" s="140">
        <f t="shared" ref="L31:L32" si="11">J31*26</f>
        <v>4107.22</v>
      </c>
      <c r="M31" s="142">
        <f t="shared" ref="M31:M32" si="12">L31/12</f>
        <v>342.26833333333337</v>
      </c>
      <c r="N31" s="119"/>
      <c r="O31" s="120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 spans="1:26" ht="11.25" customHeight="1" x14ac:dyDescent="0.25">
      <c r="A32" s="122"/>
      <c r="B32" s="123"/>
      <c r="C32" s="119"/>
      <c r="D32" s="137"/>
      <c r="E32" s="138"/>
      <c r="F32" s="137"/>
      <c r="G32" s="137"/>
      <c r="H32" s="119"/>
      <c r="I32" s="139" t="s">
        <v>97</v>
      </c>
      <c r="J32" s="140">
        <f>K32*J29</f>
        <v>200.48000000000002</v>
      </c>
      <c r="K32" s="148">
        <v>0.05</v>
      </c>
      <c r="L32" s="140">
        <f t="shared" si="11"/>
        <v>5212.4800000000005</v>
      </c>
      <c r="M32" s="142">
        <f t="shared" si="12"/>
        <v>434.37333333333339</v>
      </c>
      <c r="N32" s="119"/>
      <c r="O32" s="120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 spans="1:26" ht="11.25" customHeight="1" x14ac:dyDescent="0.25">
      <c r="A33" s="124" t="s">
        <v>203</v>
      </c>
      <c r="B33" s="143">
        <v>25</v>
      </c>
      <c r="C33" s="144" t="s">
        <v>204</v>
      </c>
      <c r="D33" s="145">
        <v>350</v>
      </c>
      <c r="E33" s="146">
        <f t="shared" ref="E33:E43" si="13">D33/$O$24</f>
        <v>2.0372209773587786E-2</v>
      </c>
      <c r="F33" s="145">
        <f t="shared" ref="F33:F43" si="14">D33*12</f>
        <v>4200</v>
      </c>
      <c r="G33" s="147">
        <f t="shared" ref="G33:G43" si="15">F33/52</f>
        <v>80.769230769230774</v>
      </c>
      <c r="H33" s="119"/>
      <c r="I33" s="133" t="s">
        <v>164</v>
      </c>
      <c r="J33" s="134">
        <f>SUM(J31:J32)</f>
        <v>358.45000000000005</v>
      </c>
      <c r="K33" s="152"/>
      <c r="L33" s="134"/>
      <c r="M33" s="136"/>
      <c r="N33" s="119"/>
      <c r="O33" s="120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 spans="1:26" ht="11.25" customHeight="1" x14ac:dyDescent="0.25">
      <c r="A34" s="149" t="s">
        <v>203</v>
      </c>
      <c r="B34" s="150">
        <v>26</v>
      </c>
      <c r="C34" s="164" t="s">
        <v>205</v>
      </c>
      <c r="D34" s="140">
        <v>320</v>
      </c>
      <c r="E34" s="148">
        <f t="shared" si="13"/>
        <v>1.862602036442312E-2</v>
      </c>
      <c r="F34" s="140">
        <f t="shared" si="14"/>
        <v>3840</v>
      </c>
      <c r="G34" s="142">
        <f t="shared" si="15"/>
        <v>73.84615384615384</v>
      </c>
      <c r="H34" s="119"/>
      <c r="I34" s="139"/>
      <c r="J34" s="140"/>
      <c r="K34" s="148"/>
      <c r="L34" s="140"/>
      <c r="M34" s="142"/>
      <c r="N34" s="119"/>
      <c r="O34" s="120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 spans="1:26" ht="11.25" customHeight="1" x14ac:dyDescent="0.25">
      <c r="A35" s="149" t="s">
        <v>203</v>
      </c>
      <c r="B35" s="150">
        <v>27</v>
      </c>
      <c r="C35" s="164" t="s">
        <v>206</v>
      </c>
      <c r="D35" s="140">
        <v>25</v>
      </c>
      <c r="E35" s="148">
        <f t="shared" si="13"/>
        <v>1.4551578409705563E-3</v>
      </c>
      <c r="F35" s="140">
        <f t="shared" si="14"/>
        <v>300</v>
      </c>
      <c r="G35" s="142">
        <f t="shared" si="15"/>
        <v>5.7692307692307692</v>
      </c>
      <c r="H35" s="119"/>
      <c r="I35" s="133" t="s">
        <v>167</v>
      </c>
      <c r="J35" s="134">
        <f>J29+J30-J31-J32</f>
        <v>3651.15</v>
      </c>
      <c r="K35" s="152">
        <f>J35/J29</f>
        <v>0.9106020550678372</v>
      </c>
      <c r="L35" s="134">
        <f>J35*26</f>
        <v>94929.900000000009</v>
      </c>
      <c r="M35" s="136">
        <f>L35/12</f>
        <v>7910.8250000000007</v>
      </c>
      <c r="N35" s="119"/>
      <c r="O35" s="120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 spans="1:26" ht="11.25" customHeight="1" x14ac:dyDescent="0.25">
      <c r="A36" s="149" t="s">
        <v>203</v>
      </c>
      <c r="B36" s="150">
        <v>28</v>
      </c>
      <c r="C36" s="164" t="s">
        <v>207</v>
      </c>
      <c r="D36" s="140">
        <v>25</v>
      </c>
      <c r="E36" s="148">
        <f t="shared" si="13"/>
        <v>1.4551578409705563E-3</v>
      </c>
      <c r="F36" s="140">
        <f t="shared" si="14"/>
        <v>300</v>
      </c>
      <c r="G36" s="142">
        <f t="shared" si="15"/>
        <v>5.7692307692307692</v>
      </c>
      <c r="H36" s="119"/>
      <c r="I36" s="139"/>
      <c r="J36" s="140"/>
      <c r="K36" s="148"/>
      <c r="L36" s="140"/>
      <c r="M36" s="142"/>
      <c r="N36" s="119"/>
      <c r="O36" s="120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 spans="1:26" ht="11.25" customHeight="1" x14ac:dyDescent="0.25">
      <c r="A37" s="149" t="s">
        <v>203</v>
      </c>
      <c r="B37" s="150">
        <v>29</v>
      </c>
      <c r="C37" s="164" t="s">
        <v>208</v>
      </c>
      <c r="D37" s="140">
        <v>45</v>
      </c>
      <c r="E37" s="148">
        <f t="shared" si="13"/>
        <v>2.6192841137470013E-3</v>
      </c>
      <c r="F37" s="140">
        <f t="shared" si="14"/>
        <v>540</v>
      </c>
      <c r="G37" s="142">
        <f t="shared" si="15"/>
        <v>10.384615384615385</v>
      </c>
      <c r="H37" s="119"/>
      <c r="I37" s="139" t="s">
        <v>170</v>
      </c>
      <c r="J37" s="140">
        <v>463.64</v>
      </c>
      <c r="K37" s="148">
        <f>J37/J35</f>
        <v>0.12698464867233611</v>
      </c>
      <c r="L37" s="140">
        <f t="shared" ref="L37:L41" si="16">J37*26</f>
        <v>12054.64</v>
      </c>
      <c r="M37" s="142">
        <f t="shared" ref="M37:M41" si="17">L37/12</f>
        <v>1004.5533333333333</v>
      </c>
      <c r="N37" s="119"/>
      <c r="O37" s="120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 spans="1:26" ht="11.25" customHeight="1" x14ac:dyDescent="0.25">
      <c r="A38" s="149" t="s">
        <v>203</v>
      </c>
      <c r="B38" s="150">
        <v>30</v>
      </c>
      <c r="C38" s="164" t="s">
        <v>209</v>
      </c>
      <c r="D38" s="140">
        <v>400</v>
      </c>
      <c r="E38" s="148">
        <f t="shared" si="13"/>
        <v>2.3282525455528901E-2</v>
      </c>
      <c r="F38" s="140">
        <f t="shared" si="14"/>
        <v>4800</v>
      </c>
      <c r="G38" s="142">
        <f t="shared" si="15"/>
        <v>92.307692307692307</v>
      </c>
      <c r="H38" s="119"/>
      <c r="I38" s="139" t="s">
        <v>172</v>
      </c>
      <c r="J38" s="140">
        <v>97</v>
      </c>
      <c r="K38" s="148">
        <f>J38/J35</f>
        <v>2.6566972049902084E-2</v>
      </c>
      <c r="L38" s="140">
        <f t="shared" si="16"/>
        <v>2522</v>
      </c>
      <c r="M38" s="142">
        <f t="shared" si="17"/>
        <v>210.16666666666666</v>
      </c>
      <c r="N38" s="119"/>
      <c r="O38" s="120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 spans="1:26" ht="11.25" customHeight="1" x14ac:dyDescent="0.25">
      <c r="A39" s="149" t="s">
        <v>203</v>
      </c>
      <c r="B39" s="150">
        <v>31</v>
      </c>
      <c r="C39" s="164" t="s">
        <v>210</v>
      </c>
      <c r="D39" s="140">
        <v>375</v>
      </c>
      <c r="E39" s="148">
        <f t="shared" si="13"/>
        <v>2.1827367614558342E-2</v>
      </c>
      <c r="F39" s="140">
        <f t="shared" si="14"/>
        <v>4500</v>
      </c>
      <c r="G39" s="142">
        <f t="shared" si="15"/>
        <v>86.538461538461533</v>
      </c>
      <c r="H39" s="119"/>
      <c r="I39" s="139" t="s">
        <v>173</v>
      </c>
      <c r="J39" s="140">
        <f>(J35+J32)*K39</f>
        <v>55.848635000000002</v>
      </c>
      <c r="K39" s="148">
        <v>1.4500000000000001E-2</v>
      </c>
      <c r="L39" s="140">
        <f t="shared" si="16"/>
        <v>1452.0645100000002</v>
      </c>
      <c r="M39" s="142">
        <f t="shared" si="17"/>
        <v>121.00537583333335</v>
      </c>
      <c r="N39" s="119"/>
      <c r="O39" s="120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 spans="1:26" ht="11.25" customHeight="1" x14ac:dyDescent="0.25">
      <c r="A40" s="149" t="s">
        <v>203</v>
      </c>
      <c r="B40" s="150">
        <v>32</v>
      </c>
      <c r="C40" s="164" t="s">
        <v>211</v>
      </c>
      <c r="D40" s="140">
        <v>100</v>
      </c>
      <c r="E40" s="148">
        <f t="shared" si="13"/>
        <v>5.8206313638822253E-3</v>
      </c>
      <c r="F40" s="140">
        <f t="shared" si="14"/>
        <v>1200</v>
      </c>
      <c r="G40" s="142">
        <f t="shared" si="15"/>
        <v>23.076923076923077</v>
      </c>
      <c r="H40" s="119"/>
      <c r="I40" s="139" t="s">
        <v>175</v>
      </c>
      <c r="J40" s="140">
        <f>(J35+J32)*K40</f>
        <v>238.80106000000001</v>
      </c>
      <c r="K40" s="148">
        <v>6.2E-2</v>
      </c>
      <c r="L40" s="140">
        <f t="shared" si="16"/>
        <v>6208.8275599999997</v>
      </c>
      <c r="M40" s="142">
        <f t="shared" si="17"/>
        <v>517.40229666666664</v>
      </c>
      <c r="N40" s="119"/>
      <c r="O40" s="120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 spans="1:26" ht="11.25" customHeight="1" x14ac:dyDescent="0.25">
      <c r="A41" s="149" t="s">
        <v>203</v>
      </c>
      <c r="B41" s="150">
        <v>33</v>
      </c>
      <c r="C41" s="164" t="s">
        <v>212</v>
      </c>
      <c r="D41" s="140">
        <v>85</v>
      </c>
      <c r="E41" s="148">
        <f t="shared" si="13"/>
        <v>4.9475366592998914E-3</v>
      </c>
      <c r="F41" s="140">
        <f t="shared" si="14"/>
        <v>1020</v>
      </c>
      <c r="G41" s="142">
        <f t="shared" si="15"/>
        <v>19.615384615384617</v>
      </c>
      <c r="H41" s="119"/>
      <c r="I41" s="139" t="s">
        <v>177</v>
      </c>
      <c r="J41" s="140">
        <f>K41*J29</f>
        <v>32.076799999999999</v>
      </c>
      <c r="K41" s="148">
        <v>8.0000000000000002E-3</v>
      </c>
      <c r="L41" s="140">
        <f t="shared" si="16"/>
        <v>833.99680000000001</v>
      </c>
      <c r="M41" s="142">
        <f t="shared" si="17"/>
        <v>69.499733333333339</v>
      </c>
      <c r="N41" s="119"/>
      <c r="O41" s="122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 spans="1:26" ht="11.25" customHeight="1" x14ac:dyDescent="0.25">
      <c r="A42" s="149" t="s">
        <v>203</v>
      </c>
      <c r="B42" s="150">
        <v>34</v>
      </c>
      <c r="C42" s="164" t="s">
        <v>213</v>
      </c>
      <c r="D42" s="140">
        <v>230</v>
      </c>
      <c r="E42" s="148">
        <f t="shared" si="13"/>
        <v>1.3387452136929117E-2</v>
      </c>
      <c r="F42" s="140">
        <f t="shared" si="14"/>
        <v>2760</v>
      </c>
      <c r="G42" s="142">
        <f t="shared" si="15"/>
        <v>53.07692307692308</v>
      </c>
      <c r="H42" s="119"/>
      <c r="I42" s="133" t="s">
        <v>181</v>
      </c>
      <c r="J42" s="134">
        <f>SUM(J37:J41)</f>
        <v>887.36649499999999</v>
      </c>
      <c r="K42" s="152">
        <f>J42/J29</f>
        <v>0.22131047860135675</v>
      </c>
      <c r="L42" s="134"/>
      <c r="M42" s="136"/>
      <c r="N42" s="119"/>
      <c r="O42" s="122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 spans="1:26" ht="11.25" customHeight="1" x14ac:dyDescent="0.25">
      <c r="A43" s="159" t="s">
        <v>203</v>
      </c>
      <c r="B43" s="160">
        <v>35</v>
      </c>
      <c r="C43" s="178" t="s">
        <v>214</v>
      </c>
      <c r="D43" s="131">
        <v>45</v>
      </c>
      <c r="E43" s="130">
        <f t="shared" si="13"/>
        <v>2.6192841137470013E-3</v>
      </c>
      <c r="F43" s="131">
        <f t="shared" si="14"/>
        <v>540</v>
      </c>
      <c r="G43" s="132">
        <f t="shared" si="15"/>
        <v>10.384615384615385</v>
      </c>
      <c r="H43" s="119"/>
      <c r="I43" s="139"/>
      <c r="J43" s="140"/>
      <c r="K43" s="148"/>
      <c r="L43" s="140"/>
      <c r="M43" s="142"/>
      <c r="N43" s="119"/>
      <c r="O43" s="122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 spans="1:26" ht="11.25" customHeight="1" x14ac:dyDescent="0.25">
      <c r="A44" s="122"/>
      <c r="B44" s="123"/>
      <c r="C44" s="119"/>
      <c r="D44" s="122"/>
      <c r="E44" s="137"/>
      <c r="F44" s="137"/>
      <c r="G44" s="137"/>
      <c r="H44" s="119"/>
      <c r="I44" s="179" t="s">
        <v>215</v>
      </c>
      <c r="J44" s="180">
        <f>J29-J33-J42</f>
        <v>2763.7835049999994</v>
      </c>
      <c r="K44" s="181">
        <f>(J44+J32)/J29</f>
        <v>0.73929157646648036</v>
      </c>
      <c r="L44" s="180">
        <f>J44*26</f>
        <v>71858.371129999985</v>
      </c>
      <c r="M44" s="182">
        <f>L44/12</f>
        <v>5988.1975941666651</v>
      </c>
      <c r="N44" s="174">
        <f>L44</f>
        <v>71858.371129999985</v>
      </c>
      <c r="O44" s="120">
        <f>N44/26</f>
        <v>2763.7835049999994</v>
      </c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 spans="1:26" ht="11.25" customHeight="1" x14ac:dyDescent="0.25">
      <c r="A45" s="124" t="s">
        <v>216</v>
      </c>
      <c r="B45" s="143">
        <v>36</v>
      </c>
      <c r="C45" s="163" t="s">
        <v>103</v>
      </c>
      <c r="D45" s="145">
        <f t="shared" ref="D45:D46" si="18">F45/12</f>
        <v>50</v>
      </c>
      <c r="E45" s="146">
        <f t="shared" ref="E45:E46" si="19">D45/$O$24</f>
        <v>2.9103156819411126E-3</v>
      </c>
      <c r="F45" s="145">
        <f>50*12</f>
        <v>600</v>
      </c>
      <c r="G45" s="147">
        <f t="shared" ref="G45:G46" si="20">F45/52</f>
        <v>11.538461538461538</v>
      </c>
      <c r="H45" s="119"/>
      <c r="I45" s="119"/>
      <c r="J45" s="122"/>
      <c r="K45" s="122"/>
      <c r="L45" s="122"/>
      <c r="M45" s="137"/>
      <c r="N45" s="119"/>
      <c r="O45" s="120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 spans="1:26" ht="11.25" customHeight="1" x14ac:dyDescent="0.25">
      <c r="A46" s="159" t="s">
        <v>216</v>
      </c>
      <c r="B46" s="160">
        <v>37</v>
      </c>
      <c r="C46" s="178" t="s">
        <v>217</v>
      </c>
      <c r="D46" s="131">
        <f t="shared" si="18"/>
        <v>4130.2668384933304</v>
      </c>
      <c r="E46" s="130">
        <f t="shared" si="19"/>
        <v>0.24040760701336958</v>
      </c>
      <c r="F46" s="183">
        <f>(N24-SUM(F5:F45))</f>
        <v>49563.202061919961</v>
      </c>
      <c r="G46" s="132">
        <f t="shared" si="20"/>
        <v>953.13850119076847</v>
      </c>
      <c r="H46" s="119"/>
      <c r="I46" s="119"/>
      <c r="J46" s="122"/>
      <c r="K46" s="122"/>
      <c r="L46" s="122"/>
      <c r="M46" s="137"/>
      <c r="N46" s="119"/>
      <c r="O46" s="120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 spans="1:26" ht="11.25" customHeight="1" x14ac:dyDescent="0.25">
      <c r="A47" s="122"/>
      <c r="B47" s="123"/>
      <c r="C47" s="119"/>
      <c r="D47" s="137"/>
      <c r="E47" s="138"/>
      <c r="F47" s="137"/>
      <c r="G47" s="137"/>
      <c r="H47" s="119"/>
      <c r="I47" s="127" t="s">
        <v>218</v>
      </c>
      <c r="J47" s="175">
        <v>82.809299999999993</v>
      </c>
      <c r="K47" s="163"/>
      <c r="L47" s="163"/>
      <c r="M47" s="176"/>
      <c r="N47" s="119"/>
      <c r="O47" s="120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 spans="1:26" ht="11.25" customHeight="1" x14ac:dyDescent="0.25">
      <c r="A48" s="122"/>
      <c r="B48" s="123"/>
      <c r="C48" s="119"/>
      <c r="D48" s="122"/>
      <c r="E48" s="122"/>
      <c r="F48" s="122"/>
      <c r="G48" s="122"/>
      <c r="H48" s="119"/>
      <c r="I48" s="139"/>
      <c r="J48" s="141" t="s">
        <v>198</v>
      </c>
      <c r="K48" s="141" t="s">
        <v>153</v>
      </c>
      <c r="L48" s="141" t="s">
        <v>154</v>
      </c>
      <c r="M48" s="177" t="s">
        <v>152</v>
      </c>
      <c r="N48" s="119"/>
      <c r="O48" s="120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 spans="1:26" ht="11.25" customHeight="1" x14ac:dyDescent="0.25">
      <c r="A49" s="122"/>
      <c r="B49" s="123"/>
      <c r="C49" s="119"/>
      <c r="D49" s="122"/>
      <c r="E49" s="122"/>
      <c r="F49" s="122"/>
      <c r="G49" s="122"/>
      <c r="H49" s="119"/>
      <c r="I49" s="139" t="s">
        <v>157</v>
      </c>
      <c r="J49" s="140">
        <f>J47*86.67</f>
        <v>7177.0820309999999</v>
      </c>
      <c r="K49" s="141"/>
      <c r="L49" s="140">
        <f>J49*24</f>
        <v>172249.96874400001</v>
      </c>
      <c r="M49" s="142">
        <f>L49/12</f>
        <v>14354.164062000002</v>
      </c>
      <c r="N49" s="119"/>
      <c r="O49" s="120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 spans="1:26" ht="11.25" customHeight="1" x14ac:dyDescent="0.25">
      <c r="A50" s="122"/>
      <c r="B50" s="123"/>
      <c r="C50" s="119"/>
      <c r="D50" s="122"/>
      <c r="E50" s="122"/>
      <c r="F50" s="122"/>
      <c r="G50" s="122"/>
      <c r="H50" s="119"/>
      <c r="I50" s="139" t="s">
        <v>219</v>
      </c>
      <c r="J50" s="140">
        <v>34</v>
      </c>
      <c r="K50" s="141"/>
      <c r="L50" s="140"/>
      <c r="M50" s="142"/>
      <c r="N50" s="119"/>
      <c r="O50" s="120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 spans="1:26" ht="11.25" customHeight="1" x14ac:dyDescent="0.25">
      <c r="A51" s="122"/>
      <c r="B51" s="123"/>
      <c r="C51" s="119"/>
      <c r="D51" s="122"/>
      <c r="E51" s="122"/>
      <c r="F51" s="122"/>
      <c r="G51" s="122"/>
      <c r="H51" s="119"/>
      <c r="I51" s="133" t="s">
        <v>220</v>
      </c>
      <c r="J51" s="134">
        <f>J49+J50</f>
        <v>7211.0820309999999</v>
      </c>
      <c r="K51" s="135"/>
      <c r="L51" s="134"/>
      <c r="M51" s="136"/>
      <c r="N51" s="119"/>
      <c r="O51" s="120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 spans="1:26" ht="11.25" customHeight="1" x14ac:dyDescent="0.25">
      <c r="A52" s="122"/>
      <c r="B52" s="123"/>
      <c r="C52" s="119"/>
      <c r="D52" s="184"/>
      <c r="E52" s="122"/>
      <c r="F52" s="122"/>
      <c r="G52" s="122"/>
      <c r="H52" s="119"/>
      <c r="I52" s="139"/>
      <c r="J52" s="140"/>
      <c r="K52" s="141"/>
      <c r="L52" s="140"/>
      <c r="M52" s="142"/>
      <c r="N52" s="119"/>
      <c r="O52" s="120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11.25" customHeight="1" x14ac:dyDescent="0.25">
      <c r="A53" s="121"/>
      <c r="B53" s="121"/>
      <c r="C53" s="121"/>
      <c r="D53" s="121"/>
      <c r="E53" s="121"/>
      <c r="F53" s="121"/>
      <c r="G53" s="121"/>
      <c r="H53" s="121"/>
      <c r="I53" s="139" t="s">
        <v>221</v>
      </c>
      <c r="J53" s="140">
        <v>9.0500000000000007</v>
      </c>
      <c r="K53" s="148">
        <f>J53/J49</f>
        <v>1.2609581388244274E-3</v>
      </c>
      <c r="L53" s="140">
        <f t="shared" ref="L53:L56" si="21">J53*24</f>
        <v>217.20000000000002</v>
      </c>
      <c r="M53" s="142">
        <f t="shared" ref="M53:M56" si="22">L53/12</f>
        <v>18.100000000000001</v>
      </c>
      <c r="N53" s="119"/>
      <c r="O53" s="120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 spans="1:26" ht="11.25" customHeight="1" x14ac:dyDescent="0.25">
      <c r="A54" s="121"/>
      <c r="B54" s="121"/>
      <c r="C54" s="121"/>
      <c r="D54" s="121"/>
      <c r="E54" s="121"/>
      <c r="F54" s="121"/>
      <c r="G54" s="121"/>
      <c r="H54" s="121"/>
      <c r="I54" s="139" t="s">
        <v>222</v>
      </c>
      <c r="J54" s="140">
        <v>23.67</v>
      </c>
      <c r="K54" s="148">
        <f>J54/J49</f>
        <v>3.2979976956877561E-3</v>
      </c>
      <c r="L54" s="140">
        <f t="shared" si="21"/>
        <v>568.08000000000004</v>
      </c>
      <c r="M54" s="142">
        <f t="shared" si="22"/>
        <v>47.34</v>
      </c>
      <c r="N54" s="119"/>
      <c r="O54" s="120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 spans="1:26" ht="11.25" customHeight="1" x14ac:dyDescent="0.25">
      <c r="A55" s="121"/>
      <c r="B55" s="121"/>
      <c r="C55" s="121"/>
      <c r="D55" s="121"/>
      <c r="E55" s="121"/>
      <c r="F55" s="121"/>
      <c r="G55" s="121"/>
      <c r="H55" s="121"/>
      <c r="I55" s="139" t="s">
        <v>223</v>
      </c>
      <c r="J55" s="140">
        <v>-32.15</v>
      </c>
      <c r="K55" s="148">
        <f>J55/J49</f>
        <v>-4.4795363716248985E-3</v>
      </c>
      <c r="L55" s="140">
        <f t="shared" si="21"/>
        <v>-771.59999999999991</v>
      </c>
      <c r="M55" s="142">
        <f t="shared" si="22"/>
        <v>-64.3</v>
      </c>
      <c r="N55" s="119"/>
      <c r="O55" s="120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 spans="1:26" ht="11.25" customHeight="1" x14ac:dyDescent="0.25">
      <c r="A56" s="121"/>
      <c r="B56" s="121"/>
      <c r="C56" s="121"/>
      <c r="D56" s="121"/>
      <c r="E56" s="121"/>
      <c r="F56" s="121"/>
      <c r="G56" s="121"/>
      <c r="H56" s="121"/>
      <c r="I56" s="139" t="s">
        <v>162</v>
      </c>
      <c r="J56" s="140">
        <f>J49*K56</f>
        <v>502.39574217000006</v>
      </c>
      <c r="K56" s="148">
        <v>7.0000000000000007E-2</v>
      </c>
      <c r="L56" s="140">
        <f t="shared" si="21"/>
        <v>12057.497812080001</v>
      </c>
      <c r="M56" s="142">
        <f t="shared" si="22"/>
        <v>1004.79148434</v>
      </c>
      <c r="N56" s="119"/>
      <c r="O56" s="120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 spans="1:26" ht="11.25" customHeight="1" x14ac:dyDescent="0.25">
      <c r="A57" s="121"/>
      <c r="B57" s="121"/>
      <c r="C57" s="121"/>
      <c r="D57" s="121"/>
      <c r="E57" s="121"/>
      <c r="F57" s="121"/>
      <c r="G57" s="121"/>
      <c r="H57" s="121"/>
      <c r="I57" s="133" t="s">
        <v>164</v>
      </c>
      <c r="J57" s="134">
        <f>SUM(J53:J56)</f>
        <v>502.96574217000006</v>
      </c>
      <c r="K57" s="135"/>
      <c r="L57" s="134"/>
      <c r="M57" s="136"/>
      <c r="N57" s="120"/>
      <c r="O57" s="120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 spans="1:26" ht="11.25" customHeight="1" x14ac:dyDescent="0.25">
      <c r="A58" s="121"/>
      <c r="B58" s="121"/>
      <c r="C58" s="121"/>
      <c r="D58" s="121"/>
      <c r="E58" s="121"/>
      <c r="F58" s="121"/>
      <c r="G58" s="121"/>
      <c r="H58" s="121"/>
      <c r="I58" s="139"/>
      <c r="J58" s="140"/>
      <c r="K58" s="141"/>
      <c r="L58" s="140"/>
      <c r="M58" s="142"/>
      <c r="N58" s="120"/>
      <c r="O58" s="120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 spans="1:26" ht="11.25" customHeight="1" x14ac:dyDescent="0.25">
      <c r="A59" s="121"/>
      <c r="B59" s="121"/>
      <c r="C59" s="121"/>
      <c r="D59" s="121"/>
      <c r="E59" s="121"/>
      <c r="F59" s="121"/>
      <c r="G59" s="121"/>
      <c r="H59" s="121"/>
      <c r="I59" s="133" t="s">
        <v>167</v>
      </c>
      <c r="J59" s="134">
        <f>J51-J57</f>
        <v>6708.1162888299996</v>
      </c>
      <c r="K59" s="135"/>
      <c r="L59" s="134">
        <f>J59*24</f>
        <v>160994.79093192</v>
      </c>
      <c r="M59" s="136">
        <f>L59/12</f>
        <v>13416.232577659999</v>
      </c>
      <c r="N59" s="119"/>
      <c r="O59" s="120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 spans="1:26" ht="11.25" customHeight="1" x14ac:dyDescent="0.25">
      <c r="A60" s="121"/>
      <c r="B60" s="121"/>
      <c r="C60" s="121"/>
      <c r="D60" s="121"/>
      <c r="E60" s="121"/>
      <c r="F60" s="121"/>
      <c r="G60" s="121"/>
      <c r="H60" s="121"/>
      <c r="I60" s="139"/>
      <c r="J60" s="140"/>
      <c r="K60" s="141"/>
      <c r="L60" s="140"/>
      <c r="M60" s="142"/>
      <c r="N60" s="119"/>
      <c r="O60" s="120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 spans="1:26" ht="11.25" customHeight="1" x14ac:dyDescent="0.25">
      <c r="A61" s="121"/>
      <c r="B61" s="121"/>
      <c r="C61" s="121"/>
      <c r="D61" s="121"/>
      <c r="E61" s="121"/>
      <c r="F61" s="121"/>
      <c r="G61" s="121"/>
      <c r="H61" s="121"/>
      <c r="I61" s="139" t="s">
        <v>170</v>
      </c>
      <c r="J61" s="140">
        <v>1140.53</v>
      </c>
      <c r="K61" s="148">
        <f>J61/J59</f>
        <v>0.17002239539274985</v>
      </c>
      <c r="L61" s="140">
        <f t="shared" ref="L61:L65" si="23">J61*24</f>
        <v>27372.720000000001</v>
      </c>
      <c r="M61" s="142">
        <f t="shared" ref="M61:M65" si="24">L61/12</f>
        <v>2281.06</v>
      </c>
      <c r="N61" s="119"/>
      <c r="O61" s="120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 spans="1:26" ht="11.25" customHeight="1" x14ac:dyDescent="0.25">
      <c r="A62" s="121"/>
      <c r="B62" s="121"/>
      <c r="C62" s="121"/>
      <c r="D62" s="121"/>
      <c r="E62" s="121"/>
      <c r="F62" s="121"/>
      <c r="G62" s="121"/>
      <c r="H62" s="121"/>
      <c r="I62" s="139" t="s">
        <v>172</v>
      </c>
      <c r="J62" s="140">
        <v>203.9</v>
      </c>
      <c r="K62" s="148">
        <f>J62/J59</f>
        <v>3.0396014502539783E-2</v>
      </c>
      <c r="L62" s="140">
        <f t="shared" si="23"/>
        <v>4893.6000000000004</v>
      </c>
      <c r="M62" s="142">
        <f t="shared" si="24"/>
        <v>407.8</v>
      </c>
      <c r="N62" s="119"/>
      <c r="O62" s="120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 spans="1:26" ht="11.25" customHeight="1" x14ac:dyDescent="0.25">
      <c r="A63" s="121"/>
      <c r="B63" s="121"/>
      <c r="C63" s="121"/>
      <c r="D63" s="121"/>
      <c r="E63" s="121"/>
      <c r="F63" s="121"/>
      <c r="G63" s="121"/>
      <c r="H63" s="121"/>
      <c r="I63" s="139" t="s">
        <v>173</v>
      </c>
      <c r="J63" s="140">
        <v>104.55</v>
      </c>
      <c r="K63" s="148">
        <f>J63/J51</f>
        <v>1.4498517635847984E-2</v>
      </c>
      <c r="L63" s="140">
        <f t="shared" si="23"/>
        <v>2509.1999999999998</v>
      </c>
      <c r="M63" s="142">
        <f t="shared" si="24"/>
        <v>209.1</v>
      </c>
      <c r="N63" s="119"/>
      <c r="O63" s="120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 spans="1:26" ht="11.25" customHeight="1" x14ac:dyDescent="0.25">
      <c r="A64" s="121"/>
      <c r="B64" s="121"/>
      <c r="C64" s="121"/>
      <c r="D64" s="121"/>
      <c r="E64" s="121"/>
      <c r="F64" s="121"/>
      <c r="G64" s="121"/>
      <c r="H64" s="121"/>
      <c r="I64" s="139" t="s">
        <v>175</v>
      </c>
      <c r="J64" s="140">
        <v>447.05</v>
      </c>
      <c r="K64" s="148">
        <f>J64/J51</f>
        <v>6.1994857093312691E-2</v>
      </c>
      <c r="L64" s="140">
        <f t="shared" si="23"/>
        <v>10729.2</v>
      </c>
      <c r="M64" s="142">
        <f t="shared" si="24"/>
        <v>894.1</v>
      </c>
      <c r="N64" s="119"/>
      <c r="O64" s="120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 spans="1:26" ht="11.25" customHeight="1" x14ac:dyDescent="0.25">
      <c r="A65" s="121"/>
      <c r="B65" s="121"/>
      <c r="C65" s="121"/>
      <c r="D65" s="121"/>
      <c r="E65" s="121"/>
      <c r="F65" s="121"/>
      <c r="G65" s="121"/>
      <c r="H65" s="121"/>
      <c r="I65" s="139" t="s">
        <v>179</v>
      </c>
      <c r="J65" s="140">
        <v>180.26</v>
      </c>
      <c r="K65" s="148">
        <f>J65/J51</f>
        <v>2.4997635476211932E-2</v>
      </c>
      <c r="L65" s="140">
        <f t="shared" si="23"/>
        <v>4326.24</v>
      </c>
      <c r="M65" s="142">
        <f t="shared" si="24"/>
        <v>360.52</v>
      </c>
      <c r="N65" s="119"/>
      <c r="O65" s="120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 spans="1:26" ht="11.25" customHeight="1" x14ac:dyDescent="0.25">
      <c r="A66" s="121"/>
      <c r="B66" s="121"/>
      <c r="C66" s="121"/>
      <c r="D66" s="121"/>
      <c r="E66" s="121"/>
      <c r="F66" s="121"/>
      <c r="G66" s="121"/>
      <c r="H66" s="121"/>
      <c r="I66" s="133" t="s">
        <v>181</v>
      </c>
      <c r="J66" s="134">
        <f>SUM(J61:J65)</f>
        <v>2076.29</v>
      </c>
      <c r="K66" s="152">
        <f>J66/J49</f>
        <v>0.28929445017235028</v>
      </c>
      <c r="L66" s="134"/>
      <c r="M66" s="136"/>
      <c r="N66" s="119"/>
      <c r="O66" s="120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 spans="1:26" ht="11.25" customHeight="1" x14ac:dyDescent="0.25">
      <c r="A67" s="121"/>
      <c r="B67" s="121"/>
      <c r="C67" s="121"/>
      <c r="D67" s="121"/>
      <c r="E67" s="121"/>
      <c r="F67" s="121"/>
      <c r="G67" s="121"/>
      <c r="H67" s="121"/>
      <c r="I67" s="139"/>
      <c r="J67" s="140"/>
      <c r="K67" s="141"/>
      <c r="L67" s="140"/>
      <c r="M67" s="142"/>
      <c r="N67" s="119"/>
      <c r="O67" s="120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 spans="1:26" ht="11.25" customHeight="1" x14ac:dyDescent="0.25">
      <c r="A68" s="121"/>
      <c r="B68" s="121"/>
      <c r="C68" s="121"/>
      <c r="D68" s="121"/>
      <c r="E68" s="121"/>
      <c r="F68" s="121"/>
      <c r="G68" s="121"/>
      <c r="H68" s="121"/>
      <c r="I68" s="179" t="s">
        <v>215</v>
      </c>
      <c r="J68" s="180">
        <f>J49-J57-J66</f>
        <v>4597.8262888299996</v>
      </c>
      <c r="K68" s="181">
        <f>(J68+J56)/J49</f>
        <v>0.71062613036476241</v>
      </c>
      <c r="L68" s="180">
        <f>J68*24</f>
        <v>110347.83093191999</v>
      </c>
      <c r="M68" s="182">
        <f>L68/12</f>
        <v>9195.6525776599992</v>
      </c>
      <c r="N68" s="174">
        <f>L68</f>
        <v>110347.83093191999</v>
      </c>
      <c r="O68" s="120">
        <f>N68/24</f>
        <v>4597.8262888299996</v>
      </c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 spans="1:26" ht="11.25" customHeight="1" x14ac:dyDescent="0.25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 spans="1:26" ht="11.25" customHeight="1" x14ac:dyDescent="0.25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 spans="1:26" ht="11.25" customHeight="1" x14ac:dyDescent="0.25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 spans="1:26" ht="11.25" customHeight="1" x14ac:dyDescent="0.25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 spans="1:26" ht="11.25" customHeight="1" x14ac:dyDescent="0.25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 spans="1:26" ht="11.25" customHeight="1" x14ac:dyDescent="0.25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 spans="1:26" ht="11.25" customHeight="1" x14ac:dyDescent="0.25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 spans="1:26" ht="11.25" customHeight="1" x14ac:dyDescent="0.25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 spans="1:26" ht="11.25" customHeight="1" x14ac:dyDescent="0.25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 spans="1:26" ht="11.25" customHeight="1" x14ac:dyDescent="0.25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 spans="1:26" ht="11.25" customHeight="1" x14ac:dyDescent="0.25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 spans="1:26" ht="11.25" customHeight="1" x14ac:dyDescent="0.25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 spans="1:26" ht="11.25" customHeight="1" x14ac:dyDescent="0.25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 spans="1:26" ht="11.25" customHeight="1" x14ac:dyDescent="0.25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 spans="1:26" ht="11.25" customHeight="1" x14ac:dyDescent="0.25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 spans="1:26" ht="11.25" customHeight="1" x14ac:dyDescent="0.25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 spans="1:26" ht="11.25" customHeight="1" x14ac:dyDescent="0.25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 spans="1:26" ht="11.25" customHeight="1" x14ac:dyDescent="0.25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 spans="1:26" ht="11.25" customHeight="1" x14ac:dyDescent="0.25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 spans="1:26" ht="11.25" customHeight="1" x14ac:dyDescent="0.25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 spans="1:26" ht="11.25" customHeight="1" x14ac:dyDescent="0.25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 spans="1:26" ht="11.25" customHeight="1" x14ac:dyDescent="0.25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 spans="1:26" ht="11.25" customHeight="1" x14ac:dyDescent="0.25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 spans="1:26" ht="11.25" customHeight="1" x14ac:dyDescent="0.25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 spans="1:26" ht="11.25" customHeight="1" x14ac:dyDescent="0.25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 spans="1:26" ht="11.25" customHeight="1" x14ac:dyDescent="0.25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 spans="1:26" ht="11.25" customHeight="1" x14ac:dyDescent="0.25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 spans="1:26" ht="11.25" customHeight="1" x14ac:dyDescent="0.25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 spans="1:26" ht="11.25" customHeight="1" x14ac:dyDescent="0.25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 spans="1:26" ht="11.25" customHeight="1" x14ac:dyDescent="0.25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 spans="1:26" ht="11.25" customHeight="1" x14ac:dyDescent="0.25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 spans="1:26" ht="11.25" customHeight="1" x14ac:dyDescent="0.25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 spans="1:26" ht="11.25" customHeight="1" x14ac:dyDescent="0.25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 spans="1:26" ht="11.25" customHeight="1" x14ac:dyDescent="0.25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 spans="1:26" ht="11.25" customHeight="1" x14ac:dyDescent="0.25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 spans="1:26" ht="11.25" customHeight="1" x14ac:dyDescent="0.25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</row>
    <row r="105" spans="1:26" ht="11.25" customHeight="1" x14ac:dyDescent="0.25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</row>
    <row r="106" spans="1:26" ht="11.25" customHeight="1" x14ac:dyDescent="0.25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 spans="1:26" ht="11.25" customHeight="1" x14ac:dyDescent="0.25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 spans="1:26" ht="11.25" customHeight="1" x14ac:dyDescent="0.25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 spans="1:26" ht="11.25" customHeight="1" x14ac:dyDescent="0.25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</row>
    <row r="110" spans="1:26" ht="11.25" customHeight="1" x14ac:dyDescent="0.25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 spans="1:26" ht="11.25" customHeight="1" x14ac:dyDescent="0.25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 spans="1:26" ht="11.25" customHeight="1" x14ac:dyDescent="0.25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</row>
    <row r="113" spans="1:26" ht="11.25" customHeight="1" x14ac:dyDescent="0.25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</row>
    <row r="114" spans="1:26" ht="11.25" customHeight="1" x14ac:dyDescent="0.25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</row>
    <row r="115" spans="1:26" ht="11.25" customHeight="1" x14ac:dyDescent="0.25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 spans="1:26" ht="11.25" customHeight="1" x14ac:dyDescent="0.25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</row>
    <row r="117" spans="1:26" ht="11.25" customHeight="1" x14ac:dyDescent="0.25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</row>
    <row r="118" spans="1:26" ht="11.25" customHeight="1" x14ac:dyDescent="0.25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 spans="1:26" ht="11.25" customHeight="1" x14ac:dyDescent="0.25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 spans="1:26" ht="11.25" customHeight="1" x14ac:dyDescent="0.25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 spans="1:26" ht="11.25" customHeight="1" x14ac:dyDescent="0.25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 spans="1:26" ht="11.25" customHeight="1" x14ac:dyDescent="0.25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 spans="1:26" ht="11.25" customHeight="1" x14ac:dyDescent="0.25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</row>
    <row r="124" spans="1:26" ht="11.25" customHeight="1" x14ac:dyDescent="0.25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</row>
    <row r="125" spans="1:26" ht="11.25" customHeight="1" x14ac:dyDescent="0.25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</row>
    <row r="126" spans="1:26" ht="11.25" customHeight="1" x14ac:dyDescent="0.25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</row>
    <row r="127" spans="1:26" ht="11.25" customHeight="1" x14ac:dyDescent="0.25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</row>
    <row r="128" spans="1:26" ht="11.25" customHeight="1" x14ac:dyDescent="0.25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</row>
    <row r="129" spans="1:26" ht="11.25" customHeight="1" x14ac:dyDescent="0.25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</row>
    <row r="130" spans="1:26" ht="11.25" customHeight="1" x14ac:dyDescent="0.25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</row>
    <row r="131" spans="1:26" ht="11.25" customHeight="1" x14ac:dyDescent="0.25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</row>
    <row r="132" spans="1:26" ht="11.25" customHeight="1" x14ac:dyDescent="0.25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</row>
    <row r="133" spans="1:26" ht="11.25" customHeight="1" x14ac:dyDescent="0.25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</row>
    <row r="134" spans="1:26" ht="11.25" customHeight="1" x14ac:dyDescent="0.25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</row>
    <row r="135" spans="1:26" ht="11.25" customHeight="1" x14ac:dyDescent="0.25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</row>
    <row r="136" spans="1:26" ht="11.25" customHeight="1" x14ac:dyDescent="0.25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</row>
    <row r="137" spans="1:26" ht="11.25" customHeight="1" x14ac:dyDescent="0.25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</row>
    <row r="138" spans="1:26" ht="11.25" customHeight="1" x14ac:dyDescent="0.25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</row>
    <row r="139" spans="1:26" ht="11.25" customHeight="1" x14ac:dyDescent="0.25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</row>
    <row r="140" spans="1:26" ht="11.25" customHeight="1" x14ac:dyDescent="0.25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</row>
    <row r="141" spans="1:26" ht="11.25" customHeight="1" x14ac:dyDescent="0.25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</row>
    <row r="142" spans="1:26" ht="11.25" customHeight="1" x14ac:dyDescent="0.25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</row>
    <row r="143" spans="1:26" ht="11.25" customHeight="1" x14ac:dyDescent="0.25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</row>
    <row r="144" spans="1:26" ht="11.25" customHeight="1" x14ac:dyDescent="0.25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</row>
    <row r="145" spans="1:26" ht="11.25" customHeight="1" x14ac:dyDescent="0.25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</row>
    <row r="146" spans="1:26" ht="11.25" customHeight="1" x14ac:dyDescent="0.25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</row>
    <row r="147" spans="1:26" ht="11.25" customHeight="1" x14ac:dyDescent="0.25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</row>
    <row r="148" spans="1:26" ht="11.25" customHeight="1" x14ac:dyDescent="0.25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</row>
    <row r="149" spans="1:26" ht="11.25" customHeight="1" x14ac:dyDescent="0.25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</row>
    <row r="150" spans="1:26" ht="11.25" customHeight="1" x14ac:dyDescent="0.25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</row>
    <row r="151" spans="1:26" ht="11.25" customHeight="1" x14ac:dyDescent="0.25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</row>
    <row r="152" spans="1:26" ht="11.25" customHeight="1" x14ac:dyDescent="0.25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</row>
    <row r="153" spans="1:26" ht="11.25" customHeight="1" x14ac:dyDescent="0.25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</row>
    <row r="154" spans="1:26" ht="11.25" customHeight="1" x14ac:dyDescent="0.25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</row>
    <row r="155" spans="1:26" ht="11.25" customHeight="1" x14ac:dyDescent="0.25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</row>
    <row r="156" spans="1:26" ht="11.25" customHeight="1" x14ac:dyDescent="0.25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</row>
    <row r="157" spans="1:26" ht="11.25" customHeight="1" x14ac:dyDescent="0.25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</row>
    <row r="158" spans="1:26" ht="11.25" customHeight="1" x14ac:dyDescent="0.25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</row>
    <row r="159" spans="1:26" ht="11.25" customHeight="1" x14ac:dyDescent="0.25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</row>
    <row r="160" spans="1:26" ht="11.25" customHeight="1" x14ac:dyDescent="0.25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</row>
    <row r="161" spans="1:26" ht="11.25" customHeight="1" x14ac:dyDescent="0.25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</row>
    <row r="162" spans="1:26" ht="11.25" customHeight="1" x14ac:dyDescent="0.25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</row>
    <row r="163" spans="1:26" ht="11.25" customHeight="1" x14ac:dyDescent="0.25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</row>
    <row r="164" spans="1:26" ht="11.25" customHeight="1" x14ac:dyDescent="0.25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 spans="1:26" ht="11.25" customHeight="1" x14ac:dyDescent="0.25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</row>
    <row r="166" spans="1:26" ht="11.25" customHeight="1" x14ac:dyDescent="0.25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</row>
    <row r="167" spans="1:26" ht="11.25" customHeight="1" x14ac:dyDescent="0.25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</row>
    <row r="168" spans="1:26" ht="11.25" customHeight="1" x14ac:dyDescent="0.25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</row>
    <row r="169" spans="1:26" ht="11.25" customHeight="1" x14ac:dyDescent="0.25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</row>
    <row r="170" spans="1:26" ht="11.25" customHeight="1" x14ac:dyDescent="0.25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</row>
    <row r="171" spans="1:26" ht="11.25" customHeight="1" x14ac:dyDescent="0.25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</row>
    <row r="172" spans="1:26" ht="11.25" customHeight="1" x14ac:dyDescent="0.25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</row>
    <row r="173" spans="1:26" ht="11.25" customHeight="1" x14ac:dyDescent="0.25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</row>
    <row r="174" spans="1:26" ht="11.25" customHeight="1" x14ac:dyDescent="0.25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</row>
    <row r="175" spans="1:26" ht="11.25" customHeight="1" x14ac:dyDescent="0.25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</row>
    <row r="176" spans="1:26" ht="11.25" customHeight="1" x14ac:dyDescent="0.25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</row>
    <row r="177" spans="1:26" ht="11.25" customHeight="1" x14ac:dyDescent="0.25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</row>
    <row r="178" spans="1:26" ht="11.25" customHeight="1" x14ac:dyDescent="0.25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</row>
    <row r="179" spans="1:26" ht="11.25" customHeight="1" x14ac:dyDescent="0.25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</row>
    <row r="180" spans="1:26" ht="11.25" customHeight="1" x14ac:dyDescent="0.25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</row>
    <row r="181" spans="1:26" ht="11.25" customHeight="1" x14ac:dyDescent="0.25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</row>
    <row r="182" spans="1:26" ht="11.25" customHeight="1" x14ac:dyDescent="0.25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</row>
    <row r="183" spans="1:26" ht="11.25" customHeight="1" x14ac:dyDescent="0.25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</row>
    <row r="184" spans="1:26" ht="11.25" customHeight="1" x14ac:dyDescent="0.25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</row>
    <row r="185" spans="1:26" ht="11.25" customHeight="1" x14ac:dyDescent="0.25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</row>
    <row r="186" spans="1:26" ht="11.25" customHeight="1" x14ac:dyDescent="0.25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</row>
    <row r="187" spans="1:26" ht="11.25" customHeight="1" x14ac:dyDescent="0.25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</row>
    <row r="188" spans="1:26" ht="11.25" customHeight="1" x14ac:dyDescent="0.25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</row>
    <row r="189" spans="1:26" ht="11.25" customHeight="1" x14ac:dyDescent="0.25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</row>
    <row r="190" spans="1:26" ht="11.25" customHeight="1" x14ac:dyDescent="0.25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</row>
    <row r="191" spans="1:26" ht="11.25" customHeight="1" x14ac:dyDescent="0.25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</row>
    <row r="192" spans="1:26" ht="11.25" customHeight="1" x14ac:dyDescent="0.25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</row>
    <row r="193" spans="1:26" ht="11.25" customHeight="1" x14ac:dyDescent="0.25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</row>
    <row r="194" spans="1:26" ht="11.25" customHeight="1" x14ac:dyDescent="0.25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</row>
    <row r="195" spans="1:26" ht="11.25" customHeight="1" x14ac:dyDescent="0.25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</row>
    <row r="196" spans="1:26" ht="11.25" customHeight="1" x14ac:dyDescent="0.25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</row>
    <row r="197" spans="1:26" ht="11.25" customHeight="1" x14ac:dyDescent="0.25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</row>
    <row r="198" spans="1:26" ht="11.25" customHeight="1" x14ac:dyDescent="0.25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</row>
    <row r="199" spans="1:26" ht="11.25" customHeight="1" x14ac:dyDescent="0.25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</row>
    <row r="200" spans="1:26" ht="11.25" customHeight="1" x14ac:dyDescent="0.25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</row>
    <row r="201" spans="1:26" ht="11.25" customHeight="1" x14ac:dyDescent="0.25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</row>
    <row r="202" spans="1:26" ht="11.25" customHeight="1" x14ac:dyDescent="0.25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</row>
    <row r="203" spans="1:26" ht="11.25" customHeight="1" x14ac:dyDescent="0.25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</row>
    <row r="204" spans="1:26" ht="11.25" customHeight="1" x14ac:dyDescent="0.25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</row>
    <row r="205" spans="1:26" ht="11.25" customHeight="1" x14ac:dyDescent="0.25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</row>
    <row r="206" spans="1:26" ht="11.25" customHeight="1" x14ac:dyDescent="0.25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</row>
    <row r="207" spans="1:26" ht="11.25" customHeight="1" x14ac:dyDescent="0.25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</row>
    <row r="208" spans="1:26" ht="11.25" customHeight="1" x14ac:dyDescent="0.25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</row>
    <row r="209" spans="1:26" ht="11.25" customHeight="1" x14ac:dyDescent="0.25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</row>
    <row r="210" spans="1:26" ht="11.25" customHeight="1" x14ac:dyDescent="0.25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</row>
    <row r="211" spans="1:26" ht="11.25" customHeight="1" x14ac:dyDescent="0.25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</row>
    <row r="212" spans="1:26" ht="11.25" customHeight="1" x14ac:dyDescent="0.25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</row>
    <row r="213" spans="1:26" ht="11.25" customHeight="1" x14ac:dyDescent="0.25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</row>
    <row r="214" spans="1:26" ht="11.25" customHeight="1" x14ac:dyDescent="0.25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</row>
    <row r="215" spans="1:26" ht="11.25" customHeight="1" x14ac:dyDescent="0.25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</row>
    <row r="216" spans="1:26" ht="11.25" customHeight="1" x14ac:dyDescent="0.25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</row>
    <row r="217" spans="1:26" ht="11.25" customHeight="1" x14ac:dyDescent="0.25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</row>
    <row r="218" spans="1:26" ht="11.25" customHeight="1" x14ac:dyDescent="0.25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</row>
    <row r="219" spans="1:26" ht="11.25" customHeight="1" x14ac:dyDescent="0.25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</row>
    <row r="220" spans="1:26" ht="11.25" customHeight="1" x14ac:dyDescent="0.25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</row>
    <row r="221" spans="1:26" ht="11.25" customHeight="1" x14ac:dyDescent="0.25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</row>
    <row r="222" spans="1:26" ht="11.25" customHeight="1" x14ac:dyDescent="0.25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</row>
    <row r="223" spans="1:26" ht="11.25" customHeight="1" x14ac:dyDescent="0.25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</row>
    <row r="224" spans="1:26" ht="11.25" customHeight="1" x14ac:dyDescent="0.25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</row>
    <row r="225" spans="1:26" ht="11.25" customHeight="1" x14ac:dyDescent="0.25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</row>
    <row r="226" spans="1:26" ht="11.25" customHeight="1" x14ac:dyDescent="0.25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</row>
    <row r="227" spans="1:26" ht="11.25" customHeight="1" x14ac:dyDescent="0.25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</row>
    <row r="228" spans="1:26" ht="11.25" customHeight="1" x14ac:dyDescent="0.25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</row>
    <row r="229" spans="1:26" ht="11.25" customHeight="1" x14ac:dyDescent="0.25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</row>
    <row r="230" spans="1:26" ht="11.25" customHeight="1" x14ac:dyDescent="0.25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</row>
    <row r="231" spans="1:26" ht="11.25" customHeight="1" x14ac:dyDescent="0.25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</row>
    <row r="232" spans="1:26" ht="11.25" customHeight="1" x14ac:dyDescent="0.25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</row>
    <row r="233" spans="1:26" ht="11.25" customHeight="1" x14ac:dyDescent="0.25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</row>
    <row r="234" spans="1:26" ht="11.25" customHeight="1" x14ac:dyDescent="0.25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</row>
    <row r="235" spans="1:26" ht="11.25" customHeight="1" x14ac:dyDescent="0.25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</row>
    <row r="236" spans="1:26" ht="11.25" customHeight="1" x14ac:dyDescent="0.25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</row>
    <row r="237" spans="1:26" ht="11.25" customHeight="1" x14ac:dyDescent="0.25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</row>
    <row r="238" spans="1:26" ht="11.25" customHeight="1" x14ac:dyDescent="0.25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</row>
    <row r="239" spans="1:26" ht="11.25" customHeight="1" x14ac:dyDescent="0.25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</row>
    <row r="240" spans="1:26" ht="11.25" customHeight="1" x14ac:dyDescent="0.25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</row>
    <row r="241" spans="1:26" ht="11.25" customHeight="1" x14ac:dyDescent="0.25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</row>
    <row r="242" spans="1:26" ht="11.25" customHeight="1" x14ac:dyDescent="0.25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</row>
    <row r="243" spans="1:26" ht="11.25" customHeight="1" x14ac:dyDescent="0.25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</row>
    <row r="244" spans="1:26" ht="11.25" customHeight="1" x14ac:dyDescent="0.25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</row>
    <row r="245" spans="1:26" ht="11.25" customHeight="1" x14ac:dyDescent="0.25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</row>
    <row r="246" spans="1:26" ht="11.25" customHeight="1" x14ac:dyDescent="0.25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</row>
    <row r="247" spans="1:26" ht="11.25" customHeight="1" x14ac:dyDescent="0.25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</row>
    <row r="248" spans="1:26" ht="11.25" customHeight="1" x14ac:dyDescent="0.25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</row>
    <row r="249" spans="1:26" ht="11.25" customHeight="1" x14ac:dyDescent="0.25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</row>
    <row r="250" spans="1:26" ht="11.25" customHeight="1" x14ac:dyDescent="0.25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</row>
    <row r="251" spans="1:26" ht="11.25" customHeight="1" x14ac:dyDescent="0.25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</row>
    <row r="252" spans="1:26" ht="11.25" customHeight="1" x14ac:dyDescent="0.25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</row>
    <row r="253" spans="1:26" ht="11.25" customHeight="1" x14ac:dyDescent="0.25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</row>
    <row r="254" spans="1:26" ht="11.25" customHeight="1" x14ac:dyDescent="0.25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</row>
    <row r="255" spans="1:26" ht="11.25" customHeight="1" x14ac:dyDescent="0.25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</row>
    <row r="256" spans="1:26" ht="11.25" customHeight="1" x14ac:dyDescent="0.25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</row>
    <row r="257" spans="1:26" ht="11.25" customHeight="1" x14ac:dyDescent="0.25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</row>
    <row r="258" spans="1:26" ht="11.25" customHeight="1" x14ac:dyDescent="0.25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</row>
    <row r="259" spans="1:26" ht="11.25" customHeight="1" x14ac:dyDescent="0.25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</row>
    <row r="260" spans="1:26" ht="11.25" customHeight="1" x14ac:dyDescent="0.25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</row>
    <row r="261" spans="1:26" ht="11.25" customHeight="1" x14ac:dyDescent="0.25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</row>
    <row r="262" spans="1:26" ht="11.25" customHeight="1" x14ac:dyDescent="0.25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</row>
    <row r="263" spans="1:26" ht="11.25" customHeight="1" x14ac:dyDescent="0.25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</row>
    <row r="264" spans="1:26" ht="11.25" customHeight="1" x14ac:dyDescent="0.25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</row>
    <row r="265" spans="1:26" ht="11.25" customHeight="1" x14ac:dyDescent="0.25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</row>
    <row r="266" spans="1:26" ht="11.25" customHeight="1" x14ac:dyDescent="0.25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</row>
    <row r="267" spans="1:26" ht="11.25" customHeight="1" x14ac:dyDescent="0.25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</row>
    <row r="268" spans="1:26" ht="11.25" customHeight="1" x14ac:dyDescent="0.25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</row>
    <row r="269" spans="1:26" ht="11.25" customHeight="1" x14ac:dyDescent="0.25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</row>
    <row r="270" spans="1:26" ht="11.25" customHeight="1" x14ac:dyDescent="0.25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</row>
    <row r="271" spans="1:26" ht="11.25" customHeight="1" x14ac:dyDescent="0.25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</row>
    <row r="272" spans="1:26" ht="11.25" customHeight="1" x14ac:dyDescent="0.25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</row>
    <row r="273" spans="1:26" ht="11.25" customHeight="1" x14ac:dyDescent="0.25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</row>
    <row r="274" spans="1:26" ht="11.25" customHeight="1" x14ac:dyDescent="0.25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</row>
    <row r="275" spans="1:26" ht="11.25" customHeight="1" x14ac:dyDescent="0.25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</row>
    <row r="276" spans="1:26" ht="11.25" customHeight="1" x14ac:dyDescent="0.25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</row>
    <row r="277" spans="1:26" ht="11.25" customHeight="1" x14ac:dyDescent="0.25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</row>
    <row r="278" spans="1:26" ht="11.25" customHeight="1" x14ac:dyDescent="0.25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</row>
    <row r="279" spans="1:26" ht="11.25" customHeight="1" x14ac:dyDescent="0.25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</row>
    <row r="280" spans="1:26" ht="11.25" customHeight="1" x14ac:dyDescent="0.25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</row>
    <row r="281" spans="1:26" ht="11.25" customHeight="1" x14ac:dyDescent="0.25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</row>
    <row r="282" spans="1:26" ht="11.25" customHeight="1" x14ac:dyDescent="0.25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</row>
    <row r="283" spans="1:26" ht="11.25" customHeight="1" x14ac:dyDescent="0.25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</row>
    <row r="284" spans="1:26" ht="11.25" customHeight="1" x14ac:dyDescent="0.25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</row>
    <row r="285" spans="1:26" ht="11.25" customHeight="1" x14ac:dyDescent="0.25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</row>
    <row r="286" spans="1:26" ht="11.25" customHeight="1" x14ac:dyDescent="0.25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</row>
    <row r="287" spans="1:26" ht="11.25" customHeight="1" x14ac:dyDescent="0.25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</row>
    <row r="288" spans="1:26" ht="11.25" customHeight="1" x14ac:dyDescent="0.25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</row>
    <row r="289" spans="1:26" ht="11.25" customHeight="1" x14ac:dyDescent="0.25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</row>
    <row r="290" spans="1:26" ht="11.25" customHeight="1" x14ac:dyDescent="0.25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</row>
    <row r="291" spans="1:26" ht="11.25" customHeight="1" x14ac:dyDescent="0.25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</row>
    <row r="292" spans="1:26" ht="11.25" customHeight="1" x14ac:dyDescent="0.25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</row>
    <row r="293" spans="1:26" ht="11.25" customHeight="1" x14ac:dyDescent="0.25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</row>
    <row r="294" spans="1:26" ht="11.25" customHeight="1" x14ac:dyDescent="0.25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</row>
    <row r="295" spans="1:26" ht="11.25" customHeight="1" x14ac:dyDescent="0.25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</row>
    <row r="296" spans="1:26" ht="11.25" customHeight="1" x14ac:dyDescent="0.25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</row>
    <row r="297" spans="1:26" ht="11.25" customHeight="1" x14ac:dyDescent="0.25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</row>
    <row r="298" spans="1:26" ht="11.25" customHeight="1" x14ac:dyDescent="0.25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 spans="1:26" ht="11.25" customHeight="1" x14ac:dyDescent="0.25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 spans="1:26" ht="11.25" customHeight="1" x14ac:dyDescent="0.25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 spans="1:26" ht="11.25" customHeight="1" x14ac:dyDescent="0.25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 spans="1:26" ht="11.25" customHeight="1" x14ac:dyDescent="0.25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 spans="1:26" ht="11.25" customHeight="1" x14ac:dyDescent="0.25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</row>
    <row r="304" spans="1:26" ht="11.25" customHeight="1" x14ac:dyDescent="0.25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 spans="1:26" ht="11.25" customHeight="1" x14ac:dyDescent="0.25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 spans="1:26" ht="11.25" customHeight="1" x14ac:dyDescent="0.25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 spans="1:26" ht="11.25" customHeight="1" x14ac:dyDescent="0.25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 spans="1:26" ht="11.25" customHeight="1" x14ac:dyDescent="0.25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 spans="1:26" ht="11.25" customHeight="1" x14ac:dyDescent="0.25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 spans="1:26" ht="11.25" customHeight="1" x14ac:dyDescent="0.25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 spans="1:26" ht="11.25" customHeight="1" x14ac:dyDescent="0.25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 spans="1:26" ht="11.25" customHeight="1" x14ac:dyDescent="0.25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 spans="1:26" ht="11.25" customHeight="1" x14ac:dyDescent="0.25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</row>
    <row r="314" spans="1:26" ht="11.25" customHeight="1" x14ac:dyDescent="0.25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 spans="1:26" ht="11.25" customHeight="1" x14ac:dyDescent="0.25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 spans="1:26" ht="11.25" customHeight="1" x14ac:dyDescent="0.25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 spans="1:26" ht="11.25" customHeight="1" x14ac:dyDescent="0.25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 spans="1:26" ht="11.25" customHeight="1" x14ac:dyDescent="0.25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</row>
    <row r="319" spans="1:26" ht="11.25" customHeight="1" x14ac:dyDescent="0.25">
      <c r="A319" s="121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</row>
    <row r="320" spans="1:26" ht="11.25" customHeight="1" x14ac:dyDescent="0.25">
      <c r="A320" s="121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</row>
    <row r="321" spans="1:26" ht="11.25" customHeight="1" x14ac:dyDescent="0.25">
      <c r="A321" s="121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</row>
    <row r="322" spans="1:26" ht="11.25" customHeight="1" x14ac:dyDescent="0.25">
      <c r="A322" s="121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</row>
    <row r="323" spans="1:26" ht="11.25" customHeight="1" x14ac:dyDescent="0.25">
      <c r="A323" s="121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</row>
    <row r="324" spans="1:26" ht="11.25" customHeight="1" x14ac:dyDescent="0.25">
      <c r="A324" s="121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</row>
    <row r="325" spans="1:26" ht="11.25" customHeight="1" x14ac:dyDescent="0.25">
      <c r="A325" s="121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</row>
    <row r="326" spans="1:26" ht="11.25" customHeight="1" x14ac:dyDescent="0.25">
      <c r="A326" s="121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</row>
    <row r="327" spans="1:26" ht="11.25" customHeight="1" x14ac:dyDescent="0.25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</row>
    <row r="328" spans="1:26" ht="11.25" customHeight="1" x14ac:dyDescent="0.25">
      <c r="A328" s="121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</row>
    <row r="329" spans="1:26" ht="11.25" customHeight="1" x14ac:dyDescent="0.25">
      <c r="A329" s="121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</row>
    <row r="330" spans="1:26" ht="11.25" customHeight="1" x14ac:dyDescent="0.25">
      <c r="A330" s="121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</row>
    <row r="331" spans="1:26" ht="11.25" customHeight="1" x14ac:dyDescent="0.25">
      <c r="A331" s="121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</row>
    <row r="332" spans="1:26" ht="11.25" customHeight="1" x14ac:dyDescent="0.25">
      <c r="A332" s="121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</row>
    <row r="333" spans="1:26" ht="11.25" customHeight="1" x14ac:dyDescent="0.25">
      <c r="A333" s="121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</row>
    <row r="334" spans="1:26" ht="11.25" customHeight="1" x14ac:dyDescent="0.25">
      <c r="A334" s="121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</row>
    <row r="335" spans="1:26" ht="11.25" customHeight="1" x14ac:dyDescent="0.25">
      <c r="A335" s="121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</row>
    <row r="336" spans="1:26" ht="11.25" customHeight="1" x14ac:dyDescent="0.25">
      <c r="A336" s="121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</row>
    <row r="337" spans="1:26" ht="11.25" customHeight="1" x14ac:dyDescent="0.25">
      <c r="A337" s="121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</row>
    <row r="338" spans="1:26" ht="11.25" customHeight="1" x14ac:dyDescent="0.25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</row>
    <row r="339" spans="1:26" ht="11.25" customHeight="1" x14ac:dyDescent="0.25">
      <c r="A339" s="121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</row>
    <row r="340" spans="1:26" ht="11.25" customHeight="1" x14ac:dyDescent="0.25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</row>
    <row r="341" spans="1:26" ht="11.25" customHeight="1" x14ac:dyDescent="0.25">
      <c r="A341" s="121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</row>
    <row r="342" spans="1:26" ht="11.25" customHeight="1" x14ac:dyDescent="0.25">
      <c r="A342" s="121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</row>
    <row r="343" spans="1:26" ht="11.25" customHeight="1" x14ac:dyDescent="0.25">
      <c r="A343" s="121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</row>
    <row r="344" spans="1:26" ht="11.25" customHeight="1" x14ac:dyDescent="0.25">
      <c r="A344" s="121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</row>
    <row r="345" spans="1:26" ht="11.25" customHeight="1" x14ac:dyDescent="0.25">
      <c r="A345" s="121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</row>
    <row r="346" spans="1:26" ht="11.25" customHeight="1" x14ac:dyDescent="0.25">
      <c r="A346" s="121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</row>
    <row r="347" spans="1:26" ht="11.25" customHeight="1" x14ac:dyDescent="0.25">
      <c r="A347" s="121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</row>
    <row r="348" spans="1:26" ht="11.25" customHeight="1" x14ac:dyDescent="0.25">
      <c r="A348" s="121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</row>
    <row r="349" spans="1:26" ht="11.25" customHeight="1" x14ac:dyDescent="0.25">
      <c r="A349" s="121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</row>
    <row r="350" spans="1:26" ht="11.25" customHeight="1" x14ac:dyDescent="0.25">
      <c r="A350" s="121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</row>
    <row r="351" spans="1:26" ht="11.25" customHeight="1" x14ac:dyDescent="0.25">
      <c r="A351" s="121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</row>
    <row r="352" spans="1:26" ht="11.25" customHeight="1" x14ac:dyDescent="0.25">
      <c r="A352" s="121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</row>
    <row r="353" spans="1:26" ht="11.25" customHeight="1" x14ac:dyDescent="0.25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</row>
    <row r="354" spans="1:26" ht="11.25" customHeight="1" x14ac:dyDescent="0.25">
      <c r="A354" s="121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</row>
    <row r="355" spans="1:26" ht="11.25" customHeight="1" x14ac:dyDescent="0.25">
      <c r="A355" s="121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</row>
    <row r="356" spans="1:26" ht="11.25" customHeight="1" x14ac:dyDescent="0.25">
      <c r="A356" s="121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</row>
    <row r="357" spans="1:26" ht="11.25" customHeight="1" x14ac:dyDescent="0.25">
      <c r="A357" s="121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</row>
    <row r="358" spans="1:26" ht="11.25" customHeight="1" x14ac:dyDescent="0.25">
      <c r="A358" s="121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</row>
    <row r="359" spans="1:26" ht="11.25" customHeight="1" x14ac:dyDescent="0.25">
      <c r="A359" s="121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</row>
    <row r="360" spans="1:26" ht="11.25" customHeight="1" x14ac:dyDescent="0.25">
      <c r="A360" s="121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</row>
    <row r="361" spans="1:26" ht="11.25" customHeight="1" x14ac:dyDescent="0.25">
      <c r="A361" s="121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</row>
    <row r="362" spans="1:26" ht="11.25" customHeight="1" x14ac:dyDescent="0.25">
      <c r="A362" s="121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</row>
    <row r="363" spans="1:26" ht="11.25" customHeight="1" x14ac:dyDescent="0.25">
      <c r="A363" s="121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</row>
    <row r="364" spans="1:26" ht="11.25" customHeight="1" x14ac:dyDescent="0.25">
      <c r="A364" s="121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</row>
    <row r="365" spans="1:26" ht="11.25" customHeight="1" x14ac:dyDescent="0.25">
      <c r="A365" s="121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</row>
    <row r="366" spans="1:26" ht="11.25" customHeight="1" x14ac:dyDescent="0.25">
      <c r="A366" s="121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</row>
    <row r="367" spans="1:26" ht="11.25" customHeight="1" x14ac:dyDescent="0.25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</row>
    <row r="368" spans="1:26" ht="11.25" customHeight="1" x14ac:dyDescent="0.25">
      <c r="A368" s="121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</row>
    <row r="369" spans="1:26" ht="11.25" customHeight="1" x14ac:dyDescent="0.25">
      <c r="A369" s="121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</row>
    <row r="370" spans="1:26" ht="11.25" customHeight="1" x14ac:dyDescent="0.25">
      <c r="A370" s="121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</row>
    <row r="371" spans="1:26" ht="11.25" customHeight="1" x14ac:dyDescent="0.25">
      <c r="A371" s="121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</row>
    <row r="372" spans="1:26" ht="11.25" customHeight="1" x14ac:dyDescent="0.25">
      <c r="A372" s="121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</row>
    <row r="373" spans="1:26" ht="11.25" customHeight="1" x14ac:dyDescent="0.25">
      <c r="A373" s="121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</row>
    <row r="374" spans="1:26" ht="11.25" customHeight="1" x14ac:dyDescent="0.25">
      <c r="A374" s="121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</row>
    <row r="375" spans="1:26" ht="11.25" customHeight="1" x14ac:dyDescent="0.25">
      <c r="A375" s="121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</row>
    <row r="376" spans="1:26" ht="11.25" customHeight="1" x14ac:dyDescent="0.25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</row>
    <row r="377" spans="1:26" ht="11.25" customHeight="1" x14ac:dyDescent="0.25">
      <c r="A377" s="121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</row>
    <row r="378" spans="1:26" ht="11.25" customHeight="1" x14ac:dyDescent="0.25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</row>
    <row r="379" spans="1:26" ht="11.25" customHeight="1" x14ac:dyDescent="0.25">
      <c r="A379" s="121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</row>
    <row r="380" spans="1:26" ht="11.25" customHeight="1" x14ac:dyDescent="0.25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</row>
    <row r="381" spans="1:26" ht="11.25" customHeight="1" x14ac:dyDescent="0.25">
      <c r="A381" s="121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</row>
    <row r="382" spans="1:26" ht="11.25" customHeight="1" x14ac:dyDescent="0.25">
      <c r="A382" s="121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</row>
    <row r="383" spans="1:26" ht="11.25" customHeight="1" x14ac:dyDescent="0.25">
      <c r="A383" s="121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</row>
    <row r="384" spans="1:26" ht="11.25" customHeight="1" x14ac:dyDescent="0.25">
      <c r="A384" s="121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</row>
    <row r="385" spans="1:26" ht="11.25" customHeight="1" x14ac:dyDescent="0.25">
      <c r="A385" s="121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</row>
    <row r="386" spans="1:26" ht="11.25" customHeight="1" x14ac:dyDescent="0.25">
      <c r="A386" s="121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</row>
    <row r="387" spans="1:26" ht="11.25" customHeight="1" x14ac:dyDescent="0.25">
      <c r="A387" s="121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</row>
    <row r="388" spans="1:26" ht="11.25" customHeight="1" x14ac:dyDescent="0.25">
      <c r="A388" s="121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</row>
    <row r="389" spans="1:26" ht="11.25" customHeight="1" x14ac:dyDescent="0.25">
      <c r="A389" s="121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</row>
    <row r="390" spans="1:26" ht="11.25" customHeight="1" x14ac:dyDescent="0.25">
      <c r="A390" s="121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</row>
    <row r="391" spans="1:26" ht="11.25" customHeight="1" x14ac:dyDescent="0.25">
      <c r="A391" s="121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</row>
    <row r="392" spans="1:26" ht="11.25" customHeight="1" x14ac:dyDescent="0.25">
      <c r="A392" s="121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</row>
    <row r="393" spans="1:26" ht="11.25" customHeight="1" x14ac:dyDescent="0.25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</row>
    <row r="394" spans="1:26" ht="11.25" customHeight="1" x14ac:dyDescent="0.25">
      <c r="A394" s="121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</row>
    <row r="395" spans="1:26" ht="11.25" customHeight="1" x14ac:dyDescent="0.25">
      <c r="A395" s="121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</row>
    <row r="396" spans="1:26" ht="11.25" customHeight="1" x14ac:dyDescent="0.25">
      <c r="A396" s="121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</row>
    <row r="397" spans="1:26" ht="11.25" customHeight="1" x14ac:dyDescent="0.25">
      <c r="A397" s="121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</row>
    <row r="398" spans="1:26" ht="11.25" customHeight="1" x14ac:dyDescent="0.25">
      <c r="A398" s="121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</row>
    <row r="399" spans="1:26" ht="11.25" customHeight="1" x14ac:dyDescent="0.25">
      <c r="A399" s="121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</row>
    <row r="400" spans="1:26" ht="11.25" customHeight="1" x14ac:dyDescent="0.25">
      <c r="A400" s="121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</row>
    <row r="401" spans="1:26" ht="11.25" customHeight="1" x14ac:dyDescent="0.25">
      <c r="A401" s="121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</row>
    <row r="402" spans="1:26" ht="11.25" customHeight="1" x14ac:dyDescent="0.25">
      <c r="A402" s="121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</row>
    <row r="403" spans="1:26" ht="11.25" customHeight="1" x14ac:dyDescent="0.25">
      <c r="A403" s="121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</row>
    <row r="404" spans="1:26" ht="11.25" customHeight="1" x14ac:dyDescent="0.25">
      <c r="A404" s="121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</row>
    <row r="405" spans="1:26" ht="11.25" customHeight="1" x14ac:dyDescent="0.25">
      <c r="A405" s="121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</row>
    <row r="406" spans="1:26" ht="11.25" customHeight="1" x14ac:dyDescent="0.25">
      <c r="A406" s="121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</row>
    <row r="407" spans="1:26" ht="11.25" customHeight="1" x14ac:dyDescent="0.25">
      <c r="A407" s="121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</row>
    <row r="408" spans="1:26" ht="11.25" customHeight="1" x14ac:dyDescent="0.25">
      <c r="A408" s="121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</row>
    <row r="409" spans="1:26" ht="11.25" customHeight="1" x14ac:dyDescent="0.25">
      <c r="A409" s="121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</row>
    <row r="410" spans="1:26" ht="11.25" customHeight="1" x14ac:dyDescent="0.25">
      <c r="A410" s="121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</row>
    <row r="411" spans="1:26" ht="11.25" customHeight="1" x14ac:dyDescent="0.25">
      <c r="A411" s="121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</row>
    <row r="412" spans="1:26" ht="11.25" customHeight="1" x14ac:dyDescent="0.25">
      <c r="A412" s="121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</row>
    <row r="413" spans="1:26" ht="11.25" customHeight="1" x14ac:dyDescent="0.25">
      <c r="A413" s="121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</row>
    <row r="414" spans="1:26" ht="11.25" customHeight="1" x14ac:dyDescent="0.25">
      <c r="A414" s="121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</row>
    <row r="415" spans="1:26" ht="11.25" customHeight="1" x14ac:dyDescent="0.25">
      <c r="A415" s="121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</row>
    <row r="416" spans="1:26" ht="11.25" customHeight="1" x14ac:dyDescent="0.25">
      <c r="A416" s="121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</row>
    <row r="417" spans="1:26" ht="11.25" customHeight="1" x14ac:dyDescent="0.25">
      <c r="A417" s="121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</row>
    <row r="418" spans="1:26" ht="11.25" customHeight="1" x14ac:dyDescent="0.25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</row>
    <row r="419" spans="1:26" ht="11.25" customHeight="1" x14ac:dyDescent="0.25">
      <c r="A419" s="121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</row>
    <row r="420" spans="1:26" ht="11.25" customHeight="1" x14ac:dyDescent="0.25">
      <c r="A420" s="121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</row>
    <row r="421" spans="1:26" ht="11.25" customHeight="1" x14ac:dyDescent="0.25">
      <c r="A421" s="121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</row>
    <row r="422" spans="1:26" ht="11.25" customHeight="1" x14ac:dyDescent="0.25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</row>
    <row r="423" spans="1:26" ht="11.25" customHeight="1" x14ac:dyDescent="0.25">
      <c r="A423" s="121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</row>
    <row r="424" spans="1:26" ht="11.25" customHeight="1" x14ac:dyDescent="0.25">
      <c r="A424" s="121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</row>
    <row r="425" spans="1:26" ht="11.25" customHeight="1" x14ac:dyDescent="0.25">
      <c r="A425" s="121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</row>
    <row r="426" spans="1:26" ht="11.25" customHeight="1" x14ac:dyDescent="0.25">
      <c r="A426" s="121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</row>
    <row r="427" spans="1:26" ht="11.25" customHeight="1" x14ac:dyDescent="0.25">
      <c r="A427" s="121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</row>
    <row r="428" spans="1:26" ht="11.25" customHeight="1" x14ac:dyDescent="0.25">
      <c r="A428" s="121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</row>
    <row r="429" spans="1:26" ht="11.25" customHeight="1" x14ac:dyDescent="0.25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</row>
    <row r="430" spans="1:26" ht="11.25" customHeight="1" x14ac:dyDescent="0.25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</row>
    <row r="431" spans="1:26" ht="11.25" customHeight="1" x14ac:dyDescent="0.25">
      <c r="A431" s="121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</row>
    <row r="432" spans="1:26" ht="11.25" customHeight="1" x14ac:dyDescent="0.25">
      <c r="A432" s="121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</row>
    <row r="433" spans="1:26" ht="11.25" customHeight="1" x14ac:dyDescent="0.25">
      <c r="A433" s="121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</row>
    <row r="434" spans="1:26" ht="11.25" customHeight="1" x14ac:dyDescent="0.25">
      <c r="A434" s="121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</row>
    <row r="435" spans="1:26" ht="11.25" customHeight="1" x14ac:dyDescent="0.25">
      <c r="A435" s="121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</row>
    <row r="436" spans="1:26" ht="11.25" customHeight="1" x14ac:dyDescent="0.25">
      <c r="A436" s="121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</row>
    <row r="437" spans="1:26" ht="11.25" customHeight="1" x14ac:dyDescent="0.25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</row>
    <row r="438" spans="1:26" ht="11.25" customHeight="1" x14ac:dyDescent="0.25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</row>
    <row r="439" spans="1:26" ht="11.25" customHeight="1" x14ac:dyDescent="0.25">
      <c r="A439" s="121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</row>
    <row r="440" spans="1:26" ht="11.25" customHeight="1" x14ac:dyDescent="0.25">
      <c r="A440" s="121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</row>
    <row r="441" spans="1:26" ht="11.25" customHeight="1" x14ac:dyDescent="0.25">
      <c r="A441" s="121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</row>
    <row r="442" spans="1:26" ht="11.25" customHeight="1" x14ac:dyDescent="0.25">
      <c r="A442" s="121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</row>
    <row r="443" spans="1:26" ht="11.25" customHeight="1" x14ac:dyDescent="0.25">
      <c r="A443" s="121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</row>
    <row r="444" spans="1:26" ht="11.25" customHeight="1" x14ac:dyDescent="0.25">
      <c r="A444" s="121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</row>
    <row r="445" spans="1:26" ht="11.25" customHeight="1" x14ac:dyDescent="0.25">
      <c r="A445" s="121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</row>
    <row r="446" spans="1:26" ht="11.25" customHeight="1" x14ac:dyDescent="0.25">
      <c r="A446" s="121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</row>
    <row r="447" spans="1:26" ht="11.25" customHeight="1" x14ac:dyDescent="0.25">
      <c r="A447" s="121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 spans="1:26" ht="11.25" customHeight="1" x14ac:dyDescent="0.25">
      <c r="A448" s="121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</row>
    <row r="449" spans="1:26" ht="11.25" customHeight="1" x14ac:dyDescent="0.25">
      <c r="A449" s="121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</row>
    <row r="450" spans="1:26" ht="11.25" customHeight="1" x14ac:dyDescent="0.25">
      <c r="A450" s="121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</row>
    <row r="451" spans="1:26" ht="11.25" customHeight="1" x14ac:dyDescent="0.25">
      <c r="A451" s="121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</row>
    <row r="452" spans="1:26" ht="11.25" customHeight="1" x14ac:dyDescent="0.25">
      <c r="A452" s="121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</row>
    <row r="453" spans="1:26" ht="11.25" customHeight="1" x14ac:dyDescent="0.25">
      <c r="A453" s="121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</row>
    <row r="454" spans="1:26" ht="11.25" customHeight="1" x14ac:dyDescent="0.25">
      <c r="A454" s="121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</row>
    <row r="455" spans="1:26" ht="11.25" customHeight="1" x14ac:dyDescent="0.25">
      <c r="A455" s="121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</row>
    <row r="456" spans="1:26" ht="11.25" customHeight="1" x14ac:dyDescent="0.25">
      <c r="A456" s="121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</row>
    <row r="457" spans="1:26" ht="11.25" customHeight="1" x14ac:dyDescent="0.25">
      <c r="A457" s="121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</row>
    <row r="458" spans="1:26" ht="11.25" customHeight="1" x14ac:dyDescent="0.25">
      <c r="A458" s="121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</row>
    <row r="459" spans="1:26" ht="11.25" customHeight="1" x14ac:dyDescent="0.25">
      <c r="A459" s="121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</row>
    <row r="460" spans="1:26" ht="11.25" customHeight="1" x14ac:dyDescent="0.25">
      <c r="A460" s="121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</row>
    <row r="461" spans="1:26" ht="11.25" customHeight="1" x14ac:dyDescent="0.25">
      <c r="A461" s="121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</row>
    <row r="462" spans="1:26" ht="11.25" customHeight="1" x14ac:dyDescent="0.25">
      <c r="A462" s="121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</row>
    <row r="463" spans="1:26" ht="11.25" customHeight="1" x14ac:dyDescent="0.25">
      <c r="A463" s="121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</row>
    <row r="464" spans="1:26" ht="11.25" customHeight="1" x14ac:dyDescent="0.25">
      <c r="A464" s="121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</row>
    <row r="465" spans="1:26" ht="11.25" customHeight="1" x14ac:dyDescent="0.25">
      <c r="A465" s="121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</row>
    <row r="466" spans="1:26" ht="11.25" customHeight="1" x14ac:dyDescent="0.25">
      <c r="A466" s="121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</row>
    <row r="467" spans="1:26" ht="11.25" customHeight="1" x14ac:dyDescent="0.25">
      <c r="A467" s="121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 spans="1:26" ht="11.25" customHeight="1" x14ac:dyDescent="0.25">
      <c r="A468" s="121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</row>
    <row r="469" spans="1:26" ht="11.25" customHeight="1" x14ac:dyDescent="0.25">
      <c r="A469" s="121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</row>
    <row r="470" spans="1:26" ht="11.25" customHeight="1" x14ac:dyDescent="0.25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</row>
    <row r="471" spans="1:26" ht="11.25" customHeight="1" x14ac:dyDescent="0.25">
      <c r="A471" s="121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</row>
    <row r="472" spans="1:26" ht="11.25" customHeight="1" x14ac:dyDescent="0.25">
      <c r="A472" s="121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</row>
    <row r="473" spans="1:26" ht="11.25" customHeight="1" x14ac:dyDescent="0.25">
      <c r="A473" s="121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</row>
    <row r="474" spans="1:26" ht="11.25" customHeight="1" x14ac:dyDescent="0.25">
      <c r="A474" s="121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</row>
    <row r="475" spans="1:26" ht="11.25" customHeight="1" x14ac:dyDescent="0.25">
      <c r="A475" s="121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</row>
    <row r="476" spans="1:26" ht="11.25" customHeight="1" x14ac:dyDescent="0.25">
      <c r="A476" s="121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</row>
    <row r="477" spans="1:26" ht="11.25" customHeight="1" x14ac:dyDescent="0.25">
      <c r="A477" s="121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</row>
    <row r="478" spans="1:26" ht="11.25" customHeight="1" x14ac:dyDescent="0.25">
      <c r="A478" s="121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</row>
    <row r="479" spans="1:26" ht="11.25" customHeight="1" x14ac:dyDescent="0.25">
      <c r="A479" s="121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</row>
    <row r="480" spans="1:26" ht="11.25" customHeight="1" x14ac:dyDescent="0.25">
      <c r="A480" s="121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</row>
    <row r="481" spans="1:26" ht="11.25" customHeight="1" x14ac:dyDescent="0.25">
      <c r="A481" s="121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</row>
    <row r="482" spans="1:26" ht="11.25" customHeight="1" x14ac:dyDescent="0.25">
      <c r="A482" s="121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</row>
    <row r="483" spans="1:26" ht="11.25" customHeight="1" x14ac:dyDescent="0.25">
      <c r="A483" s="121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</row>
    <row r="484" spans="1:26" ht="11.25" customHeight="1" x14ac:dyDescent="0.25">
      <c r="A484" s="121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</row>
    <row r="485" spans="1:26" ht="11.25" customHeight="1" x14ac:dyDescent="0.25">
      <c r="A485" s="121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</row>
    <row r="486" spans="1:26" ht="11.25" customHeight="1" x14ac:dyDescent="0.25">
      <c r="A486" s="121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</row>
    <row r="487" spans="1:26" ht="11.25" customHeight="1" x14ac:dyDescent="0.25">
      <c r="A487" s="121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</row>
    <row r="488" spans="1:26" ht="11.25" customHeight="1" x14ac:dyDescent="0.25">
      <c r="A488" s="121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</row>
    <row r="489" spans="1:26" ht="11.25" customHeight="1" x14ac:dyDescent="0.25">
      <c r="A489" s="121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</row>
    <row r="490" spans="1:26" ht="11.25" customHeight="1" x14ac:dyDescent="0.25">
      <c r="A490" s="121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</row>
    <row r="491" spans="1:26" ht="11.25" customHeight="1" x14ac:dyDescent="0.25">
      <c r="A491" s="121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</row>
    <row r="492" spans="1:26" ht="11.25" customHeight="1" x14ac:dyDescent="0.25">
      <c r="A492" s="121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</row>
    <row r="493" spans="1:26" ht="11.25" customHeight="1" x14ac:dyDescent="0.25">
      <c r="A493" s="121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</row>
    <row r="494" spans="1:26" ht="11.25" customHeight="1" x14ac:dyDescent="0.25">
      <c r="A494" s="121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</row>
    <row r="495" spans="1:26" ht="11.25" customHeight="1" x14ac:dyDescent="0.25">
      <c r="A495" s="121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</row>
    <row r="496" spans="1:26" ht="11.25" customHeight="1" x14ac:dyDescent="0.25">
      <c r="A496" s="121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</row>
    <row r="497" spans="1:26" ht="11.25" customHeight="1" x14ac:dyDescent="0.25">
      <c r="A497" s="121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</row>
    <row r="498" spans="1:26" ht="11.25" customHeight="1" x14ac:dyDescent="0.25">
      <c r="A498" s="121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</row>
    <row r="499" spans="1:26" ht="11.25" customHeight="1" x14ac:dyDescent="0.25">
      <c r="A499" s="121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</row>
    <row r="500" spans="1:26" ht="11.25" customHeight="1" x14ac:dyDescent="0.25">
      <c r="A500" s="121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</row>
    <row r="501" spans="1:26" ht="11.25" customHeight="1" x14ac:dyDescent="0.25">
      <c r="A501" s="121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</row>
    <row r="502" spans="1:26" ht="11.25" customHeight="1" x14ac:dyDescent="0.25">
      <c r="A502" s="121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</row>
    <row r="503" spans="1:26" ht="11.25" customHeight="1" x14ac:dyDescent="0.25">
      <c r="A503" s="121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</row>
    <row r="504" spans="1:26" ht="11.25" customHeight="1" x14ac:dyDescent="0.25">
      <c r="A504" s="121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</row>
    <row r="505" spans="1:26" ht="11.25" customHeight="1" x14ac:dyDescent="0.25">
      <c r="A505" s="121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</row>
    <row r="506" spans="1:26" ht="11.25" customHeight="1" x14ac:dyDescent="0.25">
      <c r="A506" s="121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</row>
    <row r="507" spans="1:26" ht="11.25" customHeight="1" x14ac:dyDescent="0.25">
      <c r="A507" s="121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</row>
    <row r="508" spans="1:26" ht="11.25" customHeight="1" x14ac:dyDescent="0.25">
      <c r="A508" s="121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</row>
    <row r="509" spans="1:26" ht="11.25" customHeight="1" x14ac:dyDescent="0.25">
      <c r="A509" s="121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</row>
    <row r="510" spans="1:26" ht="11.25" customHeight="1" x14ac:dyDescent="0.25">
      <c r="A510" s="121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</row>
    <row r="511" spans="1:26" ht="11.25" customHeight="1" x14ac:dyDescent="0.25">
      <c r="A511" s="121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</row>
    <row r="512" spans="1:26" ht="11.25" customHeight="1" x14ac:dyDescent="0.25">
      <c r="A512" s="121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</row>
    <row r="513" spans="1:26" ht="11.25" customHeight="1" x14ac:dyDescent="0.25">
      <c r="A513" s="121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</row>
    <row r="514" spans="1:26" ht="11.25" customHeight="1" x14ac:dyDescent="0.25">
      <c r="A514" s="121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</row>
    <row r="515" spans="1:26" ht="11.25" customHeight="1" x14ac:dyDescent="0.25">
      <c r="A515" s="121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</row>
    <row r="516" spans="1:26" ht="11.25" customHeight="1" x14ac:dyDescent="0.25">
      <c r="A516" s="121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</row>
    <row r="517" spans="1:26" ht="11.25" customHeight="1" x14ac:dyDescent="0.25">
      <c r="A517" s="121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</row>
    <row r="518" spans="1:26" ht="11.25" customHeight="1" x14ac:dyDescent="0.25">
      <c r="A518" s="121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</row>
    <row r="519" spans="1:26" ht="11.25" customHeight="1" x14ac:dyDescent="0.25">
      <c r="A519" s="121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</row>
    <row r="520" spans="1:26" ht="11.25" customHeight="1" x14ac:dyDescent="0.25">
      <c r="A520" s="121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</row>
    <row r="521" spans="1:26" ht="11.25" customHeight="1" x14ac:dyDescent="0.25">
      <c r="A521" s="121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</row>
    <row r="522" spans="1:26" ht="11.25" customHeight="1" x14ac:dyDescent="0.25">
      <c r="A522" s="121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</row>
    <row r="523" spans="1:26" ht="11.25" customHeight="1" x14ac:dyDescent="0.25">
      <c r="A523" s="121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</row>
    <row r="524" spans="1:26" ht="11.25" customHeight="1" x14ac:dyDescent="0.25">
      <c r="A524" s="121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</row>
    <row r="525" spans="1:26" ht="11.25" customHeight="1" x14ac:dyDescent="0.25">
      <c r="A525" s="121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</row>
    <row r="526" spans="1:26" ht="11.25" customHeight="1" x14ac:dyDescent="0.25">
      <c r="A526" s="121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</row>
    <row r="527" spans="1:26" ht="11.25" customHeight="1" x14ac:dyDescent="0.25">
      <c r="A527" s="121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</row>
    <row r="528" spans="1:26" ht="11.25" customHeight="1" x14ac:dyDescent="0.25">
      <c r="A528" s="121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</row>
    <row r="529" spans="1:26" ht="11.25" customHeight="1" x14ac:dyDescent="0.25">
      <c r="A529" s="121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</row>
    <row r="530" spans="1:26" ht="11.25" customHeight="1" x14ac:dyDescent="0.25">
      <c r="A530" s="121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</row>
    <row r="531" spans="1:26" ht="11.25" customHeight="1" x14ac:dyDescent="0.25">
      <c r="A531" s="121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</row>
    <row r="532" spans="1:26" ht="11.25" customHeight="1" x14ac:dyDescent="0.25">
      <c r="A532" s="121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</row>
    <row r="533" spans="1:26" ht="11.25" customHeight="1" x14ac:dyDescent="0.25">
      <c r="A533" s="121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</row>
    <row r="534" spans="1:26" ht="11.25" customHeight="1" x14ac:dyDescent="0.25">
      <c r="A534" s="121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</row>
    <row r="535" spans="1:26" ht="11.25" customHeight="1" x14ac:dyDescent="0.25">
      <c r="A535" s="121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</row>
    <row r="536" spans="1:26" ht="11.25" customHeight="1" x14ac:dyDescent="0.25">
      <c r="A536" s="121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</row>
    <row r="537" spans="1:26" ht="11.25" customHeight="1" x14ac:dyDescent="0.25">
      <c r="A537" s="121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</row>
    <row r="538" spans="1:26" ht="11.25" customHeight="1" x14ac:dyDescent="0.25">
      <c r="A538" s="121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</row>
    <row r="539" spans="1:26" ht="11.25" customHeight="1" x14ac:dyDescent="0.25">
      <c r="A539" s="121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</row>
    <row r="540" spans="1:26" ht="11.25" customHeight="1" x14ac:dyDescent="0.25">
      <c r="A540" s="121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</row>
    <row r="541" spans="1:26" ht="11.25" customHeight="1" x14ac:dyDescent="0.25">
      <c r="A541" s="121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</row>
    <row r="542" spans="1:26" ht="11.25" customHeight="1" x14ac:dyDescent="0.25">
      <c r="A542" s="121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</row>
    <row r="543" spans="1:26" ht="11.25" customHeight="1" x14ac:dyDescent="0.25">
      <c r="A543" s="121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</row>
    <row r="544" spans="1:26" ht="11.25" customHeight="1" x14ac:dyDescent="0.25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</row>
    <row r="545" spans="1:26" ht="11.25" customHeight="1" x14ac:dyDescent="0.25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</row>
    <row r="546" spans="1:26" ht="11.25" customHeight="1" x14ac:dyDescent="0.25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</row>
    <row r="547" spans="1:26" ht="11.25" customHeight="1" x14ac:dyDescent="0.25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</row>
    <row r="548" spans="1:26" ht="11.25" customHeight="1" x14ac:dyDescent="0.25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</row>
    <row r="549" spans="1:26" ht="11.25" customHeight="1" x14ac:dyDescent="0.25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</row>
    <row r="550" spans="1:26" ht="11.25" customHeight="1" x14ac:dyDescent="0.25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</row>
    <row r="551" spans="1:26" ht="11.25" customHeight="1" x14ac:dyDescent="0.25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</row>
    <row r="552" spans="1:26" ht="11.25" customHeight="1" x14ac:dyDescent="0.25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</row>
    <row r="553" spans="1:26" ht="11.25" customHeight="1" x14ac:dyDescent="0.25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</row>
    <row r="554" spans="1:26" ht="11.25" customHeight="1" x14ac:dyDescent="0.25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</row>
    <row r="555" spans="1:26" ht="11.25" customHeight="1" x14ac:dyDescent="0.25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</row>
    <row r="556" spans="1:26" ht="11.25" customHeight="1" x14ac:dyDescent="0.25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</row>
    <row r="557" spans="1:26" ht="11.25" customHeight="1" x14ac:dyDescent="0.25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</row>
    <row r="558" spans="1:26" ht="11.25" customHeight="1" x14ac:dyDescent="0.25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</row>
    <row r="559" spans="1:26" ht="11.25" customHeight="1" x14ac:dyDescent="0.25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</row>
    <row r="560" spans="1:26" ht="11.25" customHeight="1" x14ac:dyDescent="0.25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</row>
    <row r="561" spans="1:26" ht="11.25" customHeight="1" x14ac:dyDescent="0.25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</row>
    <row r="562" spans="1:26" ht="11.25" customHeight="1" x14ac:dyDescent="0.25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</row>
    <row r="563" spans="1:26" ht="11.25" customHeight="1" x14ac:dyDescent="0.25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</row>
    <row r="564" spans="1:26" ht="11.25" customHeight="1" x14ac:dyDescent="0.25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</row>
    <row r="565" spans="1:26" ht="11.25" customHeight="1" x14ac:dyDescent="0.25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</row>
    <row r="566" spans="1:26" ht="11.25" customHeight="1" x14ac:dyDescent="0.25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</row>
    <row r="567" spans="1:26" ht="11.25" customHeight="1" x14ac:dyDescent="0.25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</row>
    <row r="568" spans="1:26" ht="11.25" customHeight="1" x14ac:dyDescent="0.25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</row>
    <row r="569" spans="1:26" ht="11.25" customHeight="1" x14ac:dyDescent="0.25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</row>
    <row r="570" spans="1:26" ht="11.25" customHeight="1" x14ac:dyDescent="0.25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</row>
    <row r="571" spans="1:26" ht="11.25" customHeight="1" x14ac:dyDescent="0.25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</row>
    <row r="572" spans="1:26" ht="11.25" customHeight="1" x14ac:dyDescent="0.25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</row>
    <row r="573" spans="1:26" ht="11.25" customHeight="1" x14ac:dyDescent="0.25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</row>
    <row r="574" spans="1:26" ht="11.25" customHeight="1" x14ac:dyDescent="0.25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</row>
    <row r="575" spans="1:26" ht="11.25" customHeight="1" x14ac:dyDescent="0.25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</row>
    <row r="576" spans="1:26" ht="11.25" customHeight="1" x14ac:dyDescent="0.25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</row>
    <row r="577" spans="1:26" ht="11.25" customHeight="1" x14ac:dyDescent="0.25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</row>
    <row r="578" spans="1:26" ht="11.25" customHeight="1" x14ac:dyDescent="0.25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</row>
    <row r="579" spans="1:26" ht="11.25" customHeight="1" x14ac:dyDescent="0.25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</row>
    <row r="580" spans="1:26" ht="11.25" customHeight="1" x14ac:dyDescent="0.25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</row>
    <row r="581" spans="1:26" ht="11.25" customHeight="1" x14ac:dyDescent="0.25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</row>
    <row r="582" spans="1:26" ht="11.25" customHeight="1" x14ac:dyDescent="0.25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</row>
    <row r="583" spans="1:26" ht="11.25" customHeight="1" x14ac:dyDescent="0.25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</row>
    <row r="584" spans="1:26" ht="11.25" customHeight="1" x14ac:dyDescent="0.25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</row>
    <row r="585" spans="1:26" ht="11.25" customHeight="1" x14ac:dyDescent="0.25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</row>
    <row r="586" spans="1:26" ht="11.25" customHeight="1" x14ac:dyDescent="0.25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</row>
    <row r="587" spans="1:26" ht="11.25" customHeight="1" x14ac:dyDescent="0.25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</row>
    <row r="588" spans="1:26" ht="11.25" customHeight="1" x14ac:dyDescent="0.25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</row>
    <row r="589" spans="1:26" ht="11.25" customHeight="1" x14ac:dyDescent="0.25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</row>
    <row r="590" spans="1:26" ht="11.25" customHeight="1" x14ac:dyDescent="0.25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</row>
    <row r="591" spans="1:26" ht="11.25" customHeight="1" x14ac:dyDescent="0.25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</row>
    <row r="592" spans="1:26" ht="11.25" customHeight="1" x14ac:dyDescent="0.25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</row>
    <row r="593" spans="1:26" ht="11.25" customHeight="1" x14ac:dyDescent="0.25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</row>
    <row r="594" spans="1:26" ht="11.25" customHeight="1" x14ac:dyDescent="0.25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</row>
    <row r="595" spans="1:26" ht="11.25" customHeight="1" x14ac:dyDescent="0.25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</row>
    <row r="596" spans="1:26" ht="11.25" customHeight="1" x14ac:dyDescent="0.25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</row>
    <row r="597" spans="1:26" ht="11.25" customHeight="1" x14ac:dyDescent="0.25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</row>
    <row r="598" spans="1:26" ht="11.25" customHeight="1" x14ac:dyDescent="0.25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</row>
    <row r="599" spans="1:26" ht="11.25" customHeight="1" x14ac:dyDescent="0.25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</row>
    <row r="600" spans="1:26" ht="11.25" customHeight="1" x14ac:dyDescent="0.25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</row>
    <row r="601" spans="1:26" ht="11.25" customHeight="1" x14ac:dyDescent="0.25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</row>
    <row r="602" spans="1:26" ht="11.25" customHeight="1" x14ac:dyDescent="0.25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</row>
    <row r="603" spans="1:26" ht="11.25" customHeight="1" x14ac:dyDescent="0.25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</row>
    <row r="604" spans="1:26" ht="11.25" customHeight="1" x14ac:dyDescent="0.25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</row>
    <row r="605" spans="1:26" ht="11.25" customHeight="1" x14ac:dyDescent="0.25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</row>
    <row r="606" spans="1:26" ht="11.25" customHeight="1" x14ac:dyDescent="0.25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</row>
    <row r="607" spans="1:26" ht="11.25" customHeight="1" x14ac:dyDescent="0.25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</row>
    <row r="608" spans="1:26" ht="11.25" customHeight="1" x14ac:dyDescent="0.25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</row>
    <row r="609" spans="1:26" ht="11.25" customHeight="1" x14ac:dyDescent="0.25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</row>
    <row r="610" spans="1:26" ht="11.25" customHeight="1" x14ac:dyDescent="0.25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</row>
    <row r="611" spans="1:26" ht="11.25" customHeight="1" x14ac:dyDescent="0.25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</row>
    <row r="612" spans="1:26" ht="11.25" customHeight="1" x14ac:dyDescent="0.25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</row>
    <row r="613" spans="1:26" ht="11.25" customHeight="1" x14ac:dyDescent="0.25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</row>
    <row r="614" spans="1:26" ht="11.25" customHeight="1" x14ac:dyDescent="0.25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</row>
    <row r="615" spans="1:26" ht="11.25" customHeight="1" x14ac:dyDescent="0.25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</row>
    <row r="616" spans="1:26" ht="11.25" customHeight="1" x14ac:dyDescent="0.25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</row>
    <row r="617" spans="1:26" ht="11.25" customHeight="1" x14ac:dyDescent="0.25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</row>
    <row r="618" spans="1:26" ht="11.25" customHeight="1" x14ac:dyDescent="0.25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</row>
    <row r="619" spans="1:26" ht="11.25" customHeight="1" x14ac:dyDescent="0.25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</row>
    <row r="620" spans="1:26" ht="11.25" customHeight="1" x14ac:dyDescent="0.25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</row>
    <row r="621" spans="1:26" ht="11.25" customHeight="1" x14ac:dyDescent="0.25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</row>
    <row r="622" spans="1:26" ht="11.25" customHeight="1" x14ac:dyDescent="0.25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</row>
    <row r="623" spans="1:26" ht="11.25" customHeight="1" x14ac:dyDescent="0.25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</row>
    <row r="624" spans="1:26" ht="11.25" customHeight="1" x14ac:dyDescent="0.25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</row>
    <row r="625" spans="1:26" ht="11.25" customHeight="1" x14ac:dyDescent="0.25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</row>
    <row r="626" spans="1:26" ht="11.25" customHeight="1" x14ac:dyDescent="0.25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</row>
    <row r="627" spans="1:26" ht="11.25" customHeight="1" x14ac:dyDescent="0.25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</row>
    <row r="628" spans="1:26" ht="11.25" customHeight="1" x14ac:dyDescent="0.25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</row>
    <row r="629" spans="1:26" ht="11.25" customHeight="1" x14ac:dyDescent="0.25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</row>
    <row r="630" spans="1:26" ht="11.25" customHeight="1" x14ac:dyDescent="0.25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</row>
    <row r="631" spans="1:26" ht="11.25" customHeight="1" x14ac:dyDescent="0.25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</row>
    <row r="632" spans="1:26" ht="11.25" customHeight="1" x14ac:dyDescent="0.25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</row>
    <row r="633" spans="1:26" ht="11.25" customHeight="1" x14ac:dyDescent="0.25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</row>
    <row r="634" spans="1:26" ht="11.25" customHeight="1" x14ac:dyDescent="0.25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</row>
    <row r="635" spans="1:26" ht="11.25" customHeight="1" x14ac:dyDescent="0.25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</row>
    <row r="636" spans="1:26" ht="11.25" customHeight="1" x14ac:dyDescent="0.25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</row>
    <row r="637" spans="1:26" ht="11.25" customHeight="1" x14ac:dyDescent="0.25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</row>
    <row r="638" spans="1:26" ht="11.25" customHeight="1" x14ac:dyDescent="0.25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</row>
    <row r="639" spans="1:26" ht="11.25" customHeight="1" x14ac:dyDescent="0.25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</row>
    <row r="640" spans="1:26" ht="11.25" customHeight="1" x14ac:dyDescent="0.25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</row>
    <row r="641" spans="1:26" ht="11.25" customHeight="1" x14ac:dyDescent="0.25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</row>
    <row r="642" spans="1:26" ht="11.25" customHeight="1" x14ac:dyDescent="0.25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</row>
    <row r="643" spans="1:26" ht="11.25" customHeight="1" x14ac:dyDescent="0.25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</row>
    <row r="644" spans="1:26" ht="11.25" customHeight="1" x14ac:dyDescent="0.25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</row>
    <row r="645" spans="1:26" ht="11.25" customHeight="1" x14ac:dyDescent="0.25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</row>
    <row r="646" spans="1:26" ht="11.25" customHeight="1" x14ac:dyDescent="0.25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</row>
    <row r="647" spans="1:26" ht="11.25" customHeight="1" x14ac:dyDescent="0.25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</row>
    <row r="648" spans="1:26" ht="11.25" customHeight="1" x14ac:dyDescent="0.25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</row>
    <row r="649" spans="1:26" ht="11.25" customHeight="1" x14ac:dyDescent="0.25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</row>
    <row r="650" spans="1:26" ht="11.25" customHeight="1" x14ac:dyDescent="0.25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</row>
    <row r="651" spans="1:26" ht="11.25" customHeight="1" x14ac:dyDescent="0.25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</row>
    <row r="652" spans="1:26" ht="11.25" customHeight="1" x14ac:dyDescent="0.25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</row>
    <row r="653" spans="1:26" ht="11.25" customHeight="1" x14ac:dyDescent="0.25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</row>
    <row r="654" spans="1:26" ht="11.25" customHeight="1" x14ac:dyDescent="0.25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</row>
    <row r="655" spans="1:26" ht="11.25" customHeight="1" x14ac:dyDescent="0.25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</row>
    <row r="656" spans="1:26" ht="11.25" customHeight="1" x14ac:dyDescent="0.25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</row>
    <row r="657" spans="1:26" ht="11.25" customHeight="1" x14ac:dyDescent="0.25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</row>
    <row r="658" spans="1:26" ht="11.25" customHeight="1" x14ac:dyDescent="0.25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</row>
    <row r="659" spans="1:26" ht="11.25" customHeight="1" x14ac:dyDescent="0.25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</row>
    <row r="660" spans="1:26" ht="11.25" customHeight="1" x14ac:dyDescent="0.25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</row>
    <row r="661" spans="1:26" ht="11.25" customHeight="1" x14ac:dyDescent="0.25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</row>
    <row r="662" spans="1:26" ht="11.25" customHeight="1" x14ac:dyDescent="0.25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</row>
    <row r="663" spans="1:26" ht="11.25" customHeight="1" x14ac:dyDescent="0.25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</row>
    <row r="664" spans="1:26" ht="11.25" customHeight="1" x14ac:dyDescent="0.25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</row>
    <row r="665" spans="1:26" ht="11.25" customHeight="1" x14ac:dyDescent="0.25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</row>
    <row r="666" spans="1:26" ht="11.25" customHeight="1" x14ac:dyDescent="0.25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</row>
    <row r="667" spans="1:26" ht="11.25" customHeight="1" x14ac:dyDescent="0.25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</row>
    <row r="668" spans="1:26" ht="11.25" customHeight="1" x14ac:dyDescent="0.25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</row>
    <row r="669" spans="1:26" ht="11.25" customHeight="1" x14ac:dyDescent="0.25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</row>
    <row r="670" spans="1:26" ht="11.25" customHeight="1" x14ac:dyDescent="0.25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</row>
    <row r="671" spans="1:26" ht="11.25" customHeight="1" x14ac:dyDescent="0.25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</row>
    <row r="672" spans="1:26" ht="11.25" customHeight="1" x14ac:dyDescent="0.25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</row>
    <row r="673" spans="1:26" ht="11.25" customHeight="1" x14ac:dyDescent="0.25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</row>
    <row r="674" spans="1:26" ht="11.25" customHeight="1" x14ac:dyDescent="0.25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</row>
    <row r="675" spans="1:26" ht="11.25" customHeight="1" x14ac:dyDescent="0.25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</row>
    <row r="676" spans="1:26" ht="11.25" customHeight="1" x14ac:dyDescent="0.25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</row>
    <row r="677" spans="1:26" ht="11.25" customHeight="1" x14ac:dyDescent="0.25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</row>
    <row r="678" spans="1:26" ht="11.25" customHeight="1" x14ac:dyDescent="0.25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</row>
    <row r="679" spans="1:26" ht="11.25" customHeight="1" x14ac:dyDescent="0.25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</row>
    <row r="680" spans="1:26" ht="11.25" customHeight="1" x14ac:dyDescent="0.25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</row>
    <row r="681" spans="1:26" ht="11.25" customHeight="1" x14ac:dyDescent="0.25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</row>
    <row r="682" spans="1:26" ht="11.25" customHeight="1" x14ac:dyDescent="0.25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</row>
    <row r="683" spans="1:26" ht="11.25" customHeight="1" x14ac:dyDescent="0.25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</row>
    <row r="684" spans="1:26" ht="11.25" customHeight="1" x14ac:dyDescent="0.25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</row>
    <row r="685" spans="1:26" ht="11.25" customHeight="1" x14ac:dyDescent="0.25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</row>
    <row r="686" spans="1:26" ht="11.25" customHeight="1" x14ac:dyDescent="0.25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</row>
    <row r="687" spans="1:26" ht="11.25" customHeight="1" x14ac:dyDescent="0.25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</row>
    <row r="688" spans="1:26" ht="11.25" customHeight="1" x14ac:dyDescent="0.25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</row>
    <row r="689" spans="1:26" ht="11.25" customHeight="1" x14ac:dyDescent="0.25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</row>
    <row r="690" spans="1:26" ht="11.25" customHeight="1" x14ac:dyDescent="0.25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</row>
    <row r="691" spans="1:26" ht="11.25" customHeight="1" x14ac:dyDescent="0.25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</row>
    <row r="692" spans="1:26" ht="11.25" customHeight="1" x14ac:dyDescent="0.25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</row>
    <row r="693" spans="1:26" ht="11.25" customHeight="1" x14ac:dyDescent="0.25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</row>
    <row r="694" spans="1:26" ht="11.25" customHeight="1" x14ac:dyDescent="0.25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</row>
    <row r="695" spans="1:26" ht="11.25" customHeight="1" x14ac:dyDescent="0.25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</row>
    <row r="696" spans="1:26" ht="11.25" customHeight="1" x14ac:dyDescent="0.25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</row>
    <row r="697" spans="1:26" ht="11.25" customHeight="1" x14ac:dyDescent="0.25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</row>
    <row r="698" spans="1:26" ht="11.25" customHeight="1" x14ac:dyDescent="0.25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</row>
    <row r="699" spans="1:26" ht="11.25" customHeight="1" x14ac:dyDescent="0.25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</row>
    <row r="700" spans="1:26" ht="11.25" customHeight="1" x14ac:dyDescent="0.25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</row>
    <row r="701" spans="1:26" ht="11.25" customHeight="1" x14ac:dyDescent="0.25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</row>
    <row r="702" spans="1:26" ht="11.25" customHeight="1" x14ac:dyDescent="0.25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</row>
    <row r="703" spans="1:26" ht="11.25" customHeight="1" x14ac:dyDescent="0.25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</row>
    <row r="704" spans="1:26" ht="11.25" customHeight="1" x14ac:dyDescent="0.25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</row>
    <row r="705" spans="1:26" ht="11.25" customHeight="1" x14ac:dyDescent="0.25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</row>
    <row r="706" spans="1:26" ht="11.25" customHeight="1" x14ac:dyDescent="0.25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</row>
    <row r="707" spans="1:26" ht="11.25" customHeight="1" x14ac:dyDescent="0.25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</row>
    <row r="708" spans="1:26" ht="11.25" customHeight="1" x14ac:dyDescent="0.25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</row>
    <row r="709" spans="1:26" ht="11.25" customHeight="1" x14ac:dyDescent="0.25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</row>
    <row r="710" spans="1:26" ht="11.25" customHeight="1" x14ac:dyDescent="0.25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</row>
    <row r="711" spans="1:26" ht="11.25" customHeight="1" x14ac:dyDescent="0.25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</row>
    <row r="712" spans="1:26" ht="11.25" customHeight="1" x14ac:dyDescent="0.25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</row>
    <row r="713" spans="1:26" ht="11.25" customHeight="1" x14ac:dyDescent="0.25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</row>
    <row r="714" spans="1:26" ht="11.25" customHeight="1" x14ac:dyDescent="0.25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</row>
    <row r="715" spans="1:26" ht="11.25" customHeight="1" x14ac:dyDescent="0.25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</row>
    <row r="716" spans="1:26" ht="11.25" customHeight="1" x14ac:dyDescent="0.25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</row>
    <row r="717" spans="1:26" ht="11.25" customHeight="1" x14ac:dyDescent="0.25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</row>
    <row r="718" spans="1:26" ht="11.25" customHeight="1" x14ac:dyDescent="0.25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</row>
    <row r="719" spans="1:26" ht="11.25" customHeight="1" x14ac:dyDescent="0.25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</row>
    <row r="720" spans="1:26" ht="11.25" customHeight="1" x14ac:dyDescent="0.25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</row>
    <row r="721" spans="1:26" ht="11.25" customHeight="1" x14ac:dyDescent="0.25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</row>
    <row r="722" spans="1:26" ht="11.25" customHeight="1" x14ac:dyDescent="0.25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</row>
    <row r="723" spans="1:26" ht="11.25" customHeight="1" x14ac:dyDescent="0.25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</row>
    <row r="724" spans="1:26" ht="11.25" customHeight="1" x14ac:dyDescent="0.25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</row>
    <row r="725" spans="1:26" ht="11.25" customHeight="1" x14ac:dyDescent="0.25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</row>
    <row r="726" spans="1:26" ht="11.25" customHeight="1" x14ac:dyDescent="0.25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</row>
    <row r="727" spans="1:26" ht="11.25" customHeight="1" x14ac:dyDescent="0.25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</row>
    <row r="728" spans="1:26" ht="11.25" customHeight="1" x14ac:dyDescent="0.25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</row>
    <row r="729" spans="1:26" ht="11.25" customHeight="1" x14ac:dyDescent="0.25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</row>
    <row r="730" spans="1:26" ht="11.25" customHeight="1" x14ac:dyDescent="0.25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</row>
    <row r="731" spans="1:26" ht="11.25" customHeight="1" x14ac:dyDescent="0.25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</row>
    <row r="732" spans="1:26" ht="11.25" customHeight="1" x14ac:dyDescent="0.25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</row>
    <row r="733" spans="1:26" ht="11.25" customHeight="1" x14ac:dyDescent="0.25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</row>
    <row r="734" spans="1:26" ht="11.25" customHeight="1" x14ac:dyDescent="0.25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</row>
    <row r="735" spans="1:26" ht="11.25" customHeight="1" x14ac:dyDescent="0.25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</row>
    <row r="736" spans="1:26" ht="11.25" customHeight="1" x14ac:dyDescent="0.25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</row>
    <row r="737" spans="1:26" ht="11.25" customHeight="1" x14ac:dyDescent="0.25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</row>
    <row r="738" spans="1:26" ht="11.25" customHeight="1" x14ac:dyDescent="0.25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</row>
    <row r="739" spans="1:26" ht="11.25" customHeight="1" x14ac:dyDescent="0.25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</row>
    <row r="740" spans="1:26" ht="11.25" customHeight="1" x14ac:dyDescent="0.25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</row>
    <row r="741" spans="1:26" ht="11.25" customHeight="1" x14ac:dyDescent="0.25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</row>
    <row r="742" spans="1:26" ht="11.25" customHeight="1" x14ac:dyDescent="0.25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</row>
    <row r="743" spans="1:26" ht="11.25" customHeight="1" x14ac:dyDescent="0.25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</row>
    <row r="744" spans="1:26" ht="11.25" customHeight="1" x14ac:dyDescent="0.25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</row>
    <row r="745" spans="1:26" ht="11.25" customHeight="1" x14ac:dyDescent="0.25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</row>
    <row r="746" spans="1:26" ht="11.25" customHeight="1" x14ac:dyDescent="0.25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</row>
    <row r="747" spans="1:26" ht="11.25" customHeight="1" x14ac:dyDescent="0.25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</row>
    <row r="748" spans="1:26" ht="11.25" customHeight="1" x14ac:dyDescent="0.25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</row>
    <row r="749" spans="1:26" ht="11.25" customHeight="1" x14ac:dyDescent="0.25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</row>
    <row r="750" spans="1:26" ht="11.25" customHeight="1" x14ac:dyDescent="0.25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</row>
    <row r="751" spans="1:26" ht="11.25" customHeight="1" x14ac:dyDescent="0.25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</row>
    <row r="752" spans="1:26" ht="11.25" customHeight="1" x14ac:dyDescent="0.25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</row>
    <row r="753" spans="1:26" ht="11.25" customHeight="1" x14ac:dyDescent="0.25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</row>
    <row r="754" spans="1:26" ht="11.25" customHeight="1" x14ac:dyDescent="0.25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</row>
    <row r="755" spans="1:26" ht="11.25" customHeight="1" x14ac:dyDescent="0.25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</row>
    <row r="756" spans="1:26" ht="11.25" customHeight="1" x14ac:dyDescent="0.25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</row>
    <row r="757" spans="1:26" ht="11.25" customHeight="1" x14ac:dyDescent="0.25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</row>
    <row r="758" spans="1:26" ht="11.25" customHeight="1" x14ac:dyDescent="0.25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</row>
    <row r="759" spans="1:26" ht="11.25" customHeight="1" x14ac:dyDescent="0.25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</row>
    <row r="760" spans="1:26" ht="11.25" customHeight="1" x14ac:dyDescent="0.25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</row>
    <row r="761" spans="1:26" ht="11.25" customHeight="1" x14ac:dyDescent="0.25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</row>
    <row r="762" spans="1:26" ht="11.25" customHeight="1" x14ac:dyDescent="0.25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</row>
    <row r="763" spans="1:26" ht="11.25" customHeight="1" x14ac:dyDescent="0.25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</row>
    <row r="764" spans="1:26" ht="11.25" customHeight="1" x14ac:dyDescent="0.25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</row>
    <row r="765" spans="1:26" ht="11.25" customHeight="1" x14ac:dyDescent="0.25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</row>
    <row r="766" spans="1:26" ht="11.25" customHeight="1" x14ac:dyDescent="0.25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</row>
    <row r="767" spans="1:26" ht="11.25" customHeight="1" x14ac:dyDescent="0.25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</row>
    <row r="768" spans="1:26" ht="11.25" customHeight="1" x14ac:dyDescent="0.25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</row>
    <row r="769" spans="1:26" ht="11.25" customHeight="1" x14ac:dyDescent="0.25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</row>
    <row r="770" spans="1:26" ht="11.25" customHeight="1" x14ac:dyDescent="0.25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</row>
    <row r="771" spans="1:26" ht="11.25" customHeight="1" x14ac:dyDescent="0.25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</row>
    <row r="772" spans="1:26" ht="11.25" customHeight="1" x14ac:dyDescent="0.25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</row>
    <row r="773" spans="1:26" ht="11.25" customHeight="1" x14ac:dyDescent="0.25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</row>
    <row r="774" spans="1:26" ht="11.25" customHeight="1" x14ac:dyDescent="0.25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</row>
    <row r="775" spans="1:26" ht="11.25" customHeight="1" x14ac:dyDescent="0.25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</row>
    <row r="776" spans="1:26" ht="11.25" customHeight="1" x14ac:dyDescent="0.25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</row>
    <row r="777" spans="1:26" ht="11.25" customHeight="1" x14ac:dyDescent="0.25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</row>
    <row r="778" spans="1:26" ht="11.25" customHeight="1" x14ac:dyDescent="0.25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</row>
    <row r="779" spans="1:26" ht="11.25" customHeight="1" x14ac:dyDescent="0.25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</row>
    <row r="780" spans="1:26" ht="11.25" customHeight="1" x14ac:dyDescent="0.25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</row>
    <row r="781" spans="1:26" ht="11.25" customHeight="1" x14ac:dyDescent="0.25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</row>
    <row r="782" spans="1:26" ht="11.25" customHeight="1" x14ac:dyDescent="0.25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</row>
    <row r="783" spans="1:26" ht="11.25" customHeight="1" x14ac:dyDescent="0.25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</row>
    <row r="784" spans="1:26" ht="11.25" customHeight="1" x14ac:dyDescent="0.25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</row>
    <row r="785" spans="1:26" ht="11.25" customHeight="1" x14ac:dyDescent="0.25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</row>
    <row r="786" spans="1:26" ht="11.25" customHeight="1" x14ac:dyDescent="0.25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</row>
    <row r="787" spans="1:26" ht="11.25" customHeight="1" x14ac:dyDescent="0.25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</row>
    <row r="788" spans="1:26" ht="11.25" customHeight="1" x14ac:dyDescent="0.25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</row>
    <row r="789" spans="1:26" ht="11.25" customHeight="1" x14ac:dyDescent="0.25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</row>
    <row r="790" spans="1:26" ht="11.25" customHeight="1" x14ac:dyDescent="0.25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</row>
    <row r="791" spans="1:26" ht="11.25" customHeight="1" x14ac:dyDescent="0.25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</row>
    <row r="792" spans="1:26" ht="11.25" customHeight="1" x14ac:dyDescent="0.25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</row>
    <row r="793" spans="1:26" ht="11.25" customHeight="1" x14ac:dyDescent="0.25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</row>
    <row r="794" spans="1:26" ht="11.25" customHeight="1" x14ac:dyDescent="0.25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</row>
    <row r="795" spans="1:26" ht="11.25" customHeight="1" x14ac:dyDescent="0.25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</row>
    <row r="796" spans="1:26" ht="11.25" customHeight="1" x14ac:dyDescent="0.25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</row>
    <row r="797" spans="1:26" ht="11.25" customHeight="1" x14ac:dyDescent="0.25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</row>
    <row r="798" spans="1:26" ht="11.25" customHeight="1" x14ac:dyDescent="0.25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</row>
    <row r="799" spans="1:26" ht="11.25" customHeight="1" x14ac:dyDescent="0.25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</row>
    <row r="800" spans="1:26" ht="11.25" customHeight="1" x14ac:dyDescent="0.25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</row>
    <row r="801" spans="1:26" ht="11.25" customHeight="1" x14ac:dyDescent="0.25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</row>
    <row r="802" spans="1:26" ht="11.25" customHeight="1" x14ac:dyDescent="0.25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</row>
    <row r="803" spans="1:26" ht="11.25" customHeight="1" x14ac:dyDescent="0.25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</row>
    <row r="804" spans="1:26" ht="11.25" customHeight="1" x14ac:dyDescent="0.25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</row>
    <row r="805" spans="1:26" ht="11.25" customHeight="1" x14ac:dyDescent="0.25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</row>
    <row r="806" spans="1:26" ht="11.25" customHeight="1" x14ac:dyDescent="0.25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</row>
    <row r="807" spans="1:26" ht="11.25" customHeight="1" x14ac:dyDescent="0.25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</row>
    <row r="808" spans="1:26" ht="11.25" customHeight="1" x14ac:dyDescent="0.25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</row>
    <row r="809" spans="1:26" ht="11.25" customHeight="1" x14ac:dyDescent="0.25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</row>
    <row r="810" spans="1:26" ht="11.25" customHeight="1" x14ac:dyDescent="0.25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</row>
    <row r="811" spans="1:26" ht="11.25" customHeight="1" x14ac:dyDescent="0.25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</row>
    <row r="812" spans="1:26" ht="11.25" customHeight="1" x14ac:dyDescent="0.25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</row>
    <row r="813" spans="1:26" ht="11.25" customHeight="1" x14ac:dyDescent="0.25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</row>
    <row r="814" spans="1:26" ht="11.25" customHeight="1" x14ac:dyDescent="0.25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</row>
    <row r="815" spans="1:26" ht="11.25" customHeight="1" x14ac:dyDescent="0.25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</row>
    <row r="816" spans="1:26" ht="11.25" customHeight="1" x14ac:dyDescent="0.25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</row>
    <row r="817" spans="1:26" ht="11.25" customHeight="1" x14ac:dyDescent="0.25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</row>
    <row r="818" spans="1:26" ht="11.25" customHeight="1" x14ac:dyDescent="0.25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</row>
    <row r="819" spans="1:26" ht="11.25" customHeight="1" x14ac:dyDescent="0.25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</row>
    <row r="820" spans="1:26" ht="11.25" customHeight="1" x14ac:dyDescent="0.25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</row>
    <row r="821" spans="1:26" ht="11.25" customHeight="1" x14ac:dyDescent="0.25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</row>
    <row r="822" spans="1:26" ht="11.25" customHeight="1" x14ac:dyDescent="0.25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</row>
    <row r="823" spans="1:26" ht="11.25" customHeight="1" x14ac:dyDescent="0.25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</row>
    <row r="824" spans="1:26" ht="11.25" customHeight="1" x14ac:dyDescent="0.25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</row>
    <row r="825" spans="1:26" ht="11.25" customHeight="1" x14ac:dyDescent="0.25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</row>
    <row r="826" spans="1:26" ht="11.25" customHeight="1" x14ac:dyDescent="0.25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</row>
    <row r="827" spans="1:26" ht="11.25" customHeight="1" x14ac:dyDescent="0.25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</row>
    <row r="828" spans="1:26" ht="11.25" customHeight="1" x14ac:dyDescent="0.25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</row>
    <row r="829" spans="1:26" ht="11.25" customHeight="1" x14ac:dyDescent="0.25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</row>
    <row r="830" spans="1:26" ht="11.25" customHeight="1" x14ac:dyDescent="0.25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</row>
    <row r="831" spans="1:26" ht="11.25" customHeight="1" x14ac:dyDescent="0.25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</row>
    <row r="832" spans="1:26" ht="11.25" customHeight="1" x14ac:dyDescent="0.25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</row>
    <row r="833" spans="1:26" ht="11.25" customHeight="1" x14ac:dyDescent="0.25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</row>
    <row r="834" spans="1:26" ht="11.25" customHeight="1" x14ac:dyDescent="0.25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</row>
    <row r="835" spans="1:26" ht="11.25" customHeight="1" x14ac:dyDescent="0.25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</row>
    <row r="836" spans="1:26" ht="11.25" customHeight="1" x14ac:dyDescent="0.25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</row>
    <row r="837" spans="1:26" ht="11.25" customHeight="1" x14ac:dyDescent="0.25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</row>
    <row r="838" spans="1:26" ht="11.25" customHeight="1" x14ac:dyDescent="0.25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</row>
    <row r="839" spans="1:26" ht="11.25" customHeight="1" x14ac:dyDescent="0.25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</row>
    <row r="840" spans="1:26" ht="11.25" customHeight="1" x14ac:dyDescent="0.25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</row>
    <row r="841" spans="1:26" ht="11.25" customHeight="1" x14ac:dyDescent="0.25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</row>
    <row r="842" spans="1:26" ht="11.25" customHeight="1" x14ac:dyDescent="0.25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</row>
    <row r="843" spans="1:26" ht="11.25" customHeight="1" x14ac:dyDescent="0.25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</row>
    <row r="844" spans="1:26" ht="11.25" customHeight="1" x14ac:dyDescent="0.25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</row>
    <row r="845" spans="1:26" ht="11.25" customHeight="1" x14ac:dyDescent="0.25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</row>
    <row r="846" spans="1:26" ht="11.25" customHeight="1" x14ac:dyDescent="0.25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</row>
    <row r="847" spans="1:26" ht="11.25" customHeight="1" x14ac:dyDescent="0.25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</row>
    <row r="848" spans="1:26" ht="11.25" customHeight="1" x14ac:dyDescent="0.25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</row>
    <row r="849" spans="1:26" ht="11.25" customHeight="1" x14ac:dyDescent="0.25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</row>
    <row r="850" spans="1:26" ht="11.25" customHeight="1" x14ac:dyDescent="0.25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</row>
    <row r="851" spans="1:26" ht="11.25" customHeight="1" x14ac:dyDescent="0.25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</row>
    <row r="852" spans="1:26" ht="11.25" customHeight="1" x14ac:dyDescent="0.25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</row>
    <row r="853" spans="1:26" ht="11.25" customHeight="1" x14ac:dyDescent="0.25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</row>
    <row r="854" spans="1:26" ht="11.25" customHeight="1" x14ac:dyDescent="0.25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</row>
    <row r="855" spans="1:26" ht="11.25" customHeight="1" x14ac:dyDescent="0.25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</row>
    <row r="856" spans="1:26" ht="11.25" customHeight="1" x14ac:dyDescent="0.25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</row>
    <row r="857" spans="1:26" ht="11.25" customHeight="1" x14ac:dyDescent="0.25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</row>
    <row r="858" spans="1:26" ht="11.25" customHeight="1" x14ac:dyDescent="0.25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</row>
    <row r="859" spans="1:26" ht="11.25" customHeight="1" x14ac:dyDescent="0.25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</row>
    <row r="860" spans="1:26" ht="11.25" customHeight="1" x14ac:dyDescent="0.25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</row>
    <row r="861" spans="1:26" ht="11.25" customHeight="1" x14ac:dyDescent="0.25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</row>
    <row r="862" spans="1:26" ht="11.25" customHeight="1" x14ac:dyDescent="0.25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</row>
    <row r="863" spans="1:26" ht="11.25" customHeight="1" x14ac:dyDescent="0.25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</row>
    <row r="864" spans="1:26" ht="11.25" customHeight="1" x14ac:dyDescent="0.25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</row>
    <row r="865" spans="1:26" ht="11.25" customHeight="1" x14ac:dyDescent="0.25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</row>
    <row r="866" spans="1:26" ht="11.25" customHeight="1" x14ac:dyDescent="0.25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</row>
    <row r="867" spans="1:26" ht="11.25" customHeight="1" x14ac:dyDescent="0.25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</row>
    <row r="868" spans="1:26" ht="11.25" customHeight="1" x14ac:dyDescent="0.25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</row>
    <row r="869" spans="1:26" ht="11.25" customHeight="1" x14ac:dyDescent="0.25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</row>
    <row r="870" spans="1:26" ht="11.25" customHeight="1" x14ac:dyDescent="0.25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</row>
    <row r="871" spans="1:26" ht="11.25" customHeight="1" x14ac:dyDescent="0.25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</row>
    <row r="872" spans="1:26" ht="11.25" customHeight="1" x14ac:dyDescent="0.25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</row>
    <row r="873" spans="1:26" ht="11.25" customHeight="1" x14ac:dyDescent="0.25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</row>
    <row r="874" spans="1:26" ht="11.25" customHeight="1" x14ac:dyDescent="0.25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</row>
    <row r="875" spans="1:26" ht="11.25" customHeight="1" x14ac:dyDescent="0.25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</row>
    <row r="876" spans="1:26" ht="11.25" customHeight="1" x14ac:dyDescent="0.25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</row>
    <row r="877" spans="1:26" ht="11.25" customHeight="1" x14ac:dyDescent="0.25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</row>
    <row r="878" spans="1:26" ht="11.25" customHeight="1" x14ac:dyDescent="0.25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</row>
    <row r="879" spans="1:26" ht="11.25" customHeight="1" x14ac:dyDescent="0.25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</row>
    <row r="880" spans="1:26" ht="11.25" customHeight="1" x14ac:dyDescent="0.25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</row>
    <row r="881" spans="1:26" ht="11.25" customHeight="1" x14ac:dyDescent="0.25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</row>
    <row r="882" spans="1:26" ht="11.25" customHeight="1" x14ac:dyDescent="0.25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</row>
    <row r="883" spans="1:26" ht="11.25" customHeight="1" x14ac:dyDescent="0.25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</row>
    <row r="884" spans="1:26" ht="11.25" customHeight="1" x14ac:dyDescent="0.25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</row>
    <row r="885" spans="1:26" ht="11.25" customHeight="1" x14ac:dyDescent="0.25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</row>
    <row r="886" spans="1:26" ht="11.25" customHeight="1" x14ac:dyDescent="0.25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</row>
    <row r="887" spans="1:26" ht="11.25" customHeight="1" x14ac:dyDescent="0.25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</row>
    <row r="888" spans="1:26" ht="11.25" customHeight="1" x14ac:dyDescent="0.25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</row>
    <row r="889" spans="1:26" ht="11.25" customHeight="1" x14ac:dyDescent="0.25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</row>
    <row r="890" spans="1:26" ht="11.25" customHeight="1" x14ac:dyDescent="0.25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</row>
    <row r="891" spans="1:26" ht="11.25" customHeight="1" x14ac:dyDescent="0.25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</row>
    <row r="892" spans="1:26" ht="11.25" customHeight="1" x14ac:dyDescent="0.25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</row>
    <row r="893" spans="1:26" ht="11.25" customHeight="1" x14ac:dyDescent="0.25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</row>
    <row r="894" spans="1:26" ht="11.25" customHeight="1" x14ac:dyDescent="0.25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</row>
    <row r="895" spans="1:26" ht="11.25" customHeight="1" x14ac:dyDescent="0.25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</row>
    <row r="896" spans="1:26" ht="11.25" customHeight="1" x14ac:dyDescent="0.25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</row>
    <row r="897" spans="1:26" ht="11.25" customHeight="1" x14ac:dyDescent="0.25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</row>
    <row r="898" spans="1:26" ht="11.25" customHeight="1" x14ac:dyDescent="0.25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</row>
    <row r="899" spans="1:26" ht="11.25" customHeight="1" x14ac:dyDescent="0.25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</row>
    <row r="900" spans="1:26" ht="11.25" customHeight="1" x14ac:dyDescent="0.25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</row>
    <row r="901" spans="1:26" ht="11.25" customHeight="1" x14ac:dyDescent="0.25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</row>
    <row r="902" spans="1:26" ht="11.25" customHeight="1" x14ac:dyDescent="0.25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</row>
    <row r="903" spans="1:26" ht="11.25" customHeight="1" x14ac:dyDescent="0.25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</row>
    <row r="904" spans="1:26" ht="11.25" customHeight="1" x14ac:dyDescent="0.25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</row>
    <row r="905" spans="1:26" ht="11.25" customHeight="1" x14ac:dyDescent="0.25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</row>
    <row r="906" spans="1:26" ht="11.25" customHeight="1" x14ac:dyDescent="0.25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</row>
    <row r="907" spans="1:26" ht="11.25" customHeight="1" x14ac:dyDescent="0.25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</row>
    <row r="908" spans="1:26" ht="11.25" customHeight="1" x14ac:dyDescent="0.25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</row>
    <row r="909" spans="1:26" ht="11.25" customHeight="1" x14ac:dyDescent="0.25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</row>
    <row r="910" spans="1:26" ht="11.25" customHeight="1" x14ac:dyDescent="0.25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</row>
    <row r="911" spans="1:26" ht="11.25" customHeight="1" x14ac:dyDescent="0.25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</row>
    <row r="912" spans="1:26" ht="11.25" customHeight="1" x14ac:dyDescent="0.25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</row>
    <row r="913" spans="1:26" ht="11.25" customHeight="1" x14ac:dyDescent="0.25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</row>
    <row r="914" spans="1:26" ht="11.25" customHeight="1" x14ac:dyDescent="0.25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</row>
    <row r="915" spans="1:26" ht="11.25" customHeight="1" x14ac:dyDescent="0.25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</row>
    <row r="916" spans="1:26" ht="11.25" customHeight="1" x14ac:dyDescent="0.25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</row>
    <row r="917" spans="1:26" ht="11.25" customHeight="1" x14ac:dyDescent="0.25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</row>
    <row r="918" spans="1:26" ht="11.25" customHeight="1" x14ac:dyDescent="0.25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</row>
    <row r="919" spans="1:26" ht="11.25" customHeight="1" x14ac:dyDescent="0.25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</row>
    <row r="920" spans="1:26" ht="11.25" customHeight="1" x14ac:dyDescent="0.25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</row>
    <row r="921" spans="1:26" ht="11.25" customHeight="1" x14ac:dyDescent="0.25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</row>
    <row r="922" spans="1:26" ht="11.25" customHeight="1" x14ac:dyDescent="0.25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</row>
    <row r="923" spans="1:26" ht="11.25" customHeight="1" x14ac:dyDescent="0.25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</row>
    <row r="924" spans="1:26" ht="11.25" customHeight="1" x14ac:dyDescent="0.25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</row>
    <row r="925" spans="1:26" ht="11.25" customHeight="1" x14ac:dyDescent="0.25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</row>
    <row r="926" spans="1:26" ht="11.25" customHeight="1" x14ac:dyDescent="0.25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</row>
    <row r="927" spans="1:26" ht="11.25" customHeight="1" x14ac:dyDescent="0.25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</row>
    <row r="928" spans="1:26" ht="11.25" customHeight="1" x14ac:dyDescent="0.25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</row>
    <row r="929" spans="1:26" ht="11.25" customHeight="1" x14ac:dyDescent="0.25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</row>
    <row r="930" spans="1:26" ht="11.25" customHeight="1" x14ac:dyDescent="0.25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</row>
    <row r="931" spans="1:26" ht="11.25" customHeight="1" x14ac:dyDescent="0.25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</row>
    <row r="932" spans="1:26" ht="11.25" customHeight="1" x14ac:dyDescent="0.25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</row>
    <row r="933" spans="1:26" ht="11.25" customHeight="1" x14ac:dyDescent="0.25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</row>
    <row r="934" spans="1:26" ht="11.25" customHeight="1" x14ac:dyDescent="0.25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</row>
    <row r="935" spans="1:26" ht="11.25" customHeight="1" x14ac:dyDescent="0.25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</row>
    <row r="936" spans="1:26" ht="11.25" customHeight="1" x14ac:dyDescent="0.25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</row>
    <row r="937" spans="1:26" ht="11.25" customHeight="1" x14ac:dyDescent="0.25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</row>
    <row r="938" spans="1:26" ht="11.25" customHeight="1" x14ac:dyDescent="0.25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</row>
    <row r="939" spans="1:26" ht="11.25" customHeight="1" x14ac:dyDescent="0.25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</row>
    <row r="940" spans="1:26" ht="11.25" customHeight="1" x14ac:dyDescent="0.25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</row>
    <row r="941" spans="1:26" ht="11.25" customHeight="1" x14ac:dyDescent="0.25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</row>
    <row r="942" spans="1:26" ht="11.25" customHeight="1" x14ac:dyDescent="0.25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</row>
    <row r="943" spans="1:26" ht="11.25" customHeight="1" x14ac:dyDescent="0.25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</row>
    <row r="944" spans="1:26" ht="11.25" customHeight="1" x14ac:dyDescent="0.25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</row>
    <row r="945" spans="1:26" ht="11.25" customHeight="1" x14ac:dyDescent="0.25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</row>
    <row r="946" spans="1:26" ht="11.25" customHeight="1" x14ac:dyDescent="0.25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</row>
    <row r="947" spans="1:26" ht="11.25" customHeight="1" x14ac:dyDescent="0.25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</row>
    <row r="948" spans="1:26" ht="11.25" customHeight="1" x14ac:dyDescent="0.25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</row>
    <row r="949" spans="1:26" ht="11.25" customHeight="1" x14ac:dyDescent="0.25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</row>
    <row r="950" spans="1:26" ht="11.25" customHeight="1" x14ac:dyDescent="0.25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</row>
    <row r="951" spans="1:26" ht="11.25" customHeight="1" x14ac:dyDescent="0.25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</row>
    <row r="952" spans="1:26" ht="11.25" customHeight="1" x14ac:dyDescent="0.25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</row>
    <row r="953" spans="1:26" ht="11.25" customHeight="1" x14ac:dyDescent="0.25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</row>
    <row r="954" spans="1:26" ht="11.25" customHeight="1" x14ac:dyDescent="0.25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</row>
    <row r="955" spans="1:26" ht="11.25" customHeight="1" x14ac:dyDescent="0.25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</row>
    <row r="956" spans="1:26" ht="11.25" customHeight="1" x14ac:dyDescent="0.25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</row>
    <row r="957" spans="1:26" ht="11.25" customHeight="1" x14ac:dyDescent="0.25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</row>
    <row r="958" spans="1:26" ht="11.25" customHeight="1" x14ac:dyDescent="0.25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</row>
    <row r="959" spans="1:26" ht="11.25" customHeight="1" x14ac:dyDescent="0.25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</row>
    <row r="960" spans="1:26" ht="11.25" customHeight="1" x14ac:dyDescent="0.25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</row>
    <row r="961" spans="1:26" ht="11.25" customHeight="1" x14ac:dyDescent="0.25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</row>
    <row r="962" spans="1:26" ht="11.25" customHeight="1" x14ac:dyDescent="0.25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</row>
    <row r="963" spans="1:26" ht="11.25" customHeight="1" x14ac:dyDescent="0.25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</row>
    <row r="964" spans="1:26" ht="11.25" customHeight="1" x14ac:dyDescent="0.25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</row>
    <row r="965" spans="1:26" ht="11.25" customHeight="1" x14ac:dyDescent="0.25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</row>
    <row r="966" spans="1:26" ht="11.25" customHeight="1" x14ac:dyDescent="0.25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</row>
    <row r="967" spans="1:26" ht="11.25" customHeight="1" x14ac:dyDescent="0.25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</row>
    <row r="968" spans="1:26" ht="11.25" customHeight="1" x14ac:dyDescent="0.25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</row>
    <row r="969" spans="1:26" ht="11.25" customHeight="1" x14ac:dyDescent="0.25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</row>
    <row r="970" spans="1:26" ht="11.25" customHeight="1" x14ac:dyDescent="0.25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</row>
    <row r="971" spans="1:26" ht="11.25" customHeight="1" x14ac:dyDescent="0.25">
      <c r="A971" s="121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</row>
    <row r="972" spans="1:26" ht="11.25" customHeight="1" x14ac:dyDescent="0.25">
      <c r="A972" s="121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</row>
    <row r="973" spans="1:26" ht="11.25" customHeight="1" x14ac:dyDescent="0.25">
      <c r="A973" s="121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</row>
    <row r="974" spans="1:26" ht="11.25" customHeight="1" x14ac:dyDescent="0.25">
      <c r="A974" s="121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</row>
    <row r="975" spans="1:26" ht="11.25" customHeight="1" x14ac:dyDescent="0.25">
      <c r="A975" s="121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</row>
    <row r="976" spans="1:26" ht="11.25" customHeight="1" x14ac:dyDescent="0.25">
      <c r="A976" s="121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</row>
    <row r="977" spans="1:26" ht="11.25" customHeight="1" x14ac:dyDescent="0.25">
      <c r="A977" s="121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</row>
    <row r="978" spans="1:26" ht="11.25" customHeight="1" x14ac:dyDescent="0.25">
      <c r="A978" s="121"/>
      <c r="B978" s="121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</row>
    <row r="979" spans="1:26" ht="11.25" customHeight="1" x14ac:dyDescent="0.25">
      <c r="A979" s="121"/>
      <c r="B979" s="121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</row>
    <row r="980" spans="1:26" ht="11.25" customHeight="1" x14ac:dyDescent="0.25">
      <c r="A980" s="121"/>
      <c r="B980" s="121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</row>
    <row r="981" spans="1:26" ht="11.25" customHeight="1" x14ac:dyDescent="0.25">
      <c r="A981" s="121"/>
      <c r="B981" s="121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</row>
    <row r="982" spans="1:26" ht="11.25" customHeight="1" x14ac:dyDescent="0.25">
      <c r="A982" s="121"/>
      <c r="B982" s="121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</row>
    <row r="983" spans="1:26" ht="11.25" customHeight="1" x14ac:dyDescent="0.25">
      <c r="A983" s="121"/>
      <c r="B983" s="121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</row>
    <row r="984" spans="1:26" ht="11.25" customHeight="1" x14ac:dyDescent="0.25">
      <c r="A984" s="121"/>
      <c r="B984" s="121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</row>
    <row r="985" spans="1:26" ht="11.25" customHeight="1" x14ac:dyDescent="0.25">
      <c r="A985" s="121"/>
      <c r="B985" s="121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</row>
    <row r="986" spans="1:26" ht="11.25" customHeight="1" x14ac:dyDescent="0.25">
      <c r="A986" s="121"/>
      <c r="B986" s="121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</row>
    <row r="987" spans="1:26" ht="11.25" customHeight="1" x14ac:dyDescent="0.25">
      <c r="A987" s="121"/>
      <c r="B987" s="121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</row>
    <row r="988" spans="1:26" ht="11.25" customHeight="1" x14ac:dyDescent="0.25">
      <c r="A988" s="121"/>
      <c r="B988" s="121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</row>
    <row r="989" spans="1:26" ht="11.25" customHeight="1" x14ac:dyDescent="0.25">
      <c r="A989" s="121"/>
      <c r="B989" s="121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</row>
    <row r="990" spans="1:26" ht="11.25" customHeight="1" x14ac:dyDescent="0.25">
      <c r="A990" s="121"/>
      <c r="B990" s="121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</row>
    <row r="991" spans="1:26" ht="11.25" customHeight="1" x14ac:dyDescent="0.25">
      <c r="A991" s="121"/>
      <c r="B991" s="121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</row>
    <row r="992" spans="1:26" ht="11.25" customHeight="1" x14ac:dyDescent="0.25">
      <c r="A992" s="121"/>
      <c r="B992" s="121"/>
      <c r="C992" s="121"/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</row>
    <row r="993" spans="1:26" ht="11.25" customHeight="1" x14ac:dyDescent="0.25">
      <c r="A993" s="121"/>
      <c r="B993" s="121"/>
      <c r="C993" s="121"/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</row>
    <row r="994" spans="1:26" ht="11.25" customHeight="1" x14ac:dyDescent="0.25">
      <c r="A994" s="121"/>
      <c r="B994" s="121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</row>
    <row r="995" spans="1:26" ht="11.25" customHeight="1" x14ac:dyDescent="0.25">
      <c r="A995" s="121"/>
      <c r="B995" s="121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</row>
    <row r="996" spans="1:26" ht="11.25" customHeight="1" x14ac:dyDescent="0.25">
      <c r="A996" s="121"/>
      <c r="B996" s="121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</row>
    <row r="997" spans="1:26" ht="11.25" customHeight="1" x14ac:dyDescent="0.25">
      <c r="A997" s="121"/>
      <c r="B997" s="121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</row>
    <row r="998" spans="1:26" ht="11.25" customHeight="1" x14ac:dyDescent="0.25">
      <c r="A998" s="121"/>
      <c r="B998" s="121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</row>
    <row r="999" spans="1:26" ht="11.25" customHeight="1" x14ac:dyDescent="0.25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</row>
    <row r="1000" spans="1:26" ht="11.25" customHeight="1" x14ac:dyDescent="0.25">
      <c r="A1000" s="121"/>
      <c r="B1000" s="121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</row>
  </sheetData>
  <mergeCells count="1">
    <mergeCell ref="A1:M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topLeftCell="A13" workbookViewId="0">
      <pane xSplit="8" topLeftCell="W1" activePane="topRight" state="frozen"/>
      <selection pane="topRight" activeCell="W39" sqref="W39"/>
    </sheetView>
  </sheetViews>
  <sheetFormatPr defaultColWidth="14.42578125" defaultRowHeight="15" customHeight="1" x14ac:dyDescent="0.25"/>
  <cols>
    <col min="1" max="1" width="3.85546875" customWidth="1"/>
    <col min="2" max="2" width="2.85546875" customWidth="1"/>
    <col min="3" max="3" width="25.7109375" customWidth="1"/>
    <col min="4" max="4" width="12" customWidth="1"/>
    <col min="5" max="6" width="13.7109375" customWidth="1"/>
    <col min="7" max="7" width="9.7109375" bestFit="1" customWidth="1"/>
    <col min="8" max="11" width="12.7109375" customWidth="1"/>
    <col min="12" max="12" width="11.7109375" customWidth="1"/>
    <col min="13" max="13" width="12.7109375" customWidth="1"/>
    <col min="14" max="14" width="11.7109375" customWidth="1"/>
    <col min="15" max="17" width="12.7109375" customWidth="1"/>
    <col min="18" max="18" width="11.7109375" customWidth="1"/>
    <col min="19" max="21" width="12.7109375" customWidth="1"/>
    <col min="22" max="22" width="12.7109375" bestFit="1" customWidth="1"/>
    <col min="23" max="30" width="12.7109375" customWidth="1"/>
    <col min="31" max="32" width="11.7109375" customWidth="1"/>
  </cols>
  <sheetData>
    <row r="1" spans="1:32" ht="11.25" customHeight="1" x14ac:dyDescent="0.25">
      <c r="A1" s="241"/>
      <c r="B1" s="242"/>
      <c r="C1" s="243"/>
      <c r="D1" s="244" t="s">
        <v>254</v>
      </c>
      <c r="E1" s="245" t="s">
        <v>68</v>
      </c>
      <c r="F1" s="245" t="s">
        <v>68</v>
      </c>
      <c r="G1" s="246" t="s">
        <v>255</v>
      </c>
      <c r="H1" s="245" t="s">
        <v>254</v>
      </c>
      <c r="I1" s="247">
        <v>46023</v>
      </c>
      <c r="J1" s="247">
        <v>46053</v>
      </c>
      <c r="K1" s="248">
        <v>46054</v>
      </c>
      <c r="L1" s="248">
        <v>46081</v>
      </c>
      <c r="M1" s="249">
        <v>46082</v>
      </c>
      <c r="N1" s="249">
        <v>46112</v>
      </c>
      <c r="O1" s="250">
        <v>46113</v>
      </c>
      <c r="P1" s="250">
        <v>46142</v>
      </c>
      <c r="Q1" s="247">
        <v>46143</v>
      </c>
      <c r="R1" s="247">
        <v>46173</v>
      </c>
      <c r="S1" s="248">
        <v>46174</v>
      </c>
      <c r="T1" s="248">
        <v>46203</v>
      </c>
      <c r="U1" s="249">
        <v>46204</v>
      </c>
      <c r="V1" s="249">
        <v>46234</v>
      </c>
      <c r="W1" s="250">
        <v>46235</v>
      </c>
      <c r="X1" s="250">
        <v>46265</v>
      </c>
      <c r="Y1" s="251">
        <v>46266</v>
      </c>
      <c r="Z1" s="251">
        <v>46295</v>
      </c>
      <c r="AA1" s="252">
        <v>46296</v>
      </c>
      <c r="AB1" s="252">
        <v>46326</v>
      </c>
      <c r="AC1" s="253">
        <v>45962</v>
      </c>
      <c r="AD1" s="253">
        <v>45991</v>
      </c>
      <c r="AE1" s="254">
        <v>45627</v>
      </c>
      <c r="AF1" s="254">
        <v>45657</v>
      </c>
    </row>
    <row r="2" spans="1:32" ht="11.25" customHeight="1" x14ac:dyDescent="0.25">
      <c r="A2" s="255"/>
      <c r="B2" s="255"/>
      <c r="C2" s="256"/>
      <c r="D2" s="257" t="s">
        <v>256</v>
      </c>
      <c r="E2" s="245" t="s">
        <v>257</v>
      </c>
      <c r="F2" s="245" t="s">
        <v>258</v>
      </c>
      <c r="G2" s="246" t="s">
        <v>259</v>
      </c>
      <c r="H2" s="245" t="s">
        <v>260</v>
      </c>
      <c r="I2" s="258" t="s">
        <v>257</v>
      </c>
      <c r="J2" s="258" t="s">
        <v>258</v>
      </c>
      <c r="K2" s="259" t="s">
        <v>257</v>
      </c>
      <c r="L2" s="259" t="s">
        <v>258</v>
      </c>
      <c r="M2" s="260" t="s">
        <v>257</v>
      </c>
      <c r="N2" s="260" t="s">
        <v>258</v>
      </c>
      <c r="O2" s="261" t="s">
        <v>257</v>
      </c>
      <c r="P2" s="261"/>
      <c r="Q2" s="258" t="s">
        <v>257</v>
      </c>
      <c r="R2" s="258" t="s">
        <v>258</v>
      </c>
      <c r="S2" s="259" t="s">
        <v>257</v>
      </c>
      <c r="T2" s="259" t="s">
        <v>258</v>
      </c>
      <c r="U2" s="260" t="s">
        <v>257</v>
      </c>
      <c r="V2" s="260" t="s">
        <v>258</v>
      </c>
      <c r="W2" s="261" t="s">
        <v>257</v>
      </c>
      <c r="X2" s="261" t="s">
        <v>258</v>
      </c>
      <c r="Y2" s="262" t="s">
        <v>257</v>
      </c>
      <c r="Z2" s="262" t="s">
        <v>258</v>
      </c>
      <c r="AA2" s="263" t="s">
        <v>257</v>
      </c>
      <c r="AB2" s="263" t="s">
        <v>258</v>
      </c>
      <c r="AC2" s="264" t="s">
        <v>257</v>
      </c>
      <c r="AD2" s="264" t="s">
        <v>258</v>
      </c>
      <c r="AE2" s="265" t="s">
        <v>257</v>
      </c>
      <c r="AF2" s="265" t="s">
        <v>258</v>
      </c>
    </row>
    <row r="3" spans="1:32" ht="11.25" customHeight="1" x14ac:dyDescent="0.25">
      <c r="A3" s="562" t="s">
        <v>261</v>
      </c>
      <c r="B3" s="548"/>
      <c r="C3" s="266" t="s">
        <v>156</v>
      </c>
      <c r="D3" s="267"/>
      <c r="E3" s="268">
        <f t="shared" ref="E3:F3" si="0">SUM(E5:E46)</f>
        <v>164107.10999999999</v>
      </c>
      <c r="F3" s="268">
        <f t="shared" si="0"/>
        <v>7695.5583849333043</v>
      </c>
      <c r="G3" s="269">
        <f>1-((E3/SUM(E3:F3)))</f>
        <v>4.4793008497929665E-2</v>
      </c>
      <c r="H3" s="268">
        <f>SUM(H5:H67)</f>
        <v>17180.266838493331</v>
      </c>
      <c r="I3" s="270">
        <f>SUM(I5:I46)</f>
        <v>15639.36</v>
      </c>
      <c r="J3" s="271"/>
      <c r="K3" s="232">
        <f>SUM(K5:K46)</f>
        <v>16615.620000000003</v>
      </c>
      <c r="L3" s="272"/>
      <c r="M3" s="273">
        <f>SUM(M5:M46)</f>
        <v>16971.29</v>
      </c>
      <c r="N3" s="274"/>
      <c r="O3" s="236">
        <f>SUM(O5:O46)</f>
        <v>18875.669999999998</v>
      </c>
      <c r="P3" s="275"/>
      <c r="Q3" s="270">
        <f>SUM(Q5:Q46)</f>
        <v>14973.200000000003</v>
      </c>
      <c r="R3" s="271"/>
      <c r="S3" s="232">
        <f>SUM(S5:S46)</f>
        <v>17750.78</v>
      </c>
      <c r="T3" s="272"/>
      <c r="U3" s="273">
        <f>SUM(U5:U46)</f>
        <v>20061.939999999999</v>
      </c>
      <c r="V3" s="274"/>
      <c r="W3" s="236">
        <f>SUM(W5:W46)</f>
        <v>17483.150000000001</v>
      </c>
      <c r="X3" s="275"/>
      <c r="Y3" s="276">
        <f>SUM(Y5:Y46)</f>
        <v>14978.64</v>
      </c>
      <c r="Z3" s="277"/>
      <c r="AA3" s="278">
        <f>SUM(AA5:AA46)</f>
        <v>10757.460000000001</v>
      </c>
      <c r="AB3" s="279"/>
      <c r="AC3" s="280">
        <f>SUM(AC5:AC46)</f>
        <v>0</v>
      </c>
      <c r="AD3" s="281"/>
      <c r="AE3" s="282">
        <f>SUM(AE5:AE46)</f>
        <v>0</v>
      </c>
      <c r="AF3" s="283"/>
    </row>
    <row r="4" spans="1:32" ht="11.25" customHeight="1" x14ac:dyDescent="0.25">
      <c r="A4" s="562" t="s">
        <v>262</v>
      </c>
      <c r="B4" s="563"/>
      <c r="C4" s="548"/>
      <c r="D4" s="267"/>
      <c r="E4" s="284"/>
      <c r="F4" s="284"/>
      <c r="G4" s="285"/>
      <c r="H4" s="286"/>
      <c r="I4" s="271"/>
      <c r="J4" s="271"/>
      <c r="K4" s="272"/>
      <c r="L4" s="272"/>
      <c r="M4" s="274"/>
      <c r="N4" s="274"/>
      <c r="O4" s="275"/>
      <c r="P4" s="275"/>
      <c r="Q4" s="271"/>
      <c r="R4" s="271"/>
      <c r="S4" s="272"/>
      <c r="T4" s="272"/>
      <c r="U4" s="274"/>
      <c r="V4" s="274"/>
      <c r="W4" s="275"/>
      <c r="X4" s="275"/>
      <c r="Y4" s="277"/>
      <c r="Z4" s="277"/>
      <c r="AA4" s="279"/>
      <c r="AB4" s="279"/>
      <c r="AC4" s="281"/>
      <c r="AD4" s="281"/>
      <c r="AE4" s="283"/>
      <c r="AF4" s="283"/>
    </row>
    <row r="5" spans="1:32" ht="11.25" customHeight="1" x14ac:dyDescent="0.25">
      <c r="A5" s="284" t="str">
        <f>'Proposed Budget'!A5</f>
        <v>D</v>
      </c>
      <c r="B5" s="255">
        <f>'Proposed Budget'!B5</f>
        <v>1</v>
      </c>
      <c r="C5" s="287" t="str">
        <f>'Proposed Budget'!C5</f>
        <v>Groceries/Household</v>
      </c>
      <c r="D5" s="288">
        <f t="shared" ref="D5:D12" ca="1" si="1">(E5/(TODAY()-$I$1))*30.42</f>
        <v>1079.3309083056479</v>
      </c>
      <c r="E5" s="289">
        <f>I5+K5+M5+O5+Q5+S5+U5+W5+Y5+AA5+AC5+AE5</f>
        <v>10679.769999999999</v>
      </c>
      <c r="F5" s="289">
        <f>J5+L5+N5+P5+R5+T5+V5+X5+Z5+AB5</f>
        <v>1320.2299999999991</v>
      </c>
      <c r="G5" s="269">
        <f t="shared" ref="G5:G12" si="2">1-((E5/SUM(E5:F5)))</f>
        <v>0.11001916666666667</v>
      </c>
      <c r="H5" s="289">
        <f>'Proposed Budget'!D5</f>
        <v>1200</v>
      </c>
      <c r="I5" s="270">
        <f>SUMIFS('Checking Transaction Log'!$E:$E,'Checking Transaction Log'!$C:$C,"&gt;="&amp;I1,'Checking Transaction Log'!$C:$C,"&lt;="&amp;J1,'Checking Transaction Log'!$A:$A,"D",'Checking Transaction Log'!$B:$B,1)</f>
        <v>1067.56</v>
      </c>
      <c r="J5" s="270">
        <f t="shared" ref="J5:J12" si="3">H5-I5</f>
        <v>132.44000000000005</v>
      </c>
      <c r="K5" s="232">
        <f>SUMIFS('Checking Transaction Log'!$E:$E,'Checking Transaction Log'!$C:$C,"&gt;="&amp;K1,'Checking Transaction Log'!$C:$C,"&lt;="&amp;L1,'Checking Transaction Log'!$A:$A,"D",'Checking Transaction Log'!$B:$B,1)</f>
        <v>1033.9000000000001</v>
      </c>
      <c r="L5" s="232">
        <f t="shared" ref="L5:L12" si="4">H5-K5</f>
        <v>166.09999999999991</v>
      </c>
      <c r="M5" s="273">
        <f>SUMIFS('Checking Transaction Log'!$E:$E,'Checking Transaction Log'!$C:$C,"&gt;="&amp;M1,'Checking Transaction Log'!$C:$C,"&lt;="&amp;N1,'Checking Transaction Log'!$A:$A,"D",'Checking Transaction Log'!$B:$B,1)</f>
        <v>1358.86</v>
      </c>
      <c r="N5" s="273">
        <f t="shared" ref="N5:N12" si="5">H5-M5</f>
        <v>-158.8599999999999</v>
      </c>
      <c r="O5" s="236">
        <f>SUMIFS('Checking Transaction Log'!$E:$E,'Checking Transaction Log'!$C:$C,"&gt;="&amp;O1,'Checking Transaction Log'!$C:$C,"&lt;="&amp;P1,'Checking Transaction Log'!$A:$A,"D",'Checking Transaction Log'!$B:$B,1)</f>
        <v>1284.83</v>
      </c>
      <c r="P5" s="236">
        <f t="shared" ref="P5:P12" si="6">H5-O5</f>
        <v>-84.829999999999927</v>
      </c>
      <c r="Q5" s="270">
        <f>SUMIFS('Checking Transaction Log'!$E:$E,'Checking Transaction Log'!$C:$C,"&gt;="&amp;Q1,'Checking Transaction Log'!$C:$C,"&lt;="&amp;R1,'Checking Transaction Log'!$A:$A,"D",'Checking Transaction Log'!$B:$B,1)</f>
        <v>1263.1500000000003</v>
      </c>
      <c r="R5" s="270">
        <f t="shared" ref="R5:R12" si="7">H5-Q5</f>
        <v>-63.150000000000318</v>
      </c>
      <c r="S5" s="232">
        <f>SUMIFS('Checking Transaction Log'!$E:$E,'Checking Transaction Log'!$C:$C,"&gt;="&amp;S1,'Checking Transaction Log'!$C:$C,"&lt;="&amp;T1,'Checking Transaction Log'!$A:$A,"D",'Checking Transaction Log'!$B:$B,1)</f>
        <v>1292.9600000000005</v>
      </c>
      <c r="T5" s="232">
        <f t="shared" ref="T5:T12" si="8">H5-S5</f>
        <v>-92.960000000000491</v>
      </c>
      <c r="U5" s="273">
        <f>SUMIFS('Checking Transaction Log'!$E:$E,'Checking Transaction Log'!$C:$C,"&gt;="&amp;U1,'Checking Transaction Log'!$C:$C,"&lt;="&amp;V1,'Checking Transaction Log'!$A:$A,"D",'Checking Transaction Log'!$B:$B,1)</f>
        <v>1111.57</v>
      </c>
      <c r="V5" s="273">
        <f t="shared" ref="V5:V12" si="9">H5-U5</f>
        <v>88.430000000000064</v>
      </c>
      <c r="W5" s="236">
        <f>SUMIFS('Checking Transaction Log'!$E:$E,'Checking Transaction Log'!$C:$C,"&gt;="&amp;W1,'Checking Transaction Log'!$C:$C,"&lt;="&amp;X1,'Checking Transaction Log'!$A:$A,"D",'Checking Transaction Log'!$B:$B,1)</f>
        <v>868.6400000000001</v>
      </c>
      <c r="X5" s="236">
        <f t="shared" ref="X5:X12" si="10">H5-W5</f>
        <v>331.3599999999999</v>
      </c>
      <c r="Y5" s="276">
        <f>SUMIFS('Checking Transaction Log'!$E:$E,'Checking Transaction Log'!$C:$C,"&gt;="&amp;Y1,'Checking Transaction Log'!$C:$C,"&lt;="&amp;Z1,'Checking Transaction Log'!$A:$A,"D",'Checking Transaction Log'!$B:$B,1)</f>
        <v>451.57000000000005</v>
      </c>
      <c r="Z5" s="276">
        <f t="shared" ref="Z5:Z12" si="11">H5-Y5</f>
        <v>748.43</v>
      </c>
      <c r="AA5" s="278">
        <f>SUMIFS('Checking Transaction Log'!$E:$E,'Checking Transaction Log'!$C:$C,"&gt;="&amp;AA1,'Checking Transaction Log'!$C:$C,"&lt;="&amp;AB1,'Checking Transaction Log'!$A:$A,"D",'Checking Transaction Log'!$B:$B,1)</f>
        <v>946.73</v>
      </c>
      <c r="AB5" s="278">
        <f t="shared" ref="AB5:AB12" si="12">H5-AA5</f>
        <v>253.26999999999998</v>
      </c>
      <c r="AC5" s="280">
        <f>SUMIFS('Checking Transaction Log'!$E:$E,'Checking Transaction Log'!$C:$C,"&gt;="&amp;AC1,'Checking Transaction Log'!$C:$C,"&lt;="&amp;AD1,'Checking Transaction Log'!$A:$A,"D",'Checking Transaction Log'!$B:$B,1)</f>
        <v>0</v>
      </c>
      <c r="AD5" s="280">
        <f t="shared" ref="AD5:AD12" si="13">H5-AC5</f>
        <v>1200</v>
      </c>
      <c r="AE5" s="282">
        <f>SUMIFS('Checking Transaction Log'!$E:$E,'Checking Transaction Log'!$C:$C,"&gt;="&amp;AE1,'Checking Transaction Log'!$C:$C,"&lt;="&amp;AF1,'Checking Transaction Log'!$A:$A,"D",'Checking Transaction Log'!$B:$B,1)</f>
        <v>0</v>
      </c>
      <c r="AF5" s="282">
        <f t="shared" ref="AF5:AF12" si="14">H5-AE5</f>
        <v>1200</v>
      </c>
    </row>
    <row r="6" spans="1:32" ht="11.25" customHeight="1" x14ac:dyDescent="0.25">
      <c r="A6" s="284" t="str">
        <f>'Proposed Budget'!A6</f>
        <v>D</v>
      </c>
      <c r="B6" s="255">
        <f>'Proposed Budget'!B6</f>
        <v>2</v>
      </c>
      <c r="C6" s="287" t="str">
        <f>'Proposed Budget'!C6</f>
        <v>Dining Out</v>
      </c>
      <c r="D6" s="288">
        <f t="shared" ca="1" si="1"/>
        <v>1061.7812970099667</v>
      </c>
      <c r="E6" s="289">
        <f t="shared" ref="E6:E12" si="15">Q6+S6+U6+W6+Y6+AA6+AC6+AE6+I6+K6+M6+O6</f>
        <v>10506.119999999999</v>
      </c>
      <c r="F6" s="289">
        <f>J6+L6+N6+P6+R6+T6+V6+X6+Z6+AB6</f>
        <v>1493.880000000001</v>
      </c>
      <c r="G6" s="269">
        <f t="shared" si="2"/>
        <v>0.1244900000000001</v>
      </c>
      <c r="H6" s="289">
        <f>'Proposed Budget'!D6</f>
        <v>1200</v>
      </c>
      <c r="I6" s="270">
        <f>SUMIFS('Checking Transaction Log'!E:E,'Checking Transaction Log'!C:C,"&gt;="&amp;I1,'Checking Transaction Log'!C:C,"&lt;="&amp;J1,'Checking Transaction Log'!A:A,"D",'Checking Transaction Log'!B:B,2)</f>
        <v>1061.45</v>
      </c>
      <c r="J6" s="270">
        <f t="shared" si="3"/>
        <v>138.54999999999995</v>
      </c>
      <c r="K6" s="232">
        <f>SUMIFS('Checking Transaction Log'!E:E,'Checking Transaction Log'!C:C,"&gt;="&amp;K1,'Checking Transaction Log'!C:C,"&lt;="&amp;L1,'Checking Transaction Log'!A:A,"D",'Checking Transaction Log'!B:B,2)</f>
        <v>911.68</v>
      </c>
      <c r="L6" s="232">
        <f t="shared" si="4"/>
        <v>288.32000000000005</v>
      </c>
      <c r="M6" s="273">
        <f>SUMIFS('Checking Transaction Log'!$E:$E,'Checking Transaction Log'!$C:$C,"&gt;="&amp;M1,'Checking Transaction Log'!$C:$C,"&lt;="&amp;N1,'Checking Transaction Log'!$A:$A,"D",'Checking Transaction Log'!$B:$B,2)</f>
        <v>1233.4599999999996</v>
      </c>
      <c r="N6" s="273">
        <f t="shared" si="5"/>
        <v>-33.459999999999582</v>
      </c>
      <c r="O6" s="236">
        <f>SUMIFS('Checking Transaction Log'!$E:$E,'Checking Transaction Log'!$C:$C,"&gt;="&amp;O1,'Checking Transaction Log'!$C:$C,"&lt;="&amp;P1,'Checking Transaction Log'!$A:$A,"D",'Checking Transaction Log'!$B:$B,2)</f>
        <v>984.17999999999984</v>
      </c>
      <c r="P6" s="236">
        <f t="shared" si="6"/>
        <v>215.82000000000016</v>
      </c>
      <c r="Q6" s="270">
        <f>SUMIFS('Checking Transaction Log'!$E:$E,'Checking Transaction Log'!$C:$C,"&gt;="&amp;Q1,'Checking Transaction Log'!$C:$C,"&lt;="&amp;R1,'Checking Transaction Log'!$A:$A,"D",'Checking Transaction Log'!$B:$B,2)</f>
        <v>1603.86</v>
      </c>
      <c r="R6" s="270">
        <f t="shared" si="7"/>
        <v>-403.8599999999999</v>
      </c>
      <c r="S6" s="232">
        <f>SUMIFS('Checking Transaction Log'!$E:$E,'Checking Transaction Log'!$C:$C,"&gt;="&amp;S1,'Checking Transaction Log'!$C:$C,"&lt;="&amp;T1,'Checking Transaction Log'!$A:$A,"D",'Checking Transaction Log'!$B:$B,2)</f>
        <v>985.21999999999991</v>
      </c>
      <c r="T6" s="232">
        <f t="shared" si="8"/>
        <v>214.78000000000009</v>
      </c>
      <c r="U6" s="273">
        <f>SUMIFS('Checking Transaction Log'!$E:$E,'Checking Transaction Log'!$C:$C,"&gt;="&amp;U1,'Checking Transaction Log'!$C:$C,"&lt;="&amp;V1,'Checking Transaction Log'!$A:$A,"D",'Checking Transaction Log'!$B:$B,2)</f>
        <v>1129.5999999999999</v>
      </c>
      <c r="V6" s="273">
        <f t="shared" si="9"/>
        <v>70.400000000000091</v>
      </c>
      <c r="W6" s="236">
        <f>SUMIFS('Checking Transaction Log'!$E:$E,'Checking Transaction Log'!$C:$C,"&gt;="&amp;W1,'Checking Transaction Log'!$C:$C,"&lt;="&amp;X1,'Checking Transaction Log'!$A:$A,"D",'Checking Transaction Log'!$B:$B,2)</f>
        <v>816.7399999999999</v>
      </c>
      <c r="X6" s="236">
        <f t="shared" si="10"/>
        <v>383.2600000000001</v>
      </c>
      <c r="Y6" s="276">
        <f>SUMIFS('Checking Transaction Log'!$E:$E,'Checking Transaction Log'!$C:$C,"&gt;="&amp;Y1,'Checking Transaction Log'!$C:$C,"&lt;="&amp;Z1,'Checking Transaction Log'!$A:$A,"D",'Checking Transaction Log'!$B:$B,2)</f>
        <v>938.07</v>
      </c>
      <c r="Z6" s="276">
        <f t="shared" si="11"/>
        <v>261.92999999999995</v>
      </c>
      <c r="AA6" s="278">
        <f>SUMIFS('Checking Transaction Log'!$E:$E,'Checking Transaction Log'!$C:$C,"&gt;="&amp;AA1,'Checking Transaction Log'!$C:$C,"&lt;="&amp;AB1,'Checking Transaction Log'!$A:$A,"D",'Checking Transaction Log'!$B:$B,2)</f>
        <v>841.86</v>
      </c>
      <c r="AB6" s="278">
        <f t="shared" si="12"/>
        <v>358.14</v>
      </c>
      <c r="AC6" s="280">
        <f>SUMIFS('Checking Transaction Log'!$E:$E,'Checking Transaction Log'!$C:$C,"&gt;="&amp;AC1,'Checking Transaction Log'!$C:$C,"&lt;="&amp;AD1,'Checking Transaction Log'!$A:$A,"D",'Checking Transaction Log'!$B:$B,2)</f>
        <v>0</v>
      </c>
      <c r="AD6" s="280">
        <f t="shared" si="13"/>
        <v>1200</v>
      </c>
      <c r="AE6" s="282">
        <f>SUMIFS('Checking Transaction Log'!$E:$E,'Checking Transaction Log'!$C:$C,"&gt;="&amp;AE1,'Checking Transaction Log'!$C:$C,"&lt;="&amp;AF1,'Checking Transaction Log'!$A:$A,"D",'Checking Transaction Log'!$B:$B,2)</f>
        <v>0</v>
      </c>
      <c r="AF6" s="282">
        <f t="shared" si="14"/>
        <v>1200</v>
      </c>
    </row>
    <row r="7" spans="1:32" ht="11.25" customHeight="1" x14ac:dyDescent="0.25">
      <c r="A7" s="284" t="str">
        <f>'Proposed Budget'!A7</f>
        <v>D</v>
      </c>
      <c r="B7" s="255">
        <f>'Proposed Budget'!B7</f>
        <v>3</v>
      </c>
      <c r="C7" s="287" t="str">
        <f>'Proposed Budget'!C7</f>
        <v>Misc Food</v>
      </c>
      <c r="D7" s="288">
        <f t="shared" ca="1" si="1"/>
        <v>112.46001129568106</v>
      </c>
      <c r="E7" s="289">
        <f t="shared" si="15"/>
        <v>1112.77</v>
      </c>
      <c r="F7" s="289">
        <f>J7+L7+N7+P7+R7+T7+V7+X7+Z7+AB7</f>
        <v>387.23</v>
      </c>
      <c r="G7" s="269">
        <f t="shared" si="2"/>
        <v>0.25815333333333335</v>
      </c>
      <c r="H7" s="289">
        <f>'Proposed Budget'!D7</f>
        <v>150</v>
      </c>
      <c r="I7" s="270">
        <f>SUMIFS('Checking Transaction Log'!E:E,'Checking Transaction Log'!C:C,"&gt;="&amp;I1,'Checking Transaction Log'!C:C,"&lt;="&amp;J1,'Checking Transaction Log'!A:A,"D",'Checking Transaction Log'!B:B,3)</f>
        <v>144.51</v>
      </c>
      <c r="J7" s="270">
        <f t="shared" si="3"/>
        <v>5.4900000000000091</v>
      </c>
      <c r="K7" s="232">
        <f>SUMIFS('Checking Transaction Log'!E:E,'Checking Transaction Log'!C:C,"&gt;="&amp;K1,'Checking Transaction Log'!C:C,"&lt;="&amp;L1,'Checking Transaction Log'!A:A,"D",'Checking Transaction Log'!B:B,3)</f>
        <v>90.76</v>
      </c>
      <c r="L7" s="232">
        <f t="shared" si="4"/>
        <v>59.239999999999995</v>
      </c>
      <c r="M7" s="273">
        <f>SUMIFS('Checking Transaction Log'!$E:$E,'Checking Transaction Log'!$C:$C,"&gt;="&amp;M1,'Checking Transaction Log'!$C:$C,"&lt;="&amp;N1,'Checking Transaction Log'!$A:$A,"D",'Checking Transaction Log'!$B:$B,3)</f>
        <v>173.53</v>
      </c>
      <c r="N7" s="273">
        <f t="shared" si="5"/>
        <v>-23.53</v>
      </c>
      <c r="O7" s="236">
        <f>SUMIFS('Checking Transaction Log'!$E:$E,'Checking Transaction Log'!$C:$C,"&gt;="&amp;O1,'Checking Transaction Log'!$C:$C,"&lt;="&amp;P1,'Checking Transaction Log'!$A:$A,"D",'Checking Transaction Log'!$B:$B,3)</f>
        <v>91.659999999999982</v>
      </c>
      <c r="P7" s="236">
        <f t="shared" si="6"/>
        <v>58.340000000000018</v>
      </c>
      <c r="Q7" s="270">
        <f>SUMIFS('Checking Transaction Log'!$E:$E,'Checking Transaction Log'!$C:$C,"&gt;="&amp;Q1,'Checking Transaction Log'!$C:$C,"&lt;="&amp;R1,'Checking Transaction Log'!$A:$A,"D",'Checking Transaction Log'!$B:$B,3)</f>
        <v>180.06</v>
      </c>
      <c r="R7" s="270">
        <f t="shared" si="7"/>
        <v>-30.060000000000002</v>
      </c>
      <c r="S7" s="232">
        <f>SUMIFS('Checking Transaction Log'!$E:$E,'Checking Transaction Log'!$C:$C,"&gt;="&amp;S1,'Checking Transaction Log'!$C:$C,"&lt;="&amp;T1,'Checking Transaction Log'!$A:$A,"D",'Checking Transaction Log'!$B:$B,3)</f>
        <v>73.63</v>
      </c>
      <c r="T7" s="232">
        <f t="shared" si="8"/>
        <v>76.37</v>
      </c>
      <c r="U7" s="273">
        <f>SUMIFS('Checking Transaction Log'!$E:$E,'Checking Transaction Log'!$C:$C,"&gt;="&amp;U1,'Checking Transaction Log'!$C:$C,"&lt;="&amp;V1,'Checking Transaction Log'!$A:$A,"D",'Checking Transaction Log'!$B:$B,3)</f>
        <v>167.91</v>
      </c>
      <c r="V7" s="273">
        <f t="shared" si="9"/>
        <v>-17.909999999999997</v>
      </c>
      <c r="W7" s="236">
        <f>SUMIFS('Checking Transaction Log'!$E:$E,'Checking Transaction Log'!$C:$C,"&gt;="&amp;W1,'Checking Transaction Log'!$C:$C,"&lt;="&amp;X1,'Checking Transaction Log'!$A:$A,"D",'Checking Transaction Log'!$B:$B,3)</f>
        <v>15.09</v>
      </c>
      <c r="X7" s="236">
        <f t="shared" si="10"/>
        <v>134.91</v>
      </c>
      <c r="Y7" s="276">
        <f>SUMIFS('Checking Transaction Log'!$E:$E,'Checking Transaction Log'!$C:$C,"&gt;="&amp;Y1,'Checking Transaction Log'!$C:$C,"&lt;="&amp;Z1,'Checking Transaction Log'!$A:$A,"D",'Checking Transaction Log'!$B:$B,3)</f>
        <v>110.24000000000001</v>
      </c>
      <c r="Z7" s="276">
        <f t="shared" si="11"/>
        <v>39.759999999999991</v>
      </c>
      <c r="AA7" s="278">
        <f>SUMIFS('Checking Transaction Log'!$E:$E,'Checking Transaction Log'!$C:$C,"&gt;="&amp;AA1,'Checking Transaction Log'!$C:$C,"&lt;="&amp;AB1,'Checking Transaction Log'!$A:$A,"D",'Checking Transaction Log'!$B:$B,3)</f>
        <v>65.38</v>
      </c>
      <c r="AB7" s="278">
        <f t="shared" si="12"/>
        <v>84.62</v>
      </c>
      <c r="AC7" s="280">
        <f>SUMIFS('Checking Transaction Log'!$E:$E,'Checking Transaction Log'!$C:$C,"&gt;="&amp;AC1,'Checking Transaction Log'!$C:$C,"&lt;="&amp;AD1,'Checking Transaction Log'!$A:$A,"D",'Checking Transaction Log'!$B:$B,3)</f>
        <v>0</v>
      </c>
      <c r="AD7" s="280">
        <f t="shared" si="13"/>
        <v>150</v>
      </c>
      <c r="AE7" s="282">
        <f>SUMIFS('Checking Transaction Log'!$E:$E,'Checking Transaction Log'!$C:$C,"&gt;="&amp;AE1,'Checking Transaction Log'!$C:$C,"&lt;="&amp;AF1,'Checking Transaction Log'!$A:$A,"D",'Checking Transaction Log'!$B:$B,3)</f>
        <v>0</v>
      </c>
      <c r="AF7" s="282">
        <f t="shared" si="14"/>
        <v>150</v>
      </c>
    </row>
    <row r="8" spans="1:32" ht="11.25" customHeight="1" x14ac:dyDescent="0.25">
      <c r="A8" s="284" t="str">
        <f>'Proposed Budget'!A8</f>
        <v>D</v>
      </c>
      <c r="B8" s="255">
        <f>'Proposed Budget'!B8</f>
        <v>4</v>
      </c>
      <c r="C8" s="287" t="str">
        <f>'Proposed Budget'!C8</f>
        <v>Gasoline</v>
      </c>
      <c r="D8" s="288">
        <f t="shared" ca="1" si="1"/>
        <v>648.42807109634543</v>
      </c>
      <c r="E8" s="289">
        <f t="shared" si="15"/>
        <v>6416.07</v>
      </c>
      <c r="F8" s="289">
        <f>J8+L8+N8+P8+R8+T8+V8+X8+Z8+AB8</f>
        <v>-416.07000000000016</v>
      </c>
      <c r="G8" s="269">
        <f t="shared" si="2"/>
        <v>-6.934499999999999E-2</v>
      </c>
      <c r="H8" s="289">
        <f>'Proposed Budget'!D8</f>
        <v>600</v>
      </c>
      <c r="I8" s="270">
        <f>SUMIFS('Checking Transaction Log'!E:E,'Checking Transaction Log'!C:C,"&gt;="&amp;I1,'Checking Transaction Log'!C:C,"&lt;="&amp;J1,'Checking Transaction Log'!A:A,"D",'Checking Transaction Log'!B:B,4)</f>
        <v>561.41</v>
      </c>
      <c r="J8" s="270">
        <f t="shared" si="3"/>
        <v>38.590000000000032</v>
      </c>
      <c r="K8" s="232">
        <f>SUMIFS('Checking Transaction Log'!E:E,'Checking Transaction Log'!C:C,"&gt;="&amp;K1,'Checking Transaction Log'!C:C,"&lt;="&amp;L1,'Checking Transaction Log'!A:A,"D",'Checking Transaction Log'!B:B,4)</f>
        <v>710.78</v>
      </c>
      <c r="L8" s="232">
        <f t="shared" si="4"/>
        <v>-110.77999999999997</v>
      </c>
      <c r="M8" s="273">
        <f>SUMIFS('Checking Transaction Log'!$E:$E,'Checking Transaction Log'!$C:$C,"&gt;="&amp;M1,'Checking Transaction Log'!$C:$C,"&lt;="&amp;N1,'Checking Transaction Log'!$A:$A,"D",'Checking Transaction Log'!$B:$B,4)</f>
        <v>537.41000000000008</v>
      </c>
      <c r="N8" s="273">
        <f t="shared" si="5"/>
        <v>62.589999999999918</v>
      </c>
      <c r="O8" s="236">
        <f>SUMIFS('Checking Transaction Log'!$E:$E,'Checking Transaction Log'!$C:$C,"&gt;="&amp;O1,'Checking Transaction Log'!$C:$C,"&lt;="&amp;P1,'Checking Transaction Log'!$A:$A,"D",'Checking Transaction Log'!$B:$B,4)</f>
        <v>592.33000000000004</v>
      </c>
      <c r="P8" s="236">
        <f t="shared" si="6"/>
        <v>7.6699999999999591</v>
      </c>
      <c r="Q8" s="270">
        <f>SUMIFS('Checking Transaction Log'!$E:$E,'Checking Transaction Log'!$C:$C,"&gt;="&amp;Q1,'Checking Transaction Log'!$C:$C,"&lt;="&amp;R1,'Checking Transaction Log'!$A:$A,"D",'Checking Transaction Log'!$B:$B,4)</f>
        <v>942.96</v>
      </c>
      <c r="R8" s="270">
        <f t="shared" si="7"/>
        <v>-342.96000000000004</v>
      </c>
      <c r="S8" s="232">
        <f>SUMIFS('Checking Transaction Log'!$E:$E,'Checking Transaction Log'!$C:$C,"&gt;="&amp;S1,'Checking Transaction Log'!$C:$C,"&lt;="&amp;T1,'Checking Transaction Log'!$A:$A,"D",'Checking Transaction Log'!$B:$B,4)</f>
        <v>548.34</v>
      </c>
      <c r="T8" s="232">
        <f t="shared" si="8"/>
        <v>51.659999999999968</v>
      </c>
      <c r="U8" s="273">
        <f>SUMIFS('Checking Transaction Log'!$E:$E,'Checking Transaction Log'!$C:$C,"&gt;="&amp;U1,'Checking Transaction Log'!$C:$C,"&lt;="&amp;V1,'Checking Transaction Log'!$A:$A,"D",'Checking Transaction Log'!$B:$B,4)</f>
        <v>604.87</v>
      </c>
      <c r="V8" s="273">
        <f t="shared" si="9"/>
        <v>-4.8700000000000045</v>
      </c>
      <c r="W8" s="236">
        <f>SUMIFS('Checking Transaction Log'!$E:$E,'Checking Transaction Log'!$C:$C,"&gt;="&amp;W1,'Checking Transaction Log'!$C:$C,"&lt;="&amp;X1,'Checking Transaction Log'!$A:$A,"D",'Checking Transaction Log'!$B:$B,4)</f>
        <v>475.49</v>
      </c>
      <c r="X8" s="236">
        <f t="shared" si="10"/>
        <v>124.50999999999999</v>
      </c>
      <c r="Y8" s="276">
        <f>SUMIFS('Checking Transaction Log'!$E:$E,'Checking Transaction Log'!$C:$C,"&gt;="&amp;Y1,'Checking Transaction Log'!$C:$C,"&lt;="&amp;Z1,'Checking Transaction Log'!$A:$A,"D",'Checking Transaction Log'!$B:$B,4)</f>
        <v>770.33</v>
      </c>
      <c r="Z8" s="276">
        <f t="shared" si="11"/>
        <v>-170.33000000000004</v>
      </c>
      <c r="AA8" s="278">
        <f>SUMIFS('Checking Transaction Log'!$E:$E,'Checking Transaction Log'!$C:$C,"&gt;="&amp;AA1,'Checking Transaction Log'!$C:$C,"&lt;="&amp;AB1,'Checking Transaction Log'!$A:$A,"D",'Checking Transaction Log'!$B:$B,4)</f>
        <v>672.15</v>
      </c>
      <c r="AB8" s="278">
        <f t="shared" si="12"/>
        <v>-72.149999999999977</v>
      </c>
      <c r="AC8" s="280">
        <f>SUMIFS('Checking Transaction Log'!$E:$E,'Checking Transaction Log'!$C:$C,"&gt;="&amp;AC1,'Checking Transaction Log'!$C:$C,"&lt;="&amp;AD1,'Checking Transaction Log'!$A:$A,"D",'Checking Transaction Log'!$B:$B,4)</f>
        <v>0</v>
      </c>
      <c r="AD8" s="280">
        <f t="shared" si="13"/>
        <v>600</v>
      </c>
      <c r="AE8" s="282">
        <f>SUMIFS('Checking Transaction Log'!$E:$E,'Checking Transaction Log'!$C:$C,"&gt;="&amp;AE1,'Checking Transaction Log'!$C:$C,"&lt;="&amp;AF1,'Checking Transaction Log'!$A:$A,"D",'Checking Transaction Log'!$B:$B,4)</f>
        <v>0</v>
      </c>
      <c r="AF8" s="282">
        <f t="shared" si="14"/>
        <v>600</v>
      </c>
    </row>
    <row r="9" spans="1:32" ht="11.25" customHeight="1" x14ac:dyDescent="0.25">
      <c r="A9" s="284" t="str">
        <f>'Proposed Budget'!A9</f>
        <v>D</v>
      </c>
      <c r="B9" s="255">
        <f>'Proposed Budget'!B9</f>
        <v>5</v>
      </c>
      <c r="C9" s="287" t="str">
        <f>'Proposed Budget'!C9</f>
        <v>Family Entertainment</v>
      </c>
      <c r="D9" s="288">
        <f t="shared" ca="1" si="1"/>
        <v>809.43173222591372</v>
      </c>
      <c r="E9" s="289">
        <f t="shared" si="15"/>
        <v>8009.17</v>
      </c>
      <c r="F9" s="289">
        <f>J9+L9+N9+P9+R9+T9+V9+X9+Z9+AB9</f>
        <v>-1009.1700000000001</v>
      </c>
      <c r="G9" s="269">
        <f t="shared" si="2"/>
        <v>-0.14416714285714294</v>
      </c>
      <c r="H9" s="289">
        <f>'Proposed Budget'!D9</f>
        <v>700</v>
      </c>
      <c r="I9" s="270">
        <f>SUMIFS('Checking Transaction Log'!E:E,'Checking Transaction Log'!C:C,"&gt;="&amp;I1,'Checking Transaction Log'!C:C,"&lt;="&amp;J1,'Checking Transaction Log'!A:A,"D",'Checking Transaction Log'!B:B,5)</f>
        <v>717.1</v>
      </c>
      <c r="J9" s="270">
        <f t="shared" si="3"/>
        <v>-17.100000000000023</v>
      </c>
      <c r="K9" s="232">
        <f>SUMIFS('Checking Transaction Log'!E:E,'Checking Transaction Log'!C:C,"&gt;="&amp;K1,'Checking Transaction Log'!C:C,"&lt;="&amp;L1,'Checking Transaction Log'!A:A,"D",'Checking Transaction Log'!B:B,5)</f>
        <v>780.14</v>
      </c>
      <c r="L9" s="232">
        <f t="shared" si="4"/>
        <v>-80.139999999999986</v>
      </c>
      <c r="M9" s="273">
        <f>SUMIFS('Checking Transaction Log'!$E:$E,'Checking Transaction Log'!$C:$C,"&gt;="&amp;M1,'Checking Transaction Log'!$C:$C,"&lt;="&amp;N1,'Checking Transaction Log'!$A:$A,"D",'Checking Transaction Log'!$B:$B,5)</f>
        <v>516.79</v>
      </c>
      <c r="N9" s="273">
        <f t="shared" si="5"/>
        <v>183.21000000000004</v>
      </c>
      <c r="O9" s="236">
        <f>SUMIFS('Checking Transaction Log'!$E:$E,'Checking Transaction Log'!$C:$C,"&gt;="&amp;O1,'Checking Transaction Log'!$C:$C,"&lt;="&amp;P1,'Checking Transaction Log'!$A:$A,"D",'Checking Transaction Log'!$B:$B,5)</f>
        <v>1673.98</v>
      </c>
      <c r="P9" s="236">
        <f t="shared" si="6"/>
        <v>-973.98</v>
      </c>
      <c r="Q9" s="270">
        <f>SUMIFS('Checking Transaction Log'!$E:$E,'Checking Transaction Log'!$C:$C,"&gt;="&amp;Q1,'Checking Transaction Log'!$C:$C,"&lt;="&amp;R1,'Checking Transaction Log'!$A:$A,"D",'Checking Transaction Log'!$B:$B,5)</f>
        <v>310.77</v>
      </c>
      <c r="R9" s="270">
        <f t="shared" si="7"/>
        <v>389.23</v>
      </c>
      <c r="S9" s="232">
        <f>SUMIFS('Checking Transaction Log'!$E:$E,'Checking Transaction Log'!$C:$C,"&gt;="&amp;S1,'Checking Transaction Log'!$C:$C,"&lt;="&amp;T1,'Checking Transaction Log'!$A:$A,"D",'Checking Transaction Log'!$B:$B,5)</f>
        <v>236.03000000000003</v>
      </c>
      <c r="T9" s="232">
        <f t="shared" si="8"/>
        <v>463.96999999999997</v>
      </c>
      <c r="U9" s="273">
        <f>SUMIFS('Checking Transaction Log'!$E:$E,'Checking Transaction Log'!$C:$C,"&gt;="&amp;U1,'Checking Transaction Log'!$C:$C,"&lt;="&amp;V1,'Checking Transaction Log'!$A:$A,"D",'Checking Transaction Log'!$B:$B,5)</f>
        <v>530.84</v>
      </c>
      <c r="V9" s="273">
        <f t="shared" si="9"/>
        <v>169.15999999999997</v>
      </c>
      <c r="W9" s="236">
        <f>SUMIFS('Checking Transaction Log'!$E:$E,'Checking Transaction Log'!$C:$C,"&gt;="&amp;W1,'Checking Transaction Log'!$C:$C,"&lt;="&amp;X1,'Checking Transaction Log'!$A:$A,"D",'Checking Transaction Log'!$B:$B,5)</f>
        <v>377.12</v>
      </c>
      <c r="X9" s="236">
        <f t="shared" si="10"/>
        <v>322.88</v>
      </c>
      <c r="Y9" s="276">
        <f>SUMIFS('Checking Transaction Log'!$E:$E,'Checking Transaction Log'!$C:$C,"&gt;="&amp;Y1,'Checking Transaction Log'!$C:$C,"&lt;="&amp;Z1,'Checking Transaction Log'!$A:$A,"D",'Checking Transaction Log'!$B:$B,5)</f>
        <v>1921.67</v>
      </c>
      <c r="Z9" s="276">
        <f t="shared" si="11"/>
        <v>-1221.67</v>
      </c>
      <c r="AA9" s="278">
        <f>SUMIFS('Checking Transaction Log'!$E:$E,'Checking Transaction Log'!$C:$C,"&gt;="&amp;AA1,'Checking Transaction Log'!$C:$C,"&lt;="&amp;AB1,'Checking Transaction Log'!$A:$A,"D",'Checking Transaction Log'!$B:$B,5)</f>
        <v>944.73</v>
      </c>
      <c r="AB9" s="278">
        <f t="shared" si="12"/>
        <v>-244.73000000000002</v>
      </c>
      <c r="AC9" s="280">
        <f>SUMIFS('Checking Transaction Log'!$E:$E,'Checking Transaction Log'!$C:$C,"&gt;="&amp;AC1,'Checking Transaction Log'!$C:$C,"&lt;="&amp;AD1,'Checking Transaction Log'!$A:$A,"D",'Checking Transaction Log'!$B:$B,5)</f>
        <v>0</v>
      </c>
      <c r="AD9" s="280">
        <f t="shared" si="13"/>
        <v>700</v>
      </c>
      <c r="AE9" s="282">
        <f>SUMIFS('Checking Transaction Log'!$E:$E,'Checking Transaction Log'!$C:$C,"&gt;="&amp;AE1,'Checking Transaction Log'!$C:$C,"&lt;="&amp;AF1,'Checking Transaction Log'!$A:$A,"D",'Checking Transaction Log'!$B:$B,5)</f>
        <v>0</v>
      </c>
      <c r="AF9" s="282">
        <f t="shared" si="14"/>
        <v>700</v>
      </c>
    </row>
    <row r="10" spans="1:32" ht="11.25" customHeight="1" x14ac:dyDescent="0.25">
      <c r="A10" s="284" t="str">
        <f>'Proposed Budget'!A10</f>
        <v>D</v>
      </c>
      <c r="B10" s="255">
        <f>'Proposed Budget'!B10</f>
        <v>6</v>
      </c>
      <c r="C10" s="287" t="str">
        <f>'Proposed Budget'!C10</f>
        <v>Miscellaneous Spending</v>
      </c>
      <c r="D10" s="288">
        <f t="shared" ca="1" si="1"/>
        <v>858.60298405315632</v>
      </c>
      <c r="E10" s="289">
        <f t="shared" si="15"/>
        <v>8495.7100000000009</v>
      </c>
      <c r="F10" s="289">
        <f>J10+L10+N10+P10+R10+T10+V10+X10+Z10+AB10</f>
        <v>504.28999999999951</v>
      </c>
      <c r="G10" s="269">
        <f t="shared" si="2"/>
        <v>5.603222222222215E-2</v>
      </c>
      <c r="H10" s="289">
        <f>'Proposed Budget'!D10</f>
        <v>900</v>
      </c>
      <c r="I10" s="270">
        <f>SUMIFS('Checking Transaction Log'!E:E,'Checking Transaction Log'!C:C,"&gt;="&amp;I1,'Checking Transaction Log'!C:C,"&lt;="&amp;J1,'Checking Transaction Log'!A:A,"D",'Checking Transaction Log'!B:B,6)</f>
        <v>714.12000000000012</v>
      </c>
      <c r="J10" s="270">
        <f t="shared" si="3"/>
        <v>185.87999999999988</v>
      </c>
      <c r="K10" s="232">
        <f>SUMIFS('Checking Transaction Log'!E:E,'Checking Transaction Log'!C:C,"&gt;="&amp;K1,'Checking Transaction Log'!C:C,"&lt;="&amp;L1,'Checking Transaction Log'!A:A,"D",'Checking Transaction Log'!B:B,6)</f>
        <v>693.07999999999993</v>
      </c>
      <c r="L10" s="232">
        <f t="shared" si="4"/>
        <v>206.92000000000007</v>
      </c>
      <c r="M10" s="273">
        <f>SUMIFS('Checking Transaction Log'!$E:$E,'Checking Transaction Log'!$C:$C,"&gt;="&amp;M1,'Checking Transaction Log'!$C:$C,"&lt;="&amp;N1,'Checking Transaction Log'!$A:$A,"D",'Checking Transaction Log'!$B:$B,6)</f>
        <v>484.69999999999993</v>
      </c>
      <c r="N10" s="273">
        <f t="shared" si="5"/>
        <v>415.30000000000007</v>
      </c>
      <c r="O10" s="236">
        <f>SUMIFS('Checking Transaction Log'!$E:$E,'Checking Transaction Log'!$C:$C,"&gt;="&amp;O1,'Checking Transaction Log'!$C:$C,"&lt;="&amp;P1,'Checking Transaction Log'!$A:$A,"D",'Checking Transaction Log'!$B:$B,6)</f>
        <v>1146.7900000000002</v>
      </c>
      <c r="P10" s="236">
        <f t="shared" si="6"/>
        <v>-246.79000000000019</v>
      </c>
      <c r="Q10" s="270">
        <f>SUMIFS('Checking Transaction Log'!$E:$E,'Checking Transaction Log'!$C:$C,"&gt;="&amp;Q1,'Checking Transaction Log'!$C:$C,"&lt;="&amp;R1,'Checking Transaction Log'!$A:$A,"D",'Checking Transaction Log'!$B:$B,6)</f>
        <v>1049.97</v>
      </c>
      <c r="R10" s="270">
        <f t="shared" si="7"/>
        <v>-149.97000000000003</v>
      </c>
      <c r="S10" s="232">
        <f>SUMIFS('Checking Transaction Log'!$E:$E,'Checking Transaction Log'!$C:$C,"&gt;="&amp;S1,'Checking Transaction Log'!$C:$C,"&lt;="&amp;T1,'Checking Transaction Log'!$A:$A,"D",'Checking Transaction Log'!$B:$B,6)</f>
        <v>717.77000000000021</v>
      </c>
      <c r="T10" s="232">
        <f t="shared" si="8"/>
        <v>182.22999999999979</v>
      </c>
      <c r="U10" s="273">
        <f>SUMIFS('Checking Transaction Log'!$E:$E,'Checking Transaction Log'!$C:$C,"&gt;="&amp;U1,'Checking Transaction Log'!$C:$C,"&lt;="&amp;V1,'Checking Transaction Log'!$A:$A,"D",'Checking Transaction Log'!$B:$B,6)</f>
        <v>707.57999999999993</v>
      </c>
      <c r="V10" s="273">
        <f t="shared" si="9"/>
        <v>192.42000000000007</v>
      </c>
      <c r="W10" s="236">
        <f>SUMIFS('Checking Transaction Log'!$E:$E,'Checking Transaction Log'!$C:$C,"&gt;="&amp;W1,'Checking Transaction Log'!$C:$C,"&lt;="&amp;X1,'Checking Transaction Log'!$A:$A,"D",'Checking Transaction Log'!$B:$B,6)</f>
        <v>777.34</v>
      </c>
      <c r="X10" s="236">
        <f t="shared" si="10"/>
        <v>122.65999999999997</v>
      </c>
      <c r="Y10" s="276">
        <f>SUMIFS('Checking Transaction Log'!$E:$E,'Checking Transaction Log'!$C:$C,"&gt;="&amp;Y1,'Checking Transaction Log'!$C:$C,"&lt;="&amp;Z1,'Checking Transaction Log'!$A:$A,"D",'Checking Transaction Log'!$B:$B,6)</f>
        <v>1024.6100000000001</v>
      </c>
      <c r="Z10" s="276">
        <f t="shared" si="11"/>
        <v>-124.61000000000013</v>
      </c>
      <c r="AA10" s="278">
        <f>SUMIFS('Checking Transaction Log'!$E:$E,'Checking Transaction Log'!$C:$C,"&gt;="&amp;AA1,'Checking Transaction Log'!$C:$C,"&lt;="&amp;AB1,'Checking Transaction Log'!$A:$A,"D",'Checking Transaction Log'!$B:$B,6)</f>
        <v>1179.75</v>
      </c>
      <c r="AB10" s="278">
        <f t="shared" si="12"/>
        <v>-279.75</v>
      </c>
      <c r="AC10" s="280">
        <f>SUMIFS('Checking Transaction Log'!$E:$E,'Checking Transaction Log'!$C:$C,"&gt;="&amp;AC1,'Checking Transaction Log'!$C:$C,"&lt;="&amp;AD1,'Checking Transaction Log'!$A:$A,"D",'Checking Transaction Log'!$B:$B,6)</f>
        <v>0</v>
      </c>
      <c r="AD10" s="280">
        <f t="shared" si="13"/>
        <v>900</v>
      </c>
      <c r="AE10" s="282">
        <f>SUMIFS('Checking Transaction Log'!$E:$E,'Checking Transaction Log'!$C:$C,"&gt;="&amp;AE1,'Checking Transaction Log'!$C:$C,"&lt;="&amp;AF1,'Checking Transaction Log'!$A:$A,"D",'Checking Transaction Log'!$B:$B,6)</f>
        <v>0</v>
      </c>
      <c r="AF10" s="282">
        <f t="shared" si="14"/>
        <v>900</v>
      </c>
    </row>
    <row r="11" spans="1:32" ht="11.25" customHeight="1" x14ac:dyDescent="0.25">
      <c r="A11" s="284" t="str">
        <f>'Proposed Budget'!A11</f>
        <v>D</v>
      </c>
      <c r="B11" s="255">
        <f>'Proposed Budget'!B11</f>
        <v>7</v>
      </c>
      <c r="C11" s="287" t="str">
        <f>'Proposed Budget'!C11</f>
        <v>Department Stores/Clothes</v>
      </c>
      <c r="D11" s="288">
        <f t="shared" ca="1" si="1"/>
        <v>294.20991029900335</v>
      </c>
      <c r="E11" s="289">
        <f t="shared" si="15"/>
        <v>2911.15</v>
      </c>
      <c r="F11" s="289">
        <f>J11+L11+N11+P11+R11+T11+V11+X11+Z11+AB11</f>
        <v>588.85000000000014</v>
      </c>
      <c r="G11" s="269">
        <f t="shared" si="2"/>
        <v>0.16824285714285714</v>
      </c>
      <c r="H11" s="289">
        <f>'Proposed Budget'!D11</f>
        <v>350</v>
      </c>
      <c r="I11" s="270">
        <f>SUMIFS('Checking Transaction Log'!E:E,'Checking Transaction Log'!C:C,"&gt;="&amp;I1,'Checking Transaction Log'!C:C,"&lt;="&amp;J1,'Checking Transaction Log'!A:A,"D",'Checking Transaction Log'!B:B,7)</f>
        <v>626.04</v>
      </c>
      <c r="J11" s="270">
        <f t="shared" si="3"/>
        <v>-276.03999999999996</v>
      </c>
      <c r="K11" s="232">
        <f>SUMIFS('Checking Transaction Log'!E:E,'Checking Transaction Log'!C:C,"&gt;="&amp;K1,'Checking Transaction Log'!C:C,"&lt;="&amp;L1,'Checking Transaction Log'!A:A,"D",'Checking Transaction Log'!B:B,7)</f>
        <v>670.18</v>
      </c>
      <c r="L11" s="232">
        <f t="shared" si="4"/>
        <v>-320.17999999999995</v>
      </c>
      <c r="M11" s="273">
        <f>SUMIFS('Checking Transaction Log'!$E:$E,'Checking Transaction Log'!$C:$C,"&gt;="&amp;M1,'Checking Transaction Log'!$C:$C,"&lt;="&amp;N1,'Checking Transaction Log'!$A:$A,"D",'Checking Transaction Log'!$B:$B,7)</f>
        <v>221.64999999999998</v>
      </c>
      <c r="N11" s="273">
        <f t="shared" si="5"/>
        <v>128.35000000000002</v>
      </c>
      <c r="O11" s="236">
        <f>SUMIFS('Checking Transaction Log'!$E:$E,'Checking Transaction Log'!$C:$C,"&gt;="&amp;O1,'Checking Transaction Log'!$C:$C,"&lt;="&amp;P1,'Checking Transaction Log'!$A:$A,"D",'Checking Transaction Log'!$B:$B,7)</f>
        <v>269.88</v>
      </c>
      <c r="P11" s="236">
        <f t="shared" si="6"/>
        <v>80.12</v>
      </c>
      <c r="Q11" s="270">
        <f>SUMIFS('Checking Transaction Log'!$E:$E,'Checking Transaction Log'!$C:$C,"&gt;="&amp;Q1,'Checking Transaction Log'!$C:$C,"&lt;="&amp;R1,'Checking Transaction Log'!$A:$A,"D",'Checking Transaction Log'!$B:$B,7)</f>
        <v>376.40999999999997</v>
      </c>
      <c r="R11" s="270">
        <f t="shared" si="7"/>
        <v>-26.409999999999968</v>
      </c>
      <c r="S11" s="232">
        <f>SUMIFS('Checking Transaction Log'!$E:$E,'Checking Transaction Log'!$C:$C,"&gt;="&amp;S1,'Checking Transaction Log'!$C:$C,"&lt;="&amp;T1,'Checking Transaction Log'!$A:$A,"D",'Checking Transaction Log'!$B:$B,7)</f>
        <v>0</v>
      </c>
      <c r="T11" s="232">
        <f t="shared" si="8"/>
        <v>350</v>
      </c>
      <c r="U11" s="273">
        <f>SUMIFS('Checking Transaction Log'!$E:$E,'Checking Transaction Log'!$C:$C,"&gt;="&amp;U1,'Checking Transaction Log'!$C:$C,"&lt;="&amp;V1,'Checking Transaction Log'!$A:$A,"D",'Checking Transaction Log'!$B:$B,7)</f>
        <v>0</v>
      </c>
      <c r="V11" s="273">
        <f t="shared" si="9"/>
        <v>350</v>
      </c>
      <c r="W11" s="236">
        <f>SUMIFS('Checking Transaction Log'!$E:$E,'Checking Transaction Log'!$C:$C,"&gt;="&amp;W1,'Checking Transaction Log'!$C:$C,"&lt;="&amp;X1,'Checking Transaction Log'!$A:$A,"D",'Checking Transaction Log'!$B:$B,7)</f>
        <v>374.35</v>
      </c>
      <c r="X11" s="236">
        <f t="shared" si="10"/>
        <v>-24.350000000000023</v>
      </c>
      <c r="Y11" s="276">
        <f>SUMIFS('Checking Transaction Log'!$E:$E,'Checking Transaction Log'!$C:$C,"&gt;="&amp;Y1,'Checking Transaction Log'!$C:$C,"&lt;="&amp;Z1,'Checking Transaction Log'!$A:$A,"D",'Checking Transaction Log'!$B:$B,7)</f>
        <v>252.07999999999998</v>
      </c>
      <c r="Z11" s="276">
        <f t="shared" si="11"/>
        <v>97.920000000000016</v>
      </c>
      <c r="AA11" s="278">
        <f>SUMIFS('Checking Transaction Log'!$E:$E,'Checking Transaction Log'!$C:$C,"&gt;="&amp;AA1,'Checking Transaction Log'!$C:$C,"&lt;="&amp;AB1,'Checking Transaction Log'!$A:$A,"D",'Checking Transaction Log'!$B:$B,7)</f>
        <v>120.56</v>
      </c>
      <c r="AB11" s="278">
        <f t="shared" si="12"/>
        <v>229.44</v>
      </c>
      <c r="AC11" s="280">
        <f>SUMIFS('Checking Transaction Log'!$E:$E,'Checking Transaction Log'!$C:$C,"&gt;="&amp;AC1,'Checking Transaction Log'!$C:$C,"&lt;="&amp;AD1,'Checking Transaction Log'!$A:$A,"D",'Checking Transaction Log'!$B:$B,7)</f>
        <v>0</v>
      </c>
      <c r="AD11" s="280">
        <f t="shared" si="13"/>
        <v>350</v>
      </c>
      <c r="AE11" s="282">
        <f>SUMIFS('Checking Transaction Log'!$E:$E,'Checking Transaction Log'!$C:$C,"&gt;="&amp;AE1,'Checking Transaction Log'!$C:$C,"&lt;="&amp;AF1,'Checking Transaction Log'!$A:$A,"D",'Checking Transaction Log'!$B:$B,7)</f>
        <v>0</v>
      </c>
      <c r="AF11" s="282">
        <f t="shared" si="14"/>
        <v>350</v>
      </c>
    </row>
    <row r="12" spans="1:32" ht="11.25" customHeight="1" x14ac:dyDescent="0.25">
      <c r="A12" s="284" t="str">
        <f>'Proposed Budget'!A12</f>
        <v>D</v>
      </c>
      <c r="B12" s="255">
        <f>'Proposed Budget'!B12</f>
        <v>8</v>
      </c>
      <c r="C12" s="287" t="str">
        <f>'Proposed Budget'!C12</f>
        <v>Alcohol/Bars</v>
      </c>
      <c r="D12" s="288">
        <f t="shared" ca="1" si="1"/>
        <v>742.56837009966785</v>
      </c>
      <c r="E12" s="289">
        <f t="shared" si="15"/>
        <v>7347.5700000000006</v>
      </c>
      <c r="F12" s="289">
        <f>J12+L12+N12+P12+R12+T12+V12+X12+Z12+AB12</f>
        <v>-347.57000000000011</v>
      </c>
      <c r="G12" s="269">
        <f t="shared" si="2"/>
        <v>-4.9652857142857165E-2</v>
      </c>
      <c r="H12" s="289">
        <f>'Proposed Budget'!D12</f>
        <v>700</v>
      </c>
      <c r="I12" s="270">
        <f>SUMIFS('Checking Transaction Log'!E:E,'Checking Transaction Log'!C:C,"&gt;="&amp;I1,'Checking Transaction Log'!C:C,"&lt;="&amp;J1,'Checking Transaction Log'!A:A,"D",'Checking Transaction Log'!B:B,8)</f>
        <v>683.49</v>
      </c>
      <c r="J12" s="270">
        <f t="shared" si="3"/>
        <v>16.509999999999991</v>
      </c>
      <c r="K12" s="232">
        <f>SUMIFS('Checking Transaction Log'!E:E,'Checking Transaction Log'!C:C,"&gt;="&amp;K1,'Checking Transaction Log'!C:C,"&lt;="&amp;L1,'Checking Transaction Log'!A:A,"D",'Checking Transaction Log'!B:B,8)</f>
        <v>979.71</v>
      </c>
      <c r="L12" s="232">
        <f t="shared" si="4"/>
        <v>-279.71000000000004</v>
      </c>
      <c r="M12" s="273">
        <f>SUMIFS('Checking Transaction Log'!$E:$E,'Checking Transaction Log'!$C:$C,"&gt;="&amp;M1,'Checking Transaction Log'!$C:$C,"&lt;="&amp;N1,'Checking Transaction Log'!$A:$A,"D",'Checking Transaction Log'!$B:$B,8)</f>
        <v>640.42000000000019</v>
      </c>
      <c r="N12" s="273">
        <f t="shared" si="5"/>
        <v>59.579999999999814</v>
      </c>
      <c r="O12" s="236">
        <f>SUMIFS('Checking Transaction Log'!$E:$E,'Checking Transaction Log'!$C:$C,"&gt;="&amp;O1,'Checking Transaction Log'!$C:$C,"&lt;="&amp;P1,'Checking Transaction Log'!$A:$A,"D",'Checking Transaction Log'!$B:$B,8)</f>
        <v>654.00999999999988</v>
      </c>
      <c r="P12" s="236">
        <f t="shared" si="6"/>
        <v>45.990000000000123</v>
      </c>
      <c r="Q12" s="270">
        <f>SUMIFS('Checking Transaction Log'!$E:$E,'Checking Transaction Log'!$C:$C,"&gt;="&amp;Q1,'Checking Transaction Log'!$C:$C,"&lt;="&amp;R1,'Checking Transaction Log'!$A:$A,"D",'Checking Transaction Log'!$B:$B,8)</f>
        <v>972.26</v>
      </c>
      <c r="R12" s="270">
        <f t="shared" si="7"/>
        <v>-272.26</v>
      </c>
      <c r="S12" s="232">
        <f>SUMIFS('Checking Transaction Log'!$E:$E,'Checking Transaction Log'!$C:$C,"&gt;="&amp;S1,'Checking Transaction Log'!$C:$C,"&lt;="&amp;T1,'Checking Transaction Log'!$A:$A,"D",'Checking Transaction Log'!$B:$B,8)</f>
        <v>617.53</v>
      </c>
      <c r="T12" s="232">
        <f t="shared" si="8"/>
        <v>82.470000000000027</v>
      </c>
      <c r="U12" s="273">
        <f>SUMIFS('Checking Transaction Log'!$E:$E,'Checking Transaction Log'!$C:$C,"&gt;="&amp;U1,'Checking Transaction Log'!$C:$C,"&lt;="&amp;V1,'Checking Transaction Log'!$A:$A,"D",'Checking Transaction Log'!$B:$B,8)</f>
        <v>925.9799999999999</v>
      </c>
      <c r="V12" s="273">
        <f t="shared" si="9"/>
        <v>-225.9799999999999</v>
      </c>
      <c r="W12" s="236">
        <f>SUMIFS('Checking Transaction Log'!$E:$E,'Checking Transaction Log'!$C:$C,"&gt;="&amp;W1,'Checking Transaction Log'!$C:$C,"&lt;="&amp;X1,'Checking Transaction Log'!$A:$A,"D",'Checking Transaction Log'!$B:$B,8)</f>
        <v>796.96</v>
      </c>
      <c r="X12" s="236">
        <f t="shared" si="10"/>
        <v>-96.960000000000036</v>
      </c>
      <c r="Y12" s="276">
        <f>SUMIFS('Checking Transaction Log'!$E:$E,'Checking Transaction Log'!$C:$C,"&gt;="&amp;Y1,'Checking Transaction Log'!$C:$C,"&lt;="&amp;Z1,'Checking Transaction Log'!$A:$A,"D",'Checking Transaction Log'!$B:$B,8)</f>
        <v>464.71000000000009</v>
      </c>
      <c r="Z12" s="276">
        <f t="shared" si="11"/>
        <v>235.28999999999991</v>
      </c>
      <c r="AA12" s="278">
        <f>SUMIFS('Checking Transaction Log'!$E:$E,'Checking Transaction Log'!$C:$C,"&gt;="&amp;AA1,'Checking Transaction Log'!$C:$C,"&lt;="&amp;AB1,'Checking Transaction Log'!$A:$A,"D",'Checking Transaction Log'!$B:$B,8)</f>
        <v>612.5</v>
      </c>
      <c r="AB12" s="278">
        <f t="shared" si="12"/>
        <v>87.5</v>
      </c>
      <c r="AC12" s="280">
        <f>SUMIFS('Checking Transaction Log'!$E:$E,'Checking Transaction Log'!$C:$C,"&gt;="&amp;AC1,'Checking Transaction Log'!$C:$C,"&lt;="&amp;AD1,'Checking Transaction Log'!$A:$A,"D",'Checking Transaction Log'!$B:$B,8)</f>
        <v>0</v>
      </c>
      <c r="AD12" s="280">
        <f t="shared" si="13"/>
        <v>700</v>
      </c>
      <c r="AE12" s="282">
        <f>SUMIFS('Checking Transaction Log'!$E:$E,'Checking Transaction Log'!$C:$C,"&gt;="&amp;AE1,'Checking Transaction Log'!$C:$C,"&lt;="&amp;AF1,'Checking Transaction Log'!$A:$A,"D",'Checking Transaction Log'!$B:$B,8)</f>
        <v>0</v>
      </c>
      <c r="AF12" s="282">
        <f t="shared" si="14"/>
        <v>700</v>
      </c>
    </row>
    <row r="13" spans="1:32" ht="11.25" customHeight="1" x14ac:dyDescent="0.25">
      <c r="A13" s="284"/>
      <c r="B13" s="255"/>
      <c r="C13" s="287"/>
      <c r="D13" s="288"/>
      <c r="E13" s="290"/>
      <c r="F13" s="290"/>
      <c r="G13" s="269"/>
      <c r="H13" s="289"/>
      <c r="I13" s="270"/>
      <c r="J13" s="270"/>
      <c r="K13" s="232"/>
      <c r="L13" s="232"/>
      <c r="M13" s="273"/>
      <c r="N13" s="273"/>
      <c r="O13" s="236"/>
      <c r="P13" s="236"/>
      <c r="Q13" s="270"/>
      <c r="R13" s="270"/>
      <c r="S13" s="232"/>
      <c r="T13" s="232"/>
      <c r="U13" s="273"/>
      <c r="V13" s="273"/>
      <c r="W13" s="236"/>
      <c r="X13" s="236"/>
      <c r="Y13" s="276"/>
      <c r="Z13" s="276"/>
      <c r="AA13" s="278"/>
      <c r="AB13" s="278"/>
      <c r="AC13" s="280"/>
      <c r="AD13" s="280"/>
      <c r="AE13" s="282"/>
      <c r="AF13" s="282"/>
    </row>
    <row r="14" spans="1:32" ht="11.25" customHeight="1" x14ac:dyDescent="0.25">
      <c r="A14" s="284" t="str">
        <f>'Proposed Budget'!A14</f>
        <v>F</v>
      </c>
      <c r="B14" s="255">
        <f>'Proposed Budget'!B14</f>
        <v>9</v>
      </c>
      <c r="C14" s="287" t="str">
        <f>'Proposed Budget'!C14</f>
        <v>Rocket Mortgage</v>
      </c>
      <c r="D14" s="288">
        <f t="shared" ref="D14:D31" ca="1" si="16">(E14/(TODAY()-$I$1))*30.42</f>
        <v>1264.926259136213</v>
      </c>
      <c r="E14" s="289">
        <f t="shared" ref="E14:E31" si="17">Q14+S14+U14+W14+Y14+AA14+AC14+AE14+I14+K14+M14+O14</f>
        <v>12516.200000000003</v>
      </c>
      <c r="F14" s="289">
        <f>J14+L14+N14+P14+R14+T14+V14+X14+Z14+AB14</f>
        <v>333.79999999999973</v>
      </c>
      <c r="G14" s="269">
        <f t="shared" ref="G14:G31" si="18">1-((E14/SUM(E14:F14)))</f>
        <v>2.5976653696498042E-2</v>
      </c>
      <c r="H14" s="289">
        <f>'Proposed Budget'!D14</f>
        <v>1285</v>
      </c>
      <c r="I14" s="270">
        <f>SUMIFS('Checking Transaction Log'!E:E,'Checking Transaction Log'!C:C,"&gt;="&amp;I1,'Checking Transaction Log'!C:C,"&lt;="&amp;J1,'Checking Transaction Log'!A:A,"F",'Checking Transaction Log'!B:B,9)</f>
        <v>1281.53</v>
      </c>
      <c r="J14" s="270">
        <f t="shared" ref="J14:J31" si="19">H14-I14</f>
        <v>3.4700000000000273</v>
      </c>
      <c r="K14" s="232">
        <f>SUMIFS('Checking Transaction Log'!E:E,'Checking Transaction Log'!C:C,"&gt;="&amp;K1,'Checking Transaction Log'!C:C,"&lt;="&amp;L1,'Checking Transaction Log'!A:A,"F",'Checking Transaction Log'!B:B,9)</f>
        <v>1281.53</v>
      </c>
      <c r="L14" s="232">
        <f t="shared" ref="L14:L31" si="20">H14-K14</f>
        <v>3.4700000000000273</v>
      </c>
      <c r="M14" s="273">
        <f>SUMIFS('Checking Transaction Log'!$E:$E,'Checking Transaction Log'!$C:$C,"&gt;="&amp;M1,'Checking Transaction Log'!$C:$C,"&lt;="&amp;N1,'Checking Transaction Log'!$A:$A,"F",'Checking Transaction Log'!$B:$B,9)</f>
        <v>1281.53</v>
      </c>
      <c r="N14" s="273">
        <f t="shared" ref="N14:N31" si="21">H14-M14</f>
        <v>3.4700000000000273</v>
      </c>
      <c r="O14" s="236">
        <f>SUMIFS('Checking Transaction Log'!$E:$E,'Checking Transaction Log'!$C:$C,"&gt;="&amp;O1,'Checking Transaction Log'!$C:$C,"&lt;="&amp;P1,'Checking Transaction Log'!$A:$A,"F",'Checking Transaction Log'!$B:$B,9)</f>
        <v>1281.53</v>
      </c>
      <c r="P14" s="236">
        <f t="shared" ref="P14:P31" si="22">H14-O14</f>
        <v>3.4700000000000273</v>
      </c>
      <c r="Q14" s="270">
        <f>SUMIFS('Checking Transaction Log'!$E:$E,'Checking Transaction Log'!$C:$C,"&gt;="&amp;Q1,'Checking Transaction Log'!$C:$C,"&lt;="&amp;R1,'Checking Transaction Log'!$A:$A,"F",'Checking Transaction Log'!$B:$B,9)</f>
        <v>1231.68</v>
      </c>
      <c r="R14" s="270">
        <f t="shared" ref="R14:R31" si="23">H14-Q14</f>
        <v>53.319999999999936</v>
      </c>
      <c r="S14" s="232">
        <f>SUMIFS('Checking Transaction Log'!$E:$E,'Checking Transaction Log'!$C:$C,"&gt;="&amp;S1,'Checking Transaction Log'!$C:$C,"&lt;="&amp;T1,'Checking Transaction Log'!$A:$A,"F",'Checking Transaction Log'!$B:$B,9)</f>
        <v>1231.68</v>
      </c>
      <c r="T14" s="232">
        <f t="shared" ref="T14:T31" si="24">H14-S14</f>
        <v>53.319999999999936</v>
      </c>
      <c r="U14" s="273">
        <f>SUMIFS('Checking Transaction Log'!$E:$E,'Checking Transaction Log'!$C:$C,"&gt;="&amp;U1,'Checking Transaction Log'!$C:$C,"&lt;="&amp;V1,'Checking Transaction Log'!$A:$A,"F",'Checking Transaction Log'!$B:$B,9)</f>
        <v>1231.68</v>
      </c>
      <c r="V14" s="273">
        <f t="shared" ref="V14:V31" si="25">H14-U14</f>
        <v>53.319999999999936</v>
      </c>
      <c r="W14" s="236">
        <f>SUMIFS('Checking Transaction Log'!$E:$E,'Checking Transaction Log'!$C:$C,"&gt;="&amp;W1,'Checking Transaction Log'!$C:$C,"&lt;="&amp;X1,'Checking Transaction Log'!$A:$A,"F",'Checking Transaction Log'!$B:$B,9)</f>
        <v>1231.68</v>
      </c>
      <c r="X14" s="236">
        <f t="shared" ref="X14:X31" si="26">H14-W14</f>
        <v>53.319999999999936</v>
      </c>
      <c r="Y14" s="276">
        <f>SUMIFS('Checking Transaction Log'!$E:$E,'Checking Transaction Log'!$C:$C,"&gt;="&amp;Y1,'Checking Transaction Log'!$C:$C,"&lt;="&amp;Z1,'Checking Transaction Log'!$A:$A,"F",'Checking Transaction Log'!$B:$B,9)</f>
        <v>1231.68</v>
      </c>
      <c r="Z14" s="276">
        <f t="shared" ref="Z14:Z31" si="27">H14-Y14</f>
        <v>53.319999999999936</v>
      </c>
      <c r="AA14" s="278">
        <f>SUMIFS('Checking Transaction Log'!$E:$E,'Checking Transaction Log'!$C:$C,"&gt;="&amp;AA1,'Checking Transaction Log'!$C:$C,"&lt;="&amp;AB1,'Checking Transaction Log'!$A:$A,"F",'Checking Transaction Log'!$B:$B,9)</f>
        <v>1231.68</v>
      </c>
      <c r="AB14" s="278">
        <f t="shared" ref="AB14:AB31" si="28">H14-AA14</f>
        <v>53.319999999999936</v>
      </c>
      <c r="AC14" s="280">
        <f>SUMIFS('Checking Transaction Log'!$E:$E,'Checking Transaction Log'!$C:$C,"&gt;="&amp;AC1,'Checking Transaction Log'!$C:$C,"&lt;="&amp;AD1,'Checking Transaction Log'!$A:$A,"F",'Checking Transaction Log'!$B:$B,9)</f>
        <v>0</v>
      </c>
      <c r="AD14" s="280">
        <f t="shared" ref="AD14:AD31" si="29">H14-AC14</f>
        <v>1285</v>
      </c>
      <c r="AE14" s="282">
        <f>SUMIFS('Checking Transaction Log'!$E:$E,'Checking Transaction Log'!$C:$C,"&gt;="&amp;AE1,'Checking Transaction Log'!$C:$C,"&lt;="&amp;AF1,'Checking Transaction Log'!$A:$A,"F",'Checking Transaction Log'!$B:$B,9)</f>
        <v>0</v>
      </c>
      <c r="AF14" s="282">
        <f t="shared" ref="AF14:AF31" si="30">H14-AE14</f>
        <v>1285</v>
      </c>
    </row>
    <row r="15" spans="1:32" ht="11.25" customHeight="1" x14ac:dyDescent="0.25">
      <c r="A15" s="284" t="str">
        <f>'Proposed Budget'!A15</f>
        <v>F</v>
      </c>
      <c r="B15" s="255">
        <f>'Proposed Budget'!B15</f>
        <v>10</v>
      </c>
      <c r="C15" s="287" t="str">
        <f>'Proposed Budget'!C15</f>
        <v>EH Roberts</v>
      </c>
      <c r="D15" s="288">
        <f t="shared" ca="1" si="16"/>
        <v>16.281269102990034</v>
      </c>
      <c r="E15" s="289">
        <f t="shared" si="17"/>
        <v>161.10000000000002</v>
      </c>
      <c r="F15" s="289">
        <f>J15+L15+N15+P15+R15+T15+V15+X15+Z15+AB15</f>
        <v>38.900000000000013</v>
      </c>
      <c r="G15" s="269">
        <f t="shared" si="18"/>
        <v>0.19450000000000001</v>
      </c>
      <c r="H15" s="289">
        <f>'Proposed Budget'!D15</f>
        <v>20</v>
      </c>
      <c r="I15" s="270">
        <f>SUMIFS('Checking Transaction Log'!E:E,'Checking Transaction Log'!C:C,"&gt;="&amp;I1,'Checking Transaction Log'!C:C,"&lt;="&amp;J1,'Checking Transaction Log'!A:A,"F",'Checking Transaction Log'!B:B,10)</f>
        <v>17.899999999999999</v>
      </c>
      <c r="J15" s="270">
        <f t="shared" si="19"/>
        <v>2.1000000000000014</v>
      </c>
      <c r="K15" s="232">
        <f>SUMIFS('Checking Transaction Log'!E:E,'Checking Transaction Log'!C:C,"&gt;="&amp;K1,'Checking Transaction Log'!C:C,"&lt;="&amp;L1,'Checking Transaction Log'!A:A,"F",'Checking Transaction Log'!B:B,10)</f>
        <v>17.899999999999999</v>
      </c>
      <c r="L15" s="232">
        <f t="shared" si="20"/>
        <v>2.1000000000000014</v>
      </c>
      <c r="M15" s="273">
        <f>SUMIFS('Checking Transaction Log'!$E:$E,'Checking Transaction Log'!$C:$C,"&gt;="&amp;M1,'Checking Transaction Log'!$C:$C,"&lt;="&amp;N1,'Checking Transaction Log'!$A:$A,"F",'Checking Transaction Log'!$B:$B,10)</f>
        <v>17.899999999999999</v>
      </c>
      <c r="N15" s="273">
        <f t="shared" si="21"/>
        <v>2.1000000000000014</v>
      </c>
      <c r="O15" s="236">
        <f>SUMIFS('Checking Transaction Log'!$E:$E,'Checking Transaction Log'!$C:$C,"&gt;="&amp;O1,'Checking Transaction Log'!$C:$C,"&lt;="&amp;P1,'Checking Transaction Log'!$A:$A,"F",'Checking Transaction Log'!$B:$B,10)</f>
        <v>17.899999999999999</v>
      </c>
      <c r="P15" s="236">
        <f t="shared" si="22"/>
        <v>2.1000000000000014</v>
      </c>
      <c r="Q15" s="270">
        <f>SUMIFS('Checking Transaction Log'!$E:$E,'Checking Transaction Log'!$C:$C,"&gt;="&amp;Q1,'Checking Transaction Log'!$C:$C,"&lt;="&amp;R1,'Checking Transaction Log'!$A:$A,"F",'Checking Transaction Log'!$B:$B,10)</f>
        <v>17.899999999999999</v>
      </c>
      <c r="R15" s="270">
        <f t="shared" si="23"/>
        <v>2.1000000000000014</v>
      </c>
      <c r="S15" s="232">
        <f>SUMIFS('Checking Transaction Log'!$E:$E,'Checking Transaction Log'!$C:$C,"&gt;="&amp;S1,'Checking Transaction Log'!$C:$C,"&lt;="&amp;T1,'Checking Transaction Log'!$A:$A,"F",'Checking Transaction Log'!$B:$B,10)</f>
        <v>17.899999999999999</v>
      </c>
      <c r="T15" s="232">
        <f t="shared" si="24"/>
        <v>2.1000000000000014</v>
      </c>
      <c r="U15" s="273">
        <f>SUMIFS('Checking Transaction Log'!$E:$E,'Checking Transaction Log'!$C:$C,"&gt;="&amp;U1,'Checking Transaction Log'!$C:$C,"&lt;="&amp;V1,'Checking Transaction Log'!$A:$A,"F",'Checking Transaction Log'!$B:$B,10)</f>
        <v>17.899999999999999</v>
      </c>
      <c r="V15" s="273">
        <f t="shared" si="25"/>
        <v>2.1000000000000014</v>
      </c>
      <c r="W15" s="236">
        <f>SUMIFS('Checking Transaction Log'!$E:$E,'Checking Transaction Log'!$C:$C,"&gt;="&amp;W1,'Checking Transaction Log'!$C:$C,"&lt;="&amp;X1,'Checking Transaction Log'!$A:$A,"F",'Checking Transaction Log'!$B:$B,10)</f>
        <v>17.899999999999999</v>
      </c>
      <c r="X15" s="236">
        <f t="shared" si="26"/>
        <v>2.1000000000000014</v>
      </c>
      <c r="Y15" s="276">
        <f>SUMIFS('Checking Transaction Log'!$E:$E,'Checking Transaction Log'!$C:$C,"&gt;="&amp;Y1,'Checking Transaction Log'!$C:$C,"&lt;="&amp;Z1,'Checking Transaction Log'!$A:$A,"F",'Checking Transaction Log'!$B:$B,10)</f>
        <v>17.899999999999999</v>
      </c>
      <c r="Z15" s="276">
        <f t="shared" si="27"/>
        <v>2.1000000000000014</v>
      </c>
      <c r="AA15" s="278">
        <f>SUMIFS('Checking Transaction Log'!$E:$E,'Checking Transaction Log'!$C:$C,"&gt;="&amp;AA1,'Checking Transaction Log'!$C:$C,"&lt;="&amp;AB1,'Checking Transaction Log'!$A:$A,"F",'Checking Transaction Log'!$B:$B,10)</f>
        <v>0</v>
      </c>
      <c r="AB15" s="278">
        <f t="shared" si="28"/>
        <v>20</v>
      </c>
      <c r="AC15" s="280">
        <f>SUMIFS('Checking Transaction Log'!$E:$E,'Checking Transaction Log'!$C:$C,"&gt;="&amp;AC1,'Checking Transaction Log'!$C:$C,"&lt;="&amp;AD1,'Checking Transaction Log'!$A:$A,"F",'Checking Transaction Log'!$B:$B,10)</f>
        <v>0</v>
      </c>
      <c r="AD15" s="280">
        <f t="shared" si="29"/>
        <v>20</v>
      </c>
      <c r="AE15" s="282">
        <f>SUMIFS('Checking Transaction Log'!$E:$E,'Checking Transaction Log'!$C:$C,"&gt;="&amp;AE1,'Checking Transaction Log'!$C:$C,"&lt;="&amp;AF1,'Checking Transaction Log'!$A:$A,"F",'Checking Transaction Log'!$B:$B,10)</f>
        <v>0</v>
      </c>
      <c r="AF15" s="282">
        <f t="shared" si="30"/>
        <v>20</v>
      </c>
    </row>
    <row r="16" spans="1:32" ht="11.25" customHeight="1" x14ac:dyDescent="0.25">
      <c r="A16" s="284" t="str">
        <f>'Proposed Budget'!A16</f>
        <v>F</v>
      </c>
      <c r="B16" s="255">
        <f>'Proposed Budget'!B16</f>
        <v>11</v>
      </c>
      <c r="C16" s="287" t="str">
        <f>'Proposed Budget'!C16</f>
        <v>Verizon Wireless</v>
      </c>
      <c r="D16" s="288">
        <f t="shared" ca="1" si="16"/>
        <v>287.75500863787374</v>
      </c>
      <c r="E16" s="289">
        <f t="shared" si="17"/>
        <v>2847.2799999999997</v>
      </c>
      <c r="F16" s="289">
        <f>J16+L16+N16+P16+R16+T16+V16+X16+Z16+AB16</f>
        <v>-147.27999999999997</v>
      </c>
      <c r="G16" s="269">
        <f t="shared" si="18"/>
        <v>-5.4548148148148012E-2</v>
      </c>
      <c r="H16" s="289">
        <f>'Proposed Budget'!D16</f>
        <v>270</v>
      </c>
      <c r="I16" s="270">
        <f>SUMIFS('Checking Transaction Log'!E:E,'Checking Transaction Log'!C:C,"&gt;="&amp;I1,'Checking Transaction Log'!C:C,"&lt;="&amp;J1,'Checking Transaction Log'!A:A,"F",'Checking Transaction Log'!B:B,11)</f>
        <v>267.95999999999998</v>
      </c>
      <c r="J16" s="270">
        <f t="shared" si="19"/>
        <v>2.0400000000000205</v>
      </c>
      <c r="K16" s="232">
        <f>SUMIFS('Checking Transaction Log'!E:E,'Checking Transaction Log'!C:C,"&gt;="&amp;K1,'Checking Transaction Log'!C:C,"&lt;="&amp;L1,'Checking Transaction Log'!A:A,"F",'Checking Transaction Log'!B:B,11)</f>
        <v>480.91</v>
      </c>
      <c r="L16" s="232">
        <f t="shared" si="20"/>
        <v>-210.91000000000003</v>
      </c>
      <c r="M16" s="273">
        <f>SUMIFS('Checking Transaction Log'!$E:$E,'Checking Transaction Log'!$C:$C,"&gt;="&amp;M1,'Checking Transaction Log'!$C:$C,"&lt;="&amp;N1,'Checking Transaction Log'!$A:$A,"F",'Checking Transaction Log'!$B:$B,11)</f>
        <v>267.91000000000003</v>
      </c>
      <c r="N16" s="273">
        <f t="shared" si="21"/>
        <v>2.089999999999975</v>
      </c>
      <c r="O16" s="236">
        <f>SUMIFS('Checking Transaction Log'!$E:$E,'Checking Transaction Log'!$C:$C,"&gt;="&amp;O1,'Checking Transaction Log'!$C:$C,"&lt;="&amp;P1,'Checking Transaction Log'!$A:$A,"F",'Checking Transaction Log'!$B:$B,11)</f>
        <v>267.91000000000003</v>
      </c>
      <c r="P16" s="236">
        <f t="shared" si="22"/>
        <v>2.089999999999975</v>
      </c>
      <c r="Q16" s="270">
        <f>SUMIFS('Checking Transaction Log'!$E:$E,'Checking Transaction Log'!$C:$C,"&gt;="&amp;Q1,'Checking Transaction Log'!$C:$C,"&lt;="&amp;R1,'Checking Transaction Log'!$A:$A,"F",'Checking Transaction Log'!$B:$B,11)</f>
        <v>267.68</v>
      </c>
      <c r="R16" s="270">
        <f t="shared" si="23"/>
        <v>2.3199999999999932</v>
      </c>
      <c r="S16" s="232">
        <f>SUMIFS('Checking Transaction Log'!$E:$E,'Checking Transaction Log'!$C:$C,"&gt;="&amp;S1,'Checking Transaction Log'!$C:$C,"&lt;="&amp;T1,'Checking Transaction Log'!$A:$A,"F",'Checking Transaction Log'!$B:$B,11)</f>
        <v>267.75</v>
      </c>
      <c r="T16" s="232">
        <f t="shared" si="24"/>
        <v>2.25</v>
      </c>
      <c r="U16" s="273">
        <f>SUMIFS('Checking Transaction Log'!$E:$E,'Checking Transaction Log'!$C:$C,"&gt;="&amp;U1,'Checking Transaction Log'!$C:$C,"&lt;="&amp;V1,'Checking Transaction Log'!$A:$A,"F",'Checking Transaction Log'!$B:$B,11)</f>
        <v>256.64</v>
      </c>
      <c r="V16" s="273">
        <f t="shared" si="25"/>
        <v>13.360000000000014</v>
      </c>
      <c r="W16" s="236">
        <f>SUMIFS('Checking Transaction Log'!$E:$E,'Checking Transaction Log'!$C:$C,"&gt;="&amp;W1,'Checking Transaction Log'!$C:$C,"&lt;="&amp;X1,'Checking Transaction Log'!$A:$A,"F",'Checking Transaction Log'!$B:$B,11)</f>
        <v>256.83999999999997</v>
      </c>
      <c r="X16" s="236">
        <f t="shared" si="26"/>
        <v>13.160000000000025</v>
      </c>
      <c r="Y16" s="276">
        <f>SUMIFS('Checking Transaction Log'!$E:$E,'Checking Transaction Log'!$C:$C,"&gt;="&amp;Y1,'Checking Transaction Log'!$C:$C,"&lt;="&amp;Z1,'Checking Transaction Log'!$A:$A,"F",'Checking Transaction Log'!$B:$B,11)</f>
        <v>256.83999999999997</v>
      </c>
      <c r="Z16" s="276">
        <f t="shared" si="27"/>
        <v>13.160000000000025</v>
      </c>
      <c r="AA16" s="278">
        <f>SUMIFS('Checking Transaction Log'!$E:$E,'Checking Transaction Log'!$C:$C,"&gt;="&amp;AA1,'Checking Transaction Log'!$C:$C,"&lt;="&amp;AB1,'Checking Transaction Log'!$A:$A,"F",'Checking Transaction Log'!$B:$B,11)</f>
        <v>256.83999999999997</v>
      </c>
      <c r="AB16" s="278">
        <f t="shared" si="28"/>
        <v>13.160000000000025</v>
      </c>
      <c r="AC16" s="280">
        <f>SUMIFS('Checking Transaction Log'!$E:$E,'Checking Transaction Log'!$C:$C,"&gt;="&amp;AC1,'Checking Transaction Log'!$C:$C,"&lt;="&amp;AD1,'Checking Transaction Log'!$A:$A,"F",'Checking Transaction Log'!$B:$B,11)</f>
        <v>0</v>
      </c>
      <c r="AD16" s="280">
        <f t="shared" si="29"/>
        <v>270</v>
      </c>
      <c r="AE16" s="282">
        <f>SUMIFS('Checking Transaction Log'!$E:$E,'Checking Transaction Log'!$C:$C,"&gt;="&amp;AE1,'Checking Transaction Log'!$C:$C,"&lt;="&amp;AF1,'Checking Transaction Log'!$A:$A,"F",'Checking Transaction Log'!$B:$B,11)</f>
        <v>0</v>
      </c>
      <c r="AF16" s="282">
        <f t="shared" si="30"/>
        <v>270</v>
      </c>
    </row>
    <row r="17" spans="1:32" ht="11.25" customHeight="1" x14ac:dyDescent="0.25">
      <c r="A17" s="284" t="str">
        <f>'Proposed Budget'!A17</f>
        <v>F</v>
      </c>
      <c r="B17" s="255">
        <f>'Proposed Budget'!B17</f>
        <v>12</v>
      </c>
      <c r="C17" s="287" t="str">
        <f>'Proposed Budget'!C17</f>
        <v>Spectrum TV/Internet</v>
      </c>
      <c r="D17" s="288">
        <f t="shared" ca="1" si="16"/>
        <v>209.79794750830564</v>
      </c>
      <c r="E17" s="289">
        <f t="shared" si="17"/>
        <v>2075.91</v>
      </c>
      <c r="F17" s="289">
        <f>J17+L17+N17+P17+R17+T17+V17+X17+Z17+AB17</f>
        <v>-25.909999999999968</v>
      </c>
      <c r="G17" s="269">
        <f t="shared" si="18"/>
        <v>-1.2639024390243891E-2</v>
      </c>
      <c r="H17" s="289">
        <f>'Proposed Budget'!D17</f>
        <v>205</v>
      </c>
      <c r="I17" s="270">
        <f>SUMIFS('Checking Transaction Log'!E:E,'Checking Transaction Log'!C:C,"&gt;="&amp;I1,'Checking Transaction Log'!C:C,"&lt;="&amp;J1,'Checking Transaction Log'!A:A,"F",'Checking Transaction Log'!B:B,12)</f>
        <v>204.83</v>
      </c>
      <c r="J17" s="270">
        <f t="shared" si="19"/>
        <v>0.16999999999998749</v>
      </c>
      <c r="K17" s="232">
        <f>SUMIFS('Checking Transaction Log'!E:E,'Checking Transaction Log'!C:C,"&gt;="&amp;K1,'Checking Transaction Log'!C:C,"&lt;="&amp;L1,'Checking Transaction Log'!A:A,"F",'Checking Transaction Log'!B:B,12)</f>
        <v>204.47</v>
      </c>
      <c r="L17" s="232">
        <f t="shared" si="20"/>
        <v>0.53000000000000114</v>
      </c>
      <c r="M17" s="273">
        <f>SUMIFS('Checking Transaction Log'!$E:$E,'Checking Transaction Log'!$C:$C,"&gt;="&amp;M1,'Checking Transaction Log'!$C:$C,"&lt;="&amp;N1,'Checking Transaction Log'!$A:$A,"F",'Checking Transaction Log'!$B:$B,12)</f>
        <v>204.47</v>
      </c>
      <c r="N17" s="273">
        <f t="shared" si="21"/>
        <v>0.53000000000000114</v>
      </c>
      <c r="O17" s="236">
        <f>SUMIFS('Checking Transaction Log'!$E:$E,'Checking Transaction Log'!$C:$C,"&gt;="&amp;O1,'Checking Transaction Log'!$C:$C,"&lt;="&amp;P1,'Checking Transaction Log'!$A:$A,"F",'Checking Transaction Log'!$B:$B,12)</f>
        <v>214.74</v>
      </c>
      <c r="P17" s="236">
        <f t="shared" si="22"/>
        <v>-9.7400000000000091</v>
      </c>
      <c r="Q17" s="270">
        <f>SUMIFS('Checking Transaction Log'!$E:$E,'Checking Transaction Log'!$C:$C,"&gt;="&amp;Q1,'Checking Transaction Log'!$C:$C,"&lt;="&amp;R1,'Checking Transaction Log'!$A:$A,"F",'Checking Transaction Log'!$B:$B,12)</f>
        <v>204.48</v>
      </c>
      <c r="R17" s="270">
        <f t="shared" si="23"/>
        <v>0.52000000000001023</v>
      </c>
      <c r="S17" s="232">
        <f>SUMIFS('Checking Transaction Log'!$E:$E,'Checking Transaction Log'!$C:$C,"&gt;="&amp;S1,'Checking Transaction Log'!$C:$C,"&lt;="&amp;T1,'Checking Transaction Log'!$A:$A,"F",'Checking Transaction Log'!$B:$B,12)</f>
        <v>204.48</v>
      </c>
      <c r="T17" s="232">
        <f t="shared" si="24"/>
        <v>0.52000000000001023</v>
      </c>
      <c r="U17" s="273">
        <f>SUMIFS('Checking Transaction Log'!$E:$E,'Checking Transaction Log'!$C:$C,"&gt;="&amp;U1,'Checking Transaction Log'!$C:$C,"&lt;="&amp;V1,'Checking Transaction Log'!$A:$A,"F",'Checking Transaction Log'!$B:$B,12)</f>
        <v>204.48</v>
      </c>
      <c r="V17" s="273">
        <f t="shared" si="25"/>
        <v>0.52000000000001023</v>
      </c>
      <c r="W17" s="236">
        <f>SUMIFS('Checking Transaction Log'!$E:$E,'Checking Transaction Log'!$C:$C,"&gt;="&amp;W1,'Checking Transaction Log'!$C:$C,"&lt;="&amp;X1,'Checking Transaction Log'!$A:$A,"F",'Checking Transaction Log'!$B:$B,12)</f>
        <v>225</v>
      </c>
      <c r="X17" s="236">
        <f t="shared" si="26"/>
        <v>-20</v>
      </c>
      <c r="Y17" s="276">
        <f>SUMIFS('Checking Transaction Log'!$E:$E,'Checking Transaction Log'!$C:$C,"&gt;="&amp;Y1,'Checking Transaction Log'!$C:$C,"&lt;="&amp;Z1,'Checking Transaction Log'!$A:$A,"F",'Checking Transaction Log'!$B:$B,12)</f>
        <v>204.48</v>
      </c>
      <c r="Z17" s="276">
        <f t="shared" si="27"/>
        <v>0.52000000000001023</v>
      </c>
      <c r="AA17" s="278">
        <f>SUMIFS('Checking Transaction Log'!$E:$E,'Checking Transaction Log'!$C:$C,"&gt;="&amp;AA1,'Checking Transaction Log'!$C:$C,"&lt;="&amp;AB1,'Checking Transaction Log'!$A:$A,"F",'Checking Transaction Log'!$B:$B,12)</f>
        <v>204.48</v>
      </c>
      <c r="AB17" s="278">
        <f t="shared" si="28"/>
        <v>0.52000000000001023</v>
      </c>
      <c r="AC17" s="280">
        <f>SUMIFS('Checking Transaction Log'!$E:$E,'Checking Transaction Log'!$C:$C,"&gt;="&amp;AC1,'Checking Transaction Log'!$C:$C,"&lt;="&amp;AD1,'Checking Transaction Log'!$A:$A,"F",'Checking Transaction Log'!$B:$B,12)</f>
        <v>0</v>
      </c>
      <c r="AD17" s="280">
        <f t="shared" si="29"/>
        <v>205</v>
      </c>
      <c r="AE17" s="282">
        <f>SUMIFS('Checking Transaction Log'!$E:$E,'Checking Transaction Log'!$C:$C,"&gt;="&amp;AE1,'Checking Transaction Log'!$C:$C,"&lt;="&amp;AF1,'Checking Transaction Log'!$A:$A,"F",'Checking Transaction Log'!$B:$B,12)</f>
        <v>0</v>
      </c>
      <c r="AF17" s="282">
        <f t="shared" si="30"/>
        <v>205</v>
      </c>
    </row>
    <row r="18" spans="1:32" ht="11.25" customHeight="1" x14ac:dyDescent="0.25">
      <c r="A18" s="284" t="str">
        <f>'Proposed Budget'!A18</f>
        <v>F</v>
      </c>
      <c r="B18" s="255">
        <f>'Proposed Budget'!B18</f>
        <v>13</v>
      </c>
      <c r="C18" s="287" t="str">
        <f>'Proposed Budget'!C18</f>
        <v>First Energy</v>
      </c>
      <c r="D18" s="288">
        <f t="shared" ca="1" si="16"/>
        <v>208.79338006644517</v>
      </c>
      <c r="E18" s="289">
        <f t="shared" si="17"/>
        <v>2065.9699999999998</v>
      </c>
      <c r="F18" s="289">
        <f>J18+L18+N18+P18+R18+T18+V18+X18+Z18+AB18</f>
        <v>-265.97000000000003</v>
      </c>
      <c r="G18" s="269">
        <f t="shared" si="18"/>
        <v>-0.14776111111111123</v>
      </c>
      <c r="H18" s="289">
        <f>'Proposed Budget'!D18</f>
        <v>180</v>
      </c>
      <c r="I18" s="270">
        <f>SUMIFS('Checking Transaction Log'!E:E,'Checking Transaction Log'!C:C,"&gt;="&amp;I1,'Checking Transaction Log'!C:C,"&lt;="&amp;J1,'Checking Transaction Log'!A:A,"F",'Checking Transaction Log'!B:B,13)</f>
        <v>167.42</v>
      </c>
      <c r="J18" s="270">
        <f t="shared" si="19"/>
        <v>12.580000000000013</v>
      </c>
      <c r="K18" s="232">
        <f>SUMIFS('Checking Transaction Log'!E:E,'Checking Transaction Log'!C:C,"&gt;="&amp;K1,'Checking Transaction Log'!C:C,"&lt;="&amp;L1,'Checking Transaction Log'!A:A,"F",'Checking Transaction Log'!B:B,13)</f>
        <v>159.35</v>
      </c>
      <c r="L18" s="232">
        <f t="shared" si="20"/>
        <v>20.650000000000006</v>
      </c>
      <c r="M18" s="273">
        <f>SUMIFS('Checking Transaction Log'!$E:$E,'Checking Transaction Log'!$C:$C,"&gt;="&amp;M1,'Checking Transaction Log'!$C:$C,"&lt;="&amp;N1,'Checking Transaction Log'!$A:$A,"F",'Checking Transaction Log'!$B:$B,13)</f>
        <v>134.93</v>
      </c>
      <c r="N18" s="273">
        <f t="shared" si="21"/>
        <v>45.069999999999993</v>
      </c>
      <c r="O18" s="236">
        <f>SUMIFS('Checking Transaction Log'!$E:$E,'Checking Transaction Log'!$C:$C,"&gt;="&amp;O1,'Checking Transaction Log'!$C:$C,"&lt;="&amp;P1,'Checking Transaction Log'!$A:$A,"F",'Checking Transaction Log'!$B:$B,13)</f>
        <v>104.98</v>
      </c>
      <c r="P18" s="236">
        <f t="shared" si="22"/>
        <v>75.02</v>
      </c>
      <c r="Q18" s="270">
        <f>SUMIFS('Checking Transaction Log'!$E:$E,'Checking Transaction Log'!$C:$C,"&gt;="&amp;Q1,'Checking Transaction Log'!$C:$C,"&lt;="&amp;R1,'Checking Transaction Log'!$A:$A,"F",'Checking Transaction Log'!$B:$B,13)</f>
        <v>122.18</v>
      </c>
      <c r="R18" s="270">
        <f t="shared" si="23"/>
        <v>57.819999999999993</v>
      </c>
      <c r="S18" s="232">
        <f>SUMIFS('Checking Transaction Log'!$E:$E,'Checking Transaction Log'!$C:$C,"&gt;="&amp;S1,'Checking Transaction Log'!$C:$C,"&lt;="&amp;T1,'Checking Transaction Log'!$A:$A,"F",'Checking Transaction Log'!$B:$B,13)</f>
        <v>122.46</v>
      </c>
      <c r="T18" s="232">
        <f t="shared" si="24"/>
        <v>57.540000000000006</v>
      </c>
      <c r="U18" s="273">
        <f>SUMIFS('Checking Transaction Log'!$E:$E,'Checking Transaction Log'!$C:$C,"&gt;="&amp;U1,'Checking Transaction Log'!$C:$C,"&lt;="&amp;V1,'Checking Transaction Log'!$A:$A,"F",'Checking Transaction Log'!$B:$B,13)</f>
        <v>218.33</v>
      </c>
      <c r="V18" s="273">
        <f t="shared" si="25"/>
        <v>-38.330000000000013</v>
      </c>
      <c r="W18" s="236">
        <f>SUMIFS('Checking Transaction Log'!$E:$E,'Checking Transaction Log'!$C:$C,"&gt;="&amp;W1,'Checking Transaction Log'!$C:$C,"&lt;="&amp;X1,'Checking Transaction Log'!$A:$A,"F",'Checking Transaction Log'!$B:$B,13)</f>
        <v>331.81</v>
      </c>
      <c r="X18" s="236">
        <f t="shared" si="26"/>
        <v>-151.81</v>
      </c>
      <c r="Y18" s="276">
        <f>SUMIFS('Checking Transaction Log'!$E:$E,'Checking Transaction Log'!$C:$C,"&gt;="&amp;Y1,'Checking Transaction Log'!$C:$C,"&lt;="&amp;Z1,'Checking Transaction Log'!$A:$A,"F",'Checking Transaction Log'!$B:$B,13)</f>
        <v>344.23</v>
      </c>
      <c r="Z18" s="276">
        <f t="shared" si="27"/>
        <v>-164.23000000000002</v>
      </c>
      <c r="AA18" s="278">
        <f>SUMIFS('Checking Transaction Log'!$E:$E,'Checking Transaction Log'!$C:$C,"&gt;="&amp;AA1,'Checking Transaction Log'!$C:$C,"&lt;="&amp;AB1,'Checking Transaction Log'!$A:$A,"F",'Checking Transaction Log'!$B:$B,13)</f>
        <v>360.28</v>
      </c>
      <c r="AB18" s="278">
        <f t="shared" si="28"/>
        <v>-180.27999999999997</v>
      </c>
      <c r="AC18" s="280">
        <f>SUMIFS('Checking Transaction Log'!$E:$E,'Checking Transaction Log'!$C:$C,"&gt;="&amp;AC1,'Checking Transaction Log'!$C:$C,"&lt;="&amp;AD1,'Checking Transaction Log'!$A:$A,"F",'Checking Transaction Log'!$B:$B,13)</f>
        <v>0</v>
      </c>
      <c r="AD18" s="280">
        <f t="shared" si="29"/>
        <v>180</v>
      </c>
      <c r="AE18" s="282">
        <f>SUMIFS('Checking Transaction Log'!$E:$E,'Checking Transaction Log'!$C:$C,"&gt;="&amp;AE1,'Checking Transaction Log'!$C:$C,"&lt;="&amp;AF1,'Checking Transaction Log'!$A:$A,"F",'Checking Transaction Log'!$B:$B,13)</f>
        <v>0</v>
      </c>
      <c r="AF18" s="282">
        <f t="shared" si="30"/>
        <v>180</v>
      </c>
    </row>
    <row r="19" spans="1:32" ht="11.25" customHeight="1" x14ac:dyDescent="0.25">
      <c r="A19" s="284" t="str">
        <f>'Proposed Budget'!A19</f>
        <v>F</v>
      </c>
      <c r="B19" s="255">
        <f>'Proposed Budget'!B19</f>
        <v>14</v>
      </c>
      <c r="C19" s="287" t="str">
        <f>'Proposed Budget'!C19</f>
        <v>Vivint Home Security</v>
      </c>
      <c r="D19" s="288">
        <f t="shared" ca="1" si="16"/>
        <v>138.13307641196016</v>
      </c>
      <c r="E19" s="289">
        <f t="shared" si="17"/>
        <v>1366.8000000000002</v>
      </c>
      <c r="F19" s="289">
        <f>J19+L19+N19+P19+R19+T19+V19+X19+Z19+AB19</f>
        <v>33.199999999999903</v>
      </c>
      <c r="G19" s="269">
        <f t="shared" si="18"/>
        <v>2.3714285714285577E-2</v>
      </c>
      <c r="H19" s="289">
        <f>'Proposed Budget'!D19</f>
        <v>140</v>
      </c>
      <c r="I19" s="270">
        <f>SUMIFS('Checking Transaction Log'!E:E,'Checking Transaction Log'!C:C,"&gt;="&amp;I1,'Checking Transaction Log'!C:C,"&lt;="&amp;J1,'Checking Transaction Log'!A:A,"F",'Checking Transaction Log'!B:B,14)</f>
        <v>135.41</v>
      </c>
      <c r="J19" s="270">
        <f t="shared" si="19"/>
        <v>4.5900000000000034</v>
      </c>
      <c r="K19" s="232">
        <f>SUMIFS('Checking Transaction Log'!E:E,'Checking Transaction Log'!C:C,"&gt;="&amp;K1,'Checking Transaction Log'!C:C,"&lt;="&amp;L1,'Checking Transaction Log'!A:A,"F",'Checking Transaction Log'!B:B,14)</f>
        <v>135.41</v>
      </c>
      <c r="L19" s="232">
        <f t="shared" si="20"/>
        <v>4.5900000000000034</v>
      </c>
      <c r="M19" s="273">
        <f>SUMIFS('Checking Transaction Log'!$E:$E,'Checking Transaction Log'!$C:$C,"&gt;="&amp;M1,'Checking Transaction Log'!$C:$C,"&lt;="&amp;N1,'Checking Transaction Log'!$A:$A,"F",'Checking Transaction Log'!$B:$B,14)</f>
        <v>135.41</v>
      </c>
      <c r="N19" s="273">
        <f t="shared" si="21"/>
        <v>4.5900000000000034</v>
      </c>
      <c r="O19" s="236">
        <f>SUMIFS('Checking Transaction Log'!$E:$E,'Checking Transaction Log'!$C:$C,"&gt;="&amp;O1,'Checking Transaction Log'!$C:$C,"&lt;="&amp;P1,'Checking Transaction Log'!$A:$A,"F",'Checking Transaction Log'!$B:$B,14)</f>
        <v>136.92000000000002</v>
      </c>
      <c r="P19" s="236">
        <f t="shared" si="22"/>
        <v>3.0799999999999841</v>
      </c>
      <c r="Q19" s="270">
        <f>SUMIFS('Checking Transaction Log'!$E:$E,'Checking Transaction Log'!$C:$C,"&gt;="&amp;Q1,'Checking Transaction Log'!$C:$C,"&lt;="&amp;R1,'Checking Transaction Log'!$A:$A,"F",'Checking Transaction Log'!$B:$B,14)</f>
        <v>136.92000000000002</v>
      </c>
      <c r="R19" s="270">
        <f t="shared" si="23"/>
        <v>3.0799999999999841</v>
      </c>
      <c r="S19" s="232">
        <f>SUMIFS('Checking Transaction Log'!$E:$E,'Checking Transaction Log'!$C:$C,"&gt;="&amp;S1,'Checking Transaction Log'!$C:$C,"&lt;="&amp;T1,'Checking Transaction Log'!$A:$A,"F",'Checking Transaction Log'!$B:$B,14)</f>
        <v>136.92000000000002</v>
      </c>
      <c r="T19" s="232">
        <f t="shared" si="24"/>
        <v>3.0799999999999841</v>
      </c>
      <c r="U19" s="273">
        <f>SUMIFS('Checking Transaction Log'!$E:$E,'Checking Transaction Log'!$C:$C,"&gt;="&amp;U1,'Checking Transaction Log'!$C:$C,"&lt;="&amp;V1,'Checking Transaction Log'!$A:$A,"F",'Checking Transaction Log'!$B:$B,14)</f>
        <v>136.92000000000002</v>
      </c>
      <c r="V19" s="273">
        <f t="shared" si="25"/>
        <v>3.0799999999999841</v>
      </c>
      <c r="W19" s="236">
        <f>SUMIFS('Checking Transaction Log'!$E:$E,'Checking Transaction Log'!$C:$C,"&gt;="&amp;W1,'Checking Transaction Log'!$C:$C,"&lt;="&amp;X1,'Checking Transaction Log'!$A:$A,"F",'Checking Transaction Log'!$B:$B,14)</f>
        <v>136.92000000000002</v>
      </c>
      <c r="X19" s="236">
        <f t="shared" si="26"/>
        <v>3.0799999999999841</v>
      </c>
      <c r="Y19" s="276">
        <f>SUMIFS('Checking Transaction Log'!$E:$E,'Checking Transaction Log'!$C:$C,"&gt;="&amp;Y1,'Checking Transaction Log'!$C:$C,"&lt;="&amp;Z1,'Checking Transaction Log'!$A:$A,"F",'Checking Transaction Log'!$B:$B,14)</f>
        <v>136.92000000000002</v>
      </c>
      <c r="Z19" s="276">
        <f t="shared" si="27"/>
        <v>3.0799999999999841</v>
      </c>
      <c r="AA19" s="278">
        <f>SUMIFS('Checking Transaction Log'!$E:$E,'Checking Transaction Log'!$C:$C,"&gt;="&amp;AA1,'Checking Transaction Log'!$C:$C,"&lt;="&amp;AB1,'Checking Transaction Log'!$A:$A,"F",'Checking Transaction Log'!$B:$B,14)</f>
        <v>139.05000000000001</v>
      </c>
      <c r="AB19" s="278">
        <f t="shared" si="28"/>
        <v>0.94999999999998863</v>
      </c>
      <c r="AC19" s="280">
        <f>SUMIFS('Checking Transaction Log'!$E:$E,'Checking Transaction Log'!$C:$C,"&gt;="&amp;AC1,'Checking Transaction Log'!$C:$C,"&lt;="&amp;AD1,'Checking Transaction Log'!$A:$A,"F",'Checking Transaction Log'!$B:$B,14)</f>
        <v>0</v>
      </c>
      <c r="AD19" s="280">
        <f t="shared" si="29"/>
        <v>140</v>
      </c>
      <c r="AE19" s="282">
        <f>SUMIFS('Checking Transaction Log'!$E:$E,'Checking Transaction Log'!$C:$C,"&gt;="&amp;AE1,'Checking Transaction Log'!$C:$C,"&lt;="&amp;AF1,'Checking Transaction Log'!$A:$A,"F",'Checking Transaction Log'!$B:$B,14)</f>
        <v>0</v>
      </c>
      <c r="AF19" s="282">
        <f t="shared" si="30"/>
        <v>140</v>
      </c>
    </row>
    <row r="20" spans="1:32" ht="11.25" customHeight="1" x14ac:dyDescent="0.25">
      <c r="A20" s="284" t="str">
        <f>'Proposed Budget'!A20</f>
        <v>F</v>
      </c>
      <c r="B20" s="255">
        <f>'Proposed Budget'!B20</f>
        <v>15</v>
      </c>
      <c r="C20" s="287" t="str">
        <f>'Proposed Budget'!C20</f>
        <v>Columbia Gas</v>
      </c>
      <c r="D20" s="288">
        <f t="shared" ca="1" si="16"/>
        <v>108.27498737541528</v>
      </c>
      <c r="E20" s="289">
        <f t="shared" si="17"/>
        <v>1071.3599999999999</v>
      </c>
      <c r="F20" s="289">
        <f>J20+L20+N20+P20+R20+T20+V20+X20+Z20+AB20</f>
        <v>-71.359999999999985</v>
      </c>
      <c r="G20" s="269">
        <f t="shared" si="18"/>
        <v>-7.136000000000009E-2</v>
      </c>
      <c r="H20" s="289">
        <f>'Proposed Budget'!D20</f>
        <v>100</v>
      </c>
      <c r="I20" s="270">
        <f>SUMIFS('Checking Transaction Log'!E:E,'Checking Transaction Log'!C:C,"&gt;="&amp;I1,'Checking Transaction Log'!C:C,"&lt;="&amp;J1,'Checking Transaction Log'!A:A,"F",'Checking Transaction Log'!B:B,15)</f>
        <v>132.4</v>
      </c>
      <c r="J20" s="270">
        <f t="shared" si="19"/>
        <v>-32.400000000000006</v>
      </c>
      <c r="K20" s="232">
        <f>SUMIFS('Checking Transaction Log'!E:E,'Checking Transaction Log'!C:C,"&gt;="&amp;K1,'Checking Transaction Log'!C:C,"&lt;="&amp;L1,'Checking Transaction Log'!A:A,"F",'Checking Transaction Log'!B:B,15)</f>
        <v>188.16</v>
      </c>
      <c r="L20" s="232">
        <f t="shared" si="20"/>
        <v>-88.16</v>
      </c>
      <c r="M20" s="273">
        <f>SUMIFS('Checking Transaction Log'!$E:$E,'Checking Transaction Log'!$C:$C,"&gt;="&amp;M1,'Checking Transaction Log'!$C:$C,"&lt;="&amp;N1,'Checking Transaction Log'!$A:$A,"F",'Checking Transaction Log'!$B:$B,15)</f>
        <v>175.09</v>
      </c>
      <c r="N20" s="273">
        <f t="shared" si="21"/>
        <v>-75.09</v>
      </c>
      <c r="O20" s="236">
        <f>SUMIFS('Checking Transaction Log'!$E:$E,'Checking Transaction Log'!$C:$C,"&gt;="&amp;O1,'Checking Transaction Log'!$C:$C,"&lt;="&amp;P1,'Checking Transaction Log'!$A:$A,"F",'Checking Transaction Log'!$B:$B,15)</f>
        <v>131.22999999999999</v>
      </c>
      <c r="P20" s="236">
        <f t="shared" si="22"/>
        <v>-31.22999999999999</v>
      </c>
      <c r="Q20" s="270">
        <f>SUMIFS('Checking Transaction Log'!$E:$E,'Checking Transaction Log'!$C:$C,"&gt;="&amp;Q1,'Checking Transaction Log'!$C:$C,"&lt;="&amp;R1,'Checking Transaction Log'!$A:$A,"F",'Checking Transaction Log'!$B:$B,15)</f>
        <v>101.37</v>
      </c>
      <c r="R20" s="270">
        <f t="shared" si="23"/>
        <v>-1.3700000000000045</v>
      </c>
      <c r="S20" s="232">
        <f>SUMIFS('Checking Transaction Log'!$E:$E,'Checking Transaction Log'!$C:$C,"&gt;="&amp;S1,'Checking Transaction Log'!$C:$C,"&lt;="&amp;T1,'Checking Transaction Log'!$A:$A,"F",'Checking Transaction Log'!$B:$B,15)</f>
        <v>87.41</v>
      </c>
      <c r="T20" s="232">
        <f t="shared" si="24"/>
        <v>12.590000000000003</v>
      </c>
      <c r="U20" s="273">
        <f>SUMIFS('Checking Transaction Log'!$E:$E,'Checking Transaction Log'!$C:$C,"&gt;="&amp;U1,'Checking Transaction Log'!$C:$C,"&lt;="&amp;V1,'Checking Transaction Log'!$A:$A,"F",'Checking Transaction Log'!$B:$B,15)</f>
        <v>64.05</v>
      </c>
      <c r="V20" s="273">
        <f t="shared" si="25"/>
        <v>35.950000000000003</v>
      </c>
      <c r="W20" s="236">
        <f>SUMIFS('Checking Transaction Log'!$E:$E,'Checking Transaction Log'!$C:$C,"&gt;="&amp;W1,'Checking Transaction Log'!$C:$C,"&lt;="&amp;X1,'Checking Transaction Log'!$A:$A,"F",'Checking Transaction Log'!$B:$B,15)</f>
        <v>64.28</v>
      </c>
      <c r="X20" s="236">
        <f t="shared" si="26"/>
        <v>35.72</v>
      </c>
      <c r="Y20" s="276">
        <f>SUMIFS('Checking Transaction Log'!$E:$E,'Checking Transaction Log'!$C:$C,"&gt;="&amp;Y1,'Checking Transaction Log'!$C:$C,"&lt;="&amp;Z1,'Checking Transaction Log'!$A:$A,"F",'Checking Transaction Log'!$B:$B,15)</f>
        <v>63.69</v>
      </c>
      <c r="Z20" s="276">
        <f t="shared" si="27"/>
        <v>36.31</v>
      </c>
      <c r="AA20" s="278">
        <f>SUMIFS('Checking Transaction Log'!$E:$E,'Checking Transaction Log'!$C:$C,"&gt;="&amp;AA1,'Checking Transaction Log'!$C:$C,"&lt;="&amp;AB1,'Checking Transaction Log'!$A:$A,"F",'Checking Transaction Log'!$B:$B,15)</f>
        <v>63.68</v>
      </c>
      <c r="AB20" s="278">
        <f t="shared" si="28"/>
        <v>36.32</v>
      </c>
      <c r="AC20" s="280">
        <f>SUMIFS('Checking Transaction Log'!$E:$E,'Checking Transaction Log'!$C:$C,"&gt;="&amp;AC1,'Checking Transaction Log'!$C:$C,"&lt;="&amp;AD1,'Checking Transaction Log'!$A:$A,"F",'Checking Transaction Log'!$B:$B,15)</f>
        <v>0</v>
      </c>
      <c r="AD20" s="280">
        <f t="shared" si="29"/>
        <v>100</v>
      </c>
      <c r="AE20" s="282">
        <f>SUMIFS('Checking Transaction Log'!$E:$E,'Checking Transaction Log'!$C:$C,"&gt;="&amp;AE1,'Checking Transaction Log'!$C:$C,"&lt;="&amp;AF1,'Checking Transaction Log'!$A:$A,"F",'Checking Transaction Log'!$B:$B,15)</f>
        <v>0</v>
      </c>
      <c r="AF20" s="282">
        <f t="shared" si="30"/>
        <v>100</v>
      </c>
    </row>
    <row r="21" spans="1:32" ht="11.25" customHeight="1" x14ac:dyDescent="0.25">
      <c r="A21" s="284" t="str">
        <f>'Proposed Budget'!A21</f>
        <v>F</v>
      </c>
      <c r="B21" s="255">
        <f>'Proposed Budget'!B21</f>
        <v>16</v>
      </c>
      <c r="C21" s="287" t="str">
        <f>'Proposed Budget'!C21</f>
        <v>Medical Bills</v>
      </c>
      <c r="D21" s="288">
        <f t="shared" ca="1" si="16"/>
        <v>191.83296677740864</v>
      </c>
      <c r="E21" s="289">
        <f t="shared" si="17"/>
        <v>1898.1499999999999</v>
      </c>
      <c r="F21" s="289">
        <f>J21+L21+N21+P21+R21+T21+V21+X21+Z21+AB21</f>
        <v>-1898.1499999999999</v>
      </c>
      <c r="G21" s="269" t="e">
        <f t="shared" si="18"/>
        <v>#DIV/0!</v>
      </c>
      <c r="H21" s="289">
        <f>'Proposed Budget'!D21</f>
        <v>0</v>
      </c>
      <c r="I21" s="270">
        <f>SUMIFS('Checking Transaction Log'!E:E,'Checking Transaction Log'!C:C,"&gt;="&amp;I1,'Checking Transaction Log'!C:C,"&lt;="&amp;J1,'Checking Transaction Log'!A:A,"F",'Checking Transaction Log'!B:B,16)</f>
        <v>0</v>
      </c>
      <c r="J21" s="270">
        <f t="shared" si="19"/>
        <v>0</v>
      </c>
      <c r="K21" s="232">
        <f>SUMIFS('Checking Transaction Log'!E:E,'Checking Transaction Log'!C:C,"&gt;="&amp;K1,'Checking Transaction Log'!C:C,"&lt;="&amp;L1,'Checking Transaction Log'!A:A,"F",'Checking Transaction Log'!B:B,16)</f>
        <v>0</v>
      </c>
      <c r="L21" s="232">
        <f t="shared" si="20"/>
        <v>0</v>
      </c>
      <c r="M21" s="273">
        <f>SUMIFS('Checking Transaction Log'!$E:$E,'Checking Transaction Log'!$C:$C,"&gt;="&amp;M1,'Checking Transaction Log'!$C:$C,"&lt;="&amp;N1,'Checking Transaction Log'!$A:$A,"F",'Checking Transaction Log'!$B:$B,16)</f>
        <v>820.06</v>
      </c>
      <c r="N21" s="273">
        <f t="shared" si="21"/>
        <v>-820.06</v>
      </c>
      <c r="O21" s="236">
        <f>SUMIFS('Checking Transaction Log'!$E:$E,'Checking Transaction Log'!$C:$C,"&gt;="&amp;O1,'Checking Transaction Log'!$C:$C,"&lt;="&amp;P1,'Checking Transaction Log'!$A:$A,"F",'Checking Transaction Log'!$B:$B,16)</f>
        <v>15</v>
      </c>
      <c r="P21" s="236">
        <f t="shared" si="22"/>
        <v>-15</v>
      </c>
      <c r="Q21" s="270">
        <f>SUMIFS('Checking Transaction Log'!$E:$E,'Checking Transaction Log'!$C:$C,"&gt;="&amp;Q1,'Checking Transaction Log'!$C:$C,"&lt;="&amp;R1,'Checking Transaction Log'!$A:$A,"F",'Checking Transaction Log'!$B:$B,16)</f>
        <v>0</v>
      </c>
      <c r="R21" s="270">
        <f t="shared" si="23"/>
        <v>0</v>
      </c>
      <c r="S21" s="232">
        <f>SUMIFS('Checking Transaction Log'!$E:$E,'Checking Transaction Log'!$C:$C,"&gt;="&amp;S1,'Checking Transaction Log'!$C:$C,"&lt;="&amp;T1,'Checking Transaction Log'!$A:$A,"F",'Checking Transaction Log'!$B:$B,16)</f>
        <v>62.31</v>
      </c>
      <c r="T21" s="232">
        <f t="shared" si="24"/>
        <v>-62.31</v>
      </c>
      <c r="U21" s="273">
        <f>SUMIFS('Checking Transaction Log'!$E:$E,'Checking Transaction Log'!$C:$C,"&gt;="&amp;U1,'Checking Transaction Log'!$C:$C,"&lt;="&amp;V1,'Checking Transaction Log'!$A:$A,"F",'Checking Transaction Log'!$B:$B,16)</f>
        <v>0</v>
      </c>
      <c r="V21" s="273">
        <f t="shared" si="25"/>
        <v>0</v>
      </c>
      <c r="W21" s="236">
        <f>SUMIFS('Checking Transaction Log'!$E:$E,'Checking Transaction Log'!$C:$C,"&gt;="&amp;W1,'Checking Transaction Log'!$C:$C,"&lt;="&amp;X1,'Checking Transaction Log'!$A:$A,"F",'Checking Transaction Log'!$B:$B,16)</f>
        <v>0</v>
      </c>
      <c r="X21" s="236">
        <f t="shared" si="26"/>
        <v>0</v>
      </c>
      <c r="Y21" s="276">
        <f>SUMIFS('Checking Transaction Log'!$E:$E,'Checking Transaction Log'!$C:$C,"&gt;="&amp;Y1,'Checking Transaction Log'!$C:$C,"&lt;="&amp;Z1,'Checking Transaction Log'!$A:$A,"F",'Checking Transaction Log'!$B:$B,16)</f>
        <v>0</v>
      </c>
      <c r="Z21" s="276">
        <f t="shared" si="27"/>
        <v>0</v>
      </c>
      <c r="AA21" s="278">
        <f>SUMIFS('Checking Transaction Log'!$E:$E,'Checking Transaction Log'!$C:$C,"&gt;="&amp;AA1,'Checking Transaction Log'!$C:$C,"&lt;="&amp;AB1,'Checking Transaction Log'!$A:$A,"F",'Checking Transaction Log'!$B:$B,16)</f>
        <v>1000.78</v>
      </c>
      <c r="AB21" s="278">
        <f t="shared" si="28"/>
        <v>-1000.78</v>
      </c>
      <c r="AC21" s="280">
        <f>SUMIFS('Checking Transaction Log'!$E:$E,'Checking Transaction Log'!$C:$C,"&gt;="&amp;AC1,'Checking Transaction Log'!$C:$C,"&lt;="&amp;AD1,'Checking Transaction Log'!$A:$A,"F",'Checking Transaction Log'!$B:$B,16)</f>
        <v>0</v>
      </c>
      <c r="AD21" s="280">
        <f t="shared" si="29"/>
        <v>0</v>
      </c>
      <c r="AE21" s="282">
        <f>SUMIFS('Checking Transaction Log'!$E:$E,'Checking Transaction Log'!$C:$C,"&gt;="&amp;AE1,'Checking Transaction Log'!$C:$C,"&lt;="&amp;AF1,'Checking Transaction Log'!$A:$A,"F",'Checking Transaction Log'!$B:$B,16)</f>
        <v>0</v>
      </c>
      <c r="AF21" s="282">
        <f t="shared" si="30"/>
        <v>0</v>
      </c>
    </row>
    <row r="22" spans="1:32" ht="11.25" customHeight="1" x14ac:dyDescent="0.25">
      <c r="A22" s="284" t="str">
        <f>'Proposed Budget'!A22</f>
        <v>F</v>
      </c>
      <c r="B22" s="255">
        <f>'Proposed Budget'!B22</f>
        <v>17</v>
      </c>
      <c r="C22" s="287" t="str">
        <f>'Proposed Budget'!C22</f>
        <v>Planet Fitness</v>
      </c>
      <c r="D22" s="288">
        <f t="shared" ca="1" si="16"/>
        <v>165.6505435215947</v>
      </c>
      <c r="E22" s="289">
        <f t="shared" si="17"/>
        <v>1639.0800000000002</v>
      </c>
      <c r="F22" s="289">
        <f>J22+L22+N22+P22+R22+T22+V22+X22+Z22+AB22</f>
        <v>-189.08000000000004</v>
      </c>
      <c r="G22" s="269">
        <f t="shared" si="18"/>
        <v>-0.13040000000000007</v>
      </c>
      <c r="H22" s="289">
        <f>'Proposed Budget'!D22</f>
        <v>145</v>
      </c>
      <c r="I22" s="270">
        <f>SUMIFS('Checking Transaction Log'!E:E,'Checking Transaction Log'!C:C,"&gt;="&amp;I1,'Checking Transaction Log'!C:C,"&lt;="&amp;J1,'Checking Transaction Log'!A:A,"F",'Checking Transaction Log'!B:B,17)</f>
        <v>281.25</v>
      </c>
      <c r="J22" s="270">
        <f t="shared" si="19"/>
        <v>-136.25</v>
      </c>
      <c r="K22" s="232">
        <f>SUMIFS('Checking Transaction Log'!E:E,'Checking Transaction Log'!C:C,"&gt;="&amp;K1,'Checking Transaction Log'!C:C,"&lt;="&amp;L1,'Checking Transaction Log'!A:A,"F",'Checking Transaction Log'!B:B,17)</f>
        <v>183.19</v>
      </c>
      <c r="L22" s="232">
        <f t="shared" si="20"/>
        <v>-38.19</v>
      </c>
      <c r="M22" s="273">
        <f>SUMIFS('Checking Transaction Log'!$E:$E,'Checking Transaction Log'!$C:$C,"&gt;="&amp;M1,'Checking Transaction Log'!$C:$C,"&lt;="&amp;N1,'Checking Transaction Log'!$A:$A,"F",'Checking Transaction Log'!$B:$B,17)</f>
        <v>183.09</v>
      </c>
      <c r="N22" s="273">
        <f t="shared" si="21"/>
        <v>-38.090000000000003</v>
      </c>
      <c r="O22" s="236">
        <f>SUMIFS('Checking Transaction Log'!$E:$E,'Checking Transaction Log'!$C:$C,"&gt;="&amp;O1,'Checking Transaction Log'!$C:$C,"&lt;="&amp;P1,'Checking Transaction Log'!$A:$A,"F",'Checking Transaction Log'!$B:$B,17)</f>
        <v>141.65</v>
      </c>
      <c r="P22" s="236">
        <f t="shared" si="22"/>
        <v>3.3499999999999943</v>
      </c>
      <c r="Q22" s="270">
        <f>SUMIFS('Checking Transaction Log'!$E:$E,'Checking Transaction Log'!$C:$C,"&gt;="&amp;Q1,'Checking Transaction Log'!$C:$C,"&lt;="&amp;R1,'Checking Transaction Log'!$A:$A,"F",'Checking Transaction Log'!$B:$B,17)</f>
        <v>141.65</v>
      </c>
      <c r="R22" s="270">
        <f t="shared" si="23"/>
        <v>3.3499999999999943</v>
      </c>
      <c r="S22" s="232">
        <f>SUMIFS('Checking Transaction Log'!$E:$E,'Checking Transaction Log'!$C:$C,"&gt;="&amp;S1,'Checking Transaction Log'!$C:$C,"&lt;="&amp;T1,'Checking Transaction Log'!$A:$A,"F",'Checking Transaction Log'!$B:$B,17)</f>
        <v>141.65</v>
      </c>
      <c r="T22" s="232">
        <f t="shared" si="24"/>
        <v>3.3499999999999943</v>
      </c>
      <c r="U22" s="273">
        <f>SUMIFS('Checking Transaction Log'!$E:$E,'Checking Transaction Log'!$C:$C,"&gt;="&amp;U1,'Checking Transaction Log'!$C:$C,"&lt;="&amp;V1,'Checking Transaction Log'!$A:$A,"F",'Checking Transaction Log'!$B:$B,17)</f>
        <v>141.65</v>
      </c>
      <c r="V22" s="273">
        <f t="shared" si="25"/>
        <v>3.3499999999999943</v>
      </c>
      <c r="W22" s="236">
        <f>SUMIFS('Checking Transaction Log'!$E:$E,'Checking Transaction Log'!$C:$C,"&gt;="&amp;W1,'Checking Transaction Log'!$C:$C,"&lt;="&amp;X1,'Checking Transaction Log'!$A:$A,"F",'Checking Transaction Log'!$B:$B,17)</f>
        <v>141.65</v>
      </c>
      <c r="X22" s="236">
        <f t="shared" si="26"/>
        <v>3.3499999999999943</v>
      </c>
      <c r="Y22" s="276">
        <f>SUMIFS('Checking Transaction Log'!$E:$E,'Checking Transaction Log'!$C:$C,"&gt;="&amp;Y1,'Checking Transaction Log'!$C:$C,"&lt;="&amp;Z1,'Checking Transaction Log'!$A:$A,"F",'Checking Transaction Log'!$B:$B,17)</f>
        <v>141.65</v>
      </c>
      <c r="Z22" s="276">
        <f t="shared" si="27"/>
        <v>3.3499999999999943</v>
      </c>
      <c r="AA22" s="278">
        <f>SUMIFS('Checking Transaction Log'!$E:$E,'Checking Transaction Log'!$C:$C,"&gt;="&amp;AA1,'Checking Transaction Log'!$C:$C,"&lt;="&amp;AB1,'Checking Transaction Log'!$A:$A,"F",'Checking Transaction Log'!$B:$B,17)</f>
        <v>141.65</v>
      </c>
      <c r="AB22" s="278">
        <f t="shared" si="28"/>
        <v>3.3499999999999943</v>
      </c>
      <c r="AC22" s="280">
        <f>SUMIFS('Checking Transaction Log'!$E:$E,'Checking Transaction Log'!$C:$C,"&gt;="&amp;AC1,'Checking Transaction Log'!$C:$C,"&lt;="&amp;AD1,'Checking Transaction Log'!$A:$A,"F",'Checking Transaction Log'!$B:$B,17)</f>
        <v>0</v>
      </c>
      <c r="AD22" s="280">
        <f t="shared" si="29"/>
        <v>145</v>
      </c>
      <c r="AE22" s="282">
        <f>SUMIFS('Checking Transaction Log'!$E:$E,'Checking Transaction Log'!$C:$C,"&gt;="&amp;AE1,'Checking Transaction Log'!$C:$C,"&lt;="&amp;AF1,'Checking Transaction Log'!$A:$A,"F",'Checking Transaction Log'!$B:$B,17)</f>
        <v>0</v>
      </c>
      <c r="AF22" s="282">
        <f t="shared" si="30"/>
        <v>145</v>
      </c>
    </row>
    <row r="23" spans="1:32" ht="11.25" customHeight="1" x14ac:dyDescent="0.25">
      <c r="A23" s="284" t="str">
        <f>'Proposed Budget'!A23</f>
        <v>F</v>
      </c>
      <c r="B23" s="255">
        <f>'Proposed Budget'!B23</f>
        <v>18</v>
      </c>
      <c r="C23" s="287" t="str">
        <f>'Proposed Budget'!C23</f>
        <v>Lowes Rewards</v>
      </c>
      <c r="D23" s="288">
        <f t="shared" ca="1" si="16"/>
        <v>202.12624584717608</v>
      </c>
      <c r="E23" s="289">
        <f t="shared" si="17"/>
        <v>2000</v>
      </c>
      <c r="F23" s="289">
        <f>J23+L23+N23+P23+R23+T23+V23+X23+Z23+AB23</f>
        <v>2000</v>
      </c>
      <c r="G23" s="269">
        <f t="shared" si="18"/>
        <v>0.5</v>
      </c>
      <c r="H23" s="289">
        <f>'Proposed Budget'!D23</f>
        <v>400</v>
      </c>
      <c r="I23" s="270">
        <f>SUMIFS('Checking Transaction Log'!E:E,'Checking Transaction Log'!C:C,"&gt;="&amp;I1,'Checking Transaction Log'!C:C,"&lt;="&amp;J1,'Checking Transaction Log'!A:A,"F",'Checking Transaction Log'!B:B,18)</f>
        <v>400</v>
      </c>
      <c r="J23" s="270">
        <f t="shared" si="19"/>
        <v>0</v>
      </c>
      <c r="K23" s="232">
        <f>SUMIFS('Checking Transaction Log'!E:E,'Checking Transaction Log'!C:C,"&gt;="&amp;K1,'Checking Transaction Log'!C:C,"&lt;="&amp;L1,'Checking Transaction Log'!A:A,"F",'Checking Transaction Log'!B:B,18)</f>
        <v>400</v>
      </c>
      <c r="L23" s="232">
        <f t="shared" si="20"/>
        <v>0</v>
      </c>
      <c r="M23" s="273">
        <f>SUMIFS('Checking Transaction Log'!$E:$E,'Checking Transaction Log'!$C:$C,"&gt;="&amp;M1,'Checking Transaction Log'!$C:$C,"&lt;="&amp;N1,'Checking Transaction Log'!$A:$A,"F",'Checking Transaction Log'!$B:$B,18)</f>
        <v>400</v>
      </c>
      <c r="N23" s="273">
        <f t="shared" si="21"/>
        <v>0</v>
      </c>
      <c r="O23" s="236">
        <f>SUMIFS('Checking Transaction Log'!$E:$E,'Checking Transaction Log'!$C:$C,"&gt;="&amp;O1,'Checking Transaction Log'!$C:$C,"&lt;="&amp;P1,'Checking Transaction Log'!$A:$A,"F",'Checking Transaction Log'!$B:$B,18)</f>
        <v>400</v>
      </c>
      <c r="P23" s="236">
        <f t="shared" si="22"/>
        <v>0</v>
      </c>
      <c r="Q23" s="270">
        <f>SUMIFS('Checking Transaction Log'!$E:$E,'Checking Transaction Log'!$C:$C,"&gt;="&amp;Q1,'Checking Transaction Log'!$C:$C,"&lt;="&amp;R1,'Checking Transaction Log'!$A:$A,"F",'Checking Transaction Log'!$B:$B,18)</f>
        <v>400</v>
      </c>
      <c r="R23" s="270">
        <f t="shared" si="23"/>
        <v>0</v>
      </c>
      <c r="S23" s="232">
        <f>SUMIFS('Checking Transaction Log'!$E:$E,'Checking Transaction Log'!$C:$C,"&gt;="&amp;S1,'Checking Transaction Log'!$C:$C,"&lt;="&amp;T1,'Checking Transaction Log'!$A:$A,"F",'Checking Transaction Log'!$B:$B,18)</f>
        <v>0</v>
      </c>
      <c r="T23" s="232">
        <f t="shared" si="24"/>
        <v>400</v>
      </c>
      <c r="U23" s="273">
        <f>SUMIFS('Checking Transaction Log'!$E:$E,'Checking Transaction Log'!$C:$C,"&gt;="&amp;U1,'Checking Transaction Log'!$C:$C,"&lt;="&amp;V1,'Checking Transaction Log'!$A:$A,"F",'Checking Transaction Log'!$B:$B,18)</f>
        <v>0</v>
      </c>
      <c r="V23" s="273">
        <f t="shared" si="25"/>
        <v>400</v>
      </c>
      <c r="W23" s="236">
        <f>SUMIFS('Checking Transaction Log'!$E:$E,'Checking Transaction Log'!$C:$C,"&gt;="&amp;W1,'Checking Transaction Log'!$C:$C,"&lt;="&amp;X1,'Checking Transaction Log'!$A:$A,"F",'Checking Transaction Log'!$B:$B,18)</f>
        <v>0</v>
      </c>
      <c r="X23" s="236">
        <f t="shared" si="26"/>
        <v>400</v>
      </c>
      <c r="Y23" s="276">
        <f>SUMIFS('Checking Transaction Log'!$E:$E,'Checking Transaction Log'!$C:$C,"&gt;="&amp;Y1,'Checking Transaction Log'!$C:$C,"&lt;="&amp;Z1,'Checking Transaction Log'!$A:$A,"F",'Checking Transaction Log'!$B:$B,18)</f>
        <v>0</v>
      </c>
      <c r="Z23" s="276">
        <f t="shared" si="27"/>
        <v>400</v>
      </c>
      <c r="AA23" s="278">
        <f>SUMIFS('Checking Transaction Log'!$E:$E,'Checking Transaction Log'!$C:$C,"&gt;="&amp;AA1,'Checking Transaction Log'!$C:$C,"&lt;="&amp;AB1,'Checking Transaction Log'!$A:$A,"F",'Checking Transaction Log'!$B:$B,18)</f>
        <v>0</v>
      </c>
      <c r="AB23" s="278">
        <f t="shared" si="28"/>
        <v>400</v>
      </c>
      <c r="AC23" s="280">
        <f>SUMIFS('Checking Transaction Log'!$E:$E,'Checking Transaction Log'!$C:$C,"&gt;="&amp;AC1,'Checking Transaction Log'!$C:$C,"&lt;="&amp;AD1,'Checking Transaction Log'!$A:$A,"F",'Checking Transaction Log'!$B:$B,18)</f>
        <v>0</v>
      </c>
      <c r="AD23" s="280">
        <f t="shared" si="29"/>
        <v>400</v>
      </c>
      <c r="AE23" s="282">
        <f>SUMIFS('Checking Transaction Log'!$E:$E,'Checking Transaction Log'!$C:$C,"&gt;="&amp;AE1,'Checking Transaction Log'!$C:$C,"&lt;="&amp;AF1,'Checking Transaction Log'!$A:$A,"F",'Checking Transaction Log'!$B:$B,18)</f>
        <v>0</v>
      </c>
      <c r="AF23" s="282">
        <f t="shared" si="30"/>
        <v>400</v>
      </c>
    </row>
    <row r="24" spans="1:32" ht="11.25" customHeight="1" x14ac:dyDescent="0.25">
      <c r="A24" s="284" t="str">
        <f>'Proposed Budget'!A24</f>
        <v>F</v>
      </c>
      <c r="B24" s="255">
        <f>'Proposed Budget'!B24</f>
        <v>19</v>
      </c>
      <c r="C24" s="287" t="str">
        <f>'Proposed Budget'!C24</f>
        <v>Wells Fargo - Pool</v>
      </c>
      <c r="D24" s="288">
        <f t="shared" ca="1" si="16"/>
        <v>202.12624584717608</v>
      </c>
      <c r="E24" s="289">
        <f t="shared" si="17"/>
        <v>2000</v>
      </c>
      <c r="F24" s="289">
        <f>J24+L24+N24+P24+R24+T24+V24+X24+Z24+AB24</f>
        <v>0</v>
      </c>
      <c r="G24" s="269">
        <f t="shared" si="18"/>
        <v>0</v>
      </c>
      <c r="H24" s="289">
        <f>'Proposed Budget'!D24</f>
        <v>200</v>
      </c>
      <c r="I24" s="270">
        <f>SUMIFS('Checking Transaction Log'!E:E,'Checking Transaction Log'!C:C,"&gt;="&amp;I1,'Checking Transaction Log'!C:C,"&lt;="&amp;J1,'Checking Transaction Log'!A:A,"F",'Checking Transaction Log'!B:B,19)</f>
        <v>200</v>
      </c>
      <c r="J24" s="270">
        <f t="shared" si="19"/>
        <v>0</v>
      </c>
      <c r="K24" s="232">
        <f>SUMIFS('Checking Transaction Log'!E:E,'Checking Transaction Log'!C:C,"&gt;="&amp;K1,'Checking Transaction Log'!C:C,"&lt;="&amp;L1,'Checking Transaction Log'!A:A,"F",'Checking Transaction Log'!B:B,19)</f>
        <v>200</v>
      </c>
      <c r="L24" s="232">
        <f t="shared" si="20"/>
        <v>0</v>
      </c>
      <c r="M24" s="273">
        <f>SUMIFS('Checking Transaction Log'!$E:$E,'Checking Transaction Log'!$C:$C,"&gt;="&amp;M1,'Checking Transaction Log'!$C:$C,"&lt;="&amp;N1,'Checking Transaction Log'!$A:$A,"F",'Checking Transaction Log'!$B:$B,19)</f>
        <v>200</v>
      </c>
      <c r="N24" s="273">
        <f t="shared" si="21"/>
        <v>0</v>
      </c>
      <c r="O24" s="236">
        <f>SUMIFS('Checking Transaction Log'!$E:$E,'Checking Transaction Log'!$C:$C,"&gt;="&amp;O1,'Checking Transaction Log'!$C:$C,"&lt;="&amp;P1,'Checking Transaction Log'!$A:$A,"F",'Checking Transaction Log'!$B:$B,19)</f>
        <v>200</v>
      </c>
      <c r="P24" s="236">
        <f t="shared" si="22"/>
        <v>0</v>
      </c>
      <c r="Q24" s="270">
        <f>SUMIFS('Checking Transaction Log'!$E:$E,'Checking Transaction Log'!$C:$C,"&gt;="&amp;Q1,'Checking Transaction Log'!$C:$C,"&lt;="&amp;R1,'Checking Transaction Log'!$A:$A,"F",'Checking Transaction Log'!$B:$B,19)</f>
        <v>200</v>
      </c>
      <c r="R24" s="270">
        <f t="shared" si="23"/>
        <v>0</v>
      </c>
      <c r="S24" s="232">
        <f>SUMIFS('Checking Transaction Log'!$E:$E,'Checking Transaction Log'!$C:$C,"&gt;="&amp;S1,'Checking Transaction Log'!$C:$C,"&lt;="&amp;T1,'Checking Transaction Log'!$A:$A,"F",'Checking Transaction Log'!$B:$B,19)</f>
        <v>200</v>
      </c>
      <c r="T24" s="232">
        <f t="shared" si="24"/>
        <v>0</v>
      </c>
      <c r="U24" s="273">
        <f>SUMIFS('Checking Transaction Log'!$E:$E,'Checking Transaction Log'!$C:$C,"&gt;="&amp;U1,'Checking Transaction Log'!$C:$C,"&lt;="&amp;V1,'Checking Transaction Log'!$A:$A,"F",'Checking Transaction Log'!$B:$B,19)</f>
        <v>200</v>
      </c>
      <c r="V24" s="273">
        <f t="shared" si="25"/>
        <v>0</v>
      </c>
      <c r="W24" s="236">
        <f>SUMIFS('Checking Transaction Log'!$E:$E,'Checking Transaction Log'!$C:$C,"&gt;="&amp;W1,'Checking Transaction Log'!$C:$C,"&lt;="&amp;X1,'Checking Transaction Log'!$A:$A,"F",'Checking Transaction Log'!$B:$B,19)</f>
        <v>200</v>
      </c>
      <c r="X24" s="236">
        <f t="shared" si="26"/>
        <v>0</v>
      </c>
      <c r="Y24" s="276">
        <f>SUMIFS('Checking Transaction Log'!$E:$E,'Checking Transaction Log'!$C:$C,"&gt;="&amp;Y1,'Checking Transaction Log'!$C:$C,"&lt;="&amp;Z1,'Checking Transaction Log'!$A:$A,"F",'Checking Transaction Log'!$B:$B,19)</f>
        <v>200</v>
      </c>
      <c r="Z24" s="276">
        <f t="shared" si="27"/>
        <v>0</v>
      </c>
      <c r="AA24" s="278">
        <f>SUMIFS('Checking Transaction Log'!$E:$E,'Checking Transaction Log'!$C:$C,"&gt;="&amp;AA1,'Checking Transaction Log'!$C:$C,"&lt;="&amp;AB1,'Checking Transaction Log'!$A:$A,"F",'Checking Transaction Log'!$B:$B,19)</f>
        <v>200</v>
      </c>
      <c r="AB24" s="278">
        <f t="shared" si="28"/>
        <v>0</v>
      </c>
      <c r="AC24" s="280">
        <f>SUMIFS('Checking Transaction Log'!$E:$E,'Checking Transaction Log'!$C:$C,"&gt;="&amp;AC1,'Checking Transaction Log'!$C:$C,"&lt;="&amp;AD1,'Checking Transaction Log'!$A:$A,"F",'Checking Transaction Log'!$B:$B,19)</f>
        <v>0</v>
      </c>
      <c r="AD24" s="280">
        <f t="shared" si="29"/>
        <v>200</v>
      </c>
      <c r="AE24" s="282">
        <f>SUMIFS('Checking Transaction Log'!$E:$E,'Checking Transaction Log'!$C:$C,"&gt;="&amp;AE1,'Checking Transaction Log'!$C:$C,"&lt;="&amp;AF1,'Checking Transaction Log'!$A:$A,"F",'Checking Transaction Log'!$B:$B,19)</f>
        <v>0</v>
      </c>
      <c r="AF24" s="282">
        <f t="shared" si="30"/>
        <v>200</v>
      </c>
    </row>
    <row r="25" spans="1:32" ht="11.25" customHeight="1" x14ac:dyDescent="0.25">
      <c r="A25" s="284" t="str">
        <f>'Proposed Budget'!A25</f>
        <v>F</v>
      </c>
      <c r="B25" s="255">
        <f>'Proposed Budget'!B25</f>
        <v>20</v>
      </c>
      <c r="C25" s="287" t="str">
        <f>'Proposed Budget'!C25</f>
        <v>Wells Fargo - Deck</v>
      </c>
      <c r="D25" s="288">
        <f t="shared" ca="1" si="16"/>
        <v>363.82724252491698</v>
      </c>
      <c r="E25" s="289">
        <f t="shared" si="17"/>
        <v>3600</v>
      </c>
      <c r="F25" s="289">
        <f>J25+L25+N25+P25+R25+T25+V25+X25+Z25+AB25</f>
        <v>2400</v>
      </c>
      <c r="G25" s="269">
        <f t="shared" si="18"/>
        <v>0.4</v>
      </c>
      <c r="H25" s="289">
        <f>'Proposed Budget'!D25</f>
        <v>600</v>
      </c>
      <c r="I25" s="270">
        <f>SUMIFS('Checking Transaction Log'!E:E,'Checking Transaction Log'!C:C,"&gt;="&amp;I1,'Checking Transaction Log'!C:C,"&lt;="&amp;J1,'Checking Transaction Log'!A:A,"F",'Checking Transaction Log'!B:B,20)</f>
        <v>0</v>
      </c>
      <c r="J25" s="270">
        <f t="shared" si="19"/>
        <v>600</v>
      </c>
      <c r="K25" s="232">
        <f>SUMIFS('Checking Transaction Log'!E:E,'Checking Transaction Log'!C:C,"&gt;="&amp;K1,'Checking Transaction Log'!C:C,"&lt;="&amp;L1,'Checking Transaction Log'!A:A,"F",'Checking Transaction Log'!B:B,20)</f>
        <v>0</v>
      </c>
      <c r="L25" s="232">
        <f t="shared" si="20"/>
        <v>600</v>
      </c>
      <c r="M25" s="273">
        <f>SUMIFS('Checking Transaction Log'!$E:$E,'Checking Transaction Log'!$C:$C,"&gt;="&amp;M1,'Checking Transaction Log'!$C:$C,"&lt;="&amp;N1,'Checking Transaction Log'!$A:$A,"F",'Checking Transaction Log'!$B:$B,20)</f>
        <v>0</v>
      </c>
      <c r="N25" s="273">
        <f t="shared" si="21"/>
        <v>600</v>
      </c>
      <c r="O25" s="236">
        <f>SUMIFS('Checking Transaction Log'!$E:$E,'Checking Transaction Log'!$C:$C,"&gt;="&amp;O1,'Checking Transaction Log'!$C:$C,"&lt;="&amp;P1,'Checking Transaction Log'!$A:$A,"F",'Checking Transaction Log'!$B:$B,20)</f>
        <v>0</v>
      </c>
      <c r="P25" s="236">
        <f t="shared" si="22"/>
        <v>600</v>
      </c>
      <c r="Q25" s="270">
        <f>SUMIFS('Checking Transaction Log'!$E:$E,'Checking Transaction Log'!$C:$C,"&gt;="&amp;Q1,'Checking Transaction Log'!$C:$C,"&lt;="&amp;R1,'Checking Transaction Log'!$A:$A,"F",'Checking Transaction Log'!$B:$B,20)</f>
        <v>600</v>
      </c>
      <c r="R25" s="270">
        <f t="shared" si="23"/>
        <v>0</v>
      </c>
      <c r="S25" s="232">
        <f>SUMIFS('Checking Transaction Log'!$E:$E,'Checking Transaction Log'!$C:$C,"&gt;="&amp;S1,'Checking Transaction Log'!$C:$C,"&lt;="&amp;T1,'Checking Transaction Log'!$A:$A,"F",'Checking Transaction Log'!$B:$B,20)</f>
        <v>600</v>
      </c>
      <c r="T25" s="232">
        <f t="shared" si="24"/>
        <v>0</v>
      </c>
      <c r="U25" s="273">
        <f>SUMIFS('Checking Transaction Log'!$E:$E,'Checking Transaction Log'!$C:$C,"&gt;="&amp;U1,'Checking Transaction Log'!$C:$C,"&lt;="&amp;V1,'Checking Transaction Log'!$A:$A,"F",'Checking Transaction Log'!$B:$B,20)</f>
        <v>600</v>
      </c>
      <c r="V25" s="273">
        <f t="shared" si="25"/>
        <v>0</v>
      </c>
      <c r="W25" s="236">
        <f>SUMIFS('Checking Transaction Log'!$E:$E,'Checking Transaction Log'!$C:$C,"&gt;="&amp;W1,'Checking Transaction Log'!$C:$C,"&lt;="&amp;X1,'Checking Transaction Log'!$A:$A,"F",'Checking Transaction Log'!$B:$B,20)</f>
        <v>600</v>
      </c>
      <c r="X25" s="236">
        <f t="shared" si="26"/>
        <v>0</v>
      </c>
      <c r="Y25" s="276">
        <f>SUMIFS('Checking Transaction Log'!$E:$E,'Checking Transaction Log'!$C:$C,"&gt;="&amp;Y1,'Checking Transaction Log'!$C:$C,"&lt;="&amp;Z1,'Checking Transaction Log'!$A:$A,"F",'Checking Transaction Log'!$B:$B,20)</f>
        <v>600</v>
      </c>
      <c r="Z25" s="276">
        <f t="shared" si="27"/>
        <v>0</v>
      </c>
      <c r="AA25" s="278">
        <f>SUMIFS('Checking Transaction Log'!$E:$E,'Checking Transaction Log'!$C:$C,"&gt;="&amp;AA1,'Checking Transaction Log'!$C:$C,"&lt;="&amp;AB1,'Checking Transaction Log'!$A:$A,"F",'Checking Transaction Log'!$B:$B,20)</f>
        <v>600</v>
      </c>
      <c r="AB25" s="278">
        <f t="shared" si="28"/>
        <v>0</v>
      </c>
      <c r="AC25" s="280">
        <f>SUMIFS('Checking Transaction Log'!$E:$E,'Checking Transaction Log'!$C:$C,"&gt;="&amp;AC1,'Checking Transaction Log'!$C:$C,"&lt;="&amp;AD1,'Checking Transaction Log'!$A:$A,"F",'Checking Transaction Log'!$B:$B,20)</f>
        <v>0</v>
      </c>
      <c r="AD25" s="280">
        <f t="shared" si="29"/>
        <v>600</v>
      </c>
      <c r="AE25" s="282">
        <f>SUMIFS('Checking Transaction Log'!$E:$E,'Checking Transaction Log'!$C:$C,"&gt;="&amp;AE1,'Checking Transaction Log'!$C:$C,"&lt;="&amp;AF1,'Checking Transaction Log'!$A:$A,"F",'Checking Transaction Log'!$B:$B,20)</f>
        <v>0</v>
      </c>
      <c r="AF25" s="282">
        <f t="shared" si="30"/>
        <v>600</v>
      </c>
    </row>
    <row r="26" spans="1:32" ht="11.25" customHeight="1" x14ac:dyDescent="0.25">
      <c r="A26" s="284" t="str">
        <f>'Proposed Budget'!A26</f>
        <v>F</v>
      </c>
      <c r="B26" s="255">
        <f>'Proposed Budget'!B26</f>
        <v>21</v>
      </c>
      <c r="C26" s="287" t="str">
        <f>'Proposed Budget'!C26</f>
        <v>Massage Envy</v>
      </c>
      <c r="D26" s="288">
        <f t="shared" ca="1" si="16"/>
        <v>94.466732890365464</v>
      </c>
      <c r="E26" s="289">
        <f t="shared" si="17"/>
        <v>934.73000000000013</v>
      </c>
      <c r="F26" s="289">
        <f>J26+L26+N26+P26+R26+T26+V26+X26+Z26+AB26</f>
        <v>-84.73</v>
      </c>
      <c r="G26" s="269">
        <f t="shared" si="18"/>
        <v>-9.9682352941176555E-2</v>
      </c>
      <c r="H26" s="289">
        <f>'Proposed Budget'!D26</f>
        <v>85</v>
      </c>
      <c r="I26" s="270">
        <f>SUMIFS('Checking Transaction Log'!E:E,'Checking Transaction Log'!C:C,"&gt;="&amp;I1,'Checking Transaction Log'!C:C,"&lt;="&amp;J1,'Checking Transaction Log'!A:A,"F",'Checking Transaction Log'!B:B,21)</f>
        <v>100.79</v>
      </c>
      <c r="J26" s="270">
        <f t="shared" si="19"/>
        <v>-15.790000000000006</v>
      </c>
      <c r="K26" s="232">
        <f>SUMIFS('Checking Transaction Log'!E:E,'Checking Transaction Log'!C:C,"&gt;="&amp;K1,'Checking Transaction Log'!C:C,"&lt;="&amp;L1,'Checking Transaction Log'!A:A,"F",'Checking Transaction Log'!B:B,21)</f>
        <v>108.35</v>
      </c>
      <c r="L26" s="232">
        <f t="shared" si="20"/>
        <v>-23.349999999999994</v>
      </c>
      <c r="M26" s="273">
        <f>SUMIFS('Checking Transaction Log'!$E:$E,'Checking Transaction Log'!$C:$C,"&gt;="&amp;M1,'Checking Transaction Log'!$C:$C,"&lt;="&amp;N1,'Checking Transaction Log'!$A:$A,"F",'Checking Transaction Log'!$B:$B,21)</f>
        <v>116.32</v>
      </c>
      <c r="N26" s="273">
        <f t="shared" si="21"/>
        <v>-31.319999999999993</v>
      </c>
      <c r="O26" s="236">
        <f>SUMIFS('Checking Transaction Log'!$E:$E,'Checking Transaction Log'!$C:$C,"&gt;="&amp;O1,'Checking Transaction Log'!$C:$C,"&lt;="&amp;P1,'Checking Transaction Log'!$A:$A,"F",'Checking Transaction Log'!$B:$B,21)</f>
        <v>75.599999999999994</v>
      </c>
      <c r="P26" s="236">
        <f t="shared" si="22"/>
        <v>9.4000000000000057</v>
      </c>
      <c r="Q26" s="270">
        <f>SUMIFS('Checking Transaction Log'!$E:$E,'Checking Transaction Log'!$C:$C,"&gt;="&amp;Q1,'Checking Transaction Log'!$C:$C,"&lt;="&amp;R1,'Checking Transaction Log'!$A:$A,"F",'Checking Transaction Log'!$B:$B,21)</f>
        <v>81</v>
      </c>
      <c r="R26" s="270">
        <f t="shared" si="23"/>
        <v>4</v>
      </c>
      <c r="S26" s="232">
        <f>SUMIFS('Checking Transaction Log'!$E:$E,'Checking Transaction Log'!$C:$C,"&gt;="&amp;S1,'Checking Transaction Log'!$C:$C,"&lt;="&amp;T1,'Checking Transaction Log'!$A:$A,"F",'Checking Transaction Log'!$B:$B,21)</f>
        <v>81</v>
      </c>
      <c r="T26" s="232">
        <f t="shared" si="24"/>
        <v>4</v>
      </c>
      <c r="U26" s="273">
        <f>SUMIFS('Checking Transaction Log'!$E:$E,'Checking Transaction Log'!$C:$C,"&gt;="&amp;U1,'Checking Transaction Log'!$C:$C,"&lt;="&amp;V1,'Checking Transaction Log'!$A:$A,"F",'Checking Transaction Log'!$B:$B,21)</f>
        <v>128.67000000000002</v>
      </c>
      <c r="V26" s="273">
        <f t="shared" si="25"/>
        <v>-43.670000000000016</v>
      </c>
      <c r="W26" s="236">
        <f>SUMIFS('Checking Transaction Log'!$E:$E,'Checking Transaction Log'!$C:$C,"&gt;="&amp;W1,'Checking Transaction Log'!$C:$C,"&lt;="&amp;X1,'Checking Transaction Log'!$A:$A,"F",'Checking Transaction Log'!$B:$B,21)</f>
        <v>81</v>
      </c>
      <c r="X26" s="236">
        <f t="shared" si="26"/>
        <v>4</v>
      </c>
      <c r="Y26" s="276">
        <f>SUMIFS('Checking Transaction Log'!$E:$E,'Checking Transaction Log'!$C:$C,"&gt;="&amp;Y1,'Checking Transaction Log'!$C:$C,"&lt;="&amp;Z1,'Checking Transaction Log'!$A:$A,"F",'Checking Transaction Log'!$B:$B,21)</f>
        <v>81</v>
      </c>
      <c r="Z26" s="276">
        <f t="shared" si="27"/>
        <v>4</v>
      </c>
      <c r="AA26" s="278">
        <f>SUMIFS('Checking Transaction Log'!$E:$E,'Checking Transaction Log'!$C:$C,"&gt;="&amp;AA1,'Checking Transaction Log'!$C:$C,"&lt;="&amp;AB1,'Checking Transaction Log'!$A:$A,"F",'Checking Transaction Log'!$B:$B,21)</f>
        <v>81</v>
      </c>
      <c r="AB26" s="278">
        <f t="shared" si="28"/>
        <v>4</v>
      </c>
      <c r="AC26" s="280">
        <f>SUMIFS('Checking Transaction Log'!$E:$E,'Checking Transaction Log'!$C:$C,"&gt;="&amp;AC1,'Checking Transaction Log'!$C:$C,"&lt;="&amp;AD1,'Checking Transaction Log'!$A:$A,"F",'Checking Transaction Log'!$B:$B,21)</f>
        <v>0</v>
      </c>
      <c r="AD26" s="280">
        <f t="shared" si="29"/>
        <v>85</v>
      </c>
      <c r="AE26" s="282">
        <f>SUMIFS('Checking Transaction Log'!$E:$E,'Checking Transaction Log'!$C:$C,"&gt;="&amp;AE1,'Checking Transaction Log'!$C:$C,"&lt;="&amp;AF1,'Checking Transaction Log'!$A:$A,"F",'Checking Transaction Log'!$B:$B,21)</f>
        <v>0</v>
      </c>
      <c r="AF26" s="282">
        <f t="shared" si="30"/>
        <v>85</v>
      </c>
    </row>
    <row r="27" spans="1:32" ht="11.25" customHeight="1" x14ac:dyDescent="0.25">
      <c r="A27" s="284" t="str">
        <f>'Proposed Budget'!A27</f>
        <v>F</v>
      </c>
      <c r="B27" s="255">
        <f>'Proposed Budget'!B27</f>
        <v>22</v>
      </c>
      <c r="C27" s="287" t="str">
        <f>'Proposed Budget'!C27</f>
        <v>Streaming/Music</v>
      </c>
      <c r="D27" s="288">
        <f t="shared" ca="1" si="16"/>
        <v>140.48885780730899</v>
      </c>
      <c r="E27" s="289">
        <f t="shared" si="17"/>
        <v>1390.1100000000001</v>
      </c>
      <c r="F27" s="289">
        <f>J27+L27+N27+P27+R27+T27+V27+X27+Z27+AB27</f>
        <v>-390.11000000000007</v>
      </c>
      <c r="G27" s="269">
        <f t="shared" si="18"/>
        <v>-0.39011000000000018</v>
      </c>
      <c r="H27" s="289">
        <f>'Proposed Budget'!D27</f>
        <v>100</v>
      </c>
      <c r="I27" s="270">
        <f>SUMIFS('Checking Transaction Log'!E:E,'Checking Transaction Log'!C:C,"&gt;="&amp;I1,'Checking Transaction Log'!C:C,"&lt;="&amp;J1,'Checking Transaction Log'!A:A,"F",'Checking Transaction Log'!B:B,22)</f>
        <v>218.26999999999998</v>
      </c>
      <c r="J27" s="270">
        <f t="shared" si="19"/>
        <v>-118.26999999999998</v>
      </c>
      <c r="K27" s="232">
        <f>SUMIFS('Checking Transaction Log'!E:E,'Checking Transaction Log'!C:C,"&gt;="&amp;K1,'Checking Transaction Log'!C:C,"&lt;="&amp;L1,'Checking Transaction Log'!A:A,"F",'Checking Transaction Log'!B:B,22)</f>
        <v>67.05</v>
      </c>
      <c r="L27" s="232">
        <f t="shared" si="20"/>
        <v>32.950000000000003</v>
      </c>
      <c r="M27" s="273">
        <f>SUMIFS('Checking Transaction Log'!$E:$E,'Checking Transaction Log'!$C:$C,"&gt;="&amp;M1,'Checking Transaction Log'!$C:$C,"&lt;="&amp;N1,'Checking Transaction Log'!$A:$A,"F",'Checking Transaction Log'!$B:$B,22)</f>
        <v>79.819999999999993</v>
      </c>
      <c r="N27" s="273">
        <f t="shared" si="21"/>
        <v>20.180000000000007</v>
      </c>
      <c r="O27" s="236">
        <f>SUMIFS('Checking Transaction Log'!$E:$E,'Checking Transaction Log'!$C:$C,"&gt;="&amp;O1,'Checking Transaction Log'!$C:$C,"&lt;="&amp;P1,'Checking Transaction Log'!$A:$A,"F",'Checking Transaction Log'!$B:$B,22)</f>
        <v>76.62</v>
      </c>
      <c r="P27" s="236">
        <f t="shared" si="22"/>
        <v>23.379999999999995</v>
      </c>
      <c r="Q27" s="270">
        <f>SUMIFS('Checking Transaction Log'!$E:$E,'Checking Transaction Log'!$C:$C,"&gt;="&amp;Q1,'Checking Transaction Log'!$C:$C,"&lt;="&amp;R1,'Checking Transaction Log'!$A:$A,"F",'Checking Transaction Log'!$B:$B,22)</f>
        <v>122.37</v>
      </c>
      <c r="R27" s="270">
        <f t="shared" si="23"/>
        <v>-22.370000000000005</v>
      </c>
      <c r="S27" s="232">
        <f>SUMIFS('Checking Transaction Log'!$E:$E,'Checking Transaction Log'!$C:$C,"&gt;="&amp;S1,'Checking Transaction Log'!$C:$C,"&lt;="&amp;T1,'Checking Transaction Log'!$A:$A,"F",'Checking Transaction Log'!$B:$B,22)</f>
        <v>103.22000000000001</v>
      </c>
      <c r="T27" s="232">
        <f t="shared" si="24"/>
        <v>-3.2200000000000131</v>
      </c>
      <c r="U27" s="273">
        <f>SUMIFS('Checking Transaction Log'!$E:$E,'Checking Transaction Log'!$C:$C,"&gt;="&amp;U1,'Checking Transaction Log'!$C:$C,"&lt;="&amp;V1,'Checking Transaction Log'!$A:$A,"F",'Checking Transaction Log'!$B:$B,22)</f>
        <v>103.22000000000001</v>
      </c>
      <c r="V27" s="273">
        <f t="shared" si="25"/>
        <v>-3.2200000000000131</v>
      </c>
      <c r="W27" s="236">
        <f>SUMIFS('Checking Transaction Log'!$E:$E,'Checking Transaction Log'!$C:$C,"&gt;="&amp;W1,'Checking Transaction Log'!$C:$C,"&lt;="&amp;X1,'Checking Transaction Log'!$A:$A,"F",'Checking Transaction Log'!$B:$B,22)</f>
        <v>90.46</v>
      </c>
      <c r="X27" s="236">
        <f t="shared" si="26"/>
        <v>9.5400000000000063</v>
      </c>
      <c r="Y27" s="276">
        <f>SUMIFS('Checking Transaction Log'!$E:$E,'Checking Transaction Log'!$C:$C,"&gt;="&amp;Y1,'Checking Transaction Log'!$C:$C,"&lt;="&amp;Z1,'Checking Transaction Log'!$A:$A,"F",'Checking Transaction Log'!$B:$B,22)</f>
        <v>154.30000000000004</v>
      </c>
      <c r="Z27" s="276">
        <f t="shared" si="27"/>
        <v>-54.30000000000004</v>
      </c>
      <c r="AA27" s="278">
        <f>SUMIFS('Checking Transaction Log'!$E:$E,'Checking Transaction Log'!$C:$C,"&gt;="&amp;AA1,'Checking Transaction Log'!$C:$C,"&lt;="&amp;AB1,'Checking Transaction Log'!$A:$A,"F",'Checking Transaction Log'!$B:$B,22)</f>
        <v>374.78000000000003</v>
      </c>
      <c r="AB27" s="278">
        <f t="shared" si="28"/>
        <v>-274.78000000000003</v>
      </c>
      <c r="AC27" s="280">
        <f>SUMIFS('Checking Transaction Log'!$E:$E,'Checking Transaction Log'!$C:$C,"&gt;="&amp;AC1,'Checking Transaction Log'!$C:$C,"&lt;="&amp;AD1,'Checking Transaction Log'!$A:$A,"F",'Checking Transaction Log'!$B:$B,22)</f>
        <v>0</v>
      </c>
      <c r="AD27" s="280">
        <f t="shared" si="29"/>
        <v>100</v>
      </c>
      <c r="AE27" s="282">
        <f>SUMIFS('Checking Transaction Log'!$E:$E,'Checking Transaction Log'!$C:$C,"&gt;="&amp;AE1,'Checking Transaction Log'!$C:$C,"&lt;="&amp;AF1,'Checking Transaction Log'!$A:$A,"F",'Checking Transaction Log'!$B:$B,22)</f>
        <v>0</v>
      </c>
      <c r="AF27" s="282">
        <f t="shared" si="30"/>
        <v>100</v>
      </c>
    </row>
    <row r="28" spans="1:32" ht="11.25" customHeight="1" x14ac:dyDescent="0.25">
      <c r="A28" s="284" t="str">
        <f>'Proposed Budget'!A28</f>
        <v>F</v>
      </c>
      <c r="B28" s="255">
        <f>'Proposed Budget'!B28</f>
        <v>23</v>
      </c>
      <c r="C28" s="287" t="str">
        <f>'Proposed Budget'!C28</f>
        <v>GM Financial/Toyota</v>
      </c>
      <c r="D28" s="288">
        <f t="shared" ca="1" si="16"/>
        <v>924.61236279069783</v>
      </c>
      <c r="E28" s="289">
        <f t="shared" si="17"/>
        <v>9148.86</v>
      </c>
      <c r="F28" s="289">
        <f>J28+L28+N28+P28+R28+T28+V28+X28+Z28+AB28</f>
        <v>2851.139999999999</v>
      </c>
      <c r="G28" s="269">
        <f t="shared" si="18"/>
        <v>0.237595</v>
      </c>
      <c r="H28" s="289">
        <f>'Proposed Budget'!D28</f>
        <v>1200</v>
      </c>
      <c r="I28" s="270">
        <f>SUMIFS('Checking Transaction Log'!E:E,'Checking Transaction Log'!C:C,"&gt;="&amp;I1,'Checking Transaction Log'!C:C,"&lt;="&amp;J1,'Checking Transaction Log'!A:A,"F",'Checking Transaction Log'!B:B,23)</f>
        <v>1180.3400000000001</v>
      </c>
      <c r="J28" s="270">
        <f t="shared" si="19"/>
        <v>19.659999999999854</v>
      </c>
      <c r="K28" s="232">
        <f>SUMIFS('Checking Transaction Log'!E:E,'Checking Transaction Log'!C:C,"&gt;="&amp;K1,'Checking Transaction Log'!C:C,"&lt;="&amp;L1,'Checking Transaction Log'!A:A,"F",'Checking Transaction Log'!B:B,23)</f>
        <v>1180.3400000000001</v>
      </c>
      <c r="L28" s="232">
        <f t="shared" si="20"/>
        <v>19.659999999999854</v>
      </c>
      <c r="M28" s="273">
        <f>SUMIFS('Checking Transaction Log'!$E:$E,'Checking Transaction Log'!$C:$C,"&gt;="&amp;M1,'Checking Transaction Log'!$C:$C,"&lt;="&amp;N1,'Checking Transaction Log'!$A:$A,"F",'Checking Transaction Log'!$B:$B,23)</f>
        <v>1180.3400000000001</v>
      </c>
      <c r="N28" s="273">
        <f t="shared" si="21"/>
        <v>19.659999999999854</v>
      </c>
      <c r="O28" s="236">
        <f>SUMIFS('Checking Transaction Log'!$E:$E,'Checking Transaction Log'!$C:$C,"&gt;="&amp;O1,'Checking Transaction Log'!$C:$C,"&lt;="&amp;P1,'Checking Transaction Log'!$A:$A,"F",'Checking Transaction Log'!$B:$B,23)</f>
        <v>1180.3400000000001</v>
      </c>
      <c r="P28" s="236">
        <f t="shared" si="22"/>
        <v>19.659999999999854</v>
      </c>
      <c r="Q28" s="270">
        <f>SUMIFS('Checking Transaction Log'!$E:$E,'Checking Transaction Log'!$C:$C,"&gt;="&amp;Q1,'Checking Transaction Log'!$C:$C,"&lt;="&amp;R1,'Checking Transaction Log'!$A:$A,"F",'Checking Transaction Log'!$B:$B,23)</f>
        <v>1180.3400000000001</v>
      </c>
      <c r="R28" s="270">
        <f t="shared" si="23"/>
        <v>19.659999999999854</v>
      </c>
      <c r="S28" s="232">
        <f>SUMIFS('Checking Transaction Log'!$E:$E,'Checking Transaction Log'!$C:$C,"&gt;="&amp;S1,'Checking Transaction Log'!$C:$C,"&lt;="&amp;T1,'Checking Transaction Log'!$A:$A,"F",'Checking Transaction Log'!$B:$B,23)</f>
        <v>1129.3200000000002</v>
      </c>
      <c r="T28" s="232">
        <f t="shared" si="24"/>
        <v>70.679999999999836</v>
      </c>
      <c r="U28" s="273">
        <f>SUMIFS('Checking Transaction Log'!$E:$E,'Checking Transaction Log'!$C:$C,"&gt;="&amp;U1,'Checking Transaction Log'!$C:$C,"&lt;="&amp;V1,'Checking Transaction Log'!$A:$A,"F",'Checking Transaction Log'!$B:$B,23)</f>
        <v>529.46</v>
      </c>
      <c r="V28" s="273">
        <f t="shared" si="25"/>
        <v>670.54</v>
      </c>
      <c r="W28" s="236">
        <f>SUMIFS('Checking Transaction Log'!$E:$E,'Checking Transaction Log'!$C:$C,"&gt;="&amp;W1,'Checking Transaction Log'!$C:$C,"&lt;="&amp;X1,'Checking Transaction Log'!$A:$A,"F",'Checking Transaction Log'!$B:$B,23)</f>
        <v>529.46</v>
      </c>
      <c r="X28" s="236">
        <f t="shared" si="26"/>
        <v>670.54</v>
      </c>
      <c r="Y28" s="276">
        <f>SUMIFS('Checking Transaction Log'!$E:$E,'Checking Transaction Log'!$C:$C,"&gt;="&amp;Y1,'Checking Transaction Log'!$C:$C,"&lt;="&amp;Z1,'Checking Transaction Log'!$A:$A,"F",'Checking Transaction Log'!$B:$B,23)</f>
        <v>529.46</v>
      </c>
      <c r="Z28" s="276">
        <f t="shared" si="27"/>
        <v>670.54</v>
      </c>
      <c r="AA28" s="278">
        <f>SUMIFS('Checking Transaction Log'!$E:$E,'Checking Transaction Log'!$C:$C,"&gt;="&amp;AA1,'Checking Transaction Log'!$C:$C,"&lt;="&amp;AB1,'Checking Transaction Log'!$A:$A,"F",'Checking Transaction Log'!$B:$B,23)</f>
        <v>529.46</v>
      </c>
      <c r="AB28" s="278">
        <f t="shared" si="28"/>
        <v>670.54</v>
      </c>
      <c r="AC28" s="280">
        <f>SUMIFS('Checking Transaction Log'!$E:$E,'Checking Transaction Log'!$C:$C,"&gt;="&amp;AC1,'Checking Transaction Log'!$C:$C,"&lt;="&amp;AD1,'Checking Transaction Log'!$A:$A,"F",'Checking Transaction Log'!$B:$B,23)</f>
        <v>0</v>
      </c>
      <c r="AD28" s="280">
        <f t="shared" si="29"/>
        <v>1200</v>
      </c>
      <c r="AE28" s="282">
        <f>SUMIFS('Checking Transaction Log'!$E:$E,'Checking Transaction Log'!$C:$C,"&gt;="&amp;AE1,'Checking Transaction Log'!$C:$C,"&lt;="&amp;AF1,'Checking Transaction Log'!$A:$A,"F",'Checking Transaction Log'!$B:$B,23)</f>
        <v>0</v>
      </c>
      <c r="AF28" s="282">
        <f t="shared" si="30"/>
        <v>1200</v>
      </c>
    </row>
    <row r="29" spans="1:32" ht="11.25" customHeight="1" x14ac:dyDescent="0.25">
      <c r="A29" s="284" t="str">
        <f>'Proposed Budget'!A29</f>
        <v>F</v>
      </c>
      <c r="B29" s="255">
        <f>'Proposed Budget'!B29</f>
        <v>24</v>
      </c>
      <c r="C29" s="287" t="str">
        <f>'Proposed Budget'!C29</f>
        <v>Ohio Turnpike</v>
      </c>
      <c r="D29" s="288">
        <f t="shared" ca="1" si="16"/>
        <v>103.33704318936877</v>
      </c>
      <c r="E29" s="289">
        <f t="shared" si="17"/>
        <v>1022.5</v>
      </c>
      <c r="F29" s="289">
        <f>J29+L29+N29+P29+R29+T29+V29+X29+Z29+AB29</f>
        <v>177.5</v>
      </c>
      <c r="G29" s="269">
        <f t="shared" si="18"/>
        <v>0.1479166666666667</v>
      </c>
      <c r="H29" s="289">
        <f>'Proposed Budget'!D29</f>
        <v>120</v>
      </c>
      <c r="I29" s="270">
        <f>SUMIFS('Checking Transaction Log'!E:E,'Checking Transaction Log'!C:C,"&gt;="&amp;I1,'Checking Transaction Log'!C:C,"&lt;="&amp;J1,'Checking Transaction Log'!A:A,"F",'Checking Transaction Log'!B:B,24)</f>
        <v>83.42</v>
      </c>
      <c r="J29" s="270">
        <f t="shared" si="19"/>
        <v>36.58</v>
      </c>
      <c r="K29" s="232">
        <f>SUMIFS('Checking Transaction Log'!E:E,'Checking Transaction Log'!C:C,"&gt;="&amp;K1,'Checking Transaction Log'!C:C,"&lt;="&amp;L1,'Checking Transaction Log'!A:A,"F",'Checking Transaction Log'!B:B,24)</f>
        <v>168.41</v>
      </c>
      <c r="L29" s="232">
        <f t="shared" si="20"/>
        <v>-48.41</v>
      </c>
      <c r="M29" s="273">
        <f>SUMIFS('Checking Transaction Log'!$E:$E,'Checking Transaction Log'!$C:$C,"&gt;="&amp;M1,'Checking Transaction Log'!$C:$C,"&lt;="&amp;N1,'Checking Transaction Log'!$A:$A,"F",'Checking Transaction Log'!$B:$B,24)</f>
        <v>86.58</v>
      </c>
      <c r="N29" s="273">
        <f t="shared" si="21"/>
        <v>33.42</v>
      </c>
      <c r="O29" s="236">
        <f>SUMIFS('Checking Transaction Log'!$E:$E,'Checking Transaction Log'!$C:$C,"&gt;="&amp;O1,'Checking Transaction Log'!$C:$C,"&lt;="&amp;P1,'Checking Transaction Log'!$A:$A,"F",'Checking Transaction Log'!$B:$B,24)</f>
        <v>105.33</v>
      </c>
      <c r="P29" s="236">
        <f t="shared" si="22"/>
        <v>14.670000000000002</v>
      </c>
      <c r="Q29" s="270">
        <f>SUMIFS('Checking Transaction Log'!$E:$E,'Checking Transaction Log'!$C:$C,"&gt;="&amp;Q1,'Checking Transaction Log'!$C:$C,"&lt;="&amp;R1,'Checking Transaction Log'!$A:$A,"F",'Checking Transaction Log'!$B:$B,24)</f>
        <v>109.92</v>
      </c>
      <c r="R29" s="270">
        <f t="shared" si="23"/>
        <v>10.079999999999998</v>
      </c>
      <c r="S29" s="232">
        <f>SUMIFS('Checking Transaction Log'!$E:$E,'Checking Transaction Log'!$C:$C,"&gt;="&amp;S1,'Checking Transaction Log'!$C:$C,"&lt;="&amp;T1,'Checking Transaction Log'!$A:$A,"F",'Checking Transaction Log'!$B:$B,24)</f>
        <v>109.5</v>
      </c>
      <c r="T29" s="232">
        <f t="shared" si="24"/>
        <v>10.5</v>
      </c>
      <c r="U29" s="273">
        <f>SUMIFS('Checking Transaction Log'!$E:$E,'Checking Transaction Log'!$C:$C,"&gt;="&amp;U1,'Checking Transaction Log'!$C:$C,"&lt;="&amp;V1,'Checking Transaction Log'!$A:$A,"F",'Checking Transaction Log'!$B:$B,24)</f>
        <v>92.25</v>
      </c>
      <c r="V29" s="273">
        <f t="shared" si="25"/>
        <v>27.75</v>
      </c>
      <c r="W29" s="236">
        <f>SUMIFS('Checking Transaction Log'!$E:$E,'Checking Transaction Log'!$C:$C,"&gt;="&amp;W1,'Checking Transaction Log'!$C:$C,"&lt;="&amp;X1,'Checking Transaction Log'!$A:$A,"F",'Checking Transaction Log'!$B:$B,24)</f>
        <v>83.5</v>
      </c>
      <c r="X29" s="236">
        <f t="shared" si="26"/>
        <v>36.5</v>
      </c>
      <c r="Y29" s="276">
        <f>SUMIFS('Checking Transaction Log'!$E:$E,'Checking Transaction Log'!$C:$C,"&gt;="&amp;Y1,'Checking Transaction Log'!$C:$C,"&lt;="&amp;Z1,'Checking Transaction Log'!$A:$A,"F",'Checking Transaction Log'!$B:$B,24)</f>
        <v>88.17</v>
      </c>
      <c r="Z29" s="276">
        <f t="shared" si="27"/>
        <v>31.83</v>
      </c>
      <c r="AA29" s="278">
        <f>SUMIFS('Checking Transaction Log'!$E:$E,'Checking Transaction Log'!$C:$C,"&gt;="&amp;AA1,'Checking Transaction Log'!$C:$C,"&lt;="&amp;AB1,'Checking Transaction Log'!$A:$A,"F",'Checking Transaction Log'!$B:$B,24)</f>
        <v>95.42</v>
      </c>
      <c r="AB29" s="278">
        <f t="shared" si="28"/>
        <v>24.58</v>
      </c>
      <c r="AC29" s="280">
        <f>SUMIFS('Checking Transaction Log'!$E:$E,'Checking Transaction Log'!$C:$C,"&gt;="&amp;AC1,'Checking Transaction Log'!$C:$C,"&lt;="&amp;AD1,'Checking Transaction Log'!$A:$A,"F",'Checking Transaction Log'!$B:$B,24)</f>
        <v>0</v>
      </c>
      <c r="AD29" s="280">
        <f t="shared" si="29"/>
        <v>120</v>
      </c>
      <c r="AE29" s="282">
        <f>SUMIFS('Checking Transaction Log'!$E:$E,'Checking Transaction Log'!$C:$C,"&gt;="&amp;AE1,'Checking Transaction Log'!$C:$C,"&lt;="&amp;AF1,'Checking Transaction Log'!$A:$A,"F",'Checking Transaction Log'!$B:$B,24)</f>
        <v>0</v>
      </c>
      <c r="AF29" s="282">
        <f t="shared" si="30"/>
        <v>120</v>
      </c>
    </row>
    <row r="30" spans="1:32" ht="11.25" customHeight="1" x14ac:dyDescent="0.25">
      <c r="A30" s="284" t="str">
        <f>'Proposed Budget'!A30</f>
        <v>F</v>
      </c>
      <c r="B30" s="255">
        <f>'Proposed Budget'!B30</f>
        <v>42</v>
      </c>
      <c r="C30" s="287" t="str">
        <f>'Proposed Budget'!C30</f>
        <v>Water Bill - Main</v>
      </c>
      <c r="D30" s="288">
        <f t="shared" ca="1" si="16"/>
        <v>92.181695681063132</v>
      </c>
      <c r="E30" s="289">
        <f t="shared" si="17"/>
        <v>912.12</v>
      </c>
      <c r="F30" s="289">
        <f>J30+L30+N30+P30+R30+T30+V30+X30+Z30+AB30</f>
        <v>-162.11999999999998</v>
      </c>
      <c r="G30" s="269">
        <f t="shared" si="18"/>
        <v>-0.21615999999999991</v>
      </c>
      <c r="H30" s="289">
        <f>'Proposed Budget'!D30</f>
        <v>75</v>
      </c>
      <c r="I30" s="270">
        <f>SUMIFS('Checking Transaction Log'!E:E,'Checking Transaction Log'!C:C,"&gt;="&amp;I1,'Checking Transaction Log'!C:C,"&lt;="&amp;J1,'Checking Transaction Log'!A:A,"F",'Checking Transaction Log'!B:B,42)</f>
        <v>80.989999999999995</v>
      </c>
      <c r="J30" s="270">
        <f t="shared" si="19"/>
        <v>-5.9899999999999949</v>
      </c>
      <c r="K30" s="232">
        <f>SUMIFS('Checking Transaction Log'!E:E,'Checking Transaction Log'!C:C,"&gt;="&amp;K1,'Checking Transaction Log'!C:C,"&lt;="&amp;L1,'Checking Transaction Log'!A:A,"F",'Checking Transaction Log'!B:B,42)</f>
        <v>88.44</v>
      </c>
      <c r="L30" s="232">
        <f t="shared" si="20"/>
        <v>-13.439999999999998</v>
      </c>
      <c r="M30" s="273">
        <f>SUMIFS('Checking Transaction Log'!$E:$E,'Checking Transaction Log'!$C:$C,"&gt;="&amp;M1,'Checking Transaction Log'!$C:$C,"&lt;="&amp;N1,'Checking Transaction Log'!$A:$A,"F",'Checking Transaction Log'!$B:$B,42)</f>
        <v>96.25</v>
      </c>
      <c r="N30" s="273">
        <f t="shared" si="21"/>
        <v>-21.25</v>
      </c>
      <c r="O30" s="236">
        <f>SUMIFS('Checking Transaction Log'!$E:$E,'Checking Transaction Log'!$C:$C,"&gt;="&amp;O1,'Checking Transaction Log'!$C:$C,"&lt;="&amp;P1,'Checking Transaction Log'!$A:$A,"F",'Checking Transaction Log'!$B:$B,42)</f>
        <v>88.17</v>
      </c>
      <c r="P30" s="236">
        <f t="shared" si="22"/>
        <v>-13.170000000000002</v>
      </c>
      <c r="Q30" s="270">
        <f>SUMIFS('Checking Transaction Log'!$E:$E,'Checking Transaction Log'!$C:$C,"&gt;="&amp;Q1,'Checking Transaction Log'!$C:$C,"&lt;="&amp;R1,'Checking Transaction Log'!$A:$A,"F",'Checking Transaction Log'!$B:$B,42)</f>
        <v>80.72</v>
      </c>
      <c r="R30" s="270">
        <f t="shared" si="23"/>
        <v>-5.7199999999999989</v>
      </c>
      <c r="S30" s="232">
        <f>SUMIFS('Checking Transaction Log'!$E:$E,'Checking Transaction Log'!$C:$C,"&gt;="&amp;S1,'Checking Transaction Log'!$C:$C,"&lt;="&amp;T1,'Checking Transaction Log'!$A:$A,"F",'Checking Transaction Log'!$B:$B,42)</f>
        <v>173.9</v>
      </c>
      <c r="T30" s="232">
        <f t="shared" si="24"/>
        <v>-98.9</v>
      </c>
      <c r="U30" s="273">
        <f>SUMIFS('Checking Transaction Log'!$E:$E,'Checking Transaction Log'!$C:$C,"&gt;="&amp;U1,'Checking Transaction Log'!$C:$C,"&lt;="&amp;V1,'Checking Transaction Log'!$A:$A,"F",'Checking Transaction Log'!$B:$B,42)</f>
        <v>88.8</v>
      </c>
      <c r="V30" s="273">
        <f t="shared" si="25"/>
        <v>-13.799999999999997</v>
      </c>
      <c r="W30" s="236">
        <f>SUMIFS('Checking Transaction Log'!$E:$E,'Checking Transaction Log'!$C:$C,"&gt;="&amp;W1,'Checking Transaction Log'!$C:$C,"&lt;="&amp;X1,'Checking Transaction Log'!$A:$A,"F",'Checking Transaction Log'!$B:$B,42)</f>
        <v>81.349999999999994</v>
      </c>
      <c r="X30" s="236">
        <f t="shared" si="26"/>
        <v>-6.3499999999999943</v>
      </c>
      <c r="Y30" s="276">
        <f>SUMIFS('Checking Transaction Log'!$E:$E,'Checking Transaction Log'!$C:$C,"&gt;="&amp;Y1,'Checking Transaction Log'!$C:$C,"&lt;="&amp;Z1,'Checking Transaction Log'!$A:$A,"F",'Checking Transaction Log'!$B:$B,42)</f>
        <v>111.15</v>
      </c>
      <c r="Z30" s="276">
        <f t="shared" si="27"/>
        <v>-36.150000000000006</v>
      </c>
      <c r="AA30" s="278">
        <f>SUMIFS('Checking Transaction Log'!$E:$E,'Checking Transaction Log'!$C:$C,"&gt;="&amp;AA1,'Checking Transaction Log'!$C:$C,"&lt;="&amp;AB1,'Checking Transaction Log'!$A:$A,"F",'Checking Transaction Log'!$B:$B,42)</f>
        <v>22.35</v>
      </c>
      <c r="AB30" s="278">
        <f t="shared" si="28"/>
        <v>52.65</v>
      </c>
      <c r="AC30" s="280">
        <f>SUMIFS('Checking Transaction Log'!$E:$E,'Checking Transaction Log'!$C:$C,"&gt;="&amp;AC1,'Checking Transaction Log'!$C:$C,"&lt;="&amp;AD1,'Checking Transaction Log'!$A:$A,"F",'Checking Transaction Log'!$B:$B,42)</f>
        <v>0</v>
      </c>
      <c r="AD30" s="280">
        <f t="shared" si="29"/>
        <v>75</v>
      </c>
      <c r="AE30" s="282">
        <f>SUMIFS('Checking Transaction Log'!$E:$E,'Checking Transaction Log'!$C:$C,"&gt;="&amp;AE1,'Checking Transaction Log'!$C:$C,"&lt;="&amp;AF1,'Checking Transaction Log'!$A:$A,"F",'Checking Transaction Log'!$B:$B,42)</f>
        <v>0</v>
      </c>
      <c r="AF30" s="282">
        <f t="shared" si="30"/>
        <v>75</v>
      </c>
    </row>
    <row r="31" spans="1:32" ht="11.25" customHeight="1" x14ac:dyDescent="0.25">
      <c r="A31" s="284" t="str">
        <f>'Proposed Budget'!A31</f>
        <v>F</v>
      </c>
      <c r="B31" s="255">
        <f>'Proposed Budget'!B31</f>
        <v>43</v>
      </c>
      <c r="C31" s="287" t="str">
        <f>'Proposed Budget'!C31</f>
        <v>Water Bill - Rental</v>
      </c>
      <c r="D31" s="288">
        <f t="shared" ca="1" si="16"/>
        <v>64.25492292358804</v>
      </c>
      <c r="E31" s="289">
        <f t="shared" si="17"/>
        <v>635.79</v>
      </c>
      <c r="F31" s="289">
        <f>J31+L31+N31+P31+R31+T31+V31+X31+Z31+AB31</f>
        <v>114.20999999999998</v>
      </c>
      <c r="G31" s="269">
        <f t="shared" si="18"/>
        <v>0.15228000000000008</v>
      </c>
      <c r="H31" s="289">
        <f>'Proposed Budget'!D31</f>
        <v>75</v>
      </c>
      <c r="I31" s="270">
        <f>SUMIFS('Checking Transaction Log'!E:E,'Checking Transaction Log'!C:C,"&gt;="&amp;I1,'Checking Transaction Log'!C:C,"&lt;="&amp;J1,'Checking Transaction Log'!A:A,"F",'Checking Transaction Log'!B:B,43)</f>
        <v>66.53</v>
      </c>
      <c r="J31" s="270">
        <f t="shared" si="19"/>
        <v>8.4699999999999989</v>
      </c>
      <c r="K31" s="232">
        <f>SUMIFS('Checking Transaction Log'!E:E,'Checking Transaction Log'!C:C,"&gt;="&amp;K1,'Checking Transaction Log'!C:C,"&lt;="&amp;L1,'Checking Transaction Log'!A:A,"F",'Checking Transaction Log'!B:B,43)</f>
        <v>66.97</v>
      </c>
      <c r="L31" s="232">
        <f t="shared" si="20"/>
        <v>8.0300000000000011</v>
      </c>
      <c r="M31" s="273">
        <f>SUMIFS('Checking Transaction Log'!$E:$E,'Checking Transaction Log'!$C:$C,"&gt;="&amp;M1,'Checking Transaction Log'!$C:$C,"&lt;="&amp;N1,'Checking Transaction Log'!$A:$A,"F",'Checking Transaction Log'!$B:$B,43)</f>
        <v>65.19</v>
      </c>
      <c r="N31" s="273">
        <f t="shared" si="21"/>
        <v>9.8100000000000023</v>
      </c>
      <c r="O31" s="236">
        <f>SUMIFS('Checking Transaction Log'!$E:$E,'Checking Transaction Log'!$C:$C,"&gt;="&amp;O1,'Checking Transaction Log'!$C:$C,"&lt;="&amp;P1,'Checking Transaction Log'!$A:$A,"F",'Checking Transaction Log'!$B:$B,43)</f>
        <v>73.27000000000001</v>
      </c>
      <c r="P31" s="236">
        <f t="shared" si="22"/>
        <v>1.7299999999999898</v>
      </c>
      <c r="Q31" s="270">
        <f>SUMIFS('Checking Transaction Log'!$E:$E,'Checking Transaction Log'!$C:$C,"&gt;="&amp;Q1,'Checking Transaction Log'!$C:$C,"&lt;="&amp;R1,'Checking Transaction Log'!$A:$A,"F",'Checking Transaction Log'!$B:$B,43)</f>
        <v>65.19</v>
      </c>
      <c r="R31" s="270">
        <f t="shared" si="23"/>
        <v>9.8100000000000023</v>
      </c>
      <c r="S31" s="232">
        <f>SUMIFS('Checking Transaction Log'!$E:$E,'Checking Transaction Log'!$C:$C,"&gt;="&amp;S1,'Checking Transaction Log'!$C:$C,"&lt;="&amp;T1,'Checking Transaction Log'!$A:$A,"F",'Checking Transaction Log'!$B:$B,43)</f>
        <v>72.64</v>
      </c>
      <c r="T31" s="232">
        <f t="shared" si="24"/>
        <v>2.3599999999999994</v>
      </c>
      <c r="U31" s="273">
        <f>SUMIFS('Checking Transaction Log'!$E:$E,'Checking Transaction Log'!$C:$C,"&gt;="&amp;U1,'Checking Transaction Log'!$C:$C,"&lt;="&amp;V1,'Checking Transaction Log'!$A:$A,"F",'Checking Transaction Log'!$B:$B,43)</f>
        <v>73.27000000000001</v>
      </c>
      <c r="V31" s="273">
        <f t="shared" si="25"/>
        <v>1.7299999999999898</v>
      </c>
      <c r="W31" s="236">
        <f>SUMIFS('Checking Transaction Log'!$E:$E,'Checking Transaction Log'!$C:$C,"&gt;="&amp;W1,'Checking Transaction Log'!$C:$C,"&lt;="&amp;X1,'Checking Transaction Log'!$A:$A,"F",'Checking Transaction Log'!$B:$B,43)</f>
        <v>65.19</v>
      </c>
      <c r="X31" s="236">
        <f t="shared" si="26"/>
        <v>9.8100000000000023</v>
      </c>
      <c r="Y31" s="276">
        <f>SUMIFS('Checking Transaction Log'!$E:$E,'Checking Transaction Log'!$C:$C,"&gt;="&amp;Y1,'Checking Transaction Log'!$C:$C,"&lt;="&amp;Z1,'Checking Transaction Log'!$A:$A,"F",'Checking Transaction Log'!$B:$B,43)</f>
        <v>65.19</v>
      </c>
      <c r="Z31" s="276">
        <f t="shared" si="27"/>
        <v>9.8100000000000023</v>
      </c>
      <c r="AA31" s="278">
        <f>SUMIFS('Checking Transaction Log'!$E:$E,'Checking Transaction Log'!$C:$C,"&gt;="&amp;AA1,'Checking Transaction Log'!$C:$C,"&lt;="&amp;AB1,'Checking Transaction Log'!$A:$A,"F",'Checking Transaction Log'!$B:$B,43)</f>
        <v>22.35</v>
      </c>
      <c r="AB31" s="278">
        <f t="shared" si="28"/>
        <v>52.65</v>
      </c>
      <c r="AC31" s="280">
        <f>SUMIFS('Checking Transaction Log'!$E:$E,'Checking Transaction Log'!$C:$C,"&gt;="&amp;AC1,'Checking Transaction Log'!$C:$C,"&lt;="&amp;AD1,'Checking Transaction Log'!$A:$A,"F",'Checking Transaction Log'!$B:$B,43)</f>
        <v>0</v>
      </c>
      <c r="AD31" s="280">
        <f t="shared" si="29"/>
        <v>75</v>
      </c>
      <c r="AE31" s="282">
        <f>SUMIFS('Checking Transaction Log'!$E:$E,'Checking Transaction Log'!$C:$C,"&gt;="&amp;AE1,'Checking Transaction Log'!$C:$C,"&lt;="&amp;AF1,'Checking Transaction Log'!$A:$A,"F",'Checking Transaction Log'!$B:$B,43)</f>
        <v>0</v>
      </c>
      <c r="AF31" s="282">
        <f t="shared" si="30"/>
        <v>75</v>
      </c>
    </row>
    <row r="32" spans="1:32" ht="15" customHeight="1" x14ac:dyDescent="0.25">
      <c r="D32" s="39"/>
    </row>
    <row r="33" spans="1:32" ht="11.25" customHeight="1" x14ac:dyDescent="0.25">
      <c r="A33" s="284" t="str">
        <f>'Proposed Budget'!A33</f>
        <v>R</v>
      </c>
      <c r="B33" s="255">
        <f>'Proposed Budget'!B33</f>
        <v>25</v>
      </c>
      <c r="C33" s="287" t="str">
        <f>'Proposed Budget'!C33</f>
        <v>Vehicle Maintenance</v>
      </c>
      <c r="D33" s="288">
        <f t="shared" ref="D33:D43" ca="1" si="31">(E33/(TODAY()-$I$1))*30.42</f>
        <v>318.34883720930236</v>
      </c>
      <c r="E33" s="289">
        <f t="shared" ref="E33:E43" si="32">Q33+S33+U33+W33+Y33+AA33+AC33+AE33+I33+K33+M33+O33</f>
        <v>3150</v>
      </c>
      <c r="F33" s="289">
        <f>J33+L33+N33+P33+R33+T33+V33+X33+Z33+AB33</f>
        <v>350</v>
      </c>
      <c r="G33" s="269">
        <f t="shared" ref="G33:G43" si="33">1-((E33/SUM(E33:F33)))</f>
        <v>9.9999999999999978E-2</v>
      </c>
      <c r="H33" s="289">
        <f>'Proposed Budget'!D33</f>
        <v>350</v>
      </c>
      <c r="I33" s="270">
        <f>SUMIFS('Checking Transaction Log'!$E:$E,'Checking Transaction Log'!$C:$C,"&gt;="&amp;I1,'Checking Transaction Log'!$C:$C,"&lt;="&amp;J1,'Checking Transaction Log'!$A:$A,"R",'Checking Transaction Log'!$B:$B,25)</f>
        <v>350</v>
      </c>
      <c r="J33" s="270">
        <f t="shared" ref="J33:J43" si="34">H33-I33</f>
        <v>0</v>
      </c>
      <c r="K33" s="232">
        <f>SUMIFS('Checking Transaction Log'!$E:$E,'Checking Transaction Log'!$C:$C,"&gt;="&amp;K1,'Checking Transaction Log'!$C:$C,"&lt;="&amp;L1,'Checking Transaction Log'!$A:$A,"R",'Checking Transaction Log'!$B:$B,25)</f>
        <v>350</v>
      </c>
      <c r="L33" s="232">
        <f t="shared" ref="L33:L43" si="35">H33-K33</f>
        <v>0</v>
      </c>
      <c r="M33" s="273">
        <f>SUMIFS('Checking Transaction Log'!$E:$E,'Checking Transaction Log'!$C:$C,"&gt;="&amp;M1,'Checking Transaction Log'!$C:$C,"&lt;="&amp;N1,'Checking Transaction Log'!$A:$A,"R",'Checking Transaction Log'!$B:$B,25)</f>
        <v>350</v>
      </c>
      <c r="N33" s="273">
        <f t="shared" ref="N33:N43" si="36">H33-M33</f>
        <v>0</v>
      </c>
      <c r="O33" s="236">
        <f>SUMIFS('Checking Transaction Log'!$E:$E,'Checking Transaction Log'!$C:$C,"&gt;="&amp;O1,'Checking Transaction Log'!$C:$C,"&lt;="&amp;P1,'Checking Transaction Log'!$A:$A,"R",'Checking Transaction Log'!$B:$B,25)</f>
        <v>350</v>
      </c>
      <c r="P33" s="236">
        <f t="shared" ref="P33:P43" si="37">H33-O33</f>
        <v>0</v>
      </c>
      <c r="Q33" s="270">
        <f>SUMIFS('Checking Transaction Log'!$E:$E,'Checking Transaction Log'!$C:$C,"&gt;="&amp;Q1,'Checking Transaction Log'!$C:$C,"&lt;="&amp;R1,'Checking Transaction Log'!$A:$A,"R",'Checking Transaction Log'!$B:$B,25)</f>
        <v>350</v>
      </c>
      <c r="R33" s="270">
        <f t="shared" ref="R33:R43" si="38">H33-Q33</f>
        <v>0</v>
      </c>
      <c r="S33" s="232">
        <f>SUMIFS('Checking Transaction Log'!$E:$E,'Checking Transaction Log'!$C:$C,"&gt;="&amp;S1,'Checking Transaction Log'!$C:$C,"&lt;="&amp;T1,'Checking Transaction Log'!$A:$A,"R",'Checking Transaction Log'!$B:$B,25)</f>
        <v>350</v>
      </c>
      <c r="T33" s="232">
        <f t="shared" ref="T33:T43" si="39">H33-S33</f>
        <v>0</v>
      </c>
      <c r="U33" s="273">
        <f>SUMIFS('Checking Transaction Log'!$E:$E,'Checking Transaction Log'!$C:$C,"&gt;="&amp;U1,'Checking Transaction Log'!$C:$C,"&lt;="&amp;V1,'Checking Transaction Log'!$A:$A,"R",'Checking Transaction Log'!$B:$B,25)</f>
        <v>350</v>
      </c>
      <c r="V33" s="273">
        <f t="shared" ref="V33:V43" si="40">H33-U33</f>
        <v>0</v>
      </c>
      <c r="W33" s="236">
        <f>SUMIFS('Checking Transaction Log'!$E:$E,'Checking Transaction Log'!$C:$C,"&gt;="&amp;W1,'Checking Transaction Log'!$C:$C,"&lt;="&amp;X1,'Checking Transaction Log'!$A:$A,"R",'Checking Transaction Log'!$B:$B,25)</f>
        <v>350</v>
      </c>
      <c r="X33" s="236">
        <f t="shared" ref="X33:X43" si="41">H33-W33</f>
        <v>0</v>
      </c>
      <c r="Y33" s="276">
        <f>SUMIFS('Checking Transaction Log'!$E:$E,'Checking Transaction Log'!$C:$C,"&gt;="&amp;Y1,'Checking Transaction Log'!$C:$C,"&lt;="&amp;Z1,'Checking Transaction Log'!$A:$A,"R",'Checking Transaction Log'!$B:$B,25)</f>
        <v>350</v>
      </c>
      <c r="Z33" s="276">
        <f t="shared" ref="Z33:Z43" si="42">H33-Y33</f>
        <v>0</v>
      </c>
      <c r="AA33" s="278">
        <f>SUMIFS('Checking Transaction Log'!$E:$E,'Checking Transaction Log'!$C:$C,"&gt;="&amp;AA1,'Checking Transaction Log'!$C:$C,"&lt;="&amp;AB1,'Checking Transaction Log'!$A:$A,"R",'Checking Transaction Log'!$B:$B,25)</f>
        <v>0</v>
      </c>
      <c r="AB33" s="278">
        <f t="shared" ref="AB33:AB43" si="43">H33-AA33</f>
        <v>350</v>
      </c>
      <c r="AC33" s="280">
        <f>SUMIFS('Checking Transaction Log'!$E:$E,'Checking Transaction Log'!$C:$C,"&gt;="&amp;AC1,'Checking Transaction Log'!$C:$C,"&lt;="&amp;AD1,'Checking Transaction Log'!$A:$A,"R",'Checking Transaction Log'!$B:$B,25)</f>
        <v>0</v>
      </c>
      <c r="AD33" s="280">
        <f t="shared" ref="AD33:AD43" si="44">H33-AC33</f>
        <v>350</v>
      </c>
      <c r="AE33" s="282">
        <f>SUMIFS('Checking Transaction Log'!$E:$E,'Checking Transaction Log'!$C:$C,"&gt;="&amp;AE1,'Checking Transaction Log'!$C:$C,"&lt;="&amp;AF1,'Checking Transaction Log'!$A:$A,"R",'Checking Transaction Log'!$B:$B,25)</f>
        <v>0</v>
      </c>
      <c r="AF33" s="282">
        <f t="shared" ref="AF33:AF43" si="45">H33-AE33</f>
        <v>350</v>
      </c>
    </row>
    <row r="34" spans="1:32" ht="11.25" customHeight="1" x14ac:dyDescent="0.25">
      <c r="A34" s="284" t="str">
        <f>'Proposed Budget'!A34</f>
        <v>R</v>
      </c>
      <c r="B34" s="255">
        <f>'Proposed Budget'!B34</f>
        <v>26</v>
      </c>
      <c r="C34" s="287" t="str">
        <f>'Proposed Budget'!C34</f>
        <v>Car Insurance</v>
      </c>
      <c r="D34" s="288">
        <f t="shared" ca="1" si="31"/>
        <v>291.06179401993359</v>
      </c>
      <c r="E34" s="289">
        <f t="shared" si="32"/>
        <v>2880</v>
      </c>
      <c r="F34" s="289">
        <f>J34+L34+N34+P34+R34+T34+V34+X34+Z34+AB34</f>
        <v>320</v>
      </c>
      <c r="G34" s="269">
        <f t="shared" si="33"/>
        <v>9.9999999999999978E-2</v>
      </c>
      <c r="H34" s="289">
        <f>'Proposed Budget'!D34</f>
        <v>320</v>
      </c>
      <c r="I34" s="270">
        <f>SUMIFS('Checking Transaction Log'!E:E,'Checking Transaction Log'!C:C,"&gt;="&amp;I1,'Checking Transaction Log'!C:C,"&lt;="&amp;J1,'Checking Transaction Log'!A:A,"R",'Checking Transaction Log'!B:B,26)</f>
        <v>320</v>
      </c>
      <c r="J34" s="270">
        <f t="shared" si="34"/>
        <v>0</v>
      </c>
      <c r="K34" s="232">
        <f>SUMIFS('Checking Transaction Log'!$E:$E,'Checking Transaction Log'!$C:$C,"&gt;="&amp;K1,'Checking Transaction Log'!$C:$C,"&lt;="&amp;L1,'Checking Transaction Log'!$A:$A,"R",'Checking Transaction Log'!$B:$B,26)</f>
        <v>320</v>
      </c>
      <c r="L34" s="232">
        <f t="shared" si="35"/>
        <v>0</v>
      </c>
      <c r="M34" s="273">
        <f>SUMIFS('Checking Transaction Log'!$E:$E,'Checking Transaction Log'!$C:$C,"&gt;="&amp;M1,'Checking Transaction Log'!$C:$C,"&lt;="&amp;N1,'Checking Transaction Log'!$A:$A,"R",'Checking Transaction Log'!$B:$B,26)</f>
        <v>320</v>
      </c>
      <c r="N34" s="273">
        <f t="shared" si="36"/>
        <v>0</v>
      </c>
      <c r="O34" s="236">
        <f>SUMIFS('Checking Transaction Log'!$E:$E,'Checking Transaction Log'!$C:$C,"&gt;="&amp;O1,'Checking Transaction Log'!$C:$C,"&lt;="&amp;P1,'Checking Transaction Log'!$A:$A,"R",'Checking Transaction Log'!$B:$B,26)</f>
        <v>320</v>
      </c>
      <c r="P34" s="236">
        <f t="shared" si="37"/>
        <v>0</v>
      </c>
      <c r="Q34" s="270">
        <f>SUMIFS('Checking Transaction Log'!$E:$E,'Checking Transaction Log'!$C:$C,"&gt;="&amp;Q1,'Checking Transaction Log'!$C:$C,"&lt;="&amp;R1,'Checking Transaction Log'!$A:$A,"R",'Checking Transaction Log'!$B:$B,26)</f>
        <v>320</v>
      </c>
      <c r="R34" s="270">
        <f t="shared" si="38"/>
        <v>0</v>
      </c>
      <c r="S34" s="232">
        <f>SUMIFS('Checking Transaction Log'!$E:$E,'Checking Transaction Log'!$C:$C,"&gt;="&amp;S1,'Checking Transaction Log'!$C:$C,"&lt;="&amp;T1,'Checking Transaction Log'!$A:$A,"R",'Checking Transaction Log'!$B:$B,26)</f>
        <v>320</v>
      </c>
      <c r="T34" s="232">
        <f t="shared" si="39"/>
        <v>0</v>
      </c>
      <c r="U34" s="273">
        <f>SUMIFS('Checking Transaction Log'!$E:$E,'Checking Transaction Log'!$C:$C,"&gt;="&amp;U1,'Checking Transaction Log'!$C:$C,"&lt;="&amp;V1,'Checking Transaction Log'!$A:$A,"R",'Checking Transaction Log'!$B:$B,26)</f>
        <v>320</v>
      </c>
      <c r="V34" s="273">
        <f t="shared" si="40"/>
        <v>0</v>
      </c>
      <c r="W34" s="236">
        <f>SUMIFS('Checking Transaction Log'!$E:$E,'Checking Transaction Log'!$C:$C,"&gt;="&amp;W1,'Checking Transaction Log'!$C:$C,"&lt;="&amp;X1,'Checking Transaction Log'!$A:$A,"R",'Checking Transaction Log'!$B:$B,26)</f>
        <v>320</v>
      </c>
      <c r="X34" s="236">
        <f t="shared" si="41"/>
        <v>0</v>
      </c>
      <c r="Y34" s="276">
        <f>SUMIFS('Checking Transaction Log'!$E:$E,'Checking Transaction Log'!$C:$C,"&gt;="&amp;Y1,'Checking Transaction Log'!$C:$C,"&lt;="&amp;Z1,'Checking Transaction Log'!$A:$A,"R",'Checking Transaction Log'!$B:$B,26)</f>
        <v>320</v>
      </c>
      <c r="Z34" s="276">
        <f t="shared" si="42"/>
        <v>0</v>
      </c>
      <c r="AA34" s="278">
        <f>SUMIFS('Checking Transaction Log'!$E:$E,'Checking Transaction Log'!$C:$C,"&gt;="&amp;AA1,'Checking Transaction Log'!$C:$C,"&lt;="&amp;AB1,'Checking Transaction Log'!$A:$A,"R",'Checking Transaction Log'!$B:$B,26)</f>
        <v>0</v>
      </c>
      <c r="AB34" s="278">
        <f t="shared" si="43"/>
        <v>320</v>
      </c>
      <c r="AC34" s="280">
        <f>SUMIFS('Checking Transaction Log'!$E:$E,'Checking Transaction Log'!$C:$C,"&gt;="&amp;AC1,'Checking Transaction Log'!$C:$C,"&lt;="&amp;AD1,'Checking Transaction Log'!$A:$A,"R",'Checking Transaction Log'!$B:$B,26)</f>
        <v>0</v>
      </c>
      <c r="AD34" s="280">
        <f t="shared" si="44"/>
        <v>320</v>
      </c>
      <c r="AE34" s="282">
        <f>SUMIFS('Checking Transaction Log'!$E:$E,'Checking Transaction Log'!$C:$C,"&gt;="&amp;AE1,'Checking Transaction Log'!$C:$C,"&lt;="&amp;AF1,'Checking Transaction Log'!$A:$A,"R",'Checking Transaction Log'!$B:$B,26)</f>
        <v>0</v>
      </c>
      <c r="AF34" s="282">
        <f t="shared" si="45"/>
        <v>320</v>
      </c>
    </row>
    <row r="35" spans="1:32" ht="11.25" customHeight="1" x14ac:dyDescent="0.25">
      <c r="A35" s="284" t="str">
        <f>'Proposed Budget'!A35</f>
        <v>R</v>
      </c>
      <c r="B35" s="255">
        <f>'Proposed Budget'!B35</f>
        <v>27</v>
      </c>
      <c r="C35" s="287" t="str">
        <f>'Proposed Budget'!C35</f>
        <v>Rental Garbage</v>
      </c>
      <c r="D35" s="288">
        <f t="shared" ca="1" si="31"/>
        <v>22.739202657807311</v>
      </c>
      <c r="E35" s="289">
        <f t="shared" si="32"/>
        <v>225</v>
      </c>
      <c r="F35" s="289">
        <f>J35+L35+N35+P35+R35+T35+V35+X35+Z35+AB35</f>
        <v>25</v>
      </c>
      <c r="G35" s="269">
        <f t="shared" si="33"/>
        <v>9.9999999999999978E-2</v>
      </c>
      <c r="H35" s="289">
        <f>'Proposed Budget'!D35</f>
        <v>25</v>
      </c>
      <c r="I35" s="270">
        <f>SUMIFS('Checking Transaction Log'!E:E,'Checking Transaction Log'!C:C,"&gt;="&amp;I1,'Checking Transaction Log'!C:C,"&lt;="&amp;J1,'Checking Transaction Log'!A:A,"R",'Checking Transaction Log'!B:B,27)</f>
        <v>25</v>
      </c>
      <c r="J35" s="270">
        <f t="shared" si="34"/>
        <v>0</v>
      </c>
      <c r="K35" s="232">
        <f>SUMIFS('Checking Transaction Log'!$E:$E,'Checking Transaction Log'!$C:$C,"&gt;="&amp;K1,'Checking Transaction Log'!$C:$C,"&lt;="&amp;L1,'Checking Transaction Log'!$A:$A,"R",'Checking Transaction Log'!$B:$B,27)</f>
        <v>25</v>
      </c>
      <c r="L35" s="232">
        <f t="shared" si="35"/>
        <v>0</v>
      </c>
      <c r="M35" s="273">
        <f>SUMIFS('Checking Transaction Log'!$E:$E,'Checking Transaction Log'!$C:$C,"&gt;="&amp;M1,'Checking Transaction Log'!$C:$C,"&lt;="&amp;N1,'Checking Transaction Log'!$A:$A,"R",'Checking Transaction Log'!$B:$B,27)</f>
        <v>25</v>
      </c>
      <c r="N35" s="273">
        <f t="shared" si="36"/>
        <v>0</v>
      </c>
      <c r="O35" s="236">
        <f>SUMIFS('Checking Transaction Log'!$E:$E,'Checking Transaction Log'!$C:$C,"&gt;="&amp;O1,'Checking Transaction Log'!$C:$C,"&lt;="&amp;P1,'Checking Transaction Log'!$A:$A,"R",'Checking Transaction Log'!$B:$B,27)</f>
        <v>25</v>
      </c>
      <c r="P35" s="236">
        <f t="shared" si="37"/>
        <v>0</v>
      </c>
      <c r="Q35" s="270">
        <f>SUMIFS('Checking Transaction Log'!$E:$E,'Checking Transaction Log'!$C:$C,"&gt;="&amp;Q1,'Checking Transaction Log'!$C:$C,"&lt;="&amp;R1,'Checking Transaction Log'!$A:$A,"R",'Checking Transaction Log'!$B:$B,27)</f>
        <v>25</v>
      </c>
      <c r="R35" s="270">
        <f t="shared" si="38"/>
        <v>0</v>
      </c>
      <c r="S35" s="232">
        <f>SUMIFS('Checking Transaction Log'!$E:$E,'Checking Transaction Log'!$C:$C,"&gt;="&amp;S1,'Checking Transaction Log'!$C:$C,"&lt;="&amp;T1,'Checking Transaction Log'!$A:$A,"R",'Checking Transaction Log'!$B:$B,27)</f>
        <v>25</v>
      </c>
      <c r="T35" s="232">
        <f t="shared" si="39"/>
        <v>0</v>
      </c>
      <c r="U35" s="273">
        <f>SUMIFS('Checking Transaction Log'!$E:$E,'Checking Transaction Log'!$C:$C,"&gt;="&amp;U1,'Checking Transaction Log'!$C:$C,"&lt;="&amp;V1,'Checking Transaction Log'!$A:$A,"R",'Checking Transaction Log'!$B:$B,27)</f>
        <v>25</v>
      </c>
      <c r="V35" s="273">
        <f t="shared" si="40"/>
        <v>0</v>
      </c>
      <c r="W35" s="236">
        <f>SUMIFS('Checking Transaction Log'!$E:$E,'Checking Transaction Log'!$C:$C,"&gt;="&amp;W1,'Checking Transaction Log'!$C:$C,"&lt;="&amp;X1,'Checking Transaction Log'!$A:$A,"R",'Checking Transaction Log'!$B:$B,27)</f>
        <v>25</v>
      </c>
      <c r="X35" s="236">
        <f t="shared" si="41"/>
        <v>0</v>
      </c>
      <c r="Y35" s="276">
        <f>SUMIFS('Checking Transaction Log'!$E:$E,'Checking Transaction Log'!$C:$C,"&gt;="&amp;Y1,'Checking Transaction Log'!$C:$C,"&lt;="&amp;Z1,'Checking Transaction Log'!$A:$A,"R",'Checking Transaction Log'!$B:$B,27)</f>
        <v>25</v>
      </c>
      <c r="Z35" s="276">
        <f t="shared" si="42"/>
        <v>0</v>
      </c>
      <c r="AA35" s="278">
        <f>SUMIFS('Checking Transaction Log'!$E:$E,'Checking Transaction Log'!$C:$C,"&gt;="&amp;AA1,'Checking Transaction Log'!$C:$C,"&lt;="&amp;AB1,'Checking Transaction Log'!$A:$A,"R",'Checking Transaction Log'!$B:$B,27)</f>
        <v>0</v>
      </c>
      <c r="AB35" s="278">
        <f t="shared" si="43"/>
        <v>25</v>
      </c>
      <c r="AC35" s="280">
        <f>SUMIFS('Checking Transaction Log'!$E:$E,'Checking Transaction Log'!$C:$C,"&gt;="&amp;AC1,'Checking Transaction Log'!$C:$C,"&lt;="&amp;AD1,'Checking Transaction Log'!$A:$A,"R",'Checking Transaction Log'!$B:$B,27)</f>
        <v>0</v>
      </c>
      <c r="AD35" s="280">
        <f t="shared" si="44"/>
        <v>25</v>
      </c>
      <c r="AE35" s="282">
        <f>SUMIFS('Checking Transaction Log'!$E:$E,'Checking Transaction Log'!$C:$C,"&gt;="&amp;AE1,'Checking Transaction Log'!$C:$C,"&lt;="&amp;AF1,'Checking Transaction Log'!$A:$A,"R",'Checking Transaction Log'!$B:$B,27)</f>
        <v>0</v>
      </c>
      <c r="AF35" s="282">
        <f t="shared" si="45"/>
        <v>25</v>
      </c>
    </row>
    <row r="36" spans="1:32" ht="11.25" customHeight="1" x14ac:dyDescent="0.25">
      <c r="A36" s="284" t="str">
        <f>'Proposed Budget'!A36</f>
        <v>R</v>
      </c>
      <c r="B36" s="255">
        <f>'Proposed Budget'!B36</f>
        <v>28</v>
      </c>
      <c r="C36" s="287" t="str">
        <f>'Proposed Budget'!C36</f>
        <v>Garbage</v>
      </c>
      <c r="D36" s="288">
        <f t="shared" ca="1" si="31"/>
        <v>22.739202657807311</v>
      </c>
      <c r="E36" s="289">
        <f t="shared" si="32"/>
        <v>225</v>
      </c>
      <c r="F36" s="289">
        <f>J36+L36+N36+P36+R36+T36+V36+X36+Z36+AB36</f>
        <v>25</v>
      </c>
      <c r="G36" s="269">
        <f t="shared" si="33"/>
        <v>9.9999999999999978E-2</v>
      </c>
      <c r="H36" s="289">
        <f>'Proposed Budget'!D36</f>
        <v>25</v>
      </c>
      <c r="I36" s="270">
        <f>SUMIFS('Checking Transaction Log'!E:E,'Checking Transaction Log'!C:C,"&gt;="&amp;I1,'Checking Transaction Log'!C:C,"&lt;="&amp;J1,'Checking Transaction Log'!A:A,"R",'Checking Transaction Log'!B:B,28)</f>
        <v>25</v>
      </c>
      <c r="J36" s="270">
        <f t="shared" si="34"/>
        <v>0</v>
      </c>
      <c r="K36" s="232">
        <f>SUMIFS('Checking Transaction Log'!$E:$E,'Checking Transaction Log'!$C:$C,"&gt;="&amp;K1,'Checking Transaction Log'!$C:$C,"&lt;="&amp;L1,'Checking Transaction Log'!$A:$A,"R",'Checking Transaction Log'!$B:$B,28)</f>
        <v>25</v>
      </c>
      <c r="L36" s="232">
        <f t="shared" si="35"/>
        <v>0</v>
      </c>
      <c r="M36" s="273">
        <f>SUMIFS('Checking Transaction Log'!$E:$E,'Checking Transaction Log'!$C:$C,"&gt;="&amp;M1,'Checking Transaction Log'!$C:$C,"&lt;="&amp;N1,'Checking Transaction Log'!$A:$A,"R",'Checking Transaction Log'!$B:$B,28)</f>
        <v>25</v>
      </c>
      <c r="N36" s="273">
        <f t="shared" si="36"/>
        <v>0</v>
      </c>
      <c r="O36" s="236">
        <f>SUMIFS('Checking Transaction Log'!$E:$E,'Checking Transaction Log'!$C:$C,"&gt;="&amp;O1,'Checking Transaction Log'!$C:$C,"&lt;="&amp;P1,'Checking Transaction Log'!$A:$A,"R",'Checking Transaction Log'!$B:$B,28)</f>
        <v>25</v>
      </c>
      <c r="P36" s="236">
        <f t="shared" si="37"/>
        <v>0</v>
      </c>
      <c r="Q36" s="270">
        <f>SUMIFS('Checking Transaction Log'!$E:$E,'Checking Transaction Log'!$C:$C,"&gt;="&amp;Q1,'Checking Transaction Log'!$C:$C,"&lt;="&amp;R1,'Checking Transaction Log'!$A:$A,"R",'Checking Transaction Log'!$B:$B,28)</f>
        <v>25</v>
      </c>
      <c r="R36" s="270">
        <f t="shared" si="38"/>
        <v>0</v>
      </c>
      <c r="S36" s="232">
        <f>SUMIFS('Checking Transaction Log'!$E:$E,'Checking Transaction Log'!$C:$C,"&gt;="&amp;S1,'Checking Transaction Log'!$C:$C,"&lt;="&amp;T1,'Checking Transaction Log'!$A:$A,"R",'Checking Transaction Log'!$B:$B,28)</f>
        <v>25</v>
      </c>
      <c r="T36" s="232">
        <f t="shared" si="39"/>
        <v>0</v>
      </c>
      <c r="U36" s="273">
        <f>SUMIFS('Checking Transaction Log'!$E:$E,'Checking Transaction Log'!$C:$C,"&gt;="&amp;U1,'Checking Transaction Log'!$C:$C,"&lt;="&amp;V1,'Checking Transaction Log'!$A:$A,"R",'Checking Transaction Log'!$B:$B,28)</f>
        <v>25</v>
      </c>
      <c r="V36" s="273">
        <f t="shared" si="40"/>
        <v>0</v>
      </c>
      <c r="W36" s="236">
        <f>SUMIFS('Checking Transaction Log'!$E:$E,'Checking Transaction Log'!$C:$C,"&gt;="&amp;W1,'Checking Transaction Log'!$C:$C,"&lt;="&amp;X1,'Checking Transaction Log'!$A:$A,"R",'Checking Transaction Log'!$B:$B,28)</f>
        <v>25</v>
      </c>
      <c r="X36" s="236">
        <f t="shared" si="41"/>
        <v>0</v>
      </c>
      <c r="Y36" s="276">
        <f>SUMIFS('Checking Transaction Log'!$E:$E,'Checking Transaction Log'!$C:$C,"&gt;="&amp;Y1,'Checking Transaction Log'!$C:$C,"&lt;="&amp;Z1,'Checking Transaction Log'!$A:$A,"R",'Checking Transaction Log'!$B:$B,28)</f>
        <v>25</v>
      </c>
      <c r="Z36" s="276">
        <f t="shared" si="42"/>
        <v>0</v>
      </c>
      <c r="AA36" s="278">
        <f>SUMIFS('Checking Transaction Log'!$E:$E,'Checking Transaction Log'!$C:$C,"&gt;="&amp;AA1,'Checking Transaction Log'!$C:$C,"&lt;="&amp;AB1,'Checking Transaction Log'!$A:$A,"R",'Checking Transaction Log'!$B:$B,28)</f>
        <v>0</v>
      </c>
      <c r="AB36" s="278">
        <f t="shared" si="43"/>
        <v>25</v>
      </c>
      <c r="AC36" s="280">
        <f>SUMIFS('Checking Transaction Log'!$E:$E,'Checking Transaction Log'!$C:$C,"&gt;="&amp;AC1,'Checking Transaction Log'!$C:$C,"&lt;="&amp;AD1,'Checking Transaction Log'!$A:$A,"R",'Checking Transaction Log'!$B:$B,28)</f>
        <v>0</v>
      </c>
      <c r="AD36" s="280">
        <f t="shared" si="44"/>
        <v>25</v>
      </c>
      <c r="AE36" s="282">
        <f>SUMIFS('Checking Transaction Log'!$E:$E,'Checking Transaction Log'!$C:$C,"&gt;="&amp;AE1,'Checking Transaction Log'!$C:$C,"&lt;="&amp;AF1,'Checking Transaction Log'!$A:$A,"R",'Checking Transaction Log'!$B:$B,28)</f>
        <v>0</v>
      </c>
      <c r="AF36" s="282">
        <f t="shared" si="45"/>
        <v>25</v>
      </c>
    </row>
    <row r="37" spans="1:32" ht="11.25" customHeight="1" x14ac:dyDescent="0.25">
      <c r="A37" s="284" t="str">
        <f>'Proposed Budget'!A37</f>
        <v>R</v>
      </c>
      <c r="B37" s="255">
        <f>'Proposed Budget'!B37</f>
        <v>29</v>
      </c>
      <c r="C37" s="287" t="str">
        <f>'Proposed Budget'!C37</f>
        <v>Sanitation - Main</v>
      </c>
      <c r="D37" s="288">
        <f t="shared" ca="1" si="31"/>
        <v>40.930564784053161</v>
      </c>
      <c r="E37" s="289">
        <f t="shared" si="32"/>
        <v>405</v>
      </c>
      <c r="F37" s="289">
        <f>J37+L37+N37+P37+R37+T37+V37+X37+Z37+AB37</f>
        <v>45</v>
      </c>
      <c r="G37" s="269">
        <f t="shared" si="33"/>
        <v>9.9999999999999978E-2</v>
      </c>
      <c r="H37" s="289">
        <f>'Proposed Budget'!D37</f>
        <v>45</v>
      </c>
      <c r="I37" s="270">
        <f>SUMIFS('Checking Transaction Log'!E:E,'Checking Transaction Log'!C:C,"&gt;="&amp;I1,'Checking Transaction Log'!C:C,"&lt;="&amp;J1,'Checking Transaction Log'!A:A,"R",'Checking Transaction Log'!B:B,29)</f>
        <v>45</v>
      </c>
      <c r="J37" s="270">
        <f t="shared" si="34"/>
        <v>0</v>
      </c>
      <c r="K37" s="232">
        <f>SUMIFS('Checking Transaction Log'!$E:$E,'Checking Transaction Log'!$C:$C,"&gt;="&amp;K1,'Checking Transaction Log'!$C:$C,"&lt;="&amp;L1,'Checking Transaction Log'!$A:$A,"R",'Checking Transaction Log'!$B:$B,29)</f>
        <v>45</v>
      </c>
      <c r="L37" s="232">
        <f t="shared" si="35"/>
        <v>0</v>
      </c>
      <c r="M37" s="273">
        <f>SUMIFS('Checking Transaction Log'!$E:$E,'Checking Transaction Log'!$C:$C,"&gt;="&amp;M1,'Checking Transaction Log'!$C:$C,"&lt;="&amp;N1,'Checking Transaction Log'!$A:$A,"R",'Checking Transaction Log'!$B:$B,29)</f>
        <v>45</v>
      </c>
      <c r="N37" s="273">
        <f t="shared" si="36"/>
        <v>0</v>
      </c>
      <c r="O37" s="236">
        <f>SUMIFS('Checking Transaction Log'!$E:$E,'Checking Transaction Log'!$C:$C,"&gt;="&amp;O1,'Checking Transaction Log'!$C:$C,"&lt;="&amp;P1,'Checking Transaction Log'!$A:$A,"R",'Checking Transaction Log'!$B:$B,29)</f>
        <v>45</v>
      </c>
      <c r="P37" s="236">
        <f t="shared" si="37"/>
        <v>0</v>
      </c>
      <c r="Q37" s="270">
        <f>SUMIFS('Checking Transaction Log'!$E:$E,'Checking Transaction Log'!$C:$C,"&gt;="&amp;Q1,'Checking Transaction Log'!$C:$C,"&lt;="&amp;R1,'Checking Transaction Log'!$A:$A,"R",'Checking Transaction Log'!$B:$B,29)</f>
        <v>45</v>
      </c>
      <c r="R37" s="270">
        <f t="shared" si="38"/>
        <v>0</v>
      </c>
      <c r="S37" s="232">
        <f>SUMIFS('Checking Transaction Log'!$E:$E,'Checking Transaction Log'!$C:$C,"&gt;="&amp;S1,'Checking Transaction Log'!$C:$C,"&lt;="&amp;T1,'Checking Transaction Log'!$A:$A,"R",'Checking Transaction Log'!$B:$B,29)</f>
        <v>45</v>
      </c>
      <c r="T37" s="232">
        <f t="shared" si="39"/>
        <v>0</v>
      </c>
      <c r="U37" s="273">
        <f>SUMIFS('Checking Transaction Log'!$E:$E,'Checking Transaction Log'!$C:$C,"&gt;="&amp;U1,'Checking Transaction Log'!$C:$C,"&lt;="&amp;V1,'Checking Transaction Log'!$A:$A,"R",'Checking Transaction Log'!$B:$B,29)</f>
        <v>45</v>
      </c>
      <c r="V37" s="273">
        <f t="shared" si="40"/>
        <v>0</v>
      </c>
      <c r="W37" s="236">
        <f>SUMIFS('Checking Transaction Log'!$E:$E,'Checking Transaction Log'!$C:$C,"&gt;="&amp;W1,'Checking Transaction Log'!$C:$C,"&lt;="&amp;X1,'Checking Transaction Log'!$A:$A,"R",'Checking Transaction Log'!$B:$B,29)</f>
        <v>45</v>
      </c>
      <c r="X37" s="236">
        <f t="shared" si="41"/>
        <v>0</v>
      </c>
      <c r="Y37" s="276">
        <f>SUMIFS('Checking Transaction Log'!$E:$E,'Checking Transaction Log'!$C:$C,"&gt;="&amp;Y1,'Checking Transaction Log'!$C:$C,"&lt;="&amp;Z1,'Checking Transaction Log'!$A:$A,"R",'Checking Transaction Log'!$B:$B,29)</f>
        <v>45</v>
      </c>
      <c r="Z37" s="276">
        <f t="shared" si="42"/>
        <v>0</v>
      </c>
      <c r="AA37" s="278">
        <f>SUMIFS('Checking Transaction Log'!$E:$E,'Checking Transaction Log'!$C:$C,"&gt;="&amp;AA1,'Checking Transaction Log'!$C:$C,"&lt;="&amp;AB1,'Checking Transaction Log'!$A:$A,"R",'Checking Transaction Log'!$B:$B,29)</f>
        <v>0</v>
      </c>
      <c r="AB37" s="278">
        <f t="shared" si="43"/>
        <v>45</v>
      </c>
      <c r="AC37" s="280">
        <f>SUMIFS('Checking Transaction Log'!$E:$E,'Checking Transaction Log'!$C:$C,"&gt;="&amp;AC1,'Checking Transaction Log'!$C:$C,"&lt;="&amp;AD1,'Checking Transaction Log'!$A:$A,"R",'Checking Transaction Log'!$B:$B,29)</f>
        <v>0</v>
      </c>
      <c r="AD37" s="280">
        <f t="shared" si="44"/>
        <v>45</v>
      </c>
      <c r="AE37" s="282">
        <f>SUMIFS('Checking Transaction Log'!$E:$E,'Checking Transaction Log'!$C:$C,"&gt;="&amp;AE1,'Checking Transaction Log'!$C:$C,"&lt;="&amp;AF1,'Checking Transaction Log'!$A:$A,"R",'Checking Transaction Log'!$B:$B,29)</f>
        <v>0</v>
      </c>
      <c r="AF37" s="282">
        <f t="shared" si="45"/>
        <v>45</v>
      </c>
    </row>
    <row r="38" spans="1:32" ht="11.25" customHeight="1" x14ac:dyDescent="0.25">
      <c r="A38" s="284" t="str">
        <f>'Proposed Budget'!A38</f>
        <v>R</v>
      </c>
      <c r="B38" s="255">
        <f>'Proposed Budget'!B38</f>
        <v>30</v>
      </c>
      <c r="C38" s="287" t="str">
        <f>'Proposed Budget'!C38</f>
        <v>Camping/Vacation</v>
      </c>
      <c r="D38" s="288">
        <f t="shared" ca="1" si="31"/>
        <v>363.82724252491698</v>
      </c>
      <c r="E38" s="289">
        <f t="shared" si="32"/>
        <v>3600</v>
      </c>
      <c r="F38" s="289">
        <f>J38+L38+N38+P38+R38+T38+V38+X38+Z38+AB38</f>
        <v>400</v>
      </c>
      <c r="G38" s="269">
        <f t="shared" si="33"/>
        <v>9.9999999999999978E-2</v>
      </c>
      <c r="H38" s="289">
        <f>'Proposed Budget'!D38</f>
        <v>400</v>
      </c>
      <c r="I38" s="270">
        <f>SUMIFS('Checking Transaction Log'!E:E,'Checking Transaction Log'!C:C,"&gt;="&amp;I1,'Checking Transaction Log'!C:C,"&lt;="&amp;J1,'Checking Transaction Log'!A:A,"R",'Checking Transaction Log'!B:B,30)</f>
        <v>400</v>
      </c>
      <c r="J38" s="270">
        <f t="shared" si="34"/>
        <v>0</v>
      </c>
      <c r="K38" s="232">
        <f>SUMIFS('Checking Transaction Log'!$E:$E,'Checking Transaction Log'!$C:$C,"&gt;="&amp;K1,'Checking Transaction Log'!$C:$C,"&lt;="&amp;L1,'Checking Transaction Log'!$A:$A,"R",'Checking Transaction Log'!$B:$B,30)</f>
        <v>400</v>
      </c>
      <c r="L38" s="232">
        <f t="shared" si="35"/>
        <v>0</v>
      </c>
      <c r="M38" s="273">
        <f>SUMIFS('Checking Transaction Log'!$E:$E,'Checking Transaction Log'!$C:$C,"&gt;="&amp;M1,'Checking Transaction Log'!$C:$C,"&lt;="&amp;N1,'Checking Transaction Log'!$A:$A,"R",'Checking Transaction Log'!$B:$B,30)</f>
        <v>400</v>
      </c>
      <c r="N38" s="273">
        <f t="shared" si="36"/>
        <v>0</v>
      </c>
      <c r="O38" s="236">
        <f>SUMIFS('Checking Transaction Log'!$E:$E,'Checking Transaction Log'!$C:$C,"&gt;="&amp;O1,'Checking Transaction Log'!$C:$C,"&lt;="&amp;P1,'Checking Transaction Log'!$A:$A,"R",'Checking Transaction Log'!$B:$B,30)</f>
        <v>400</v>
      </c>
      <c r="P38" s="236">
        <f t="shared" si="37"/>
        <v>0</v>
      </c>
      <c r="Q38" s="270">
        <f>SUMIFS('Checking Transaction Log'!$E:$E,'Checking Transaction Log'!$C:$C,"&gt;="&amp;Q1,'Checking Transaction Log'!$C:$C,"&lt;="&amp;R1,'Checking Transaction Log'!$A:$A,"R",'Checking Transaction Log'!$B:$B,30)</f>
        <v>400</v>
      </c>
      <c r="R38" s="270">
        <f t="shared" si="38"/>
        <v>0</v>
      </c>
      <c r="S38" s="232">
        <f>SUMIFS('Checking Transaction Log'!$E:$E,'Checking Transaction Log'!$C:$C,"&gt;="&amp;S1,'Checking Transaction Log'!$C:$C,"&lt;="&amp;T1,'Checking Transaction Log'!$A:$A,"R",'Checking Transaction Log'!$B:$B,30)</f>
        <v>400</v>
      </c>
      <c r="T38" s="232">
        <f t="shared" si="39"/>
        <v>0</v>
      </c>
      <c r="U38" s="273">
        <f>SUMIFS('Checking Transaction Log'!$E:$E,'Checking Transaction Log'!$C:$C,"&gt;="&amp;U1,'Checking Transaction Log'!$C:$C,"&lt;="&amp;V1,'Checking Transaction Log'!$A:$A,"R",'Checking Transaction Log'!$B:$B,30)</f>
        <v>400</v>
      </c>
      <c r="V38" s="273">
        <f t="shared" si="40"/>
        <v>0</v>
      </c>
      <c r="W38" s="236">
        <f>SUMIFS('Checking Transaction Log'!$E:$E,'Checking Transaction Log'!$C:$C,"&gt;="&amp;W1,'Checking Transaction Log'!$C:$C,"&lt;="&amp;X1,'Checking Transaction Log'!$A:$A,"R",'Checking Transaction Log'!$B:$B,30)</f>
        <v>400</v>
      </c>
      <c r="X38" s="236">
        <f t="shared" si="41"/>
        <v>0</v>
      </c>
      <c r="Y38" s="276">
        <f>SUMIFS('Checking Transaction Log'!$E:$E,'Checking Transaction Log'!$C:$C,"&gt;="&amp;Y1,'Checking Transaction Log'!$C:$C,"&lt;="&amp;Z1,'Checking Transaction Log'!$A:$A,"R",'Checking Transaction Log'!$B:$B,30)</f>
        <v>400</v>
      </c>
      <c r="Z38" s="276">
        <f t="shared" si="42"/>
        <v>0</v>
      </c>
      <c r="AA38" s="278">
        <f>SUMIFS('Checking Transaction Log'!$E:$E,'Checking Transaction Log'!$C:$C,"&gt;="&amp;AA1,'Checking Transaction Log'!$C:$C,"&lt;="&amp;AB1,'Checking Transaction Log'!$A:$A,"R",'Checking Transaction Log'!$B:$B,30)</f>
        <v>0</v>
      </c>
      <c r="AB38" s="278">
        <f t="shared" si="43"/>
        <v>400</v>
      </c>
      <c r="AC38" s="280">
        <f>SUMIFS('Checking Transaction Log'!$E:$E,'Checking Transaction Log'!$C:$C,"&gt;="&amp;AC1,'Checking Transaction Log'!$C:$C,"&lt;="&amp;AD1,'Checking Transaction Log'!$A:$A,"R",'Checking Transaction Log'!$B:$B,30)</f>
        <v>0</v>
      </c>
      <c r="AD38" s="280">
        <f t="shared" si="44"/>
        <v>400</v>
      </c>
      <c r="AE38" s="282">
        <f>SUMIFS('Checking Transaction Log'!$E:$E,'Checking Transaction Log'!$C:$C,"&gt;="&amp;AE1,'Checking Transaction Log'!$C:$C,"&lt;="&amp;AF1,'Checking Transaction Log'!$A:$A,"R",'Checking Transaction Log'!$B:$B,30)</f>
        <v>0</v>
      </c>
      <c r="AF38" s="282">
        <f t="shared" si="45"/>
        <v>400</v>
      </c>
    </row>
    <row r="39" spans="1:32" ht="11.25" customHeight="1" x14ac:dyDescent="0.25">
      <c r="A39" s="284" t="str">
        <f>'Proposed Budget'!A39</f>
        <v>R</v>
      </c>
      <c r="B39" s="255">
        <f>'Proposed Budget'!B39</f>
        <v>31</v>
      </c>
      <c r="C39" s="287" t="str">
        <f>'Proposed Budget'!C39</f>
        <v>Home Maintenance</v>
      </c>
      <c r="D39" s="288">
        <f t="shared" ca="1" si="31"/>
        <v>341.08803986710961</v>
      </c>
      <c r="E39" s="289">
        <f t="shared" si="32"/>
        <v>3375</v>
      </c>
      <c r="F39" s="289">
        <f>J39+L39+N39+P39+R39+T39+V39+X39+Z39+AB39</f>
        <v>375</v>
      </c>
      <c r="G39" s="269">
        <f t="shared" si="33"/>
        <v>9.9999999999999978E-2</v>
      </c>
      <c r="H39" s="289">
        <f>'Proposed Budget'!D39</f>
        <v>375</v>
      </c>
      <c r="I39" s="270">
        <f>SUMIFS('Checking Transaction Log'!E:E,'Checking Transaction Log'!C:C,"&gt;="&amp;I1,'Checking Transaction Log'!C:C,"&lt;="&amp;J1,'Checking Transaction Log'!A:A,"R",'Checking Transaction Log'!B:B,31)</f>
        <v>375</v>
      </c>
      <c r="J39" s="270">
        <f t="shared" si="34"/>
        <v>0</v>
      </c>
      <c r="K39" s="232">
        <f>SUMIFS('Checking Transaction Log'!$E:$E,'Checking Transaction Log'!$C:$C,"&gt;="&amp;K1,'Checking Transaction Log'!$C:$C,"&lt;="&amp;L1,'Checking Transaction Log'!$A:$A,"R",'Checking Transaction Log'!$B:$B,31)</f>
        <v>375</v>
      </c>
      <c r="L39" s="232">
        <f t="shared" si="35"/>
        <v>0</v>
      </c>
      <c r="M39" s="273">
        <f>SUMIFS('Checking Transaction Log'!$E:$E,'Checking Transaction Log'!$C:$C,"&gt;="&amp;M1,'Checking Transaction Log'!$C:$C,"&lt;="&amp;N1,'Checking Transaction Log'!$A:$A,"R",'Checking Transaction Log'!$B:$B,31)</f>
        <v>375</v>
      </c>
      <c r="N39" s="273">
        <f t="shared" si="36"/>
        <v>0</v>
      </c>
      <c r="O39" s="236">
        <f>SUMIFS('Checking Transaction Log'!$E:$E,'Checking Transaction Log'!$C:$C,"&gt;="&amp;O1,'Checking Transaction Log'!$C:$C,"&lt;="&amp;P1,'Checking Transaction Log'!$A:$A,"R",'Checking Transaction Log'!$B:$B,31)</f>
        <v>375</v>
      </c>
      <c r="P39" s="236">
        <f t="shared" si="37"/>
        <v>0</v>
      </c>
      <c r="Q39" s="270">
        <f>SUMIFS('Checking Transaction Log'!$E:$E,'Checking Transaction Log'!$C:$C,"&gt;="&amp;Q1,'Checking Transaction Log'!$C:$C,"&lt;="&amp;R1,'Checking Transaction Log'!$A:$A,"R",'Checking Transaction Log'!$B:$B,31)</f>
        <v>375</v>
      </c>
      <c r="R39" s="270">
        <f t="shared" si="38"/>
        <v>0</v>
      </c>
      <c r="S39" s="232">
        <f>SUMIFS('Checking Transaction Log'!$E:$E,'Checking Transaction Log'!$C:$C,"&gt;="&amp;S1,'Checking Transaction Log'!$C:$C,"&lt;="&amp;T1,'Checking Transaction Log'!$A:$A,"R",'Checking Transaction Log'!$B:$B,31)</f>
        <v>375</v>
      </c>
      <c r="T39" s="232">
        <f t="shared" si="39"/>
        <v>0</v>
      </c>
      <c r="U39" s="273">
        <f>SUMIFS('Checking Transaction Log'!$E:$E,'Checking Transaction Log'!$C:$C,"&gt;="&amp;U1,'Checking Transaction Log'!$C:$C,"&lt;="&amp;V1,'Checking Transaction Log'!$A:$A,"R",'Checking Transaction Log'!$B:$B,31)</f>
        <v>375</v>
      </c>
      <c r="V39" s="273">
        <f t="shared" si="40"/>
        <v>0</v>
      </c>
      <c r="W39" s="236">
        <f>SUMIFS('Checking Transaction Log'!$E:$E,'Checking Transaction Log'!$C:$C,"&gt;="&amp;W1,'Checking Transaction Log'!$C:$C,"&lt;="&amp;X1,'Checking Transaction Log'!$A:$A,"R",'Checking Transaction Log'!$B:$B,31)</f>
        <v>375</v>
      </c>
      <c r="X39" s="236">
        <f t="shared" si="41"/>
        <v>0</v>
      </c>
      <c r="Y39" s="276">
        <f>SUMIFS('Checking Transaction Log'!$E:$E,'Checking Transaction Log'!$C:$C,"&gt;="&amp;Y1,'Checking Transaction Log'!$C:$C,"&lt;="&amp;Z1,'Checking Transaction Log'!$A:$A,"R",'Checking Transaction Log'!$B:$B,31)</f>
        <v>375</v>
      </c>
      <c r="Z39" s="276">
        <f t="shared" si="42"/>
        <v>0</v>
      </c>
      <c r="AA39" s="278">
        <f>SUMIFS('Checking Transaction Log'!$E:$E,'Checking Transaction Log'!$C:$C,"&gt;="&amp;AA1,'Checking Transaction Log'!$C:$C,"&lt;="&amp;AB1,'Checking Transaction Log'!$A:$A,"R",'Checking Transaction Log'!$B:$B,31)</f>
        <v>0</v>
      </c>
      <c r="AB39" s="278">
        <f t="shared" si="43"/>
        <v>375</v>
      </c>
      <c r="AC39" s="280">
        <f>SUMIFS('Checking Transaction Log'!$E:$E,'Checking Transaction Log'!$C:$C,"&gt;="&amp;AC1,'Checking Transaction Log'!$C:$C,"&lt;="&amp;AD1,'Checking Transaction Log'!$A:$A,"R",'Checking Transaction Log'!$B:$B,31)</f>
        <v>0</v>
      </c>
      <c r="AD39" s="280">
        <f t="shared" si="44"/>
        <v>375</v>
      </c>
      <c r="AE39" s="282">
        <f>SUMIFS('Checking Transaction Log'!$E:$E,'Checking Transaction Log'!$C:$C,"&gt;="&amp;AE1,'Checking Transaction Log'!$C:$C,"&lt;="&amp;AF1,'Checking Transaction Log'!$A:$A,"R",'Checking Transaction Log'!$B:$B,31)</f>
        <v>0</v>
      </c>
      <c r="AF39" s="282">
        <f t="shared" si="45"/>
        <v>375</v>
      </c>
    </row>
    <row r="40" spans="1:32" ht="11.25" customHeight="1" x14ac:dyDescent="0.25">
      <c r="A40" s="284" t="str">
        <f>'Proposed Budget'!A40</f>
        <v>R</v>
      </c>
      <c r="B40" s="255">
        <f>'Proposed Budget'!B40</f>
        <v>32</v>
      </c>
      <c r="C40" s="287" t="str">
        <f>'Proposed Budget'!C40</f>
        <v>Rental Repairs</v>
      </c>
      <c r="D40" s="288">
        <f t="shared" ca="1" si="31"/>
        <v>90.956810631229246</v>
      </c>
      <c r="E40" s="289">
        <f t="shared" si="32"/>
        <v>900</v>
      </c>
      <c r="F40" s="289">
        <f>J40+L40+N40+P40+R40+T40+V40+X40+Z40+AB40</f>
        <v>100</v>
      </c>
      <c r="G40" s="269">
        <f t="shared" si="33"/>
        <v>9.9999999999999978E-2</v>
      </c>
      <c r="H40" s="289">
        <f>'Proposed Budget'!D40</f>
        <v>100</v>
      </c>
      <c r="I40" s="270">
        <f>SUMIFS('Checking Transaction Log'!E:E,'Checking Transaction Log'!C:C,"&gt;="&amp;I1,'Checking Transaction Log'!C:C,"&lt;="&amp;J1,'Checking Transaction Log'!A:A,"R",'Checking Transaction Log'!B:B,32)</f>
        <v>100</v>
      </c>
      <c r="J40" s="270">
        <f t="shared" si="34"/>
        <v>0</v>
      </c>
      <c r="K40" s="232">
        <f>SUMIFS('Checking Transaction Log'!$E:$E,'Checking Transaction Log'!$C:$C,"&gt;="&amp;K1,'Checking Transaction Log'!$C:$C,"&lt;="&amp;L1,'Checking Transaction Log'!$A:$A,"R",'Checking Transaction Log'!$B:$B,32)</f>
        <v>100</v>
      </c>
      <c r="L40" s="232">
        <f t="shared" si="35"/>
        <v>0</v>
      </c>
      <c r="M40" s="273">
        <f>SUMIFS('Checking Transaction Log'!$E:$E,'Checking Transaction Log'!$C:$C,"&gt;="&amp;M1,'Checking Transaction Log'!$C:$C,"&lt;="&amp;N1,'Checking Transaction Log'!$A:$A,"R",'Checking Transaction Log'!$B:$B,32)</f>
        <v>100</v>
      </c>
      <c r="N40" s="273">
        <f t="shared" si="36"/>
        <v>0</v>
      </c>
      <c r="O40" s="236">
        <f>SUMIFS('Checking Transaction Log'!$E:$E,'Checking Transaction Log'!$C:$C,"&gt;="&amp;O1,'Checking Transaction Log'!$C:$C,"&lt;="&amp;P1,'Checking Transaction Log'!$A:$A,"R",'Checking Transaction Log'!$B:$B,32)</f>
        <v>100</v>
      </c>
      <c r="P40" s="236">
        <f t="shared" si="37"/>
        <v>0</v>
      </c>
      <c r="Q40" s="270">
        <f>SUMIFS('Checking Transaction Log'!$E:$E,'Checking Transaction Log'!$C:$C,"&gt;="&amp;Q1,'Checking Transaction Log'!$C:$C,"&lt;="&amp;R1,'Checking Transaction Log'!$A:$A,"R",'Checking Transaction Log'!$B:$B,32)</f>
        <v>100</v>
      </c>
      <c r="R40" s="270">
        <f t="shared" si="38"/>
        <v>0</v>
      </c>
      <c r="S40" s="232">
        <f>SUMIFS('Checking Transaction Log'!$E:$E,'Checking Transaction Log'!$C:$C,"&gt;="&amp;S1,'Checking Transaction Log'!$C:$C,"&lt;="&amp;T1,'Checking Transaction Log'!$A:$A,"R",'Checking Transaction Log'!$B:$B,32)</f>
        <v>100</v>
      </c>
      <c r="T40" s="232">
        <f t="shared" si="39"/>
        <v>0</v>
      </c>
      <c r="U40" s="273">
        <f>SUMIFS('Checking Transaction Log'!$E:$E,'Checking Transaction Log'!$C:$C,"&gt;="&amp;U1,'Checking Transaction Log'!$C:$C,"&lt;="&amp;V1,'Checking Transaction Log'!$A:$A,"R",'Checking Transaction Log'!$B:$B,32)</f>
        <v>100</v>
      </c>
      <c r="V40" s="273">
        <f t="shared" si="40"/>
        <v>0</v>
      </c>
      <c r="W40" s="236">
        <f>SUMIFS('Checking Transaction Log'!$E:$E,'Checking Transaction Log'!$C:$C,"&gt;="&amp;W1,'Checking Transaction Log'!$C:$C,"&lt;="&amp;X1,'Checking Transaction Log'!$A:$A,"R",'Checking Transaction Log'!$B:$B,32)</f>
        <v>100</v>
      </c>
      <c r="X40" s="236">
        <f t="shared" si="41"/>
        <v>0</v>
      </c>
      <c r="Y40" s="276">
        <f>SUMIFS('Checking Transaction Log'!$E:$E,'Checking Transaction Log'!$C:$C,"&gt;="&amp;Y1,'Checking Transaction Log'!$C:$C,"&lt;="&amp;Z1,'Checking Transaction Log'!$A:$A,"R",'Checking Transaction Log'!$B:$B,32)</f>
        <v>100</v>
      </c>
      <c r="Z40" s="276">
        <f t="shared" si="42"/>
        <v>0</v>
      </c>
      <c r="AA40" s="278">
        <f>SUMIFS('Checking Transaction Log'!$E:$E,'Checking Transaction Log'!$C:$C,"&gt;="&amp;AA1,'Checking Transaction Log'!$C:$C,"&lt;="&amp;AB1,'Checking Transaction Log'!$A:$A,"R",'Checking Transaction Log'!$B:$B,32)</f>
        <v>0</v>
      </c>
      <c r="AB40" s="278">
        <f t="shared" si="43"/>
        <v>100</v>
      </c>
      <c r="AC40" s="280">
        <f>SUMIFS('Checking Transaction Log'!$E:$E,'Checking Transaction Log'!$C:$C,"&gt;="&amp;AC1,'Checking Transaction Log'!$C:$C,"&lt;="&amp;AD1,'Checking Transaction Log'!$A:$A,"R",'Checking Transaction Log'!$B:$B,32)</f>
        <v>0</v>
      </c>
      <c r="AD40" s="280">
        <f t="shared" si="44"/>
        <v>100</v>
      </c>
      <c r="AE40" s="282">
        <f>SUMIFS('Checking Transaction Log'!$E:$E,'Checking Transaction Log'!$C:$C,"&gt;="&amp;AE1,'Checking Transaction Log'!$C:$C,"&lt;="&amp;AF1,'Checking Transaction Log'!$A:$A,"R",'Checking Transaction Log'!$B:$B,32)</f>
        <v>0</v>
      </c>
      <c r="AF40" s="282">
        <f t="shared" si="45"/>
        <v>100</v>
      </c>
    </row>
    <row r="41" spans="1:32" ht="11.25" customHeight="1" x14ac:dyDescent="0.25">
      <c r="A41" s="284" t="str">
        <f>'Proposed Budget'!A41</f>
        <v>R</v>
      </c>
      <c r="B41" s="255">
        <f>'Proposed Budget'!B41</f>
        <v>33</v>
      </c>
      <c r="C41" s="287" t="str">
        <f>'Proposed Budget'!C41</f>
        <v>Rental Insurance</v>
      </c>
      <c r="D41" s="288">
        <f t="shared" ca="1" si="31"/>
        <v>77.313289036544845</v>
      </c>
      <c r="E41" s="289">
        <f t="shared" si="32"/>
        <v>765</v>
      </c>
      <c r="F41" s="289">
        <f>J41+L41+N41+P41+R41+T41+V41+X41+Z41+AB41</f>
        <v>85</v>
      </c>
      <c r="G41" s="269">
        <f t="shared" si="33"/>
        <v>9.9999999999999978E-2</v>
      </c>
      <c r="H41" s="289">
        <f>'Proposed Budget'!D41</f>
        <v>85</v>
      </c>
      <c r="I41" s="270">
        <f>SUMIFS('Checking Transaction Log'!E:E,'Checking Transaction Log'!C:C,"&gt;="&amp;I1,'Checking Transaction Log'!C:C,"&lt;="&amp;J1,'Checking Transaction Log'!A:A,"R",'Checking Transaction Log'!B:B,33)</f>
        <v>85</v>
      </c>
      <c r="J41" s="270">
        <f t="shared" si="34"/>
        <v>0</v>
      </c>
      <c r="K41" s="232">
        <f>SUMIFS('Checking Transaction Log'!$E:$E,'Checking Transaction Log'!$C:$C,"&gt;="&amp;K1,'Checking Transaction Log'!$C:$C,"&lt;="&amp;L1,'Checking Transaction Log'!$A:$A,"R",'Checking Transaction Log'!$B:$B,33)</f>
        <v>85</v>
      </c>
      <c r="L41" s="232">
        <f t="shared" si="35"/>
        <v>0</v>
      </c>
      <c r="M41" s="273">
        <f>SUMIFS('Checking Transaction Log'!$E:$E,'Checking Transaction Log'!$C:$C,"&gt;="&amp;M1,'Checking Transaction Log'!$C:$C,"&lt;="&amp;N1,'Checking Transaction Log'!$A:$A,"R",'Checking Transaction Log'!$B:$B,33)</f>
        <v>85</v>
      </c>
      <c r="N41" s="273">
        <f t="shared" si="36"/>
        <v>0</v>
      </c>
      <c r="O41" s="236">
        <f>SUMIFS('Checking Transaction Log'!$E:$E,'Checking Transaction Log'!$C:$C,"&gt;="&amp;O1,'Checking Transaction Log'!$C:$C,"&lt;="&amp;P1,'Checking Transaction Log'!$A:$A,"R",'Checking Transaction Log'!$B:$B,33)</f>
        <v>85</v>
      </c>
      <c r="P41" s="236">
        <f t="shared" si="37"/>
        <v>0</v>
      </c>
      <c r="Q41" s="270">
        <f>SUMIFS('Checking Transaction Log'!$E:$E,'Checking Transaction Log'!$C:$C,"&gt;="&amp;Q1,'Checking Transaction Log'!$C:$C,"&lt;="&amp;R1,'Checking Transaction Log'!$A:$A,"R",'Checking Transaction Log'!$B:$B,33)</f>
        <v>85</v>
      </c>
      <c r="R41" s="270">
        <f t="shared" si="38"/>
        <v>0</v>
      </c>
      <c r="S41" s="232">
        <f>SUMIFS('Checking Transaction Log'!$E:$E,'Checking Transaction Log'!$C:$C,"&gt;="&amp;S1,'Checking Transaction Log'!$C:$C,"&lt;="&amp;T1,'Checking Transaction Log'!$A:$A,"R",'Checking Transaction Log'!$B:$B,33)</f>
        <v>85</v>
      </c>
      <c r="T41" s="232">
        <f t="shared" si="39"/>
        <v>0</v>
      </c>
      <c r="U41" s="273">
        <f>SUMIFS('Checking Transaction Log'!$E:$E,'Checking Transaction Log'!$C:$C,"&gt;="&amp;U1,'Checking Transaction Log'!$C:$C,"&lt;="&amp;V1,'Checking Transaction Log'!$A:$A,"R",'Checking Transaction Log'!$B:$B,33)</f>
        <v>85</v>
      </c>
      <c r="V41" s="273">
        <f t="shared" si="40"/>
        <v>0</v>
      </c>
      <c r="W41" s="236">
        <f>SUMIFS('Checking Transaction Log'!$E:$E,'Checking Transaction Log'!$C:$C,"&gt;="&amp;W1,'Checking Transaction Log'!$C:$C,"&lt;="&amp;X1,'Checking Transaction Log'!$A:$A,"R",'Checking Transaction Log'!$B:$B,33)</f>
        <v>85</v>
      </c>
      <c r="X41" s="236">
        <f t="shared" si="41"/>
        <v>0</v>
      </c>
      <c r="Y41" s="276">
        <f>SUMIFS('Checking Transaction Log'!$E:$E,'Checking Transaction Log'!$C:$C,"&gt;="&amp;Y1,'Checking Transaction Log'!$C:$C,"&lt;="&amp;Z1,'Checking Transaction Log'!$A:$A,"R",'Checking Transaction Log'!$B:$B,33)</f>
        <v>85</v>
      </c>
      <c r="Z41" s="276">
        <f t="shared" si="42"/>
        <v>0</v>
      </c>
      <c r="AA41" s="278">
        <f>SUMIFS('Checking Transaction Log'!$E:$E,'Checking Transaction Log'!$C:$C,"&gt;="&amp;AA1,'Checking Transaction Log'!$C:$C,"&lt;="&amp;AB1,'Checking Transaction Log'!$A:$A,"R",'Checking Transaction Log'!$B:$B,33)</f>
        <v>0</v>
      </c>
      <c r="AB41" s="278">
        <f t="shared" si="43"/>
        <v>85</v>
      </c>
      <c r="AC41" s="280">
        <f>SUMIFS('Checking Transaction Log'!$E:$E,'Checking Transaction Log'!$C:$C,"&gt;="&amp;AC1,'Checking Transaction Log'!$C:$C,"&lt;="&amp;AD1,'Checking Transaction Log'!$A:$A,"R",'Checking Transaction Log'!$B:$B,33)</f>
        <v>0</v>
      </c>
      <c r="AD41" s="280">
        <f t="shared" si="44"/>
        <v>85</v>
      </c>
      <c r="AE41" s="282">
        <f>SUMIFS('Checking Transaction Log'!$E:$E,'Checking Transaction Log'!$C:$C,"&gt;="&amp;AE1,'Checking Transaction Log'!$C:$C,"&lt;="&amp;AF1,'Checking Transaction Log'!$A:$A,"R",'Checking Transaction Log'!$B:$B,33)</f>
        <v>0</v>
      </c>
      <c r="AF41" s="282">
        <f t="shared" si="45"/>
        <v>85</v>
      </c>
    </row>
    <row r="42" spans="1:32" ht="11.25" customHeight="1" x14ac:dyDescent="0.25">
      <c r="A42" s="284" t="str">
        <f>'Proposed Budget'!A42</f>
        <v>R</v>
      </c>
      <c r="B42" s="255">
        <f>'Proposed Budget'!B42</f>
        <v>34</v>
      </c>
      <c r="C42" s="287" t="str">
        <f>'Proposed Budget'!C42</f>
        <v>Rental Property Taxes</v>
      </c>
      <c r="D42" s="288">
        <f t="shared" ca="1" si="31"/>
        <v>209.20066445182727</v>
      </c>
      <c r="E42" s="289">
        <f t="shared" si="32"/>
        <v>2070</v>
      </c>
      <c r="F42" s="289">
        <f>J42+L42+N42+P42+R42+T42+V42+X42+Z42+AB42</f>
        <v>230</v>
      </c>
      <c r="G42" s="269">
        <f t="shared" si="33"/>
        <v>9.9999999999999978E-2</v>
      </c>
      <c r="H42" s="289">
        <f>'Proposed Budget'!D42</f>
        <v>230</v>
      </c>
      <c r="I42" s="270">
        <f>SUMIFS('Checking Transaction Log'!E:E,'Checking Transaction Log'!C:C,"&gt;="&amp;I1,'Checking Transaction Log'!C:C,"&lt;="&amp;J1,'Checking Transaction Log'!A:A,"R",'Checking Transaction Log'!B:B,34)</f>
        <v>230</v>
      </c>
      <c r="J42" s="270">
        <f t="shared" si="34"/>
        <v>0</v>
      </c>
      <c r="K42" s="232">
        <f>SUMIFS('Checking Transaction Log'!$E:$E,'Checking Transaction Log'!$C:$C,"&gt;="&amp;K1,'Checking Transaction Log'!$C:$C,"&lt;="&amp;L1,'Checking Transaction Log'!$A:$A,"R",'Checking Transaction Log'!$B:$B,34)</f>
        <v>230</v>
      </c>
      <c r="L42" s="232">
        <f t="shared" si="35"/>
        <v>0</v>
      </c>
      <c r="M42" s="273">
        <f>SUMIFS('Checking Transaction Log'!$E:$E,'Checking Transaction Log'!$C:$C,"&gt;="&amp;M1,'Checking Transaction Log'!$C:$C,"&lt;="&amp;N1,'Checking Transaction Log'!$A:$A,"R",'Checking Transaction Log'!$B:$B,34)</f>
        <v>230</v>
      </c>
      <c r="N42" s="273">
        <f t="shared" si="36"/>
        <v>0</v>
      </c>
      <c r="O42" s="236">
        <f>SUMIFS('Checking Transaction Log'!$E:$E,'Checking Transaction Log'!$C:$C,"&gt;="&amp;O1,'Checking Transaction Log'!$C:$C,"&lt;="&amp;P1,'Checking Transaction Log'!$A:$A,"R",'Checking Transaction Log'!$B:$B,34)</f>
        <v>230</v>
      </c>
      <c r="P42" s="236">
        <f t="shared" si="37"/>
        <v>0</v>
      </c>
      <c r="Q42" s="270">
        <f>SUMIFS('Checking Transaction Log'!$E:$E,'Checking Transaction Log'!$C:$C,"&gt;="&amp;Q1,'Checking Transaction Log'!$C:$C,"&lt;="&amp;R1,'Checking Transaction Log'!$A:$A,"R",'Checking Transaction Log'!$B:$B,34)</f>
        <v>230</v>
      </c>
      <c r="R42" s="270">
        <f t="shared" si="38"/>
        <v>0</v>
      </c>
      <c r="S42" s="232">
        <f>SUMIFS('Checking Transaction Log'!$E:$E,'Checking Transaction Log'!$C:$C,"&gt;="&amp;S1,'Checking Transaction Log'!$C:$C,"&lt;="&amp;T1,'Checking Transaction Log'!$A:$A,"R",'Checking Transaction Log'!$B:$B,34)</f>
        <v>230</v>
      </c>
      <c r="T42" s="232">
        <f t="shared" si="39"/>
        <v>0</v>
      </c>
      <c r="U42" s="273">
        <f>SUMIFS('Checking Transaction Log'!$E:$E,'Checking Transaction Log'!$C:$C,"&gt;="&amp;U1,'Checking Transaction Log'!$C:$C,"&lt;="&amp;V1,'Checking Transaction Log'!$A:$A,"R",'Checking Transaction Log'!$B:$B,34)</f>
        <v>230</v>
      </c>
      <c r="V42" s="273">
        <f t="shared" si="40"/>
        <v>0</v>
      </c>
      <c r="W42" s="236">
        <f>SUMIFS('Checking Transaction Log'!$E:$E,'Checking Transaction Log'!$C:$C,"&gt;="&amp;W1,'Checking Transaction Log'!$C:$C,"&lt;="&amp;X1,'Checking Transaction Log'!$A:$A,"R",'Checking Transaction Log'!$B:$B,34)</f>
        <v>230</v>
      </c>
      <c r="X42" s="236">
        <f t="shared" si="41"/>
        <v>0</v>
      </c>
      <c r="Y42" s="276">
        <f>SUMIFS('Checking Transaction Log'!$E:$E,'Checking Transaction Log'!$C:$C,"&gt;="&amp;Y1,'Checking Transaction Log'!$C:$C,"&lt;="&amp;Z1,'Checking Transaction Log'!$A:$A,"R",'Checking Transaction Log'!$B:$B,34)</f>
        <v>230</v>
      </c>
      <c r="Z42" s="276">
        <f t="shared" si="42"/>
        <v>0</v>
      </c>
      <c r="AA42" s="278">
        <f>SUMIFS('Checking Transaction Log'!$E:$E,'Checking Transaction Log'!$C:$C,"&gt;="&amp;AA1,'Checking Transaction Log'!$C:$C,"&lt;="&amp;AB1,'Checking Transaction Log'!$A:$A,"R",'Checking Transaction Log'!$B:$B,34)</f>
        <v>0</v>
      </c>
      <c r="AB42" s="278">
        <f t="shared" si="43"/>
        <v>230</v>
      </c>
      <c r="AC42" s="280">
        <f>SUMIFS('Checking Transaction Log'!$E:$E,'Checking Transaction Log'!$C:$C,"&gt;="&amp;AC1,'Checking Transaction Log'!$C:$C,"&lt;="&amp;AD1,'Checking Transaction Log'!$A:$A,"R",'Checking Transaction Log'!$B:$B,34)</f>
        <v>0</v>
      </c>
      <c r="AD42" s="280">
        <f t="shared" si="44"/>
        <v>230</v>
      </c>
      <c r="AE42" s="282">
        <f>SUMIFS('Checking Transaction Log'!$E:$E,'Checking Transaction Log'!$C:$C,"&gt;="&amp;AE1,'Checking Transaction Log'!$C:$C,"&lt;="&amp;AF1,'Checking Transaction Log'!$A:$A,"R",'Checking Transaction Log'!$B:$B,34)</f>
        <v>0</v>
      </c>
      <c r="AF42" s="282">
        <f t="shared" si="45"/>
        <v>230</v>
      </c>
    </row>
    <row r="43" spans="1:32" ht="11.25" customHeight="1" x14ac:dyDescent="0.25">
      <c r="A43" s="284" t="str">
        <f>'Proposed Budget'!A43</f>
        <v>R</v>
      </c>
      <c r="B43" s="255">
        <f>'Proposed Budget'!B43</f>
        <v>35</v>
      </c>
      <c r="C43" s="287" t="str">
        <f>'Proposed Budget'!C43</f>
        <v>Rental Sanitation</v>
      </c>
      <c r="D43" s="288">
        <f t="shared" ca="1" si="31"/>
        <v>40.930564784053161</v>
      </c>
      <c r="E43" s="289">
        <f t="shared" si="32"/>
        <v>405</v>
      </c>
      <c r="F43" s="289">
        <f>J43+L43+N43+P43+R43+T43+V43+X43+Z43+AB43</f>
        <v>45</v>
      </c>
      <c r="G43" s="269">
        <f t="shared" si="33"/>
        <v>9.9999999999999978E-2</v>
      </c>
      <c r="H43" s="289">
        <f>'Proposed Budget'!D43</f>
        <v>45</v>
      </c>
      <c r="I43" s="270">
        <f>SUMIFS('Checking Transaction Log'!E:E,'Checking Transaction Log'!C:C,"&gt;="&amp;I1,'Checking Transaction Log'!C:C,"&lt;="&amp;J1,'Checking Transaction Log'!A:A,"R",'Checking Transaction Log'!B:B,35)</f>
        <v>45</v>
      </c>
      <c r="J43" s="270">
        <f t="shared" si="34"/>
        <v>0</v>
      </c>
      <c r="K43" s="232">
        <f>SUMIFS('Checking Transaction Log'!$E:$E,'Checking Transaction Log'!$C:$C,"&gt;="&amp;K1,'Checking Transaction Log'!$C:$C,"&lt;="&amp;L1,'Checking Transaction Log'!$A:$A,"R",'Checking Transaction Log'!$B:$B,35)</f>
        <v>45</v>
      </c>
      <c r="L43" s="232">
        <f t="shared" si="35"/>
        <v>0</v>
      </c>
      <c r="M43" s="273">
        <f>SUMIFS('Checking Transaction Log'!$E:$E,'Checking Transaction Log'!$C:$C,"&gt;="&amp;M1,'Checking Transaction Log'!$C:$C,"&lt;="&amp;N1,'Checking Transaction Log'!$A:$A,"R",'Checking Transaction Log'!$B:$B,35)</f>
        <v>45</v>
      </c>
      <c r="N43" s="273">
        <f t="shared" si="36"/>
        <v>0</v>
      </c>
      <c r="O43" s="236">
        <f>SUMIFS('Checking Transaction Log'!$E:$E,'Checking Transaction Log'!$C:$C,"&gt;="&amp;O1,'Checking Transaction Log'!$C:$C,"&lt;="&amp;P1,'Checking Transaction Log'!$A:$A,"R",'Checking Transaction Log'!$B:$B,35)</f>
        <v>45</v>
      </c>
      <c r="P43" s="236">
        <f t="shared" si="37"/>
        <v>0</v>
      </c>
      <c r="Q43" s="270">
        <f>SUMIFS('Checking Transaction Log'!$E:$E,'Checking Transaction Log'!$C:$C,"&gt;="&amp;Q1,'Checking Transaction Log'!$C:$C,"&lt;="&amp;R1,'Checking Transaction Log'!$A:$A,"R",'Checking Transaction Log'!$B:$B,35)</f>
        <v>45</v>
      </c>
      <c r="R43" s="270">
        <f t="shared" si="38"/>
        <v>0</v>
      </c>
      <c r="S43" s="232">
        <f>SUMIFS('Checking Transaction Log'!$E:$E,'Checking Transaction Log'!$C:$C,"&gt;="&amp;S1,'Checking Transaction Log'!$C:$C,"&lt;="&amp;T1,'Checking Transaction Log'!$A:$A,"R",'Checking Transaction Log'!$B:$B,35)</f>
        <v>45</v>
      </c>
      <c r="T43" s="232">
        <f t="shared" si="39"/>
        <v>0</v>
      </c>
      <c r="U43" s="273">
        <f>SUMIFS('Checking Transaction Log'!$E:$E,'Checking Transaction Log'!$C:$C,"&gt;="&amp;U1,'Checking Transaction Log'!$C:$C,"&lt;="&amp;V1,'Checking Transaction Log'!$A:$A,"R",'Checking Transaction Log'!$B:$B,35)</f>
        <v>45</v>
      </c>
      <c r="V43" s="273">
        <f t="shared" si="40"/>
        <v>0</v>
      </c>
      <c r="W43" s="236">
        <f>SUMIFS('Checking Transaction Log'!$E:$E,'Checking Transaction Log'!$C:$C,"&gt;="&amp;W1,'Checking Transaction Log'!$C:$C,"&lt;="&amp;X1,'Checking Transaction Log'!$A:$A,"R",'Checking Transaction Log'!$B:$B,35)</f>
        <v>45</v>
      </c>
      <c r="X43" s="236">
        <f t="shared" si="41"/>
        <v>0</v>
      </c>
      <c r="Y43" s="276">
        <f>SUMIFS('Checking Transaction Log'!$E:$E,'Checking Transaction Log'!$C:$C,"&gt;="&amp;Y1,'Checking Transaction Log'!$C:$C,"&lt;="&amp;Z1,'Checking Transaction Log'!$A:$A,"R",'Checking Transaction Log'!$B:$B,35)</f>
        <v>45</v>
      </c>
      <c r="Z43" s="276">
        <f t="shared" si="42"/>
        <v>0</v>
      </c>
      <c r="AA43" s="278">
        <f>SUMIFS('Checking Transaction Log'!$E:$E,'Checking Transaction Log'!$C:$C,"&gt;="&amp;AA1,'Checking Transaction Log'!$C:$C,"&lt;="&amp;AB1,'Checking Transaction Log'!$A:$A,"R",'Checking Transaction Log'!$B:$B,35)</f>
        <v>0</v>
      </c>
      <c r="AB43" s="278">
        <f t="shared" si="43"/>
        <v>45</v>
      </c>
      <c r="AC43" s="280">
        <f>SUMIFS('Checking Transaction Log'!$E:$E,'Checking Transaction Log'!$C:$C,"&gt;="&amp;AC1,'Checking Transaction Log'!$C:$C,"&lt;="&amp;AD1,'Checking Transaction Log'!$A:$A,"R",'Checking Transaction Log'!$B:$B,35)</f>
        <v>0</v>
      </c>
      <c r="AD43" s="280">
        <f t="shared" si="44"/>
        <v>45</v>
      </c>
      <c r="AE43" s="282">
        <f>SUMIFS('Checking Transaction Log'!$E:$E,'Checking Transaction Log'!$C:$C,"&gt;="&amp;AE1,'Checking Transaction Log'!$C:$C,"&lt;="&amp;AF1,'Checking Transaction Log'!$A:$A,"R",'Checking Transaction Log'!$B:$B,35)</f>
        <v>0</v>
      </c>
      <c r="AF43" s="282">
        <f t="shared" si="45"/>
        <v>45</v>
      </c>
    </row>
    <row r="44" spans="1:32" ht="11.25" customHeight="1" x14ac:dyDescent="0.25">
      <c r="A44" s="284"/>
      <c r="B44" s="255"/>
      <c r="C44" s="287"/>
      <c r="D44" s="288"/>
      <c r="E44" s="289"/>
      <c r="F44" s="289"/>
      <c r="G44" s="269"/>
      <c r="H44" s="289"/>
      <c r="I44" s="270"/>
      <c r="J44" s="270"/>
      <c r="K44" s="232"/>
      <c r="L44" s="232"/>
      <c r="M44" s="273"/>
      <c r="N44" s="273"/>
      <c r="O44" s="236"/>
      <c r="P44" s="236"/>
      <c r="Q44" s="270"/>
      <c r="R44" s="270"/>
      <c r="S44" s="232"/>
      <c r="T44" s="232"/>
      <c r="U44" s="273"/>
      <c r="V44" s="273"/>
      <c r="W44" s="236"/>
      <c r="X44" s="236"/>
      <c r="Y44" s="276"/>
      <c r="Z44" s="276"/>
      <c r="AA44" s="278"/>
      <c r="AB44" s="278"/>
      <c r="AC44" s="280"/>
      <c r="AD44" s="280"/>
      <c r="AE44" s="282"/>
      <c r="AF44" s="282"/>
    </row>
    <row r="45" spans="1:32" ht="11.25" customHeight="1" x14ac:dyDescent="0.25">
      <c r="A45" s="284" t="str">
        <f>'Proposed Budget'!A45</f>
        <v>S</v>
      </c>
      <c r="B45" s="255">
        <f>'Proposed Budget'!B45</f>
        <v>36</v>
      </c>
      <c r="C45" s="287" t="str">
        <f>'Proposed Budget'!C45</f>
        <v>Kids Savings</v>
      </c>
      <c r="D45" s="288">
        <f t="shared" ref="D45:D46" ca="1" si="46">(E45/(TODAY()-$I$1))*30.42</f>
        <v>45.478405315614623</v>
      </c>
      <c r="E45" s="289">
        <f t="shared" ref="E45:E46" si="47">Q45+S45+U45+W45+Y45+AA45+AC45+AE45+I45+K45+M45+O45</f>
        <v>450</v>
      </c>
      <c r="F45" s="289">
        <f>J45+L45+N45+P45+R45+T45+V45+X45+Z45+AB45</f>
        <v>50</v>
      </c>
      <c r="G45" s="269">
        <f t="shared" ref="G45:G46" si="48">1-((E45/SUM(E45:F45)))</f>
        <v>9.9999999999999978E-2</v>
      </c>
      <c r="H45" s="289">
        <f>'Proposed Budget'!D45</f>
        <v>50</v>
      </c>
      <c r="I45" s="270">
        <f>SUMIFS('Checking Transaction Log'!E:E,'Checking Transaction Log'!C:C,"&gt;="&amp;I1,'Checking Transaction Log'!C:C,"&lt;="&amp;J1,'Checking Transaction Log'!A:A,"S",'Checking Transaction Log'!B:B,36)</f>
        <v>50</v>
      </c>
      <c r="J45" s="270">
        <f t="shared" ref="J45:J46" si="49">H45-I45</f>
        <v>0</v>
      </c>
      <c r="K45" s="232">
        <f>SUMIFS('Checking Transaction Log'!E:E,'Checking Transaction Log'!C:C,"&gt;="&amp;K1,'Checking Transaction Log'!C:C,"&lt;="&amp;L1,'Checking Transaction Log'!A:A,"S",'Checking Transaction Log'!B:B,36)</f>
        <v>50</v>
      </c>
      <c r="L45" s="232">
        <f t="shared" ref="L45:L46" si="50">H45-K45</f>
        <v>0</v>
      </c>
      <c r="M45" s="273">
        <f>SUMIFS('Checking Transaction Log'!$E:$E,'Checking Transaction Log'!$C:$C,"&gt;="&amp;M1,'Checking Transaction Log'!$C:$C,"&lt;="&amp;N1,'Checking Transaction Log'!$A:$A,"s",'Checking Transaction Log'!$B:$B,36)</f>
        <v>50</v>
      </c>
      <c r="N45" s="273">
        <f t="shared" ref="N45:N46" si="51">H45-M45</f>
        <v>0</v>
      </c>
      <c r="O45" s="236">
        <f>SUMIFS('Checking Transaction Log'!$E:$E,'Checking Transaction Log'!$C:$C,"&gt;="&amp;O1,'Checking Transaction Log'!$C:$C,"&lt;="&amp;P1,'Checking Transaction Log'!$A:$A,"s",'Checking Transaction Log'!$B:$B,36)</f>
        <v>50</v>
      </c>
      <c r="P45" s="236">
        <f t="shared" ref="P45:P46" si="52">H45-O45</f>
        <v>0</v>
      </c>
      <c r="Q45" s="270">
        <f>SUMIFS('Checking Transaction Log'!$E:$E,'Checking Transaction Log'!$C:$C,"&gt;="&amp;Q1,'Checking Transaction Log'!$C:$C,"&lt;="&amp;R1,'Checking Transaction Log'!$A:$A,"s",'Checking Transaction Log'!$B:$B,36)</f>
        <v>50</v>
      </c>
      <c r="R45" s="270">
        <f t="shared" ref="R45:R46" si="53">H45-Q45</f>
        <v>0</v>
      </c>
      <c r="S45" s="232">
        <f>SUMIFS('Checking Transaction Log'!$E:$E,'Checking Transaction Log'!$C:$C,"&gt;="&amp;S1,'Checking Transaction Log'!$C:$C,"&lt;="&amp;T1,'Checking Transaction Log'!$A:$A,"s",'Checking Transaction Log'!$B:$B,36)</f>
        <v>50</v>
      </c>
      <c r="T45" s="232">
        <f t="shared" ref="T45:T46" si="54">H45-S45</f>
        <v>0</v>
      </c>
      <c r="U45" s="273">
        <f>SUMIFS('Checking Transaction Log'!$E:$E,'Checking Transaction Log'!$C:$C,"&gt;="&amp;U1,'Checking Transaction Log'!$C:$C,"&lt;="&amp;V1,'Checking Transaction Log'!$A:$A,"s",'Checking Transaction Log'!$B:$B,36)</f>
        <v>50</v>
      </c>
      <c r="V45" s="273">
        <f t="shared" ref="V45:V46" si="55">H45-U45</f>
        <v>0</v>
      </c>
      <c r="W45" s="236">
        <f>SUMIFS('Checking Transaction Log'!$E:$E,'Checking Transaction Log'!$C:$C,"&gt;="&amp;W1,'Checking Transaction Log'!$C:$C,"&lt;="&amp;X1,'Checking Transaction Log'!$A:$A,"s",'Checking Transaction Log'!$B:$B,36)</f>
        <v>50</v>
      </c>
      <c r="X45" s="236">
        <f t="shared" ref="X45:X46" si="56">H45-W45</f>
        <v>0</v>
      </c>
      <c r="Y45" s="276">
        <f>SUMIFS('Checking Transaction Log'!$E:$E,'Checking Transaction Log'!$C:$C,"&gt;="&amp;Y1,'Checking Transaction Log'!$C:$C,"&lt;="&amp;Z1,'Checking Transaction Log'!$A:$A,"s",'Checking Transaction Log'!$B:$B,36)</f>
        <v>50</v>
      </c>
      <c r="Z45" s="276">
        <f t="shared" ref="Z45:Z46" si="57">H45-Y45</f>
        <v>0</v>
      </c>
      <c r="AA45" s="278">
        <f>SUMIFS('Checking Transaction Log'!$E:$E,'Checking Transaction Log'!$C:$C,"&gt;="&amp;AA1,'Checking Transaction Log'!$C:$C,"&lt;="&amp;AB1,'Checking Transaction Log'!$A:$A,"s",'Checking Transaction Log'!$B:$B,36)</f>
        <v>0</v>
      </c>
      <c r="AB45" s="278">
        <f t="shared" ref="AB45:AB46" si="58">H45-AA45</f>
        <v>50</v>
      </c>
      <c r="AC45" s="280">
        <f>SUMIFS('Checking Transaction Log'!$E:$E,'Checking Transaction Log'!$C:$C,"&gt;="&amp;AC1,'Checking Transaction Log'!$C:$C,"&lt;="&amp;AD1,'Checking Transaction Log'!$A:$A,"s",'Checking Transaction Log'!$B:$B,36)</f>
        <v>0</v>
      </c>
      <c r="AD45" s="280">
        <f t="shared" ref="AD45:AD46" si="59">H45-AC45</f>
        <v>50</v>
      </c>
      <c r="AE45" s="282">
        <f>SUMIFS('Checking Transaction Log'!$E:$E,'Checking Transaction Log'!$C:$C,"&gt;="&amp;AE1,'Checking Transaction Log'!$C:$C,"&lt;="&amp;AF1,'Checking Transaction Log'!$A:$A,"s",'Checking Transaction Log'!$B:$B,36)</f>
        <v>0</v>
      </c>
      <c r="AF45" s="282">
        <f t="shared" ref="AF45:AF46" si="60">H45-AE45</f>
        <v>50</v>
      </c>
    </row>
    <row r="46" spans="1:32" ht="11.25" customHeight="1" x14ac:dyDescent="0.25">
      <c r="A46" s="284" t="str">
        <f>'Proposed Budget'!A46</f>
        <v>S</v>
      </c>
      <c r="B46" s="255">
        <f>'Proposed Budget'!B46</f>
        <v>37</v>
      </c>
      <c r="C46" s="287" t="str">
        <f>'Proposed Budget'!C46</f>
        <v>Our Savings</v>
      </c>
      <c r="D46" s="288">
        <f t="shared" ca="1" si="46"/>
        <v>4334.8823401993359</v>
      </c>
      <c r="E46" s="289">
        <f t="shared" si="47"/>
        <v>42892.82</v>
      </c>
      <c r="F46" s="289">
        <f>J46+L46+N46+P46+R46+T46+V46+X46+Z46+AB46</f>
        <v>-1590.1516150666948</v>
      </c>
      <c r="G46" s="269">
        <f t="shared" si="48"/>
        <v>-3.8499972937505511E-2</v>
      </c>
      <c r="H46" s="289">
        <f>'Proposed Budget'!D46</f>
        <v>4130.2668384933304</v>
      </c>
      <c r="I46" s="270">
        <f>SUMIFS('Checking Transaction Log'!E:E,'Checking Transaction Log'!C:C,"&gt;="&amp;I1,'Checking Transaction Log'!C:C,"&lt;="&amp;J1,'Checking Transaction Log'!A:A,"S",'Checking Transaction Log'!B:B,37)</f>
        <v>3194.64</v>
      </c>
      <c r="J46" s="270">
        <f t="shared" si="49"/>
        <v>935.62683849333052</v>
      </c>
      <c r="K46" s="232">
        <f>SUMIFS('Checking Transaction Log'!E:E,'Checking Transaction Log'!C:C,"&gt;="&amp;K1,'Checking Transaction Log'!C:C,"&lt;="&amp;L1,'Checking Transaction Log'!A:A,"S",'Checking Transaction Log'!B:B,37)</f>
        <v>3764.91</v>
      </c>
      <c r="L46" s="232">
        <f t="shared" si="50"/>
        <v>365.35683849333054</v>
      </c>
      <c r="M46" s="273">
        <f>SUMIFS('Checking Transaction Log'!$E:$E,'Checking Transaction Log'!$C:$C,"&gt;="&amp;M1,'Checking Transaction Log'!$C:$C,"&lt;="&amp;N1,'Checking Transaction Log'!$A:$A,"s",'Checking Transaction Log'!$B:$B,37)</f>
        <v>4309.58</v>
      </c>
      <c r="N46" s="273">
        <f t="shared" si="51"/>
        <v>-179.31316150666953</v>
      </c>
      <c r="O46" s="236">
        <f>SUMIFS('Checking Transaction Log'!$E:$E,'Checking Transaction Log'!$C:$C,"&gt;="&amp;O1,'Checking Transaction Log'!$C:$C,"&lt;="&amp;P1,'Checking Transaction Log'!$A:$A,"s",'Checking Transaction Log'!$B:$B,37)</f>
        <v>5616.82</v>
      </c>
      <c r="P46" s="236">
        <f t="shared" si="52"/>
        <v>-1486.5531615066693</v>
      </c>
      <c r="Q46" s="270">
        <f>SUMIFS('Checking Transaction Log'!$E:$E,'Checking Transaction Log'!$C:$C,"&gt;="&amp;Q1,'Checking Transaction Log'!$C:$C,"&lt;="&amp;R1,'Checking Transaction Log'!$A:$A,"s",'Checking Transaction Log'!$B:$B,37)</f>
        <v>1160.3599999999999</v>
      </c>
      <c r="R46" s="270">
        <f t="shared" si="53"/>
        <v>2969.9068384933307</v>
      </c>
      <c r="S46" s="232">
        <f>SUMIFS('Checking Transaction Log'!$E:$E,'Checking Transaction Log'!$C:$C,"&gt;="&amp;S1,'Checking Transaction Log'!$C:$C,"&lt;="&amp;T1,'Checking Transaction Log'!$A:$A,"s",'Checking Transaction Log'!$B:$B,37)</f>
        <v>6487.16</v>
      </c>
      <c r="T46" s="232">
        <f t="shared" si="54"/>
        <v>-2356.8931615066695</v>
      </c>
      <c r="U46" s="273">
        <f>SUMIFS('Checking Transaction Log'!$E:$E,'Checking Transaction Log'!$C:$C,"&gt;="&amp;U1,'Checking Transaction Log'!$C:$C,"&lt;="&amp;V1,'Checking Transaction Log'!$A:$A,"s",'Checking Transaction Log'!$B:$B,37)</f>
        <v>8746.27</v>
      </c>
      <c r="V46" s="273">
        <f t="shared" si="55"/>
        <v>-4616.00316150667</v>
      </c>
      <c r="W46" s="236">
        <f>SUMIFS('Checking Transaction Log'!$E:$E,'Checking Transaction Log'!$C:$C,"&gt;="&amp;W1,'Checking Transaction Log'!$C:$C,"&lt;="&amp;X1,'Checking Transaction Log'!$A:$A,"s",'Checking Transaction Log'!$B:$B,37)</f>
        <v>6794.38</v>
      </c>
      <c r="X46" s="236">
        <f t="shared" si="56"/>
        <v>-2664.1131615066697</v>
      </c>
      <c r="Y46" s="276">
        <f>SUMIFS('Checking Transaction Log'!$E:$E,'Checking Transaction Log'!$C:$C,"&gt;="&amp;Y1,'Checking Transaction Log'!$C:$C,"&lt;="&amp;Z1,'Checking Transaction Log'!$A:$A,"s",'Checking Transaction Log'!$B:$B,37)</f>
        <v>2768.7</v>
      </c>
      <c r="Z46" s="276">
        <f t="shared" si="57"/>
        <v>1361.5668384933306</v>
      </c>
      <c r="AA46" s="278">
        <f>SUMIFS('Checking Transaction Log'!$E:$E,'Checking Transaction Log'!$C:$C,"&gt;="&amp;AA1,'Checking Transaction Log'!$C:$C,"&lt;="&amp;AB1,'Checking Transaction Log'!$A:$A,"s",'Checking Transaction Log'!$B:$B,37)</f>
        <v>50</v>
      </c>
      <c r="AB46" s="278">
        <f t="shared" si="58"/>
        <v>4080.2668384933304</v>
      </c>
      <c r="AC46" s="280">
        <f>SUMIFS('Checking Transaction Log'!$E:$E,'Checking Transaction Log'!$C:$C,"&gt;="&amp;AC1,'Checking Transaction Log'!$C:$C,"&lt;="&amp;AD1,'Checking Transaction Log'!$A:$A,"s",'Checking Transaction Log'!$B:$B,37)</f>
        <v>0</v>
      </c>
      <c r="AD46" s="280">
        <f t="shared" si="59"/>
        <v>4130.2668384933304</v>
      </c>
      <c r="AE46" s="282">
        <f>SUMIFS('Checking Transaction Log'!$E:$E,'Checking Transaction Log'!$C:$C,"&gt;="&amp;AE1,'Checking Transaction Log'!$C:$C,"&lt;="&amp;AF1,'Checking Transaction Log'!$A:$A,"s",'Checking Transaction Log'!$B:$B,37)</f>
        <v>0</v>
      </c>
      <c r="AF46" s="282">
        <f t="shared" si="60"/>
        <v>4130.2668384933304</v>
      </c>
    </row>
    <row r="47" spans="1:32" ht="11.25" customHeight="1" x14ac:dyDescent="0.25">
      <c r="A47" s="284"/>
      <c r="B47" s="255"/>
      <c r="C47" s="287"/>
      <c r="D47" s="291"/>
      <c r="E47" s="245" t="s">
        <v>68</v>
      </c>
      <c r="F47" s="245" t="s">
        <v>68</v>
      </c>
      <c r="G47" s="246" t="s">
        <v>153</v>
      </c>
      <c r="H47" s="286"/>
      <c r="I47" s="270"/>
      <c r="J47" s="270"/>
      <c r="K47" s="232"/>
      <c r="L47" s="232"/>
      <c r="M47" s="273"/>
      <c r="N47" s="273"/>
      <c r="O47" s="236"/>
      <c r="P47" s="236"/>
      <c r="Q47" s="270"/>
      <c r="R47" s="270"/>
      <c r="S47" s="232"/>
      <c r="T47" s="232"/>
      <c r="U47" s="273"/>
      <c r="V47" s="273"/>
      <c r="W47" s="236"/>
      <c r="X47" s="236"/>
      <c r="Y47" s="276"/>
      <c r="Z47" s="276"/>
      <c r="AA47" s="278"/>
      <c r="AB47" s="278"/>
      <c r="AC47" s="280"/>
      <c r="AD47" s="280"/>
      <c r="AE47" s="282"/>
    </row>
    <row r="48" spans="1:32" ht="11.25" customHeight="1" x14ac:dyDescent="0.25">
      <c r="A48" s="284"/>
      <c r="B48" s="255"/>
      <c r="C48" s="287"/>
      <c r="D48" s="291"/>
      <c r="E48" s="245" t="s">
        <v>263</v>
      </c>
      <c r="F48" s="245" t="s">
        <v>258</v>
      </c>
      <c r="G48" s="246" t="s">
        <v>264</v>
      </c>
      <c r="H48" s="284"/>
      <c r="I48" s="271"/>
      <c r="J48" s="271"/>
      <c r="K48" s="272"/>
      <c r="L48" s="272"/>
      <c r="M48" s="274"/>
      <c r="N48" s="274"/>
      <c r="O48" s="275"/>
      <c r="P48" s="275"/>
      <c r="Q48" s="271"/>
      <c r="R48" s="271"/>
      <c r="S48" s="272"/>
      <c r="T48" s="272"/>
      <c r="U48" s="274"/>
      <c r="V48" s="274"/>
      <c r="W48" s="275"/>
      <c r="X48" s="275"/>
      <c r="Y48" s="277"/>
      <c r="Z48" s="277"/>
      <c r="AA48" s="279"/>
      <c r="AB48" s="279"/>
      <c r="AC48" s="281"/>
      <c r="AD48" s="281"/>
      <c r="AE48" s="283"/>
    </row>
    <row r="49" spans="1:31" ht="11.25" customHeight="1" x14ac:dyDescent="0.25">
      <c r="A49" s="286" t="s">
        <v>226</v>
      </c>
      <c r="B49" s="255">
        <v>38</v>
      </c>
      <c r="C49" s="292" t="s">
        <v>265</v>
      </c>
      <c r="D49" s="288">
        <f t="shared" ref="D49:D52" ca="1" si="61">(E49/(TODAY()-$I$1))*30.42</f>
        <v>8800.742487707641</v>
      </c>
      <c r="E49" s="268">
        <f t="shared" ref="E49:E52" si="62">Q49+S49+U49+W49+Y49+AA49+AC49+AE49+I49+K49+M49+O49</f>
        <v>87081.64</v>
      </c>
      <c r="F49" s="268">
        <f>E49-('Proposed Budget'!J68*14)</f>
        <v>22712.071956380008</v>
      </c>
      <c r="G49" s="246">
        <f t="shared" ref="G49:G50" si="63">(E49/(E49-F49))-1</f>
        <v>0.35283865725165642</v>
      </c>
      <c r="H49" s="286"/>
      <c r="I49" s="270">
        <f>SUMIFS('Checking Transaction Log'!F:F,'Checking Transaction Log'!C:C,"&gt;="&amp;I1,'Checking Transaction Log'!C:C,"&lt;="&amp;J1,'Checking Transaction Log'!A:A,"i",'Checking Transaction Log'!B:B,38)</f>
        <v>8731.32</v>
      </c>
      <c r="J49" s="270"/>
      <c r="K49" s="232">
        <f>SUMIFS('Checking Transaction Log'!F:F,'Checking Transaction Log'!C:C,"&gt;="&amp;K1,'Checking Transaction Log'!C:C,"&lt;="&amp;L1,'Checking Transaction Log'!A:A,"i",'Checking Transaction Log'!B:B,38)</f>
        <v>8556.31</v>
      </c>
      <c r="L49" s="232"/>
      <c r="M49" s="273">
        <f>SUMIFS('Checking Transaction Log'!$F:$F,'Checking Transaction Log'!$C:$C,"&gt;="&amp;M1,'Checking Transaction Log'!$C:$C,"&lt;="&amp;N1,'Checking Transaction Log'!$A:$A,"i",'Checking Transaction Log'!$B:$B,38)</f>
        <v>9005.0600000000013</v>
      </c>
      <c r="N49" s="273"/>
      <c r="O49" s="236">
        <f>SUMIFS('Checking Transaction Log'!$F:$F,'Checking Transaction Log'!$C:$C,"&gt;="&amp;O1,'Checking Transaction Log'!$C:$C,"&lt;="&amp;P1,'Checking Transaction Log'!$A:$A,"i",'Checking Transaction Log'!$B:$B,38)</f>
        <v>9195.64</v>
      </c>
      <c r="P49" s="236"/>
      <c r="Q49" s="270">
        <f>SUMIFS('Checking Transaction Log'!$F:$F,'Checking Transaction Log'!$C:$C,"&gt;="&amp;Q1,'Checking Transaction Log'!$C:$C,"&lt;="&amp;R1,'Checking Transaction Log'!$A:$A,"i",'Checking Transaction Log'!$B:$B,38)</f>
        <v>9195.630000000001</v>
      </c>
      <c r="R49" s="270"/>
      <c r="S49" s="232">
        <f>SUMIFS('Checking Transaction Log'!$F:$F,'Checking Transaction Log'!$C:$C,"&gt;="&amp;S1,'Checking Transaction Log'!$C:$C,"&lt;="&amp;T1,'Checking Transaction Log'!$A:$A,"i",'Checking Transaction Log'!$B:$B,38)</f>
        <v>9318.68</v>
      </c>
      <c r="T49" s="232"/>
      <c r="U49" s="273">
        <f>SUMIFS('Checking Transaction Log'!$F:$F,'Checking Transaction Log'!$C:$C,"&gt;="&amp;U1,'Checking Transaction Log'!$C:$C,"&lt;="&amp;V1,'Checking Transaction Log'!$A:$A,"i",'Checking Transaction Log'!$B:$B,38)</f>
        <v>9441.7000000000007</v>
      </c>
      <c r="V49" s="273"/>
      <c r="W49" s="236">
        <f>SUMIFS('Checking Transaction Log'!$F:$F,'Checking Transaction Log'!$C:$C,"&gt;="&amp;W1,'Checking Transaction Log'!$C:$C,"&lt;="&amp;X1,'Checking Transaction Log'!$A:$A,"i",'Checking Transaction Log'!$B:$B,38)</f>
        <v>9458.67</v>
      </c>
      <c r="X49" s="236"/>
      <c r="Y49" s="276">
        <f>SUMIFS('Checking Transaction Log'!$F:$F,'Checking Transaction Log'!$C:$C,"&gt;="&amp;Y1,'Checking Transaction Log'!$C:$C,"&lt;="&amp;Z1,'Checking Transaction Log'!$A:$A,"i",'Checking Transaction Log'!$B:$B,38)</f>
        <v>9449.3100000000013</v>
      </c>
      <c r="Z49" s="276"/>
      <c r="AA49" s="278">
        <f>SUMIFS('Checking Transaction Log'!$F:$F,'Checking Transaction Log'!$C:$C,"&gt;="&amp;AA1,'Checking Transaction Log'!$C:$C,"&lt;="&amp;AB1,'Checking Transaction Log'!$A:$A,"i",'Checking Transaction Log'!$B:$B,38)</f>
        <v>4729.32</v>
      </c>
      <c r="AB49" s="278"/>
      <c r="AC49" s="280">
        <f>SUMIFS('Checking Transaction Log'!$F:$F,'Checking Transaction Log'!$C:$C,"&gt;="&amp;AC1,'Checking Transaction Log'!$C:$C,"&lt;="&amp;AD1,'Checking Transaction Log'!$A:$A,"i",'Checking Transaction Log'!$B:$B,38)</f>
        <v>0</v>
      </c>
      <c r="AD49" s="280"/>
      <c r="AE49" s="282">
        <f>SUMIFS('Checking Transaction Log'!$F:$F,'Checking Transaction Log'!$C:$C,"&gt;="&amp;AE1,'Checking Transaction Log'!$C:$C,"&lt;="&amp;AF1,'Checking Transaction Log'!$A:$A,"i",'Checking Transaction Log'!$B:$B,38)</f>
        <v>0</v>
      </c>
    </row>
    <row r="50" spans="1:31" ht="11.25" customHeight="1" x14ac:dyDescent="0.25">
      <c r="A50" s="286" t="s">
        <v>226</v>
      </c>
      <c r="B50" s="255">
        <v>39</v>
      </c>
      <c r="C50" s="292" t="s">
        <v>266</v>
      </c>
      <c r="D50" s="288">
        <f t="shared" ca="1" si="61"/>
        <v>6238.4931747508299</v>
      </c>
      <c r="E50" s="268">
        <f t="shared" si="62"/>
        <v>61728.679999999993</v>
      </c>
      <c r="F50" s="268">
        <f>E50-('Proposed Budget'!J44*14)</f>
        <v>23035.710930000001</v>
      </c>
      <c r="G50" s="246">
        <f t="shared" si="63"/>
        <v>0.59534616969625076</v>
      </c>
      <c r="H50" s="286"/>
      <c r="I50" s="270">
        <f>SUMIFS('Checking Transaction Log'!F:F,'Checking Transaction Log'!C:C,"&gt;="&amp;I1,'Checking Transaction Log'!C:C,"&lt;="&amp;J1,'Checking Transaction Log'!A:A,"i",'Checking Transaction Log'!B:B,39)</f>
        <v>6108.04</v>
      </c>
      <c r="J50" s="270"/>
      <c r="K50" s="232">
        <f>SUMIFS('Checking Transaction Log'!F:F,'Checking Transaction Log'!C:C,"&gt;="&amp;K1,'Checking Transaction Log'!C:C,"&lt;="&amp;L1,'Checking Transaction Log'!A:A,"i",'Checking Transaction Log'!B:B,39)</f>
        <v>5527.5599999999995</v>
      </c>
      <c r="L50" s="232"/>
      <c r="M50" s="273">
        <f>SUMIFS('Checking Transaction Log'!$F:$F,'Checking Transaction Log'!$C:$C,"&gt;="&amp;M1,'Checking Transaction Log'!$C:$C,"&lt;="&amp;N1,'Checking Transaction Log'!$A:$A,"i",'Checking Transaction Log'!$B:$B,39)</f>
        <v>5527.56</v>
      </c>
      <c r="N50" s="273"/>
      <c r="O50" s="236">
        <f>SUMIFS('Checking Transaction Log'!$F:$F,'Checking Transaction Log'!$C:$C,"&gt;="&amp;O1,'Checking Transaction Log'!$C:$C,"&lt;="&amp;P1,'Checking Transaction Log'!$A:$A,"i",'Checking Transaction Log'!$B:$B,39)</f>
        <v>8291.34</v>
      </c>
      <c r="P50" s="236"/>
      <c r="Q50" s="270">
        <f>SUMIFS('Checking Transaction Log'!$F:$F,'Checking Transaction Log'!$C:$C,"&gt;="&amp;Q1,'Checking Transaction Log'!$C:$C,"&lt;="&amp;R1,'Checking Transaction Log'!$A:$A,"i",'Checking Transaction Log'!$B:$B,39)</f>
        <v>5527.57</v>
      </c>
      <c r="R50" s="270"/>
      <c r="S50" s="232">
        <f>SUMIFS('Checking Transaction Log'!$F:$F,'Checking Transaction Log'!$C:$C,"&gt;="&amp;S1,'Checking Transaction Log'!$C:$C,"&lt;="&amp;T1,'Checking Transaction Log'!$A:$A,"i",'Checking Transaction Log'!$B:$B,39)</f>
        <v>5527.55</v>
      </c>
      <c r="T50" s="232"/>
      <c r="U50" s="273">
        <f>SUMIFS('Checking Transaction Log'!$F:$F,'Checking Transaction Log'!$C:$C,"&gt;="&amp;U1,'Checking Transaction Log'!$C:$C,"&lt;="&amp;V1,'Checking Transaction Log'!$A:$A,"i",'Checking Transaction Log'!$B:$B,39)</f>
        <v>5527.56</v>
      </c>
      <c r="V50" s="273"/>
      <c r="W50" s="236">
        <f>SUMIFS('Checking Transaction Log'!$F:$F,'Checking Transaction Log'!$C:$C,"&gt;="&amp;W1,'Checking Transaction Log'!$C:$C,"&lt;="&amp;X1,'Checking Transaction Log'!$A:$A,"i",'Checking Transaction Log'!$B:$B,39)</f>
        <v>5527.56</v>
      </c>
      <c r="X50" s="236"/>
      <c r="Y50" s="276">
        <f>SUMIFS('Checking Transaction Log'!$F:$F,'Checking Transaction Log'!$C:$C,"&gt;="&amp;Y1,'Checking Transaction Log'!$C:$C,"&lt;="&amp;Z1,'Checking Transaction Log'!$A:$A,"i",'Checking Transaction Log'!$B:$B,39)</f>
        <v>5529.33</v>
      </c>
      <c r="Z50" s="276"/>
      <c r="AA50" s="278">
        <f>SUMIFS('Checking Transaction Log'!$F:$F,'Checking Transaction Log'!$C:$C,"&gt;="&amp;AA1,'Checking Transaction Log'!$C:$C,"&lt;="&amp;AB1,'Checking Transaction Log'!$A:$A,"i",'Checking Transaction Log'!$B:$B,39)</f>
        <v>8634.61</v>
      </c>
      <c r="AB50" s="278"/>
      <c r="AC50" s="280">
        <f>SUMIFS('Checking Transaction Log'!$F:$F,'Checking Transaction Log'!$C:$C,"&gt;="&amp;AC1,'Checking Transaction Log'!$C:$C,"&lt;="&amp;AD1,'Checking Transaction Log'!$A:$A,"i",'Checking Transaction Log'!$B:$B,39)</f>
        <v>0</v>
      </c>
      <c r="AD50" s="280"/>
      <c r="AE50" s="282">
        <f>SUMIFS('Checking Transaction Log'!$F:$F,'Checking Transaction Log'!$C:$C,"&gt;="&amp;AE1,'Checking Transaction Log'!$C:$C,"&lt;="&amp;AF1,'Checking Transaction Log'!$A:$A,"i",'Checking Transaction Log'!$B:$B,39)</f>
        <v>0</v>
      </c>
    </row>
    <row r="51" spans="1:31" ht="11.25" customHeight="1" x14ac:dyDescent="0.25">
      <c r="A51" s="286" t="s">
        <v>226</v>
      </c>
      <c r="B51" s="255">
        <v>40</v>
      </c>
      <c r="C51" s="292" t="s">
        <v>267</v>
      </c>
      <c r="D51" s="288">
        <f t="shared" ca="1" si="61"/>
        <v>1247.1634046511631</v>
      </c>
      <c r="E51" s="268">
        <f t="shared" si="62"/>
        <v>12340.440000000002</v>
      </c>
      <c r="F51" s="268"/>
      <c r="G51" s="246"/>
      <c r="H51" s="286"/>
      <c r="I51" s="270">
        <f>SUMIFS('Checking Transaction Log'!F:F,'Checking Transaction Log'!C:C,"&gt;="&amp;I1,'Checking Transaction Log'!C:C,"&lt;="&amp;J1,'Checking Transaction Log'!A:A,"i",'Checking Transaction Log'!B:B,40)</f>
        <v>0</v>
      </c>
      <c r="J51" s="270"/>
      <c r="K51" s="232">
        <f>SUMIFS('Checking Transaction Log'!F:F,'Checking Transaction Log'!C:C,"&gt;="&amp;K1,'Checking Transaction Log'!C:C,"&lt;="&amp;L1,'Checking Transaction Log'!A:A,"i",'Checking Transaction Log'!B:B,40)</f>
        <v>2531.75</v>
      </c>
      <c r="L51" s="232"/>
      <c r="M51" s="273">
        <f>SUMIFS('Checking Transaction Log'!$F:$F,'Checking Transaction Log'!$C:$C,"&gt;="&amp;M1,'Checking Transaction Log'!$C:$C,"&lt;="&amp;N1,'Checking Transaction Log'!$A:$A,"i",'Checking Transaction Log'!$B:$B,40)</f>
        <v>838.67</v>
      </c>
      <c r="N51" s="273"/>
      <c r="O51" s="236">
        <f>SUMIFS('Checking Transaction Log'!$F:$F,'Checking Transaction Log'!$C:$C,"&gt;="&amp;O1,'Checking Transaction Log'!$C:$C,"&lt;="&amp;P1,'Checking Transaction Log'!$A:$A,"i",'Checking Transaction Log'!$B:$B,40)</f>
        <v>838.69</v>
      </c>
      <c r="P51" s="236"/>
      <c r="Q51" s="270">
        <f>SUMIFS('Checking Transaction Log'!$F:$F,'Checking Transaction Log'!$C:$C,"&gt;="&amp;Q1,'Checking Transaction Log'!$C:$C,"&lt;="&amp;R1,'Checking Transaction Log'!$A:$A,"i",'Checking Transaction Log'!$B:$B,40)</f>
        <v>0</v>
      </c>
      <c r="R51" s="270"/>
      <c r="S51" s="232">
        <f>SUMIFS('Checking Transaction Log'!$F:$F,'Checking Transaction Log'!$C:$C,"&gt;="&amp;S1,'Checking Transaction Log'!$C:$C,"&lt;="&amp;T1,'Checking Transaction Log'!$A:$A,"i",'Checking Transaction Log'!$B:$B,40)</f>
        <v>2104.5500000000002</v>
      </c>
      <c r="T51" s="232"/>
      <c r="U51" s="273">
        <f>SUMIFS('Checking Transaction Log'!$F:$F,'Checking Transaction Log'!$C:$C,"&gt;="&amp;U1,'Checking Transaction Log'!$C:$C,"&lt;="&amp;V1,'Checking Transaction Log'!$A:$A,"i",'Checking Transaction Log'!$B:$B,40)</f>
        <v>4292.68</v>
      </c>
      <c r="V51" s="273"/>
      <c r="W51" s="236">
        <f>SUMIFS('Checking Transaction Log'!$F:$F,'Checking Transaction Log'!$C:$C,"&gt;="&amp;W1,'Checking Transaction Log'!$C:$C,"&lt;="&amp;X1,'Checking Transaction Log'!$A:$A,"i",'Checking Transaction Log'!$B:$B,40)</f>
        <v>896.92</v>
      </c>
      <c r="X51" s="236"/>
      <c r="Y51" s="276">
        <f>SUMIFS('Checking Transaction Log'!$F:$F,'Checking Transaction Log'!$C:$C,"&gt;="&amp;Y1,'Checking Transaction Log'!$C:$C,"&lt;="&amp;Z1,'Checking Transaction Log'!$A:$A,"i",'Checking Transaction Log'!$B:$B,40)</f>
        <v>0</v>
      </c>
      <c r="Z51" s="276"/>
      <c r="AA51" s="278">
        <f>SUMIFS('Checking Transaction Log'!$F:$F,'Checking Transaction Log'!$C:$C,"&gt;="&amp;AA1,'Checking Transaction Log'!$C:$C,"&lt;="&amp;AB1,'Checking Transaction Log'!$A:$A,"i",'Checking Transaction Log'!$B:$B,40)</f>
        <v>837.18</v>
      </c>
      <c r="AB51" s="278"/>
      <c r="AC51" s="280">
        <f>SUMIFS('Checking Transaction Log'!$F:$F,'Checking Transaction Log'!$C:$C,"&gt;="&amp;AC1,'Checking Transaction Log'!$C:$C,"&lt;="&amp;AD1,'Checking Transaction Log'!$A:$A,"i",'Checking Transaction Log'!$B:$B,40)</f>
        <v>0</v>
      </c>
      <c r="AD51" s="280"/>
      <c r="AE51" s="282">
        <f>SUMIFS('Checking Transaction Log'!$F:$F,'Checking Transaction Log'!$C:$C,"&gt;="&amp;AE1,'Checking Transaction Log'!$C:$C,"&lt;="&amp;AF1,'Checking Transaction Log'!$A:$A,"i",'Checking Transaction Log'!$B:$B,40)</f>
        <v>0</v>
      </c>
    </row>
    <row r="52" spans="1:31" ht="11.25" customHeight="1" x14ac:dyDescent="0.25">
      <c r="A52" s="286" t="s">
        <v>226</v>
      </c>
      <c r="B52" s="255">
        <v>41</v>
      </c>
      <c r="C52" s="292" t="s">
        <v>189</v>
      </c>
      <c r="D52" s="288">
        <f t="shared" ca="1" si="61"/>
        <v>808.50498338870432</v>
      </c>
      <c r="E52" s="268">
        <f t="shared" si="62"/>
        <v>8000</v>
      </c>
      <c r="F52" s="268"/>
      <c r="G52" s="246"/>
      <c r="H52" s="286"/>
      <c r="I52" s="270">
        <f>SUMIFS('Checking Transaction Log'!F:F,'Checking Transaction Log'!C:C,"&gt;="&amp;I1,'Checking Transaction Log'!C:C,"&lt;="&amp;J1,'Checking Transaction Log'!A:A,"i",'Checking Transaction Log'!B:B,41)</f>
        <v>800</v>
      </c>
      <c r="J52" s="270"/>
      <c r="K52" s="232">
        <f>SUMIFS('Checking Transaction Log'!F:F,'Checking Transaction Log'!C:C,"&gt;="&amp;K1,'Checking Transaction Log'!C:C,"&lt;="&amp;L1,'Checking Transaction Log'!A:A,"i",'Checking Transaction Log'!B:B,41)</f>
        <v>0</v>
      </c>
      <c r="L52" s="232"/>
      <c r="M52" s="273">
        <f>SUMIFS('Checking Transaction Log'!$F:$F,'Checking Transaction Log'!$C:$C,"&gt;="&amp;M1,'Checking Transaction Log'!$C:$C,"&lt;="&amp;N1,'Checking Transaction Log'!$A:$A,"i",'Checking Transaction Log'!$B:$B,41)</f>
        <v>1600</v>
      </c>
      <c r="N52" s="273"/>
      <c r="O52" s="236">
        <f>SUMIFS('Checking Transaction Log'!$F:$F,'Checking Transaction Log'!$C:$C,"&gt;="&amp;O1,'Checking Transaction Log'!$C:$C,"&lt;="&amp;P1,'Checking Transaction Log'!$A:$A,"i",'Checking Transaction Log'!$B:$B,41)</f>
        <v>550</v>
      </c>
      <c r="P52" s="236"/>
      <c r="Q52" s="270">
        <f>SUMIFS('Checking Transaction Log'!$F:$F,'Checking Transaction Log'!$C:$C,"&gt;="&amp;Q1,'Checking Transaction Log'!$C:$C,"&lt;="&amp;R1,'Checking Transaction Log'!$A:$A,"i",'Checking Transaction Log'!$B:$B,41)</f>
        <v>250</v>
      </c>
      <c r="R52" s="270"/>
      <c r="S52" s="232">
        <f>SUMIFS('Checking Transaction Log'!$F:$F,'Checking Transaction Log'!$C:$C,"&gt;="&amp;S1,'Checking Transaction Log'!$C:$C,"&lt;="&amp;T1,'Checking Transaction Log'!$A:$A,"i",'Checking Transaction Log'!$B:$B,41)</f>
        <v>800</v>
      </c>
      <c r="T52" s="232"/>
      <c r="U52" s="273">
        <f>SUMIFS('Checking Transaction Log'!$F:$F,'Checking Transaction Log'!$C:$C,"&gt;="&amp;U1,'Checking Transaction Log'!$C:$C,"&lt;="&amp;V1,'Checking Transaction Log'!$A:$A,"i",'Checking Transaction Log'!$B:$B,41)</f>
        <v>800</v>
      </c>
      <c r="V52" s="273"/>
      <c r="W52" s="236">
        <f>SUMIFS('Checking Transaction Log'!$F:$F,'Checking Transaction Log'!$C:$C,"&gt;="&amp;W1,'Checking Transaction Log'!$C:$C,"&lt;="&amp;X1,'Checking Transaction Log'!$A:$A,"i",'Checking Transaction Log'!$B:$B,41)</f>
        <v>1600</v>
      </c>
      <c r="X52" s="236"/>
      <c r="Y52" s="276">
        <f>SUMIFS('Checking Transaction Log'!$F:$F,'Checking Transaction Log'!$C:$C,"&gt;="&amp;Y1,'Checking Transaction Log'!$C:$C,"&lt;="&amp;Z1,'Checking Transaction Log'!$A:$A,"i",'Checking Transaction Log'!$B:$B,41)</f>
        <v>0</v>
      </c>
      <c r="Z52" s="276"/>
      <c r="AA52" s="278">
        <f>SUMIFS('Checking Transaction Log'!$F:$F,'Checking Transaction Log'!$C:$C,"&gt;="&amp;AA1,'Checking Transaction Log'!$C:$C,"&lt;="&amp;AB1,'Checking Transaction Log'!$A:$A,"i",'Checking Transaction Log'!$B:$B,41)</f>
        <v>1600</v>
      </c>
      <c r="AB52" s="278"/>
      <c r="AC52" s="280">
        <f>SUMIFS('Checking Transaction Log'!$F:$F,'Checking Transaction Log'!$C:$C,"&gt;="&amp;AC1,'Checking Transaction Log'!$C:$C,"&lt;="&amp;AD1,'Checking Transaction Log'!$A:$A,"i",'Checking Transaction Log'!$B:$B,41)</f>
        <v>0</v>
      </c>
      <c r="AD52" s="280"/>
      <c r="AE52" s="282">
        <f>SUMIFS('Checking Transaction Log'!$F:$F,'Checking Transaction Log'!$C:$C,"&gt;="&amp;AE1,'Checking Transaction Log'!$C:$C,"&lt;="&amp;AF1,'Checking Transaction Log'!$A:$A,"i",'Checking Transaction Log'!$B:$B,41)</f>
        <v>0</v>
      </c>
    </row>
    <row r="53" spans="1:31" ht="11.25" customHeight="1" x14ac:dyDescent="0.25">
      <c r="A53" s="188"/>
      <c r="B53" s="293"/>
      <c r="C53" s="294"/>
      <c r="D53" s="122"/>
      <c r="E53" s="295"/>
      <c r="F53" s="295"/>
      <c r="G53" s="296"/>
      <c r="H53" s="295"/>
      <c r="I53" s="295"/>
      <c r="J53" s="295"/>
      <c r="K53" s="295"/>
      <c r="L53" s="295"/>
      <c r="M53" s="295"/>
      <c r="N53" s="295"/>
      <c r="O53" s="295"/>
      <c r="P53" s="295"/>
      <c r="Q53" s="295"/>
      <c r="R53" s="295"/>
      <c r="S53" s="295"/>
      <c r="T53" s="295"/>
      <c r="U53" s="295"/>
      <c r="V53" s="295"/>
      <c r="W53" s="295"/>
      <c r="X53" s="295"/>
      <c r="Y53" s="295"/>
      <c r="Z53" s="295"/>
      <c r="AA53" s="295"/>
      <c r="AB53" s="295"/>
      <c r="AC53" s="295"/>
      <c r="AD53" s="295"/>
      <c r="AE53" s="295"/>
    </row>
    <row r="54" spans="1:31" ht="11.25" customHeight="1" x14ac:dyDescent="0.25">
      <c r="A54" s="188"/>
      <c r="B54" s="293"/>
      <c r="C54" s="294"/>
      <c r="D54" s="122"/>
      <c r="E54" s="297">
        <f>SUM(E49:E52)</f>
        <v>169150.76</v>
      </c>
      <c r="F54" s="297">
        <f>F49+F50+E52</f>
        <v>53747.78288638001</v>
      </c>
      <c r="G54" s="246">
        <f>(E54/(E54-F54))-1</f>
        <v>0.46574000282040062</v>
      </c>
      <c r="H54" s="295"/>
      <c r="I54" s="198">
        <f>SUM(I49:I52)</f>
        <v>15639.36</v>
      </c>
      <c r="J54" s="295"/>
      <c r="K54" s="198">
        <f>SUM(K49:K52)</f>
        <v>16615.62</v>
      </c>
      <c r="L54" s="295"/>
      <c r="M54" s="198">
        <f>SUM(M49:M52)</f>
        <v>16971.29</v>
      </c>
      <c r="N54" s="295"/>
      <c r="O54" s="198">
        <f>SUM(O49:O52)</f>
        <v>18875.669999999998</v>
      </c>
      <c r="P54" s="295"/>
      <c r="Q54" s="198">
        <f>SUM(Q49:Q52)</f>
        <v>14973.2</v>
      </c>
      <c r="R54" s="295"/>
      <c r="S54" s="198">
        <f>SUM(S49:S52)</f>
        <v>17750.78</v>
      </c>
      <c r="T54" s="295"/>
      <c r="U54" s="198">
        <f>SUM(U49:U52)</f>
        <v>20061.940000000002</v>
      </c>
      <c r="V54" s="295"/>
      <c r="W54" s="198">
        <f>SUM(W49:W52)</f>
        <v>17483.150000000001</v>
      </c>
      <c r="X54" s="295"/>
      <c r="Y54" s="198">
        <f>SUM(Y49:Y52)</f>
        <v>14978.640000000001</v>
      </c>
      <c r="Z54" s="295"/>
      <c r="AA54" s="198">
        <f>SUM(AA49:AA52)</f>
        <v>15801.11</v>
      </c>
      <c r="AB54" s="295"/>
      <c r="AC54" s="198">
        <f>SUM(AC49:AC52)</f>
        <v>0</v>
      </c>
      <c r="AD54" s="295"/>
      <c r="AE54" s="198">
        <f>SUM(AE49:AE52)</f>
        <v>0</v>
      </c>
    </row>
    <row r="55" spans="1:31" ht="15.75" customHeight="1" x14ac:dyDescent="0.25">
      <c r="D55" s="11"/>
    </row>
    <row r="56" spans="1:31" ht="15.75" customHeight="1" x14ac:dyDescent="0.25">
      <c r="D56" s="11"/>
    </row>
    <row r="57" spans="1:31" ht="15.75" customHeight="1" x14ac:dyDescent="0.25">
      <c r="D57" s="11"/>
    </row>
    <row r="58" spans="1:31" ht="15.75" customHeight="1" x14ac:dyDescent="0.25">
      <c r="D58" s="11"/>
    </row>
    <row r="59" spans="1:31" ht="15.75" customHeight="1" x14ac:dyDescent="0.25">
      <c r="D59" s="11"/>
    </row>
    <row r="60" spans="1:31" ht="15.75" customHeight="1" x14ac:dyDescent="0.25">
      <c r="D60" s="11"/>
    </row>
    <row r="61" spans="1:31" ht="15.75" customHeight="1" x14ac:dyDescent="0.25">
      <c r="D61" s="11"/>
    </row>
    <row r="62" spans="1:31" ht="15.75" customHeight="1" x14ac:dyDescent="0.25">
      <c r="D62" s="11"/>
    </row>
    <row r="63" spans="1:31" ht="15.75" customHeight="1" x14ac:dyDescent="0.25">
      <c r="D63" s="11"/>
    </row>
    <row r="64" spans="1:31" ht="15.75" customHeight="1" x14ac:dyDescent="0.25">
      <c r="D64" s="11"/>
    </row>
    <row r="65" spans="4:4" ht="15.75" customHeight="1" x14ac:dyDescent="0.25">
      <c r="D65" s="11"/>
    </row>
    <row r="66" spans="4:4" ht="15.75" customHeight="1" x14ac:dyDescent="0.25">
      <c r="D66" s="11"/>
    </row>
    <row r="67" spans="4:4" ht="15.75" customHeight="1" x14ac:dyDescent="0.25">
      <c r="D67" s="11"/>
    </row>
    <row r="68" spans="4:4" ht="15.75" customHeight="1" x14ac:dyDescent="0.25">
      <c r="D68" s="11"/>
    </row>
    <row r="69" spans="4:4" ht="15.75" customHeight="1" x14ac:dyDescent="0.25">
      <c r="D69" s="11"/>
    </row>
    <row r="70" spans="4:4" ht="15.75" customHeight="1" x14ac:dyDescent="0.25">
      <c r="D70" s="11"/>
    </row>
    <row r="71" spans="4:4" ht="15.75" customHeight="1" x14ac:dyDescent="0.25">
      <c r="D71" s="11"/>
    </row>
    <row r="72" spans="4:4" ht="15.75" customHeight="1" x14ac:dyDescent="0.25">
      <c r="D72" s="11"/>
    </row>
    <row r="73" spans="4:4" ht="15.75" customHeight="1" x14ac:dyDescent="0.25">
      <c r="D73" s="11"/>
    </row>
    <row r="74" spans="4:4" ht="15.75" customHeight="1" x14ac:dyDescent="0.25">
      <c r="D74" s="11"/>
    </row>
    <row r="75" spans="4:4" ht="15.75" customHeight="1" x14ac:dyDescent="0.25">
      <c r="D75" s="11"/>
    </row>
    <row r="76" spans="4:4" ht="15.75" customHeight="1" x14ac:dyDescent="0.25">
      <c r="D76" s="11"/>
    </row>
    <row r="77" spans="4:4" ht="15.75" customHeight="1" x14ac:dyDescent="0.25">
      <c r="D77" s="11"/>
    </row>
    <row r="78" spans="4:4" ht="15.75" customHeight="1" x14ac:dyDescent="0.25">
      <c r="D78" s="11"/>
    </row>
    <row r="79" spans="4:4" ht="15.75" customHeight="1" x14ac:dyDescent="0.25">
      <c r="D79" s="11"/>
    </row>
    <row r="80" spans="4:4" ht="15.75" customHeight="1" x14ac:dyDescent="0.25">
      <c r="D80" s="11"/>
    </row>
    <row r="81" spans="4:4" ht="15.75" customHeight="1" x14ac:dyDescent="0.25">
      <c r="D81" s="11"/>
    </row>
    <row r="82" spans="4:4" ht="15.75" customHeight="1" x14ac:dyDescent="0.25">
      <c r="D82" s="11"/>
    </row>
    <row r="83" spans="4:4" ht="15.75" customHeight="1" x14ac:dyDescent="0.25">
      <c r="D83" s="11"/>
    </row>
    <row r="84" spans="4:4" ht="15.75" customHeight="1" x14ac:dyDescent="0.25">
      <c r="D84" s="11"/>
    </row>
    <row r="85" spans="4:4" ht="15.75" customHeight="1" x14ac:dyDescent="0.25">
      <c r="D85" s="11"/>
    </row>
    <row r="86" spans="4:4" ht="15.75" customHeight="1" x14ac:dyDescent="0.25">
      <c r="D86" s="11"/>
    </row>
    <row r="87" spans="4:4" ht="15.75" customHeight="1" x14ac:dyDescent="0.25">
      <c r="D87" s="11"/>
    </row>
    <row r="88" spans="4:4" ht="15.75" customHeight="1" x14ac:dyDescent="0.25">
      <c r="D88" s="11"/>
    </row>
    <row r="89" spans="4:4" ht="15.75" customHeight="1" x14ac:dyDescent="0.25">
      <c r="D89" s="11"/>
    </row>
    <row r="90" spans="4:4" ht="15.75" customHeight="1" x14ac:dyDescent="0.25">
      <c r="D90" s="11"/>
    </row>
    <row r="91" spans="4:4" ht="15.75" customHeight="1" x14ac:dyDescent="0.25">
      <c r="D91" s="11"/>
    </row>
    <row r="92" spans="4:4" ht="15.75" customHeight="1" x14ac:dyDescent="0.25">
      <c r="D92" s="11"/>
    </row>
    <row r="93" spans="4:4" ht="15.75" customHeight="1" x14ac:dyDescent="0.25">
      <c r="D93" s="11"/>
    </row>
    <row r="94" spans="4:4" ht="15.75" customHeight="1" x14ac:dyDescent="0.25">
      <c r="D94" s="11"/>
    </row>
    <row r="95" spans="4:4" ht="15.75" customHeight="1" x14ac:dyDescent="0.25">
      <c r="D95" s="11"/>
    </row>
    <row r="96" spans="4:4" ht="15.75" customHeight="1" x14ac:dyDescent="0.25">
      <c r="D96" s="11"/>
    </row>
    <row r="97" spans="4:4" ht="15.75" customHeight="1" x14ac:dyDescent="0.25">
      <c r="D97" s="11"/>
    </row>
    <row r="98" spans="4:4" ht="15.75" customHeight="1" x14ac:dyDescent="0.25">
      <c r="D98" s="11"/>
    </row>
    <row r="99" spans="4:4" ht="15.75" customHeight="1" x14ac:dyDescent="0.25">
      <c r="D99" s="11"/>
    </row>
    <row r="100" spans="4:4" ht="15.75" customHeight="1" x14ac:dyDescent="0.25">
      <c r="D100" s="11"/>
    </row>
    <row r="101" spans="4:4" ht="15.75" customHeight="1" x14ac:dyDescent="0.25">
      <c r="D101" s="11"/>
    </row>
    <row r="102" spans="4:4" ht="15.75" customHeight="1" x14ac:dyDescent="0.25">
      <c r="D102" s="11"/>
    </row>
    <row r="103" spans="4:4" ht="15.75" customHeight="1" x14ac:dyDescent="0.25">
      <c r="D103" s="11"/>
    </row>
    <row r="104" spans="4:4" ht="15.75" customHeight="1" x14ac:dyDescent="0.25">
      <c r="D104" s="11"/>
    </row>
    <row r="105" spans="4:4" ht="15.75" customHeight="1" x14ac:dyDescent="0.25">
      <c r="D105" s="11"/>
    </row>
    <row r="106" spans="4:4" ht="15.75" customHeight="1" x14ac:dyDescent="0.25">
      <c r="D106" s="11"/>
    </row>
    <row r="107" spans="4:4" ht="15.75" customHeight="1" x14ac:dyDescent="0.25">
      <c r="D107" s="11"/>
    </row>
    <row r="108" spans="4:4" ht="15.75" customHeight="1" x14ac:dyDescent="0.25">
      <c r="D108" s="11"/>
    </row>
    <row r="109" spans="4:4" ht="15.75" customHeight="1" x14ac:dyDescent="0.25">
      <c r="D109" s="11"/>
    </row>
    <row r="110" spans="4:4" ht="15.75" customHeight="1" x14ac:dyDescent="0.25">
      <c r="D110" s="11"/>
    </row>
    <row r="111" spans="4:4" ht="15.75" customHeight="1" x14ac:dyDescent="0.25">
      <c r="D111" s="11"/>
    </row>
    <row r="112" spans="4:4" ht="15.75" customHeight="1" x14ac:dyDescent="0.25">
      <c r="D112" s="11"/>
    </row>
    <row r="113" spans="4:4" ht="15.75" customHeight="1" x14ac:dyDescent="0.25">
      <c r="D113" s="11"/>
    </row>
    <row r="114" spans="4:4" ht="15.75" customHeight="1" x14ac:dyDescent="0.25">
      <c r="D114" s="11"/>
    </row>
    <row r="115" spans="4:4" ht="15.75" customHeight="1" x14ac:dyDescent="0.25">
      <c r="D115" s="11"/>
    </row>
    <row r="116" spans="4:4" ht="15.75" customHeight="1" x14ac:dyDescent="0.25">
      <c r="D116" s="11"/>
    </row>
    <row r="117" spans="4:4" ht="15.75" customHeight="1" x14ac:dyDescent="0.25">
      <c r="D117" s="11"/>
    </row>
    <row r="118" spans="4:4" ht="15.75" customHeight="1" x14ac:dyDescent="0.25">
      <c r="D118" s="11"/>
    </row>
    <row r="119" spans="4:4" ht="15.75" customHeight="1" x14ac:dyDescent="0.25">
      <c r="D119" s="11"/>
    </row>
    <row r="120" spans="4:4" ht="15.75" customHeight="1" x14ac:dyDescent="0.25">
      <c r="D120" s="11"/>
    </row>
    <row r="121" spans="4:4" ht="15.75" customHeight="1" x14ac:dyDescent="0.25">
      <c r="D121" s="11"/>
    </row>
    <row r="122" spans="4:4" ht="15.75" customHeight="1" x14ac:dyDescent="0.25">
      <c r="D122" s="11"/>
    </row>
    <row r="123" spans="4:4" ht="15.75" customHeight="1" x14ac:dyDescent="0.25">
      <c r="D123" s="11"/>
    </row>
    <row r="124" spans="4:4" ht="15.75" customHeight="1" x14ac:dyDescent="0.25">
      <c r="D124" s="11"/>
    </row>
    <row r="125" spans="4:4" ht="15.75" customHeight="1" x14ac:dyDescent="0.25">
      <c r="D125" s="11"/>
    </row>
    <row r="126" spans="4:4" ht="15.75" customHeight="1" x14ac:dyDescent="0.25">
      <c r="D126" s="11"/>
    </row>
    <row r="127" spans="4:4" ht="15.75" customHeight="1" x14ac:dyDescent="0.25">
      <c r="D127" s="11"/>
    </row>
    <row r="128" spans="4:4" ht="15.75" customHeight="1" x14ac:dyDescent="0.25">
      <c r="D128" s="11"/>
    </row>
    <row r="129" spans="4:4" ht="15.75" customHeight="1" x14ac:dyDescent="0.25">
      <c r="D129" s="11"/>
    </row>
    <row r="130" spans="4:4" ht="15.75" customHeight="1" x14ac:dyDescent="0.25">
      <c r="D130" s="11"/>
    </row>
    <row r="131" spans="4:4" ht="15.75" customHeight="1" x14ac:dyDescent="0.25">
      <c r="D131" s="11"/>
    </row>
    <row r="132" spans="4:4" ht="15.75" customHeight="1" x14ac:dyDescent="0.25">
      <c r="D132" s="11"/>
    </row>
    <row r="133" spans="4:4" ht="15.75" customHeight="1" x14ac:dyDescent="0.25">
      <c r="D133" s="11"/>
    </row>
    <row r="134" spans="4:4" ht="15.75" customHeight="1" x14ac:dyDescent="0.25">
      <c r="D134" s="11"/>
    </row>
    <row r="135" spans="4:4" ht="15.75" customHeight="1" x14ac:dyDescent="0.25">
      <c r="D135" s="11"/>
    </row>
    <row r="136" spans="4:4" ht="15.75" customHeight="1" x14ac:dyDescent="0.25">
      <c r="D136" s="11"/>
    </row>
    <row r="137" spans="4:4" ht="15.75" customHeight="1" x14ac:dyDescent="0.25">
      <c r="D137" s="11"/>
    </row>
    <row r="138" spans="4:4" ht="15.75" customHeight="1" x14ac:dyDescent="0.25">
      <c r="D138" s="11"/>
    </row>
    <row r="139" spans="4:4" ht="15.75" customHeight="1" x14ac:dyDescent="0.25">
      <c r="D139" s="11"/>
    </row>
    <row r="140" spans="4:4" ht="15.75" customHeight="1" x14ac:dyDescent="0.25">
      <c r="D140" s="11"/>
    </row>
    <row r="141" spans="4:4" ht="15.75" customHeight="1" x14ac:dyDescent="0.25">
      <c r="D141" s="11"/>
    </row>
    <row r="142" spans="4:4" ht="15.75" customHeight="1" x14ac:dyDescent="0.25">
      <c r="D142" s="11"/>
    </row>
    <row r="143" spans="4:4" ht="15.75" customHeight="1" x14ac:dyDescent="0.25">
      <c r="D143" s="11"/>
    </row>
    <row r="144" spans="4:4" ht="15.75" customHeight="1" x14ac:dyDescent="0.25">
      <c r="D144" s="11"/>
    </row>
    <row r="145" spans="4:4" ht="15.75" customHeight="1" x14ac:dyDescent="0.25">
      <c r="D145" s="11"/>
    </row>
    <row r="146" spans="4:4" ht="15.75" customHeight="1" x14ac:dyDescent="0.25">
      <c r="D146" s="11"/>
    </row>
    <row r="147" spans="4:4" ht="15.75" customHeight="1" x14ac:dyDescent="0.25">
      <c r="D147" s="11"/>
    </row>
    <row r="148" spans="4:4" ht="15.75" customHeight="1" x14ac:dyDescent="0.25">
      <c r="D148" s="11"/>
    </row>
    <row r="149" spans="4:4" ht="15.75" customHeight="1" x14ac:dyDescent="0.25">
      <c r="D149" s="11"/>
    </row>
    <row r="150" spans="4:4" ht="15.75" customHeight="1" x14ac:dyDescent="0.25">
      <c r="D150" s="11"/>
    </row>
    <row r="151" spans="4:4" ht="15.75" customHeight="1" x14ac:dyDescent="0.25">
      <c r="D151" s="11"/>
    </row>
    <row r="152" spans="4:4" ht="15.75" customHeight="1" x14ac:dyDescent="0.25">
      <c r="D152" s="11"/>
    </row>
    <row r="153" spans="4:4" ht="15.75" customHeight="1" x14ac:dyDescent="0.25">
      <c r="D153" s="11"/>
    </row>
    <row r="154" spans="4:4" ht="15.75" customHeight="1" x14ac:dyDescent="0.25">
      <c r="D154" s="11"/>
    </row>
    <row r="155" spans="4:4" ht="15.75" customHeight="1" x14ac:dyDescent="0.25">
      <c r="D155" s="11"/>
    </row>
    <row r="156" spans="4:4" ht="15.75" customHeight="1" x14ac:dyDescent="0.25">
      <c r="D156" s="11"/>
    </row>
    <row r="157" spans="4:4" ht="15.75" customHeight="1" x14ac:dyDescent="0.25">
      <c r="D157" s="11"/>
    </row>
    <row r="158" spans="4:4" ht="15.75" customHeight="1" x14ac:dyDescent="0.25">
      <c r="D158" s="11"/>
    </row>
    <row r="159" spans="4:4" ht="15.75" customHeight="1" x14ac:dyDescent="0.25">
      <c r="D159" s="11"/>
    </row>
    <row r="160" spans="4:4" ht="15.75" customHeight="1" x14ac:dyDescent="0.25">
      <c r="D160" s="11"/>
    </row>
    <row r="161" spans="4:4" ht="15.75" customHeight="1" x14ac:dyDescent="0.25">
      <c r="D161" s="11"/>
    </row>
    <row r="162" spans="4:4" ht="15.75" customHeight="1" x14ac:dyDescent="0.25">
      <c r="D162" s="11"/>
    </row>
    <row r="163" spans="4:4" ht="15.75" customHeight="1" x14ac:dyDescent="0.25">
      <c r="D163" s="11"/>
    </row>
    <row r="164" spans="4:4" ht="15.75" customHeight="1" x14ac:dyDescent="0.25">
      <c r="D164" s="11"/>
    </row>
    <row r="165" spans="4:4" ht="15.75" customHeight="1" x14ac:dyDescent="0.25">
      <c r="D165" s="11"/>
    </row>
    <row r="166" spans="4:4" ht="15.75" customHeight="1" x14ac:dyDescent="0.25">
      <c r="D166" s="11"/>
    </row>
    <row r="167" spans="4:4" ht="15.75" customHeight="1" x14ac:dyDescent="0.25">
      <c r="D167" s="11"/>
    </row>
    <row r="168" spans="4:4" ht="15.75" customHeight="1" x14ac:dyDescent="0.25">
      <c r="D168" s="11"/>
    </row>
    <row r="169" spans="4:4" ht="15.75" customHeight="1" x14ac:dyDescent="0.25">
      <c r="D169" s="11"/>
    </row>
    <row r="170" spans="4:4" ht="15.75" customHeight="1" x14ac:dyDescent="0.25">
      <c r="D170" s="11"/>
    </row>
    <row r="171" spans="4:4" ht="15.75" customHeight="1" x14ac:dyDescent="0.25">
      <c r="D171" s="11"/>
    </row>
    <row r="172" spans="4:4" ht="15.75" customHeight="1" x14ac:dyDescent="0.25">
      <c r="D172" s="11"/>
    </row>
    <row r="173" spans="4:4" ht="15.75" customHeight="1" x14ac:dyDescent="0.25">
      <c r="D173" s="11"/>
    </row>
    <row r="174" spans="4:4" ht="15.75" customHeight="1" x14ac:dyDescent="0.25">
      <c r="D174" s="11"/>
    </row>
    <row r="175" spans="4:4" ht="15.75" customHeight="1" x14ac:dyDescent="0.25">
      <c r="D175" s="11"/>
    </row>
    <row r="176" spans="4:4" ht="15.75" customHeight="1" x14ac:dyDescent="0.25">
      <c r="D176" s="11"/>
    </row>
    <row r="177" spans="4:4" ht="15.75" customHeight="1" x14ac:dyDescent="0.25">
      <c r="D177" s="11"/>
    </row>
    <row r="178" spans="4:4" ht="15.75" customHeight="1" x14ac:dyDescent="0.25">
      <c r="D178" s="11"/>
    </row>
    <row r="179" spans="4:4" ht="15.75" customHeight="1" x14ac:dyDescent="0.25">
      <c r="D179" s="11"/>
    </row>
    <row r="180" spans="4:4" ht="15.75" customHeight="1" x14ac:dyDescent="0.25">
      <c r="D180" s="11"/>
    </row>
    <row r="181" spans="4:4" ht="15.75" customHeight="1" x14ac:dyDescent="0.25">
      <c r="D181" s="11"/>
    </row>
    <row r="182" spans="4:4" ht="15.75" customHeight="1" x14ac:dyDescent="0.25">
      <c r="D182" s="11"/>
    </row>
    <row r="183" spans="4:4" ht="15.75" customHeight="1" x14ac:dyDescent="0.25">
      <c r="D183" s="11"/>
    </row>
    <row r="184" spans="4:4" ht="15.75" customHeight="1" x14ac:dyDescent="0.25">
      <c r="D184" s="11"/>
    </row>
    <row r="185" spans="4:4" ht="15.75" customHeight="1" x14ac:dyDescent="0.25">
      <c r="D185" s="11"/>
    </row>
    <row r="186" spans="4:4" ht="15.75" customHeight="1" x14ac:dyDescent="0.25">
      <c r="D186" s="11"/>
    </row>
    <row r="187" spans="4:4" ht="15.75" customHeight="1" x14ac:dyDescent="0.25">
      <c r="D187" s="11"/>
    </row>
    <row r="188" spans="4:4" ht="15.75" customHeight="1" x14ac:dyDescent="0.25">
      <c r="D188" s="11"/>
    </row>
    <row r="189" spans="4:4" ht="15.75" customHeight="1" x14ac:dyDescent="0.25">
      <c r="D189" s="11"/>
    </row>
    <row r="190" spans="4:4" ht="15.75" customHeight="1" x14ac:dyDescent="0.25">
      <c r="D190" s="11"/>
    </row>
    <row r="191" spans="4:4" ht="15.75" customHeight="1" x14ac:dyDescent="0.25">
      <c r="D191" s="11"/>
    </row>
    <row r="192" spans="4:4" ht="15.75" customHeight="1" x14ac:dyDescent="0.25">
      <c r="D192" s="11"/>
    </row>
    <row r="193" spans="4:4" ht="15.75" customHeight="1" x14ac:dyDescent="0.25">
      <c r="D193" s="11"/>
    </row>
    <row r="194" spans="4:4" ht="15.75" customHeight="1" x14ac:dyDescent="0.25">
      <c r="D194" s="11"/>
    </row>
    <row r="195" spans="4:4" ht="15.75" customHeight="1" x14ac:dyDescent="0.25">
      <c r="D195" s="11"/>
    </row>
    <row r="196" spans="4:4" ht="15.75" customHeight="1" x14ac:dyDescent="0.25">
      <c r="D196" s="11"/>
    </row>
    <row r="197" spans="4:4" ht="15.75" customHeight="1" x14ac:dyDescent="0.25">
      <c r="D197" s="11"/>
    </row>
    <row r="198" spans="4:4" ht="15.75" customHeight="1" x14ac:dyDescent="0.25">
      <c r="D198" s="11"/>
    </row>
    <row r="199" spans="4:4" ht="15.75" customHeight="1" x14ac:dyDescent="0.25">
      <c r="D199" s="11"/>
    </row>
    <row r="200" spans="4:4" ht="15.75" customHeight="1" x14ac:dyDescent="0.25">
      <c r="D200" s="11"/>
    </row>
    <row r="201" spans="4:4" ht="15.75" customHeight="1" x14ac:dyDescent="0.25">
      <c r="D201" s="11"/>
    </row>
    <row r="202" spans="4:4" ht="15.75" customHeight="1" x14ac:dyDescent="0.25">
      <c r="D202" s="11"/>
    </row>
    <row r="203" spans="4:4" ht="15.75" customHeight="1" x14ac:dyDescent="0.25">
      <c r="D203" s="11"/>
    </row>
    <row r="204" spans="4:4" ht="15.75" customHeight="1" x14ac:dyDescent="0.25">
      <c r="D204" s="11"/>
    </row>
    <row r="205" spans="4:4" ht="15.75" customHeight="1" x14ac:dyDescent="0.25">
      <c r="D205" s="11"/>
    </row>
    <row r="206" spans="4:4" ht="15.75" customHeight="1" x14ac:dyDescent="0.25">
      <c r="D206" s="11"/>
    </row>
    <row r="207" spans="4:4" ht="15.75" customHeight="1" x14ac:dyDescent="0.25">
      <c r="D207" s="11"/>
    </row>
    <row r="208" spans="4:4" ht="15.75" customHeight="1" x14ac:dyDescent="0.25">
      <c r="D208" s="11"/>
    </row>
    <row r="209" spans="4:4" ht="15.75" customHeight="1" x14ac:dyDescent="0.25">
      <c r="D209" s="11"/>
    </row>
    <row r="210" spans="4:4" ht="15.75" customHeight="1" x14ac:dyDescent="0.25">
      <c r="D210" s="11"/>
    </row>
    <row r="211" spans="4:4" ht="15.75" customHeight="1" x14ac:dyDescent="0.25">
      <c r="D211" s="11"/>
    </row>
    <row r="212" spans="4:4" ht="15.75" customHeight="1" x14ac:dyDescent="0.25">
      <c r="D212" s="11"/>
    </row>
    <row r="213" spans="4:4" ht="15.75" customHeight="1" x14ac:dyDescent="0.25">
      <c r="D213" s="11"/>
    </row>
    <row r="214" spans="4:4" ht="15.75" customHeight="1" x14ac:dyDescent="0.25">
      <c r="D214" s="11"/>
    </row>
    <row r="215" spans="4:4" ht="15.75" customHeight="1" x14ac:dyDescent="0.25">
      <c r="D215" s="11"/>
    </row>
    <row r="216" spans="4:4" ht="15.75" customHeight="1" x14ac:dyDescent="0.25">
      <c r="D216" s="11"/>
    </row>
    <row r="217" spans="4:4" ht="15.75" customHeight="1" x14ac:dyDescent="0.25">
      <c r="D217" s="11"/>
    </row>
    <row r="218" spans="4:4" ht="15.75" customHeight="1" x14ac:dyDescent="0.25">
      <c r="D218" s="11"/>
    </row>
    <row r="219" spans="4:4" ht="15.75" customHeight="1" x14ac:dyDescent="0.25">
      <c r="D219" s="11"/>
    </row>
    <row r="220" spans="4:4" ht="15.75" customHeight="1" x14ac:dyDescent="0.25">
      <c r="D220" s="11"/>
    </row>
    <row r="221" spans="4:4" ht="15.75" customHeight="1" x14ac:dyDescent="0.25">
      <c r="D221" s="11"/>
    </row>
    <row r="222" spans="4:4" ht="15.75" customHeight="1" x14ac:dyDescent="0.25">
      <c r="D222" s="11"/>
    </row>
    <row r="223" spans="4:4" ht="15.75" customHeight="1" x14ac:dyDescent="0.25">
      <c r="D223" s="11"/>
    </row>
    <row r="224" spans="4:4" ht="15.75" customHeight="1" x14ac:dyDescent="0.25">
      <c r="D224" s="11"/>
    </row>
    <row r="225" spans="4:4" ht="15.75" customHeight="1" x14ac:dyDescent="0.25">
      <c r="D225" s="11"/>
    </row>
    <row r="226" spans="4:4" ht="15.75" customHeight="1" x14ac:dyDescent="0.25">
      <c r="D226" s="11"/>
    </row>
    <row r="227" spans="4:4" ht="15.75" customHeight="1" x14ac:dyDescent="0.25">
      <c r="D227" s="11"/>
    </row>
    <row r="228" spans="4:4" ht="15.75" customHeight="1" x14ac:dyDescent="0.25">
      <c r="D228" s="11"/>
    </row>
    <row r="229" spans="4:4" ht="15.75" customHeight="1" x14ac:dyDescent="0.25">
      <c r="D229" s="11"/>
    </row>
    <row r="230" spans="4:4" ht="15.75" customHeight="1" x14ac:dyDescent="0.25">
      <c r="D230" s="11"/>
    </row>
    <row r="231" spans="4:4" ht="15.75" customHeight="1" x14ac:dyDescent="0.25">
      <c r="D231" s="11"/>
    </row>
    <row r="232" spans="4:4" ht="15.75" customHeight="1" x14ac:dyDescent="0.25">
      <c r="D232" s="11"/>
    </row>
    <row r="233" spans="4:4" ht="15.75" customHeight="1" x14ac:dyDescent="0.25">
      <c r="D233" s="11"/>
    </row>
    <row r="234" spans="4:4" ht="15.75" customHeight="1" x14ac:dyDescent="0.25">
      <c r="D234" s="11"/>
    </row>
    <row r="235" spans="4:4" ht="15.75" customHeight="1" x14ac:dyDescent="0.25">
      <c r="D235" s="11"/>
    </row>
    <row r="236" spans="4:4" ht="15.75" customHeight="1" x14ac:dyDescent="0.25">
      <c r="D236" s="11"/>
    </row>
    <row r="237" spans="4:4" ht="15.75" customHeight="1" x14ac:dyDescent="0.25">
      <c r="D237" s="11"/>
    </row>
    <row r="238" spans="4:4" ht="15.75" customHeight="1" x14ac:dyDescent="0.25">
      <c r="D238" s="11"/>
    </row>
    <row r="239" spans="4:4" ht="15.75" customHeight="1" x14ac:dyDescent="0.25">
      <c r="D239" s="11"/>
    </row>
    <row r="240" spans="4:4" ht="15.75" customHeight="1" x14ac:dyDescent="0.25">
      <c r="D240" s="11"/>
    </row>
    <row r="241" spans="4:4" ht="15.75" customHeight="1" x14ac:dyDescent="0.25">
      <c r="D241" s="11"/>
    </row>
    <row r="242" spans="4:4" ht="15.75" customHeight="1" x14ac:dyDescent="0.25">
      <c r="D242" s="11"/>
    </row>
    <row r="243" spans="4:4" ht="15.75" customHeight="1" x14ac:dyDescent="0.25">
      <c r="D243" s="11"/>
    </row>
    <row r="244" spans="4:4" ht="15.75" customHeight="1" x14ac:dyDescent="0.25">
      <c r="D244" s="11"/>
    </row>
    <row r="245" spans="4:4" ht="15.75" customHeight="1" x14ac:dyDescent="0.25">
      <c r="D245" s="11"/>
    </row>
    <row r="246" spans="4:4" ht="15.75" customHeight="1" x14ac:dyDescent="0.25">
      <c r="D246" s="11"/>
    </row>
    <row r="247" spans="4:4" ht="15.75" customHeight="1" x14ac:dyDescent="0.25">
      <c r="D247" s="11"/>
    </row>
    <row r="248" spans="4:4" ht="15.75" customHeight="1" x14ac:dyDescent="0.25">
      <c r="D248" s="11"/>
    </row>
    <row r="249" spans="4:4" ht="15.75" customHeight="1" x14ac:dyDescent="0.25">
      <c r="D249" s="11"/>
    </row>
    <row r="250" spans="4:4" ht="15.75" customHeight="1" x14ac:dyDescent="0.25">
      <c r="D250" s="11"/>
    </row>
    <row r="251" spans="4:4" ht="15.75" customHeight="1" x14ac:dyDescent="0.25">
      <c r="D251" s="11"/>
    </row>
    <row r="252" spans="4:4" ht="15.75" customHeight="1" x14ac:dyDescent="0.25">
      <c r="D252" s="11"/>
    </row>
    <row r="253" spans="4:4" ht="15.75" customHeight="1" x14ac:dyDescent="0.25">
      <c r="D253" s="11"/>
    </row>
    <row r="254" spans="4:4" ht="15.75" customHeight="1" x14ac:dyDescent="0.25">
      <c r="D254" s="11"/>
    </row>
    <row r="255" spans="4:4" ht="15.75" customHeight="1" x14ac:dyDescent="0.25">
      <c r="D255" s="11"/>
    </row>
    <row r="256" spans="4:4" ht="15.75" customHeight="1" x14ac:dyDescent="0.25">
      <c r="D256" s="11"/>
    </row>
    <row r="257" spans="4:4" ht="15.75" customHeight="1" x14ac:dyDescent="0.25">
      <c r="D257" s="11"/>
    </row>
    <row r="258" spans="4:4" ht="15.75" customHeight="1" x14ac:dyDescent="0.25">
      <c r="D258" s="11"/>
    </row>
    <row r="259" spans="4:4" ht="15.75" customHeight="1" x14ac:dyDescent="0.25">
      <c r="D259" s="11"/>
    </row>
    <row r="260" spans="4:4" ht="15.75" customHeight="1" x14ac:dyDescent="0.25">
      <c r="D260" s="11"/>
    </row>
    <row r="261" spans="4:4" ht="15.75" customHeight="1" x14ac:dyDescent="0.25">
      <c r="D261" s="11"/>
    </row>
    <row r="262" spans="4:4" ht="15.75" customHeight="1" x14ac:dyDescent="0.25">
      <c r="D262" s="11"/>
    </row>
    <row r="263" spans="4:4" ht="15.75" customHeight="1" x14ac:dyDescent="0.25">
      <c r="D263" s="11"/>
    </row>
    <row r="264" spans="4:4" ht="15.75" customHeight="1" x14ac:dyDescent="0.25">
      <c r="D264" s="11"/>
    </row>
    <row r="265" spans="4:4" ht="15.75" customHeight="1" x14ac:dyDescent="0.25">
      <c r="D265" s="11"/>
    </row>
    <row r="266" spans="4:4" ht="15.75" customHeight="1" x14ac:dyDescent="0.25">
      <c r="D266" s="11"/>
    </row>
    <row r="267" spans="4:4" ht="15.75" customHeight="1" x14ac:dyDescent="0.25">
      <c r="D267" s="11"/>
    </row>
    <row r="268" spans="4:4" ht="15.75" customHeight="1" x14ac:dyDescent="0.25">
      <c r="D268" s="11"/>
    </row>
    <row r="269" spans="4:4" ht="15.75" customHeight="1" x14ac:dyDescent="0.25">
      <c r="D269" s="11"/>
    </row>
    <row r="270" spans="4:4" ht="15.75" customHeight="1" x14ac:dyDescent="0.25">
      <c r="D270" s="11"/>
    </row>
    <row r="271" spans="4:4" ht="15.75" customHeight="1" x14ac:dyDescent="0.25">
      <c r="D271" s="11"/>
    </row>
    <row r="272" spans="4:4" ht="15.75" customHeight="1" x14ac:dyDescent="0.25">
      <c r="D272" s="11"/>
    </row>
    <row r="273" spans="4:4" ht="15.75" customHeight="1" x14ac:dyDescent="0.25">
      <c r="D273" s="11"/>
    </row>
    <row r="274" spans="4:4" ht="15.75" customHeight="1" x14ac:dyDescent="0.25">
      <c r="D274" s="11"/>
    </row>
    <row r="275" spans="4:4" ht="15.75" customHeight="1" x14ac:dyDescent="0.25">
      <c r="D275" s="11"/>
    </row>
    <row r="276" spans="4:4" ht="15.75" customHeight="1" x14ac:dyDescent="0.25">
      <c r="D276" s="11"/>
    </row>
    <row r="277" spans="4:4" ht="15.75" customHeight="1" x14ac:dyDescent="0.25">
      <c r="D277" s="11"/>
    </row>
    <row r="278" spans="4:4" ht="15.75" customHeight="1" x14ac:dyDescent="0.25">
      <c r="D278" s="11"/>
    </row>
    <row r="279" spans="4:4" ht="15.75" customHeight="1" x14ac:dyDescent="0.25">
      <c r="D279" s="11"/>
    </row>
    <row r="280" spans="4:4" ht="15.75" customHeight="1" x14ac:dyDescent="0.25">
      <c r="D280" s="11"/>
    </row>
    <row r="281" spans="4:4" ht="15.75" customHeight="1" x14ac:dyDescent="0.25">
      <c r="D281" s="11"/>
    </row>
    <row r="282" spans="4:4" ht="15.75" customHeight="1" x14ac:dyDescent="0.25">
      <c r="D282" s="11"/>
    </row>
    <row r="283" spans="4:4" ht="15.75" customHeight="1" x14ac:dyDescent="0.25">
      <c r="D283" s="11"/>
    </row>
    <row r="284" spans="4:4" ht="15.75" customHeight="1" x14ac:dyDescent="0.25">
      <c r="D284" s="11"/>
    </row>
    <row r="285" spans="4:4" ht="15.75" customHeight="1" x14ac:dyDescent="0.25">
      <c r="D285" s="11"/>
    </row>
    <row r="286" spans="4:4" ht="15.75" customHeight="1" x14ac:dyDescent="0.25">
      <c r="D286" s="11"/>
    </row>
    <row r="287" spans="4:4" ht="15.75" customHeight="1" x14ac:dyDescent="0.25">
      <c r="D287" s="11"/>
    </row>
    <row r="288" spans="4:4" ht="15.75" customHeight="1" x14ac:dyDescent="0.25">
      <c r="D288" s="11"/>
    </row>
    <row r="289" spans="4:4" ht="15.75" customHeight="1" x14ac:dyDescent="0.25">
      <c r="D289" s="11"/>
    </row>
    <row r="290" spans="4:4" ht="15.75" customHeight="1" x14ac:dyDescent="0.25">
      <c r="D290" s="11"/>
    </row>
    <row r="291" spans="4:4" ht="15.75" customHeight="1" x14ac:dyDescent="0.25">
      <c r="D291" s="11"/>
    </row>
    <row r="292" spans="4:4" ht="15.75" customHeight="1" x14ac:dyDescent="0.25">
      <c r="D292" s="11"/>
    </row>
    <row r="293" spans="4:4" ht="15.75" customHeight="1" x14ac:dyDescent="0.25">
      <c r="D293" s="11"/>
    </row>
    <row r="294" spans="4:4" ht="15.75" customHeight="1" x14ac:dyDescent="0.25">
      <c r="D294" s="11"/>
    </row>
    <row r="295" spans="4:4" ht="15.75" customHeight="1" x14ac:dyDescent="0.25">
      <c r="D295" s="11"/>
    </row>
    <row r="296" spans="4:4" ht="15.75" customHeight="1" x14ac:dyDescent="0.25">
      <c r="D296" s="11"/>
    </row>
    <row r="297" spans="4:4" ht="15.75" customHeight="1" x14ac:dyDescent="0.25">
      <c r="D297" s="11"/>
    </row>
    <row r="298" spans="4:4" ht="15.75" customHeight="1" x14ac:dyDescent="0.25">
      <c r="D298" s="11"/>
    </row>
    <row r="299" spans="4:4" ht="15.75" customHeight="1" x14ac:dyDescent="0.25">
      <c r="D299" s="11"/>
    </row>
    <row r="300" spans="4:4" ht="15.75" customHeight="1" x14ac:dyDescent="0.25">
      <c r="D300" s="11"/>
    </row>
    <row r="301" spans="4:4" ht="15.75" customHeight="1" x14ac:dyDescent="0.25">
      <c r="D301" s="11"/>
    </row>
    <row r="302" spans="4:4" ht="15.75" customHeight="1" x14ac:dyDescent="0.25">
      <c r="D302" s="11"/>
    </row>
    <row r="303" spans="4:4" ht="15.75" customHeight="1" x14ac:dyDescent="0.25">
      <c r="D303" s="11"/>
    </row>
    <row r="304" spans="4:4" ht="15.75" customHeight="1" x14ac:dyDescent="0.25">
      <c r="D304" s="11"/>
    </row>
    <row r="305" spans="4:4" ht="15.75" customHeight="1" x14ac:dyDescent="0.25">
      <c r="D305" s="11"/>
    </row>
    <row r="306" spans="4:4" ht="15.75" customHeight="1" x14ac:dyDescent="0.25">
      <c r="D306" s="11"/>
    </row>
    <row r="307" spans="4:4" ht="15.75" customHeight="1" x14ac:dyDescent="0.25">
      <c r="D307" s="11"/>
    </row>
    <row r="308" spans="4:4" ht="15.75" customHeight="1" x14ac:dyDescent="0.25">
      <c r="D308" s="11"/>
    </row>
    <row r="309" spans="4:4" ht="15.75" customHeight="1" x14ac:dyDescent="0.25">
      <c r="D309" s="11"/>
    </row>
    <row r="310" spans="4:4" ht="15.75" customHeight="1" x14ac:dyDescent="0.25">
      <c r="D310" s="11"/>
    </row>
    <row r="311" spans="4:4" ht="15.75" customHeight="1" x14ac:dyDescent="0.25">
      <c r="D311" s="11"/>
    </row>
    <row r="312" spans="4:4" ht="15.75" customHeight="1" x14ac:dyDescent="0.25">
      <c r="D312" s="11"/>
    </row>
    <row r="313" spans="4:4" ht="15.75" customHeight="1" x14ac:dyDescent="0.25">
      <c r="D313" s="11"/>
    </row>
    <row r="314" spans="4:4" ht="15.75" customHeight="1" x14ac:dyDescent="0.25">
      <c r="D314" s="11"/>
    </row>
    <row r="315" spans="4:4" ht="15.75" customHeight="1" x14ac:dyDescent="0.25">
      <c r="D315" s="11"/>
    </row>
    <row r="316" spans="4:4" ht="15.75" customHeight="1" x14ac:dyDescent="0.25">
      <c r="D316" s="11"/>
    </row>
    <row r="317" spans="4:4" ht="15.75" customHeight="1" x14ac:dyDescent="0.25">
      <c r="D317" s="11"/>
    </row>
    <row r="318" spans="4:4" ht="15.75" customHeight="1" x14ac:dyDescent="0.25">
      <c r="D318" s="11"/>
    </row>
    <row r="319" spans="4:4" ht="15.75" customHeight="1" x14ac:dyDescent="0.25">
      <c r="D319" s="11"/>
    </row>
    <row r="320" spans="4:4" ht="15.75" customHeight="1" x14ac:dyDescent="0.25">
      <c r="D320" s="11"/>
    </row>
    <row r="321" spans="4:4" ht="15.75" customHeight="1" x14ac:dyDescent="0.25">
      <c r="D321" s="11"/>
    </row>
    <row r="322" spans="4:4" ht="15.75" customHeight="1" x14ac:dyDescent="0.25">
      <c r="D322" s="11"/>
    </row>
    <row r="323" spans="4:4" ht="15.75" customHeight="1" x14ac:dyDescent="0.25">
      <c r="D323" s="11"/>
    </row>
    <row r="324" spans="4:4" ht="15.75" customHeight="1" x14ac:dyDescent="0.25">
      <c r="D324" s="11"/>
    </row>
    <row r="325" spans="4:4" ht="15.75" customHeight="1" x14ac:dyDescent="0.25">
      <c r="D325" s="11"/>
    </row>
    <row r="326" spans="4:4" ht="15.75" customHeight="1" x14ac:dyDescent="0.25">
      <c r="D326" s="11"/>
    </row>
    <row r="327" spans="4:4" ht="15.75" customHeight="1" x14ac:dyDescent="0.25">
      <c r="D327" s="11"/>
    </row>
    <row r="328" spans="4:4" ht="15.75" customHeight="1" x14ac:dyDescent="0.25">
      <c r="D328" s="11"/>
    </row>
    <row r="329" spans="4:4" ht="15.75" customHeight="1" x14ac:dyDescent="0.25">
      <c r="D329" s="11"/>
    </row>
    <row r="330" spans="4:4" ht="15.75" customHeight="1" x14ac:dyDescent="0.25">
      <c r="D330" s="11"/>
    </row>
    <row r="331" spans="4:4" ht="15.75" customHeight="1" x14ac:dyDescent="0.25">
      <c r="D331" s="11"/>
    </row>
    <row r="332" spans="4:4" ht="15.75" customHeight="1" x14ac:dyDescent="0.25">
      <c r="D332" s="11"/>
    </row>
    <row r="333" spans="4:4" ht="15.75" customHeight="1" x14ac:dyDescent="0.25">
      <c r="D333" s="11"/>
    </row>
    <row r="334" spans="4:4" ht="15.75" customHeight="1" x14ac:dyDescent="0.25">
      <c r="D334" s="11"/>
    </row>
    <row r="335" spans="4:4" ht="15.75" customHeight="1" x14ac:dyDescent="0.25">
      <c r="D335" s="11"/>
    </row>
    <row r="336" spans="4:4" ht="15.75" customHeight="1" x14ac:dyDescent="0.25">
      <c r="D336" s="11"/>
    </row>
    <row r="337" spans="4:4" ht="15.75" customHeight="1" x14ac:dyDescent="0.25">
      <c r="D337" s="11"/>
    </row>
    <row r="338" spans="4:4" ht="15.75" customHeight="1" x14ac:dyDescent="0.25">
      <c r="D338" s="11"/>
    </row>
    <row r="339" spans="4:4" ht="15.75" customHeight="1" x14ac:dyDescent="0.25">
      <c r="D339" s="11"/>
    </row>
    <row r="340" spans="4:4" ht="15.75" customHeight="1" x14ac:dyDescent="0.25">
      <c r="D340" s="11"/>
    </row>
    <row r="341" spans="4:4" ht="15.75" customHeight="1" x14ac:dyDescent="0.25">
      <c r="D341" s="11"/>
    </row>
    <row r="342" spans="4:4" ht="15.75" customHeight="1" x14ac:dyDescent="0.25">
      <c r="D342" s="11"/>
    </row>
    <row r="343" spans="4:4" ht="15.75" customHeight="1" x14ac:dyDescent="0.25">
      <c r="D343" s="11"/>
    </row>
    <row r="344" spans="4:4" ht="15.75" customHeight="1" x14ac:dyDescent="0.25">
      <c r="D344" s="11"/>
    </row>
    <row r="345" spans="4:4" ht="15.75" customHeight="1" x14ac:dyDescent="0.25">
      <c r="D345" s="11"/>
    </row>
    <row r="346" spans="4:4" ht="15.75" customHeight="1" x14ac:dyDescent="0.25">
      <c r="D346" s="11"/>
    </row>
    <row r="347" spans="4:4" ht="15.75" customHeight="1" x14ac:dyDescent="0.25">
      <c r="D347" s="11"/>
    </row>
    <row r="348" spans="4:4" ht="15.75" customHeight="1" x14ac:dyDescent="0.25">
      <c r="D348" s="11"/>
    </row>
    <row r="349" spans="4:4" ht="15.75" customHeight="1" x14ac:dyDescent="0.25">
      <c r="D349" s="11"/>
    </row>
    <row r="350" spans="4:4" ht="15.75" customHeight="1" x14ac:dyDescent="0.25">
      <c r="D350" s="11"/>
    </row>
    <row r="351" spans="4:4" ht="15.75" customHeight="1" x14ac:dyDescent="0.25">
      <c r="D351" s="11"/>
    </row>
    <row r="352" spans="4:4" ht="15.75" customHeight="1" x14ac:dyDescent="0.25">
      <c r="D352" s="11"/>
    </row>
    <row r="353" spans="4:4" ht="15.75" customHeight="1" x14ac:dyDescent="0.25">
      <c r="D353" s="11"/>
    </row>
    <row r="354" spans="4:4" ht="15.75" customHeight="1" x14ac:dyDescent="0.25">
      <c r="D354" s="11"/>
    </row>
    <row r="355" spans="4:4" ht="15.75" customHeight="1" x14ac:dyDescent="0.25">
      <c r="D355" s="11"/>
    </row>
    <row r="356" spans="4:4" ht="15.75" customHeight="1" x14ac:dyDescent="0.25">
      <c r="D356" s="11"/>
    </row>
    <row r="357" spans="4:4" ht="15.75" customHeight="1" x14ac:dyDescent="0.25">
      <c r="D357" s="11"/>
    </row>
    <row r="358" spans="4:4" ht="15.75" customHeight="1" x14ac:dyDescent="0.25">
      <c r="D358" s="11"/>
    </row>
    <row r="359" spans="4:4" ht="15.75" customHeight="1" x14ac:dyDescent="0.25">
      <c r="D359" s="11"/>
    </row>
    <row r="360" spans="4:4" ht="15.75" customHeight="1" x14ac:dyDescent="0.25">
      <c r="D360" s="11"/>
    </row>
    <row r="361" spans="4:4" ht="15.75" customHeight="1" x14ac:dyDescent="0.25">
      <c r="D361" s="11"/>
    </row>
    <row r="362" spans="4:4" ht="15.75" customHeight="1" x14ac:dyDescent="0.25">
      <c r="D362" s="11"/>
    </row>
    <row r="363" spans="4:4" ht="15.75" customHeight="1" x14ac:dyDescent="0.25">
      <c r="D363" s="11"/>
    </row>
    <row r="364" spans="4:4" ht="15.75" customHeight="1" x14ac:dyDescent="0.25">
      <c r="D364" s="11"/>
    </row>
    <row r="365" spans="4:4" ht="15.75" customHeight="1" x14ac:dyDescent="0.25">
      <c r="D365" s="11"/>
    </row>
    <row r="366" spans="4:4" ht="15.75" customHeight="1" x14ac:dyDescent="0.25">
      <c r="D366" s="11"/>
    </row>
    <row r="367" spans="4:4" ht="15.75" customHeight="1" x14ac:dyDescent="0.25">
      <c r="D367" s="11"/>
    </row>
    <row r="368" spans="4:4" ht="15.75" customHeight="1" x14ac:dyDescent="0.25">
      <c r="D368" s="11"/>
    </row>
    <row r="369" spans="4:4" ht="15.75" customHeight="1" x14ac:dyDescent="0.25">
      <c r="D369" s="11"/>
    </row>
    <row r="370" spans="4:4" ht="15.75" customHeight="1" x14ac:dyDescent="0.25">
      <c r="D370" s="11"/>
    </row>
    <row r="371" spans="4:4" ht="15.75" customHeight="1" x14ac:dyDescent="0.25">
      <c r="D371" s="11"/>
    </row>
    <row r="372" spans="4:4" ht="15.75" customHeight="1" x14ac:dyDescent="0.25">
      <c r="D372" s="11"/>
    </row>
    <row r="373" spans="4:4" ht="15.75" customHeight="1" x14ac:dyDescent="0.25">
      <c r="D373" s="11"/>
    </row>
    <row r="374" spans="4:4" ht="15.75" customHeight="1" x14ac:dyDescent="0.25">
      <c r="D374" s="11"/>
    </row>
    <row r="375" spans="4:4" ht="15.75" customHeight="1" x14ac:dyDescent="0.25">
      <c r="D375" s="11"/>
    </row>
    <row r="376" spans="4:4" ht="15.75" customHeight="1" x14ac:dyDescent="0.25">
      <c r="D376" s="11"/>
    </row>
    <row r="377" spans="4:4" ht="15.75" customHeight="1" x14ac:dyDescent="0.25">
      <c r="D377" s="11"/>
    </row>
    <row r="378" spans="4:4" ht="15.75" customHeight="1" x14ac:dyDescent="0.25">
      <c r="D378" s="11"/>
    </row>
    <row r="379" spans="4:4" ht="15.75" customHeight="1" x14ac:dyDescent="0.25">
      <c r="D379" s="11"/>
    </row>
    <row r="380" spans="4:4" ht="15.75" customHeight="1" x14ac:dyDescent="0.25">
      <c r="D380" s="11"/>
    </row>
    <row r="381" spans="4:4" ht="15.75" customHeight="1" x14ac:dyDescent="0.25">
      <c r="D381" s="11"/>
    </row>
    <row r="382" spans="4:4" ht="15.75" customHeight="1" x14ac:dyDescent="0.25">
      <c r="D382" s="11"/>
    </row>
    <row r="383" spans="4:4" ht="15.75" customHeight="1" x14ac:dyDescent="0.25">
      <c r="D383" s="11"/>
    </row>
    <row r="384" spans="4:4" ht="15.75" customHeight="1" x14ac:dyDescent="0.25">
      <c r="D384" s="11"/>
    </row>
    <row r="385" spans="4:4" ht="15.75" customHeight="1" x14ac:dyDescent="0.25">
      <c r="D385" s="11"/>
    </row>
    <row r="386" spans="4:4" ht="15.75" customHeight="1" x14ac:dyDescent="0.25">
      <c r="D386" s="11"/>
    </row>
    <row r="387" spans="4:4" ht="15.75" customHeight="1" x14ac:dyDescent="0.25">
      <c r="D387" s="11"/>
    </row>
    <row r="388" spans="4:4" ht="15.75" customHeight="1" x14ac:dyDescent="0.25">
      <c r="D388" s="11"/>
    </row>
    <row r="389" spans="4:4" ht="15.75" customHeight="1" x14ac:dyDescent="0.25">
      <c r="D389" s="11"/>
    </row>
    <row r="390" spans="4:4" ht="15.75" customHeight="1" x14ac:dyDescent="0.25">
      <c r="D390" s="11"/>
    </row>
    <row r="391" spans="4:4" ht="15.75" customHeight="1" x14ac:dyDescent="0.25">
      <c r="D391" s="11"/>
    </row>
    <row r="392" spans="4:4" ht="15.75" customHeight="1" x14ac:dyDescent="0.25">
      <c r="D392" s="11"/>
    </row>
    <row r="393" spans="4:4" ht="15.75" customHeight="1" x14ac:dyDescent="0.25">
      <c r="D393" s="11"/>
    </row>
    <row r="394" spans="4:4" ht="15.75" customHeight="1" x14ac:dyDescent="0.25">
      <c r="D394" s="11"/>
    </row>
    <row r="395" spans="4:4" ht="15.75" customHeight="1" x14ac:dyDescent="0.25">
      <c r="D395" s="11"/>
    </row>
    <row r="396" spans="4:4" ht="15.75" customHeight="1" x14ac:dyDescent="0.25">
      <c r="D396" s="11"/>
    </row>
    <row r="397" spans="4:4" ht="15.75" customHeight="1" x14ac:dyDescent="0.25">
      <c r="D397" s="11"/>
    </row>
    <row r="398" spans="4:4" ht="15.75" customHeight="1" x14ac:dyDescent="0.25">
      <c r="D398" s="11"/>
    </row>
    <row r="399" spans="4:4" ht="15.75" customHeight="1" x14ac:dyDescent="0.25">
      <c r="D399" s="11"/>
    </row>
    <row r="400" spans="4:4" ht="15.75" customHeight="1" x14ac:dyDescent="0.25">
      <c r="D400" s="11"/>
    </row>
    <row r="401" spans="4:4" ht="15.75" customHeight="1" x14ac:dyDescent="0.25">
      <c r="D401" s="11"/>
    </row>
    <row r="402" spans="4:4" ht="15.75" customHeight="1" x14ac:dyDescent="0.25">
      <c r="D402" s="11"/>
    </row>
    <row r="403" spans="4:4" ht="15.75" customHeight="1" x14ac:dyDescent="0.25">
      <c r="D403" s="11"/>
    </row>
    <row r="404" spans="4:4" ht="15.75" customHeight="1" x14ac:dyDescent="0.25">
      <c r="D404" s="11"/>
    </row>
    <row r="405" spans="4:4" ht="15.75" customHeight="1" x14ac:dyDescent="0.25">
      <c r="D405" s="11"/>
    </row>
    <row r="406" spans="4:4" ht="15.75" customHeight="1" x14ac:dyDescent="0.25">
      <c r="D406" s="11"/>
    </row>
    <row r="407" spans="4:4" ht="15.75" customHeight="1" x14ac:dyDescent="0.25">
      <c r="D407" s="11"/>
    </row>
    <row r="408" spans="4:4" ht="15.75" customHeight="1" x14ac:dyDescent="0.25">
      <c r="D408" s="11"/>
    </row>
    <row r="409" spans="4:4" ht="15.75" customHeight="1" x14ac:dyDescent="0.25">
      <c r="D409" s="11"/>
    </row>
    <row r="410" spans="4:4" ht="15.75" customHeight="1" x14ac:dyDescent="0.25">
      <c r="D410" s="11"/>
    </row>
    <row r="411" spans="4:4" ht="15.75" customHeight="1" x14ac:dyDescent="0.25">
      <c r="D411" s="11"/>
    </row>
    <row r="412" spans="4:4" ht="15.75" customHeight="1" x14ac:dyDescent="0.25">
      <c r="D412" s="11"/>
    </row>
    <row r="413" spans="4:4" ht="15.75" customHeight="1" x14ac:dyDescent="0.25">
      <c r="D413" s="11"/>
    </row>
    <row r="414" spans="4:4" ht="15.75" customHeight="1" x14ac:dyDescent="0.25">
      <c r="D414" s="11"/>
    </row>
    <row r="415" spans="4:4" ht="15.75" customHeight="1" x14ac:dyDescent="0.25">
      <c r="D415" s="11"/>
    </row>
    <row r="416" spans="4:4" ht="15.75" customHeight="1" x14ac:dyDescent="0.25">
      <c r="D416" s="11"/>
    </row>
    <row r="417" spans="4:4" ht="15.75" customHeight="1" x14ac:dyDescent="0.25">
      <c r="D417" s="11"/>
    </row>
    <row r="418" spans="4:4" ht="15.75" customHeight="1" x14ac:dyDescent="0.25">
      <c r="D418" s="11"/>
    </row>
    <row r="419" spans="4:4" ht="15.75" customHeight="1" x14ac:dyDescent="0.25">
      <c r="D419" s="11"/>
    </row>
    <row r="420" spans="4:4" ht="15.75" customHeight="1" x14ac:dyDescent="0.25">
      <c r="D420" s="11"/>
    </row>
    <row r="421" spans="4:4" ht="15.75" customHeight="1" x14ac:dyDescent="0.25">
      <c r="D421" s="11"/>
    </row>
    <row r="422" spans="4:4" ht="15.75" customHeight="1" x14ac:dyDescent="0.25">
      <c r="D422" s="11"/>
    </row>
    <row r="423" spans="4:4" ht="15.75" customHeight="1" x14ac:dyDescent="0.25">
      <c r="D423" s="11"/>
    </row>
    <row r="424" spans="4:4" ht="15.75" customHeight="1" x14ac:dyDescent="0.25">
      <c r="D424" s="11"/>
    </row>
    <row r="425" spans="4:4" ht="15.75" customHeight="1" x14ac:dyDescent="0.25">
      <c r="D425" s="11"/>
    </row>
    <row r="426" spans="4:4" ht="15.75" customHeight="1" x14ac:dyDescent="0.25">
      <c r="D426" s="11"/>
    </row>
    <row r="427" spans="4:4" ht="15.75" customHeight="1" x14ac:dyDescent="0.25">
      <c r="D427" s="11"/>
    </row>
    <row r="428" spans="4:4" ht="15.75" customHeight="1" x14ac:dyDescent="0.25">
      <c r="D428" s="11"/>
    </row>
    <row r="429" spans="4:4" ht="15.75" customHeight="1" x14ac:dyDescent="0.25">
      <c r="D429" s="11"/>
    </row>
    <row r="430" spans="4:4" ht="15.75" customHeight="1" x14ac:dyDescent="0.25">
      <c r="D430" s="11"/>
    </row>
    <row r="431" spans="4:4" ht="15.75" customHeight="1" x14ac:dyDescent="0.25">
      <c r="D431" s="11"/>
    </row>
    <row r="432" spans="4:4" ht="15.75" customHeight="1" x14ac:dyDescent="0.25">
      <c r="D432" s="11"/>
    </row>
    <row r="433" spans="4:4" ht="15.75" customHeight="1" x14ac:dyDescent="0.25">
      <c r="D433" s="11"/>
    </row>
    <row r="434" spans="4:4" ht="15.75" customHeight="1" x14ac:dyDescent="0.25">
      <c r="D434" s="11"/>
    </row>
    <row r="435" spans="4:4" ht="15.75" customHeight="1" x14ac:dyDescent="0.25">
      <c r="D435" s="11"/>
    </row>
    <row r="436" spans="4:4" ht="15.75" customHeight="1" x14ac:dyDescent="0.25">
      <c r="D436" s="11"/>
    </row>
    <row r="437" spans="4:4" ht="15.75" customHeight="1" x14ac:dyDescent="0.25">
      <c r="D437" s="11"/>
    </row>
    <row r="438" spans="4:4" ht="15.75" customHeight="1" x14ac:dyDescent="0.25">
      <c r="D438" s="11"/>
    </row>
    <row r="439" spans="4:4" ht="15.75" customHeight="1" x14ac:dyDescent="0.25">
      <c r="D439" s="11"/>
    </row>
    <row r="440" spans="4:4" ht="15.75" customHeight="1" x14ac:dyDescent="0.25">
      <c r="D440" s="11"/>
    </row>
    <row r="441" spans="4:4" ht="15.75" customHeight="1" x14ac:dyDescent="0.25">
      <c r="D441" s="11"/>
    </row>
    <row r="442" spans="4:4" ht="15.75" customHeight="1" x14ac:dyDescent="0.25">
      <c r="D442" s="11"/>
    </row>
    <row r="443" spans="4:4" ht="15.75" customHeight="1" x14ac:dyDescent="0.25">
      <c r="D443" s="11"/>
    </row>
    <row r="444" spans="4:4" ht="15.75" customHeight="1" x14ac:dyDescent="0.25">
      <c r="D444" s="11"/>
    </row>
    <row r="445" spans="4:4" ht="15.75" customHeight="1" x14ac:dyDescent="0.25">
      <c r="D445" s="11"/>
    </row>
    <row r="446" spans="4:4" ht="15.75" customHeight="1" x14ac:dyDescent="0.25">
      <c r="D446" s="11"/>
    </row>
    <row r="447" spans="4:4" ht="15.75" customHeight="1" x14ac:dyDescent="0.25">
      <c r="D447" s="11"/>
    </row>
    <row r="448" spans="4:4" ht="15.75" customHeight="1" x14ac:dyDescent="0.25">
      <c r="D448" s="11"/>
    </row>
    <row r="449" spans="4:4" ht="15.75" customHeight="1" x14ac:dyDescent="0.25">
      <c r="D449" s="11"/>
    </row>
    <row r="450" spans="4:4" ht="15.75" customHeight="1" x14ac:dyDescent="0.25">
      <c r="D450" s="11"/>
    </row>
    <row r="451" spans="4:4" ht="15.75" customHeight="1" x14ac:dyDescent="0.25">
      <c r="D451" s="11"/>
    </row>
    <row r="452" spans="4:4" ht="15.75" customHeight="1" x14ac:dyDescent="0.25">
      <c r="D452" s="11"/>
    </row>
    <row r="453" spans="4:4" ht="15.75" customHeight="1" x14ac:dyDescent="0.25">
      <c r="D453" s="11"/>
    </row>
    <row r="454" spans="4:4" ht="15.75" customHeight="1" x14ac:dyDescent="0.25">
      <c r="D454" s="11"/>
    </row>
    <row r="455" spans="4:4" ht="15.75" customHeight="1" x14ac:dyDescent="0.25">
      <c r="D455" s="11"/>
    </row>
    <row r="456" spans="4:4" ht="15.75" customHeight="1" x14ac:dyDescent="0.25">
      <c r="D456" s="11"/>
    </row>
    <row r="457" spans="4:4" ht="15.75" customHeight="1" x14ac:dyDescent="0.25">
      <c r="D457" s="11"/>
    </row>
    <row r="458" spans="4:4" ht="15.75" customHeight="1" x14ac:dyDescent="0.25">
      <c r="D458" s="11"/>
    </row>
    <row r="459" spans="4:4" ht="15.75" customHeight="1" x14ac:dyDescent="0.25">
      <c r="D459" s="11"/>
    </row>
    <row r="460" spans="4:4" ht="15.75" customHeight="1" x14ac:dyDescent="0.25">
      <c r="D460" s="11"/>
    </row>
    <row r="461" spans="4:4" ht="15.75" customHeight="1" x14ac:dyDescent="0.25">
      <c r="D461" s="11"/>
    </row>
    <row r="462" spans="4:4" ht="15.75" customHeight="1" x14ac:dyDescent="0.25">
      <c r="D462" s="11"/>
    </row>
    <row r="463" spans="4:4" ht="15.75" customHeight="1" x14ac:dyDescent="0.25">
      <c r="D463" s="11"/>
    </row>
    <row r="464" spans="4:4" ht="15.75" customHeight="1" x14ac:dyDescent="0.25">
      <c r="D464" s="11"/>
    </row>
    <row r="465" spans="4:4" ht="15.75" customHeight="1" x14ac:dyDescent="0.25">
      <c r="D465" s="11"/>
    </row>
    <row r="466" spans="4:4" ht="15.75" customHeight="1" x14ac:dyDescent="0.25">
      <c r="D466" s="11"/>
    </row>
    <row r="467" spans="4:4" ht="15.75" customHeight="1" x14ac:dyDescent="0.25">
      <c r="D467" s="11"/>
    </row>
    <row r="468" spans="4:4" ht="15.75" customHeight="1" x14ac:dyDescent="0.25">
      <c r="D468" s="11"/>
    </row>
    <row r="469" spans="4:4" ht="15.75" customHeight="1" x14ac:dyDescent="0.25">
      <c r="D469" s="11"/>
    </row>
    <row r="470" spans="4:4" ht="15.75" customHeight="1" x14ac:dyDescent="0.25">
      <c r="D470" s="11"/>
    </row>
    <row r="471" spans="4:4" ht="15.75" customHeight="1" x14ac:dyDescent="0.25">
      <c r="D471" s="11"/>
    </row>
    <row r="472" spans="4:4" ht="15.75" customHeight="1" x14ac:dyDescent="0.25">
      <c r="D472" s="11"/>
    </row>
    <row r="473" spans="4:4" ht="15.75" customHeight="1" x14ac:dyDescent="0.25">
      <c r="D473" s="11"/>
    </row>
    <row r="474" spans="4:4" ht="15.75" customHeight="1" x14ac:dyDescent="0.25">
      <c r="D474" s="11"/>
    </row>
    <row r="475" spans="4:4" ht="15.75" customHeight="1" x14ac:dyDescent="0.25">
      <c r="D475" s="11"/>
    </row>
    <row r="476" spans="4:4" ht="15.75" customHeight="1" x14ac:dyDescent="0.25">
      <c r="D476" s="11"/>
    </row>
    <row r="477" spans="4:4" ht="15.75" customHeight="1" x14ac:dyDescent="0.25">
      <c r="D477" s="11"/>
    </row>
    <row r="478" spans="4:4" ht="15.75" customHeight="1" x14ac:dyDescent="0.25">
      <c r="D478" s="11"/>
    </row>
    <row r="479" spans="4:4" ht="15.75" customHeight="1" x14ac:dyDescent="0.25">
      <c r="D479" s="11"/>
    </row>
    <row r="480" spans="4:4" ht="15.75" customHeight="1" x14ac:dyDescent="0.25">
      <c r="D480" s="11"/>
    </row>
    <row r="481" spans="4:4" ht="15.75" customHeight="1" x14ac:dyDescent="0.25">
      <c r="D481" s="11"/>
    </row>
    <row r="482" spans="4:4" ht="15.75" customHeight="1" x14ac:dyDescent="0.25">
      <c r="D482" s="11"/>
    </row>
    <row r="483" spans="4:4" ht="15.75" customHeight="1" x14ac:dyDescent="0.25">
      <c r="D483" s="11"/>
    </row>
    <row r="484" spans="4:4" ht="15.75" customHeight="1" x14ac:dyDescent="0.25">
      <c r="D484" s="11"/>
    </row>
    <row r="485" spans="4:4" ht="15.75" customHeight="1" x14ac:dyDescent="0.25">
      <c r="D485" s="11"/>
    </row>
    <row r="486" spans="4:4" ht="15.75" customHeight="1" x14ac:dyDescent="0.25">
      <c r="D486" s="11"/>
    </row>
    <row r="487" spans="4:4" ht="15.75" customHeight="1" x14ac:dyDescent="0.25">
      <c r="D487" s="11"/>
    </row>
    <row r="488" spans="4:4" ht="15.75" customHeight="1" x14ac:dyDescent="0.25">
      <c r="D488" s="11"/>
    </row>
    <row r="489" spans="4:4" ht="15.75" customHeight="1" x14ac:dyDescent="0.25">
      <c r="D489" s="11"/>
    </row>
    <row r="490" spans="4:4" ht="15.75" customHeight="1" x14ac:dyDescent="0.25">
      <c r="D490" s="11"/>
    </row>
    <row r="491" spans="4:4" ht="15.75" customHeight="1" x14ac:dyDescent="0.25">
      <c r="D491" s="11"/>
    </row>
    <row r="492" spans="4:4" ht="15.75" customHeight="1" x14ac:dyDescent="0.25">
      <c r="D492" s="11"/>
    </row>
    <row r="493" spans="4:4" ht="15.75" customHeight="1" x14ac:dyDescent="0.25">
      <c r="D493" s="11"/>
    </row>
    <row r="494" spans="4:4" ht="15.75" customHeight="1" x14ac:dyDescent="0.25">
      <c r="D494" s="11"/>
    </row>
    <row r="495" spans="4:4" ht="15.75" customHeight="1" x14ac:dyDescent="0.25">
      <c r="D495" s="11"/>
    </row>
    <row r="496" spans="4:4" ht="15.75" customHeight="1" x14ac:dyDescent="0.25">
      <c r="D496" s="11"/>
    </row>
    <row r="497" spans="4:4" ht="15.75" customHeight="1" x14ac:dyDescent="0.25">
      <c r="D497" s="11"/>
    </row>
    <row r="498" spans="4:4" ht="15.75" customHeight="1" x14ac:dyDescent="0.25">
      <c r="D498" s="11"/>
    </row>
    <row r="499" spans="4:4" ht="15.75" customHeight="1" x14ac:dyDescent="0.25">
      <c r="D499" s="11"/>
    </row>
    <row r="500" spans="4:4" ht="15.75" customHeight="1" x14ac:dyDescent="0.25">
      <c r="D500" s="11"/>
    </row>
    <row r="501" spans="4:4" ht="15.75" customHeight="1" x14ac:dyDescent="0.25">
      <c r="D501" s="11"/>
    </row>
    <row r="502" spans="4:4" ht="15.75" customHeight="1" x14ac:dyDescent="0.25">
      <c r="D502" s="11"/>
    </row>
    <row r="503" spans="4:4" ht="15.75" customHeight="1" x14ac:dyDescent="0.25">
      <c r="D503" s="11"/>
    </row>
    <row r="504" spans="4:4" ht="15.75" customHeight="1" x14ac:dyDescent="0.25">
      <c r="D504" s="11"/>
    </row>
    <row r="505" spans="4:4" ht="15.75" customHeight="1" x14ac:dyDescent="0.25">
      <c r="D505" s="11"/>
    </row>
    <row r="506" spans="4:4" ht="15.75" customHeight="1" x14ac:dyDescent="0.25">
      <c r="D506" s="11"/>
    </row>
    <row r="507" spans="4:4" ht="15.75" customHeight="1" x14ac:dyDescent="0.25">
      <c r="D507" s="11"/>
    </row>
    <row r="508" spans="4:4" ht="15.75" customHeight="1" x14ac:dyDescent="0.25">
      <c r="D508" s="11"/>
    </row>
    <row r="509" spans="4:4" ht="15.75" customHeight="1" x14ac:dyDescent="0.25">
      <c r="D509" s="11"/>
    </row>
    <row r="510" spans="4:4" ht="15.75" customHeight="1" x14ac:dyDescent="0.25">
      <c r="D510" s="11"/>
    </row>
    <row r="511" spans="4:4" ht="15.75" customHeight="1" x14ac:dyDescent="0.25">
      <c r="D511" s="11"/>
    </row>
    <row r="512" spans="4:4" ht="15.75" customHeight="1" x14ac:dyDescent="0.25">
      <c r="D512" s="11"/>
    </row>
    <row r="513" spans="4:4" ht="15.75" customHeight="1" x14ac:dyDescent="0.25">
      <c r="D513" s="11"/>
    </row>
    <row r="514" spans="4:4" ht="15.75" customHeight="1" x14ac:dyDescent="0.25">
      <c r="D514" s="11"/>
    </row>
    <row r="515" spans="4:4" ht="15.75" customHeight="1" x14ac:dyDescent="0.25">
      <c r="D515" s="11"/>
    </row>
    <row r="516" spans="4:4" ht="15.75" customHeight="1" x14ac:dyDescent="0.25">
      <c r="D516" s="11"/>
    </row>
    <row r="517" spans="4:4" ht="15.75" customHeight="1" x14ac:dyDescent="0.25">
      <c r="D517" s="11"/>
    </row>
    <row r="518" spans="4:4" ht="15.75" customHeight="1" x14ac:dyDescent="0.25">
      <c r="D518" s="11"/>
    </row>
    <row r="519" spans="4:4" ht="15.75" customHeight="1" x14ac:dyDescent="0.25">
      <c r="D519" s="11"/>
    </row>
    <row r="520" spans="4:4" ht="15.75" customHeight="1" x14ac:dyDescent="0.25">
      <c r="D520" s="11"/>
    </row>
    <row r="521" spans="4:4" ht="15.75" customHeight="1" x14ac:dyDescent="0.25">
      <c r="D521" s="11"/>
    </row>
    <row r="522" spans="4:4" ht="15.75" customHeight="1" x14ac:dyDescent="0.25">
      <c r="D522" s="11"/>
    </row>
    <row r="523" spans="4:4" ht="15.75" customHeight="1" x14ac:dyDescent="0.25">
      <c r="D523" s="11"/>
    </row>
    <row r="524" spans="4:4" ht="15.75" customHeight="1" x14ac:dyDescent="0.25">
      <c r="D524" s="11"/>
    </row>
    <row r="525" spans="4:4" ht="15.75" customHeight="1" x14ac:dyDescent="0.25">
      <c r="D525" s="11"/>
    </row>
    <row r="526" spans="4:4" ht="15.75" customHeight="1" x14ac:dyDescent="0.25">
      <c r="D526" s="11"/>
    </row>
    <row r="527" spans="4:4" ht="15.75" customHeight="1" x14ac:dyDescent="0.25">
      <c r="D527" s="11"/>
    </row>
    <row r="528" spans="4:4" ht="15.75" customHeight="1" x14ac:dyDescent="0.25">
      <c r="D528" s="11"/>
    </row>
    <row r="529" spans="4:4" ht="15.75" customHeight="1" x14ac:dyDescent="0.25">
      <c r="D529" s="11"/>
    </row>
    <row r="530" spans="4:4" ht="15.75" customHeight="1" x14ac:dyDescent="0.25">
      <c r="D530" s="11"/>
    </row>
    <row r="531" spans="4:4" ht="15.75" customHeight="1" x14ac:dyDescent="0.25">
      <c r="D531" s="11"/>
    </row>
    <row r="532" spans="4:4" ht="15.75" customHeight="1" x14ac:dyDescent="0.25">
      <c r="D532" s="11"/>
    </row>
    <row r="533" spans="4:4" ht="15.75" customHeight="1" x14ac:dyDescent="0.25">
      <c r="D533" s="11"/>
    </row>
    <row r="534" spans="4:4" ht="15.75" customHeight="1" x14ac:dyDescent="0.25">
      <c r="D534" s="11"/>
    </row>
    <row r="535" spans="4:4" ht="15.75" customHeight="1" x14ac:dyDescent="0.25">
      <c r="D535" s="11"/>
    </row>
    <row r="536" spans="4:4" ht="15.75" customHeight="1" x14ac:dyDescent="0.25">
      <c r="D536" s="11"/>
    </row>
    <row r="537" spans="4:4" ht="15.75" customHeight="1" x14ac:dyDescent="0.25">
      <c r="D537" s="11"/>
    </row>
    <row r="538" spans="4:4" ht="15.75" customHeight="1" x14ac:dyDescent="0.25">
      <c r="D538" s="11"/>
    </row>
    <row r="539" spans="4:4" ht="15.75" customHeight="1" x14ac:dyDescent="0.25">
      <c r="D539" s="11"/>
    </row>
    <row r="540" spans="4:4" ht="15.75" customHeight="1" x14ac:dyDescent="0.25">
      <c r="D540" s="11"/>
    </row>
    <row r="541" spans="4:4" ht="15.75" customHeight="1" x14ac:dyDescent="0.25">
      <c r="D541" s="11"/>
    </row>
    <row r="542" spans="4:4" ht="15.75" customHeight="1" x14ac:dyDescent="0.25">
      <c r="D542" s="11"/>
    </row>
    <row r="543" spans="4:4" ht="15.75" customHeight="1" x14ac:dyDescent="0.25">
      <c r="D543" s="11"/>
    </row>
    <row r="544" spans="4:4" ht="15.75" customHeight="1" x14ac:dyDescent="0.25">
      <c r="D544" s="11"/>
    </row>
    <row r="545" spans="4:4" ht="15.75" customHeight="1" x14ac:dyDescent="0.25">
      <c r="D545" s="11"/>
    </row>
    <row r="546" spans="4:4" ht="15.75" customHeight="1" x14ac:dyDescent="0.25">
      <c r="D546" s="11"/>
    </row>
    <row r="547" spans="4:4" ht="15.75" customHeight="1" x14ac:dyDescent="0.25">
      <c r="D547" s="11"/>
    </row>
    <row r="548" spans="4:4" ht="15.75" customHeight="1" x14ac:dyDescent="0.25">
      <c r="D548" s="11"/>
    </row>
    <row r="549" spans="4:4" ht="15.75" customHeight="1" x14ac:dyDescent="0.25">
      <c r="D549" s="11"/>
    </row>
    <row r="550" spans="4:4" ht="15.75" customHeight="1" x14ac:dyDescent="0.25">
      <c r="D550" s="11"/>
    </row>
    <row r="551" spans="4:4" ht="15.75" customHeight="1" x14ac:dyDescent="0.25">
      <c r="D551" s="11"/>
    </row>
    <row r="552" spans="4:4" ht="15.75" customHeight="1" x14ac:dyDescent="0.25">
      <c r="D552" s="11"/>
    </row>
    <row r="553" spans="4:4" ht="15.75" customHeight="1" x14ac:dyDescent="0.25">
      <c r="D553" s="11"/>
    </row>
    <row r="554" spans="4:4" ht="15.75" customHeight="1" x14ac:dyDescent="0.25">
      <c r="D554" s="11"/>
    </row>
    <row r="555" spans="4:4" ht="15.75" customHeight="1" x14ac:dyDescent="0.25">
      <c r="D555" s="11"/>
    </row>
    <row r="556" spans="4:4" ht="15.75" customHeight="1" x14ac:dyDescent="0.25">
      <c r="D556" s="11"/>
    </row>
    <row r="557" spans="4:4" ht="15.75" customHeight="1" x14ac:dyDescent="0.25">
      <c r="D557" s="11"/>
    </row>
    <row r="558" spans="4:4" ht="15.75" customHeight="1" x14ac:dyDescent="0.25">
      <c r="D558" s="11"/>
    </row>
    <row r="559" spans="4:4" ht="15.75" customHeight="1" x14ac:dyDescent="0.25">
      <c r="D559" s="11"/>
    </row>
    <row r="560" spans="4:4" ht="15.75" customHeight="1" x14ac:dyDescent="0.25">
      <c r="D560" s="11"/>
    </row>
    <row r="561" spans="4:4" ht="15.75" customHeight="1" x14ac:dyDescent="0.25">
      <c r="D561" s="11"/>
    </row>
    <row r="562" spans="4:4" ht="15.75" customHeight="1" x14ac:dyDescent="0.25">
      <c r="D562" s="11"/>
    </row>
    <row r="563" spans="4:4" ht="15.75" customHeight="1" x14ac:dyDescent="0.25">
      <c r="D563" s="11"/>
    </row>
    <row r="564" spans="4:4" ht="15.75" customHeight="1" x14ac:dyDescent="0.25">
      <c r="D564" s="11"/>
    </row>
    <row r="565" spans="4:4" ht="15.75" customHeight="1" x14ac:dyDescent="0.25">
      <c r="D565" s="11"/>
    </row>
    <row r="566" spans="4:4" ht="15.75" customHeight="1" x14ac:dyDescent="0.25">
      <c r="D566" s="11"/>
    </row>
    <row r="567" spans="4:4" ht="15.75" customHeight="1" x14ac:dyDescent="0.25">
      <c r="D567" s="11"/>
    </row>
    <row r="568" spans="4:4" ht="15.75" customHeight="1" x14ac:dyDescent="0.25">
      <c r="D568" s="11"/>
    </row>
    <row r="569" spans="4:4" ht="15.75" customHeight="1" x14ac:dyDescent="0.25">
      <c r="D569" s="11"/>
    </row>
    <row r="570" spans="4:4" ht="15.75" customHeight="1" x14ac:dyDescent="0.25">
      <c r="D570" s="11"/>
    </row>
    <row r="571" spans="4:4" ht="15.75" customHeight="1" x14ac:dyDescent="0.25">
      <c r="D571" s="11"/>
    </row>
    <row r="572" spans="4:4" ht="15.75" customHeight="1" x14ac:dyDescent="0.25">
      <c r="D572" s="11"/>
    </row>
    <row r="573" spans="4:4" ht="15.75" customHeight="1" x14ac:dyDescent="0.25">
      <c r="D573" s="11"/>
    </row>
    <row r="574" spans="4:4" ht="15.75" customHeight="1" x14ac:dyDescent="0.25">
      <c r="D574" s="11"/>
    </row>
    <row r="575" spans="4:4" ht="15.75" customHeight="1" x14ac:dyDescent="0.25">
      <c r="D575" s="11"/>
    </row>
    <row r="576" spans="4:4" ht="15.75" customHeight="1" x14ac:dyDescent="0.25">
      <c r="D576" s="11"/>
    </row>
    <row r="577" spans="4:4" ht="15.75" customHeight="1" x14ac:dyDescent="0.25">
      <c r="D577" s="11"/>
    </row>
    <row r="578" spans="4:4" ht="15.75" customHeight="1" x14ac:dyDescent="0.25">
      <c r="D578" s="11"/>
    </row>
    <row r="579" spans="4:4" ht="15.75" customHeight="1" x14ac:dyDescent="0.25">
      <c r="D579" s="11"/>
    </row>
    <row r="580" spans="4:4" ht="15.75" customHeight="1" x14ac:dyDescent="0.25">
      <c r="D580" s="11"/>
    </row>
    <row r="581" spans="4:4" ht="15.75" customHeight="1" x14ac:dyDescent="0.25">
      <c r="D581" s="11"/>
    </row>
    <row r="582" spans="4:4" ht="15.75" customHeight="1" x14ac:dyDescent="0.25">
      <c r="D582" s="11"/>
    </row>
    <row r="583" spans="4:4" ht="15.75" customHeight="1" x14ac:dyDescent="0.25">
      <c r="D583" s="11"/>
    </row>
    <row r="584" spans="4:4" ht="15.75" customHeight="1" x14ac:dyDescent="0.25">
      <c r="D584" s="11"/>
    </row>
    <row r="585" spans="4:4" ht="15.75" customHeight="1" x14ac:dyDescent="0.25">
      <c r="D585" s="11"/>
    </row>
    <row r="586" spans="4:4" ht="15.75" customHeight="1" x14ac:dyDescent="0.25">
      <c r="D586" s="11"/>
    </row>
    <row r="587" spans="4:4" ht="15.75" customHeight="1" x14ac:dyDescent="0.25">
      <c r="D587" s="11"/>
    </row>
    <row r="588" spans="4:4" ht="15.75" customHeight="1" x14ac:dyDescent="0.25">
      <c r="D588" s="11"/>
    </row>
    <row r="589" spans="4:4" ht="15.75" customHeight="1" x14ac:dyDescent="0.25">
      <c r="D589" s="11"/>
    </row>
    <row r="590" spans="4:4" ht="15.75" customHeight="1" x14ac:dyDescent="0.25">
      <c r="D590" s="11"/>
    </row>
    <row r="591" spans="4:4" ht="15.75" customHeight="1" x14ac:dyDescent="0.25">
      <c r="D591" s="11"/>
    </row>
    <row r="592" spans="4:4" ht="15.75" customHeight="1" x14ac:dyDescent="0.25">
      <c r="D592" s="11"/>
    </row>
    <row r="593" spans="4:4" ht="15.75" customHeight="1" x14ac:dyDescent="0.25">
      <c r="D593" s="11"/>
    </row>
    <row r="594" spans="4:4" ht="15.75" customHeight="1" x14ac:dyDescent="0.25">
      <c r="D594" s="11"/>
    </row>
    <row r="595" spans="4:4" ht="15.75" customHeight="1" x14ac:dyDescent="0.25">
      <c r="D595" s="11"/>
    </row>
    <row r="596" spans="4:4" ht="15.75" customHeight="1" x14ac:dyDescent="0.25">
      <c r="D596" s="11"/>
    </row>
    <row r="597" spans="4:4" ht="15.75" customHeight="1" x14ac:dyDescent="0.25">
      <c r="D597" s="11"/>
    </row>
    <row r="598" spans="4:4" ht="15.75" customHeight="1" x14ac:dyDescent="0.25">
      <c r="D598" s="11"/>
    </row>
    <row r="599" spans="4:4" ht="15.75" customHeight="1" x14ac:dyDescent="0.25">
      <c r="D599" s="11"/>
    </row>
    <row r="600" spans="4:4" ht="15.75" customHeight="1" x14ac:dyDescent="0.25">
      <c r="D600" s="11"/>
    </row>
    <row r="601" spans="4:4" ht="15.75" customHeight="1" x14ac:dyDescent="0.25">
      <c r="D601" s="11"/>
    </row>
    <row r="602" spans="4:4" ht="15.75" customHeight="1" x14ac:dyDescent="0.25">
      <c r="D602" s="11"/>
    </row>
    <row r="603" spans="4:4" ht="15.75" customHeight="1" x14ac:dyDescent="0.25">
      <c r="D603" s="11"/>
    </row>
    <row r="604" spans="4:4" ht="15.75" customHeight="1" x14ac:dyDescent="0.25">
      <c r="D604" s="11"/>
    </row>
    <row r="605" spans="4:4" ht="15.75" customHeight="1" x14ac:dyDescent="0.25">
      <c r="D605" s="11"/>
    </row>
    <row r="606" spans="4:4" ht="15.75" customHeight="1" x14ac:dyDescent="0.25">
      <c r="D606" s="11"/>
    </row>
    <row r="607" spans="4:4" ht="15.75" customHeight="1" x14ac:dyDescent="0.25">
      <c r="D607" s="11"/>
    </row>
    <row r="608" spans="4:4" ht="15.75" customHeight="1" x14ac:dyDescent="0.25">
      <c r="D608" s="11"/>
    </row>
    <row r="609" spans="4:4" ht="15.75" customHeight="1" x14ac:dyDescent="0.25">
      <c r="D609" s="11"/>
    </row>
    <row r="610" spans="4:4" ht="15.75" customHeight="1" x14ac:dyDescent="0.25">
      <c r="D610" s="11"/>
    </row>
    <row r="611" spans="4:4" ht="15.75" customHeight="1" x14ac:dyDescent="0.25">
      <c r="D611" s="11"/>
    </row>
    <row r="612" spans="4:4" ht="15.75" customHeight="1" x14ac:dyDescent="0.25">
      <c r="D612" s="11"/>
    </row>
    <row r="613" spans="4:4" ht="15.75" customHeight="1" x14ac:dyDescent="0.25">
      <c r="D613" s="11"/>
    </row>
    <row r="614" spans="4:4" ht="15.75" customHeight="1" x14ac:dyDescent="0.25">
      <c r="D614" s="11"/>
    </row>
    <row r="615" spans="4:4" ht="15.75" customHeight="1" x14ac:dyDescent="0.25">
      <c r="D615" s="11"/>
    </row>
    <row r="616" spans="4:4" ht="15.75" customHeight="1" x14ac:dyDescent="0.25">
      <c r="D616" s="11"/>
    </row>
    <row r="617" spans="4:4" ht="15.75" customHeight="1" x14ac:dyDescent="0.25">
      <c r="D617" s="11"/>
    </row>
    <row r="618" spans="4:4" ht="15.75" customHeight="1" x14ac:dyDescent="0.25">
      <c r="D618" s="11"/>
    </row>
    <row r="619" spans="4:4" ht="15.75" customHeight="1" x14ac:dyDescent="0.25">
      <c r="D619" s="11"/>
    </row>
    <row r="620" spans="4:4" ht="15.75" customHeight="1" x14ac:dyDescent="0.25">
      <c r="D620" s="11"/>
    </row>
    <row r="621" spans="4:4" ht="15.75" customHeight="1" x14ac:dyDescent="0.25">
      <c r="D621" s="11"/>
    </row>
    <row r="622" spans="4:4" ht="15.75" customHeight="1" x14ac:dyDescent="0.25">
      <c r="D622" s="11"/>
    </row>
    <row r="623" spans="4:4" ht="15.75" customHeight="1" x14ac:dyDescent="0.25">
      <c r="D623" s="11"/>
    </row>
    <row r="624" spans="4:4" ht="15.75" customHeight="1" x14ac:dyDescent="0.25">
      <c r="D624" s="11"/>
    </row>
    <row r="625" spans="4:4" ht="15.75" customHeight="1" x14ac:dyDescent="0.25">
      <c r="D625" s="11"/>
    </row>
    <row r="626" spans="4:4" ht="15.75" customHeight="1" x14ac:dyDescent="0.25">
      <c r="D626" s="11"/>
    </row>
    <row r="627" spans="4:4" ht="15.75" customHeight="1" x14ac:dyDescent="0.25">
      <c r="D627" s="11"/>
    </row>
    <row r="628" spans="4:4" ht="15.75" customHeight="1" x14ac:dyDescent="0.25">
      <c r="D628" s="11"/>
    </row>
    <row r="629" spans="4:4" ht="15.75" customHeight="1" x14ac:dyDescent="0.25">
      <c r="D629" s="11"/>
    </row>
    <row r="630" spans="4:4" ht="15.75" customHeight="1" x14ac:dyDescent="0.25">
      <c r="D630" s="11"/>
    </row>
    <row r="631" spans="4:4" ht="15.75" customHeight="1" x14ac:dyDescent="0.25">
      <c r="D631" s="11"/>
    </row>
    <row r="632" spans="4:4" ht="15.75" customHeight="1" x14ac:dyDescent="0.25">
      <c r="D632" s="11"/>
    </row>
    <row r="633" spans="4:4" ht="15.75" customHeight="1" x14ac:dyDescent="0.25">
      <c r="D633" s="11"/>
    </row>
    <row r="634" spans="4:4" ht="15.75" customHeight="1" x14ac:dyDescent="0.25">
      <c r="D634" s="11"/>
    </row>
    <row r="635" spans="4:4" ht="15.75" customHeight="1" x14ac:dyDescent="0.25">
      <c r="D635" s="11"/>
    </row>
    <row r="636" spans="4:4" ht="15.75" customHeight="1" x14ac:dyDescent="0.25">
      <c r="D636" s="11"/>
    </row>
    <row r="637" spans="4:4" ht="15.75" customHeight="1" x14ac:dyDescent="0.25">
      <c r="D637" s="11"/>
    </row>
    <row r="638" spans="4:4" ht="15.75" customHeight="1" x14ac:dyDescent="0.25">
      <c r="D638" s="11"/>
    </row>
    <row r="639" spans="4:4" ht="15.75" customHeight="1" x14ac:dyDescent="0.25">
      <c r="D639" s="11"/>
    </row>
    <row r="640" spans="4:4" ht="15.75" customHeight="1" x14ac:dyDescent="0.25">
      <c r="D640" s="11"/>
    </row>
    <row r="641" spans="4:4" ht="15.75" customHeight="1" x14ac:dyDescent="0.25">
      <c r="D641" s="11"/>
    </row>
    <row r="642" spans="4:4" ht="15.75" customHeight="1" x14ac:dyDescent="0.25">
      <c r="D642" s="11"/>
    </row>
    <row r="643" spans="4:4" ht="15.75" customHeight="1" x14ac:dyDescent="0.25">
      <c r="D643" s="11"/>
    </row>
    <row r="644" spans="4:4" ht="15.75" customHeight="1" x14ac:dyDescent="0.25">
      <c r="D644" s="11"/>
    </row>
    <row r="645" spans="4:4" ht="15.75" customHeight="1" x14ac:dyDescent="0.25">
      <c r="D645" s="11"/>
    </row>
    <row r="646" spans="4:4" ht="15.75" customHeight="1" x14ac:dyDescent="0.25">
      <c r="D646" s="11"/>
    </row>
    <row r="647" spans="4:4" ht="15.75" customHeight="1" x14ac:dyDescent="0.25">
      <c r="D647" s="11"/>
    </row>
    <row r="648" spans="4:4" ht="15.75" customHeight="1" x14ac:dyDescent="0.25">
      <c r="D648" s="11"/>
    </row>
    <row r="649" spans="4:4" ht="15.75" customHeight="1" x14ac:dyDescent="0.25">
      <c r="D649" s="11"/>
    </row>
    <row r="650" spans="4:4" ht="15.75" customHeight="1" x14ac:dyDescent="0.25">
      <c r="D650" s="11"/>
    </row>
    <row r="651" spans="4:4" ht="15.75" customHeight="1" x14ac:dyDescent="0.25">
      <c r="D651" s="11"/>
    </row>
    <row r="652" spans="4:4" ht="15.75" customHeight="1" x14ac:dyDescent="0.25">
      <c r="D652" s="11"/>
    </row>
    <row r="653" spans="4:4" ht="15.75" customHeight="1" x14ac:dyDescent="0.25">
      <c r="D653" s="11"/>
    </row>
    <row r="654" spans="4:4" ht="15.75" customHeight="1" x14ac:dyDescent="0.25">
      <c r="D654" s="11"/>
    </row>
    <row r="655" spans="4:4" ht="15.75" customHeight="1" x14ac:dyDescent="0.25">
      <c r="D655" s="11"/>
    </row>
    <row r="656" spans="4:4" ht="15.75" customHeight="1" x14ac:dyDescent="0.25">
      <c r="D656" s="11"/>
    </row>
    <row r="657" spans="4:4" ht="15.75" customHeight="1" x14ac:dyDescent="0.25">
      <c r="D657" s="11"/>
    </row>
    <row r="658" spans="4:4" ht="15.75" customHeight="1" x14ac:dyDescent="0.25">
      <c r="D658" s="11"/>
    </row>
    <row r="659" spans="4:4" ht="15.75" customHeight="1" x14ac:dyDescent="0.25">
      <c r="D659" s="11"/>
    </row>
    <row r="660" spans="4:4" ht="15.75" customHeight="1" x14ac:dyDescent="0.25">
      <c r="D660" s="11"/>
    </row>
    <row r="661" spans="4:4" ht="15.75" customHeight="1" x14ac:dyDescent="0.25">
      <c r="D661" s="11"/>
    </row>
    <row r="662" spans="4:4" ht="15.75" customHeight="1" x14ac:dyDescent="0.25">
      <c r="D662" s="11"/>
    </row>
    <row r="663" spans="4:4" ht="15.75" customHeight="1" x14ac:dyDescent="0.25">
      <c r="D663" s="11"/>
    </row>
    <row r="664" spans="4:4" ht="15.75" customHeight="1" x14ac:dyDescent="0.25">
      <c r="D664" s="11"/>
    </row>
    <row r="665" spans="4:4" ht="15.75" customHeight="1" x14ac:dyDescent="0.25">
      <c r="D665" s="11"/>
    </row>
    <row r="666" spans="4:4" ht="15.75" customHeight="1" x14ac:dyDescent="0.25">
      <c r="D666" s="11"/>
    </row>
    <row r="667" spans="4:4" ht="15.75" customHeight="1" x14ac:dyDescent="0.25">
      <c r="D667" s="11"/>
    </row>
    <row r="668" spans="4:4" ht="15.75" customHeight="1" x14ac:dyDescent="0.25">
      <c r="D668" s="11"/>
    </row>
    <row r="669" spans="4:4" ht="15.75" customHeight="1" x14ac:dyDescent="0.25">
      <c r="D669" s="11"/>
    </row>
    <row r="670" spans="4:4" ht="15.75" customHeight="1" x14ac:dyDescent="0.25">
      <c r="D670" s="11"/>
    </row>
    <row r="671" spans="4:4" ht="15.75" customHeight="1" x14ac:dyDescent="0.25">
      <c r="D671" s="11"/>
    </row>
    <row r="672" spans="4:4" ht="15.75" customHeight="1" x14ac:dyDescent="0.25">
      <c r="D672" s="11"/>
    </row>
    <row r="673" spans="4:4" ht="15.75" customHeight="1" x14ac:dyDescent="0.25">
      <c r="D673" s="11"/>
    </row>
    <row r="674" spans="4:4" ht="15.75" customHeight="1" x14ac:dyDescent="0.25">
      <c r="D674" s="11"/>
    </row>
    <row r="675" spans="4:4" ht="15.75" customHeight="1" x14ac:dyDescent="0.25">
      <c r="D675" s="11"/>
    </row>
    <row r="676" spans="4:4" ht="15.75" customHeight="1" x14ac:dyDescent="0.25">
      <c r="D676" s="11"/>
    </row>
    <row r="677" spans="4:4" ht="15.75" customHeight="1" x14ac:dyDescent="0.25">
      <c r="D677" s="11"/>
    </row>
    <row r="678" spans="4:4" ht="15.75" customHeight="1" x14ac:dyDescent="0.25">
      <c r="D678" s="11"/>
    </row>
    <row r="679" spans="4:4" ht="15.75" customHeight="1" x14ac:dyDescent="0.25">
      <c r="D679" s="11"/>
    </row>
    <row r="680" spans="4:4" ht="15.75" customHeight="1" x14ac:dyDescent="0.25">
      <c r="D680" s="11"/>
    </row>
    <row r="681" spans="4:4" ht="15.75" customHeight="1" x14ac:dyDescent="0.25">
      <c r="D681" s="11"/>
    </row>
    <row r="682" spans="4:4" ht="15.75" customHeight="1" x14ac:dyDescent="0.25">
      <c r="D682" s="11"/>
    </row>
    <row r="683" spans="4:4" ht="15.75" customHeight="1" x14ac:dyDescent="0.25">
      <c r="D683" s="11"/>
    </row>
    <row r="684" spans="4:4" ht="15.75" customHeight="1" x14ac:dyDescent="0.25">
      <c r="D684" s="11"/>
    </row>
    <row r="685" spans="4:4" ht="15.75" customHeight="1" x14ac:dyDescent="0.25">
      <c r="D685" s="11"/>
    </row>
    <row r="686" spans="4:4" ht="15.75" customHeight="1" x14ac:dyDescent="0.25">
      <c r="D686" s="11"/>
    </row>
    <row r="687" spans="4:4" ht="15.75" customHeight="1" x14ac:dyDescent="0.25">
      <c r="D687" s="11"/>
    </row>
    <row r="688" spans="4:4" ht="15.75" customHeight="1" x14ac:dyDescent="0.25">
      <c r="D688" s="11"/>
    </row>
    <row r="689" spans="4:4" ht="15.75" customHeight="1" x14ac:dyDescent="0.25">
      <c r="D689" s="11"/>
    </row>
    <row r="690" spans="4:4" ht="15.75" customHeight="1" x14ac:dyDescent="0.25">
      <c r="D690" s="11"/>
    </row>
    <row r="691" spans="4:4" ht="15.75" customHeight="1" x14ac:dyDescent="0.25">
      <c r="D691" s="11"/>
    </row>
    <row r="692" spans="4:4" ht="15.75" customHeight="1" x14ac:dyDescent="0.25">
      <c r="D692" s="11"/>
    </row>
    <row r="693" spans="4:4" ht="15.75" customHeight="1" x14ac:dyDescent="0.25">
      <c r="D693" s="11"/>
    </row>
    <row r="694" spans="4:4" ht="15.75" customHeight="1" x14ac:dyDescent="0.25">
      <c r="D694" s="11"/>
    </row>
    <row r="695" spans="4:4" ht="15.75" customHeight="1" x14ac:dyDescent="0.25">
      <c r="D695" s="11"/>
    </row>
    <row r="696" spans="4:4" ht="15.75" customHeight="1" x14ac:dyDescent="0.25">
      <c r="D696" s="11"/>
    </row>
    <row r="697" spans="4:4" ht="15.75" customHeight="1" x14ac:dyDescent="0.25">
      <c r="D697" s="11"/>
    </row>
    <row r="698" spans="4:4" ht="15.75" customHeight="1" x14ac:dyDescent="0.25">
      <c r="D698" s="11"/>
    </row>
    <row r="699" spans="4:4" ht="15.75" customHeight="1" x14ac:dyDescent="0.25">
      <c r="D699" s="11"/>
    </row>
    <row r="700" spans="4:4" ht="15.75" customHeight="1" x14ac:dyDescent="0.25">
      <c r="D700" s="11"/>
    </row>
    <row r="701" spans="4:4" ht="15.75" customHeight="1" x14ac:dyDescent="0.25">
      <c r="D701" s="11"/>
    </row>
    <row r="702" spans="4:4" ht="15.75" customHeight="1" x14ac:dyDescent="0.25">
      <c r="D702" s="11"/>
    </row>
    <row r="703" spans="4:4" ht="15.75" customHeight="1" x14ac:dyDescent="0.25">
      <c r="D703" s="11"/>
    </row>
    <row r="704" spans="4:4" ht="15.75" customHeight="1" x14ac:dyDescent="0.25">
      <c r="D704" s="11"/>
    </row>
    <row r="705" spans="4:4" ht="15.75" customHeight="1" x14ac:dyDescent="0.25">
      <c r="D705" s="11"/>
    </row>
    <row r="706" spans="4:4" ht="15.75" customHeight="1" x14ac:dyDescent="0.25">
      <c r="D706" s="11"/>
    </row>
    <row r="707" spans="4:4" ht="15.75" customHeight="1" x14ac:dyDescent="0.25">
      <c r="D707" s="11"/>
    </row>
    <row r="708" spans="4:4" ht="15.75" customHeight="1" x14ac:dyDescent="0.25">
      <c r="D708" s="11"/>
    </row>
    <row r="709" spans="4:4" ht="15.75" customHeight="1" x14ac:dyDescent="0.25">
      <c r="D709" s="11"/>
    </row>
    <row r="710" spans="4:4" ht="15.75" customHeight="1" x14ac:dyDescent="0.25">
      <c r="D710" s="11"/>
    </row>
    <row r="711" spans="4:4" ht="15.75" customHeight="1" x14ac:dyDescent="0.25">
      <c r="D711" s="11"/>
    </row>
    <row r="712" spans="4:4" ht="15.75" customHeight="1" x14ac:dyDescent="0.25">
      <c r="D712" s="11"/>
    </row>
    <row r="713" spans="4:4" ht="15.75" customHeight="1" x14ac:dyDescent="0.25">
      <c r="D713" s="11"/>
    </row>
    <row r="714" spans="4:4" ht="15.75" customHeight="1" x14ac:dyDescent="0.25">
      <c r="D714" s="11"/>
    </row>
    <row r="715" spans="4:4" ht="15.75" customHeight="1" x14ac:dyDescent="0.25">
      <c r="D715" s="11"/>
    </row>
    <row r="716" spans="4:4" ht="15.75" customHeight="1" x14ac:dyDescent="0.25">
      <c r="D716" s="11"/>
    </row>
    <row r="717" spans="4:4" ht="15.75" customHeight="1" x14ac:dyDescent="0.25">
      <c r="D717" s="11"/>
    </row>
    <row r="718" spans="4:4" ht="15.75" customHeight="1" x14ac:dyDescent="0.25">
      <c r="D718" s="11"/>
    </row>
    <row r="719" spans="4:4" ht="15.75" customHeight="1" x14ac:dyDescent="0.25">
      <c r="D719" s="11"/>
    </row>
    <row r="720" spans="4:4" ht="15.75" customHeight="1" x14ac:dyDescent="0.25">
      <c r="D720" s="11"/>
    </row>
    <row r="721" spans="4:4" ht="15.75" customHeight="1" x14ac:dyDescent="0.25">
      <c r="D721" s="11"/>
    </row>
    <row r="722" spans="4:4" ht="15.75" customHeight="1" x14ac:dyDescent="0.25">
      <c r="D722" s="11"/>
    </row>
    <row r="723" spans="4:4" ht="15.75" customHeight="1" x14ac:dyDescent="0.25">
      <c r="D723" s="11"/>
    </row>
    <row r="724" spans="4:4" ht="15.75" customHeight="1" x14ac:dyDescent="0.25">
      <c r="D724" s="11"/>
    </row>
    <row r="725" spans="4:4" ht="15.75" customHeight="1" x14ac:dyDescent="0.25">
      <c r="D725" s="11"/>
    </row>
    <row r="726" spans="4:4" ht="15.75" customHeight="1" x14ac:dyDescent="0.25">
      <c r="D726" s="11"/>
    </row>
    <row r="727" spans="4:4" ht="15.75" customHeight="1" x14ac:dyDescent="0.25">
      <c r="D727" s="11"/>
    </row>
    <row r="728" spans="4:4" ht="15.75" customHeight="1" x14ac:dyDescent="0.25">
      <c r="D728" s="11"/>
    </row>
    <row r="729" spans="4:4" ht="15.75" customHeight="1" x14ac:dyDescent="0.25">
      <c r="D729" s="11"/>
    </row>
    <row r="730" spans="4:4" ht="15.75" customHeight="1" x14ac:dyDescent="0.25">
      <c r="D730" s="11"/>
    </row>
    <row r="731" spans="4:4" ht="15.75" customHeight="1" x14ac:dyDescent="0.25">
      <c r="D731" s="11"/>
    </row>
    <row r="732" spans="4:4" ht="15.75" customHeight="1" x14ac:dyDescent="0.25">
      <c r="D732" s="11"/>
    </row>
    <row r="733" spans="4:4" ht="15.75" customHeight="1" x14ac:dyDescent="0.25">
      <c r="D733" s="11"/>
    </row>
    <row r="734" spans="4:4" ht="15.75" customHeight="1" x14ac:dyDescent="0.25">
      <c r="D734" s="11"/>
    </row>
    <row r="735" spans="4:4" ht="15.75" customHeight="1" x14ac:dyDescent="0.25">
      <c r="D735" s="11"/>
    </row>
    <row r="736" spans="4:4" ht="15.75" customHeight="1" x14ac:dyDescent="0.25">
      <c r="D736" s="11"/>
    </row>
    <row r="737" spans="4:4" ht="15.75" customHeight="1" x14ac:dyDescent="0.25">
      <c r="D737" s="11"/>
    </row>
    <row r="738" spans="4:4" ht="15.75" customHeight="1" x14ac:dyDescent="0.25">
      <c r="D738" s="11"/>
    </row>
    <row r="739" spans="4:4" ht="15.75" customHeight="1" x14ac:dyDescent="0.25">
      <c r="D739" s="11"/>
    </row>
    <row r="740" spans="4:4" ht="15.75" customHeight="1" x14ac:dyDescent="0.25">
      <c r="D740" s="11"/>
    </row>
    <row r="741" spans="4:4" ht="15.75" customHeight="1" x14ac:dyDescent="0.25">
      <c r="D741" s="11"/>
    </row>
    <row r="742" spans="4:4" ht="15.75" customHeight="1" x14ac:dyDescent="0.25">
      <c r="D742" s="11"/>
    </row>
    <row r="743" spans="4:4" ht="15.75" customHeight="1" x14ac:dyDescent="0.25">
      <c r="D743" s="11"/>
    </row>
    <row r="744" spans="4:4" ht="15.75" customHeight="1" x14ac:dyDescent="0.25">
      <c r="D744" s="11"/>
    </row>
    <row r="745" spans="4:4" ht="15.75" customHeight="1" x14ac:dyDescent="0.25">
      <c r="D745" s="11"/>
    </row>
    <row r="746" spans="4:4" ht="15.75" customHeight="1" x14ac:dyDescent="0.25">
      <c r="D746" s="11"/>
    </row>
    <row r="747" spans="4:4" ht="15.75" customHeight="1" x14ac:dyDescent="0.25">
      <c r="D747" s="11"/>
    </row>
    <row r="748" spans="4:4" ht="15.75" customHeight="1" x14ac:dyDescent="0.25">
      <c r="D748" s="11"/>
    </row>
    <row r="749" spans="4:4" ht="15.75" customHeight="1" x14ac:dyDescent="0.25">
      <c r="D749" s="11"/>
    </row>
    <row r="750" spans="4:4" ht="15.75" customHeight="1" x14ac:dyDescent="0.25">
      <c r="D750" s="11"/>
    </row>
    <row r="751" spans="4:4" ht="15.75" customHeight="1" x14ac:dyDescent="0.25">
      <c r="D751" s="11"/>
    </row>
    <row r="752" spans="4:4" ht="15.75" customHeight="1" x14ac:dyDescent="0.25">
      <c r="D752" s="11"/>
    </row>
    <row r="753" spans="4:4" ht="15.75" customHeight="1" x14ac:dyDescent="0.25">
      <c r="D753" s="11"/>
    </row>
    <row r="754" spans="4:4" ht="15.75" customHeight="1" x14ac:dyDescent="0.25">
      <c r="D754" s="11"/>
    </row>
    <row r="755" spans="4:4" ht="15.75" customHeight="1" x14ac:dyDescent="0.25">
      <c r="D755" s="11"/>
    </row>
    <row r="756" spans="4:4" ht="15.75" customHeight="1" x14ac:dyDescent="0.25">
      <c r="D756" s="11"/>
    </row>
    <row r="757" spans="4:4" ht="15.75" customHeight="1" x14ac:dyDescent="0.25">
      <c r="D757" s="11"/>
    </row>
    <row r="758" spans="4:4" ht="15.75" customHeight="1" x14ac:dyDescent="0.25">
      <c r="D758" s="11"/>
    </row>
    <row r="759" spans="4:4" ht="15.75" customHeight="1" x14ac:dyDescent="0.25">
      <c r="D759" s="11"/>
    </row>
    <row r="760" spans="4:4" ht="15.75" customHeight="1" x14ac:dyDescent="0.25">
      <c r="D760" s="11"/>
    </row>
    <row r="761" spans="4:4" ht="15.75" customHeight="1" x14ac:dyDescent="0.25">
      <c r="D761" s="11"/>
    </row>
    <row r="762" spans="4:4" ht="15.75" customHeight="1" x14ac:dyDescent="0.25">
      <c r="D762" s="11"/>
    </row>
    <row r="763" spans="4:4" ht="15.75" customHeight="1" x14ac:dyDescent="0.25">
      <c r="D763" s="11"/>
    </row>
    <row r="764" spans="4:4" ht="15.75" customHeight="1" x14ac:dyDescent="0.25">
      <c r="D764" s="11"/>
    </row>
    <row r="765" spans="4:4" ht="15.75" customHeight="1" x14ac:dyDescent="0.25">
      <c r="D765" s="11"/>
    </row>
    <row r="766" spans="4:4" ht="15.75" customHeight="1" x14ac:dyDescent="0.25">
      <c r="D766" s="11"/>
    </row>
    <row r="767" spans="4:4" ht="15.75" customHeight="1" x14ac:dyDescent="0.25">
      <c r="D767" s="11"/>
    </row>
    <row r="768" spans="4:4" ht="15.75" customHeight="1" x14ac:dyDescent="0.25">
      <c r="D768" s="11"/>
    </row>
    <row r="769" spans="4:4" ht="15.75" customHeight="1" x14ac:dyDescent="0.25">
      <c r="D769" s="11"/>
    </row>
    <row r="770" spans="4:4" ht="15.75" customHeight="1" x14ac:dyDescent="0.25">
      <c r="D770" s="11"/>
    </row>
    <row r="771" spans="4:4" ht="15.75" customHeight="1" x14ac:dyDescent="0.25">
      <c r="D771" s="11"/>
    </row>
    <row r="772" spans="4:4" ht="15.75" customHeight="1" x14ac:dyDescent="0.25">
      <c r="D772" s="11"/>
    </row>
    <row r="773" spans="4:4" ht="15.75" customHeight="1" x14ac:dyDescent="0.25">
      <c r="D773" s="11"/>
    </row>
    <row r="774" spans="4:4" ht="15.75" customHeight="1" x14ac:dyDescent="0.25">
      <c r="D774" s="11"/>
    </row>
    <row r="775" spans="4:4" ht="15.75" customHeight="1" x14ac:dyDescent="0.25">
      <c r="D775" s="11"/>
    </row>
    <row r="776" spans="4:4" ht="15.75" customHeight="1" x14ac:dyDescent="0.25">
      <c r="D776" s="11"/>
    </row>
    <row r="777" spans="4:4" ht="15.75" customHeight="1" x14ac:dyDescent="0.25">
      <c r="D777" s="11"/>
    </row>
    <row r="778" spans="4:4" ht="15.75" customHeight="1" x14ac:dyDescent="0.25">
      <c r="D778" s="11"/>
    </row>
    <row r="779" spans="4:4" ht="15.75" customHeight="1" x14ac:dyDescent="0.25">
      <c r="D779" s="11"/>
    </row>
    <row r="780" spans="4:4" ht="15.75" customHeight="1" x14ac:dyDescent="0.25">
      <c r="D780" s="11"/>
    </row>
    <row r="781" spans="4:4" ht="15.75" customHeight="1" x14ac:dyDescent="0.25">
      <c r="D781" s="11"/>
    </row>
    <row r="782" spans="4:4" ht="15.75" customHeight="1" x14ac:dyDescent="0.25">
      <c r="D782" s="11"/>
    </row>
    <row r="783" spans="4:4" ht="15.75" customHeight="1" x14ac:dyDescent="0.25">
      <c r="D783" s="11"/>
    </row>
    <row r="784" spans="4:4" ht="15.75" customHeight="1" x14ac:dyDescent="0.25">
      <c r="D784" s="11"/>
    </row>
    <row r="785" spans="4:4" ht="15.75" customHeight="1" x14ac:dyDescent="0.25">
      <c r="D785" s="11"/>
    </row>
    <row r="786" spans="4:4" ht="15.75" customHeight="1" x14ac:dyDescent="0.25">
      <c r="D786" s="11"/>
    </row>
    <row r="787" spans="4:4" ht="15.75" customHeight="1" x14ac:dyDescent="0.25">
      <c r="D787" s="11"/>
    </row>
    <row r="788" spans="4:4" ht="15.75" customHeight="1" x14ac:dyDescent="0.25">
      <c r="D788" s="11"/>
    </row>
    <row r="789" spans="4:4" ht="15.75" customHeight="1" x14ac:dyDescent="0.25">
      <c r="D789" s="11"/>
    </row>
    <row r="790" spans="4:4" ht="15.75" customHeight="1" x14ac:dyDescent="0.25">
      <c r="D790" s="11"/>
    </row>
    <row r="791" spans="4:4" ht="15.75" customHeight="1" x14ac:dyDescent="0.25">
      <c r="D791" s="11"/>
    </row>
    <row r="792" spans="4:4" ht="15.75" customHeight="1" x14ac:dyDescent="0.25">
      <c r="D792" s="11"/>
    </row>
    <row r="793" spans="4:4" ht="15.75" customHeight="1" x14ac:dyDescent="0.25">
      <c r="D793" s="11"/>
    </row>
    <row r="794" spans="4:4" ht="15.75" customHeight="1" x14ac:dyDescent="0.25">
      <c r="D794" s="11"/>
    </row>
    <row r="795" spans="4:4" ht="15.75" customHeight="1" x14ac:dyDescent="0.25">
      <c r="D795" s="11"/>
    </row>
    <row r="796" spans="4:4" ht="15.75" customHeight="1" x14ac:dyDescent="0.25">
      <c r="D796" s="11"/>
    </row>
    <row r="797" spans="4:4" ht="15.75" customHeight="1" x14ac:dyDescent="0.25">
      <c r="D797" s="11"/>
    </row>
    <row r="798" spans="4:4" ht="15.75" customHeight="1" x14ac:dyDescent="0.25">
      <c r="D798" s="11"/>
    </row>
    <row r="799" spans="4:4" ht="15.75" customHeight="1" x14ac:dyDescent="0.25">
      <c r="D799" s="11"/>
    </row>
    <row r="800" spans="4:4" ht="15.75" customHeight="1" x14ac:dyDescent="0.25">
      <c r="D800" s="11"/>
    </row>
    <row r="801" spans="4:4" ht="15.75" customHeight="1" x14ac:dyDescent="0.25">
      <c r="D801" s="11"/>
    </row>
    <row r="802" spans="4:4" ht="15.75" customHeight="1" x14ac:dyDescent="0.25">
      <c r="D802" s="11"/>
    </row>
    <row r="803" spans="4:4" ht="15.75" customHeight="1" x14ac:dyDescent="0.25">
      <c r="D803" s="11"/>
    </row>
    <row r="804" spans="4:4" ht="15.75" customHeight="1" x14ac:dyDescent="0.25">
      <c r="D804" s="11"/>
    </row>
    <row r="805" spans="4:4" ht="15.75" customHeight="1" x14ac:dyDescent="0.25">
      <c r="D805" s="11"/>
    </row>
    <row r="806" spans="4:4" ht="15.75" customHeight="1" x14ac:dyDescent="0.25">
      <c r="D806" s="11"/>
    </row>
    <row r="807" spans="4:4" ht="15.75" customHeight="1" x14ac:dyDescent="0.25">
      <c r="D807" s="11"/>
    </row>
    <row r="808" spans="4:4" ht="15.75" customHeight="1" x14ac:dyDescent="0.25">
      <c r="D808" s="11"/>
    </row>
    <row r="809" spans="4:4" ht="15.75" customHeight="1" x14ac:dyDescent="0.25">
      <c r="D809" s="11"/>
    </row>
    <row r="810" spans="4:4" ht="15.75" customHeight="1" x14ac:dyDescent="0.25">
      <c r="D810" s="11"/>
    </row>
    <row r="811" spans="4:4" ht="15.75" customHeight="1" x14ac:dyDescent="0.25">
      <c r="D811" s="11"/>
    </row>
    <row r="812" spans="4:4" ht="15.75" customHeight="1" x14ac:dyDescent="0.25">
      <c r="D812" s="11"/>
    </row>
    <row r="813" spans="4:4" ht="15.75" customHeight="1" x14ac:dyDescent="0.25">
      <c r="D813" s="11"/>
    </row>
    <row r="814" spans="4:4" ht="15.75" customHeight="1" x14ac:dyDescent="0.25">
      <c r="D814" s="11"/>
    </row>
    <row r="815" spans="4:4" ht="15.75" customHeight="1" x14ac:dyDescent="0.25">
      <c r="D815" s="11"/>
    </row>
    <row r="816" spans="4:4" ht="15.75" customHeight="1" x14ac:dyDescent="0.25">
      <c r="D816" s="11"/>
    </row>
    <row r="817" spans="4:4" ht="15.75" customHeight="1" x14ac:dyDescent="0.25">
      <c r="D817" s="11"/>
    </row>
    <row r="818" spans="4:4" ht="15.75" customHeight="1" x14ac:dyDescent="0.25">
      <c r="D818" s="11"/>
    </row>
    <row r="819" spans="4:4" ht="15.75" customHeight="1" x14ac:dyDescent="0.25">
      <c r="D819" s="11"/>
    </row>
    <row r="820" spans="4:4" ht="15.75" customHeight="1" x14ac:dyDescent="0.25">
      <c r="D820" s="11"/>
    </row>
    <row r="821" spans="4:4" ht="15.75" customHeight="1" x14ac:dyDescent="0.25">
      <c r="D821" s="11"/>
    </row>
    <row r="822" spans="4:4" ht="15.75" customHeight="1" x14ac:dyDescent="0.25">
      <c r="D822" s="11"/>
    </row>
    <row r="823" spans="4:4" ht="15.75" customHeight="1" x14ac:dyDescent="0.25">
      <c r="D823" s="11"/>
    </row>
    <row r="824" spans="4:4" ht="15.75" customHeight="1" x14ac:dyDescent="0.25">
      <c r="D824" s="11"/>
    </row>
    <row r="825" spans="4:4" ht="15.75" customHeight="1" x14ac:dyDescent="0.25">
      <c r="D825" s="11"/>
    </row>
    <row r="826" spans="4:4" ht="15.75" customHeight="1" x14ac:dyDescent="0.25">
      <c r="D826" s="11"/>
    </row>
    <row r="827" spans="4:4" ht="15.75" customHeight="1" x14ac:dyDescent="0.25">
      <c r="D827" s="11"/>
    </row>
    <row r="828" spans="4:4" ht="15.75" customHeight="1" x14ac:dyDescent="0.25">
      <c r="D828" s="11"/>
    </row>
    <row r="829" spans="4:4" ht="15.75" customHeight="1" x14ac:dyDescent="0.25">
      <c r="D829" s="11"/>
    </row>
    <row r="830" spans="4:4" ht="15.75" customHeight="1" x14ac:dyDescent="0.25">
      <c r="D830" s="11"/>
    </row>
    <row r="831" spans="4:4" ht="15.75" customHeight="1" x14ac:dyDescent="0.25">
      <c r="D831" s="11"/>
    </row>
    <row r="832" spans="4:4" ht="15.75" customHeight="1" x14ac:dyDescent="0.25">
      <c r="D832" s="11"/>
    </row>
    <row r="833" spans="4:4" ht="15.75" customHeight="1" x14ac:dyDescent="0.25">
      <c r="D833" s="11"/>
    </row>
    <row r="834" spans="4:4" ht="15.75" customHeight="1" x14ac:dyDescent="0.25">
      <c r="D834" s="11"/>
    </row>
    <row r="835" spans="4:4" ht="15.75" customHeight="1" x14ac:dyDescent="0.25">
      <c r="D835" s="11"/>
    </row>
    <row r="836" spans="4:4" ht="15.75" customHeight="1" x14ac:dyDescent="0.25">
      <c r="D836" s="11"/>
    </row>
    <row r="837" spans="4:4" ht="15.75" customHeight="1" x14ac:dyDescent="0.25">
      <c r="D837" s="11"/>
    </row>
    <row r="838" spans="4:4" ht="15.75" customHeight="1" x14ac:dyDescent="0.25">
      <c r="D838" s="11"/>
    </row>
    <row r="839" spans="4:4" ht="15.75" customHeight="1" x14ac:dyDescent="0.25">
      <c r="D839" s="11"/>
    </row>
    <row r="840" spans="4:4" ht="15.75" customHeight="1" x14ac:dyDescent="0.25">
      <c r="D840" s="11"/>
    </row>
    <row r="841" spans="4:4" ht="15.75" customHeight="1" x14ac:dyDescent="0.25">
      <c r="D841" s="11"/>
    </row>
    <row r="842" spans="4:4" ht="15.75" customHeight="1" x14ac:dyDescent="0.25">
      <c r="D842" s="11"/>
    </row>
    <row r="843" spans="4:4" ht="15.75" customHeight="1" x14ac:dyDescent="0.25">
      <c r="D843" s="11"/>
    </row>
    <row r="844" spans="4:4" ht="15.75" customHeight="1" x14ac:dyDescent="0.25">
      <c r="D844" s="11"/>
    </row>
    <row r="845" spans="4:4" ht="15.75" customHeight="1" x14ac:dyDescent="0.25">
      <c r="D845" s="11"/>
    </row>
    <row r="846" spans="4:4" ht="15.75" customHeight="1" x14ac:dyDescent="0.25">
      <c r="D846" s="11"/>
    </row>
    <row r="847" spans="4:4" ht="15.75" customHeight="1" x14ac:dyDescent="0.25">
      <c r="D847" s="11"/>
    </row>
    <row r="848" spans="4:4" ht="15.75" customHeight="1" x14ac:dyDescent="0.25">
      <c r="D848" s="11"/>
    </row>
    <row r="849" spans="4:4" ht="15.75" customHeight="1" x14ac:dyDescent="0.25">
      <c r="D849" s="11"/>
    </row>
    <row r="850" spans="4:4" ht="15.75" customHeight="1" x14ac:dyDescent="0.25">
      <c r="D850" s="11"/>
    </row>
    <row r="851" spans="4:4" ht="15.75" customHeight="1" x14ac:dyDescent="0.25">
      <c r="D851" s="11"/>
    </row>
    <row r="852" spans="4:4" ht="15.75" customHeight="1" x14ac:dyDescent="0.25">
      <c r="D852" s="11"/>
    </row>
    <row r="853" spans="4:4" ht="15.75" customHeight="1" x14ac:dyDescent="0.25">
      <c r="D853" s="11"/>
    </row>
    <row r="854" spans="4:4" ht="15.75" customHeight="1" x14ac:dyDescent="0.25">
      <c r="D854" s="11"/>
    </row>
    <row r="855" spans="4:4" ht="15.75" customHeight="1" x14ac:dyDescent="0.25">
      <c r="D855" s="11"/>
    </row>
    <row r="856" spans="4:4" ht="15.75" customHeight="1" x14ac:dyDescent="0.25">
      <c r="D856" s="11"/>
    </row>
    <row r="857" spans="4:4" ht="15.75" customHeight="1" x14ac:dyDescent="0.25">
      <c r="D857" s="11"/>
    </row>
    <row r="858" spans="4:4" ht="15.75" customHeight="1" x14ac:dyDescent="0.25">
      <c r="D858" s="11"/>
    </row>
    <row r="859" spans="4:4" ht="15.75" customHeight="1" x14ac:dyDescent="0.25">
      <c r="D859" s="11"/>
    </row>
    <row r="860" spans="4:4" ht="15.75" customHeight="1" x14ac:dyDescent="0.25">
      <c r="D860" s="11"/>
    </row>
    <row r="861" spans="4:4" ht="15.75" customHeight="1" x14ac:dyDescent="0.25">
      <c r="D861" s="11"/>
    </row>
    <row r="862" spans="4:4" ht="15.75" customHeight="1" x14ac:dyDescent="0.25">
      <c r="D862" s="11"/>
    </row>
    <row r="863" spans="4:4" ht="15.75" customHeight="1" x14ac:dyDescent="0.25">
      <c r="D863" s="11"/>
    </row>
    <row r="864" spans="4:4" ht="15.75" customHeight="1" x14ac:dyDescent="0.25">
      <c r="D864" s="11"/>
    </row>
    <row r="865" spans="4:4" ht="15.75" customHeight="1" x14ac:dyDescent="0.25">
      <c r="D865" s="11"/>
    </row>
    <row r="866" spans="4:4" ht="15.75" customHeight="1" x14ac:dyDescent="0.25">
      <c r="D866" s="11"/>
    </row>
    <row r="867" spans="4:4" ht="15.75" customHeight="1" x14ac:dyDescent="0.25">
      <c r="D867" s="11"/>
    </row>
    <row r="868" spans="4:4" ht="15.75" customHeight="1" x14ac:dyDescent="0.25">
      <c r="D868" s="11"/>
    </row>
    <row r="869" spans="4:4" ht="15.75" customHeight="1" x14ac:dyDescent="0.25">
      <c r="D869" s="11"/>
    </row>
    <row r="870" spans="4:4" ht="15.75" customHeight="1" x14ac:dyDescent="0.25">
      <c r="D870" s="11"/>
    </row>
    <row r="871" spans="4:4" ht="15.75" customHeight="1" x14ac:dyDescent="0.25">
      <c r="D871" s="11"/>
    </row>
    <row r="872" spans="4:4" ht="15.75" customHeight="1" x14ac:dyDescent="0.25">
      <c r="D872" s="11"/>
    </row>
    <row r="873" spans="4:4" ht="15.75" customHeight="1" x14ac:dyDescent="0.25">
      <c r="D873" s="11"/>
    </row>
    <row r="874" spans="4:4" ht="15.75" customHeight="1" x14ac:dyDescent="0.25">
      <c r="D874" s="11"/>
    </row>
    <row r="875" spans="4:4" ht="15.75" customHeight="1" x14ac:dyDescent="0.25">
      <c r="D875" s="11"/>
    </row>
    <row r="876" spans="4:4" ht="15.75" customHeight="1" x14ac:dyDescent="0.25">
      <c r="D876" s="11"/>
    </row>
    <row r="877" spans="4:4" ht="15.75" customHeight="1" x14ac:dyDescent="0.25">
      <c r="D877" s="11"/>
    </row>
    <row r="878" spans="4:4" ht="15.75" customHeight="1" x14ac:dyDescent="0.25">
      <c r="D878" s="11"/>
    </row>
    <row r="879" spans="4:4" ht="15.75" customHeight="1" x14ac:dyDescent="0.25">
      <c r="D879" s="11"/>
    </row>
    <row r="880" spans="4:4" ht="15.75" customHeight="1" x14ac:dyDescent="0.25">
      <c r="D880" s="11"/>
    </row>
    <row r="881" spans="4:4" ht="15.75" customHeight="1" x14ac:dyDescent="0.25">
      <c r="D881" s="11"/>
    </row>
    <row r="882" spans="4:4" ht="15.75" customHeight="1" x14ac:dyDescent="0.25">
      <c r="D882" s="11"/>
    </row>
    <row r="883" spans="4:4" ht="15.75" customHeight="1" x14ac:dyDescent="0.25">
      <c r="D883" s="11"/>
    </row>
    <row r="884" spans="4:4" ht="15.75" customHeight="1" x14ac:dyDescent="0.25">
      <c r="D884" s="11"/>
    </row>
    <row r="885" spans="4:4" ht="15.75" customHeight="1" x14ac:dyDescent="0.25">
      <c r="D885" s="11"/>
    </row>
    <row r="886" spans="4:4" ht="15.75" customHeight="1" x14ac:dyDescent="0.25">
      <c r="D886" s="11"/>
    </row>
    <row r="887" spans="4:4" ht="15.75" customHeight="1" x14ac:dyDescent="0.25">
      <c r="D887" s="11"/>
    </row>
    <row r="888" spans="4:4" ht="15.75" customHeight="1" x14ac:dyDescent="0.25">
      <c r="D888" s="11"/>
    </row>
    <row r="889" spans="4:4" ht="15.75" customHeight="1" x14ac:dyDescent="0.25">
      <c r="D889" s="11"/>
    </row>
    <row r="890" spans="4:4" ht="15.75" customHeight="1" x14ac:dyDescent="0.25">
      <c r="D890" s="11"/>
    </row>
    <row r="891" spans="4:4" ht="15.75" customHeight="1" x14ac:dyDescent="0.25">
      <c r="D891" s="11"/>
    </row>
    <row r="892" spans="4:4" ht="15.75" customHeight="1" x14ac:dyDescent="0.25">
      <c r="D892" s="11"/>
    </row>
    <row r="893" spans="4:4" ht="15.75" customHeight="1" x14ac:dyDescent="0.25">
      <c r="D893" s="11"/>
    </row>
    <row r="894" spans="4:4" ht="15.75" customHeight="1" x14ac:dyDescent="0.25">
      <c r="D894" s="11"/>
    </row>
    <row r="895" spans="4:4" ht="15.75" customHeight="1" x14ac:dyDescent="0.25">
      <c r="D895" s="11"/>
    </row>
    <row r="896" spans="4:4" ht="15.75" customHeight="1" x14ac:dyDescent="0.25">
      <c r="D896" s="11"/>
    </row>
    <row r="897" spans="4:4" ht="15.75" customHeight="1" x14ac:dyDescent="0.25">
      <c r="D897" s="11"/>
    </row>
    <row r="898" spans="4:4" ht="15.75" customHeight="1" x14ac:dyDescent="0.25">
      <c r="D898" s="11"/>
    </row>
    <row r="899" spans="4:4" ht="15.75" customHeight="1" x14ac:dyDescent="0.25">
      <c r="D899" s="11"/>
    </row>
    <row r="900" spans="4:4" ht="15.75" customHeight="1" x14ac:dyDescent="0.25">
      <c r="D900" s="11"/>
    </row>
    <row r="901" spans="4:4" ht="15.75" customHeight="1" x14ac:dyDescent="0.25">
      <c r="D901" s="11"/>
    </row>
    <row r="902" spans="4:4" ht="15.75" customHeight="1" x14ac:dyDescent="0.25">
      <c r="D902" s="11"/>
    </row>
    <row r="903" spans="4:4" ht="15.75" customHeight="1" x14ac:dyDescent="0.25">
      <c r="D903" s="11"/>
    </row>
    <row r="904" spans="4:4" ht="15.75" customHeight="1" x14ac:dyDescent="0.25">
      <c r="D904" s="11"/>
    </row>
    <row r="905" spans="4:4" ht="15.75" customHeight="1" x14ac:dyDescent="0.25">
      <c r="D905" s="11"/>
    </row>
    <row r="906" spans="4:4" ht="15.75" customHeight="1" x14ac:dyDescent="0.25">
      <c r="D906" s="11"/>
    </row>
    <row r="907" spans="4:4" ht="15.75" customHeight="1" x14ac:dyDescent="0.25">
      <c r="D907" s="11"/>
    </row>
    <row r="908" spans="4:4" ht="15.75" customHeight="1" x14ac:dyDescent="0.25">
      <c r="D908" s="11"/>
    </row>
    <row r="909" spans="4:4" ht="15.75" customHeight="1" x14ac:dyDescent="0.25">
      <c r="D909" s="11"/>
    </row>
    <row r="910" spans="4:4" ht="15.75" customHeight="1" x14ac:dyDescent="0.25">
      <c r="D910" s="11"/>
    </row>
    <row r="911" spans="4:4" ht="15.75" customHeight="1" x14ac:dyDescent="0.25">
      <c r="D911" s="11"/>
    </row>
    <row r="912" spans="4:4" ht="15.75" customHeight="1" x14ac:dyDescent="0.25">
      <c r="D912" s="11"/>
    </row>
    <row r="913" spans="4:4" ht="15.75" customHeight="1" x14ac:dyDescent="0.25">
      <c r="D913" s="11"/>
    </row>
    <row r="914" spans="4:4" ht="15.75" customHeight="1" x14ac:dyDescent="0.25">
      <c r="D914" s="11"/>
    </row>
    <row r="915" spans="4:4" ht="15.75" customHeight="1" x14ac:dyDescent="0.25">
      <c r="D915" s="11"/>
    </row>
    <row r="916" spans="4:4" ht="15.75" customHeight="1" x14ac:dyDescent="0.25">
      <c r="D916" s="11"/>
    </row>
    <row r="917" spans="4:4" ht="15.75" customHeight="1" x14ac:dyDescent="0.25">
      <c r="D917" s="11"/>
    </row>
    <row r="918" spans="4:4" ht="15.75" customHeight="1" x14ac:dyDescent="0.25">
      <c r="D918" s="11"/>
    </row>
    <row r="919" spans="4:4" ht="15.75" customHeight="1" x14ac:dyDescent="0.25">
      <c r="D919" s="11"/>
    </row>
    <row r="920" spans="4:4" ht="15.75" customHeight="1" x14ac:dyDescent="0.25">
      <c r="D920" s="11"/>
    </row>
    <row r="921" spans="4:4" ht="15.75" customHeight="1" x14ac:dyDescent="0.25">
      <c r="D921" s="11"/>
    </row>
    <row r="922" spans="4:4" ht="15.75" customHeight="1" x14ac:dyDescent="0.25">
      <c r="D922" s="11"/>
    </row>
    <row r="923" spans="4:4" ht="15.75" customHeight="1" x14ac:dyDescent="0.25">
      <c r="D923" s="11"/>
    </row>
    <row r="924" spans="4:4" ht="15.75" customHeight="1" x14ac:dyDescent="0.25">
      <c r="D924" s="11"/>
    </row>
    <row r="925" spans="4:4" ht="15.75" customHeight="1" x14ac:dyDescent="0.25">
      <c r="D925" s="11"/>
    </row>
    <row r="926" spans="4:4" ht="15.75" customHeight="1" x14ac:dyDescent="0.25">
      <c r="D926" s="11"/>
    </row>
    <row r="927" spans="4:4" ht="15.75" customHeight="1" x14ac:dyDescent="0.25">
      <c r="D927" s="11"/>
    </row>
    <row r="928" spans="4:4" ht="15.75" customHeight="1" x14ac:dyDescent="0.25">
      <c r="D928" s="11"/>
    </row>
    <row r="929" spans="4:4" ht="15.75" customHeight="1" x14ac:dyDescent="0.25">
      <c r="D929" s="11"/>
    </row>
    <row r="930" spans="4:4" ht="15.75" customHeight="1" x14ac:dyDescent="0.25">
      <c r="D930" s="11"/>
    </row>
    <row r="931" spans="4:4" ht="15.75" customHeight="1" x14ac:dyDescent="0.25">
      <c r="D931" s="11"/>
    </row>
    <row r="932" spans="4:4" ht="15.75" customHeight="1" x14ac:dyDescent="0.25">
      <c r="D932" s="11"/>
    </row>
    <row r="933" spans="4:4" ht="15.75" customHeight="1" x14ac:dyDescent="0.25">
      <c r="D933" s="11"/>
    </row>
    <row r="934" spans="4:4" ht="15.75" customHeight="1" x14ac:dyDescent="0.25">
      <c r="D934" s="11"/>
    </row>
    <row r="935" spans="4:4" ht="15.75" customHeight="1" x14ac:dyDescent="0.25">
      <c r="D935" s="11"/>
    </row>
    <row r="936" spans="4:4" ht="15.75" customHeight="1" x14ac:dyDescent="0.25">
      <c r="D936" s="11"/>
    </row>
    <row r="937" spans="4:4" ht="15.75" customHeight="1" x14ac:dyDescent="0.25">
      <c r="D937" s="11"/>
    </row>
    <row r="938" spans="4:4" ht="15.75" customHeight="1" x14ac:dyDescent="0.25">
      <c r="D938" s="11"/>
    </row>
    <row r="939" spans="4:4" ht="15.75" customHeight="1" x14ac:dyDescent="0.25">
      <c r="D939" s="11"/>
    </row>
    <row r="940" spans="4:4" ht="15.75" customHeight="1" x14ac:dyDescent="0.25">
      <c r="D940" s="11"/>
    </row>
    <row r="941" spans="4:4" ht="15.75" customHeight="1" x14ac:dyDescent="0.25">
      <c r="D941" s="11"/>
    </row>
    <row r="942" spans="4:4" ht="15.75" customHeight="1" x14ac:dyDescent="0.25">
      <c r="D942" s="11"/>
    </row>
    <row r="943" spans="4:4" ht="15.75" customHeight="1" x14ac:dyDescent="0.25">
      <c r="D943" s="11"/>
    </row>
    <row r="944" spans="4:4" ht="15.75" customHeight="1" x14ac:dyDescent="0.25">
      <c r="D944" s="11"/>
    </row>
    <row r="945" spans="4:4" ht="15.75" customHeight="1" x14ac:dyDescent="0.25">
      <c r="D945" s="11"/>
    </row>
    <row r="946" spans="4:4" ht="15.75" customHeight="1" x14ac:dyDescent="0.25">
      <c r="D946" s="11"/>
    </row>
    <row r="947" spans="4:4" ht="15.75" customHeight="1" x14ac:dyDescent="0.25">
      <c r="D947" s="11"/>
    </row>
    <row r="948" spans="4:4" ht="15.75" customHeight="1" x14ac:dyDescent="0.25">
      <c r="D948" s="11"/>
    </row>
    <row r="949" spans="4:4" ht="15.75" customHeight="1" x14ac:dyDescent="0.25">
      <c r="D949" s="11"/>
    </row>
    <row r="950" spans="4:4" ht="15.75" customHeight="1" x14ac:dyDescent="0.25">
      <c r="D950" s="11"/>
    </row>
    <row r="951" spans="4:4" ht="15.75" customHeight="1" x14ac:dyDescent="0.25">
      <c r="D951" s="11"/>
    </row>
    <row r="952" spans="4:4" ht="15.75" customHeight="1" x14ac:dyDescent="0.25">
      <c r="D952" s="11"/>
    </row>
    <row r="953" spans="4:4" ht="15.75" customHeight="1" x14ac:dyDescent="0.25">
      <c r="D953" s="11"/>
    </row>
    <row r="954" spans="4:4" ht="15.75" customHeight="1" x14ac:dyDescent="0.25">
      <c r="D954" s="11"/>
    </row>
    <row r="955" spans="4:4" ht="15.75" customHeight="1" x14ac:dyDescent="0.25">
      <c r="D955" s="11"/>
    </row>
    <row r="956" spans="4:4" ht="15.75" customHeight="1" x14ac:dyDescent="0.25">
      <c r="D956" s="11"/>
    </row>
    <row r="957" spans="4:4" ht="15.75" customHeight="1" x14ac:dyDescent="0.25">
      <c r="D957" s="11"/>
    </row>
    <row r="958" spans="4:4" ht="15.75" customHeight="1" x14ac:dyDescent="0.25">
      <c r="D958" s="11"/>
    </row>
    <row r="959" spans="4:4" ht="15.75" customHeight="1" x14ac:dyDescent="0.25">
      <c r="D959" s="11"/>
    </row>
    <row r="960" spans="4:4" ht="15.75" customHeight="1" x14ac:dyDescent="0.25">
      <c r="D960" s="11"/>
    </row>
    <row r="961" spans="4:4" ht="15.75" customHeight="1" x14ac:dyDescent="0.25">
      <c r="D961" s="11"/>
    </row>
    <row r="962" spans="4:4" ht="15.75" customHeight="1" x14ac:dyDescent="0.25">
      <c r="D962" s="11"/>
    </row>
    <row r="963" spans="4:4" ht="15.75" customHeight="1" x14ac:dyDescent="0.25">
      <c r="D963" s="11"/>
    </row>
    <row r="964" spans="4:4" ht="15.75" customHeight="1" x14ac:dyDescent="0.25">
      <c r="D964" s="11"/>
    </row>
    <row r="965" spans="4:4" ht="15.75" customHeight="1" x14ac:dyDescent="0.25">
      <c r="D965" s="11"/>
    </row>
    <row r="966" spans="4:4" ht="15.75" customHeight="1" x14ac:dyDescent="0.25">
      <c r="D966" s="11"/>
    </row>
    <row r="967" spans="4:4" ht="15.75" customHeight="1" x14ac:dyDescent="0.25">
      <c r="D967" s="11"/>
    </row>
    <row r="968" spans="4:4" ht="15.75" customHeight="1" x14ac:dyDescent="0.25">
      <c r="D968" s="11"/>
    </row>
    <row r="969" spans="4:4" ht="15.75" customHeight="1" x14ac:dyDescent="0.25">
      <c r="D969" s="11"/>
    </row>
    <row r="970" spans="4:4" ht="15.75" customHeight="1" x14ac:dyDescent="0.25">
      <c r="D970" s="11"/>
    </row>
    <row r="971" spans="4:4" ht="15.75" customHeight="1" x14ac:dyDescent="0.25">
      <c r="D971" s="11"/>
    </row>
    <row r="972" spans="4:4" ht="15.75" customHeight="1" x14ac:dyDescent="0.25">
      <c r="D972" s="11"/>
    </row>
    <row r="973" spans="4:4" ht="15.75" customHeight="1" x14ac:dyDescent="0.25">
      <c r="D973" s="11"/>
    </row>
    <row r="974" spans="4:4" ht="15.75" customHeight="1" x14ac:dyDescent="0.25">
      <c r="D974" s="11"/>
    </row>
    <row r="975" spans="4:4" ht="15.75" customHeight="1" x14ac:dyDescent="0.25">
      <c r="D975" s="11"/>
    </row>
    <row r="976" spans="4:4" ht="15.75" customHeight="1" x14ac:dyDescent="0.25">
      <c r="D976" s="11"/>
    </row>
    <row r="977" spans="4:4" ht="15.75" customHeight="1" x14ac:dyDescent="0.25">
      <c r="D977" s="11"/>
    </row>
    <row r="978" spans="4:4" ht="15.75" customHeight="1" x14ac:dyDescent="0.25">
      <c r="D978" s="11"/>
    </row>
    <row r="979" spans="4:4" ht="15.75" customHeight="1" x14ac:dyDescent="0.25">
      <c r="D979" s="11"/>
    </row>
    <row r="980" spans="4:4" ht="15.75" customHeight="1" x14ac:dyDescent="0.25">
      <c r="D980" s="11"/>
    </row>
    <row r="981" spans="4:4" ht="15.75" customHeight="1" x14ac:dyDescent="0.25">
      <c r="D981" s="11"/>
    </row>
    <row r="982" spans="4:4" ht="15.75" customHeight="1" x14ac:dyDescent="0.25">
      <c r="D982" s="11"/>
    </row>
    <row r="983" spans="4:4" ht="15.75" customHeight="1" x14ac:dyDescent="0.25">
      <c r="D983" s="11"/>
    </row>
    <row r="984" spans="4:4" ht="15.75" customHeight="1" x14ac:dyDescent="0.25">
      <c r="D984" s="11"/>
    </row>
    <row r="985" spans="4:4" ht="15.75" customHeight="1" x14ac:dyDescent="0.25">
      <c r="D985" s="11"/>
    </row>
    <row r="986" spans="4:4" ht="15.75" customHeight="1" x14ac:dyDescent="0.25">
      <c r="D986" s="11"/>
    </row>
    <row r="987" spans="4:4" ht="15.75" customHeight="1" x14ac:dyDescent="0.25">
      <c r="D987" s="11"/>
    </row>
    <row r="988" spans="4:4" ht="15.75" customHeight="1" x14ac:dyDescent="0.25">
      <c r="D988" s="11"/>
    </row>
    <row r="989" spans="4:4" ht="15.75" customHeight="1" x14ac:dyDescent="0.25">
      <c r="D989" s="11"/>
    </row>
    <row r="990" spans="4:4" ht="15.75" customHeight="1" x14ac:dyDescent="0.25">
      <c r="D990" s="11"/>
    </row>
    <row r="991" spans="4:4" ht="15.75" customHeight="1" x14ac:dyDescent="0.25">
      <c r="D991" s="11"/>
    </row>
    <row r="992" spans="4:4" ht="15.75" customHeight="1" x14ac:dyDescent="0.25">
      <c r="D992" s="11"/>
    </row>
    <row r="993" spans="4:4" ht="15.75" customHeight="1" x14ac:dyDescent="0.25">
      <c r="D993" s="11"/>
    </row>
    <row r="994" spans="4:4" ht="15.75" customHeight="1" x14ac:dyDescent="0.25">
      <c r="D994" s="11"/>
    </row>
    <row r="995" spans="4:4" ht="15.75" customHeight="1" x14ac:dyDescent="0.25">
      <c r="D995" s="11"/>
    </row>
    <row r="996" spans="4:4" ht="15.75" customHeight="1" x14ac:dyDescent="0.25">
      <c r="D996" s="11"/>
    </row>
    <row r="997" spans="4:4" ht="15.75" customHeight="1" x14ac:dyDescent="0.25">
      <c r="D997" s="11"/>
    </row>
    <row r="998" spans="4:4" ht="15.75" customHeight="1" x14ac:dyDescent="0.25">
      <c r="D998" s="11"/>
    </row>
    <row r="999" spans="4:4" ht="15.75" customHeight="1" x14ac:dyDescent="0.25">
      <c r="D999" s="11"/>
    </row>
    <row r="1000" spans="4:4" ht="15.75" customHeight="1" x14ac:dyDescent="0.25">
      <c r="D1000" s="11"/>
    </row>
  </sheetData>
  <mergeCells count="2">
    <mergeCell ref="A3:B3"/>
    <mergeCell ref="A4:C4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0"/>
  <sheetViews>
    <sheetView workbookViewId="0">
      <selection activeCell="F38" sqref="F38"/>
    </sheetView>
  </sheetViews>
  <sheetFormatPr defaultColWidth="14.42578125" defaultRowHeight="15" customHeight="1" x14ac:dyDescent="0.25"/>
  <cols>
    <col min="1" max="1" width="6" customWidth="1"/>
    <col min="2" max="3" width="2" customWidth="1"/>
    <col min="4" max="4" width="2.28515625" customWidth="1"/>
    <col min="5" max="6" width="14.140625" customWidth="1"/>
    <col min="7" max="7" width="15.140625" customWidth="1"/>
    <col min="8" max="8" width="9" customWidth="1"/>
    <col min="9" max="9" width="1.28515625" customWidth="1"/>
    <col min="10" max="12" width="14.140625" customWidth="1"/>
    <col min="13" max="13" width="9" customWidth="1"/>
    <col min="14" max="14" width="1.28515625" customWidth="1"/>
    <col min="15" max="16" width="13.140625" customWidth="1"/>
    <col min="17" max="17" width="14.140625" customWidth="1"/>
    <col min="18" max="18" width="8" customWidth="1"/>
    <col min="19" max="19" width="1.28515625" customWidth="1"/>
    <col min="20" max="20" width="14.140625" customWidth="1"/>
  </cols>
  <sheetData>
    <row r="1" spans="1:20" ht="11.25" customHeight="1" x14ac:dyDescent="0.25">
      <c r="A1" s="185" t="s">
        <v>224</v>
      </c>
      <c r="B1" s="186" t="s">
        <v>225</v>
      </c>
      <c r="C1" s="187" t="s">
        <v>226</v>
      </c>
      <c r="D1" s="188"/>
      <c r="E1" s="189" t="s">
        <v>227</v>
      </c>
      <c r="F1" s="190" t="s">
        <v>228</v>
      </c>
      <c r="G1" s="191" t="s">
        <v>229</v>
      </c>
      <c r="H1" s="192" t="s">
        <v>230</v>
      </c>
      <c r="I1" s="193"/>
      <c r="J1" s="194" t="s">
        <v>231</v>
      </c>
      <c r="K1" s="195" t="s">
        <v>232</v>
      </c>
      <c r="L1" s="196" t="s">
        <v>229</v>
      </c>
      <c r="M1" s="197" t="s">
        <v>233</v>
      </c>
      <c r="N1" s="198"/>
      <c r="O1" s="199" t="s">
        <v>234</v>
      </c>
      <c r="P1" s="200" t="s">
        <v>235</v>
      </c>
      <c r="Q1" s="201" t="s">
        <v>229</v>
      </c>
      <c r="R1" s="198"/>
      <c r="S1" s="193"/>
      <c r="T1" s="198"/>
    </row>
    <row r="2" spans="1:20" ht="11.25" customHeight="1" x14ac:dyDescent="0.25">
      <c r="A2" s="202" t="s">
        <v>236</v>
      </c>
      <c r="B2" s="203">
        <v>2</v>
      </c>
      <c r="C2" s="204">
        <v>2</v>
      </c>
      <c r="D2" s="188" t="s">
        <v>287</v>
      </c>
      <c r="E2" s="205">
        <f>(B2*'Proposed Budget'!$O$68)+(C2*'Proposed Budget'!$O$44)+'Proposed Budget'!$L$21+'Proposed Budget'!$L$22</f>
        <v>16719.636254326666</v>
      </c>
      <c r="F2" s="206">
        <f>SUM('Monthly Breakdown'!I49:I52)</f>
        <v>15639.36</v>
      </c>
      <c r="G2" s="207">
        <f t="shared" ref="G2:G13" si="0">F2-E2</f>
        <v>-1080.2762543266654</v>
      </c>
      <c r="H2" s="208">
        <f t="shared" ref="H2:H13" si="1">((F2-E2)/E2)</f>
        <v>-6.4611229448673813E-2</v>
      </c>
      <c r="I2" s="198"/>
      <c r="J2" s="209">
        <f t="shared" ref="J2:K2" si="2">SUM(O20,E20,J20)</f>
        <v>13000</v>
      </c>
      <c r="K2" s="210">
        <f t="shared" si="2"/>
        <v>12394.720000000001</v>
      </c>
      <c r="L2" s="211">
        <f t="shared" ref="L2:L13" si="3">J2-K2</f>
        <v>605.27999999999884</v>
      </c>
      <c r="M2" s="212">
        <f t="shared" ref="M2:M13" si="4">((K2-J2)/J2)</f>
        <v>-4.6559999999999907E-2</v>
      </c>
      <c r="N2" s="198"/>
      <c r="O2" s="213">
        <f t="shared" ref="O2:O13" si="5">E2-O20-E20-J20</f>
        <v>3719.6362543266659</v>
      </c>
      <c r="P2" s="214">
        <f>SUM('Monthly Breakdown'!I45:I46)</f>
        <v>3244.64</v>
      </c>
      <c r="Q2" s="215">
        <f t="shared" ref="Q2:Q13" si="6">P2-O2</f>
        <v>-474.99625432666608</v>
      </c>
      <c r="R2" s="198"/>
      <c r="S2" s="198"/>
      <c r="T2" s="198">
        <f t="shared" ref="T2:T13" si="7">F2-K2-P2</f>
        <v>0</v>
      </c>
    </row>
    <row r="3" spans="1:20" ht="11.25" customHeight="1" x14ac:dyDescent="0.25">
      <c r="A3" s="202" t="s">
        <v>237</v>
      </c>
      <c r="B3" s="203">
        <v>2</v>
      </c>
      <c r="C3" s="204">
        <v>2</v>
      </c>
      <c r="D3" s="188" t="s">
        <v>287</v>
      </c>
      <c r="E3" s="205">
        <f>(B3*'Proposed Budget'!$O$68)+(C3*'Proposed Budget'!$O$44)+'Proposed Budget'!$L$21+'Proposed Budget'!$L$22</f>
        <v>16719.636254326666</v>
      </c>
      <c r="F3" s="206">
        <f>SUM('Monthly Breakdown'!K49:K52)</f>
        <v>16615.62</v>
      </c>
      <c r="G3" s="207">
        <f t="shared" si="0"/>
        <v>-104.01625432666697</v>
      </c>
      <c r="H3" s="208">
        <f t="shared" si="1"/>
        <v>-6.221203185550756E-3</v>
      </c>
      <c r="I3" s="198"/>
      <c r="J3" s="209">
        <f t="shared" ref="J3:K3" si="8">SUM(O21,E21,J21)</f>
        <v>13000</v>
      </c>
      <c r="K3" s="210">
        <f t="shared" si="8"/>
        <v>12800.71</v>
      </c>
      <c r="L3" s="211">
        <f t="shared" si="3"/>
        <v>199.29000000000087</v>
      </c>
      <c r="M3" s="212">
        <f t="shared" si="4"/>
        <v>-1.5330000000000068E-2</v>
      </c>
      <c r="N3" s="198"/>
      <c r="O3" s="213">
        <f t="shared" si="5"/>
        <v>3719.6362543266659</v>
      </c>
      <c r="P3" s="214">
        <f>SUM('Monthly Breakdown'!K45:K46)</f>
        <v>3814.91</v>
      </c>
      <c r="Q3" s="215">
        <f t="shared" si="6"/>
        <v>95.273745673333906</v>
      </c>
      <c r="R3" s="198"/>
      <c r="S3" s="198"/>
      <c r="T3" s="198">
        <f t="shared" si="7"/>
        <v>0</v>
      </c>
    </row>
    <row r="4" spans="1:20" ht="11.25" customHeight="1" x14ac:dyDescent="0.25">
      <c r="A4" s="202" t="s">
        <v>238</v>
      </c>
      <c r="B4" s="203">
        <v>2</v>
      </c>
      <c r="C4" s="204">
        <v>2</v>
      </c>
      <c r="D4" s="188" t="s">
        <v>287</v>
      </c>
      <c r="E4" s="205">
        <f>(B4*'Proposed Budget'!$O$68)+(C4*'Proposed Budget'!$O$44)+'Proposed Budget'!$L$21+'Proposed Budget'!$L$22</f>
        <v>16719.636254326666</v>
      </c>
      <c r="F4" s="206">
        <f>SUM('Monthly Breakdown'!M49:M52)</f>
        <v>16971.29</v>
      </c>
      <c r="G4" s="207">
        <f t="shared" si="0"/>
        <v>251.65374567333492</v>
      </c>
      <c r="H4" s="208">
        <f t="shared" si="1"/>
        <v>1.5051388788928503E-2</v>
      </c>
      <c r="I4" s="198"/>
      <c r="J4" s="209">
        <f t="shared" ref="J4:K4" si="9">SUM(O22,E22,J22)</f>
        <v>13000</v>
      </c>
      <c r="K4" s="210">
        <f t="shared" si="9"/>
        <v>12611.71</v>
      </c>
      <c r="L4" s="211">
        <f t="shared" si="3"/>
        <v>388.29000000000087</v>
      </c>
      <c r="M4" s="212">
        <f t="shared" si="4"/>
        <v>-2.9868461538461604E-2</v>
      </c>
      <c r="N4" s="198"/>
      <c r="O4" s="213">
        <f t="shared" si="5"/>
        <v>3719.6362543266659</v>
      </c>
      <c r="P4" s="214">
        <f>SUM('Monthly Breakdown'!M45:M46)</f>
        <v>4359.58</v>
      </c>
      <c r="Q4" s="215">
        <f t="shared" si="6"/>
        <v>639.94374567333398</v>
      </c>
      <c r="R4" s="198"/>
      <c r="S4" s="198"/>
      <c r="T4" s="198">
        <f t="shared" si="7"/>
        <v>0</v>
      </c>
    </row>
    <row r="5" spans="1:20" ht="11.25" customHeight="1" x14ac:dyDescent="0.25">
      <c r="A5" s="202" t="s">
        <v>239</v>
      </c>
      <c r="B5" s="203">
        <v>2</v>
      </c>
      <c r="C5" s="204">
        <v>3</v>
      </c>
      <c r="D5" s="188" t="s">
        <v>287</v>
      </c>
      <c r="E5" s="205">
        <f>(B5*'Proposed Budget'!$O$68)+(C5*'Proposed Budget'!$O$44)+'Proposed Budget'!$L$21+'Proposed Budget'!$L$22</f>
        <v>19483.419759326665</v>
      </c>
      <c r="F5" s="206">
        <f>SUM('Monthly Breakdown'!O49:O52)</f>
        <v>18875.669999999998</v>
      </c>
      <c r="G5" s="207">
        <f t="shared" si="0"/>
        <v>-607.74975932666712</v>
      </c>
      <c r="H5" s="208">
        <f t="shared" si="1"/>
        <v>-3.1193176908059932E-2</v>
      </c>
      <c r="I5" s="198"/>
      <c r="J5" s="209">
        <f t="shared" ref="J5:K5" si="10">SUM(O23,E23,J23)</f>
        <v>13000</v>
      </c>
      <c r="K5" s="210">
        <f t="shared" si="10"/>
        <v>13208.85</v>
      </c>
      <c r="L5" s="211">
        <f t="shared" si="3"/>
        <v>-208.85000000000036</v>
      </c>
      <c r="M5" s="212">
        <f t="shared" si="4"/>
        <v>1.6065384615384645E-2</v>
      </c>
      <c r="N5" s="198"/>
      <c r="O5" s="213">
        <f t="shared" si="5"/>
        <v>6483.4197593266654</v>
      </c>
      <c r="P5" s="214">
        <f>SUM('Monthly Breakdown'!O45:O46)</f>
        <v>5666.82</v>
      </c>
      <c r="Q5" s="215">
        <f t="shared" si="6"/>
        <v>-816.59975932666566</v>
      </c>
      <c r="R5" s="198"/>
      <c r="S5" s="198"/>
      <c r="T5" s="198">
        <f t="shared" si="7"/>
        <v>0</v>
      </c>
    </row>
    <row r="6" spans="1:20" ht="11.25" customHeight="1" x14ac:dyDescent="0.25">
      <c r="A6" s="202" t="s">
        <v>240</v>
      </c>
      <c r="B6" s="203">
        <v>2</v>
      </c>
      <c r="C6" s="204">
        <v>2</v>
      </c>
      <c r="D6" s="188" t="s">
        <v>287</v>
      </c>
      <c r="E6" s="205">
        <f>(B6*'Proposed Budget'!$O$68)+(C6*'Proposed Budget'!$O$44)+'Proposed Budget'!$L$21+'Proposed Budget'!$L$22</f>
        <v>16719.636254326666</v>
      </c>
      <c r="F6" s="206">
        <f>SUM('Monthly Breakdown'!Q49:Q52)</f>
        <v>14973.2</v>
      </c>
      <c r="G6" s="207">
        <f t="shared" si="0"/>
        <v>-1746.4362543266652</v>
      </c>
      <c r="H6" s="208">
        <f t="shared" si="1"/>
        <v>-0.10445420150062934</v>
      </c>
      <c r="I6" s="198"/>
      <c r="J6" s="209">
        <f t="shared" ref="J6:K6" si="11">SUM(O24,E24,J24)</f>
        <v>13000</v>
      </c>
      <c r="K6" s="210">
        <f t="shared" si="11"/>
        <v>13762.84</v>
      </c>
      <c r="L6" s="211">
        <f t="shared" si="3"/>
        <v>-762.84000000000015</v>
      </c>
      <c r="M6" s="212">
        <f t="shared" si="4"/>
        <v>5.868000000000001E-2</v>
      </c>
      <c r="N6" s="198"/>
      <c r="O6" s="213">
        <f t="shared" si="5"/>
        <v>3719.6362543266659</v>
      </c>
      <c r="P6" s="214">
        <f>SUM('Monthly Breakdown'!Q45:Q46)</f>
        <v>1210.3599999999999</v>
      </c>
      <c r="Q6" s="215">
        <f t="shared" si="6"/>
        <v>-2509.2762543266663</v>
      </c>
      <c r="R6" s="198"/>
      <c r="S6" s="198"/>
      <c r="T6" s="198">
        <f t="shared" si="7"/>
        <v>0</v>
      </c>
    </row>
    <row r="7" spans="1:20" ht="11.25" customHeight="1" x14ac:dyDescent="0.25">
      <c r="A7" s="202" t="s">
        <v>241</v>
      </c>
      <c r="B7" s="203">
        <v>2</v>
      </c>
      <c r="C7" s="204">
        <v>2</v>
      </c>
      <c r="D7" s="188" t="s">
        <v>287</v>
      </c>
      <c r="E7" s="205">
        <f>(B7*'Proposed Budget'!$O$68)+(C7*'Proposed Budget'!$O$44)+'Proposed Budget'!$L$21+'Proposed Budget'!$L$22</f>
        <v>16719.636254326666</v>
      </c>
      <c r="F7" s="206">
        <f>SUM('Monthly Breakdown'!S49:S52)</f>
        <v>17750.78</v>
      </c>
      <c r="G7" s="207">
        <f t="shared" si="0"/>
        <v>1031.1437456733329</v>
      </c>
      <c r="H7" s="208">
        <f t="shared" si="1"/>
        <v>6.1672618350563459E-2</v>
      </c>
      <c r="I7" s="198"/>
      <c r="J7" s="209">
        <f t="shared" ref="J7:K7" si="12">SUM(O25,E25,J25)</f>
        <v>13000</v>
      </c>
      <c r="K7" s="210">
        <f t="shared" si="12"/>
        <v>11213.62</v>
      </c>
      <c r="L7" s="211">
        <f t="shared" si="3"/>
        <v>1786.3799999999992</v>
      </c>
      <c r="M7" s="212">
        <f t="shared" si="4"/>
        <v>-0.13741384615384608</v>
      </c>
      <c r="N7" s="198"/>
      <c r="O7" s="213">
        <f t="shared" si="5"/>
        <v>3719.6362543266659</v>
      </c>
      <c r="P7" s="214">
        <f>SUM('Monthly Breakdown'!S45:S46)</f>
        <v>6537.16</v>
      </c>
      <c r="Q7" s="215">
        <f t="shared" si="6"/>
        <v>2817.5237456733339</v>
      </c>
      <c r="R7" s="198"/>
      <c r="S7" s="198"/>
      <c r="T7" s="198">
        <f t="shared" si="7"/>
        <v>0</v>
      </c>
    </row>
    <row r="8" spans="1:20" ht="11.25" customHeight="1" x14ac:dyDescent="0.25">
      <c r="A8" s="202" t="s">
        <v>242</v>
      </c>
      <c r="B8" s="203">
        <v>2</v>
      </c>
      <c r="C8" s="204">
        <v>2</v>
      </c>
      <c r="D8" s="188" t="s">
        <v>287</v>
      </c>
      <c r="E8" s="205">
        <f>(B8*'Proposed Budget'!$O$68)+(C8*'Proposed Budget'!$O$44)+'Proposed Budget'!$L$21+'Proposed Budget'!$L$22</f>
        <v>16719.636254326666</v>
      </c>
      <c r="F8" s="206">
        <f>SUM('Monthly Breakdown'!U49:U52)</f>
        <v>20061.940000000002</v>
      </c>
      <c r="G8" s="207">
        <f t="shared" si="0"/>
        <v>3342.3037456733364</v>
      </c>
      <c r="H8" s="208">
        <f t="shared" si="1"/>
        <v>0.19990289829471758</v>
      </c>
      <c r="I8" s="198"/>
      <c r="J8" s="209">
        <f t="shared" ref="J8:K8" si="13">SUM(O26,E26,J26)</f>
        <v>13000</v>
      </c>
      <c r="K8" s="210">
        <f t="shared" si="13"/>
        <v>11265.67</v>
      </c>
      <c r="L8" s="211">
        <f t="shared" si="3"/>
        <v>1734.33</v>
      </c>
      <c r="M8" s="212">
        <f t="shared" si="4"/>
        <v>-0.13341</v>
      </c>
      <c r="N8" s="198"/>
      <c r="O8" s="213">
        <f t="shared" si="5"/>
        <v>3719.6362543266659</v>
      </c>
      <c r="P8" s="214">
        <f>SUM('Monthly Breakdown'!U45:U46)</f>
        <v>8796.27</v>
      </c>
      <c r="Q8" s="215">
        <f t="shared" si="6"/>
        <v>5076.6337456733345</v>
      </c>
      <c r="R8" s="198"/>
      <c r="S8" s="198"/>
      <c r="T8" s="198">
        <f t="shared" si="7"/>
        <v>0</v>
      </c>
    </row>
    <row r="9" spans="1:20" ht="11.25" customHeight="1" x14ac:dyDescent="0.25">
      <c r="A9" s="202" t="s">
        <v>243</v>
      </c>
      <c r="B9" s="203">
        <v>2</v>
      </c>
      <c r="C9" s="204">
        <v>2</v>
      </c>
      <c r="D9" s="188" t="s">
        <v>287</v>
      </c>
      <c r="E9" s="205">
        <f>(B9*'Proposed Budget'!$O$68)+(C9*'Proposed Budget'!$O$44)+'Proposed Budget'!$L$21+'Proposed Budget'!$L$22</f>
        <v>16719.636254326666</v>
      </c>
      <c r="F9" s="206">
        <f>SUM('Monthly Breakdown'!W49:W52)</f>
        <v>17483.150000000001</v>
      </c>
      <c r="G9" s="207">
        <f t="shared" si="0"/>
        <v>763.51374567333551</v>
      </c>
      <c r="H9" s="208">
        <f t="shared" si="1"/>
        <v>4.5665691170509483E-2</v>
      </c>
      <c r="I9" s="198"/>
      <c r="J9" s="209">
        <f t="shared" ref="J9:K9" si="14">SUM(O27,E27,J27)</f>
        <v>13000</v>
      </c>
      <c r="K9" s="210">
        <f t="shared" si="14"/>
        <v>10638.77</v>
      </c>
      <c r="L9" s="211">
        <f t="shared" si="3"/>
        <v>2361.2299999999996</v>
      </c>
      <c r="M9" s="212">
        <f t="shared" si="4"/>
        <v>-0.1816330769230769</v>
      </c>
      <c r="N9" s="198"/>
      <c r="O9" s="213">
        <f t="shared" si="5"/>
        <v>3719.6362543266659</v>
      </c>
      <c r="P9" s="214">
        <f>SUM('Monthly Breakdown'!W45:W46)</f>
        <v>6844.38</v>
      </c>
      <c r="Q9" s="215">
        <f t="shared" si="6"/>
        <v>3124.7437456733342</v>
      </c>
      <c r="R9" s="198"/>
      <c r="S9" s="198"/>
      <c r="T9" s="198">
        <f t="shared" si="7"/>
        <v>0</v>
      </c>
    </row>
    <row r="10" spans="1:20" ht="11.25" customHeight="1" x14ac:dyDescent="0.25">
      <c r="A10" s="216" t="s">
        <v>244</v>
      </c>
      <c r="B10" s="203">
        <v>2</v>
      </c>
      <c r="C10" s="204">
        <v>2</v>
      </c>
      <c r="D10" s="188" t="s">
        <v>287</v>
      </c>
      <c r="E10" s="205">
        <f>(B10*'Proposed Budget'!$O$68)+(C10*'Proposed Budget'!$O$44)+'Proposed Budget'!$L$21+'Proposed Budget'!$L$22</f>
        <v>16719.636254326666</v>
      </c>
      <c r="F10" s="206">
        <f>SUM('Monthly Breakdown'!Y49:Y52)</f>
        <v>14978.640000000001</v>
      </c>
      <c r="G10" s="207">
        <f t="shared" si="0"/>
        <v>-1740.9962543266647</v>
      </c>
      <c r="H10" s="208">
        <f t="shared" si="1"/>
        <v>-0.10412883557057852</v>
      </c>
      <c r="I10" s="198"/>
      <c r="J10" s="209">
        <f t="shared" ref="J10:K10" si="15">SUM(O28,E28,J28)</f>
        <v>13000</v>
      </c>
      <c r="K10" s="210">
        <f t="shared" si="15"/>
        <v>12159.939999999999</v>
      </c>
      <c r="L10" s="211">
        <f t="shared" si="3"/>
        <v>840.06000000000131</v>
      </c>
      <c r="M10" s="212">
        <f t="shared" si="4"/>
        <v>-6.4620000000000094E-2</v>
      </c>
      <c r="N10" s="198"/>
      <c r="O10" s="213">
        <f t="shared" si="5"/>
        <v>3719.6362543266659</v>
      </c>
      <c r="P10" s="214">
        <f>SUM('Monthly Breakdown'!Y45:Y46)</f>
        <v>2818.7</v>
      </c>
      <c r="Q10" s="215">
        <f t="shared" si="6"/>
        <v>-900.93625432666613</v>
      </c>
      <c r="R10" s="198"/>
      <c r="S10" s="198"/>
      <c r="T10" s="198">
        <f t="shared" si="7"/>
        <v>0</v>
      </c>
    </row>
    <row r="11" spans="1:20" ht="11.25" customHeight="1" x14ac:dyDescent="0.25">
      <c r="A11" s="216" t="s">
        <v>245</v>
      </c>
      <c r="B11" s="203">
        <v>2</v>
      </c>
      <c r="C11" s="204">
        <v>3</v>
      </c>
      <c r="D11" s="188"/>
      <c r="E11" s="205">
        <f>(B11*'Proposed Budget'!$O$68)+(C11*'Proposed Budget'!$O$44)+'Proposed Budget'!$L$21+'Proposed Budget'!$L$22</f>
        <v>19483.419759326665</v>
      </c>
      <c r="F11" s="206">
        <f>SUM('Monthly Breakdown'!AA49:AA52)</f>
        <v>15801.11</v>
      </c>
      <c r="G11" s="207">
        <f t="shared" si="0"/>
        <v>-3682.3097593266648</v>
      </c>
      <c r="H11" s="208">
        <f t="shared" si="1"/>
        <v>-0.18899709623942954</v>
      </c>
      <c r="I11" s="198"/>
      <c r="J11" s="209">
        <f t="shared" ref="J11:K11" si="16">SUM(O29,E29,J29)</f>
        <v>13000</v>
      </c>
      <c r="K11" s="210">
        <f t="shared" si="16"/>
        <v>10707.460000000003</v>
      </c>
      <c r="L11" s="211">
        <f t="shared" si="3"/>
        <v>2292.5399999999972</v>
      </c>
      <c r="M11" s="212">
        <f t="shared" si="4"/>
        <v>-0.17634923076923056</v>
      </c>
      <c r="N11" s="198"/>
      <c r="O11" s="213">
        <f t="shared" si="5"/>
        <v>6483.4197593266654</v>
      </c>
      <c r="P11" s="214">
        <f>SUM('Monthly Breakdown'!AA45:AA46)</f>
        <v>50</v>
      </c>
      <c r="Q11" s="215">
        <f t="shared" si="6"/>
        <v>-6433.4197593266654</v>
      </c>
      <c r="R11" s="198"/>
      <c r="S11" s="198"/>
      <c r="T11" s="198">
        <f t="shared" si="7"/>
        <v>5043.6499999999978</v>
      </c>
    </row>
    <row r="12" spans="1:20" ht="11.25" customHeight="1" x14ac:dyDescent="0.25">
      <c r="A12" s="216" t="s">
        <v>246</v>
      </c>
      <c r="B12" s="203">
        <v>2</v>
      </c>
      <c r="C12" s="204">
        <v>2</v>
      </c>
      <c r="D12" s="188"/>
      <c r="E12" s="205">
        <f>(B12*'Proposed Budget'!$O$68)+(C12*'Proposed Budget'!$O$44)+'Proposed Budget'!$L$21+'Proposed Budget'!$L$22</f>
        <v>16719.636254326666</v>
      </c>
      <c r="F12" s="206">
        <f>SUM('Monthly Breakdown'!AC49:AC52)</f>
        <v>0</v>
      </c>
      <c r="G12" s="207">
        <f t="shared" si="0"/>
        <v>-16719.636254326666</v>
      </c>
      <c r="H12" s="208">
        <f t="shared" si="1"/>
        <v>-1</v>
      </c>
      <c r="I12" s="198"/>
      <c r="J12" s="209">
        <f t="shared" ref="J12:K12" si="17">SUM(O30,E30,J30)</f>
        <v>13000</v>
      </c>
      <c r="K12" s="210">
        <f t="shared" si="17"/>
        <v>0</v>
      </c>
      <c r="L12" s="211">
        <f t="shared" si="3"/>
        <v>13000</v>
      </c>
      <c r="M12" s="212">
        <f t="shared" si="4"/>
        <v>-1</v>
      </c>
      <c r="N12" s="198"/>
      <c r="O12" s="213">
        <f t="shared" si="5"/>
        <v>3719.6362543266659</v>
      </c>
      <c r="P12" s="214">
        <f>SUM('Monthly Breakdown'!AC45:AC46)</f>
        <v>0</v>
      </c>
      <c r="Q12" s="215">
        <f t="shared" si="6"/>
        <v>-3719.6362543266659</v>
      </c>
      <c r="R12" s="198"/>
      <c r="S12" s="198"/>
      <c r="T12" s="198">
        <f t="shared" si="7"/>
        <v>0</v>
      </c>
    </row>
    <row r="13" spans="1:20" ht="11.25" customHeight="1" x14ac:dyDescent="0.25">
      <c r="A13" s="216" t="s">
        <v>247</v>
      </c>
      <c r="B13" s="203">
        <v>2</v>
      </c>
      <c r="C13" s="204">
        <v>2</v>
      </c>
      <c r="D13" s="188"/>
      <c r="E13" s="205">
        <f>(B13*'Proposed Budget'!$O$68)+(C13*'Proposed Budget'!$O$44)+'Proposed Budget'!$L$21+'Proposed Budget'!$L$22</f>
        <v>16719.636254326666</v>
      </c>
      <c r="F13" s="206">
        <f>SUM('Monthly Breakdown'!AE49:AE52)</f>
        <v>0</v>
      </c>
      <c r="G13" s="207">
        <f t="shared" si="0"/>
        <v>-16719.636254326666</v>
      </c>
      <c r="H13" s="208">
        <f t="shared" si="1"/>
        <v>-1</v>
      </c>
      <c r="I13" s="198"/>
      <c r="J13" s="209">
        <f t="shared" ref="J13:K13" si="18">SUM(O31,E31,J31)</f>
        <v>13000</v>
      </c>
      <c r="K13" s="210">
        <f t="shared" si="18"/>
        <v>0</v>
      </c>
      <c r="L13" s="211">
        <f t="shared" si="3"/>
        <v>13000</v>
      </c>
      <c r="M13" s="212">
        <f t="shared" si="4"/>
        <v>-1</v>
      </c>
      <c r="N13" s="198"/>
      <c r="O13" s="213">
        <f t="shared" si="5"/>
        <v>3719.6362543266659</v>
      </c>
      <c r="P13" s="214">
        <f>SUM('Monthly Breakdown'!AE45:AE46)</f>
        <v>0</v>
      </c>
      <c r="Q13" s="215">
        <f t="shared" si="6"/>
        <v>-3719.6362543266659</v>
      </c>
      <c r="R13" s="198"/>
      <c r="S13" s="198"/>
      <c r="T13" s="198">
        <f t="shared" si="7"/>
        <v>0</v>
      </c>
    </row>
    <row r="14" spans="1:20" ht="11.25" customHeight="1" x14ac:dyDescent="0.25">
      <c r="A14" s="217"/>
      <c r="B14" s="203"/>
      <c r="C14" s="204"/>
      <c r="D14" s="188"/>
      <c r="E14" s="205"/>
      <c r="F14" s="206"/>
      <c r="G14" s="207"/>
      <c r="H14" s="208"/>
      <c r="I14" s="198"/>
      <c r="J14" s="209"/>
      <c r="K14" s="210"/>
      <c r="L14" s="211"/>
      <c r="M14" s="212"/>
      <c r="N14" s="198"/>
      <c r="O14" s="213"/>
      <c r="P14" s="214"/>
      <c r="Q14" s="215"/>
      <c r="R14" s="198"/>
      <c r="S14" s="198"/>
      <c r="T14" s="198"/>
    </row>
    <row r="15" spans="1:20" ht="11.25" customHeight="1" x14ac:dyDescent="0.25">
      <c r="A15" s="217"/>
      <c r="B15" s="203"/>
      <c r="C15" s="204"/>
      <c r="D15" s="188"/>
      <c r="E15" s="205"/>
      <c r="F15" s="206"/>
      <c r="G15" s="207"/>
      <c r="H15" s="208"/>
      <c r="I15" s="198"/>
      <c r="J15" s="209"/>
      <c r="K15" s="210"/>
      <c r="L15" s="211"/>
      <c r="M15" s="212"/>
      <c r="N15" s="198"/>
      <c r="O15" s="213"/>
      <c r="P15" s="214"/>
      <c r="Q15" s="215"/>
      <c r="R15" s="198"/>
      <c r="S15" s="198"/>
      <c r="T15" s="198"/>
    </row>
    <row r="16" spans="1:20" ht="11.25" customHeight="1" x14ac:dyDescent="0.25">
      <c r="A16" s="217" t="s">
        <v>68</v>
      </c>
      <c r="B16" s="203"/>
      <c r="C16" s="204"/>
      <c r="D16" s="188"/>
      <c r="E16" s="205">
        <f>SUM(E2:E11)</f>
        <v>172723.9295532667</v>
      </c>
      <c r="F16" s="205">
        <f>SUM(F2:F11)</f>
        <v>169150.76</v>
      </c>
      <c r="G16" s="205">
        <f>SUM(G2:G11)</f>
        <v>-3573.1695532666545</v>
      </c>
      <c r="H16" s="208">
        <f>((SUM(F16))-SUM(E16))/SUM(E16)</f>
        <v>-2.0687171502572578E-2</v>
      </c>
      <c r="I16" s="198"/>
      <c r="J16" s="209">
        <f>SUM(J2:J11)</f>
        <v>130000</v>
      </c>
      <c r="K16" s="209">
        <f>SUM(K2:K11)</f>
        <v>120764.29000000001</v>
      </c>
      <c r="L16" s="209">
        <f>SUM(L2:L11)</f>
        <v>9235.7099999999973</v>
      </c>
      <c r="M16" s="212">
        <f>((K16-SUM(J16))/SUM(J16))</f>
        <v>-7.1043923076923018E-2</v>
      </c>
      <c r="N16" s="198"/>
      <c r="O16" s="213">
        <f>SUM(O2:O11)</f>
        <v>42723.929553266658</v>
      </c>
      <c r="P16" s="213">
        <f>SUM(P2:P11)</f>
        <v>43342.819999999992</v>
      </c>
      <c r="Q16" s="213">
        <f>SUM(Q2:Q11)</f>
        <v>618.89044673334138</v>
      </c>
      <c r="R16" s="218">
        <f>((P16-SUM(O16))/SUM(O16))</f>
        <v>1.4485803464349498E-2</v>
      </c>
      <c r="S16" s="198"/>
      <c r="T16" s="198">
        <f>F16-K16-P16</f>
        <v>5043.6500000000087</v>
      </c>
    </row>
    <row r="19" spans="1:17" ht="11.25" customHeight="1" x14ac:dyDescent="0.25">
      <c r="A19" s="185" t="s">
        <v>224</v>
      </c>
      <c r="B19" s="188"/>
      <c r="C19" s="188"/>
      <c r="D19" s="188"/>
      <c r="E19" s="219" t="s">
        <v>248</v>
      </c>
      <c r="F19" s="220" t="s">
        <v>249</v>
      </c>
      <c r="G19" s="221" t="s">
        <v>229</v>
      </c>
      <c r="H19" s="222" t="s">
        <v>233</v>
      </c>
      <c r="I19" s="198"/>
      <c r="J19" s="223" t="s">
        <v>250</v>
      </c>
      <c r="K19" s="224" t="s">
        <v>251</v>
      </c>
      <c r="L19" s="225" t="s">
        <v>229</v>
      </c>
      <c r="M19" s="226" t="s">
        <v>233</v>
      </c>
      <c r="N19" s="198"/>
      <c r="O19" s="227" t="s">
        <v>252</v>
      </c>
      <c r="P19" s="228" t="s">
        <v>253</v>
      </c>
      <c r="Q19" s="229" t="s">
        <v>229</v>
      </c>
    </row>
    <row r="20" spans="1:17" ht="11.25" customHeight="1" x14ac:dyDescent="0.25">
      <c r="A20" s="202" t="s">
        <v>236</v>
      </c>
      <c r="B20" s="188"/>
      <c r="C20" s="188"/>
      <c r="D20" s="188"/>
      <c r="E20" s="230">
        <f>SUM('Proposed Budget'!$D$14:$D$31)</f>
        <v>5200</v>
      </c>
      <c r="F20" s="231">
        <f>SUM('Monthly Breakdown'!I14:I31)</f>
        <v>4819.04</v>
      </c>
      <c r="G20" s="232">
        <f t="shared" ref="G20:G31" si="19">E20-F20</f>
        <v>380.96000000000004</v>
      </c>
      <c r="H20" s="233">
        <f t="shared" ref="H20:H31" si="20">((F20-E20)/E20)</f>
        <v>-7.3261538461538475E-2</v>
      </c>
      <c r="I20" s="198"/>
      <c r="J20" s="234">
        <f>SUM('Proposed Budget'!$D$5:$D$12)</f>
        <v>5800</v>
      </c>
      <c r="K20" s="235">
        <f>SUM('Monthly Breakdown'!I5:I12)</f>
        <v>5575.68</v>
      </c>
      <c r="L20" s="236">
        <f t="shared" ref="L20:L31" si="21">J20-K20</f>
        <v>224.31999999999971</v>
      </c>
      <c r="M20" s="237">
        <f t="shared" ref="M20:M31" si="22">((K20-J20)/J20)</f>
        <v>-3.8675862068965464E-2</v>
      </c>
      <c r="N20" s="198"/>
      <c r="O20" s="238">
        <f>SUM('Proposed Budget'!$D$33:$D$43)</f>
        <v>2000</v>
      </c>
      <c r="P20" s="239">
        <f>SUM('Monthly Breakdown'!I33:I43)</f>
        <v>2000</v>
      </c>
      <c r="Q20" s="240">
        <f t="shared" ref="Q20:Q31" si="23">O20-P20</f>
        <v>0</v>
      </c>
    </row>
    <row r="21" spans="1:17" ht="11.25" customHeight="1" x14ac:dyDescent="0.25">
      <c r="A21" s="202" t="s">
        <v>237</v>
      </c>
      <c r="B21" s="188"/>
      <c r="C21" s="188"/>
      <c r="D21" s="188"/>
      <c r="E21" s="230">
        <f>SUM('Proposed Budget'!$D$14:$D$31)</f>
        <v>5200</v>
      </c>
      <c r="F21" s="231">
        <f>SUM('Monthly Breakdown'!K14:K31)</f>
        <v>4930.4799999999996</v>
      </c>
      <c r="G21" s="232">
        <f t="shared" si="19"/>
        <v>269.52000000000044</v>
      </c>
      <c r="H21" s="233">
        <f t="shared" si="20"/>
        <v>-5.1830769230769312E-2</v>
      </c>
      <c r="I21" s="198"/>
      <c r="J21" s="234">
        <f>SUM('Proposed Budget'!$D$5:$D$12)</f>
        <v>5800</v>
      </c>
      <c r="K21" s="235">
        <f>SUM('Monthly Breakdown'!K5:K12)</f>
        <v>5870.2300000000005</v>
      </c>
      <c r="L21" s="236">
        <f t="shared" si="21"/>
        <v>-70.230000000000473</v>
      </c>
      <c r="M21" s="237">
        <f t="shared" si="22"/>
        <v>1.2108620689655254E-2</v>
      </c>
      <c r="N21" s="198"/>
      <c r="O21" s="238">
        <f>SUM('Proposed Budget'!$D$33:$D$43)</f>
        <v>2000</v>
      </c>
      <c r="P21" s="239">
        <f>SUM('Monthly Breakdown'!K33:K43)</f>
        <v>2000</v>
      </c>
      <c r="Q21" s="240">
        <f t="shared" si="23"/>
        <v>0</v>
      </c>
    </row>
    <row r="22" spans="1:17" ht="11.25" customHeight="1" x14ac:dyDescent="0.25">
      <c r="A22" s="202" t="s">
        <v>238</v>
      </c>
      <c r="B22" s="188"/>
      <c r="C22" s="188"/>
      <c r="D22" s="188"/>
      <c r="E22" s="230">
        <f>SUM('Proposed Budget'!$D$14:$D$31)</f>
        <v>5200</v>
      </c>
      <c r="F22" s="231">
        <f>SUM('Monthly Breakdown'!M14:M31)</f>
        <v>5444.89</v>
      </c>
      <c r="G22" s="232">
        <f t="shared" si="19"/>
        <v>-244.89000000000033</v>
      </c>
      <c r="H22" s="233">
        <f t="shared" si="20"/>
        <v>4.7094230769230833E-2</v>
      </c>
      <c r="I22" s="198"/>
      <c r="J22" s="234">
        <f>SUM('Proposed Budget'!$D$5:$D$12)</f>
        <v>5800</v>
      </c>
      <c r="K22" s="235">
        <f>SUM('Monthly Breakdown'!M5:M12)</f>
        <v>5166.82</v>
      </c>
      <c r="L22" s="236">
        <f t="shared" si="21"/>
        <v>633.18000000000029</v>
      </c>
      <c r="M22" s="237">
        <f t="shared" si="22"/>
        <v>-0.10916896551724142</v>
      </c>
      <c r="N22" s="198"/>
      <c r="O22" s="238">
        <f>SUM('Proposed Budget'!$D$33:$D$43)</f>
        <v>2000</v>
      </c>
      <c r="P22" s="239">
        <f>SUM('Monthly Breakdown'!M33:M43)</f>
        <v>2000</v>
      </c>
      <c r="Q22" s="240">
        <f t="shared" si="23"/>
        <v>0</v>
      </c>
    </row>
    <row r="23" spans="1:17" ht="11.25" customHeight="1" x14ac:dyDescent="0.25">
      <c r="A23" s="202" t="s">
        <v>239</v>
      </c>
      <c r="B23" s="188"/>
      <c r="C23" s="188"/>
      <c r="D23" s="188"/>
      <c r="E23" s="230">
        <f>SUM('Proposed Budget'!$D$14:$D$31)</f>
        <v>5200</v>
      </c>
      <c r="F23" s="231">
        <f>SUM('Monthly Breakdown'!O14:O31)</f>
        <v>4511.1900000000005</v>
      </c>
      <c r="G23" s="232">
        <f t="shared" si="19"/>
        <v>688.80999999999949</v>
      </c>
      <c r="H23" s="233">
        <f t="shared" si="20"/>
        <v>-0.13246346153846145</v>
      </c>
      <c r="I23" s="198"/>
      <c r="J23" s="234">
        <f>SUM('Proposed Budget'!$D$5:$D$12)</f>
        <v>5800</v>
      </c>
      <c r="K23" s="235">
        <f>SUM('Monthly Breakdown'!O5:O12)</f>
        <v>6697.66</v>
      </c>
      <c r="L23" s="236">
        <f t="shared" si="21"/>
        <v>-897.65999999999985</v>
      </c>
      <c r="M23" s="237">
        <f t="shared" si="22"/>
        <v>0.15476896551724134</v>
      </c>
      <c r="N23" s="198"/>
      <c r="O23" s="238">
        <f>SUM('Proposed Budget'!$D$33:$D$43)</f>
        <v>2000</v>
      </c>
      <c r="P23" s="239">
        <f>SUM('Monthly Breakdown'!O33:O43)</f>
        <v>2000</v>
      </c>
      <c r="Q23" s="240">
        <f t="shared" si="23"/>
        <v>0</v>
      </c>
    </row>
    <row r="24" spans="1:17" ht="11.25" customHeight="1" x14ac:dyDescent="0.25">
      <c r="A24" s="202" t="s">
        <v>240</v>
      </c>
      <c r="B24" s="188"/>
      <c r="C24" s="188"/>
      <c r="D24" s="188"/>
      <c r="E24" s="230">
        <f>SUM('Proposed Budget'!$D$14:$D$31)</f>
        <v>5200</v>
      </c>
      <c r="F24" s="231">
        <f>SUM('Monthly Breakdown'!Q14:Q31)</f>
        <v>5063.4000000000005</v>
      </c>
      <c r="G24" s="232">
        <f t="shared" si="19"/>
        <v>136.59999999999945</v>
      </c>
      <c r="H24" s="233">
        <f t="shared" si="20"/>
        <v>-2.6269230769230663E-2</v>
      </c>
      <c r="I24" s="198"/>
      <c r="J24" s="234">
        <f>SUM('Proposed Budget'!$D$5:$D$12)</f>
        <v>5800</v>
      </c>
      <c r="K24" s="235">
        <f>SUM('Monthly Breakdown'!Q5:Q12)</f>
        <v>6699.4400000000005</v>
      </c>
      <c r="L24" s="236">
        <f t="shared" si="21"/>
        <v>-899.44000000000051</v>
      </c>
      <c r="M24" s="237">
        <f t="shared" si="22"/>
        <v>0.15507586206896559</v>
      </c>
      <c r="N24" s="198"/>
      <c r="O24" s="238">
        <f>SUM('Proposed Budget'!$D$33:$D$43)</f>
        <v>2000</v>
      </c>
      <c r="P24" s="239">
        <f>SUM('Monthly Breakdown'!Q33:Q43)</f>
        <v>2000</v>
      </c>
      <c r="Q24" s="240">
        <f t="shared" si="23"/>
        <v>0</v>
      </c>
    </row>
    <row r="25" spans="1:17" ht="11.25" customHeight="1" x14ac:dyDescent="0.25">
      <c r="A25" s="202" t="s">
        <v>241</v>
      </c>
      <c r="B25" s="188"/>
      <c r="C25" s="188"/>
      <c r="D25" s="188"/>
      <c r="E25" s="230">
        <f>SUM('Proposed Budget'!$D$14:$D$31)</f>
        <v>5200</v>
      </c>
      <c r="F25" s="231">
        <f>SUM('Monthly Breakdown'!S14:S31)</f>
        <v>4742.1400000000003</v>
      </c>
      <c r="G25" s="232">
        <f t="shared" si="19"/>
        <v>457.85999999999967</v>
      </c>
      <c r="H25" s="233">
        <f t="shared" si="20"/>
        <v>-8.8049999999999934E-2</v>
      </c>
      <c r="I25" s="198"/>
      <c r="J25" s="234">
        <f>SUM('Proposed Budget'!$D$5:$D$12)</f>
        <v>5800</v>
      </c>
      <c r="K25" s="235">
        <f>SUM('Monthly Breakdown'!S5:S12)</f>
        <v>4471.4800000000005</v>
      </c>
      <c r="L25" s="236">
        <f t="shared" si="21"/>
        <v>1328.5199999999995</v>
      </c>
      <c r="M25" s="237">
        <f t="shared" si="22"/>
        <v>-0.22905517241379303</v>
      </c>
      <c r="N25" s="198"/>
      <c r="O25" s="238">
        <f>SUM('Proposed Budget'!$D$33:$D$43)</f>
        <v>2000</v>
      </c>
      <c r="P25" s="239">
        <f>SUM('Monthly Breakdown'!S33:S43)</f>
        <v>2000</v>
      </c>
      <c r="Q25" s="240">
        <f t="shared" si="23"/>
        <v>0</v>
      </c>
    </row>
    <row r="26" spans="1:17" ht="11.25" customHeight="1" x14ac:dyDescent="0.25">
      <c r="A26" s="202" t="s">
        <v>242</v>
      </c>
      <c r="B26" s="188"/>
      <c r="C26" s="188"/>
      <c r="D26" s="188"/>
      <c r="E26" s="230">
        <f>SUM('Proposed Budget'!$D$14:$D$31)</f>
        <v>5200</v>
      </c>
      <c r="F26" s="231">
        <f>SUM('Monthly Breakdown'!U14:U31)</f>
        <v>4087.3200000000006</v>
      </c>
      <c r="G26" s="232">
        <f t="shared" si="19"/>
        <v>1112.6799999999994</v>
      </c>
      <c r="H26" s="233">
        <f t="shared" si="20"/>
        <v>-0.21397692307692295</v>
      </c>
      <c r="I26" s="198"/>
      <c r="J26" s="234">
        <f>SUM('Proposed Budget'!$D$5:$D$12)</f>
        <v>5800</v>
      </c>
      <c r="K26" s="235">
        <f>SUM('Monthly Breakdown'!U5:U12)</f>
        <v>5178.3499999999995</v>
      </c>
      <c r="L26" s="236">
        <f t="shared" si="21"/>
        <v>621.65000000000055</v>
      </c>
      <c r="M26" s="237">
        <f t="shared" si="22"/>
        <v>-0.10718103448275872</v>
      </c>
      <c r="N26" s="198"/>
      <c r="O26" s="238">
        <f>SUM('Proposed Budget'!$D$33:$D$43)</f>
        <v>2000</v>
      </c>
      <c r="P26" s="239">
        <f>SUM('Monthly Breakdown'!U33:U43)</f>
        <v>2000</v>
      </c>
      <c r="Q26" s="240">
        <f t="shared" si="23"/>
        <v>0</v>
      </c>
    </row>
    <row r="27" spans="1:17" ht="11.25" customHeight="1" x14ac:dyDescent="0.25">
      <c r="A27" s="202" t="s">
        <v>243</v>
      </c>
      <c r="B27" s="188"/>
      <c r="C27" s="188"/>
      <c r="D27" s="188"/>
      <c r="E27" s="230">
        <f>SUM('Proposed Budget'!$D$14:$D$31)</f>
        <v>5200</v>
      </c>
      <c r="F27" s="231">
        <f>SUM('Monthly Breakdown'!W14:W31)</f>
        <v>4137.04</v>
      </c>
      <c r="G27" s="232">
        <f t="shared" si="19"/>
        <v>1062.96</v>
      </c>
      <c r="H27" s="233">
        <f t="shared" si="20"/>
        <v>-0.20441538461538461</v>
      </c>
      <c r="I27" s="198"/>
      <c r="J27" s="234">
        <f>SUM('Proposed Budget'!$D$5:$D$12)</f>
        <v>5800</v>
      </c>
      <c r="K27" s="235">
        <f>SUM('Monthly Breakdown'!W5:W12)</f>
        <v>4501.7299999999996</v>
      </c>
      <c r="L27" s="236">
        <f t="shared" si="21"/>
        <v>1298.2700000000004</v>
      </c>
      <c r="M27" s="237">
        <f t="shared" si="22"/>
        <v>-0.22383965517241386</v>
      </c>
      <c r="N27" s="198"/>
      <c r="O27" s="238">
        <f>SUM('Proposed Budget'!$D$33:$D$43)</f>
        <v>2000</v>
      </c>
      <c r="P27" s="239">
        <f>SUM('Monthly Breakdown'!W33:W43)</f>
        <v>2000</v>
      </c>
      <c r="Q27" s="240">
        <f t="shared" si="23"/>
        <v>0</v>
      </c>
    </row>
    <row r="28" spans="1:17" ht="11.25" customHeight="1" x14ac:dyDescent="0.25">
      <c r="A28" s="216" t="s">
        <v>244</v>
      </c>
      <c r="B28" s="188"/>
      <c r="C28" s="188"/>
      <c r="D28" s="188"/>
      <c r="E28" s="230">
        <f>SUM('Proposed Budget'!$D$14:$D$31)</f>
        <v>5200</v>
      </c>
      <c r="F28" s="231">
        <f>SUM('Monthly Breakdown'!Y14:Y31)</f>
        <v>4226.66</v>
      </c>
      <c r="G28" s="232">
        <f t="shared" si="19"/>
        <v>973.34000000000015</v>
      </c>
      <c r="H28" s="233">
        <f t="shared" si="20"/>
        <v>-0.18718076923076926</v>
      </c>
      <c r="I28" s="198"/>
      <c r="J28" s="234">
        <f>SUM('Proposed Budget'!$D$5:$D$12)</f>
        <v>5800</v>
      </c>
      <c r="K28" s="235">
        <f>SUM('Monthly Breakdown'!Y5:Y12)</f>
        <v>5933.28</v>
      </c>
      <c r="L28" s="236">
        <f t="shared" si="21"/>
        <v>-133.27999999999975</v>
      </c>
      <c r="M28" s="237">
        <f t="shared" si="22"/>
        <v>2.2979310344827541E-2</v>
      </c>
      <c r="N28" s="198"/>
      <c r="O28" s="238">
        <f>SUM('Proposed Budget'!$D$33:$D$43)</f>
        <v>2000</v>
      </c>
      <c r="P28" s="239">
        <f>SUM('Monthly Breakdown'!Y33:Y43)</f>
        <v>2000</v>
      </c>
      <c r="Q28" s="240">
        <f t="shared" si="23"/>
        <v>0</v>
      </c>
    </row>
    <row r="29" spans="1:17" ht="11.25" customHeight="1" x14ac:dyDescent="0.25">
      <c r="A29" s="216" t="s">
        <v>245</v>
      </c>
      <c r="B29" s="188"/>
      <c r="C29" s="188"/>
      <c r="D29" s="188"/>
      <c r="E29" s="230">
        <f>SUM('Proposed Budget'!$D$14:$D$31)</f>
        <v>5200</v>
      </c>
      <c r="F29" s="231">
        <f>SUM('Monthly Breakdown'!AA14:AA31)</f>
        <v>5323.8000000000011</v>
      </c>
      <c r="G29" s="232">
        <f t="shared" si="19"/>
        <v>-123.80000000000109</v>
      </c>
      <c r="H29" s="233">
        <f t="shared" si="20"/>
        <v>2.3807692307692519E-2</v>
      </c>
      <c r="I29" s="198"/>
      <c r="J29" s="234">
        <f>SUM('Proposed Budget'!$D$5:$D$12)</f>
        <v>5800</v>
      </c>
      <c r="K29" s="235">
        <f>SUM('Monthly Breakdown'!AA5:AA12)</f>
        <v>5383.6600000000008</v>
      </c>
      <c r="L29" s="236">
        <f t="shared" si="21"/>
        <v>416.33999999999924</v>
      </c>
      <c r="M29" s="237">
        <f t="shared" si="22"/>
        <v>-7.178275862068953E-2</v>
      </c>
      <c r="N29" s="198"/>
      <c r="O29" s="238">
        <f>SUM('Proposed Budget'!$D$33:$D$43)</f>
        <v>2000</v>
      </c>
      <c r="P29" s="239">
        <f>SUM('Monthly Breakdown'!AA33:AA43)</f>
        <v>0</v>
      </c>
      <c r="Q29" s="240">
        <f t="shared" si="23"/>
        <v>2000</v>
      </c>
    </row>
    <row r="30" spans="1:17" ht="11.25" customHeight="1" x14ac:dyDescent="0.25">
      <c r="A30" s="216" t="s">
        <v>246</v>
      </c>
      <c r="B30" s="188"/>
      <c r="C30" s="188"/>
      <c r="D30" s="188"/>
      <c r="E30" s="230">
        <f>SUM('Proposed Budget'!$D$14:$D$31)</f>
        <v>5200</v>
      </c>
      <c r="F30" s="231">
        <f>SUM('Monthly Breakdown'!AC14:AC31)</f>
        <v>0</v>
      </c>
      <c r="G30" s="232">
        <f t="shared" si="19"/>
        <v>5200</v>
      </c>
      <c r="H30" s="233">
        <f t="shared" si="20"/>
        <v>-1</v>
      </c>
      <c r="I30" s="198"/>
      <c r="J30" s="234">
        <f>SUM('Proposed Budget'!$D$5:$D$12)</f>
        <v>5800</v>
      </c>
      <c r="K30" s="235">
        <f>SUM('Monthly Breakdown'!AC5:AC12)</f>
        <v>0</v>
      </c>
      <c r="L30" s="236">
        <f t="shared" si="21"/>
        <v>5800</v>
      </c>
      <c r="M30" s="237">
        <f t="shared" si="22"/>
        <v>-1</v>
      </c>
      <c r="N30" s="198"/>
      <c r="O30" s="238">
        <f>SUM('Proposed Budget'!$D$33:$D$43)</f>
        <v>2000</v>
      </c>
      <c r="P30" s="239">
        <f>SUM('Monthly Breakdown'!AC33:AC43)</f>
        <v>0</v>
      </c>
      <c r="Q30" s="240">
        <f t="shared" si="23"/>
        <v>2000</v>
      </c>
    </row>
    <row r="31" spans="1:17" ht="11.25" customHeight="1" x14ac:dyDescent="0.25">
      <c r="A31" s="216" t="s">
        <v>247</v>
      </c>
      <c r="B31" s="188"/>
      <c r="C31" s="188"/>
      <c r="D31" s="188"/>
      <c r="E31" s="230">
        <f>SUM('Proposed Budget'!$D$14:$D$31)</f>
        <v>5200</v>
      </c>
      <c r="F31" s="231">
        <f>SUM('Monthly Breakdown'!AE14:AE31)</f>
        <v>0</v>
      </c>
      <c r="G31" s="232">
        <f t="shared" si="19"/>
        <v>5200</v>
      </c>
      <c r="H31" s="233">
        <f t="shared" si="20"/>
        <v>-1</v>
      </c>
      <c r="I31" s="198"/>
      <c r="J31" s="234">
        <f>SUM('Proposed Budget'!$D$5:$D$12)</f>
        <v>5800</v>
      </c>
      <c r="K31" s="235">
        <f>SUM('Monthly Breakdown'!AE5:AE12)</f>
        <v>0</v>
      </c>
      <c r="L31" s="236">
        <f t="shared" si="21"/>
        <v>5800</v>
      </c>
      <c r="M31" s="237">
        <f t="shared" si="22"/>
        <v>-1</v>
      </c>
      <c r="N31" s="198"/>
      <c r="O31" s="238">
        <f>SUM('Proposed Budget'!$D$33:$D$43)</f>
        <v>2000</v>
      </c>
      <c r="P31" s="239">
        <f>SUM('Monthly Breakdown'!AE33:AE43)</f>
        <v>0</v>
      </c>
      <c r="Q31" s="240">
        <f t="shared" si="23"/>
        <v>2000</v>
      </c>
    </row>
    <row r="32" spans="1:17" ht="15.75" customHeight="1" x14ac:dyDescent="0.25"/>
    <row r="33" spans="1:17" ht="15.75" customHeight="1" x14ac:dyDescent="0.25"/>
    <row r="34" spans="1:17" ht="11.25" customHeight="1" x14ac:dyDescent="0.25">
      <c r="A34" s="217" t="s">
        <v>68</v>
      </c>
      <c r="B34" s="188"/>
      <c r="C34" s="188"/>
      <c r="D34" s="188"/>
      <c r="E34" s="230">
        <f>SUM(E20:E29)</f>
        <v>52000</v>
      </c>
      <c r="F34" s="230">
        <f>SUM(F20:F29)</f>
        <v>47285.960000000006</v>
      </c>
      <c r="G34" s="230">
        <f>SUM(G20:G29)</f>
        <v>4714.0399999999972</v>
      </c>
      <c r="H34" s="233">
        <f>((F34-SUM(E34)))/SUM(E34)</f>
        <v>-9.0654615384615264E-2</v>
      </c>
      <c r="I34" s="198"/>
      <c r="J34" s="234">
        <f>SUM(J20:J29)</f>
        <v>58000</v>
      </c>
      <c r="K34" s="234">
        <f>SUM(K20:K29)</f>
        <v>55478.33</v>
      </c>
      <c r="L34" s="234">
        <f>SUM(L20:L29)</f>
        <v>2521.6699999999992</v>
      </c>
      <c r="M34" s="237">
        <f>((K34-SUM(J34))/SUM(J34))</f>
        <v>-4.3477068965517209E-2</v>
      </c>
      <c r="N34" s="198"/>
      <c r="O34" s="238">
        <f t="shared" ref="O34:Q34" si="24">SUM(O20:O31)</f>
        <v>24000</v>
      </c>
      <c r="P34" s="238">
        <f t="shared" si="24"/>
        <v>18000</v>
      </c>
      <c r="Q34" s="238">
        <f t="shared" si="24"/>
        <v>6000</v>
      </c>
    </row>
    <row r="35" spans="1:17" ht="15.75" customHeight="1" x14ac:dyDescent="0.25"/>
    <row r="36" spans="1:17" ht="15.75" customHeight="1" x14ac:dyDescent="0.25"/>
    <row r="37" spans="1:17" ht="15.75" customHeight="1" x14ac:dyDescent="0.25"/>
    <row r="38" spans="1:17" ht="15.75" customHeight="1" x14ac:dyDescent="0.25"/>
    <row r="39" spans="1:17" ht="15.75" customHeight="1" x14ac:dyDescent="0.25"/>
    <row r="40" spans="1:17" ht="15.75" customHeight="1" x14ac:dyDescent="0.25"/>
    <row r="41" spans="1:17" ht="15.75" customHeight="1" x14ac:dyDescent="0.25"/>
    <row r="42" spans="1:17" ht="15.75" customHeight="1" x14ac:dyDescent="0.25"/>
    <row r="43" spans="1:17" ht="15.75" customHeight="1" x14ac:dyDescent="0.25"/>
    <row r="44" spans="1:17" ht="15.75" customHeight="1" x14ac:dyDescent="0.25"/>
    <row r="45" spans="1:17" ht="15.75" customHeight="1" x14ac:dyDescent="0.25"/>
    <row r="46" spans="1:17" ht="15.75" customHeight="1" x14ac:dyDescent="0.25"/>
    <row r="47" spans="1:17" ht="15.75" customHeight="1" x14ac:dyDescent="0.25"/>
    <row r="48" spans="1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662"/>
  <sheetViews>
    <sheetView workbookViewId="0">
      <pane ySplit="4" topLeftCell="A5" activePane="bottomLeft" state="frozen"/>
      <selection pane="bottomLeft" activeCell="D23" sqref="D23"/>
    </sheetView>
  </sheetViews>
  <sheetFormatPr defaultColWidth="14.42578125" defaultRowHeight="15" customHeight="1" x14ac:dyDescent="0.25"/>
  <cols>
    <col min="1" max="2" width="4" customWidth="1"/>
    <col min="3" max="3" width="12.140625" customWidth="1"/>
    <col min="4" max="4" width="49" customWidth="1"/>
    <col min="5" max="6" width="14.5703125" customWidth="1"/>
    <col min="7" max="7" width="13.28515625" customWidth="1"/>
    <col min="8" max="8" width="5" customWidth="1"/>
    <col min="9" max="9" width="8" customWidth="1"/>
    <col min="10" max="10" width="14.5703125" customWidth="1"/>
    <col min="11" max="11" width="7.85546875" customWidth="1"/>
    <col min="12" max="12" width="14.5703125" customWidth="1"/>
    <col min="13" max="13" width="7.85546875" customWidth="1"/>
    <col min="14" max="14" width="14.5703125" customWidth="1"/>
    <col min="15" max="15" width="8" customWidth="1"/>
    <col min="16" max="16" width="13.28515625" customWidth="1"/>
    <col min="17" max="17" width="6.7109375" customWidth="1"/>
    <col min="18" max="18" width="12" customWidth="1"/>
    <col min="19" max="19" width="7.85546875" customWidth="1"/>
    <col min="20" max="20" width="13.28515625" customWidth="1"/>
  </cols>
  <sheetData>
    <row r="1" spans="1:20" ht="12" customHeight="1" x14ac:dyDescent="0.25">
      <c r="A1" s="547" t="s">
        <v>261</v>
      </c>
      <c r="B1" s="548"/>
      <c r="C1" s="298" t="s">
        <v>268</v>
      </c>
      <c r="D1" s="299" t="s">
        <v>269</v>
      </c>
      <c r="E1" s="549" t="s">
        <v>270</v>
      </c>
      <c r="F1" s="548"/>
      <c r="G1" s="300">
        <f ca="1">(SUM(INDIRECT("g5:g5")))+J2+L2+N2+P2-R2+T2-G1865</f>
        <v>7573.1299999999947</v>
      </c>
      <c r="H1" s="301"/>
      <c r="I1" s="302" t="s">
        <v>271</v>
      </c>
      <c r="J1" s="303">
        <v>25000</v>
      </c>
      <c r="K1" s="304" t="s">
        <v>272</v>
      </c>
      <c r="L1" s="305">
        <v>25000</v>
      </c>
      <c r="M1" s="306" t="s">
        <v>273</v>
      </c>
      <c r="N1" s="307">
        <f>10500-N2</f>
        <v>10500</v>
      </c>
      <c r="O1" s="308" t="s">
        <v>274</v>
      </c>
      <c r="P1" s="309">
        <f>5000-P2</f>
        <v>5000</v>
      </c>
      <c r="Q1" s="550" t="s">
        <v>39</v>
      </c>
      <c r="R1" s="548"/>
      <c r="S1" s="310" t="s">
        <v>273</v>
      </c>
      <c r="T1" s="311">
        <f>1200-T2</f>
        <v>1200</v>
      </c>
    </row>
    <row r="2" spans="1:20" ht="12" customHeight="1" x14ac:dyDescent="0.25">
      <c r="A2" s="299"/>
      <c r="B2" s="312"/>
      <c r="C2" s="298"/>
      <c r="D2" s="313"/>
      <c r="E2" s="549" t="s">
        <v>39</v>
      </c>
      <c r="F2" s="548"/>
      <c r="G2" s="300">
        <f>R2</f>
        <v>180</v>
      </c>
      <c r="H2" s="301"/>
      <c r="I2" s="314" t="s">
        <v>275</v>
      </c>
      <c r="J2" s="303">
        <f>SUMIFS(E:E,I:I,"1")</f>
        <v>0</v>
      </c>
      <c r="K2" s="304" t="s">
        <v>276</v>
      </c>
      <c r="L2" s="305">
        <f>(SUMIFS(E:E,I:I,"2"))</f>
        <v>32.120000000000005</v>
      </c>
      <c r="M2" s="306" t="s">
        <v>277</v>
      </c>
      <c r="N2" s="307">
        <f>SUMIFS(E:E,I:I,"3")</f>
        <v>0</v>
      </c>
      <c r="O2" s="308" t="s">
        <v>278</v>
      </c>
      <c r="P2" s="309">
        <f>SUMIFS(E:E,I:I,"4")</f>
        <v>0</v>
      </c>
      <c r="Q2" s="315"/>
      <c r="R2" s="316">
        <f>SUMIFS(F:F,H:H,"cash")-SUMIFS(E:E,H:H,"cash")</f>
        <v>180</v>
      </c>
      <c r="S2" s="310" t="s">
        <v>279</v>
      </c>
      <c r="T2" s="311">
        <f>SUMIFS(E:E,I:I,"6")</f>
        <v>0</v>
      </c>
    </row>
    <row r="3" spans="1:20" ht="12" customHeight="1" x14ac:dyDescent="0.25">
      <c r="A3" s="299"/>
      <c r="B3" s="312"/>
      <c r="C3" s="298"/>
      <c r="D3" s="313"/>
      <c r="E3" s="549" t="s">
        <v>280</v>
      </c>
      <c r="F3" s="548"/>
      <c r="G3" s="300">
        <f>SUM(J1,L1,N1,P1,T1)</f>
        <v>66700</v>
      </c>
      <c r="H3" s="301"/>
      <c r="I3" s="317"/>
      <c r="J3" s="318"/>
      <c r="K3" s="319"/>
      <c r="L3" s="320"/>
      <c r="M3" s="321"/>
      <c r="N3" s="322"/>
      <c r="O3" s="323"/>
      <c r="P3" s="324"/>
      <c r="Q3" s="325"/>
      <c r="R3" s="326"/>
      <c r="S3" s="327"/>
      <c r="T3" s="328"/>
    </row>
    <row r="4" spans="1:20" ht="12" customHeight="1" x14ac:dyDescent="0.25">
      <c r="A4" s="329"/>
      <c r="B4" s="330"/>
      <c r="C4" s="298"/>
      <c r="D4" s="299"/>
      <c r="E4" s="331" t="s">
        <v>281</v>
      </c>
      <c r="F4" s="332" t="s">
        <v>282</v>
      </c>
      <c r="G4" s="333" t="s">
        <v>283</v>
      </c>
      <c r="H4" s="334"/>
      <c r="I4" s="335"/>
      <c r="J4" s="336"/>
      <c r="K4" s="301"/>
      <c r="L4" s="336"/>
      <c r="M4" s="301"/>
      <c r="N4" s="336"/>
      <c r="O4" s="301"/>
      <c r="P4" s="336"/>
      <c r="Q4" s="301"/>
      <c r="R4" s="336"/>
      <c r="S4" s="301"/>
      <c r="T4" s="336"/>
    </row>
    <row r="5" spans="1:20" ht="12" customHeight="1" x14ac:dyDescent="0.25">
      <c r="A5" s="329" t="s">
        <v>335</v>
      </c>
      <c r="B5" s="330" t="s">
        <v>335</v>
      </c>
      <c r="C5" s="298">
        <v>46324</v>
      </c>
      <c r="D5" s="299" t="s">
        <v>458</v>
      </c>
      <c r="E5" s="522"/>
      <c r="F5" s="522">
        <v>147</v>
      </c>
      <c r="G5" s="333">
        <f t="shared" ref="G5:G41" si="0">G6-E5+F5</f>
        <v>7721.0099999999948</v>
      </c>
      <c r="H5" s="334"/>
      <c r="I5" s="335"/>
      <c r="J5" s="336"/>
      <c r="K5" s="301"/>
      <c r="L5" s="336"/>
      <c r="M5" s="301"/>
      <c r="N5" s="336"/>
      <c r="O5" s="301"/>
      <c r="P5" s="336"/>
      <c r="Q5" s="301"/>
      <c r="R5" s="336"/>
      <c r="S5" s="301"/>
      <c r="T5" s="336"/>
    </row>
    <row r="6" spans="1:20" ht="12" customHeight="1" x14ac:dyDescent="0.25">
      <c r="A6" s="329" t="s">
        <v>294</v>
      </c>
      <c r="B6" s="330">
        <v>20</v>
      </c>
      <c r="C6" s="298">
        <v>46324</v>
      </c>
      <c r="D6" s="299" t="s">
        <v>193</v>
      </c>
      <c r="E6" s="522">
        <v>600</v>
      </c>
      <c r="F6" s="522"/>
      <c r="G6" s="333">
        <f t="shared" si="0"/>
        <v>7574.0099999999948</v>
      </c>
      <c r="H6" s="334"/>
      <c r="I6" s="335"/>
      <c r="J6" s="336"/>
      <c r="K6" s="301"/>
      <c r="L6" s="336"/>
      <c r="M6" s="301"/>
      <c r="N6" s="336"/>
      <c r="O6" s="301"/>
      <c r="P6" s="336"/>
      <c r="Q6" s="301"/>
      <c r="R6" s="336"/>
      <c r="S6" s="301"/>
      <c r="T6" s="336"/>
    </row>
    <row r="7" spans="1:20" ht="12" customHeight="1" x14ac:dyDescent="0.25">
      <c r="A7" s="329" t="s">
        <v>291</v>
      </c>
      <c r="B7" s="330">
        <v>39</v>
      </c>
      <c r="C7" s="298">
        <v>46324</v>
      </c>
      <c r="D7" s="299" t="s">
        <v>292</v>
      </c>
      <c r="E7" s="522"/>
      <c r="F7" s="522">
        <v>2765.53</v>
      </c>
      <c r="G7" s="333">
        <f t="shared" si="0"/>
        <v>8174.0099999999948</v>
      </c>
      <c r="H7" s="334"/>
      <c r="I7" s="335"/>
      <c r="J7" s="336"/>
      <c r="K7" s="301"/>
      <c r="L7" s="336"/>
      <c r="M7" s="301"/>
      <c r="N7" s="336"/>
      <c r="O7" s="301"/>
      <c r="P7" s="336"/>
      <c r="Q7" s="301"/>
      <c r="R7" s="336"/>
      <c r="S7" s="301"/>
      <c r="T7" s="336"/>
    </row>
    <row r="8" spans="1:20" ht="12" customHeight="1" x14ac:dyDescent="0.25">
      <c r="A8" s="329" t="s">
        <v>289</v>
      </c>
      <c r="B8" s="330">
        <v>6</v>
      </c>
      <c r="C8" s="298">
        <v>46324</v>
      </c>
      <c r="D8" s="299" t="s">
        <v>1124</v>
      </c>
      <c r="E8" s="522">
        <v>-100</v>
      </c>
      <c r="F8" s="522"/>
      <c r="G8" s="333">
        <f t="shared" si="0"/>
        <v>5408.4799999999941</v>
      </c>
      <c r="H8" s="334"/>
      <c r="I8" s="335"/>
      <c r="J8" s="336"/>
      <c r="K8" s="301"/>
      <c r="L8" s="336"/>
      <c r="M8" s="301"/>
      <c r="N8" s="336"/>
      <c r="O8" s="301"/>
      <c r="P8" s="336"/>
      <c r="Q8" s="301"/>
      <c r="R8" s="336"/>
      <c r="S8" s="301"/>
      <c r="T8" s="336"/>
    </row>
    <row r="9" spans="1:20" ht="12" customHeight="1" x14ac:dyDescent="0.25">
      <c r="A9" s="329" t="s">
        <v>289</v>
      </c>
      <c r="B9" s="330">
        <v>6</v>
      </c>
      <c r="C9" s="298">
        <v>46322</v>
      </c>
      <c r="D9" s="299" t="s">
        <v>1122</v>
      </c>
      <c r="E9" s="522">
        <v>25.12</v>
      </c>
      <c r="F9" s="522"/>
      <c r="G9" s="333">
        <f t="shared" si="0"/>
        <v>5308.4799999999941</v>
      </c>
      <c r="H9" s="334"/>
      <c r="I9" s="335">
        <v>2</v>
      </c>
      <c r="J9" s="336"/>
      <c r="K9" s="301"/>
      <c r="L9" s="336"/>
      <c r="M9" s="301"/>
      <c r="N9" s="336"/>
      <c r="O9" s="301"/>
      <c r="P9" s="336"/>
      <c r="Q9" s="301"/>
      <c r="R9" s="336"/>
      <c r="S9" s="301"/>
      <c r="T9" s="336"/>
    </row>
    <row r="10" spans="1:20" ht="12" customHeight="1" x14ac:dyDescent="0.25">
      <c r="A10" s="329" t="s">
        <v>289</v>
      </c>
      <c r="B10" s="330">
        <v>6</v>
      </c>
      <c r="C10" s="298">
        <v>46322</v>
      </c>
      <c r="D10" s="299" t="s">
        <v>1123</v>
      </c>
      <c r="E10" s="522">
        <v>7</v>
      </c>
      <c r="F10" s="522"/>
      <c r="G10" s="333">
        <f t="shared" si="0"/>
        <v>5333.599999999994</v>
      </c>
      <c r="H10" s="334"/>
      <c r="I10" s="335">
        <v>2</v>
      </c>
      <c r="J10" s="336"/>
      <c r="K10" s="301"/>
      <c r="L10" s="336"/>
      <c r="M10" s="301"/>
      <c r="N10" s="336"/>
      <c r="O10" s="301"/>
      <c r="P10" s="336"/>
      <c r="Q10" s="301"/>
      <c r="R10" s="336"/>
      <c r="S10" s="301"/>
      <c r="T10" s="336"/>
    </row>
    <row r="11" spans="1:20" ht="12" customHeight="1" x14ac:dyDescent="0.25">
      <c r="A11" s="329" t="s">
        <v>289</v>
      </c>
      <c r="B11" s="330">
        <v>8</v>
      </c>
      <c r="C11" s="298">
        <v>46322</v>
      </c>
      <c r="D11" s="299" t="s">
        <v>308</v>
      </c>
      <c r="E11" s="522">
        <v>49.49</v>
      </c>
      <c r="F11" s="522"/>
      <c r="G11" s="333">
        <f t="shared" si="0"/>
        <v>5340.599999999994</v>
      </c>
      <c r="H11" s="334"/>
      <c r="I11" s="335"/>
      <c r="J11" s="336"/>
      <c r="K11" s="301"/>
      <c r="L11" s="336"/>
      <c r="M11" s="301"/>
      <c r="N11" s="336"/>
      <c r="O11" s="301"/>
      <c r="P11" s="336"/>
      <c r="Q11" s="301"/>
      <c r="R11" s="336"/>
      <c r="S11" s="301"/>
      <c r="T11" s="336"/>
    </row>
    <row r="12" spans="1:20" ht="12" customHeight="1" x14ac:dyDescent="0.25">
      <c r="A12" s="329" t="s">
        <v>294</v>
      </c>
      <c r="B12" s="330">
        <v>22</v>
      </c>
      <c r="C12" s="298">
        <v>46322</v>
      </c>
      <c r="D12" s="299" t="s">
        <v>996</v>
      </c>
      <c r="E12" s="522">
        <v>15.96</v>
      </c>
      <c r="F12" s="522"/>
      <c r="G12" s="333">
        <f t="shared" si="0"/>
        <v>5390.0899999999938</v>
      </c>
      <c r="H12" s="334"/>
      <c r="I12" s="335"/>
      <c r="J12" s="336"/>
      <c r="K12" s="301"/>
      <c r="L12" s="336"/>
      <c r="M12" s="301"/>
      <c r="N12" s="336"/>
      <c r="O12" s="301"/>
      <c r="P12" s="336"/>
      <c r="Q12" s="301"/>
      <c r="R12" s="336"/>
      <c r="S12" s="301"/>
      <c r="T12" s="336"/>
    </row>
    <row r="13" spans="1:20" ht="12" customHeight="1" x14ac:dyDescent="0.25">
      <c r="A13" s="329" t="s">
        <v>289</v>
      </c>
      <c r="B13" s="330">
        <v>8</v>
      </c>
      <c r="C13" s="298">
        <v>46322</v>
      </c>
      <c r="D13" s="299" t="s">
        <v>319</v>
      </c>
      <c r="E13" s="522">
        <v>21.03</v>
      </c>
      <c r="F13" s="522"/>
      <c r="G13" s="333">
        <f t="shared" si="0"/>
        <v>5406.0499999999938</v>
      </c>
      <c r="H13" s="334"/>
      <c r="I13" s="335"/>
      <c r="J13" s="336"/>
      <c r="K13" s="301"/>
      <c r="L13" s="336"/>
      <c r="M13" s="301"/>
      <c r="N13" s="336"/>
      <c r="O13" s="301"/>
      <c r="P13" s="336"/>
      <c r="Q13" s="301"/>
      <c r="R13" s="336"/>
      <c r="S13" s="301"/>
      <c r="T13" s="336"/>
    </row>
    <row r="14" spans="1:20" ht="12" customHeight="1" x14ac:dyDescent="0.25">
      <c r="A14" s="329" t="s">
        <v>289</v>
      </c>
      <c r="B14" s="330">
        <v>8</v>
      </c>
      <c r="C14" s="298">
        <v>46322</v>
      </c>
      <c r="D14" s="299" t="s">
        <v>430</v>
      </c>
      <c r="E14" s="522">
        <v>21.75</v>
      </c>
      <c r="F14" s="522"/>
      <c r="G14" s="333">
        <f t="shared" si="0"/>
        <v>5427.0799999999936</v>
      </c>
      <c r="H14" s="334"/>
      <c r="I14" s="335"/>
      <c r="J14" s="336"/>
      <c r="K14" s="301"/>
      <c r="L14" s="336"/>
      <c r="M14" s="301"/>
      <c r="N14" s="336"/>
      <c r="O14" s="301"/>
      <c r="P14" s="336"/>
      <c r="Q14" s="301"/>
      <c r="R14" s="336"/>
      <c r="S14" s="301"/>
      <c r="T14" s="336"/>
    </row>
    <row r="15" spans="1:20" ht="12" customHeight="1" x14ac:dyDescent="0.25">
      <c r="A15" s="329" t="s">
        <v>289</v>
      </c>
      <c r="B15" s="330">
        <v>6</v>
      </c>
      <c r="C15" s="298">
        <v>46322</v>
      </c>
      <c r="D15" s="299" t="s">
        <v>1121</v>
      </c>
      <c r="E15" s="522">
        <v>26.04</v>
      </c>
      <c r="F15" s="522"/>
      <c r="G15" s="333">
        <f t="shared" si="0"/>
        <v>5448.8299999999936</v>
      </c>
      <c r="H15" s="334"/>
      <c r="I15" s="335"/>
      <c r="J15" s="336"/>
      <c r="K15" s="301"/>
      <c r="L15" s="336"/>
      <c r="M15" s="301"/>
      <c r="N15" s="336"/>
      <c r="O15" s="301"/>
      <c r="P15" s="336"/>
      <c r="Q15" s="301"/>
      <c r="R15" s="336"/>
      <c r="S15" s="301"/>
      <c r="T15" s="336"/>
    </row>
    <row r="16" spans="1:20" ht="12" customHeight="1" x14ac:dyDescent="0.25">
      <c r="A16" s="329"/>
      <c r="B16" s="330"/>
      <c r="C16" s="298">
        <v>46322</v>
      </c>
      <c r="D16" s="299" t="s">
        <v>396</v>
      </c>
      <c r="E16" s="522">
        <v>327.08</v>
      </c>
      <c r="F16" s="522"/>
      <c r="G16" s="333">
        <f t="shared" si="0"/>
        <v>5474.8699999999935</v>
      </c>
      <c r="H16" s="334"/>
      <c r="I16" s="335"/>
      <c r="J16" s="336"/>
      <c r="K16" s="301"/>
      <c r="L16" s="336"/>
      <c r="M16" s="301"/>
      <c r="N16" s="336"/>
      <c r="O16" s="301"/>
      <c r="P16" s="336"/>
      <c r="Q16" s="301"/>
      <c r="R16" s="336"/>
      <c r="S16" s="301"/>
      <c r="T16" s="336"/>
    </row>
    <row r="17" spans="1:20" ht="12" customHeight="1" x14ac:dyDescent="0.25">
      <c r="A17" s="329" t="s">
        <v>289</v>
      </c>
      <c r="B17" s="330">
        <v>6</v>
      </c>
      <c r="C17" s="298">
        <v>46322</v>
      </c>
      <c r="D17" s="299" t="s">
        <v>396</v>
      </c>
      <c r="E17" s="522">
        <v>133.22999999999999</v>
      </c>
      <c r="F17" s="522"/>
      <c r="G17" s="333">
        <f t="shared" si="0"/>
        <v>5801.9499999999935</v>
      </c>
      <c r="H17" s="334"/>
      <c r="I17" s="335"/>
      <c r="J17" s="336"/>
      <c r="K17" s="301"/>
      <c r="L17" s="336"/>
      <c r="M17" s="301"/>
      <c r="N17" s="336"/>
      <c r="O17" s="301"/>
      <c r="P17" s="336"/>
      <c r="Q17" s="301"/>
      <c r="R17" s="336"/>
      <c r="S17" s="301"/>
      <c r="T17" s="336"/>
    </row>
    <row r="18" spans="1:20" ht="12" customHeight="1" x14ac:dyDescent="0.25">
      <c r="A18" s="329" t="s">
        <v>289</v>
      </c>
      <c r="B18" s="330">
        <v>4</v>
      </c>
      <c r="C18" s="298">
        <v>46321</v>
      </c>
      <c r="D18" s="299" t="s">
        <v>310</v>
      </c>
      <c r="E18" s="522">
        <v>49.56</v>
      </c>
      <c r="F18" s="522"/>
      <c r="G18" s="333">
        <f t="shared" si="0"/>
        <v>5935.179999999993</v>
      </c>
      <c r="H18" s="334"/>
      <c r="I18" s="335"/>
      <c r="J18" s="336"/>
      <c r="K18" s="301"/>
      <c r="L18" s="336"/>
      <c r="M18" s="301"/>
      <c r="N18" s="336"/>
      <c r="O18" s="301"/>
      <c r="P18" s="336"/>
      <c r="Q18" s="301"/>
      <c r="R18" s="336"/>
      <c r="S18" s="301"/>
      <c r="T18" s="336"/>
    </row>
    <row r="19" spans="1:20" ht="12" customHeight="1" x14ac:dyDescent="0.25">
      <c r="A19" s="329" t="s">
        <v>1120</v>
      </c>
      <c r="B19" s="330" t="s">
        <v>1120</v>
      </c>
      <c r="C19" s="298">
        <v>46321</v>
      </c>
      <c r="D19" s="299" t="s">
        <v>1114</v>
      </c>
      <c r="E19" s="522">
        <v>36.53</v>
      </c>
      <c r="F19" s="522">
        <v>36.53</v>
      </c>
      <c r="G19" s="333">
        <f t="shared" si="0"/>
        <v>5984.7399999999934</v>
      </c>
      <c r="H19" s="334"/>
      <c r="I19" s="335"/>
      <c r="J19" s="336"/>
      <c r="K19" s="301"/>
      <c r="L19" s="336"/>
      <c r="M19" s="301"/>
      <c r="N19" s="336"/>
      <c r="O19" s="301"/>
      <c r="P19" s="336"/>
      <c r="Q19" s="301"/>
      <c r="R19" s="336"/>
      <c r="S19" s="301"/>
      <c r="T19" s="336"/>
    </row>
    <row r="20" spans="1:20" ht="12" customHeight="1" x14ac:dyDescent="0.25">
      <c r="A20" s="329" t="s">
        <v>1120</v>
      </c>
      <c r="B20" s="330" t="s">
        <v>1120</v>
      </c>
      <c r="C20" s="298">
        <v>46321</v>
      </c>
      <c r="D20" s="299" t="s">
        <v>1115</v>
      </c>
      <c r="E20" s="522">
        <v>16.97</v>
      </c>
      <c r="F20" s="522">
        <v>16.97</v>
      </c>
      <c r="G20" s="333">
        <f t="shared" si="0"/>
        <v>5984.7399999999934</v>
      </c>
      <c r="H20" s="334"/>
      <c r="I20" s="335"/>
      <c r="J20" s="336"/>
      <c r="K20" s="301"/>
      <c r="L20" s="336"/>
      <c r="M20" s="301"/>
      <c r="N20" s="336"/>
      <c r="O20" s="301"/>
      <c r="P20" s="336"/>
      <c r="Q20" s="301"/>
      <c r="R20" s="336"/>
      <c r="S20" s="301"/>
      <c r="T20" s="336"/>
    </row>
    <row r="21" spans="1:20" ht="12" customHeight="1" x14ac:dyDescent="0.25">
      <c r="A21" s="329" t="s">
        <v>1120</v>
      </c>
      <c r="B21" s="330" t="s">
        <v>1120</v>
      </c>
      <c r="C21" s="298">
        <v>46321</v>
      </c>
      <c r="D21" s="299" t="s">
        <v>1116</v>
      </c>
      <c r="E21" s="522">
        <v>16.190000000000001</v>
      </c>
      <c r="F21" s="522">
        <v>16.190000000000001</v>
      </c>
      <c r="G21" s="333">
        <f t="shared" si="0"/>
        <v>5984.7399999999934</v>
      </c>
      <c r="H21" s="334"/>
      <c r="I21" s="335"/>
      <c r="J21" s="336"/>
      <c r="K21" s="301"/>
      <c r="L21" s="336"/>
      <c r="M21" s="301"/>
      <c r="N21" s="336"/>
      <c r="O21" s="301"/>
      <c r="P21" s="336"/>
      <c r="Q21" s="301"/>
      <c r="R21" s="336"/>
      <c r="S21" s="301"/>
      <c r="T21" s="336"/>
    </row>
    <row r="22" spans="1:20" ht="12" customHeight="1" x14ac:dyDescent="0.25">
      <c r="A22" s="329" t="s">
        <v>289</v>
      </c>
      <c r="B22" s="330">
        <v>5</v>
      </c>
      <c r="C22" s="298">
        <v>46321</v>
      </c>
      <c r="D22" s="299" t="s">
        <v>1022</v>
      </c>
      <c r="E22" s="522">
        <v>31.58</v>
      </c>
      <c r="F22" s="522"/>
      <c r="G22" s="333">
        <f t="shared" si="0"/>
        <v>5984.7399999999934</v>
      </c>
      <c r="H22" s="334"/>
      <c r="I22" s="335"/>
      <c r="J22" s="336"/>
      <c r="K22" s="301"/>
      <c r="L22" s="336"/>
      <c r="M22" s="301"/>
      <c r="N22" s="336"/>
      <c r="O22" s="301"/>
      <c r="P22" s="336"/>
      <c r="Q22" s="301"/>
      <c r="R22" s="336"/>
      <c r="S22" s="301"/>
      <c r="T22" s="336"/>
    </row>
    <row r="23" spans="1:20" ht="12" customHeight="1" x14ac:dyDescent="0.25">
      <c r="A23" s="329" t="s">
        <v>289</v>
      </c>
      <c r="B23" s="330">
        <v>6</v>
      </c>
      <c r="C23" s="298">
        <v>46321</v>
      </c>
      <c r="D23" s="299" t="s">
        <v>1100</v>
      </c>
      <c r="E23" s="522">
        <v>14.37</v>
      </c>
      <c r="F23" s="522"/>
      <c r="G23" s="333">
        <f t="shared" si="0"/>
        <v>6016.3199999999933</v>
      </c>
      <c r="H23" s="334"/>
      <c r="I23" s="335"/>
      <c r="J23" s="336"/>
      <c r="K23" s="301"/>
      <c r="L23" s="336"/>
      <c r="M23" s="301"/>
      <c r="N23" s="336"/>
      <c r="O23" s="301"/>
      <c r="P23" s="336"/>
      <c r="Q23" s="301"/>
      <c r="R23" s="336"/>
      <c r="S23" s="301"/>
      <c r="T23" s="336"/>
    </row>
    <row r="24" spans="1:20" ht="12" customHeight="1" x14ac:dyDescent="0.25">
      <c r="A24" s="329" t="s">
        <v>289</v>
      </c>
      <c r="B24" s="330">
        <v>8</v>
      </c>
      <c r="C24" s="298">
        <v>46321</v>
      </c>
      <c r="D24" s="299" t="s">
        <v>430</v>
      </c>
      <c r="E24" s="522">
        <v>12.05</v>
      </c>
      <c r="F24" s="522"/>
      <c r="G24" s="333">
        <f t="shared" si="0"/>
        <v>6030.6899999999932</v>
      </c>
      <c r="H24" s="334"/>
      <c r="I24" s="335"/>
      <c r="J24" s="336"/>
      <c r="K24" s="301"/>
      <c r="L24" s="336"/>
      <c r="M24" s="301"/>
      <c r="N24" s="336"/>
      <c r="O24" s="301"/>
      <c r="P24" s="336"/>
      <c r="Q24" s="301"/>
      <c r="R24" s="336"/>
      <c r="S24" s="301"/>
      <c r="T24" s="336"/>
    </row>
    <row r="25" spans="1:20" ht="12" customHeight="1" x14ac:dyDescent="0.25">
      <c r="A25" s="329" t="s">
        <v>289</v>
      </c>
      <c r="B25" s="330">
        <v>2</v>
      </c>
      <c r="C25" s="298">
        <v>46321</v>
      </c>
      <c r="D25" s="299" t="s">
        <v>301</v>
      </c>
      <c r="E25" s="522">
        <v>18.7</v>
      </c>
      <c r="F25" s="522"/>
      <c r="G25" s="333">
        <f t="shared" si="0"/>
        <v>6042.7399999999934</v>
      </c>
      <c r="H25" s="334"/>
      <c r="I25" s="335"/>
      <c r="J25" s="336"/>
      <c r="K25" s="301"/>
      <c r="L25" s="336"/>
      <c r="M25" s="301"/>
      <c r="N25" s="336"/>
      <c r="O25" s="301"/>
      <c r="P25" s="336"/>
      <c r="Q25" s="301"/>
      <c r="R25" s="336"/>
      <c r="S25" s="301"/>
      <c r="T25" s="336"/>
    </row>
    <row r="26" spans="1:20" ht="12" customHeight="1" x14ac:dyDescent="0.25">
      <c r="A26" s="329" t="s">
        <v>289</v>
      </c>
      <c r="B26" s="330">
        <v>6</v>
      </c>
      <c r="C26" s="298">
        <v>46321</v>
      </c>
      <c r="D26" s="299" t="s">
        <v>320</v>
      </c>
      <c r="E26" s="522">
        <v>14.93</v>
      </c>
      <c r="F26" s="522"/>
      <c r="G26" s="333">
        <f t="shared" si="0"/>
        <v>6061.4399999999932</v>
      </c>
      <c r="H26" s="334"/>
      <c r="I26" s="335"/>
      <c r="J26" s="336"/>
      <c r="K26" s="301"/>
      <c r="L26" s="336"/>
      <c r="M26" s="301"/>
      <c r="N26" s="336"/>
      <c r="O26" s="301"/>
      <c r="P26" s="336"/>
      <c r="Q26" s="301"/>
      <c r="R26" s="336"/>
      <c r="S26" s="301"/>
      <c r="T26" s="336"/>
    </row>
    <row r="27" spans="1:20" ht="12" customHeight="1" x14ac:dyDescent="0.25">
      <c r="A27" s="329" t="s">
        <v>289</v>
      </c>
      <c r="B27" s="330">
        <v>2</v>
      </c>
      <c r="C27" s="298">
        <v>46321</v>
      </c>
      <c r="D27" s="299" t="s">
        <v>345</v>
      </c>
      <c r="E27" s="522">
        <v>24.31</v>
      </c>
      <c r="F27" s="522"/>
      <c r="G27" s="333">
        <f t="shared" si="0"/>
        <v>6076.3699999999935</v>
      </c>
      <c r="H27" s="334"/>
      <c r="I27" s="335"/>
      <c r="J27" s="336"/>
      <c r="K27" s="301"/>
      <c r="L27" s="336"/>
      <c r="M27" s="301"/>
      <c r="N27" s="336"/>
      <c r="O27" s="301"/>
      <c r="P27" s="336"/>
      <c r="Q27" s="301"/>
      <c r="R27" s="336"/>
      <c r="S27" s="301"/>
      <c r="T27" s="336"/>
    </row>
    <row r="28" spans="1:20" ht="12" customHeight="1" x14ac:dyDescent="0.25">
      <c r="A28" s="329" t="s">
        <v>289</v>
      </c>
      <c r="B28" s="330">
        <v>7</v>
      </c>
      <c r="C28" s="298">
        <v>46321</v>
      </c>
      <c r="D28" s="299" t="s">
        <v>1112</v>
      </c>
      <c r="E28" s="522">
        <v>67.069999999999993</v>
      </c>
      <c r="F28" s="522"/>
      <c r="G28" s="333">
        <f t="shared" si="0"/>
        <v>6100.6799999999939</v>
      </c>
      <c r="H28" s="334"/>
      <c r="I28" s="335"/>
      <c r="J28" s="336"/>
      <c r="K28" s="301"/>
      <c r="L28" s="336"/>
      <c r="M28" s="301"/>
      <c r="N28" s="336"/>
      <c r="O28" s="301"/>
      <c r="P28" s="336"/>
      <c r="Q28" s="301"/>
      <c r="R28" s="336"/>
      <c r="S28" s="301"/>
      <c r="T28" s="336"/>
    </row>
    <row r="29" spans="1:20" ht="12" customHeight="1" x14ac:dyDescent="0.25">
      <c r="A29" s="329" t="s">
        <v>294</v>
      </c>
      <c r="B29" s="330">
        <v>22</v>
      </c>
      <c r="C29" s="298">
        <v>46321</v>
      </c>
      <c r="D29" s="299" t="s">
        <v>1113</v>
      </c>
      <c r="E29" s="522">
        <v>119.27</v>
      </c>
      <c r="F29" s="522"/>
      <c r="G29" s="333">
        <f t="shared" si="0"/>
        <v>6167.7499999999936</v>
      </c>
      <c r="H29" s="334"/>
      <c r="I29" s="335"/>
      <c r="J29" s="336"/>
      <c r="K29" s="301"/>
      <c r="L29" s="336"/>
      <c r="M29" s="301"/>
      <c r="N29" s="336"/>
      <c r="O29" s="301"/>
      <c r="P29" s="336"/>
      <c r="Q29" s="301"/>
      <c r="R29" s="336"/>
      <c r="S29" s="301"/>
      <c r="T29" s="336"/>
    </row>
    <row r="30" spans="1:20" ht="12" customHeight="1" x14ac:dyDescent="0.25">
      <c r="A30" s="329" t="s">
        <v>289</v>
      </c>
      <c r="B30" s="330">
        <v>2</v>
      </c>
      <c r="C30" s="298">
        <v>46320</v>
      </c>
      <c r="D30" s="299" t="s">
        <v>1117</v>
      </c>
      <c r="E30" s="522">
        <v>34.659999999999997</v>
      </c>
      <c r="F30" s="522"/>
      <c r="G30" s="333">
        <f t="shared" si="0"/>
        <v>6287.0199999999941</v>
      </c>
      <c r="H30" s="334"/>
      <c r="I30" s="335"/>
      <c r="J30" s="336"/>
      <c r="K30" s="301"/>
      <c r="L30" s="336"/>
      <c r="M30" s="301"/>
      <c r="N30" s="336"/>
      <c r="O30" s="301"/>
      <c r="P30" s="336"/>
      <c r="Q30" s="301"/>
      <c r="R30" s="336"/>
      <c r="S30" s="301"/>
      <c r="T30" s="336"/>
    </row>
    <row r="31" spans="1:20" ht="12" customHeight="1" x14ac:dyDescent="0.25">
      <c r="A31" s="329" t="s">
        <v>289</v>
      </c>
      <c r="B31" s="330">
        <v>1</v>
      </c>
      <c r="C31" s="298">
        <v>46320</v>
      </c>
      <c r="D31" s="299" t="s">
        <v>829</v>
      </c>
      <c r="E31" s="522">
        <v>22.47</v>
      </c>
      <c r="F31" s="522"/>
      <c r="G31" s="333">
        <f t="shared" si="0"/>
        <v>6321.6799999999939</v>
      </c>
      <c r="H31" s="334"/>
      <c r="I31" s="335"/>
      <c r="J31" s="336"/>
      <c r="K31" s="301"/>
      <c r="L31" s="336"/>
      <c r="M31" s="301"/>
      <c r="N31" s="336"/>
      <c r="O31" s="301"/>
      <c r="P31" s="336"/>
      <c r="Q31" s="301"/>
      <c r="R31" s="336"/>
      <c r="S31" s="301"/>
      <c r="T31" s="336"/>
    </row>
    <row r="32" spans="1:20" ht="12" customHeight="1" x14ac:dyDescent="0.25">
      <c r="A32" s="329" t="s">
        <v>289</v>
      </c>
      <c r="B32" s="330">
        <v>4</v>
      </c>
      <c r="C32" s="298">
        <v>46320</v>
      </c>
      <c r="D32" s="299" t="s">
        <v>882</v>
      </c>
      <c r="E32" s="522">
        <v>42.76</v>
      </c>
      <c r="F32" s="522"/>
      <c r="G32" s="333">
        <f t="shared" si="0"/>
        <v>6344.1499999999942</v>
      </c>
      <c r="H32" s="334"/>
      <c r="I32" s="335"/>
      <c r="J32" s="336"/>
      <c r="K32" s="301"/>
      <c r="L32" s="336"/>
      <c r="M32" s="301"/>
      <c r="N32" s="336"/>
      <c r="O32" s="301"/>
      <c r="P32" s="336"/>
      <c r="Q32" s="301"/>
      <c r="R32" s="336"/>
      <c r="S32" s="301"/>
      <c r="T32" s="336"/>
    </row>
    <row r="33" spans="1:20" ht="12" customHeight="1" x14ac:dyDescent="0.25">
      <c r="A33" s="329" t="s">
        <v>294</v>
      </c>
      <c r="B33" s="330">
        <v>12</v>
      </c>
      <c r="C33" s="298">
        <v>46320</v>
      </c>
      <c r="D33" s="299" t="s">
        <v>314</v>
      </c>
      <c r="E33" s="522">
        <v>204.48</v>
      </c>
      <c r="F33" s="522"/>
      <c r="G33" s="333">
        <f t="shared" si="0"/>
        <v>6386.9099999999944</v>
      </c>
      <c r="H33" s="334"/>
      <c r="I33" s="335"/>
      <c r="J33" s="336"/>
      <c r="K33" s="301"/>
      <c r="L33" s="336"/>
      <c r="M33" s="301"/>
      <c r="N33" s="336"/>
      <c r="O33" s="301"/>
      <c r="P33" s="336"/>
      <c r="Q33" s="301"/>
      <c r="R33" s="336"/>
      <c r="S33" s="301"/>
      <c r="T33" s="336"/>
    </row>
    <row r="34" spans="1:20" ht="12" customHeight="1" x14ac:dyDescent="0.25">
      <c r="A34" s="329" t="s">
        <v>289</v>
      </c>
      <c r="B34" s="330">
        <v>1</v>
      </c>
      <c r="C34" s="298">
        <v>46320</v>
      </c>
      <c r="D34" s="299" t="s">
        <v>306</v>
      </c>
      <c r="E34" s="522">
        <v>172.34</v>
      </c>
      <c r="F34" s="522"/>
      <c r="G34" s="333">
        <f t="shared" si="0"/>
        <v>6591.389999999994</v>
      </c>
      <c r="H34" s="334"/>
      <c r="I34" s="335"/>
      <c r="J34" s="336"/>
      <c r="K34" s="301"/>
      <c r="L34" s="336"/>
      <c r="M34" s="301"/>
      <c r="N34" s="336"/>
      <c r="O34" s="301"/>
      <c r="P34" s="336"/>
      <c r="Q34" s="301"/>
      <c r="R34" s="336"/>
      <c r="S34" s="301"/>
      <c r="T34" s="336"/>
    </row>
    <row r="35" spans="1:20" ht="12" customHeight="1" x14ac:dyDescent="0.25">
      <c r="A35" s="329" t="s">
        <v>289</v>
      </c>
      <c r="B35" s="330">
        <v>1</v>
      </c>
      <c r="C35" s="298">
        <v>46319</v>
      </c>
      <c r="D35" s="299" t="s">
        <v>311</v>
      </c>
      <c r="E35" s="522">
        <v>54.68</v>
      </c>
      <c r="F35" s="522"/>
      <c r="G35" s="333">
        <f t="shared" si="0"/>
        <v>6763.7299999999941</v>
      </c>
      <c r="H35" s="334"/>
      <c r="I35" s="335"/>
      <c r="J35" s="336"/>
      <c r="K35" s="301"/>
      <c r="L35" s="336"/>
      <c r="M35" s="301"/>
      <c r="N35" s="336"/>
      <c r="O35" s="301"/>
      <c r="P35" s="336"/>
      <c r="Q35" s="301"/>
      <c r="R35" s="336"/>
      <c r="S35" s="301"/>
      <c r="T35" s="336"/>
    </row>
    <row r="36" spans="1:20" ht="12" customHeight="1" x14ac:dyDescent="0.25">
      <c r="A36" s="329" t="s">
        <v>289</v>
      </c>
      <c r="B36" s="330">
        <v>8</v>
      </c>
      <c r="C36" s="298">
        <v>46319</v>
      </c>
      <c r="D36" s="299" t="s">
        <v>419</v>
      </c>
      <c r="E36" s="522">
        <v>4.47</v>
      </c>
      <c r="F36" s="522"/>
      <c r="G36" s="333">
        <f t="shared" si="0"/>
        <v>6818.4099999999944</v>
      </c>
      <c r="H36" s="334"/>
      <c r="I36" s="335"/>
      <c r="J36" s="336"/>
      <c r="K36" s="301"/>
      <c r="L36" s="336"/>
      <c r="M36" s="301"/>
      <c r="N36" s="336"/>
      <c r="O36" s="301"/>
      <c r="P36" s="336"/>
      <c r="Q36" s="301"/>
      <c r="R36" s="336"/>
      <c r="S36" s="301"/>
      <c r="T36" s="336"/>
    </row>
    <row r="37" spans="1:20" ht="12" customHeight="1" x14ac:dyDescent="0.25">
      <c r="A37" s="329" t="s">
        <v>289</v>
      </c>
      <c r="B37" s="330">
        <v>8</v>
      </c>
      <c r="C37" s="298">
        <v>46319</v>
      </c>
      <c r="D37" s="299" t="s">
        <v>319</v>
      </c>
      <c r="E37" s="522">
        <v>24.44</v>
      </c>
      <c r="F37" s="522"/>
      <c r="G37" s="333">
        <f t="shared" si="0"/>
        <v>6822.8799999999947</v>
      </c>
      <c r="H37" s="334"/>
      <c r="I37" s="335"/>
      <c r="J37" s="336"/>
      <c r="K37" s="301"/>
      <c r="L37" s="336"/>
      <c r="M37" s="301"/>
      <c r="N37" s="336"/>
      <c r="O37" s="301"/>
      <c r="P37" s="336"/>
      <c r="Q37" s="301"/>
      <c r="R37" s="336"/>
      <c r="S37" s="301"/>
      <c r="T37" s="336"/>
    </row>
    <row r="38" spans="1:20" ht="12" customHeight="1" x14ac:dyDescent="0.25">
      <c r="A38" s="329" t="s">
        <v>289</v>
      </c>
      <c r="B38" s="330">
        <v>4</v>
      </c>
      <c r="C38" s="298">
        <v>46319</v>
      </c>
      <c r="D38" s="299" t="s">
        <v>419</v>
      </c>
      <c r="E38" s="522">
        <v>38.450000000000003</v>
      </c>
      <c r="F38" s="522"/>
      <c r="G38" s="333">
        <f t="shared" si="0"/>
        <v>6847.3199999999943</v>
      </c>
      <c r="H38" s="334"/>
      <c r="I38" s="335"/>
      <c r="J38" s="336"/>
      <c r="K38" s="301"/>
      <c r="L38" s="336"/>
      <c r="M38" s="301"/>
      <c r="N38" s="336"/>
      <c r="O38" s="301"/>
      <c r="P38" s="336"/>
      <c r="Q38" s="301"/>
      <c r="R38" s="336"/>
      <c r="S38" s="301"/>
      <c r="T38" s="336"/>
    </row>
    <row r="39" spans="1:20" ht="12" customHeight="1" x14ac:dyDescent="0.25">
      <c r="A39" s="329" t="s">
        <v>289</v>
      </c>
      <c r="B39" s="330">
        <v>8</v>
      </c>
      <c r="C39" s="298">
        <v>46319</v>
      </c>
      <c r="D39" s="299" t="s">
        <v>471</v>
      </c>
      <c r="E39" s="522">
        <v>16.84</v>
      </c>
      <c r="F39" s="522"/>
      <c r="G39" s="333">
        <f t="shared" si="0"/>
        <v>6885.7699999999941</v>
      </c>
      <c r="H39" s="334"/>
      <c r="I39" s="335"/>
      <c r="J39" s="336"/>
      <c r="K39" s="301"/>
      <c r="L39" s="336"/>
      <c r="M39" s="301"/>
      <c r="N39" s="336"/>
      <c r="O39" s="301"/>
      <c r="P39" s="336"/>
      <c r="Q39" s="301"/>
      <c r="R39" s="336"/>
      <c r="S39" s="301"/>
      <c r="T39" s="336"/>
    </row>
    <row r="40" spans="1:20" ht="12" customHeight="1" x14ac:dyDescent="0.25">
      <c r="A40" s="329" t="s">
        <v>289</v>
      </c>
      <c r="B40" s="330">
        <v>2</v>
      </c>
      <c r="C40" s="298">
        <v>46319</v>
      </c>
      <c r="D40" s="299" t="s">
        <v>471</v>
      </c>
      <c r="E40" s="522">
        <v>78.45</v>
      </c>
      <c r="F40" s="522"/>
      <c r="G40" s="333">
        <f t="shared" si="0"/>
        <v>6902.6099999999942</v>
      </c>
      <c r="H40" s="334"/>
      <c r="I40" s="335"/>
      <c r="J40" s="336"/>
      <c r="K40" s="301"/>
      <c r="L40" s="336"/>
      <c r="M40" s="301"/>
      <c r="N40" s="336"/>
      <c r="O40" s="301"/>
      <c r="P40" s="336"/>
      <c r="Q40" s="301"/>
      <c r="R40" s="336"/>
      <c r="S40" s="301"/>
      <c r="T40" s="336"/>
    </row>
    <row r="41" spans="1:20" ht="12" customHeight="1" x14ac:dyDescent="0.25">
      <c r="A41" s="329" t="s">
        <v>289</v>
      </c>
      <c r="B41" s="330">
        <v>2</v>
      </c>
      <c r="C41" s="298">
        <v>46319</v>
      </c>
      <c r="D41" s="299" t="s">
        <v>357</v>
      </c>
      <c r="E41" s="522">
        <v>8.65</v>
      </c>
      <c r="F41" s="522"/>
      <c r="G41" s="333">
        <f t="shared" si="0"/>
        <v>6981.059999999994</v>
      </c>
      <c r="H41" s="334"/>
      <c r="I41" s="335"/>
      <c r="J41" s="336"/>
      <c r="K41" s="301"/>
      <c r="L41" s="336"/>
      <c r="M41" s="301"/>
      <c r="N41" s="336"/>
      <c r="O41" s="301"/>
      <c r="P41" s="336"/>
      <c r="Q41" s="301"/>
      <c r="R41" s="336"/>
      <c r="S41" s="301"/>
      <c r="T41" s="336"/>
    </row>
    <row r="42" spans="1:20" ht="12" customHeight="1" x14ac:dyDescent="0.25">
      <c r="A42" s="329" t="s">
        <v>289</v>
      </c>
      <c r="B42" s="330">
        <v>2</v>
      </c>
      <c r="C42" s="298">
        <v>46319</v>
      </c>
      <c r="D42" s="299" t="s">
        <v>301</v>
      </c>
      <c r="E42" s="522">
        <v>28.09</v>
      </c>
      <c r="F42" s="522"/>
      <c r="G42" s="333">
        <f t="shared" ref="G42:G62" si="1">G43-E42+F42</f>
        <v>6989.7099999999937</v>
      </c>
      <c r="H42" s="334"/>
      <c r="I42" s="335"/>
      <c r="J42" s="336"/>
      <c r="K42" s="301"/>
      <c r="L42" s="336"/>
      <c r="M42" s="301"/>
      <c r="N42" s="336"/>
      <c r="O42" s="301"/>
      <c r="P42" s="336"/>
      <c r="Q42" s="301"/>
      <c r="R42" s="336"/>
      <c r="S42" s="301"/>
      <c r="T42" s="336"/>
    </row>
    <row r="43" spans="1:20" ht="12" customHeight="1" x14ac:dyDescent="0.25">
      <c r="A43" s="329" t="s">
        <v>289</v>
      </c>
      <c r="B43" s="330">
        <v>6</v>
      </c>
      <c r="C43" s="298">
        <v>46319</v>
      </c>
      <c r="D43" s="299" t="s">
        <v>300</v>
      </c>
      <c r="E43" s="522">
        <v>46.4</v>
      </c>
      <c r="F43" s="522"/>
      <c r="G43" s="333">
        <f t="shared" si="1"/>
        <v>7017.7999999999938</v>
      </c>
      <c r="H43" s="334"/>
      <c r="I43" s="335"/>
      <c r="J43" s="336"/>
      <c r="K43" s="301"/>
      <c r="L43" s="336"/>
      <c r="M43" s="301"/>
      <c r="N43" s="336"/>
      <c r="O43" s="301"/>
      <c r="P43" s="336"/>
      <c r="Q43" s="301"/>
      <c r="R43" s="336"/>
      <c r="S43" s="301"/>
      <c r="T43" s="336"/>
    </row>
    <row r="44" spans="1:20" ht="12" customHeight="1" x14ac:dyDescent="0.25">
      <c r="A44" s="329" t="s">
        <v>289</v>
      </c>
      <c r="B44" s="330">
        <v>6</v>
      </c>
      <c r="C44" s="298">
        <v>46319</v>
      </c>
      <c r="D44" s="299" t="s">
        <v>300</v>
      </c>
      <c r="E44" s="522">
        <v>46.83</v>
      </c>
      <c r="F44" s="522"/>
      <c r="G44" s="333">
        <f t="shared" si="1"/>
        <v>7064.1999999999935</v>
      </c>
      <c r="H44" s="334"/>
      <c r="I44" s="335"/>
      <c r="J44" s="336"/>
      <c r="K44" s="301"/>
      <c r="L44" s="336"/>
      <c r="M44" s="301"/>
      <c r="N44" s="336"/>
      <c r="O44" s="301"/>
      <c r="P44" s="336"/>
      <c r="Q44" s="301"/>
      <c r="R44" s="336"/>
      <c r="S44" s="301"/>
      <c r="T44" s="336"/>
    </row>
    <row r="45" spans="1:20" ht="12" customHeight="1" x14ac:dyDescent="0.25">
      <c r="A45" s="329" t="s">
        <v>289</v>
      </c>
      <c r="B45" s="330">
        <v>5</v>
      </c>
      <c r="C45" s="298">
        <v>46318</v>
      </c>
      <c r="D45" s="299" t="s">
        <v>1038</v>
      </c>
      <c r="E45" s="522">
        <v>28.83</v>
      </c>
      <c r="F45" s="522"/>
      <c r="G45" s="333">
        <f t="shared" si="1"/>
        <v>7111.0299999999934</v>
      </c>
      <c r="H45" s="334"/>
      <c r="I45" s="335"/>
      <c r="J45" s="336"/>
      <c r="K45" s="301"/>
      <c r="L45" s="336"/>
      <c r="M45" s="301"/>
      <c r="N45" s="336"/>
      <c r="O45" s="301"/>
      <c r="P45" s="336"/>
      <c r="Q45" s="301"/>
      <c r="R45" s="336"/>
      <c r="S45" s="301"/>
      <c r="T45" s="336"/>
    </row>
    <row r="46" spans="1:20" ht="12" customHeight="1" x14ac:dyDescent="0.25">
      <c r="A46" s="329" t="s">
        <v>287</v>
      </c>
      <c r="B46" s="330" t="s">
        <v>287</v>
      </c>
      <c r="C46" s="298">
        <v>46317</v>
      </c>
      <c r="D46" s="299" t="s">
        <v>315</v>
      </c>
      <c r="E46" s="522">
        <v>134.52000000000001</v>
      </c>
      <c r="F46" s="522">
        <v>134.52000000000001</v>
      </c>
      <c r="G46" s="333">
        <f t="shared" si="1"/>
        <v>7139.8599999999933</v>
      </c>
      <c r="H46" s="334"/>
      <c r="I46" s="335"/>
      <c r="J46" s="336"/>
      <c r="K46" s="301"/>
      <c r="L46" s="336"/>
      <c r="M46" s="301"/>
      <c r="N46" s="336"/>
      <c r="O46" s="301"/>
      <c r="P46" s="336"/>
      <c r="Q46" s="301"/>
      <c r="R46" s="336"/>
      <c r="S46" s="301"/>
      <c r="T46" s="336"/>
    </row>
    <row r="47" spans="1:20" ht="12" customHeight="1" x14ac:dyDescent="0.25">
      <c r="A47" s="329" t="s">
        <v>289</v>
      </c>
      <c r="B47" s="330">
        <v>2</v>
      </c>
      <c r="C47" s="298">
        <v>46317</v>
      </c>
      <c r="D47" s="299" t="s">
        <v>370</v>
      </c>
      <c r="E47" s="522">
        <v>18.77</v>
      </c>
      <c r="F47" s="522"/>
      <c r="G47" s="333">
        <f t="shared" si="1"/>
        <v>7139.8599999999933</v>
      </c>
      <c r="H47" s="334"/>
      <c r="I47" s="335"/>
      <c r="J47" s="336"/>
      <c r="K47" s="301"/>
      <c r="L47" s="336"/>
      <c r="M47" s="301"/>
      <c r="N47" s="336"/>
      <c r="O47" s="301"/>
      <c r="P47" s="336"/>
      <c r="Q47" s="301"/>
      <c r="R47" s="336"/>
      <c r="S47" s="301"/>
      <c r="T47" s="336"/>
    </row>
    <row r="48" spans="1:20" ht="12" customHeight="1" x14ac:dyDescent="0.25">
      <c r="A48" s="329" t="s">
        <v>289</v>
      </c>
      <c r="B48" s="330">
        <v>4</v>
      </c>
      <c r="C48" s="298">
        <v>46317</v>
      </c>
      <c r="D48" s="299" t="s">
        <v>419</v>
      </c>
      <c r="E48" s="522">
        <v>49.49</v>
      </c>
      <c r="F48" s="522"/>
      <c r="G48" s="333">
        <f t="shared" si="1"/>
        <v>7158.6299999999937</v>
      </c>
      <c r="H48" s="334"/>
      <c r="I48" s="335"/>
      <c r="J48" s="336"/>
      <c r="K48" s="301"/>
      <c r="L48" s="336"/>
      <c r="M48" s="301"/>
      <c r="N48" s="336"/>
      <c r="O48" s="301"/>
      <c r="P48" s="336"/>
      <c r="Q48" s="301"/>
      <c r="R48" s="336"/>
      <c r="S48" s="301"/>
      <c r="T48" s="336"/>
    </row>
    <row r="49" spans="1:20" ht="12" customHeight="1" x14ac:dyDescent="0.25">
      <c r="A49" s="329" t="s">
        <v>289</v>
      </c>
      <c r="B49" s="330">
        <v>7</v>
      </c>
      <c r="C49" s="298">
        <v>46317</v>
      </c>
      <c r="D49" s="299" t="s">
        <v>337</v>
      </c>
      <c r="E49" s="522">
        <v>53.49</v>
      </c>
      <c r="F49" s="522"/>
      <c r="G49" s="333">
        <f t="shared" si="1"/>
        <v>7208.1199999999935</v>
      </c>
      <c r="H49" s="334"/>
      <c r="I49" s="335"/>
      <c r="J49" s="336"/>
      <c r="K49" s="301"/>
      <c r="L49" s="336"/>
      <c r="M49" s="301"/>
      <c r="N49" s="336"/>
      <c r="O49" s="301"/>
      <c r="P49" s="336"/>
      <c r="Q49" s="301"/>
      <c r="R49" s="336"/>
      <c r="S49" s="301"/>
      <c r="T49" s="336"/>
    </row>
    <row r="50" spans="1:20" ht="12" customHeight="1" x14ac:dyDescent="0.25">
      <c r="A50" s="329" t="s">
        <v>289</v>
      </c>
      <c r="B50" s="330">
        <v>4</v>
      </c>
      <c r="C50" s="298">
        <v>46317</v>
      </c>
      <c r="D50" s="299" t="s">
        <v>296</v>
      </c>
      <c r="E50" s="522">
        <v>44.14</v>
      </c>
      <c r="F50" s="522"/>
      <c r="G50" s="333">
        <f t="shared" si="1"/>
        <v>7261.6099999999933</v>
      </c>
      <c r="H50" s="334"/>
      <c r="I50" s="335"/>
      <c r="J50" s="336"/>
      <c r="K50" s="301"/>
      <c r="L50" s="336"/>
      <c r="M50" s="301"/>
      <c r="N50" s="336"/>
      <c r="O50" s="301"/>
      <c r="P50" s="336"/>
      <c r="Q50" s="301"/>
      <c r="R50" s="336"/>
      <c r="S50" s="301"/>
      <c r="T50" s="336"/>
    </row>
    <row r="51" spans="1:20" ht="12" customHeight="1" x14ac:dyDescent="0.25">
      <c r="A51" s="329" t="s">
        <v>289</v>
      </c>
      <c r="B51" s="330">
        <v>2</v>
      </c>
      <c r="C51" s="298">
        <v>46317</v>
      </c>
      <c r="D51" s="299" t="s">
        <v>296</v>
      </c>
      <c r="E51" s="522">
        <v>7.63</v>
      </c>
      <c r="F51" s="522"/>
      <c r="G51" s="333">
        <f t="shared" si="1"/>
        <v>7305.7499999999936</v>
      </c>
      <c r="H51" s="334"/>
      <c r="I51" s="335"/>
      <c r="J51" s="336"/>
      <c r="K51" s="301"/>
      <c r="L51" s="336"/>
      <c r="M51" s="301"/>
      <c r="N51" s="336"/>
      <c r="O51" s="301"/>
      <c r="P51" s="336"/>
      <c r="Q51" s="301"/>
      <c r="R51" s="336"/>
      <c r="S51" s="301"/>
      <c r="T51" s="336"/>
    </row>
    <row r="52" spans="1:20" ht="12" customHeight="1" x14ac:dyDescent="0.25">
      <c r="A52" s="329" t="s">
        <v>289</v>
      </c>
      <c r="B52" s="330">
        <v>3</v>
      </c>
      <c r="C52" s="298">
        <v>46317</v>
      </c>
      <c r="D52" s="299" t="s">
        <v>981</v>
      </c>
      <c r="E52" s="522">
        <v>6.73</v>
      </c>
      <c r="F52" s="522"/>
      <c r="G52" s="333">
        <f t="shared" si="1"/>
        <v>7313.3799999999937</v>
      </c>
      <c r="H52" s="334"/>
      <c r="I52" s="335"/>
      <c r="J52" s="336"/>
      <c r="K52" s="301"/>
      <c r="L52" s="336"/>
      <c r="M52" s="301"/>
      <c r="N52" s="336"/>
      <c r="O52" s="301"/>
      <c r="P52" s="336"/>
      <c r="Q52" s="301"/>
      <c r="R52" s="336"/>
      <c r="S52" s="301"/>
      <c r="T52" s="336"/>
    </row>
    <row r="53" spans="1:20" ht="12" customHeight="1" x14ac:dyDescent="0.25">
      <c r="A53" s="329" t="s">
        <v>289</v>
      </c>
      <c r="B53" s="330">
        <v>5</v>
      </c>
      <c r="C53" s="298">
        <v>46316</v>
      </c>
      <c r="D53" s="299" t="s">
        <v>1037</v>
      </c>
      <c r="E53" s="522">
        <v>80</v>
      </c>
      <c r="F53" s="522"/>
      <c r="G53" s="333">
        <f t="shared" si="1"/>
        <v>7320.1099999999933</v>
      </c>
      <c r="H53" s="334" t="s">
        <v>298</v>
      </c>
      <c r="I53" s="335"/>
      <c r="J53" s="336"/>
      <c r="K53" s="301"/>
      <c r="L53" s="336"/>
      <c r="M53" s="301"/>
      <c r="N53" s="336"/>
      <c r="O53" s="301"/>
      <c r="P53" s="336"/>
      <c r="Q53" s="301"/>
      <c r="R53" s="336"/>
      <c r="S53" s="301"/>
      <c r="T53" s="336"/>
    </row>
    <row r="54" spans="1:20" ht="12" customHeight="1" x14ac:dyDescent="0.25">
      <c r="A54" s="329" t="s">
        <v>289</v>
      </c>
      <c r="B54" s="330">
        <v>8</v>
      </c>
      <c r="C54" s="298">
        <v>46316</v>
      </c>
      <c r="D54" s="299" t="s">
        <v>319</v>
      </c>
      <c r="E54" s="522">
        <v>9.0299999999999994</v>
      </c>
      <c r="F54" s="522"/>
      <c r="G54" s="333">
        <f t="shared" si="1"/>
        <v>7400.1099999999933</v>
      </c>
      <c r="H54" s="334"/>
      <c r="I54" s="335"/>
      <c r="J54" s="336"/>
      <c r="K54" s="301"/>
      <c r="L54" s="336"/>
      <c r="M54" s="301"/>
      <c r="N54" s="336"/>
      <c r="O54" s="301"/>
      <c r="P54" s="336"/>
      <c r="Q54" s="301"/>
      <c r="R54" s="336"/>
      <c r="S54" s="301"/>
      <c r="T54" s="336"/>
    </row>
    <row r="55" spans="1:20" ht="12" customHeight="1" x14ac:dyDescent="0.25">
      <c r="A55" s="329" t="s">
        <v>294</v>
      </c>
      <c r="B55" s="330">
        <v>16</v>
      </c>
      <c r="C55" s="298">
        <v>46316</v>
      </c>
      <c r="D55" s="299" t="s">
        <v>1093</v>
      </c>
      <c r="E55" s="522">
        <v>75</v>
      </c>
      <c r="F55" s="522"/>
      <c r="G55" s="333">
        <f t="shared" si="1"/>
        <v>7409.1399999999931</v>
      </c>
      <c r="H55" s="334"/>
      <c r="I55" s="335"/>
      <c r="J55" s="336"/>
      <c r="K55" s="301"/>
      <c r="L55" s="336"/>
      <c r="M55" s="301"/>
      <c r="N55" s="336"/>
      <c r="O55" s="301"/>
      <c r="P55" s="336"/>
      <c r="Q55" s="301"/>
      <c r="R55" s="336"/>
      <c r="S55" s="301"/>
      <c r="T55" s="336"/>
    </row>
    <row r="56" spans="1:20" ht="12" customHeight="1" x14ac:dyDescent="0.25">
      <c r="A56" s="329" t="s">
        <v>294</v>
      </c>
      <c r="B56" s="330">
        <v>16</v>
      </c>
      <c r="C56" s="298">
        <v>46316</v>
      </c>
      <c r="D56" s="299" t="s">
        <v>622</v>
      </c>
      <c r="E56" s="522">
        <v>755.78</v>
      </c>
      <c r="F56" s="522"/>
      <c r="G56" s="333">
        <f t="shared" si="1"/>
        <v>7484.1399999999931</v>
      </c>
      <c r="H56" s="334"/>
      <c r="I56" s="335"/>
      <c r="J56" s="336"/>
      <c r="K56" s="301"/>
      <c r="L56" s="336"/>
      <c r="M56" s="301"/>
      <c r="N56" s="336"/>
      <c r="O56" s="301"/>
      <c r="P56" s="336"/>
      <c r="Q56" s="301"/>
      <c r="R56" s="336"/>
      <c r="S56" s="301"/>
      <c r="T56" s="336"/>
    </row>
    <row r="57" spans="1:20" ht="12" customHeight="1" x14ac:dyDescent="0.25">
      <c r="A57" s="329" t="s">
        <v>289</v>
      </c>
      <c r="B57" s="330">
        <v>6</v>
      </c>
      <c r="C57" s="298">
        <v>46315</v>
      </c>
      <c r="D57" s="299" t="s">
        <v>1019</v>
      </c>
      <c r="E57" s="522">
        <v>13.83</v>
      </c>
      <c r="F57" s="522"/>
      <c r="G57" s="333">
        <f t="shared" si="1"/>
        <v>8239.9199999999928</v>
      </c>
      <c r="H57" s="334"/>
      <c r="I57" s="335"/>
      <c r="J57" s="336"/>
      <c r="K57" s="301"/>
      <c r="L57" s="336"/>
      <c r="M57" s="301"/>
      <c r="N57" s="336"/>
      <c r="O57" s="301"/>
      <c r="P57" s="336"/>
      <c r="Q57" s="301"/>
      <c r="R57" s="336"/>
      <c r="S57" s="301"/>
      <c r="T57" s="336"/>
    </row>
    <row r="58" spans="1:20" ht="12" customHeight="1" x14ac:dyDescent="0.25">
      <c r="A58" s="329" t="s">
        <v>289</v>
      </c>
      <c r="B58" s="330">
        <v>6</v>
      </c>
      <c r="C58" s="298">
        <v>46315</v>
      </c>
      <c r="D58" s="299" t="s">
        <v>426</v>
      </c>
      <c r="E58" s="522">
        <v>-185</v>
      </c>
      <c r="F58" s="522"/>
      <c r="G58" s="333">
        <f t="shared" si="1"/>
        <v>8253.7499999999927</v>
      </c>
      <c r="H58" s="334"/>
      <c r="I58" s="335"/>
      <c r="J58" s="336"/>
      <c r="K58" s="301"/>
      <c r="L58" s="336"/>
      <c r="M58" s="301"/>
      <c r="N58" s="336"/>
      <c r="O58" s="301"/>
      <c r="P58" s="336"/>
      <c r="Q58" s="301"/>
      <c r="R58" s="336"/>
      <c r="S58" s="301"/>
      <c r="T58" s="336"/>
    </row>
    <row r="59" spans="1:20" ht="12" customHeight="1" x14ac:dyDescent="0.25">
      <c r="A59" s="329" t="s">
        <v>289</v>
      </c>
      <c r="B59" s="330">
        <v>5</v>
      </c>
      <c r="C59" s="298">
        <v>46315</v>
      </c>
      <c r="D59" s="299" t="s">
        <v>1110</v>
      </c>
      <c r="E59" s="522">
        <v>87</v>
      </c>
      <c r="F59" s="522"/>
      <c r="G59" s="333">
        <f t="shared" si="1"/>
        <v>8068.7499999999927</v>
      </c>
      <c r="H59" s="334"/>
      <c r="I59" s="335"/>
      <c r="J59" s="336"/>
      <c r="K59" s="301"/>
      <c r="L59" s="336"/>
      <c r="M59" s="301"/>
      <c r="N59" s="336"/>
      <c r="O59" s="301"/>
      <c r="P59" s="336"/>
      <c r="Q59" s="301"/>
      <c r="R59" s="336"/>
      <c r="S59" s="301"/>
      <c r="T59" s="336"/>
    </row>
    <row r="60" spans="1:20" ht="12" customHeight="1" x14ac:dyDescent="0.25">
      <c r="A60" s="329" t="s">
        <v>289</v>
      </c>
      <c r="B60" s="330">
        <v>1</v>
      </c>
      <c r="C60" s="298">
        <v>46314</v>
      </c>
      <c r="D60" s="299" t="s">
        <v>311</v>
      </c>
      <c r="E60" s="522">
        <v>16.87</v>
      </c>
      <c r="F60" s="522"/>
      <c r="G60" s="333">
        <f t="shared" si="1"/>
        <v>8155.7499999999927</v>
      </c>
      <c r="H60" s="334"/>
      <c r="I60" s="335"/>
      <c r="J60" s="336"/>
      <c r="K60" s="301"/>
      <c r="L60" s="336"/>
      <c r="M60" s="301"/>
      <c r="N60" s="336"/>
      <c r="O60" s="301"/>
      <c r="P60" s="336"/>
      <c r="Q60" s="301"/>
      <c r="R60" s="336"/>
      <c r="S60" s="301"/>
      <c r="T60" s="336"/>
    </row>
    <row r="61" spans="1:20" ht="12" customHeight="1" x14ac:dyDescent="0.25">
      <c r="A61" s="329" t="s">
        <v>291</v>
      </c>
      <c r="B61" s="330">
        <v>41</v>
      </c>
      <c r="C61" s="298">
        <v>46314</v>
      </c>
      <c r="D61" s="299" t="s">
        <v>1104</v>
      </c>
      <c r="E61" s="522"/>
      <c r="F61" s="522">
        <v>800</v>
      </c>
      <c r="G61" s="333">
        <f t="shared" si="1"/>
        <v>8172.6199999999926</v>
      </c>
      <c r="H61" s="334"/>
      <c r="I61" s="335"/>
      <c r="J61" s="336"/>
      <c r="K61" s="301"/>
      <c r="L61" s="336"/>
      <c r="M61" s="301"/>
      <c r="N61" s="336"/>
      <c r="O61" s="301"/>
      <c r="P61" s="336"/>
      <c r="Q61" s="301"/>
      <c r="R61" s="336"/>
      <c r="S61" s="301"/>
      <c r="T61" s="336"/>
    </row>
    <row r="62" spans="1:20" ht="12" customHeight="1" x14ac:dyDescent="0.25">
      <c r="A62" s="329" t="s">
        <v>335</v>
      </c>
      <c r="B62" s="330" t="s">
        <v>335</v>
      </c>
      <c r="C62" s="298">
        <v>46314</v>
      </c>
      <c r="D62" s="299" t="s">
        <v>458</v>
      </c>
      <c r="E62" s="522"/>
      <c r="F62" s="522">
        <v>200</v>
      </c>
      <c r="G62" s="333">
        <f t="shared" si="1"/>
        <v>7372.6199999999926</v>
      </c>
      <c r="H62" s="334"/>
      <c r="I62" s="335"/>
      <c r="J62" s="336"/>
      <c r="K62" s="301"/>
      <c r="L62" s="336"/>
      <c r="M62" s="301"/>
      <c r="N62" s="336"/>
      <c r="O62" s="301"/>
      <c r="P62" s="336"/>
      <c r="Q62" s="301"/>
      <c r="R62" s="336"/>
      <c r="S62" s="301"/>
      <c r="T62" s="336"/>
    </row>
    <row r="63" spans="1:20" ht="12" customHeight="1" x14ac:dyDescent="0.25">
      <c r="A63" s="329" t="s">
        <v>289</v>
      </c>
      <c r="B63" s="330">
        <v>1</v>
      </c>
      <c r="C63" s="298">
        <v>46314</v>
      </c>
      <c r="D63" s="299" t="s">
        <v>306</v>
      </c>
      <c r="E63" s="522">
        <v>108.9</v>
      </c>
      <c r="F63" s="522"/>
      <c r="G63" s="333">
        <f t="shared" ref="G63:G98" si="2">G64-E63+F63</f>
        <v>7172.6199999999926</v>
      </c>
      <c r="H63" s="334"/>
      <c r="I63" s="335"/>
      <c r="J63" s="336"/>
      <c r="K63" s="301"/>
      <c r="L63" s="336"/>
      <c r="M63" s="301"/>
      <c r="N63" s="336"/>
      <c r="O63" s="301"/>
      <c r="P63" s="336"/>
      <c r="Q63" s="301"/>
      <c r="R63" s="336"/>
      <c r="S63" s="301"/>
      <c r="T63" s="336"/>
    </row>
    <row r="64" spans="1:20" ht="12" customHeight="1" x14ac:dyDescent="0.25">
      <c r="A64" s="329" t="s">
        <v>289</v>
      </c>
      <c r="B64" s="330">
        <v>4</v>
      </c>
      <c r="C64" s="298">
        <v>46314</v>
      </c>
      <c r="D64" s="299" t="s">
        <v>334</v>
      </c>
      <c r="E64" s="522">
        <v>42.01</v>
      </c>
      <c r="F64" s="522"/>
      <c r="G64" s="333">
        <f t="shared" si="2"/>
        <v>7281.5199999999923</v>
      </c>
      <c r="H64" s="334"/>
      <c r="I64" s="335"/>
      <c r="J64" s="336"/>
      <c r="K64" s="301"/>
      <c r="L64" s="336"/>
      <c r="M64" s="301"/>
      <c r="N64" s="336"/>
      <c r="O64" s="301"/>
      <c r="P64" s="336"/>
      <c r="Q64" s="301"/>
      <c r="R64" s="336"/>
      <c r="S64" s="301"/>
      <c r="T64" s="336"/>
    </row>
    <row r="65" spans="1:20" ht="12" customHeight="1" x14ac:dyDescent="0.25">
      <c r="A65" s="329" t="s">
        <v>289</v>
      </c>
      <c r="B65" s="330">
        <v>8</v>
      </c>
      <c r="C65" s="298">
        <v>46314</v>
      </c>
      <c r="D65" s="299" t="s">
        <v>1109</v>
      </c>
      <c r="E65" s="522">
        <v>39.07</v>
      </c>
      <c r="F65" s="522"/>
      <c r="G65" s="333">
        <f t="shared" si="2"/>
        <v>7323.5299999999925</v>
      </c>
      <c r="H65" s="334"/>
      <c r="I65" s="335"/>
      <c r="J65" s="336"/>
      <c r="K65" s="301"/>
      <c r="L65" s="336"/>
      <c r="M65" s="301"/>
      <c r="N65" s="336"/>
      <c r="O65" s="301"/>
      <c r="P65" s="336"/>
      <c r="Q65" s="301"/>
      <c r="R65" s="336"/>
      <c r="S65" s="301"/>
      <c r="T65" s="336"/>
    </row>
    <row r="66" spans="1:20" ht="12" customHeight="1" x14ac:dyDescent="0.25">
      <c r="A66" s="329" t="s">
        <v>289</v>
      </c>
      <c r="B66" s="330">
        <v>2</v>
      </c>
      <c r="C66" s="298">
        <v>46314</v>
      </c>
      <c r="D66" s="299" t="s">
        <v>471</v>
      </c>
      <c r="E66" s="522">
        <v>41.32</v>
      </c>
      <c r="F66" s="522"/>
      <c r="G66" s="333">
        <f t="shared" si="2"/>
        <v>7362.5999999999922</v>
      </c>
      <c r="H66" s="334"/>
      <c r="I66" s="335"/>
      <c r="J66" s="336"/>
      <c r="K66" s="301"/>
      <c r="L66" s="336"/>
      <c r="M66" s="301"/>
      <c r="N66" s="336"/>
      <c r="O66" s="301"/>
      <c r="P66" s="336"/>
      <c r="Q66" s="301"/>
      <c r="R66" s="336"/>
      <c r="S66" s="301"/>
      <c r="T66" s="336"/>
    </row>
    <row r="67" spans="1:20" ht="12" customHeight="1" x14ac:dyDescent="0.25">
      <c r="A67" s="329" t="s">
        <v>294</v>
      </c>
      <c r="B67" s="330">
        <v>22</v>
      </c>
      <c r="C67" s="298">
        <v>46314</v>
      </c>
      <c r="D67" s="299" t="s">
        <v>921</v>
      </c>
      <c r="E67" s="522">
        <v>7.46</v>
      </c>
      <c r="F67" s="522"/>
      <c r="G67" s="333">
        <f t="shared" si="2"/>
        <v>7403.9199999999919</v>
      </c>
      <c r="H67" s="334"/>
      <c r="I67" s="335"/>
      <c r="J67" s="336"/>
      <c r="K67" s="301"/>
      <c r="L67" s="336"/>
      <c r="M67" s="301"/>
      <c r="N67" s="336"/>
      <c r="O67" s="301"/>
      <c r="P67" s="336"/>
      <c r="Q67" s="301"/>
      <c r="R67" s="336"/>
      <c r="S67" s="301"/>
      <c r="T67" s="336"/>
    </row>
    <row r="68" spans="1:20" ht="12" customHeight="1" x14ac:dyDescent="0.25">
      <c r="A68" s="329" t="s">
        <v>289</v>
      </c>
      <c r="B68" s="330">
        <v>6</v>
      </c>
      <c r="C68" s="298">
        <v>46314</v>
      </c>
      <c r="D68" s="299" t="s">
        <v>300</v>
      </c>
      <c r="E68" s="522">
        <v>40.409999999999997</v>
      </c>
      <c r="F68" s="522"/>
      <c r="G68" s="333">
        <f t="shared" si="2"/>
        <v>7411.3799999999919</v>
      </c>
      <c r="H68" s="334"/>
      <c r="I68" s="335"/>
      <c r="J68" s="336"/>
      <c r="K68" s="301"/>
      <c r="L68" s="336"/>
      <c r="M68" s="301"/>
      <c r="N68" s="336"/>
      <c r="O68" s="301"/>
      <c r="P68" s="336"/>
      <c r="Q68" s="301"/>
      <c r="R68" s="336"/>
      <c r="S68" s="301"/>
      <c r="T68" s="336"/>
    </row>
    <row r="69" spans="1:20" ht="12" customHeight="1" x14ac:dyDescent="0.25">
      <c r="A69" s="329" t="s">
        <v>294</v>
      </c>
      <c r="B69" s="330">
        <v>17</v>
      </c>
      <c r="C69" s="298">
        <v>46314</v>
      </c>
      <c r="D69" s="299" t="s">
        <v>188</v>
      </c>
      <c r="E69" s="522">
        <v>42.65</v>
      </c>
      <c r="F69" s="522"/>
      <c r="G69" s="333">
        <f t="shared" si="2"/>
        <v>7451.7899999999918</v>
      </c>
      <c r="H69" s="334"/>
      <c r="I69" s="335"/>
      <c r="J69" s="336"/>
      <c r="K69" s="301"/>
      <c r="L69" s="336"/>
      <c r="M69" s="301"/>
      <c r="N69" s="336"/>
      <c r="O69" s="301"/>
      <c r="P69" s="336"/>
      <c r="Q69" s="301"/>
      <c r="R69" s="336"/>
      <c r="S69" s="301"/>
      <c r="T69" s="336"/>
    </row>
    <row r="70" spans="1:20" ht="12" customHeight="1" x14ac:dyDescent="0.25">
      <c r="A70" s="329" t="s">
        <v>294</v>
      </c>
      <c r="B70" s="330">
        <v>22</v>
      </c>
      <c r="C70" s="298">
        <v>46314</v>
      </c>
      <c r="D70" s="299" t="s">
        <v>323</v>
      </c>
      <c r="E70" s="522">
        <v>23.42</v>
      </c>
      <c r="F70" s="522"/>
      <c r="G70" s="333">
        <f t="shared" si="2"/>
        <v>7494.4399999999914</v>
      </c>
      <c r="H70" s="334"/>
      <c r="I70" s="335"/>
      <c r="J70" s="336"/>
      <c r="K70" s="301"/>
      <c r="L70" s="336"/>
      <c r="M70" s="301"/>
      <c r="N70" s="336"/>
      <c r="O70" s="301"/>
      <c r="P70" s="336"/>
      <c r="Q70" s="301"/>
      <c r="R70" s="336"/>
      <c r="S70" s="301"/>
      <c r="T70" s="336"/>
    </row>
    <row r="71" spans="1:20" ht="12" customHeight="1" x14ac:dyDescent="0.25">
      <c r="A71" s="329" t="s">
        <v>294</v>
      </c>
      <c r="B71" s="330">
        <v>23</v>
      </c>
      <c r="C71" s="298">
        <v>46314</v>
      </c>
      <c r="D71" s="299" t="s">
        <v>63</v>
      </c>
      <c r="E71" s="522">
        <v>529.46</v>
      </c>
      <c r="F71" s="522"/>
      <c r="G71" s="333">
        <f t="shared" si="2"/>
        <v>7517.8599999999915</v>
      </c>
      <c r="H71" s="334"/>
      <c r="I71" s="335"/>
      <c r="J71" s="336"/>
      <c r="K71" s="301"/>
      <c r="L71" s="336"/>
      <c r="M71" s="301"/>
      <c r="N71" s="336"/>
      <c r="O71" s="301"/>
      <c r="P71" s="336"/>
      <c r="Q71" s="301"/>
      <c r="R71" s="336"/>
      <c r="S71" s="301"/>
      <c r="T71" s="336"/>
    </row>
    <row r="72" spans="1:20" ht="12" customHeight="1" x14ac:dyDescent="0.25">
      <c r="A72" s="329" t="s">
        <v>289</v>
      </c>
      <c r="B72" s="330">
        <v>6</v>
      </c>
      <c r="C72" s="298">
        <v>46314</v>
      </c>
      <c r="D72" s="299" t="s">
        <v>1067</v>
      </c>
      <c r="E72" s="522">
        <v>100</v>
      </c>
      <c r="F72" s="522"/>
      <c r="G72" s="333">
        <f t="shared" si="2"/>
        <v>8047.3199999999915</v>
      </c>
      <c r="H72" s="334"/>
      <c r="I72" s="335"/>
      <c r="J72" s="336"/>
      <c r="K72" s="301"/>
      <c r="L72" s="336"/>
      <c r="M72" s="301"/>
      <c r="N72" s="336"/>
      <c r="O72" s="301"/>
      <c r="P72" s="336"/>
      <c r="Q72" s="301"/>
      <c r="R72" s="336"/>
      <c r="S72" s="301"/>
      <c r="T72" s="336"/>
    </row>
    <row r="73" spans="1:20" ht="12" customHeight="1" x14ac:dyDescent="0.25">
      <c r="A73" s="329" t="s">
        <v>289</v>
      </c>
      <c r="B73" s="330">
        <v>5</v>
      </c>
      <c r="C73" s="298">
        <v>46313</v>
      </c>
      <c r="D73" s="299" t="s">
        <v>1063</v>
      </c>
      <c r="E73" s="522">
        <v>37.99</v>
      </c>
      <c r="F73" s="522"/>
      <c r="G73" s="333">
        <f t="shared" si="2"/>
        <v>8147.3199999999915</v>
      </c>
      <c r="H73" s="334"/>
      <c r="I73" s="335"/>
      <c r="J73" s="336"/>
      <c r="K73" s="301"/>
      <c r="L73" s="336"/>
      <c r="M73" s="301"/>
      <c r="N73" s="336"/>
      <c r="O73" s="301"/>
      <c r="P73" s="336"/>
      <c r="Q73" s="301"/>
      <c r="R73" s="336"/>
      <c r="S73" s="301"/>
      <c r="T73" s="336"/>
    </row>
    <row r="74" spans="1:20" ht="12" customHeight="1" x14ac:dyDescent="0.25">
      <c r="A74" s="329" t="s">
        <v>289</v>
      </c>
      <c r="B74" s="330">
        <v>6</v>
      </c>
      <c r="C74" s="298">
        <v>46313</v>
      </c>
      <c r="D74" s="299" t="s">
        <v>306</v>
      </c>
      <c r="E74" s="522">
        <v>67.53</v>
      </c>
      <c r="F74" s="522"/>
      <c r="G74" s="333">
        <f t="shared" si="2"/>
        <v>8185.3099999999913</v>
      </c>
      <c r="H74" s="334"/>
      <c r="I74" s="335"/>
      <c r="J74" s="336"/>
      <c r="K74" s="301"/>
      <c r="L74" s="336"/>
      <c r="M74" s="301"/>
      <c r="N74" s="336"/>
      <c r="O74" s="301"/>
      <c r="P74" s="336"/>
      <c r="Q74" s="301"/>
      <c r="R74" s="336"/>
      <c r="S74" s="301"/>
      <c r="T74" s="336"/>
    </row>
    <row r="75" spans="1:20" ht="12" customHeight="1" x14ac:dyDescent="0.25">
      <c r="A75" s="329" t="s">
        <v>294</v>
      </c>
      <c r="B75" s="330">
        <v>22</v>
      </c>
      <c r="C75" s="298">
        <v>46313</v>
      </c>
      <c r="D75" s="299" t="s">
        <v>1108</v>
      </c>
      <c r="E75" s="522">
        <v>149.09</v>
      </c>
      <c r="F75" s="522"/>
      <c r="G75" s="333">
        <f t="shared" si="2"/>
        <v>8252.8399999999911</v>
      </c>
      <c r="H75" s="334"/>
      <c r="I75" s="335"/>
      <c r="J75" s="336"/>
      <c r="K75" s="301"/>
      <c r="L75" s="336"/>
      <c r="M75" s="301"/>
      <c r="N75" s="336"/>
      <c r="O75" s="301"/>
      <c r="P75" s="336"/>
      <c r="Q75" s="301"/>
      <c r="R75" s="336"/>
      <c r="S75" s="301"/>
      <c r="T75" s="336"/>
    </row>
    <row r="76" spans="1:20" ht="12" customHeight="1" x14ac:dyDescent="0.25">
      <c r="A76" s="329" t="s">
        <v>294</v>
      </c>
      <c r="B76" s="330">
        <v>22</v>
      </c>
      <c r="C76" s="298">
        <v>46313</v>
      </c>
      <c r="D76" s="299" t="s">
        <v>928</v>
      </c>
      <c r="E76" s="522">
        <v>13.84</v>
      </c>
      <c r="F76" s="522"/>
      <c r="G76" s="333">
        <f t="shared" si="2"/>
        <v>8401.9299999999912</v>
      </c>
      <c r="H76" s="334"/>
      <c r="I76" s="335"/>
      <c r="J76" s="336"/>
      <c r="K76" s="301"/>
      <c r="L76" s="336"/>
      <c r="M76" s="301"/>
      <c r="N76" s="336"/>
      <c r="O76" s="301"/>
      <c r="P76" s="336"/>
      <c r="Q76" s="301"/>
      <c r="R76" s="336"/>
      <c r="S76" s="301"/>
      <c r="T76" s="336"/>
    </row>
    <row r="77" spans="1:20" ht="12" customHeight="1" x14ac:dyDescent="0.25">
      <c r="A77" s="329" t="s">
        <v>289</v>
      </c>
      <c r="B77" s="330">
        <v>8</v>
      </c>
      <c r="C77" s="298">
        <v>46313</v>
      </c>
      <c r="D77" s="299" t="s">
        <v>1107</v>
      </c>
      <c r="E77" s="522">
        <v>16.47</v>
      </c>
      <c r="F77" s="522"/>
      <c r="G77" s="333">
        <f t="shared" si="2"/>
        <v>8415.7699999999913</v>
      </c>
      <c r="H77" s="334"/>
      <c r="I77" s="335"/>
      <c r="J77" s="336"/>
      <c r="K77" s="301"/>
      <c r="L77" s="336"/>
      <c r="M77" s="301"/>
      <c r="N77" s="336"/>
      <c r="O77" s="301"/>
      <c r="P77" s="336"/>
      <c r="Q77" s="301"/>
      <c r="R77" s="336"/>
      <c r="S77" s="301"/>
      <c r="T77" s="336"/>
    </row>
    <row r="78" spans="1:20" ht="12" customHeight="1" x14ac:dyDescent="0.25">
      <c r="A78" s="329" t="s">
        <v>289</v>
      </c>
      <c r="B78" s="330">
        <v>6</v>
      </c>
      <c r="C78" s="298">
        <v>46312</v>
      </c>
      <c r="D78" s="299" t="s">
        <v>423</v>
      </c>
      <c r="E78" s="522">
        <v>5</v>
      </c>
      <c r="F78" s="522"/>
      <c r="G78" s="333">
        <f t="shared" si="2"/>
        <v>8432.2399999999907</v>
      </c>
      <c r="H78" s="334"/>
      <c r="I78" s="335"/>
      <c r="J78" s="336"/>
      <c r="K78" s="301"/>
      <c r="L78" s="336"/>
      <c r="M78" s="301"/>
      <c r="N78" s="336"/>
      <c r="O78" s="301"/>
      <c r="P78" s="336"/>
      <c r="Q78" s="301"/>
      <c r="R78" s="336"/>
      <c r="S78" s="301"/>
      <c r="T78" s="336"/>
    </row>
    <row r="79" spans="1:20" ht="12" customHeight="1" x14ac:dyDescent="0.25">
      <c r="A79" s="329" t="s">
        <v>289</v>
      </c>
      <c r="B79" s="330">
        <v>2</v>
      </c>
      <c r="C79" s="298">
        <v>46312</v>
      </c>
      <c r="D79" s="299" t="s">
        <v>308</v>
      </c>
      <c r="E79" s="522">
        <v>124.44</v>
      </c>
      <c r="F79" s="522"/>
      <c r="G79" s="333">
        <f t="shared" si="2"/>
        <v>8437.2399999999907</v>
      </c>
      <c r="H79" s="334"/>
      <c r="I79" s="335"/>
      <c r="J79" s="336"/>
      <c r="K79" s="301"/>
      <c r="L79" s="336"/>
      <c r="M79" s="301"/>
      <c r="N79" s="336"/>
      <c r="O79" s="301"/>
      <c r="P79" s="336"/>
      <c r="Q79" s="301"/>
      <c r="R79" s="336"/>
      <c r="S79" s="301"/>
      <c r="T79" s="336"/>
    </row>
    <row r="80" spans="1:20" ht="12" customHeight="1" x14ac:dyDescent="0.25">
      <c r="A80" s="329" t="s">
        <v>294</v>
      </c>
      <c r="B80" s="330">
        <v>42</v>
      </c>
      <c r="C80" s="298">
        <v>46312</v>
      </c>
      <c r="D80" s="299" t="s">
        <v>333</v>
      </c>
      <c r="E80" s="522">
        <v>22.35</v>
      </c>
      <c r="F80" s="522"/>
      <c r="G80" s="333">
        <f t="shared" si="2"/>
        <v>8561.6799999999912</v>
      </c>
      <c r="H80" s="334"/>
      <c r="I80" s="335"/>
      <c r="J80" s="336"/>
      <c r="K80" s="301"/>
      <c r="L80" s="336"/>
      <c r="M80" s="301"/>
      <c r="N80" s="336"/>
      <c r="O80" s="301"/>
      <c r="P80" s="336"/>
      <c r="Q80" s="301"/>
      <c r="R80" s="336"/>
      <c r="S80" s="301"/>
      <c r="T80" s="336"/>
    </row>
    <row r="81" spans="1:20" ht="12" customHeight="1" x14ac:dyDescent="0.25">
      <c r="A81" s="329" t="s">
        <v>294</v>
      </c>
      <c r="B81" s="330">
        <v>43</v>
      </c>
      <c r="C81" s="298">
        <v>46312</v>
      </c>
      <c r="D81" s="299" t="s">
        <v>333</v>
      </c>
      <c r="E81" s="522">
        <v>22.35</v>
      </c>
      <c r="F81" s="522"/>
      <c r="G81" s="333">
        <f t="shared" si="2"/>
        <v>8584.0299999999916</v>
      </c>
      <c r="H81" s="334"/>
      <c r="I81" s="335"/>
      <c r="J81" s="336"/>
      <c r="K81" s="301"/>
      <c r="L81" s="336"/>
      <c r="M81" s="301"/>
      <c r="N81" s="336"/>
      <c r="O81" s="301"/>
      <c r="P81" s="336"/>
      <c r="Q81" s="301"/>
      <c r="R81" s="336"/>
      <c r="S81" s="301"/>
      <c r="T81" s="336"/>
    </row>
    <row r="82" spans="1:20" ht="12" customHeight="1" x14ac:dyDescent="0.25">
      <c r="A82" s="329" t="s">
        <v>294</v>
      </c>
      <c r="B82" s="330">
        <v>21</v>
      </c>
      <c r="C82" s="298">
        <v>46312</v>
      </c>
      <c r="D82" s="299" t="s">
        <v>194</v>
      </c>
      <c r="E82" s="522">
        <v>81</v>
      </c>
      <c r="F82" s="522"/>
      <c r="G82" s="333">
        <f t="shared" si="2"/>
        <v>8606.3799999999919</v>
      </c>
      <c r="H82" s="334"/>
      <c r="I82" s="335"/>
      <c r="J82" s="336"/>
      <c r="K82" s="301"/>
      <c r="L82" s="336"/>
      <c r="M82" s="301"/>
      <c r="N82" s="336"/>
      <c r="O82" s="301"/>
      <c r="P82" s="336"/>
      <c r="Q82" s="301"/>
      <c r="R82" s="336"/>
      <c r="S82" s="301"/>
      <c r="T82" s="336"/>
    </row>
    <row r="83" spans="1:20" ht="12" customHeight="1" x14ac:dyDescent="0.25">
      <c r="A83" s="329" t="s">
        <v>289</v>
      </c>
      <c r="B83" s="330">
        <v>2</v>
      </c>
      <c r="C83" s="298">
        <v>46312</v>
      </c>
      <c r="D83" s="299" t="s">
        <v>407</v>
      </c>
      <c r="E83" s="522">
        <v>14.03</v>
      </c>
      <c r="F83" s="522"/>
      <c r="G83" s="333">
        <f t="shared" si="2"/>
        <v>8687.3799999999919</v>
      </c>
      <c r="H83" s="334"/>
      <c r="I83" s="335"/>
      <c r="J83" s="336"/>
      <c r="K83" s="301"/>
      <c r="L83" s="336"/>
      <c r="M83" s="301"/>
      <c r="N83" s="336"/>
      <c r="O83" s="301"/>
      <c r="P83" s="336"/>
      <c r="Q83" s="301"/>
      <c r="R83" s="336"/>
      <c r="S83" s="301"/>
      <c r="T83" s="336"/>
    </row>
    <row r="84" spans="1:20" ht="12" customHeight="1" x14ac:dyDescent="0.25">
      <c r="A84" s="329" t="s">
        <v>289</v>
      </c>
      <c r="B84" s="330">
        <v>2</v>
      </c>
      <c r="C84" s="298">
        <v>46312</v>
      </c>
      <c r="D84" s="299" t="s">
        <v>345</v>
      </c>
      <c r="E84" s="522">
        <v>22.41</v>
      </c>
      <c r="F84" s="522"/>
      <c r="G84" s="333">
        <f t="shared" si="2"/>
        <v>8701.4099999999926</v>
      </c>
      <c r="H84" s="334"/>
      <c r="I84" s="335"/>
      <c r="J84" s="336"/>
      <c r="K84" s="301"/>
      <c r="L84" s="336"/>
      <c r="M84" s="301"/>
      <c r="N84" s="336"/>
      <c r="O84" s="301"/>
      <c r="P84" s="336"/>
      <c r="Q84" s="301"/>
      <c r="R84" s="336"/>
      <c r="S84" s="301"/>
      <c r="T84" s="336"/>
    </row>
    <row r="85" spans="1:20" ht="12" customHeight="1" x14ac:dyDescent="0.25">
      <c r="A85" s="329" t="s">
        <v>289</v>
      </c>
      <c r="B85" s="330">
        <v>6</v>
      </c>
      <c r="C85" s="298">
        <v>46311</v>
      </c>
      <c r="D85" s="299" t="s">
        <v>312</v>
      </c>
      <c r="E85" s="522">
        <v>35.909999999999997</v>
      </c>
      <c r="F85" s="522"/>
      <c r="G85" s="333">
        <f t="shared" si="2"/>
        <v>8723.8199999999924</v>
      </c>
      <c r="H85" s="334"/>
      <c r="I85" s="335"/>
      <c r="J85" s="336"/>
      <c r="K85" s="301"/>
      <c r="L85" s="336"/>
      <c r="M85" s="301"/>
      <c r="N85" s="336"/>
      <c r="O85" s="301"/>
      <c r="P85" s="336"/>
      <c r="Q85" s="301"/>
      <c r="R85" s="336"/>
      <c r="S85" s="301"/>
      <c r="T85" s="336"/>
    </row>
    <row r="86" spans="1:20" ht="12" customHeight="1" x14ac:dyDescent="0.25">
      <c r="A86" s="329" t="s">
        <v>289</v>
      </c>
      <c r="B86" s="330">
        <v>8</v>
      </c>
      <c r="C86" s="298">
        <v>46311</v>
      </c>
      <c r="D86" s="299" t="s">
        <v>334</v>
      </c>
      <c r="E86" s="522">
        <v>4.3600000000000003</v>
      </c>
      <c r="F86" s="522"/>
      <c r="G86" s="333">
        <f t="shared" si="2"/>
        <v>8759.7299999999923</v>
      </c>
      <c r="H86" s="334"/>
      <c r="I86" s="335"/>
      <c r="J86" s="336"/>
      <c r="K86" s="301"/>
      <c r="L86" s="336"/>
      <c r="M86" s="301"/>
      <c r="N86" s="336"/>
      <c r="O86" s="301"/>
      <c r="P86" s="336"/>
      <c r="Q86" s="301"/>
      <c r="R86" s="336"/>
      <c r="S86" s="301"/>
      <c r="T86" s="336"/>
    </row>
    <row r="87" spans="1:20" ht="12" customHeight="1" x14ac:dyDescent="0.25">
      <c r="A87" s="329" t="s">
        <v>289</v>
      </c>
      <c r="B87" s="330">
        <v>4</v>
      </c>
      <c r="C87" s="298">
        <v>46311</v>
      </c>
      <c r="D87" s="299" t="s">
        <v>334</v>
      </c>
      <c r="E87" s="522">
        <v>43</v>
      </c>
      <c r="F87" s="522"/>
      <c r="G87" s="333">
        <f t="shared" si="2"/>
        <v>8764.0899999999929</v>
      </c>
      <c r="H87" s="334"/>
      <c r="I87" s="335"/>
      <c r="J87" s="336"/>
      <c r="K87" s="301"/>
      <c r="L87" s="336"/>
      <c r="M87" s="301"/>
      <c r="N87" s="336"/>
      <c r="O87" s="301"/>
      <c r="P87" s="336"/>
      <c r="Q87" s="301"/>
      <c r="R87" s="336"/>
      <c r="S87" s="301"/>
      <c r="T87" s="336"/>
    </row>
    <row r="88" spans="1:20" ht="12" customHeight="1" x14ac:dyDescent="0.25">
      <c r="A88" s="329" t="s">
        <v>289</v>
      </c>
      <c r="B88" s="330">
        <v>2</v>
      </c>
      <c r="C88" s="298">
        <v>46311</v>
      </c>
      <c r="D88" s="299" t="s">
        <v>301</v>
      </c>
      <c r="E88" s="522">
        <v>12.1</v>
      </c>
      <c r="F88" s="522"/>
      <c r="G88" s="333">
        <f t="shared" si="2"/>
        <v>8807.0899999999929</v>
      </c>
      <c r="H88" s="334"/>
      <c r="I88" s="335"/>
      <c r="J88" s="336"/>
      <c r="K88" s="301"/>
      <c r="L88" s="336"/>
      <c r="M88" s="301"/>
      <c r="N88" s="336"/>
      <c r="O88" s="301"/>
      <c r="P88" s="336"/>
      <c r="Q88" s="301"/>
      <c r="R88" s="336"/>
      <c r="S88" s="301"/>
      <c r="T88" s="336"/>
    </row>
    <row r="89" spans="1:20" ht="12" customHeight="1" x14ac:dyDescent="0.25">
      <c r="A89" s="329" t="s">
        <v>289</v>
      </c>
      <c r="B89" s="330">
        <v>8</v>
      </c>
      <c r="C89" s="298">
        <v>46311</v>
      </c>
      <c r="D89" s="299" t="s">
        <v>455</v>
      </c>
      <c r="E89" s="522">
        <v>15</v>
      </c>
      <c r="F89" s="522"/>
      <c r="G89" s="333">
        <f t="shared" si="2"/>
        <v>8819.1899999999932</v>
      </c>
      <c r="H89" s="334"/>
      <c r="I89" s="335"/>
      <c r="J89" s="336"/>
      <c r="K89" s="301"/>
      <c r="L89" s="336"/>
      <c r="M89" s="301"/>
      <c r="N89" s="336"/>
      <c r="O89" s="301"/>
      <c r="P89" s="336"/>
      <c r="Q89" s="301"/>
      <c r="R89" s="336"/>
      <c r="S89" s="301"/>
      <c r="T89" s="336"/>
    </row>
    <row r="90" spans="1:20" ht="12" customHeight="1" x14ac:dyDescent="0.25">
      <c r="A90" s="329" t="s">
        <v>289</v>
      </c>
      <c r="B90" s="330">
        <v>6</v>
      </c>
      <c r="C90" s="298">
        <v>46311</v>
      </c>
      <c r="D90" s="299" t="s">
        <v>1106</v>
      </c>
      <c r="E90" s="522">
        <v>207.8</v>
      </c>
      <c r="F90" s="522"/>
      <c r="G90" s="333">
        <f t="shared" si="2"/>
        <v>8834.1899999999932</v>
      </c>
      <c r="H90" s="334"/>
      <c r="I90" s="335"/>
      <c r="J90" s="336"/>
      <c r="K90" s="301"/>
      <c r="L90" s="336"/>
      <c r="M90" s="301"/>
      <c r="N90" s="336"/>
      <c r="O90" s="301"/>
      <c r="P90" s="336"/>
      <c r="Q90" s="301"/>
      <c r="R90" s="336"/>
      <c r="S90" s="301"/>
      <c r="T90" s="336"/>
    </row>
    <row r="91" spans="1:20" ht="12" customHeight="1" x14ac:dyDescent="0.25">
      <c r="A91" s="329" t="s">
        <v>287</v>
      </c>
      <c r="B91" s="330" t="s">
        <v>287</v>
      </c>
      <c r="C91" s="298">
        <v>46311</v>
      </c>
      <c r="D91" s="299" t="s">
        <v>1105</v>
      </c>
      <c r="E91" s="522"/>
      <c r="F91" s="522">
        <v>200</v>
      </c>
      <c r="G91" s="333">
        <f t="shared" si="2"/>
        <v>9041.9899999999925</v>
      </c>
      <c r="H91" s="334" t="s">
        <v>298</v>
      </c>
      <c r="I91" s="335"/>
      <c r="J91" s="336"/>
      <c r="K91" s="301"/>
      <c r="L91" s="336"/>
      <c r="M91" s="301"/>
      <c r="N91" s="336"/>
      <c r="O91" s="301"/>
      <c r="P91" s="336"/>
      <c r="Q91" s="301"/>
      <c r="R91" s="336"/>
      <c r="S91" s="301"/>
      <c r="T91" s="336"/>
    </row>
    <row r="92" spans="1:20" ht="12" customHeight="1" x14ac:dyDescent="0.25">
      <c r="A92" s="329" t="s">
        <v>287</v>
      </c>
      <c r="B92" s="330" t="s">
        <v>287</v>
      </c>
      <c r="C92" s="298">
        <v>46311</v>
      </c>
      <c r="D92" s="299" t="s">
        <v>302</v>
      </c>
      <c r="E92" s="522">
        <v>200</v>
      </c>
      <c r="F92" s="522"/>
      <c r="G92" s="333">
        <f t="shared" si="2"/>
        <v>8841.9899999999925</v>
      </c>
      <c r="H92" s="334"/>
      <c r="I92" s="335"/>
      <c r="J92" s="336"/>
      <c r="K92" s="301"/>
      <c r="L92" s="336"/>
      <c r="M92" s="301"/>
      <c r="N92" s="336"/>
      <c r="O92" s="301"/>
      <c r="P92" s="336"/>
      <c r="Q92" s="301"/>
      <c r="R92" s="336"/>
      <c r="S92" s="301"/>
      <c r="T92" s="336"/>
    </row>
    <row r="93" spans="1:20" ht="12" customHeight="1" x14ac:dyDescent="0.25">
      <c r="A93" s="329" t="s">
        <v>289</v>
      </c>
      <c r="B93" s="330">
        <v>1</v>
      </c>
      <c r="C93" s="298">
        <v>46310</v>
      </c>
      <c r="D93" s="299" t="s">
        <v>311</v>
      </c>
      <c r="E93" s="522">
        <v>4.18</v>
      </c>
      <c r="F93" s="522"/>
      <c r="G93" s="333">
        <f t="shared" si="2"/>
        <v>9041.9899999999925</v>
      </c>
      <c r="H93" s="334"/>
      <c r="I93" s="335"/>
      <c r="J93" s="336"/>
      <c r="K93" s="301"/>
      <c r="L93" s="336"/>
      <c r="M93" s="301"/>
      <c r="N93" s="336"/>
      <c r="O93" s="301"/>
      <c r="P93" s="336"/>
      <c r="Q93" s="301"/>
      <c r="R93" s="336"/>
      <c r="S93" s="301"/>
      <c r="T93" s="336"/>
    </row>
    <row r="94" spans="1:20" ht="12" customHeight="1" x14ac:dyDescent="0.25">
      <c r="A94" s="329" t="s">
        <v>289</v>
      </c>
      <c r="B94" s="330">
        <v>2</v>
      </c>
      <c r="C94" s="298">
        <v>46310</v>
      </c>
      <c r="D94" s="299" t="s">
        <v>413</v>
      </c>
      <c r="E94" s="522">
        <v>21.73</v>
      </c>
      <c r="F94" s="522"/>
      <c r="G94" s="333">
        <f t="shared" si="2"/>
        <v>9046.1699999999928</v>
      </c>
      <c r="H94" s="334"/>
      <c r="I94" s="335"/>
      <c r="J94" s="336"/>
      <c r="K94" s="301"/>
      <c r="L94" s="336"/>
      <c r="M94" s="301"/>
      <c r="N94" s="336"/>
      <c r="O94" s="301"/>
      <c r="P94" s="336"/>
      <c r="Q94" s="301"/>
      <c r="R94" s="336"/>
      <c r="S94" s="301"/>
      <c r="T94" s="336"/>
    </row>
    <row r="95" spans="1:20" ht="12" customHeight="1" x14ac:dyDescent="0.25">
      <c r="A95" s="329" t="s">
        <v>289</v>
      </c>
      <c r="B95" s="330">
        <v>1</v>
      </c>
      <c r="C95" s="298">
        <v>46310</v>
      </c>
      <c r="D95" s="299" t="s">
        <v>329</v>
      </c>
      <c r="E95" s="522">
        <v>146.27000000000001</v>
      </c>
      <c r="F95" s="522"/>
      <c r="G95" s="333">
        <f t="shared" si="2"/>
        <v>9067.8999999999924</v>
      </c>
      <c r="H95" s="334"/>
      <c r="I95" s="335"/>
      <c r="J95" s="336"/>
      <c r="K95" s="301"/>
      <c r="L95" s="336"/>
      <c r="M95" s="301"/>
      <c r="N95" s="336"/>
      <c r="O95" s="301"/>
      <c r="P95" s="336"/>
      <c r="Q95" s="301"/>
      <c r="R95" s="336"/>
      <c r="S95" s="301"/>
      <c r="T95" s="336"/>
    </row>
    <row r="96" spans="1:20" ht="12" customHeight="1" x14ac:dyDescent="0.25">
      <c r="A96" s="329" t="s">
        <v>289</v>
      </c>
      <c r="B96" s="330">
        <v>4</v>
      </c>
      <c r="C96" s="298">
        <v>46310</v>
      </c>
      <c r="D96" s="299" t="s">
        <v>296</v>
      </c>
      <c r="E96" s="522">
        <v>43.46</v>
      </c>
      <c r="F96" s="522"/>
      <c r="G96" s="333">
        <f t="shared" si="2"/>
        <v>9214.1699999999928</v>
      </c>
      <c r="H96" s="334"/>
      <c r="I96" s="335"/>
      <c r="J96" s="336"/>
      <c r="K96" s="301"/>
      <c r="L96" s="336"/>
      <c r="M96" s="301"/>
      <c r="N96" s="336"/>
      <c r="O96" s="301"/>
      <c r="P96" s="336"/>
      <c r="Q96" s="301"/>
      <c r="R96" s="336"/>
      <c r="S96" s="301"/>
      <c r="T96" s="336"/>
    </row>
    <row r="97" spans="1:20" ht="12" customHeight="1" x14ac:dyDescent="0.25">
      <c r="A97" s="329" t="s">
        <v>289</v>
      </c>
      <c r="B97" s="330">
        <v>8</v>
      </c>
      <c r="C97" s="298">
        <v>46310</v>
      </c>
      <c r="D97" s="299" t="s">
        <v>296</v>
      </c>
      <c r="E97" s="522">
        <v>10.52</v>
      </c>
      <c r="F97" s="522"/>
      <c r="G97" s="333">
        <f t="shared" si="2"/>
        <v>9257.6299999999919</v>
      </c>
      <c r="H97" s="334"/>
      <c r="I97" s="335"/>
      <c r="J97" s="336"/>
      <c r="K97" s="301"/>
      <c r="L97" s="336"/>
      <c r="M97" s="301"/>
      <c r="N97" s="336"/>
      <c r="O97" s="301"/>
      <c r="P97" s="336"/>
      <c r="Q97" s="301"/>
      <c r="R97" s="336"/>
      <c r="S97" s="301"/>
      <c r="T97" s="336"/>
    </row>
    <row r="98" spans="1:20" ht="12" customHeight="1" x14ac:dyDescent="0.25">
      <c r="A98" s="329" t="s">
        <v>294</v>
      </c>
      <c r="B98" s="330">
        <v>24</v>
      </c>
      <c r="C98" s="298">
        <v>46310</v>
      </c>
      <c r="D98" s="299" t="s">
        <v>858</v>
      </c>
      <c r="E98" s="522">
        <v>95.42</v>
      </c>
      <c r="F98" s="522"/>
      <c r="G98" s="333">
        <f t="shared" si="2"/>
        <v>9268.1499999999924</v>
      </c>
      <c r="H98" s="334"/>
      <c r="I98" s="335"/>
      <c r="J98" s="336"/>
      <c r="K98" s="301"/>
      <c r="L98" s="336"/>
      <c r="M98" s="301"/>
      <c r="N98" s="336"/>
      <c r="O98" s="301"/>
      <c r="P98" s="336"/>
      <c r="Q98" s="301"/>
      <c r="R98" s="336"/>
      <c r="S98" s="301"/>
      <c r="T98" s="336"/>
    </row>
    <row r="99" spans="1:20" ht="12" customHeight="1" x14ac:dyDescent="0.25">
      <c r="A99" s="329" t="s">
        <v>294</v>
      </c>
      <c r="B99" s="330">
        <v>11</v>
      </c>
      <c r="C99" s="298">
        <v>46310</v>
      </c>
      <c r="D99" s="299" t="s">
        <v>178</v>
      </c>
      <c r="E99" s="522">
        <v>256.83999999999997</v>
      </c>
      <c r="F99" s="522"/>
      <c r="G99" s="333">
        <f t="shared" ref="G99:G146" si="3">G100-E99+F99</f>
        <v>9363.5699999999924</v>
      </c>
      <c r="H99" s="334"/>
      <c r="I99" s="335"/>
      <c r="J99" s="336"/>
      <c r="K99" s="301"/>
      <c r="L99" s="336"/>
      <c r="M99" s="301"/>
      <c r="N99" s="336"/>
      <c r="O99" s="301"/>
      <c r="P99" s="336"/>
      <c r="Q99" s="301"/>
      <c r="R99" s="336"/>
      <c r="S99" s="301"/>
      <c r="T99" s="336"/>
    </row>
    <row r="100" spans="1:20" ht="12" customHeight="1" x14ac:dyDescent="0.25">
      <c r="A100" s="329" t="s">
        <v>289</v>
      </c>
      <c r="B100" s="330">
        <v>2</v>
      </c>
      <c r="C100" s="298">
        <v>46310</v>
      </c>
      <c r="D100" s="299" t="s">
        <v>301</v>
      </c>
      <c r="E100" s="522">
        <v>30</v>
      </c>
      <c r="F100" s="522"/>
      <c r="G100" s="333">
        <f t="shared" si="3"/>
        <v>9620.4099999999926</v>
      </c>
      <c r="H100" s="334"/>
      <c r="I100" s="335"/>
      <c r="J100" s="336"/>
      <c r="K100" s="301"/>
      <c r="L100" s="336"/>
      <c r="M100" s="301"/>
      <c r="N100" s="336"/>
      <c r="O100" s="301"/>
      <c r="P100" s="336"/>
      <c r="Q100" s="301"/>
      <c r="R100" s="336"/>
      <c r="S100" s="301"/>
      <c r="T100" s="336"/>
    </row>
    <row r="101" spans="1:20" ht="12" customHeight="1" x14ac:dyDescent="0.25">
      <c r="A101" s="329" t="s">
        <v>289</v>
      </c>
      <c r="B101" s="330">
        <v>6</v>
      </c>
      <c r="C101" s="298">
        <v>46310</v>
      </c>
      <c r="D101" s="299" t="s">
        <v>1099</v>
      </c>
      <c r="E101" s="522">
        <v>32.36</v>
      </c>
      <c r="F101" s="522"/>
      <c r="G101" s="333">
        <f t="shared" si="3"/>
        <v>9650.4099999999926</v>
      </c>
      <c r="H101" s="334"/>
      <c r="I101" s="335"/>
      <c r="J101" s="336"/>
      <c r="K101" s="301"/>
      <c r="L101" s="336"/>
      <c r="M101" s="301"/>
      <c r="N101" s="336"/>
      <c r="O101" s="301"/>
      <c r="P101" s="336"/>
      <c r="Q101" s="301"/>
      <c r="R101" s="336"/>
      <c r="S101" s="301"/>
      <c r="T101" s="336"/>
    </row>
    <row r="102" spans="1:20" ht="12" customHeight="1" x14ac:dyDescent="0.25">
      <c r="A102" s="329" t="s">
        <v>289</v>
      </c>
      <c r="B102" s="330">
        <v>3</v>
      </c>
      <c r="C102" s="298">
        <v>46310</v>
      </c>
      <c r="D102" s="299" t="s">
        <v>1098</v>
      </c>
      <c r="E102" s="522">
        <v>10</v>
      </c>
      <c r="F102" s="522"/>
      <c r="G102" s="333">
        <f t="shared" si="3"/>
        <v>9682.7699999999932</v>
      </c>
      <c r="H102" s="334"/>
      <c r="I102" s="335"/>
      <c r="J102" s="336"/>
      <c r="K102" s="301"/>
      <c r="L102" s="336"/>
      <c r="M102" s="301"/>
      <c r="N102" s="336"/>
      <c r="O102" s="301"/>
      <c r="P102" s="336"/>
      <c r="Q102" s="301"/>
      <c r="R102" s="336"/>
      <c r="S102" s="301"/>
      <c r="T102" s="336"/>
    </row>
    <row r="103" spans="1:20" ht="12" customHeight="1" x14ac:dyDescent="0.25">
      <c r="A103" s="329" t="s">
        <v>291</v>
      </c>
      <c r="B103" s="330">
        <v>39</v>
      </c>
      <c r="C103" s="298">
        <v>46310</v>
      </c>
      <c r="D103" s="299" t="s">
        <v>292</v>
      </c>
      <c r="E103" s="522"/>
      <c r="F103" s="522">
        <v>3103.54</v>
      </c>
      <c r="G103" s="333">
        <f t="shared" si="3"/>
        <v>9692.7699999999932</v>
      </c>
      <c r="H103" s="334"/>
      <c r="I103" s="335"/>
      <c r="J103" s="336"/>
      <c r="K103" s="301"/>
      <c r="L103" s="336"/>
      <c r="M103" s="301"/>
      <c r="N103" s="336"/>
      <c r="O103" s="301"/>
      <c r="P103" s="336"/>
      <c r="Q103" s="301"/>
      <c r="R103" s="336"/>
      <c r="S103" s="301"/>
      <c r="T103" s="336"/>
    </row>
    <row r="104" spans="1:20" ht="12" customHeight="1" x14ac:dyDescent="0.25">
      <c r="A104" s="329" t="s">
        <v>291</v>
      </c>
      <c r="B104" s="330">
        <v>38</v>
      </c>
      <c r="C104" s="298">
        <v>46310</v>
      </c>
      <c r="D104" s="299" t="s">
        <v>293</v>
      </c>
      <c r="E104" s="522"/>
      <c r="F104" s="522">
        <v>4729.32</v>
      </c>
      <c r="G104" s="333">
        <f t="shared" si="3"/>
        <v>6589.2299999999923</v>
      </c>
      <c r="H104" s="334"/>
      <c r="I104" s="335"/>
      <c r="J104" s="336"/>
      <c r="K104" s="301"/>
      <c r="L104" s="336"/>
      <c r="M104" s="301"/>
      <c r="N104" s="336"/>
      <c r="O104" s="301"/>
      <c r="P104" s="336"/>
      <c r="Q104" s="301"/>
      <c r="R104" s="336"/>
      <c r="S104" s="301"/>
      <c r="T104" s="336"/>
    </row>
    <row r="105" spans="1:20" ht="12" customHeight="1" x14ac:dyDescent="0.25">
      <c r="A105" s="329" t="s">
        <v>289</v>
      </c>
      <c r="B105" s="330">
        <v>8</v>
      </c>
      <c r="C105" s="298">
        <v>46309</v>
      </c>
      <c r="D105" s="299" t="s">
        <v>319</v>
      </c>
      <c r="E105" s="522">
        <v>17.54</v>
      </c>
      <c r="F105" s="522"/>
      <c r="G105" s="333">
        <f t="shared" si="3"/>
        <v>1859.9099999999924</v>
      </c>
      <c r="H105" s="334"/>
      <c r="I105" s="335"/>
      <c r="J105" s="336"/>
      <c r="K105" s="301"/>
      <c r="L105" s="336"/>
      <c r="M105" s="301"/>
      <c r="N105" s="336"/>
      <c r="O105" s="301"/>
      <c r="P105" s="336"/>
      <c r="Q105" s="301"/>
      <c r="R105" s="336"/>
      <c r="S105" s="301"/>
      <c r="T105" s="336"/>
    </row>
    <row r="106" spans="1:20" ht="12" customHeight="1" x14ac:dyDescent="0.25">
      <c r="A106" s="329" t="s">
        <v>289</v>
      </c>
      <c r="B106" s="330">
        <v>4</v>
      </c>
      <c r="C106" s="298">
        <v>46309</v>
      </c>
      <c r="D106" s="299" t="s">
        <v>296</v>
      </c>
      <c r="E106" s="522">
        <v>84.26</v>
      </c>
      <c r="F106" s="522"/>
      <c r="G106" s="333">
        <f t="shared" si="3"/>
        <v>1877.4499999999923</v>
      </c>
      <c r="H106" s="334"/>
      <c r="I106" s="335"/>
      <c r="J106" s="336"/>
      <c r="K106" s="301"/>
      <c r="L106" s="336"/>
      <c r="M106" s="301"/>
      <c r="N106" s="336"/>
      <c r="O106" s="301"/>
      <c r="P106" s="336"/>
      <c r="Q106" s="301"/>
      <c r="R106" s="336"/>
      <c r="S106" s="301"/>
      <c r="T106" s="336"/>
    </row>
    <row r="107" spans="1:20" ht="12" customHeight="1" x14ac:dyDescent="0.25">
      <c r="A107" s="329" t="s">
        <v>289</v>
      </c>
      <c r="B107" s="330">
        <v>8</v>
      </c>
      <c r="C107" s="298">
        <v>46309</v>
      </c>
      <c r="D107" s="299" t="s">
        <v>1101</v>
      </c>
      <c r="E107" s="522">
        <v>27.88</v>
      </c>
      <c r="F107" s="522"/>
      <c r="G107" s="333">
        <f t="shared" si="3"/>
        <v>1961.7099999999923</v>
      </c>
      <c r="H107" s="334"/>
      <c r="I107" s="335"/>
      <c r="J107" s="336"/>
      <c r="K107" s="301"/>
      <c r="L107" s="336"/>
      <c r="M107" s="301"/>
      <c r="N107" s="336"/>
      <c r="O107" s="301"/>
      <c r="P107" s="336"/>
      <c r="Q107" s="301"/>
      <c r="R107" s="336"/>
      <c r="S107" s="301"/>
      <c r="T107" s="336"/>
    </row>
    <row r="108" spans="1:20" ht="12" customHeight="1" x14ac:dyDescent="0.25">
      <c r="A108" s="329" t="s">
        <v>289</v>
      </c>
      <c r="B108" s="330">
        <v>2</v>
      </c>
      <c r="C108" s="298">
        <v>46309</v>
      </c>
      <c r="D108" s="299" t="s">
        <v>1101</v>
      </c>
      <c r="E108" s="522">
        <v>24.17</v>
      </c>
      <c r="F108" s="522"/>
      <c r="G108" s="333">
        <f t="shared" si="3"/>
        <v>1989.5899999999924</v>
      </c>
      <c r="H108" s="334"/>
      <c r="I108" s="335"/>
      <c r="J108" s="336"/>
      <c r="K108" s="301"/>
      <c r="L108" s="336"/>
      <c r="M108" s="301"/>
      <c r="N108" s="336"/>
      <c r="O108" s="301"/>
      <c r="P108" s="336"/>
      <c r="Q108" s="301"/>
      <c r="R108" s="336"/>
      <c r="S108" s="301"/>
      <c r="T108" s="336"/>
    </row>
    <row r="109" spans="1:20" ht="12" customHeight="1" x14ac:dyDescent="0.25">
      <c r="A109" s="329" t="s">
        <v>294</v>
      </c>
      <c r="B109" s="330">
        <v>16</v>
      </c>
      <c r="C109" s="298">
        <v>46309</v>
      </c>
      <c r="D109" s="299" t="s">
        <v>1093</v>
      </c>
      <c r="E109" s="522">
        <v>85</v>
      </c>
      <c r="F109" s="522"/>
      <c r="G109" s="333">
        <f t="shared" si="3"/>
        <v>2013.7599999999925</v>
      </c>
      <c r="H109" s="334"/>
      <c r="I109" s="335"/>
      <c r="J109" s="336"/>
      <c r="K109" s="301"/>
      <c r="L109" s="336"/>
      <c r="M109" s="301"/>
      <c r="N109" s="336"/>
      <c r="O109" s="301"/>
      <c r="P109" s="336"/>
      <c r="Q109" s="301"/>
      <c r="R109" s="336"/>
      <c r="S109" s="301"/>
      <c r="T109" s="336"/>
    </row>
    <row r="110" spans="1:20" ht="12" customHeight="1" x14ac:dyDescent="0.25">
      <c r="A110" s="329" t="s">
        <v>294</v>
      </c>
      <c r="B110" s="330">
        <v>19</v>
      </c>
      <c r="C110" s="298">
        <v>46308</v>
      </c>
      <c r="D110" s="299" t="s">
        <v>191</v>
      </c>
      <c r="E110" s="522">
        <v>200</v>
      </c>
      <c r="F110" s="522"/>
      <c r="G110" s="333">
        <f t="shared" si="3"/>
        <v>2098.7599999999925</v>
      </c>
      <c r="H110" s="334"/>
      <c r="I110" s="335"/>
      <c r="J110" s="336"/>
      <c r="K110" s="301"/>
      <c r="L110" s="336"/>
      <c r="M110" s="301"/>
      <c r="N110" s="336"/>
      <c r="O110" s="301"/>
      <c r="P110" s="336"/>
      <c r="Q110" s="301"/>
      <c r="R110" s="336"/>
      <c r="S110" s="301"/>
      <c r="T110" s="336"/>
    </row>
    <row r="111" spans="1:20" ht="12" customHeight="1" x14ac:dyDescent="0.25">
      <c r="A111" s="329" t="s">
        <v>289</v>
      </c>
      <c r="B111" s="330">
        <v>2</v>
      </c>
      <c r="C111" s="298">
        <v>46308</v>
      </c>
      <c r="D111" s="299" t="s">
        <v>407</v>
      </c>
      <c r="E111" s="522">
        <v>14.36</v>
      </c>
      <c r="F111" s="522"/>
      <c r="G111" s="333">
        <f t="shared" si="3"/>
        <v>2298.7599999999925</v>
      </c>
      <c r="H111" s="334"/>
      <c r="I111" s="335"/>
      <c r="J111" s="336"/>
      <c r="K111" s="301"/>
      <c r="L111" s="336"/>
      <c r="M111" s="301"/>
      <c r="N111" s="336"/>
      <c r="O111" s="301"/>
      <c r="P111" s="336"/>
      <c r="Q111" s="301"/>
      <c r="R111" s="336"/>
      <c r="S111" s="301"/>
      <c r="T111" s="336"/>
    </row>
    <row r="112" spans="1:20" ht="12" customHeight="1" x14ac:dyDescent="0.25">
      <c r="A112" s="329" t="s">
        <v>289</v>
      </c>
      <c r="B112" s="330">
        <v>2</v>
      </c>
      <c r="C112" s="298">
        <v>46308</v>
      </c>
      <c r="D112" s="299" t="s">
        <v>301</v>
      </c>
      <c r="E112" s="522">
        <v>16.05</v>
      </c>
      <c r="F112" s="522"/>
      <c r="G112" s="333">
        <f t="shared" si="3"/>
        <v>2313.1199999999926</v>
      </c>
      <c r="H112" s="334"/>
      <c r="I112" s="335"/>
      <c r="J112" s="336"/>
      <c r="K112" s="301"/>
      <c r="L112" s="336"/>
      <c r="M112" s="301"/>
      <c r="N112" s="336"/>
      <c r="O112" s="301"/>
      <c r="P112" s="336"/>
      <c r="Q112" s="301"/>
      <c r="R112" s="336"/>
      <c r="S112" s="301"/>
      <c r="T112" s="336"/>
    </row>
    <row r="113" spans="1:20" ht="12" customHeight="1" x14ac:dyDescent="0.25">
      <c r="A113" s="329" t="s">
        <v>289</v>
      </c>
      <c r="B113" s="330">
        <v>6</v>
      </c>
      <c r="C113" s="298">
        <v>46308</v>
      </c>
      <c r="D113" s="299" t="s">
        <v>411</v>
      </c>
      <c r="E113" s="522">
        <v>-10</v>
      </c>
      <c r="F113" s="522"/>
      <c r="G113" s="333">
        <f t="shared" si="3"/>
        <v>2329.1699999999928</v>
      </c>
      <c r="H113" s="334"/>
      <c r="I113" s="335"/>
      <c r="J113" s="336"/>
      <c r="K113" s="301"/>
      <c r="L113" s="336"/>
      <c r="M113" s="301"/>
      <c r="N113" s="336"/>
      <c r="O113" s="301"/>
      <c r="P113" s="336"/>
      <c r="Q113" s="301"/>
      <c r="R113" s="336"/>
      <c r="S113" s="301"/>
      <c r="T113" s="336"/>
    </row>
    <row r="114" spans="1:20" ht="12" customHeight="1" x14ac:dyDescent="0.25">
      <c r="A114" s="329" t="s">
        <v>289</v>
      </c>
      <c r="B114" s="330">
        <v>5</v>
      </c>
      <c r="C114" s="298">
        <v>46308</v>
      </c>
      <c r="D114" s="299" t="s">
        <v>1103</v>
      </c>
      <c r="E114" s="522">
        <v>25</v>
      </c>
      <c r="F114" s="522"/>
      <c r="G114" s="333">
        <f t="shared" si="3"/>
        <v>2319.1699999999928</v>
      </c>
      <c r="H114" s="334"/>
      <c r="I114" s="335"/>
      <c r="J114" s="336"/>
      <c r="K114" s="301"/>
      <c r="L114" s="336"/>
      <c r="M114" s="301"/>
      <c r="N114" s="336"/>
      <c r="O114" s="301"/>
      <c r="P114" s="336"/>
      <c r="Q114" s="301"/>
      <c r="R114" s="336"/>
      <c r="S114" s="301"/>
      <c r="T114" s="336"/>
    </row>
    <row r="115" spans="1:20" ht="12" customHeight="1" x14ac:dyDescent="0.25">
      <c r="A115" s="329" t="s">
        <v>289</v>
      </c>
      <c r="B115" s="330">
        <v>2</v>
      </c>
      <c r="C115" s="298">
        <v>46308</v>
      </c>
      <c r="D115" s="299" t="s">
        <v>1102</v>
      </c>
      <c r="E115" s="522">
        <v>50</v>
      </c>
      <c r="F115" s="522"/>
      <c r="G115" s="333">
        <f t="shared" si="3"/>
        <v>2344.1699999999928</v>
      </c>
      <c r="H115" s="334"/>
      <c r="I115" s="335"/>
      <c r="J115" s="336"/>
      <c r="K115" s="301"/>
      <c r="L115" s="336"/>
      <c r="M115" s="301"/>
      <c r="N115" s="336"/>
      <c r="O115" s="301"/>
      <c r="P115" s="336"/>
      <c r="Q115" s="301"/>
      <c r="R115" s="336"/>
      <c r="S115" s="301"/>
      <c r="T115" s="336"/>
    </row>
    <row r="116" spans="1:20" ht="12" customHeight="1" x14ac:dyDescent="0.25">
      <c r="A116" s="329" t="s">
        <v>289</v>
      </c>
      <c r="B116" s="330">
        <v>6</v>
      </c>
      <c r="C116" s="298">
        <v>46308</v>
      </c>
      <c r="D116" s="299" t="s">
        <v>905</v>
      </c>
      <c r="E116" s="522">
        <v>-0.05</v>
      </c>
      <c r="F116" s="522"/>
      <c r="G116" s="333">
        <f t="shared" si="3"/>
        <v>2394.1699999999928</v>
      </c>
      <c r="H116" s="334"/>
      <c r="I116" s="335"/>
      <c r="J116" s="336"/>
      <c r="K116" s="301"/>
      <c r="L116" s="336"/>
      <c r="M116" s="301"/>
      <c r="N116" s="336"/>
      <c r="O116" s="301"/>
      <c r="P116" s="336"/>
      <c r="Q116" s="301"/>
      <c r="R116" s="336"/>
      <c r="S116" s="301"/>
      <c r="T116" s="336"/>
    </row>
    <row r="117" spans="1:20" ht="12" customHeight="1" x14ac:dyDescent="0.25">
      <c r="A117" s="329" t="s">
        <v>335</v>
      </c>
      <c r="B117" s="330" t="s">
        <v>335</v>
      </c>
      <c r="C117" s="298">
        <v>46308</v>
      </c>
      <c r="D117" s="299" t="s">
        <v>185</v>
      </c>
      <c r="E117" s="522">
        <v>63.68</v>
      </c>
      <c r="F117" s="522"/>
      <c r="G117" s="333">
        <f t="shared" si="3"/>
        <v>2394.1199999999926</v>
      </c>
      <c r="H117" s="334"/>
      <c r="I117" s="335"/>
      <c r="J117" s="336"/>
      <c r="K117" s="301"/>
      <c r="L117" s="336"/>
      <c r="M117" s="301"/>
      <c r="N117" s="336"/>
      <c r="O117" s="301"/>
      <c r="P117" s="336"/>
      <c r="Q117" s="301"/>
      <c r="R117" s="336"/>
      <c r="S117" s="301"/>
      <c r="T117" s="336"/>
    </row>
    <row r="118" spans="1:20" ht="12" customHeight="1" x14ac:dyDescent="0.25">
      <c r="A118" s="329" t="s">
        <v>294</v>
      </c>
      <c r="B118" s="330">
        <v>15</v>
      </c>
      <c r="C118" s="298">
        <v>46308</v>
      </c>
      <c r="D118" s="299" t="s">
        <v>185</v>
      </c>
      <c r="E118" s="522">
        <v>63.68</v>
      </c>
      <c r="F118" s="522"/>
      <c r="G118" s="333">
        <f t="shared" si="3"/>
        <v>2457.7999999999925</v>
      </c>
      <c r="H118" s="334"/>
      <c r="I118" s="335"/>
      <c r="J118" s="336"/>
      <c r="K118" s="301"/>
      <c r="L118" s="336"/>
      <c r="M118" s="301"/>
      <c r="N118" s="336"/>
      <c r="O118" s="301"/>
      <c r="P118" s="336"/>
      <c r="Q118" s="301"/>
      <c r="R118" s="336"/>
      <c r="S118" s="301"/>
      <c r="T118" s="336"/>
    </row>
    <row r="119" spans="1:20" ht="12" customHeight="1" x14ac:dyDescent="0.25">
      <c r="A119" s="329" t="s">
        <v>289</v>
      </c>
      <c r="B119" s="330">
        <v>6</v>
      </c>
      <c r="C119" s="298">
        <v>46307</v>
      </c>
      <c r="D119" s="299" t="s">
        <v>1100</v>
      </c>
      <c r="E119" s="522">
        <v>12.24</v>
      </c>
      <c r="F119" s="522"/>
      <c r="G119" s="333">
        <f t="shared" si="3"/>
        <v>2521.4799999999923</v>
      </c>
      <c r="H119" s="334"/>
      <c r="I119" s="335"/>
      <c r="J119" s="336"/>
      <c r="K119" s="301"/>
      <c r="L119" s="336"/>
      <c r="M119" s="301"/>
      <c r="N119" s="336"/>
      <c r="O119" s="301"/>
      <c r="P119" s="336"/>
      <c r="Q119" s="301"/>
      <c r="R119" s="336"/>
      <c r="S119" s="301"/>
      <c r="T119" s="336"/>
    </row>
    <row r="120" spans="1:20" ht="12" customHeight="1" x14ac:dyDescent="0.25">
      <c r="A120" s="329" t="s">
        <v>289</v>
      </c>
      <c r="B120" s="330">
        <v>1</v>
      </c>
      <c r="C120" s="298">
        <v>46306</v>
      </c>
      <c r="D120" s="299" t="s">
        <v>306</v>
      </c>
      <c r="E120" s="522">
        <v>102.88</v>
      </c>
      <c r="F120" s="522"/>
      <c r="G120" s="333">
        <f t="shared" si="3"/>
        <v>2533.7199999999921</v>
      </c>
      <c r="H120" s="334"/>
      <c r="I120" s="335"/>
      <c r="J120" s="336"/>
      <c r="K120" s="301"/>
      <c r="L120" s="336"/>
      <c r="M120" s="301"/>
      <c r="N120" s="336"/>
      <c r="O120" s="301"/>
      <c r="P120" s="336"/>
      <c r="Q120" s="301"/>
      <c r="R120" s="336"/>
      <c r="S120" s="301"/>
      <c r="T120" s="336"/>
    </row>
    <row r="121" spans="1:20" ht="12" customHeight="1" x14ac:dyDescent="0.25">
      <c r="A121" s="329" t="s">
        <v>294</v>
      </c>
      <c r="B121" s="330">
        <v>22</v>
      </c>
      <c r="C121" s="298">
        <v>46306</v>
      </c>
      <c r="D121" s="299" t="s">
        <v>351</v>
      </c>
      <c r="E121" s="522">
        <v>21.29</v>
      </c>
      <c r="F121" s="522"/>
      <c r="G121" s="333">
        <f t="shared" si="3"/>
        <v>2636.5999999999922</v>
      </c>
      <c r="H121" s="334"/>
      <c r="I121" s="335"/>
      <c r="J121" s="336"/>
      <c r="K121" s="301"/>
      <c r="L121" s="336"/>
      <c r="M121" s="301"/>
      <c r="N121" s="336"/>
      <c r="O121" s="301"/>
      <c r="P121" s="336"/>
      <c r="Q121" s="301"/>
      <c r="R121" s="336"/>
      <c r="S121" s="301"/>
      <c r="T121" s="336"/>
    </row>
    <row r="122" spans="1:20" ht="12" customHeight="1" x14ac:dyDescent="0.25">
      <c r="A122" s="329" t="s">
        <v>289</v>
      </c>
      <c r="B122" s="330">
        <v>8</v>
      </c>
      <c r="C122" s="298">
        <v>46306</v>
      </c>
      <c r="D122" s="299" t="s">
        <v>319</v>
      </c>
      <c r="E122" s="522">
        <v>25.43</v>
      </c>
      <c r="F122" s="522"/>
      <c r="G122" s="333">
        <f t="shared" si="3"/>
        <v>2657.8899999999921</v>
      </c>
      <c r="H122" s="334"/>
      <c r="I122" s="335"/>
      <c r="J122" s="336"/>
      <c r="K122" s="301"/>
      <c r="L122" s="336"/>
      <c r="M122" s="301"/>
      <c r="N122" s="336"/>
      <c r="O122" s="301"/>
      <c r="P122" s="336"/>
      <c r="Q122" s="301"/>
      <c r="R122" s="336"/>
      <c r="S122" s="301"/>
      <c r="T122" s="336"/>
    </row>
    <row r="123" spans="1:20" ht="12" customHeight="1" x14ac:dyDescent="0.25">
      <c r="A123" s="329" t="s">
        <v>289</v>
      </c>
      <c r="B123" s="330">
        <v>4</v>
      </c>
      <c r="C123" s="298">
        <v>46306</v>
      </c>
      <c r="D123" s="299" t="s">
        <v>430</v>
      </c>
      <c r="E123" s="522">
        <v>44.36</v>
      </c>
      <c r="F123" s="522"/>
      <c r="G123" s="333">
        <f t="shared" si="3"/>
        <v>2683.319999999992</v>
      </c>
      <c r="H123" s="334"/>
      <c r="I123" s="335"/>
      <c r="J123" s="336"/>
      <c r="K123" s="301"/>
      <c r="L123" s="336"/>
      <c r="M123" s="301"/>
      <c r="N123" s="336"/>
      <c r="O123" s="301"/>
      <c r="P123" s="336"/>
      <c r="Q123" s="301"/>
      <c r="R123" s="336"/>
      <c r="S123" s="301"/>
      <c r="T123" s="336"/>
    </row>
    <row r="124" spans="1:20" ht="12" customHeight="1" x14ac:dyDescent="0.25">
      <c r="A124" s="329" t="s">
        <v>289</v>
      </c>
      <c r="B124" s="330">
        <v>6</v>
      </c>
      <c r="C124" s="298">
        <v>46306</v>
      </c>
      <c r="D124" s="299" t="s">
        <v>1097</v>
      </c>
      <c r="E124" s="522">
        <v>53.86</v>
      </c>
      <c r="F124" s="522"/>
      <c r="G124" s="333">
        <f t="shared" si="3"/>
        <v>2727.6799999999921</v>
      </c>
      <c r="H124" s="334"/>
      <c r="I124" s="335"/>
      <c r="J124" s="336"/>
      <c r="K124" s="301"/>
      <c r="L124" s="336"/>
      <c r="M124" s="301"/>
      <c r="N124" s="336"/>
      <c r="O124" s="301"/>
      <c r="P124" s="336"/>
      <c r="Q124" s="301"/>
      <c r="R124" s="336"/>
      <c r="S124" s="301"/>
      <c r="T124" s="336"/>
    </row>
    <row r="125" spans="1:20" ht="12" customHeight="1" x14ac:dyDescent="0.25">
      <c r="A125" s="329" t="s">
        <v>289</v>
      </c>
      <c r="B125" s="330">
        <v>8</v>
      </c>
      <c r="C125" s="298">
        <v>46305</v>
      </c>
      <c r="D125" s="299" t="s">
        <v>310</v>
      </c>
      <c r="E125" s="522">
        <v>10.64</v>
      </c>
      <c r="F125" s="522"/>
      <c r="G125" s="333">
        <f t="shared" si="3"/>
        <v>2781.5399999999922</v>
      </c>
      <c r="H125" s="334"/>
      <c r="I125" s="335"/>
      <c r="J125" s="336"/>
      <c r="K125" s="301"/>
      <c r="L125" s="336"/>
      <c r="M125" s="301"/>
      <c r="N125" s="336"/>
      <c r="O125" s="301"/>
      <c r="P125" s="336"/>
      <c r="Q125" s="301"/>
      <c r="R125" s="336"/>
      <c r="S125" s="301"/>
      <c r="T125" s="336"/>
    </row>
    <row r="126" spans="1:20" ht="12" customHeight="1" x14ac:dyDescent="0.25">
      <c r="A126" s="329" t="s">
        <v>289</v>
      </c>
      <c r="B126" s="330">
        <v>1</v>
      </c>
      <c r="C126" s="298">
        <v>46305</v>
      </c>
      <c r="D126" s="299" t="s">
        <v>311</v>
      </c>
      <c r="E126" s="522">
        <v>158.04</v>
      </c>
      <c r="F126" s="522"/>
      <c r="G126" s="333">
        <f t="shared" si="3"/>
        <v>2792.1799999999921</v>
      </c>
      <c r="H126" s="334"/>
      <c r="I126" s="335"/>
      <c r="J126" s="336"/>
      <c r="K126" s="301"/>
      <c r="L126" s="336"/>
      <c r="M126" s="301"/>
      <c r="N126" s="336"/>
      <c r="O126" s="301"/>
      <c r="P126" s="336"/>
      <c r="Q126" s="301"/>
      <c r="R126" s="336"/>
      <c r="S126" s="301"/>
      <c r="T126" s="336"/>
    </row>
    <row r="127" spans="1:20" ht="12" customHeight="1" x14ac:dyDescent="0.25">
      <c r="A127" s="329" t="s">
        <v>289</v>
      </c>
      <c r="B127" s="330">
        <v>8</v>
      </c>
      <c r="C127" s="298">
        <v>46305</v>
      </c>
      <c r="D127" s="299" t="s">
        <v>1094</v>
      </c>
      <c r="E127" s="522">
        <v>21.75</v>
      </c>
      <c r="F127" s="522"/>
      <c r="G127" s="333">
        <f t="shared" si="3"/>
        <v>2950.2199999999921</v>
      </c>
      <c r="H127" s="334"/>
      <c r="I127" s="335"/>
      <c r="J127" s="336"/>
      <c r="K127" s="301"/>
      <c r="L127" s="336"/>
      <c r="M127" s="301"/>
      <c r="N127" s="336"/>
      <c r="O127" s="301"/>
      <c r="P127" s="336"/>
      <c r="Q127" s="301"/>
      <c r="R127" s="336"/>
      <c r="S127" s="301"/>
      <c r="T127" s="336"/>
    </row>
    <row r="128" spans="1:20" ht="12" customHeight="1" x14ac:dyDescent="0.25">
      <c r="A128" s="329" t="s">
        <v>289</v>
      </c>
      <c r="B128" s="330">
        <v>8</v>
      </c>
      <c r="C128" s="298">
        <v>46305</v>
      </c>
      <c r="D128" s="299" t="s">
        <v>304</v>
      </c>
      <c r="E128" s="522">
        <v>46.82</v>
      </c>
      <c r="F128" s="522"/>
      <c r="G128" s="333">
        <f t="shared" si="3"/>
        <v>2971.9699999999921</v>
      </c>
      <c r="H128" s="334"/>
      <c r="I128" s="335"/>
      <c r="J128" s="336"/>
      <c r="K128" s="301"/>
      <c r="L128" s="336"/>
      <c r="M128" s="301"/>
      <c r="N128" s="336"/>
      <c r="O128" s="301"/>
      <c r="P128" s="336"/>
      <c r="Q128" s="301"/>
      <c r="R128" s="336"/>
      <c r="S128" s="301"/>
      <c r="T128" s="336"/>
    </row>
    <row r="129" spans="1:20" ht="12" customHeight="1" x14ac:dyDescent="0.25">
      <c r="A129" s="329" t="s">
        <v>289</v>
      </c>
      <c r="B129" s="330">
        <v>2</v>
      </c>
      <c r="C129" s="298">
        <v>46305</v>
      </c>
      <c r="D129" s="299" t="s">
        <v>301</v>
      </c>
      <c r="E129" s="522">
        <v>25.4</v>
      </c>
      <c r="F129" s="522"/>
      <c r="G129" s="333">
        <f t="shared" si="3"/>
        <v>3018.7899999999922</v>
      </c>
      <c r="H129" s="334"/>
      <c r="I129" s="335"/>
      <c r="J129" s="336"/>
      <c r="K129" s="301"/>
      <c r="L129" s="336"/>
      <c r="M129" s="301"/>
      <c r="N129" s="336"/>
      <c r="O129" s="301"/>
      <c r="P129" s="336"/>
      <c r="Q129" s="301"/>
      <c r="R129" s="336"/>
      <c r="S129" s="301"/>
      <c r="T129" s="336"/>
    </row>
    <row r="130" spans="1:20" ht="12" customHeight="1" x14ac:dyDescent="0.25">
      <c r="A130" s="329" t="s">
        <v>289</v>
      </c>
      <c r="B130" s="330">
        <v>8</v>
      </c>
      <c r="C130" s="298">
        <v>46305</v>
      </c>
      <c r="D130" s="299" t="s">
        <v>1095</v>
      </c>
      <c r="E130" s="522">
        <v>19.95</v>
      </c>
      <c r="F130" s="522"/>
      <c r="G130" s="333">
        <f t="shared" si="3"/>
        <v>3044.1899999999923</v>
      </c>
      <c r="H130" s="334"/>
      <c r="I130" s="335"/>
      <c r="J130" s="336"/>
      <c r="K130" s="301"/>
      <c r="L130" s="336"/>
      <c r="M130" s="301"/>
      <c r="N130" s="336"/>
      <c r="O130" s="301"/>
      <c r="P130" s="336"/>
      <c r="Q130" s="301"/>
      <c r="R130" s="336"/>
      <c r="S130" s="301"/>
      <c r="T130" s="336"/>
    </row>
    <row r="131" spans="1:20" ht="12" customHeight="1" x14ac:dyDescent="0.25">
      <c r="A131" s="329" t="s">
        <v>289</v>
      </c>
      <c r="B131" s="330">
        <v>6</v>
      </c>
      <c r="C131" s="298">
        <v>46305</v>
      </c>
      <c r="D131" s="299" t="s">
        <v>1089</v>
      </c>
      <c r="E131" s="522">
        <v>65</v>
      </c>
      <c r="F131" s="522"/>
      <c r="G131" s="333">
        <f t="shared" si="3"/>
        <v>3064.1399999999921</v>
      </c>
      <c r="H131" s="334"/>
      <c r="I131" s="335"/>
      <c r="J131" s="336"/>
      <c r="K131" s="301"/>
      <c r="L131" s="336"/>
      <c r="M131" s="301"/>
      <c r="N131" s="336"/>
      <c r="O131" s="301"/>
      <c r="P131" s="336"/>
      <c r="Q131" s="301"/>
      <c r="R131" s="336"/>
      <c r="S131" s="301"/>
      <c r="T131" s="336"/>
    </row>
    <row r="132" spans="1:20" ht="12" customHeight="1" x14ac:dyDescent="0.25">
      <c r="A132" s="329" t="s">
        <v>289</v>
      </c>
      <c r="B132" s="330">
        <v>6</v>
      </c>
      <c r="C132" s="298">
        <v>46305</v>
      </c>
      <c r="D132" s="299" t="s">
        <v>1090</v>
      </c>
      <c r="E132" s="522">
        <v>50</v>
      </c>
      <c r="F132" s="522"/>
      <c r="G132" s="333">
        <f t="shared" si="3"/>
        <v>3129.1399999999921</v>
      </c>
      <c r="H132" s="334"/>
      <c r="I132" s="335"/>
      <c r="J132" s="336"/>
      <c r="K132" s="301"/>
      <c r="L132" s="336"/>
      <c r="M132" s="301"/>
      <c r="N132" s="336"/>
      <c r="O132" s="301"/>
      <c r="P132" s="336"/>
      <c r="Q132" s="301"/>
      <c r="R132" s="336"/>
      <c r="S132" s="301"/>
      <c r="T132" s="336"/>
    </row>
    <row r="133" spans="1:20" ht="12" customHeight="1" x14ac:dyDescent="0.25">
      <c r="A133" s="329" t="s">
        <v>289</v>
      </c>
      <c r="B133" s="330">
        <v>5</v>
      </c>
      <c r="C133" s="298">
        <v>46304</v>
      </c>
      <c r="D133" s="299" t="s">
        <v>852</v>
      </c>
      <c r="E133" s="522">
        <v>10.68</v>
      </c>
      <c r="F133" s="522"/>
      <c r="G133" s="333">
        <f t="shared" si="3"/>
        <v>3179.1399999999921</v>
      </c>
      <c r="H133" s="334"/>
      <c r="I133" s="335"/>
      <c r="J133" s="336"/>
      <c r="K133" s="301"/>
      <c r="L133" s="336"/>
      <c r="M133" s="301"/>
      <c r="N133" s="336"/>
      <c r="O133" s="301"/>
      <c r="P133" s="336"/>
      <c r="Q133" s="301"/>
      <c r="R133" s="336"/>
      <c r="S133" s="301"/>
      <c r="T133" s="336"/>
    </row>
    <row r="134" spans="1:20" ht="12" customHeight="1" x14ac:dyDescent="0.25">
      <c r="A134" s="329" t="s">
        <v>289</v>
      </c>
      <c r="B134" s="330">
        <v>2</v>
      </c>
      <c r="C134" s="298">
        <v>46304</v>
      </c>
      <c r="D134" s="299" t="s">
        <v>982</v>
      </c>
      <c r="E134" s="522">
        <v>55.4</v>
      </c>
      <c r="F134" s="522"/>
      <c r="G134" s="333">
        <f t="shared" si="3"/>
        <v>3189.819999999992</v>
      </c>
      <c r="H134" s="334"/>
      <c r="I134" s="335"/>
      <c r="J134" s="336"/>
      <c r="K134" s="301"/>
      <c r="L134" s="336"/>
      <c r="M134" s="301"/>
      <c r="N134" s="336"/>
      <c r="O134" s="301"/>
      <c r="P134" s="336"/>
      <c r="Q134" s="301"/>
      <c r="R134" s="336"/>
      <c r="S134" s="301"/>
      <c r="T134" s="336"/>
    </row>
    <row r="135" spans="1:20" ht="12" customHeight="1" x14ac:dyDescent="0.25">
      <c r="A135" s="329" t="s">
        <v>289</v>
      </c>
      <c r="B135" s="330">
        <v>2</v>
      </c>
      <c r="C135" s="298">
        <v>46304</v>
      </c>
      <c r="D135" s="299" t="s">
        <v>370</v>
      </c>
      <c r="E135" s="522">
        <v>25.07</v>
      </c>
      <c r="F135" s="522"/>
      <c r="G135" s="333">
        <f t="shared" si="3"/>
        <v>3245.2199999999921</v>
      </c>
      <c r="H135" s="334"/>
      <c r="I135" s="335"/>
      <c r="J135" s="336"/>
      <c r="K135" s="301"/>
      <c r="L135" s="336"/>
      <c r="M135" s="301"/>
      <c r="N135" s="336"/>
      <c r="O135" s="301"/>
      <c r="P135" s="336"/>
      <c r="Q135" s="301"/>
      <c r="R135" s="336"/>
      <c r="S135" s="301"/>
      <c r="T135" s="336"/>
    </row>
    <row r="136" spans="1:20" ht="12" customHeight="1" x14ac:dyDescent="0.25">
      <c r="A136" s="329" t="s">
        <v>289</v>
      </c>
      <c r="B136" s="330">
        <v>5</v>
      </c>
      <c r="C136" s="298">
        <v>46304</v>
      </c>
      <c r="D136" s="299" t="s">
        <v>1096</v>
      </c>
      <c r="E136" s="522">
        <v>22.66</v>
      </c>
      <c r="F136" s="522"/>
      <c r="G136" s="333">
        <f t="shared" si="3"/>
        <v>3270.2899999999922</v>
      </c>
      <c r="H136" s="334"/>
      <c r="I136" s="335"/>
      <c r="J136" s="336"/>
      <c r="K136" s="301"/>
      <c r="L136" s="336"/>
      <c r="M136" s="301"/>
      <c r="N136" s="336"/>
      <c r="O136" s="301"/>
      <c r="P136" s="336"/>
      <c r="Q136" s="301"/>
      <c r="R136" s="336"/>
      <c r="S136" s="301"/>
      <c r="T136" s="336"/>
    </row>
    <row r="137" spans="1:20" ht="12" customHeight="1" x14ac:dyDescent="0.25">
      <c r="A137" s="329" t="s">
        <v>289</v>
      </c>
      <c r="B137" s="330">
        <v>5</v>
      </c>
      <c r="C137" s="298">
        <v>46304</v>
      </c>
      <c r="D137" s="299" t="s">
        <v>1096</v>
      </c>
      <c r="E137" s="522">
        <v>11.36</v>
      </c>
      <c r="F137" s="522"/>
      <c r="G137" s="333">
        <f t="shared" si="3"/>
        <v>3292.9499999999921</v>
      </c>
      <c r="H137" s="334"/>
      <c r="I137" s="335"/>
      <c r="J137" s="336"/>
      <c r="K137" s="301"/>
      <c r="L137" s="336"/>
      <c r="M137" s="301"/>
      <c r="N137" s="336"/>
      <c r="O137" s="301"/>
      <c r="P137" s="336"/>
      <c r="Q137" s="301"/>
      <c r="R137" s="336"/>
      <c r="S137" s="301"/>
      <c r="T137" s="336"/>
    </row>
    <row r="138" spans="1:20" ht="12" customHeight="1" x14ac:dyDescent="0.25">
      <c r="A138" s="329" t="s">
        <v>294</v>
      </c>
      <c r="B138" s="330">
        <v>22</v>
      </c>
      <c r="C138" s="298">
        <v>46304</v>
      </c>
      <c r="D138" s="299" t="s">
        <v>906</v>
      </c>
      <c r="E138" s="522">
        <v>5.31</v>
      </c>
      <c r="F138" s="522"/>
      <c r="G138" s="333">
        <f t="shared" si="3"/>
        <v>3304.3099999999922</v>
      </c>
      <c r="H138" s="334"/>
      <c r="I138" s="335"/>
      <c r="J138" s="336"/>
      <c r="K138" s="301"/>
      <c r="L138" s="336"/>
      <c r="M138" s="301"/>
      <c r="N138" s="336"/>
      <c r="O138" s="301"/>
      <c r="P138" s="336"/>
      <c r="Q138" s="301"/>
      <c r="R138" s="336"/>
      <c r="S138" s="301"/>
      <c r="T138" s="336"/>
    </row>
    <row r="139" spans="1:20" ht="12" customHeight="1" x14ac:dyDescent="0.25">
      <c r="A139" s="329" t="s">
        <v>289</v>
      </c>
      <c r="B139" s="330">
        <v>3</v>
      </c>
      <c r="C139" s="298">
        <v>46304</v>
      </c>
      <c r="D139" s="299" t="s">
        <v>1001</v>
      </c>
      <c r="E139" s="522">
        <v>10</v>
      </c>
      <c r="F139" s="522"/>
      <c r="G139" s="333">
        <f t="shared" si="3"/>
        <v>3309.6199999999922</v>
      </c>
      <c r="H139" s="334" t="s">
        <v>298</v>
      </c>
      <c r="I139" s="335"/>
      <c r="J139" s="336"/>
      <c r="K139" s="301"/>
      <c r="L139" s="336"/>
      <c r="M139" s="301"/>
      <c r="N139" s="336"/>
      <c r="O139" s="301"/>
      <c r="P139" s="336"/>
      <c r="Q139" s="301"/>
      <c r="R139" s="336"/>
      <c r="S139" s="301"/>
      <c r="T139" s="336"/>
    </row>
    <row r="140" spans="1:20" ht="12" customHeight="1" x14ac:dyDescent="0.25">
      <c r="A140" s="329" t="s">
        <v>289</v>
      </c>
      <c r="B140" s="330">
        <v>2</v>
      </c>
      <c r="C140" s="298">
        <v>46304</v>
      </c>
      <c r="D140" s="299" t="s">
        <v>1001</v>
      </c>
      <c r="E140" s="522">
        <v>10</v>
      </c>
      <c r="F140" s="522"/>
      <c r="G140" s="333">
        <f t="shared" si="3"/>
        <v>3319.6199999999922</v>
      </c>
      <c r="H140" s="334" t="s">
        <v>298</v>
      </c>
      <c r="I140" s="335"/>
      <c r="J140" s="336"/>
      <c r="K140" s="301"/>
      <c r="L140" s="336"/>
      <c r="M140" s="301"/>
      <c r="N140" s="336"/>
      <c r="O140" s="301"/>
      <c r="P140" s="336"/>
      <c r="Q140" s="301"/>
      <c r="R140" s="336"/>
      <c r="S140" s="301"/>
      <c r="T140" s="336"/>
    </row>
    <row r="141" spans="1:20" ht="12" customHeight="1" x14ac:dyDescent="0.25">
      <c r="A141" s="329" t="s">
        <v>289</v>
      </c>
      <c r="B141" s="330">
        <v>4</v>
      </c>
      <c r="C141" s="298">
        <v>46303</v>
      </c>
      <c r="D141" s="299" t="s">
        <v>296</v>
      </c>
      <c r="E141" s="522">
        <v>40.69</v>
      </c>
      <c r="F141" s="522"/>
      <c r="G141" s="333">
        <f t="shared" si="3"/>
        <v>3329.6199999999922</v>
      </c>
      <c r="H141" s="334"/>
      <c r="I141" s="335"/>
      <c r="J141" s="336"/>
      <c r="K141" s="301"/>
      <c r="L141" s="336"/>
      <c r="M141" s="301"/>
      <c r="N141" s="336"/>
      <c r="O141" s="301"/>
      <c r="P141" s="336"/>
      <c r="Q141" s="301"/>
      <c r="R141" s="336"/>
      <c r="S141" s="301"/>
      <c r="T141" s="336"/>
    </row>
    <row r="142" spans="1:20" ht="12" customHeight="1" x14ac:dyDescent="0.25">
      <c r="A142" s="329" t="s">
        <v>289</v>
      </c>
      <c r="B142" s="330">
        <v>2</v>
      </c>
      <c r="C142" s="298">
        <v>46303</v>
      </c>
      <c r="D142" s="299" t="s">
        <v>357</v>
      </c>
      <c r="E142" s="522">
        <v>14.1</v>
      </c>
      <c r="F142" s="522"/>
      <c r="G142" s="333">
        <f t="shared" si="3"/>
        <v>3370.3099999999922</v>
      </c>
      <c r="H142" s="334"/>
      <c r="I142" s="335"/>
      <c r="J142" s="336"/>
      <c r="K142" s="301"/>
      <c r="L142" s="336"/>
      <c r="M142" s="301"/>
      <c r="N142" s="336"/>
      <c r="O142" s="301"/>
      <c r="P142" s="336"/>
      <c r="Q142" s="301"/>
      <c r="R142" s="336"/>
      <c r="S142" s="301"/>
      <c r="T142" s="336"/>
    </row>
    <row r="143" spans="1:20" ht="12" customHeight="1" x14ac:dyDescent="0.25">
      <c r="A143" s="329" t="s">
        <v>289</v>
      </c>
      <c r="B143" s="330">
        <v>6</v>
      </c>
      <c r="C143" s="298">
        <v>46303</v>
      </c>
      <c r="D143" s="299" t="s">
        <v>300</v>
      </c>
      <c r="E143" s="522">
        <v>53.07</v>
      </c>
      <c r="F143" s="522"/>
      <c r="G143" s="333">
        <f t="shared" si="3"/>
        <v>3384.4099999999921</v>
      </c>
      <c r="H143" s="334"/>
      <c r="I143" s="335"/>
      <c r="J143" s="336"/>
      <c r="K143" s="301"/>
      <c r="L143" s="336"/>
      <c r="M143" s="301"/>
      <c r="N143" s="336"/>
      <c r="O143" s="301"/>
      <c r="P143" s="336"/>
      <c r="Q143" s="301"/>
      <c r="R143" s="336"/>
      <c r="S143" s="301"/>
      <c r="T143" s="336"/>
    </row>
    <row r="144" spans="1:20" ht="12" customHeight="1" x14ac:dyDescent="0.25">
      <c r="A144" s="329" t="s">
        <v>289</v>
      </c>
      <c r="B144" s="330">
        <v>2</v>
      </c>
      <c r="C144" s="298">
        <v>46303</v>
      </c>
      <c r="D144" s="299" t="s">
        <v>357</v>
      </c>
      <c r="E144" s="522">
        <v>21.79</v>
      </c>
      <c r="F144" s="522"/>
      <c r="G144" s="333">
        <f t="shared" si="3"/>
        <v>3437.4799999999923</v>
      </c>
      <c r="H144" s="334"/>
      <c r="I144" s="335"/>
      <c r="J144" s="336"/>
      <c r="K144" s="301"/>
      <c r="L144" s="336"/>
      <c r="M144" s="301"/>
      <c r="N144" s="336"/>
      <c r="O144" s="301"/>
      <c r="P144" s="336"/>
      <c r="Q144" s="301"/>
      <c r="R144" s="336"/>
      <c r="S144" s="301"/>
      <c r="T144" s="336"/>
    </row>
    <row r="145" spans="1:20" ht="12" customHeight="1" x14ac:dyDescent="0.25">
      <c r="A145" s="329" t="s">
        <v>335</v>
      </c>
      <c r="B145" s="330" t="s">
        <v>335</v>
      </c>
      <c r="C145" s="298">
        <v>46303</v>
      </c>
      <c r="D145" s="299" t="s">
        <v>182</v>
      </c>
      <c r="E145" s="522">
        <v>79.209999999999994</v>
      </c>
      <c r="F145" s="522"/>
      <c r="G145" s="333">
        <f t="shared" si="3"/>
        <v>3459.2699999999923</v>
      </c>
      <c r="H145" s="334"/>
      <c r="I145" s="335"/>
      <c r="J145" s="336"/>
      <c r="K145" s="301"/>
      <c r="L145" s="336"/>
      <c r="M145" s="301"/>
      <c r="N145" s="336"/>
      <c r="O145" s="301"/>
      <c r="P145" s="336"/>
      <c r="Q145" s="301"/>
      <c r="R145" s="336"/>
      <c r="S145" s="301"/>
      <c r="T145" s="336"/>
    </row>
    <row r="146" spans="1:20" ht="12" customHeight="1" x14ac:dyDescent="0.25">
      <c r="A146" s="329" t="s">
        <v>289</v>
      </c>
      <c r="B146" s="330">
        <v>2</v>
      </c>
      <c r="C146" s="298">
        <v>46302</v>
      </c>
      <c r="D146" s="299" t="s">
        <v>301</v>
      </c>
      <c r="E146" s="522">
        <v>16.05</v>
      </c>
      <c r="F146" s="522"/>
      <c r="G146" s="333">
        <f t="shared" si="3"/>
        <v>3538.4799999999923</v>
      </c>
      <c r="H146" s="334"/>
      <c r="I146" s="335"/>
      <c r="J146" s="336"/>
      <c r="K146" s="301"/>
      <c r="L146" s="336"/>
      <c r="M146" s="301"/>
      <c r="N146" s="336"/>
      <c r="O146" s="301"/>
      <c r="P146" s="336"/>
      <c r="Q146" s="301"/>
      <c r="R146" s="336"/>
      <c r="S146" s="301"/>
      <c r="T146" s="336"/>
    </row>
    <row r="147" spans="1:20" ht="12" customHeight="1" x14ac:dyDescent="0.25">
      <c r="A147" s="329" t="s">
        <v>294</v>
      </c>
      <c r="B147" s="330">
        <v>13</v>
      </c>
      <c r="C147" s="298">
        <v>46302</v>
      </c>
      <c r="D147" s="299" t="s">
        <v>182</v>
      </c>
      <c r="E147" s="522">
        <v>360.28</v>
      </c>
      <c r="F147" s="522"/>
      <c r="G147" s="333">
        <f t="shared" ref="G147:G216" si="4">G148-E147+F147</f>
        <v>3554.5299999999925</v>
      </c>
      <c r="H147" s="334"/>
      <c r="I147" s="335"/>
      <c r="J147" s="336"/>
      <c r="K147" s="301"/>
      <c r="L147" s="336"/>
      <c r="M147" s="301"/>
      <c r="N147" s="336"/>
      <c r="O147" s="301"/>
      <c r="P147" s="336"/>
      <c r="Q147" s="301"/>
      <c r="R147" s="336"/>
      <c r="S147" s="301"/>
      <c r="T147" s="336"/>
    </row>
    <row r="148" spans="1:20" ht="12" customHeight="1" x14ac:dyDescent="0.25">
      <c r="A148" s="329" t="s">
        <v>294</v>
      </c>
      <c r="B148" s="330">
        <v>9</v>
      </c>
      <c r="C148" s="298">
        <v>46302</v>
      </c>
      <c r="D148" s="299" t="s">
        <v>58</v>
      </c>
      <c r="E148" s="522">
        <v>1231.68</v>
      </c>
      <c r="F148" s="522"/>
      <c r="G148" s="333">
        <f t="shared" si="4"/>
        <v>3914.8099999999922</v>
      </c>
      <c r="H148" s="334"/>
      <c r="I148" s="335"/>
      <c r="J148" s="336"/>
      <c r="K148" s="301"/>
      <c r="L148" s="336"/>
      <c r="M148" s="301"/>
      <c r="N148" s="336"/>
      <c r="O148" s="301"/>
      <c r="P148" s="336"/>
      <c r="Q148" s="301"/>
      <c r="R148" s="336"/>
      <c r="S148" s="301"/>
      <c r="T148" s="336"/>
    </row>
    <row r="149" spans="1:20" ht="12" customHeight="1" x14ac:dyDescent="0.25">
      <c r="A149" s="329" t="s">
        <v>289</v>
      </c>
      <c r="B149" s="330">
        <v>5</v>
      </c>
      <c r="C149" s="298">
        <v>46302</v>
      </c>
      <c r="D149" s="299" t="s">
        <v>1088</v>
      </c>
      <c r="E149" s="522">
        <v>102.95</v>
      </c>
      <c r="F149" s="522"/>
      <c r="G149" s="333">
        <f t="shared" si="4"/>
        <v>5146.4899999999925</v>
      </c>
      <c r="H149" s="334"/>
      <c r="I149" s="335"/>
      <c r="J149" s="336"/>
      <c r="K149" s="301"/>
      <c r="L149" s="336"/>
      <c r="M149" s="301"/>
      <c r="N149" s="336"/>
      <c r="O149" s="301"/>
      <c r="P149" s="336"/>
      <c r="Q149" s="301"/>
      <c r="R149" s="336"/>
      <c r="S149" s="301"/>
      <c r="T149" s="336"/>
    </row>
    <row r="150" spans="1:20" ht="12" customHeight="1" x14ac:dyDescent="0.25">
      <c r="A150" s="329" t="s">
        <v>289</v>
      </c>
      <c r="B150" s="330">
        <v>4</v>
      </c>
      <c r="C150" s="298">
        <v>46301</v>
      </c>
      <c r="D150" s="299" t="s">
        <v>310</v>
      </c>
      <c r="E150" s="522">
        <v>38.58</v>
      </c>
      <c r="F150" s="522"/>
      <c r="G150" s="333">
        <f t="shared" si="4"/>
        <v>5249.4399999999923</v>
      </c>
      <c r="H150" s="334"/>
      <c r="I150" s="335"/>
      <c r="J150" s="336"/>
      <c r="K150" s="301"/>
      <c r="L150" s="336"/>
      <c r="M150" s="301"/>
      <c r="N150" s="336"/>
      <c r="O150" s="301"/>
      <c r="P150" s="336"/>
      <c r="Q150" s="301"/>
      <c r="R150" s="336"/>
      <c r="S150" s="301"/>
      <c r="T150" s="336"/>
    </row>
    <row r="151" spans="1:20" ht="12" customHeight="1" x14ac:dyDescent="0.25">
      <c r="A151" s="329" t="s">
        <v>294</v>
      </c>
      <c r="B151" s="330">
        <v>16</v>
      </c>
      <c r="C151" s="298">
        <v>46301</v>
      </c>
      <c r="D151" s="299" t="s">
        <v>1093</v>
      </c>
      <c r="E151" s="522">
        <v>85</v>
      </c>
      <c r="F151" s="522"/>
      <c r="G151" s="333">
        <f t="shared" si="4"/>
        <v>5288.0199999999923</v>
      </c>
      <c r="H151" s="334"/>
      <c r="I151" s="335"/>
      <c r="J151" s="336"/>
      <c r="K151" s="301"/>
      <c r="L151" s="336"/>
      <c r="M151" s="301"/>
      <c r="N151" s="336"/>
      <c r="O151" s="301"/>
      <c r="P151" s="336"/>
      <c r="Q151" s="301"/>
      <c r="R151" s="336"/>
      <c r="S151" s="301"/>
      <c r="T151" s="336"/>
    </row>
    <row r="152" spans="1:20" ht="12" customHeight="1" x14ac:dyDescent="0.25">
      <c r="A152" s="329" t="s">
        <v>289</v>
      </c>
      <c r="B152" s="330">
        <v>6</v>
      </c>
      <c r="C152" s="298">
        <v>46301</v>
      </c>
      <c r="D152" s="299" t="s">
        <v>300</v>
      </c>
      <c r="E152" s="522">
        <v>28.73</v>
      </c>
      <c r="F152" s="522"/>
      <c r="G152" s="333">
        <f t="shared" si="4"/>
        <v>5373.0199999999923</v>
      </c>
      <c r="H152" s="334"/>
      <c r="I152" s="335"/>
      <c r="J152" s="336"/>
      <c r="K152" s="301"/>
      <c r="L152" s="336"/>
      <c r="M152" s="301"/>
      <c r="N152" s="336"/>
      <c r="O152" s="301"/>
      <c r="P152" s="336"/>
      <c r="Q152" s="301"/>
      <c r="R152" s="336"/>
      <c r="S152" s="301"/>
      <c r="T152" s="336"/>
    </row>
    <row r="153" spans="1:20" ht="12" customHeight="1" x14ac:dyDescent="0.25">
      <c r="A153" s="329" t="s">
        <v>294</v>
      </c>
      <c r="B153" s="330">
        <v>14</v>
      </c>
      <c r="C153" s="298">
        <v>46301</v>
      </c>
      <c r="D153" s="299" t="s">
        <v>365</v>
      </c>
      <c r="E153" s="522">
        <v>66.67</v>
      </c>
      <c r="F153" s="522"/>
      <c r="G153" s="333">
        <f t="shared" si="4"/>
        <v>5401.7499999999918</v>
      </c>
      <c r="H153" s="334"/>
      <c r="I153" s="335"/>
      <c r="J153" s="336"/>
      <c r="K153" s="301"/>
      <c r="L153" s="336"/>
      <c r="M153" s="301"/>
      <c r="N153" s="336"/>
      <c r="O153" s="301"/>
      <c r="P153" s="336"/>
      <c r="Q153" s="301"/>
      <c r="R153" s="336"/>
      <c r="S153" s="301"/>
      <c r="T153" s="336"/>
    </row>
    <row r="154" spans="1:20" ht="12" customHeight="1" x14ac:dyDescent="0.25">
      <c r="A154" s="329" t="s">
        <v>289</v>
      </c>
      <c r="B154" s="330">
        <v>2</v>
      </c>
      <c r="C154" s="298">
        <v>46301</v>
      </c>
      <c r="D154" s="299" t="s">
        <v>301</v>
      </c>
      <c r="E154" s="522">
        <v>16.05</v>
      </c>
      <c r="F154" s="522"/>
      <c r="G154" s="333">
        <f t="shared" si="4"/>
        <v>5468.4199999999919</v>
      </c>
      <c r="H154" s="334"/>
      <c r="I154" s="335"/>
      <c r="J154" s="336"/>
      <c r="K154" s="301"/>
      <c r="L154" s="336"/>
      <c r="M154" s="301"/>
      <c r="N154" s="336"/>
      <c r="O154" s="301"/>
      <c r="P154" s="336"/>
      <c r="Q154" s="301"/>
      <c r="R154" s="336"/>
      <c r="S154" s="301"/>
      <c r="T154" s="336"/>
    </row>
    <row r="155" spans="1:20" ht="12" customHeight="1" x14ac:dyDescent="0.25">
      <c r="A155" s="329" t="s">
        <v>289</v>
      </c>
      <c r="B155" s="330">
        <v>6</v>
      </c>
      <c r="C155" s="298">
        <v>46301</v>
      </c>
      <c r="D155" s="299" t="s">
        <v>396</v>
      </c>
      <c r="E155" s="522">
        <v>6.79</v>
      </c>
      <c r="F155" s="522"/>
      <c r="G155" s="333">
        <f t="shared" si="4"/>
        <v>5484.4699999999921</v>
      </c>
      <c r="H155" s="334"/>
      <c r="I155" s="335"/>
      <c r="J155" s="336"/>
      <c r="K155" s="301"/>
      <c r="L155" s="336"/>
      <c r="M155" s="301"/>
      <c r="N155" s="336"/>
      <c r="O155" s="301"/>
      <c r="P155" s="336"/>
      <c r="Q155" s="301"/>
      <c r="R155" s="336"/>
      <c r="S155" s="301"/>
      <c r="T155" s="336"/>
    </row>
    <row r="156" spans="1:20" ht="12" customHeight="1" x14ac:dyDescent="0.25">
      <c r="A156" s="329" t="s">
        <v>289</v>
      </c>
      <c r="B156" s="330">
        <v>1</v>
      </c>
      <c r="C156" s="298">
        <v>46300</v>
      </c>
      <c r="D156" s="299" t="s">
        <v>306</v>
      </c>
      <c r="E156" s="522">
        <v>160.1</v>
      </c>
      <c r="F156" s="522"/>
      <c r="G156" s="333">
        <f t="shared" si="4"/>
        <v>5491.259999999992</v>
      </c>
      <c r="H156" s="334"/>
      <c r="I156" s="335"/>
      <c r="J156" s="336"/>
      <c r="K156" s="301"/>
      <c r="L156" s="336"/>
      <c r="M156" s="301"/>
      <c r="N156" s="336"/>
      <c r="O156" s="301"/>
      <c r="P156" s="336"/>
      <c r="Q156" s="301"/>
      <c r="R156" s="336"/>
      <c r="S156" s="301"/>
      <c r="T156" s="336"/>
    </row>
    <row r="157" spans="1:20" ht="12" customHeight="1" x14ac:dyDescent="0.25">
      <c r="A157" s="329" t="s">
        <v>289</v>
      </c>
      <c r="B157" s="330">
        <v>4</v>
      </c>
      <c r="C157" s="298">
        <v>46300</v>
      </c>
      <c r="D157" s="299" t="s">
        <v>296</v>
      </c>
      <c r="E157" s="522">
        <v>77.569999999999993</v>
      </c>
      <c r="F157" s="522"/>
      <c r="G157" s="333">
        <f t="shared" si="4"/>
        <v>5651.3599999999924</v>
      </c>
      <c r="H157" s="334"/>
      <c r="I157" s="335"/>
      <c r="J157" s="336"/>
      <c r="K157" s="301"/>
      <c r="L157" s="336"/>
      <c r="M157" s="301"/>
      <c r="N157" s="336"/>
      <c r="O157" s="301"/>
      <c r="P157" s="336"/>
      <c r="Q157" s="301"/>
      <c r="R157" s="336"/>
      <c r="S157" s="301"/>
      <c r="T157" s="336"/>
    </row>
    <row r="158" spans="1:20" ht="12" customHeight="1" x14ac:dyDescent="0.25">
      <c r="A158" s="329" t="s">
        <v>294</v>
      </c>
      <c r="B158" s="330">
        <v>14</v>
      </c>
      <c r="C158" s="298">
        <v>46300</v>
      </c>
      <c r="D158" s="299" t="s">
        <v>366</v>
      </c>
      <c r="E158" s="522">
        <v>72.38</v>
      </c>
      <c r="F158" s="522"/>
      <c r="G158" s="333">
        <f t="shared" si="4"/>
        <v>5728.9299999999921</v>
      </c>
      <c r="H158" s="334"/>
      <c r="I158" s="335"/>
      <c r="J158" s="336"/>
      <c r="K158" s="301"/>
      <c r="L158" s="336"/>
      <c r="M158" s="301"/>
      <c r="N158" s="336"/>
      <c r="O158" s="301"/>
      <c r="P158" s="336"/>
      <c r="Q158" s="301"/>
      <c r="R158" s="336"/>
      <c r="S158" s="301"/>
      <c r="T158" s="336"/>
    </row>
    <row r="159" spans="1:20" ht="12" customHeight="1" x14ac:dyDescent="0.25">
      <c r="A159" s="329" t="s">
        <v>289</v>
      </c>
      <c r="B159" s="330">
        <v>6</v>
      </c>
      <c r="C159" s="298">
        <v>46300</v>
      </c>
      <c r="D159" s="299" t="s">
        <v>1091</v>
      </c>
      <c r="E159" s="522">
        <v>78.64</v>
      </c>
      <c r="F159" s="522"/>
      <c r="G159" s="333">
        <f t="shared" si="4"/>
        <v>5801.3099999999922</v>
      </c>
      <c r="H159" s="334"/>
      <c r="I159" s="335"/>
      <c r="J159" s="336"/>
      <c r="K159" s="301"/>
      <c r="L159" s="336"/>
      <c r="M159" s="301"/>
      <c r="N159" s="336"/>
      <c r="O159" s="301"/>
      <c r="P159" s="336"/>
      <c r="Q159" s="301"/>
      <c r="R159" s="336"/>
      <c r="S159" s="301"/>
      <c r="T159" s="336"/>
    </row>
    <row r="160" spans="1:20" ht="12" customHeight="1" x14ac:dyDescent="0.25">
      <c r="A160" s="329" t="s">
        <v>289</v>
      </c>
      <c r="B160" s="330">
        <v>5</v>
      </c>
      <c r="C160" s="298">
        <v>46300</v>
      </c>
      <c r="D160" s="299" t="s">
        <v>1086</v>
      </c>
      <c r="E160" s="522">
        <v>60</v>
      </c>
      <c r="F160" s="522"/>
      <c r="G160" s="333">
        <f t="shared" si="4"/>
        <v>5879.9499999999925</v>
      </c>
      <c r="H160" s="334"/>
      <c r="I160" s="335"/>
      <c r="J160" s="336"/>
      <c r="K160" s="301"/>
      <c r="L160" s="336"/>
      <c r="M160" s="301"/>
      <c r="N160" s="336"/>
      <c r="O160" s="301"/>
      <c r="P160" s="336"/>
      <c r="Q160" s="301"/>
      <c r="R160" s="336"/>
      <c r="S160" s="301"/>
      <c r="T160" s="336"/>
    </row>
    <row r="161" spans="1:20" ht="12" customHeight="1" x14ac:dyDescent="0.25">
      <c r="A161" s="329" t="s">
        <v>289</v>
      </c>
      <c r="B161" s="330">
        <v>6</v>
      </c>
      <c r="C161" s="298">
        <v>46300</v>
      </c>
      <c r="D161" s="299" t="s">
        <v>1081</v>
      </c>
      <c r="E161" s="522">
        <v>138.43</v>
      </c>
      <c r="F161" s="522"/>
      <c r="G161" s="333">
        <f t="shared" si="4"/>
        <v>5939.9499999999925</v>
      </c>
      <c r="H161" s="334"/>
      <c r="I161" s="335"/>
      <c r="J161" s="336"/>
      <c r="K161" s="301"/>
      <c r="L161" s="336"/>
      <c r="M161" s="301"/>
      <c r="N161" s="336"/>
      <c r="O161" s="301"/>
      <c r="P161" s="336"/>
      <c r="Q161" s="301"/>
      <c r="R161" s="336"/>
      <c r="S161" s="301"/>
      <c r="T161" s="336"/>
    </row>
    <row r="162" spans="1:20" ht="12" customHeight="1" x14ac:dyDescent="0.25">
      <c r="A162" s="329" t="s">
        <v>289</v>
      </c>
      <c r="B162" s="330">
        <v>5</v>
      </c>
      <c r="C162" s="298">
        <v>46300</v>
      </c>
      <c r="D162" s="299" t="s">
        <v>1033</v>
      </c>
      <c r="E162" s="522">
        <v>265</v>
      </c>
      <c r="F162" s="522"/>
      <c r="G162" s="333">
        <f t="shared" si="4"/>
        <v>6078.3799999999928</v>
      </c>
      <c r="H162" s="334"/>
      <c r="I162" s="335"/>
      <c r="J162" s="336"/>
      <c r="K162" s="301"/>
      <c r="L162" s="336"/>
      <c r="M162" s="301"/>
      <c r="N162" s="336"/>
      <c r="O162" s="301"/>
      <c r="P162" s="336"/>
      <c r="Q162" s="301"/>
      <c r="R162" s="336"/>
      <c r="S162" s="301"/>
      <c r="T162" s="336"/>
    </row>
    <row r="163" spans="1:20" ht="12" customHeight="1" x14ac:dyDescent="0.25">
      <c r="A163" s="329" t="s">
        <v>289</v>
      </c>
      <c r="B163" s="330">
        <v>6</v>
      </c>
      <c r="C163" s="298">
        <v>46300</v>
      </c>
      <c r="D163" s="299" t="s">
        <v>300</v>
      </c>
      <c r="E163" s="522">
        <v>29.78</v>
      </c>
      <c r="F163" s="522"/>
      <c r="G163" s="333">
        <f t="shared" si="4"/>
        <v>6343.3799999999928</v>
      </c>
      <c r="H163" s="334"/>
      <c r="I163" s="335"/>
      <c r="J163" s="336"/>
      <c r="K163" s="301"/>
      <c r="L163" s="336"/>
      <c r="M163" s="301"/>
      <c r="N163" s="336"/>
      <c r="O163" s="301"/>
      <c r="P163" s="336"/>
      <c r="Q163" s="301"/>
      <c r="R163" s="336"/>
      <c r="S163" s="301"/>
      <c r="T163" s="336"/>
    </row>
    <row r="164" spans="1:20" ht="12" customHeight="1" x14ac:dyDescent="0.25">
      <c r="A164" s="329" t="s">
        <v>287</v>
      </c>
      <c r="B164" s="330" t="s">
        <v>287</v>
      </c>
      <c r="C164" s="298">
        <v>46299</v>
      </c>
      <c r="D164" s="299" t="s">
        <v>843</v>
      </c>
      <c r="E164" s="522">
        <v>80.89</v>
      </c>
      <c r="F164" s="522">
        <v>80.89</v>
      </c>
      <c r="G164" s="333">
        <f t="shared" si="4"/>
        <v>6373.1599999999926</v>
      </c>
      <c r="H164" s="334"/>
      <c r="I164" s="335"/>
      <c r="J164" s="336"/>
      <c r="K164" s="301"/>
      <c r="L164" s="336"/>
      <c r="M164" s="301"/>
      <c r="N164" s="336"/>
      <c r="O164" s="301"/>
      <c r="P164" s="336"/>
      <c r="Q164" s="301"/>
      <c r="R164" s="336"/>
      <c r="S164" s="301"/>
      <c r="T164" s="336"/>
    </row>
    <row r="165" spans="1:20" ht="12" customHeight="1" x14ac:dyDescent="0.25">
      <c r="A165" s="329" t="s">
        <v>289</v>
      </c>
      <c r="B165" s="330">
        <v>5</v>
      </c>
      <c r="C165" s="298">
        <v>46299</v>
      </c>
      <c r="D165" s="299" t="s">
        <v>1082</v>
      </c>
      <c r="E165" s="522">
        <v>167.68</v>
      </c>
      <c r="F165" s="522"/>
      <c r="G165" s="333">
        <f t="shared" si="4"/>
        <v>6373.1599999999926</v>
      </c>
      <c r="H165" s="334"/>
      <c r="I165" s="335"/>
      <c r="J165" s="336"/>
      <c r="K165" s="301"/>
      <c r="L165" s="336"/>
      <c r="M165" s="301"/>
      <c r="N165" s="336"/>
      <c r="O165" s="301"/>
      <c r="P165" s="336"/>
      <c r="Q165" s="301"/>
      <c r="R165" s="336"/>
      <c r="S165" s="301"/>
      <c r="T165" s="336"/>
    </row>
    <row r="166" spans="1:20" ht="12" customHeight="1" x14ac:dyDescent="0.25">
      <c r="A166" s="329" t="s">
        <v>294</v>
      </c>
      <c r="B166" s="330">
        <v>17</v>
      </c>
      <c r="C166" s="298">
        <v>46299</v>
      </c>
      <c r="D166" s="299" t="s">
        <v>369</v>
      </c>
      <c r="E166" s="522">
        <v>99</v>
      </c>
      <c r="F166" s="522"/>
      <c r="G166" s="333">
        <f t="shared" si="4"/>
        <v>6540.8399999999929</v>
      </c>
      <c r="H166" s="334"/>
      <c r="I166" s="335"/>
      <c r="J166" s="336"/>
      <c r="K166" s="301"/>
      <c r="L166" s="336"/>
      <c r="M166" s="301"/>
      <c r="N166" s="336"/>
      <c r="O166" s="301"/>
      <c r="P166" s="336"/>
      <c r="Q166" s="301"/>
      <c r="R166" s="336"/>
      <c r="S166" s="301"/>
      <c r="T166" s="336"/>
    </row>
    <row r="167" spans="1:20" ht="12" customHeight="1" x14ac:dyDescent="0.25">
      <c r="A167" s="329" t="s">
        <v>289</v>
      </c>
      <c r="B167" s="330">
        <v>8</v>
      </c>
      <c r="C167" s="298">
        <v>46298</v>
      </c>
      <c r="D167" s="299" t="s">
        <v>1087</v>
      </c>
      <c r="E167" s="522">
        <v>83.15</v>
      </c>
      <c r="F167" s="522"/>
      <c r="G167" s="333">
        <f t="shared" si="4"/>
        <v>6639.8399999999929</v>
      </c>
      <c r="H167" s="334"/>
      <c r="I167" s="335"/>
      <c r="J167" s="336"/>
      <c r="K167" s="301"/>
      <c r="L167" s="336"/>
      <c r="M167" s="301"/>
      <c r="N167" s="336"/>
      <c r="O167" s="301"/>
      <c r="P167" s="336"/>
      <c r="Q167" s="301"/>
      <c r="R167" s="336"/>
      <c r="S167" s="301"/>
      <c r="T167" s="336"/>
    </row>
    <row r="168" spans="1:20" ht="12" customHeight="1" x14ac:dyDescent="0.25">
      <c r="A168" s="329" t="s">
        <v>289</v>
      </c>
      <c r="B168" s="330">
        <v>6</v>
      </c>
      <c r="C168" s="298">
        <v>46298</v>
      </c>
      <c r="D168" s="299" t="s">
        <v>339</v>
      </c>
      <c r="E168" s="522">
        <v>106.5</v>
      </c>
      <c r="F168" s="522"/>
      <c r="G168" s="333">
        <f t="shared" si="4"/>
        <v>6722.9899999999925</v>
      </c>
      <c r="H168" s="334"/>
      <c r="I168" s="335"/>
      <c r="J168" s="336"/>
      <c r="K168" s="301"/>
      <c r="L168" s="336"/>
      <c r="M168" s="301"/>
      <c r="N168" s="336"/>
      <c r="O168" s="301"/>
      <c r="P168" s="336"/>
      <c r="Q168" s="301"/>
      <c r="R168" s="336"/>
      <c r="S168" s="301"/>
      <c r="T168" s="336"/>
    </row>
    <row r="169" spans="1:20" ht="12" customHeight="1" x14ac:dyDescent="0.25">
      <c r="A169" s="329" t="s">
        <v>289</v>
      </c>
      <c r="B169" s="330">
        <v>4</v>
      </c>
      <c r="C169" s="298">
        <v>46298</v>
      </c>
      <c r="D169" s="299" t="s">
        <v>310</v>
      </c>
      <c r="E169" s="522">
        <v>33.82</v>
      </c>
      <c r="F169" s="522"/>
      <c r="G169" s="333">
        <f t="shared" si="4"/>
        <v>6829.4899999999925</v>
      </c>
      <c r="H169" s="334"/>
      <c r="I169" s="335"/>
      <c r="J169" s="336"/>
      <c r="K169" s="301"/>
      <c r="L169" s="336"/>
      <c r="M169" s="301"/>
      <c r="N169" s="336"/>
      <c r="O169" s="301"/>
      <c r="P169" s="336"/>
      <c r="Q169" s="301"/>
      <c r="R169" s="336"/>
      <c r="S169" s="301"/>
      <c r="T169" s="336"/>
    </row>
    <row r="170" spans="1:20" ht="12" customHeight="1" x14ac:dyDescent="0.25">
      <c r="A170" s="329" t="s">
        <v>289</v>
      </c>
      <c r="B170" s="330">
        <v>3</v>
      </c>
      <c r="C170" s="298">
        <v>46298</v>
      </c>
      <c r="D170" s="299" t="s">
        <v>310</v>
      </c>
      <c r="E170" s="522">
        <v>13.65</v>
      </c>
      <c r="F170" s="522"/>
      <c r="G170" s="333">
        <f t="shared" si="4"/>
        <v>6863.3099999999922</v>
      </c>
      <c r="H170" s="334"/>
      <c r="I170" s="335"/>
      <c r="J170" s="336"/>
      <c r="K170" s="301"/>
      <c r="L170" s="336"/>
      <c r="M170" s="301"/>
      <c r="N170" s="336"/>
      <c r="O170" s="301"/>
      <c r="P170" s="336"/>
      <c r="Q170" s="301"/>
      <c r="R170" s="336"/>
      <c r="S170" s="301"/>
      <c r="T170" s="336"/>
    </row>
    <row r="171" spans="1:20" ht="12" customHeight="1" x14ac:dyDescent="0.25">
      <c r="A171" s="329" t="s">
        <v>294</v>
      </c>
      <c r="B171" s="330">
        <v>22</v>
      </c>
      <c r="C171" s="298">
        <v>46298</v>
      </c>
      <c r="D171" s="299" t="s">
        <v>951</v>
      </c>
      <c r="E171" s="522">
        <v>12.77</v>
      </c>
      <c r="F171" s="522"/>
      <c r="G171" s="333">
        <f t="shared" si="4"/>
        <v>6876.9599999999919</v>
      </c>
      <c r="H171" s="334"/>
      <c r="I171" s="335"/>
      <c r="J171" s="336"/>
      <c r="K171" s="301"/>
      <c r="L171" s="336"/>
      <c r="M171" s="301"/>
      <c r="N171" s="336"/>
      <c r="O171" s="301"/>
      <c r="P171" s="336"/>
      <c r="Q171" s="301"/>
      <c r="R171" s="336"/>
      <c r="S171" s="301"/>
      <c r="T171" s="336"/>
    </row>
    <row r="172" spans="1:20" ht="12" customHeight="1" x14ac:dyDescent="0.25">
      <c r="A172" s="329" t="s">
        <v>289</v>
      </c>
      <c r="B172" s="330">
        <v>8</v>
      </c>
      <c r="C172" s="298">
        <v>46298</v>
      </c>
      <c r="D172" s="299" t="s">
        <v>1083</v>
      </c>
      <c r="E172" s="522">
        <v>114.82</v>
      </c>
      <c r="F172" s="522"/>
      <c r="G172" s="333">
        <f t="shared" si="4"/>
        <v>6889.7299999999923</v>
      </c>
      <c r="H172" s="334"/>
      <c r="I172" s="335"/>
      <c r="J172" s="336"/>
      <c r="K172" s="301"/>
      <c r="L172" s="336"/>
      <c r="M172" s="301"/>
      <c r="N172" s="336"/>
      <c r="O172" s="301"/>
      <c r="P172" s="336"/>
      <c r="Q172" s="301"/>
      <c r="R172" s="336"/>
      <c r="S172" s="301"/>
      <c r="T172" s="336"/>
    </row>
    <row r="173" spans="1:20" ht="12" customHeight="1" x14ac:dyDescent="0.25">
      <c r="A173" s="329" t="s">
        <v>289</v>
      </c>
      <c r="B173" s="330">
        <v>2</v>
      </c>
      <c r="C173" s="298">
        <v>46298</v>
      </c>
      <c r="D173" s="299" t="s">
        <v>385</v>
      </c>
      <c r="E173" s="522">
        <v>8.59</v>
      </c>
      <c r="F173" s="522"/>
      <c r="G173" s="333">
        <f t="shared" si="4"/>
        <v>7004.549999999992</v>
      </c>
      <c r="H173" s="334"/>
      <c r="I173" s="335"/>
      <c r="J173" s="336"/>
      <c r="K173" s="301"/>
      <c r="L173" s="336"/>
      <c r="M173" s="301"/>
      <c r="N173" s="336"/>
      <c r="O173" s="301"/>
      <c r="P173" s="336"/>
      <c r="Q173" s="301"/>
      <c r="R173" s="336"/>
      <c r="S173" s="301"/>
      <c r="T173" s="336"/>
    </row>
    <row r="174" spans="1:20" ht="12" customHeight="1" x14ac:dyDescent="0.25">
      <c r="A174" s="329" t="s">
        <v>289</v>
      </c>
      <c r="B174" s="330">
        <v>5</v>
      </c>
      <c r="C174" s="298">
        <v>46297</v>
      </c>
      <c r="D174" s="299" t="s">
        <v>1084</v>
      </c>
      <c r="E174" s="522">
        <v>14</v>
      </c>
      <c r="F174" s="522"/>
      <c r="G174" s="333">
        <f t="shared" si="4"/>
        <v>7013.1399999999921</v>
      </c>
      <c r="H174" s="334"/>
      <c r="I174" s="335"/>
      <c r="J174" s="336"/>
      <c r="K174" s="301"/>
      <c r="L174" s="336"/>
      <c r="M174" s="301"/>
      <c r="N174" s="336"/>
      <c r="O174" s="301"/>
      <c r="P174" s="336"/>
      <c r="Q174" s="301"/>
      <c r="R174" s="336"/>
      <c r="S174" s="301"/>
      <c r="T174" s="336"/>
    </row>
    <row r="175" spans="1:20" ht="12" customHeight="1" x14ac:dyDescent="0.25">
      <c r="A175" s="329" t="s">
        <v>289</v>
      </c>
      <c r="B175" s="330">
        <v>2</v>
      </c>
      <c r="C175" s="298">
        <v>46297</v>
      </c>
      <c r="D175" s="299" t="s">
        <v>324</v>
      </c>
      <c r="E175" s="522">
        <v>11.7</v>
      </c>
      <c r="F175" s="522"/>
      <c r="G175" s="333">
        <f t="shared" si="4"/>
        <v>7027.1399999999921</v>
      </c>
      <c r="H175" s="334"/>
      <c r="I175" s="335"/>
      <c r="J175" s="336"/>
      <c r="K175" s="301"/>
      <c r="L175" s="336"/>
      <c r="M175" s="301"/>
      <c r="N175" s="336"/>
      <c r="O175" s="301"/>
      <c r="P175" s="336"/>
      <c r="Q175" s="301"/>
      <c r="R175" s="336"/>
      <c r="S175" s="301"/>
      <c r="T175" s="336"/>
    </row>
    <row r="176" spans="1:20" ht="12" customHeight="1" x14ac:dyDescent="0.25">
      <c r="A176" s="329" t="s">
        <v>287</v>
      </c>
      <c r="B176" s="330" t="s">
        <v>287</v>
      </c>
      <c r="C176" s="298">
        <v>46297</v>
      </c>
      <c r="D176" s="299" t="s">
        <v>1085</v>
      </c>
      <c r="E176" s="522">
        <v>112.25</v>
      </c>
      <c r="F176" s="522">
        <v>112.25</v>
      </c>
      <c r="G176" s="333">
        <f t="shared" si="4"/>
        <v>7038.839999999992</v>
      </c>
      <c r="H176" s="334"/>
      <c r="I176" s="335"/>
      <c r="J176" s="336"/>
      <c r="K176" s="301"/>
      <c r="L176" s="336"/>
      <c r="M176" s="301"/>
      <c r="N176" s="336"/>
      <c r="O176" s="301"/>
      <c r="P176" s="336"/>
      <c r="Q176" s="301"/>
      <c r="R176" s="336"/>
      <c r="S176" s="301"/>
      <c r="T176" s="336"/>
    </row>
    <row r="177" spans="1:20" ht="12" customHeight="1" x14ac:dyDescent="0.25">
      <c r="A177" s="329" t="s">
        <v>289</v>
      </c>
      <c r="B177" s="330">
        <v>3</v>
      </c>
      <c r="C177" s="298">
        <v>46297</v>
      </c>
      <c r="D177" s="299" t="s">
        <v>350</v>
      </c>
      <c r="E177" s="522">
        <v>25</v>
      </c>
      <c r="F177" s="522"/>
      <c r="G177" s="333">
        <f t="shared" si="4"/>
        <v>7038.839999999992</v>
      </c>
      <c r="H177" s="334"/>
      <c r="I177" s="335"/>
      <c r="J177" s="336"/>
      <c r="K177" s="301"/>
      <c r="L177" s="336"/>
      <c r="M177" s="301"/>
      <c r="N177" s="336"/>
      <c r="O177" s="301"/>
      <c r="P177" s="336"/>
      <c r="Q177" s="301"/>
      <c r="R177" s="336"/>
      <c r="S177" s="301"/>
      <c r="T177" s="336"/>
    </row>
    <row r="178" spans="1:20" ht="12" customHeight="1" x14ac:dyDescent="0.25">
      <c r="A178" s="329" t="s">
        <v>289</v>
      </c>
      <c r="B178" s="330">
        <v>2</v>
      </c>
      <c r="C178" s="298">
        <v>46297</v>
      </c>
      <c r="D178" s="299" t="s">
        <v>1078</v>
      </c>
      <c r="E178" s="522">
        <v>30</v>
      </c>
      <c r="F178" s="522"/>
      <c r="G178" s="333">
        <f t="shared" si="4"/>
        <v>7063.839999999992</v>
      </c>
      <c r="H178" s="334"/>
      <c r="I178" s="335"/>
      <c r="J178" s="336"/>
      <c r="K178" s="301"/>
      <c r="L178" s="336"/>
      <c r="M178" s="301"/>
      <c r="N178" s="336"/>
      <c r="O178" s="301"/>
      <c r="P178" s="336"/>
      <c r="Q178" s="301"/>
      <c r="R178" s="336"/>
      <c r="S178" s="301"/>
      <c r="T178" s="336"/>
    </row>
    <row r="179" spans="1:20" ht="12" customHeight="1" x14ac:dyDescent="0.25">
      <c r="A179" s="329" t="s">
        <v>284</v>
      </c>
      <c r="B179" s="330">
        <v>37</v>
      </c>
      <c r="C179" s="298">
        <v>46297</v>
      </c>
      <c r="D179" s="299" t="s">
        <v>373</v>
      </c>
      <c r="E179" s="522">
        <v>50</v>
      </c>
      <c r="F179" s="522"/>
      <c r="G179" s="333">
        <f t="shared" si="4"/>
        <v>7093.839999999992</v>
      </c>
      <c r="H179" s="334"/>
      <c r="I179" s="335"/>
      <c r="J179" s="336"/>
      <c r="K179" s="301"/>
      <c r="L179" s="336"/>
      <c r="M179" s="301"/>
      <c r="N179" s="336"/>
      <c r="O179" s="301"/>
      <c r="P179" s="336"/>
      <c r="Q179" s="301"/>
      <c r="R179" s="336"/>
      <c r="S179" s="301"/>
      <c r="T179" s="336"/>
    </row>
    <row r="180" spans="1:20" ht="12" customHeight="1" x14ac:dyDescent="0.25">
      <c r="A180" s="329" t="s">
        <v>294</v>
      </c>
      <c r="B180" s="330">
        <v>22</v>
      </c>
      <c r="C180" s="298">
        <v>46297</v>
      </c>
      <c r="D180" s="299" t="s">
        <v>374</v>
      </c>
      <c r="E180" s="522">
        <v>6.37</v>
      </c>
      <c r="F180" s="522"/>
      <c r="G180" s="333">
        <f t="shared" si="4"/>
        <v>7143.839999999992</v>
      </c>
      <c r="H180" s="334"/>
      <c r="I180" s="335"/>
      <c r="J180" s="336"/>
      <c r="K180" s="301"/>
      <c r="L180" s="336"/>
      <c r="M180" s="301"/>
      <c r="N180" s="336"/>
      <c r="O180" s="301"/>
      <c r="P180" s="336"/>
      <c r="Q180" s="301"/>
      <c r="R180" s="336"/>
      <c r="S180" s="301"/>
      <c r="T180" s="336"/>
    </row>
    <row r="181" spans="1:20" ht="12" customHeight="1" x14ac:dyDescent="0.25">
      <c r="A181" s="329" t="s">
        <v>289</v>
      </c>
      <c r="B181" s="330">
        <v>2</v>
      </c>
      <c r="C181" s="298">
        <v>46296</v>
      </c>
      <c r="D181" s="299" t="s">
        <v>296</v>
      </c>
      <c r="E181" s="522">
        <v>17.84</v>
      </c>
      <c r="F181" s="522"/>
      <c r="G181" s="333">
        <f t="shared" si="4"/>
        <v>7150.2099999999919</v>
      </c>
      <c r="H181" s="334"/>
      <c r="I181" s="335"/>
      <c r="J181" s="336"/>
      <c r="K181" s="301"/>
      <c r="L181" s="336"/>
      <c r="M181" s="301"/>
      <c r="N181" s="336"/>
      <c r="O181" s="301"/>
      <c r="P181" s="336"/>
      <c r="Q181" s="301"/>
      <c r="R181" s="336"/>
      <c r="S181" s="301"/>
      <c r="T181" s="336"/>
    </row>
    <row r="182" spans="1:20" ht="12" customHeight="1" x14ac:dyDescent="0.25">
      <c r="A182" s="329" t="s">
        <v>289</v>
      </c>
      <c r="B182" s="330">
        <v>6</v>
      </c>
      <c r="C182" s="298">
        <v>46296</v>
      </c>
      <c r="D182" s="299" t="s">
        <v>359</v>
      </c>
      <c r="E182" s="522">
        <v>35</v>
      </c>
      <c r="F182" s="522"/>
      <c r="G182" s="333">
        <f t="shared" si="4"/>
        <v>7168.049999999992</v>
      </c>
      <c r="H182" s="334"/>
      <c r="I182" s="335"/>
      <c r="J182" s="336"/>
      <c r="K182" s="301"/>
      <c r="L182" s="336"/>
      <c r="M182" s="301"/>
      <c r="N182" s="336"/>
      <c r="O182" s="301"/>
      <c r="P182" s="336"/>
      <c r="Q182" s="301"/>
      <c r="R182" s="336"/>
      <c r="S182" s="301"/>
      <c r="T182" s="336"/>
    </row>
    <row r="183" spans="1:20" ht="12" customHeight="1" x14ac:dyDescent="0.25">
      <c r="A183" s="329" t="s">
        <v>335</v>
      </c>
      <c r="B183" s="330" t="s">
        <v>335</v>
      </c>
      <c r="C183" s="298">
        <v>46296</v>
      </c>
      <c r="D183" s="299" t="s">
        <v>458</v>
      </c>
      <c r="E183" s="522"/>
      <c r="F183" s="522">
        <v>200</v>
      </c>
      <c r="G183" s="333">
        <f t="shared" si="4"/>
        <v>7203.049999999992</v>
      </c>
      <c r="H183" s="334"/>
      <c r="I183" s="335"/>
      <c r="J183" s="336"/>
      <c r="K183" s="301"/>
      <c r="L183" s="336"/>
      <c r="M183" s="301"/>
      <c r="N183" s="336"/>
      <c r="O183" s="301"/>
      <c r="P183" s="336"/>
      <c r="Q183" s="301"/>
      <c r="R183" s="336"/>
      <c r="S183" s="301"/>
      <c r="T183" s="336"/>
    </row>
    <row r="184" spans="1:20" ht="12" customHeight="1" x14ac:dyDescent="0.25">
      <c r="A184" s="329" t="s">
        <v>291</v>
      </c>
      <c r="B184" s="330">
        <v>41</v>
      </c>
      <c r="C184" s="298">
        <v>46296</v>
      </c>
      <c r="D184" s="299" t="s">
        <v>1076</v>
      </c>
      <c r="E184" s="522"/>
      <c r="F184" s="522">
        <v>800</v>
      </c>
      <c r="G184" s="333">
        <f t="shared" si="4"/>
        <v>7003.049999999992</v>
      </c>
      <c r="H184" s="334"/>
      <c r="I184" s="335"/>
      <c r="J184" s="336"/>
      <c r="K184" s="301"/>
      <c r="L184" s="336"/>
      <c r="M184" s="301"/>
      <c r="N184" s="336"/>
      <c r="O184" s="301"/>
      <c r="P184" s="336"/>
      <c r="Q184" s="301"/>
      <c r="R184" s="336"/>
      <c r="S184" s="301"/>
      <c r="T184" s="336"/>
    </row>
    <row r="185" spans="1:20" ht="12" customHeight="1" x14ac:dyDescent="0.25">
      <c r="A185" s="329" t="s">
        <v>291</v>
      </c>
      <c r="B185" s="330">
        <v>39</v>
      </c>
      <c r="C185" s="298">
        <v>46296</v>
      </c>
      <c r="D185" s="299" t="s">
        <v>292</v>
      </c>
      <c r="E185" s="522"/>
      <c r="F185" s="522">
        <v>2765.54</v>
      </c>
      <c r="G185" s="333">
        <f t="shared" si="4"/>
        <v>6203.049999999992</v>
      </c>
      <c r="H185" s="334"/>
      <c r="I185" s="335"/>
      <c r="J185" s="336"/>
      <c r="K185" s="301"/>
      <c r="L185" s="336"/>
      <c r="M185" s="301"/>
      <c r="N185" s="336"/>
      <c r="O185" s="301"/>
      <c r="P185" s="336"/>
      <c r="Q185" s="301"/>
      <c r="R185" s="336"/>
      <c r="S185" s="301"/>
      <c r="T185" s="336"/>
    </row>
    <row r="186" spans="1:20" ht="12" customHeight="1" x14ac:dyDescent="0.25">
      <c r="A186" s="329" t="s">
        <v>291</v>
      </c>
      <c r="B186" s="330">
        <v>40</v>
      </c>
      <c r="C186" s="298">
        <v>46296</v>
      </c>
      <c r="D186" s="299" t="s">
        <v>316</v>
      </c>
      <c r="E186" s="522"/>
      <c r="F186" s="522">
        <v>837.18</v>
      </c>
      <c r="G186" s="333">
        <f t="shared" si="4"/>
        <v>3437.5099999999916</v>
      </c>
      <c r="H186" s="334"/>
      <c r="I186" s="335"/>
      <c r="J186" s="336"/>
      <c r="K186" s="301"/>
      <c r="L186" s="336"/>
      <c r="M186" s="301"/>
      <c r="N186" s="336"/>
      <c r="O186" s="301"/>
      <c r="P186" s="336"/>
      <c r="Q186" s="301"/>
      <c r="R186" s="336"/>
      <c r="S186" s="301"/>
      <c r="T186" s="336"/>
    </row>
    <row r="187" spans="1:20" ht="12" customHeight="1" x14ac:dyDescent="0.25">
      <c r="A187" s="329" t="s">
        <v>284</v>
      </c>
      <c r="B187" s="330">
        <v>37</v>
      </c>
      <c r="C187" s="298">
        <v>46295</v>
      </c>
      <c r="D187" s="299" t="s">
        <v>1080</v>
      </c>
      <c r="E187" s="522">
        <v>2768.7</v>
      </c>
      <c r="F187" s="522"/>
      <c r="G187" s="333">
        <f t="shared" si="4"/>
        <v>2600.3299999999917</v>
      </c>
      <c r="H187" s="334"/>
      <c r="I187" s="335"/>
      <c r="J187" s="336"/>
      <c r="K187" s="301"/>
      <c r="L187" s="336"/>
      <c r="M187" s="301"/>
      <c r="N187" s="336"/>
      <c r="O187" s="301"/>
      <c r="P187" s="336"/>
      <c r="Q187" s="301"/>
      <c r="R187" s="336"/>
      <c r="S187" s="301"/>
      <c r="T187" s="336"/>
    </row>
    <row r="188" spans="1:20" ht="12" customHeight="1" x14ac:dyDescent="0.25">
      <c r="A188" s="329" t="s">
        <v>286</v>
      </c>
      <c r="B188" s="330">
        <v>25</v>
      </c>
      <c r="C188" s="298">
        <v>46295</v>
      </c>
      <c r="D188" s="298" t="s">
        <v>204</v>
      </c>
      <c r="E188" s="331">
        <v>350</v>
      </c>
      <c r="F188" s="522"/>
      <c r="G188" s="333">
        <f t="shared" si="4"/>
        <v>5369.0299999999916</v>
      </c>
      <c r="H188" s="334"/>
      <c r="I188" s="335"/>
      <c r="J188" s="336"/>
      <c r="K188" s="301"/>
      <c r="L188" s="336"/>
      <c r="M188" s="301"/>
      <c r="N188" s="336"/>
      <c r="O188" s="301"/>
      <c r="P188" s="336"/>
      <c r="Q188" s="301"/>
      <c r="R188" s="336"/>
      <c r="S188" s="301"/>
      <c r="T188" s="336"/>
    </row>
    <row r="189" spans="1:20" ht="12" customHeight="1" x14ac:dyDescent="0.25">
      <c r="A189" s="329" t="s">
        <v>286</v>
      </c>
      <c r="B189" s="330">
        <v>26</v>
      </c>
      <c r="C189" s="298">
        <v>46295</v>
      </c>
      <c r="D189" s="298" t="s">
        <v>205</v>
      </c>
      <c r="E189" s="331">
        <v>320</v>
      </c>
      <c r="F189" s="522"/>
      <c r="G189" s="333">
        <f t="shared" si="4"/>
        <v>5719.0299999999916</v>
      </c>
      <c r="H189" s="334"/>
      <c r="I189" s="335"/>
      <c r="J189" s="336"/>
      <c r="K189" s="301"/>
      <c r="L189" s="336"/>
      <c r="M189" s="301"/>
      <c r="N189" s="336"/>
      <c r="O189" s="301"/>
      <c r="P189" s="336"/>
      <c r="Q189" s="301"/>
      <c r="R189" s="336"/>
      <c r="S189" s="301"/>
      <c r="T189" s="336"/>
    </row>
    <row r="190" spans="1:20" ht="12" customHeight="1" x14ac:dyDescent="0.25">
      <c r="A190" s="329" t="s">
        <v>286</v>
      </c>
      <c r="B190" s="330">
        <v>27</v>
      </c>
      <c r="C190" s="298">
        <v>46295</v>
      </c>
      <c r="D190" s="298" t="s">
        <v>206</v>
      </c>
      <c r="E190" s="331">
        <v>25</v>
      </c>
      <c r="F190" s="522"/>
      <c r="G190" s="333">
        <f t="shared" si="4"/>
        <v>6039.0299999999916</v>
      </c>
      <c r="H190" s="334"/>
      <c r="I190" s="335"/>
      <c r="J190" s="336"/>
      <c r="K190" s="301"/>
      <c r="L190" s="336"/>
      <c r="M190" s="301"/>
      <c r="N190" s="336"/>
      <c r="O190" s="301"/>
      <c r="P190" s="336"/>
      <c r="Q190" s="301"/>
      <c r="R190" s="336"/>
      <c r="S190" s="301"/>
      <c r="T190" s="336"/>
    </row>
    <row r="191" spans="1:20" ht="12" customHeight="1" x14ac:dyDescent="0.25">
      <c r="A191" s="329" t="s">
        <v>286</v>
      </c>
      <c r="B191" s="330">
        <v>28</v>
      </c>
      <c r="C191" s="298">
        <v>46295</v>
      </c>
      <c r="D191" s="298" t="s">
        <v>207</v>
      </c>
      <c r="E191" s="331">
        <v>25</v>
      </c>
      <c r="F191" s="522"/>
      <c r="G191" s="333">
        <f t="shared" si="4"/>
        <v>6064.0299999999916</v>
      </c>
      <c r="H191" s="334"/>
      <c r="I191" s="335"/>
      <c r="J191" s="336"/>
      <c r="K191" s="301"/>
      <c r="L191" s="336"/>
      <c r="M191" s="301"/>
      <c r="N191" s="336"/>
      <c r="O191" s="301"/>
      <c r="P191" s="336"/>
      <c r="Q191" s="301"/>
      <c r="R191" s="336"/>
      <c r="S191" s="301"/>
      <c r="T191" s="336"/>
    </row>
    <row r="192" spans="1:20" ht="12" customHeight="1" x14ac:dyDescent="0.25">
      <c r="A192" s="329" t="s">
        <v>286</v>
      </c>
      <c r="B192" s="330">
        <v>29</v>
      </c>
      <c r="C192" s="298">
        <v>46295</v>
      </c>
      <c r="D192" s="298" t="s">
        <v>208</v>
      </c>
      <c r="E192" s="331">
        <v>45</v>
      </c>
      <c r="F192" s="522"/>
      <c r="G192" s="333">
        <f t="shared" si="4"/>
        <v>6089.0299999999916</v>
      </c>
      <c r="H192" s="334"/>
      <c r="I192" s="335"/>
      <c r="J192" s="336"/>
      <c r="K192" s="301"/>
      <c r="L192" s="336"/>
      <c r="M192" s="301"/>
      <c r="N192" s="336"/>
      <c r="O192" s="301"/>
      <c r="P192" s="336"/>
      <c r="Q192" s="301"/>
      <c r="R192" s="336"/>
      <c r="S192" s="301"/>
      <c r="T192" s="336"/>
    </row>
    <row r="193" spans="1:20" ht="12" customHeight="1" x14ac:dyDescent="0.25">
      <c r="A193" s="329" t="s">
        <v>286</v>
      </c>
      <c r="B193" s="330">
        <v>30</v>
      </c>
      <c r="C193" s="298">
        <v>46295</v>
      </c>
      <c r="D193" s="298" t="s">
        <v>209</v>
      </c>
      <c r="E193" s="331">
        <v>400</v>
      </c>
      <c r="F193" s="522"/>
      <c r="G193" s="333">
        <f t="shared" si="4"/>
        <v>6134.0299999999916</v>
      </c>
      <c r="H193" s="334"/>
      <c r="I193" s="335"/>
      <c r="J193" s="336"/>
      <c r="K193" s="301"/>
      <c r="L193" s="336"/>
      <c r="M193" s="301"/>
      <c r="N193" s="336"/>
      <c r="O193" s="301"/>
      <c r="P193" s="336"/>
      <c r="Q193" s="301"/>
      <c r="R193" s="336"/>
      <c r="S193" s="301"/>
      <c r="T193" s="336"/>
    </row>
    <row r="194" spans="1:20" ht="12" customHeight="1" x14ac:dyDescent="0.25">
      <c r="A194" s="329" t="s">
        <v>286</v>
      </c>
      <c r="B194" s="330">
        <v>31</v>
      </c>
      <c r="C194" s="298">
        <v>46295</v>
      </c>
      <c r="D194" s="298" t="s">
        <v>210</v>
      </c>
      <c r="E194" s="331">
        <v>375</v>
      </c>
      <c r="F194" s="522"/>
      <c r="G194" s="333">
        <f t="shared" si="4"/>
        <v>6534.0299999999916</v>
      </c>
      <c r="H194" s="334"/>
      <c r="I194" s="335"/>
      <c r="J194" s="336"/>
      <c r="K194" s="301"/>
      <c r="L194" s="336"/>
      <c r="M194" s="301"/>
      <c r="N194" s="336"/>
      <c r="O194" s="301"/>
      <c r="P194" s="336"/>
      <c r="Q194" s="301"/>
      <c r="R194" s="336"/>
      <c r="S194" s="301"/>
      <c r="T194" s="336"/>
    </row>
    <row r="195" spans="1:20" ht="12" customHeight="1" x14ac:dyDescent="0.25">
      <c r="A195" s="329" t="s">
        <v>286</v>
      </c>
      <c r="B195" s="330">
        <v>32</v>
      </c>
      <c r="C195" s="298">
        <v>46295</v>
      </c>
      <c r="D195" s="298" t="s">
        <v>211</v>
      </c>
      <c r="E195" s="331">
        <v>100</v>
      </c>
      <c r="F195" s="522"/>
      <c r="G195" s="333">
        <f t="shared" si="4"/>
        <v>6909.0299999999916</v>
      </c>
      <c r="H195" s="334"/>
      <c r="I195" s="335"/>
      <c r="J195" s="336"/>
      <c r="K195" s="301"/>
      <c r="L195" s="336"/>
      <c r="M195" s="301"/>
      <c r="N195" s="336"/>
      <c r="O195" s="301"/>
      <c r="P195" s="336"/>
      <c r="Q195" s="301"/>
      <c r="R195" s="336"/>
      <c r="S195" s="301"/>
      <c r="T195" s="336"/>
    </row>
    <row r="196" spans="1:20" ht="12" customHeight="1" x14ac:dyDescent="0.25">
      <c r="A196" s="329" t="s">
        <v>286</v>
      </c>
      <c r="B196" s="330">
        <v>33</v>
      </c>
      <c r="C196" s="298">
        <v>46295</v>
      </c>
      <c r="D196" s="298" t="s">
        <v>212</v>
      </c>
      <c r="E196" s="331">
        <v>85</v>
      </c>
      <c r="F196" s="522"/>
      <c r="G196" s="333">
        <f t="shared" si="4"/>
        <v>7009.0299999999916</v>
      </c>
      <c r="H196" s="334"/>
      <c r="I196" s="335"/>
      <c r="J196" s="336"/>
      <c r="K196" s="301"/>
      <c r="L196" s="336"/>
      <c r="M196" s="301"/>
      <c r="N196" s="336"/>
      <c r="O196" s="301"/>
      <c r="P196" s="336"/>
      <c r="Q196" s="301"/>
      <c r="R196" s="336"/>
      <c r="S196" s="301"/>
      <c r="T196" s="336"/>
    </row>
    <row r="197" spans="1:20" ht="12" customHeight="1" x14ac:dyDescent="0.25">
      <c r="A197" s="329" t="s">
        <v>286</v>
      </c>
      <c r="B197" s="330">
        <v>34</v>
      </c>
      <c r="C197" s="298">
        <v>46295</v>
      </c>
      <c r="D197" s="298" t="s">
        <v>213</v>
      </c>
      <c r="E197" s="331">
        <v>230</v>
      </c>
      <c r="F197" s="522"/>
      <c r="G197" s="333">
        <f t="shared" si="4"/>
        <v>7094.0299999999916</v>
      </c>
      <c r="H197" s="334"/>
      <c r="I197" s="335"/>
      <c r="J197" s="336"/>
      <c r="K197" s="301"/>
      <c r="L197" s="336"/>
      <c r="M197" s="301"/>
      <c r="N197" s="336"/>
      <c r="O197" s="301"/>
      <c r="P197" s="336"/>
      <c r="Q197" s="301"/>
      <c r="R197" s="336"/>
      <c r="S197" s="301"/>
      <c r="T197" s="336"/>
    </row>
    <row r="198" spans="1:20" ht="12" customHeight="1" x14ac:dyDescent="0.25">
      <c r="A198" s="329" t="s">
        <v>286</v>
      </c>
      <c r="B198" s="330">
        <v>35</v>
      </c>
      <c r="C198" s="298">
        <v>46295</v>
      </c>
      <c r="D198" s="298" t="s">
        <v>214</v>
      </c>
      <c r="E198" s="331">
        <v>45</v>
      </c>
      <c r="F198" s="522"/>
      <c r="G198" s="333">
        <f t="shared" si="4"/>
        <v>7324.0299999999916</v>
      </c>
      <c r="H198" s="334"/>
      <c r="I198" s="335"/>
      <c r="J198" s="336"/>
      <c r="K198" s="301"/>
      <c r="L198" s="336"/>
      <c r="M198" s="301"/>
      <c r="N198" s="336"/>
      <c r="O198" s="301"/>
      <c r="P198" s="336"/>
      <c r="Q198" s="301"/>
      <c r="R198" s="336"/>
      <c r="S198" s="301"/>
      <c r="T198" s="336"/>
    </row>
    <row r="199" spans="1:20" ht="12" customHeight="1" x14ac:dyDescent="0.25">
      <c r="A199" s="329" t="s">
        <v>289</v>
      </c>
      <c r="B199" s="330">
        <v>2</v>
      </c>
      <c r="C199" s="298">
        <v>46295</v>
      </c>
      <c r="D199" s="298" t="s">
        <v>1079</v>
      </c>
      <c r="E199" s="522">
        <v>19.57</v>
      </c>
      <c r="F199" s="522"/>
      <c r="G199" s="333">
        <f t="shared" si="4"/>
        <v>7369.0299999999916</v>
      </c>
      <c r="H199" s="334"/>
      <c r="I199" s="335"/>
      <c r="J199" s="336"/>
      <c r="K199" s="301"/>
      <c r="L199" s="336"/>
      <c r="M199" s="301"/>
      <c r="N199" s="336"/>
      <c r="O199" s="301"/>
      <c r="P199" s="336"/>
      <c r="Q199" s="301"/>
      <c r="R199" s="336"/>
      <c r="S199" s="301"/>
      <c r="T199" s="336"/>
    </row>
    <row r="200" spans="1:20" ht="12" customHeight="1" x14ac:dyDescent="0.25">
      <c r="A200" s="329" t="s">
        <v>289</v>
      </c>
      <c r="B200" s="330">
        <v>5</v>
      </c>
      <c r="C200" s="298">
        <v>46295</v>
      </c>
      <c r="D200" s="298" t="s">
        <v>1077</v>
      </c>
      <c r="E200" s="522">
        <v>32.99</v>
      </c>
      <c r="F200" s="522"/>
      <c r="G200" s="333">
        <f t="shared" si="4"/>
        <v>7388.5999999999913</v>
      </c>
      <c r="H200" s="334"/>
      <c r="I200" s="335"/>
      <c r="J200" s="336"/>
      <c r="K200" s="301"/>
      <c r="L200" s="336"/>
      <c r="M200" s="301"/>
      <c r="N200" s="336"/>
      <c r="O200" s="301"/>
      <c r="P200" s="336"/>
      <c r="Q200" s="301"/>
      <c r="R200" s="336"/>
      <c r="S200" s="301"/>
      <c r="T200" s="336"/>
    </row>
    <row r="201" spans="1:20" ht="12" customHeight="1" x14ac:dyDescent="0.25">
      <c r="A201" s="329" t="s">
        <v>294</v>
      </c>
      <c r="B201" s="330">
        <v>10</v>
      </c>
      <c r="C201" s="298">
        <v>46295</v>
      </c>
      <c r="D201" s="298" t="s">
        <v>176</v>
      </c>
      <c r="E201" s="522">
        <v>17.899999999999999</v>
      </c>
      <c r="F201" s="522"/>
      <c r="G201" s="333">
        <f t="shared" si="4"/>
        <v>7421.5899999999911</v>
      </c>
      <c r="H201" s="334"/>
      <c r="I201" s="335"/>
      <c r="J201" s="336"/>
      <c r="K201" s="301"/>
      <c r="L201" s="336"/>
      <c r="M201" s="301"/>
      <c r="N201" s="336"/>
      <c r="O201" s="301"/>
      <c r="P201" s="336"/>
      <c r="Q201" s="301"/>
      <c r="R201" s="336"/>
      <c r="S201" s="301"/>
      <c r="T201" s="336"/>
    </row>
    <row r="202" spans="1:20" ht="12" customHeight="1" x14ac:dyDescent="0.25">
      <c r="A202" s="329" t="s">
        <v>289</v>
      </c>
      <c r="B202" s="330">
        <v>2</v>
      </c>
      <c r="C202" s="298">
        <v>46294</v>
      </c>
      <c r="D202" s="298" t="s">
        <v>334</v>
      </c>
      <c r="E202" s="522">
        <v>14.28</v>
      </c>
      <c r="F202" s="522"/>
      <c r="G202" s="333">
        <f t="shared" si="4"/>
        <v>7439.4899999999907</v>
      </c>
      <c r="H202" s="334"/>
      <c r="I202" s="335"/>
      <c r="J202" s="336"/>
      <c r="K202" s="301"/>
      <c r="L202" s="336"/>
      <c r="M202" s="301"/>
      <c r="N202" s="336"/>
      <c r="O202" s="301"/>
      <c r="P202" s="336"/>
      <c r="Q202" s="301"/>
      <c r="R202" s="336"/>
      <c r="S202" s="301"/>
      <c r="T202" s="336"/>
    </row>
    <row r="203" spans="1:20" ht="12" customHeight="1" x14ac:dyDescent="0.25">
      <c r="A203" s="329" t="s">
        <v>289</v>
      </c>
      <c r="B203" s="330">
        <v>6</v>
      </c>
      <c r="C203" s="298">
        <v>46294</v>
      </c>
      <c r="D203" s="298" t="s">
        <v>300</v>
      </c>
      <c r="E203" s="522">
        <v>34.49</v>
      </c>
      <c r="F203" s="522"/>
      <c r="G203" s="333">
        <f t="shared" si="4"/>
        <v>7453.7699999999904</v>
      </c>
      <c r="H203" s="334"/>
      <c r="I203" s="335"/>
      <c r="J203" s="336"/>
      <c r="K203" s="301"/>
      <c r="L203" s="336"/>
      <c r="M203" s="301"/>
      <c r="N203" s="336"/>
      <c r="O203" s="301"/>
      <c r="P203" s="336"/>
      <c r="Q203" s="301"/>
      <c r="R203" s="336"/>
      <c r="S203" s="301"/>
      <c r="T203" s="336"/>
    </row>
    <row r="204" spans="1:20" ht="12" customHeight="1" x14ac:dyDescent="0.25">
      <c r="A204" s="329" t="s">
        <v>291</v>
      </c>
      <c r="B204" s="330">
        <v>38</v>
      </c>
      <c r="C204" s="298">
        <v>46294</v>
      </c>
      <c r="D204" s="299" t="s">
        <v>293</v>
      </c>
      <c r="E204" s="522"/>
      <c r="F204" s="522">
        <v>4719.97</v>
      </c>
      <c r="G204" s="333">
        <f t="shared" si="4"/>
        <v>7488.2599999999902</v>
      </c>
      <c r="H204" s="334"/>
      <c r="I204" s="335"/>
      <c r="J204" s="336"/>
      <c r="K204" s="301"/>
      <c r="L204" s="336"/>
      <c r="M204" s="301"/>
      <c r="N204" s="336"/>
      <c r="O204" s="301"/>
      <c r="P204" s="336"/>
      <c r="Q204" s="301"/>
      <c r="R204" s="336"/>
      <c r="S204" s="301"/>
      <c r="T204" s="336"/>
    </row>
    <row r="205" spans="1:20" ht="12" customHeight="1" x14ac:dyDescent="0.25">
      <c r="A205" s="329" t="s">
        <v>294</v>
      </c>
      <c r="B205" s="330">
        <v>20</v>
      </c>
      <c r="C205" s="298">
        <v>46294</v>
      </c>
      <c r="D205" s="299" t="s">
        <v>193</v>
      </c>
      <c r="E205" s="522">
        <v>600</v>
      </c>
      <c r="F205" s="522"/>
      <c r="G205" s="333">
        <f t="shared" si="4"/>
        <v>2768.28999999999</v>
      </c>
      <c r="H205" s="334"/>
      <c r="I205" s="335"/>
      <c r="J205" s="336"/>
      <c r="K205" s="301"/>
      <c r="L205" s="336"/>
      <c r="M205" s="301"/>
      <c r="N205" s="336"/>
      <c r="O205" s="301"/>
      <c r="P205" s="336"/>
      <c r="Q205" s="301"/>
      <c r="R205" s="336"/>
      <c r="S205" s="301"/>
      <c r="T205" s="336"/>
    </row>
    <row r="206" spans="1:20" ht="12" customHeight="1" x14ac:dyDescent="0.25">
      <c r="A206" s="329" t="s">
        <v>289</v>
      </c>
      <c r="B206" s="330">
        <v>5</v>
      </c>
      <c r="C206" s="298">
        <v>46293</v>
      </c>
      <c r="D206" s="299" t="s">
        <v>1073</v>
      </c>
      <c r="E206" s="522">
        <v>785</v>
      </c>
      <c r="F206" s="522"/>
      <c r="G206" s="333">
        <f t="shared" si="4"/>
        <v>3368.28999999999</v>
      </c>
      <c r="H206" s="334"/>
      <c r="I206" s="335"/>
      <c r="J206" s="336"/>
      <c r="K206" s="301"/>
      <c r="L206" s="336"/>
      <c r="M206" s="301"/>
      <c r="N206" s="336"/>
      <c r="O206" s="301"/>
      <c r="P206" s="336"/>
      <c r="Q206" s="301"/>
      <c r="R206" s="336"/>
      <c r="S206" s="301"/>
      <c r="T206" s="336"/>
    </row>
    <row r="207" spans="1:20" ht="12" customHeight="1" x14ac:dyDescent="0.25">
      <c r="A207" s="329" t="s">
        <v>289</v>
      </c>
      <c r="B207" s="330">
        <v>4</v>
      </c>
      <c r="C207" s="298">
        <v>46293</v>
      </c>
      <c r="D207" s="299" t="s">
        <v>310</v>
      </c>
      <c r="E207" s="522">
        <v>47.75</v>
      </c>
      <c r="F207" s="522"/>
      <c r="G207" s="333">
        <f t="shared" si="4"/>
        <v>4153.28999999999</v>
      </c>
      <c r="H207" s="334"/>
      <c r="I207" s="335"/>
      <c r="J207" s="336"/>
      <c r="K207" s="301"/>
      <c r="L207" s="336"/>
      <c r="M207" s="301"/>
      <c r="N207" s="336"/>
      <c r="O207" s="301"/>
      <c r="P207" s="336"/>
      <c r="Q207" s="301"/>
      <c r="R207" s="336"/>
      <c r="S207" s="301"/>
      <c r="T207" s="336"/>
    </row>
    <row r="208" spans="1:20" ht="12" customHeight="1" x14ac:dyDescent="0.25">
      <c r="A208" s="329" t="s">
        <v>289</v>
      </c>
      <c r="B208" s="330">
        <v>4</v>
      </c>
      <c r="C208" s="298">
        <v>46293</v>
      </c>
      <c r="D208" s="299" t="s">
        <v>296</v>
      </c>
      <c r="E208" s="522">
        <v>91.28</v>
      </c>
      <c r="F208" s="522"/>
      <c r="G208" s="333">
        <f t="shared" si="4"/>
        <v>4201.03999999999</v>
      </c>
      <c r="H208" s="334"/>
      <c r="I208" s="335"/>
      <c r="J208" s="336"/>
      <c r="K208" s="301"/>
      <c r="L208" s="336"/>
      <c r="M208" s="301"/>
      <c r="N208" s="336"/>
      <c r="O208" s="301"/>
      <c r="P208" s="336"/>
      <c r="Q208" s="301"/>
      <c r="R208" s="336"/>
      <c r="S208" s="301"/>
      <c r="T208" s="336"/>
    </row>
    <row r="209" spans="1:20" ht="12" customHeight="1" x14ac:dyDescent="0.25">
      <c r="A209" s="329" t="s">
        <v>289</v>
      </c>
      <c r="B209" s="330">
        <v>3</v>
      </c>
      <c r="C209" s="298">
        <v>46293</v>
      </c>
      <c r="D209" s="299" t="s">
        <v>296</v>
      </c>
      <c r="E209" s="522">
        <v>3.49</v>
      </c>
      <c r="F209" s="522"/>
      <c r="G209" s="333">
        <f t="shared" si="4"/>
        <v>4292.3199999999897</v>
      </c>
      <c r="H209" s="334"/>
      <c r="I209" s="335"/>
      <c r="J209" s="336"/>
      <c r="K209" s="301"/>
      <c r="L209" s="336"/>
      <c r="M209" s="301"/>
      <c r="N209" s="336"/>
      <c r="O209" s="301"/>
      <c r="P209" s="336"/>
      <c r="Q209" s="301"/>
      <c r="R209" s="336"/>
      <c r="S209" s="301"/>
      <c r="T209" s="336"/>
    </row>
    <row r="210" spans="1:20" ht="12" customHeight="1" x14ac:dyDescent="0.25">
      <c r="A210" s="329" t="s">
        <v>289</v>
      </c>
      <c r="B210" s="330">
        <v>6</v>
      </c>
      <c r="C210" s="298">
        <v>46293</v>
      </c>
      <c r="D210" s="299" t="s">
        <v>1075</v>
      </c>
      <c r="E210" s="522">
        <v>260.32</v>
      </c>
      <c r="F210" s="522"/>
      <c r="G210" s="333">
        <f t="shared" si="4"/>
        <v>4295.8099999999895</v>
      </c>
      <c r="H210" s="334"/>
      <c r="I210" s="335"/>
      <c r="J210" s="336"/>
      <c r="K210" s="301"/>
      <c r="L210" s="336"/>
      <c r="M210" s="301"/>
      <c r="N210" s="336"/>
      <c r="O210" s="301"/>
      <c r="P210" s="336"/>
      <c r="Q210" s="301"/>
      <c r="R210" s="336"/>
      <c r="S210" s="301"/>
      <c r="T210" s="336"/>
    </row>
    <row r="211" spans="1:20" ht="12" customHeight="1" x14ac:dyDescent="0.25">
      <c r="A211" s="329" t="s">
        <v>289</v>
      </c>
      <c r="B211" s="330">
        <v>3</v>
      </c>
      <c r="C211" s="298">
        <v>46292</v>
      </c>
      <c r="D211" s="299" t="s">
        <v>981</v>
      </c>
      <c r="E211" s="522">
        <v>9.35</v>
      </c>
      <c r="F211" s="522"/>
      <c r="G211" s="333">
        <f t="shared" si="4"/>
        <v>4556.1299999999892</v>
      </c>
      <c r="H211" s="334"/>
      <c r="I211" s="335"/>
      <c r="J211" s="336"/>
      <c r="K211" s="301"/>
      <c r="L211" s="336"/>
      <c r="M211" s="301"/>
      <c r="N211" s="336"/>
      <c r="O211" s="301"/>
      <c r="P211" s="336"/>
      <c r="Q211" s="301"/>
      <c r="R211" s="336"/>
      <c r="S211" s="301"/>
      <c r="T211" s="336"/>
    </row>
    <row r="212" spans="1:20" ht="12" customHeight="1" x14ac:dyDescent="0.25">
      <c r="A212" s="329" t="s">
        <v>289</v>
      </c>
      <c r="B212" s="330">
        <v>8</v>
      </c>
      <c r="C212" s="298">
        <v>46291</v>
      </c>
      <c r="D212" s="299" t="s">
        <v>1072</v>
      </c>
      <c r="E212" s="522">
        <v>46.73</v>
      </c>
      <c r="F212" s="522"/>
      <c r="G212" s="333">
        <f t="shared" si="4"/>
        <v>4565.4799999999896</v>
      </c>
      <c r="H212" s="334"/>
      <c r="I212" s="335"/>
      <c r="J212" s="336"/>
      <c r="K212" s="301"/>
      <c r="L212" s="336"/>
      <c r="M212" s="301"/>
      <c r="N212" s="336"/>
      <c r="O212" s="301"/>
      <c r="P212" s="336"/>
      <c r="Q212" s="301"/>
      <c r="R212" s="336"/>
      <c r="S212" s="301"/>
      <c r="T212" s="336"/>
    </row>
    <row r="213" spans="1:20" ht="12" customHeight="1" x14ac:dyDescent="0.25">
      <c r="A213" s="329" t="s">
        <v>289</v>
      </c>
      <c r="B213" s="330">
        <v>5</v>
      </c>
      <c r="C213" s="298">
        <v>46291</v>
      </c>
      <c r="D213" s="299" t="s">
        <v>428</v>
      </c>
      <c r="E213" s="522">
        <v>102.95</v>
      </c>
      <c r="F213" s="522"/>
      <c r="G213" s="333">
        <f t="shared" si="4"/>
        <v>4612.2099999999891</v>
      </c>
      <c r="H213" s="334"/>
      <c r="I213" s="335"/>
      <c r="J213" s="336"/>
      <c r="K213" s="301"/>
      <c r="L213" s="336"/>
      <c r="M213" s="301"/>
      <c r="N213" s="336"/>
      <c r="O213" s="301"/>
      <c r="P213" s="336"/>
      <c r="Q213" s="301"/>
      <c r="R213" s="336"/>
      <c r="S213" s="301"/>
      <c r="T213" s="336"/>
    </row>
    <row r="214" spans="1:20" ht="12" customHeight="1" x14ac:dyDescent="0.25">
      <c r="A214" s="329" t="s">
        <v>289</v>
      </c>
      <c r="B214" s="330">
        <v>8</v>
      </c>
      <c r="C214" s="298">
        <v>46291</v>
      </c>
      <c r="D214" s="299" t="s">
        <v>319</v>
      </c>
      <c r="E214" s="522">
        <v>53.4</v>
      </c>
      <c r="F214" s="522"/>
      <c r="G214" s="333">
        <f t="shared" si="4"/>
        <v>4715.1599999999889</v>
      </c>
      <c r="H214" s="334"/>
      <c r="I214" s="335"/>
      <c r="J214" s="336"/>
      <c r="K214" s="301"/>
      <c r="L214" s="336"/>
      <c r="M214" s="301"/>
      <c r="N214" s="336"/>
      <c r="O214" s="301"/>
      <c r="P214" s="336"/>
      <c r="Q214" s="301"/>
      <c r="R214" s="336"/>
      <c r="S214" s="301"/>
      <c r="T214" s="336"/>
    </row>
    <row r="215" spans="1:20" ht="12" customHeight="1" x14ac:dyDescent="0.25">
      <c r="A215" s="329" t="s">
        <v>289</v>
      </c>
      <c r="B215" s="330">
        <v>2</v>
      </c>
      <c r="C215" s="298">
        <v>46290</v>
      </c>
      <c r="D215" s="299" t="s">
        <v>326</v>
      </c>
      <c r="E215" s="522">
        <v>17.72</v>
      </c>
      <c r="F215" s="522"/>
      <c r="G215" s="333">
        <f t="shared" si="4"/>
        <v>4768.5599999999886</v>
      </c>
      <c r="H215" s="334"/>
      <c r="I215" s="335"/>
      <c r="J215" s="336"/>
      <c r="K215" s="301"/>
      <c r="L215" s="336"/>
      <c r="M215" s="301"/>
      <c r="N215" s="336"/>
      <c r="O215" s="301"/>
      <c r="P215" s="336"/>
      <c r="Q215" s="301"/>
      <c r="R215" s="336"/>
      <c r="S215" s="301"/>
      <c r="T215" s="336"/>
    </row>
    <row r="216" spans="1:20" ht="12" customHeight="1" x14ac:dyDescent="0.25">
      <c r="A216" s="329" t="s">
        <v>289</v>
      </c>
      <c r="B216" s="330">
        <v>4</v>
      </c>
      <c r="C216" s="298">
        <v>46290</v>
      </c>
      <c r="D216" s="299" t="s">
        <v>296</v>
      </c>
      <c r="E216" s="522">
        <v>42.12</v>
      </c>
      <c r="F216" s="522"/>
      <c r="G216" s="333">
        <f t="shared" si="4"/>
        <v>4786.2799999999888</v>
      </c>
      <c r="H216" s="334"/>
      <c r="I216" s="335"/>
      <c r="J216" s="336"/>
      <c r="K216" s="301"/>
      <c r="L216" s="336"/>
      <c r="M216" s="301"/>
      <c r="N216" s="336"/>
      <c r="O216" s="301"/>
      <c r="P216" s="336"/>
      <c r="Q216" s="301"/>
      <c r="R216" s="336"/>
      <c r="S216" s="301"/>
      <c r="T216" s="336"/>
    </row>
    <row r="217" spans="1:20" ht="12" customHeight="1" x14ac:dyDescent="0.25">
      <c r="A217" s="329" t="s">
        <v>289</v>
      </c>
      <c r="B217" s="330">
        <v>2</v>
      </c>
      <c r="C217" s="298">
        <v>46290</v>
      </c>
      <c r="D217" s="299" t="s">
        <v>296</v>
      </c>
      <c r="E217" s="522">
        <v>17.84</v>
      </c>
      <c r="F217" s="522"/>
      <c r="G217" s="333">
        <f t="shared" ref="G217:G261" si="5">G218-E217+F217</f>
        <v>4828.3999999999887</v>
      </c>
      <c r="H217" s="334"/>
      <c r="I217" s="335"/>
      <c r="J217" s="336"/>
      <c r="K217" s="301"/>
      <c r="L217" s="336"/>
      <c r="M217" s="301"/>
      <c r="N217" s="336"/>
      <c r="O217" s="301"/>
      <c r="P217" s="336"/>
      <c r="Q217" s="301"/>
      <c r="R217" s="336"/>
      <c r="S217" s="301"/>
      <c r="T217" s="336"/>
    </row>
    <row r="218" spans="1:20" ht="12" customHeight="1" x14ac:dyDescent="0.25">
      <c r="A218" s="329" t="s">
        <v>294</v>
      </c>
      <c r="B218" s="330">
        <v>12</v>
      </c>
      <c r="C218" s="298">
        <v>46290</v>
      </c>
      <c r="D218" s="299" t="s">
        <v>314</v>
      </c>
      <c r="E218" s="522">
        <v>204.48</v>
      </c>
      <c r="F218" s="522"/>
      <c r="G218" s="333">
        <f t="shared" si="5"/>
        <v>4846.2399999999889</v>
      </c>
      <c r="H218" s="334"/>
      <c r="I218" s="335"/>
      <c r="J218" s="336"/>
      <c r="K218" s="301"/>
      <c r="L218" s="336"/>
      <c r="M218" s="301"/>
      <c r="N218" s="336"/>
      <c r="O218" s="301"/>
      <c r="P218" s="336"/>
      <c r="Q218" s="301"/>
      <c r="R218" s="336"/>
      <c r="S218" s="301"/>
      <c r="T218" s="336"/>
    </row>
    <row r="219" spans="1:20" ht="12" customHeight="1" x14ac:dyDescent="0.25">
      <c r="A219" s="329" t="s">
        <v>289</v>
      </c>
      <c r="B219" s="330">
        <v>3</v>
      </c>
      <c r="C219" s="298">
        <v>46290</v>
      </c>
      <c r="D219" s="299" t="s">
        <v>1038</v>
      </c>
      <c r="E219" s="522">
        <v>6</v>
      </c>
      <c r="F219" s="522"/>
      <c r="G219" s="333">
        <f t="shared" si="5"/>
        <v>5050.7199999999884</v>
      </c>
      <c r="H219" s="334"/>
      <c r="I219" s="335"/>
      <c r="J219" s="336"/>
      <c r="K219" s="301"/>
      <c r="L219" s="336"/>
      <c r="M219" s="301"/>
      <c r="N219" s="336"/>
      <c r="O219" s="301"/>
      <c r="P219" s="336"/>
      <c r="Q219" s="301"/>
      <c r="R219" s="336"/>
      <c r="S219" s="301"/>
      <c r="T219" s="336"/>
    </row>
    <row r="220" spans="1:20" ht="12" customHeight="1" x14ac:dyDescent="0.25">
      <c r="A220" s="329" t="s">
        <v>289</v>
      </c>
      <c r="B220" s="330">
        <v>2</v>
      </c>
      <c r="C220" s="298">
        <v>46290</v>
      </c>
      <c r="D220" s="299" t="s">
        <v>370</v>
      </c>
      <c r="E220" s="522">
        <v>18.16</v>
      </c>
      <c r="F220" s="522"/>
      <c r="G220" s="333">
        <f t="shared" si="5"/>
        <v>5056.7199999999884</v>
      </c>
      <c r="H220" s="334"/>
      <c r="I220" s="335"/>
      <c r="J220" s="336"/>
      <c r="K220" s="301"/>
      <c r="L220" s="336"/>
      <c r="M220" s="301"/>
      <c r="N220" s="336"/>
      <c r="O220" s="301"/>
      <c r="P220" s="336"/>
      <c r="Q220" s="301"/>
      <c r="R220" s="336"/>
      <c r="S220" s="301"/>
      <c r="T220" s="336"/>
    </row>
    <row r="221" spans="1:20" ht="12" customHeight="1" x14ac:dyDescent="0.25">
      <c r="A221" s="329" t="s">
        <v>289</v>
      </c>
      <c r="B221" s="330">
        <v>5</v>
      </c>
      <c r="C221" s="298">
        <v>46290</v>
      </c>
      <c r="D221" s="299" t="s">
        <v>1038</v>
      </c>
      <c r="E221" s="522">
        <v>28.83</v>
      </c>
      <c r="F221" s="522"/>
      <c r="G221" s="333">
        <f t="shared" si="5"/>
        <v>5074.8799999999883</v>
      </c>
      <c r="H221" s="334"/>
      <c r="I221" s="335"/>
      <c r="J221" s="336"/>
      <c r="K221" s="301"/>
      <c r="L221" s="336"/>
      <c r="M221" s="301"/>
      <c r="N221" s="336"/>
      <c r="O221" s="301"/>
      <c r="P221" s="336"/>
      <c r="Q221" s="301"/>
      <c r="R221" s="336"/>
      <c r="S221" s="301"/>
      <c r="T221" s="336"/>
    </row>
    <row r="222" spans="1:20" ht="12" customHeight="1" x14ac:dyDescent="0.25">
      <c r="A222" s="329" t="s">
        <v>289</v>
      </c>
      <c r="B222" s="330">
        <v>3</v>
      </c>
      <c r="C222" s="298">
        <v>46289</v>
      </c>
      <c r="D222" s="299" t="s">
        <v>1066</v>
      </c>
      <c r="E222" s="522">
        <v>-33.75</v>
      </c>
      <c r="F222" s="522"/>
      <c r="G222" s="333">
        <f t="shared" si="5"/>
        <v>5103.7099999999882</v>
      </c>
      <c r="H222" s="334"/>
      <c r="I222" s="335"/>
      <c r="J222" s="336"/>
      <c r="K222" s="301"/>
      <c r="L222" s="336"/>
      <c r="M222" s="301"/>
      <c r="N222" s="336"/>
      <c r="O222" s="301"/>
      <c r="P222" s="336"/>
      <c r="Q222" s="301"/>
      <c r="R222" s="336"/>
      <c r="S222" s="301"/>
      <c r="T222" s="336"/>
    </row>
    <row r="223" spans="1:20" ht="12" customHeight="1" x14ac:dyDescent="0.25">
      <c r="A223" s="329" t="s">
        <v>289</v>
      </c>
      <c r="B223" s="330">
        <v>2</v>
      </c>
      <c r="C223" s="298">
        <v>46289</v>
      </c>
      <c r="D223" s="299" t="s">
        <v>357</v>
      </c>
      <c r="E223" s="522">
        <v>18.760000000000002</v>
      </c>
      <c r="F223" s="522"/>
      <c r="G223" s="333">
        <f t="shared" si="5"/>
        <v>5069.9599999999882</v>
      </c>
      <c r="H223" s="334"/>
      <c r="I223" s="335"/>
      <c r="J223" s="336"/>
      <c r="K223" s="301"/>
      <c r="L223" s="336"/>
      <c r="M223" s="301"/>
      <c r="N223" s="336"/>
      <c r="O223" s="301"/>
      <c r="P223" s="336"/>
      <c r="Q223" s="301"/>
      <c r="R223" s="336"/>
      <c r="S223" s="301"/>
      <c r="T223" s="336"/>
    </row>
    <row r="224" spans="1:20" ht="12" customHeight="1" x14ac:dyDescent="0.25">
      <c r="A224" s="329" t="s">
        <v>289</v>
      </c>
      <c r="B224" s="330">
        <v>6</v>
      </c>
      <c r="C224" s="298">
        <v>46289</v>
      </c>
      <c r="D224" s="299" t="s">
        <v>1069</v>
      </c>
      <c r="E224" s="522">
        <v>40.450000000000003</v>
      </c>
      <c r="F224" s="522"/>
      <c r="G224" s="333">
        <f t="shared" si="5"/>
        <v>5088.7199999999884</v>
      </c>
      <c r="H224" s="334"/>
      <c r="I224" s="335"/>
      <c r="J224" s="336"/>
      <c r="K224" s="301"/>
      <c r="L224" s="336"/>
      <c r="M224" s="301"/>
      <c r="N224" s="336"/>
      <c r="O224" s="301"/>
      <c r="P224" s="336"/>
      <c r="Q224" s="301"/>
      <c r="R224" s="336"/>
      <c r="S224" s="301"/>
      <c r="T224" s="336"/>
    </row>
    <row r="225" spans="1:20" ht="12" customHeight="1" x14ac:dyDescent="0.25">
      <c r="A225" s="329" t="s">
        <v>289</v>
      </c>
      <c r="B225" s="330">
        <v>6</v>
      </c>
      <c r="C225" s="298">
        <v>46288</v>
      </c>
      <c r="D225" s="299" t="s">
        <v>1067</v>
      </c>
      <c r="E225" s="522">
        <v>25</v>
      </c>
      <c r="F225" s="522"/>
      <c r="G225" s="333">
        <f t="shared" si="5"/>
        <v>5129.1699999999882</v>
      </c>
      <c r="H225" s="334"/>
      <c r="I225" s="335"/>
      <c r="J225" s="336"/>
      <c r="K225" s="301"/>
      <c r="L225" s="336"/>
      <c r="M225" s="301"/>
      <c r="N225" s="336"/>
      <c r="O225" s="301"/>
      <c r="P225" s="336"/>
      <c r="Q225" s="301"/>
      <c r="R225" s="336"/>
      <c r="S225" s="301"/>
      <c r="T225" s="336"/>
    </row>
    <row r="226" spans="1:20" ht="12" customHeight="1" x14ac:dyDescent="0.25">
      <c r="A226" s="329" t="s">
        <v>289</v>
      </c>
      <c r="B226" s="330">
        <v>2</v>
      </c>
      <c r="C226" s="298">
        <v>46288</v>
      </c>
      <c r="D226" s="299" t="s">
        <v>363</v>
      </c>
      <c r="E226" s="522">
        <v>28.46</v>
      </c>
      <c r="F226" s="522"/>
      <c r="G226" s="333">
        <f t="shared" si="5"/>
        <v>5154.1699999999882</v>
      </c>
      <c r="H226" s="334"/>
      <c r="I226" s="335"/>
      <c r="J226" s="336"/>
      <c r="K226" s="301"/>
      <c r="L226" s="336"/>
      <c r="M226" s="301"/>
      <c r="N226" s="336"/>
      <c r="O226" s="301"/>
      <c r="P226" s="336"/>
      <c r="Q226" s="301"/>
      <c r="R226" s="336"/>
      <c r="S226" s="301"/>
      <c r="T226" s="336"/>
    </row>
    <row r="227" spans="1:20" ht="12" customHeight="1" x14ac:dyDescent="0.25">
      <c r="A227" s="329" t="s">
        <v>294</v>
      </c>
      <c r="B227" s="330">
        <v>42</v>
      </c>
      <c r="C227" s="298">
        <v>46288</v>
      </c>
      <c r="D227" s="299" t="s">
        <v>200</v>
      </c>
      <c r="E227" s="522">
        <v>59</v>
      </c>
      <c r="F227" s="522"/>
      <c r="G227" s="333">
        <f t="shared" si="5"/>
        <v>5182.6299999999883</v>
      </c>
      <c r="H227" s="334"/>
      <c r="I227" s="335"/>
      <c r="J227" s="336"/>
      <c r="K227" s="301"/>
      <c r="L227" s="336"/>
      <c r="M227" s="301"/>
      <c r="N227" s="336"/>
      <c r="O227" s="301"/>
      <c r="P227" s="336"/>
      <c r="Q227" s="301"/>
      <c r="R227" s="336"/>
      <c r="S227" s="301"/>
      <c r="T227" s="336"/>
    </row>
    <row r="228" spans="1:20" ht="12" customHeight="1" x14ac:dyDescent="0.25">
      <c r="A228" s="329" t="s">
        <v>294</v>
      </c>
      <c r="B228" s="330">
        <v>43</v>
      </c>
      <c r="C228" s="298">
        <v>46288</v>
      </c>
      <c r="D228" s="299" t="s">
        <v>201</v>
      </c>
      <c r="E228" s="522">
        <v>42.84</v>
      </c>
      <c r="F228" s="522"/>
      <c r="G228" s="333">
        <f t="shared" si="5"/>
        <v>5241.6299999999883</v>
      </c>
      <c r="H228" s="334"/>
      <c r="I228" s="335"/>
      <c r="J228" s="336"/>
      <c r="K228" s="301"/>
      <c r="L228" s="336"/>
      <c r="M228" s="301"/>
      <c r="N228" s="336"/>
      <c r="O228" s="301"/>
      <c r="P228" s="336"/>
      <c r="Q228" s="301"/>
      <c r="R228" s="336"/>
      <c r="S228" s="301"/>
      <c r="T228" s="336"/>
    </row>
    <row r="229" spans="1:20" ht="12" customHeight="1" x14ac:dyDescent="0.25">
      <c r="A229" s="329" t="s">
        <v>289</v>
      </c>
      <c r="B229" s="330">
        <v>8</v>
      </c>
      <c r="C229" s="298">
        <v>46288</v>
      </c>
      <c r="D229" s="299" t="s">
        <v>1070</v>
      </c>
      <c r="E229" s="522">
        <v>38.25</v>
      </c>
      <c r="F229" s="522"/>
      <c r="G229" s="333">
        <f t="shared" si="5"/>
        <v>5284.4699999999884</v>
      </c>
      <c r="H229" s="334"/>
      <c r="I229" s="335"/>
      <c r="J229" s="336"/>
      <c r="K229" s="301"/>
      <c r="L229" s="336"/>
      <c r="M229" s="301"/>
      <c r="N229" s="336"/>
      <c r="O229" s="301"/>
      <c r="P229" s="336"/>
      <c r="Q229" s="301"/>
      <c r="R229" s="336"/>
      <c r="S229" s="301"/>
      <c r="T229" s="336"/>
    </row>
    <row r="230" spans="1:20" ht="12" customHeight="1" x14ac:dyDescent="0.25">
      <c r="A230" s="329" t="s">
        <v>289</v>
      </c>
      <c r="B230" s="330">
        <v>2</v>
      </c>
      <c r="C230" s="298">
        <v>46288</v>
      </c>
      <c r="D230" s="299" t="s">
        <v>308</v>
      </c>
      <c r="E230" s="522">
        <v>117.74</v>
      </c>
      <c r="F230" s="522"/>
      <c r="G230" s="333">
        <f t="shared" si="5"/>
        <v>5322.7199999999884</v>
      </c>
      <c r="H230" s="334"/>
      <c r="I230" s="335"/>
      <c r="J230" s="336"/>
      <c r="K230" s="301"/>
      <c r="L230" s="336"/>
      <c r="M230" s="301"/>
      <c r="N230" s="336"/>
      <c r="O230" s="301"/>
      <c r="P230" s="336"/>
      <c r="Q230" s="301"/>
      <c r="R230" s="336"/>
      <c r="S230" s="301"/>
      <c r="T230" s="336"/>
    </row>
    <row r="231" spans="1:20" ht="12" customHeight="1" x14ac:dyDescent="0.25">
      <c r="A231" s="329" t="s">
        <v>289</v>
      </c>
      <c r="B231" s="330">
        <v>3</v>
      </c>
      <c r="C231" s="298">
        <v>46287</v>
      </c>
      <c r="D231" s="299" t="s">
        <v>1068</v>
      </c>
      <c r="E231" s="522">
        <v>58</v>
      </c>
      <c r="F231" s="522"/>
      <c r="G231" s="333">
        <f t="shared" si="5"/>
        <v>5440.4599999999882</v>
      </c>
      <c r="H231" s="334"/>
      <c r="I231" s="335"/>
      <c r="J231" s="336"/>
      <c r="K231" s="301"/>
      <c r="L231" s="336"/>
      <c r="M231" s="301"/>
      <c r="N231" s="336"/>
      <c r="O231" s="301"/>
      <c r="P231" s="336"/>
      <c r="Q231" s="301"/>
      <c r="R231" s="336"/>
      <c r="S231" s="301"/>
      <c r="T231" s="336"/>
    </row>
    <row r="232" spans="1:20" ht="12" customHeight="1" x14ac:dyDescent="0.25">
      <c r="A232" s="329" t="s">
        <v>289</v>
      </c>
      <c r="B232" s="330">
        <v>6</v>
      </c>
      <c r="C232" s="298">
        <v>46287</v>
      </c>
      <c r="D232" s="299" t="s">
        <v>1071</v>
      </c>
      <c r="E232" s="522">
        <v>50</v>
      </c>
      <c r="F232" s="522"/>
      <c r="G232" s="333">
        <f t="shared" si="5"/>
        <v>5498.4599999999882</v>
      </c>
      <c r="H232" s="334"/>
      <c r="I232" s="335"/>
      <c r="J232" s="336"/>
      <c r="K232" s="301"/>
      <c r="L232" s="336"/>
      <c r="M232" s="301"/>
      <c r="N232" s="336"/>
      <c r="O232" s="301"/>
      <c r="P232" s="336"/>
      <c r="Q232" s="301"/>
      <c r="R232" s="336"/>
      <c r="S232" s="301"/>
      <c r="T232" s="336"/>
    </row>
    <row r="233" spans="1:20" ht="12" customHeight="1" x14ac:dyDescent="0.25">
      <c r="A233" s="329" t="s">
        <v>289</v>
      </c>
      <c r="B233" s="330">
        <v>2</v>
      </c>
      <c r="C233" s="298">
        <v>46287</v>
      </c>
      <c r="D233" s="299" t="s">
        <v>426</v>
      </c>
      <c r="E233" s="522">
        <v>-12</v>
      </c>
      <c r="F233" s="522"/>
      <c r="G233" s="333">
        <f t="shared" si="5"/>
        <v>5548.4599999999882</v>
      </c>
      <c r="H233" s="334"/>
      <c r="I233" s="335"/>
      <c r="J233" s="336"/>
      <c r="K233" s="301"/>
      <c r="L233" s="336"/>
      <c r="M233" s="301"/>
      <c r="N233" s="336"/>
      <c r="O233" s="301"/>
      <c r="P233" s="336"/>
      <c r="Q233" s="301"/>
      <c r="R233" s="336"/>
      <c r="S233" s="301"/>
      <c r="T233" s="336"/>
    </row>
    <row r="234" spans="1:20" ht="12" customHeight="1" x14ac:dyDescent="0.25">
      <c r="A234" s="329" t="s">
        <v>289</v>
      </c>
      <c r="B234" s="330">
        <v>1</v>
      </c>
      <c r="C234" s="298">
        <v>46287</v>
      </c>
      <c r="D234" s="299" t="s">
        <v>306</v>
      </c>
      <c r="E234" s="522">
        <v>58.63</v>
      </c>
      <c r="F234" s="522"/>
      <c r="G234" s="333">
        <f t="shared" si="5"/>
        <v>5536.4599999999882</v>
      </c>
      <c r="H234" s="334"/>
      <c r="I234" s="335"/>
      <c r="J234" s="336"/>
      <c r="K234" s="301"/>
      <c r="L234" s="336"/>
      <c r="M234" s="301"/>
      <c r="N234" s="336"/>
      <c r="O234" s="301"/>
      <c r="P234" s="336"/>
      <c r="Q234" s="301"/>
      <c r="R234" s="336"/>
      <c r="S234" s="301"/>
      <c r="T234" s="336"/>
    </row>
    <row r="235" spans="1:20" ht="12" customHeight="1" x14ac:dyDescent="0.25">
      <c r="A235" s="329" t="s">
        <v>294</v>
      </c>
      <c r="B235" s="330">
        <v>24</v>
      </c>
      <c r="C235" s="298">
        <v>46287</v>
      </c>
      <c r="D235" s="299" t="s">
        <v>858</v>
      </c>
      <c r="E235" s="522">
        <v>88.17</v>
      </c>
      <c r="F235" s="522"/>
      <c r="G235" s="333">
        <f t="shared" si="5"/>
        <v>5595.0899999999883</v>
      </c>
      <c r="H235" s="334"/>
      <c r="I235" s="335"/>
      <c r="J235" s="336"/>
      <c r="K235" s="301"/>
      <c r="L235" s="336"/>
      <c r="M235" s="301"/>
      <c r="N235" s="336"/>
      <c r="O235" s="301"/>
      <c r="P235" s="336"/>
      <c r="Q235" s="301"/>
      <c r="R235" s="336"/>
      <c r="S235" s="301"/>
      <c r="T235" s="336"/>
    </row>
    <row r="236" spans="1:20" ht="12" customHeight="1" x14ac:dyDescent="0.25">
      <c r="A236" s="329" t="s">
        <v>289</v>
      </c>
      <c r="B236" s="330">
        <v>2</v>
      </c>
      <c r="C236" s="298">
        <v>46287</v>
      </c>
      <c r="D236" s="299" t="s">
        <v>296</v>
      </c>
      <c r="E236" s="522">
        <v>11.71</v>
      </c>
      <c r="F236" s="522"/>
      <c r="G236" s="333">
        <f t="shared" si="5"/>
        <v>5683.2599999999884</v>
      </c>
      <c r="H236" s="334"/>
      <c r="I236" s="335"/>
      <c r="J236" s="336"/>
      <c r="K236" s="301"/>
      <c r="L236" s="336"/>
      <c r="M236" s="301"/>
      <c r="N236" s="336"/>
      <c r="O236" s="301"/>
      <c r="P236" s="336"/>
      <c r="Q236" s="301"/>
      <c r="R236" s="336"/>
      <c r="S236" s="301"/>
      <c r="T236" s="336"/>
    </row>
    <row r="237" spans="1:20" ht="12" customHeight="1" x14ac:dyDescent="0.25">
      <c r="A237" s="329" t="s">
        <v>289</v>
      </c>
      <c r="B237" s="330">
        <v>4</v>
      </c>
      <c r="C237" s="298">
        <v>46287</v>
      </c>
      <c r="D237" s="299" t="s">
        <v>296</v>
      </c>
      <c r="E237" s="522">
        <v>46.45</v>
      </c>
      <c r="F237" s="522"/>
      <c r="G237" s="333">
        <f t="shared" si="5"/>
        <v>5694.9699999999884</v>
      </c>
      <c r="H237" s="334"/>
      <c r="I237" s="335"/>
      <c r="J237" s="336"/>
      <c r="K237" s="301"/>
      <c r="L237" s="336"/>
      <c r="M237" s="301"/>
      <c r="N237" s="336"/>
      <c r="O237" s="301"/>
      <c r="P237" s="336"/>
      <c r="Q237" s="301"/>
      <c r="R237" s="336"/>
      <c r="S237" s="301"/>
      <c r="T237" s="336"/>
    </row>
    <row r="238" spans="1:20" ht="12" customHeight="1" x14ac:dyDescent="0.25">
      <c r="A238" s="329" t="s">
        <v>289</v>
      </c>
      <c r="B238" s="330">
        <v>7</v>
      </c>
      <c r="C238" s="298">
        <v>46287</v>
      </c>
      <c r="D238" s="299" t="s">
        <v>320</v>
      </c>
      <c r="E238" s="522">
        <v>20.75</v>
      </c>
      <c r="F238" s="522"/>
      <c r="G238" s="333">
        <f t="shared" si="5"/>
        <v>5741.4199999999882</v>
      </c>
      <c r="H238" s="334"/>
      <c r="I238" s="335"/>
      <c r="J238" s="336"/>
      <c r="K238" s="301"/>
      <c r="L238" s="336"/>
      <c r="M238" s="301"/>
      <c r="N238" s="336"/>
      <c r="O238" s="301"/>
      <c r="P238" s="336"/>
      <c r="Q238" s="301"/>
      <c r="R238" s="336"/>
      <c r="S238" s="301"/>
      <c r="T238" s="336"/>
    </row>
    <row r="239" spans="1:20" ht="12" customHeight="1" x14ac:dyDescent="0.25">
      <c r="A239" s="329" t="s">
        <v>289</v>
      </c>
      <c r="B239" s="330">
        <v>8</v>
      </c>
      <c r="C239" s="298">
        <v>46287</v>
      </c>
      <c r="D239" s="299" t="s">
        <v>308</v>
      </c>
      <c r="E239" s="522">
        <v>71.75</v>
      </c>
      <c r="F239" s="522"/>
      <c r="G239" s="333">
        <f t="shared" si="5"/>
        <v>5762.1699999999882</v>
      </c>
      <c r="H239" s="334"/>
      <c r="I239" s="335"/>
      <c r="J239" s="336"/>
      <c r="K239" s="301"/>
      <c r="L239" s="336"/>
      <c r="M239" s="301"/>
      <c r="N239" s="336"/>
      <c r="O239" s="301"/>
      <c r="P239" s="336"/>
      <c r="Q239" s="301"/>
      <c r="R239" s="336"/>
      <c r="S239" s="301"/>
      <c r="T239" s="336"/>
    </row>
    <row r="240" spans="1:20" ht="12" customHeight="1" x14ac:dyDescent="0.25">
      <c r="A240" s="329" t="s">
        <v>289</v>
      </c>
      <c r="B240" s="330">
        <v>6</v>
      </c>
      <c r="C240" s="298">
        <v>46286</v>
      </c>
      <c r="D240" s="299" t="s">
        <v>300</v>
      </c>
      <c r="E240" s="522">
        <v>16.14</v>
      </c>
      <c r="F240" s="522"/>
      <c r="G240" s="333">
        <f t="shared" si="5"/>
        <v>5833.9199999999882</v>
      </c>
      <c r="H240" s="334"/>
      <c r="I240" s="335"/>
      <c r="J240" s="336"/>
      <c r="K240" s="301"/>
      <c r="L240" s="336"/>
      <c r="M240" s="301"/>
      <c r="N240" s="336"/>
      <c r="O240" s="301"/>
      <c r="P240" s="336"/>
      <c r="Q240" s="301"/>
      <c r="R240" s="336"/>
      <c r="S240" s="301"/>
      <c r="T240" s="336"/>
    </row>
    <row r="241" spans="1:20" ht="12" customHeight="1" x14ac:dyDescent="0.25">
      <c r="A241" s="329" t="s">
        <v>289</v>
      </c>
      <c r="B241" s="330">
        <v>6</v>
      </c>
      <c r="C241" s="298">
        <v>46286</v>
      </c>
      <c r="D241" s="299" t="s">
        <v>300</v>
      </c>
      <c r="E241" s="522">
        <v>32.97</v>
      </c>
      <c r="F241" s="522"/>
      <c r="G241" s="333">
        <f t="shared" si="5"/>
        <v>5850.0599999999886</v>
      </c>
      <c r="H241" s="334"/>
      <c r="I241" s="335"/>
      <c r="J241" s="336"/>
      <c r="K241" s="301"/>
      <c r="L241" s="336"/>
      <c r="M241" s="301"/>
      <c r="N241" s="336"/>
      <c r="O241" s="301"/>
      <c r="P241" s="336"/>
      <c r="Q241" s="301"/>
      <c r="R241" s="336"/>
      <c r="S241" s="301"/>
      <c r="T241" s="336"/>
    </row>
    <row r="242" spans="1:20" ht="12" customHeight="1" x14ac:dyDescent="0.25">
      <c r="A242" s="329" t="s">
        <v>294</v>
      </c>
      <c r="B242" s="330">
        <v>22</v>
      </c>
      <c r="C242" s="298">
        <v>46286</v>
      </c>
      <c r="D242" s="299" t="s">
        <v>323</v>
      </c>
      <c r="E242" s="522">
        <v>23.42</v>
      </c>
      <c r="F242" s="522"/>
      <c r="G242" s="333">
        <f t="shared" si="5"/>
        <v>5883.0299999999888</v>
      </c>
      <c r="H242" s="334"/>
      <c r="I242" s="335"/>
      <c r="J242" s="336"/>
      <c r="K242" s="301"/>
      <c r="L242" s="336"/>
      <c r="M242" s="301"/>
      <c r="N242" s="336"/>
      <c r="O242" s="301"/>
      <c r="P242" s="336"/>
      <c r="Q242" s="301"/>
      <c r="R242" s="336"/>
      <c r="S242" s="301"/>
      <c r="T242" s="336"/>
    </row>
    <row r="243" spans="1:20" ht="12" customHeight="1" x14ac:dyDescent="0.25">
      <c r="A243" s="329" t="s">
        <v>289</v>
      </c>
      <c r="B243" s="330">
        <v>3</v>
      </c>
      <c r="C243" s="298">
        <v>46286</v>
      </c>
      <c r="D243" s="299" t="s">
        <v>310</v>
      </c>
      <c r="E243" s="522">
        <v>5.86</v>
      </c>
      <c r="F243" s="522"/>
      <c r="G243" s="333">
        <f t="shared" si="5"/>
        <v>5906.4499999999889</v>
      </c>
      <c r="H243" s="334"/>
      <c r="I243" s="335"/>
      <c r="J243" s="336"/>
      <c r="K243" s="301"/>
      <c r="L243" s="336"/>
      <c r="M243" s="301"/>
      <c r="N243" s="336"/>
      <c r="O243" s="301"/>
      <c r="P243" s="336"/>
      <c r="Q243" s="301"/>
      <c r="R243" s="336"/>
      <c r="S243" s="301"/>
      <c r="T243" s="336"/>
    </row>
    <row r="244" spans="1:20" ht="12" customHeight="1" x14ac:dyDescent="0.25">
      <c r="A244" s="329" t="s">
        <v>289</v>
      </c>
      <c r="B244" s="330">
        <v>4</v>
      </c>
      <c r="C244" s="298">
        <v>46286</v>
      </c>
      <c r="D244" s="299" t="s">
        <v>310</v>
      </c>
      <c r="E244" s="522">
        <v>51.5</v>
      </c>
      <c r="F244" s="522"/>
      <c r="G244" s="333">
        <f t="shared" si="5"/>
        <v>5912.3099999999886</v>
      </c>
      <c r="H244" s="334"/>
      <c r="I244" s="335"/>
      <c r="J244" s="336"/>
      <c r="K244" s="301"/>
      <c r="L244" s="336"/>
      <c r="M244" s="301"/>
      <c r="N244" s="336"/>
      <c r="O244" s="301"/>
      <c r="P244" s="336"/>
      <c r="Q244" s="301"/>
      <c r="R244" s="336"/>
      <c r="S244" s="301"/>
      <c r="T244" s="336"/>
    </row>
    <row r="245" spans="1:20" ht="12" customHeight="1" x14ac:dyDescent="0.25">
      <c r="A245" s="329" t="s">
        <v>289</v>
      </c>
      <c r="B245" s="330">
        <v>6</v>
      </c>
      <c r="C245" s="298">
        <v>46286</v>
      </c>
      <c r="D245" s="299" t="s">
        <v>829</v>
      </c>
      <c r="E245" s="522">
        <v>25</v>
      </c>
      <c r="F245" s="522"/>
      <c r="G245" s="333">
        <f t="shared" si="5"/>
        <v>5963.8099999999886</v>
      </c>
      <c r="H245" s="334"/>
      <c r="I245" s="335"/>
      <c r="J245" s="336"/>
      <c r="K245" s="301"/>
      <c r="L245" s="336"/>
      <c r="M245" s="301"/>
      <c r="N245" s="336"/>
      <c r="O245" s="301"/>
      <c r="P245" s="336"/>
      <c r="Q245" s="301"/>
      <c r="R245" s="336"/>
      <c r="S245" s="301"/>
      <c r="T245" s="336"/>
    </row>
    <row r="246" spans="1:20" ht="12" customHeight="1" x14ac:dyDescent="0.25">
      <c r="A246" s="329" t="s">
        <v>289</v>
      </c>
      <c r="B246" s="330">
        <v>1</v>
      </c>
      <c r="C246" s="298">
        <v>46285</v>
      </c>
      <c r="D246" s="299" t="s">
        <v>311</v>
      </c>
      <c r="E246" s="522">
        <v>187.63</v>
      </c>
      <c r="F246" s="522"/>
      <c r="G246" s="333">
        <f t="shared" si="5"/>
        <v>5988.8099999999886</v>
      </c>
      <c r="H246" s="334"/>
      <c r="I246" s="335"/>
      <c r="J246" s="336"/>
      <c r="K246" s="301"/>
      <c r="L246" s="336"/>
      <c r="M246" s="301"/>
      <c r="N246" s="336"/>
      <c r="O246" s="301"/>
      <c r="P246" s="336"/>
      <c r="Q246" s="301"/>
      <c r="R246" s="336"/>
      <c r="S246" s="301"/>
      <c r="T246" s="336"/>
    </row>
    <row r="247" spans="1:20" ht="12" customHeight="1" x14ac:dyDescent="0.25">
      <c r="A247" s="329" t="s">
        <v>289</v>
      </c>
      <c r="B247" s="330">
        <v>2</v>
      </c>
      <c r="C247" s="298">
        <v>46285</v>
      </c>
      <c r="D247" s="299" t="s">
        <v>334</v>
      </c>
      <c r="E247" s="522">
        <v>20.38</v>
      </c>
      <c r="F247" s="522"/>
      <c r="G247" s="333">
        <f t="shared" si="5"/>
        <v>6176.4399999999887</v>
      </c>
      <c r="H247" s="334"/>
      <c r="I247" s="335"/>
      <c r="J247" s="336"/>
      <c r="K247" s="301"/>
      <c r="L247" s="336"/>
      <c r="M247" s="301"/>
      <c r="N247" s="336"/>
      <c r="O247" s="301"/>
      <c r="P247" s="336"/>
      <c r="Q247" s="301"/>
      <c r="R247" s="336"/>
      <c r="S247" s="301"/>
      <c r="T247" s="336"/>
    </row>
    <row r="248" spans="1:20" ht="12" customHeight="1" x14ac:dyDescent="0.25">
      <c r="A248" s="329" t="s">
        <v>289</v>
      </c>
      <c r="B248" s="330">
        <v>2</v>
      </c>
      <c r="C248" s="298">
        <v>46285</v>
      </c>
      <c r="D248" s="299" t="s">
        <v>357</v>
      </c>
      <c r="E248" s="522">
        <v>10.050000000000001</v>
      </c>
      <c r="F248" s="522"/>
      <c r="G248" s="333">
        <f t="shared" si="5"/>
        <v>6196.8199999999888</v>
      </c>
      <c r="H248" s="334"/>
      <c r="I248" s="335"/>
      <c r="J248" s="336"/>
      <c r="K248" s="301"/>
      <c r="L248" s="336"/>
      <c r="M248" s="301"/>
      <c r="N248" s="336"/>
      <c r="O248" s="301"/>
      <c r="P248" s="336"/>
      <c r="Q248" s="301"/>
      <c r="R248" s="336"/>
      <c r="S248" s="301"/>
      <c r="T248" s="336"/>
    </row>
    <row r="249" spans="1:20" ht="12" customHeight="1" x14ac:dyDescent="0.25">
      <c r="A249" s="329" t="s">
        <v>289</v>
      </c>
      <c r="B249" s="330">
        <v>6</v>
      </c>
      <c r="C249" s="298">
        <v>46285</v>
      </c>
      <c r="D249" s="299" t="s">
        <v>300</v>
      </c>
      <c r="E249" s="522">
        <v>10.64</v>
      </c>
      <c r="F249" s="522"/>
      <c r="G249" s="333">
        <f t="shared" si="5"/>
        <v>6206.869999999989</v>
      </c>
      <c r="H249" s="334"/>
      <c r="I249" s="335"/>
      <c r="J249" s="336"/>
      <c r="K249" s="301"/>
      <c r="L249" s="336"/>
      <c r="M249" s="301"/>
      <c r="N249" s="336"/>
      <c r="O249" s="301"/>
      <c r="P249" s="336"/>
      <c r="Q249" s="301"/>
      <c r="R249" s="336"/>
      <c r="S249" s="301"/>
      <c r="T249" s="336"/>
    </row>
    <row r="250" spans="1:20" ht="12" customHeight="1" x14ac:dyDescent="0.25">
      <c r="A250" s="329" t="s">
        <v>289</v>
      </c>
      <c r="B250" s="330">
        <v>2</v>
      </c>
      <c r="C250" s="298">
        <v>46284</v>
      </c>
      <c r="D250" s="299" t="s">
        <v>982</v>
      </c>
      <c r="E250" s="522">
        <v>64.599999999999994</v>
      </c>
      <c r="F250" s="522"/>
      <c r="G250" s="333">
        <f t="shared" si="5"/>
        <v>6217.5099999999893</v>
      </c>
      <c r="H250" s="334"/>
      <c r="I250" s="335"/>
      <c r="J250" s="336"/>
      <c r="K250" s="301"/>
      <c r="L250" s="336"/>
      <c r="M250" s="301"/>
      <c r="N250" s="336"/>
      <c r="O250" s="301"/>
      <c r="P250" s="336"/>
      <c r="Q250" s="301"/>
      <c r="R250" s="336"/>
      <c r="S250" s="301"/>
      <c r="T250" s="336"/>
    </row>
    <row r="251" spans="1:20" ht="12" customHeight="1" x14ac:dyDescent="0.25">
      <c r="A251" s="329" t="s">
        <v>289</v>
      </c>
      <c r="B251" s="330">
        <v>3</v>
      </c>
      <c r="C251" s="298">
        <v>46284</v>
      </c>
      <c r="D251" s="299" t="s">
        <v>334</v>
      </c>
      <c r="E251" s="522">
        <v>9.1300000000000008</v>
      </c>
      <c r="F251" s="522"/>
      <c r="G251" s="333">
        <f t="shared" si="5"/>
        <v>6282.1099999999897</v>
      </c>
      <c r="H251" s="334"/>
      <c r="I251" s="335"/>
      <c r="J251" s="336"/>
      <c r="K251" s="301"/>
      <c r="L251" s="336"/>
      <c r="M251" s="301"/>
      <c r="N251" s="336"/>
      <c r="O251" s="301"/>
      <c r="P251" s="336"/>
      <c r="Q251" s="301"/>
      <c r="R251" s="336"/>
      <c r="S251" s="301"/>
      <c r="T251" s="336"/>
    </row>
    <row r="252" spans="1:20" ht="12" customHeight="1" x14ac:dyDescent="0.25">
      <c r="A252" s="329" t="s">
        <v>289</v>
      </c>
      <c r="B252" s="330">
        <v>4</v>
      </c>
      <c r="C252" s="298">
        <v>46284</v>
      </c>
      <c r="D252" s="299" t="s">
        <v>334</v>
      </c>
      <c r="E252" s="522">
        <v>93.73</v>
      </c>
      <c r="F252" s="522"/>
      <c r="G252" s="333">
        <f t="shared" si="5"/>
        <v>6291.2399999999898</v>
      </c>
      <c r="H252" s="334"/>
      <c r="I252" s="335"/>
      <c r="J252" s="336"/>
      <c r="K252" s="301"/>
      <c r="L252" s="336"/>
      <c r="M252" s="301"/>
      <c r="N252" s="336"/>
      <c r="O252" s="301"/>
      <c r="P252" s="336"/>
      <c r="Q252" s="301"/>
      <c r="R252" s="336"/>
      <c r="S252" s="301"/>
      <c r="T252" s="336"/>
    </row>
    <row r="253" spans="1:20" ht="12" customHeight="1" x14ac:dyDescent="0.25">
      <c r="A253" s="329" t="s">
        <v>294</v>
      </c>
      <c r="B253" s="330">
        <v>22</v>
      </c>
      <c r="C253" s="298">
        <v>46284</v>
      </c>
      <c r="D253" s="299" t="s">
        <v>328</v>
      </c>
      <c r="E253" s="522">
        <v>7.46</v>
      </c>
      <c r="F253" s="522"/>
      <c r="G253" s="333">
        <f t="shared" si="5"/>
        <v>6384.9699999999893</v>
      </c>
      <c r="H253" s="334"/>
      <c r="I253" s="335"/>
      <c r="J253" s="336"/>
      <c r="K253" s="301"/>
      <c r="L253" s="336"/>
      <c r="M253" s="301"/>
      <c r="N253" s="336"/>
      <c r="O253" s="301"/>
      <c r="P253" s="336"/>
      <c r="Q253" s="301"/>
      <c r="R253" s="336"/>
      <c r="S253" s="301"/>
      <c r="T253" s="336"/>
    </row>
    <row r="254" spans="1:20" ht="12" customHeight="1" x14ac:dyDescent="0.25">
      <c r="A254" s="329" t="s">
        <v>289</v>
      </c>
      <c r="B254" s="330">
        <v>5</v>
      </c>
      <c r="C254" s="298">
        <v>46283</v>
      </c>
      <c r="D254" s="299" t="s">
        <v>1065</v>
      </c>
      <c r="E254" s="522">
        <v>22.66</v>
      </c>
      <c r="F254" s="522"/>
      <c r="G254" s="333">
        <f t="shared" si="5"/>
        <v>6392.4299999999894</v>
      </c>
      <c r="H254" s="334"/>
      <c r="I254" s="335"/>
      <c r="J254" s="336"/>
      <c r="K254" s="301"/>
      <c r="L254" s="336"/>
      <c r="M254" s="301"/>
      <c r="N254" s="336"/>
      <c r="O254" s="301"/>
      <c r="P254" s="336"/>
      <c r="Q254" s="301"/>
      <c r="R254" s="336"/>
      <c r="S254" s="301"/>
      <c r="T254" s="336"/>
    </row>
    <row r="255" spans="1:20" ht="12" customHeight="1" x14ac:dyDescent="0.25">
      <c r="A255" s="329" t="s">
        <v>289</v>
      </c>
      <c r="B255" s="330">
        <v>6</v>
      </c>
      <c r="C255" s="298">
        <v>46283</v>
      </c>
      <c r="D255" s="299" t="s">
        <v>1064</v>
      </c>
      <c r="E255" s="522">
        <v>20</v>
      </c>
      <c r="F255" s="522"/>
      <c r="G255" s="333">
        <f t="shared" si="5"/>
        <v>6415.0899999999892</v>
      </c>
      <c r="H255" s="334"/>
      <c r="I255" s="335"/>
      <c r="J255" s="336"/>
      <c r="K255" s="301"/>
      <c r="L255" s="336"/>
      <c r="M255" s="301"/>
      <c r="N255" s="336"/>
      <c r="O255" s="301"/>
      <c r="P255" s="336"/>
      <c r="Q255" s="301"/>
      <c r="R255" s="336"/>
      <c r="S255" s="301"/>
      <c r="T255" s="336"/>
    </row>
    <row r="256" spans="1:20" ht="12" customHeight="1" x14ac:dyDescent="0.25">
      <c r="A256" s="329" t="s">
        <v>289</v>
      </c>
      <c r="B256" s="330">
        <v>8</v>
      </c>
      <c r="C256" s="298">
        <v>46283</v>
      </c>
      <c r="D256" s="299" t="s">
        <v>319</v>
      </c>
      <c r="E256" s="522">
        <v>7.33</v>
      </c>
      <c r="F256" s="522"/>
      <c r="G256" s="333">
        <f t="shared" si="5"/>
        <v>6435.0899999999892</v>
      </c>
      <c r="H256" s="334"/>
      <c r="I256" s="335"/>
      <c r="J256" s="336"/>
      <c r="K256" s="301"/>
      <c r="L256" s="336"/>
      <c r="M256" s="301"/>
      <c r="N256" s="336"/>
      <c r="O256" s="301"/>
      <c r="P256" s="336"/>
      <c r="Q256" s="301"/>
      <c r="R256" s="336"/>
      <c r="S256" s="301"/>
      <c r="T256" s="336"/>
    </row>
    <row r="257" spans="1:20" ht="12" customHeight="1" x14ac:dyDescent="0.25">
      <c r="A257" s="329" t="s">
        <v>294</v>
      </c>
      <c r="B257" s="330">
        <v>22</v>
      </c>
      <c r="C257" s="298">
        <v>46283</v>
      </c>
      <c r="D257" s="299" t="s">
        <v>928</v>
      </c>
      <c r="E257" s="522">
        <v>13.84</v>
      </c>
      <c r="F257" s="522"/>
      <c r="G257" s="333">
        <f t="shared" si="5"/>
        <v>6442.4199999999892</v>
      </c>
      <c r="H257" s="334"/>
      <c r="I257" s="335"/>
      <c r="J257" s="336"/>
      <c r="K257" s="301"/>
      <c r="L257" s="336"/>
      <c r="M257" s="301"/>
      <c r="N257" s="336"/>
      <c r="O257" s="301"/>
      <c r="P257" s="336"/>
      <c r="Q257" s="301"/>
      <c r="R257" s="336"/>
      <c r="S257" s="301"/>
      <c r="T257" s="336"/>
    </row>
    <row r="258" spans="1:20" ht="12" customHeight="1" x14ac:dyDescent="0.25">
      <c r="A258" s="329" t="s">
        <v>289</v>
      </c>
      <c r="B258" s="330">
        <v>6</v>
      </c>
      <c r="C258" s="298">
        <v>46283</v>
      </c>
      <c r="D258" s="299" t="s">
        <v>1062</v>
      </c>
      <c r="E258" s="522">
        <v>9</v>
      </c>
      <c r="F258" s="522"/>
      <c r="G258" s="333">
        <f t="shared" si="5"/>
        <v>6456.2599999999893</v>
      </c>
      <c r="H258" s="334"/>
      <c r="I258" s="335"/>
      <c r="J258" s="336"/>
      <c r="K258" s="301"/>
      <c r="L258" s="336"/>
      <c r="M258" s="301"/>
      <c r="N258" s="336"/>
      <c r="O258" s="301"/>
      <c r="P258" s="336"/>
      <c r="Q258" s="301"/>
      <c r="R258" s="336"/>
      <c r="S258" s="301"/>
      <c r="T258" s="336"/>
    </row>
    <row r="259" spans="1:20" ht="12" customHeight="1" x14ac:dyDescent="0.25">
      <c r="A259" s="329" t="s">
        <v>294</v>
      </c>
      <c r="B259" s="330">
        <v>22</v>
      </c>
      <c r="C259" s="298">
        <v>46283</v>
      </c>
      <c r="D259" s="299" t="s">
        <v>833</v>
      </c>
      <c r="E259" s="522">
        <v>10.64</v>
      </c>
      <c r="F259" s="522"/>
      <c r="G259" s="333">
        <f t="shared" si="5"/>
        <v>6465.2599999999893</v>
      </c>
      <c r="H259" s="334"/>
      <c r="I259" s="335"/>
      <c r="J259" s="336"/>
      <c r="K259" s="301"/>
      <c r="L259" s="336"/>
      <c r="M259" s="301"/>
      <c r="N259" s="336"/>
      <c r="O259" s="301"/>
      <c r="P259" s="336"/>
      <c r="Q259" s="301"/>
      <c r="R259" s="336"/>
      <c r="S259" s="301"/>
      <c r="T259" s="336"/>
    </row>
    <row r="260" spans="1:20" ht="12" customHeight="1" x14ac:dyDescent="0.25">
      <c r="A260" s="329" t="s">
        <v>289</v>
      </c>
      <c r="B260" s="330">
        <v>5</v>
      </c>
      <c r="C260" s="298">
        <v>46283</v>
      </c>
      <c r="D260" s="299" t="s">
        <v>1063</v>
      </c>
      <c r="E260" s="522">
        <v>37.99</v>
      </c>
      <c r="F260" s="522"/>
      <c r="G260" s="333">
        <f t="shared" si="5"/>
        <v>6475.8999999999896</v>
      </c>
      <c r="H260" s="334"/>
      <c r="I260" s="335"/>
      <c r="J260" s="336"/>
      <c r="K260" s="301"/>
      <c r="L260" s="336"/>
      <c r="M260" s="301"/>
      <c r="N260" s="336"/>
      <c r="O260" s="301"/>
      <c r="P260" s="336"/>
      <c r="Q260" s="301"/>
      <c r="R260" s="336"/>
      <c r="S260" s="301"/>
      <c r="T260" s="336"/>
    </row>
    <row r="261" spans="1:20" ht="12" customHeight="1" x14ac:dyDescent="0.25">
      <c r="A261" s="329" t="s">
        <v>294</v>
      </c>
      <c r="B261" s="330">
        <v>21</v>
      </c>
      <c r="C261" s="298">
        <v>46282</v>
      </c>
      <c r="D261" s="299" t="s">
        <v>194</v>
      </c>
      <c r="E261" s="522">
        <v>81</v>
      </c>
      <c r="F261" s="522"/>
      <c r="G261" s="333">
        <f t="shared" si="5"/>
        <v>6513.8899999999894</v>
      </c>
      <c r="H261" s="334"/>
      <c r="I261" s="335"/>
      <c r="J261" s="336"/>
      <c r="K261" s="301"/>
      <c r="L261" s="336"/>
      <c r="M261" s="301"/>
      <c r="N261" s="336"/>
      <c r="O261" s="301"/>
      <c r="P261" s="336"/>
      <c r="Q261" s="301"/>
      <c r="R261" s="336"/>
      <c r="S261" s="301"/>
      <c r="T261" s="336"/>
    </row>
    <row r="262" spans="1:20" ht="12" customHeight="1" x14ac:dyDescent="0.25">
      <c r="A262" s="329" t="s">
        <v>294</v>
      </c>
      <c r="B262" s="330">
        <v>17</v>
      </c>
      <c r="C262" s="298">
        <v>46282</v>
      </c>
      <c r="D262" s="299" t="s">
        <v>188</v>
      </c>
      <c r="E262" s="522">
        <v>42.65</v>
      </c>
      <c r="F262" s="522"/>
      <c r="G262" s="333">
        <f t="shared" ref="G262:G275" si="6">G263-E262+F262</f>
        <v>6594.8899999999894</v>
      </c>
      <c r="H262" s="334"/>
      <c r="I262" s="335"/>
      <c r="J262" s="336"/>
      <c r="K262" s="301"/>
      <c r="L262" s="336"/>
      <c r="M262" s="301"/>
      <c r="N262" s="336"/>
      <c r="O262" s="301"/>
      <c r="P262" s="336"/>
      <c r="Q262" s="301"/>
      <c r="R262" s="336"/>
      <c r="S262" s="301"/>
      <c r="T262" s="336"/>
    </row>
    <row r="263" spans="1:20" ht="12" customHeight="1" x14ac:dyDescent="0.25">
      <c r="A263" s="329" t="s">
        <v>294</v>
      </c>
      <c r="B263" s="330">
        <v>23</v>
      </c>
      <c r="C263" s="298">
        <v>46282</v>
      </c>
      <c r="D263" s="299" t="s">
        <v>63</v>
      </c>
      <c r="E263" s="522">
        <v>529.46</v>
      </c>
      <c r="F263" s="522"/>
      <c r="G263" s="333">
        <f t="shared" si="6"/>
        <v>6637.539999999989</v>
      </c>
      <c r="H263" s="334"/>
      <c r="I263" s="335"/>
      <c r="J263" s="336"/>
      <c r="K263" s="301"/>
      <c r="L263" s="336"/>
      <c r="M263" s="301"/>
      <c r="N263" s="336"/>
      <c r="O263" s="301"/>
      <c r="P263" s="336"/>
      <c r="Q263" s="301"/>
      <c r="R263" s="336"/>
      <c r="S263" s="301"/>
      <c r="T263" s="336"/>
    </row>
    <row r="264" spans="1:20" ht="12" customHeight="1" x14ac:dyDescent="0.25">
      <c r="A264" s="329" t="s">
        <v>294</v>
      </c>
      <c r="B264" s="330">
        <v>43</v>
      </c>
      <c r="C264" s="298">
        <v>46282</v>
      </c>
      <c r="D264" s="299" t="s">
        <v>333</v>
      </c>
      <c r="E264" s="522">
        <v>22.35</v>
      </c>
      <c r="F264" s="522"/>
      <c r="G264" s="333">
        <f t="shared" si="6"/>
        <v>7166.9999999999891</v>
      </c>
      <c r="H264" s="334"/>
      <c r="I264" s="335"/>
      <c r="J264" s="336"/>
      <c r="K264" s="301"/>
      <c r="L264" s="336"/>
      <c r="M264" s="301"/>
      <c r="N264" s="336"/>
      <c r="O264" s="301"/>
      <c r="P264" s="336"/>
      <c r="Q264" s="301"/>
      <c r="R264" s="336"/>
      <c r="S264" s="301"/>
      <c r="T264" s="336"/>
    </row>
    <row r="265" spans="1:20" ht="12" customHeight="1" x14ac:dyDescent="0.25">
      <c r="A265" s="329" t="s">
        <v>294</v>
      </c>
      <c r="B265" s="330">
        <v>42</v>
      </c>
      <c r="C265" s="298">
        <v>46282</v>
      </c>
      <c r="D265" s="299" t="s">
        <v>333</v>
      </c>
      <c r="E265" s="522">
        <v>52.15</v>
      </c>
      <c r="F265" s="522"/>
      <c r="G265" s="333">
        <f t="shared" si="6"/>
        <v>7189.3499999999894</v>
      </c>
      <c r="H265" s="334"/>
      <c r="I265" s="335"/>
      <c r="J265" s="336"/>
      <c r="K265" s="301"/>
      <c r="L265" s="336"/>
      <c r="M265" s="301"/>
      <c r="N265" s="336"/>
      <c r="O265" s="301"/>
      <c r="P265" s="336"/>
      <c r="Q265" s="301"/>
      <c r="R265" s="336"/>
      <c r="S265" s="301"/>
      <c r="T265" s="336"/>
    </row>
    <row r="266" spans="1:20" ht="12" customHeight="1" x14ac:dyDescent="0.25">
      <c r="A266" s="329" t="s">
        <v>289</v>
      </c>
      <c r="B266" s="330">
        <v>3</v>
      </c>
      <c r="C266" s="298">
        <v>46282</v>
      </c>
      <c r="D266" s="299" t="s">
        <v>334</v>
      </c>
      <c r="E266" s="522">
        <v>5.33</v>
      </c>
      <c r="F266" s="522"/>
      <c r="G266" s="333">
        <f t="shared" si="6"/>
        <v>7241.4999999999891</v>
      </c>
      <c r="H266" s="334"/>
      <c r="I266" s="335"/>
      <c r="J266" s="336"/>
      <c r="K266" s="301"/>
      <c r="L266" s="336"/>
      <c r="M266" s="301"/>
      <c r="N266" s="336"/>
      <c r="O266" s="301"/>
      <c r="P266" s="336"/>
      <c r="Q266" s="301"/>
      <c r="R266" s="336"/>
      <c r="S266" s="301"/>
      <c r="T266" s="336"/>
    </row>
    <row r="267" spans="1:20" ht="12" customHeight="1" x14ac:dyDescent="0.25">
      <c r="A267" s="329" t="s">
        <v>289</v>
      </c>
      <c r="B267" s="330">
        <v>2</v>
      </c>
      <c r="C267" s="298">
        <v>46282</v>
      </c>
      <c r="D267" s="299" t="s">
        <v>357</v>
      </c>
      <c r="E267" s="522">
        <v>18.03</v>
      </c>
      <c r="F267" s="522"/>
      <c r="G267" s="333">
        <f t="shared" si="6"/>
        <v>7246.829999999989</v>
      </c>
      <c r="H267" s="334"/>
      <c r="I267" s="335"/>
      <c r="J267" s="336"/>
      <c r="K267" s="301"/>
      <c r="L267" s="336"/>
      <c r="M267" s="301"/>
      <c r="N267" s="336"/>
      <c r="O267" s="301"/>
      <c r="P267" s="336"/>
      <c r="Q267" s="301"/>
      <c r="R267" s="336"/>
      <c r="S267" s="301"/>
      <c r="T267" s="336"/>
    </row>
    <row r="268" spans="1:20" ht="12" customHeight="1" x14ac:dyDescent="0.25">
      <c r="A268" s="329" t="s">
        <v>291</v>
      </c>
      <c r="B268" s="330">
        <v>39</v>
      </c>
      <c r="C268" s="298">
        <v>46281</v>
      </c>
      <c r="D268" s="299" t="s">
        <v>292</v>
      </c>
      <c r="E268" s="522"/>
      <c r="F268" s="522">
        <v>2765.54</v>
      </c>
      <c r="G268" s="333">
        <f t="shared" si="6"/>
        <v>7264.8599999999888</v>
      </c>
      <c r="H268" s="334"/>
      <c r="I268" s="335"/>
      <c r="J268" s="336"/>
      <c r="K268" s="301"/>
      <c r="L268" s="336"/>
      <c r="M268" s="301"/>
      <c r="N268" s="336"/>
      <c r="O268" s="301"/>
      <c r="P268" s="336"/>
      <c r="Q268" s="301"/>
      <c r="R268" s="336"/>
      <c r="S268" s="301"/>
      <c r="T268" s="336"/>
    </row>
    <row r="269" spans="1:20" ht="12" customHeight="1" x14ac:dyDescent="0.25">
      <c r="A269" s="329" t="s">
        <v>294</v>
      </c>
      <c r="B269" s="330">
        <v>11</v>
      </c>
      <c r="C269" s="298">
        <v>46281</v>
      </c>
      <c r="D269" s="299" t="s">
        <v>178</v>
      </c>
      <c r="E269" s="522">
        <v>256.83999999999997</v>
      </c>
      <c r="F269" s="522"/>
      <c r="G269" s="333">
        <f t="shared" si="6"/>
        <v>4499.3199999999888</v>
      </c>
      <c r="H269" s="334"/>
      <c r="I269" s="335"/>
      <c r="J269" s="336"/>
      <c r="K269" s="301"/>
      <c r="L269" s="336"/>
      <c r="M269" s="301"/>
      <c r="N269" s="336"/>
      <c r="O269" s="301"/>
      <c r="P269" s="336"/>
      <c r="Q269" s="301"/>
      <c r="R269" s="336"/>
      <c r="S269" s="301"/>
      <c r="T269" s="336"/>
    </row>
    <row r="270" spans="1:20" ht="12" customHeight="1" x14ac:dyDescent="0.25">
      <c r="A270" s="329" t="s">
        <v>289</v>
      </c>
      <c r="B270" s="330">
        <v>5</v>
      </c>
      <c r="C270" s="298">
        <v>46281</v>
      </c>
      <c r="D270" s="299" t="s">
        <v>428</v>
      </c>
      <c r="E270" s="522">
        <v>102.95</v>
      </c>
      <c r="F270" s="522"/>
      <c r="G270" s="333">
        <f t="shared" si="6"/>
        <v>4756.1599999999889</v>
      </c>
      <c r="H270" s="334"/>
      <c r="I270" s="335"/>
      <c r="J270" s="336"/>
      <c r="K270" s="301"/>
      <c r="L270" s="336"/>
      <c r="M270" s="301"/>
      <c r="N270" s="336"/>
      <c r="O270" s="301"/>
      <c r="P270" s="336"/>
      <c r="Q270" s="301"/>
      <c r="R270" s="336"/>
      <c r="S270" s="301"/>
      <c r="T270" s="336"/>
    </row>
    <row r="271" spans="1:20" ht="12" customHeight="1" x14ac:dyDescent="0.25">
      <c r="A271" s="329" t="s">
        <v>291</v>
      </c>
      <c r="B271" s="330">
        <v>38</v>
      </c>
      <c r="C271" s="298">
        <v>46280</v>
      </c>
      <c r="D271" s="299" t="s">
        <v>293</v>
      </c>
      <c r="E271" s="522"/>
      <c r="F271" s="522">
        <v>4729.34</v>
      </c>
      <c r="G271" s="333">
        <f t="shared" si="6"/>
        <v>4859.1099999999888</v>
      </c>
      <c r="H271" s="334"/>
      <c r="I271" s="335"/>
      <c r="J271" s="336"/>
      <c r="K271" s="301"/>
      <c r="L271" s="336"/>
      <c r="M271" s="301"/>
      <c r="N271" s="336"/>
      <c r="O271" s="301"/>
      <c r="P271" s="336"/>
      <c r="Q271" s="301"/>
      <c r="R271" s="336"/>
      <c r="S271" s="301"/>
      <c r="T271" s="336"/>
    </row>
    <row r="272" spans="1:20" ht="12" customHeight="1" x14ac:dyDescent="0.25">
      <c r="A272" s="329" t="s">
        <v>294</v>
      </c>
      <c r="B272" s="330">
        <v>22</v>
      </c>
      <c r="C272" s="298">
        <v>46280</v>
      </c>
      <c r="D272" s="299" t="s">
        <v>996</v>
      </c>
      <c r="E272" s="522">
        <v>10.64</v>
      </c>
      <c r="F272" s="522"/>
      <c r="G272" s="333">
        <f t="shared" si="6"/>
        <v>129.76999999998878</v>
      </c>
      <c r="H272" s="334"/>
      <c r="I272" s="335"/>
      <c r="J272" s="336"/>
      <c r="K272" s="301"/>
      <c r="L272" s="336"/>
      <c r="M272" s="301"/>
      <c r="N272" s="336"/>
      <c r="O272" s="301"/>
      <c r="P272" s="336"/>
      <c r="Q272" s="301"/>
      <c r="R272" s="336"/>
      <c r="S272" s="301"/>
      <c r="T272" s="336"/>
    </row>
    <row r="273" spans="1:20" ht="12" customHeight="1" x14ac:dyDescent="0.25">
      <c r="A273" s="329" t="s">
        <v>289</v>
      </c>
      <c r="B273" s="330">
        <v>8</v>
      </c>
      <c r="C273" s="298">
        <v>46280</v>
      </c>
      <c r="D273" s="299" t="s">
        <v>319</v>
      </c>
      <c r="E273" s="522">
        <v>3.18</v>
      </c>
      <c r="F273" s="522"/>
      <c r="G273" s="333">
        <f t="shared" si="6"/>
        <v>140.4099999999888</v>
      </c>
      <c r="H273" s="334"/>
      <c r="I273" s="335"/>
      <c r="J273" s="336"/>
      <c r="K273" s="301"/>
      <c r="L273" s="336"/>
      <c r="M273" s="301"/>
      <c r="N273" s="336"/>
      <c r="O273" s="301"/>
      <c r="P273" s="336"/>
      <c r="Q273" s="301"/>
      <c r="R273" s="336"/>
      <c r="S273" s="301"/>
      <c r="T273" s="336"/>
    </row>
    <row r="274" spans="1:20" ht="12" customHeight="1" x14ac:dyDescent="0.25">
      <c r="A274" s="329" t="s">
        <v>294</v>
      </c>
      <c r="B274" s="330">
        <v>22</v>
      </c>
      <c r="C274" s="298">
        <v>46280</v>
      </c>
      <c r="D274" s="299" t="s">
        <v>1061</v>
      </c>
      <c r="E274" s="522">
        <v>12.78</v>
      </c>
      <c r="F274" s="522"/>
      <c r="G274" s="333">
        <f t="shared" si="6"/>
        <v>143.58999999998881</v>
      </c>
      <c r="H274" s="334"/>
      <c r="I274" s="335"/>
      <c r="J274" s="336"/>
      <c r="K274" s="301"/>
      <c r="L274" s="336"/>
      <c r="M274" s="301"/>
      <c r="N274" s="336"/>
      <c r="O274" s="301"/>
      <c r="P274" s="336"/>
      <c r="Q274" s="301"/>
      <c r="R274" s="336"/>
      <c r="S274" s="301"/>
      <c r="T274" s="336"/>
    </row>
    <row r="275" spans="1:20" ht="12" customHeight="1" x14ac:dyDescent="0.25">
      <c r="A275" s="329" t="s">
        <v>289</v>
      </c>
      <c r="B275" s="330">
        <v>4</v>
      </c>
      <c r="C275" s="298">
        <v>46279</v>
      </c>
      <c r="D275" s="299" t="s">
        <v>295</v>
      </c>
      <c r="E275" s="522">
        <v>39.200000000000003</v>
      </c>
      <c r="F275" s="522"/>
      <c r="G275" s="333">
        <f t="shared" si="6"/>
        <v>156.36999999998881</v>
      </c>
      <c r="H275" s="334"/>
      <c r="I275" s="335"/>
      <c r="J275" s="336"/>
      <c r="K275" s="301"/>
      <c r="L275" s="336"/>
      <c r="M275" s="301"/>
      <c r="N275" s="336"/>
      <c r="O275" s="301"/>
      <c r="P275" s="336"/>
      <c r="Q275" s="301"/>
      <c r="R275" s="336"/>
      <c r="S275" s="301"/>
      <c r="T275" s="336"/>
    </row>
    <row r="276" spans="1:20" ht="12" customHeight="1" x14ac:dyDescent="0.25">
      <c r="A276" s="329" t="s">
        <v>289</v>
      </c>
      <c r="B276" s="330">
        <v>2</v>
      </c>
      <c r="C276" s="298">
        <v>46279</v>
      </c>
      <c r="D276" s="299" t="s">
        <v>301</v>
      </c>
      <c r="E276" s="522">
        <v>18.850000000000001</v>
      </c>
      <c r="F276" s="522"/>
      <c r="G276" s="333">
        <f t="shared" ref="G276:G304" si="7">G277-E276+F276</f>
        <v>195.56999999998882</v>
      </c>
      <c r="H276" s="334"/>
      <c r="I276" s="335"/>
      <c r="J276" s="336"/>
      <c r="K276" s="301"/>
      <c r="L276" s="336"/>
      <c r="M276" s="301"/>
      <c r="N276" s="336"/>
      <c r="O276" s="301"/>
      <c r="P276" s="336"/>
      <c r="Q276" s="301"/>
      <c r="R276" s="336"/>
      <c r="S276" s="301"/>
      <c r="T276" s="336"/>
    </row>
    <row r="277" spans="1:20" ht="12" customHeight="1" x14ac:dyDescent="0.25">
      <c r="A277" s="329" t="s">
        <v>294</v>
      </c>
      <c r="B277" s="330">
        <v>19</v>
      </c>
      <c r="C277" s="298">
        <v>46279</v>
      </c>
      <c r="D277" s="299" t="s">
        <v>191</v>
      </c>
      <c r="E277" s="522">
        <v>200</v>
      </c>
      <c r="F277" s="522"/>
      <c r="G277" s="333">
        <f t="shared" si="7"/>
        <v>214.41999999998882</v>
      </c>
      <c r="H277" s="334"/>
      <c r="I277" s="335"/>
      <c r="J277" s="336"/>
      <c r="K277" s="301"/>
      <c r="L277" s="336"/>
      <c r="M277" s="301"/>
      <c r="N277" s="336"/>
      <c r="O277" s="301"/>
      <c r="P277" s="336"/>
      <c r="Q277" s="301"/>
      <c r="R277" s="336"/>
      <c r="S277" s="301"/>
      <c r="T277" s="336"/>
    </row>
    <row r="278" spans="1:20" ht="12" customHeight="1" x14ac:dyDescent="0.25">
      <c r="A278" s="329" t="s">
        <v>289</v>
      </c>
      <c r="B278" s="330">
        <v>2</v>
      </c>
      <c r="C278" s="298">
        <v>46278</v>
      </c>
      <c r="D278" s="299" t="s">
        <v>352</v>
      </c>
      <c r="E278" s="522">
        <v>20.98</v>
      </c>
      <c r="F278" s="522"/>
      <c r="G278" s="333">
        <f t="shared" si="7"/>
        <v>414.41999999998882</v>
      </c>
      <c r="H278" s="334"/>
      <c r="I278" s="335"/>
      <c r="J278" s="336"/>
      <c r="K278" s="301"/>
      <c r="L278" s="336"/>
      <c r="M278" s="301"/>
      <c r="N278" s="336"/>
      <c r="O278" s="301"/>
      <c r="P278" s="336"/>
      <c r="Q278" s="301"/>
      <c r="R278" s="336"/>
      <c r="S278" s="301"/>
      <c r="T278" s="336"/>
    </row>
    <row r="279" spans="1:20" ht="12" customHeight="1" x14ac:dyDescent="0.25">
      <c r="A279" s="329" t="s">
        <v>294</v>
      </c>
      <c r="B279" s="330">
        <v>22</v>
      </c>
      <c r="C279" s="298">
        <v>46278</v>
      </c>
      <c r="D279" s="299" t="s">
        <v>1059</v>
      </c>
      <c r="E279" s="522">
        <v>19.14</v>
      </c>
      <c r="F279" s="522"/>
      <c r="G279" s="333">
        <f t="shared" si="7"/>
        <v>435.39999999998884</v>
      </c>
      <c r="H279" s="334"/>
      <c r="I279" s="335"/>
      <c r="J279" s="336"/>
      <c r="K279" s="301"/>
      <c r="L279" s="336"/>
      <c r="M279" s="301"/>
      <c r="N279" s="336"/>
      <c r="O279" s="301"/>
      <c r="P279" s="336"/>
      <c r="Q279" s="301"/>
      <c r="R279" s="336"/>
      <c r="S279" s="301"/>
      <c r="T279" s="336"/>
    </row>
    <row r="280" spans="1:20" ht="12" customHeight="1" x14ac:dyDescent="0.25">
      <c r="A280" s="329" t="s">
        <v>289</v>
      </c>
      <c r="B280" s="330">
        <v>2</v>
      </c>
      <c r="C280" s="298">
        <v>46278</v>
      </c>
      <c r="D280" s="299" t="s">
        <v>1060</v>
      </c>
      <c r="E280" s="522">
        <v>142.21</v>
      </c>
      <c r="F280" s="522"/>
      <c r="G280" s="333">
        <f t="shared" si="7"/>
        <v>454.53999999998882</v>
      </c>
      <c r="H280" s="334"/>
      <c r="I280" s="335"/>
      <c r="J280" s="336"/>
      <c r="K280" s="301"/>
      <c r="L280" s="336"/>
      <c r="M280" s="301"/>
      <c r="N280" s="336"/>
      <c r="O280" s="301"/>
      <c r="P280" s="336"/>
      <c r="Q280" s="301"/>
      <c r="R280" s="336"/>
      <c r="S280" s="301"/>
      <c r="T280" s="336"/>
    </row>
    <row r="281" spans="1:20" ht="12" customHeight="1" x14ac:dyDescent="0.25">
      <c r="A281" s="329" t="s">
        <v>289</v>
      </c>
      <c r="B281" s="330">
        <v>3</v>
      </c>
      <c r="C281" s="298">
        <v>46277</v>
      </c>
      <c r="D281" s="299" t="s">
        <v>1056</v>
      </c>
      <c r="E281" s="522">
        <v>10.44</v>
      </c>
      <c r="F281" s="522"/>
      <c r="G281" s="333">
        <f t="shared" si="7"/>
        <v>596.74999999998886</v>
      </c>
      <c r="H281" s="334"/>
      <c r="I281" s="335"/>
      <c r="J281" s="336"/>
      <c r="K281" s="301"/>
      <c r="L281" s="336"/>
      <c r="M281" s="301"/>
      <c r="N281" s="336"/>
      <c r="O281" s="301"/>
      <c r="P281" s="336"/>
      <c r="Q281" s="301"/>
      <c r="R281" s="336"/>
      <c r="S281" s="301"/>
      <c r="T281" s="336"/>
    </row>
    <row r="282" spans="1:20" ht="12" customHeight="1" x14ac:dyDescent="0.25">
      <c r="A282" s="329" t="s">
        <v>289</v>
      </c>
      <c r="B282" s="330">
        <v>8</v>
      </c>
      <c r="C282" s="298">
        <v>46277</v>
      </c>
      <c r="D282" s="299" t="s">
        <v>1057</v>
      </c>
      <c r="E282" s="522">
        <v>23.4</v>
      </c>
      <c r="F282" s="522"/>
      <c r="G282" s="333">
        <f t="shared" si="7"/>
        <v>607.18999999998891</v>
      </c>
      <c r="H282" s="334"/>
      <c r="I282" s="335"/>
      <c r="J282" s="336"/>
      <c r="K282" s="301"/>
      <c r="L282" s="336"/>
      <c r="M282" s="301"/>
      <c r="N282" s="336"/>
      <c r="O282" s="301"/>
      <c r="P282" s="336"/>
      <c r="Q282" s="301"/>
      <c r="R282" s="336"/>
      <c r="S282" s="301"/>
      <c r="T282" s="336"/>
    </row>
    <row r="283" spans="1:20" ht="12" customHeight="1" x14ac:dyDescent="0.25">
      <c r="A283" s="329" t="s">
        <v>289</v>
      </c>
      <c r="B283" s="330">
        <v>3</v>
      </c>
      <c r="C283" s="298">
        <v>46277</v>
      </c>
      <c r="D283" s="299" t="s">
        <v>981</v>
      </c>
      <c r="E283" s="522">
        <v>3.82</v>
      </c>
      <c r="F283" s="522"/>
      <c r="G283" s="333">
        <f t="shared" si="7"/>
        <v>630.58999999998889</v>
      </c>
      <c r="H283" s="334"/>
      <c r="I283" s="335"/>
      <c r="J283" s="336"/>
      <c r="K283" s="301"/>
      <c r="L283" s="336"/>
      <c r="M283" s="301"/>
      <c r="N283" s="336"/>
      <c r="O283" s="301"/>
      <c r="P283" s="336"/>
      <c r="Q283" s="301"/>
      <c r="R283" s="336"/>
      <c r="S283" s="301"/>
      <c r="T283" s="336"/>
    </row>
    <row r="284" spans="1:20" ht="12" customHeight="1" x14ac:dyDescent="0.25">
      <c r="A284" s="329" t="s">
        <v>289</v>
      </c>
      <c r="B284" s="330">
        <v>5</v>
      </c>
      <c r="C284" s="298">
        <v>46276</v>
      </c>
      <c r="D284" s="299" t="s">
        <v>482</v>
      </c>
      <c r="E284" s="522">
        <v>59.07</v>
      </c>
      <c r="F284" s="522"/>
      <c r="G284" s="333">
        <f t="shared" si="7"/>
        <v>634.40999999998894</v>
      </c>
      <c r="H284" s="334"/>
      <c r="I284" s="335"/>
      <c r="J284" s="336"/>
      <c r="K284" s="301"/>
      <c r="L284" s="336"/>
      <c r="M284" s="301"/>
      <c r="N284" s="336"/>
      <c r="O284" s="301"/>
      <c r="P284" s="336"/>
      <c r="Q284" s="301"/>
      <c r="R284" s="336"/>
      <c r="S284" s="301"/>
      <c r="T284" s="336"/>
    </row>
    <row r="285" spans="1:20" ht="12" customHeight="1" x14ac:dyDescent="0.25">
      <c r="A285" s="329" t="s">
        <v>289</v>
      </c>
      <c r="B285" s="330">
        <v>8</v>
      </c>
      <c r="C285" s="298">
        <v>46276</v>
      </c>
      <c r="D285" s="299" t="s">
        <v>1058</v>
      </c>
      <c r="E285" s="522">
        <v>63.86</v>
      </c>
      <c r="F285" s="522"/>
      <c r="G285" s="333">
        <f t="shared" si="7"/>
        <v>693.47999999998899</v>
      </c>
      <c r="H285" s="334"/>
      <c r="I285" s="335"/>
      <c r="J285" s="336"/>
      <c r="K285" s="301"/>
      <c r="L285" s="336"/>
      <c r="M285" s="301"/>
      <c r="N285" s="336"/>
      <c r="O285" s="301"/>
      <c r="P285" s="336"/>
      <c r="Q285" s="301"/>
      <c r="R285" s="336"/>
      <c r="S285" s="301"/>
      <c r="T285" s="336"/>
    </row>
    <row r="286" spans="1:20" ht="12" customHeight="1" x14ac:dyDescent="0.25">
      <c r="A286" s="329" t="s">
        <v>289</v>
      </c>
      <c r="B286" s="330">
        <v>2</v>
      </c>
      <c r="C286" s="298">
        <v>46276</v>
      </c>
      <c r="D286" s="299" t="s">
        <v>459</v>
      </c>
      <c r="E286" s="522">
        <v>19.98</v>
      </c>
      <c r="F286" s="522"/>
      <c r="G286" s="333">
        <f t="shared" si="7"/>
        <v>757.339999999989</v>
      </c>
      <c r="H286" s="334"/>
      <c r="I286" s="335"/>
      <c r="J286" s="336"/>
      <c r="K286" s="301"/>
      <c r="L286" s="336"/>
      <c r="M286" s="301"/>
      <c r="N286" s="336"/>
      <c r="O286" s="301"/>
      <c r="P286" s="336"/>
      <c r="Q286" s="301"/>
      <c r="R286" s="336"/>
      <c r="S286" s="301"/>
      <c r="T286" s="336"/>
    </row>
    <row r="287" spans="1:20" ht="12" customHeight="1" x14ac:dyDescent="0.25">
      <c r="A287" s="329" t="s">
        <v>294</v>
      </c>
      <c r="B287" s="330">
        <v>22</v>
      </c>
      <c r="C287" s="298">
        <v>46276</v>
      </c>
      <c r="D287" s="299" t="s">
        <v>351</v>
      </c>
      <c r="E287" s="522">
        <v>21.29</v>
      </c>
      <c r="F287" s="522"/>
      <c r="G287" s="333">
        <f t="shared" si="7"/>
        <v>777.31999999998902</v>
      </c>
      <c r="H287" s="334"/>
      <c r="I287" s="335"/>
      <c r="J287" s="336"/>
      <c r="K287" s="301"/>
      <c r="L287" s="336"/>
      <c r="M287" s="301"/>
      <c r="N287" s="336"/>
      <c r="O287" s="301"/>
      <c r="P287" s="336"/>
      <c r="Q287" s="301"/>
      <c r="R287" s="336"/>
      <c r="S287" s="301"/>
      <c r="T287" s="336"/>
    </row>
    <row r="288" spans="1:20" ht="12" customHeight="1" x14ac:dyDescent="0.25">
      <c r="A288" s="329" t="s">
        <v>289</v>
      </c>
      <c r="B288" s="330">
        <v>2</v>
      </c>
      <c r="C288" s="298">
        <v>46276</v>
      </c>
      <c r="D288" s="299" t="s">
        <v>357</v>
      </c>
      <c r="E288" s="522">
        <v>16.98</v>
      </c>
      <c r="F288" s="522"/>
      <c r="G288" s="333">
        <f t="shared" si="7"/>
        <v>798.60999999998899</v>
      </c>
      <c r="H288" s="334"/>
      <c r="I288" s="335"/>
      <c r="J288" s="336"/>
      <c r="K288" s="301"/>
      <c r="L288" s="336"/>
      <c r="M288" s="301"/>
      <c r="N288" s="336"/>
      <c r="O288" s="301"/>
      <c r="P288" s="336"/>
      <c r="Q288" s="301"/>
      <c r="R288" s="336"/>
      <c r="S288" s="301"/>
      <c r="T288" s="336"/>
    </row>
    <row r="289" spans="1:20" ht="12" customHeight="1" x14ac:dyDescent="0.25">
      <c r="A289" s="329" t="s">
        <v>289</v>
      </c>
      <c r="B289" s="330">
        <v>1</v>
      </c>
      <c r="C289" s="298">
        <v>46276</v>
      </c>
      <c r="D289" s="299" t="s">
        <v>306</v>
      </c>
      <c r="E289" s="522">
        <v>14.99</v>
      </c>
      <c r="F289" s="522"/>
      <c r="G289" s="333">
        <f t="shared" si="7"/>
        <v>815.589999999989</v>
      </c>
      <c r="H289" s="334"/>
      <c r="I289" s="335"/>
      <c r="J289" s="336"/>
      <c r="K289" s="301"/>
      <c r="L289" s="336"/>
      <c r="M289" s="301"/>
      <c r="N289" s="336"/>
      <c r="O289" s="301"/>
      <c r="P289" s="336"/>
      <c r="Q289" s="301"/>
      <c r="R289" s="336"/>
      <c r="S289" s="301"/>
      <c r="T289" s="336"/>
    </row>
    <row r="290" spans="1:20" ht="12" customHeight="1" x14ac:dyDescent="0.25">
      <c r="A290" s="329" t="s">
        <v>289</v>
      </c>
      <c r="B290" s="330">
        <v>1</v>
      </c>
      <c r="C290" s="298">
        <v>46276</v>
      </c>
      <c r="D290" s="299" t="s">
        <v>306</v>
      </c>
      <c r="E290" s="522">
        <v>140.31</v>
      </c>
      <c r="F290" s="522"/>
      <c r="G290" s="333">
        <f t="shared" si="7"/>
        <v>830.57999999998901</v>
      </c>
      <c r="H290" s="334"/>
      <c r="I290" s="335"/>
      <c r="J290" s="336"/>
      <c r="K290" s="301"/>
      <c r="L290" s="336"/>
      <c r="M290" s="301"/>
      <c r="N290" s="336"/>
      <c r="O290" s="301"/>
      <c r="P290" s="336"/>
      <c r="Q290" s="301"/>
      <c r="R290" s="336"/>
      <c r="S290" s="301"/>
      <c r="T290" s="336"/>
    </row>
    <row r="291" spans="1:20" ht="12" customHeight="1" x14ac:dyDescent="0.25">
      <c r="A291" s="329" t="s">
        <v>289</v>
      </c>
      <c r="B291" s="330">
        <v>6</v>
      </c>
      <c r="C291" s="298">
        <v>46276</v>
      </c>
      <c r="D291" s="299" t="s">
        <v>411</v>
      </c>
      <c r="E291" s="522">
        <v>-3.4</v>
      </c>
      <c r="F291" s="522"/>
      <c r="G291" s="333">
        <f t="shared" si="7"/>
        <v>970.88999999998896</v>
      </c>
      <c r="H291" s="334"/>
      <c r="I291" s="335"/>
      <c r="J291" s="336"/>
      <c r="K291" s="301"/>
      <c r="L291" s="336"/>
      <c r="M291" s="301"/>
      <c r="N291" s="336"/>
      <c r="O291" s="301"/>
      <c r="P291" s="336"/>
      <c r="Q291" s="301"/>
      <c r="R291" s="336"/>
      <c r="S291" s="301"/>
      <c r="T291" s="336"/>
    </row>
    <row r="292" spans="1:20" ht="12" customHeight="1" x14ac:dyDescent="0.25">
      <c r="A292" s="329" t="s">
        <v>289</v>
      </c>
      <c r="B292" s="330">
        <v>6</v>
      </c>
      <c r="C292" s="298">
        <v>46276</v>
      </c>
      <c r="D292" s="299" t="s">
        <v>905</v>
      </c>
      <c r="E292" s="522">
        <v>-0.06</v>
      </c>
      <c r="F292" s="522"/>
      <c r="G292" s="333">
        <f t="shared" si="7"/>
        <v>967.48999999998898</v>
      </c>
      <c r="H292" s="334"/>
      <c r="I292" s="335"/>
      <c r="J292" s="336"/>
      <c r="K292" s="301"/>
      <c r="L292" s="336"/>
      <c r="M292" s="301"/>
      <c r="N292" s="336"/>
      <c r="O292" s="301"/>
      <c r="P292" s="336"/>
      <c r="Q292" s="301"/>
      <c r="R292" s="336"/>
      <c r="S292" s="301"/>
      <c r="T292" s="336"/>
    </row>
    <row r="293" spans="1:20" ht="12" customHeight="1" x14ac:dyDescent="0.25">
      <c r="A293" s="329" t="s">
        <v>289</v>
      </c>
      <c r="B293" s="330">
        <v>2</v>
      </c>
      <c r="C293" s="298">
        <v>46276</v>
      </c>
      <c r="D293" s="299" t="s">
        <v>1028</v>
      </c>
      <c r="E293" s="522">
        <v>25</v>
      </c>
      <c r="F293" s="522"/>
      <c r="G293" s="333">
        <f t="shared" si="7"/>
        <v>967.42999999998904</v>
      </c>
      <c r="H293" s="334"/>
      <c r="I293" s="335"/>
      <c r="J293" s="336"/>
      <c r="K293" s="301"/>
      <c r="L293" s="336"/>
      <c r="M293" s="301"/>
      <c r="N293" s="336"/>
      <c r="O293" s="301"/>
      <c r="P293" s="336"/>
      <c r="Q293" s="301"/>
      <c r="R293" s="336"/>
      <c r="S293" s="301"/>
      <c r="T293" s="336"/>
    </row>
    <row r="294" spans="1:20" ht="12" customHeight="1" x14ac:dyDescent="0.25">
      <c r="A294" s="329" t="s">
        <v>335</v>
      </c>
      <c r="B294" s="330" t="s">
        <v>335</v>
      </c>
      <c r="C294" s="298">
        <v>46276</v>
      </c>
      <c r="D294" s="299" t="s">
        <v>185</v>
      </c>
      <c r="E294" s="522">
        <v>62.37</v>
      </c>
      <c r="F294" s="522"/>
      <c r="G294" s="333">
        <f t="shared" si="7"/>
        <v>992.42999999998904</v>
      </c>
      <c r="H294" s="334"/>
      <c r="I294" s="335"/>
      <c r="J294" s="336"/>
      <c r="K294" s="301"/>
      <c r="L294" s="336"/>
      <c r="M294" s="301"/>
      <c r="N294" s="336"/>
      <c r="O294" s="301"/>
      <c r="P294" s="336"/>
      <c r="Q294" s="301"/>
      <c r="R294" s="336"/>
      <c r="S294" s="301"/>
      <c r="T294" s="336"/>
    </row>
    <row r="295" spans="1:20" ht="12" customHeight="1" x14ac:dyDescent="0.25">
      <c r="A295" s="329" t="s">
        <v>294</v>
      </c>
      <c r="B295" s="330">
        <v>15</v>
      </c>
      <c r="C295" s="298">
        <v>46276</v>
      </c>
      <c r="D295" s="299" t="s">
        <v>185</v>
      </c>
      <c r="E295" s="522">
        <v>63.69</v>
      </c>
      <c r="F295" s="522"/>
      <c r="G295" s="333">
        <f t="shared" si="7"/>
        <v>1054.799999999989</v>
      </c>
      <c r="H295" s="334"/>
      <c r="I295" s="335"/>
      <c r="J295" s="336"/>
      <c r="K295" s="301"/>
      <c r="L295" s="336"/>
      <c r="M295" s="301"/>
      <c r="N295" s="336"/>
      <c r="O295" s="301"/>
      <c r="P295" s="336"/>
      <c r="Q295" s="301"/>
      <c r="R295" s="336"/>
      <c r="S295" s="301"/>
      <c r="T295" s="336"/>
    </row>
    <row r="296" spans="1:20" ht="12" customHeight="1" x14ac:dyDescent="0.25">
      <c r="A296" s="329" t="s">
        <v>289</v>
      </c>
      <c r="B296" s="330">
        <v>2</v>
      </c>
      <c r="C296" s="298">
        <v>46275</v>
      </c>
      <c r="D296" s="299" t="s">
        <v>357</v>
      </c>
      <c r="E296" s="522">
        <v>6.28</v>
      </c>
      <c r="F296" s="522"/>
      <c r="G296" s="333">
        <f t="shared" si="7"/>
        <v>1118.4899999999891</v>
      </c>
      <c r="H296" s="334"/>
      <c r="I296" s="335"/>
      <c r="J296" s="336"/>
      <c r="K296" s="301"/>
      <c r="L296" s="336"/>
      <c r="M296" s="301"/>
      <c r="N296" s="336"/>
      <c r="O296" s="301"/>
      <c r="P296" s="336"/>
      <c r="Q296" s="301"/>
      <c r="R296" s="336"/>
      <c r="S296" s="301"/>
      <c r="T296" s="336"/>
    </row>
    <row r="297" spans="1:20" ht="12" customHeight="1" x14ac:dyDescent="0.25">
      <c r="A297" s="329" t="s">
        <v>289</v>
      </c>
      <c r="B297" s="330">
        <v>2</v>
      </c>
      <c r="C297" s="298">
        <v>46275</v>
      </c>
      <c r="D297" s="299" t="s">
        <v>385</v>
      </c>
      <c r="E297" s="522">
        <v>15.75</v>
      </c>
      <c r="F297" s="522"/>
      <c r="G297" s="333">
        <f t="shared" si="7"/>
        <v>1124.7699999999891</v>
      </c>
      <c r="H297" s="334"/>
      <c r="I297" s="335"/>
      <c r="J297" s="336"/>
      <c r="K297" s="301"/>
      <c r="L297" s="336"/>
      <c r="M297" s="301"/>
      <c r="N297" s="336"/>
      <c r="O297" s="301"/>
      <c r="P297" s="336"/>
      <c r="Q297" s="301"/>
      <c r="R297" s="336"/>
      <c r="S297" s="301"/>
      <c r="T297" s="336"/>
    </row>
    <row r="298" spans="1:20" ht="12" customHeight="1" x14ac:dyDescent="0.25">
      <c r="A298" s="329" t="s">
        <v>289</v>
      </c>
      <c r="B298" s="330">
        <v>2</v>
      </c>
      <c r="C298" s="298">
        <v>46275</v>
      </c>
      <c r="D298" s="299" t="s">
        <v>318</v>
      </c>
      <c r="E298" s="522">
        <v>20.440000000000001</v>
      </c>
      <c r="F298" s="522"/>
      <c r="G298" s="333">
        <f t="shared" si="7"/>
        <v>1140.5199999999891</v>
      </c>
      <c r="H298" s="334"/>
      <c r="I298" s="335"/>
      <c r="J298" s="336"/>
      <c r="K298" s="301"/>
      <c r="L298" s="336"/>
      <c r="M298" s="301"/>
      <c r="N298" s="336"/>
      <c r="O298" s="301"/>
      <c r="P298" s="336"/>
      <c r="Q298" s="301"/>
      <c r="R298" s="336"/>
      <c r="S298" s="301"/>
      <c r="T298" s="336"/>
    </row>
    <row r="299" spans="1:20" ht="12" customHeight="1" x14ac:dyDescent="0.25">
      <c r="A299" s="329" t="s">
        <v>289</v>
      </c>
      <c r="B299" s="330">
        <v>4</v>
      </c>
      <c r="C299" s="298">
        <v>46275</v>
      </c>
      <c r="D299" s="299" t="s">
        <v>329</v>
      </c>
      <c r="E299" s="522">
        <v>28.67</v>
      </c>
      <c r="F299" s="522"/>
      <c r="G299" s="333">
        <f t="shared" si="7"/>
        <v>1160.9599999999891</v>
      </c>
      <c r="H299" s="334"/>
      <c r="I299" s="335"/>
      <c r="J299" s="336"/>
      <c r="K299" s="301"/>
      <c r="L299" s="336"/>
      <c r="M299" s="301"/>
      <c r="N299" s="336"/>
      <c r="O299" s="301"/>
      <c r="P299" s="336"/>
      <c r="Q299" s="301"/>
      <c r="R299" s="336"/>
      <c r="S299" s="301"/>
      <c r="T299" s="336"/>
    </row>
    <row r="300" spans="1:20" ht="12" customHeight="1" x14ac:dyDescent="0.25">
      <c r="A300" s="329" t="s">
        <v>289</v>
      </c>
      <c r="B300" s="330">
        <v>5</v>
      </c>
      <c r="C300" s="298">
        <v>46275</v>
      </c>
      <c r="D300" s="299" t="s">
        <v>1046</v>
      </c>
      <c r="E300" s="522">
        <v>100</v>
      </c>
      <c r="F300" s="522"/>
      <c r="G300" s="333">
        <f t="shared" si="7"/>
        <v>1189.6299999999892</v>
      </c>
      <c r="H300" s="334"/>
      <c r="I300" s="335"/>
      <c r="J300" s="336"/>
      <c r="K300" s="301"/>
      <c r="L300" s="336"/>
      <c r="M300" s="301"/>
      <c r="N300" s="336"/>
      <c r="O300" s="301"/>
      <c r="P300" s="336"/>
      <c r="Q300" s="301"/>
      <c r="R300" s="336"/>
      <c r="S300" s="301"/>
      <c r="T300" s="336"/>
    </row>
    <row r="301" spans="1:20" ht="12" customHeight="1" x14ac:dyDescent="0.25">
      <c r="A301" s="329" t="s">
        <v>289</v>
      </c>
      <c r="B301" s="330">
        <v>6</v>
      </c>
      <c r="C301" s="298">
        <v>46275</v>
      </c>
      <c r="D301" s="299" t="s">
        <v>1046</v>
      </c>
      <c r="E301" s="522">
        <v>100</v>
      </c>
      <c r="F301" s="522"/>
      <c r="G301" s="333">
        <f t="shared" si="7"/>
        <v>1289.6299999999892</v>
      </c>
      <c r="H301" s="334"/>
      <c r="I301" s="335"/>
      <c r="J301" s="336"/>
      <c r="K301" s="301"/>
      <c r="L301" s="336"/>
      <c r="M301" s="301"/>
      <c r="N301" s="336"/>
      <c r="O301" s="301"/>
      <c r="P301" s="336"/>
      <c r="Q301" s="301"/>
      <c r="R301" s="336"/>
      <c r="S301" s="301"/>
      <c r="T301" s="336"/>
    </row>
    <row r="302" spans="1:20" ht="12" customHeight="1" x14ac:dyDescent="0.25">
      <c r="A302" s="329" t="s">
        <v>289</v>
      </c>
      <c r="B302" s="330">
        <v>6</v>
      </c>
      <c r="C302" s="298">
        <v>46275</v>
      </c>
      <c r="D302" s="299" t="s">
        <v>428</v>
      </c>
      <c r="E302" s="522">
        <v>103.4</v>
      </c>
      <c r="F302" s="522"/>
      <c r="G302" s="333">
        <f t="shared" si="7"/>
        <v>1389.6299999999892</v>
      </c>
      <c r="H302" s="334"/>
      <c r="I302" s="335"/>
      <c r="J302" s="336"/>
      <c r="K302" s="301"/>
      <c r="L302" s="336"/>
      <c r="M302" s="301"/>
      <c r="N302" s="336"/>
      <c r="O302" s="301"/>
      <c r="P302" s="336"/>
      <c r="Q302" s="301"/>
      <c r="R302" s="336"/>
      <c r="S302" s="301"/>
      <c r="T302" s="336"/>
    </row>
    <row r="303" spans="1:20" ht="12" customHeight="1" x14ac:dyDescent="0.25">
      <c r="A303" s="329" t="s">
        <v>289</v>
      </c>
      <c r="B303" s="330">
        <v>6</v>
      </c>
      <c r="C303" s="298">
        <v>46274</v>
      </c>
      <c r="D303" s="299" t="s">
        <v>1047</v>
      </c>
      <c r="E303" s="522">
        <v>50</v>
      </c>
      <c r="F303" s="522"/>
      <c r="G303" s="333">
        <f t="shared" si="7"/>
        <v>1493.0299999999893</v>
      </c>
      <c r="H303" s="334"/>
      <c r="I303" s="335"/>
      <c r="J303" s="336"/>
      <c r="K303" s="301"/>
      <c r="L303" s="336"/>
      <c r="M303" s="301"/>
      <c r="N303" s="336"/>
      <c r="O303" s="301"/>
      <c r="P303" s="336"/>
      <c r="Q303" s="301"/>
      <c r="R303" s="336"/>
      <c r="S303" s="301"/>
      <c r="T303" s="336"/>
    </row>
    <row r="304" spans="1:20" ht="12" customHeight="1" x14ac:dyDescent="0.25">
      <c r="A304" s="329" t="s">
        <v>289</v>
      </c>
      <c r="B304" s="330">
        <v>5</v>
      </c>
      <c r="C304" s="298">
        <v>46274</v>
      </c>
      <c r="D304" s="299" t="s">
        <v>852</v>
      </c>
      <c r="E304" s="522">
        <v>10.68</v>
      </c>
      <c r="F304" s="522"/>
      <c r="G304" s="333">
        <f t="shared" si="7"/>
        <v>1543.0299999999893</v>
      </c>
      <c r="H304" s="334"/>
      <c r="I304" s="335"/>
      <c r="J304" s="336"/>
      <c r="K304" s="301"/>
      <c r="L304" s="336"/>
      <c r="M304" s="301"/>
      <c r="N304" s="336"/>
      <c r="O304" s="301"/>
      <c r="P304" s="336"/>
      <c r="Q304" s="301"/>
      <c r="R304" s="336"/>
      <c r="S304" s="301"/>
      <c r="T304" s="336"/>
    </row>
    <row r="305" spans="1:20" ht="12" customHeight="1" x14ac:dyDescent="0.25">
      <c r="A305" s="329" t="s">
        <v>289</v>
      </c>
      <c r="B305" s="330">
        <v>5</v>
      </c>
      <c r="C305" s="298">
        <v>46274</v>
      </c>
      <c r="D305" s="299" t="s">
        <v>1048</v>
      </c>
      <c r="E305" s="522">
        <v>31.5</v>
      </c>
      <c r="F305" s="522"/>
      <c r="G305" s="333">
        <f t="shared" ref="G305:G307" si="8">G306-E305+F305</f>
        <v>1553.7099999999893</v>
      </c>
      <c r="H305" s="334"/>
      <c r="I305" s="335"/>
      <c r="J305" s="336"/>
      <c r="K305" s="301"/>
      <c r="L305" s="336"/>
      <c r="M305" s="301"/>
      <c r="N305" s="336"/>
      <c r="O305" s="301"/>
      <c r="P305" s="336"/>
      <c r="Q305" s="301"/>
      <c r="R305" s="336"/>
      <c r="S305" s="301"/>
      <c r="T305" s="336"/>
    </row>
    <row r="306" spans="1:20" ht="12" customHeight="1" x14ac:dyDescent="0.25">
      <c r="A306" s="329" t="s">
        <v>294</v>
      </c>
      <c r="B306" s="330">
        <v>22</v>
      </c>
      <c r="C306" s="298">
        <v>46274</v>
      </c>
      <c r="D306" s="299" t="s">
        <v>977</v>
      </c>
      <c r="E306" s="522">
        <v>5.31</v>
      </c>
      <c r="F306" s="522"/>
      <c r="G306" s="333">
        <f t="shared" si="8"/>
        <v>1585.2099999999893</v>
      </c>
      <c r="H306" s="334"/>
      <c r="I306" s="335"/>
      <c r="J306" s="336"/>
      <c r="K306" s="301"/>
      <c r="L306" s="336"/>
      <c r="M306" s="301"/>
      <c r="N306" s="336"/>
      <c r="O306" s="301"/>
      <c r="P306" s="336"/>
      <c r="Q306" s="301"/>
      <c r="R306" s="336"/>
      <c r="S306" s="301"/>
      <c r="T306" s="336"/>
    </row>
    <row r="307" spans="1:20" ht="12" customHeight="1" x14ac:dyDescent="0.25">
      <c r="A307" s="329" t="s">
        <v>289</v>
      </c>
      <c r="B307" s="330">
        <v>6</v>
      </c>
      <c r="C307" s="298">
        <v>46273</v>
      </c>
      <c r="D307" s="299" t="s">
        <v>1053</v>
      </c>
      <c r="E307" s="522">
        <v>10</v>
      </c>
      <c r="F307" s="522"/>
      <c r="G307" s="333">
        <f t="shared" si="8"/>
        <v>1590.5199999999893</v>
      </c>
      <c r="H307" s="334"/>
      <c r="I307" s="335"/>
      <c r="J307" s="336"/>
      <c r="K307" s="301"/>
      <c r="L307" s="336"/>
      <c r="M307" s="301"/>
      <c r="N307" s="336"/>
      <c r="O307" s="301"/>
      <c r="P307" s="336"/>
      <c r="Q307" s="301"/>
      <c r="R307" s="336"/>
      <c r="S307" s="301"/>
      <c r="T307" s="336"/>
    </row>
    <row r="308" spans="1:20" ht="12" customHeight="1" x14ac:dyDescent="0.25">
      <c r="A308" s="329" t="s">
        <v>335</v>
      </c>
      <c r="B308" s="330" t="s">
        <v>335</v>
      </c>
      <c r="C308" s="298">
        <v>46273</v>
      </c>
      <c r="D308" s="299" t="s">
        <v>182</v>
      </c>
      <c r="E308" s="522">
        <v>77.400000000000006</v>
      </c>
      <c r="F308" s="522"/>
      <c r="G308" s="333">
        <f t="shared" ref="G308:G329" si="9">G309-E308+F308</f>
        <v>1600.5199999999893</v>
      </c>
      <c r="H308" s="334"/>
      <c r="I308" s="335"/>
      <c r="J308" s="336"/>
      <c r="K308" s="301"/>
      <c r="L308" s="336"/>
      <c r="M308" s="301"/>
      <c r="N308" s="336"/>
      <c r="O308" s="301"/>
      <c r="P308" s="336"/>
      <c r="Q308" s="301"/>
      <c r="R308" s="336"/>
      <c r="S308" s="301"/>
      <c r="T308" s="336"/>
    </row>
    <row r="309" spans="1:20" ht="12" customHeight="1" x14ac:dyDescent="0.25">
      <c r="A309" s="329" t="s">
        <v>294</v>
      </c>
      <c r="B309" s="330">
        <v>9</v>
      </c>
      <c r="C309" s="298">
        <v>46273</v>
      </c>
      <c r="D309" s="299" t="s">
        <v>58</v>
      </c>
      <c r="E309" s="522">
        <v>1231.68</v>
      </c>
      <c r="F309" s="522"/>
      <c r="G309" s="333">
        <f t="shared" si="9"/>
        <v>1677.9199999999894</v>
      </c>
      <c r="H309" s="334"/>
      <c r="I309" s="335"/>
      <c r="J309" s="336"/>
      <c r="K309" s="301"/>
      <c r="L309" s="336"/>
      <c r="M309" s="301"/>
      <c r="N309" s="336"/>
      <c r="O309" s="301"/>
      <c r="P309" s="336"/>
      <c r="Q309" s="301"/>
      <c r="R309" s="336"/>
      <c r="S309" s="301"/>
      <c r="T309" s="336"/>
    </row>
    <row r="310" spans="1:20" ht="12" customHeight="1" x14ac:dyDescent="0.25">
      <c r="A310" s="329" t="s">
        <v>289</v>
      </c>
      <c r="B310" s="330">
        <v>8</v>
      </c>
      <c r="C310" s="298">
        <v>46273</v>
      </c>
      <c r="D310" s="299" t="s">
        <v>319</v>
      </c>
      <c r="E310" s="522">
        <v>9.5</v>
      </c>
      <c r="F310" s="522"/>
      <c r="G310" s="333">
        <f t="shared" si="9"/>
        <v>2909.5999999999894</v>
      </c>
      <c r="H310" s="334"/>
      <c r="I310" s="335"/>
      <c r="J310" s="336"/>
      <c r="K310" s="301"/>
      <c r="L310" s="336"/>
      <c r="M310" s="301"/>
      <c r="N310" s="336"/>
      <c r="O310" s="301"/>
      <c r="P310" s="336"/>
      <c r="Q310" s="301"/>
      <c r="R310" s="336"/>
      <c r="S310" s="301"/>
      <c r="T310" s="336"/>
    </row>
    <row r="311" spans="1:20" ht="12" customHeight="1" x14ac:dyDescent="0.25">
      <c r="A311" s="329" t="s">
        <v>289</v>
      </c>
      <c r="B311" s="330">
        <v>2</v>
      </c>
      <c r="C311" s="298">
        <v>46273</v>
      </c>
      <c r="D311" s="299" t="s">
        <v>1049</v>
      </c>
      <c r="E311" s="522">
        <v>19.16</v>
      </c>
      <c r="F311" s="522"/>
      <c r="G311" s="333">
        <f t="shared" si="9"/>
        <v>2919.0999999999894</v>
      </c>
      <c r="H311" s="334"/>
      <c r="I311" s="335"/>
      <c r="J311" s="336"/>
      <c r="K311" s="301"/>
      <c r="L311" s="336"/>
      <c r="M311" s="301"/>
      <c r="N311" s="336"/>
      <c r="O311" s="301"/>
      <c r="P311" s="336"/>
      <c r="Q311" s="301"/>
      <c r="R311" s="336"/>
      <c r="S311" s="301"/>
      <c r="T311" s="336"/>
    </row>
    <row r="312" spans="1:20" ht="12" customHeight="1" x14ac:dyDescent="0.25">
      <c r="A312" s="329" t="s">
        <v>289</v>
      </c>
      <c r="B312" s="330">
        <v>8</v>
      </c>
      <c r="C312" s="298">
        <v>46273</v>
      </c>
      <c r="D312" s="299" t="s">
        <v>1049</v>
      </c>
      <c r="E312" s="522">
        <v>10</v>
      </c>
      <c r="F312" s="522"/>
      <c r="G312" s="333">
        <f t="shared" si="9"/>
        <v>2938.2599999999893</v>
      </c>
      <c r="H312" s="334"/>
      <c r="I312" s="335"/>
      <c r="J312" s="336"/>
      <c r="K312" s="301"/>
      <c r="L312" s="336"/>
      <c r="M312" s="301"/>
      <c r="N312" s="336"/>
      <c r="O312" s="301"/>
      <c r="P312" s="336"/>
      <c r="Q312" s="301"/>
      <c r="R312" s="336"/>
      <c r="S312" s="301"/>
      <c r="T312" s="336"/>
    </row>
    <row r="313" spans="1:20" ht="12" customHeight="1" x14ac:dyDescent="0.25">
      <c r="A313" s="329" t="s">
        <v>289</v>
      </c>
      <c r="B313" s="330">
        <v>6</v>
      </c>
      <c r="C313" s="298">
        <v>46273</v>
      </c>
      <c r="D313" s="299" t="s">
        <v>300</v>
      </c>
      <c r="E313" s="522">
        <v>31.94</v>
      </c>
      <c r="F313" s="522"/>
      <c r="G313" s="333">
        <f t="shared" si="9"/>
        <v>2948.2599999999893</v>
      </c>
      <c r="H313" s="334"/>
      <c r="I313" s="335"/>
      <c r="J313" s="336"/>
      <c r="K313" s="301"/>
      <c r="L313" s="336"/>
      <c r="M313" s="301"/>
      <c r="N313" s="336"/>
      <c r="O313" s="301"/>
      <c r="P313" s="336"/>
      <c r="Q313" s="301"/>
      <c r="R313" s="336"/>
      <c r="S313" s="301"/>
      <c r="T313" s="336"/>
    </row>
    <row r="314" spans="1:20" ht="12" customHeight="1" x14ac:dyDescent="0.25">
      <c r="A314" s="329" t="s">
        <v>289</v>
      </c>
      <c r="B314" s="330">
        <v>6</v>
      </c>
      <c r="C314" s="298">
        <v>46273</v>
      </c>
      <c r="D314" s="299" t="s">
        <v>1001</v>
      </c>
      <c r="E314" s="522">
        <v>50</v>
      </c>
      <c r="F314" s="522"/>
      <c r="G314" s="333">
        <f t="shared" si="9"/>
        <v>2980.1999999999894</v>
      </c>
      <c r="H314" s="334" t="s">
        <v>298</v>
      </c>
      <c r="I314" s="335"/>
      <c r="J314" s="336"/>
      <c r="K314" s="301"/>
      <c r="L314" s="336"/>
      <c r="M314" s="301"/>
      <c r="N314" s="336"/>
      <c r="O314" s="301"/>
      <c r="P314" s="336"/>
      <c r="Q314" s="301"/>
      <c r="R314" s="336"/>
      <c r="S314" s="301"/>
      <c r="T314" s="336"/>
    </row>
    <row r="315" spans="1:20" ht="12" customHeight="1" x14ac:dyDescent="0.25">
      <c r="A315" s="329" t="s">
        <v>289</v>
      </c>
      <c r="B315" s="330">
        <v>5</v>
      </c>
      <c r="C315" s="298">
        <v>46273</v>
      </c>
      <c r="D315" s="299" t="s">
        <v>1037</v>
      </c>
      <c r="E315" s="522">
        <v>110</v>
      </c>
      <c r="F315" s="522"/>
      <c r="G315" s="333">
        <f t="shared" si="9"/>
        <v>3030.1999999999894</v>
      </c>
      <c r="H315" s="334" t="s">
        <v>298</v>
      </c>
      <c r="I315" s="335"/>
      <c r="J315" s="336"/>
      <c r="K315" s="301"/>
      <c r="L315" s="336"/>
      <c r="M315" s="301"/>
      <c r="N315" s="336"/>
      <c r="O315" s="301"/>
      <c r="P315" s="336"/>
      <c r="Q315" s="301"/>
      <c r="R315" s="336"/>
      <c r="S315" s="301"/>
      <c r="T315" s="336"/>
    </row>
    <row r="316" spans="1:20" ht="12" customHeight="1" x14ac:dyDescent="0.25">
      <c r="A316" s="329" t="s">
        <v>287</v>
      </c>
      <c r="B316" s="330" t="s">
        <v>287</v>
      </c>
      <c r="C316" s="298">
        <v>46272</v>
      </c>
      <c r="D316" s="299" t="s">
        <v>527</v>
      </c>
      <c r="E316" s="522"/>
      <c r="F316" s="522">
        <v>600</v>
      </c>
      <c r="G316" s="333">
        <f t="shared" si="9"/>
        <v>3140.1999999999894</v>
      </c>
      <c r="H316" s="334"/>
      <c r="I316" s="335"/>
      <c r="J316" s="336"/>
      <c r="K316" s="301"/>
      <c r="L316" s="336"/>
      <c r="M316" s="301"/>
      <c r="N316" s="336"/>
      <c r="O316" s="301"/>
      <c r="P316" s="336"/>
      <c r="Q316" s="301"/>
      <c r="R316" s="336"/>
      <c r="S316" s="301"/>
      <c r="T316" s="336"/>
    </row>
    <row r="317" spans="1:20" ht="12" customHeight="1" x14ac:dyDescent="0.25">
      <c r="A317" s="329" t="s">
        <v>287</v>
      </c>
      <c r="B317" s="330" t="s">
        <v>287</v>
      </c>
      <c r="C317" s="298">
        <v>46272</v>
      </c>
      <c r="D317" s="299" t="s">
        <v>527</v>
      </c>
      <c r="E317" s="522">
        <v>600</v>
      </c>
      <c r="F317" s="522"/>
      <c r="G317" s="333">
        <f t="shared" si="9"/>
        <v>2540.1999999999894</v>
      </c>
      <c r="H317" s="334" t="s">
        <v>298</v>
      </c>
      <c r="I317" s="335"/>
      <c r="J317" s="336"/>
      <c r="K317" s="301"/>
      <c r="L317" s="336"/>
      <c r="M317" s="301"/>
      <c r="N317" s="336"/>
      <c r="O317" s="301"/>
      <c r="P317" s="336"/>
      <c r="Q317" s="301"/>
      <c r="R317" s="336"/>
      <c r="S317" s="301"/>
      <c r="T317" s="336"/>
    </row>
    <row r="318" spans="1:20" ht="12" customHeight="1" x14ac:dyDescent="0.25">
      <c r="A318" s="329" t="s">
        <v>289</v>
      </c>
      <c r="B318" s="330">
        <v>2</v>
      </c>
      <c r="C318" s="298">
        <v>46272</v>
      </c>
      <c r="D318" s="299" t="s">
        <v>1051</v>
      </c>
      <c r="E318" s="522">
        <v>109.55</v>
      </c>
      <c r="F318" s="522"/>
      <c r="G318" s="333">
        <f t="shared" si="9"/>
        <v>3140.1999999999894</v>
      </c>
      <c r="H318" s="334"/>
      <c r="I318" s="335"/>
      <c r="J318" s="336"/>
      <c r="K318" s="301"/>
      <c r="L318" s="336"/>
      <c r="M318" s="301"/>
      <c r="N318" s="336"/>
      <c r="O318" s="301"/>
      <c r="P318" s="336"/>
      <c r="Q318" s="301"/>
      <c r="R318" s="336"/>
      <c r="S318" s="301"/>
      <c r="T318" s="336"/>
    </row>
    <row r="319" spans="1:20" ht="12" customHeight="1" x14ac:dyDescent="0.25">
      <c r="A319" s="329" t="s">
        <v>289</v>
      </c>
      <c r="B319" s="330">
        <v>5</v>
      </c>
      <c r="C319" s="298">
        <v>46272</v>
      </c>
      <c r="D319" s="299" t="s">
        <v>1052</v>
      </c>
      <c r="E319" s="522">
        <v>22.36</v>
      </c>
      <c r="F319" s="522"/>
      <c r="G319" s="333">
        <f t="shared" si="9"/>
        <v>3249.7499999999895</v>
      </c>
      <c r="H319" s="334"/>
      <c r="I319" s="335"/>
      <c r="J319" s="336"/>
      <c r="K319" s="301"/>
      <c r="L319" s="336"/>
      <c r="M319" s="301"/>
      <c r="N319" s="336"/>
      <c r="O319" s="301"/>
      <c r="P319" s="336"/>
      <c r="Q319" s="301"/>
      <c r="R319" s="336"/>
      <c r="S319" s="301"/>
      <c r="T319" s="336"/>
    </row>
    <row r="320" spans="1:20" ht="12" customHeight="1" x14ac:dyDescent="0.25">
      <c r="A320" s="329" t="s">
        <v>289</v>
      </c>
      <c r="B320" s="330">
        <v>6</v>
      </c>
      <c r="C320" s="298">
        <v>46272</v>
      </c>
      <c r="D320" s="299" t="s">
        <v>1050</v>
      </c>
      <c r="E320" s="522">
        <v>143.72</v>
      </c>
      <c r="F320" s="522"/>
      <c r="G320" s="333">
        <f t="shared" si="9"/>
        <v>3272.1099999999897</v>
      </c>
      <c r="H320" s="334"/>
      <c r="I320" s="335"/>
      <c r="J320" s="336"/>
      <c r="K320" s="301"/>
      <c r="L320" s="336"/>
      <c r="M320" s="301"/>
      <c r="N320" s="336"/>
      <c r="O320" s="301"/>
      <c r="P320" s="336"/>
      <c r="Q320" s="301"/>
      <c r="R320" s="336"/>
      <c r="S320" s="301"/>
      <c r="T320" s="336"/>
    </row>
    <row r="321" spans="1:20" ht="12" customHeight="1" x14ac:dyDescent="0.25">
      <c r="A321" s="329" t="s">
        <v>289</v>
      </c>
      <c r="B321" s="330">
        <v>4</v>
      </c>
      <c r="C321" s="298">
        <v>46272</v>
      </c>
      <c r="D321" s="299" t="s">
        <v>295</v>
      </c>
      <c r="E321" s="522">
        <v>291.70999999999998</v>
      </c>
      <c r="F321" s="522"/>
      <c r="G321" s="333">
        <f t="shared" si="9"/>
        <v>3415.8299999999895</v>
      </c>
      <c r="H321" s="334"/>
      <c r="I321" s="335"/>
      <c r="J321" s="336"/>
      <c r="K321" s="301"/>
      <c r="L321" s="336"/>
      <c r="M321" s="301"/>
      <c r="N321" s="336"/>
      <c r="O321" s="301"/>
      <c r="P321" s="336"/>
      <c r="Q321" s="301"/>
      <c r="R321" s="336"/>
      <c r="S321" s="301"/>
      <c r="T321" s="336"/>
    </row>
    <row r="322" spans="1:20" ht="12" customHeight="1" x14ac:dyDescent="0.25">
      <c r="A322" s="329" t="s">
        <v>289</v>
      </c>
      <c r="B322" s="330">
        <v>8</v>
      </c>
      <c r="C322" s="298">
        <v>46272</v>
      </c>
      <c r="D322" s="299" t="s">
        <v>295</v>
      </c>
      <c r="E322" s="522">
        <v>6.36</v>
      </c>
      <c r="F322" s="522"/>
      <c r="G322" s="333">
        <f t="shared" si="9"/>
        <v>3707.5399999999895</v>
      </c>
      <c r="H322" s="334"/>
      <c r="I322" s="335"/>
      <c r="J322" s="336"/>
      <c r="K322" s="301"/>
      <c r="L322" s="336"/>
      <c r="M322" s="301"/>
      <c r="N322" s="336"/>
      <c r="O322" s="301"/>
      <c r="P322" s="336"/>
      <c r="Q322" s="301"/>
      <c r="R322" s="336"/>
      <c r="S322" s="301"/>
      <c r="T322" s="336"/>
    </row>
    <row r="323" spans="1:20" ht="12" customHeight="1" x14ac:dyDescent="0.25">
      <c r="A323" s="329" t="s">
        <v>289</v>
      </c>
      <c r="B323" s="330">
        <v>1</v>
      </c>
      <c r="C323" s="298">
        <v>46272</v>
      </c>
      <c r="D323" s="299" t="s">
        <v>367</v>
      </c>
      <c r="E323" s="522">
        <v>25.54</v>
      </c>
      <c r="F323" s="522"/>
      <c r="G323" s="333">
        <f t="shared" si="9"/>
        <v>3713.8999999999896</v>
      </c>
      <c r="H323" s="334"/>
      <c r="I323" s="335"/>
      <c r="J323" s="336"/>
      <c r="K323" s="301"/>
      <c r="L323" s="336"/>
      <c r="M323" s="301"/>
      <c r="N323" s="336"/>
      <c r="O323" s="301"/>
      <c r="P323" s="336"/>
      <c r="Q323" s="301"/>
      <c r="R323" s="336"/>
      <c r="S323" s="301"/>
      <c r="T323" s="336"/>
    </row>
    <row r="324" spans="1:20" ht="12" customHeight="1" x14ac:dyDescent="0.25">
      <c r="A324" s="329" t="s">
        <v>294</v>
      </c>
      <c r="B324" s="330">
        <v>14</v>
      </c>
      <c r="C324" s="298">
        <v>46271</v>
      </c>
      <c r="D324" s="299" t="s">
        <v>956</v>
      </c>
      <c r="E324" s="522">
        <v>66.67</v>
      </c>
      <c r="F324" s="522"/>
      <c r="G324" s="333">
        <f t="shared" si="9"/>
        <v>3739.4399999999896</v>
      </c>
      <c r="H324" s="334"/>
      <c r="I324" s="335"/>
      <c r="J324" s="336"/>
      <c r="K324" s="301"/>
      <c r="L324" s="336"/>
      <c r="M324" s="301"/>
      <c r="N324" s="336"/>
      <c r="O324" s="301"/>
      <c r="P324" s="336"/>
      <c r="Q324" s="301"/>
      <c r="R324" s="336"/>
      <c r="S324" s="301"/>
      <c r="T324" s="336"/>
    </row>
    <row r="325" spans="1:20" ht="12" customHeight="1" x14ac:dyDescent="0.25">
      <c r="A325" s="329" t="s">
        <v>294</v>
      </c>
      <c r="B325" s="330">
        <v>22</v>
      </c>
      <c r="C325" s="298">
        <v>46271</v>
      </c>
      <c r="D325" s="299" t="s">
        <v>996</v>
      </c>
      <c r="E325" s="522">
        <v>10.64</v>
      </c>
      <c r="F325" s="522"/>
      <c r="G325" s="333">
        <f t="shared" si="9"/>
        <v>3806.1099999999897</v>
      </c>
      <c r="H325" s="334"/>
      <c r="I325" s="335"/>
      <c r="J325" s="336"/>
      <c r="K325" s="301"/>
      <c r="L325" s="336"/>
      <c r="M325" s="301"/>
      <c r="N325" s="336"/>
      <c r="O325" s="301"/>
      <c r="P325" s="336"/>
      <c r="Q325" s="301"/>
      <c r="R325" s="336"/>
      <c r="S325" s="301"/>
      <c r="T325" s="336"/>
    </row>
    <row r="326" spans="1:20" ht="12" customHeight="1" x14ac:dyDescent="0.25">
      <c r="A326" s="329" t="s">
        <v>289</v>
      </c>
      <c r="B326" s="330">
        <v>7</v>
      </c>
      <c r="C326" s="298">
        <v>46271</v>
      </c>
      <c r="D326" s="299" t="s">
        <v>480</v>
      </c>
      <c r="E326" s="522">
        <v>160.91999999999999</v>
      </c>
      <c r="F326" s="522"/>
      <c r="G326" s="333">
        <f t="shared" si="9"/>
        <v>3816.7499999999895</v>
      </c>
      <c r="H326" s="334"/>
      <c r="I326" s="335"/>
      <c r="J326" s="336"/>
      <c r="K326" s="301"/>
      <c r="L326" s="336"/>
      <c r="M326" s="301"/>
      <c r="N326" s="336"/>
      <c r="O326" s="301"/>
      <c r="P326" s="336"/>
      <c r="Q326" s="301"/>
      <c r="R326" s="336"/>
      <c r="S326" s="301"/>
      <c r="T326" s="336"/>
    </row>
    <row r="327" spans="1:20" ht="12" customHeight="1" x14ac:dyDescent="0.25">
      <c r="A327" s="329" t="s">
        <v>289</v>
      </c>
      <c r="B327" s="330">
        <v>5</v>
      </c>
      <c r="C327" s="298">
        <v>46270</v>
      </c>
      <c r="D327" s="299" t="s">
        <v>1041</v>
      </c>
      <c r="E327" s="522">
        <v>210.86</v>
      </c>
      <c r="F327" s="522"/>
      <c r="G327" s="333">
        <f t="shared" si="9"/>
        <v>3977.6699999999896</v>
      </c>
      <c r="H327" s="334"/>
      <c r="I327" s="335"/>
      <c r="J327" s="336"/>
      <c r="K327" s="301"/>
      <c r="L327" s="336"/>
      <c r="M327" s="301"/>
      <c r="N327" s="336"/>
      <c r="O327" s="301"/>
      <c r="P327" s="336"/>
      <c r="Q327" s="301"/>
      <c r="R327" s="336"/>
      <c r="S327" s="301"/>
      <c r="T327" s="336"/>
    </row>
    <row r="328" spans="1:20" ht="12" customHeight="1" x14ac:dyDescent="0.25">
      <c r="A328" s="329" t="s">
        <v>289</v>
      </c>
      <c r="B328" s="330">
        <v>8</v>
      </c>
      <c r="C328" s="298">
        <v>46270</v>
      </c>
      <c r="D328" s="299" t="s">
        <v>319</v>
      </c>
      <c r="E328" s="522">
        <v>23.41</v>
      </c>
      <c r="F328" s="522"/>
      <c r="G328" s="333">
        <f t="shared" si="9"/>
        <v>4188.5299999999897</v>
      </c>
      <c r="H328" s="334"/>
      <c r="I328" s="335"/>
      <c r="J328" s="336"/>
      <c r="K328" s="301"/>
      <c r="L328" s="336"/>
      <c r="M328" s="301"/>
      <c r="N328" s="336"/>
      <c r="O328" s="301"/>
      <c r="P328" s="336"/>
      <c r="Q328" s="301"/>
      <c r="R328" s="336"/>
      <c r="S328" s="301"/>
      <c r="T328" s="336"/>
    </row>
    <row r="329" spans="1:20" ht="12" customHeight="1" x14ac:dyDescent="0.25">
      <c r="A329" s="329" t="s">
        <v>289</v>
      </c>
      <c r="B329" s="330">
        <v>1</v>
      </c>
      <c r="C329" s="298">
        <v>46270</v>
      </c>
      <c r="D329" s="299" t="s">
        <v>878</v>
      </c>
      <c r="E329" s="522">
        <v>24.47</v>
      </c>
      <c r="F329" s="522"/>
      <c r="G329" s="333">
        <f t="shared" si="9"/>
        <v>4211.9399999999896</v>
      </c>
      <c r="H329" s="334"/>
      <c r="I329" s="335"/>
      <c r="J329" s="336"/>
      <c r="K329" s="301"/>
      <c r="L329" s="336"/>
      <c r="M329" s="301"/>
      <c r="N329" s="336"/>
      <c r="O329" s="301"/>
      <c r="P329" s="336"/>
      <c r="Q329" s="301"/>
      <c r="R329" s="336"/>
      <c r="S329" s="301"/>
      <c r="T329" s="336"/>
    </row>
    <row r="330" spans="1:20" ht="12" customHeight="1" x14ac:dyDescent="0.25">
      <c r="A330" s="329" t="s">
        <v>289</v>
      </c>
      <c r="B330" s="330">
        <v>3</v>
      </c>
      <c r="C330" s="298">
        <v>46270</v>
      </c>
      <c r="D330" s="299" t="s">
        <v>981</v>
      </c>
      <c r="E330" s="522">
        <v>25</v>
      </c>
      <c r="F330" s="522"/>
      <c r="G330" s="333">
        <f t="shared" ref="G330:G353" si="10">G331-E330+F330</f>
        <v>4236.4099999999899</v>
      </c>
      <c r="H330" s="334"/>
      <c r="I330" s="335"/>
      <c r="J330" s="336"/>
      <c r="K330" s="301"/>
      <c r="L330" s="336"/>
      <c r="M330" s="301"/>
      <c r="N330" s="336"/>
      <c r="O330" s="301"/>
      <c r="P330" s="336"/>
      <c r="Q330" s="301"/>
      <c r="R330" s="336"/>
      <c r="S330" s="301"/>
      <c r="T330" s="336"/>
    </row>
    <row r="331" spans="1:20" ht="12" customHeight="1" x14ac:dyDescent="0.25">
      <c r="A331" s="329" t="s">
        <v>294</v>
      </c>
      <c r="B331" s="330">
        <v>17</v>
      </c>
      <c r="C331" s="298">
        <v>46269</v>
      </c>
      <c r="D331" s="299" t="s">
        <v>369</v>
      </c>
      <c r="E331" s="522">
        <v>99</v>
      </c>
      <c r="F331" s="522"/>
      <c r="G331" s="333">
        <f t="shared" si="10"/>
        <v>4261.4099999999899</v>
      </c>
      <c r="H331" s="334"/>
      <c r="I331" s="335"/>
      <c r="J331" s="336"/>
      <c r="K331" s="301"/>
      <c r="L331" s="336"/>
      <c r="M331" s="301"/>
      <c r="N331" s="336"/>
      <c r="O331" s="301"/>
      <c r="P331" s="336"/>
      <c r="Q331" s="301"/>
      <c r="R331" s="336"/>
      <c r="S331" s="301"/>
      <c r="T331" s="336"/>
    </row>
    <row r="332" spans="1:20" ht="12" customHeight="1" x14ac:dyDescent="0.25">
      <c r="A332" s="329" t="s">
        <v>289</v>
      </c>
      <c r="B332" s="330">
        <v>2</v>
      </c>
      <c r="C332" s="298">
        <v>46269</v>
      </c>
      <c r="D332" s="299" t="s">
        <v>1042</v>
      </c>
      <c r="E332" s="522">
        <v>28.18</v>
      </c>
      <c r="F332" s="522"/>
      <c r="G332" s="333">
        <f t="shared" si="10"/>
        <v>4360.4099999999899</v>
      </c>
      <c r="H332" s="334"/>
      <c r="I332" s="335"/>
      <c r="J332" s="336"/>
      <c r="K332" s="301"/>
      <c r="L332" s="336"/>
      <c r="M332" s="301"/>
      <c r="N332" s="336"/>
      <c r="O332" s="301"/>
      <c r="P332" s="336"/>
      <c r="Q332" s="301"/>
      <c r="R332" s="336"/>
      <c r="S332" s="301"/>
      <c r="T332" s="336"/>
    </row>
    <row r="333" spans="1:20" ht="12" customHeight="1" x14ac:dyDescent="0.25">
      <c r="A333" s="329" t="s">
        <v>289</v>
      </c>
      <c r="B333" s="330">
        <v>2</v>
      </c>
      <c r="C333" s="298">
        <v>46269</v>
      </c>
      <c r="D333" s="299" t="s">
        <v>357</v>
      </c>
      <c r="E333" s="522">
        <v>10.95</v>
      </c>
      <c r="F333" s="522"/>
      <c r="G333" s="333">
        <f t="shared" si="10"/>
        <v>4388.5899999999901</v>
      </c>
      <c r="H333" s="334"/>
      <c r="I333" s="335"/>
      <c r="J333" s="336"/>
      <c r="K333" s="301"/>
      <c r="L333" s="336"/>
      <c r="M333" s="301"/>
      <c r="N333" s="336"/>
      <c r="O333" s="301"/>
      <c r="P333" s="336"/>
      <c r="Q333" s="301"/>
      <c r="R333" s="336"/>
      <c r="S333" s="301"/>
      <c r="T333" s="336"/>
    </row>
    <row r="334" spans="1:20" ht="12" customHeight="1" x14ac:dyDescent="0.25">
      <c r="A334" s="329" t="s">
        <v>294</v>
      </c>
      <c r="B334" s="330">
        <v>14</v>
      </c>
      <c r="C334" s="298">
        <v>46269</v>
      </c>
      <c r="D334" s="299" t="s">
        <v>366</v>
      </c>
      <c r="E334" s="522">
        <v>70.25</v>
      </c>
      <c r="F334" s="522"/>
      <c r="G334" s="333">
        <f t="shared" si="10"/>
        <v>4399.53999999999</v>
      </c>
      <c r="H334" s="334"/>
      <c r="I334" s="335"/>
      <c r="J334" s="336"/>
      <c r="K334" s="301"/>
      <c r="L334" s="336"/>
      <c r="M334" s="301"/>
      <c r="N334" s="336"/>
      <c r="O334" s="301"/>
      <c r="P334" s="336"/>
      <c r="Q334" s="301"/>
      <c r="R334" s="336"/>
      <c r="S334" s="301"/>
      <c r="T334" s="336"/>
    </row>
    <row r="335" spans="1:20" ht="12" customHeight="1" x14ac:dyDescent="0.25">
      <c r="A335" s="329" t="s">
        <v>289</v>
      </c>
      <c r="B335" s="330">
        <v>5</v>
      </c>
      <c r="C335" s="298">
        <v>46269</v>
      </c>
      <c r="D335" s="299" t="s">
        <v>1054</v>
      </c>
      <c r="E335" s="522">
        <v>150</v>
      </c>
      <c r="F335" s="522"/>
      <c r="G335" s="333">
        <f t="shared" si="10"/>
        <v>4469.78999999999</v>
      </c>
      <c r="H335" s="334"/>
      <c r="I335" s="335"/>
      <c r="J335" s="336"/>
      <c r="K335" s="301"/>
      <c r="L335" s="336"/>
      <c r="M335" s="301"/>
      <c r="N335" s="336"/>
      <c r="O335" s="301"/>
      <c r="P335" s="336"/>
      <c r="Q335" s="301"/>
      <c r="R335" s="336"/>
      <c r="S335" s="301"/>
      <c r="T335" s="336"/>
    </row>
    <row r="336" spans="1:20" ht="12" customHeight="1" x14ac:dyDescent="0.25">
      <c r="A336" s="329" t="s">
        <v>294</v>
      </c>
      <c r="B336" s="330">
        <v>13</v>
      </c>
      <c r="C336" s="298">
        <v>46269</v>
      </c>
      <c r="D336" s="299" t="s">
        <v>182</v>
      </c>
      <c r="E336" s="522">
        <v>344.23</v>
      </c>
      <c r="F336" s="522"/>
      <c r="G336" s="333">
        <f t="shared" si="10"/>
        <v>4619.78999999999</v>
      </c>
      <c r="H336" s="334"/>
      <c r="I336" s="335"/>
      <c r="J336" s="336"/>
      <c r="K336" s="301"/>
      <c r="L336" s="336"/>
      <c r="M336" s="301"/>
      <c r="N336" s="336"/>
      <c r="O336" s="301"/>
      <c r="P336" s="336"/>
      <c r="Q336" s="301"/>
      <c r="R336" s="336"/>
      <c r="S336" s="301"/>
      <c r="T336" s="336"/>
    </row>
    <row r="337" spans="1:20" ht="12" customHeight="1" x14ac:dyDescent="0.25">
      <c r="A337" s="329" t="s">
        <v>289</v>
      </c>
      <c r="B337" s="330">
        <v>2</v>
      </c>
      <c r="C337" s="298">
        <v>46268</v>
      </c>
      <c r="D337" s="299" t="s">
        <v>1043</v>
      </c>
      <c r="E337" s="522">
        <v>52.63</v>
      </c>
      <c r="F337" s="522"/>
      <c r="G337" s="333">
        <f t="shared" si="10"/>
        <v>4964.0199999999895</v>
      </c>
      <c r="H337" s="334"/>
      <c r="I337" s="335"/>
      <c r="J337" s="336"/>
      <c r="K337" s="301"/>
      <c r="L337" s="336"/>
      <c r="M337" s="301"/>
      <c r="N337" s="336"/>
      <c r="O337" s="301"/>
      <c r="P337" s="336"/>
      <c r="Q337" s="301"/>
      <c r="R337" s="336"/>
      <c r="S337" s="301"/>
      <c r="T337" s="336"/>
    </row>
    <row r="338" spans="1:20" ht="12" customHeight="1" x14ac:dyDescent="0.25">
      <c r="A338" s="329" t="s">
        <v>289</v>
      </c>
      <c r="B338" s="330">
        <v>8</v>
      </c>
      <c r="C338" s="298">
        <v>46268</v>
      </c>
      <c r="D338" s="299" t="s">
        <v>1043</v>
      </c>
      <c r="E338" s="522">
        <v>16.88</v>
      </c>
      <c r="F338" s="522"/>
      <c r="G338" s="333">
        <f t="shared" si="10"/>
        <v>5016.6499999999896</v>
      </c>
      <c r="H338" s="334"/>
      <c r="I338" s="335"/>
      <c r="J338" s="336"/>
      <c r="K338" s="301"/>
      <c r="L338" s="336"/>
      <c r="M338" s="301"/>
      <c r="N338" s="336"/>
      <c r="O338" s="301"/>
      <c r="P338" s="336"/>
      <c r="Q338" s="301"/>
      <c r="R338" s="336"/>
      <c r="S338" s="301"/>
      <c r="T338" s="336"/>
    </row>
    <row r="339" spans="1:20" ht="12" customHeight="1" x14ac:dyDescent="0.25">
      <c r="A339" s="329" t="s">
        <v>289</v>
      </c>
      <c r="B339" s="330">
        <v>7</v>
      </c>
      <c r="C339" s="298">
        <v>46268</v>
      </c>
      <c r="D339" s="299" t="s">
        <v>1044</v>
      </c>
      <c r="E339" s="522">
        <v>70.41</v>
      </c>
      <c r="F339" s="522"/>
      <c r="G339" s="333">
        <f t="shared" si="10"/>
        <v>5033.5299999999897</v>
      </c>
      <c r="H339" s="334"/>
      <c r="I339" s="335"/>
      <c r="J339" s="336"/>
      <c r="K339" s="301"/>
      <c r="L339" s="336"/>
      <c r="M339" s="301"/>
      <c r="N339" s="336"/>
      <c r="O339" s="301"/>
      <c r="P339" s="336"/>
      <c r="Q339" s="301"/>
      <c r="R339" s="336"/>
      <c r="S339" s="301"/>
      <c r="T339" s="336"/>
    </row>
    <row r="340" spans="1:20" ht="12" customHeight="1" x14ac:dyDescent="0.25">
      <c r="A340" s="329" t="s">
        <v>289</v>
      </c>
      <c r="B340" s="330">
        <v>2</v>
      </c>
      <c r="C340" s="298">
        <v>46268</v>
      </c>
      <c r="D340" s="299" t="s">
        <v>1045</v>
      </c>
      <c r="E340" s="522">
        <v>5</v>
      </c>
      <c r="F340" s="522"/>
      <c r="G340" s="333">
        <f t="shared" si="10"/>
        <v>5103.9399999999896</v>
      </c>
      <c r="H340" s="334"/>
      <c r="I340" s="335"/>
      <c r="J340" s="336"/>
      <c r="K340" s="301"/>
      <c r="L340" s="336"/>
      <c r="M340" s="301"/>
      <c r="N340" s="336"/>
      <c r="O340" s="301"/>
      <c r="P340" s="336"/>
      <c r="Q340" s="301"/>
      <c r="R340" s="336"/>
      <c r="S340" s="301"/>
      <c r="T340" s="336"/>
    </row>
    <row r="341" spans="1:20" ht="12" customHeight="1" x14ac:dyDescent="0.25">
      <c r="A341" s="329" t="s">
        <v>289</v>
      </c>
      <c r="B341" s="330">
        <v>4</v>
      </c>
      <c r="C341" s="298">
        <v>46268</v>
      </c>
      <c r="D341" s="299" t="s">
        <v>310</v>
      </c>
      <c r="E341" s="522">
        <v>37.92</v>
      </c>
      <c r="F341" s="522"/>
      <c r="G341" s="333">
        <f t="shared" si="10"/>
        <v>5108.9399999999896</v>
      </c>
      <c r="H341" s="334"/>
      <c r="I341" s="335"/>
      <c r="J341" s="336"/>
      <c r="K341" s="301"/>
      <c r="L341" s="336"/>
      <c r="M341" s="301"/>
      <c r="N341" s="336"/>
      <c r="O341" s="301"/>
      <c r="P341" s="336"/>
      <c r="Q341" s="301"/>
      <c r="R341" s="336"/>
      <c r="S341" s="301"/>
      <c r="T341" s="336"/>
    </row>
    <row r="342" spans="1:20" ht="12" customHeight="1" x14ac:dyDescent="0.25">
      <c r="A342" s="329" t="s">
        <v>289</v>
      </c>
      <c r="B342" s="330">
        <v>3</v>
      </c>
      <c r="C342" s="298">
        <v>46268</v>
      </c>
      <c r="D342" s="299" t="s">
        <v>310</v>
      </c>
      <c r="E342" s="522">
        <v>7.57</v>
      </c>
      <c r="F342" s="522"/>
      <c r="G342" s="333">
        <f t="shared" si="10"/>
        <v>5146.8599999999897</v>
      </c>
      <c r="H342" s="334"/>
      <c r="I342" s="335"/>
      <c r="J342" s="336"/>
      <c r="K342" s="301"/>
      <c r="L342" s="336"/>
      <c r="M342" s="301"/>
      <c r="N342" s="336"/>
      <c r="O342" s="301"/>
      <c r="P342" s="336"/>
      <c r="Q342" s="301"/>
      <c r="R342" s="336"/>
      <c r="S342" s="301"/>
      <c r="T342" s="336"/>
    </row>
    <row r="343" spans="1:20" ht="12" customHeight="1" x14ac:dyDescent="0.25">
      <c r="A343" s="329" t="s">
        <v>289</v>
      </c>
      <c r="B343" s="330">
        <v>2</v>
      </c>
      <c r="C343" s="298">
        <v>46268</v>
      </c>
      <c r="D343" s="299" t="s">
        <v>403</v>
      </c>
      <c r="E343" s="522">
        <v>24.85</v>
      </c>
      <c r="F343" s="522"/>
      <c r="G343" s="333">
        <f t="shared" si="10"/>
        <v>5154.4299999999894</v>
      </c>
      <c r="H343" s="334"/>
      <c r="I343" s="335"/>
      <c r="J343" s="336"/>
      <c r="K343" s="301"/>
      <c r="L343" s="336"/>
      <c r="M343" s="301"/>
      <c r="N343" s="336"/>
      <c r="O343" s="301"/>
      <c r="P343" s="336"/>
      <c r="Q343" s="301"/>
      <c r="R343" s="336"/>
      <c r="S343" s="301"/>
      <c r="T343" s="336"/>
    </row>
    <row r="344" spans="1:20" ht="12" customHeight="1" x14ac:dyDescent="0.25">
      <c r="A344" s="329" t="s">
        <v>289</v>
      </c>
      <c r="B344" s="330">
        <v>5</v>
      </c>
      <c r="C344" s="298">
        <v>46268</v>
      </c>
      <c r="D344" s="299" t="s">
        <v>339</v>
      </c>
      <c r="E344" s="522">
        <v>97.55</v>
      </c>
      <c r="F344" s="522"/>
      <c r="G344" s="333">
        <f t="shared" si="10"/>
        <v>5179.2799999999897</v>
      </c>
      <c r="H344" s="334"/>
      <c r="I344" s="335"/>
      <c r="J344" s="336"/>
      <c r="K344" s="301"/>
      <c r="L344" s="336"/>
      <c r="M344" s="301"/>
      <c r="N344" s="336"/>
      <c r="O344" s="301"/>
      <c r="P344" s="336"/>
      <c r="Q344" s="301"/>
      <c r="R344" s="336"/>
      <c r="S344" s="301"/>
      <c r="T344" s="336"/>
    </row>
    <row r="345" spans="1:20" ht="12" customHeight="1" x14ac:dyDescent="0.25">
      <c r="A345" s="329" t="s">
        <v>294</v>
      </c>
      <c r="B345" s="330">
        <v>22</v>
      </c>
      <c r="C345" s="298">
        <v>46268</v>
      </c>
      <c r="D345" s="299" t="s">
        <v>951</v>
      </c>
      <c r="E345" s="522">
        <v>12.77</v>
      </c>
      <c r="F345" s="522"/>
      <c r="G345" s="333">
        <f t="shared" si="10"/>
        <v>5276.8299999999899</v>
      </c>
      <c r="H345" s="334"/>
      <c r="I345" s="335"/>
      <c r="J345" s="336"/>
      <c r="K345" s="301"/>
      <c r="L345" s="336"/>
      <c r="M345" s="301"/>
      <c r="N345" s="336"/>
      <c r="O345" s="301"/>
      <c r="P345" s="336"/>
      <c r="Q345" s="301"/>
      <c r="R345" s="336"/>
      <c r="S345" s="301"/>
      <c r="T345" s="336"/>
    </row>
    <row r="346" spans="1:20" ht="12" customHeight="1" x14ac:dyDescent="0.25">
      <c r="A346" s="329" t="s">
        <v>289</v>
      </c>
      <c r="B346" s="330">
        <v>8</v>
      </c>
      <c r="C346" s="298">
        <v>46267</v>
      </c>
      <c r="D346" s="299" t="s">
        <v>319</v>
      </c>
      <c r="E346" s="522">
        <v>8.86</v>
      </c>
      <c r="F346" s="522"/>
      <c r="G346" s="333">
        <f t="shared" si="10"/>
        <v>5289.5999999999904</v>
      </c>
      <c r="H346" s="334"/>
      <c r="I346" s="335"/>
      <c r="J346" s="336"/>
      <c r="K346" s="301"/>
      <c r="L346" s="336"/>
      <c r="M346" s="301"/>
      <c r="N346" s="336"/>
      <c r="O346" s="301"/>
      <c r="P346" s="336"/>
      <c r="Q346" s="301"/>
      <c r="R346" s="336"/>
      <c r="S346" s="301"/>
      <c r="T346" s="336"/>
    </row>
    <row r="347" spans="1:20" ht="12" customHeight="1" x14ac:dyDescent="0.25">
      <c r="A347" s="329" t="s">
        <v>289</v>
      </c>
      <c r="B347" s="330">
        <v>2</v>
      </c>
      <c r="C347" s="298">
        <v>46267</v>
      </c>
      <c r="D347" s="299" t="s">
        <v>332</v>
      </c>
      <c r="E347" s="522">
        <v>20.98</v>
      </c>
      <c r="F347" s="522"/>
      <c r="G347" s="333">
        <f t="shared" si="10"/>
        <v>5298.45999999999</v>
      </c>
      <c r="H347" s="334"/>
      <c r="I347" s="335"/>
      <c r="J347" s="336"/>
      <c r="K347" s="301"/>
      <c r="L347" s="336"/>
      <c r="M347" s="301"/>
      <c r="N347" s="336"/>
      <c r="O347" s="301"/>
      <c r="P347" s="336"/>
      <c r="Q347" s="301"/>
      <c r="R347" s="336"/>
      <c r="S347" s="301"/>
      <c r="T347" s="336"/>
    </row>
    <row r="348" spans="1:20" ht="12" customHeight="1" x14ac:dyDescent="0.25">
      <c r="A348" s="329" t="s">
        <v>289</v>
      </c>
      <c r="B348" s="330">
        <v>5</v>
      </c>
      <c r="C348" s="298">
        <v>46267</v>
      </c>
      <c r="D348" s="299" t="s">
        <v>1040</v>
      </c>
      <c r="E348" s="522">
        <v>-300</v>
      </c>
      <c r="F348" s="522"/>
      <c r="G348" s="333">
        <f t="shared" si="10"/>
        <v>5319.4399999999896</v>
      </c>
      <c r="H348" s="334" t="s">
        <v>298</v>
      </c>
      <c r="I348" s="335"/>
      <c r="J348" s="336"/>
      <c r="K348" s="301"/>
      <c r="L348" s="336"/>
      <c r="M348" s="301"/>
      <c r="N348" s="336"/>
      <c r="O348" s="301"/>
      <c r="P348" s="336"/>
      <c r="Q348" s="301"/>
      <c r="R348" s="336"/>
      <c r="S348" s="301"/>
      <c r="T348" s="336"/>
    </row>
    <row r="349" spans="1:20" ht="12" customHeight="1" x14ac:dyDescent="0.25">
      <c r="A349" s="329" t="s">
        <v>289</v>
      </c>
      <c r="B349" s="330">
        <v>5</v>
      </c>
      <c r="C349" s="298">
        <v>46267</v>
      </c>
      <c r="D349" s="299" t="s">
        <v>1036</v>
      </c>
      <c r="E349" s="522">
        <v>50</v>
      </c>
      <c r="F349" s="522"/>
      <c r="G349" s="333">
        <f t="shared" si="10"/>
        <v>5019.4399999999896</v>
      </c>
      <c r="H349" s="334" t="s">
        <v>298</v>
      </c>
      <c r="I349" s="335"/>
      <c r="J349" s="336"/>
      <c r="K349" s="301"/>
      <c r="L349" s="336"/>
      <c r="M349" s="301"/>
      <c r="N349" s="336"/>
      <c r="O349" s="301"/>
      <c r="P349" s="336"/>
      <c r="Q349" s="301"/>
      <c r="R349" s="336"/>
      <c r="S349" s="301"/>
      <c r="T349" s="336"/>
    </row>
    <row r="350" spans="1:20" ht="12" customHeight="1" x14ac:dyDescent="0.25">
      <c r="A350" s="329" t="s">
        <v>289</v>
      </c>
      <c r="B350" s="330">
        <v>8</v>
      </c>
      <c r="C350" s="298">
        <v>46267</v>
      </c>
      <c r="D350" s="299" t="s">
        <v>1039</v>
      </c>
      <c r="E350" s="522">
        <v>25</v>
      </c>
      <c r="F350" s="522"/>
      <c r="G350" s="333">
        <f t="shared" si="10"/>
        <v>5069.4399999999896</v>
      </c>
      <c r="H350" s="334" t="s">
        <v>298</v>
      </c>
      <c r="I350" s="335"/>
      <c r="J350" s="336"/>
      <c r="K350" s="301"/>
      <c r="L350" s="336"/>
      <c r="M350" s="301"/>
      <c r="N350" s="336"/>
      <c r="O350" s="301"/>
      <c r="P350" s="336"/>
      <c r="Q350" s="301"/>
      <c r="R350" s="336"/>
      <c r="S350" s="301"/>
      <c r="T350" s="336"/>
    </row>
    <row r="351" spans="1:20" ht="12" customHeight="1" x14ac:dyDescent="0.25">
      <c r="A351" s="329" t="s">
        <v>289</v>
      </c>
      <c r="B351" s="330">
        <v>5</v>
      </c>
      <c r="C351" s="298">
        <v>46267</v>
      </c>
      <c r="D351" s="299" t="s">
        <v>1037</v>
      </c>
      <c r="E351" s="522">
        <v>30</v>
      </c>
      <c r="F351" s="522"/>
      <c r="G351" s="333">
        <f t="shared" si="10"/>
        <v>5094.4399999999896</v>
      </c>
      <c r="H351" s="334" t="s">
        <v>298</v>
      </c>
      <c r="I351" s="335"/>
      <c r="J351" s="336"/>
      <c r="K351" s="301"/>
      <c r="L351" s="336"/>
      <c r="M351" s="301"/>
      <c r="N351" s="336"/>
      <c r="O351" s="301"/>
      <c r="P351" s="336"/>
      <c r="Q351" s="301"/>
      <c r="R351" s="336"/>
      <c r="S351" s="301"/>
      <c r="T351" s="336"/>
    </row>
    <row r="352" spans="1:20" ht="12" customHeight="1" x14ac:dyDescent="0.25">
      <c r="A352" s="329" t="s">
        <v>289</v>
      </c>
      <c r="B352" s="330">
        <v>2</v>
      </c>
      <c r="C352" s="298">
        <v>46267</v>
      </c>
      <c r="D352" s="299" t="s">
        <v>385</v>
      </c>
      <c r="E352" s="522">
        <v>15</v>
      </c>
      <c r="F352" s="522"/>
      <c r="G352" s="333">
        <f t="shared" si="10"/>
        <v>5124.4399999999896</v>
      </c>
      <c r="H352" s="334" t="s">
        <v>298</v>
      </c>
      <c r="I352" s="335"/>
      <c r="J352" s="336"/>
      <c r="K352" s="301"/>
      <c r="L352" s="336"/>
      <c r="M352" s="301"/>
      <c r="N352" s="336"/>
      <c r="O352" s="301"/>
      <c r="P352" s="336"/>
      <c r="Q352" s="301"/>
      <c r="R352" s="336"/>
      <c r="S352" s="301"/>
      <c r="T352" s="336"/>
    </row>
    <row r="353" spans="1:20" ht="12" customHeight="1" x14ac:dyDescent="0.25">
      <c r="A353" s="329" t="s">
        <v>289</v>
      </c>
      <c r="B353" s="330">
        <v>6</v>
      </c>
      <c r="C353" s="298">
        <v>46267</v>
      </c>
      <c r="D353" s="299" t="s">
        <v>1038</v>
      </c>
      <c r="E353" s="522">
        <v>15</v>
      </c>
      <c r="F353" s="522"/>
      <c r="G353" s="333">
        <f t="shared" si="10"/>
        <v>5139.4399999999896</v>
      </c>
      <c r="H353" s="334" t="s">
        <v>298</v>
      </c>
      <c r="I353" s="335"/>
      <c r="J353" s="336"/>
      <c r="K353" s="301"/>
      <c r="L353" s="336"/>
      <c r="M353" s="301"/>
      <c r="N353" s="336"/>
      <c r="O353" s="301"/>
      <c r="P353" s="336"/>
      <c r="Q353" s="301"/>
      <c r="R353" s="336"/>
      <c r="S353" s="301"/>
      <c r="T353" s="336"/>
    </row>
    <row r="354" spans="1:20" ht="12" customHeight="1" x14ac:dyDescent="0.25">
      <c r="A354" s="329" t="s">
        <v>291</v>
      </c>
      <c r="B354" s="330">
        <v>39</v>
      </c>
      <c r="C354" s="298">
        <v>46267</v>
      </c>
      <c r="D354" s="299" t="s">
        <v>292</v>
      </c>
      <c r="E354" s="522"/>
      <c r="F354" s="522">
        <v>2763.79</v>
      </c>
      <c r="G354" s="333">
        <f t="shared" ref="G354:G395" si="11">G355-E354+F354</f>
        <v>5154.4399999999896</v>
      </c>
      <c r="H354" s="334"/>
      <c r="I354" s="335"/>
      <c r="J354" s="336"/>
      <c r="K354" s="301"/>
      <c r="L354" s="336"/>
      <c r="M354" s="301"/>
      <c r="N354" s="336"/>
      <c r="O354" s="301"/>
      <c r="P354" s="336"/>
      <c r="Q354" s="301"/>
      <c r="R354" s="336"/>
      <c r="S354" s="301"/>
      <c r="T354" s="336"/>
    </row>
    <row r="355" spans="1:20" ht="12" customHeight="1" x14ac:dyDescent="0.25">
      <c r="A355" s="329" t="s">
        <v>284</v>
      </c>
      <c r="B355" s="330">
        <v>36</v>
      </c>
      <c r="C355" s="298">
        <v>46267</v>
      </c>
      <c r="D355" s="299" t="s">
        <v>373</v>
      </c>
      <c r="E355" s="522">
        <v>50</v>
      </c>
      <c r="F355" s="522"/>
      <c r="G355" s="333">
        <f t="shared" si="11"/>
        <v>2390.6499999999901</v>
      </c>
      <c r="H355" s="334"/>
      <c r="I355" s="335"/>
      <c r="J355" s="336"/>
      <c r="K355" s="301"/>
      <c r="L355" s="336"/>
      <c r="M355" s="301"/>
      <c r="N355" s="336"/>
      <c r="O355" s="301"/>
      <c r="P355" s="336"/>
      <c r="Q355" s="301"/>
      <c r="R355" s="336"/>
      <c r="S355" s="301"/>
      <c r="T355" s="336"/>
    </row>
    <row r="356" spans="1:20" ht="12" customHeight="1" x14ac:dyDescent="0.25">
      <c r="A356" s="329" t="s">
        <v>294</v>
      </c>
      <c r="B356" s="330">
        <v>22</v>
      </c>
      <c r="C356" s="298">
        <v>46267</v>
      </c>
      <c r="D356" s="299" t="s">
        <v>374</v>
      </c>
      <c r="E356" s="522">
        <v>6.37</v>
      </c>
      <c r="F356" s="522"/>
      <c r="G356" s="333">
        <f t="shared" si="11"/>
        <v>2440.6499999999901</v>
      </c>
      <c r="H356" s="334"/>
      <c r="I356" s="335"/>
      <c r="J356" s="336"/>
      <c r="K356" s="301"/>
      <c r="L356" s="336"/>
      <c r="M356" s="301"/>
      <c r="N356" s="336"/>
      <c r="O356" s="301"/>
      <c r="P356" s="336"/>
      <c r="Q356" s="301"/>
      <c r="R356" s="336"/>
      <c r="S356" s="301"/>
      <c r="T356" s="336"/>
    </row>
    <row r="357" spans="1:20" ht="12" customHeight="1" x14ac:dyDescent="0.25">
      <c r="A357" s="329" t="s">
        <v>289</v>
      </c>
      <c r="B357" s="330">
        <v>8</v>
      </c>
      <c r="C357" s="298">
        <v>46266</v>
      </c>
      <c r="D357" s="299" t="s">
        <v>304</v>
      </c>
      <c r="E357" s="522">
        <v>56.8</v>
      </c>
      <c r="F357" s="522"/>
      <c r="G357" s="333">
        <f t="shared" si="11"/>
        <v>2447.01999999999</v>
      </c>
      <c r="H357" s="334"/>
      <c r="I357" s="335"/>
      <c r="J357" s="336"/>
      <c r="K357" s="301"/>
      <c r="L357" s="336"/>
      <c r="M357" s="301"/>
      <c r="N357" s="336"/>
      <c r="O357" s="301"/>
      <c r="P357" s="336"/>
      <c r="Q357" s="301"/>
      <c r="R357" s="336"/>
      <c r="S357" s="301"/>
      <c r="T357" s="336"/>
    </row>
    <row r="358" spans="1:20" ht="12" customHeight="1" x14ac:dyDescent="0.25">
      <c r="A358" s="329" t="s">
        <v>289</v>
      </c>
      <c r="B358" s="330">
        <v>5</v>
      </c>
      <c r="C358" s="298">
        <v>46266</v>
      </c>
      <c r="D358" s="299" t="s">
        <v>1033</v>
      </c>
      <c r="E358" s="522">
        <v>236.28</v>
      </c>
      <c r="F358" s="522"/>
      <c r="G358" s="333">
        <f t="shared" si="11"/>
        <v>2503.8199999999902</v>
      </c>
      <c r="H358" s="334"/>
      <c r="I358" s="335"/>
      <c r="J358" s="336"/>
      <c r="K358" s="301"/>
      <c r="L358" s="336"/>
      <c r="M358" s="301"/>
      <c r="N358" s="336"/>
      <c r="O358" s="301"/>
      <c r="P358" s="336"/>
      <c r="Q358" s="301"/>
      <c r="R358" s="336"/>
      <c r="S358" s="301"/>
      <c r="T358" s="336"/>
    </row>
    <row r="359" spans="1:20" ht="12" customHeight="1" x14ac:dyDescent="0.25">
      <c r="A359" s="329" t="s">
        <v>284</v>
      </c>
      <c r="B359" s="330">
        <v>37</v>
      </c>
      <c r="C359" s="298">
        <v>46265</v>
      </c>
      <c r="D359" s="299" t="s">
        <v>1035</v>
      </c>
      <c r="E359" s="522">
        <v>6794.38</v>
      </c>
      <c r="F359" s="522"/>
      <c r="G359" s="333">
        <f t="shared" si="11"/>
        <v>2740.0999999999904</v>
      </c>
      <c r="H359" s="334"/>
      <c r="I359" s="335"/>
      <c r="J359" s="336"/>
      <c r="K359" s="301"/>
      <c r="L359" s="336"/>
      <c r="M359" s="301"/>
      <c r="N359" s="336"/>
      <c r="O359" s="301"/>
      <c r="P359" s="336"/>
      <c r="Q359" s="301"/>
      <c r="R359" s="336"/>
      <c r="S359" s="301"/>
      <c r="T359" s="336"/>
    </row>
    <row r="360" spans="1:20" ht="12" customHeight="1" x14ac:dyDescent="0.25">
      <c r="A360" s="329" t="s">
        <v>286</v>
      </c>
      <c r="B360" s="330">
        <v>25</v>
      </c>
      <c r="C360" s="298">
        <v>46265</v>
      </c>
      <c r="D360" s="298" t="s">
        <v>204</v>
      </c>
      <c r="E360" s="331">
        <v>350</v>
      </c>
      <c r="F360" s="522"/>
      <c r="G360" s="333">
        <f t="shared" si="11"/>
        <v>9534.4799999999905</v>
      </c>
      <c r="H360" s="334"/>
      <c r="I360" s="335"/>
      <c r="J360" s="336"/>
      <c r="K360" s="301"/>
      <c r="L360" s="336"/>
      <c r="M360" s="301"/>
      <c r="N360" s="336"/>
      <c r="O360" s="301"/>
      <c r="P360" s="336"/>
      <c r="Q360" s="301"/>
      <c r="R360" s="336"/>
      <c r="S360" s="301"/>
      <c r="T360" s="336"/>
    </row>
    <row r="361" spans="1:20" ht="12" customHeight="1" x14ac:dyDescent="0.25">
      <c r="A361" s="329" t="s">
        <v>286</v>
      </c>
      <c r="B361" s="330">
        <v>26</v>
      </c>
      <c r="C361" s="298">
        <v>46265</v>
      </c>
      <c r="D361" s="298" t="s">
        <v>205</v>
      </c>
      <c r="E361" s="331">
        <v>320</v>
      </c>
      <c r="F361" s="522"/>
      <c r="G361" s="333">
        <f t="shared" si="11"/>
        <v>9884.4799999999905</v>
      </c>
      <c r="H361" s="334"/>
      <c r="I361" s="335"/>
      <c r="J361" s="336"/>
      <c r="K361" s="301"/>
      <c r="L361" s="336"/>
      <c r="M361" s="301"/>
      <c r="N361" s="336"/>
      <c r="O361" s="301"/>
      <c r="P361" s="336"/>
      <c r="Q361" s="301"/>
      <c r="R361" s="336"/>
      <c r="S361" s="301"/>
      <c r="T361" s="336"/>
    </row>
    <row r="362" spans="1:20" ht="12" customHeight="1" x14ac:dyDescent="0.25">
      <c r="A362" s="329" t="s">
        <v>286</v>
      </c>
      <c r="B362" s="330">
        <v>27</v>
      </c>
      <c r="C362" s="298">
        <v>46265</v>
      </c>
      <c r="D362" s="298" t="s">
        <v>206</v>
      </c>
      <c r="E362" s="331">
        <v>25</v>
      </c>
      <c r="F362" s="522"/>
      <c r="G362" s="333">
        <f t="shared" si="11"/>
        <v>10204.47999999999</v>
      </c>
      <c r="H362" s="334"/>
      <c r="I362" s="335"/>
      <c r="J362" s="336"/>
      <c r="K362" s="301"/>
      <c r="L362" s="336"/>
      <c r="M362" s="301"/>
      <c r="N362" s="336"/>
      <c r="O362" s="301"/>
      <c r="P362" s="336"/>
      <c r="Q362" s="301"/>
      <c r="R362" s="336"/>
      <c r="S362" s="301"/>
      <c r="T362" s="336"/>
    </row>
    <row r="363" spans="1:20" ht="12" customHeight="1" x14ac:dyDescent="0.25">
      <c r="A363" s="329" t="s">
        <v>286</v>
      </c>
      <c r="B363" s="330">
        <v>28</v>
      </c>
      <c r="C363" s="298">
        <v>46265</v>
      </c>
      <c r="D363" s="298" t="s">
        <v>207</v>
      </c>
      <c r="E363" s="331">
        <v>25</v>
      </c>
      <c r="F363" s="522"/>
      <c r="G363" s="333">
        <f t="shared" si="11"/>
        <v>10229.47999999999</v>
      </c>
      <c r="H363" s="334"/>
      <c r="I363" s="335"/>
      <c r="J363" s="336"/>
      <c r="K363" s="301"/>
      <c r="L363" s="336"/>
      <c r="M363" s="301"/>
      <c r="N363" s="336"/>
      <c r="O363" s="301"/>
      <c r="P363" s="336"/>
      <c r="Q363" s="301"/>
      <c r="R363" s="336"/>
      <c r="S363" s="301"/>
      <c r="T363" s="336"/>
    </row>
    <row r="364" spans="1:20" ht="12" customHeight="1" x14ac:dyDescent="0.25">
      <c r="A364" s="329" t="s">
        <v>286</v>
      </c>
      <c r="B364" s="330">
        <v>29</v>
      </c>
      <c r="C364" s="298">
        <v>46265</v>
      </c>
      <c r="D364" s="298" t="s">
        <v>208</v>
      </c>
      <c r="E364" s="331">
        <v>45</v>
      </c>
      <c r="F364" s="522"/>
      <c r="G364" s="333">
        <f t="shared" si="11"/>
        <v>10254.47999999999</v>
      </c>
      <c r="H364" s="334"/>
      <c r="I364" s="335"/>
      <c r="J364" s="336"/>
      <c r="K364" s="301"/>
      <c r="L364" s="336"/>
      <c r="M364" s="301"/>
      <c r="N364" s="336"/>
      <c r="O364" s="301"/>
      <c r="P364" s="336"/>
      <c r="Q364" s="301"/>
      <c r="R364" s="336"/>
      <c r="S364" s="301"/>
      <c r="T364" s="336"/>
    </row>
    <row r="365" spans="1:20" ht="12" customHeight="1" x14ac:dyDescent="0.25">
      <c r="A365" s="329" t="s">
        <v>286</v>
      </c>
      <c r="B365" s="330">
        <v>30</v>
      </c>
      <c r="C365" s="298">
        <v>46265</v>
      </c>
      <c r="D365" s="298" t="s">
        <v>209</v>
      </c>
      <c r="E365" s="331">
        <v>400</v>
      </c>
      <c r="F365" s="522"/>
      <c r="G365" s="333">
        <f t="shared" si="11"/>
        <v>10299.47999999999</v>
      </c>
      <c r="H365" s="334"/>
      <c r="I365" s="335"/>
      <c r="J365" s="336"/>
      <c r="K365" s="301"/>
      <c r="L365" s="336"/>
      <c r="M365" s="301"/>
      <c r="N365" s="336"/>
      <c r="O365" s="301"/>
      <c r="P365" s="336"/>
      <c r="Q365" s="301"/>
      <c r="R365" s="336"/>
      <c r="S365" s="301"/>
      <c r="T365" s="336"/>
    </row>
    <row r="366" spans="1:20" ht="12" customHeight="1" x14ac:dyDescent="0.25">
      <c r="A366" s="329" t="s">
        <v>286</v>
      </c>
      <c r="B366" s="330">
        <v>31</v>
      </c>
      <c r="C366" s="298">
        <v>46265</v>
      </c>
      <c r="D366" s="298" t="s">
        <v>210</v>
      </c>
      <c r="E366" s="331">
        <v>375</v>
      </c>
      <c r="F366" s="522"/>
      <c r="G366" s="333">
        <f t="shared" si="11"/>
        <v>10699.47999999999</v>
      </c>
      <c r="H366" s="334"/>
      <c r="I366" s="335"/>
      <c r="J366" s="336"/>
      <c r="K366" s="301"/>
      <c r="L366" s="336"/>
      <c r="M366" s="301"/>
      <c r="N366" s="336"/>
      <c r="O366" s="301"/>
      <c r="P366" s="336"/>
      <c r="Q366" s="301"/>
      <c r="R366" s="336"/>
      <c r="S366" s="301"/>
      <c r="T366" s="336"/>
    </row>
    <row r="367" spans="1:20" ht="12" customHeight="1" x14ac:dyDescent="0.25">
      <c r="A367" s="329" t="s">
        <v>286</v>
      </c>
      <c r="B367" s="330">
        <v>32</v>
      </c>
      <c r="C367" s="298">
        <v>46265</v>
      </c>
      <c r="D367" s="298" t="s">
        <v>211</v>
      </c>
      <c r="E367" s="331">
        <v>100</v>
      </c>
      <c r="F367" s="522"/>
      <c r="G367" s="333">
        <f t="shared" si="11"/>
        <v>11074.47999999999</v>
      </c>
      <c r="H367" s="334"/>
      <c r="I367" s="335"/>
      <c r="J367" s="336"/>
      <c r="K367" s="301"/>
      <c r="L367" s="336"/>
      <c r="M367" s="301"/>
      <c r="N367" s="336"/>
      <c r="O367" s="301"/>
      <c r="P367" s="336"/>
      <c r="Q367" s="301"/>
      <c r="R367" s="336"/>
      <c r="S367" s="301"/>
      <c r="T367" s="336"/>
    </row>
    <row r="368" spans="1:20" ht="12" customHeight="1" x14ac:dyDescent="0.25">
      <c r="A368" s="329" t="s">
        <v>286</v>
      </c>
      <c r="B368" s="330">
        <v>33</v>
      </c>
      <c r="C368" s="298">
        <v>46265</v>
      </c>
      <c r="D368" s="298" t="s">
        <v>212</v>
      </c>
      <c r="E368" s="331">
        <v>85</v>
      </c>
      <c r="F368" s="522"/>
      <c r="G368" s="333">
        <f t="shared" si="11"/>
        <v>11174.47999999999</v>
      </c>
      <c r="H368" s="334"/>
      <c r="I368" s="335"/>
      <c r="J368" s="336"/>
      <c r="K368" s="301"/>
      <c r="L368" s="336"/>
      <c r="M368" s="301"/>
      <c r="N368" s="336"/>
      <c r="O368" s="301"/>
      <c r="P368" s="336"/>
      <c r="Q368" s="301"/>
      <c r="R368" s="336"/>
      <c r="S368" s="301"/>
      <c r="T368" s="336"/>
    </row>
    <row r="369" spans="1:20" ht="12" customHeight="1" x14ac:dyDescent="0.25">
      <c r="A369" s="329" t="s">
        <v>286</v>
      </c>
      <c r="B369" s="330">
        <v>34</v>
      </c>
      <c r="C369" s="298">
        <v>46265</v>
      </c>
      <c r="D369" s="298" t="s">
        <v>213</v>
      </c>
      <c r="E369" s="331">
        <v>230</v>
      </c>
      <c r="F369" s="522"/>
      <c r="G369" s="333">
        <f t="shared" si="11"/>
        <v>11259.47999999999</v>
      </c>
      <c r="H369" s="334"/>
      <c r="I369" s="335"/>
      <c r="J369" s="336"/>
      <c r="K369" s="301"/>
      <c r="L369" s="336"/>
      <c r="M369" s="301"/>
      <c r="N369" s="336"/>
      <c r="O369" s="301"/>
      <c r="P369" s="336"/>
      <c r="Q369" s="301"/>
      <c r="R369" s="336"/>
      <c r="S369" s="301"/>
      <c r="T369" s="336"/>
    </row>
    <row r="370" spans="1:20" ht="12" customHeight="1" x14ac:dyDescent="0.25">
      <c r="A370" s="329" t="s">
        <v>286</v>
      </c>
      <c r="B370" s="330">
        <v>35</v>
      </c>
      <c r="C370" s="298">
        <v>46265</v>
      </c>
      <c r="D370" s="298" t="s">
        <v>214</v>
      </c>
      <c r="E370" s="331">
        <v>45</v>
      </c>
      <c r="F370" s="522"/>
      <c r="G370" s="333">
        <f t="shared" si="11"/>
        <v>11489.47999999999</v>
      </c>
      <c r="H370" s="334"/>
      <c r="I370" s="335"/>
      <c r="J370" s="336"/>
      <c r="K370" s="301"/>
      <c r="L370" s="336"/>
      <c r="M370" s="301"/>
      <c r="N370" s="336"/>
      <c r="O370" s="301"/>
      <c r="P370" s="336"/>
      <c r="Q370" s="301"/>
      <c r="R370" s="336"/>
      <c r="S370" s="301"/>
      <c r="T370" s="336"/>
    </row>
    <row r="371" spans="1:20" ht="12" customHeight="1" x14ac:dyDescent="0.25">
      <c r="A371" s="329" t="s">
        <v>294</v>
      </c>
      <c r="B371" s="330">
        <v>20</v>
      </c>
      <c r="C371" s="298">
        <v>46265</v>
      </c>
      <c r="D371" s="299" t="s">
        <v>193</v>
      </c>
      <c r="E371" s="522">
        <v>600</v>
      </c>
      <c r="F371" s="522"/>
      <c r="G371" s="333">
        <f t="shared" si="11"/>
        <v>11534.47999999999</v>
      </c>
      <c r="H371" s="334"/>
      <c r="I371" s="335"/>
      <c r="J371" s="336"/>
      <c r="K371" s="301"/>
      <c r="L371" s="336"/>
      <c r="M371" s="301"/>
      <c r="N371" s="336"/>
      <c r="O371" s="301"/>
      <c r="P371" s="336"/>
      <c r="Q371" s="301"/>
      <c r="R371" s="336"/>
      <c r="S371" s="301"/>
      <c r="T371" s="336"/>
    </row>
    <row r="372" spans="1:20" ht="12" customHeight="1" x14ac:dyDescent="0.25">
      <c r="A372" s="329" t="s">
        <v>289</v>
      </c>
      <c r="B372" s="330">
        <v>6</v>
      </c>
      <c r="C372" s="298">
        <v>46265</v>
      </c>
      <c r="D372" s="299" t="s">
        <v>1034</v>
      </c>
      <c r="E372" s="522">
        <v>-133.51</v>
      </c>
      <c r="F372" s="522"/>
      <c r="G372" s="333">
        <f t="shared" si="11"/>
        <v>12134.47999999999</v>
      </c>
      <c r="H372" s="334"/>
      <c r="I372" s="335"/>
      <c r="J372" s="336"/>
      <c r="K372" s="301"/>
      <c r="L372" s="336"/>
      <c r="M372" s="301"/>
      <c r="N372" s="336"/>
      <c r="O372" s="301"/>
      <c r="P372" s="336"/>
      <c r="Q372" s="301"/>
      <c r="R372" s="336"/>
      <c r="S372" s="301"/>
      <c r="T372" s="336"/>
    </row>
    <row r="373" spans="1:20" ht="12" customHeight="1" x14ac:dyDescent="0.25">
      <c r="A373" s="329" t="s">
        <v>294</v>
      </c>
      <c r="B373" s="330">
        <v>10</v>
      </c>
      <c r="C373" s="298">
        <v>46265</v>
      </c>
      <c r="D373" s="299" t="s">
        <v>176</v>
      </c>
      <c r="E373" s="522">
        <v>17.899999999999999</v>
      </c>
      <c r="F373" s="522"/>
      <c r="G373" s="333">
        <f t="shared" si="11"/>
        <v>12000.96999999999</v>
      </c>
      <c r="H373" s="334"/>
      <c r="I373" s="335"/>
      <c r="J373" s="336"/>
      <c r="K373" s="301"/>
      <c r="L373" s="336"/>
      <c r="M373" s="301"/>
      <c r="N373" s="336"/>
      <c r="O373" s="301"/>
      <c r="P373" s="336"/>
      <c r="Q373" s="301"/>
      <c r="R373" s="336"/>
      <c r="S373" s="301"/>
      <c r="T373" s="336"/>
    </row>
    <row r="374" spans="1:20" ht="12" customHeight="1" x14ac:dyDescent="0.25">
      <c r="A374" s="329" t="s">
        <v>289</v>
      </c>
      <c r="B374" s="330">
        <v>2</v>
      </c>
      <c r="C374" s="298">
        <v>46265</v>
      </c>
      <c r="D374" s="299" t="s">
        <v>355</v>
      </c>
      <c r="E374" s="522">
        <v>46.56</v>
      </c>
      <c r="F374" s="522"/>
      <c r="G374" s="333">
        <f t="shared" si="11"/>
        <v>12018.86999999999</v>
      </c>
      <c r="H374" s="334"/>
      <c r="I374" s="335"/>
      <c r="J374" s="336"/>
      <c r="K374" s="301"/>
      <c r="L374" s="336"/>
      <c r="M374" s="301"/>
      <c r="N374" s="336"/>
      <c r="O374" s="301"/>
      <c r="P374" s="336"/>
      <c r="Q374" s="301"/>
      <c r="R374" s="336"/>
      <c r="S374" s="301"/>
      <c r="T374" s="336"/>
    </row>
    <row r="375" spans="1:20" ht="12" customHeight="1" x14ac:dyDescent="0.25">
      <c r="A375" s="329" t="s">
        <v>294</v>
      </c>
      <c r="B375" s="330">
        <v>24</v>
      </c>
      <c r="C375" s="298">
        <v>46265</v>
      </c>
      <c r="D375" s="299" t="s">
        <v>858</v>
      </c>
      <c r="E375" s="522">
        <v>83.5</v>
      </c>
      <c r="F375" s="522"/>
      <c r="G375" s="333">
        <f t="shared" si="11"/>
        <v>12065.429999999989</v>
      </c>
      <c r="H375" s="334"/>
      <c r="I375" s="335"/>
      <c r="J375" s="336"/>
      <c r="K375" s="301"/>
      <c r="L375" s="336"/>
      <c r="M375" s="301"/>
      <c r="N375" s="336"/>
      <c r="O375" s="301"/>
      <c r="P375" s="336"/>
      <c r="Q375" s="301"/>
      <c r="R375" s="336"/>
      <c r="S375" s="301"/>
      <c r="T375" s="336"/>
    </row>
    <row r="376" spans="1:20" ht="12" customHeight="1" x14ac:dyDescent="0.25">
      <c r="A376" s="329" t="s">
        <v>287</v>
      </c>
      <c r="B376" s="330" t="s">
        <v>287</v>
      </c>
      <c r="C376" s="298">
        <v>46265</v>
      </c>
      <c r="D376" s="299" t="s">
        <v>422</v>
      </c>
      <c r="E376" s="522">
        <v>191.64</v>
      </c>
      <c r="F376" s="522">
        <v>191.64</v>
      </c>
      <c r="G376" s="333">
        <f t="shared" si="11"/>
        <v>12148.929999999989</v>
      </c>
      <c r="H376" s="334"/>
      <c r="I376" s="335"/>
      <c r="J376" s="336"/>
      <c r="K376" s="301"/>
      <c r="L376" s="336"/>
      <c r="M376" s="301"/>
      <c r="N376" s="336"/>
      <c r="O376" s="301"/>
      <c r="P376" s="336"/>
      <c r="Q376" s="301"/>
      <c r="R376" s="336"/>
      <c r="S376" s="301"/>
      <c r="T376" s="336"/>
    </row>
    <row r="377" spans="1:20" ht="12" customHeight="1" x14ac:dyDescent="0.25">
      <c r="A377" s="329" t="s">
        <v>289</v>
      </c>
      <c r="B377" s="330">
        <v>6</v>
      </c>
      <c r="C377" s="298">
        <v>46264</v>
      </c>
      <c r="D377" s="299" t="s">
        <v>1019</v>
      </c>
      <c r="E377" s="522">
        <v>58.54</v>
      </c>
      <c r="F377" s="522"/>
      <c r="G377" s="333">
        <f t="shared" si="11"/>
        <v>12148.929999999989</v>
      </c>
      <c r="H377" s="334"/>
      <c r="I377" s="335"/>
      <c r="J377" s="336"/>
      <c r="K377" s="301"/>
      <c r="L377" s="336"/>
      <c r="M377" s="301"/>
      <c r="N377" s="336"/>
      <c r="O377" s="301"/>
      <c r="P377" s="336"/>
      <c r="Q377" s="301"/>
      <c r="R377" s="336"/>
      <c r="S377" s="301"/>
      <c r="T377" s="336"/>
    </row>
    <row r="378" spans="1:20" ht="12" customHeight="1" x14ac:dyDescent="0.25">
      <c r="A378" s="329" t="s">
        <v>289</v>
      </c>
      <c r="B378" s="330">
        <v>6</v>
      </c>
      <c r="C378" s="298">
        <v>46264</v>
      </c>
      <c r="D378" s="299" t="s">
        <v>1019</v>
      </c>
      <c r="E378" s="522">
        <v>51.97</v>
      </c>
      <c r="F378" s="522"/>
      <c r="G378" s="333">
        <f t="shared" si="11"/>
        <v>12207.46999999999</v>
      </c>
      <c r="H378" s="334"/>
      <c r="I378" s="335"/>
      <c r="J378" s="336"/>
      <c r="K378" s="301"/>
      <c r="L378" s="336"/>
      <c r="M378" s="301"/>
      <c r="N378" s="336"/>
      <c r="O378" s="301"/>
      <c r="P378" s="336"/>
      <c r="Q378" s="301"/>
      <c r="R378" s="336"/>
      <c r="S378" s="301"/>
      <c r="T378" s="336"/>
    </row>
    <row r="379" spans="1:20" ht="12" customHeight="1" x14ac:dyDescent="0.25">
      <c r="A379" s="329" t="s">
        <v>289</v>
      </c>
      <c r="B379" s="330">
        <v>4</v>
      </c>
      <c r="C379" s="298">
        <v>46264</v>
      </c>
      <c r="D379" s="299" t="s">
        <v>430</v>
      </c>
      <c r="E379" s="522">
        <v>39.86</v>
      </c>
      <c r="F379" s="522"/>
      <c r="G379" s="333">
        <f t="shared" si="11"/>
        <v>12259.43999999999</v>
      </c>
      <c r="H379" s="334"/>
      <c r="I379" s="335"/>
      <c r="J379" s="336"/>
      <c r="K379" s="301"/>
      <c r="L379" s="336"/>
      <c r="M379" s="301"/>
      <c r="N379" s="336"/>
      <c r="O379" s="301"/>
      <c r="P379" s="336"/>
      <c r="Q379" s="301"/>
      <c r="R379" s="336"/>
      <c r="S379" s="301"/>
      <c r="T379" s="336"/>
    </row>
    <row r="380" spans="1:20" ht="12" customHeight="1" x14ac:dyDescent="0.25">
      <c r="A380" s="329" t="s">
        <v>289</v>
      </c>
      <c r="B380" s="330">
        <v>8</v>
      </c>
      <c r="C380" s="298">
        <v>46264</v>
      </c>
      <c r="D380" s="299" t="s">
        <v>829</v>
      </c>
      <c r="E380" s="522">
        <v>11.7</v>
      </c>
      <c r="F380" s="522"/>
      <c r="G380" s="333">
        <f t="shared" si="11"/>
        <v>12299.29999999999</v>
      </c>
      <c r="H380" s="334"/>
      <c r="I380" s="335"/>
      <c r="J380" s="336"/>
      <c r="K380" s="301"/>
      <c r="L380" s="336"/>
      <c r="M380" s="301"/>
      <c r="N380" s="336"/>
      <c r="O380" s="301"/>
      <c r="P380" s="336"/>
      <c r="Q380" s="301"/>
      <c r="R380" s="336"/>
      <c r="S380" s="301"/>
      <c r="T380" s="336"/>
    </row>
    <row r="381" spans="1:20" ht="12" customHeight="1" x14ac:dyDescent="0.25">
      <c r="A381" s="329" t="s">
        <v>289</v>
      </c>
      <c r="B381" s="330">
        <v>2</v>
      </c>
      <c r="C381" s="298">
        <v>46264</v>
      </c>
      <c r="D381" s="299" t="s">
        <v>476</v>
      </c>
      <c r="E381" s="522">
        <v>48.97</v>
      </c>
      <c r="F381" s="522"/>
      <c r="G381" s="333">
        <f t="shared" si="11"/>
        <v>12310.999999999991</v>
      </c>
      <c r="H381" s="334"/>
      <c r="I381" s="335"/>
      <c r="J381" s="336"/>
      <c r="K381" s="301"/>
      <c r="L381" s="336"/>
      <c r="M381" s="301"/>
      <c r="N381" s="336"/>
      <c r="O381" s="301"/>
      <c r="P381" s="336"/>
      <c r="Q381" s="301"/>
      <c r="R381" s="336"/>
      <c r="S381" s="301"/>
      <c r="T381" s="336"/>
    </row>
    <row r="382" spans="1:20" ht="12" customHeight="1" x14ac:dyDescent="0.25">
      <c r="A382" s="329" t="s">
        <v>289</v>
      </c>
      <c r="B382" s="330">
        <v>2</v>
      </c>
      <c r="C382" s="298">
        <v>46263</v>
      </c>
      <c r="D382" s="299" t="s">
        <v>352</v>
      </c>
      <c r="E382" s="522">
        <v>19.98</v>
      </c>
      <c r="F382" s="522"/>
      <c r="G382" s="333">
        <f t="shared" si="11"/>
        <v>12359.96999999999</v>
      </c>
      <c r="H382" s="334"/>
      <c r="I382" s="335"/>
      <c r="J382" s="336"/>
      <c r="K382" s="301"/>
      <c r="L382" s="336"/>
      <c r="M382" s="301"/>
      <c r="N382" s="336"/>
      <c r="O382" s="301"/>
      <c r="P382" s="336"/>
      <c r="Q382" s="301"/>
      <c r="R382" s="336"/>
      <c r="S382" s="301"/>
      <c r="T382" s="336"/>
    </row>
    <row r="383" spans="1:20" ht="12" customHeight="1" x14ac:dyDescent="0.25">
      <c r="A383" s="329" t="s">
        <v>289</v>
      </c>
      <c r="B383" s="330">
        <v>6</v>
      </c>
      <c r="C383" s="298">
        <v>46263</v>
      </c>
      <c r="D383" s="299" t="s">
        <v>312</v>
      </c>
      <c r="E383" s="522">
        <v>66.95</v>
      </c>
      <c r="F383" s="522"/>
      <c r="G383" s="333">
        <f t="shared" si="11"/>
        <v>12379.94999999999</v>
      </c>
      <c r="H383" s="334"/>
      <c r="I383" s="335"/>
      <c r="J383" s="336"/>
      <c r="K383" s="301"/>
      <c r="L383" s="336"/>
      <c r="M383" s="301"/>
      <c r="N383" s="336"/>
      <c r="O383" s="301"/>
      <c r="P383" s="336"/>
      <c r="Q383" s="301"/>
      <c r="R383" s="336"/>
      <c r="S383" s="301"/>
      <c r="T383" s="336"/>
    </row>
    <row r="384" spans="1:20" ht="12" customHeight="1" x14ac:dyDescent="0.25">
      <c r="A384" s="329" t="s">
        <v>289</v>
      </c>
      <c r="B384" s="330">
        <v>8</v>
      </c>
      <c r="C384" s="298">
        <v>46263</v>
      </c>
      <c r="D384" s="299" t="s">
        <v>295</v>
      </c>
      <c r="E384" s="522">
        <v>9.15</v>
      </c>
      <c r="F384" s="522"/>
      <c r="G384" s="333">
        <f t="shared" si="11"/>
        <v>12446.899999999991</v>
      </c>
      <c r="H384" s="334"/>
      <c r="I384" s="335"/>
      <c r="J384" s="336"/>
      <c r="K384" s="301"/>
      <c r="L384" s="336"/>
      <c r="M384" s="301"/>
      <c r="N384" s="336"/>
      <c r="O384" s="301"/>
      <c r="P384" s="336"/>
      <c r="Q384" s="301"/>
      <c r="R384" s="336"/>
      <c r="S384" s="301"/>
      <c r="T384" s="336"/>
    </row>
    <row r="385" spans="1:20" ht="12" customHeight="1" x14ac:dyDescent="0.25">
      <c r="A385" s="329" t="s">
        <v>289</v>
      </c>
      <c r="B385" s="330">
        <v>2</v>
      </c>
      <c r="C385" s="298">
        <v>46263</v>
      </c>
      <c r="D385" s="299" t="s">
        <v>357</v>
      </c>
      <c r="E385" s="522">
        <v>10.85</v>
      </c>
      <c r="F385" s="522"/>
      <c r="G385" s="333">
        <f t="shared" si="11"/>
        <v>12456.04999999999</v>
      </c>
      <c r="H385" s="334"/>
      <c r="I385" s="335"/>
      <c r="J385" s="336"/>
      <c r="K385" s="301"/>
      <c r="L385" s="336"/>
      <c r="M385" s="301"/>
      <c r="N385" s="336"/>
      <c r="O385" s="301"/>
      <c r="P385" s="336"/>
      <c r="Q385" s="301"/>
      <c r="R385" s="336"/>
      <c r="S385" s="301"/>
      <c r="T385" s="336"/>
    </row>
    <row r="386" spans="1:20" ht="12" customHeight="1" x14ac:dyDescent="0.25">
      <c r="A386" s="329" t="s">
        <v>291</v>
      </c>
      <c r="B386" s="330">
        <v>38</v>
      </c>
      <c r="C386" s="298">
        <v>46263</v>
      </c>
      <c r="D386" s="299" t="s">
        <v>293</v>
      </c>
      <c r="E386" s="522"/>
      <c r="F386" s="522">
        <v>4729.34</v>
      </c>
      <c r="G386" s="333">
        <f t="shared" si="11"/>
        <v>12466.899999999991</v>
      </c>
      <c r="H386" s="334"/>
      <c r="I386" s="335"/>
      <c r="J386" s="336"/>
      <c r="K386" s="301"/>
      <c r="L386" s="336"/>
      <c r="M386" s="301"/>
      <c r="N386" s="336"/>
      <c r="O386" s="301"/>
      <c r="P386" s="336"/>
      <c r="Q386" s="301"/>
      <c r="R386" s="336"/>
      <c r="S386" s="301"/>
      <c r="T386" s="336"/>
    </row>
    <row r="387" spans="1:20" ht="12" customHeight="1" x14ac:dyDescent="0.25">
      <c r="A387" s="329" t="s">
        <v>289</v>
      </c>
      <c r="B387" s="330">
        <v>2</v>
      </c>
      <c r="C387" s="298">
        <v>46262</v>
      </c>
      <c r="D387" s="299" t="s">
        <v>334</v>
      </c>
      <c r="E387" s="522">
        <v>26.1</v>
      </c>
      <c r="F387" s="522"/>
      <c r="G387" s="333">
        <f t="shared" si="11"/>
        <v>7737.5599999999913</v>
      </c>
      <c r="H387" s="334"/>
      <c r="I387" s="335"/>
      <c r="J387" s="336"/>
      <c r="K387" s="301"/>
      <c r="L387" s="336"/>
      <c r="M387" s="301"/>
      <c r="N387" s="336"/>
      <c r="O387" s="301"/>
      <c r="P387" s="336"/>
      <c r="Q387" s="301"/>
      <c r="R387" s="336"/>
      <c r="S387" s="301"/>
      <c r="T387" s="336"/>
    </row>
    <row r="388" spans="1:20" ht="12" customHeight="1" x14ac:dyDescent="0.25">
      <c r="A388" s="329" t="s">
        <v>289</v>
      </c>
      <c r="B388" s="330">
        <v>2</v>
      </c>
      <c r="C388" s="298">
        <v>46262</v>
      </c>
      <c r="D388" s="299" t="s">
        <v>471</v>
      </c>
      <c r="E388" s="522">
        <v>109.42</v>
      </c>
      <c r="F388" s="522"/>
      <c r="G388" s="333">
        <f t="shared" si="11"/>
        <v>7763.6599999999917</v>
      </c>
      <c r="H388" s="334"/>
      <c r="I388" s="335"/>
      <c r="J388" s="336"/>
      <c r="K388" s="301"/>
      <c r="L388" s="336"/>
      <c r="M388" s="301"/>
      <c r="N388" s="336"/>
      <c r="O388" s="301"/>
      <c r="P388" s="336"/>
      <c r="Q388" s="301"/>
      <c r="R388" s="336"/>
      <c r="S388" s="301"/>
      <c r="T388" s="336"/>
    </row>
    <row r="389" spans="1:20" ht="12" customHeight="1" x14ac:dyDescent="0.25">
      <c r="A389" s="329" t="s">
        <v>289</v>
      </c>
      <c r="B389" s="330">
        <v>1</v>
      </c>
      <c r="C389" s="298">
        <v>46261</v>
      </c>
      <c r="D389" s="299" t="s">
        <v>311</v>
      </c>
      <c r="E389" s="522">
        <v>150.69999999999999</v>
      </c>
      <c r="F389" s="522"/>
      <c r="G389" s="333">
        <f t="shared" si="11"/>
        <v>7873.0799999999917</v>
      </c>
      <c r="H389" s="334"/>
      <c r="I389" s="335"/>
      <c r="J389" s="336"/>
      <c r="K389" s="301"/>
      <c r="L389" s="336"/>
      <c r="M389" s="301"/>
      <c r="N389" s="336"/>
      <c r="O389" s="301"/>
      <c r="P389" s="336"/>
      <c r="Q389" s="301"/>
      <c r="R389" s="336"/>
      <c r="S389" s="301"/>
      <c r="T389" s="336"/>
    </row>
    <row r="390" spans="1:20" ht="12" customHeight="1" x14ac:dyDescent="0.25">
      <c r="A390" s="329" t="s">
        <v>289</v>
      </c>
      <c r="B390" s="330">
        <v>1</v>
      </c>
      <c r="C390" s="298">
        <v>46261</v>
      </c>
      <c r="D390" s="299" t="s">
        <v>427</v>
      </c>
      <c r="E390" s="522">
        <v>36.18</v>
      </c>
      <c r="F390" s="522"/>
      <c r="G390" s="333">
        <f t="shared" si="11"/>
        <v>8023.7799999999916</v>
      </c>
      <c r="H390" s="334"/>
      <c r="I390" s="335"/>
      <c r="J390" s="336"/>
      <c r="K390" s="301"/>
      <c r="L390" s="336"/>
      <c r="M390" s="301"/>
      <c r="N390" s="336"/>
      <c r="O390" s="301"/>
      <c r="P390" s="336"/>
      <c r="Q390" s="301"/>
      <c r="R390" s="336"/>
      <c r="S390" s="301"/>
      <c r="T390" s="336"/>
    </row>
    <row r="391" spans="1:20" ht="12" customHeight="1" x14ac:dyDescent="0.25">
      <c r="A391" s="329" t="s">
        <v>289</v>
      </c>
      <c r="B391" s="330">
        <v>3</v>
      </c>
      <c r="C391" s="298">
        <v>46261</v>
      </c>
      <c r="D391" s="299" t="s">
        <v>981</v>
      </c>
      <c r="E391" s="522">
        <v>9.23</v>
      </c>
      <c r="F391" s="522"/>
      <c r="G391" s="333">
        <f t="shared" si="11"/>
        <v>8059.9599999999919</v>
      </c>
      <c r="H391" s="334"/>
      <c r="I391" s="335"/>
      <c r="J391" s="336"/>
      <c r="K391" s="301"/>
      <c r="L391" s="336"/>
      <c r="M391" s="301"/>
      <c r="N391" s="336"/>
      <c r="O391" s="301"/>
      <c r="P391" s="336"/>
      <c r="Q391" s="301"/>
      <c r="R391" s="336"/>
      <c r="S391" s="301"/>
      <c r="T391" s="336"/>
    </row>
    <row r="392" spans="1:20" ht="12" customHeight="1" x14ac:dyDescent="0.25">
      <c r="A392" s="329" t="s">
        <v>289</v>
      </c>
      <c r="B392" s="330">
        <v>4</v>
      </c>
      <c r="C392" s="298">
        <v>46261</v>
      </c>
      <c r="D392" s="299" t="s">
        <v>310</v>
      </c>
      <c r="E392" s="522">
        <v>47.99</v>
      </c>
      <c r="F392" s="522"/>
      <c r="G392" s="333">
        <f t="shared" si="11"/>
        <v>8069.1899999999914</v>
      </c>
      <c r="H392" s="334"/>
      <c r="I392" s="335"/>
      <c r="J392" s="336"/>
      <c r="K392" s="301"/>
      <c r="L392" s="336"/>
      <c r="M392" s="301"/>
      <c r="N392" s="336"/>
      <c r="O392" s="301"/>
      <c r="P392" s="336"/>
      <c r="Q392" s="301"/>
      <c r="R392" s="336"/>
      <c r="S392" s="301"/>
      <c r="T392" s="336"/>
    </row>
    <row r="393" spans="1:20" ht="12" customHeight="1" x14ac:dyDescent="0.25">
      <c r="A393" s="329" t="s">
        <v>289</v>
      </c>
      <c r="B393" s="330">
        <v>6</v>
      </c>
      <c r="C393" s="298">
        <v>46261</v>
      </c>
      <c r="D393" s="299" t="s">
        <v>300</v>
      </c>
      <c r="E393" s="522">
        <v>53.12</v>
      </c>
      <c r="F393" s="522"/>
      <c r="G393" s="333">
        <f t="shared" si="11"/>
        <v>8117.1799999999912</v>
      </c>
      <c r="H393" s="334"/>
      <c r="I393" s="335"/>
      <c r="J393" s="336"/>
      <c r="K393" s="301"/>
      <c r="L393" s="336"/>
      <c r="M393" s="301"/>
      <c r="N393" s="336"/>
      <c r="O393" s="301"/>
      <c r="P393" s="336"/>
      <c r="Q393" s="301"/>
      <c r="R393" s="336"/>
      <c r="S393" s="301"/>
      <c r="T393" s="336"/>
    </row>
    <row r="394" spans="1:20" ht="12" customHeight="1" x14ac:dyDescent="0.25">
      <c r="A394" s="329" t="s">
        <v>289</v>
      </c>
      <c r="B394" s="330">
        <v>2</v>
      </c>
      <c r="C394" s="298">
        <v>46261</v>
      </c>
      <c r="D394" s="299" t="s">
        <v>1028</v>
      </c>
      <c r="E394" s="522">
        <v>20</v>
      </c>
      <c r="F394" s="522"/>
      <c r="G394" s="333">
        <f t="shared" si="11"/>
        <v>8170.2999999999911</v>
      </c>
      <c r="H394" s="334"/>
      <c r="I394" s="335"/>
      <c r="J394" s="336"/>
      <c r="K394" s="301"/>
      <c r="L394" s="336"/>
      <c r="M394" s="301"/>
      <c r="N394" s="336"/>
      <c r="O394" s="301"/>
      <c r="P394" s="336"/>
      <c r="Q394" s="301"/>
      <c r="R394" s="336"/>
      <c r="S394" s="301"/>
      <c r="T394" s="336"/>
    </row>
    <row r="395" spans="1:20" ht="12" customHeight="1" x14ac:dyDescent="0.25">
      <c r="A395" s="329" t="s">
        <v>289</v>
      </c>
      <c r="B395" s="330">
        <v>2</v>
      </c>
      <c r="C395" s="298">
        <v>46260</v>
      </c>
      <c r="D395" s="299" t="s">
        <v>1029</v>
      </c>
      <c r="E395" s="522">
        <v>11.38</v>
      </c>
      <c r="F395" s="522"/>
      <c r="G395" s="333">
        <f t="shared" si="11"/>
        <v>8190.2999999999911</v>
      </c>
      <c r="H395" s="334"/>
      <c r="I395" s="335"/>
      <c r="J395" s="336"/>
      <c r="K395" s="301"/>
      <c r="L395" s="336"/>
      <c r="M395" s="301"/>
      <c r="N395" s="336"/>
      <c r="O395" s="301"/>
      <c r="P395" s="336"/>
      <c r="Q395" s="301"/>
      <c r="R395" s="336"/>
      <c r="S395" s="301"/>
      <c r="T395" s="336"/>
    </row>
    <row r="396" spans="1:20" ht="12" customHeight="1" x14ac:dyDescent="0.25">
      <c r="A396" s="329" t="s">
        <v>289</v>
      </c>
      <c r="B396" s="330">
        <v>2</v>
      </c>
      <c r="C396" s="298">
        <v>46260</v>
      </c>
      <c r="D396" s="299" t="s">
        <v>1030</v>
      </c>
      <c r="E396" s="522">
        <v>74.91</v>
      </c>
      <c r="F396" s="522"/>
      <c r="G396" s="333">
        <f t="shared" ref="G396:G413" si="12">G397-E396+F396</f>
        <v>8201.6799999999912</v>
      </c>
      <c r="H396" s="334"/>
      <c r="I396" s="335"/>
      <c r="J396" s="336"/>
      <c r="K396" s="301"/>
      <c r="L396" s="336"/>
      <c r="M396" s="301"/>
      <c r="N396" s="336"/>
      <c r="O396" s="301"/>
      <c r="P396" s="336"/>
      <c r="Q396" s="301"/>
      <c r="R396" s="336"/>
      <c r="S396" s="301"/>
      <c r="T396" s="336"/>
    </row>
    <row r="397" spans="1:20" ht="12" customHeight="1" x14ac:dyDescent="0.25">
      <c r="A397" s="329" t="s">
        <v>294</v>
      </c>
      <c r="B397" s="330">
        <v>42</v>
      </c>
      <c r="C397" s="298">
        <v>46260</v>
      </c>
      <c r="D397" s="299" t="s">
        <v>200</v>
      </c>
      <c r="E397" s="522">
        <v>59</v>
      </c>
      <c r="F397" s="522"/>
      <c r="G397" s="333">
        <f t="shared" si="12"/>
        <v>8276.5899999999911</v>
      </c>
      <c r="H397" s="334"/>
      <c r="I397" s="335"/>
      <c r="J397" s="336"/>
      <c r="K397" s="301"/>
      <c r="L397" s="336"/>
      <c r="M397" s="301"/>
      <c r="N397" s="336"/>
      <c r="O397" s="301"/>
      <c r="P397" s="336"/>
      <c r="Q397" s="301"/>
      <c r="R397" s="336"/>
      <c r="S397" s="301"/>
      <c r="T397" s="336"/>
    </row>
    <row r="398" spans="1:20" ht="12" customHeight="1" x14ac:dyDescent="0.25">
      <c r="A398" s="329" t="s">
        <v>294</v>
      </c>
      <c r="B398" s="330">
        <v>43</v>
      </c>
      <c r="C398" s="298">
        <v>46260</v>
      </c>
      <c r="D398" s="299" t="s">
        <v>201</v>
      </c>
      <c r="E398" s="522">
        <v>42.84</v>
      </c>
      <c r="F398" s="522"/>
      <c r="G398" s="333">
        <f t="shared" si="12"/>
        <v>8335.5899999999911</v>
      </c>
      <c r="H398" s="334"/>
      <c r="I398" s="335"/>
      <c r="J398" s="336"/>
      <c r="K398" s="301"/>
      <c r="L398" s="336"/>
      <c r="M398" s="301"/>
      <c r="N398" s="336"/>
      <c r="O398" s="301"/>
      <c r="P398" s="336"/>
      <c r="Q398" s="301"/>
      <c r="R398" s="336"/>
      <c r="S398" s="301"/>
      <c r="T398" s="336"/>
    </row>
    <row r="399" spans="1:20" ht="12" customHeight="1" x14ac:dyDescent="0.25">
      <c r="A399" s="329" t="s">
        <v>291</v>
      </c>
      <c r="B399" s="330">
        <v>40</v>
      </c>
      <c r="C399" s="298">
        <v>46260</v>
      </c>
      <c r="D399" s="299" t="s">
        <v>316</v>
      </c>
      <c r="E399" s="522"/>
      <c r="F399" s="522">
        <v>59.74</v>
      </c>
      <c r="G399" s="333">
        <f t="shared" si="12"/>
        <v>8378.4299999999912</v>
      </c>
      <c r="H399" s="334"/>
      <c r="I399" s="335"/>
      <c r="J399" s="336"/>
      <c r="K399" s="301"/>
      <c r="L399" s="336"/>
      <c r="M399" s="301"/>
      <c r="N399" s="336"/>
      <c r="O399" s="301"/>
      <c r="P399" s="336"/>
      <c r="Q399" s="301"/>
      <c r="R399" s="336"/>
      <c r="S399" s="301"/>
      <c r="T399" s="336"/>
    </row>
    <row r="400" spans="1:20" ht="12" customHeight="1" x14ac:dyDescent="0.25">
      <c r="A400" s="329" t="s">
        <v>289</v>
      </c>
      <c r="B400" s="330">
        <v>4</v>
      </c>
      <c r="C400" s="298">
        <v>46260</v>
      </c>
      <c r="D400" s="299" t="s">
        <v>296</v>
      </c>
      <c r="E400" s="522">
        <v>78.510000000000005</v>
      </c>
      <c r="F400" s="522"/>
      <c r="G400" s="333">
        <f t="shared" si="12"/>
        <v>8318.6899999999914</v>
      </c>
      <c r="H400" s="334"/>
      <c r="I400" s="335"/>
      <c r="J400" s="336"/>
      <c r="K400" s="301"/>
      <c r="L400" s="336"/>
      <c r="M400" s="301"/>
      <c r="N400" s="336"/>
      <c r="O400" s="301"/>
      <c r="P400" s="336"/>
      <c r="Q400" s="301"/>
      <c r="R400" s="336"/>
      <c r="S400" s="301"/>
      <c r="T400" s="336"/>
    </row>
    <row r="401" spans="1:20" ht="12" customHeight="1" x14ac:dyDescent="0.25">
      <c r="A401" s="329" t="s">
        <v>289</v>
      </c>
      <c r="B401" s="330">
        <v>6</v>
      </c>
      <c r="C401" s="298">
        <v>46259</v>
      </c>
      <c r="D401" s="299" t="s">
        <v>312</v>
      </c>
      <c r="E401" s="522">
        <v>54.95</v>
      </c>
      <c r="F401" s="522"/>
      <c r="G401" s="333">
        <f t="shared" si="12"/>
        <v>8397.1999999999916</v>
      </c>
      <c r="H401" s="334"/>
      <c r="I401" s="335"/>
      <c r="J401" s="336"/>
      <c r="K401" s="301"/>
      <c r="L401" s="336"/>
      <c r="M401" s="301"/>
      <c r="N401" s="336"/>
      <c r="O401" s="301"/>
      <c r="P401" s="336"/>
      <c r="Q401" s="301"/>
      <c r="R401" s="336"/>
      <c r="S401" s="301"/>
      <c r="T401" s="336"/>
    </row>
    <row r="402" spans="1:20" ht="12" customHeight="1" x14ac:dyDescent="0.25">
      <c r="A402" s="329" t="s">
        <v>289</v>
      </c>
      <c r="B402" s="330">
        <v>2</v>
      </c>
      <c r="C402" s="298">
        <v>46259</v>
      </c>
      <c r="D402" s="299" t="s">
        <v>357</v>
      </c>
      <c r="E402" s="522">
        <v>5.28</v>
      </c>
      <c r="F402" s="522"/>
      <c r="G402" s="333">
        <f t="shared" si="12"/>
        <v>8452.1499999999924</v>
      </c>
      <c r="H402" s="334"/>
      <c r="I402" s="335"/>
      <c r="J402" s="336"/>
      <c r="K402" s="301"/>
      <c r="L402" s="336"/>
      <c r="M402" s="301"/>
      <c r="N402" s="336"/>
      <c r="O402" s="301"/>
      <c r="P402" s="336"/>
      <c r="Q402" s="301"/>
      <c r="R402" s="336"/>
      <c r="S402" s="301"/>
      <c r="T402" s="336"/>
    </row>
    <row r="403" spans="1:20" ht="12" customHeight="1" x14ac:dyDescent="0.25">
      <c r="A403" s="329" t="s">
        <v>289</v>
      </c>
      <c r="B403" s="330">
        <v>8</v>
      </c>
      <c r="C403" s="298">
        <v>46259</v>
      </c>
      <c r="D403" s="299" t="s">
        <v>308</v>
      </c>
      <c r="E403" s="522">
        <v>71.75</v>
      </c>
      <c r="F403" s="522"/>
      <c r="G403" s="333">
        <f t="shared" si="12"/>
        <v>8457.429999999993</v>
      </c>
      <c r="H403" s="334"/>
      <c r="I403" s="335"/>
      <c r="J403" s="336"/>
      <c r="K403" s="301"/>
      <c r="L403" s="336"/>
      <c r="M403" s="301"/>
      <c r="N403" s="336"/>
      <c r="O403" s="301"/>
      <c r="P403" s="336"/>
      <c r="Q403" s="301"/>
      <c r="R403" s="336"/>
      <c r="S403" s="301"/>
      <c r="T403" s="336"/>
    </row>
    <row r="404" spans="1:20" ht="12" customHeight="1" x14ac:dyDescent="0.25">
      <c r="A404" s="329" t="s">
        <v>289</v>
      </c>
      <c r="B404" s="330">
        <v>5</v>
      </c>
      <c r="C404" s="298">
        <v>46259</v>
      </c>
      <c r="D404" s="299" t="s">
        <v>1027</v>
      </c>
      <c r="E404" s="522">
        <v>30</v>
      </c>
      <c r="F404" s="522"/>
      <c r="G404" s="333">
        <f t="shared" si="12"/>
        <v>8529.179999999993</v>
      </c>
      <c r="H404" s="334"/>
      <c r="I404" s="335"/>
      <c r="J404" s="336"/>
      <c r="K404" s="301"/>
      <c r="L404" s="336"/>
      <c r="M404" s="301"/>
      <c r="N404" s="336"/>
      <c r="O404" s="301"/>
      <c r="P404" s="336"/>
      <c r="Q404" s="301"/>
      <c r="R404" s="336"/>
      <c r="S404" s="301"/>
      <c r="T404" s="336"/>
    </row>
    <row r="405" spans="1:20" ht="12" customHeight="1" x14ac:dyDescent="0.25">
      <c r="A405" s="329" t="s">
        <v>289</v>
      </c>
      <c r="B405" s="330">
        <v>2</v>
      </c>
      <c r="C405" s="298">
        <v>46259</v>
      </c>
      <c r="D405" s="299" t="s">
        <v>334</v>
      </c>
      <c r="E405" s="522">
        <v>18.18</v>
      </c>
      <c r="F405" s="522"/>
      <c r="G405" s="333">
        <f t="shared" si="12"/>
        <v>8559.179999999993</v>
      </c>
      <c r="H405" s="334"/>
      <c r="I405" s="335"/>
      <c r="J405" s="336"/>
      <c r="K405" s="301"/>
      <c r="L405" s="336"/>
      <c r="M405" s="301"/>
      <c r="N405" s="336"/>
      <c r="O405" s="301"/>
      <c r="P405" s="336"/>
      <c r="Q405" s="301"/>
      <c r="R405" s="336"/>
      <c r="S405" s="301"/>
      <c r="T405" s="336"/>
    </row>
    <row r="406" spans="1:20" ht="12" customHeight="1" x14ac:dyDescent="0.25">
      <c r="A406" s="329" t="s">
        <v>294</v>
      </c>
      <c r="B406" s="330">
        <v>12</v>
      </c>
      <c r="C406" s="298">
        <v>46259</v>
      </c>
      <c r="D406" s="299" t="s">
        <v>314</v>
      </c>
      <c r="E406" s="522">
        <v>225</v>
      </c>
      <c r="F406" s="522"/>
      <c r="G406" s="333">
        <f t="shared" si="12"/>
        <v>8577.3599999999933</v>
      </c>
      <c r="H406" s="334"/>
      <c r="I406" s="335"/>
      <c r="J406" s="336"/>
      <c r="K406" s="301"/>
      <c r="L406" s="336"/>
      <c r="M406" s="301"/>
      <c r="N406" s="336"/>
      <c r="O406" s="301"/>
      <c r="P406" s="336"/>
      <c r="Q406" s="301"/>
      <c r="R406" s="336"/>
      <c r="S406" s="301"/>
      <c r="T406" s="336"/>
    </row>
    <row r="407" spans="1:20" ht="12" customHeight="1" x14ac:dyDescent="0.25">
      <c r="A407" s="329" t="s">
        <v>289</v>
      </c>
      <c r="B407" s="330">
        <v>5</v>
      </c>
      <c r="C407" s="298">
        <v>46259</v>
      </c>
      <c r="D407" s="299" t="s">
        <v>1025</v>
      </c>
      <c r="E407" s="522">
        <v>-125</v>
      </c>
      <c r="F407" s="522"/>
      <c r="G407" s="333">
        <f t="shared" si="12"/>
        <v>8802.3599999999933</v>
      </c>
      <c r="H407" s="334"/>
      <c r="I407" s="335"/>
      <c r="J407" s="336"/>
      <c r="K407" s="301"/>
      <c r="L407" s="336"/>
      <c r="M407" s="301"/>
      <c r="N407" s="336"/>
      <c r="O407" s="301"/>
      <c r="P407" s="336"/>
      <c r="Q407" s="301"/>
      <c r="R407" s="336"/>
      <c r="S407" s="301"/>
      <c r="T407" s="336"/>
    </row>
    <row r="408" spans="1:20" ht="12" customHeight="1" x14ac:dyDescent="0.25">
      <c r="A408" s="329" t="s">
        <v>289</v>
      </c>
      <c r="B408" s="330">
        <v>5</v>
      </c>
      <c r="C408" s="298">
        <v>46259</v>
      </c>
      <c r="D408" s="299" t="s">
        <v>1024</v>
      </c>
      <c r="E408" s="522">
        <v>-125</v>
      </c>
      <c r="F408" s="522"/>
      <c r="G408" s="333">
        <f t="shared" si="12"/>
        <v>8677.3599999999933</v>
      </c>
      <c r="H408" s="334" t="s">
        <v>298</v>
      </c>
      <c r="I408" s="335"/>
      <c r="J408" s="336"/>
      <c r="K408" s="301"/>
      <c r="L408" s="336"/>
      <c r="M408" s="301"/>
      <c r="N408" s="336"/>
      <c r="O408" s="301"/>
      <c r="P408" s="336"/>
      <c r="Q408" s="301"/>
      <c r="R408" s="336"/>
      <c r="S408" s="301"/>
      <c r="T408" s="336"/>
    </row>
    <row r="409" spans="1:20" ht="12" customHeight="1" x14ac:dyDescent="0.25">
      <c r="A409" s="329" t="s">
        <v>287</v>
      </c>
      <c r="B409" s="330" t="s">
        <v>287</v>
      </c>
      <c r="C409" s="298">
        <v>46259</v>
      </c>
      <c r="D409" s="299" t="s">
        <v>1026</v>
      </c>
      <c r="E409" s="522"/>
      <c r="F409" s="522">
        <v>430</v>
      </c>
      <c r="G409" s="333">
        <f t="shared" si="12"/>
        <v>8552.3599999999933</v>
      </c>
      <c r="H409" s="334" t="s">
        <v>298</v>
      </c>
      <c r="I409" s="335"/>
      <c r="J409" s="336"/>
      <c r="K409" s="301"/>
      <c r="L409" s="336"/>
      <c r="M409" s="301"/>
      <c r="N409" s="336"/>
      <c r="O409" s="301"/>
      <c r="P409" s="336"/>
      <c r="Q409" s="301"/>
      <c r="R409" s="336"/>
      <c r="S409" s="301"/>
      <c r="T409" s="336"/>
    </row>
    <row r="410" spans="1:20" ht="12" customHeight="1" x14ac:dyDescent="0.25">
      <c r="A410" s="329" t="s">
        <v>287</v>
      </c>
      <c r="B410" s="330" t="s">
        <v>287</v>
      </c>
      <c r="C410" s="298">
        <v>46259</v>
      </c>
      <c r="D410" s="299" t="s">
        <v>1026</v>
      </c>
      <c r="E410" s="522">
        <v>430</v>
      </c>
      <c r="F410" s="522"/>
      <c r="G410" s="333">
        <f t="shared" si="12"/>
        <v>8122.3599999999933</v>
      </c>
      <c r="H410" s="334"/>
      <c r="I410" s="335"/>
      <c r="J410" s="336"/>
      <c r="K410" s="301"/>
      <c r="L410" s="336"/>
      <c r="M410" s="301"/>
      <c r="N410" s="336"/>
      <c r="O410" s="301"/>
      <c r="P410" s="336"/>
      <c r="Q410" s="301"/>
      <c r="R410" s="336"/>
      <c r="S410" s="301"/>
      <c r="T410" s="336"/>
    </row>
    <row r="411" spans="1:20" ht="12" customHeight="1" x14ac:dyDescent="0.25">
      <c r="A411" s="329" t="s">
        <v>289</v>
      </c>
      <c r="B411" s="330">
        <v>2</v>
      </c>
      <c r="C411" s="298">
        <v>46259</v>
      </c>
      <c r="D411" s="299" t="s">
        <v>357</v>
      </c>
      <c r="E411" s="522">
        <v>37.71</v>
      </c>
      <c r="F411" s="522"/>
      <c r="G411" s="333">
        <f t="shared" si="12"/>
        <v>8552.3599999999933</v>
      </c>
      <c r="H411" s="334"/>
      <c r="I411" s="335"/>
      <c r="J411" s="336"/>
      <c r="K411" s="301"/>
      <c r="L411" s="336"/>
      <c r="M411" s="301"/>
      <c r="N411" s="336"/>
      <c r="O411" s="301"/>
      <c r="P411" s="336"/>
      <c r="Q411" s="301"/>
      <c r="R411" s="336"/>
      <c r="S411" s="301"/>
      <c r="T411" s="336"/>
    </row>
    <row r="412" spans="1:20" ht="12" customHeight="1" x14ac:dyDescent="0.25">
      <c r="A412" s="329" t="s">
        <v>291</v>
      </c>
      <c r="B412" s="330">
        <v>41</v>
      </c>
      <c r="C412" s="298">
        <v>46258</v>
      </c>
      <c r="D412" s="299" t="s">
        <v>1021</v>
      </c>
      <c r="E412" s="522"/>
      <c r="F412" s="522">
        <v>800</v>
      </c>
      <c r="G412" s="333">
        <f t="shared" si="12"/>
        <v>8590.0699999999924</v>
      </c>
      <c r="H412" s="334"/>
      <c r="I412" s="335"/>
      <c r="J412" s="336"/>
      <c r="K412" s="301"/>
      <c r="L412" s="336"/>
      <c r="M412" s="301"/>
      <c r="N412" s="336"/>
      <c r="O412" s="301"/>
      <c r="P412" s="336"/>
      <c r="Q412" s="301"/>
      <c r="R412" s="336"/>
      <c r="S412" s="301"/>
      <c r="T412" s="336"/>
    </row>
    <row r="413" spans="1:20" ht="12" customHeight="1" x14ac:dyDescent="0.25">
      <c r="A413" s="329" t="s">
        <v>289</v>
      </c>
      <c r="B413" s="330">
        <v>6</v>
      </c>
      <c r="C413" s="298">
        <v>46258</v>
      </c>
      <c r="D413" s="299" t="s">
        <v>300</v>
      </c>
      <c r="E413" s="522">
        <v>63.98</v>
      </c>
      <c r="F413" s="522"/>
      <c r="G413" s="333">
        <f t="shared" si="12"/>
        <v>7790.0699999999924</v>
      </c>
      <c r="H413" s="334"/>
      <c r="I413" s="335"/>
      <c r="J413" s="336"/>
      <c r="K413" s="301"/>
      <c r="L413" s="336"/>
      <c r="M413" s="301"/>
      <c r="N413" s="336"/>
      <c r="O413" s="301"/>
      <c r="P413" s="336"/>
      <c r="Q413" s="301"/>
      <c r="R413" s="336"/>
      <c r="S413" s="301"/>
      <c r="T413" s="336"/>
    </row>
    <row r="414" spans="1:20" ht="12" customHeight="1" x14ac:dyDescent="0.25">
      <c r="A414" s="329" t="s">
        <v>289</v>
      </c>
      <c r="B414" s="330">
        <v>8</v>
      </c>
      <c r="C414" s="298">
        <v>46258</v>
      </c>
      <c r="D414" s="299" t="s">
        <v>296</v>
      </c>
      <c r="E414" s="522">
        <v>15.3</v>
      </c>
      <c r="F414" s="522"/>
      <c r="G414" s="333">
        <f t="shared" ref="G414:G427" si="13">G415-E414+F414</f>
        <v>7854.049999999992</v>
      </c>
      <c r="H414" s="334"/>
      <c r="I414" s="335"/>
      <c r="J414" s="336"/>
      <c r="K414" s="301"/>
      <c r="L414" s="336"/>
      <c r="M414" s="301"/>
      <c r="N414" s="336"/>
      <c r="O414" s="301"/>
      <c r="P414" s="336"/>
      <c r="Q414" s="301"/>
      <c r="R414" s="336"/>
      <c r="S414" s="301"/>
      <c r="T414" s="336"/>
    </row>
    <row r="415" spans="1:20" ht="12" customHeight="1" x14ac:dyDescent="0.25">
      <c r="A415" s="329" t="s">
        <v>289</v>
      </c>
      <c r="B415" s="330">
        <v>4</v>
      </c>
      <c r="C415" s="298">
        <v>46258</v>
      </c>
      <c r="D415" s="299" t="s">
        <v>296</v>
      </c>
      <c r="E415" s="522">
        <v>41.09</v>
      </c>
      <c r="F415" s="522"/>
      <c r="G415" s="333">
        <f t="shared" si="13"/>
        <v>7869.3499999999922</v>
      </c>
      <c r="H415" s="334"/>
      <c r="I415" s="335"/>
      <c r="J415" s="336"/>
      <c r="K415" s="301"/>
      <c r="L415" s="336"/>
      <c r="M415" s="301"/>
      <c r="N415" s="336"/>
      <c r="O415" s="301"/>
      <c r="P415" s="336"/>
      <c r="Q415" s="301"/>
      <c r="R415" s="336"/>
      <c r="S415" s="301"/>
      <c r="T415" s="336"/>
    </row>
    <row r="416" spans="1:20" ht="12" customHeight="1" x14ac:dyDescent="0.25">
      <c r="A416" s="329" t="s">
        <v>289</v>
      </c>
      <c r="B416" s="330">
        <v>6</v>
      </c>
      <c r="C416" s="298">
        <v>46258</v>
      </c>
      <c r="D416" s="299" t="s">
        <v>300</v>
      </c>
      <c r="E416" s="522">
        <v>51.08</v>
      </c>
      <c r="F416" s="522"/>
      <c r="G416" s="333">
        <f t="shared" si="13"/>
        <v>7910.4399999999923</v>
      </c>
      <c r="H416" s="334"/>
      <c r="I416" s="335"/>
      <c r="J416" s="336"/>
      <c r="K416" s="301"/>
      <c r="L416" s="336"/>
      <c r="M416" s="301"/>
      <c r="N416" s="336"/>
      <c r="O416" s="301"/>
      <c r="P416" s="336"/>
      <c r="Q416" s="301"/>
      <c r="R416" s="336"/>
      <c r="S416" s="301"/>
      <c r="T416" s="336"/>
    </row>
    <row r="417" spans="1:20" ht="12" customHeight="1" x14ac:dyDescent="0.25">
      <c r="A417" s="329" t="s">
        <v>289</v>
      </c>
      <c r="B417" s="330">
        <v>6</v>
      </c>
      <c r="C417" s="298">
        <v>46258</v>
      </c>
      <c r="D417" s="299" t="s">
        <v>300</v>
      </c>
      <c r="E417" s="522">
        <v>66.010000000000005</v>
      </c>
      <c r="F417" s="522"/>
      <c r="G417" s="333">
        <f t="shared" si="13"/>
        <v>7961.5199999999923</v>
      </c>
      <c r="H417" s="334"/>
      <c r="I417" s="335"/>
      <c r="J417" s="336"/>
      <c r="K417" s="301"/>
      <c r="L417" s="336"/>
      <c r="M417" s="301"/>
      <c r="N417" s="336"/>
      <c r="O417" s="301"/>
      <c r="P417" s="336"/>
      <c r="Q417" s="301"/>
      <c r="R417" s="336"/>
      <c r="S417" s="301"/>
      <c r="T417" s="336"/>
    </row>
    <row r="418" spans="1:20" ht="12" customHeight="1" x14ac:dyDescent="0.25">
      <c r="A418" s="329" t="s">
        <v>289</v>
      </c>
      <c r="B418" s="330">
        <v>5</v>
      </c>
      <c r="C418" s="298">
        <v>46256</v>
      </c>
      <c r="D418" s="299" t="s">
        <v>1022</v>
      </c>
      <c r="E418" s="522">
        <v>134.19</v>
      </c>
      <c r="F418" s="522"/>
      <c r="G418" s="333">
        <f t="shared" si="13"/>
        <v>8027.5299999999925</v>
      </c>
      <c r="H418" s="334"/>
      <c r="I418" s="335"/>
      <c r="J418" s="336"/>
      <c r="K418" s="301"/>
      <c r="L418" s="336"/>
      <c r="M418" s="301"/>
      <c r="N418" s="336"/>
      <c r="O418" s="301"/>
      <c r="P418" s="336"/>
      <c r="Q418" s="301"/>
      <c r="R418" s="336"/>
      <c r="S418" s="301"/>
      <c r="T418" s="336"/>
    </row>
    <row r="419" spans="1:20" ht="12" customHeight="1" x14ac:dyDescent="0.25">
      <c r="A419" s="329" t="s">
        <v>289</v>
      </c>
      <c r="B419" s="330">
        <v>5</v>
      </c>
      <c r="C419" s="298">
        <v>46256</v>
      </c>
      <c r="D419" s="299" t="s">
        <v>1017</v>
      </c>
      <c r="E419" s="522">
        <v>50</v>
      </c>
      <c r="F419" s="522"/>
      <c r="G419" s="333">
        <f t="shared" si="13"/>
        <v>8161.7199999999921</v>
      </c>
      <c r="H419" s="334" t="s">
        <v>298</v>
      </c>
      <c r="I419" s="335"/>
      <c r="J419" s="336"/>
      <c r="K419" s="301"/>
      <c r="L419" s="336"/>
      <c r="M419" s="301"/>
      <c r="N419" s="336"/>
      <c r="O419" s="301"/>
      <c r="P419" s="336"/>
      <c r="Q419" s="301"/>
      <c r="R419" s="336"/>
      <c r="S419" s="301"/>
      <c r="T419" s="336"/>
    </row>
    <row r="420" spans="1:20" ht="12" customHeight="1" x14ac:dyDescent="0.25">
      <c r="A420" s="329" t="s">
        <v>289</v>
      </c>
      <c r="B420" s="330">
        <v>8</v>
      </c>
      <c r="C420" s="298">
        <v>46255</v>
      </c>
      <c r="D420" s="299" t="s">
        <v>319</v>
      </c>
      <c r="E420" s="522">
        <v>39.270000000000003</v>
      </c>
      <c r="F420" s="522"/>
      <c r="G420" s="333">
        <f t="shared" si="13"/>
        <v>8211.7199999999921</v>
      </c>
      <c r="H420" s="334"/>
      <c r="I420" s="335"/>
      <c r="J420" s="336"/>
      <c r="K420" s="301"/>
      <c r="L420" s="336"/>
      <c r="M420" s="301"/>
      <c r="N420" s="336"/>
      <c r="O420" s="301"/>
      <c r="P420" s="336"/>
      <c r="Q420" s="301"/>
      <c r="R420" s="336"/>
      <c r="S420" s="301"/>
      <c r="T420" s="336"/>
    </row>
    <row r="421" spans="1:20" ht="12" customHeight="1" x14ac:dyDescent="0.25">
      <c r="A421" s="329" t="s">
        <v>289</v>
      </c>
      <c r="B421" s="330">
        <v>8</v>
      </c>
      <c r="C421" s="298">
        <v>46255</v>
      </c>
      <c r="D421" s="299" t="s">
        <v>319</v>
      </c>
      <c r="E421" s="522">
        <v>8.48</v>
      </c>
      <c r="F421" s="522"/>
      <c r="G421" s="333">
        <f t="shared" si="13"/>
        <v>8250.9899999999925</v>
      </c>
      <c r="H421" s="334"/>
      <c r="I421" s="335"/>
      <c r="J421" s="336"/>
      <c r="K421" s="301"/>
      <c r="L421" s="336"/>
      <c r="M421" s="301"/>
      <c r="N421" s="336"/>
      <c r="O421" s="301"/>
      <c r="P421" s="336"/>
      <c r="Q421" s="301"/>
      <c r="R421" s="336"/>
      <c r="S421" s="301"/>
      <c r="T421" s="336"/>
    </row>
    <row r="422" spans="1:20" ht="12" customHeight="1" x14ac:dyDescent="0.25">
      <c r="A422" s="329" t="s">
        <v>289</v>
      </c>
      <c r="B422" s="330">
        <v>6</v>
      </c>
      <c r="C422" s="298">
        <v>46255</v>
      </c>
      <c r="D422" s="299" t="s">
        <v>396</v>
      </c>
      <c r="E422" s="522">
        <v>157.32</v>
      </c>
      <c r="F422" s="522"/>
      <c r="G422" s="333">
        <f t="shared" si="13"/>
        <v>8259.4699999999921</v>
      </c>
      <c r="H422" s="334"/>
      <c r="I422" s="335"/>
      <c r="J422" s="336"/>
      <c r="K422" s="301"/>
      <c r="L422" s="336"/>
      <c r="M422" s="301"/>
      <c r="N422" s="336"/>
      <c r="O422" s="301"/>
      <c r="P422" s="336"/>
      <c r="Q422" s="301"/>
      <c r="R422" s="336"/>
      <c r="S422" s="301"/>
      <c r="T422" s="336"/>
    </row>
    <row r="423" spans="1:20" ht="12" customHeight="1" x14ac:dyDescent="0.25">
      <c r="A423" s="329" t="s">
        <v>289</v>
      </c>
      <c r="B423" s="330">
        <v>7</v>
      </c>
      <c r="C423" s="298">
        <v>46254</v>
      </c>
      <c r="D423" s="299" t="s">
        <v>1023</v>
      </c>
      <c r="E423" s="522">
        <v>100</v>
      </c>
      <c r="F423" s="522"/>
      <c r="G423" s="333">
        <f t="shared" si="13"/>
        <v>8416.7899999999918</v>
      </c>
      <c r="H423" s="334" t="s">
        <v>298</v>
      </c>
      <c r="I423" s="335"/>
      <c r="J423" s="336"/>
      <c r="K423" s="301"/>
      <c r="L423" s="336"/>
      <c r="M423" s="301"/>
      <c r="N423" s="336"/>
      <c r="O423" s="301"/>
      <c r="P423" s="336"/>
      <c r="Q423" s="301"/>
      <c r="R423" s="336"/>
      <c r="S423" s="301"/>
      <c r="T423" s="336"/>
    </row>
    <row r="424" spans="1:20" ht="12" customHeight="1" x14ac:dyDescent="0.25">
      <c r="A424" s="329" t="s">
        <v>289</v>
      </c>
      <c r="B424" s="330">
        <v>8</v>
      </c>
      <c r="C424" s="298">
        <v>46254</v>
      </c>
      <c r="D424" s="299" t="s">
        <v>319</v>
      </c>
      <c r="E424" s="522">
        <v>119.58</v>
      </c>
      <c r="F424" s="522"/>
      <c r="G424" s="333">
        <f t="shared" si="13"/>
        <v>8516.7899999999918</v>
      </c>
      <c r="H424" s="334"/>
      <c r="I424" s="335"/>
      <c r="J424" s="336"/>
      <c r="K424" s="301"/>
      <c r="L424" s="336"/>
      <c r="M424" s="301"/>
      <c r="N424" s="336"/>
      <c r="O424" s="301"/>
      <c r="P424" s="336"/>
      <c r="Q424" s="301"/>
      <c r="R424" s="336"/>
      <c r="S424" s="301"/>
      <c r="T424" s="336"/>
    </row>
    <row r="425" spans="1:20" ht="12" customHeight="1" x14ac:dyDescent="0.25">
      <c r="A425" s="329" t="s">
        <v>291</v>
      </c>
      <c r="B425" s="330">
        <v>39</v>
      </c>
      <c r="C425" s="298">
        <v>46254</v>
      </c>
      <c r="D425" s="299" t="s">
        <v>292</v>
      </c>
      <c r="E425" s="522"/>
      <c r="F425" s="522">
        <v>2763.78</v>
      </c>
      <c r="G425" s="333">
        <f t="shared" si="13"/>
        <v>8636.3699999999917</v>
      </c>
      <c r="H425" s="334"/>
      <c r="I425" s="335"/>
      <c r="J425" s="336"/>
      <c r="K425" s="301"/>
      <c r="L425" s="336"/>
      <c r="M425" s="301"/>
      <c r="N425" s="336"/>
      <c r="O425" s="301"/>
      <c r="P425" s="336"/>
      <c r="Q425" s="301"/>
      <c r="R425" s="336"/>
      <c r="S425" s="301"/>
      <c r="T425" s="336"/>
    </row>
    <row r="426" spans="1:20" ht="12" customHeight="1" x14ac:dyDescent="0.25">
      <c r="A426" s="329" t="s">
        <v>287</v>
      </c>
      <c r="B426" s="330" t="s">
        <v>287</v>
      </c>
      <c r="C426" s="298">
        <v>46253</v>
      </c>
      <c r="D426" s="299" t="s">
        <v>889</v>
      </c>
      <c r="E426" s="522">
        <v>219.38</v>
      </c>
      <c r="F426" s="522">
        <v>219.38</v>
      </c>
      <c r="G426" s="333">
        <f t="shared" si="13"/>
        <v>5872.5899999999911</v>
      </c>
      <c r="H426" s="334"/>
      <c r="I426" s="335"/>
      <c r="J426" s="336"/>
      <c r="K426" s="301"/>
      <c r="L426" s="336"/>
      <c r="M426" s="301"/>
      <c r="N426" s="336"/>
      <c r="O426" s="301"/>
      <c r="P426" s="336"/>
      <c r="Q426" s="301"/>
      <c r="R426" s="336"/>
      <c r="S426" s="301"/>
      <c r="T426" s="336"/>
    </row>
    <row r="427" spans="1:20" ht="12" customHeight="1" x14ac:dyDescent="0.25">
      <c r="A427" s="329" t="s">
        <v>294</v>
      </c>
      <c r="B427" s="330">
        <v>22</v>
      </c>
      <c r="C427" s="298">
        <v>46253</v>
      </c>
      <c r="D427" s="299" t="s">
        <v>921</v>
      </c>
      <c r="E427" s="522">
        <v>7.46</v>
      </c>
      <c r="F427" s="522"/>
      <c r="G427" s="333">
        <f t="shared" si="13"/>
        <v>5872.5899999999911</v>
      </c>
      <c r="H427" s="334"/>
      <c r="I427" s="335"/>
      <c r="J427" s="336"/>
      <c r="K427" s="301"/>
      <c r="L427" s="336"/>
      <c r="M427" s="301"/>
      <c r="N427" s="336"/>
      <c r="O427" s="301"/>
      <c r="P427" s="336"/>
      <c r="Q427" s="301"/>
      <c r="R427" s="336"/>
      <c r="S427" s="301"/>
      <c r="T427" s="336"/>
    </row>
    <row r="428" spans="1:20" ht="12" customHeight="1" x14ac:dyDescent="0.25">
      <c r="A428" s="329" t="s">
        <v>294</v>
      </c>
      <c r="B428" s="330">
        <v>22</v>
      </c>
      <c r="C428" s="298">
        <v>46253</v>
      </c>
      <c r="D428" s="299" t="s">
        <v>323</v>
      </c>
      <c r="E428" s="522">
        <v>23.42</v>
      </c>
      <c r="F428" s="522"/>
      <c r="G428" s="333">
        <f t="shared" ref="G428:G430" si="14">G429-E428+F428</f>
        <v>5880.0499999999911</v>
      </c>
      <c r="H428" s="334"/>
      <c r="I428" s="335"/>
      <c r="J428" s="336"/>
      <c r="K428" s="301"/>
      <c r="L428" s="336"/>
      <c r="M428" s="301"/>
      <c r="N428" s="336"/>
      <c r="O428" s="301"/>
      <c r="P428" s="336"/>
      <c r="Q428" s="301"/>
      <c r="R428" s="336"/>
      <c r="S428" s="301"/>
      <c r="T428" s="336"/>
    </row>
    <row r="429" spans="1:20" ht="12" customHeight="1" x14ac:dyDescent="0.25">
      <c r="A429" s="329" t="s">
        <v>289</v>
      </c>
      <c r="B429" s="330">
        <v>8</v>
      </c>
      <c r="C429" s="298">
        <v>46252</v>
      </c>
      <c r="D429" s="299" t="s">
        <v>319</v>
      </c>
      <c r="E429" s="522">
        <v>13</v>
      </c>
      <c r="F429" s="522"/>
      <c r="G429" s="333">
        <f t="shared" si="14"/>
        <v>5903.4699999999912</v>
      </c>
      <c r="H429" s="334"/>
      <c r="I429" s="335"/>
      <c r="J429" s="336"/>
      <c r="K429" s="301"/>
      <c r="L429" s="336"/>
      <c r="M429" s="301"/>
      <c r="N429" s="336"/>
      <c r="O429" s="301"/>
      <c r="P429" s="336"/>
      <c r="Q429" s="301"/>
      <c r="R429" s="336"/>
      <c r="S429" s="301"/>
      <c r="T429" s="336"/>
    </row>
    <row r="430" spans="1:20" ht="12" customHeight="1" x14ac:dyDescent="0.25">
      <c r="A430" s="329" t="s">
        <v>294</v>
      </c>
      <c r="B430" s="330">
        <v>22</v>
      </c>
      <c r="C430" s="298">
        <v>46252</v>
      </c>
      <c r="D430" s="299" t="s">
        <v>928</v>
      </c>
      <c r="E430" s="522">
        <v>13.84</v>
      </c>
      <c r="F430" s="522"/>
      <c r="G430" s="333">
        <f t="shared" si="14"/>
        <v>5916.4699999999912</v>
      </c>
      <c r="H430" s="334"/>
      <c r="I430" s="335"/>
      <c r="J430" s="336"/>
      <c r="K430" s="301"/>
      <c r="L430" s="336"/>
      <c r="M430" s="301"/>
      <c r="N430" s="336"/>
      <c r="O430" s="301"/>
      <c r="P430" s="336"/>
      <c r="Q430" s="301"/>
      <c r="R430" s="336"/>
      <c r="S430" s="301"/>
      <c r="T430" s="336"/>
    </row>
    <row r="431" spans="1:20" ht="12" customHeight="1" x14ac:dyDescent="0.25">
      <c r="A431" s="329" t="s">
        <v>287</v>
      </c>
      <c r="B431" s="330" t="s">
        <v>287</v>
      </c>
      <c r="C431" s="298">
        <v>46252</v>
      </c>
      <c r="D431" s="299" t="s">
        <v>1018</v>
      </c>
      <c r="E431" s="522">
        <v>2518.46</v>
      </c>
      <c r="F431" s="522">
        <v>2518.46</v>
      </c>
      <c r="G431" s="333">
        <f t="shared" ref="G431:G493" si="15">G432-E431+F431</f>
        <v>5930.3099999999913</v>
      </c>
      <c r="H431" s="334"/>
      <c r="I431" s="335"/>
      <c r="J431" s="336"/>
      <c r="K431" s="301"/>
      <c r="L431" s="336"/>
      <c r="M431" s="301"/>
      <c r="N431" s="336"/>
      <c r="O431" s="301"/>
      <c r="P431" s="336"/>
      <c r="Q431" s="301"/>
      <c r="R431" s="336"/>
      <c r="S431" s="301"/>
      <c r="T431" s="336"/>
    </row>
    <row r="432" spans="1:20" ht="12" customHeight="1" x14ac:dyDescent="0.25">
      <c r="A432" s="329" t="s">
        <v>289</v>
      </c>
      <c r="B432" s="330">
        <v>6</v>
      </c>
      <c r="C432" s="298">
        <v>46252</v>
      </c>
      <c r="D432" s="299" t="s">
        <v>322</v>
      </c>
      <c r="E432" s="522">
        <v>25</v>
      </c>
      <c r="F432" s="522"/>
      <c r="G432" s="333">
        <f t="shared" si="15"/>
        <v>5930.3099999999913</v>
      </c>
      <c r="H432" s="334"/>
      <c r="I432" s="335"/>
      <c r="J432" s="336"/>
      <c r="K432" s="301"/>
      <c r="L432" s="336"/>
      <c r="M432" s="301"/>
      <c r="N432" s="336"/>
      <c r="O432" s="301"/>
      <c r="P432" s="336"/>
      <c r="Q432" s="301"/>
      <c r="R432" s="336"/>
      <c r="S432" s="301"/>
      <c r="T432" s="336"/>
    </row>
    <row r="433" spans="1:20" ht="12" customHeight="1" x14ac:dyDescent="0.25">
      <c r="A433" s="329" t="s">
        <v>294</v>
      </c>
      <c r="B433" s="330">
        <v>21</v>
      </c>
      <c r="C433" s="298">
        <v>46251</v>
      </c>
      <c r="D433" s="299" t="s">
        <v>194</v>
      </c>
      <c r="E433" s="522">
        <v>81</v>
      </c>
      <c r="F433" s="522"/>
      <c r="G433" s="333">
        <f t="shared" si="15"/>
        <v>5955.3099999999913</v>
      </c>
      <c r="H433" s="334"/>
      <c r="I433" s="335"/>
      <c r="J433" s="336"/>
      <c r="K433" s="301"/>
      <c r="L433" s="336"/>
      <c r="M433" s="301"/>
      <c r="N433" s="336"/>
      <c r="O433" s="301"/>
      <c r="P433" s="336"/>
      <c r="Q433" s="301"/>
      <c r="R433" s="336"/>
      <c r="S433" s="301"/>
      <c r="T433" s="336"/>
    </row>
    <row r="434" spans="1:20" ht="12" customHeight="1" x14ac:dyDescent="0.25">
      <c r="A434" s="329" t="s">
        <v>294</v>
      </c>
      <c r="B434" s="330">
        <v>42</v>
      </c>
      <c r="C434" s="298">
        <v>46251</v>
      </c>
      <c r="D434" s="299" t="s">
        <v>333</v>
      </c>
      <c r="E434" s="522">
        <v>22.35</v>
      </c>
      <c r="F434" s="522"/>
      <c r="G434" s="333">
        <f t="shared" si="15"/>
        <v>6036.3099999999913</v>
      </c>
      <c r="H434" s="334"/>
      <c r="I434" s="335"/>
      <c r="J434" s="336"/>
      <c r="K434" s="301"/>
      <c r="L434" s="336"/>
      <c r="M434" s="301"/>
      <c r="N434" s="336"/>
      <c r="O434" s="301"/>
      <c r="P434" s="336"/>
      <c r="Q434" s="301"/>
      <c r="R434" s="336"/>
      <c r="S434" s="301"/>
      <c r="T434" s="336"/>
    </row>
    <row r="435" spans="1:20" ht="12" customHeight="1" x14ac:dyDescent="0.25">
      <c r="A435" s="329" t="s">
        <v>294</v>
      </c>
      <c r="B435" s="330">
        <v>43</v>
      </c>
      <c r="C435" s="298">
        <v>46251</v>
      </c>
      <c r="D435" s="299" t="s">
        <v>333</v>
      </c>
      <c r="E435" s="522">
        <v>22.35</v>
      </c>
      <c r="F435" s="522"/>
      <c r="G435" s="333">
        <f t="shared" si="15"/>
        <v>6058.6599999999917</v>
      </c>
      <c r="H435" s="334"/>
      <c r="I435" s="335"/>
      <c r="J435" s="336"/>
      <c r="K435" s="301"/>
      <c r="L435" s="336"/>
      <c r="M435" s="301"/>
      <c r="N435" s="336"/>
      <c r="O435" s="301"/>
      <c r="P435" s="336"/>
      <c r="Q435" s="301"/>
      <c r="R435" s="336"/>
      <c r="S435" s="301"/>
      <c r="T435" s="336"/>
    </row>
    <row r="436" spans="1:20" ht="12" customHeight="1" x14ac:dyDescent="0.25">
      <c r="A436" s="329" t="s">
        <v>289</v>
      </c>
      <c r="B436" s="330">
        <v>1</v>
      </c>
      <c r="C436" s="298">
        <v>46251</v>
      </c>
      <c r="D436" s="299" t="s">
        <v>329</v>
      </c>
      <c r="E436" s="522">
        <v>120</v>
      </c>
      <c r="F436" s="522"/>
      <c r="G436" s="333">
        <f t="shared" si="15"/>
        <v>6081.009999999992</v>
      </c>
      <c r="H436" s="334"/>
      <c r="I436" s="335"/>
      <c r="J436" s="336"/>
      <c r="K436" s="301"/>
      <c r="L436" s="336"/>
      <c r="M436" s="301"/>
      <c r="N436" s="336"/>
      <c r="O436" s="301"/>
      <c r="P436" s="336"/>
      <c r="Q436" s="301"/>
      <c r="R436" s="336"/>
      <c r="S436" s="301"/>
      <c r="T436" s="336"/>
    </row>
    <row r="437" spans="1:20" ht="12" customHeight="1" x14ac:dyDescent="0.25">
      <c r="A437" s="329" t="s">
        <v>289</v>
      </c>
      <c r="B437" s="330">
        <v>2</v>
      </c>
      <c r="C437" s="298">
        <v>46251</v>
      </c>
      <c r="D437" s="299" t="s">
        <v>332</v>
      </c>
      <c r="E437" s="522">
        <v>15.5</v>
      </c>
      <c r="F437" s="522"/>
      <c r="G437" s="333">
        <f t="shared" si="15"/>
        <v>6201.009999999992</v>
      </c>
      <c r="H437" s="334"/>
      <c r="I437" s="335"/>
      <c r="J437" s="336"/>
      <c r="K437" s="301"/>
      <c r="L437" s="336"/>
      <c r="M437" s="301"/>
      <c r="N437" s="336"/>
      <c r="O437" s="301"/>
      <c r="P437" s="336"/>
      <c r="Q437" s="301"/>
      <c r="R437" s="336"/>
      <c r="S437" s="301"/>
      <c r="T437" s="336"/>
    </row>
    <row r="438" spans="1:20" ht="12" customHeight="1" x14ac:dyDescent="0.25">
      <c r="A438" s="329" t="s">
        <v>289</v>
      </c>
      <c r="B438" s="330">
        <v>6</v>
      </c>
      <c r="C438" s="298">
        <v>46251</v>
      </c>
      <c r="D438" s="299" t="s">
        <v>1001</v>
      </c>
      <c r="E438" s="522">
        <v>30</v>
      </c>
      <c r="F438" s="522"/>
      <c r="G438" s="333">
        <f t="shared" si="15"/>
        <v>6216.509999999992</v>
      </c>
      <c r="H438" s="334" t="s">
        <v>298</v>
      </c>
      <c r="I438" s="335"/>
      <c r="J438" s="336"/>
      <c r="K438" s="301"/>
      <c r="L438" s="336"/>
      <c r="M438" s="301"/>
      <c r="N438" s="336"/>
      <c r="O438" s="301"/>
      <c r="P438" s="336"/>
      <c r="Q438" s="301"/>
      <c r="R438" s="336"/>
      <c r="S438" s="301"/>
      <c r="T438" s="336"/>
    </row>
    <row r="439" spans="1:20" ht="12" customHeight="1" x14ac:dyDescent="0.25">
      <c r="A439" s="329" t="s">
        <v>294</v>
      </c>
      <c r="B439" s="330">
        <v>17</v>
      </c>
      <c r="C439" s="298">
        <v>46251</v>
      </c>
      <c r="D439" s="299" t="s">
        <v>188</v>
      </c>
      <c r="E439" s="522">
        <v>42.65</v>
      </c>
      <c r="F439" s="522"/>
      <c r="G439" s="333">
        <f t="shared" si="15"/>
        <v>6246.509999999992</v>
      </c>
      <c r="H439" s="334"/>
      <c r="I439" s="335"/>
      <c r="J439" s="336"/>
      <c r="K439" s="301"/>
      <c r="L439" s="336"/>
      <c r="M439" s="301"/>
      <c r="N439" s="336"/>
      <c r="O439" s="301"/>
      <c r="P439" s="336"/>
      <c r="Q439" s="301"/>
      <c r="R439" s="336"/>
      <c r="S439" s="301"/>
      <c r="T439" s="336"/>
    </row>
    <row r="440" spans="1:20" ht="12" customHeight="1" x14ac:dyDescent="0.25">
      <c r="A440" s="329" t="s">
        <v>294</v>
      </c>
      <c r="B440" s="330">
        <v>11</v>
      </c>
      <c r="C440" s="298">
        <v>46251</v>
      </c>
      <c r="D440" s="299" t="s">
        <v>178</v>
      </c>
      <c r="E440" s="522">
        <v>256.83999999999997</v>
      </c>
      <c r="F440" s="522"/>
      <c r="G440" s="333">
        <f t="shared" si="15"/>
        <v>6289.1599999999917</v>
      </c>
      <c r="H440" s="334"/>
      <c r="I440" s="335"/>
      <c r="J440" s="336"/>
      <c r="K440" s="301"/>
      <c r="L440" s="336"/>
      <c r="M440" s="301"/>
      <c r="N440" s="336"/>
      <c r="O440" s="301"/>
      <c r="P440" s="336"/>
      <c r="Q440" s="301"/>
      <c r="R440" s="336"/>
      <c r="S440" s="301"/>
      <c r="T440" s="336"/>
    </row>
    <row r="441" spans="1:20" ht="12" customHeight="1" x14ac:dyDescent="0.25">
      <c r="A441" s="329" t="s">
        <v>294</v>
      </c>
      <c r="B441" s="330">
        <v>23</v>
      </c>
      <c r="C441" s="298">
        <v>46251</v>
      </c>
      <c r="D441" s="299" t="s">
        <v>63</v>
      </c>
      <c r="E441" s="522">
        <v>529.46</v>
      </c>
      <c r="F441" s="522"/>
      <c r="G441" s="333">
        <f t="shared" si="15"/>
        <v>6545.9999999999918</v>
      </c>
      <c r="H441" s="334"/>
      <c r="I441" s="335"/>
      <c r="J441" s="336"/>
      <c r="K441" s="301"/>
      <c r="L441" s="336"/>
      <c r="M441" s="301"/>
      <c r="N441" s="336"/>
      <c r="O441" s="301"/>
      <c r="P441" s="336"/>
      <c r="Q441" s="301"/>
      <c r="R441" s="336"/>
      <c r="S441" s="301"/>
      <c r="T441" s="336"/>
    </row>
    <row r="442" spans="1:20" ht="12" customHeight="1" x14ac:dyDescent="0.25">
      <c r="A442" s="329" t="s">
        <v>289</v>
      </c>
      <c r="B442" s="330">
        <v>1</v>
      </c>
      <c r="C442" s="298">
        <v>46250</v>
      </c>
      <c r="D442" s="299" t="s">
        <v>1019</v>
      </c>
      <c r="E442" s="522">
        <v>25.5</v>
      </c>
      <c r="F442" s="522"/>
      <c r="G442" s="333">
        <f t="shared" si="15"/>
        <v>7075.4599999999919</v>
      </c>
      <c r="H442" s="334"/>
      <c r="I442" s="335"/>
      <c r="J442" s="336"/>
      <c r="K442" s="301"/>
      <c r="L442" s="336"/>
      <c r="M442" s="301"/>
      <c r="N442" s="336"/>
      <c r="O442" s="301"/>
      <c r="P442" s="336"/>
      <c r="Q442" s="301"/>
      <c r="R442" s="336"/>
      <c r="S442" s="301"/>
      <c r="T442" s="336"/>
    </row>
    <row r="443" spans="1:20" ht="12" customHeight="1" x14ac:dyDescent="0.25">
      <c r="A443" s="329" t="s">
        <v>289</v>
      </c>
      <c r="B443" s="330">
        <v>5</v>
      </c>
      <c r="C443" s="298">
        <v>46250</v>
      </c>
      <c r="D443" s="299" t="s">
        <v>339</v>
      </c>
      <c r="E443" s="522">
        <v>21.3</v>
      </c>
      <c r="F443" s="522"/>
      <c r="G443" s="333">
        <f t="shared" si="15"/>
        <v>7100.9599999999919</v>
      </c>
      <c r="H443" s="334"/>
      <c r="I443" s="335"/>
      <c r="J443" s="336"/>
      <c r="K443" s="301"/>
      <c r="L443" s="336"/>
      <c r="M443" s="301"/>
      <c r="N443" s="336"/>
      <c r="O443" s="301"/>
      <c r="P443" s="336"/>
      <c r="Q443" s="301"/>
      <c r="R443" s="336"/>
      <c r="S443" s="301"/>
      <c r="T443" s="336"/>
    </row>
    <row r="444" spans="1:20" ht="12" customHeight="1" x14ac:dyDescent="0.25">
      <c r="A444" s="329" t="s">
        <v>289</v>
      </c>
      <c r="B444" s="330">
        <v>1</v>
      </c>
      <c r="C444" s="298">
        <v>46250</v>
      </c>
      <c r="D444" s="299" t="s">
        <v>1019</v>
      </c>
      <c r="E444" s="522">
        <v>28.1</v>
      </c>
      <c r="F444" s="522"/>
      <c r="G444" s="333">
        <f t="shared" si="15"/>
        <v>7122.259999999992</v>
      </c>
      <c r="H444" s="334"/>
      <c r="I444" s="335"/>
      <c r="J444" s="336"/>
      <c r="K444" s="301"/>
      <c r="L444" s="336"/>
      <c r="M444" s="301"/>
      <c r="N444" s="336"/>
      <c r="O444" s="301"/>
      <c r="P444" s="336"/>
      <c r="Q444" s="301"/>
      <c r="R444" s="336"/>
      <c r="S444" s="301"/>
      <c r="T444" s="336"/>
    </row>
    <row r="445" spans="1:20" ht="12" customHeight="1" x14ac:dyDescent="0.25">
      <c r="A445" s="329" t="s">
        <v>289</v>
      </c>
      <c r="B445" s="330">
        <v>8</v>
      </c>
      <c r="C445" s="298">
        <v>46250</v>
      </c>
      <c r="D445" s="299" t="s">
        <v>319</v>
      </c>
      <c r="E445" s="522">
        <v>13.58</v>
      </c>
      <c r="F445" s="522"/>
      <c r="G445" s="333">
        <f t="shared" si="15"/>
        <v>7150.3599999999924</v>
      </c>
      <c r="H445" s="334"/>
      <c r="I445" s="335"/>
      <c r="J445" s="336"/>
      <c r="K445" s="301"/>
      <c r="L445" s="336"/>
      <c r="M445" s="301"/>
      <c r="N445" s="336"/>
      <c r="O445" s="301"/>
      <c r="P445" s="336"/>
      <c r="Q445" s="301"/>
      <c r="R445" s="336"/>
      <c r="S445" s="301"/>
      <c r="T445" s="336"/>
    </row>
    <row r="446" spans="1:20" ht="12" customHeight="1" x14ac:dyDescent="0.25">
      <c r="A446" s="329" t="s">
        <v>289</v>
      </c>
      <c r="B446" s="330">
        <v>7</v>
      </c>
      <c r="C446" s="298">
        <v>46250</v>
      </c>
      <c r="D446" s="299" t="s">
        <v>300</v>
      </c>
      <c r="E446" s="522">
        <v>85.15</v>
      </c>
      <c r="F446" s="522"/>
      <c r="G446" s="333">
        <f t="shared" si="15"/>
        <v>7163.9399999999923</v>
      </c>
      <c r="H446" s="334"/>
      <c r="I446" s="335"/>
      <c r="J446" s="336"/>
      <c r="K446" s="301"/>
      <c r="L446" s="336"/>
      <c r="M446" s="301"/>
      <c r="N446" s="336"/>
      <c r="O446" s="301"/>
      <c r="P446" s="336"/>
      <c r="Q446" s="301"/>
      <c r="R446" s="336"/>
      <c r="S446" s="301"/>
      <c r="T446" s="336"/>
    </row>
    <row r="447" spans="1:20" ht="12" customHeight="1" x14ac:dyDescent="0.25">
      <c r="A447" s="329" t="s">
        <v>289</v>
      </c>
      <c r="B447" s="330">
        <v>6</v>
      </c>
      <c r="C447" s="298">
        <v>46250</v>
      </c>
      <c r="D447" s="299" t="s">
        <v>300</v>
      </c>
      <c r="E447" s="522">
        <v>33</v>
      </c>
      <c r="F447" s="522"/>
      <c r="G447" s="333">
        <f t="shared" si="15"/>
        <v>7249.089999999992</v>
      </c>
      <c r="H447" s="334"/>
      <c r="I447" s="335"/>
      <c r="J447" s="336"/>
      <c r="K447" s="301"/>
      <c r="L447" s="336"/>
      <c r="M447" s="301"/>
      <c r="N447" s="336"/>
      <c r="O447" s="301"/>
      <c r="P447" s="336"/>
      <c r="Q447" s="301"/>
      <c r="R447" s="336"/>
      <c r="S447" s="301"/>
      <c r="T447" s="336"/>
    </row>
    <row r="448" spans="1:20" ht="12" customHeight="1" x14ac:dyDescent="0.25">
      <c r="A448" s="329" t="s">
        <v>289</v>
      </c>
      <c r="B448" s="330">
        <v>1</v>
      </c>
      <c r="C448" s="298">
        <v>46249</v>
      </c>
      <c r="D448" s="299" t="s">
        <v>829</v>
      </c>
      <c r="E448" s="522">
        <v>72.239999999999995</v>
      </c>
      <c r="F448" s="522"/>
      <c r="G448" s="333">
        <f t="shared" si="15"/>
        <v>7282.089999999992</v>
      </c>
      <c r="H448" s="334"/>
      <c r="I448" s="335"/>
      <c r="J448" s="336"/>
      <c r="K448" s="301"/>
      <c r="L448" s="336"/>
      <c r="M448" s="301"/>
      <c r="N448" s="336"/>
      <c r="O448" s="301"/>
      <c r="P448" s="336"/>
      <c r="Q448" s="301"/>
      <c r="R448" s="336"/>
      <c r="S448" s="301"/>
      <c r="T448" s="336"/>
    </row>
    <row r="449" spans="1:20" ht="12" customHeight="1" x14ac:dyDescent="0.25">
      <c r="A449" s="329" t="s">
        <v>289</v>
      </c>
      <c r="B449" s="330">
        <v>1</v>
      </c>
      <c r="C449" s="298">
        <v>46249</v>
      </c>
      <c r="D449" s="299" t="s">
        <v>427</v>
      </c>
      <c r="E449" s="522">
        <v>46</v>
      </c>
      <c r="F449" s="522"/>
      <c r="G449" s="333">
        <f t="shared" si="15"/>
        <v>7354.3299999999917</v>
      </c>
      <c r="H449" s="334"/>
      <c r="I449" s="335"/>
      <c r="J449" s="336"/>
      <c r="K449" s="301"/>
      <c r="L449" s="336"/>
      <c r="M449" s="301"/>
      <c r="N449" s="336"/>
      <c r="O449" s="301"/>
      <c r="P449" s="336"/>
      <c r="Q449" s="301"/>
      <c r="R449" s="336"/>
      <c r="S449" s="301"/>
      <c r="T449" s="336"/>
    </row>
    <row r="450" spans="1:20" ht="12" customHeight="1" x14ac:dyDescent="0.25">
      <c r="A450" s="329" t="s">
        <v>289</v>
      </c>
      <c r="B450" s="330">
        <v>4</v>
      </c>
      <c r="C450" s="298">
        <v>46249</v>
      </c>
      <c r="D450" s="299" t="s">
        <v>329</v>
      </c>
      <c r="E450" s="522">
        <v>32.06</v>
      </c>
      <c r="F450" s="522"/>
      <c r="G450" s="333">
        <f t="shared" si="15"/>
        <v>7400.3299999999917</v>
      </c>
      <c r="H450" s="334"/>
      <c r="I450" s="335"/>
      <c r="J450" s="336"/>
      <c r="K450" s="301"/>
      <c r="L450" s="336"/>
      <c r="M450" s="301"/>
      <c r="N450" s="336"/>
      <c r="O450" s="301"/>
      <c r="P450" s="336"/>
      <c r="Q450" s="301"/>
      <c r="R450" s="336"/>
      <c r="S450" s="301"/>
      <c r="T450" s="336"/>
    </row>
    <row r="451" spans="1:20" ht="12" customHeight="1" x14ac:dyDescent="0.25">
      <c r="A451" s="329" t="s">
        <v>289</v>
      </c>
      <c r="B451" s="330">
        <v>6</v>
      </c>
      <c r="C451" s="298">
        <v>46249</v>
      </c>
      <c r="D451" s="299" t="s">
        <v>300</v>
      </c>
      <c r="E451" s="522">
        <v>18.079999999999998</v>
      </c>
      <c r="F451" s="522"/>
      <c r="G451" s="333">
        <f t="shared" si="15"/>
        <v>7432.3899999999921</v>
      </c>
      <c r="H451" s="334"/>
      <c r="I451" s="335"/>
      <c r="J451" s="336"/>
      <c r="K451" s="301"/>
      <c r="L451" s="336"/>
      <c r="M451" s="301"/>
      <c r="N451" s="336"/>
      <c r="O451" s="301"/>
      <c r="P451" s="336"/>
      <c r="Q451" s="301"/>
      <c r="R451" s="336"/>
      <c r="S451" s="301"/>
      <c r="T451" s="336"/>
    </row>
    <row r="452" spans="1:20" ht="12" customHeight="1" x14ac:dyDescent="0.25">
      <c r="A452" s="329" t="s">
        <v>289</v>
      </c>
      <c r="B452" s="330">
        <v>7</v>
      </c>
      <c r="C452" s="298">
        <v>46248</v>
      </c>
      <c r="D452" s="299" t="s">
        <v>1020</v>
      </c>
      <c r="E452" s="522">
        <v>37.26</v>
      </c>
      <c r="F452" s="522"/>
      <c r="G452" s="333">
        <f t="shared" si="15"/>
        <v>7450.4699999999921</v>
      </c>
      <c r="H452" s="334"/>
      <c r="I452" s="335"/>
      <c r="J452" s="336"/>
      <c r="K452" s="301"/>
      <c r="L452" s="336"/>
      <c r="M452" s="301"/>
      <c r="N452" s="336"/>
      <c r="O452" s="301"/>
      <c r="P452" s="336"/>
      <c r="Q452" s="301"/>
      <c r="R452" s="336"/>
      <c r="S452" s="301"/>
      <c r="T452" s="336"/>
    </row>
    <row r="453" spans="1:20" ht="12" customHeight="1" x14ac:dyDescent="0.25">
      <c r="A453" s="329" t="s">
        <v>289</v>
      </c>
      <c r="B453" s="330">
        <v>7</v>
      </c>
      <c r="C453" s="298">
        <v>46248</v>
      </c>
      <c r="D453" s="299" t="s">
        <v>443</v>
      </c>
      <c r="E453" s="522">
        <v>151.94</v>
      </c>
      <c r="F453" s="522"/>
      <c r="G453" s="333">
        <f t="shared" si="15"/>
        <v>7487.7299999999923</v>
      </c>
      <c r="H453" s="334"/>
      <c r="I453" s="335"/>
      <c r="J453" s="336"/>
      <c r="K453" s="301"/>
      <c r="L453" s="336"/>
      <c r="M453" s="301"/>
      <c r="N453" s="336"/>
      <c r="O453" s="301"/>
      <c r="P453" s="336"/>
      <c r="Q453" s="301"/>
      <c r="R453" s="336"/>
      <c r="S453" s="301"/>
      <c r="T453" s="336"/>
    </row>
    <row r="454" spans="1:20" ht="12" customHeight="1" x14ac:dyDescent="0.25">
      <c r="A454" s="329" t="s">
        <v>291</v>
      </c>
      <c r="B454" s="330">
        <v>38</v>
      </c>
      <c r="C454" s="298">
        <v>46248</v>
      </c>
      <c r="D454" s="299" t="s">
        <v>293</v>
      </c>
      <c r="E454" s="522"/>
      <c r="F454" s="522">
        <v>4729.33</v>
      </c>
      <c r="G454" s="333">
        <f t="shared" si="15"/>
        <v>7639.6699999999919</v>
      </c>
      <c r="H454" s="334"/>
      <c r="I454" s="335"/>
      <c r="J454" s="336"/>
      <c r="K454" s="301"/>
      <c r="L454" s="336"/>
      <c r="M454" s="301"/>
      <c r="N454" s="336"/>
      <c r="O454" s="301"/>
      <c r="P454" s="336"/>
      <c r="Q454" s="301"/>
      <c r="R454" s="336"/>
      <c r="S454" s="301"/>
      <c r="T454" s="336"/>
    </row>
    <row r="455" spans="1:20" ht="12" customHeight="1" x14ac:dyDescent="0.25">
      <c r="A455" s="329" t="s">
        <v>289</v>
      </c>
      <c r="B455" s="330">
        <v>8</v>
      </c>
      <c r="C455" s="298">
        <v>46247</v>
      </c>
      <c r="D455" s="299" t="s">
        <v>319</v>
      </c>
      <c r="E455" s="522">
        <v>237.21</v>
      </c>
      <c r="F455" s="522"/>
      <c r="G455" s="333">
        <f t="shared" si="15"/>
        <v>2910.339999999992</v>
      </c>
      <c r="H455" s="334"/>
      <c r="I455" s="335"/>
      <c r="J455" s="336"/>
      <c r="K455" s="301"/>
      <c r="L455" s="336"/>
      <c r="M455" s="301"/>
      <c r="N455" s="336"/>
      <c r="O455" s="301"/>
      <c r="P455" s="336"/>
      <c r="Q455" s="301"/>
      <c r="R455" s="336"/>
      <c r="S455" s="301"/>
      <c r="T455" s="336"/>
    </row>
    <row r="456" spans="1:20" ht="12" customHeight="1" x14ac:dyDescent="0.25">
      <c r="A456" s="329" t="s">
        <v>289</v>
      </c>
      <c r="B456" s="330">
        <v>6</v>
      </c>
      <c r="C456" s="298">
        <v>46246</v>
      </c>
      <c r="D456" s="299" t="s">
        <v>411</v>
      </c>
      <c r="E456" s="522">
        <v>-3.54</v>
      </c>
      <c r="F456" s="522"/>
      <c r="G456" s="333">
        <f t="shared" si="15"/>
        <v>3147.549999999992</v>
      </c>
      <c r="H456" s="334"/>
      <c r="I456" s="335"/>
      <c r="J456" s="336"/>
      <c r="K456" s="301"/>
      <c r="L456" s="336"/>
      <c r="M456" s="301"/>
      <c r="N456" s="336"/>
      <c r="O456" s="301"/>
      <c r="P456" s="336"/>
      <c r="Q456" s="301"/>
      <c r="R456" s="336"/>
      <c r="S456" s="301"/>
      <c r="T456" s="336"/>
    </row>
    <row r="457" spans="1:20" ht="12" customHeight="1" x14ac:dyDescent="0.25">
      <c r="A457" s="329" t="s">
        <v>294</v>
      </c>
      <c r="B457" s="330">
        <v>19</v>
      </c>
      <c r="C457" s="298">
        <v>46246</v>
      </c>
      <c r="D457" s="299" t="s">
        <v>191</v>
      </c>
      <c r="E457" s="522">
        <v>200</v>
      </c>
      <c r="F457" s="522"/>
      <c r="G457" s="333">
        <f t="shared" si="15"/>
        <v>3144.009999999992</v>
      </c>
      <c r="H457" s="334"/>
      <c r="I457" s="335"/>
      <c r="J457" s="336"/>
      <c r="K457" s="301"/>
      <c r="L457" s="336"/>
      <c r="M457" s="301"/>
      <c r="N457" s="336"/>
      <c r="O457" s="301"/>
      <c r="P457" s="336"/>
      <c r="Q457" s="301"/>
      <c r="R457" s="336"/>
      <c r="S457" s="301"/>
      <c r="T457" s="336"/>
    </row>
    <row r="458" spans="1:20" ht="12" customHeight="1" x14ac:dyDescent="0.25">
      <c r="A458" s="329" t="s">
        <v>335</v>
      </c>
      <c r="B458" s="330" t="s">
        <v>335</v>
      </c>
      <c r="C458" s="298">
        <v>46246</v>
      </c>
      <c r="D458" s="299" t="s">
        <v>185</v>
      </c>
      <c r="E458" s="522">
        <v>63.55</v>
      </c>
      <c r="F458" s="522"/>
      <c r="G458" s="333">
        <f t="shared" si="15"/>
        <v>3344.009999999992</v>
      </c>
      <c r="H458" s="334"/>
      <c r="I458" s="335"/>
      <c r="J458" s="336"/>
      <c r="K458" s="301"/>
      <c r="L458" s="336"/>
      <c r="M458" s="301"/>
      <c r="N458" s="336"/>
      <c r="O458" s="301"/>
      <c r="P458" s="336"/>
      <c r="Q458" s="301"/>
      <c r="R458" s="336"/>
      <c r="S458" s="301"/>
      <c r="T458" s="336"/>
    </row>
    <row r="459" spans="1:20" ht="12" customHeight="1" x14ac:dyDescent="0.25">
      <c r="A459" s="329" t="s">
        <v>294</v>
      </c>
      <c r="B459" s="330">
        <v>15</v>
      </c>
      <c r="C459" s="298">
        <v>46246</v>
      </c>
      <c r="D459" s="299" t="s">
        <v>185</v>
      </c>
      <c r="E459" s="522">
        <v>64.28</v>
      </c>
      <c r="F459" s="522"/>
      <c r="G459" s="333">
        <f t="shared" si="15"/>
        <v>3407.5599999999922</v>
      </c>
      <c r="H459" s="334"/>
      <c r="I459" s="335"/>
      <c r="J459" s="336"/>
      <c r="K459" s="301"/>
      <c r="L459" s="336"/>
      <c r="M459" s="301"/>
      <c r="N459" s="336"/>
      <c r="O459" s="301"/>
      <c r="P459" s="336"/>
      <c r="Q459" s="301"/>
      <c r="R459" s="336"/>
      <c r="S459" s="301"/>
      <c r="T459" s="336"/>
    </row>
    <row r="460" spans="1:20" ht="12" customHeight="1" x14ac:dyDescent="0.25">
      <c r="A460" s="329" t="s">
        <v>294</v>
      </c>
      <c r="B460" s="330">
        <v>22</v>
      </c>
      <c r="C460" s="298">
        <v>46245</v>
      </c>
      <c r="D460" s="299" t="s">
        <v>351</v>
      </c>
      <c r="E460" s="522">
        <v>21.29</v>
      </c>
      <c r="F460" s="522"/>
      <c r="G460" s="333">
        <f t="shared" si="15"/>
        <v>3471.8399999999924</v>
      </c>
      <c r="H460" s="334"/>
      <c r="I460" s="335"/>
      <c r="J460" s="336"/>
      <c r="K460" s="301"/>
      <c r="L460" s="336"/>
      <c r="M460" s="301"/>
      <c r="N460" s="336"/>
      <c r="O460" s="301"/>
      <c r="P460" s="336"/>
      <c r="Q460" s="301"/>
      <c r="R460" s="336"/>
      <c r="S460" s="301"/>
      <c r="T460" s="336"/>
    </row>
    <row r="461" spans="1:20" ht="12" customHeight="1" x14ac:dyDescent="0.25">
      <c r="A461" s="329" t="s">
        <v>289</v>
      </c>
      <c r="B461" s="330">
        <v>6</v>
      </c>
      <c r="C461" s="298">
        <v>46245</v>
      </c>
      <c r="D461" s="299" t="s">
        <v>426</v>
      </c>
      <c r="E461" s="522">
        <v>-130</v>
      </c>
      <c r="F461" s="522"/>
      <c r="G461" s="333">
        <f t="shared" si="15"/>
        <v>3493.1299999999924</v>
      </c>
      <c r="H461" s="334"/>
      <c r="I461" s="335"/>
      <c r="J461" s="336"/>
      <c r="K461" s="301"/>
      <c r="L461" s="336"/>
      <c r="M461" s="301"/>
      <c r="N461" s="336"/>
      <c r="O461" s="301"/>
      <c r="P461" s="336"/>
      <c r="Q461" s="301"/>
      <c r="R461" s="336"/>
      <c r="S461" s="301"/>
      <c r="T461" s="336"/>
    </row>
    <row r="462" spans="1:20" ht="12" customHeight="1" x14ac:dyDescent="0.25">
      <c r="A462" s="329" t="s">
        <v>291</v>
      </c>
      <c r="B462" s="330">
        <v>41</v>
      </c>
      <c r="C462" s="298">
        <v>46244</v>
      </c>
      <c r="D462" s="299" t="s">
        <v>1009</v>
      </c>
      <c r="E462" s="522"/>
      <c r="F462" s="522">
        <v>800</v>
      </c>
      <c r="G462" s="333">
        <f t="shared" si="15"/>
        <v>3363.1299999999924</v>
      </c>
      <c r="H462" s="334"/>
      <c r="I462" s="335"/>
      <c r="J462" s="336"/>
      <c r="K462" s="301"/>
      <c r="L462" s="336"/>
      <c r="M462" s="301"/>
      <c r="N462" s="336"/>
      <c r="O462" s="301"/>
      <c r="P462" s="336"/>
      <c r="Q462" s="301"/>
      <c r="R462" s="336"/>
      <c r="S462" s="301"/>
      <c r="T462" s="336"/>
    </row>
    <row r="463" spans="1:20" ht="12" customHeight="1" x14ac:dyDescent="0.25">
      <c r="A463" s="329" t="s">
        <v>294</v>
      </c>
      <c r="B463" s="330">
        <v>22</v>
      </c>
      <c r="C463" s="298">
        <v>46244</v>
      </c>
      <c r="D463" s="299" t="s">
        <v>977</v>
      </c>
      <c r="E463" s="522">
        <v>5.31</v>
      </c>
      <c r="F463" s="522"/>
      <c r="G463" s="333">
        <f t="shared" si="15"/>
        <v>2563.1299999999924</v>
      </c>
      <c r="H463" s="334"/>
      <c r="I463" s="335"/>
      <c r="J463" s="336"/>
      <c r="K463" s="301"/>
      <c r="L463" s="336"/>
      <c r="M463" s="301"/>
      <c r="N463" s="336"/>
      <c r="O463" s="301"/>
      <c r="P463" s="336"/>
      <c r="Q463" s="301"/>
      <c r="R463" s="336"/>
      <c r="S463" s="301"/>
      <c r="T463" s="336"/>
    </row>
    <row r="464" spans="1:20" ht="12" customHeight="1" x14ac:dyDescent="0.25">
      <c r="A464" s="329" t="s">
        <v>289</v>
      </c>
      <c r="B464" s="330">
        <v>8</v>
      </c>
      <c r="C464" s="298">
        <v>46244</v>
      </c>
      <c r="D464" s="299" t="s">
        <v>319</v>
      </c>
      <c r="E464" s="522">
        <v>9.5</v>
      </c>
      <c r="F464" s="522"/>
      <c r="G464" s="333">
        <f t="shared" si="15"/>
        <v>2568.4399999999923</v>
      </c>
      <c r="H464" s="334"/>
      <c r="I464" s="335"/>
      <c r="J464" s="336"/>
      <c r="K464" s="301"/>
      <c r="L464" s="336"/>
      <c r="M464" s="301"/>
      <c r="N464" s="336"/>
      <c r="O464" s="301"/>
      <c r="P464" s="336"/>
      <c r="Q464" s="301"/>
      <c r="R464" s="336"/>
      <c r="S464" s="301"/>
      <c r="T464" s="336"/>
    </row>
    <row r="465" spans="1:20" ht="12" customHeight="1" x14ac:dyDescent="0.25">
      <c r="A465" s="329" t="s">
        <v>289</v>
      </c>
      <c r="B465" s="330">
        <v>2</v>
      </c>
      <c r="C465" s="298">
        <v>46244</v>
      </c>
      <c r="D465" s="299" t="s">
        <v>334</v>
      </c>
      <c r="E465" s="522">
        <v>16.16</v>
      </c>
      <c r="F465" s="522"/>
      <c r="G465" s="333">
        <f t="shared" si="15"/>
        <v>2577.9399999999923</v>
      </c>
      <c r="H465" s="334"/>
      <c r="I465" s="335"/>
      <c r="J465" s="336"/>
      <c r="K465" s="301"/>
      <c r="L465" s="336"/>
      <c r="M465" s="301"/>
      <c r="N465" s="336"/>
      <c r="O465" s="301"/>
      <c r="P465" s="336"/>
      <c r="Q465" s="301"/>
      <c r="R465" s="336"/>
      <c r="S465" s="301"/>
      <c r="T465" s="336"/>
    </row>
    <row r="466" spans="1:20" ht="12" customHeight="1" x14ac:dyDescent="0.25">
      <c r="A466" s="329" t="s">
        <v>289</v>
      </c>
      <c r="B466" s="330">
        <v>5</v>
      </c>
      <c r="C466" s="298">
        <v>46243</v>
      </c>
      <c r="D466" s="299" t="s">
        <v>852</v>
      </c>
      <c r="E466" s="522">
        <v>10.68</v>
      </c>
      <c r="F466" s="522"/>
      <c r="G466" s="333">
        <f t="shared" si="15"/>
        <v>2594.0999999999922</v>
      </c>
      <c r="H466" s="334"/>
      <c r="I466" s="335"/>
      <c r="J466" s="336"/>
      <c r="K466" s="301"/>
      <c r="L466" s="336"/>
      <c r="M466" s="301"/>
      <c r="N466" s="336"/>
      <c r="O466" s="301"/>
      <c r="P466" s="336"/>
      <c r="Q466" s="301"/>
      <c r="R466" s="336"/>
      <c r="S466" s="301"/>
      <c r="T466" s="336"/>
    </row>
    <row r="467" spans="1:20" ht="12" customHeight="1" x14ac:dyDescent="0.25">
      <c r="A467" s="329" t="s">
        <v>287</v>
      </c>
      <c r="B467" s="330" t="s">
        <v>287</v>
      </c>
      <c r="C467" s="298">
        <v>46243</v>
      </c>
      <c r="D467" s="299" t="s">
        <v>843</v>
      </c>
      <c r="E467" s="522">
        <v>116.04</v>
      </c>
      <c r="F467" s="522">
        <v>116.04</v>
      </c>
      <c r="G467" s="333">
        <f t="shared" si="15"/>
        <v>2604.779999999992</v>
      </c>
      <c r="H467" s="334"/>
      <c r="I467" s="335"/>
      <c r="J467" s="336"/>
      <c r="K467" s="301"/>
      <c r="L467" s="336"/>
      <c r="M467" s="301"/>
      <c r="N467" s="336"/>
      <c r="O467" s="301"/>
      <c r="P467" s="336"/>
      <c r="Q467" s="301"/>
      <c r="R467" s="336"/>
      <c r="S467" s="301"/>
      <c r="T467" s="336"/>
    </row>
    <row r="468" spans="1:20" ht="12" customHeight="1" x14ac:dyDescent="0.25">
      <c r="A468" s="329" t="s">
        <v>289</v>
      </c>
      <c r="B468" s="330">
        <v>1</v>
      </c>
      <c r="C468" s="298">
        <v>46243</v>
      </c>
      <c r="D468" s="299" t="s">
        <v>306</v>
      </c>
      <c r="E468" s="522">
        <v>228.43</v>
      </c>
      <c r="F468" s="522"/>
      <c r="G468" s="333">
        <f t="shared" si="15"/>
        <v>2604.779999999992</v>
      </c>
      <c r="H468" s="334"/>
      <c r="I468" s="335"/>
      <c r="J468" s="336"/>
      <c r="K468" s="301"/>
      <c r="L468" s="336"/>
      <c r="M468" s="301"/>
      <c r="N468" s="336"/>
      <c r="O468" s="301"/>
      <c r="P468" s="336"/>
      <c r="Q468" s="301"/>
      <c r="R468" s="336"/>
      <c r="S468" s="301"/>
      <c r="T468" s="336"/>
    </row>
    <row r="469" spans="1:20" ht="12" customHeight="1" x14ac:dyDescent="0.25">
      <c r="A469" s="329" t="s">
        <v>289</v>
      </c>
      <c r="B469" s="330">
        <v>4</v>
      </c>
      <c r="C469" s="298">
        <v>46242</v>
      </c>
      <c r="D469" s="299" t="s">
        <v>319</v>
      </c>
      <c r="E469" s="522">
        <v>39.92</v>
      </c>
      <c r="F469" s="522"/>
      <c r="G469" s="333">
        <f t="shared" si="15"/>
        <v>2833.2099999999919</v>
      </c>
      <c r="H469" s="334"/>
      <c r="I469" s="335"/>
      <c r="J469" s="336"/>
      <c r="K469" s="301"/>
      <c r="L469" s="336"/>
      <c r="M469" s="301"/>
      <c r="N469" s="336"/>
      <c r="O469" s="301"/>
      <c r="P469" s="336"/>
      <c r="Q469" s="301"/>
      <c r="R469" s="336"/>
      <c r="S469" s="301"/>
      <c r="T469" s="336"/>
    </row>
    <row r="470" spans="1:20" ht="12" customHeight="1" x14ac:dyDescent="0.25">
      <c r="A470" s="329" t="s">
        <v>289</v>
      </c>
      <c r="B470" s="330">
        <v>4</v>
      </c>
      <c r="C470" s="298">
        <v>46242</v>
      </c>
      <c r="D470" s="299" t="s">
        <v>296</v>
      </c>
      <c r="E470" s="522">
        <v>73.16</v>
      </c>
      <c r="F470" s="522"/>
      <c r="G470" s="333">
        <f t="shared" si="15"/>
        <v>2873.1299999999919</v>
      </c>
      <c r="H470" s="334"/>
      <c r="I470" s="335"/>
      <c r="J470" s="336"/>
      <c r="K470" s="301"/>
      <c r="L470" s="336"/>
      <c r="M470" s="301"/>
      <c r="N470" s="336"/>
      <c r="O470" s="301"/>
      <c r="P470" s="336"/>
      <c r="Q470" s="301"/>
      <c r="R470" s="336"/>
      <c r="S470" s="301"/>
      <c r="T470" s="336"/>
    </row>
    <row r="471" spans="1:20" ht="12" customHeight="1" x14ac:dyDescent="0.25">
      <c r="A471" s="329" t="s">
        <v>289</v>
      </c>
      <c r="B471" s="330">
        <v>1</v>
      </c>
      <c r="C471" s="298">
        <v>46242</v>
      </c>
      <c r="D471" s="299" t="s">
        <v>300</v>
      </c>
      <c r="E471" s="522">
        <v>28.7</v>
      </c>
      <c r="F471" s="522"/>
      <c r="G471" s="333">
        <f t="shared" si="15"/>
        <v>2946.2899999999918</v>
      </c>
      <c r="H471" s="334"/>
      <c r="I471" s="335"/>
      <c r="J471" s="336"/>
      <c r="K471" s="301"/>
      <c r="L471" s="336"/>
      <c r="M471" s="301"/>
      <c r="N471" s="336"/>
      <c r="O471" s="301"/>
      <c r="P471" s="336"/>
      <c r="Q471" s="301"/>
      <c r="R471" s="336"/>
      <c r="S471" s="301"/>
      <c r="T471" s="336"/>
    </row>
    <row r="472" spans="1:20" ht="12" customHeight="1" x14ac:dyDescent="0.25">
      <c r="A472" s="329" t="s">
        <v>289</v>
      </c>
      <c r="B472" s="330">
        <v>2</v>
      </c>
      <c r="C472" s="298">
        <v>46242</v>
      </c>
      <c r="D472" s="299" t="s">
        <v>344</v>
      </c>
      <c r="E472" s="522">
        <v>121.55</v>
      </c>
      <c r="F472" s="522"/>
      <c r="G472" s="333">
        <f t="shared" si="15"/>
        <v>2974.9899999999916</v>
      </c>
      <c r="H472" s="334"/>
      <c r="I472" s="335"/>
      <c r="J472" s="336"/>
      <c r="K472" s="301"/>
      <c r="L472" s="336"/>
      <c r="M472" s="301"/>
      <c r="N472" s="336"/>
      <c r="O472" s="301"/>
      <c r="P472" s="336"/>
      <c r="Q472" s="301"/>
      <c r="R472" s="336"/>
      <c r="S472" s="301"/>
      <c r="T472" s="336"/>
    </row>
    <row r="473" spans="1:20" ht="12" customHeight="1" x14ac:dyDescent="0.25">
      <c r="A473" s="329" t="s">
        <v>289</v>
      </c>
      <c r="B473" s="330">
        <v>8</v>
      </c>
      <c r="C473" s="298">
        <v>46242</v>
      </c>
      <c r="D473" s="299" t="s">
        <v>1014</v>
      </c>
      <c r="E473" s="522">
        <v>25</v>
      </c>
      <c r="F473" s="522"/>
      <c r="G473" s="333">
        <f t="shared" si="15"/>
        <v>3096.5399999999918</v>
      </c>
      <c r="H473" s="334"/>
      <c r="I473" s="335"/>
      <c r="J473" s="336"/>
      <c r="K473" s="301"/>
      <c r="L473" s="336"/>
      <c r="M473" s="301"/>
      <c r="N473" s="336"/>
      <c r="O473" s="301"/>
      <c r="P473" s="336"/>
      <c r="Q473" s="301"/>
      <c r="R473" s="336"/>
      <c r="S473" s="301"/>
      <c r="T473" s="336"/>
    </row>
    <row r="474" spans="1:20" ht="12" customHeight="1" x14ac:dyDescent="0.25">
      <c r="A474" s="329" t="s">
        <v>289</v>
      </c>
      <c r="B474" s="330">
        <v>2</v>
      </c>
      <c r="C474" s="298">
        <v>46242</v>
      </c>
      <c r="D474" s="299" t="s">
        <v>352</v>
      </c>
      <c r="E474" s="522">
        <v>21.99</v>
      </c>
      <c r="F474" s="522"/>
      <c r="G474" s="333">
        <f t="shared" si="15"/>
        <v>3121.5399999999918</v>
      </c>
      <c r="H474" s="334"/>
      <c r="I474" s="335"/>
      <c r="J474" s="336"/>
      <c r="K474" s="301"/>
      <c r="L474" s="336"/>
      <c r="M474" s="301"/>
      <c r="N474" s="336"/>
      <c r="O474" s="301"/>
      <c r="P474" s="336"/>
      <c r="Q474" s="301"/>
      <c r="R474" s="336"/>
      <c r="S474" s="301"/>
      <c r="T474" s="336"/>
    </row>
    <row r="475" spans="1:20" ht="12" customHeight="1" x14ac:dyDescent="0.25">
      <c r="A475" s="329" t="s">
        <v>289</v>
      </c>
      <c r="B475" s="330">
        <v>5</v>
      </c>
      <c r="C475" s="298">
        <v>46242</v>
      </c>
      <c r="D475" s="299" t="s">
        <v>1017</v>
      </c>
      <c r="E475" s="522">
        <v>60</v>
      </c>
      <c r="F475" s="522"/>
      <c r="G475" s="333">
        <f t="shared" si="15"/>
        <v>3143.5299999999916</v>
      </c>
      <c r="H475" s="334" t="s">
        <v>298</v>
      </c>
      <c r="I475" s="335"/>
      <c r="J475" s="336"/>
      <c r="K475" s="301"/>
      <c r="L475" s="336"/>
      <c r="M475" s="301"/>
      <c r="N475" s="336"/>
      <c r="O475" s="301"/>
      <c r="P475" s="336"/>
      <c r="Q475" s="301"/>
      <c r="R475" s="336"/>
      <c r="S475" s="301"/>
      <c r="T475" s="336"/>
    </row>
    <row r="476" spans="1:20" ht="12" customHeight="1" x14ac:dyDescent="0.25">
      <c r="A476" s="329" t="s">
        <v>289</v>
      </c>
      <c r="B476" s="330">
        <v>8</v>
      </c>
      <c r="C476" s="298">
        <v>46241</v>
      </c>
      <c r="D476" s="299" t="s">
        <v>319</v>
      </c>
      <c r="E476" s="522">
        <v>19.690000000000001</v>
      </c>
      <c r="F476" s="522"/>
      <c r="G476" s="333">
        <f t="shared" si="15"/>
        <v>3203.5299999999916</v>
      </c>
      <c r="H476" s="334"/>
      <c r="I476" s="335"/>
      <c r="J476" s="336"/>
      <c r="K476" s="301"/>
      <c r="L476" s="336"/>
      <c r="M476" s="301"/>
      <c r="N476" s="336"/>
      <c r="O476" s="301"/>
      <c r="P476" s="336"/>
      <c r="Q476" s="301"/>
      <c r="R476" s="336"/>
      <c r="S476" s="301"/>
      <c r="T476" s="336"/>
    </row>
    <row r="477" spans="1:20" ht="12" customHeight="1" x14ac:dyDescent="0.25">
      <c r="A477" s="329" t="s">
        <v>289</v>
      </c>
      <c r="B477" s="330">
        <v>2</v>
      </c>
      <c r="C477" s="298">
        <v>46241</v>
      </c>
      <c r="D477" s="299" t="s">
        <v>296</v>
      </c>
      <c r="E477" s="522">
        <v>8.93</v>
      </c>
      <c r="F477" s="522"/>
      <c r="G477" s="333">
        <f t="shared" si="15"/>
        <v>3223.2199999999916</v>
      </c>
      <c r="H477" s="334"/>
      <c r="I477" s="335"/>
      <c r="J477" s="336"/>
      <c r="K477" s="301"/>
      <c r="L477" s="336"/>
      <c r="M477" s="301"/>
      <c r="N477" s="336"/>
      <c r="O477" s="301"/>
      <c r="P477" s="336"/>
      <c r="Q477" s="301"/>
      <c r="R477" s="336"/>
      <c r="S477" s="301"/>
      <c r="T477" s="336"/>
    </row>
    <row r="478" spans="1:20" ht="12" customHeight="1" x14ac:dyDescent="0.25">
      <c r="A478" s="329" t="s">
        <v>289</v>
      </c>
      <c r="B478" s="330">
        <v>6</v>
      </c>
      <c r="C478" s="298">
        <v>46241</v>
      </c>
      <c r="D478" s="299" t="s">
        <v>320</v>
      </c>
      <c r="E478" s="522">
        <v>178.24</v>
      </c>
      <c r="F478" s="522"/>
      <c r="G478" s="333">
        <f t="shared" si="15"/>
        <v>3232.1499999999915</v>
      </c>
      <c r="H478" s="334"/>
      <c r="I478" s="335"/>
      <c r="J478" s="336"/>
      <c r="K478" s="301"/>
      <c r="L478" s="336"/>
      <c r="M478" s="301"/>
      <c r="N478" s="336"/>
      <c r="O478" s="301"/>
      <c r="P478" s="336"/>
      <c r="Q478" s="301"/>
      <c r="R478" s="336"/>
      <c r="S478" s="301"/>
      <c r="T478" s="336"/>
    </row>
    <row r="479" spans="1:20" ht="12" customHeight="1" x14ac:dyDescent="0.25">
      <c r="A479" s="329" t="s">
        <v>289</v>
      </c>
      <c r="B479" s="330">
        <v>2</v>
      </c>
      <c r="C479" s="298">
        <v>46241</v>
      </c>
      <c r="D479" s="299" t="s">
        <v>403</v>
      </c>
      <c r="E479" s="522">
        <v>107.68</v>
      </c>
      <c r="F479" s="522"/>
      <c r="G479" s="333">
        <f t="shared" si="15"/>
        <v>3410.3899999999917</v>
      </c>
      <c r="H479" s="334"/>
      <c r="I479" s="335"/>
      <c r="J479" s="336"/>
      <c r="K479" s="301"/>
      <c r="L479" s="336"/>
      <c r="M479" s="301"/>
      <c r="N479" s="336"/>
      <c r="O479" s="301"/>
      <c r="P479" s="336"/>
      <c r="Q479" s="301"/>
      <c r="R479" s="336"/>
      <c r="S479" s="301"/>
      <c r="T479" s="336"/>
    </row>
    <row r="480" spans="1:20" ht="12" customHeight="1" x14ac:dyDescent="0.25">
      <c r="A480" s="329" t="s">
        <v>335</v>
      </c>
      <c r="B480" s="330" t="s">
        <v>335</v>
      </c>
      <c r="C480" s="298">
        <v>46241</v>
      </c>
      <c r="D480" s="299" t="s">
        <v>182</v>
      </c>
      <c r="E480" s="522">
        <v>83.63</v>
      </c>
      <c r="F480" s="522"/>
      <c r="G480" s="333">
        <f t="shared" si="15"/>
        <v>3518.0699999999915</v>
      </c>
      <c r="H480" s="334"/>
      <c r="I480" s="335"/>
      <c r="J480" s="336"/>
      <c r="K480" s="301"/>
      <c r="L480" s="336"/>
      <c r="M480" s="301"/>
      <c r="N480" s="336"/>
      <c r="O480" s="301"/>
      <c r="P480" s="336"/>
      <c r="Q480" s="301"/>
      <c r="R480" s="336"/>
      <c r="S480" s="301"/>
      <c r="T480" s="336"/>
    </row>
    <row r="481" spans="1:20" ht="12" customHeight="1" x14ac:dyDescent="0.25">
      <c r="A481" s="329" t="s">
        <v>294</v>
      </c>
      <c r="B481" s="330">
        <v>9</v>
      </c>
      <c r="C481" s="298">
        <v>46241</v>
      </c>
      <c r="D481" s="299" t="s">
        <v>58</v>
      </c>
      <c r="E481" s="522">
        <v>1231.68</v>
      </c>
      <c r="F481" s="522"/>
      <c r="G481" s="333">
        <f t="shared" si="15"/>
        <v>3601.6999999999916</v>
      </c>
      <c r="H481" s="334"/>
      <c r="I481" s="335"/>
      <c r="J481" s="336"/>
      <c r="K481" s="301"/>
      <c r="L481" s="336"/>
      <c r="M481" s="301"/>
      <c r="N481" s="336"/>
      <c r="O481" s="301"/>
      <c r="P481" s="336"/>
      <c r="Q481" s="301"/>
      <c r="R481" s="336"/>
      <c r="S481" s="301"/>
      <c r="T481" s="336"/>
    </row>
    <row r="482" spans="1:20" ht="12" customHeight="1" x14ac:dyDescent="0.25">
      <c r="A482" s="329" t="s">
        <v>289</v>
      </c>
      <c r="B482" s="330">
        <v>2</v>
      </c>
      <c r="C482" s="298">
        <v>46240</v>
      </c>
      <c r="D482" s="299" t="s">
        <v>1015</v>
      </c>
      <c r="E482" s="522">
        <v>33.700000000000003</v>
      </c>
      <c r="F482" s="522"/>
      <c r="G482" s="333">
        <f t="shared" si="15"/>
        <v>4833.3799999999919</v>
      </c>
      <c r="H482" s="334"/>
      <c r="I482" s="335"/>
      <c r="J482" s="336"/>
      <c r="K482" s="301"/>
      <c r="L482" s="336"/>
      <c r="M482" s="301"/>
      <c r="N482" s="336"/>
      <c r="O482" s="301"/>
      <c r="P482" s="336"/>
      <c r="Q482" s="301"/>
      <c r="R482" s="336"/>
      <c r="S482" s="301"/>
      <c r="T482" s="336"/>
    </row>
    <row r="483" spans="1:20" ht="12" customHeight="1" x14ac:dyDescent="0.25">
      <c r="A483" s="329" t="s">
        <v>289</v>
      </c>
      <c r="B483" s="330">
        <v>8</v>
      </c>
      <c r="C483" s="298">
        <v>46240</v>
      </c>
      <c r="D483" s="299" t="s">
        <v>346</v>
      </c>
      <c r="E483" s="522">
        <v>23.33</v>
      </c>
      <c r="F483" s="522"/>
      <c r="G483" s="333">
        <f t="shared" si="15"/>
        <v>4867.0799999999917</v>
      </c>
      <c r="H483" s="334"/>
      <c r="I483" s="335"/>
      <c r="J483" s="336"/>
      <c r="K483" s="301"/>
      <c r="L483" s="336"/>
      <c r="M483" s="301"/>
      <c r="N483" s="336"/>
      <c r="O483" s="301"/>
      <c r="P483" s="336"/>
      <c r="Q483" s="301"/>
      <c r="R483" s="336"/>
      <c r="S483" s="301"/>
      <c r="T483" s="336"/>
    </row>
    <row r="484" spans="1:20" ht="12" customHeight="1" x14ac:dyDescent="0.25">
      <c r="A484" s="329" t="s">
        <v>294</v>
      </c>
      <c r="B484" s="330">
        <v>14</v>
      </c>
      <c r="C484" s="298">
        <v>46240</v>
      </c>
      <c r="D484" s="299" t="s">
        <v>956</v>
      </c>
      <c r="E484" s="522">
        <v>66.67</v>
      </c>
      <c r="F484" s="522"/>
      <c r="G484" s="333">
        <f t="shared" si="15"/>
        <v>4890.4099999999917</v>
      </c>
      <c r="H484" s="334"/>
      <c r="I484" s="335"/>
      <c r="J484" s="336"/>
      <c r="K484" s="301"/>
      <c r="L484" s="336"/>
      <c r="M484" s="301"/>
      <c r="N484" s="336"/>
      <c r="O484" s="301"/>
      <c r="P484" s="336"/>
      <c r="Q484" s="301"/>
      <c r="R484" s="336"/>
      <c r="S484" s="301"/>
      <c r="T484" s="336"/>
    </row>
    <row r="485" spans="1:20" ht="12" customHeight="1" x14ac:dyDescent="0.25">
      <c r="A485" s="329" t="s">
        <v>289</v>
      </c>
      <c r="B485" s="330">
        <v>6</v>
      </c>
      <c r="C485" s="298">
        <v>46240</v>
      </c>
      <c r="D485" s="299" t="s">
        <v>343</v>
      </c>
      <c r="E485" s="522">
        <v>75</v>
      </c>
      <c r="F485" s="522"/>
      <c r="G485" s="333">
        <f t="shared" si="15"/>
        <v>4957.0799999999917</v>
      </c>
      <c r="H485" s="334"/>
      <c r="I485" s="335"/>
      <c r="J485" s="336"/>
      <c r="K485" s="301"/>
      <c r="L485" s="336"/>
      <c r="M485" s="301"/>
      <c r="N485" s="336"/>
      <c r="O485" s="301"/>
      <c r="P485" s="336"/>
      <c r="Q485" s="301"/>
      <c r="R485" s="336"/>
      <c r="S485" s="301"/>
      <c r="T485" s="336"/>
    </row>
    <row r="486" spans="1:20" ht="12" customHeight="1" x14ac:dyDescent="0.25">
      <c r="A486" s="329" t="s">
        <v>294</v>
      </c>
      <c r="B486" s="330">
        <v>13</v>
      </c>
      <c r="C486" s="298">
        <v>46240</v>
      </c>
      <c r="D486" s="299" t="s">
        <v>182</v>
      </c>
      <c r="E486" s="522">
        <v>331.81</v>
      </c>
      <c r="F486" s="522"/>
      <c r="G486" s="333">
        <f t="shared" si="15"/>
        <v>5032.0799999999917</v>
      </c>
      <c r="H486" s="334"/>
      <c r="I486" s="335"/>
      <c r="J486" s="336"/>
      <c r="K486" s="301"/>
      <c r="L486" s="336"/>
      <c r="M486" s="301"/>
      <c r="N486" s="336"/>
      <c r="O486" s="301"/>
      <c r="P486" s="336"/>
      <c r="Q486" s="301"/>
      <c r="R486" s="336"/>
      <c r="S486" s="301"/>
      <c r="T486" s="336"/>
    </row>
    <row r="487" spans="1:20" ht="12" customHeight="1" x14ac:dyDescent="0.25">
      <c r="A487" s="329" t="s">
        <v>291</v>
      </c>
      <c r="B487" s="330">
        <v>39</v>
      </c>
      <c r="C487" s="298">
        <v>46240</v>
      </c>
      <c r="D487" s="299" t="s">
        <v>292</v>
      </c>
      <c r="E487" s="522"/>
      <c r="F487" s="522">
        <v>2763.78</v>
      </c>
      <c r="G487" s="333">
        <f t="shared" si="15"/>
        <v>5363.8899999999921</v>
      </c>
      <c r="H487" s="334"/>
      <c r="I487" s="335"/>
      <c r="J487" s="336"/>
      <c r="K487" s="301"/>
      <c r="L487" s="336"/>
      <c r="M487" s="301"/>
      <c r="N487" s="336"/>
      <c r="O487" s="301"/>
      <c r="P487" s="336"/>
      <c r="Q487" s="301"/>
      <c r="R487" s="336"/>
      <c r="S487" s="301"/>
      <c r="T487" s="336"/>
    </row>
    <row r="488" spans="1:20" ht="12" customHeight="1" x14ac:dyDescent="0.25">
      <c r="A488" s="329" t="s">
        <v>289</v>
      </c>
      <c r="B488" s="330">
        <v>2</v>
      </c>
      <c r="C488" s="298">
        <v>46239</v>
      </c>
      <c r="D488" s="299" t="s">
        <v>352</v>
      </c>
      <c r="E488" s="522">
        <v>36.549999999999997</v>
      </c>
      <c r="F488" s="522"/>
      <c r="G488" s="333">
        <f t="shared" si="15"/>
        <v>2600.1099999999915</v>
      </c>
      <c r="H488" s="334"/>
      <c r="I488" s="335"/>
      <c r="J488" s="336"/>
      <c r="K488" s="301"/>
      <c r="L488" s="336"/>
      <c r="M488" s="301"/>
      <c r="N488" s="336"/>
      <c r="O488" s="301"/>
      <c r="P488" s="336"/>
      <c r="Q488" s="301"/>
      <c r="R488" s="336"/>
      <c r="S488" s="301"/>
      <c r="T488" s="336"/>
    </row>
    <row r="489" spans="1:20" ht="12" customHeight="1" x14ac:dyDescent="0.25">
      <c r="A489" s="329" t="s">
        <v>289</v>
      </c>
      <c r="B489" s="330">
        <v>4</v>
      </c>
      <c r="C489" s="298">
        <v>46239</v>
      </c>
      <c r="D489" s="299" t="s">
        <v>310</v>
      </c>
      <c r="E489" s="522">
        <v>40.76</v>
      </c>
      <c r="F489" s="522"/>
      <c r="G489" s="333">
        <f t="shared" si="15"/>
        <v>2636.6599999999917</v>
      </c>
      <c r="H489" s="334"/>
      <c r="I489" s="335"/>
      <c r="J489" s="336"/>
      <c r="K489" s="301"/>
      <c r="L489" s="336"/>
      <c r="M489" s="301"/>
      <c r="N489" s="336"/>
      <c r="O489" s="301"/>
      <c r="P489" s="336"/>
      <c r="Q489" s="301"/>
      <c r="R489" s="336"/>
      <c r="S489" s="301"/>
      <c r="T489" s="336"/>
    </row>
    <row r="490" spans="1:20" ht="12" customHeight="1" x14ac:dyDescent="0.25">
      <c r="A490" s="329" t="s">
        <v>289</v>
      </c>
      <c r="B490" s="330">
        <v>3</v>
      </c>
      <c r="C490" s="298">
        <v>46239</v>
      </c>
      <c r="D490" s="299" t="s">
        <v>310</v>
      </c>
      <c r="E490" s="522">
        <v>5.86</v>
      </c>
      <c r="F490" s="522"/>
      <c r="G490" s="333">
        <f t="shared" si="15"/>
        <v>2677.4199999999919</v>
      </c>
      <c r="H490" s="334"/>
      <c r="I490" s="335"/>
      <c r="J490" s="336"/>
      <c r="K490" s="301"/>
      <c r="L490" s="336"/>
      <c r="M490" s="301"/>
      <c r="N490" s="336"/>
      <c r="O490" s="301"/>
      <c r="P490" s="336"/>
      <c r="Q490" s="301"/>
      <c r="R490" s="336"/>
      <c r="S490" s="301"/>
      <c r="T490" s="336"/>
    </row>
    <row r="491" spans="1:20" ht="12" customHeight="1" x14ac:dyDescent="0.25">
      <c r="A491" s="329" t="s">
        <v>289</v>
      </c>
      <c r="B491" s="330">
        <v>8</v>
      </c>
      <c r="C491" s="298">
        <v>46239</v>
      </c>
      <c r="D491" s="299" t="s">
        <v>296</v>
      </c>
      <c r="E491" s="522">
        <v>63.22</v>
      </c>
      <c r="F491" s="522"/>
      <c r="G491" s="333">
        <f t="shared" si="15"/>
        <v>2683.279999999992</v>
      </c>
      <c r="H491" s="334"/>
      <c r="I491" s="335"/>
      <c r="J491" s="336"/>
      <c r="K491" s="301"/>
      <c r="L491" s="336"/>
      <c r="M491" s="301"/>
      <c r="N491" s="336"/>
      <c r="O491" s="301"/>
      <c r="P491" s="336"/>
      <c r="Q491" s="301"/>
      <c r="R491" s="336"/>
      <c r="S491" s="301"/>
      <c r="T491" s="336"/>
    </row>
    <row r="492" spans="1:20" ht="12" customHeight="1" x14ac:dyDescent="0.25">
      <c r="A492" s="329" t="s">
        <v>289</v>
      </c>
      <c r="B492" s="330">
        <v>8</v>
      </c>
      <c r="C492" s="298">
        <v>46239</v>
      </c>
      <c r="D492" s="299" t="s">
        <v>1010</v>
      </c>
      <c r="E492" s="522">
        <v>49.41</v>
      </c>
      <c r="F492" s="522"/>
      <c r="G492" s="333">
        <f t="shared" si="15"/>
        <v>2746.4999999999918</v>
      </c>
      <c r="H492" s="334"/>
      <c r="I492" s="335"/>
      <c r="J492" s="336"/>
      <c r="K492" s="301"/>
      <c r="L492" s="336"/>
      <c r="M492" s="301"/>
      <c r="N492" s="336"/>
      <c r="O492" s="301"/>
      <c r="P492" s="336"/>
      <c r="Q492" s="301"/>
      <c r="R492" s="336"/>
      <c r="S492" s="301"/>
      <c r="T492" s="336"/>
    </row>
    <row r="493" spans="1:20" ht="12" customHeight="1" x14ac:dyDescent="0.25">
      <c r="A493" s="329" t="s">
        <v>289</v>
      </c>
      <c r="B493" s="330">
        <v>5</v>
      </c>
      <c r="C493" s="298">
        <v>46239</v>
      </c>
      <c r="D493" s="299" t="s">
        <v>1011</v>
      </c>
      <c r="E493" s="522">
        <v>-60</v>
      </c>
      <c r="F493" s="522"/>
      <c r="G493" s="333">
        <f t="shared" si="15"/>
        <v>2795.9099999999917</v>
      </c>
      <c r="H493" s="334" t="s">
        <v>298</v>
      </c>
      <c r="I493" s="335"/>
      <c r="J493" s="336"/>
      <c r="K493" s="301"/>
      <c r="L493" s="336"/>
      <c r="M493" s="301"/>
      <c r="N493" s="336"/>
      <c r="O493" s="301"/>
      <c r="P493" s="336"/>
      <c r="Q493" s="301"/>
      <c r="R493" s="336"/>
      <c r="S493" s="301"/>
      <c r="T493" s="336"/>
    </row>
    <row r="494" spans="1:20" ht="12" customHeight="1" x14ac:dyDescent="0.25">
      <c r="A494" s="329" t="s">
        <v>289</v>
      </c>
      <c r="B494" s="330">
        <v>5</v>
      </c>
      <c r="C494" s="298">
        <v>46239</v>
      </c>
      <c r="D494" s="299" t="s">
        <v>1011</v>
      </c>
      <c r="E494" s="522">
        <v>263.89</v>
      </c>
      <c r="F494" s="522"/>
      <c r="G494" s="333">
        <f t="shared" ref="G494:G524" si="16">G495-E494+F494</f>
        <v>2735.9099999999917</v>
      </c>
      <c r="H494" s="334"/>
      <c r="I494" s="335"/>
      <c r="J494" s="336"/>
      <c r="K494" s="301"/>
      <c r="L494" s="336"/>
      <c r="M494" s="301"/>
      <c r="N494" s="336"/>
      <c r="O494" s="301"/>
      <c r="P494" s="336"/>
      <c r="Q494" s="301"/>
      <c r="R494" s="336"/>
      <c r="S494" s="301"/>
      <c r="T494" s="336"/>
    </row>
    <row r="495" spans="1:20" ht="12" customHeight="1" x14ac:dyDescent="0.25">
      <c r="A495" s="329" t="s">
        <v>289</v>
      </c>
      <c r="B495" s="330">
        <v>5</v>
      </c>
      <c r="C495" s="298">
        <v>46239</v>
      </c>
      <c r="D495" s="299" t="s">
        <v>1012</v>
      </c>
      <c r="E495" s="522">
        <v>25</v>
      </c>
      <c r="F495" s="522"/>
      <c r="G495" s="333">
        <f t="shared" si="16"/>
        <v>2999.7999999999915</v>
      </c>
      <c r="H495" s="334"/>
      <c r="I495" s="335"/>
      <c r="J495" s="336"/>
      <c r="K495" s="301"/>
      <c r="L495" s="336"/>
      <c r="M495" s="301"/>
      <c r="N495" s="336"/>
      <c r="O495" s="301"/>
      <c r="P495" s="336"/>
      <c r="Q495" s="301"/>
      <c r="R495" s="336"/>
      <c r="S495" s="301"/>
      <c r="T495" s="336"/>
    </row>
    <row r="496" spans="1:20" ht="12" customHeight="1" x14ac:dyDescent="0.25">
      <c r="A496" s="329" t="s">
        <v>289</v>
      </c>
      <c r="B496" s="330">
        <v>8</v>
      </c>
      <c r="C496" s="298">
        <v>46239</v>
      </c>
      <c r="D496" s="299" t="s">
        <v>1013</v>
      </c>
      <c r="E496" s="522">
        <v>36.81</v>
      </c>
      <c r="F496" s="522"/>
      <c r="G496" s="333">
        <f t="shared" si="16"/>
        <v>3024.7999999999915</v>
      </c>
      <c r="H496" s="334"/>
      <c r="I496" s="335"/>
      <c r="J496" s="336"/>
      <c r="K496" s="301"/>
      <c r="L496" s="336"/>
      <c r="M496" s="301"/>
      <c r="N496" s="336"/>
      <c r="O496" s="301"/>
      <c r="P496" s="336"/>
      <c r="Q496" s="301"/>
      <c r="R496" s="336"/>
      <c r="S496" s="301"/>
      <c r="T496" s="336"/>
    </row>
    <row r="497" spans="1:20" ht="12" customHeight="1" x14ac:dyDescent="0.25">
      <c r="A497" s="329" t="s">
        <v>291</v>
      </c>
      <c r="B497" s="330">
        <v>40</v>
      </c>
      <c r="C497" s="298">
        <v>46239</v>
      </c>
      <c r="D497" s="299" t="s">
        <v>316</v>
      </c>
      <c r="E497" s="522"/>
      <c r="F497" s="522">
        <v>837.18</v>
      </c>
      <c r="G497" s="333">
        <f t="shared" si="16"/>
        <v>3061.6099999999915</v>
      </c>
      <c r="H497" s="334"/>
      <c r="I497" s="335"/>
      <c r="J497" s="336"/>
      <c r="K497" s="301"/>
      <c r="L497" s="336"/>
      <c r="M497" s="301"/>
      <c r="N497" s="336"/>
      <c r="O497" s="301"/>
      <c r="P497" s="336"/>
      <c r="Q497" s="301"/>
      <c r="R497" s="336"/>
      <c r="S497" s="301"/>
      <c r="T497" s="336"/>
    </row>
    <row r="498" spans="1:20" ht="12" customHeight="1" x14ac:dyDescent="0.25">
      <c r="A498" s="329" t="s">
        <v>289</v>
      </c>
      <c r="B498" s="330">
        <v>6</v>
      </c>
      <c r="C498" s="298">
        <v>46238</v>
      </c>
      <c r="D498" s="299" t="s">
        <v>1008</v>
      </c>
      <c r="E498" s="522">
        <v>10</v>
      </c>
      <c r="F498" s="522"/>
      <c r="G498" s="333">
        <f t="shared" si="16"/>
        <v>2224.4299999999917</v>
      </c>
      <c r="H498" s="334"/>
      <c r="I498" s="335"/>
      <c r="J498" s="336"/>
      <c r="K498" s="301"/>
      <c r="L498" s="336"/>
      <c r="M498" s="301"/>
      <c r="N498" s="336"/>
      <c r="O498" s="301"/>
      <c r="P498" s="336"/>
      <c r="Q498" s="301"/>
      <c r="R498" s="336"/>
      <c r="S498" s="301"/>
      <c r="T498" s="336"/>
    </row>
    <row r="499" spans="1:20" ht="12" customHeight="1" x14ac:dyDescent="0.25">
      <c r="A499" s="329" t="s">
        <v>294</v>
      </c>
      <c r="B499" s="330">
        <v>17</v>
      </c>
      <c r="C499" s="298">
        <v>46238</v>
      </c>
      <c r="D499" s="299" t="s">
        <v>369</v>
      </c>
      <c r="E499" s="522">
        <v>99</v>
      </c>
      <c r="F499" s="522"/>
      <c r="G499" s="333">
        <f t="shared" si="16"/>
        <v>2234.4299999999917</v>
      </c>
      <c r="H499" s="334"/>
      <c r="I499" s="335"/>
      <c r="J499" s="336"/>
      <c r="K499" s="301"/>
      <c r="L499" s="336"/>
      <c r="M499" s="301"/>
      <c r="N499" s="336"/>
      <c r="O499" s="301"/>
      <c r="P499" s="336"/>
      <c r="Q499" s="301"/>
      <c r="R499" s="336"/>
      <c r="S499" s="301"/>
      <c r="T499" s="336"/>
    </row>
    <row r="500" spans="1:20" ht="12" customHeight="1" x14ac:dyDescent="0.25">
      <c r="A500" s="329" t="s">
        <v>294</v>
      </c>
      <c r="B500" s="330">
        <v>14</v>
      </c>
      <c r="C500" s="298">
        <v>46238</v>
      </c>
      <c r="D500" s="299" t="s">
        <v>366</v>
      </c>
      <c r="E500" s="522">
        <v>70.25</v>
      </c>
      <c r="F500" s="522"/>
      <c r="G500" s="333">
        <f t="shared" si="16"/>
        <v>2333.4299999999917</v>
      </c>
      <c r="H500" s="334"/>
      <c r="I500" s="335"/>
      <c r="J500" s="336"/>
      <c r="K500" s="301"/>
      <c r="L500" s="336"/>
      <c r="M500" s="301"/>
      <c r="N500" s="336"/>
      <c r="O500" s="301"/>
      <c r="P500" s="336"/>
      <c r="Q500" s="301"/>
      <c r="R500" s="336"/>
      <c r="S500" s="301"/>
      <c r="T500" s="336"/>
    </row>
    <row r="501" spans="1:20" ht="12" customHeight="1" x14ac:dyDescent="0.25">
      <c r="A501" s="329" t="s">
        <v>284</v>
      </c>
      <c r="B501" s="330">
        <v>36</v>
      </c>
      <c r="C501" s="298">
        <v>46238</v>
      </c>
      <c r="D501" s="299" t="s">
        <v>373</v>
      </c>
      <c r="E501" s="522">
        <v>50</v>
      </c>
      <c r="F501" s="522"/>
      <c r="G501" s="333">
        <f t="shared" si="16"/>
        <v>2403.6799999999917</v>
      </c>
      <c r="H501" s="334"/>
      <c r="I501" s="335"/>
      <c r="J501" s="336"/>
      <c r="K501" s="301"/>
      <c r="L501" s="336"/>
      <c r="M501" s="301"/>
      <c r="N501" s="336"/>
      <c r="O501" s="301"/>
      <c r="P501" s="336"/>
      <c r="Q501" s="301"/>
      <c r="R501" s="336"/>
      <c r="S501" s="301"/>
      <c r="T501" s="336"/>
    </row>
    <row r="502" spans="1:20" ht="12" customHeight="1" x14ac:dyDescent="0.25">
      <c r="A502" s="329" t="s">
        <v>289</v>
      </c>
      <c r="B502" s="330">
        <v>4</v>
      </c>
      <c r="C502" s="298">
        <v>46237</v>
      </c>
      <c r="D502" s="299" t="s">
        <v>296</v>
      </c>
      <c r="E502" s="522">
        <v>41.93</v>
      </c>
      <c r="F502" s="522"/>
      <c r="G502" s="333">
        <f t="shared" si="16"/>
        <v>2453.6799999999917</v>
      </c>
      <c r="H502" s="334"/>
      <c r="I502" s="335"/>
      <c r="J502" s="336"/>
      <c r="K502" s="301"/>
      <c r="L502" s="336"/>
      <c r="M502" s="301"/>
      <c r="N502" s="336"/>
      <c r="O502" s="301"/>
      <c r="P502" s="336"/>
      <c r="Q502" s="301"/>
      <c r="R502" s="336"/>
      <c r="S502" s="301"/>
      <c r="T502" s="336"/>
    </row>
    <row r="503" spans="1:20" ht="12" customHeight="1" x14ac:dyDescent="0.25">
      <c r="A503" s="329" t="s">
        <v>289</v>
      </c>
      <c r="B503" s="330">
        <v>2</v>
      </c>
      <c r="C503" s="298">
        <v>46237</v>
      </c>
      <c r="D503" s="299" t="s">
        <v>334</v>
      </c>
      <c r="E503" s="522">
        <v>15.09</v>
      </c>
      <c r="F503" s="522"/>
      <c r="G503" s="333">
        <f t="shared" si="16"/>
        <v>2495.6099999999915</v>
      </c>
      <c r="H503" s="334"/>
      <c r="I503" s="335"/>
      <c r="J503" s="336"/>
      <c r="K503" s="301"/>
      <c r="L503" s="336"/>
      <c r="M503" s="301"/>
      <c r="N503" s="336"/>
      <c r="O503" s="301"/>
      <c r="P503" s="336"/>
      <c r="Q503" s="301"/>
      <c r="R503" s="336"/>
      <c r="S503" s="301"/>
      <c r="T503" s="336"/>
    </row>
    <row r="504" spans="1:20" ht="12" customHeight="1" x14ac:dyDescent="0.25">
      <c r="A504" s="329" t="s">
        <v>294</v>
      </c>
      <c r="B504" s="330">
        <v>22</v>
      </c>
      <c r="C504" s="298">
        <v>46237</v>
      </c>
      <c r="D504" s="299" t="s">
        <v>951</v>
      </c>
      <c r="E504" s="522">
        <v>12.77</v>
      </c>
      <c r="F504" s="522"/>
      <c r="G504" s="333">
        <f t="shared" si="16"/>
        <v>2510.6999999999916</v>
      </c>
      <c r="H504" s="334"/>
      <c r="I504" s="335"/>
      <c r="J504" s="336"/>
      <c r="K504" s="301"/>
      <c r="L504" s="336"/>
      <c r="M504" s="301"/>
      <c r="N504" s="336"/>
      <c r="O504" s="301"/>
      <c r="P504" s="336"/>
      <c r="Q504" s="301"/>
      <c r="R504" s="336"/>
      <c r="S504" s="301"/>
      <c r="T504" s="336"/>
    </row>
    <row r="505" spans="1:20" ht="12" customHeight="1" x14ac:dyDescent="0.25">
      <c r="A505" s="329" t="s">
        <v>289</v>
      </c>
      <c r="B505" s="330">
        <v>1</v>
      </c>
      <c r="C505" s="298">
        <v>46236</v>
      </c>
      <c r="D505" s="299" t="s">
        <v>306</v>
      </c>
      <c r="E505" s="522">
        <v>132.79</v>
      </c>
      <c r="F505" s="522"/>
      <c r="G505" s="333">
        <f t="shared" si="16"/>
        <v>2523.4699999999916</v>
      </c>
      <c r="H505" s="334"/>
      <c r="I505" s="335"/>
      <c r="J505" s="336"/>
      <c r="K505" s="301"/>
      <c r="L505" s="336"/>
      <c r="M505" s="301"/>
      <c r="N505" s="336"/>
      <c r="O505" s="301"/>
      <c r="P505" s="336"/>
      <c r="Q505" s="301"/>
      <c r="R505" s="336"/>
      <c r="S505" s="301"/>
      <c r="T505" s="336"/>
    </row>
    <row r="506" spans="1:20" ht="12" customHeight="1" x14ac:dyDescent="0.25">
      <c r="A506" s="329" t="s">
        <v>289</v>
      </c>
      <c r="B506" s="330">
        <v>2</v>
      </c>
      <c r="C506" s="298">
        <v>46236</v>
      </c>
      <c r="D506" s="299" t="s">
        <v>357</v>
      </c>
      <c r="E506" s="522">
        <v>10.25</v>
      </c>
      <c r="F506" s="522"/>
      <c r="G506" s="333">
        <f t="shared" si="16"/>
        <v>2656.2599999999916</v>
      </c>
      <c r="H506" s="334"/>
      <c r="I506" s="335"/>
      <c r="J506" s="336"/>
      <c r="K506" s="301"/>
      <c r="L506" s="336"/>
      <c r="M506" s="301"/>
      <c r="N506" s="336"/>
      <c r="O506" s="301"/>
      <c r="P506" s="336"/>
      <c r="Q506" s="301"/>
      <c r="R506" s="336"/>
      <c r="S506" s="301"/>
      <c r="T506" s="336"/>
    </row>
    <row r="507" spans="1:20" ht="12" customHeight="1" x14ac:dyDescent="0.25">
      <c r="A507" s="329" t="s">
        <v>289</v>
      </c>
      <c r="B507" s="330">
        <v>6</v>
      </c>
      <c r="C507" s="298">
        <v>46236</v>
      </c>
      <c r="D507" s="299" t="s">
        <v>300</v>
      </c>
      <c r="E507" s="522">
        <v>24.48</v>
      </c>
      <c r="F507" s="522"/>
      <c r="G507" s="333">
        <f t="shared" si="16"/>
        <v>2666.5099999999916</v>
      </c>
      <c r="H507" s="334"/>
      <c r="I507" s="335"/>
      <c r="J507" s="336"/>
      <c r="K507" s="301"/>
      <c r="L507" s="336"/>
      <c r="M507" s="301"/>
      <c r="N507" s="336"/>
      <c r="O507" s="301"/>
      <c r="P507" s="336"/>
      <c r="Q507" s="301"/>
      <c r="R507" s="336"/>
      <c r="S507" s="301"/>
      <c r="T507" s="336"/>
    </row>
    <row r="508" spans="1:20" ht="12" customHeight="1" x14ac:dyDescent="0.25">
      <c r="A508" s="329" t="s">
        <v>289</v>
      </c>
      <c r="B508" s="330">
        <v>4</v>
      </c>
      <c r="C508" s="298">
        <v>46236</v>
      </c>
      <c r="D508" s="299" t="s">
        <v>453</v>
      </c>
      <c r="E508" s="522">
        <v>40.21</v>
      </c>
      <c r="F508" s="522"/>
      <c r="G508" s="333">
        <f t="shared" si="16"/>
        <v>2690.9899999999916</v>
      </c>
      <c r="H508" s="334"/>
      <c r="I508" s="335"/>
      <c r="J508" s="336"/>
      <c r="K508" s="301"/>
      <c r="L508" s="336"/>
      <c r="M508" s="301"/>
      <c r="N508" s="336"/>
      <c r="O508" s="301"/>
      <c r="P508" s="336"/>
      <c r="Q508" s="301"/>
      <c r="R508" s="336"/>
      <c r="S508" s="301"/>
      <c r="T508" s="336"/>
    </row>
    <row r="509" spans="1:20" ht="12" customHeight="1" x14ac:dyDescent="0.25">
      <c r="A509" s="329" t="s">
        <v>289</v>
      </c>
      <c r="B509" s="330">
        <v>8</v>
      </c>
      <c r="C509" s="298">
        <v>46235</v>
      </c>
      <c r="D509" s="299" t="s">
        <v>1006</v>
      </c>
      <c r="E509" s="522">
        <v>22.12</v>
      </c>
      <c r="F509" s="522"/>
      <c r="G509" s="333">
        <f t="shared" si="16"/>
        <v>2731.1999999999916</v>
      </c>
      <c r="H509" s="334"/>
      <c r="I509" s="335"/>
      <c r="J509" s="336"/>
      <c r="K509" s="301"/>
      <c r="L509" s="336"/>
      <c r="M509" s="301"/>
      <c r="N509" s="336"/>
      <c r="O509" s="301"/>
      <c r="P509" s="336"/>
      <c r="Q509" s="301"/>
      <c r="R509" s="336"/>
      <c r="S509" s="301"/>
      <c r="T509" s="336"/>
    </row>
    <row r="510" spans="1:20" ht="12" customHeight="1" x14ac:dyDescent="0.25">
      <c r="A510" s="329" t="s">
        <v>289</v>
      </c>
      <c r="B510" s="330">
        <v>5</v>
      </c>
      <c r="C510" s="298">
        <v>46235</v>
      </c>
      <c r="D510" s="299" t="s">
        <v>1007</v>
      </c>
      <c r="E510" s="522">
        <v>40</v>
      </c>
      <c r="F510" s="522"/>
      <c r="G510" s="333">
        <f t="shared" si="16"/>
        <v>2753.3199999999915</v>
      </c>
      <c r="H510" s="334"/>
      <c r="I510" s="335"/>
      <c r="J510" s="336"/>
      <c r="K510" s="301"/>
      <c r="L510" s="336"/>
      <c r="M510" s="301"/>
      <c r="N510" s="336"/>
      <c r="O510" s="301"/>
      <c r="P510" s="336"/>
      <c r="Q510" s="301"/>
      <c r="R510" s="336"/>
      <c r="S510" s="301"/>
      <c r="T510" s="336"/>
    </row>
    <row r="511" spans="1:20" ht="12" customHeight="1" x14ac:dyDescent="0.25">
      <c r="A511" s="329" t="s">
        <v>289</v>
      </c>
      <c r="B511" s="330">
        <v>8</v>
      </c>
      <c r="C511" s="298">
        <v>46235</v>
      </c>
      <c r="D511" s="299" t="s">
        <v>319</v>
      </c>
      <c r="E511" s="522">
        <v>8.86</v>
      </c>
      <c r="F511" s="522"/>
      <c r="G511" s="333">
        <f t="shared" si="16"/>
        <v>2793.3199999999915</v>
      </c>
      <c r="H511" s="334"/>
      <c r="I511" s="335"/>
      <c r="J511" s="336"/>
      <c r="K511" s="301"/>
      <c r="L511" s="336"/>
      <c r="M511" s="301"/>
      <c r="N511" s="336"/>
      <c r="O511" s="301"/>
      <c r="P511" s="336"/>
      <c r="Q511" s="301"/>
      <c r="R511" s="336"/>
      <c r="S511" s="301"/>
      <c r="T511" s="336"/>
    </row>
    <row r="512" spans="1:20" ht="12" customHeight="1" x14ac:dyDescent="0.25">
      <c r="A512" s="329" t="s">
        <v>289</v>
      </c>
      <c r="B512" s="330">
        <v>5</v>
      </c>
      <c r="C512" s="298">
        <v>46235</v>
      </c>
      <c r="D512" s="299" t="s">
        <v>482</v>
      </c>
      <c r="E512" s="522">
        <v>52.06</v>
      </c>
      <c r="F512" s="522"/>
      <c r="G512" s="333">
        <f t="shared" si="16"/>
        <v>2802.1799999999917</v>
      </c>
      <c r="H512" s="334"/>
      <c r="I512" s="335"/>
      <c r="J512" s="336"/>
      <c r="K512" s="301"/>
      <c r="L512" s="336"/>
      <c r="M512" s="301"/>
      <c r="N512" s="336"/>
      <c r="O512" s="301"/>
      <c r="P512" s="336"/>
      <c r="Q512" s="301"/>
      <c r="R512" s="336"/>
      <c r="S512" s="301"/>
      <c r="T512" s="336"/>
    </row>
    <row r="513" spans="1:20" ht="12" customHeight="1" x14ac:dyDescent="0.25">
      <c r="A513" s="329" t="s">
        <v>289</v>
      </c>
      <c r="B513" s="330">
        <v>6</v>
      </c>
      <c r="C513" s="298">
        <v>46235</v>
      </c>
      <c r="D513" s="299" t="s">
        <v>482</v>
      </c>
      <c r="E513" s="522">
        <v>52.06</v>
      </c>
      <c r="F513" s="522"/>
      <c r="G513" s="333">
        <f t="shared" si="16"/>
        <v>2854.2399999999916</v>
      </c>
      <c r="H513" s="334"/>
      <c r="I513" s="335"/>
      <c r="J513" s="336"/>
      <c r="K513" s="301"/>
      <c r="L513" s="336"/>
      <c r="M513" s="301"/>
      <c r="N513" s="336"/>
      <c r="O513" s="301"/>
      <c r="P513" s="336"/>
      <c r="Q513" s="301"/>
      <c r="R513" s="336"/>
      <c r="S513" s="301"/>
      <c r="T513" s="336"/>
    </row>
    <row r="514" spans="1:20" ht="12" customHeight="1" x14ac:dyDescent="0.25">
      <c r="A514" s="329" t="s">
        <v>294</v>
      </c>
      <c r="B514" s="330">
        <v>22</v>
      </c>
      <c r="C514" s="298">
        <v>46235</v>
      </c>
      <c r="D514" s="299" t="s">
        <v>374</v>
      </c>
      <c r="E514" s="522">
        <v>6.37</v>
      </c>
      <c r="F514" s="522"/>
      <c r="G514" s="333">
        <f t="shared" si="16"/>
        <v>2906.2999999999915</v>
      </c>
      <c r="H514" s="334"/>
      <c r="I514" s="335"/>
      <c r="J514" s="336"/>
      <c r="K514" s="301"/>
      <c r="L514" s="336"/>
      <c r="M514" s="301"/>
      <c r="N514" s="336"/>
      <c r="O514" s="301"/>
      <c r="P514" s="336"/>
      <c r="Q514" s="301"/>
      <c r="R514" s="336"/>
      <c r="S514" s="301"/>
      <c r="T514" s="336"/>
    </row>
    <row r="515" spans="1:20" ht="12" customHeight="1" x14ac:dyDescent="0.25">
      <c r="A515" s="329" t="s">
        <v>287</v>
      </c>
      <c r="B515" s="330" t="s">
        <v>287</v>
      </c>
      <c r="C515" s="298">
        <v>46235</v>
      </c>
      <c r="D515" s="299" t="s">
        <v>1005</v>
      </c>
      <c r="E515" s="522">
        <v>121.4</v>
      </c>
      <c r="F515" s="522">
        <v>121.4</v>
      </c>
      <c r="G515" s="333">
        <f t="shared" si="16"/>
        <v>2912.6699999999914</v>
      </c>
      <c r="H515" s="334"/>
      <c r="I515" s="335"/>
      <c r="J515" s="336"/>
      <c r="K515" s="301"/>
      <c r="L515" s="336"/>
      <c r="M515" s="301"/>
      <c r="N515" s="336"/>
      <c r="O515" s="301"/>
      <c r="P515" s="336"/>
      <c r="Q515" s="301"/>
      <c r="R515" s="336"/>
      <c r="S515" s="301"/>
      <c r="T515" s="336"/>
    </row>
    <row r="516" spans="1:20" ht="12" customHeight="1" x14ac:dyDescent="0.25">
      <c r="A516" s="329" t="s">
        <v>289</v>
      </c>
      <c r="B516" s="330">
        <v>6</v>
      </c>
      <c r="C516" s="298">
        <v>46235</v>
      </c>
      <c r="D516" s="299" t="s">
        <v>1016</v>
      </c>
      <c r="E516" s="522">
        <v>-25.39</v>
      </c>
      <c r="F516" s="522"/>
      <c r="G516" s="333">
        <f t="shared" si="16"/>
        <v>2912.6699999999914</v>
      </c>
      <c r="H516" s="334" t="s">
        <v>298</v>
      </c>
      <c r="I516" s="335"/>
      <c r="J516" s="336"/>
      <c r="K516" s="301"/>
      <c r="L516" s="336"/>
      <c r="M516" s="301"/>
      <c r="N516" s="336"/>
      <c r="O516" s="301"/>
      <c r="P516" s="336"/>
      <c r="Q516" s="301"/>
      <c r="R516" s="336"/>
      <c r="S516" s="301"/>
      <c r="T516" s="336"/>
    </row>
    <row r="517" spans="1:20" ht="12" customHeight="1" x14ac:dyDescent="0.25">
      <c r="A517" s="329" t="s">
        <v>287</v>
      </c>
      <c r="B517" s="330" t="s">
        <v>287</v>
      </c>
      <c r="C517" s="298">
        <v>46235</v>
      </c>
      <c r="D517" s="299" t="s">
        <v>984</v>
      </c>
      <c r="E517" s="522"/>
      <c r="F517" s="522">
        <v>174.61</v>
      </c>
      <c r="G517" s="333">
        <f t="shared" si="16"/>
        <v>2887.2799999999916</v>
      </c>
      <c r="H517" s="334" t="s">
        <v>298</v>
      </c>
      <c r="I517" s="335"/>
      <c r="J517" s="336"/>
      <c r="K517" s="301"/>
      <c r="L517" s="336"/>
      <c r="M517" s="301"/>
      <c r="N517" s="336"/>
      <c r="O517" s="301"/>
      <c r="P517" s="336"/>
      <c r="Q517" s="301"/>
      <c r="R517" s="336"/>
      <c r="S517" s="301"/>
      <c r="T517" s="336"/>
    </row>
    <row r="518" spans="1:20" ht="12" customHeight="1" x14ac:dyDescent="0.25">
      <c r="A518" s="329" t="s">
        <v>287</v>
      </c>
      <c r="B518" s="330" t="s">
        <v>287</v>
      </c>
      <c r="C518" s="298">
        <v>46235</v>
      </c>
      <c r="D518" s="299" t="s">
        <v>984</v>
      </c>
      <c r="E518" s="522">
        <v>174.61</v>
      </c>
      <c r="F518" s="522"/>
      <c r="G518" s="333">
        <f t="shared" si="16"/>
        <v>2712.6699999999914</v>
      </c>
      <c r="H518" s="334"/>
      <c r="I518" s="335"/>
      <c r="J518" s="336"/>
      <c r="K518" s="301"/>
      <c r="L518" s="336"/>
      <c r="M518" s="301"/>
      <c r="N518" s="336"/>
      <c r="O518" s="301"/>
      <c r="P518" s="336"/>
      <c r="Q518" s="301"/>
      <c r="R518" s="336"/>
      <c r="S518" s="301"/>
      <c r="T518" s="336"/>
    </row>
    <row r="519" spans="1:20" ht="12" customHeight="1" x14ac:dyDescent="0.25">
      <c r="A519" s="329" t="s">
        <v>284</v>
      </c>
      <c r="B519" s="330">
        <v>37</v>
      </c>
      <c r="C519" s="298">
        <v>46234</v>
      </c>
      <c r="D519" s="299" t="s">
        <v>1002</v>
      </c>
      <c r="E519" s="522">
        <v>8746.27</v>
      </c>
      <c r="F519" s="522"/>
      <c r="G519" s="333">
        <f t="shared" si="16"/>
        <v>2887.2799999999916</v>
      </c>
      <c r="H519" s="334"/>
      <c r="I519" s="335"/>
      <c r="J519" s="336"/>
      <c r="K519" s="301"/>
      <c r="L519" s="336"/>
      <c r="M519" s="301"/>
      <c r="N519" s="336"/>
      <c r="O519" s="301"/>
      <c r="P519" s="336"/>
      <c r="Q519" s="301"/>
      <c r="R519" s="336"/>
      <c r="S519" s="301"/>
      <c r="T519" s="336"/>
    </row>
    <row r="520" spans="1:20" ht="12" customHeight="1" x14ac:dyDescent="0.25">
      <c r="A520" s="329" t="s">
        <v>286</v>
      </c>
      <c r="B520" s="330">
        <v>25</v>
      </c>
      <c r="C520" s="298">
        <v>46234</v>
      </c>
      <c r="D520" s="298" t="s">
        <v>204</v>
      </c>
      <c r="E520" s="331">
        <v>350</v>
      </c>
      <c r="F520" s="522"/>
      <c r="G520" s="333">
        <f t="shared" si="16"/>
        <v>11633.549999999992</v>
      </c>
      <c r="H520" s="334"/>
      <c r="I520" s="335"/>
      <c r="J520" s="336"/>
      <c r="K520" s="301"/>
      <c r="L520" s="336"/>
      <c r="M520" s="301"/>
      <c r="N520" s="336"/>
      <c r="O520" s="301"/>
      <c r="P520" s="336"/>
      <c r="Q520" s="301"/>
      <c r="R520" s="336"/>
      <c r="S520" s="301"/>
      <c r="T520" s="336"/>
    </row>
    <row r="521" spans="1:20" ht="12" customHeight="1" x14ac:dyDescent="0.25">
      <c r="A521" s="329" t="s">
        <v>286</v>
      </c>
      <c r="B521" s="330">
        <v>26</v>
      </c>
      <c r="C521" s="298">
        <v>46234</v>
      </c>
      <c r="D521" s="298" t="s">
        <v>205</v>
      </c>
      <c r="E521" s="331">
        <v>320</v>
      </c>
      <c r="F521" s="522"/>
      <c r="G521" s="333">
        <f t="shared" si="16"/>
        <v>11983.549999999992</v>
      </c>
      <c r="H521" s="334"/>
      <c r="I521" s="335"/>
      <c r="J521" s="336"/>
      <c r="K521" s="301"/>
      <c r="L521" s="336"/>
      <c r="M521" s="301"/>
      <c r="N521" s="336"/>
      <c r="O521" s="301"/>
      <c r="P521" s="336"/>
      <c r="Q521" s="301"/>
      <c r="R521" s="336"/>
      <c r="S521" s="301"/>
      <c r="T521" s="336"/>
    </row>
    <row r="522" spans="1:20" ht="12" customHeight="1" x14ac:dyDescent="0.25">
      <c r="A522" s="329" t="s">
        <v>286</v>
      </c>
      <c r="B522" s="330">
        <v>27</v>
      </c>
      <c r="C522" s="298">
        <v>46234</v>
      </c>
      <c r="D522" s="298" t="s">
        <v>206</v>
      </c>
      <c r="E522" s="331">
        <v>25</v>
      </c>
      <c r="F522" s="522"/>
      <c r="G522" s="333">
        <f t="shared" si="16"/>
        <v>12303.549999999992</v>
      </c>
      <c r="H522" s="334"/>
      <c r="I522" s="335"/>
      <c r="J522" s="336"/>
      <c r="K522" s="301"/>
      <c r="L522" s="336"/>
      <c r="M522" s="301"/>
      <c r="N522" s="336"/>
      <c r="O522" s="301"/>
      <c r="P522" s="336"/>
      <c r="Q522" s="301"/>
      <c r="R522" s="336"/>
      <c r="S522" s="301"/>
      <c r="T522" s="336"/>
    </row>
    <row r="523" spans="1:20" ht="12" customHeight="1" x14ac:dyDescent="0.25">
      <c r="A523" s="329" t="s">
        <v>286</v>
      </c>
      <c r="B523" s="330">
        <v>28</v>
      </c>
      <c r="C523" s="298">
        <v>46234</v>
      </c>
      <c r="D523" s="298" t="s">
        <v>207</v>
      </c>
      <c r="E523" s="331">
        <v>25</v>
      </c>
      <c r="F523" s="522"/>
      <c r="G523" s="333">
        <f t="shared" si="16"/>
        <v>12328.549999999992</v>
      </c>
      <c r="H523" s="334"/>
      <c r="I523" s="335"/>
      <c r="J523" s="336"/>
      <c r="K523" s="301"/>
      <c r="L523" s="336"/>
      <c r="M523" s="301"/>
      <c r="N523" s="336"/>
      <c r="O523" s="301"/>
      <c r="P523" s="336"/>
      <c r="Q523" s="301"/>
      <c r="R523" s="336"/>
      <c r="S523" s="301"/>
      <c r="T523" s="336"/>
    </row>
    <row r="524" spans="1:20" ht="12" customHeight="1" x14ac:dyDescent="0.25">
      <c r="A524" s="329" t="s">
        <v>286</v>
      </c>
      <c r="B524" s="330">
        <v>29</v>
      </c>
      <c r="C524" s="298">
        <v>46234</v>
      </c>
      <c r="D524" s="298" t="s">
        <v>208</v>
      </c>
      <c r="E524" s="331">
        <v>45</v>
      </c>
      <c r="F524" s="522"/>
      <c r="G524" s="333">
        <f t="shared" si="16"/>
        <v>12353.549999999992</v>
      </c>
      <c r="H524" s="334"/>
      <c r="I524" s="335"/>
      <c r="J524" s="336"/>
      <c r="K524" s="301"/>
      <c r="L524" s="336"/>
      <c r="M524" s="301"/>
      <c r="N524" s="336"/>
      <c r="O524" s="301"/>
      <c r="P524" s="336"/>
      <c r="Q524" s="301"/>
      <c r="R524" s="336"/>
      <c r="S524" s="301"/>
      <c r="T524" s="336"/>
    </row>
    <row r="525" spans="1:20" ht="12" customHeight="1" x14ac:dyDescent="0.25">
      <c r="A525" s="329" t="s">
        <v>286</v>
      </c>
      <c r="B525" s="330">
        <v>30</v>
      </c>
      <c r="C525" s="298">
        <v>46234</v>
      </c>
      <c r="D525" s="298" t="s">
        <v>209</v>
      </c>
      <c r="E525" s="331">
        <v>400</v>
      </c>
      <c r="F525" s="522"/>
      <c r="G525" s="333">
        <f t="shared" ref="G525:G547" si="17">G526-E525+F525</f>
        <v>12398.549999999992</v>
      </c>
      <c r="H525" s="334"/>
      <c r="I525" s="335"/>
      <c r="J525" s="336"/>
      <c r="K525" s="301"/>
      <c r="L525" s="336"/>
      <c r="M525" s="301"/>
      <c r="N525" s="336"/>
      <c r="O525" s="301"/>
      <c r="P525" s="336"/>
      <c r="Q525" s="301"/>
      <c r="R525" s="336"/>
      <c r="S525" s="301"/>
      <c r="T525" s="336"/>
    </row>
    <row r="526" spans="1:20" ht="12" customHeight="1" x14ac:dyDescent="0.25">
      <c r="A526" s="329" t="s">
        <v>286</v>
      </c>
      <c r="B526" s="330">
        <v>31</v>
      </c>
      <c r="C526" s="298">
        <v>46234</v>
      </c>
      <c r="D526" s="298" t="s">
        <v>210</v>
      </c>
      <c r="E526" s="331">
        <v>375</v>
      </c>
      <c r="F526" s="522"/>
      <c r="G526" s="333">
        <f t="shared" si="17"/>
        <v>12798.549999999992</v>
      </c>
      <c r="H526" s="334"/>
      <c r="I526" s="335"/>
      <c r="J526" s="336"/>
      <c r="K526" s="301"/>
      <c r="L526" s="336"/>
      <c r="M526" s="301"/>
      <c r="N526" s="336"/>
      <c r="O526" s="301"/>
      <c r="P526" s="336"/>
      <c r="Q526" s="301"/>
      <c r="R526" s="336"/>
      <c r="S526" s="301"/>
      <c r="T526" s="336"/>
    </row>
    <row r="527" spans="1:20" ht="12" customHeight="1" x14ac:dyDescent="0.25">
      <c r="A527" s="329" t="s">
        <v>286</v>
      </c>
      <c r="B527" s="330">
        <v>32</v>
      </c>
      <c r="C527" s="298">
        <v>46234</v>
      </c>
      <c r="D527" s="298" t="s">
        <v>211</v>
      </c>
      <c r="E527" s="331">
        <v>100</v>
      </c>
      <c r="F527" s="522"/>
      <c r="G527" s="333">
        <f t="shared" si="17"/>
        <v>13173.549999999992</v>
      </c>
      <c r="H527" s="334"/>
      <c r="I527" s="335"/>
      <c r="J527" s="336"/>
      <c r="K527" s="301"/>
      <c r="L527" s="336"/>
      <c r="M527" s="301"/>
      <c r="N527" s="336"/>
      <c r="O527" s="301"/>
      <c r="P527" s="336"/>
      <c r="Q527" s="301"/>
      <c r="R527" s="336"/>
      <c r="S527" s="301"/>
      <c r="T527" s="336"/>
    </row>
    <row r="528" spans="1:20" ht="12" customHeight="1" x14ac:dyDescent="0.25">
      <c r="A528" s="329" t="s">
        <v>286</v>
      </c>
      <c r="B528" s="330">
        <v>33</v>
      </c>
      <c r="C528" s="298">
        <v>46234</v>
      </c>
      <c r="D528" s="298" t="s">
        <v>212</v>
      </c>
      <c r="E528" s="331">
        <v>85</v>
      </c>
      <c r="F528" s="522"/>
      <c r="G528" s="333">
        <f t="shared" si="17"/>
        <v>13273.549999999992</v>
      </c>
      <c r="H528" s="334"/>
      <c r="I528" s="335"/>
      <c r="J528" s="336"/>
      <c r="K528" s="301"/>
      <c r="L528" s="336"/>
      <c r="M528" s="301"/>
      <c r="N528" s="336"/>
      <c r="O528" s="301"/>
      <c r="P528" s="336"/>
      <c r="Q528" s="301"/>
      <c r="R528" s="336"/>
      <c r="S528" s="301"/>
      <c r="T528" s="336"/>
    </row>
    <row r="529" spans="1:20" ht="12" customHeight="1" x14ac:dyDescent="0.25">
      <c r="A529" s="329" t="s">
        <v>286</v>
      </c>
      <c r="B529" s="330">
        <v>34</v>
      </c>
      <c r="C529" s="298">
        <v>46234</v>
      </c>
      <c r="D529" s="298" t="s">
        <v>213</v>
      </c>
      <c r="E529" s="331">
        <v>230</v>
      </c>
      <c r="F529" s="522"/>
      <c r="G529" s="333">
        <f t="shared" si="17"/>
        <v>13358.549999999992</v>
      </c>
      <c r="H529" s="334"/>
      <c r="I529" s="335"/>
      <c r="J529" s="336"/>
      <c r="K529" s="301"/>
      <c r="L529" s="336"/>
      <c r="M529" s="301"/>
      <c r="N529" s="336"/>
      <c r="O529" s="301"/>
      <c r="P529" s="336"/>
      <c r="Q529" s="301"/>
      <c r="R529" s="336"/>
      <c r="S529" s="301"/>
      <c r="T529" s="336"/>
    </row>
    <row r="530" spans="1:20" ht="12" customHeight="1" x14ac:dyDescent="0.25">
      <c r="A530" s="329" t="s">
        <v>286</v>
      </c>
      <c r="B530" s="330">
        <v>35</v>
      </c>
      <c r="C530" s="298">
        <v>46234</v>
      </c>
      <c r="D530" s="298" t="s">
        <v>214</v>
      </c>
      <c r="E530" s="331">
        <v>45</v>
      </c>
      <c r="F530" s="522"/>
      <c r="G530" s="333">
        <f t="shared" si="17"/>
        <v>13588.549999999992</v>
      </c>
      <c r="H530" s="334"/>
      <c r="I530" s="335"/>
      <c r="J530" s="336"/>
      <c r="K530" s="301"/>
      <c r="L530" s="336"/>
      <c r="M530" s="301"/>
      <c r="N530" s="336"/>
      <c r="O530" s="301"/>
      <c r="P530" s="336"/>
      <c r="Q530" s="301"/>
      <c r="R530" s="336"/>
      <c r="S530" s="301"/>
      <c r="T530" s="336"/>
    </row>
    <row r="531" spans="1:20" ht="12" customHeight="1" x14ac:dyDescent="0.25">
      <c r="A531" s="329" t="s">
        <v>291</v>
      </c>
      <c r="B531" s="330">
        <v>38</v>
      </c>
      <c r="C531" s="298">
        <v>46234</v>
      </c>
      <c r="D531" s="299" t="s">
        <v>293</v>
      </c>
      <c r="E531" s="522"/>
      <c r="F531" s="522">
        <v>4720.8599999999997</v>
      </c>
      <c r="G531" s="333">
        <f t="shared" si="17"/>
        <v>13633.549999999992</v>
      </c>
      <c r="H531" s="334"/>
      <c r="I531" s="335"/>
      <c r="J531" s="336"/>
      <c r="K531" s="301"/>
      <c r="L531" s="336"/>
      <c r="M531" s="301"/>
      <c r="N531" s="336"/>
      <c r="O531" s="301"/>
      <c r="P531" s="336"/>
      <c r="Q531" s="301"/>
      <c r="R531" s="336"/>
      <c r="S531" s="301"/>
      <c r="T531" s="336"/>
    </row>
    <row r="532" spans="1:20" ht="12" customHeight="1" x14ac:dyDescent="0.25">
      <c r="A532" s="329" t="s">
        <v>294</v>
      </c>
      <c r="B532" s="330">
        <v>10</v>
      </c>
      <c r="C532" s="298">
        <v>46234</v>
      </c>
      <c r="D532" s="299" t="s">
        <v>176</v>
      </c>
      <c r="E532" s="522">
        <v>17.899999999999999</v>
      </c>
      <c r="F532" s="522"/>
      <c r="G532" s="333">
        <f t="shared" si="17"/>
        <v>8912.6899999999932</v>
      </c>
      <c r="H532" s="334"/>
      <c r="I532" s="335"/>
      <c r="J532" s="336"/>
      <c r="K532" s="301"/>
      <c r="L532" s="336"/>
      <c r="M532" s="301"/>
      <c r="N532" s="336"/>
      <c r="O532" s="301"/>
      <c r="P532" s="336"/>
      <c r="Q532" s="301"/>
      <c r="R532" s="336"/>
      <c r="S532" s="301"/>
      <c r="T532" s="336"/>
    </row>
    <row r="533" spans="1:20" ht="12" customHeight="1" x14ac:dyDescent="0.25">
      <c r="A533" s="329" t="s">
        <v>289</v>
      </c>
      <c r="B533" s="330">
        <v>5</v>
      </c>
      <c r="C533" s="298">
        <v>46233</v>
      </c>
      <c r="D533" s="299" t="s">
        <v>482</v>
      </c>
      <c r="E533" s="522">
        <v>20.59</v>
      </c>
      <c r="F533" s="522"/>
      <c r="G533" s="333">
        <f t="shared" si="17"/>
        <v>8930.5899999999929</v>
      </c>
      <c r="H533" s="334"/>
      <c r="I533" s="335"/>
      <c r="J533" s="336"/>
      <c r="K533" s="301"/>
      <c r="L533" s="336"/>
      <c r="M533" s="301"/>
      <c r="N533" s="336"/>
      <c r="O533" s="301"/>
      <c r="P533" s="336"/>
      <c r="Q533" s="301"/>
      <c r="R533" s="336"/>
      <c r="S533" s="301"/>
      <c r="T533" s="336"/>
    </row>
    <row r="534" spans="1:20" ht="12" customHeight="1" x14ac:dyDescent="0.25">
      <c r="A534" s="329" t="s">
        <v>289</v>
      </c>
      <c r="B534" s="330">
        <v>2</v>
      </c>
      <c r="C534" s="298">
        <v>46233</v>
      </c>
      <c r="D534" s="299" t="s">
        <v>385</v>
      </c>
      <c r="E534" s="522">
        <v>23.87</v>
      </c>
      <c r="F534" s="522"/>
      <c r="G534" s="333">
        <f t="shared" si="17"/>
        <v>8951.179999999993</v>
      </c>
      <c r="H534" s="334"/>
      <c r="I534" s="335"/>
      <c r="J534" s="336"/>
      <c r="K534" s="301"/>
      <c r="L534" s="336"/>
      <c r="M534" s="301"/>
      <c r="N534" s="336"/>
      <c r="O534" s="301"/>
      <c r="P534" s="336"/>
      <c r="Q534" s="301"/>
      <c r="R534" s="336"/>
      <c r="S534" s="301"/>
      <c r="T534" s="336"/>
    </row>
    <row r="535" spans="1:20" ht="12" customHeight="1" x14ac:dyDescent="0.25">
      <c r="A535" s="329" t="s">
        <v>289</v>
      </c>
      <c r="B535" s="330">
        <v>6</v>
      </c>
      <c r="C535" s="298">
        <v>46233</v>
      </c>
      <c r="D535" s="299" t="s">
        <v>1001</v>
      </c>
      <c r="E535" s="522">
        <v>-100</v>
      </c>
      <c r="F535" s="522"/>
      <c r="G535" s="333">
        <f t="shared" si="17"/>
        <v>8975.0499999999938</v>
      </c>
      <c r="H535" s="334" t="s">
        <v>298</v>
      </c>
      <c r="I535" s="335"/>
      <c r="J535" s="336"/>
      <c r="K535" s="301"/>
      <c r="L535" s="336"/>
      <c r="M535" s="301"/>
      <c r="N535" s="336"/>
      <c r="O535" s="301"/>
      <c r="P535" s="336"/>
      <c r="Q535" s="301"/>
      <c r="R535" s="336"/>
      <c r="S535" s="301"/>
      <c r="T535" s="336"/>
    </row>
    <row r="536" spans="1:20" ht="12" customHeight="1" x14ac:dyDescent="0.25">
      <c r="A536" s="329" t="s">
        <v>289</v>
      </c>
      <c r="B536" s="330">
        <v>6</v>
      </c>
      <c r="C536" s="298">
        <v>46233</v>
      </c>
      <c r="D536" s="299" t="s">
        <v>998</v>
      </c>
      <c r="E536" s="522">
        <v>-100</v>
      </c>
      <c r="F536" s="522"/>
      <c r="G536" s="333">
        <f t="shared" si="17"/>
        <v>8875.0499999999938</v>
      </c>
      <c r="H536" s="334"/>
      <c r="I536" s="335"/>
      <c r="J536" s="336"/>
      <c r="K536" s="301"/>
      <c r="L536" s="336"/>
      <c r="M536" s="301"/>
      <c r="N536" s="336"/>
      <c r="O536" s="301"/>
      <c r="P536" s="336"/>
      <c r="Q536" s="301"/>
      <c r="R536" s="336"/>
      <c r="S536" s="301"/>
      <c r="T536" s="336"/>
    </row>
    <row r="537" spans="1:20" ht="12" customHeight="1" x14ac:dyDescent="0.25">
      <c r="A537" s="329" t="s">
        <v>289</v>
      </c>
      <c r="B537" s="330">
        <v>2</v>
      </c>
      <c r="C537" s="298">
        <v>46233</v>
      </c>
      <c r="D537" s="299" t="s">
        <v>1004</v>
      </c>
      <c r="E537" s="522">
        <v>16</v>
      </c>
      <c r="F537" s="522"/>
      <c r="G537" s="333">
        <f t="shared" si="17"/>
        <v>8775.0499999999938</v>
      </c>
      <c r="H537" s="334"/>
      <c r="I537" s="335"/>
      <c r="J537" s="336"/>
      <c r="K537" s="301"/>
      <c r="L537" s="336"/>
      <c r="M537" s="301"/>
      <c r="N537" s="336"/>
      <c r="O537" s="301"/>
      <c r="P537" s="336"/>
      <c r="Q537" s="301"/>
      <c r="R537" s="336"/>
      <c r="S537" s="301"/>
      <c r="T537" s="336"/>
    </row>
    <row r="538" spans="1:20" ht="12" customHeight="1" x14ac:dyDescent="0.25">
      <c r="A538" s="329" t="s">
        <v>289</v>
      </c>
      <c r="B538" s="330">
        <v>2</v>
      </c>
      <c r="C538" s="298">
        <v>46232</v>
      </c>
      <c r="D538" s="299" t="s">
        <v>308</v>
      </c>
      <c r="E538" s="522">
        <v>60.77</v>
      </c>
      <c r="F538" s="522"/>
      <c r="G538" s="333">
        <f t="shared" si="17"/>
        <v>8791.0499999999938</v>
      </c>
      <c r="H538" s="334"/>
      <c r="I538" s="335"/>
      <c r="J538" s="336"/>
      <c r="K538" s="301"/>
      <c r="L538" s="336"/>
      <c r="M538" s="301"/>
      <c r="N538" s="336"/>
      <c r="O538" s="301"/>
      <c r="P538" s="336"/>
      <c r="Q538" s="301"/>
      <c r="R538" s="336"/>
      <c r="S538" s="301"/>
      <c r="T538" s="336"/>
    </row>
    <row r="539" spans="1:20" ht="12" customHeight="1" x14ac:dyDescent="0.25">
      <c r="A539" s="329" t="s">
        <v>294</v>
      </c>
      <c r="B539" s="330">
        <v>21</v>
      </c>
      <c r="C539" s="298">
        <v>46232</v>
      </c>
      <c r="D539" s="299" t="s">
        <v>194</v>
      </c>
      <c r="E539" s="522">
        <v>31.47</v>
      </c>
      <c r="F539" s="522"/>
      <c r="G539" s="333">
        <f t="shared" si="17"/>
        <v>8851.8199999999943</v>
      </c>
      <c r="H539" s="334"/>
      <c r="I539" s="335"/>
      <c r="J539" s="336"/>
      <c r="K539" s="301"/>
      <c r="L539" s="336"/>
      <c r="M539" s="301"/>
      <c r="N539" s="336"/>
      <c r="O539" s="301"/>
      <c r="P539" s="336"/>
      <c r="Q539" s="301"/>
      <c r="R539" s="336"/>
      <c r="S539" s="301"/>
      <c r="T539" s="336"/>
    </row>
    <row r="540" spans="1:20" ht="12" customHeight="1" x14ac:dyDescent="0.25">
      <c r="A540" s="329" t="s">
        <v>294</v>
      </c>
      <c r="B540" s="330">
        <v>21</v>
      </c>
      <c r="C540" s="298">
        <v>46232</v>
      </c>
      <c r="D540" s="299" t="s">
        <v>194</v>
      </c>
      <c r="E540" s="522">
        <v>16.2</v>
      </c>
      <c r="F540" s="522"/>
      <c r="G540" s="333">
        <f t="shared" si="17"/>
        <v>8883.2899999999936</v>
      </c>
      <c r="H540" s="334"/>
      <c r="I540" s="335"/>
      <c r="J540" s="336"/>
      <c r="K540" s="301"/>
      <c r="L540" s="336"/>
      <c r="M540" s="301"/>
      <c r="N540" s="336"/>
      <c r="O540" s="301"/>
      <c r="P540" s="336"/>
      <c r="Q540" s="301"/>
      <c r="R540" s="336"/>
      <c r="S540" s="301"/>
      <c r="T540" s="336"/>
    </row>
    <row r="541" spans="1:20" ht="12" customHeight="1" x14ac:dyDescent="0.25">
      <c r="A541" s="329" t="s">
        <v>289</v>
      </c>
      <c r="B541" s="330">
        <v>2</v>
      </c>
      <c r="C541" s="298">
        <v>46232</v>
      </c>
      <c r="D541" s="299" t="s">
        <v>345</v>
      </c>
      <c r="E541" s="522">
        <v>11.43</v>
      </c>
      <c r="F541" s="522"/>
      <c r="G541" s="333">
        <f t="shared" si="17"/>
        <v>8899.4899999999943</v>
      </c>
      <c r="H541" s="334"/>
      <c r="I541" s="335"/>
      <c r="J541" s="336"/>
      <c r="K541" s="301"/>
      <c r="L541" s="336"/>
      <c r="M541" s="301"/>
      <c r="N541" s="336"/>
      <c r="O541" s="301"/>
      <c r="P541" s="336"/>
      <c r="Q541" s="301"/>
      <c r="R541" s="336"/>
      <c r="S541" s="301"/>
      <c r="T541" s="336"/>
    </row>
    <row r="542" spans="1:20" ht="12" customHeight="1" x14ac:dyDescent="0.25">
      <c r="A542" s="329" t="s">
        <v>289</v>
      </c>
      <c r="B542" s="330">
        <v>2</v>
      </c>
      <c r="C542" s="298">
        <v>46232</v>
      </c>
      <c r="D542" s="299" t="s">
        <v>357</v>
      </c>
      <c r="E542" s="522">
        <v>9.9700000000000006</v>
      </c>
      <c r="F542" s="522"/>
      <c r="G542" s="333">
        <f t="shared" si="17"/>
        <v>8910.9199999999946</v>
      </c>
      <c r="H542" s="334"/>
      <c r="I542" s="335"/>
      <c r="J542" s="336"/>
      <c r="K542" s="301"/>
      <c r="L542" s="336"/>
      <c r="M542" s="301"/>
      <c r="N542" s="336"/>
      <c r="O542" s="301"/>
      <c r="P542" s="336"/>
      <c r="Q542" s="301"/>
      <c r="R542" s="336"/>
      <c r="S542" s="301"/>
      <c r="T542" s="336"/>
    </row>
    <row r="543" spans="1:20" ht="12" customHeight="1" x14ac:dyDescent="0.25">
      <c r="A543" s="329" t="s">
        <v>289</v>
      </c>
      <c r="B543" s="330">
        <v>5</v>
      </c>
      <c r="C543" s="298">
        <v>46232</v>
      </c>
      <c r="D543" s="299" t="s">
        <v>482</v>
      </c>
      <c r="E543" s="522">
        <v>82.36</v>
      </c>
      <c r="F543" s="522"/>
      <c r="G543" s="333">
        <f t="shared" si="17"/>
        <v>8920.889999999994</v>
      </c>
      <c r="H543" s="334"/>
      <c r="I543" s="335"/>
      <c r="J543" s="336"/>
      <c r="K543" s="301"/>
      <c r="L543" s="336"/>
      <c r="M543" s="301"/>
      <c r="N543" s="336"/>
      <c r="O543" s="301"/>
      <c r="P543" s="336"/>
      <c r="Q543" s="301"/>
      <c r="R543" s="336"/>
      <c r="S543" s="301"/>
      <c r="T543" s="336"/>
    </row>
    <row r="544" spans="1:20" ht="12" customHeight="1" x14ac:dyDescent="0.25">
      <c r="A544" s="329" t="s">
        <v>294</v>
      </c>
      <c r="B544" s="330">
        <v>24</v>
      </c>
      <c r="C544" s="298">
        <v>46232</v>
      </c>
      <c r="D544" s="299" t="s">
        <v>858</v>
      </c>
      <c r="E544" s="522">
        <v>92.25</v>
      </c>
      <c r="F544" s="522"/>
      <c r="G544" s="333">
        <f t="shared" si="17"/>
        <v>9003.2499999999945</v>
      </c>
      <c r="H544" s="334"/>
      <c r="I544" s="335"/>
      <c r="J544" s="336"/>
      <c r="K544" s="301"/>
      <c r="L544" s="336"/>
      <c r="M544" s="301"/>
      <c r="N544" s="336"/>
      <c r="O544" s="301"/>
      <c r="P544" s="336"/>
      <c r="Q544" s="301"/>
      <c r="R544" s="336"/>
      <c r="S544" s="301"/>
      <c r="T544" s="336"/>
    </row>
    <row r="545" spans="1:20" ht="12" customHeight="1" x14ac:dyDescent="0.25">
      <c r="A545" s="329" t="s">
        <v>289</v>
      </c>
      <c r="B545" s="330">
        <v>4</v>
      </c>
      <c r="C545" s="298">
        <v>46232</v>
      </c>
      <c r="D545" s="299" t="s">
        <v>296</v>
      </c>
      <c r="E545" s="522">
        <v>39.5</v>
      </c>
      <c r="F545" s="522"/>
      <c r="G545" s="333">
        <f t="shared" si="17"/>
        <v>9095.4999999999945</v>
      </c>
      <c r="H545" s="334"/>
      <c r="I545" s="335"/>
      <c r="J545" s="336"/>
      <c r="K545" s="301"/>
      <c r="L545" s="336"/>
      <c r="M545" s="301"/>
      <c r="N545" s="336"/>
      <c r="O545" s="301"/>
      <c r="P545" s="336"/>
      <c r="Q545" s="301"/>
      <c r="R545" s="336"/>
      <c r="S545" s="301"/>
      <c r="T545" s="336"/>
    </row>
    <row r="546" spans="1:20" ht="12" customHeight="1" x14ac:dyDescent="0.25">
      <c r="A546" s="329" t="s">
        <v>289</v>
      </c>
      <c r="B546" s="330">
        <v>2</v>
      </c>
      <c r="C546" s="298">
        <v>46232</v>
      </c>
      <c r="D546" s="299" t="s">
        <v>296</v>
      </c>
      <c r="E546" s="522">
        <v>15.1</v>
      </c>
      <c r="F546" s="522"/>
      <c r="G546" s="333">
        <f t="shared" si="17"/>
        <v>9134.9999999999945</v>
      </c>
      <c r="H546" s="334"/>
      <c r="I546" s="335"/>
      <c r="J546" s="336"/>
      <c r="K546" s="301"/>
      <c r="L546" s="336"/>
      <c r="M546" s="301"/>
      <c r="N546" s="336"/>
      <c r="O546" s="301"/>
      <c r="P546" s="336"/>
      <c r="Q546" s="301"/>
      <c r="R546" s="336"/>
      <c r="S546" s="301"/>
      <c r="T546" s="336"/>
    </row>
    <row r="547" spans="1:20" ht="12" customHeight="1" x14ac:dyDescent="0.25">
      <c r="A547" s="329" t="s">
        <v>289</v>
      </c>
      <c r="B547" s="330">
        <v>2</v>
      </c>
      <c r="C547" s="298">
        <v>46232</v>
      </c>
      <c r="D547" s="299" t="s">
        <v>334</v>
      </c>
      <c r="E547" s="522">
        <v>17.68</v>
      </c>
      <c r="F547" s="522"/>
      <c r="G547" s="333">
        <f t="shared" si="17"/>
        <v>9150.0999999999949</v>
      </c>
      <c r="H547" s="334"/>
      <c r="I547" s="335"/>
      <c r="J547" s="336"/>
      <c r="K547" s="301"/>
      <c r="L547" s="336"/>
      <c r="M547" s="301"/>
      <c r="N547" s="336"/>
      <c r="O547" s="301"/>
      <c r="P547" s="336"/>
      <c r="Q547" s="301"/>
      <c r="R547" s="336"/>
      <c r="S547" s="301"/>
      <c r="T547" s="336"/>
    </row>
    <row r="548" spans="1:20" ht="12" customHeight="1" x14ac:dyDescent="0.25">
      <c r="A548" s="329" t="s">
        <v>289</v>
      </c>
      <c r="B548" s="330">
        <v>5</v>
      </c>
      <c r="C548" s="298">
        <v>46232</v>
      </c>
      <c r="D548" s="299" t="s">
        <v>986</v>
      </c>
      <c r="E548" s="522">
        <v>-205</v>
      </c>
      <c r="F548" s="522"/>
      <c r="G548" s="333">
        <f t="shared" ref="G548:G610" si="18">G549-E548+F548</f>
        <v>9167.7799999999952</v>
      </c>
      <c r="H548" s="334"/>
      <c r="I548" s="335"/>
      <c r="J548" s="336"/>
      <c r="K548" s="301"/>
      <c r="L548" s="336"/>
      <c r="M548" s="301"/>
      <c r="N548" s="336"/>
      <c r="O548" s="301"/>
      <c r="P548" s="336"/>
      <c r="Q548" s="301"/>
      <c r="R548" s="336"/>
      <c r="S548" s="301"/>
      <c r="T548" s="336"/>
    </row>
    <row r="549" spans="1:20" ht="12" customHeight="1" x14ac:dyDescent="0.25">
      <c r="A549" s="329" t="s">
        <v>294</v>
      </c>
      <c r="B549" s="330">
        <v>20</v>
      </c>
      <c r="C549" s="298">
        <v>46232</v>
      </c>
      <c r="D549" s="299" t="s">
        <v>193</v>
      </c>
      <c r="E549" s="522">
        <v>600</v>
      </c>
      <c r="F549" s="522"/>
      <c r="G549" s="333">
        <f t="shared" si="18"/>
        <v>8962.7799999999952</v>
      </c>
      <c r="H549" s="334"/>
      <c r="I549" s="335"/>
      <c r="J549" s="336"/>
      <c r="K549" s="301"/>
      <c r="L549" s="336"/>
      <c r="M549" s="301"/>
      <c r="N549" s="336"/>
      <c r="O549" s="301"/>
      <c r="P549" s="336"/>
      <c r="Q549" s="301"/>
      <c r="R549" s="336"/>
      <c r="S549" s="301"/>
      <c r="T549" s="336"/>
    </row>
    <row r="550" spans="1:20" ht="12" customHeight="1" x14ac:dyDescent="0.25">
      <c r="A550" s="329" t="s">
        <v>287</v>
      </c>
      <c r="B550" s="330" t="s">
        <v>287</v>
      </c>
      <c r="C550" s="298">
        <v>46231</v>
      </c>
      <c r="D550" s="299" t="s">
        <v>523</v>
      </c>
      <c r="E550" s="522">
        <v>1171.3800000000001</v>
      </c>
      <c r="F550" s="522">
        <v>1171.3800000000001</v>
      </c>
      <c r="G550" s="333">
        <f t="shared" si="18"/>
        <v>9562.7799999999952</v>
      </c>
      <c r="H550" s="334"/>
      <c r="I550" s="335"/>
      <c r="J550" s="336"/>
      <c r="K550" s="301"/>
      <c r="L550" s="336"/>
      <c r="M550" s="301"/>
      <c r="N550" s="336"/>
      <c r="O550" s="301"/>
      <c r="P550" s="336"/>
      <c r="Q550" s="301"/>
      <c r="R550" s="336"/>
      <c r="S550" s="301"/>
      <c r="T550" s="336"/>
    </row>
    <row r="551" spans="1:20" ht="12" customHeight="1" x14ac:dyDescent="0.25">
      <c r="A551" s="329" t="s">
        <v>289</v>
      </c>
      <c r="B551" s="330">
        <v>2</v>
      </c>
      <c r="C551" s="298">
        <v>46231</v>
      </c>
      <c r="D551" s="299" t="s">
        <v>334</v>
      </c>
      <c r="E551" s="522">
        <v>11.58</v>
      </c>
      <c r="F551" s="522"/>
      <c r="G551" s="333">
        <f t="shared" si="18"/>
        <v>9562.7799999999934</v>
      </c>
      <c r="H551" s="334"/>
      <c r="I551" s="335"/>
      <c r="J551" s="336"/>
      <c r="K551" s="301"/>
      <c r="L551" s="336"/>
      <c r="M551" s="301"/>
      <c r="N551" s="336"/>
      <c r="O551" s="301"/>
      <c r="P551" s="336"/>
      <c r="Q551" s="301"/>
      <c r="R551" s="336"/>
      <c r="S551" s="301"/>
      <c r="T551" s="336"/>
    </row>
    <row r="552" spans="1:20" ht="12" customHeight="1" x14ac:dyDescent="0.25">
      <c r="A552" s="329" t="s">
        <v>294</v>
      </c>
      <c r="B552" s="330">
        <v>42</v>
      </c>
      <c r="C552" s="298">
        <v>46231</v>
      </c>
      <c r="D552" s="299" t="s">
        <v>200</v>
      </c>
      <c r="E552" s="522">
        <v>59</v>
      </c>
      <c r="F552" s="522"/>
      <c r="G552" s="333">
        <f t="shared" si="18"/>
        <v>9574.3599999999933</v>
      </c>
      <c r="H552" s="334"/>
      <c r="I552" s="335"/>
      <c r="J552" s="336"/>
      <c r="K552" s="301"/>
      <c r="L552" s="336"/>
      <c r="M552" s="301"/>
      <c r="N552" s="336"/>
      <c r="O552" s="301"/>
      <c r="P552" s="336"/>
      <c r="Q552" s="301"/>
      <c r="R552" s="336"/>
      <c r="S552" s="301"/>
      <c r="T552" s="336"/>
    </row>
    <row r="553" spans="1:20" ht="12" customHeight="1" x14ac:dyDescent="0.25">
      <c r="A553" s="329" t="s">
        <v>294</v>
      </c>
      <c r="B553" s="330">
        <v>43</v>
      </c>
      <c r="C553" s="298">
        <v>46231</v>
      </c>
      <c r="D553" s="299" t="s">
        <v>201</v>
      </c>
      <c r="E553" s="522">
        <v>50.92</v>
      </c>
      <c r="F553" s="522"/>
      <c r="G553" s="333">
        <f t="shared" si="18"/>
        <v>9633.3599999999933</v>
      </c>
      <c r="H553" s="334"/>
      <c r="I553" s="335"/>
      <c r="J553" s="336"/>
      <c r="K553" s="301"/>
      <c r="L553" s="336"/>
      <c r="M553" s="301"/>
      <c r="N553" s="336"/>
      <c r="O553" s="301"/>
      <c r="P553" s="336"/>
      <c r="Q553" s="301"/>
      <c r="R553" s="336"/>
      <c r="S553" s="301"/>
      <c r="T553" s="336"/>
    </row>
    <row r="554" spans="1:20" ht="12" customHeight="1" x14ac:dyDescent="0.25">
      <c r="A554" s="329" t="s">
        <v>289</v>
      </c>
      <c r="B554" s="330">
        <v>8</v>
      </c>
      <c r="C554" s="298">
        <v>46231</v>
      </c>
      <c r="D554" s="299" t="s">
        <v>308</v>
      </c>
      <c r="E554" s="522">
        <v>71.75</v>
      </c>
      <c r="F554" s="522"/>
      <c r="G554" s="333">
        <f t="shared" si="18"/>
        <v>9684.2799999999934</v>
      </c>
      <c r="H554" s="334"/>
      <c r="I554" s="335"/>
      <c r="J554" s="336"/>
      <c r="K554" s="301"/>
      <c r="L554" s="336"/>
      <c r="M554" s="301"/>
      <c r="N554" s="336"/>
      <c r="O554" s="301"/>
      <c r="P554" s="336"/>
      <c r="Q554" s="301"/>
      <c r="R554" s="336"/>
      <c r="S554" s="301"/>
      <c r="T554" s="336"/>
    </row>
    <row r="555" spans="1:20" ht="12" customHeight="1" x14ac:dyDescent="0.25">
      <c r="A555" s="329" t="s">
        <v>289</v>
      </c>
      <c r="B555" s="330">
        <v>6</v>
      </c>
      <c r="C555" s="298">
        <v>46230</v>
      </c>
      <c r="D555" s="299" t="s">
        <v>997</v>
      </c>
      <c r="E555" s="522">
        <v>49.2</v>
      </c>
      <c r="F555" s="522"/>
      <c r="G555" s="333">
        <f t="shared" si="18"/>
        <v>9756.0299999999934</v>
      </c>
      <c r="H555" s="334"/>
      <c r="I555" s="335"/>
      <c r="J555" s="336"/>
      <c r="K555" s="301"/>
      <c r="L555" s="336"/>
      <c r="M555" s="301"/>
      <c r="N555" s="336"/>
      <c r="O555" s="301"/>
      <c r="P555" s="336"/>
      <c r="Q555" s="301"/>
      <c r="R555" s="336"/>
      <c r="S555" s="301"/>
      <c r="T555" s="336"/>
    </row>
    <row r="556" spans="1:20" ht="12" customHeight="1" x14ac:dyDescent="0.25">
      <c r="A556" s="329" t="s">
        <v>289</v>
      </c>
      <c r="B556" s="330">
        <v>2</v>
      </c>
      <c r="C556" s="298">
        <v>46230</v>
      </c>
      <c r="D556" s="299" t="s">
        <v>352</v>
      </c>
      <c r="E556" s="522">
        <v>20.98</v>
      </c>
      <c r="F556" s="522"/>
      <c r="G556" s="333">
        <f t="shared" si="18"/>
        <v>9805.2299999999941</v>
      </c>
      <c r="H556" s="334"/>
      <c r="I556" s="335"/>
      <c r="J556" s="336"/>
      <c r="K556" s="301"/>
      <c r="L556" s="336"/>
      <c r="M556" s="301"/>
      <c r="N556" s="336"/>
      <c r="O556" s="301"/>
      <c r="P556" s="336"/>
      <c r="Q556" s="301"/>
      <c r="R556" s="336"/>
      <c r="S556" s="301"/>
      <c r="T556" s="336"/>
    </row>
    <row r="557" spans="1:20" ht="12" customHeight="1" x14ac:dyDescent="0.25">
      <c r="A557" s="329" t="s">
        <v>289</v>
      </c>
      <c r="B557" s="330">
        <v>6</v>
      </c>
      <c r="C557" s="298">
        <v>46230</v>
      </c>
      <c r="D557" s="299" t="s">
        <v>300</v>
      </c>
      <c r="E557" s="522">
        <v>19.16</v>
      </c>
      <c r="F557" s="522"/>
      <c r="G557" s="333">
        <f t="shared" si="18"/>
        <v>9826.2099999999937</v>
      </c>
      <c r="H557" s="334"/>
      <c r="I557" s="335"/>
      <c r="J557" s="336"/>
      <c r="K557" s="301"/>
      <c r="L557" s="336"/>
      <c r="M557" s="301"/>
      <c r="N557" s="336"/>
      <c r="O557" s="301"/>
      <c r="P557" s="336"/>
      <c r="Q557" s="301"/>
      <c r="R557" s="336"/>
      <c r="S557" s="301"/>
      <c r="T557" s="336"/>
    </row>
    <row r="558" spans="1:20" ht="12" customHeight="1" x14ac:dyDescent="0.25">
      <c r="A558" s="329" t="s">
        <v>289</v>
      </c>
      <c r="B558" s="330">
        <v>2</v>
      </c>
      <c r="C558" s="298">
        <v>46230</v>
      </c>
      <c r="D558" s="299" t="s">
        <v>992</v>
      </c>
      <c r="E558" s="522">
        <v>15.89</v>
      </c>
      <c r="F558" s="522"/>
      <c r="G558" s="333">
        <f t="shared" si="18"/>
        <v>9845.3699999999935</v>
      </c>
      <c r="H558" s="334"/>
      <c r="I558" s="335"/>
      <c r="J558" s="336"/>
      <c r="K558" s="301"/>
      <c r="L558" s="336"/>
      <c r="M558" s="301"/>
      <c r="N558" s="336"/>
      <c r="O558" s="301"/>
      <c r="P558" s="336"/>
      <c r="Q558" s="301"/>
      <c r="R558" s="336"/>
      <c r="S558" s="301"/>
      <c r="T558" s="336"/>
    </row>
    <row r="559" spans="1:20" ht="12" customHeight="1" x14ac:dyDescent="0.25">
      <c r="A559" s="329" t="s">
        <v>294</v>
      </c>
      <c r="B559" s="330">
        <v>22</v>
      </c>
      <c r="C559" s="298">
        <v>46230</v>
      </c>
      <c r="D559" s="299" t="s">
        <v>996</v>
      </c>
      <c r="E559" s="522">
        <v>15.96</v>
      </c>
      <c r="F559" s="522"/>
      <c r="G559" s="333">
        <f t="shared" si="18"/>
        <v>9861.2599999999929</v>
      </c>
      <c r="H559" s="334"/>
      <c r="I559" s="335"/>
      <c r="J559" s="336"/>
      <c r="K559" s="301"/>
      <c r="L559" s="336"/>
      <c r="M559" s="301"/>
      <c r="N559" s="336"/>
      <c r="O559" s="301"/>
      <c r="P559" s="336"/>
      <c r="Q559" s="301"/>
      <c r="R559" s="336"/>
      <c r="S559" s="301"/>
      <c r="T559" s="336"/>
    </row>
    <row r="560" spans="1:20" ht="12" customHeight="1" x14ac:dyDescent="0.25">
      <c r="A560" s="329" t="s">
        <v>289</v>
      </c>
      <c r="B560" s="330">
        <v>1</v>
      </c>
      <c r="C560" s="298">
        <v>46230</v>
      </c>
      <c r="D560" s="299" t="s">
        <v>306</v>
      </c>
      <c r="E560" s="522">
        <v>183.73</v>
      </c>
      <c r="F560" s="522"/>
      <c r="G560" s="333">
        <f t="shared" si="18"/>
        <v>9877.2199999999921</v>
      </c>
      <c r="H560" s="334"/>
      <c r="I560" s="335"/>
      <c r="J560" s="336"/>
      <c r="K560" s="301"/>
      <c r="L560" s="336"/>
      <c r="M560" s="301"/>
      <c r="N560" s="336"/>
      <c r="O560" s="301"/>
      <c r="P560" s="336"/>
      <c r="Q560" s="301"/>
      <c r="R560" s="336"/>
      <c r="S560" s="301"/>
      <c r="T560" s="336"/>
    </row>
    <row r="561" spans="1:20" ht="12" customHeight="1" x14ac:dyDescent="0.25">
      <c r="A561" s="329" t="s">
        <v>289</v>
      </c>
      <c r="B561" s="330">
        <v>4</v>
      </c>
      <c r="C561" s="298">
        <v>46230</v>
      </c>
      <c r="D561" s="299" t="s">
        <v>296</v>
      </c>
      <c r="E561" s="522">
        <v>86.71</v>
      </c>
      <c r="F561" s="522"/>
      <c r="G561" s="333">
        <f t="shared" si="18"/>
        <v>10060.949999999992</v>
      </c>
      <c r="H561" s="334"/>
      <c r="I561" s="335"/>
      <c r="J561" s="336"/>
      <c r="K561" s="301"/>
      <c r="L561" s="336"/>
      <c r="M561" s="301"/>
      <c r="N561" s="336"/>
      <c r="O561" s="301"/>
      <c r="P561" s="336"/>
      <c r="Q561" s="301"/>
      <c r="R561" s="336"/>
      <c r="S561" s="301"/>
      <c r="T561" s="336"/>
    </row>
    <row r="562" spans="1:20" ht="12" customHeight="1" x14ac:dyDescent="0.25">
      <c r="A562" s="329" t="s">
        <v>289</v>
      </c>
      <c r="B562" s="330">
        <v>2</v>
      </c>
      <c r="C562" s="298">
        <v>46230</v>
      </c>
      <c r="D562" s="299" t="s">
        <v>296</v>
      </c>
      <c r="E562" s="522">
        <v>8.7200000000000006</v>
      </c>
      <c r="F562" s="522"/>
      <c r="G562" s="333">
        <f t="shared" si="18"/>
        <v>10147.659999999991</v>
      </c>
      <c r="H562" s="334"/>
      <c r="I562" s="335"/>
      <c r="J562" s="336"/>
      <c r="K562" s="301"/>
      <c r="L562" s="336"/>
      <c r="M562" s="301"/>
      <c r="N562" s="336"/>
      <c r="O562" s="301"/>
      <c r="P562" s="336"/>
      <c r="Q562" s="301"/>
      <c r="R562" s="336"/>
      <c r="S562" s="301"/>
      <c r="T562" s="336"/>
    </row>
    <row r="563" spans="1:20" ht="12" customHeight="1" x14ac:dyDescent="0.25">
      <c r="A563" s="329" t="s">
        <v>289</v>
      </c>
      <c r="B563" s="330">
        <v>2</v>
      </c>
      <c r="C563" s="298">
        <v>46230</v>
      </c>
      <c r="D563" s="299" t="s">
        <v>301</v>
      </c>
      <c r="E563" s="522">
        <v>23.5</v>
      </c>
      <c r="F563" s="522"/>
      <c r="G563" s="333">
        <f t="shared" si="18"/>
        <v>10156.37999999999</v>
      </c>
      <c r="H563" s="334"/>
      <c r="I563" s="335"/>
      <c r="J563" s="336"/>
      <c r="K563" s="301"/>
      <c r="L563" s="336"/>
      <c r="M563" s="301"/>
      <c r="N563" s="336"/>
      <c r="O563" s="301"/>
      <c r="P563" s="336"/>
      <c r="Q563" s="301"/>
      <c r="R563" s="336"/>
      <c r="S563" s="301"/>
      <c r="T563" s="336"/>
    </row>
    <row r="564" spans="1:20" ht="12" customHeight="1" x14ac:dyDescent="0.25">
      <c r="A564" s="329" t="s">
        <v>289</v>
      </c>
      <c r="B564" s="330">
        <v>3</v>
      </c>
      <c r="C564" s="298">
        <v>46230</v>
      </c>
      <c r="D564" s="299" t="s">
        <v>981</v>
      </c>
      <c r="E564" s="522">
        <v>7.18</v>
      </c>
      <c r="F564" s="522"/>
      <c r="G564" s="333">
        <f t="shared" si="18"/>
        <v>10179.87999999999</v>
      </c>
      <c r="H564" s="334"/>
      <c r="I564" s="335"/>
      <c r="J564" s="336"/>
      <c r="K564" s="301"/>
      <c r="L564" s="336"/>
      <c r="M564" s="301"/>
      <c r="N564" s="336"/>
      <c r="O564" s="301"/>
      <c r="P564" s="336"/>
      <c r="Q564" s="301"/>
      <c r="R564" s="336"/>
      <c r="S564" s="301"/>
      <c r="T564" s="336"/>
    </row>
    <row r="565" spans="1:20" ht="12" customHeight="1" x14ac:dyDescent="0.25">
      <c r="A565" s="329" t="s">
        <v>289</v>
      </c>
      <c r="B565" s="330">
        <v>2</v>
      </c>
      <c r="C565" s="298">
        <v>46229</v>
      </c>
      <c r="D565" s="299" t="s">
        <v>994</v>
      </c>
      <c r="E565" s="522">
        <v>18.350000000000001</v>
      </c>
      <c r="F565" s="522"/>
      <c r="G565" s="333">
        <f t="shared" si="18"/>
        <v>10187.05999999999</v>
      </c>
      <c r="H565" s="334"/>
      <c r="I565" s="335"/>
      <c r="J565" s="336"/>
      <c r="K565" s="301"/>
      <c r="L565" s="336"/>
      <c r="M565" s="301"/>
      <c r="N565" s="336"/>
      <c r="O565" s="301"/>
      <c r="P565" s="336"/>
      <c r="Q565" s="301"/>
      <c r="R565" s="336"/>
      <c r="S565" s="301"/>
      <c r="T565" s="336"/>
    </row>
    <row r="566" spans="1:20" ht="12" customHeight="1" x14ac:dyDescent="0.25">
      <c r="A566" s="329" t="s">
        <v>289</v>
      </c>
      <c r="B566" s="330">
        <v>8</v>
      </c>
      <c r="C566" s="298">
        <v>46229</v>
      </c>
      <c r="D566" s="299" t="s">
        <v>319</v>
      </c>
      <c r="E566" s="522">
        <v>64.400000000000006</v>
      </c>
      <c r="F566" s="522"/>
      <c r="G566" s="333">
        <f t="shared" si="18"/>
        <v>10205.409999999991</v>
      </c>
      <c r="H566" s="334"/>
      <c r="I566" s="335"/>
      <c r="J566" s="336"/>
      <c r="K566" s="301"/>
      <c r="L566" s="336"/>
      <c r="M566" s="301"/>
      <c r="N566" s="336"/>
      <c r="O566" s="301"/>
      <c r="P566" s="336"/>
      <c r="Q566" s="301"/>
      <c r="R566" s="336"/>
      <c r="S566" s="301"/>
      <c r="T566" s="336"/>
    </row>
    <row r="567" spans="1:20" ht="12" customHeight="1" x14ac:dyDescent="0.25">
      <c r="A567" s="329" t="s">
        <v>289</v>
      </c>
      <c r="B567" s="330">
        <v>4</v>
      </c>
      <c r="C567" s="298">
        <v>46229</v>
      </c>
      <c r="D567" s="299" t="s">
        <v>296</v>
      </c>
      <c r="E567" s="522">
        <v>42.19</v>
      </c>
      <c r="F567" s="522"/>
      <c r="G567" s="333">
        <f t="shared" si="18"/>
        <v>10269.80999999999</v>
      </c>
      <c r="H567" s="334"/>
      <c r="I567" s="335"/>
      <c r="J567" s="336"/>
      <c r="K567" s="301"/>
      <c r="L567" s="336"/>
      <c r="M567" s="301"/>
      <c r="N567" s="336"/>
      <c r="O567" s="301"/>
      <c r="P567" s="336"/>
      <c r="Q567" s="301"/>
      <c r="R567" s="336"/>
      <c r="S567" s="301"/>
      <c r="T567" s="336"/>
    </row>
    <row r="568" spans="1:20" ht="12" customHeight="1" x14ac:dyDescent="0.25">
      <c r="A568" s="329" t="s">
        <v>289</v>
      </c>
      <c r="B568" s="330">
        <v>8</v>
      </c>
      <c r="C568" s="298">
        <v>46229</v>
      </c>
      <c r="D568" s="299" t="s">
        <v>296</v>
      </c>
      <c r="E568" s="522">
        <v>60.67</v>
      </c>
      <c r="F568" s="522"/>
      <c r="G568" s="333">
        <f t="shared" si="18"/>
        <v>10311.999999999991</v>
      </c>
      <c r="H568" s="334"/>
      <c r="I568" s="335"/>
      <c r="J568" s="336"/>
      <c r="K568" s="301"/>
      <c r="L568" s="336"/>
      <c r="M568" s="301"/>
      <c r="N568" s="336"/>
      <c r="O568" s="301"/>
      <c r="P568" s="336"/>
      <c r="Q568" s="301"/>
      <c r="R568" s="336"/>
      <c r="S568" s="301"/>
      <c r="T568" s="336"/>
    </row>
    <row r="569" spans="1:20" ht="12" customHeight="1" x14ac:dyDescent="0.25">
      <c r="A569" s="329" t="s">
        <v>289</v>
      </c>
      <c r="B569" s="330">
        <v>8</v>
      </c>
      <c r="C569" s="298">
        <v>46228</v>
      </c>
      <c r="D569" s="299" t="s">
        <v>993</v>
      </c>
      <c r="E569" s="522">
        <v>40.32</v>
      </c>
      <c r="F569" s="522"/>
      <c r="G569" s="333">
        <f t="shared" si="18"/>
        <v>10372.669999999991</v>
      </c>
      <c r="H569" s="334"/>
      <c r="I569" s="335"/>
      <c r="J569" s="336"/>
      <c r="K569" s="301"/>
      <c r="L569" s="336"/>
      <c r="M569" s="301"/>
      <c r="N569" s="336"/>
      <c r="O569" s="301"/>
      <c r="P569" s="336"/>
      <c r="Q569" s="301"/>
      <c r="R569" s="336"/>
      <c r="S569" s="301"/>
      <c r="T569" s="336"/>
    </row>
    <row r="570" spans="1:20" ht="12" customHeight="1" x14ac:dyDescent="0.25">
      <c r="A570" s="329" t="s">
        <v>289</v>
      </c>
      <c r="B570" s="330">
        <v>3</v>
      </c>
      <c r="C570" s="298">
        <v>46228</v>
      </c>
      <c r="D570" s="299" t="s">
        <v>453</v>
      </c>
      <c r="E570" s="522">
        <v>7.38</v>
      </c>
      <c r="F570" s="522"/>
      <c r="G570" s="333">
        <f t="shared" si="18"/>
        <v>10412.989999999991</v>
      </c>
      <c r="H570" s="334"/>
      <c r="I570" s="335"/>
      <c r="J570" s="336"/>
      <c r="K570" s="301"/>
      <c r="L570" s="336"/>
      <c r="M570" s="301"/>
      <c r="N570" s="336"/>
      <c r="O570" s="301"/>
      <c r="P570" s="336"/>
      <c r="Q570" s="301"/>
      <c r="R570" s="336"/>
      <c r="S570" s="301"/>
      <c r="T570" s="336"/>
    </row>
    <row r="571" spans="1:20" ht="12" customHeight="1" x14ac:dyDescent="0.25">
      <c r="A571" s="329" t="s">
        <v>289</v>
      </c>
      <c r="B571" s="330">
        <v>4</v>
      </c>
      <c r="C571" s="298">
        <v>46228</v>
      </c>
      <c r="D571" s="299" t="s">
        <v>453</v>
      </c>
      <c r="E571" s="522">
        <v>39.83</v>
      </c>
      <c r="F571" s="522"/>
      <c r="G571" s="333">
        <f t="shared" si="18"/>
        <v>10420.36999999999</v>
      </c>
      <c r="H571" s="334"/>
      <c r="I571" s="335"/>
      <c r="J571" s="336"/>
      <c r="K571" s="301"/>
      <c r="L571" s="336"/>
      <c r="M571" s="301"/>
      <c r="N571" s="336"/>
      <c r="O571" s="301"/>
      <c r="P571" s="336"/>
      <c r="Q571" s="301"/>
      <c r="R571" s="336"/>
      <c r="S571" s="301"/>
      <c r="T571" s="336"/>
    </row>
    <row r="572" spans="1:20" ht="12" customHeight="1" x14ac:dyDescent="0.25">
      <c r="A572" s="329" t="s">
        <v>289</v>
      </c>
      <c r="B572" s="330">
        <v>5</v>
      </c>
      <c r="C572" s="298">
        <v>46228</v>
      </c>
      <c r="D572" s="299" t="s">
        <v>473</v>
      </c>
      <c r="E572" s="522">
        <v>20</v>
      </c>
      <c r="F572" s="522"/>
      <c r="G572" s="333">
        <f t="shared" si="18"/>
        <v>10460.19999999999</v>
      </c>
      <c r="H572" s="334"/>
      <c r="I572" s="335"/>
      <c r="J572" s="336"/>
      <c r="K572" s="301"/>
      <c r="L572" s="336"/>
      <c r="M572" s="301"/>
      <c r="N572" s="336"/>
      <c r="O572" s="301"/>
      <c r="P572" s="336"/>
      <c r="Q572" s="301"/>
      <c r="R572" s="336"/>
      <c r="S572" s="301"/>
      <c r="T572" s="336"/>
    </row>
    <row r="573" spans="1:20" ht="12" customHeight="1" x14ac:dyDescent="0.25">
      <c r="A573" s="329" t="s">
        <v>294</v>
      </c>
      <c r="B573" s="330">
        <v>12</v>
      </c>
      <c r="C573" s="298">
        <v>46228</v>
      </c>
      <c r="D573" s="299" t="s">
        <v>314</v>
      </c>
      <c r="E573" s="522">
        <v>204.48</v>
      </c>
      <c r="F573" s="522"/>
      <c r="G573" s="333">
        <f t="shared" si="18"/>
        <v>10480.19999999999</v>
      </c>
      <c r="H573" s="334"/>
      <c r="I573" s="335"/>
      <c r="J573" s="336"/>
      <c r="K573" s="301"/>
      <c r="L573" s="336"/>
      <c r="M573" s="301"/>
      <c r="N573" s="336"/>
      <c r="O573" s="301"/>
      <c r="P573" s="336"/>
      <c r="Q573" s="301"/>
      <c r="R573" s="336"/>
      <c r="S573" s="301"/>
      <c r="T573" s="336"/>
    </row>
    <row r="574" spans="1:20" ht="12" customHeight="1" x14ac:dyDescent="0.25">
      <c r="A574" s="329" t="s">
        <v>289</v>
      </c>
      <c r="B574" s="330">
        <v>3</v>
      </c>
      <c r="C574" s="298">
        <v>46228</v>
      </c>
      <c r="D574" s="299" t="s">
        <v>989</v>
      </c>
      <c r="E574" s="522">
        <v>11.33</v>
      </c>
      <c r="F574" s="522"/>
      <c r="G574" s="333">
        <f t="shared" si="18"/>
        <v>10684.679999999989</v>
      </c>
      <c r="H574" s="334"/>
      <c r="I574" s="335"/>
      <c r="J574" s="336"/>
      <c r="K574" s="301"/>
      <c r="L574" s="336"/>
      <c r="M574" s="301"/>
      <c r="N574" s="336"/>
      <c r="O574" s="301"/>
      <c r="P574" s="336"/>
      <c r="Q574" s="301"/>
      <c r="R574" s="336"/>
      <c r="S574" s="301"/>
      <c r="T574" s="336"/>
    </row>
    <row r="575" spans="1:20" ht="12" customHeight="1" x14ac:dyDescent="0.25">
      <c r="A575" s="329" t="s">
        <v>289</v>
      </c>
      <c r="B575" s="330">
        <v>2</v>
      </c>
      <c r="C575" s="298">
        <v>46228</v>
      </c>
      <c r="D575" s="299" t="s">
        <v>995</v>
      </c>
      <c r="E575" s="522">
        <v>120.77</v>
      </c>
      <c r="F575" s="522"/>
      <c r="G575" s="333">
        <f t="shared" si="18"/>
        <v>10696.009999999989</v>
      </c>
      <c r="H575" s="334"/>
      <c r="I575" s="335"/>
      <c r="J575" s="336"/>
      <c r="K575" s="301"/>
      <c r="L575" s="336"/>
      <c r="M575" s="301"/>
      <c r="N575" s="336"/>
      <c r="O575" s="301"/>
      <c r="P575" s="336"/>
      <c r="Q575" s="301"/>
      <c r="R575" s="336"/>
      <c r="S575" s="301"/>
      <c r="T575" s="336"/>
    </row>
    <row r="576" spans="1:20" ht="12" customHeight="1" x14ac:dyDescent="0.25">
      <c r="A576" s="329" t="s">
        <v>289</v>
      </c>
      <c r="B576" s="330">
        <v>2</v>
      </c>
      <c r="C576" s="298">
        <v>46227</v>
      </c>
      <c r="D576" s="299" t="s">
        <v>988</v>
      </c>
      <c r="E576" s="522">
        <v>46.21</v>
      </c>
      <c r="F576" s="522"/>
      <c r="G576" s="333">
        <f t="shared" si="18"/>
        <v>10816.77999999999</v>
      </c>
      <c r="H576" s="334"/>
      <c r="I576" s="335"/>
      <c r="J576" s="336"/>
      <c r="K576" s="301"/>
      <c r="L576" s="336"/>
      <c r="M576" s="301"/>
      <c r="N576" s="336"/>
      <c r="O576" s="301"/>
      <c r="P576" s="336"/>
      <c r="Q576" s="301"/>
      <c r="R576" s="336"/>
      <c r="S576" s="301"/>
      <c r="T576" s="336"/>
    </row>
    <row r="577" spans="1:20" ht="12" customHeight="1" x14ac:dyDescent="0.25">
      <c r="A577" s="329" t="s">
        <v>289</v>
      </c>
      <c r="B577" s="330">
        <v>5</v>
      </c>
      <c r="C577" s="298">
        <v>46227</v>
      </c>
      <c r="D577" s="299" t="s">
        <v>339</v>
      </c>
      <c r="E577" s="522">
        <v>95.85</v>
      </c>
      <c r="F577" s="522"/>
      <c r="G577" s="333">
        <f t="shared" si="18"/>
        <v>10862.989999999989</v>
      </c>
      <c r="H577" s="334"/>
      <c r="I577" s="335"/>
      <c r="J577" s="336"/>
      <c r="K577" s="301"/>
      <c r="L577" s="336"/>
      <c r="M577" s="301"/>
      <c r="N577" s="336"/>
      <c r="O577" s="301"/>
      <c r="P577" s="336"/>
      <c r="Q577" s="301"/>
      <c r="R577" s="336"/>
      <c r="S577" s="301"/>
      <c r="T577" s="336"/>
    </row>
    <row r="578" spans="1:20" ht="12" customHeight="1" x14ac:dyDescent="0.25">
      <c r="A578" s="329" t="s">
        <v>289</v>
      </c>
      <c r="B578" s="330">
        <v>2</v>
      </c>
      <c r="C578" s="298">
        <v>46227</v>
      </c>
      <c r="D578" s="299" t="s">
        <v>324</v>
      </c>
      <c r="E578" s="522">
        <v>9.06</v>
      </c>
      <c r="F578" s="522"/>
      <c r="G578" s="333">
        <f t="shared" si="18"/>
        <v>10958.839999999989</v>
      </c>
      <c r="H578" s="334"/>
      <c r="I578" s="335"/>
      <c r="J578" s="336"/>
      <c r="K578" s="301"/>
      <c r="L578" s="336"/>
      <c r="M578" s="301"/>
      <c r="N578" s="336"/>
      <c r="O578" s="301"/>
      <c r="P578" s="336"/>
      <c r="Q578" s="301"/>
      <c r="R578" s="336"/>
      <c r="S578" s="301"/>
      <c r="T578" s="336"/>
    </row>
    <row r="579" spans="1:20" ht="12" customHeight="1" x14ac:dyDescent="0.25">
      <c r="A579" s="329" t="s">
        <v>289</v>
      </c>
      <c r="B579" s="330">
        <v>2</v>
      </c>
      <c r="C579" s="298">
        <v>46227</v>
      </c>
      <c r="D579" s="299" t="s">
        <v>357</v>
      </c>
      <c r="E579" s="522">
        <v>26.47</v>
      </c>
      <c r="F579" s="522"/>
      <c r="G579" s="333">
        <f t="shared" si="18"/>
        <v>10967.899999999989</v>
      </c>
      <c r="H579" s="334"/>
      <c r="I579" s="335"/>
      <c r="J579" s="336"/>
      <c r="K579" s="301"/>
      <c r="L579" s="336"/>
      <c r="M579" s="301"/>
      <c r="N579" s="336"/>
      <c r="O579" s="301"/>
      <c r="P579" s="336"/>
      <c r="Q579" s="301"/>
      <c r="R579" s="336"/>
      <c r="S579" s="301"/>
      <c r="T579" s="336"/>
    </row>
    <row r="580" spans="1:20" ht="12" customHeight="1" x14ac:dyDescent="0.25">
      <c r="A580" s="329" t="s">
        <v>289</v>
      </c>
      <c r="B580" s="330">
        <v>6</v>
      </c>
      <c r="C580" s="298">
        <v>46227</v>
      </c>
      <c r="D580" s="299" t="s">
        <v>1001</v>
      </c>
      <c r="E580" s="522">
        <v>90</v>
      </c>
      <c r="F580" s="522"/>
      <c r="G580" s="333">
        <f t="shared" si="18"/>
        <v>10994.369999999988</v>
      </c>
      <c r="H580" s="334" t="s">
        <v>298</v>
      </c>
      <c r="I580" s="335"/>
      <c r="J580" s="336"/>
      <c r="K580" s="301"/>
      <c r="L580" s="336"/>
      <c r="M580" s="301"/>
      <c r="N580" s="336"/>
      <c r="O580" s="301"/>
      <c r="P580" s="336"/>
      <c r="Q580" s="301"/>
      <c r="R580" s="336"/>
      <c r="S580" s="301"/>
      <c r="T580" s="336"/>
    </row>
    <row r="581" spans="1:20" ht="12" customHeight="1" x14ac:dyDescent="0.25">
      <c r="A581" s="329" t="s">
        <v>289</v>
      </c>
      <c r="B581" s="330">
        <v>3</v>
      </c>
      <c r="C581" s="298">
        <v>46226</v>
      </c>
      <c r="D581" s="299" t="s">
        <v>453</v>
      </c>
      <c r="E581" s="522">
        <v>29.72</v>
      </c>
      <c r="F581" s="522"/>
      <c r="G581" s="333">
        <f t="shared" si="18"/>
        <v>11084.369999999988</v>
      </c>
      <c r="H581" s="334"/>
      <c r="I581" s="335"/>
      <c r="J581" s="336"/>
      <c r="K581" s="301"/>
      <c r="L581" s="336"/>
      <c r="M581" s="301"/>
      <c r="N581" s="336"/>
      <c r="O581" s="301"/>
      <c r="P581" s="336"/>
      <c r="Q581" s="301"/>
      <c r="R581" s="336"/>
      <c r="S581" s="301"/>
      <c r="T581" s="336"/>
    </row>
    <row r="582" spans="1:20" ht="12" customHeight="1" x14ac:dyDescent="0.25">
      <c r="A582" s="329" t="s">
        <v>287</v>
      </c>
      <c r="B582" s="330" t="s">
        <v>287</v>
      </c>
      <c r="C582" s="298">
        <v>46226</v>
      </c>
      <c r="D582" s="299" t="s">
        <v>315</v>
      </c>
      <c r="E582" s="522">
        <v>133.13999999999999</v>
      </c>
      <c r="F582" s="522">
        <v>133.13999999999999</v>
      </c>
      <c r="G582" s="333">
        <f t="shared" si="18"/>
        <v>11114.089999999987</v>
      </c>
      <c r="H582" s="334"/>
      <c r="I582" s="335"/>
      <c r="J582" s="336"/>
      <c r="K582" s="301"/>
      <c r="L582" s="336"/>
      <c r="M582" s="301"/>
      <c r="N582" s="336"/>
      <c r="O582" s="301"/>
      <c r="P582" s="336"/>
      <c r="Q582" s="301"/>
      <c r="R582" s="336"/>
      <c r="S582" s="301"/>
      <c r="T582" s="336"/>
    </row>
    <row r="583" spans="1:20" ht="12" customHeight="1" x14ac:dyDescent="0.25">
      <c r="A583" s="329" t="s">
        <v>291</v>
      </c>
      <c r="B583" s="330">
        <v>39</v>
      </c>
      <c r="C583" s="298">
        <v>46226</v>
      </c>
      <c r="D583" s="299" t="s">
        <v>292</v>
      </c>
      <c r="E583" s="522"/>
      <c r="F583" s="522">
        <v>2763.78</v>
      </c>
      <c r="G583" s="333">
        <f t="shared" si="18"/>
        <v>11114.089999999987</v>
      </c>
      <c r="H583" s="334"/>
      <c r="I583" s="335"/>
      <c r="J583" s="336"/>
      <c r="K583" s="301"/>
      <c r="L583" s="336"/>
      <c r="M583" s="301"/>
      <c r="N583" s="336"/>
      <c r="O583" s="301"/>
      <c r="P583" s="336"/>
      <c r="Q583" s="301"/>
      <c r="R583" s="336"/>
      <c r="S583" s="301"/>
      <c r="T583" s="336"/>
    </row>
    <row r="584" spans="1:20" ht="12" customHeight="1" x14ac:dyDescent="0.25">
      <c r="A584" s="329" t="s">
        <v>289</v>
      </c>
      <c r="B584" s="330">
        <v>8</v>
      </c>
      <c r="C584" s="298">
        <v>46226</v>
      </c>
      <c r="D584" s="299" t="s">
        <v>990</v>
      </c>
      <c r="E584" s="522">
        <v>92.36</v>
      </c>
      <c r="F584" s="522"/>
      <c r="G584" s="333">
        <f t="shared" si="18"/>
        <v>8350.3099999999868</v>
      </c>
      <c r="H584" s="334"/>
      <c r="I584" s="335"/>
      <c r="J584" s="336"/>
      <c r="K584" s="301"/>
      <c r="L584" s="336"/>
      <c r="M584" s="301"/>
      <c r="N584" s="336"/>
      <c r="O584" s="301"/>
      <c r="P584" s="336"/>
      <c r="Q584" s="301"/>
      <c r="R584" s="336"/>
      <c r="S584" s="301"/>
      <c r="T584" s="336"/>
    </row>
    <row r="585" spans="1:20" ht="12" customHeight="1" x14ac:dyDescent="0.25">
      <c r="A585" s="329" t="s">
        <v>289</v>
      </c>
      <c r="B585" s="330">
        <v>3</v>
      </c>
      <c r="C585" s="298">
        <v>46226</v>
      </c>
      <c r="D585" s="299" t="s">
        <v>981</v>
      </c>
      <c r="E585" s="522">
        <v>25</v>
      </c>
      <c r="F585" s="522"/>
      <c r="G585" s="333">
        <f t="shared" si="18"/>
        <v>8442.6699999999873</v>
      </c>
      <c r="H585" s="334"/>
      <c r="I585" s="335"/>
      <c r="J585" s="336"/>
      <c r="K585" s="301"/>
      <c r="L585" s="336"/>
      <c r="M585" s="301"/>
      <c r="N585" s="336"/>
      <c r="O585" s="301"/>
      <c r="P585" s="336"/>
      <c r="Q585" s="301"/>
      <c r="R585" s="336"/>
      <c r="S585" s="301"/>
      <c r="T585" s="336"/>
    </row>
    <row r="586" spans="1:20" ht="12" customHeight="1" x14ac:dyDescent="0.25">
      <c r="A586" s="329" t="s">
        <v>289</v>
      </c>
      <c r="B586" s="330">
        <v>4</v>
      </c>
      <c r="C586" s="298">
        <v>46226</v>
      </c>
      <c r="D586" s="299" t="s">
        <v>296</v>
      </c>
      <c r="E586" s="522">
        <v>49.15</v>
      </c>
      <c r="F586" s="522"/>
      <c r="G586" s="333">
        <f t="shared" si="18"/>
        <v>8467.6699999999873</v>
      </c>
      <c r="H586" s="334"/>
      <c r="I586" s="335"/>
      <c r="J586" s="336"/>
      <c r="K586" s="301"/>
      <c r="L586" s="336"/>
      <c r="M586" s="301"/>
      <c r="N586" s="336"/>
      <c r="O586" s="301"/>
      <c r="P586" s="336"/>
      <c r="Q586" s="301"/>
      <c r="R586" s="336"/>
      <c r="S586" s="301"/>
      <c r="T586" s="336"/>
    </row>
    <row r="587" spans="1:20" ht="12" customHeight="1" x14ac:dyDescent="0.25">
      <c r="A587" s="329" t="s">
        <v>289</v>
      </c>
      <c r="B587" s="330">
        <v>6</v>
      </c>
      <c r="C587" s="298">
        <v>46226</v>
      </c>
      <c r="D587" s="299" t="s">
        <v>991</v>
      </c>
      <c r="E587" s="522">
        <v>21.6</v>
      </c>
      <c r="F587" s="522"/>
      <c r="G587" s="333">
        <f t="shared" si="18"/>
        <v>8516.819999999987</v>
      </c>
      <c r="H587" s="334"/>
      <c r="I587" s="335"/>
      <c r="J587" s="336"/>
      <c r="K587" s="301"/>
      <c r="L587" s="336"/>
      <c r="M587" s="301"/>
      <c r="N587" s="336"/>
      <c r="O587" s="301"/>
      <c r="P587" s="336"/>
      <c r="Q587" s="301"/>
      <c r="R587" s="336"/>
      <c r="S587" s="301"/>
      <c r="T587" s="336"/>
    </row>
    <row r="588" spans="1:20" ht="12" customHeight="1" x14ac:dyDescent="0.25">
      <c r="A588" s="329" t="s">
        <v>289</v>
      </c>
      <c r="B588" s="330">
        <v>8</v>
      </c>
      <c r="C588" s="298">
        <v>46225</v>
      </c>
      <c r="D588" s="299" t="s">
        <v>319</v>
      </c>
      <c r="E588" s="522">
        <v>21.28</v>
      </c>
      <c r="F588" s="522"/>
      <c r="G588" s="333">
        <f t="shared" si="18"/>
        <v>8538.4199999999873</v>
      </c>
      <c r="H588" s="334"/>
      <c r="I588" s="335"/>
      <c r="J588" s="336"/>
      <c r="K588" s="301"/>
      <c r="L588" s="336"/>
      <c r="M588" s="301"/>
      <c r="N588" s="336"/>
      <c r="O588" s="301"/>
      <c r="P588" s="336"/>
      <c r="Q588" s="301"/>
      <c r="R588" s="336"/>
      <c r="S588" s="301"/>
      <c r="T588" s="336"/>
    </row>
    <row r="589" spans="1:20" ht="12" customHeight="1" x14ac:dyDescent="0.25">
      <c r="A589" s="329" t="s">
        <v>289</v>
      </c>
      <c r="B589" s="330">
        <v>2</v>
      </c>
      <c r="C589" s="298">
        <v>46225</v>
      </c>
      <c r="D589" s="299" t="s">
        <v>357</v>
      </c>
      <c r="E589" s="522">
        <v>17.260000000000002</v>
      </c>
      <c r="F589" s="522"/>
      <c r="G589" s="333">
        <f t="shared" si="18"/>
        <v>8559.699999999988</v>
      </c>
      <c r="H589" s="334"/>
      <c r="I589" s="335"/>
      <c r="J589" s="336"/>
      <c r="K589" s="301"/>
      <c r="L589" s="336"/>
      <c r="M589" s="301"/>
      <c r="N589" s="336"/>
      <c r="O589" s="301"/>
      <c r="P589" s="336"/>
      <c r="Q589" s="301"/>
      <c r="R589" s="336"/>
      <c r="S589" s="301"/>
      <c r="T589" s="336"/>
    </row>
    <row r="590" spans="1:20" ht="12" customHeight="1" x14ac:dyDescent="0.25">
      <c r="A590" s="329" t="s">
        <v>291</v>
      </c>
      <c r="B590" s="330">
        <v>40</v>
      </c>
      <c r="C590" s="298">
        <v>46225</v>
      </c>
      <c r="D590" s="299" t="s">
        <v>316</v>
      </c>
      <c r="E590" s="522"/>
      <c r="F590" s="522">
        <v>4292.68</v>
      </c>
      <c r="G590" s="333">
        <f t="shared" si="18"/>
        <v>8576.9599999999882</v>
      </c>
      <c r="H590" s="334"/>
      <c r="I590" s="335"/>
      <c r="J590" s="336"/>
      <c r="K590" s="301"/>
      <c r="L590" s="336"/>
      <c r="M590" s="301"/>
      <c r="N590" s="336"/>
      <c r="O590" s="301"/>
      <c r="P590" s="336"/>
      <c r="Q590" s="301"/>
      <c r="R590" s="336"/>
      <c r="S590" s="301"/>
      <c r="T590" s="336"/>
    </row>
    <row r="591" spans="1:20" ht="12" customHeight="1" x14ac:dyDescent="0.25">
      <c r="A591" s="329" t="s">
        <v>289</v>
      </c>
      <c r="B591" s="330">
        <v>1</v>
      </c>
      <c r="C591" s="298">
        <v>46223</v>
      </c>
      <c r="D591" s="299" t="s">
        <v>306</v>
      </c>
      <c r="E591" s="522">
        <v>148.97999999999999</v>
      </c>
      <c r="F591" s="522"/>
      <c r="G591" s="333">
        <f t="shared" si="18"/>
        <v>4284.279999999987</v>
      </c>
      <c r="H591" s="334"/>
      <c r="I591" s="335"/>
      <c r="J591" s="336"/>
      <c r="K591" s="301"/>
      <c r="L591" s="336"/>
      <c r="M591" s="301"/>
      <c r="N591" s="336"/>
      <c r="O591" s="301"/>
      <c r="P591" s="336"/>
      <c r="Q591" s="301"/>
      <c r="R591" s="336"/>
      <c r="S591" s="301"/>
      <c r="T591" s="336"/>
    </row>
    <row r="592" spans="1:20" ht="12" customHeight="1" x14ac:dyDescent="0.25">
      <c r="A592" s="329" t="s">
        <v>294</v>
      </c>
      <c r="B592" s="330">
        <v>22</v>
      </c>
      <c r="C592" s="298">
        <v>46223</v>
      </c>
      <c r="D592" s="299" t="s">
        <v>323</v>
      </c>
      <c r="E592" s="522">
        <v>20.22</v>
      </c>
      <c r="F592" s="522"/>
      <c r="G592" s="333">
        <f t="shared" si="18"/>
        <v>4433.2599999999866</v>
      </c>
      <c r="H592" s="334"/>
      <c r="I592" s="335"/>
      <c r="J592" s="336"/>
      <c r="K592" s="301"/>
      <c r="L592" s="336"/>
      <c r="M592" s="301"/>
      <c r="N592" s="336"/>
      <c r="O592" s="301"/>
      <c r="P592" s="336"/>
      <c r="Q592" s="301"/>
      <c r="R592" s="336"/>
      <c r="S592" s="301"/>
      <c r="T592" s="336"/>
    </row>
    <row r="593" spans="1:20" ht="12" customHeight="1" x14ac:dyDescent="0.25">
      <c r="A593" s="329" t="s">
        <v>289</v>
      </c>
      <c r="B593" s="330">
        <v>5</v>
      </c>
      <c r="C593" s="298">
        <v>46223</v>
      </c>
      <c r="D593" s="299" t="s">
        <v>986</v>
      </c>
      <c r="E593" s="522">
        <v>-313</v>
      </c>
      <c r="F593" s="522"/>
      <c r="G593" s="333">
        <f t="shared" si="18"/>
        <v>4453.4799999999868</v>
      </c>
      <c r="H593" s="334"/>
      <c r="I593" s="335"/>
      <c r="J593" s="336"/>
      <c r="K593" s="301"/>
      <c r="L593" s="336"/>
      <c r="M593" s="301"/>
      <c r="N593" s="336"/>
      <c r="O593" s="301"/>
      <c r="P593" s="336"/>
      <c r="Q593" s="301"/>
      <c r="R593" s="336"/>
      <c r="S593" s="301"/>
      <c r="T593" s="336"/>
    </row>
    <row r="594" spans="1:20" ht="12" customHeight="1" x14ac:dyDescent="0.25">
      <c r="A594" s="329" t="s">
        <v>289</v>
      </c>
      <c r="B594" s="330">
        <v>4</v>
      </c>
      <c r="C594" s="298">
        <v>46222</v>
      </c>
      <c r="D594" s="299" t="s">
        <v>310</v>
      </c>
      <c r="E594" s="522">
        <v>43.41</v>
      </c>
      <c r="F594" s="522"/>
      <c r="G594" s="333">
        <f t="shared" si="18"/>
        <v>4140.4799999999868</v>
      </c>
      <c r="H594" s="334"/>
      <c r="I594" s="335"/>
      <c r="J594" s="336"/>
      <c r="K594" s="301"/>
      <c r="L594" s="336"/>
      <c r="M594" s="301"/>
      <c r="N594" s="336"/>
      <c r="O594" s="301"/>
      <c r="P594" s="336"/>
      <c r="Q594" s="301"/>
      <c r="R594" s="336"/>
      <c r="S594" s="301"/>
      <c r="T594" s="336"/>
    </row>
    <row r="595" spans="1:20" ht="12" customHeight="1" x14ac:dyDescent="0.25">
      <c r="A595" s="329" t="s">
        <v>289</v>
      </c>
      <c r="B595" s="330">
        <v>1</v>
      </c>
      <c r="C595" s="298">
        <v>46222</v>
      </c>
      <c r="D595" s="299" t="s">
        <v>329</v>
      </c>
      <c r="E595" s="522">
        <v>70.98</v>
      </c>
      <c r="F595" s="522"/>
      <c r="G595" s="333">
        <f t="shared" si="18"/>
        <v>4183.8899999999867</v>
      </c>
      <c r="H595" s="334"/>
      <c r="I595" s="335"/>
      <c r="J595" s="336"/>
      <c r="K595" s="301"/>
      <c r="L595" s="336"/>
      <c r="M595" s="301"/>
      <c r="N595" s="336"/>
      <c r="O595" s="301"/>
      <c r="P595" s="336"/>
      <c r="Q595" s="301"/>
      <c r="R595" s="336"/>
      <c r="S595" s="301"/>
      <c r="T595" s="336"/>
    </row>
    <row r="596" spans="1:20" ht="12" customHeight="1" x14ac:dyDescent="0.25">
      <c r="A596" s="329" t="s">
        <v>289</v>
      </c>
      <c r="B596" s="330">
        <v>1</v>
      </c>
      <c r="C596" s="298">
        <v>46222</v>
      </c>
      <c r="D596" s="299" t="s">
        <v>306</v>
      </c>
      <c r="E596" s="522">
        <v>0.42</v>
      </c>
      <c r="F596" s="522"/>
      <c r="G596" s="333">
        <f t="shared" si="18"/>
        <v>4254.8699999999862</v>
      </c>
      <c r="H596" s="334"/>
      <c r="I596" s="335"/>
      <c r="J596" s="336"/>
      <c r="K596" s="301"/>
      <c r="L596" s="336"/>
      <c r="M596" s="301"/>
      <c r="N596" s="336"/>
      <c r="O596" s="301"/>
      <c r="P596" s="336"/>
      <c r="Q596" s="301"/>
      <c r="R596" s="336"/>
      <c r="S596" s="301"/>
      <c r="T596" s="336"/>
    </row>
    <row r="597" spans="1:20" ht="12" customHeight="1" x14ac:dyDescent="0.25">
      <c r="A597" s="329" t="s">
        <v>294</v>
      </c>
      <c r="B597" s="330">
        <v>22</v>
      </c>
      <c r="C597" s="298">
        <v>46222</v>
      </c>
      <c r="D597" s="299" t="s">
        <v>921</v>
      </c>
      <c r="E597" s="522">
        <v>7.46</v>
      </c>
      <c r="F597" s="522"/>
      <c r="G597" s="333">
        <f t="shared" si="18"/>
        <v>4255.2899999999863</v>
      </c>
      <c r="H597" s="334"/>
      <c r="I597" s="335"/>
      <c r="J597" s="336"/>
      <c r="K597" s="301"/>
      <c r="L597" s="336"/>
      <c r="M597" s="301"/>
      <c r="N597" s="336"/>
      <c r="O597" s="301"/>
      <c r="P597" s="336"/>
      <c r="Q597" s="301"/>
      <c r="R597" s="336"/>
      <c r="S597" s="301"/>
      <c r="T597" s="336"/>
    </row>
    <row r="598" spans="1:20" ht="12" customHeight="1" x14ac:dyDescent="0.25">
      <c r="A598" s="329" t="s">
        <v>289</v>
      </c>
      <c r="B598" s="330">
        <v>6</v>
      </c>
      <c r="C598" s="298">
        <v>46222</v>
      </c>
      <c r="D598" s="299" t="s">
        <v>985</v>
      </c>
      <c r="E598" s="522">
        <v>60</v>
      </c>
      <c r="F598" s="522"/>
      <c r="G598" s="333">
        <f t="shared" si="18"/>
        <v>4262.7499999999864</v>
      </c>
      <c r="H598" s="334"/>
      <c r="I598" s="335"/>
      <c r="J598" s="336"/>
      <c r="K598" s="301"/>
      <c r="L598" s="336"/>
      <c r="M598" s="301"/>
      <c r="N598" s="336"/>
      <c r="O598" s="301"/>
      <c r="P598" s="336"/>
      <c r="Q598" s="301"/>
      <c r="R598" s="336"/>
      <c r="S598" s="301"/>
      <c r="T598" s="336"/>
    </row>
    <row r="599" spans="1:20" ht="12" customHeight="1" x14ac:dyDescent="0.25">
      <c r="A599" s="329" t="s">
        <v>289</v>
      </c>
      <c r="B599" s="330">
        <v>2</v>
      </c>
      <c r="C599" s="298">
        <v>46221</v>
      </c>
      <c r="D599" s="299" t="s">
        <v>345</v>
      </c>
      <c r="E599" s="522">
        <v>11.77</v>
      </c>
      <c r="F599" s="522"/>
      <c r="G599" s="333">
        <f t="shared" si="18"/>
        <v>4322.7499999999864</v>
      </c>
      <c r="H599" s="334"/>
      <c r="I599" s="335"/>
      <c r="J599" s="336"/>
      <c r="K599" s="301"/>
      <c r="L599" s="336"/>
      <c r="M599" s="301"/>
      <c r="N599" s="336"/>
      <c r="O599" s="301"/>
      <c r="P599" s="336"/>
      <c r="Q599" s="301"/>
      <c r="R599" s="336"/>
      <c r="S599" s="301"/>
      <c r="T599" s="336"/>
    </row>
    <row r="600" spans="1:20" ht="12" customHeight="1" x14ac:dyDescent="0.25">
      <c r="A600" s="329" t="s">
        <v>289</v>
      </c>
      <c r="B600" s="330">
        <v>2</v>
      </c>
      <c r="C600" s="298">
        <v>46221</v>
      </c>
      <c r="D600" s="299" t="s">
        <v>308</v>
      </c>
      <c r="E600" s="522">
        <v>123.68</v>
      </c>
      <c r="F600" s="522"/>
      <c r="G600" s="333">
        <f t="shared" si="18"/>
        <v>4334.5199999999868</v>
      </c>
      <c r="H600" s="334"/>
      <c r="I600" s="335"/>
      <c r="J600" s="336"/>
      <c r="K600" s="301"/>
      <c r="L600" s="336"/>
      <c r="M600" s="301"/>
      <c r="N600" s="336"/>
      <c r="O600" s="301"/>
      <c r="P600" s="336"/>
      <c r="Q600" s="301"/>
      <c r="R600" s="336"/>
      <c r="S600" s="301"/>
      <c r="T600" s="336"/>
    </row>
    <row r="601" spans="1:20" ht="12" customHeight="1" x14ac:dyDescent="0.25">
      <c r="A601" s="329" t="s">
        <v>289</v>
      </c>
      <c r="B601" s="330">
        <v>8</v>
      </c>
      <c r="C601" s="298">
        <v>46221</v>
      </c>
      <c r="D601" s="299" t="s">
        <v>987</v>
      </c>
      <c r="E601" s="522">
        <v>27.37</v>
      </c>
      <c r="F601" s="522"/>
      <c r="G601" s="333">
        <f t="shared" si="18"/>
        <v>4458.1999999999871</v>
      </c>
      <c r="H601" s="334"/>
      <c r="I601" s="335"/>
      <c r="J601" s="336"/>
      <c r="K601" s="301"/>
      <c r="L601" s="336"/>
      <c r="M601" s="301"/>
      <c r="N601" s="336"/>
      <c r="O601" s="301"/>
      <c r="P601" s="336"/>
      <c r="Q601" s="301"/>
      <c r="R601" s="336"/>
      <c r="S601" s="301"/>
      <c r="T601" s="336"/>
    </row>
    <row r="602" spans="1:20" ht="12" customHeight="1" x14ac:dyDescent="0.25">
      <c r="A602" s="329" t="s">
        <v>289</v>
      </c>
      <c r="B602" s="330">
        <v>8</v>
      </c>
      <c r="C602" s="298">
        <v>46221</v>
      </c>
      <c r="D602" s="299" t="s">
        <v>987</v>
      </c>
      <c r="E602" s="522">
        <v>25.2</v>
      </c>
      <c r="F602" s="522"/>
      <c r="G602" s="333">
        <f t="shared" si="18"/>
        <v>4485.569999999987</v>
      </c>
      <c r="H602" s="334"/>
      <c r="I602" s="335"/>
      <c r="J602" s="336"/>
      <c r="K602" s="301"/>
      <c r="L602" s="336"/>
      <c r="M602" s="301"/>
      <c r="N602" s="336"/>
      <c r="O602" s="301"/>
      <c r="P602" s="336"/>
      <c r="Q602" s="301"/>
      <c r="R602" s="336"/>
      <c r="S602" s="301"/>
      <c r="T602" s="336"/>
    </row>
    <row r="603" spans="1:20" ht="12" customHeight="1" x14ac:dyDescent="0.25">
      <c r="A603" s="329" t="s">
        <v>294</v>
      </c>
      <c r="B603" s="330">
        <v>22</v>
      </c>
      <c r="C603" s="298">
        <v>46221</v>
      </c>
      <c r="D603" s="299" t="s">
        <v>928</v>
      </c>
      <c r="E603" s="522">
        <v>13.84</v>
      </c>
      <c r="F603" s="522"/>
      <c r="G603" s="333">
        <f t="shared" si="18"/>
        <v>4510.7699999999868</v>
      </c>
      <c r="H603" s="334"/>
      <c r="I603" s="335"/>
      <c r="J603" s="336"/>
      <c r="K603" s="301"/>
      <c r="L603" s="336"/>
      <c r="M603" s="301"/>
      <c r="N603" s="336"/>
      <c r="O603" s="301"/>
      <c r="P603" s="336"/>
      <c r="Q603" s="301"/>
      <c r="R603" s="336"/>
      <c r="S603" s="301"/>
      <c r="T603" s="336"/>
    </row>
    <row r="604" spans="1:20" ht="12" customHeight="1" x14ac:dyDescent="0.25">
      <c r="A604" s="329" t="s">
        <v>294</v>
      </c>
      <c r="B604" s="330">
        <v>21</v>
      </c>
      <c r="C604" s="298">
        <v>46220</v>
      </c>
      <c r="D604" s="299" t="s">
        <v>194</v>
      </c>
      <c r="E604" s="522">
        <v>81</v>
      </c>
      <c r="F604" s="522"/>
      <c r="G604" s="333">
        <f t="shared" si="18"/>
        <v>4524.6099999999869</v>
      </c>
      <c r="H604" s="334"/>
      <c r="I604" s="335"/>
      <c r="J604" s="336"/>
      <c r="K604" s="301"/>
      <c r="L604" s="336"/>
      <c r="M604" s="301"/>
      <c r="N604" s="336"/>
      <c r="O604" s="301"/>
      <c r="P604" s="336"/>
      <c r="Q604" s="301"/>
      <c r="R604" s="336"/>
      <c r="S604" s="301"/>
      <c r="T604" s="336"/>
    </row>
    <row r="605" spans="1:20" ht="12" customHeight="1" x14ac:dyDescent="0.25">
      <c r="A605" s="329" t="s">
        <v>294</v>
      </c>
      <c r="B605" s="330">
        <v>43</v>
      </c>
      <c r="C605" s="298">
        <v>46220</v>
      </c>
      <c r="D605" s="299" t="s">
        <v>333</v>
      </c>
      <c r="E605" s="522">
        <v>22.35</v>
      </c>
      <c r="F605" s="522"/>
      <c r="G605" s="333">
        <f t="shared" si="18"/>
        <v>4605.6099999999869</v>
      </c>
      <c r="H605" s="334"/>
      <c r="I605" s="335"/>
      <c r="J605" s="336"/>
      <c r="K605" s="301"/>
      <c r="L605" s="336"/>
      <c r="M605" s="301"/>
      <c r="N605" s="336"/>
      <c r="O605" s="301"/>
      <c r="P605" s="336"/>
      <c r="Q605" s="301"/>
      <c r="R605" s="336"/>
      <c r="S605" s="301"/>
      <c r="T605" s="336"/>
    </row>
    <row r="606" spans="1:20" ht="12" customHeight="1" x14ac:dyDescent="0.25">
      <c r="A606" s="329" t="s">
        <v>294</v>
      </c>
      <c r="B606" s="330">
        <v>42</v>
      </c>
      <c r="C606" s="298">
        <v>46220</v>
      </c>
      <c r="D606" s="299" t="s">
        <v>333</v>
      </c>
      <c r="E606" s="522">
        <v>29.8</v>
      </c>
      <c r="F606" s="522"/>
      <c r="G606" s="333">
        <f t="shared" si="18"/>
        <v>4627.9599999999873</v>
      </c>
      <c r="H606" s="334"/>
      <c r="I606" s="335"/>
      <c r="J606" s="336"/>
      <c r="K606" s="301"/>
      <c r="L606" s="336"/>
      <c r="M606" s="301"/>
      <c r="N606" s="336"/>
      <c r="O606" s="301"/>
      <c r="P606" s="336"/>
      <c r="Q606" s="301"/>
      <c r="R606" s="336"/>
      <c r="S606" s="301"/>
      <c r="T606" s="336"/>
    </row>
    <row r="607" spans="1:20" ht="12" customHeight="1" x14ac:dyDescent="0.25">
      <c r="A607" s="329" t="s">
        <v>294</v>
      </c>
      <c r="B607" s="330">
        <v>17</v>
      </c>
      <c r="C607" s="298">
        <v>46220</v>
      </c>
      <c r="D607" s="299" t="s">
        <v>188</v>
      </c>
      <c r="E607" s="522">
        <v>42.65</v>
      </c>
      <c r="F607" s="522"/>
      <c r="G607" s="333">
        <f t="shared" si="18"/>
        <v>4657.7599999999875</v>
      </c>
      <c r="H607" s="334"/>
      <c r="I607" s="335"/>
      <c r="J607" s="336"/>
      <c r="K607" s="301"/>
      <c r="L607" s="336"/>
      <c r="M607" s="301"/>
      <c r="N607" s="336"/>
      <c r="O607" s="301"/>
      <c r="P607" s="336"/>
      <c r="Q607" s="301"/>
      <c r="R607" s="336"/>
      <c r="S607" s="301"/>
      <c r="T607" s="336"/>
    </row>
    <row r="608" spans="1:20" ht="12" customHeight="1" x14ac:dyDescent="0.25">
      <c r="A608" s="329" t="s">
        <v>294</v>
      </c>
      <c r="B608" s="330">
        <v>23</v>
      </c>
      <c r="C608" s="298">
        <v>46220</v>
      </c>
      <c r="D608" s="299" t="s">
        <v>63</v>
      </c>
      <c r="E608" s="522">
        <v>529.46</v>
      </c>
      <c r="F608" s="522"/>
      <c r="G608" s="333">
        <f t="shared" si="18"/>
        <v>4700.4099999999871</v>
      </c>
      <c r="H608" s="334"/>
      <c r="I608" s="335"/>
      <c r="J608" s="336"/>
      <c r="K608" s="301"/>
      <c r="L608" s="336"/>
      <c r="M608" s="301"/>
      <c r="N608" s="336"/>
      <c r="O608" s="301"/>
      <c r="P608" s="336"/>
      <c r="Q608" s="301"/>
      <c r="R608" s="336"/>
      <c r="S608" s="301"/>
      <c r="T608" s="336"/>
    </row>
    <row r="609" spans="1:20" ht="12" customHeight="1" x14ac:dyDescent="0.25">
      <c r="A609" s="329" t="s">
        <v>294</v>
      </c>
      <c r="B609" s="330">
        <v>11</v>
      </c>
      <c r="C609" s="298">
        <v>46219</v>
      </c>
      <c r="D609" s="299" t="s">
        <v>178</v>
      </c>
      <c r="E609" s="522">
        <v>256.64</v>
      </c>
      <c r="F609" s="522"/>
      <c r="G609" s="333">
        <f t="shared" si="18"/>
        <v>5229.8699999999872</v>
      </c>
      <c r="H609" s="334"/>
      <c r="I609" s="335"/>
      <c r="J609" s="336"/>
      <c r="K609" s="301"/>
      <c r="L609" s="336"/>
      <c r="M609" s="301"/>
      <c r="N609" s="336"/>
      <c r="O609" s="301"/>
      <c r="P609" s="336"/>
      <c r="Q609" s="301"/>
      <c r="R609" s="336"/>
      <c r="S609" s="301"/>
      <c r="T609" s="336"/>
    </row>
    <row r="610" spans="1:20" ht="12" customHeight="1" x14ac:dyDescent="0.25">
      <c r="A610" s="329" t="s">
        <v>289</v>
      </c>
      <c r="B610" s="330">
        <v>5</v>
      </c>
      <c r="C610" s="298">
        <v>46219</v>
      </c>
      <c r="D610" s="299" t="s">
        <v>339</v>
      </c>
      <c r="E610" s="522">
        <v>21.3</v>
      </c>
      <c r="F610" s="522"/>
      <c r="G610" s="333">
        <f t="shared" si="18"/>
        <v>5486.5099999999875</v>
      </c>
      <c r="H610" s="334"/>
      <c r="I610" s="335"/>
      <c r="J610" s="336"/>
      <c r="K610" s="301"/>
      <c r="L610" s="336"/>
      <c r="M610" s="301"/>
      <c r="N610" s="336"/>
      <c r="O610" s="301"/>
      <c r="P610" s="336"/>
      <c r="Q610" s="301"/>
      <c r="R610" s="336"/>
      <c r="S610" s="301"/>
      <c r="T610" s="336"/>
    </row>
    <row r="611" spans="1:20" ht="12" customHeight="1" x14ac:dyDescent="0.25">
      <c r="A611" s="329" t="s">
        <v>291</v>
      </c>
      <c r="B611" s="330">
        <v>38</v>
      </c>
      <c r="C611" s="298">
        <v>46218</v>
      </c>
      <c r="D611" s="299" t="s">
        <v>293</v>
      </c>
      <c r="E611" s="522"/>
      <c r="F611" s="522">
        <v>4720.84</v>
      </c>
      <c r="G611" s="333">
        <f t="shared" ref="G611:G616" si="19">G612-E611+F611</f>
        <v>5507.8099999999877</v>
      </c>
      <c r="H611" s="334"/>
      <c r="I611" s="335"/>
      <c r="J611" s="336"/>
      <c r="K611" s="301"/>
      <c r="L611" s="336"/>
      <c r="M611" s="301"/>
      <c r="N611" s="336"/>
      <c r="O611" s="301"/>
      <c r="P611" s="336"/>
      <c r="Q611" s="301"/>
      <c r="R611" s="336"/>
      <c r="S611" s="301"/>
      <c r="T611" s="336"/>
    </row>
    <row r="612" spans="1:20" ht="12" customHeight="1" x14ac:dyDescent="0.25">
      <c r="A612" s="329" t="s">
        <v>289</v>
      </c>
      <c r="B612" s="330">
        <v>5</v>
      </c>
      <c r="C612" s="298">
        <v>46218</v>
      </c>
      <c r="D612" s="299" t="s">
        <v>983</v>
      </c>
      <c r="E612" s="522">
        <v>429.82</v>
      </c>
      <c r="F612" s="522"/>
      <c r="G612" s="333">
        <f t="shared" si="19"/>
        <v>786.96999999998775</v>
      </c>
      <c r="H612" s="334"/>
      <c r="I612" s="335"/>
      <c r="J612" s="336"/>
      <c r="K612" s="301"/>
      <c r="L612" s="336"/>
      <c r="M612" s="301"/>
      <c r="N612" s="336"/>
      <c r="O612" s="301"/>
      <c r="P612" s="336"/>
      <c r="Q612" s="301"/>
      <c r="R612" s="336"/>
      <c r="S612" s="301"/>
      <c r="T612" s="336"/>
    </row>
    <row r="613" spans="1:20" ht="12" customHeight="1" x14ac:dyDescent="0.25">
      <c r="A613" s="329" t="s">
        <v>289</v>
      </c>
      <c r="B613" s="330">
        <v>2</v>
      </c>
      <c r="C613" s="298">
        <v>46218</v>
      </c>
      <c r="D613" s="299" t="s">
        <v>979</v>
      </c>
      <c r="E613" s="522">
        <v>80.319999999999993</v>
      </c>
      <c r="F613" s="522"/>
      <c r="G613" s="333">
        <f t="shared" si="19"/>
        <v>1216.7899999999877</v>
      </c>
      <c r="H613" s="334"/>
      <c r="I613" s="335"/>
      <c r="J613" s="336"/>
      <c r="K613" s="301"/>
      <c r="L613" s="336"/>
      <c r="M613" s="301"/>
      <c r="N613" s="336"/>
      <c r="O613" s="301"/>
      <c r="P613" s="336"/>
      <c r="Q613" s="301"/>
      <c r="R613" s="336"/>
      <c r="S613" s="301"/>
      <c r="T613" s="336"/>
    </row>
    <row r="614" spans="1:20" ht="12" customHeight="1" x14ac:dyDescent="0.25">
      <c r="A614" s="329" t="s">
        <v>289</v>
      </c>
      <c r="B614" s="330">
        <v>6</v>
      </c>
      <c r="C614" s="298">
        <v>46216</v>
      </c>
      <c r="D614" s="299" t="s">
        <v>312</v>
      </c>
      <c r="E614" s="522">
        <v>51.94</v>
      </c>
      <c r="F614" s="522"/>
      <c r="G614" s="333">
        <f t="shared" si="19"/>
        <v>1297.1099999999876</v>
      </c>
      <c r="H614" s="334"/>
      <c r="I614" s="335"/>
      <c r="J614" s="336"/>
      <c r="K614" s="301"/>
      <c r="L614" s="336"/>
      <c r="M614" s="301"/>
      <c r="N614" s="336"/>
      <c r="O614" s="301"/>
      <c r="P614" s="336"/>
      <c r="Q614" s="301"/>
      <c r="R614" s="336"/>
      <c r="S614" s="301"/>
      <c r="T614" s="336"/>
    </row>
    <row r="615" spans="1:20" ht="12" customHeight="1" x14ac:dyDescent="0.25">
      <c r="A615" s="329" t="s">
        <v>289</v>
      </c>
      <c r="B615" s="330">
        <v>2</v>
      </c>
      <c r="C615" s="298">
        <v>46216</v>
      </c>
      <c r="D615" s="299" t="s">
        <v>982</v>
      </c>
      <c r="E615" s="522">
        <v>43.13</v>
      </c>
      <c r="F615" s="522"/>
      <c r="G615" s="333">
        <f t="shared" si="19"/>
        <v>1349.0499999999877</v>
      </c>
      <c r="H615" s="334"/>
      <c r="I615" s="335"/>
      <c r="J615" s="336"/>
      <c r="K615" s="301"/>
      <c r="L615" s="336"/>
      <c r="M615" s="301"/>
      <c r="N615" s="336"/>
      <c r="O615" s="301"/>
      <c r="P615" s="336"/>
      <c r="Q615" s="301"/>
      <c r="R615" s="336"/>
      <c r="S615" s="301"/>
      <c r="T615" s="336"/>
    </row>
    <row r="616" spans="1:20" ht="12" customHeight="1" x14ac:dyDescent="0.25">
      <c r="A616" s="329" t="s">
        <v>294</v>
      </c>
      <c r="B616" s="330">
        <v>19</v>
      </c>
      <c r="C616" s="298">
        <v>46216</v>
      </c>
      <c r="D616" s="299" t="s">
        <v>191</v>
      </c>
      <c r="E616" s="522">
        <v>200</v>
      </c>
      <c r="F616" s="522"/>
      <c r="G616" s="333">
        <f t="shared" si="19"/>
        <v>1392.1799999999878</v>
      </c>
      <c r="H616" s="334"/>
      <c r="I616" s="335"/>
      <c r="J616" s="336"/>
      <c r="K616" s="301"/>
      <c r="L616" s="336"/>
      <c r="M616" s="301"/>
      <c r="N616" s="336"/>
      <c r="O616" s="301"/>
      <c r="P616" s="336"/>
      <c r="Q616" s="301"/>
      <c r="R616" s="336"/>
      <c r="S616" s="301"/>
      <c r="T616" s="336"/>
    </row>
    <row r="617" spans="1:20" ht="12" customHeight="1" x14ac:dyDescent="0.25">
      <c r="A617" s="329" t="s">
        <v>294</v>
      </c>
      <c r="B617" s="330">
        <v>15</v>
      </c>
      <c r="C617" s="298">
        <v>46216</v>
      </c>
      <c r="D617" s="299" t="s">
        <v>185</v>
      </c>
      <c r="E617" s="522">
        <v>64.05</v>
      </c>
      <c r="F617" s="522"/>
      <c r="G617" s="333">
        <f t="shared" ref="G617:G719" si="20">G618-E617+F617</f>
        <v>1592.1799999999878</v>
      </c>
      <c r="H617" s="334"/>
      <c r="I617" s="335"/>
      <c r="J617" s="336"/>
      <c r="K617" s="301"/>
      <c r="L617" s="336"/>
      <c r="M617" s="301"/>
      <c r="N617" s="336"/>
      <c r="O617" s="301"/>
      <c r="P617" s="336"/>
      <c r="Q617" s="301"/>
      <c r="R617" s="336"/>
      <c r="S617" s="301"/>
      <c r="T617" s="336"/>
    </row>
    <row r="618" spans="1:20" ht="12" customHeight="1" x14ac:dyDescent="0.25">
      <c r="A618" s="329" t="s">
        <v>335</v>
      </c>
      <c r="B618" s="330" t="s">
        <v>335</v>
      </c>
      <c r="C618" s="298">
        <v>46216</v>
      </c>
      <c r="D618" s="299" t="s">
        <v>185</v>
      </c>
      <c r="E618" s="522">
        <v>63.44</v>
      </c>
      <c r="F618" s="522"/>
      <c r="G618" s="333">
        <f t="shared" si="20"/>
        <v>1656.2299999999877</v>
      </c>
      <c r="H618" s="334"/>
      <c r="I618" s="335"/>
      <c r="J618" s="336"/>
      <c r="K618" s="301"/>
      <c r="L618" s="336"/>
      <c r="M618" s="301"/>
      <c r="N618" s="336"/>
      <c r="O618" s="301"/>
      <c r="P618" s="336"/>
      <c r="Q618" s="301"/>
      <c r="R618" s="336"/>
      <c r="S618" s="301"/>
      <c r="T618" s="336"/>
    </row>
    <row r="619" spans="1:20" ht="12" customHeight="1" x14ac:dyDescent="0.25">
      <c r="A619" s="329" t="s">
        <v>289</v>
      </c>
      <c r="B619" s="330">
        <v>4</v>
      </c>
      <c r="C619" s="298">
        <v>46215</v>
      </c>
      <c r="D619" s="299" t="s">
        <v>310</v>
      </c>
      <c r="E619" s="522">
        <v>34.85</v>
      </c>
      <c r="F619" s="522"/>
      <c r="G619" s="333">
        <f t="shared" si="20"/>
        <v>1719.6699999999878</v>
      </c>
      <c r="H619" s="334"/>
      <c r="I619" s="335"/>
      <c r="J619" s="336"/>
      <c r="K619" s="301"/>
      <c r="L619" s="336"/>
      <c r="M619" s="301"/>
      <c r="N619" s="336"/>
      <c r="O619" s="301"/>
      <c r="P619" s="336"/>
      <c r="Q619" s="301"/>
      <c r="R619" s="336"/>
      <c r="S619" s="301"/>
      <c r="T619" s="336"/>
    </row>
    <row r="620" spans="1:20" ht="12" customHeight="1" x14ac:dyDescent="0.25">
      <c r="A620" s="329" t="s">
        <v>289</v>
      </c>
      <c r="B620" s="330">
        <v>8</v>
      </c>
      <c r="C620" s="298">
        <v>46215</v>
      </c>
      <c r="D620" s="299" t="s">
        <v>980</v>
      </c>
      <c r="E620" s="522">
        <v>29.2</v>
      </c>
      <c r="F620" s="522"/>
      <c r="G620" s="333">
        <f t="shared" si="20"/>
        <v>1754.5199999999877</v>
      </c>
      <c r="H620" s="334"/>
      <c r="I620" s="335"/>
      <c r="J620" s="336"/>
      <c r="K620" s="301"/>
      <c r="L620" s="336"/>
      <c r="M620" s="301"/>
      <c r="N620" s="336"/>
      <c r="O620" s="301"/>
      <c r="P620" s="336"/>
      <c r="Q620" s="301"/>
      <c r="R620" s="336"/>
      <c r="S620" s="301"/>
      <c r="T620" s="336"/>
    </row>
    <row r="621" spans="1:20" ht="12" customHeight="1" x14ac:dyDescent="0.25">
      <c r="A621" s="329" t="s">
        <v>289</v>
      </c>
      <c r="B621" s="330">
        <v>6</v>
      </c>
      <c r="C621" s="298">
        <v>46215</v>
      </c>
      <c r="D621" s="299" t="s">
        <v>978</v>
      </c>
      <c r="E621" s="522">
        <v>81.75</v>
      </c>
      <c r="F621" s="522"/>
      <c r="G621" s="333">
        <f t="shared" si="20"/>
        <v>1783.7199999999877</v>
      </c>
      <c r="H621" s="334"/>
      <c r="I621" s="335"/>
      <c r="J621" s="336"/>
      <c r="K621" s="301"/>
      <c r="L621" s="336"/>
      <c r="M621" s="301"/>
      <c r="N621" s="336"/>
      <c r="O621" s="301"/>
      <c r="P621" s="336"/>
      <c r="Q621" s="301"/>
      <c r="R621" s="336"/>
      <c r="S621" s="301"/>
      <c r="T621" s="336"/>
    </row>
    <row r="622" spans="1:20" ht="12" customHeight="1" x14ac:dyDescent="0.25">
      <c r="A622" s="329" t="s">
        <v>289</v>
      </c>
      <c r="B622" s="330">
        <v>5</v>
      </c>
      <c r="C622" s="298">
        <v>46215</v>
      </c>
      <c r="D622" s="299" t="s">
        <v>978</v>
      </c>
      <c r="E622" s="522">
        <v>81.75</v>
      </c>
      <c r="F622" s="522"/>
      <c r="G622" s="333">
        <f t="shared" si="20"/>
        <v>1865.4699999999877</v>
      </c>
      <c r="H622" s="334"/>
      <c r="I622" s="335"/>
      <c r="J622" s="336"/>
      <c r="K622" s="301"/>
      <c r="L622" s="336"/>
      <c r="M622" s="301"/>
      <c r="N622" s="336"/>
      <c r="O622" s="301"/>
      <c r="P622" s="336"/>
      <c r="Q622" s="301"/>
      <c r="R622" s="336"/>
      <c r="S622" s="301"/>
      <c r="T622" s="336"/>
    </row>
    <row r="623" spans="1:20" ht="12" customHeight="1" x14ac:dyDescent="0.25">
      <c r="A623" s="329" t="s">
        <v>289</v>
      </c>
      <c r="B623" s="330">
        <v>3</v>
      </c>
      <c r="C623" s="298">
        <v>46214</v>
      </c>
      <c r="D623" s="299" t="s">
        <v>981</v>
      </c>
      <c r="E623" s="522">
        <v>25</v>
      </c>
      <c r="F623" s="522"/>
      <c r="G623" s="333">
        <f t="shared" si="20"/>
        <v>1947.2199999999877</v>
      </c>
      <c r="H623" s="334"/>
      <c r="I623" s="335"/>
      <c r="J623" s="336"/>
      <c r="K623" s="301"/>
      <c r="L623" s="336"/>
      <c r="M623" s="301"/>
      <c r="N623" s="336"/>
      <c r="O623" s="301"/>
      <c r="P623" s="336"/>
      <c r="Q623" s="301"/>
      <c r="R623" s="336"/>
      <c r="S623" s="301"/>
      <c r="T623" s="336"/>
    </row>
    <row r="624" spans="1:20" ht="12" customHeight="1" x14ac:dyDescent="0.25">
      <c r="A624" s="329" t="s">
        <v>294</v>
      </c>
      <c r="B624" s="330">
        <v>22</v>
      </c>
      <c r="C624" s="298">
        <v>46214</v>
      </c>
      <c r="D624" s="299" t="s">
        <v>351</v>
      </c>
      <c r="E624" s="522">
        <v>21.29</v>
      </c>
      <c r="F624" s="522"/>
      <c r="G624" s="333">
        <f t="shared" si="20"/>
        <v>1972.2199999999877</v>
      </c>
      <c r="H624" s="334"/>
      <c r="I624" s="335"/>
      <c r="J624" s="336"/>
      <c r="K624" s="301"/>
      <c r="L624" s="336"/>
      <c r="M624" s="301"/>
      <c r="N624" s="336"/>
      <c r="O624" s="301"/>
      <c r="P624" s="336"/>
      <c r="Q624" s="301"/>
      <c r="R624" s="336"/>
      <c r="S624" s="301"/>
      <c r="T624" s="336"/>
    </row>
    <row r="625" spans="1:20" ht="12" customHeight="1" x14ac:dyDescent="0.25">
      <c r="A625" s="329" t="s">
        <v>289</v>
      </c>
      <c r="B625" s="330">
        <v>2</v>
      </c>
      <c r="C625" s="298">
        <v>46214</v>
      </c>
      <c r="D625" s="299" t="s">
        <v>308</v>
      </c>
      <c r="E625" s="522">
        <v>54.48</v>
      </c>
      <c r="F625" s="522"/>
      <c r="G625" s="333">
        <f t="shared" si="20"/>
        <v>1993.5099999999877</v>
      </c>
      <c r="H625" s="334"/>
      <c r="I625" s="335"/>
      <c r="J625" s="336"/>
      <c r="K625" s="301"/>
      <c r="L625" s="336"/>
      <c r="M625" s="301"/>
      <c r="N625" s="336"/>
      <c r="O625" s="301"/>
      <c r="P625" s="336"/>
      <c r="Q625" s="301"/>
      <c r="R625" s="336"/>
      <c r="S625" s="301"/>
      <c r="T625" s="336"/>
    </row>
    <row r="626" spans="1:20" ht="12" customHeight="1" x14ac:dyDescent="0.25">
      <c r="A626" s="329" t="s">
        <v>289</v>
      </c>
      <c r="B626" s="330">
        <v>8</v>
      </c>
      <c r="C626" s="298">
        <v>46214</v>
      </c>
      <c r="D626" s="299" t="s">
        <v>308</v>
      </c>
      <c r="E626" s="522">
        <v>54.49</v>
      </c>
      <c r="F626" s="522"/>
      <c r="G626" s="333">
        <f t="shared" si="20"/>
        <v>2047.9899999999877</v>
      </c>
      <c r="H626" s="334"/>
      <c r="I626" s="335"/>
      <c r="J626" s="336"/>
      <c r="K626" s="301"/>
      <c r="L626" s="336"/>
      <c r="M626" s="301"/>
      <c r="N626" s="336"/>
      <c r="O626" s="301"/>
      <c r="P626" s="336"/>
      <c r="Q626" s="301"/>
      <c r="R626" s="336"/>
      <c r="S626" s="301"/>
      <c r="T626" s="336"/>
    </row>
    <row r="627" spans="1:20" ht="12" customHeight="1" x14ac:dyDescent="0.25">
      <c r="A627" s="329" t="s">
        <v>289</v>
      </c>
      <c r="B627" s="330">
        <v>1</v>
      </c>
      <c r="C627" s="298">
        <v>46214</v>
      </c>
      <c r="D627" s="299" t="s">
        <v>311</v>
      </c>
      <c r="E627" s="522">
        <v>167.26</v>
      </c>
      <c r="F627" s="522"/>
      <c r="G627" s="333">
        <f t="shared" si="20"/>
        <v>2102.4799999999877</v>
      </c>
      <c r="H627" s="334"/>
      <c r="I627" s="335"/>
      <c r="J627" s="336"/>
      <c r="K627" s="301"/>
      <c r="L627" s="336"/>
      <c r="M627" s="301"/>
      <c r="N627" s="336"/>
      <c r="O627" s="301"/>
      <c r="P627" s="336"/>
      <c r="Q627" s="301"/>
      <c r="R627" s="336"/>
      <c r="S627" s="301"/>
      <c r="T627" s="336"/>
    </row>
    <row r="628" spans="1:20" ht="12" customHeight="1" x14ac:dyDescent="0.25">
      <c r="A628" s="329" t="s">
        <v>289</v>
      </c>
      <c r="B628" s="330">
        <v>1</v>
      </c>
      <c r="C628" s="298">
        <v>46214</v>
      </c>
      <c r="D628" s="299" t="s">
        <v>329</v>
      </c>
      <c r="E628" s="522">
        <v>81.73</v>
      </c>
      <c r="F628" s="522"/>
      <c r="G628" s="333">
        <f t="shared" si="20"/>
        <v>2269.7399999999875</v>
      </c>
      <c r="H628" s="334"/>
      <c r="I628" s="335"/>
      <c r="J628" s="336"/>
      <c r="K628" s="301"/>
      <c r="L628" s="336"/>
      <c r="M628" s="301"/>
      <c r="N628" s="336"/>
      <c r="O628" s="301"/>
      <c r="P628" s="336"/>
      <c r="Q628" s="301"/>
      <c r="R628" s="336"/>
      <c r="S628" s="301"/>
      <c r="T628" s="336"/>
    </row>
    <row r="629" spans="1:20" ht="12" customHeight="1" x14ac:dyDescent="0.25">
      <c r="A629" s="329" t="s">
        <v>289</v>
      </c>
      <c r="B629" s="330">
        <v>6</v>
      </c>
      <c r="C629" s="298">
        <v>46213</v>
      </c>
      <c r="D629" s="299" t="s">
        <v>883</v>
      </c>
      <c r="E629" s="522">
        <v>120</v>
      </c>
      <c r="F629" s="522"/>
      <c r="G629" s="333">
        <f t="shared" si="20"/>
        <v>2351.4699999999875</v>
      </c>
      <c r="H629" s="334"/>
      <c r="I629" s="335"/>
      <c r="J629" s="336"/>
      <c r="K629" s="301"/>
      <c r="L629" s="336"/>
      <c r="M629" s="301"/>
      <c r="N629" s="336"/>
      <c r="O629" s="301"/>
      <c r="P629" s="336"/>
      <c r="Q629" s="301"/>
      <c r="R629" s="336"/>
      <c r="S629" s="301"/>
      <c r="T629" s="336"/>
    </row>
    <row r="630" spans="1:20" ht="12" customHeight="1" x14ac:dyDescent="0.25">
      <c r="A630" s="329" t="s">
        <v>289</v>
      </c>
      <c r="B630" s="330">
        <v>6</v>
      </c>
      <c r="C630" s="298">
        <v>46213</v>
      </c>
      <c r="D630" s="299" t="s">
        <v>905</v>
      </c>
      <c r="E630" s="522">
        <v>-0.06</v>
      </c>
      <c r="F630" s="522"/>
      <c r="G630" s="333">
        <f t="shared" si="20"/>
        <v>2471.4699999999875</v>
      </c>
      <c r="H630" s="334"/>
      <c r="I630" s="335"/>
      <c r="J630" s="336"/>
      <c r="K630" s="301"/>
      <c r="L630" s="336"/>
      <c r="M630" s="301"/>
      <c r="N630" s="336"/>
      <c r="O630" s="301"/>
      <c r="P630" s="336"/>
      <c r="Q630" s="301"/>
      <c r="R630" s="336"/>
      <c r="S630" s="301"/>
      <c r="T630" s="336"/>
    </row>
    <row r="631" spans="1:20" ht="12" customHeight="1" x14ac:dyDescent="0.25">
      <c r="A631" s="329" t="s">
        <v>294</v>
      </c>
      <c r="B631" s="330">
        <v>22</v>
      </c>
      <c r="C631" s="298">
        <v>46213</v>
      </c>
      <c r="D631" s="299" t="s">
        <v>977</v>
      </c>
      <c r="E631" s="522">
        <v>5.31</v>
      </c>
      <c r="F631" s="522"/>
      <c r="G631" s="333">
        <f t="shared" si="20"/>
        <v>2471.4099999999876</v>
      </c>
      <c r="H631" s="334"/>
      <c r="I631" s="335"/>
      <c r="J631" s="336"/>
      <c r="K631" s="301"/>
      <c r="L631" s="336"/>
      <c r="M631" s="301"/>
      <c r="N631" s="336"/>
      <c r="O631" s="301"/>
      <c r="P631" s="336"/>
      <c r="Q631" s="301"/>
      <c r="R631" s="336"/>
      <c r="S631" s="301"/>
      <c r="T631" s="336"/>
    </row>
    <row r="632" spans="1:20" ht="12" customHeight="1" x14ac:dyDescent="0.25">
      <c r="A632" s="329" t="s">
        <v>289</v>
      </c>
      <c r="B632" s="330">
        <v>6</v>
      </c>
      <c r="C632" s="298">
        <v>46213</v>
      </c>
      <c r="D632" s="299" t="s">
        <v>300</v>
      </c>
      <c r="E632" s="522">
        <v>25.52</v>
      </c>
      <c r="F632" s="522"/>
      <c r="G632" s="333">
        <f t="shared" si="20"/>
        <v>2476.7199999999875</v>
      </c>
      <c r="H632" s="334"/>
      <c r="I632" s="335"/>
      <c r="J632" s="336"/>
      <c r="K632" s="301"/>
      <c r="L632" s="336"/>
      <c r="M632" s="301"/>
      <c r="N632" s="336"/>
      <c r="O632" s="301"/>
      <c r="P632" s="336"/>
      <c r="Q632" s="301"/>
      <c r="R632" s="336"/>
      <c r="S632" s="301"/>
      <c r="T632" s="336"/>
    </row>
    <row r="633" spans="1:20" ht="12" customHeight="1" x14ac:dyDescent="0.25">
      <c r="A633" s="329" t="s">
        <v>289</v>
      </c>
      <c r="B633" s="330">
        <v>1</v>
      </c>
      <c r="C633" s="298">
        <v>46213</v>
      </c>
      <c r="D633" s="299" t="s">
        <v>829</v>
      </c>
      <c r="E633" s="522">
        <v>13.03</v>
      </c>
      <c r="F633" s="522"/>
      <c r="G633" s="333">
        <f t="shared" si="20"/>
        <v>2502.2399999999875</v>
      </c>
      <c r="H633" s="334"/>
      <c r="I633" s="335"/>
      <c r="J633" s="336"/>
      <c r="K633" s="301"/>
      <c r="L633" s="336"/>
      <c r="M633" s="301"/>
      <c r="N633" s="336"/>
      <c r="O633" s="301"/>
      <c r="P633" s="336"/>
      <c r="Q633" s="301"/>
      <c r="R633" s="336"/>
      <c r="S633" s="301"/>
      <c r="T633" s="336"/>
    </row>
    <row r="634" spans="1:20" ht="12" customHeight="1" x14ac:dyDescent="0.25">
      <c r="A634" s="329" t="s">
        <v>289</v>
      </c>
      <c r="B634" s="330">
        <v>2</v>
      </c>
      <c r="C634" s="298">
        <v>46213</v>
      </c>
      <c r="D634" s="299" t="s">
        <v>370</v>
      </c>
      <c r="E634" s="522">
        <v>9.4600000000000009</v>
      </c>
      <c r="F634" s="522"/>
      <c r="G634" s="333">
        <f t="shared" si="20"/>
        <v>2515.2699999999877</v>
      </c>
      <c r="H634" s="334"/>
      <c r="I634" s="335"/>
      <c r="J634" s="336"/>
      <c r="K634" s="301"/>
      <c r="L634" s="336"/>
      <c r="M634" s="301"/>
      <c r="N634" s="336"/>
      <c r="O634" s="301"/>
      <c r="P634" s="336"/>
      <c r="Q634" s="301"/>
      <c r="R634" s="336"/>
      <c r="S634" s="301"/>
      <c r="T634" s="336"/>
    </row>
    <row r="635" spans="1:20" ht="12" customHeight="1" x14ac:dyDescent="0.25">
      <c r="A635" s="329" t="s">
        <v>289</v>
      </c>
      <c r="B635" s="330">
        <v>2</v>
      </c>
      <c r="C635" s="298">
        <v>46212</v>
      </c>
      <c r="D635" s="299" t="s">
        <v>979</v>
      </c>
      <c r="E635" s="522">
        <v>50.73</v>
      </c>
      <c r="F635" s="522"/>
      <c r="G635" s="333">
        <f t="shared" si="20"/>
        <v>2524.7299999999877</v>
      </c>
      <c r="H635" s="334"/>
      <c r="I635" s="335"/>
      <c r="J635" s="336"/>
      <c r="K635" s="301"/>
      <c r="L635" s="336"/>
      <c r="M635" s="301"/>
      <c r="N635" s="336"/>
      <c r="O635" s="301"/>
      <c r="P635" s="336"/>
      <c r="Q635" s="301"/>
      <c r="R635" s="336"/>
      <c r="S635" s="301"/>
      <c r="T635" s="336"/>
    </row>
    <row r="636" spans="1:20" ht="12" customHeight="1" x14ac:dyDescent="0.25">
      <c r="A636" s="329" t="s">
        <v>289</v>
      </c>
      <c r="B636" s="330">
        <v>5</v>
      </c>
      <c r="C636" s="298">
        <v>46212</v>
      </c>
      <c r="D636" s="299" t="s">
        <v>852</v>
      </c>
      <c r="E636" s="522">
        <v>10.68</v>
      </c>
      <c r="F636" s="522"/>
      <c r="G636" s="333">
        <f t="shared" si="20"/>
        <v>2575.4599999999878</v>
      </c>
      <c r="H636" s="334"/>
      <c r="I636" s="335"/>
      <c r="J636" s="336"/>
      <c r="K636" s="301"/>
      <c r="L636" s="336"/>
      <c r="M636" s="301"/>
      <c r="N636" s="336"/>
      <c r="O636" s="301"/>
      <c r="P636" s="336"/>
      <c r="Q636" s="301"/>
      <c r="R636" s="336"/>
      <c r="S636" s="301"/>
      <c r="T636" s="336"/>
    </row>
    <row r="637" spans="1:20" ht="12" customHeight="1" x14ac:dyDescent="0.25">
      <c r="A637" s="329" t="s">
        <v>289</v>
      </c>
      <c r="B637" s="330">
        <v>2</v>
      </c>
      <c r="C637" s="298">
        <v>46212</v>
      </c>
      <c r="D637" s="299" t="s">
        <v>975</v>
      </c>
      <c r="E637" s="522">
        <v>33.29</v>
      </c>
      <c r="F637" s="522"/>
      <c r="G637" s="333">
        <f t="shared" si="20"/>
        <v>2586.1399999999876</v>
      </c>
      <c r="H637" s="334"/>
      <c r="I637" s="335"/>
      <c r="J637" s="336"/>
      <c r="K637" s="301"/>
      <c r="L637" s="336"/>
      <c r="M637" s="301"/>
      <c r="N637" s="336"/>
      <c r="O637" s="301"/>
      <c r="P637" s="336"/>
      <c r="Q637" s="301"/>
      <c r="R637" s="336"/>
      <c r="S637" s="301"/>
      <c r="T637" s="336"/>
    </row>
    <row r="638" spans="1:20" ht="12" customHeight="1" x14ac:dyDescent="0.25">
      <c r="A638" s="329" t="s">
        <v>289</v>
      </c>
      <c r="B638" s="330">
        <v>6</v>
      </c>
      <c r="C638" s="298">
        <v>46212</v>
      </c>
      <c r="D638" s="299" t="s">
        <v>976</v>
      </c>
      <c r="E638" s="522">
        <v>41.79</v>
      </c>
      <c r="F638" s="522"/>
      <c r="G638" s="333">
        <f t="shared" si="20"/>
        <v>2619.4299999999876</v>
      </c>
      <c r="H638" s="334"/>
      <c r="I638" s="335"/>
      <c r="J638" s="336"/>
      <c r="K638" s="301"/>
      <c r="L638" s="336"/>
      <c r="M638" s="301"/>
      <c r="N638" s="336"/>
      <c r="O638" s="301"/>
      <c r="P638" s="336"/>
      <c r="Q638" s="301"/>
      <c r="R638" s="336"/>
      <c r="S638" s="301"/>
      <c r="T638" s="336"/>
    </row>
    <row r="639" spans="1:20" ht="12" customHeight="1" x14ac:dyDescent="0.25">
      <c r="A639" s="329" t="s">
        <v>335</v>
      </c>
      <c r="B639" s="330" t="s">
        <v>335</v>
      </c>
      <c r="C639" s="298">
        <v>46212</v>
      </c>
      <c r="D639" s="299" t="s">
        <v>458</v>
      </c>
      <c r="E639" s="522"/>
      <c r="F639" s="522">
        <v>620</v>
      </c>
      <c r="G639" s="333">
        <f t="shared" si="20"/>
        <v>2661.2199999999875</v>
      </c>
      <c r="H639" s="334"/>
      <c r="I639" s="335"/>
      <c r="J639" s="336"/>
      <c r="K639" s="301"/>
      <c r="L639" s="336"/>
      <c r="M639" s="301"/>
      <c r="N639" s="336"/>
      <c r="O639" s="301"/>
      <c r="P639" s="336"/>
      <c r="Q639" s="301"/>
      <c r="R639" s="336"/>
      <c r="S639" s="301"/>
      <c r="T639" s="336"/>
    </row>
    <row r="640" spans="1:20" ht="12" customHeight="1" x14ac:dyDescent="0.25">
      <c r="A640" s="329" t="s">
        <v>291</v>
      </c>
      <c r="B640" s="330">
        <v>41</v>
      </c>
      <c r="C640" s="298">
        <v>46212</v>
      </c>
      <c r="D640" s="299" t="s">
        <v>972</v>
      </c>
      <c r="E640" s="522"/>
      <c r="F640" s="522">
        <v>800</v>
      </c>
      <c r="G640" s="333">
        <f t="shared" si="20"/>
        <v>2041.2199999999875</v>
      </c>
      <c r="H640" s="334"/>
      <c r="I640" s="335"/>
      <c r="J640" s="336"/>
      <c r="K640" s="301"/>
      <c r="L640" s="336"/>
      <c r="M640" s="301"/>
      <c r="N640" s="336"/>
      <c r="O640" s="301"/>
      <c r="P640" s="336"/>
      <c r="Q640" s="301"/>
      <c r="R640" s="336"/>
      <c r="S640" s="301"/>
      <c r="T640" s="336"/>
    </row>
    <row r="641" spans="1:20" ht="12" customHeight="1" x14ac:dyDescent="0.25">
      <c r="A641" s="329" t="s">
        <v>291</v>
      </c>
      <c r="B641" s="330">
        <v>39</v>
      </c>
      <c r="C641" s="298">
        <v>46212</v>
      </c>
      <c r="D641" s="299" t="s">
        <v>292</v>
      </c>
      <c r="E641" s="522"/>
      <c r="F641" s="522">
        <v>2763.78</v>
      </c>
      <c r="G641" s="333">
        <f t="shared" si="20"/>
        <v>1241.2199999999875</v>
      </c>
      <c r="H641" s="334"/>
      <c r="I641" s="335"/>
      <c r="J641" s="336"/>
      <c r="K641" s="301"/>
      <c r="L641" s="336"/>
      <c r="M641" s="301"/>
      <c r="N641" s="336"/>
      <c r="O641" s="301"/>
      <c r="P641" s="336"/>
      <c r="Q641" s="301"/>
      <c r="R641" s="336"/>
      <c r="S641" s="301"/>
      <c r="T641" s="336"/>
    </row>
    <row r="642" spans="1:20" ht="12" customHeight="1" x14ac:dyDescent="0.25">
      <c r="A642" s="329" t="s">
        <v>289</v>
      </c>
      <c r="B642" s="330">
        <v>2</v>
      </c>
      <c r="C642" s="298">
        <v>46211</v>
      </c>
      <c r="D642" s="299" t="s">
        <v>389</v>
      </c>
      <c r="E642" s="522">
        <v>7.73</v>
      </c>
      <c r="F642" s="522"/>
      <c r="G642" s="333">
        <f t="shared" si="20"/>
        <v>-1522.5600000000127</v>
      </c>
      <c r="H642" s="334"/>
      <c r="I642" s="335"/>
      <c r="J642" s="336"/>
      <c r="K642" s="301"/>
      <c r="L642" s="336"/>
      <c r="M642" s="301"/>
      <c r="N642" s="336"/>
      <c r="O642" s="301"/>
      <c r="P642" s="336"/>
      <c r="Q642" s="301"/>
      <c r="R642" s="336"/>
      <c r="S642" s="301"/>
      <c r="T642" s="336"/>
    </row>
    <row r="643" spans="1:20" ht="12" customHeight="1" x14ac:dyDescent="0.25">
      <c r="A643" s="329" t="s">
        <v>289</v>
      </c>
      <c r="B643" s="330">
        <v>3</v>
      </c>
      <c r="C643" s="298">
        <v>46211</v>
      </c>
      <c r="D643" s="299" t="s">
        <v>902</v>
      </c>
      <c r="E643" s="522">
        <v>3.5</v>
      </c>
      <c r="F643" s="522"/>
      <c r="G643" s="333">
        <f t="shared" si="20"/>
        <v>-1514.8300000000127</v>
      </c>
      <c r="H643" s="334"/>
      <c r="I643" s="335"/>
      <c r="J643" s="336"/>
      <c r="K643" s="301"/>
      <c r="L643" s="336"/>
      <c r="M643" s="301"/>
      <c r="N643" s="336"/>
      <c r="O643" s="301"/>
      <c r="P643" s="336"/>
      <c r="Q643" s="301"/>
      <c r="R643" s="336"/>
      <c r="S643" s="301"/>
      <c r="T643" s="336"/>
    </row>
    <row r="644" spans="1:20" ht="12" customHeight="1" x14ac:dyDescent="0.25">
      <c r="A644" s="329" t="s">
        <v>289</v>
      </c>
      <c r="B644" s="330">
        <v>4</v>
      </c>
      <c r="C644" s="298">
        <v>46211</v>
      </c>
      <c r="D644" s="299" t="s">
        <v>902</v>
      </c>
      <c r="E644" s="522">
        <v>75.75</v>
      </c>
      <c r="F644" s="522"/>
      <c r="G644" s="333">
        <f t="shared" si="20"/>
        <v>-1511.3300000000127</v>
      </c>
      <c r="H644" s="334"/>
      <c r="I644" s="335"/>
      <c r="J644" s="336"/>
      <c r="K644" s="301"/>
      <c r="L644" s="336"/>
      <c r="M644" s="301"/>
      <c r="N644" s="336"/>
      <c r="O644" s="301"/>
      <c r="P644" s="336"/>
      <c r="Q644" s="301"/>
      <c r="R644" s="336"/>
      <c r="S644" s="301"/>
      <c r="T644" s="336"/>
    </row>
    <row r="645" spans="1:20" ht="12" customHeight="1" x14ac:dyDescent="0.25">
      <c r="A645" s="329" t="s">
        <v>289</v>
      </c>
      <c r="B645" s="330">
        <v>3</v>
      </c>
      <c r="C645" s="298">
        <v>46211</v>
      </c>
      <c r="D645" s="299" t="s">
        <v>309</v>
      </c>
      <c r="E645" s="522">
        <v>4.1900000000000004</v>
      </c>
      <c r="F645" s="522"/>
      <c r="G645" s="333">
        <f t="shared" si="20"/>
        <v>-1435.5800000000127</v>
      </c>
      <c r="H645" s="334"/>
      <c r="I645" s="335"/>
      <c r="J645" s="336"/>
      <c r="K645" s="301"/>
      <c r="L645" s="336"/>
      <c r="M645" s="301"/>
      <c r="N645" s="336"/>
      <c r="O645" s="301"/>
      <c r="P645" s="336"/>
      <c r="Q645" s="301"/>
      <c r="R645" s="336"/>
      <c r="S645" s="301"/>
      <c r="T645" s="336"/>
    </row>
    <row r="646" spans="1:20" ht="12" customHeight="1" x14ac:dyDescent="0.25">
      <c r="A646" s="329" t="s">
        <v>289</v>
      </c>
      <c r="B646" s="330">
        <v>1</v>
      </c>
      <c r="C646" s="298">
        <v>46211</v>
      </c>
      <c r="D646" s="299" t="s">
        <v>306</v>
      </c>
      <c r="E646" s="522">
        <v>145.94999999999999</v>
      </c>
      <c r="F646" s="522"/>
      <c r="G646" s="333">
        <f t="shared" si="20"/>
        <v>-1431.3900000000126</v>
      </c>
      <c r="H646" s="334"/>
      <c r="I646" s="335"/>
      <c r="J646" s="336"/>
      <c r="K646" s="301"/>
      <c r="L646" s="336"/>
      <c r="M646" s="301"/>
      <c r="N646" s="336"/>
      <c r="O646" s="301"/>
      <c r="P646" s="336"/>
      <c r="Q646" s="301"/>
      <c r="R646" s="336"/>
      <c r="S646" s="301"/>
      <c r="T646" s="336"/>
    </row>
    <row r="647" spans="1:20" ht="12" customHeight="1" x14ac:dyDescent="0.25">
      <c r="A647" s="329" t="s">
        <v>289</v>
      </c>
      <c r="B647" s="330">
        <v>4</v>
      </c>
      <c r="C647" s="298">
        <v>46211</v>
      </c>
      <c r="D647" s="299" t="s">
        <v>296</v>
      </c>
      <c r="E647" s="522">
        <v>63.09</v>
      </c>
      <c r="F647" s="522"/>
      <c r="G647" s="333">
        <f t="shared" si="20"/>
        <v>-1285.4400000000126</v>
      </c>
      <c r="H647" s="334"/>
      <c r="I647" s="335"/>
      <c r="J647" s="336"/>
      <c r="K647" s="301"/>
      <c r="L647" s="336"/>
      <c r="M647" s="301"/>
      <c r="N647" s="336"/>
      <c r="O647" s="301"/>
      <c r="P647" s="336"/>
      <c r="Q647" s="301"/>
      <c r="R647" s="336"/>
      <c r="S647" s="301"/>
      <c r="T647" s="336"/>
    </row>
    <row r="648" spans="1:20" ht="12" customHeight="1" x14ac:dyDescent="0.25">
      <c r="A648" s="329" t="s">
        <v>289</v>
      </c>
      <c r="B648" s="330">
        <v>8</v>
      </c>
      <c r="C648" s="298">
        <v>46211</v>
      </c>
      <c r="D648" s="299" t="s">
        <v>296</v>
      </c>
      <c r="E648" s="522">
        <v>17.739999999999998</v>
      </c>
      <c r="F648" s="522"/>
      <c r="G648" s="333">
        <f t="shared" si="20"/>
        <v>-1222.3500000000126</v>
      </c>
      <c r="H648" s="334"/>
      <c r="I648" s="335"/>
      <c r="J648" s="336"/>
      <c r="K648" s="301"/>
      <c r="L648" s="336"/>
      <c r="M648" s="301"/>
      <c r="N648" s="336"/>
      <c r="O648" s="301"/>
      <c r="P648" s="336"/>
      <c r="Q648" s="301"/>
      <c r="R648" s="336"/>
      <c r="S648" s="301"/>
      <c r="T648" s="336"/>
    </row>
    <row r="649" spans="1:20" ht="12" customHeight="1" x14ac:dyDescent="0.25">
      <c r="A649" s="329" t="s">
        <v>289</v>
      </c>
      <c r="B649" s="330">
        <v>6</v>
      </c>
      <c r="C649" s="298">
        <v>46211</v>
      </c>
      <c r="D649" s="299" t="s">
        <v>306</v>
      </c>
      <c r="E649" s="522">
        <v>155.91999999999999</v>
      </c>
      <c r="F649" s="522"/>
      <c r="G649" s="333">
        <f t="shared" si="20"/>
        <v>-1204.6100000000126</v>
      </c>
      <c r="H649" s="334"/>
      <c r="I649" s="335"/>
      <c r="J649" s="336"/>
      <c r="K649" s="301"/>
      <c r="L649" s="336"/>
      <c r="M649" s="301"/>
      <c r="N649" s="336"/>
      <c r="O649" s="301"/>
      <c r="P649" s="336"/>
      <c r="Q649" s="301"/>
      <c r="R649" s="336"/>
      <c r="S649" s="301"/>
      <c r="T649" s="336"/>
    </row>
    <row r="650" spans="1:20" ht="12" customHeight="1" x14ac:dyDescent="0.25">
      <c r="A650" s="329" t="s">
        <v>289</v>
      </c>
      <c r="B650" s="330">
        <v>1</v>
      </c>
      <c r="C650" s="298">
        <v>46211</v>
      </c>
      <c r="D650" s="299" t="s">
        <v>974</v>
      </c>
      <c r="E650" s="522">
        <v>31.58</v>
      </c>
      <c r="F650" s="522"/>
      <c r="G650" s="333">
        <f t="shared" si="20"/>
        <v>-1048.6900000000126</v>
      </c>
      <c r="H650" s="334"/>
      <c r="I650" s="335"/>
      <c r="J650" s="336"/>
      <c r="K650" s="301"/>
      <c r="L650" s="336"/>
      <c r="M650" s="301"/>
      <c r="N650" s="336"/>
      <c r="O650" s="301"/>
      <c r="P650" s="336"/>
      <c r="Q650" s="301"/>
      <c r="R650" s="336"/>
      <c r="S650" s="301"/>
      <c r="T650" s="336"/>
    </row>
    <row r="651" spans="1:20" ht="12" customHeight="1" x14ac:dyDescent="0.25">
      <c r="A651" s="329" t="s">
        <v>289</v>
      </c>
      <c r="B651" s="330">
        <v>8</v>
      </c>
      <c r="C651" s="298">
        <v>46211</v>
      </c>
      <c r="D651" s="299" t="s">
        <v>453</v>
      </c>
      <c r="E651" s="522">
        <v>23.31</v>
      </c>
      <c r="F651" s="522"/>
      <c r="G651" s="333">
        <f t="shared" si="20"/>
        <v>-1017.1100000000125</v>
      </c>
      <c r="H651" s="334"/>
      <c r="I651" s="335"/>
      <c r="J651" s="336"/>
      <c r="K651" s="301"/>
      <c r="L651" s="336"/>
      <c r="M651" s="301"/>
      <c r="N651" s="336"/>
      <c r="O651" s="301"/>
      <c r="P651" s="336"/>
      <c r="Q651" s="301"/>
      <c r="R651" s="336"/>
      <c r="S651" s="301"/>
      <c r="T651" s="336"/>
    </row>
    <row r="652" spans="1:20" ht="12" customHeight="1" x14ac:dyDescent="0.25">
      <c r="A652" s="329" t="s">
        <v>289</v>
      </c>
      <c r="B652" s="330">
        <v>6</v>
      </c>
      <c r="C652" s="298">
        <v>46211</v>
      </c>
      <c r="D652" s="299" t="s">
        <v>441</v>
      </c>
      <c r="E652" s="522">
        <v>16</v>
      </c>
      <c r="F652" s="522"/>
      <c r="G652" s="333">
        <f t="shared" si="20"/>
        <v>-993.80000000001257</v>
      </c>
      <c r="H652" s="334"/>
      <c r="I652" s="335"/>
      <c r="J652" s="336"/>
      <c r="K652" s="301"/>
      <c r="L652" s="336"/>
      <c r="M652" s="301"/>
      <c r="N652" s="336"/>
      <c r="O652" s="301"/>
      <c r="P652" s="336"/>
      <c r="Q652" s="301"/>
      <c r="R652" s="336"/>
      <c r="S652" s="301"/>
      <c r="T652" s="336"/>
    </row>
    <row r="653" spans="1:20" ht="12" customHeight="1" x14ac:dyDescent="0.25">
      <c r="A653" s="329" t="s">
        <v>289</v>
      </c>
      <c r="B653" s="330">
        <v>4</v>
      </c>
      <c r="C653" s="298">
        <v>46210</v>
      </c>
      <c r="D653" s="299" t="s">
        <v>310</v>
      </c>
      <c r="E653" s="522">
        <v>39.11</v>
      </c>
      <c r="F653" s="522"/>
      <c r="G653" s="333">
        <f t="shared" si="20"/>
        <v>-977.80000000001257</v>
      </c>
      <c r="H653" s="334"/>
      <c r="I653" s="335"/>
      <c r="J653" s="336"/>
      <c r="K653" s="301"/>
      <c r="L653" s="336"/>
      <c r="M653" s="301"/>
      <c r="N653" s="336"/>
      <c r="O653" s="301"/>
      <c r="P653" s="336"/>
      <c r="Q653" s="301"/>
      <c r="R653" s="336"/>
      <c r="S653" s="301"/>
      <c r="T653" s="336"/>
    </row>
    <row r="654" spans="1:20" ht="12" customHeight="1" x14ac:dyDescent="0.25">
      <c r="A654" s="329" t="s">
        <v>294</v>
      </c>
      <c r="B654" s="330">
        <v>9</v>
      </c>
      <c r="C654" s="298">
        <v>46210</v>
      </c>
      <c r="D654" s="299" t="s">
        <v>58</v>
      </c>
      <c r="E654" s="522">
        <v>1231.68</v>
      </c>
      <c r="F654" s="522"/>
      <c r="G654" s="333">
        <f t="shared" si="20"/>
        <v>-938.69000000001256</v>
      </c>
      <c r="H654" s="334"/>
      <c r="I654" s="335"/>
      <c r="J654" s="336"/>
      <c r="K654" s="301"/>
      <c r="L654" s="336"/>
      <c r="M654" s="301"/>
      <c r="N654" s="336"/>
      <c r="O654" s="301"/>
      <c r="P654" s="336"/>
      <c r="Q654" s="301"/>
      <c r="R654" s="336"/>
      <c r="S654" s="301"/>
      <c r="T654" s="336"/>
    </row>
    <row r="655" spans="1:20" ht="12" customHeight="1" x14ac:dyDescent="0.25">
      <c r="A655" s="329" t="s">
        <v>335</v>
      </c>
      <c r="B655" s="330" t="s">
        <v>335</v>
      </c>
      <c r="C655" s="298">
        <v>46210</v>
      </c>
      <c r="D655" s="299" t="s">
        <v>182</v>
      </c>
      <c r="E655" s="522">
        <v>53.37</v>
      </c>
      <c r="F655" s="522"/>
      <c r="G655" s="333">
        <f t="shared" si="20"/>
        <v>292.9899999999875</v>
      </c>
      <c r="H655" s="334"/>
      <c r="I655" s="335"/>
      <c r="J655" s="336"/>
      <c r="K655" s="301"/>
      <c r="L655" s="336"/>
      <c r="M655" s="301"/>
      <c r="N655" s="336"/>
      <c r="O655" s="301"/>
      <c r="P655" s="336"/>
      <c r="Q655" s="301"/>
      <c r="R655" s="336"/>
      <c r="S655" s="301"/>
      <c r="T655" s="336"/>
    </row>
    <row r="656" spans="1:20" ht="12" customHeight="1" x14ac:dyDescent="0.25">
      <c r="A656" s="329" t="s">
        <v>294</v>
      </c>
      <c r="B656" s="330">
        <v>13</v>
      </c>
      <c r="C656" s="298">
        <v>46209</v>
      </c>
      <c r="D656" s="299" t="s">
        <v>900</v>
      </c>
      <c r="E656" s="522">
        <v>218.33</v>
      </c>
      <c r="F656" s="522"/>
      <c r="G656" s="333">
        <f t="shared" si="20"/>
        <v>346.35999999998751</v>
      </c>
      <c r="H656" s="334"/>
      <c r="I656" s="335"/>
      <c r="J656" s="336"/>
      <c r="K656" s="301"/>
      <c r="L656" s="336"/>
      <c r="M656" s="301"/>
      <c r="N656" s="336"/>
      <c r="O656" s="301"/>
      <c r="P656" s="336"/>
      <c r="Q656" s="301"/>
      <c r="R656" s="336"/>
      <c r="S656" s="301"/>
      <c r="T656" s="336"/>
    </row>
    <row r="657" spans="1:20" ht="12" customHeight="1" x14ac:dyDescent="0.25">
      <c r="A657" s="329" t="s">
        <v>287</v>
      </c>
      <c r="B657" s="330" t="s">
        <v>287</v>
      </c>
      <c r="C657" s="298">
        <v>46209</v>
      </c>
      <c r="D657" s="299" t="s">
        <v>957</v>
      </c>
      <c r="E657" s="522">
        <v>1182.68</v>
      </c>
      <c r="F657" s="522">
        <v>1182.68</v>
      </c>
      <c r="G657" s="333">
        <f t="shared" si="20"/>
        <v>564.68999999998755</v>
      </c>
      <c r="H657" s="334"/>
      <c r="I657" s="335"/>
      <c r="J657" s="336"/>
      <c r="K657" s="301"/>
      <c r="L657" s="336"/>
      <c r="M657" s="301"/>
      <c r="N657" s="336"/>
      <c r="O657" s="301"/>
      <c r="P657" s="336"/>
      <c r="Q657" s="301"/>
      <c r="R657" s="336"/>
      <c r="S657" s="301"/>
      <c r="T657" s="336"/>
    </row>
    <row r="658" spans="1:20" ht="12" customHeight="1" x14ac:dyDescent="0.25">
      <c r="A658" s="329" t="s">
        <v>289</v>
      </c>
      <c r="B658" s="330">
        <v>3</v>
      </c>
      <c r="C658" s="298">
        <v>46209</v>
      </c>
      <c r="D658" s="299" t="s">
        <v>309</v>
      </c>
      <c r="E658" s="522">
        <v>6.19</v>
      </c>
      <c r="F658" s="522"/>
      <c r="G658" s="333">
        <f t="shared" si="20"/>
        <v>564.68999999998755</v>
      </c>
      <c r="H658" s="334"/>
      <c r="I658" s="335"/>
      <c r="J658" s="336"/>
      <c r="K658" s="301"/>
      <c r="L658" s="336"/>
      <c r="M658" s="301"/>
      <c r="N658" s="336"/>
      <c r="O658" s="301"/>
      <c r="P658" s="336"/>
      <c r="Q658" s="301"/>
      <c r="R658" s="336"/>
      <c r="S658" s="301"/>
      <c r="T658" s="336"/>
    </row>
    <row r="659" spans="1:20" ht="12" customHeight="1" x14ac:dyDescent="0.25">
      <c r="A659" s="329" t="s">
        <v>289</v>
      </c>
      <c r="B659" s="330">
        <v>8</v>
      </c>
      <c r="C659" s="298">
        <v>46209</v>
      </c>
      <c r="D659" s="299" t="s">
        <v>967</v>
      </c>
      <c r="E659" s="522">
        <v>9.7200000000000006</v>
      </c>
      <c r="F659" s="522"/>
      <c r="G659" s="333">
        <f t="shared" si="20"/>
        <v>570.8799999999876</v>
      </c>
      <c r="H659" s="334"/>
      <c r="I659" s="335"/>
      <c r="J659" s="336"/>
      <c r="K659" s="301"/>
      <c r="L659" s="336"/>
      <c r="M659" s="301"/>
      <c r="N659" s="336"/>
      <c r="O659" s="301"/>
      <c r="P659" s="336"/>
      <c r="Q659" s="301"/>
      <c r="R659" s="336"/>
      <c r="S659" s="301"/>
      <c r="T659" s="336"/>
    </row>
    <row r="660" spans="1:20" ht="12" customHeight="1" x14ac:dyDescent="0.25">
      <c r="A660" s="329" t="s">
        <v>289</v>
      </c>
      <c r="B660" s="330">
        <v>2</v>
      </c>
      <c r="C660" s="298">
        <v>46209</v>
      </c>
      <c r="D660" s="299" t="s">
        <v>352</v>
      </c>
      <c r="E660" s="522">
        <v>21.99</v>
      </c>
      <c r="F660" s="522"/>
      <c r="G660" s="333">
        <f t="shared" si="20"/>
        <v>580.59999999998763</v>
      </c>
      <c r="H660" s="334"/>
      <c r="I660" s="335"/>
      <c r="J660" s="336"/>
      <c r="K660" s="301"/>
      <c r="L660" s="336"/>
      <c r="M660" s="301"/>
      <c r="N660" s="336"/>
      <c r="O660" s="301"/>
      <c r="P660" s="336"/>
      <c r="Q660" s="301"/>
      <c r="R660" s="336"/>
      <c r="S660" s="301"/>
      <c r="T660" s="336"/>
    </row>
    <row r="661" spans="1:20" ht="12" customHeight="1" x14ac:dyDescent="0.25">
      <c r="A661" s="329" t="s">
        <v>289</v>
      </c>
      <c r="B661" s="330">
        <v>2</v>
      </c>
      <c r="C661" s="298">
        <v>46209</v>
      </c>
      <c r="D661" s="299" t="s">
        <v>296</v>
      </c>
      <c r="E661" s="522">
        <v>10.02</v>
      </c>
      <c r="F661" s="522"/>
      <c r="G661" s="333">
        <f t="shared" si="20"/>
        <v>602.58999999998764</v>
      </c>
      <c r="H661" s="334"/>
      <c r="I661" s="335"/>
      <c r="J661" s="336"/>
      <c r="K661" s="301"/>
      <c r="L661" s="336"/>
      <c r="M661" s="301"/>
      <c r="N661" s="336"/>
      <c r="O661" s="301"/>
      <c r="P661" s="336"/>
      <c r="Q661" s="301"/>
      <c r="R661" s="336"/>
      <c r="S661" s="301"/>
      <c r="T661" s="336"/>
    </row>
    <row r="662" spans="1:20" ht="12" customHeight="1" x14ac:dyDescent="0.25">
      <c r="A662" s="329" t="s">
        <v>289</v>
      </c>
      <c r="B662" s="330">
        <v>4</v>
      </c>
      <c r="C662" s="298">
        <v>46209</v>
      </c>
      <c r="D662" s="299" t="s">
        <v>296</v>
      </c>
      <c r="E662" s="522">
        <v>55.19</v>
      </c>
      <c r="F662" s="522"/>
      <c r="G662" s="333">
        <f t="shared" si="20"/>
        <v>612.60999999998762</v>
      </c>
      <c r="H662" s="334"/>
      <c r="I662" s="335"/>
      <c r="J662" s="336"/>
      <c r="K662" s="301"/>
      <c r="L662" s="336"/>
      <c r="M662" s="301"/>
      <c r="N662" s="336"/>
      <c r="O662" s="301"/>
      <c r="P662" s="336"/>
      <c r="Q662" s="301"/>
      <c r="R662" s="336"/>
      <c r="S662" s="301"/>
      <c r="T662" s="336"/>
    </row>
    <row r="663" spans="1:20" ht="12" customHeight="1" x14ac:dyDescent="0.25">
      <c r="A663" s="329" t="s">
        <v>294</v>
      </c>
      <c r="B663" s="330">
        <v>14</v>
      </c>
      <c r="C663" s="298">
        <v>46209</v>
      </c>
      <c r="D663" s="299" t="s">
        <v>956</v>
      </c>
      <c r="E663" s="522">
        <v>66.67</v>
      </c>
      <c r="F663" s="522"/>
      <c r="G663" s="333">
        <f t="shared" si="20"/>
        <v>667.79999999998756</v>
      </c>
      <c r="H663" s="334"/>
      <c r="I663" s="335"/>
      <c r="J663" s="336"/>
      <c r="K663" s="301"/>
      <c r="L663" s="336"/>
      <c r="M663" s="301"/>
      <c r="N663" s="336"/>
      <c r="O663" s="301"/>
      <c r="P663" s="336"/>
      <c r="Q663" s="301"/>
      <c r="R663" s="336"/>
      <c r="S663" s="301"/>
      <c r="T663" s="336"/>
    </row>
    <row r="664" spans="1:20" ht="12" customHeight="1" x14ac:dyDescent="0.25">
      <c r="A664" s="329" t="s">
        <v>294</v>
      </c>
      <c r="B664" s="330">
        <v>14</v>
      </c>
      <c r="C664" s="298">
        <v>46209</v>
      </c>
      <c r="D664" s="299" t="s">
        <v>366</v>
      </c>
      <c r="E664" s="522">
        <v>70.25</v>
      </c>
      <c r="F664" s="522"/>
      <c r="G664" s="333">
        <f t="shared" si="20"/>
        <v>734.46999999998752</v>
      </c>
      <c r="H664" s="334"/>
      <c r="I664" s="335"/>
      <c r="J664" s="336"/>
      <c r="K664" s="301"/>
      <c r="L664" s="336"/>
      <c r="M664" s="301"/>
      <c r="N664" s="336"/>
      <c r="O664" s="301"/>
      <c r="P664" s="336"/>
      <c r="Q664" s="301"/>
      <c r="R664" s="336"/>
      <c r="S664" s="301"/>
      <c r="T664" s="336"/>
    </row>
    <row r="665" spans="1:20" ht="12" customHeight="1" x14ac:dyDescent="0.25">
      <c r="A665" s="329" t="s">
        <v>289</v>
      </c>
      <c r="B665" s="330">
        <v>4</v>
      </c>
      <c r="C665" s="298">
        <v>46209</v>
      </c>
      <c r="D665" s="299" t="s">
        <v>334</v>
      </c>
      <c r="E665" s="522">
        <v>36.090000000000003</v>
      </c>
      <c r="F665" s="522"/>
      <c r="G665" s="333">
        <f t="shared" si="20"/>
        <v>804.71999999998752</v>
      </c>
      <c r="H665" s="334"/>
      <c r="I665" s="335"/>
      <c r="J665" s="336"/>
      <c r="K665" s="301"/>
      <c r="L665" s="336"/>
      <c r="M665" s="301"/>
      <c r="N665" s="336"/>
      <c r="O665" s="301"/>
      <c r="P665" s="336"/>
      <c r="Q665" s="301"/>
      <c r="R665" s="336"/>
      <c r="S665" s="301"/>
      <c r="T665" s="336"/>
    </row>
    <row r="666" spans="1:20" ht="12" customHeight="1" x14ac:dyDescent="0.25">
      <c r="A666" s="329" t="s">
        <v>289</v>
      </c>
      <c r="B666" s="330">
        <v>2</v>
      </c>
      <c r="C666" s="298">
        <v>46209</v>
      </c>
      <c r="D666" s="299" t="s">
        <v>301</v>
      </c>
      <c r="E666" s="522">
        <v>16.05</v>
      </c>
      <c r="F666" s="522"/>
      <c r="G666" s="333">
        <f t="shared" si="20"/>
        <v>840.80999999998755</v>
      </c>
      <c r="H666" s="334"/>
      <c r="I666" s="335"/>
      <c r="J666" s="336"/>
      <c r="K666" s="301"/>
      <c r="L666" s="336"/>
      <c r="M666" s="301"/>
      <c r="N666" s="336"/>
      <c r="O666" s="301"/>
      <c r="P666" s="336"/>
      <c r="Q666" s="301"/>
      <c r="R666" s="336"/>
      <c r="S666" s="301"/>
      <c r="T666" s="336"/>
    </row>
    <row r="667" spans="1:20" ht="12" customHeight="1" x14ac:dyDescent="0.25">
      <c r="A667" s="329" t="s">
        <v>289</v>
      </c>
      <c r="B667" s="330">
        <v>2</v>
      </c>
      <c r="C667" s="298">
        <v>46208</v>
      </c>
      <c r="D667" s="299" t="s">
        <v>958</v>
      </c>
      <c r="E667" s="522">
        <v>23.03</v>
      </c>
      <c r="F667" s="522"/>
      <c r="G667" s="333">
        <f t="shared" si="20"/>
        <v>856.85999999998751</v>
      </c>
      <c r="H667" s="334"/>
      <c r="I667" s="335"/>
      <c r="J667" s="336"/>
      <c r="K667" s="301"/>
      <c r="L667" s="336"/>
      <c r="M667" s="301"/>
      <c r="N667" s="336"/>
      <c r="O667" s="301"/>
      <c r="P667" s="336"/>
      <c r="Q667" s="301"/>
      <c r="R667" s="336"/>
      <c r="S667" s="301"/>
      <c r="T667" s="336"/>
    </row>
    <row r="668" spans="1:20" ht="12" customHeight="1" x14ac:dyDescent="0.25">
      <c r="A668" s="329" t="s">
        <v>289</v>
      </c>
      <c r="B668" s="330">
        <v>2</v>
      </c>
      <c r="C668" s="298">
        <v>46208</v>
      </c>
      <c r="D668" s="299" t="s">
        <v>370</v>
      </c>
      <c r="E668" s="522">
        <v>15.11</v>
      </c>
      <c r="F668" s="522"/>
      <c r="G668" s="333">
        <f t="shared" si="20"/>
        <v>879.88999999998748</v>
      </c>
      <c r="H668" s="334"/>
      <c r="I668" s="335"/>
      <c r="J668" s="336"/>
      <c r="K668" s="301"/>
      <c r="L668" s="336"/>
      <c r="M668" s="301"/>
      <c r="N668" s="336"/>
      <c r="O668" s="301"/>
      <c r="P668" s="336"/>
      <c r="Q668" s="301"/>
      <c r="R668" s="336"/>
      <c r="S668" s="301"/>
      <c r="T668" s="336"/>
    </row>
    <row r="669" spans="1:20" ht="12" customHeight="1" x14ac:dyDescent="0.25">
      <c r="A669" s="329" t="s">
        <v>289</v>
      </c>
      <c r="B669" s="330">
        <v>8</v>
      </c>
      <c r="C669" s="298">
        <v>46207</v>
      </c>
      <c r="D669" s="299" t="s">
        <v>948</v>
      </c>
      <c r="E669" s="522">
        <v>47.95</v>
      </c>
      <c r="F669" s="522"/>
      <c r="G669" s="333">
        <f t="shared" si="20"/>
        <v>894.99999999998749</v>
      </c>
      <c r="H669" s="334"/>
      <c r="I669" s="335"/>
      <c r="J669" s="336"/>
      <c r="K669" s="301"/>
      <c r="L669" s="336"/>
      <c r="M669" s="301"/>
      <c r="N669" s="336"/>
      <c r="O669" s="301"/>
      <c r="P669" s="336"/>
      <c r="Q669" s="301"/>
      <c r="R669" s="336"/>
      <c r="S669" s="301"/>
      <c r="T669" s="336"/>
    </row>
    <row r="670" spans="1:20" ht="12" customHeight="1" x14ac:dyDescent="0.25">
      <c r="A670" s="329" t="s">
        <v>289</v>
      </c>
      <c r="B670" s="330">
        <v>3</v>
      </c>
      <c r="C670" s="298">
        <v>46207</v>
      </c>
      <c r="D670" s="299" t="s">
        <v>949</v>
      </c>
      <c r="E670" s="522">
        <v>8.75</v>
      </c>
      <c r="F670" s="522"/>
      <c r="G670" s="333">
        <f t="shared" si="20"/>
        <v>942.94999999998754</v>
      </c>
      <c r="H670" s="334"/>
      <c r="I670" s="335"/>
      <c r="J670" s="336"/>
      <c r="K670" s="301"/>
      <c r="L670" s="336"/>
      <c r="M670" s="301"/>
      <c r="N670" s="336"/>
      <c r="O670" s="301"/>
      <c r="P670" s="336"/>
      <c r="Q670" s="301"/>
      <c r="R670" s="336"/>
      <c r="S670" s="301"/>
      <c r="T670" s="336"/>
    </row>
    <row r="671" spans="1:20" ht="12" customHeight="1" x14ac:dyDescent="0.25">
      <c r="A671" s="329" t="s">
        <v>294</v>
      </c>
      <c r="B671" s="330">
        <v>17</v>
      </c>
      <c r="C671" s="298">
        <v>46207</v>
      </c>
      <c r="D671" s="299" t="s">
        <v>369</v>
      </c>
      <c r="E671" s="522">
        <v>99</v>
      </c>
      <c r="F671" s="522"/>
      <c r="G671" s="333">
        <f t="shared" si="20"/>
        <v>951.69999999998754</v>
      </c>
      <c r="H671" s="334"/>
      <c r="I671" s="335"/>
      <c r="J671" s="336"/>
      <c r="K671" s="301"/>
      <c r="L671" s="336"/>
      <c r="M671" s="301"/>
      <c r="N671" s="336"/>
      <c r="O671" s="301"/>
      <c r="P671" s="336"/>
      <c r="Q671" s="301"/>
      <c r="R671" s="336"/>
      <c r="S671" s="301"/>
      <c r="T671" s="336"/>
    </row>
    <row r="672" spans="1:20" ht="12" customHeight="1" x14ac:dyDescent="0.25">
      <c r="A672" s="329" t="s">
        <v>289</v>
      </c>
      <c r="B672" s="330">
        <v>8</v>
      </c>
      <c r="C672" s="298">
        <v>46206</v>
      </c>
      <c r="D672" s="299" t="s">
        <v>948</v>
      </c>
      <c r="E672" s="522">
        <v>85.56</v>
      </c>
      <c r="F672" s="522"/>
      <c r="G672" s="333">
        <f t="shared" si="20"/>
        <v>1050.6999999999875</v>
      </c>
      <c r="H672" s="334"/>
      <c r="I672" s="335"/>
      <c r="J672" s="336"/>
      <c r="K672" s="301"/>
      <c r="L672" s="336"/>
      <c r="M672" s="301"/>
      <c r="N672" s="336"/>
      <c r="O672" s="301"/>
      <c r="P672" s="336"/>
      <c r="Q672" s="301"/>
      <c r="R672" s="336"/>
      <c r="S672" s="301"/>
      <c r="T672" s="336"/>
    </row>
    <row r="673" spans="1:20" ht="12" customHeight="1" x14ac:dyDescent="0.25">
      <c r="A673" s="329" t="s">
        <v>289</v>
      </c>
      <c r="B673" s="330">
        <v>3</v>
      </c>
      <c r="C673" s="298">
        <v>46206</v>
      </c>
      <c r="D673" s="299" t="s">
        <v>950</v>
      </c>
      <c r="E673" s="522">
        <v>25.07</v>
      </c>
      <c r="F673" s="522"/>
      <c r="G673" s="333">
        <f t="shared" si="20"/>
        <v>1136.2599999999875</v>
      </c>
      <c r="H673" s="334"/>
      <c r="I673" s="335"/>
      <c r="J673" s="336"/>
      <c r="K673" s="301"/>
      <c r="L673" s="336"/>
      <c r="M673" s="301"/>
      <c r="N673" s="336"/>
      <c r="O673" s="301"/>
      <c r="P673" s="336"/>
      <c r="Q673" s="301"/>
      <c r="R673" s="336"/>
      <c r="S673" s="301"/>
      <c r="T673" s="336"/>
    </row>
    <row r="674" spans="1:20" ht="12" customHeight="1" x14ac:dyDescent="0.25">
      <c r="A674" s="329" t="s">
        <v>294</v>
      </c>
      <c r="B674" s="330">
        <v>22</v>
      </c>
      <c r="C674" s="298">
        <v>46206</v>
      </c>
      <c r="D674" s="299" t="s">
        <v>951</v>
      </c>
      <c r="E674" s="522">
        <v>12.77</v>
      </c>
      <c r="F674" s="522"/>
      <c r="G674" s="333">
        <f t="shared" si="20"/>
        <v>1161.3299999999874</v>
      </c>
      <c r="H674" s="334"/>
      <c r="I674" s="335"/>
      <c r="J674" s="336"/>
      <c r="K674" s="301"/>
      <c r="L674" s="336"/>
      <c r="M674" s="301"/>
      <c r="N674" s="336"/>
      <c r="O674" s="301"/>
      <c r="P674" s="336"/>
      <c r="Q674" s="301"/>
      <c r="R674" s="336"/>
      <c r="S674" s="301"/>
      <c r="T674" s="336"/>
    </row>
    <row r="675" spans="1:20" ht="12" customHeight="1" x14ac:dyDescent="0.25">
      <c r="A675" s="329" t="s">
        <v>289</v>
      </c>
      <c r="B675" s="330">
        <v>8</v>
      </c>
      <c r="C675" s="298">
        <v>46206</v>
      </c>
      <c r="D675" s="299" t="s">
        <v>961</v>
      </c>
      <c r="E675" s="522">
        <v>50</v>
      </c>
      <c r="F675" s="522"/>
      <c r="G675" s="333">
        <f t="shared" si="20"/>
        <v>1174.0999999999874</v>
      </c>
      <c r="H675" s="334" t="s">
        <v>298</v>
      </c>
      <c r="I675" s="335"/>
      <c r="J675" s="336"/>
      <c r="K675" s="301"/>
      <c r="L675" s="336"/>
      <c r="M675" s="301"/>
      <c r="N675" s="336"/>
      <c r="O675" s="301"/>
      <c r="P675" s="336"/>
      <c r="Q675" s="301"/>
      <c r="R675" s="336"/>
      <c r="S675" s="301"/>
      <c r="T675" s="336"/>
    </row>
    <row r="676" spans="1:20" ht="12" customHeight="1" x14ac:dyDescent="0.25">
      <c r="A676" s="329" t="s">
        <v>289</v>
      </c>
      <c r="B676" s="330">
        <v>2</v>
      </c>
      <c r="C676" s="298">
        <v>46206</v>
      </c>
      <c r="D676" s="299" t="s">
        <v>962</v>
      </c>
      <c r="E676" s="522">
        <v>70</v>
      </c>
      <c r="F676" s="522"/>
      <c r="G676" s="333">
        <f t="shared" si="20"/>
        <v>1224.0999999999874</v>
      </c>
      <c r="H676" s="334" t="s">
        <v>298</v>
      </c>
      <c r="I676" s="335"/>
      <c r="J676" s="336"/>
      <c r="K676" s="301"/>
      <c r="L676" s="336"/>
      <c r="M676" s="301"/>
      <c r="N676" s="336"/>
      <c r="O676" s="301"/>
      <c r="P676" s="336"/>
      <c r="Q676" s="301"/>
      <c r="R676" s="336"/>
      <c r="S676" s="301"/>
      <c r="T676" s="336"/>
    </row>
    <row r="677" spans="1:20" ht="12" customHeight="1" x14ac:dyDescent="0.25">
      <c r="A677" s="329" t="s">
        <v>289</v>
      </c>
      <c r="B677" s="330">
        <v>6</v>
      </c>
      <c r="C677" s="298">
        <v>46206</v>
      </c>
      <c r="D677" s="299" t="s">
        <v>963</v>
      </c>
      <c r="E677" s="522">
        <v>64</v>
      </c>
      <c r="F677" s="522"/>
      <c r="G677" s="333">
        <f t="shared" si="20"/>
        <v>1294.0999999999874</v>
      </c>
      <c r="H677" s="334" t="s">
        <v>298</v>
      </c>
      <c r="I677" s="335"/>
      <c r="J677" s="336"/>
      <c r="K677" s="301"/>
      <c r="L677" s="336"/>
      <c r="M677" s="301"/>
      <c r="N677" s="336"/>
      <c r="O677" s="301"/>
      <c r="P677" s="336"/>
      <c r="Q677" s="301"/>
      <c r="R677" s="336"/>
      <c r="S677" s="301"/>
      <c r="T677" s="336"/>
    </row>
    <row r="678" spans="1:20" ht="12" customHeight="1" x14ac:dyDescent="0.25">
      <c r="A678" s="329" t="s">
        <v>289</v>
      </c>
      <c r="B678" s="330">
        <v>5</v>
      </c>
      <c r="C678" s="298">
        <v>46206</v>
      </c>
      <c r="D678" s="299" t="s">
        <v>960</v>
      </c>
      <c r="E678" s="522">
        <v>286.49</v>
      </c>
      <c r="F678" s="522"/>
      <c r="G678" s="333">
        <f t="shared" si="20"/>
        <v>1358.0999999999874</v>
      </c>
      <c r="H678" s="334"/>
      <c r="I678" s="335"/>
      <c r="J678" s="336"/>
      <c r="K678" s="301"/>
      <c r="L678" s="336"/>
      <c r="M678" s="301"/>
      <c r="N678" s="336"/>
      <c r="O678" s="301"/>
      <c r="P678" s="336"/>
      <c r="Q678" s="301"/>
      <c r="R678" s="336"/>
      <c r="S678" s="301"/>
      <c r="T678" s="336"/>
    </row>
    <row r="679" spans="1:20" ht="12" customHeight="1" x14ac:dyDescent="0.25">
      <c r="A679" s="329" t="s">
        <v>289</v>
      </c>
      <c r="B679" s="330">
        <v>6</v>
      </c>
      <c r="C679" s="298">
        <v>46206</v>
      </c>
      <c r="D679" s="299" t="s">
        <v>952</v>
      </c>
      <c r="E679" s="522">
        <v>36</v>
      </c>
      <c r="F679" s="522"/>
      <c r="G679" s="333">
        <f t="shared" si="20"/>
        <v>1644.5899999999874</v>
      </c>
      <c r="H679" s="334"/>
      <c r="I679" s="335"/>
      <c r="J679" s="336"/>
      <c r="K679" s="301"/>
      <c r="L679" s="336"/>
      <c r="M679" s="301"/>
      <c r="N679" s="336"/>
      <c r="O679" s="301"/>
      <c r="P679" s="336"/>
      <c r="Q679" s="301"/>
      <c r="R679" s="336"/>
      <c r="S679" s="301"/>
      <c r="T679" s="336"/>
    </row>
    <row r="680" spans="1:20" ht="12" customHeight="1" x14ac:dyDescent="0.25">
      <c r="A680" s="329" t="s">
        <v>287</v>
      </c>
      <c r="B680" s="330" t="s">
        <v>287</v>
      </c>
      <c r="C680" s="298">
        <v>46205</v>
      </c>
      <c r="D680" s="299" t="s">
        <v>954</v>
      </c>
      <c r="E680" s="522">
        <v>-200</v>
      </c>
      <c r="F680" s="522"/>
      <c r="G680" s="333">
        <f t="shared" si="20"/>
        <v>1680.5899999999874</v>
      </c>
      <c r="H680" s="334"/>
      <c r="I680" s="335"/>
      <c r="J680" s="336"/>
      <c r="K680" s="301"/>
      <c r="L680" s="336"/>
      <c r="M680" s="301"/>
      <c r="N680" s="336"/>
      <c r="O680" s="301"/>
      <c r="P680" s="336"/>
      <c r="Q680" s="301"/>
      <c r="R680" s="336"/>
      <c r="S680" s="301"/>
      <c r="T680" s="336"/>
    </row>
    <row r="681" spans="1:20" ht="12" customHeight="1" x14ac:dyDescent="0.25">
      <c r="A681" s="329" t="s">
        <v>287</v>
      </c>
      <c r="B681" s="330" t="s">
        <v>287</v>
      </c>
      <c r="C681" s="298">
        <v>46205</v>
      </c>
      <c r="D681" s="299" t="s">
        <v>954</v>
      </c>
      <c r="E681" s="522">
        <v>-4</v>
      </c>
      <c r="F681" s="522"/>
      <c r="G681" s="333">
        <f t="shared" si="20"/>
        <v>1480.5899999999874</v>
      </c>
      <c r="H681" s="334" t="s">
        <v>298</v>
      </c>
      <c r="I681" s="335"/>
      <c r="J681" s="336"/>
      <c r="K681" s="301"/>
      <c r="L681" s="336"/>
      <c r="M681" s="301"/>
      <c r="N681" s="336"/>
      <c r="O681" s="301"/>
      <c r="P681" s="336"/>
      <c r="Q681" s="301"/>
      <c r="R681" s="336"/>
      <c r="S681" s="301"/>
      <c r="T681" s="336"/>
    </row>
    <row r="682" spans="1:20" ht="12" customHeight="1" x14ac:dyDescent="0.25">
      <c r="A682" s="329" t="s">
        <v>287</v>
      </c>
      <c r="B682" s="330" t="s">
        <v>287</v>
      </c>
      <c r="C682" s="298">
        <v>46205</v>
      </c>
      <c r="D682" s="299" t="s">
        <v>954</v>
      </c>
      <c r="E682" s="522">
        <v>204</v>
      </c>
      <c r="F682" s="522"/>
      <c r="G682" s="333">
        <f t="shared" si="20"/>
        <v>1476.5899999999874</v>
      </c>
      <c r="H682" s="334"/>
      <c r="I682" s="335"/>
      <c r="J682" s="336"/>
      <c r="K682" s="301"/>
      <c r="L682" s="336"/>
      <c r="M682" s="301"/>
      <c r="N682" s="336"/>
      <c r="O682" s="301"/>
      <c r="P682" s="336"/>
      <c r="Q682" s="301"/>
      <c r="R682" s="336"/>
      <c r="S682" s="301"/>
      <c r="T682" s="336"/>
    </row>
    <row r="683" spans="1:20" ht="12" customHeight="1" x14ac:dyDescent="0.25">
      <c r="A683" s="329" t="s">
        <v>289</v>
      </c>
      <c r="B683" s="330">
        <v>6</v>
      </c>
      <c r="C683" s="298">
        <v>46205</v>
      </c>
      <c r="D683" s="299" t="s">
        <v>964</v>
      </c>
      <c r="E683" s="522">
        <v>20</v>
      </c>
      <c r="F683" s="522"/>
      <c r="G683" s="333">
        <f t="shared" si="20"/>
        <v>1680.5899999999874</v>
      </c>
      <c r="H683" s="334"/>
      <c r="I683" s="335"/>
      <c r="J683" s="336"/>
      <c r="K683" s="301"/>
      <c r="L683" s="336"/>
      <c r="M683" s="301"/>
      <c r="N683" s="336"/>
      <c r="O683" s="301"/>
      <c r="P683" s="336"/>
      <c r="Q683" s="301"/>
      <c r="R683" s="336"/>
      <c r="S683" s="301"/>
      <c r="T683" s="336"/>
    </row>
    <row r="684" spans="1:20" ht="12" customHeight="1" x14ac:dyDescent="0.25">
      <c r="A684" s="329" t="s">
        <v>287</v>
      </c>
      <c r="B684" s="330" t="s">
        <v>287</v>
      </c>
      <c r="C684" s="298">
        <v>46205</v>
      </c>
      <c r="D684" s="299" t="s">
        <v>965</v>
      </c>
      <c r="E684" s="522">
        <v>70</v>
      </c>
      <c r="F684" s="522">
        <v>70</v>
      </c>
      <c r="G684" s="333">
        <f t="shared" si="20"/>
        <v>1700.5899999999874</v>
      </c>
      <c r="H684" s="334"/>
      <c r="I684" s="335"/>
      <c r="J684" s="336"/>
      <c r="K684" s="301"/>
      <c r="L684" s="336"/>
      <c r="M684" s="301"/>
      <c r="N684" s="336"/>
      <c r="O684" s="301"/>
      <c r="P684" s="336"/>
      <c r="Q684" s="301"/>
      <c r="R684" s="336"/>
      <c r="S684" s="301"/>
      <c r="T684" s="336"/>
    </row>
    <row r="685" spans="1:20" ht="12" customHeight="1" x14ac:dyDescent="0.25">
      <c r="A685" s="329" t="s">
        <v>287</v>
      </c>
      <c r="B685" s="330" t="s">
        <v>287</v>
      </c>
      <c r="C685" s="298">
        <v>46205</v>
      </c>
      <c r="D685" s="299" t="s">
        <v>966</v>
      </c>
      <c r="E685" s="522">
        <v>783</v>
      </c>
      <c r="F685" s="522">
        <v>783</v>
      </c>
      <c r="G685" s="333">
        <f t="shared" si="20"/>
        <v>1700.5899999999874</v>
      </c>
      <c r="H685" s="334"/>
      <c r="I685" s="335"/>
      <c r="J685" s="336"/>
      <c r="K685" s="301"/>
      <c r="L685" s="336"/>
      <c r="M685" s="301"/>
      <c r="N685" s="336"/>
      <c r="O685" s="301"/>
      <c r="P685" s="336"/>
      <c r="Q685" s="301"/>
      <c r="R685" s="336"/>
      <c r="S685" s="301"/>
      <c r="T685" s="336"/>
    </row>
    <row r="686" spans="1:20" ht="12" customHeight="1" x14ac:dyDescent="0.25">
      <c r="A686" s="329" t="s">
        <v>294</v>
      </c>
      <c r="B686" s="330">
        <v>22</v>
      </c>
      <c r="C686" s="298">
        <v>46205</v>
      </c>
      <c r="D686" s="299" t="s">
        <v>374</v>
      </c>
      <c r="E686" s="522">
        <v>6.37</v>
      </c>
      <c r="F686" s="522"/>
      <c r="G686" s="333">
        <f t="shared" si="20"/>
        <v>1700.5899999999874</v>
      </c>
      <c r="H686" s="334"/>
      <c r="I686" s="335"/>
      <c r="J686" s="336"/>
      <c r="K686" s="301"/>
      <c r="L686" s="336"/>
      <c r="M686" s="301"/>
      <c r="N686" s="336"/>
      <c r="O686" s="301"/>
      <c r="P686" s="336"/>
      <c r="Q686" s="301"/>
      <c r="R686" s="336"/>
      <c r="S686" s="301"/>
      <c r="T686" s="336"/>
    </row>
    <row r="687" spans="1:20" ht="12" customHeight="1" x14ac:dyDescent="0.25">
      <c r="A687" s="329" t="s">
        <v>289</v>
      </c>
      <c r="B687" s="330">
        <v>2</v>
      </c>
      <c r="C687" s="298">
        <v>46205</v>
      </c>
      <c r="D687" s="299" t="s">
        <v>959</v>
      </c>
      <c r="E687" s="522">
        <v>21</v>
      </c>
      <c r="F687" s="522"/>
      <c r="G687" s="333">
        <f t="shared" si="20"/>
        <v>1706.9599999999873</v>
      </c>
      <c r="H687" s="334"/>
      <c r="I687" s="335"/>
      <c r="J687" s="336"/>
      <c r="K687" s="301"/>
      <c r="L687" s="336"/>
      <c r="M687" s="301"/>
      <c r="N687" s="336"/>
      <c r="O687" s="301"/>
      <c r="P687" s="336"/>
      <c r="Q687" s="301"/>
      <c r="R687" s="336"/>
      <c r="S687" s="301"/>
      <c r="T687" s="336"/>
    </row>
    <row r="688" spans="1:20" ht="12" customHeight="1" x14ac:dyDescent="0.25">
      <c r="A688" s="329" t="s">
        <v>284</v>
      </c>
      <c r="B688" s="330">
        <v>36</v>
      </c>
      <c r="C688" s="298">
        <v>46205</v>
      </c>
      <c r="D688" s="299" t="s">
        <v>373</v>
      </c>
      <c r="E688" s="522">
        <v>50</v>
      </c>
      <c r="F688" s="522"/>
      <c r="G688" s="333">
        <f t="shared" si="20"/>
        <v>1727.9599999999873</v>
      </c>
      <c r="H688" s="334"/>
      <c r="I688" s="335"/>
      <c r="J688" s="336"/>
      <c r="K688" s="301"/>
      <c r="L688" s="336"/>
      <c r="M688" s="301"/>
      <c r="N688" s="336"/>
      <c r="O688" s="301"/>
      <c r="P688" s="336"/>
      <c r="Q688" s="301"/>
      <c r="R688" s="336"/>
      <c r="S688" s="301"/>
      <c r="T688" s="336"/>
    </row>
    <row r="689" spans="1:20" ht="12" customHeight="1" x14ac:dyDescent="0.25">
      <c r="A689" s="329" t="s">
        <v>289</v>
      </c>
      <c r="B689" s="330">
        <v>8</v>
      </c>
      <c r="C689" s="298">
        <v>46205</v>
      </c>
      <c r="D689" s="299" t="s">
        <v>319</v>
      </c>
      <c r="E689" s="522">
        <v>53.8</v>
      </c>
      <c r="F689" s="522"/>
      <c r="G689" s="333">
        <f t="shared" si="20"/>
        <v>1777.9599999999873</v>
      </c>
      <c r="H689" s="334"/>
      <c r="I689" s="335"/>
      <c r="J689" s="336"/>
      <c r="K689" s="301"/>
      <c r="L689" s="336"/>
      <c r="M689" s="301"/>
      <c r="N689" s="336"/>
      <c r="O689" s="301"/>
      <c r="P689" s="336"/>
      <c r="Q689" s="301"/>
      <c r="R689" s="336"/>
      <c r="S689" s="301"/>
      <c r="T689" s="336"/>
    </row>
    <row r="690" spans="1:20" ht="12" customHeight="1" x14ac:dyDescent="0.25">
      <c r="A690" s="329" t="s">
        <v>289</v>
      </c>
      <c r="B690" s="330">
        <v>3</v>
      </c>
      <c r="C690" s="298">
        <v>46204</v>
      </c>
      <c r="D690" s="299" t="s">
        <v>309</v>
      </c>
      <c r="E690" s="522">
        <v>4.1900000000000004</v>
      </c>
      <c r="F690" s="522"/>
      <c r="G690" s="333">
        <f t="shared" si="20"/>
        <v>1831.7599999999873</v>
      </c>
      <c r="H690" s="334"/>
      <c r="I690" s="335"/>
      <c r="J690" s="336"/>
      <c r="K690" s="301"/>
      <c r="L690" s="336"/>
      <c r="M690" s="301"/>
      <c r="N690" s="336"/>
      <c r="O690" s="301"/>
      <c r="P690" s="336"/>
      <c r="Q690" s="301"/>
      <c r="R690" s="336"/>
      <c r="S690" s="301"/>
      <c r="T690" s="336"/>
    </row>
    <row r="691" spans="1:20" ht="12" customHeight="1" x14ac:dyDescent="0.25">
      <c r="A691" s="329" t="s">
        <v>289</v>
      </c>
      <c r="B691" s="330">
        <v>1</v>
      </c>
      <c r="C691" s="298">
        <v>46204</v>
      </c>
      <c r="D691" s="299" t="s">
        <v>311</v>
      </c>
      <c r="E691" s="522">
        <v>169.54</v>
      </c>
      <c r="F691" s="522"/>
      <c r="G691" s="333">
        <f t="shared" si="20"/>
        <v>1835.9499999999873</v>
      </c>
      <c r="H691" s="334"/>
      <c r="I691" s="335"/>
      <c r="J691" s="336"/>
      <c r="K691" s="301"/>
      <c r="L691" s="336"/>
      <c r="M691" s="301"/>
      <c r="N691" s="336"/>
      <c r="O691" s="301"/>
      <c r="P691" s="336"/>
      <c r="Q691" s="301"/>
      <c r="R691" s="336"/>
      <c r="S691" s="301"/>
      <c r="T691" s="336"/>
    </row>
    <row r="692" spans="1:20" ht="12" customHeight="1" x14ac:dyDescent="0.25">
      <c r="A692" s="329" t="s">
        <v>289</v>
      </c>
      <c r="B692" s="330">
        <v>2</v>
      </c>
      <c r="C692" s="298">
        <v>46204</v>
      </c>
      <c r="D692" s="299" t="s">
        <v>953</v>
      </c>
      <c r="E692" s="522">
        <v>64.2</v>
      </c>
      <c r="F692" s="522"/>
      <c r="G692" s="333">
        <f t="shared" si="20"/>
        <v>2005.4899999999873</v>
      </c>
      <c r="H692" s="334"/>
      <c r="I692" s="335"/>
      <c r="J692" s="336"/>
      <c r="K692" s="301"/>
      <c r="L692" s="336"/>
      <c r="M692" s="301"/>
      <c r="N692" s="336"/>
      <c r="O692" s="301"/>
      <c r="P692" s="336"/>
      <c r="Q692" s="301"/>
      <c r="R692" s="336"/>
      <c r="S692" s="301"/>
      <c r="T692" s="336"/>
    </row>
    <row r="693" spans="1:20" ht="12" customHeight="1" x14ac:dyDescent="0.25">
      <c r="A693" s="329" t="s">
        <v>289</v>
      </c>
      <c r="B693" s="330">
        <v>8</v>
      </c>
      <c r="C693" s="298">
        <v>46204</v>
      </c>
      <c r="D693" s="299" t="s">
        <v>319</v>
      </c>
      <c r="E693" s="522">
        <v>150.86000000000001</v>
      </c>
      <c r="F693" s="522"/>
      <c r="G693" s="333">
        <f t="shared" si="20"/>
        <v>2069.6899999999873</v>
      </c>
      <c r="H693" s="334"/>
      <c r="I693" s="335"/>
      <c r="J693" s="336"/>
      <c r="K693" s="301"/>
      <c r="L693" s="336"/>
      <c r="M693" s="301"/>
      <c r="N693" s="336"/>
      <c r="O693" s="301"/>
      <c r="P693" s="336"/>
      <c r="Q693" s="301"/>
      <c r="R693" s="336"/>
      <c r="S693" s="301"/>
      <c r="T693" s="336"/>
    </row>
    <row r="694" spans="1:20" ht="12" customHeight="1" x14ac:dyDescent="0.25">
      <c r="A694" s="329" t="s">
        <v>289</v>
      </c>
      <c r="B694" s="330">
        <v>3</v>
      </c>
      <c r="C694" s="298">
        <v>46204</v>
      </c>
      <c r="D694" s="299" t="s">
        <v>453</v>
      </c>
      <c r="E694" s="522">
        <v>10.41</v>
      </c>
      <c r="F694" s="522"/>
      <c r="G694" s="333">
        <f t="shared" si="20"/>
        <v>2220.5499999999874</v>
      </c>
      <c r="H694" s="334"/>
      <c r="I694" s="335"/>
      <c r="J694" s="336"/>
      <c r="K694" s="301"/>
      <c r="L694" s="336"/>
      <c r="M694" s="301"/>
      <c r="N694" s="336"/>
      <c r="O694" s="301"/>
      <c r="P694" s="336"/>
      <c r="Q694" s="301"/>
      <c r="R694" s="336"/>
      <c r="S694" s="301"/>
      <c r="T694" s="336"/>
    </row>
    <row r="695" spans="1:20" ht="12" customHeight="1" x14ac:dyDescent="0.25">
      <c r="A695" s="329" t="s">
        <v>289</v>
      </c>
      <c r="B695" s="330">
        <v>1</v>
      </c>
      <c r="C695" s="298">
        <v>46204</v>
      </c>
      <c r="D695" s="299" t="s">
        <v>306</v>
      </c>
      <c r="E695" s="522">
        <v>98.37</v>
      </c>
      <c r="F695" s="522"/>
      <c r="G695" s="333">
        <f t="shared" si="20"/>
        <v>2230.9599999999873</v>
      </c>
      <c r="H695" s="334"/>
      <c r="I695" s="335"/>
      <c r="J695" s="336"/>
      <c r="K695" s="301"/>
      <c r="L695" s="336"/>
      <c r="M695" s="301"/>
      <c r="N695" s="336"/>
      <c r="O695" s="301"/>
      <c r="P695" s="336"/>
      <c r="Q695" s="301"/>
      <c r="R695" s="336"/>
      <c r="S695" s="301"/>
      <c r="T695" s="336"/>
    </row>
    <row r="696" spans="1:20" ht="12" customHeight="1" x14ac:dyDescent="0.25">
      <c r="A696" s="329" t="s">
        <v>289</v>
      </c>
      <c r="B696" s="330">
        <v>6</v>
      </c>
      <c r="C696" s="298">
        <v>46204</v>
      </c>
      <c r="D696" s="299" t="s">
        <v>396</v>
      </c>
      <c r="E696" s="522">
        <v>54.76</v>
      </c>
      <c r="F696" s="522"/>
      <c r="G696" s="333">
        <f t="shared" si="20"/>
        <v>2329.3299999999872</v>
      </c>
      <c r="H696" s="334"/>
      <c r="I696" s="335"/>
      <c r="J696" s="336"/>
      <c r="K696" s="301"/>
      <c r="L696" s="336"/>
      <c r="M696" s="301"/>
      <c r="N696" s="336"/>
      <c r="O696" s="301"/>
      <c r="P696" s="336"/>
      <c r="Q696" s="301"/>
      <c r="R696" s="336"/>
      <c r="S696" s="301"/>
      <c r="T696" s="336"/>
    </row>
    <row r="697" spans="1:20" ht="12" customHeight="1" x14ac:dyDescent="0.25">
      <c r="A697" s="329" t="s">
        <v>284</v>
      </c>
      <c r="B697" s="330">
        <v>37</v>
      </c>
      <c r="C697" s="298">
        <v>46203</v>
      </c>
      <c r="D697" s="299" t="s">
        <v>968</v>
      </c>
      <c r="E697" s="522">
        <v>6487.16</v>
      </c>
      <c r="F697" s="522"/>
      <c r="G697" s="333">
        <f t="shared" si="20"/>
        <v>2384.0899999999874</v>
      </c>
      <c r="H697" s="334"/>
      <c r="I697" s="335"/>
      <c r="J697" s="336"/>
      <c r="K697" s="301"/>
      <c r="L697" s="336"/>
      <c r="M697" s="301"/>
      <c r="N697" s="336"/>
      <c r="O697" s="301"/>
      <c r="P697" s="336"/>
      <c r="Q697" s="301"/>
      <c r="R697" s="336"/>
      <c r="S697" s="301"/>
      <c r="T697" s="336"/>
    </row>
    <row r="698" spans="1:20" ht="12" customHeight="1" x14ac:dyDescent="0.25">
      <c r="A698" s="329" t="s">
        <v>286</v>
      </c>
      <c r="B698" s="330">
        <v>25</v>
      </c>
      <c r="C698" s="298">
        <v>46203</v>
      </c>
      <c r="D698" s="298" t="s">
        <v>204</v>
      </c>
      <c r="E698" s="331">
        <v>350</v>
      </c>
      <c r="F698" s="522"/>
      <c r="G698" s="333">
        <f t="shared" si="20"/>
        <v>8871.2499999999873</v>
      </c>
      <c r="H698" s="334"/>
      <c r="I698" s="335"/>
      <c r="J698" s="336"/>
      <c r="K698" s="301"/>
      <c r="L698" s="336"/>
      <c r="M698" s="301"/>
      <c r="N698" s="336"/>
      <c r="O698" s="301"/>
      <c r="P698" s="336"/>
      <c r="Q698" s="301"/>
      <c r="R698" s="336"/>
      <c r="S698" s="301"/>
      <c r="T698" s="336"/>
    </row>
    <row r="699" spans="1:20" ht="12" customHeight="1" x14ac:dyDescent="0.25">
      <c r="A699" s="329" t="s">
        <v>286</v>
      </c>
      <c r="B699" s="330">
        <v>26</v>
      </c>
      <c r="C699" s="298">
        <v>46203</v>
      </c>
      <c r="D699" s="298" t="s">
        <v>205</v>
      </c>
      <c r="E699" s="331">
        <v>320</v>
      </c>
      <c r="F699" s="522"/>
      <c r="G699" s="333">
        <f t="shared" si="20"/>
        <v>9221.2499999999873</v>
      </c>
      <c r="H699" s="334"/>
      <c r="I699" s="335"/>
      <c r="J699" s="336"/>
      <c r="K699" s="301"/>
      <c r="L699" s="336"/>
      <c r="M699" s="301"/>
      <c r="N699" s="336"/>
      <c r="O699" s="301"/>
      <c r="P699" s="336"/>
      <c r="Q699" s="301"/>
      <c r="R699" s="336"/>
      <c r="S699" s="301"/>
      <c r="T699" s="336"/>
    </row>
    <row r="700" spans="1:20" ht="12" customHeight="1" x14ac:dyDescent="0.25">
      <c r="A700" s="329" t="s">
        <v>286</v>
      </c>
      <c r="B700" s="330">
        <v>27</v>
      </c>
      <c r="C700" s="298">
        <v>46203</v>
      </c>
      <c r="D700" s="298" t="s">
        <v>206</v>
      </c>
      <c r="E700" s="331">
        <v>25</v>
      </c>
      <c r="F700" s="522"/>
      <c r="G700" s="333">
        <f t="shared" si="20"/>
        <v>9541.2499999999873</v>
      </c>
      <c r="H700" s="334"/>
      <c r="I700" s="335"/>
      <c r="J700" s="336"/>
      <c r="K700" s="301"/>
      <c r="L700" s="336"/>
      <c r="M700" s="301"/>
      <c r="N700" s="336"/>
      <c r="O700" s="301"/>
      <c r="P700" s="336"/>
      <c r="Q700" s="301"/>
      <c r="R700" s="336"/>
      <c r="S700" s="301"/>
      <c r="T700" s="336"/>
    </row>
    <row r="701" spans="1:20" ht="12" customHeight="1" x14ac:dyDescent="0.25">
      <c r="A701" s="329" t="s">
        <v>286</v>
      </c>
      <c r="B701" s="330">
        <v>28</v>
      </c>
      <c r="C701" s="298">
        <v>46203</v>
      </c>
      <c r="D701" s="298" t="s">
        <v>207</v>
      </c>
      <c r="E701" s="331">
        <v>25</v>
      </c>
      <c r="F701" s="522"/>
      <c r="G701" s="333">
        <f t="shared" si="20"/>
        <v>9566.2499999999873</v>
      </c>
      <c r="H701" s="334"/>
      <c r="I701" s="335"/>
      <c r="J701" s="336"/>
      <c r="K701" s="301"/>
      <c r="L701" s="336"/>
      <c r="M701" s="301"/>
      <c r="N701" s="336"/>
      <c r="O701" s="301"/>
      <c r="P701" s="336"/>
      <c r="Q701" s="301"/>
      <c r="R701" s="336"/>
      <c r="S701" s="301"/>
      <c r="T701" s="336"/>
    </row>
    <row r="702" spans="1:20" ht="12" customHeight="1" x14ac:dyDescent="0.25">
      <c r="A702" s="329" t="s">
        <v>286</v>
      </c>
      <c r="B702" s="330">
        <v>29</v>
      </c>
      <c r="C702" s="298">
        <v>46203</v>
      </c>
      <c r="D702" s="298" t="s">
        <v>208</v>
      </c>
      <c r="E702" s="331">
        <v>45</v>
      </c>
      <c r="F702" s="522"/>
      <c r="G702" s="333">
        <f t="shared" si="20"/>
        <v>9591.2499999999873</v>
      </c>
      <c r="H702" s="334"/>
      <c r="I702" s="335"/>
      <c r="J702" s="336"/>
      <c r="K702" s="301"/>
      <c r="L702" s="336"/>
      <c r="M702" s="301"/>
      <c r="N702" s="336"/>
      <c r="O702" s="301"/>
      <c r="P702" s="336"/>
      <c r="Q702" s="301"/>
      <c r="R702" s="336"/>
      <c r="S702" s="301"/>
      <c r="T702" s="336"/>
    </row>
    <row r="703" spans="1:20" ht="12" customHeight="1" x14ac:dyDescent="0.25">
      <c r="A703" s="329" t="s">
        <v>286</v>
      </c>
      <c r="B703" s="330">
        <v>30</v>
      </c>
      <c r="C703" s="298">
        <v>46203</v>
      </c>
      <c r="D703" s="298" t="s">
        <v>209</v>
      </c>
      <c r="E703" s="331">
        <v>400</v>
      </c>
      <c r="F703" s="522"/>
      <c r="G703" s="333">
        <f t="shared" si="20"/>
        <v>9636.2499999999873</v>
      </c>
      <c r="H703" s="334"/>
      <c r="I703" s="335"/>
      <c r="J703" s="336"/>
      <c r="K703" s="301"/>
      <c r="L703" s="336"/>
      <c r="M703" s="301"/>
      <c r="N703" s="336"/>
      <c r="O703" s="301"/>
      <c r="P703" s="336"/>
      <c r="Q703" s="301"/>
      <c r="R703" s="336"/>
      <c r="S703" s="301"/>
      <c r="T703" s="336"/>
    </row>
    <row r="704" spans="1:20" ht="12" customHeight="1" x14ac:dyDescent="0.25">
      <c r="A704" s="329" t="s">
        <v>286</v>
      </c>
      <c r="B704" s="330">
        <v>31</v>
      </c>
      <c r="C704" s="298">
        <v>46203</v>
      </c>
      <c r="D704" s="298" t="s">
        <v>210</v>
      </c>
      <c r="E704" s="331">
        <v>375</v>
      </c>
      <c r="F704" s="522"/>
      <c r="G704" s="333">
        <f t="shared" si="20"/>
        <v>10036.249999999987</v>
      </c>
      <c r="H704" s="334"/>
      <c r="I704" s="335"/>
      <c r="J704" s="336"/>
      <c r="K704" s="301"/>
      <c r="L704" s="336"/>
      <c r="M704" s="301"/>
      <c r="N704" s="336"/>
      <c r="O704" s="301"/>
      <c r="P704" s="336"/>
      <c r="Q704" s="301"/>
      <c r="R704" s="336"/>
      <c r="S704" s="301"/>
      <c r="T704" s="336"/>
    </row>
    <row r="705" spans="1:20" ht="12" customHeight="1" x14ac:dyDescent="0.25">
      <c r="A705" s="329" t="s">
        <v>286</v>
      </c>
      <c r="B705" s="330">
        <v>32</v>
      </c>
      <c r="C705" s="298">
        <v>46203</v>
      </c>
      <c r="D705" s="298" t="s">
        <v>211</v>
      </c>
      <c r="E705" s="331">
        <v>100</v>
      </c>
      <c r="F705" s="522"/>
      <c r="G705" s="333">
        <f t="shared" si="20"/>
        <v>10411.249999999987</v>
      </c>
      <c r="H705" s="334"/>
      <c r="I705" s="335"/>
      <c r="J705" s="336"/>
      <c r="K705" s="301"/>
      <c r="L705" s="336"/>
      <c r="M705" s="301"/>
      <c r="N705" s="336"/>
      <c r="O705" s="301"/>
      <c r="P705" s="336"/>
      <c r="Q705" s="301"/>
      <c r="R705" s="336"/>
      <c r="S705" s="301"/>
      <c r="T705" s="336"/>
    </row>
    <row r="706" spans="1:20" ht="12" customHeight="1" x14ac:dyDescent="0.25">
      <c r="A706" s="329" t="s">
        <v>286</v>
      </c>
      <c r="B706" s="330">
        <v>33</v>
      </c>
      <c r="C706" s="298">
        <v>46203</v>
      </c>
      <c r="D706" s="298" t="s">
        <v>212</v>
      </c>
      <c r="E706" s="331">
        <v>85</v>
      </c>
      <c r="F706" s="522"/>
      <c r="G706" s="333">
        <f t="shared" si="20"/>
        <v>10511.249999999987</v>
      </c>
      <c r="H706" s="334"/>
      <c r="I706" s="335"/>
      <c r="J706" s="336"/>
      <c r="K706" s="301"/>
      <c r="L706" s="336"/>
      <c r="M706" s="301"/>
      <c r="N706" s="336"/>
      <c r="O706" s="301"/>
      <c r="P706" s="336"/>
      <c r="Q706" s="301"/>
      <c r="R706" s="336"/>
      <c r="S706" s="301"/>
      <c r="T706" s="336"/>
    </row>
    <row r="707" spans="1:20" ht="12" customHeight="1" x14ac:dyDescent="0.25">
      <c r="A707" s="329" t="s">
        <v>286</v>
      </c>
      <c r="B707" s="330">
        <v>34</v>
      </c>
      <c r="C707" s="298">
        <v>46203</v>
      </c>
      <c r="D707" s="298" t="s">
        <v>213</v>
      </c>
      <c r="E707" s="331">
        <v>230</v>
      </c>
      <c r="F707" s="522"/>
      <c r="G707" s="333">
        <f t="shared" si="20"/>
        <v>10596.249999999987</v>
      </c>
      <c r="H707" s="334"/>
      <c r="I707" s="335"/>
      <c r="J707" s="336"/>
      <c r="K707" s="301"/>
      <c r="L707" s="336"/>
      <c r="M707" s="301"/>
      <c r="N707" s="336"/>
      <c r="O707" s="301"/>
      <c r="P707" s="336"/>
      <c r="Q707" s="301"/>
      <c r="R707" s="336"/>
      <c r="S707" s="301"/>
      <c r="T707" s="336"/>
    </row>
    <row r="708" spans="1:20" ht="12" customHeight="1" x14ac:dyDescent="0.25">
      <c r="A708" s="329" t="s">
        <v>286</v>
      </c>
      <c r="B708" s="330">
        <v>35</v>
      </c>
      <c r="C708" s="298">
        <v>46203</v>
      </c>
      <c r="D708" s="298" t="s">
        <v>214</v>
      </c>
      <c r="E708" s="331">
        <v>45</v>
      </c>
      <c r="F708" s="522"/>
      <c r="G708" s="333">
        <f t="shared" si="20"/>
        <v>10826.249999999987</v>
      </c>
      <c r="H708" s="334"/>
      <c r="I708" s="335"/>
      <c r="J708" s="336"/>
      <c r="K708" s="301"/>
      <c r="L708" s="336"/>
      <c r="M708" s="301"/>
      <c r="N708" s="336"/>
      <c r="O708" s="301"/>
      <c r="P708" s="336"/>
      <c r="Q708" s="301"/>
      <c r="R708" s="336"/>
      <c r="S708" s="301"/>
      <c r="T708" s="336"/>
    </row>
    <row r="709" spans="1:20" ht="12" customHeight="1" x14ac:dyDescent="0.25">
      <c r="A709" s="329" t="s">
        <v>294</v>
      </c>
      <c r="B709" s="330">
        <v>10</v>
      </c>
      <c r="C709" s="298">
        <v>46203</v>
      </c>
      <c r="D709" s="298" t="s">
        <v>176</v>
      </c>
      <c r="E709" s="522">
        <v>17.899999999999999</v>
      </c>
      <c r="F709" s="522"/>
      <c r="G709" s="333">
        <f t="shared" si="20"/>
        <v>10871.249999999987</v>
      </c>
      <c r="H709" s="334"/>
      <c r="I709" s="335"/>
      <c r="J709" s="336"/>
      <c r="K709" s="301"/>
      <c r="L709" s="336"/>
      <c r="M709" s="301"/>
      <c r="N709" s="336"/>
      <c r="O709" s="301"/>
      <c r="P709" s="336"/>
      <c r="Q709" s="301"/>
      <c r="R709" s="336"/>
      <c r="S709" s="301"/>
      <c r="T709" s="336"/>
    </row>
    <row r="710" spans="1:20" ht="12" customHeight="1" x14ac:dyDescent="0.25">
      <c r="A710" s="329" t="s">
        <v>287</v>
      </c>
      <c r="B710" s="330" t="s">
        <v>287</v>
      </c>
      <c r="C710" s="298">
        <v>46203</v>
      </c>
      <c r="D710" s="299" t="s">
        <v>422</v>
      </c>
      <c r="E710" s="522">
        <v>185.64</v>
      </c>
      <c r="F710" s="522">
        <v>185.64</v>
      </c>
      <c r="G710" s="333">
        <f t="shared" si="20"/>
        <v>10889.149999999987</v>
      </c>
      <c r="H710" s="334"/>
      <c r="I710" s="335"/>
      <c r="J710" s="336"/>
      <c r="K710" s="301"/>
      <c r="L710" s="336"/>
      <c r="M710" s="301"/>
      <c r="N710" s="336"/>
      <c r="O710" s="301"/>
      <c r="P710" s="336"/>
      <c r="Q710" s="301"/>
      <c r="R710" s="336"/>
      <c r="S710" s="301"/>
      <c r="T710" s="336"/>
    </row>
    <row r="711" spans="1:20" ht="12" customHeight="1" x14ac:dyDescent="0.25">
      <c r="A711" s="329" t="s">
        <v>289</v>
      </c>
      <c r="B711" s="330">
        <v>6</v>
      </c>
      <c r="C711" s="298">
        <v>46203</v>
      </c>
      <c r="D711" s="299" t="s">
        <v>945</v>
      </c>
      <c r="E711" s="522">
        <v>-20</v>
      </c>
      <c r="F711" s="522"/>
      <c r="G711" s="333">
        <f t="shared" si="20"/>
        <v>10889.149999999987</v>
      </c>
      <c r="H711" s="334"/>
      <c r="I711" s="335"/>
      <c r="J711" s="336"/>
      <c r="K711" s="301"/>
      <c r="L711" s="336"/>
      <c r="M711" s="301"/>
      <c r="N711" s="336"/>
      <c r="O711" s="301"/>
      <c r="P711" s="336"/>
      <c r="Q711" s="301"/>
      <c r="R711" s="336"/>
      <c r="S711" s="301"/>
      <c r="T711" s="336"/>
    </row>
    <row r="712" spans="1:20" ht="12" customHeight="1" x14ac:dyDescent="0.25">
      <c r="A712" s="329" t="s">
        <v>287</v>
      </c>
      <c r="B712" s="330" t="s">
        <v>287</v>
      </c>
      <c r="C712" s="298">
        <v>46202</v>
      </c>
      <c r="D712" s="299" t="s">
        <v>946</v>
      </c>
      <c r="E712" s="522">
        <v>580</v>
      </c>
      <c r="F712" s="522">
        <v>580</v>
      </c>
      <c r="G712" s="333">
        <f t="shared" si="20"/>
        <v>10869.149999999987</v>
      </c>
      <c r="H712" s="334"/>
      <c r="I712" s="335"/>
      <c r="J712" s="336"/>
      <c r="K712" s="301"/>
      <c r="L712" s="336"/>
      <c r="M712" s="301"/>
      <c r="N712" s="336"/>
      <c r="O712" s="301"/>
      <c r="P712" s="336"/>
      <c r="Q712" s="301"/>
      <c r="R712" s="336"/>
      <c r="S712" s="301"/>
      <c r="T712" s="336"/>
    </row>
    <row r="713" spans="1:20" ht="12" customHeight="1" x14ac:dyDescent="0.25">
      <c r="A713" s="329" t="s">
        <v>291</v>
      </c>
      <c r="B713" s="330">
        <v>38</v>
      </c>
      <c r="C713" s="298">
        <v>46202</v>
      </c>
      <c r="D713" s="299" t="s">
        <v>293</v>
      </c>
      <c r="E713" s="522"/>
      <c r="F713" s="522">
        <v>4720.8599999999997</v>
      </c>
      <c r="G713" s="333">
        <f t="shared" si="20"/>
        <v>10869.149999999987</v>
      </c>
      <c r="H713" s="334"/>
      <c r="I713" s="335"/>
      <c r="J713" s="336"/>
      <c r="K713" s="301"/>
      <c r="L713" s="336"/>
      <c r="M713" s="301"/>
      <c r="N713" s="336"/>
      <c r="O713" s="301"/>
      <c r="P713" s="336"/>
      <c r="Q713" s="301"/>
      <c r="R713" s="336"/>
      <c r="S713" s="301"/>
      <c r="T713" s="336"/>
    </row>
    <row r="714" spans="1:20" ht="12" customHeight="1" x14ac:dyDescent="0.25">
      <c r="A714" s="329" t="s">
        <v>287</v>
      </c>
      <c r="B714" s="330" t="s">
        <v>287</v>
      </c>
      <c r="C714" s="298">
        <v>46202</v>
      </c>
      <c r="D714" s="299" t="s">
        <v>940</v>
      </c>
      <c r="E714" s="522">
        <v>180</v>
      </c>
      <c r="F714" s="522">
        <v>180</v>
      </c>
      <c r="G714" s="333">
        <f t="shared" si="20"/>
        <v>6148.2899999999863</v>
      </c>
      <c r="H714" s="334"/>
      <c r="I714" s="335"/>
      <c r="J714" s="336"/>
      <c r="K714" s="301"/>
      <c r="L714" s="336"/>
      <c r="M714" s="301"/>
      <c r="N714" s="336"/>
      <c r="O714" s="301"/>
      <c r="P714" s="336"/>
      <c r="Q714" s="301"/>
      <c r="R714" s="336"/>
      <c r="S714" s="301"/>
      <c r="T714" s="336"/>
    </row>
    <row r="715" spans="1:20" ht="12" customHeight="1" x14ac:dyDescent="0.25">
      <c r="A715" s="329" t="s">
        <v>294</v>
      </c>
      <c r="B715" s="330">
        <v>20</v>
      </c>
      <c r="C715" s="298">
        <v>46202</v>
      </c>
      <c r="D715" s="299" t="s">
        <v>193</v>
      </c>
      <c r="E715" s="522">
        <v>600</v>
      </c>
      <c r="F715" s="522"/>
      <c r="G715" s="333">
        <f t="shared" si="20"/>
        <v>6148.2899999999863</v>
      </c>
      <c r="H715" s="334"/>
      <c r="I715" s="335"/>
      <c r="J715" s="336"/>
      <c r="K715" s="301"/>
      <c r="L715" s="336"/>
      <c r="M715" s="301"/>
      <c r="N715" s="336"/>
      <c r="O715" s="301"/>
      <c r="P715" s="336"/>
      <c r="Q715" s="301"/>
      <c r="R715" s="336"/>
      <c r="S715" s="301"/>
      <c r="T715" s="336"/>
    </row>
    <row r="716" spans="1:20" ht="12" customHeight="1" x14ac:dyDescent="0.25">
      <c r="A716" s="329" t="s">
        <v>289</v>
      </c>
      <c r="B716" s="330">
        <v>1</v>
      </c>
      <c r="C716" s="298">
        <v>46202</v>
      </c>
      <c r="D716" s="299" t="s">
        <v>306</v>
      </c>
      <c r="E716" s="522">
        <v>102.13</v>
      </c>
      <c r="F716" s="522"/>
      <c r="G716" s="333">
        <f t="shared" si="20"/>
        <v>6748.2899999999863</v>
      </c>
      <c r="H716" s="334"/>
      <c r="I716" s="335"/>
      <c r="J716" s="336"/>
      <c r="K716" s="301"/>
      <c r="L716" s="336"/>
      <c r="M716" s="301"/>
      <c r="N716" s="336"/>
      <c r="O716" s="301"/>
      <c r="P716" s="336"/>
      <c r="Q716" s="301"/>
      <c r="R716" s="336"/>
      <c r="S716" s="301"/>
      <c r="T716" s="336"/>
    </row>
    <row r="717" spans="1:20" ht="12" customHeight="1" x14ac:dyDescent="0.25">
      <c r="A717" s="329" t="s">
        <v>289</v>
      </c>
      <c r="B717" s="330">
        <v>4</v>
      </c>
      <c r="C717" s="298">
        <v>46202</v>
      </c>
      <c r="D717" s="299" t="s">
        <v>310</v>
      </c>
      <c r="E717" s="522">
        <v>40.56</v>
      </c>
      <c r="F717" s="522"/>
      <c r="G717" s="333">
        <f t="shared" si="20"/>
        <v>6850.4199999999864</v>
      </c>
      <c r="H717" s="334"/>
      <c r="I717" s="335"/>
      <c r="J717" s="336"/>
      <c r="K717" s="301"/>
      <c r="L717" s="336"/>
      <c r="M717" s="301"/>
      <c r="N717" s="336"/>
      <c r="O717" s="301"/>
      <c r="P717" s="336"/>
      <c r="Q717" s="301"/>
      <c r="R717" s="336"/>
      <c r="S717" s="301"/>
      <c r="T717" s="336"/>
    </row>
    <row r="718" spans="1:20" ht="12" customHeight="1" x14ac:dyDescent="0.25">
      <c r="A718" s="329" t="s">
        <v>289</v>
      </c>
      <c r="B718" s="330">
        <v>3</v>
      </c>
      <c r="C718" s="298">
        <v>46202</v>
      </c>
      <c r="D718" s="299" t="s">
        <v>310</v>
      </c>
      <c r="E718" s="522">
        <v>6.84</v>
      </c>
      <c r="F718" s="522"/>
      <c r="G718" s="333">
        <f t="shared" si="20"/>
        <v>6890.9799999999868</v>
      </c>
      <c r="H718" s="334"/>
      <c r="I718" s="335"/>
      <c r="J718" s="336"/>
      <c r="K718" s="301"/>
      <c r="L718" s="336"/>
      <c r="M718" s="301"/>
      <c r="N718" s="336"/>
      <c r="O718" s="301"/>
      <c r="P718" s="336"/>
      <c r="Q718" s="301"/>
      <c r="R718" s="336"/>
      <c r="S718" s="301"/>
      <c r="T718" s="336"/>
    </row>
    <row r="719" spans="1:20" ht="12" customHeight="1" x14ac:dyDescent="0.25">
      <c r="A719" s="329" t="s">
        <v>289</v>
      </c>
      <c r="B719" s="330">
        <v>3</v>
      </c>
      <c r="C719" s="298">
        <v>46202</v>
      </c>
      <c r="D719" s="299" t="s">
        <v>878</v>
      </c>
      <c r="E719" s="522">
        <v>11.98</v>
      </c>
      <c r="F719" s="522"/>
      <c r="G719" s="333">
        <f t="shared" si="20"/>
        <v>6897.819999999987</v>
      </c>
      <c r="H719" s="334"/>
      <c r="I719" s="335"/>
      <c r="J719" s="336"/>
      <c r="K719" s="301"/>
      <c r="L719" s="336"/>
      <c r="M719" s="301"/>
      <c r="N719" s="336"/>
      <c r="O719" s="301"/>
      <c r="P719" s="336"/>
      <c r="Q719" s="301"/>
      <c r="R719" s="336"/>
      <c r="S719" s="301"/>
      <c r="T719" s="336"/>
    </row>
    <row r="720" spans="1:20" ht="12" customHeight="1" x14ac:dyDescent="0.25">
      <c r="A720" s="329" t="s">
        <v>289</v>
      </c>
      <c r="B720" s="330">
        <v>2</v>
      </c>
      <c r="C720" s="298">
        <v>46201</v>
      </c>
      <c r="D720" s="299" t="s">
        <v>352</v>
      </c>
      <c r="E720" s="522">
        <v>14.99</v>
      </c>
      <c r="F720" s="522"/>
      <c r="G720" s="333">
        <f t="shared" ref="G720:G733" si="21">G721-E720+F720</f>
        <v>6909.7999999999865</v>
      </c>
      <c r="H720" s="334"/>
      <c r="I720" s="335"/>
      <c r="J720" s="336"/>
      <c r="K720" s="301"/>
      <c r="L720" s="336"/>
      <c r="M720" s="301"/>
      <c r="N720" s="336"/>
      <c r="O720" s="301"/>
      <c r="P720" s="336"/>
      <c r="Q720" s="301"/>
      <c r="R720" s="336"/>
      <c r="S720" s="301"/>
      <c r="T720" s="336"/>
    </row>
    <row r="721" spans="1:20" ht="12" customHeight="1" x14ac:dyDescent="0.25">
      <c r="A721" s="329" t="s">
        <v>289</v>
      </c>
      <c r="B721" s="330">
        <v>2</v>
      </c>
      <c r="C721" s="298">
        <v>46201</v>
      </c>
      <c r="D721" s="299" t="s">
        <v>357</v>
      </c>
      <c r="E721" s="522">
        <v>11.29</v>
      </c>
      <c r="F721" s="522"/>
      <c r="G721" s="333">
        <f t="shared" si="21"/>
        <v>6924.7899999999863</v>
      </c>
      <c r="H721" s="334"/>
      <c r="I721" s="335"/>
      <c r="J721" s="336"/>
      <c r="K721" s="301"/>
      <c r="L721" s="336"/>
      <c r="M721" s="301"/>
      <c r="N721" s="336"/>
      <c r="O721" s="301"/>
      <c r="P721" s="336"/>
      <c r="Q721" s="301"/>
      <c r="R721" s="336"/>
      <c r="S721" s="301"/>
      <c r="T721" s="336"/>
    </row>
    <row r="722" spans="1:20" ht="12" customHeight="1" x14ac:dyDescent="0.25">
      <c r="A722" s="329" t="s">
        <v>289</v>
      </c>
      <c r="B722" s="330">
        <v>8</v>
      </c>
      <c r="C722" s="298">
        <v>46201</v>
      </c>
      <c r="D722" s="299" t="s">
        <v>319</v>
      </c>
      <c r="E722" s="522">
        <v>158.96</v>
      </c>
      <c r="F722" s="522"/>
      <c r="G722" s="333">
        <f t="shared" si="21"/>
        <v>6936.0799999999863</v>
      </c>
      <c r="H722" s="334"/>
      <c r="I722" s="335"/>
      <c r="J722" s="336"/>
      <c r="K722" s="301"/>
      <c r="L722" s="336"/>
      <c r="M722" s="301"/>
      <c r="N722" s="336"/>
      <c r="O722" s="301"/>
      <c r="P722" s="336"/>
      <c r="Q722" s="301"/>
      <c r="R722" s="336"/>
      <c r="S722" s="301"/>
      <c r="T722" s="336"/>
    </row>
    <row r="723" spans="1:20" ht="12" customHeight="1" x14ac:dyDescent="0.25">
      <c r="A723" s="329" t="s">
        <v>289</v>
      </c>
      <c r="B723" s="330">
        <v>6</v>
      </c>
      <c r="C723" s="298">
        <v>46201</v>
      </c>
      <c r="D723" s="299" t="s">
        <v>396</v>
      </c>
      <c r="E723" s="522">
        <v>53.24</v>
      </c>
      <c r="F723" s="522"/>
      <c r="G723" s="333">
        <f t="shared" si="21"/>
        <v>7095.0399999999863</v>
      </c>
      <c r="H723" s="334"/>
      <c r="I723" s="335"/>
      <c r="J723" s="336"/>
      <c r="K723" s="301"/>
      <c r="L723" s="336"/>
      <c r="M723" s="301"/>
      <c r="N723" s="336"/>
      <c r="O723" s="301"/>
      <c r="P723" s="336"/>
      <c r="Q723" s="301"/>
      <c r="R723" s="336"/>
      <c r="S723" s="301"/>
      <c r="T723" s="336"/>
    </row>
    <row r="724" spans="1:20" ht="12" customHeight="1" x14ac:dyDescent="0.25">
      <c r="A724" s="329" t="s">
        <v>289</v>
      </c>
      <c r="B724" s="330">
        <v>2</v>
      </c>
      <c r="C724" s="298">
        <v>46200</v>
      </c>
      <c r="D724" s="299" t="s">
        <v>915</v>
      </c>
      <c r="E724" s="522">
        <v>122.77</v>
      </c>
      <c r="F724" s="522"/>
      <c r="G724" s="333">
        <f t="shared" si="21"/>
        <v>7148.2799999999861</v>
      </c>
      <c r="H724" s="334"/>
      <c r="I724" s="335"/>
      <c r="J724" s="336"/>
      <c r="K724" s="301"/>
      <c r="L724" s="336"/>
      <c r="M724" s="301"/>
      <c r="N724" s="336"/>
      <c r="O724" s="301"/>
      <c r="P724" s="336"/>
      <c r="Q724" s="301"/>
      <c r="R724" s="336"/>
      <c r="S724" s="301"/>
      <c r="T724" s="336"/>
    </row>
    <row r="725" spans="1:20" ht="12" customHeight="1" x14ac:dyDescent="0.25">
      <c r="A725" s="329" t="s">
        <v>289</v>
      </c>
      <c r="B725" s="330">
        <v>1</v>
      </c>
      <c r="C725" s="298">
        <v>46200</v>
      </c>
      <c r="D725" s="299" t="s">
        <v>829</v>
      </c>
      <c r="E725" s="522">
        <v>77.67</v>
      </c>
      <c r="F725" s="522"/>
      <c r="G725" s="333">
        <f t="shared" si="21"/>
        <v>7271.0499999999865</v>
      </c>
      <c r="H725" s="334"/>
      <c r="I725" s="335"/>
      <c r="J725" s="336"/>
      <c r="K725" s="301"/>
      <c r="L725" s="336"/>
      <c r="M725" s="301"/>
      <c r="N725" s="336"/>
      <c r="O725" s="301"/>
      <c r="P725" s="336"/>
      <c r="Q725" s="301"/>
      <c r="R725" s="336"/>
      <c r="S725" s="301"/>
      <c r="T725" s="336"/>
    </row>
    <row r="726" spans="1:20" ht="12" customHeight="1" x14ac:dyDescent="0.25">
      <c r="A726" s="329" t="s">
        <v>289</v>
      </c>
      <c r="B726" s="330">
        <v>5</v>
      </c>
      <c r="C726" s="298">
        <v>46200</v>
      </c>
      <c r="D726" s="299" t="s">
        <v>941</v>
      </c>
      <c r="E726" s="522">
        <v>32.99</v>
      </c>
      <c r="F726" s="522"/>
      <c r="G726" s="333">
        <f t="shared" si="21"/>
        <v>7348.7199999999866</v>
      </c>
      <c r="H726" s="334"/>
      <c r="I726" s="335"/>
      <c r="J726" s="336"/>
      <c r="K726" s="301"/>
      <c r="L726" s="336"/>
      <c r="M726" s="301"/>
      <c r="N726" s="336"/>
      <c r="O726" s="301"/>
      <c r="P726" s="336"/>
      <c r="Q726" s="301"/>
      <c r="R726" s="336"/>
      <c r="S726" s="301"/>
      <c r="T726" s="336"/>
    </row>
    <row r="727" spans="1:20" ht="12" customHeight="1" x14ac:dyDescent="0.25">
      <c r="A727" s="329" t="s">
        <v>287</v>
      </c>
      <c r="B727" s="330" t="s">
        <v>287</v>
      </c>
      <c r="C727" s="298">
        <v>46200</v>
      </c>
      <c r="D727" s="299" t="s">
        <v>943</v>
      </c>
      <c r="E727" s="522">
        <v>207.96</v>
      </c>
      <c r="F727" s="522">
        <v>207.96</v>
      </c>
      <c r="G727" s="333">
        <f t="shared" si="21"/>
        <v>7381.7099999999864</v>
      </c>
      <c r="H727" s="334"/>
      <c r="I727" s="335"/>
      <c r="J727" s="336"/>
      <c r="K727" s="301"/>
      <c r="L727" s="336"/>
      <c r="M727" s="301"/>
      <c r="N727" s="336"/>
      <c r="O727" s="301"/>
      <c r="P727" s="336"/>
      <c r="Q727" s="301"/>
      <c r="R727" s="336"/>
      <c r="S727" s="301"/>
      <c r="T727" s="336"/>
    </row>
    <row r="728" spans="1:20" ht="12" customHeight="1" x14ac:dyDescent="0.25">
      <c r="A728" s="329" t="s">
        <v>289</v>
      </c>
      <c r="B728" s="330">
        <v>2</v>
      </c>
      <c r="C728" s="298">
        <v>46199</v>
      </c>
      <c r="D728" s="299" t="s">
        <v>866</v>
      </c>
      <c r="E728" s="522">
        <v>51.84</v>
      </c>
      <c r="F728" s="522"/>
      <c r="G728" s="333">
        <f t="shared" si="21"/>
        <v>7381.7099999999864</v>
      </c>
      <c r="H728" s="334"/>
      <c r="I728" s="335"/>
      <c r="J728" s="336"/>
      <c r="K728" s="301"/>
      <c r="L728" s="336"/>
      <c r="M728" s="301"/>
      <c r="N728" s="336"/>
      <c r="O728" s="301"/>
      <c r="P728" s="336"/>
      <c r="Q728" s="301"/>
      <c r="R728" s="336"/>
      <c r="S728" s="301"/>
      <c r="T728" s="336"/>
    </row>
    <row r="729" spans="1:20" ht="12" customHeight="1" x14ac:dyDescent="0.25">
      <c r="A729" s="329" t="s">
        <v>289</v>
      </c>
      <c r="B729" s="330">
        <v>3</v>
      </c>
      <c r="C729" s="298">
        <v>46199</v>
      </c>
      <c r="D729" s="299" t="s">
        <v>296</v>
      </c>
      <c r="E729" s="522">
        <v>10.31</v>
      </c>
      <c r="F729" s="522"/>
      <c r="G729" s="333">
        <f t="shared" si="21"/>
        <v>7433.5499999999865</v>
      </c>
      <c r="H729" s="334"/>
      <c r="I729" s="335"/>
      <c r="J729" s="336"/>
      <c r="K729" s="301"/>
      <c r="L729" s="336"/>
      <c r="M729" s="301"/>
      <c r="N729" s="336"/>
      <c r="O729" s="301"/>
      <c r="P729" s="336"/>
      <c r="Q729" s="301"/>
      <c r="R729" s="336"/>
      <c r="S729" s="301"/>
      <c r="T729" s="336"/>
    </row>
    <row r="730" spans="1:20" ht="12" customHeight="1" x14ac:dyDescent="0.25">
      <c r="A730" s="329" t="s">
        <v>289</v>
      </c>
      <c r="B730" s="330">
        <v>4</v>
      </c>
      <c r="C730" s="298">
        <v>46199</v>
      </c>
      <c r="D730" s="299" t="s">
        <v>296</v>
      </c>
      <c r="E730" s="522">
        <v>87.14</v>
      </c>
      <c r="F730" s="522"/>
      <c r="G730" s="333">
        <f t="shared" si="21"/>
        <v>7443.8599999999869</v>
      </c>
      <c r="H730" s="334"/>
      <c r="I730" s="335"/>
      <c r="J730" s="336"/>
      <c r="K730" s="301"/>
      <c r="L730" s="336"/>
      <c r="M730" s="301"/>
      <c r="N730" s="336"/>
      <c r="O730" s="301"/>
      <c r="P730" s="336"/>
      <c r="Q730" s="301"/>
      <c r="R730" s="336"/>
      <c r="S730" s="301"/>
      <c r="T730" s="336"/>
    </row>
    <row r="731" spans="1:20" ht="12" customHeight="1" x14ac:dyDescent="0.25">
      <c r="A731" s="329" t="s">
        <v>289</v>
      </c>
      <c r="B731" s="330">
        <v>5</v>
      </c>
      <c r="C731" s="298">
        <v>46199</v>
      </c>
      <c r="D731" s="299" t="s">
        <v>938</v>
      </c>
      <c r="E731" s="522">
        <v>20</v>
      </c>
      <c r="F731" s="522"/>
      <c r="G731" s="333">
        <f t="shared" si="21"/>
        <v>7530.9999999999873</v>
      </c>
      <c r="H731" s="334"/>
      <c r="I731" s="335"/>
      <c r="J731" s="336"/>
      <c r="K731" s="301"/>
      <c r="L731" s="336"/>
      <c r="M731" s="301"/>
      <c r="N731" s="336"/>
      <c r="O731" s="301"/>
      <c r="P731" s="336"/>
      <c r="Q731" s="301"/>
      <c r="R731" s="336"/>
      <c r="S731" s="301"/>
      <c r="T731" s="336"/>
    </row>
    <row r="732" spans="1:20" ht="12" customHeight="1" x14ac:dyDescent="0.25">
      <c r="A732" s="329" t="s">
        <v>294</v>
      </c>
      <c r="B732" s="330">
        <v>12</v>
      </c>
      <c r="C732" s="298">
        <v>46198</v>
      </c>
      <c r="D732" s="299" t="s">
        <v>314</v>
      </c>
      <c r="E732" s="522">
        <v>204.48</v>
      </c>
      <c r="F732" s="522"/>
      <c r="G732" s="333">
        <f t="shared" si="21"/>
        <v>7550.9999999999873</v>
      </c>
      <c r="H732" s="334"/>
      <c r="I732" s="335"/>
      <c r="J732" s="336"/>
      <c r="K732" s="301"/>
      <c r="L732" s="336"/>
      <c r="M732" s="301"/>
      <c r="N732" s="336"/>
      <c r="O732" s="301"/>
      <c r="P732" s="336"/>
      <c r="Q732" s="301"/>
      <c r="R732" s="336"/>
      <c r="S732" s="301"/>
      <c r="T732" s="336"/>
    </row>
    <row r="733" spans="1:20" ht="12" customHeight="1" x14ac:dyDescent="0.25">
      <c r="A733" s="329" t="s">
        <v>291</v>
      </c>
      <c r="B733" s="330">
        <v>39</v>
      </c>
      <c r="C733" s="298">
        <v>46198</v>
      </c>
      <c r="D733" s="299" t="s">
        <v>292</v>
      </c>
      <c r="E733" s="522"/>
      <c r="F733" s="522">
        <v>2763.77</v>
      </c>
      <c r="G733" s="333">
        <f t="shared" si="21"/>
        <v>7755.4799999999868</v>
      </c>
      <c r="H733" s="334"/>
      <c r="I733" s="335"/>
      <c r="J733" s="336"/>
      <c r="K733" s="301"/>
      <c r="L733" s="336"/>
      <c r="M733" s="301"/>
      <c r="N733" s="336"/>
      <c r="O733" s="301"/>
      <c r="P733" s="336"/>
      <c r="Q733" s="301"/>
      <c r="R733" s="336"/>
      <c r="S733" s="301"/>
      <c r="T733" s="336"/>
    </row>
    <row r="734" spans="1:20" ht="12" customHeight="1" x14ac:dyDescent="0.25">
      <c r="A734" s="329" t="s">
        <v>289</v>
      </c>
      <c r="B734" s="330">
        <v>5</v>
      </c>
      <c r="C734" s="298">
        <v>46198</v>
      </c>
      <c r="D734" s="299" t="s">
        <v>844</v>
      </c>
      <c r="E734" s="522">
        <v>11.2</v>
      </c>
      <c r="F734" s="522"/>
      <c r="G734" s="333">
        <f t="shared" ref="G734:G754" si="22">G735-E734+F734</f>
        <v>4991.7099999999864</v>
      </c>
      <c r="H734" s="334"/>
      <c r="I734" s="335"/>
      <c r="J734" s="336"/>
      <c r="K734" s="301"/>
      <c r="L734" s="336"/>
      <c r="M734" s="301"/>
      <c r="N734" s="336"/>
      <c r="O734" s="301"/>
      <c r="P734" s="336"/>
      <c r="Q734" s="301"/>
      <c r="R734" s="336"/>
      <c r="S734" s="301"/>
      <c r="T734" s="336"/>
    </row>
    <row r="735" spans="1:20" ht="12" customHeight="1" x14ac:dyDescent="0.25">
      <c r="A735" s="329" t="s">
        <v>289</v>
      </c>
      <c r="B735" s="330">
        <v>2</v>
      </c>
      <c r="C735" s="298">
        <v>46197</v>
      </c>
      <c r="D735" s="299" t="s">
        <v>939</v>
      </c>
      <c r="E735" s="522">
        <v>15.99</v>
      </c>
      <c r="F735" s="522"/>
      <c r="G735" s="333">
        <f t="shared" si="22"/>
        <v>5002.9099999999862</v>
      </c>
      <c r="H735" s="334"/>
      <c r="I735" s="335"/>
      <c r="J735" s="336"/>
      <c r="K735" s="301"/>
      <c r="L735" s="336"/>
      <c r="M735" s="301"/>
      <c r="N735" s="336"/>
      <c r="O735" s="301"/>
      <c r="P735" s="336"/>
      <c r="Q735" s="301"/>
      <c r="R735" s="336"/>
      <c r="S735" s="301"/>
      <c r="T735" s="336"/>
    </row>
    <row r="736" spans="1:20" ht="12" customHeight="1" x14ac:dyDescent="0.25">
      <c r="A736" s="329" t="s">
        <v>289</v>
      </c>
      <c r="B736" s="330">
        <v>5</v>
      </c>
      <c r="C736" s="298">
        <v>46197</v>
      </c>
      <c r="D736" s="299" t="s">
        <v>339</v>
      </c>
      <c r="E736" s="522">
        <v>47.93</v>
      </c>
      <c r="F736" s="522"/>
      <c r="G736" s="333">
        <f t="shared" si="22"/>
        <v>5018.899999999986</v>
      </c>
      <c r="H736" s="334"/>
      <c r="I736" s="335"/>
      <c r="J736" s="336"/>
      <c r="K736" s="301"/>
      <c r="L736" s="336"/>
      <c r="M736" s="301"/>
      <c r="N736" s="336"/>
      <c r="O736" s="301"/>
      <c r="P736" s="336"/>
      <c r="Q736" s="301"/>
      <c r="R736" s="336"/>
      <c r="S736" s="301"/>
      <c r="T736" s="336"/>
    </row>
    <row r="737" spans="1:20" ht="12" customHeight="1" x14ac:dyDescent="0.25">
      <c r="A737" s="329" t="s">
        <v>294</v>
      </c>
      <c r="B737" s="330">
        <v>43</v>
      </c>
      <c r="C737" s="298">
        <v>46197</v>
      </c>
      <c r="D737" s="299" t="s">
        <v>201</v>
      </c>
      <c r="E737" s="522">
        <v>42.84</v>
      </c>
      <c r="F737" s="522"/>
      <c r="G737" s="333">
        <f t="shared" si="22"/>
        <v>5066.8299999999863</v>
      </c>
      <c r="H737" s="334"/>
      <c r="I737" s="335"/>
      <c r="J737" s="336"/>
      <c r="K737" s="301"/>
      <c r="L737" s="336"/>
      <c r="M737" s="301"/>
      <c r="N737" s="336"/>
      <c r="O737" s="301"/>
      <c r="P737" s="336"/>
      <c r="Q737" s="301"/>
      <c r="R737" s="336"/>
      <c r="S737" s="301"/>
      <c r="T737" s="336"/>
    </row>
    <row r="738" spans="1:20" ht="12" customHeight="1" x14ac:dyDescent="0.25">
      <c r="A738" s="329" t="s">
        <v>294</v>
      </c>
      <c r="B738" s="330">
        <v>42</v>
      </c>
      <c r="C738" s="298">
        <v>46197</v>
      </c>
      <c r="D738" s="299" t="s">
        <v>200</v>
      </c>
      <c r="E738" s="522">
        <v>99.4</v>
      </c>
      <c r="F738" s="522"/>
      <c r="G738" s="333">
        <f t="shared" si="22"/>
        <v>5109.6699999999864</v>
      </c>
      <c r="H738" s="334"/>
      <c r="I738" s="335"/>
      <c r="J738" s="336"/>
      <c r="K738" s="301"/>
      <c r="L738" s="336"/>
      <c r="M738" s="301"/>
      <c r="N738" s="336"/>
      <c r="O738" s="301"/>
      <c r="P738" s="336"/>
      <c r="Q738" s="301"/>
      <c r="R738" s="336"/>
      <c r="S738" s="301"/>
      <c r="T738" s="336"/>
    </row>
    <row r="739" spans="1:20" ht="12" customHeight="1" x14ac:dyDescent="0.25">
      <c r="A739" s="329" t="s">
        <v>289</v>
      </c>
      <c r="B739" s="330">
        <v>8</v>
      </c>
      <c r="C739" s="298">
        <v>46196</v>
      </c>
      <c r="D739" s="299" t="s">
        <v>319</v>
      </c>
      <c r="E739" s="522">
        <v>5.68</v>
      </c>
      <c r="F739" s="522"/>
      <c r="G739" s="333">
        <f t="shared" si="22"/>
        <v>5209.0699999999861</v>
      </c>
      <c r="H739" s="334"/>
      <c r="I739" s="335"/>
      <c r="J739" s="336"/>
      <c r="K739" s="301"/>
      <c r="L739" s="336"/>
      <c r="M739" s="301"/>
      <c r="N739" s="336"/>
      <c r="O739" s="301"/>
      <c r="P739" s="336"/>
      <c r="Q739" s="301"/>
      <c r="R739" s="336"/>
      <c r="S739" s="301"/>
      <c r="T739" s="336"/>
    </row>
    <row r="740" spans="1:20" ht="12" customHeight="1" x14ac:dyDescent="0.25">
      <c r="A740" s="329" t="s">
        <v>289</v>
      </c>
      <c r="B740" s="330">
        <v>1</v>
      </c>
      <c r="C740" s="298">
        <v>46196</v>
      </c>
      <c r="D740" s="299" t="s">
        <v>306</v>
      </c>
      <c r="E740" s="522">
        <v>167.73</v>
      </c>
      <c r="F740" s="522"/>
      <c r="G740" s="333">
        <f t="shared" si="22"/>
        <v>5214.7499999999864</v>
      </c>
      <c r="H740" s="334"/>
      <c r="I740" s="335"/>
      <c r="J740" s="336"/>
      <c r="K740" s="301"/>
      <c r="L740" s="336"/>
      <c r="M740" s="301"/>
      <c r="N740" s="336"/>
      <c r="O740" s="301"/>
      <c r="P740" s="336"/>
      <c r="Q740" s="301"/>
      <c r="R740" s="336"/>
      <c r="S740" s="301"/>
      <c r="T740" s="336"/>
    </row>
    <row r="741" spans="1:20" ht="12" customHeight="1" x14ac:dyDescent="0.25">
      <c r="A741" s="329" t="s">
        <v>289</v>
      </c>
      <c r="B741" s="330">
        <v>4</v>
      </c>
      <c r="C741" s="298">
        <v>46196</v>
      </c>
      <c r="D741" s="299" t="s">
        <v>296</v>
      </c>
      <c r="E741" s="522">
        <v>40.81</v>
      </c>
      <c r="F741" s="522"/>
      <c r="G741" s="333">
        <f t="shared" si="22"/>
        <v>5382.4799999999859</v>
      </c>
      <c r="H741" s="334"/>
      <c r="I741" s="335"/>
      <c r="J741" s="336"/>
      <c r="K741" s="301"/>
      <c r="L741" s="336"/>
      <c r="M741" s="301"/>
      <c r="N741" s="336"/>
      <c r="O741" s="301"/>
      <c r="P741" s="336"/>
      <c r="Q741" s="301"/>
      <c r="R741" s="336"/>
      <c r="S741" s="301"/>
      <c r="T741" s="336"/>
    </row>
    <row r="742" spans="1:20" ht="12" customHeight="1" x14ac:dyDescent="0.25">
      <c r="A742" s="329" t="s">
        <v>289</v>
      </c>
      <c r="B742" s="330">
        <v>2</v>
      </c>
      <c r="C742" s="298">
        <v>46196</v>
      </c>
      <c r="D742" s="299" t="s">
        <v>334</v>
      </c>
      <c r="E742" s="522">
        <v>17.68</v>
      </c>
      <c r="F742" s="522"/>
      <c r="G742" s="333">
        <f t="shared" si="22"/>
        <v>5423.2899999999863</v>
      </c>
      <c r="H742" s="334"/>
      <c r="I742" s="335"/>
      <c r="J742" s="336"/>
      <c r="K742" s="301"/>
      <c r="L742" s="336"/>
      <c r="M742" s="301"/>
      <c r="N742" s="336"/>
      <c r="O742" s="301"/>
      <c r="P742" s="336"/>
      <c r="Q742" s="301"/>
      <c r="R742" s="336"/>
      <c r="S742" s="301"/>
      <c r="T742" s="336"/>
    </row>
    <row r="743" spans="1:20" ht="12" customHeight="1" x14ac:dyDescent="0.25">
      <c r="A743" s="329" t="s">
        <v>289</v>
      </c>
      <c r="B743" s="330">
        <v>3</v>
      </c>
      <c r="C743" s="298">
        <v>46196</v>
      </c>
      <c r="D743" s="299" t="s">
        <v>320</v>
      </c>
      <c r="E743" s="522">
        <v>5.19</v>
      </c>
      <c r="F743" s="522"/>
      <c r="G743" s="333">
        <f t="shared" si="22"/>
        <v>5440.9699999999866</v>
      </c>
      <c r="H743" s="334"/>
      <c r="I743" s="335"/>
      <c r="J743" s="336"/>
      <c r="K743" s="301"/>
      <c r="L743" s="336"/>
      <c r="M743" s="301"/>
      <c r="N743" s="336"/>
      <c r="O743" s="301"/>
      <c r="P743" s="336"/>
      <c r="Q743" s="301"/>
      <c r="R743" s="336"/>
      <c r="S743" s="301"/>
      <c r="T743" s="336"/>
    </row>
    <row r="744" spans="1:20" ht="12" customHeight="1" x14ac:dyDescent="0.25">
      <c r="A744" s="329" t="s">
        <v>289</v>
      </c>
      <c r="B744" s="330">
        <v>8</v>
      </c>
      <c r="C744" s="298">
        <v>46196</v>
      </c>
      <c r="D744" s="299" t="s">
        <v>308</v>
      </c>
      <c r="E744" s="522">
        <v>71.75</v>
      </c>
      <c r="F744" s="522"/>
      <c r="G744" s="333">
        <f t="shared" si="22"/>
        <v>5446.1599999999862</v>
      </c>
      <c r="H744" s="334"/>
      <c r="I744" s="335"/>
      <c r="J744" s="336"/>
      <c r="K744" s="301"/>
      <c r="L744" s="336"/>
      <c r="M744" s="301"/>
      <c r="N744" s="336"/>
      <c r="O744" s="301"/>
      <c r="P744" s="336"/>
      <c r="Q744" s="301"/>
      <c r="R744" s="336"/>
      <c r="S744" s="301"/>
      <c r="T744" s="336"/>
    </row>
    <row r="745" spans="1:20" ht="12" customHeight="1" x14ac:dyDescent="0.25">
      <c r="A745" s="329" t="s">
        <v>294</v>
      </c>
      <c r="B745" s="330">
        <v>22</v>
      </c>
      <c r="C745" s="298">
        <v>46196</v>
      </c>
      <c r="D745" s="299" t="s">
        <v>833</v>
      </c>
      <c r="E745" s="522">
        <v>15.96</v>
      </c>
      <c r="F745" s="522"/>
      <c r="G745" s="333">
        <f t="shared" si="22"/>
        <v>5517.9099999999862</v>
      </c>
      <c r="H745" s="334"/>
      <c r="I745" s="335"/>
      <c r="J745" s="336"/>
      <c r="K745" s="301"/>
      <c r="L745" s="336"/>
      <c r="M745" s="301"/>
      <c r="N745" s="336"/>
      <c r="O745" s="301"/>
      <c r="P745" s="336"/>
      <c r="Q745" s="301"/>
      <c r="R745" s="336"/>
      <c r="S745" s="301"/>
      <c r="T745" s="336"/>
    </row>
    <row r="746" spans="1:20" ht="12" customHeight="1" x14ac:dyDescent="0.25">
      <c r="A746" s="329" t="s">
        <v>289</v>
      </c>
      <c r="B746" s="330">
        <v>2</v>
      </c>
      <c r="C746" s="298">
        <v>46195</v>
      </c>
      <c r="D746" s="299" t="s">
        <v>334</v>
      </c>
      <c r="E746" s="522">
        <v>7.89</v>
      </c>
      <c r="F746" s="522"/>
      <c r="G746" s="333">
        <f t="shared" si="22"/>
        <v>5533.8699999999862</v>
      </c>
      <c r="H746" s="334"/>
      <c r="I746" s="335"/>
      <c r="J746" s="336"/>
      <c r="K746" s="301"/>
      <c r="L746" s="336"/>
      <c r="M746" s="301"/>
      <c r="N746" s="336"/>
      <c r="O746" s="301"/>
      <c r="P746" s="336"/>
      <c r="Q746" s="301"/>
      <c r="R746" s="336"/>
      <c r="S746" s="301"/>
      <c r="T746" s="336"/>
    </row>
    <row r="747" spans="1:20" ht="12" customHeight="1" x14ac:dyDescent="0.25">
      <c r="A747" s="329" t="s">
        <v>287</v>
      </c>
      <c r="B747" s="330" t="s">
        <v>287</v>
      </c>
      <c r="C747" s="298">
        <v>46195</v>
      </c>
      <c r="D747" s="299" t="s">
        <v>937</v>
      </c>
      <c r="E747" s="522">
        <v>86.07</v>
      </c>
      <c r="F747" s="522">
        <v>86.07</v>
      </c>
      <c r="G747" s="333">
        <f t="shared" si="22"/>
        <v>5541.7599999999866</v>
      </c>
      <c r="H747" s="334"/>
      <c r="I747" s="335"/>
      <c r="J747" s="336"/>
      <c r="K747" s="301"/>
      <c r="L747" s="336"/>
      <c r="M747" s="301"/>
      <c r="N747" s="336"/>
      <c r="O747" s="301"/>
      <c r="P747" s="336"/>
      <c r="Q747" s="301"/>
      <c r="R747" s="336"/>
      <c r="S747" s="301"/>
      <c r="T747" s="336"/>
    </row>
    <row r="748" spans="1:20" ht="12" customHeight="1" x14ac:dyDescent="0.25">
      <c r="A748" s="329" t="s">
        <v>287</v>
      </c>
      <c r="B748" s="330" t="s">
        <v>287</v>
      </c>
      <c r="C748" s="298">
        <v>46195</v>
      </c>
      <c r="D748" s="299" t="s">
        <v>920</v>
      </c>
      <c r="E748" s="522">
        <v>14.98</v>
      </c>
      <c r="F748" s="522">
        <v>14.98</v>
      </c>
      <c r="G748" s="333">
        <f t="shared" si="22"/>
        <v>5541.7599999999866</v>
      </c>
      <c r="H748" s="334"/>
      <c r="I748" s="335"/>
      <c r="J748" s="336"/>
      <c r="K748" s="301"/>
      <c r="L748" s="336"/>
      <c r="M748" s="301"/>
      <c r="N748" s="336"/>
      <c r="O748" s="301"/>
      <c r="P748" s="336"/>
      <c r="Q748" s="301"/>
      <c r="R748" s="336"/>
      <c r="S748" s="301"/>
      <c r="T748" s="336"/>
    </row>
    <row r="749" spans="1:20" ht="12" customHeight="1" x14ac:dyDescent="0.25">
      <c r="A749" s="329" t="s">
        <v>287</v>
      </c>
      <c r="B749" s="330" t="s">
        <v>287</v>
      </c>
      <c r="C749" s="298">
        <v>46195</v>
      </c>
      <c r="D749" s="299" t="s">
        <v>934</v>
      </c>
      <c r="E749" s="522">
        <v>83.52</v>
      </c>
      <c r="F749" s="522">
        <v>83.52</v>
      </c>
      <c r="G749" s="333">
        <f t="shared" si="22"/>
        <v>5541.7599999999866</v>
      </c>
      <c r="H749" s="334"/>
      <c r="I749" s="335"/>
      <c r="J749" s="336"/>
      <c r="K749" s="301"/>
      <c r="L749" s="336"/>
      <c r="M749" s="301"/>
      <c r="N749" s="336"/>
      <c r="O749" s="301"/>
      <c r="P749" s="336"/>
      <c r="Q749" s="301"/>
      <c r="R749" s="336"/>
      <c r="S749" s="301"/>
      <c r="T749" s="336"/>
    </row>
    <row r="750" spans="1:20" ht="12" customHeight="1" x14ac:dyDescent="0.25">
      <c r="A750" s="329" t="s">
        <v>287</v>
      </c>
      <c r="B750" s="330" t="s">
        <v>287</v>
      </c>
      <c r="C750" s="298">
        <v>46195</v>
      </c>
      <c r="D750" s="299" t="s">
        <v>935</v>
      </c>
      <c r="E750" s="522">
        <v>62.19</v>
      </c>
      <c r="F750" s="522">
        <v>62.19</v>
      </c>
      <c r="G750" s="333">
        <f t="shared" si="22"/>
        <v>5541.7599999999866</v>
      </c>
      <c r="H750" s="334"/>
      <c r="I750" s="335"/>
      <c r="J750" s="336"/>
      <c r="K750" s="301"/>
      <c r="L750" s="336"/>
      <c r="M750" s="301"/>
      <c r="N750" s="336"/>
      <c r="O750" s="301"/>
      <c r="P750" s="336"/>
      <c r="Q750" s="301"/>
      <c r="R750" s="336"/>
      <c r="S750" s="301"/>
      <c r="T750" s="336"/>
    </row>
    <row r="751" spans="1:20" ht="12" customHeight="1" x14ac:dyDescent="0.25">
      <c r="A751" s="329" t="s">
        <v>289</v>
      </c>
      <c r="B751" s="330">
        <v>3</v>
      </c>
      <c r="C751" s="298">
        <v>46195</v>
      </c>
      <c r="D751" s="299" t="s">
        <v>310</v>
      </c>
      <c r="E751" s="522">
        <v>6.99</v>
      </c>
      <c r="F751" s="522"/>
      <c r="G751" s="333">
        <f t="shared" si="22"/>
        <v>5541.7599999999866</v>
      </c>
      <c r="H751" s="334"/>
      <c r="I751" s="335"/>
      <c r="J751" s="336"/>
      <c r="K751" s="301"/>
      <c r="L751" s="336"/>
      <c r="M751" s="301"/>
      <c r="N751" s="336"/>
      <c r="O751" s="301"/>
      <c r="P751" s="336"/>
      <c r="Q751" s="301"/>
      <c r="R751" s="336"/>
      <c r="S751" s="301"/>
      <c r="T751" s="336"/>
    </row>
    <row r="752" spans="1:20" ht="12" customHeight="1" x14ac:dyDescent="0.25">
      <c r="A752" s="329" t="s">
        <v>287</v>
      </c>
      <c r="B752" s="330" t="s">
        <v>287</v>
      </c>
      <c r="C752" s="298">
        <v>46195</v>
      </c>
      <c r="D752" s="299" t="s">
        <v>936</v>
      </c>
      <c r="E752" s="522">
        <v>60.47</v>
      </c>
      <c r="F752" s="522">
        <v>60.47</v>
      </c>
      <c r="G752" s="333">
        <f t="shared" si="22"/>
        <v>5548.7499999999864</v>
      </c>
      <c r="H752" s="334"/>
      <c r="I752" s="335"/>
      <c r="J752" s="336"/>
      <c r="K752" s="301"/>
      <c r="L752" s="336"/>
      <c r="M752" s="301"/>
      <c r="N752" s="336"/>
      <c r="O752" s="301"/>
      <c r="P752" s="336"/>
      <c r="Q752" s="301"/>
      <c r="R752" s="336"/>
      <c r="S752" s="301"/>
      <c r="T752" s="336"/>
    </row>
    <row r="753" spans="1:20" ht="12" customHeight="1" x14ac:dyDescent="0.25">
      <c r="A753" s="329" t="s">
        <v>294</v>
      </c>
      <c r="B753" s="330">
        <v>22</v>
      </c>
      <c r="C753" s="298">
        <v>46195</v>
      </c>
      <c r="D753" s="299" t="s">
        <v>323</v>
      </c>
      <c r="E753" s="522">
        <v>20.22</v>
      </c>
      <c r="F753" s="522"/>
      <c r="G753" s="333">
        <f t="shared" si="22"/>
        <v>5548.7499999999864</v>
      </c>
      <c r="H753" s="334"/>
      <c r="I753" s="335"/>
      <c r="J753" s="336"/>
      <c r="K753" s="301"/>
      <c r="L753" s="336"/>
      <c r="M753" s="301"/>
      <c r="N753" s="336"/>
      <c r="O753" s="301"/>
      <c r="P753" s="336"/>
      <c r="Q753" s="301"/>
      <c r="R753" s="336"/>
      <c r="S753" s="301"/>
      <c r="T753" s="336"/>
    </row>
    <row r="754" spans="1:20" ht="12" customHeight="1" x14ac:dyDescent="0.25">
      <c r="A754" s="329" t="s">
        <v>289</v>
      </c>
      <c r="B754" s="330">
        <v>6</v>
      </c>
      <c r="C754" s="298">
        <v>46195</v>
      </c>
      <c r="D754" s="299" t="s">
        <v>917</v>
      </c>
      <c r="E754" s="522">
        <v>200</v>
      </c>
      <c r="F754" s="522"/>
      <c r="G754" s="333">
        <f t="shared" si="22"/>
        <v>5568.9699999999866</v>
      </c>
      <c r="H754" s="334"/>
      <c r="I754" s="335"/>
      <c r="J754" s="336"/>
      <c r="K754" s="301"/>
      <c r="L754" s="336"/>
      <c r="M754" s="301"/>
      <c r="N754" s="336"/>
      <c r="O754" s="301"/>
      <c r="P754" s="336"/>
      <c r="Q754" s="301"/>
      <c r="R754" s="336"/>
      <c r="S754" s="301"/>
      <c r="T754" s="336"/>
    </row>
    <row r="755" spans="1:20" ht="12" customHeight="1" x14ac:dyDescent="0.25">
      <c r="A755" s="329" t="s">
        <v>289</v>
      </c>
      <c r="B755" s="330">
        <v>5</v>
      </c>
      <c r="C755" s="298">
        <v>46194</v>
      </c>
      <c r="D755" s="299" t="s">
        <v>339</v>
      </c>
      <c r="E755" s="522">
        <v>47.93</v>
      </c>
      <c r="F755" s="522"/>
      <c r="G755" s="333">
        <f t="shared" ref="G755:G775" si="23">G756-E755+F755</f>
        <v>5768.9699999999866</v>
      </c>
      <c r="H755" s="334"/>
      <c r="I755" s="335"/>
      <c r="J755" s="336"/>
      <c r="K755" s="301"/>
      <c r="L755" s="336"/>
      <c r="M755" s="301"/>
      <c r="N755" s="336"/>
      <c r="O755" s="301"/>
      <c r="P755" s="336"/>
      <c r="Q755" s="301"/>
      <c r="R755" s="336"/>
      <c r="S755" s="301"/>
      <c r="T755" s="336"/>
    </row>
    <row r="756" spans="1:20" ht="12" customHeight="1" x14ac:dyDescent="0.25">
      <c r="A756" s="329" t="s">
        <v>287</v>
      </c>
      <c r="B756" s="330" t="s">
        <v>287</v>
      </c>
      <c r="C756" s="298">
        <v>46194</v>
      </c>
      <c r="D756" s="299" t="s">
        <v>933</v>
      </c>
      <c r="E756" s="522"/>
      <c r="F756" s="522">
        <v>50</v>
      </c>
      <c r="G756" s="333">
        <f t="shared" si="23"/>
        <v>5816.8999999999869</v>
      </c>
      <c r="H756" s="334"/>
      <c r="I756" s="335"/>
      <c r="J756" s="336"/>
      <c r="K756" s="301"/>
      <c r="L756" s="336"/>
      <c r="M756" s="301"/>
      <c r="N756" s="336"/>
      <c r="O756" s="301"/>
      <c r="P756" s="336"/>
      <c r="Q756" s="301"/>
      <c r="R756" s="336"/>
      <c r="S756" s="301"/>
      <c r="T756" s="336"/>
    </row>
    <row r="757" spans="1:20" ht="12" customHeight="1" x14ac:dyDescent="0.25">
      <c r="A757" s="329" t="s">
        <v>287</v>
      </c>
      <c r="B757" s="330" t="s">
        <v>287</v>
      </c>
      <c r="C757" s="298">
        <v>46194</v>
      </c>
      <c r="D757" s="299" t="s">
        <v>933</v>
      </c>
      <c r="E757" s="522">
        <v>50</v>
      </c>
      <c r="F757" s="522"/>
      <c r="G757" s="333">
        <f t="shared" si="23"/>
        <v>5766.8999999999869</v>
      </c>
      <c r="H757" s="334" t="s">
        <v>298</v>
      </c>
      <c r="I757" s="335"/>
      <c r="J757" s="336"/>
      <c r="K757" s="301"/>
      <c r="L757" s="336"/>
      <c r="M757" s="301"/>
      <c r="N757" s="336"/>
      <c r="O757" s="301"/>
      <c r="P757" s="336"/>
      <c r="Q757" s="301"/>
      <c r="R757" s="336"/>
      <c r="S757" s="301"/>
      <c r="T757" s="336"/>
    </row>
    <row r="758" spans="1:20" ht="12" customHeight="1" x14ac:dyDescent="0.25">
      <c r="A758" s="329" t="s">
        <v>287</v>
      </c>
      <c r="B758" s="330" t="s">
        <v>287</v>
      </c>
      <c r="C758" s="298">
        <v>46194</v>
      </c>
      <c r="D758" s="299" t="s">
        <v>920</v>
      </c>
      <c r="E758" s="522">
        <v>28.38</v>
      </c>
      <c r="F758" s="522">
        <v>28.38</v>
      </c>
      <c r="G758" s="333">
        <f t="shared" si="23"/>
        <v>5816.8999999999869</v>
      </c>
      <c r="H758" s="334"/>
      <c r="I758" s="335"/>
      <c r="J758" s="336"/>
      <c r="K758" s="301"/>
      <c r="L758" s="336"/>
      <c r="M758" s="301"/>
      <c r="N758" s="336"/>
      <c r="O758" s="301"/>
      <c r="P758" s="336"/>
      <c r="Q758" s="301"/>
      <c r="R758" s="336"/>
      <c r="S758" s="301"/>
      <c r="T758" s="336"/>
    </row>
    <row r="759" spans="1:20" ht="12" customHeight="1" x14ac:dyDescent="0.25">
      <c r="A759" s="329" t="s">
        <v>287</v>
      </c>
      <c r="B759" s="330" t="s">
        <v>287</v>
      </c>
      <c r="C759" s="298">
        <v>46194</v>
      </c>
      <c r="D759" s="299" t="s">
        <v>918</v>
      </c>
      <c r="E759" s="522">
        <v>35.020000000000003</v>
      </c>
      <c r="F759" s="522">
        <v>35.020000000000003</v>
      </c>
      <c r="G759" s="333">
        <f t="shared" si="23"/>
        <v>5816.8999999999869</v>
      </c>
      <c r="H759" s="334"/>
      <c r="I759" s="335"/>
      <c r="J759" s="336"/>
      <c r="K759" s="301"/>
      <c r="L759" s="336"/>
      <c r="M759" s="301"/>
      <c r="N759" s="336"/>
      <c r="O759" s="301"/>
      <c r="P759" s="336"/>
      <c r="Q759" s="301"/>
      <c r="R759" s="336"/>
      <c r="S759" s="301"/>
      <c r="T759" s="336"/>
    </row>
    <row r="760" spans="1:20" ht="12" customHeight="1" x14ac:dyDescent="0.25">
      <c r="A760" s="329" t="s">
        <v>287</v>
      </c>
      <c r="B760" s="330" t="s">
        <v>287</v>
      </c>
      <c r="C760" s="298">
        <v>46194</v>
      </c>
      <c r="D760" s="299" t="s">
        <v>925</v>
      </c>
      <c r="E760" s="522">
        <v>83.81</v>
      </c>
      <c r="F760" s="522">
        <v>83.81</v>
      </c>
      <c r="G760" s="333">
        <f t="shared" si="23"/>
        <v>5816.8999999999869</v>
      </c>
      <c r="H760" s="334"/>
      <c r="I760" s="335"/>
      <c r="J760" s="336"/>
      <c r="K760" s="301"/>
      <c r="L760" s="336"/>
      <c r="M760" s="301"/>
      <c r="N760" s="336"/>
      <c r="O760" s="301"/>
      <c r="P760" s="336"/>
      <c r="Q760" s="301"/>
      <c r="R760" s="336"/>
      <c r="S760" s="301"/>
      <c r="T760" s="336"/>
    </row>
    <row r="761" spans="1:20" ht="12" customHeight="1" x14ac:dyDescent="0.25">
      <c r="A761" s="329" t="s">
        <v>287</v>
      </c>
      <c r="B761" s="330" t="s">
        <v>287</v>
      </c>
      <c r="C761" s="298">
        <v>46194</v>
      </c>
      <c r="D761" s="299" t="s">
        <v>926</v>
      </c>
      <c r="E761" s="522">
        <v>27.43</v>
      </c>
      <c r="F761" s="522">
        <v>27.43</v>
      </c>
      <c r="G761" s="333">
        <f t="shared" si="23"/>
        <v>5816.8999999999869</v>
      </c>
      <c r="H761" s="334"/>
      <c r="I761" s="335"/>
      <c r="J761" s="336"/>
      <c r="K761" s="301"/>
      <c r="L761" s="336"/>
      <c r="M761" s="301"/>
      <c r="N761" s="336"/>
      <c r="O761" s="301"/>
      <c r="P761" s="336"/>
      <c r="Q761" s="301"/>
      <c r="R761" s="336"/>
      <c r="S761" s="301"/>
      <c r="T761" s="336"/>
    </row>
    <row r="762" spans="1:20" ht="12" customHeight="1" x14ac:dyDescent="0.25">
      <c r="A762" s="329" t="s">
        <v>287</v>
      </c>
      <c r="B762" s="330" t="s">
        <v>287</v>
      </c>
      <c r="C762" s="298">
        <v>46193</v>
      </c>
      <c r="D762" s="299" t="s">
        <v>930</v>
      </c>
      <c r="E762" s="522">
        <v>30.86</v>
      </c>
      <c r="F762" s="522">
        <v>30.86</v>
      </c>
      <c r="G762" s="333">
        <f t="shared" si="23"/>
        <v>5816.8999999999869</v>
      </c>
      <c r="H762" s="334"/>
      <c r="I762" s="335"/>
      <c r="J762" s="336"/>
      <c r="K762" s="301"/>
      <c r="L762" s="336"/>
      <c r="M762" s="301"/>
      <c r="N762" s="336"/>
      <c r="O762" s="301"/>
      <c r="P762" s="336"/>
      <c r="Q762" s="301"/>
      <c r="R762" s="336"/>
      <c r="S762" s="301"/>
      <c r="T762" s="336"/>
    </row>
    <row r="763" spans="1:20" ht="12" customHeight="1" x14ac:dyDescent="0.25">
      <c r="A763" s="329" t="s">
        <v>287</v>
      </c>
      <c r="B763" s="330" t="s">
        <v>287</v>
      </c>
      <c r="C763" s="298">
        <v>46193</v>
      </c>
      <c r="D763" s="299" t="s">
        <v>920</v>
      </c>
      <c r="E763" s="522">
        <v>13.95</v>
      </c>
      <c r="F763" s="522">
        <v>13.95</v>
      </c>
      <c r="G763" s="333">
        <f t="shared" si="23"/>
        <v>5816.8999999999869</v>
      </c>
      <c r="H763" s="334"/>
      <c r="I763" s="335"/>
      <c r="J763" s="336"/>
      <c r="K763" s="301"/>
      <c r="L763" s="336"/>
      <c r="M763" s="301"/>
      <c r="N763" s="336"/>
      <c r="O763" s="301"/>
      <c r="P763" s="336"/>
      <c r="Q763" s="301"/>
      <c r="R763" s="336"/>
      <c r="S763" s="301"/>
      <c r="T763" s="336"/>
    </row>
    <row r="764" spans="1:20" ht="12" customHeight="1" x14ac:dyDescent="0.25">
      <c r="A764" s="329" t="s">
        <v>287</v>
      </c>
      <c r="B764" s="330" t="s">
        <v>287</v>
      </c>
      <c r="C764" s="298">
        <v>46192</v>
      </c>
      <c r="D764" s="299" t="s">
        <v>932</v>
      </c>
      <c r="E764" s="522">
        <v>148.54</v>
      </c>
      <c r="F764" s="522">
        <v>148.54</v>
      </c>
      <c r="G764" s="333">
        <f t="shared" si="23"/>
        <v>5816.8999999999869</v>
      </c>
      <c r="H764" s="334"/>
      <c r="I764" s="335"/>
      <c r="J764" s="336"/>
      <c r="K764" s="301"/>
      <c r="L764" s="336"/>
      <c r="M764" s="301"/>
      <c r="N764" s="336"/>
      <c r="O764" s="301"/>
      <c r="P764" s="336"/>
      <c r="Q764" s="301"/>
      <c r="R764" s="336"/>
      <c r="S764" s="301"/>
      <c r="T764" s="336"/>
    </row>
    <row r="765" spans="1:20" ht="12" customHeight="1" x14ac:dyDescent="0.25">
      <c r="A765" s="329" t="s">
        <v>287</v>
      </c>
      <c r="B765" s="330" t="s">
        <v>287</v>
      </c>
      <c r="C765" s="298">
        <v>46192</v>
      </c>
      <c r="D765" s="299" t="s">
        <v>919</v>
      </c>
      <c r="E765" s="522">
        <v>80</v>
      </c>
      <c r="F765" s="522">
        <v>80</v>
      </c>
      <c r="G765" s="333">
        <f t="shared" si="23"/>
        <v>5816.8999999999869</v>
      </c>
      <c r="H765" s="334"/>
      <c r="I765" s="335"/>
      <c r="J765" s="336"/>
      <c r="K765" s="301"/>
      <c r="L765" s="336"/>
      <c r="M765" s="301"/>
      <c r="N765" s="336"/>
      <c r="O765" s="301"/>
      <c r="P765" s="336"/>
      <c r="Q765" s="301"/>
      <c r="R765" s="336"/>
      <c r="S765" s="301"/>
      <c r="T765" s="336"/>
    </row>
    <row r="766" spans="1:20" ht="12" customHeight="1" x14ac:dyDescent="0.25">
      <c r="A766" s="329" t="s">
        <v>287</v>
      </c>
      <c r="B766" s="330" t="s">
        <v>287</v>
      </c>
      <c r="C766" s="298">
        <v>46192</v>
      </c>
      <c r="D766" s="299" t="s">
        <v>920</v>
      </c>
      <c r="E766" s="522">
        <v>27.98</v>
      </c>
      <c r="F766" s="522">
        <v>27.98</v>
      </c>
      <c r="G766" s="333">
        <f t="shared" si="23"/>
        <v>5816.8999999999869</v>
      </c>
      <c r="H766" s="334"/>
      <c r="I766" s="335"/>
      <c r="J766" s="336"/>
      <c r="K766" s="301"/>
      <c r="L766" s="336"/>
      <c r="M766" s="301"/>
      <c r="N766" s="336"/>
      <c r="O766" s="301"/>
      <c r="P766" s="336"/>
      <c r="Q766" s="301"/>
      <c r="R766" s="336"/>
      <c r="S766" s="301"/>
      <c r="T766" s="336"/>
    </row>
    <row r="767" spans="1:20" ht="12" customHeight="1" x14ac:dyDescent="0.25">
      <c r="A767" s="329" t="s">
        <v>287</v>
      </c>
      <c r="B767" s="330" t="s">
        <v>287</v>
      </c>
      <c r="C767" s="298">
        <v>46192</v>
      </c>
      <c r="D767" s="299" t="s">
        <v>931</v>
      </c>
      <c r="E767" s="522">
        <v>30.63</v>
      </c>
      <c r="F767" s="522">
        <v>30.63</v>
      </c>
      <c r="G767" s="333">
        <f t="shared" si="23"/>
        <v>5816.8999999999869</v>
      </c>
      <c r="H767" s="334"/>
      <c r="I767" s="335"/>
      <c r="J767" s="336"/>
      <c r="K767" s="301"/>
      <c r="L767" s="336"/>
      <c r="M767" s="301"/>
      <c r="N767" s="336"/>
      <c r="O767" s="301"/>
      <c r="P767" s="336"/>
      <c r="Q767" s="301"/>
      <c r="R767" s="336"/>
      <c r="S767" s="301"/>
      <c r="T767" s="336"/>
    </row>
    <row r="768" spans="1:20" ht="12" customHeight="1" x14ac:dyDescent="0.25">
      <c r="A768" s="329" t="s">
        <v>294</v>
      </c>
      <c r="B768" s="330">
        <v>22</v>
      </c>
      <c r="C768" s="298">
        <v>46192</v>
      </c>
      <c r="D768" s="299" t="s">
        <v>921</v>
      </c>
      <c r="E768" s="522">
        <v>7.46</v>
      </c>
      <c r="F768" s="522"/>
      <c r="G768" s="333">
        <f t="shared" si="23"/>
        <v>5816.8999999999869</v>
      </c>
      <c r="H768" s="334"/>
      <c r="I768" s="335"/>
      <c r="J768" s="336"/>
      <c r="K768" s="301"/>
      <c r="L768" s="336"/>
      <c r="M768" s="301"/>
      <c r="N768" s="336"/>
      <c r="O768" s="301"/>
      <c r="P768" s="336"/>
      <c r="Q768" s="301"/>
      <c r="R768" s="336"/>
      <c r="S768" s="301"/>
      <c r="T768" s="336"/>
    </row>
    <row r="769" spans="1:20" ht="12" customHeight="1" x14ac:dyDescent="0.25">
      <c r="A769" s="329" t="s">
        <v>287</v>
      </c>
      <c r="B769" s="330" t="s">
        <v>287</v>
      </c>
      <c r="C769" s="298">
        <v>46192</v>
      </c>
      <c r="D769" s="299" t="s">
        <v>922</v>
      </c>
      <c r="E769" s="522">
        <v>22.07</v>
      </c>
      <c r="F769" s="522">
        <v>22.07</v>
      </c>
      <c r="G769" s="333">
        <f t="shared" si="23"/>
        <v>5824.3599999999869</v>
      </c>
      <c r="H769" s="334"/>
      <c r="I769" s="335"/>
      <c r="J769" s="336"/>
      <c r="K769" s="301"/>
      <c r="L769" s="336"/>
      <c r="M769" s="301"/>
      <c r="N769" s="336"/>
      <c r="O769" s="301"/>
      <c r="P769" s="336"/>
      <c r="Q769" s="301"/>
      <c r="R769" s="336"/>
      <c r="S769" s="301"/>
      <c r="T769" s="336"/>
    </row>
    <row r="770" spans="1:20" ht="12" customHeight="1" x14ac:dyDescent="0.25">
      <c r="A770" s="329" t="s">
        <v>287</v>
      </c>
      <c r="B770" s="330" t="s">
        <v>287</v>
      </c>
      <c r="C770" s="298">
        <v>46192</v>
      </c>
      <c r="D770" s="299" t="s">
        <v>922</v>
      </c>
      <c r="E770" s="522">
        <v>51.04</v>
      </c>
      <c r="F770" s="522">
        <v>51.04</v>
      </c>
      <c r="G770" s="333">
        <f t="shared" si="23"/>
        <v>5824.3599999999869</v>
      </c>
      <c r="H770" s="334"/>
      <c r="I770" s="335"/>
      <c r="J770" s="336"/>
      <c r="K770" s="301"/>
      <c r="L770" s="336"/>
      <c r="M770" s="301"/>
      <c r="N770" s="336"/>
      <c r="O770" s="301"/>
      <c r="P770" s="336"/>
      <c r="Q770" s="301"/>
      <c r="R770" s="336"/>
      <c r="S770" s="301"/>
      <c r="T770" s="336"/>
    </row>
    <row r="771" spans="1:20" ht="12" customHeight="1" x14ac:dyDescent="0.25">
      <c r="A771" s="329" t="s">
        <v>287</v>
      </c>
      <c r="B771" s="330" t="s">
        <v>287</v>
      </c>
      <c r="C771" s="298">
        <v>46192</v>
      </c>
      <c r="D771" s="299" t="s">
        <v>922</v>
      </c>
      <c r="E771" s="522">
        <v>90.59</v>
      </c>
      <c r="F771" s="522">
        <v>90.59</v>
      </c>
      <c r="G771" s="333">
        <f t="shared" si="23"/>
        <v>5824.3599999999869</v>
      </c>
      <c r="H771" s="334"/>
      <c r="I771" s="335"/>
      <c r="J771" s="336"/>
      <c r="K771" s="301"/>
      <c r="L771" s="336"/>
      <c r="M771" s="301"/>
      <c r="N771" s="336"/>
      <c r="O771" s="301"/>
      <c r="P771" s="336"/>
      <c r="Q771" s="301"/>
      <c r="R771" s="336"/>
      <c r="S771" s="301"/>
      <c r="T771" s="336"/>
    </row>
    <row r="772" spans="1:20" ht="12" customHeight="1" x14ac:dyDescent="0.25">
      <c r="A772" s="329" t="s">
        <v>287</v>
      </c>
      <c r="B772" s="330" t="s">
        <v>287</v>
      </c>
      <c r="C772" s="298">
        <v>46192</v>
      </c>
      <c r="D772" s="299" t="s">
        <v>923</v>
      </c>
      <c r="E772" s="522">
        <v>26.02</v>
      </c>
      <c r="F772" s="522">
        <v>26.02</v>
      </c>
      <c r="G772" s="333">
        <f t="shared" si="23"/>
        <v>5824.3599999999869</v>
      </c>
      <c r="H772" s="334"/>
      <c r="I772" s="335"/>
      <c r="J772" s="336"/>
      <c r="K772" s="301"/>
      <c r="L772" s="336"/>
      <c r="M772" s="301"/>
      <c r="N772" s="336"/>
      <c r="O772" s="301"/>
      <c r="P772" s="336"/>
      <c r="Q772" s="301"/>
      <c r="R772" s="336"/>
      <c r="S772" s="301"/>
      <c r="T772" s="336"/>
    </row>
    <row r="773" spans="1:20" ht="12" customHeight="1" x14ac:dyDescent="0.25">
      <c r="A773" s="329" t="s">
        <v>287</v>
      </c>
      <c r="B773" s="330" t="s">
        <v>287</v>
      </c>
      <c r="C773" s="298">
        <v>46192</v>
      </c>
      <c r="D773" s="299" t="s">
        <v>923</v>
      </c>
      <c r="E773" s="522">
        <v>26.02</v>
      </c>
      <c r="F773" s="522">
        <v>26.02</v>
      </c>
      <c r="G773" s="333">
        <f t="shared" si="23"/>
        <v>5824.3599999999869</v>
      </c>
      <c r="H773" s="334"/>
      <c r="I773" s="335"/>
      <c r="J773" s="336"/>
      <c r="K773" s="301"/>
      <c r="L773" s="336"/>
      <c r="M773" s="301"/>
      <c r="N773" s="336"/>
      <c r="O773" s="301"/>
      <c r="P773" s="336"/>
      <c r="Q773" s="301"/>
      <c r="R773" s="336"/>
      <c r="S773" s="301"/>
      <c r="T773" s="336"/>
    </row>
    <row r="774" spans="1:20" ht="12" customHeight="1" x14ac:dyDescent="0.25">
      <c r="A774" s="329" t="s">
        <v>287</v>
      </c>
      <c r="B774" s="330" t="s">
        <v>287</v>
      </c>
      <c r="C774" s="298">
        <v>46192</v>
      </c>
      <c r="D774" s="299" t="s">
        <v>923</v>
      </c>
      <c r="E774" s="522">
        <v>38.03</v>
      </c>
      <c r="F774" s="522">
        <v>38.03</v>
      </c>
      <c r="G774" s="333">
        <f t="shared" si="23"/>
        <v>5824.3599999999869</v>
      </c>
      <c r="H774" s="334"/>
      <c r="I774" s="335"/>
      <c r="J774" s="336"/>
      <c r="K774" s="301"/>
      <c r="L774" s="336"/>
      <c r="M774" s="301"/>
      <c r="N774" s="336"/>
      <c r="O774" s="301"/>
      <c r="P774" s="336"/>
      <c r="Q774" s="301"/>
      <c r="R774" s="336"/>
      <c r="S774" s="301"/>
      <c r="T774" s="336"/>
    </row>
    <row r="775" spans="1:20" ht="12" customHeight="1" x14ac:dyDescent="0.25">
      <c r="A775" s="329" t="s">
        <v>287</v>
      </c>
      <c r="B775" s="330" t="s">
        <v>287</v>
      </c>
      <c r="C775" s="298">
        <v>46192</v>
      </c>
      <c r="D775" s="299" t="s">
        <v>923</v>
      </c>
      <c r="E775" s="522">
        <v>26.03</v>
      </c>
      <c r="F775" s="522">
        <v>26.03</v>
      </c>
      <c r="G775" s="333">
        <f t="shared" si="23"/>
        <v>5824.3599999999869</v>
      </c>
      <c r="H775" s="334"/>
      <c r="I775" s="335"/>
      <c r="J775" s="336"/>
      <c r="K775" s="301"/>
      <c r="L775" s="336"/>
      <c r="M775" s="301"/>
      <c r="N775" s="336"/>
      <c r="O775" s="301"/>
      <c r="P775" s="336"/>
      <c r="Q775" s="301"/>
      <c r="R775" s="336"/>
      <c r="S775" s="301"/>
      <c r="T775" s="336"/>
    </row>
    <row r="776" spans="1:20" ht="12" customHeight="1" x14ac:dyDescent="0.25">
      <c r="A776" s="329" t="s">
        <v>287</v>
      </c>
      <c r="B776" s="330" t="s">
        <v>287</v>
      </c>
      <c r="C776" s="298">
        <v>46192</v>
      </c>
      <c r="D776" s="299" t="s">
        <v>920</v>
      </c>
      <c r="E776" s="522">
        <v>21.98</v>
      </c>
      <c r="F776" s="522">
        <v>21.98</v>
      </c>
      <c r="G776" s="333">
        <f t="shared" ref="G776:G833" si="24">G777-E776+F776</f>
        <v>5824.3599999999869</v>
      </c>
      <c r="H776" s="334"/>
      <c r="I776" s="335"/>
      <c r="J776" s="336"/>
      <c r="K776" s="301"/>
      <c r="L776" s="336"/>
      <c r="M776" s="301"/>
      <c r="N776" s="336"/>
      <c r="O776" s="301"/>
      <c r="P776" s="336"/>
      <c r="Q776" s="301"/>
      <c r="R776" s="336"/>
      <c r="S776" s="301"/>
      <c r="T776" s="336"/>
    </row>
    <row r="777" spans="1:20" ht="12" customHeight="1" x14ac:dyDescent="0.25">
      <c r="A777" s="329" t="s">
        <v>287</v>
      </c>
      <c r="B777" s="330" t="s">
        <v>287</v>
      </c>
      <c r="C777" s="298">
        <v>46192</v>
      </c>
      <c r="D777" s="299" t="s">
        <v>920</v>
      </c>
      <c r="E777" s="522">
        <v>27.99</v>
      </c>
      <c r="F777" s="522">
        <v>27.99</v>
      </c>
      <c r="G777" s="333">
        <f t="shared" si="24"/>
        <v>5824.3599999999869</v>
      </c>
      <c r="H777" s="334"/>
      <c r="I777" s="335"/>
      <c r="J777" s="336"/>
      <c r="K777" s="301"/>
      <c r="L777" s="336"/>
      <c r="M777" s="301"/>
      <c r="N777" s="336"/>
      <c r="O777" s="301"/>
      <c r="P777" s="336"/>
      <c r="Q777" s="301"/>
      <c r="R777" s="336"/>
      <c r="S777" s="301"/>
      <c r="T777" s="336"/>
    </row>
    <row r="778" spans="1:20" ht="12" customHeight="1" x14ac:dyDescent="0.25">
      <c r="A778" s="329" t="s">
        <v>287</v>
      </c>
      <c r="B778" s="330" t="s">
        <v>287</v>
      </c>
      <c r="C778" s="298">
        <v>46191</v>
      </c>
      <c r="D778" s="299" t="s">
        <v>924</v>
      </c>
      <c r="E778" s="522">
        <v>22.69</v>
      </c>
      <c r="F778" s="522">
        <v>22.69</v>
      </c>
      <c r="G778" s="333">
        <f t="shared" si="24"/>
        <v>5824.3599999999869</v>
      </c>
      <c r="H778" s="334"/>
      <c r="I778" s="335"/>
      <c r="J778" s="336"/>
      <c r="K778" s="301"/>
      <c r="L778" s="336"/>
      <c r="M778" s="301"/>
      <c r="N778" s="336"/>
      <c r="O778" s="301"/>
      <c r="P778" s="336"/>
      <c r="Q778" s="301"/>
      <c r="R778" s="336"/>
      <c r="S778" s="301"/>
      <c r="T778" s="336"/>
    </row>
    <row r="779" spans="1:20" ht="12" customHeight="1" x14ac:dyDescent="0.25">
      <c r="A779" s="329" t="s">
        <v>287</v>
      </c>
      <c r="B779" s="330" t="s">
        <v>287</v>
      </c>
      <c r="C779" s="298">
        <v>46191</v>
      </c>
      <c r="D779" s="299" t="s">
        <v>925</v>
      </c>
      <c r="E779" s="522">
        <v>42.32</v>
      </c>
      <c r="F779" s="522">
        <v>42.32</v>
      </c>
      <c r="G779" s="333">
        <f t="shared" si="24"/>
        <v>5824.3599999999869</v>
      </c>
      <c r="H779" s="334"/>
      <c r="I779" s="335"/>
      <c r="J779" s="336"/>
      <c r="K779" s="301"/>
      <c r="L779" s="336"/>
      <c r="M779" s="301"/>
      <c r="N779" s="336"/>
      <c r="O779" s="301"/>
      <c r="P779" s="336"/>
      <c r="Q779" s="301"/>
      <c r="R779" s="336"/>
      <c r="S779" s="301"/>
      <c r="T779" s="336"/>
    </row>
    <row r="780" spans="1:20" ht="12" customHeight="1" x14ac:dyDescent="0.25">
      <c r="A780" s="329" t="s">
        <v>287</v>
      </c>
      <c r="B780" s="330" t="s">
        <v>287</v>
      </c>
      <c r="C780" s="298">
        <v>46191</v>
      </c>
      <c r="D780" s="299" t="s">
        <v>926</v>
      </c>
      <c r="E780" s="522">
        <v>72.86</v>
      </c>
      <c r="F780" s="522">
        <v>72.86</v>
      </c>
      <c r="G780" s="333">
        <f t="shared" si="24"/>
        <v>5824.3599999999869</v>
      </c>
      <c r="H780" s="334"/>
      <c r="I780" s="335"/>
      <c r="J780" s="336"/>
      <c r="K780" s="301"/>
      <c r="L780" s="336"/>
      <c r="M780" s="301"/>
      <c r="N780" s="336"/>
      <c r="O780" s="301"/>
      <c r="P780" s="336"/>
      <c r="Q780" s="301"/>
      <c r="R780" s="336"/>
      <c r="S780" s="301"/>
      <c r="T780" s="336"/>
    </row>
    <row r="781" spans="1:20" ht="12" customHeight="1" x14ac:dyDescent="0.25">
      <c r="A781" s="329" t="s">
        <v>287</v>
      </c>
      <c r="B781" s="330" t="s">
        <v>287</v>
      </c>
      <c r="C781" s="298">
        <v>46191</v>
      </c>
      <c r="D781" s="299" t="s">
        <v>927</v>
      </c>
      <c r="E781" s="522">
        <v>106.89</v>
      </c>
      <c r="F781" s="522">
        <v>106.89</v>
      </c>
      <c r="G781" s="333">
        <f t="shared" si="24"/>
        <v>5824.3599999999869</v>
      </c>
      <c r="H781" s="334"/>
      <c r="I781" s="335"/>
      <c r="J781" s="336"/>
      <c r="K781" s="301"/>
      <c r="L781" s="336"/>
      <c r="M781" s="301"/>
      <c r="N781" s="336"/>
      <c r="O781" s="301"/>
      <c r="P781" s="336"/>
      <c r="Q781" s="301"/>
      <c r="R781" s="336"/>
      <c r="S781" s="301"/>
      <c r="T781" s="336"/>
    </row>
    <row r="782" spans="1:20" ht="12" customHeight="1" x14ac:dyDescent="0.25">
      <c r="A782" s="329" t="s">
        <v>287</v>
      </c>
      <c r="B782" s="330" t="s">
        <v>287</v>
      </c>
      <c r="C782" s="298">
        <v>46191</v>
      </c>
      <c r="D782" s="299" t="s">
        <v>929</v>
      </c>
      <c r="E782" s="522">
        <v>94.74</v>
      </c>
      <c r="F782" s="522">
        <v>94.74</v>
      </c>
      <c r="G782" s="333">
        <f t="shared" si="24"/>
        <v>5824.3599999999869</v>
      </c>
      <c r="H782" s="334"/>
      <c r="I782" s="335"/>
      <c r="J782" s="336"/>
      <c r="K782" s="301"/>
      <c r="L782" s="336"/>
      <c r="M782" s="301"/>
      <c r="N782" s="336"/>
      <c r="O782" s="301"/>
      <c r="P782" s="336"/>
      <c r="Q782" s="301"/>
      <c r="R782" s="336"/>
      <c r="S782" s="301"/>
      <c r="T782" s="336"/>
    </row>
    <row r="783" spans="1:20" ht="12" customHeight="1" x14ac:dyDescent="0.25">
      <c r="A783" s="329" t="s">
        <v>289</v>
      </c>
      <c r="B783" s="330">
        <v>1</v>
      </c>
      <c r="C783" s="298">
        <v>46191</v>
      </c>
      <c r="D783" s="299" t="s">
        <v>306</v>
      </c>
      <c r="E783" s="522">
        <v>99.97</v>
      </c>
      <c r="F783" s="522"/>
      <c r="G783" s="333">
        <f t="shared" si="24"/>
        <v>5824.3599999999869</v>
      </c>
      <c r="H783" s="334"/>
      <c r="I783" s="335"/>
      <c r="J783" s="336"/>
      <c r="K783" s="301"/>
      <c r="L783" s="336"/>
      <c r="M783" s="301"/>
      <c r="N783" s="336"/>
      <c r="O783" s="301"/>
      <c r="P783" s="336"/>
      <c r="Q783" s="301"/>
      <c r="R783" s="336"/>
      <c r="S783" s="301"/>
      <c r="T783" s="336"/>
    </row>
    <row r="784" spans="1:20" ht="12" customHeight="1" x14ac:dyDescent="0.25">
      <c r="A784" s="329" t="s">
        <v>294</v>
      </c>
      <c r="B784" s="330">
        <v>22</v>
      </c>
      <c r="C784" s="298">
        <v>46191</v>
      </c>
      <c r="D784" s="299" t="s">
        <v>928</v>
      </c>
      <c r="E784" s="522">
        <v>13.84</v>
      </c>
      <c r="F784" s="522"/>
      <c r="G784" s="333">
        <f t="shared" si="24"/>
        <v>5924.3299999999872</v>
      </c>
      <c r="H784" s="334"/>
      <c r="I784" s="335"/>
      <c r="J784" s="336"/>
      <c r="K784" s="301"/>
      <c r="L784" s="336"/>
      <c r="M784" s="301"/>
      <c r="N784" s="336"/>
      <c r="O784" s="301"/>
      <c r="P784" s="336"/>
      <c r="Q784" s="301"/>
      <c r="R784" s="336"/>
      <c r="S784" s="301"/>
      <c r="T784" s="336"/>
    </row>
    <row r="785" spans="1:20" ht="12" customHeight="1" x14ac:dyDescent="0.25">
      <c r="A785" s="329" t="s">
        <v>289</v>
      </c>
      <c r="B785" s="330">
        <v>1</v>
      </c>
      <c r="C785" s="298">
        <v>46190</v>
      </c>
      <c r="D785" s="299" t="s">
        <v>306</v>
      </c>
      <c r="E785" s="522">
        <v>87.19</v>
      </c>
      <c r="F785" s="522"/>
      <c r="G785" s="333">
        <f t="shared" si="24"/>
        <v>5938.1699999999873</v>
      </c>
      <c r="H785" s="334"/>
      <c r="I785" s="335"/>
      <c r="J785" s="336"/>
      <c r="K785" s="301"/>
      <c r="L785" s="336"/>
      <c r="M785" s="301"/>
      <c r="N785" s="336"/>
      <c r="O785" s="301"/>
      <c r="P785" s="336"/>
      <c r="Q785" s="301"/>
      <c r="R785" s="336"/>
      <c r="S785" s="301"/>
      <c r="T785" s="336"/>
    </row>
    <row r="786" spans="1:20" ht="12" customHeight="1" x14ac:dyDescent="0.25">
      <c r="A786" s="329" t="s">
        <v>294</v>
      </c>
      <c r="B786" s="330">
        <v>21</v>
      </c>
      <c r="C786" s="298">
        <v>46190</v>
      </c>
      <c r="D786" s="299" t="s">
        <v>194</v>
      </c>
      <c r="E786" s="522">
        <v>81</v>
      </c>
      <c r="F786" s="522"/>
      <c r="G786" s="333">
        <f t="shared" si="24"/>
        <v>6025.3599999999869</v>
      </c>
      <c r="H786" s="334"/>
      <c r="I786" s="335"/>
      <c r="J786" s="336"/>
      <c r="K786" s="301"/>
      <c r="L786" s="336"/>
      <c r="M786" s="301"/>
      <c r="N786" s="336"/>
      <c r="O786" s="301"/>
      <c r="P786" s="336"/>
      <c r="Q786" s="301"/>
      <c r="R786" s="336"/>
      <c r="S786" s="301"/>
      <c r="T786" s="336"/>
    </row>
    <row r="787" spans="1:20" ht="12" customHeight="1" x14ac:dyDescent="0.25">
      <c r="A787" s="329" t="s">
        <v>294</v>
      </c>
      <c r="B787" s="330">
        <v>43</v>
      </c>
      <c r="C787" s="298">
        <v>46190</v>
      </c>
      <c r="D787" s="299" t="s">
        <v>333</v>
      </c>
      <c r="E787" s="522">
        <v>29.8</v>
      </c>
      <c r="F787" s="522"/>
      <c r="G787" s="333">
        <f t="shared" si="24"/>
        <v>6106.3599999999869</v>
      </c>
      <c r="H787" s="334"/>
      <c r="I787" s="335"/>
      <c r="J787" s="336"/>
      <c r="K787" s="301"/>
      <c r="L787" s="336"/>
      <c r="M787" s="301"/>
      <c r="N787" s="336"/>
      <c r="O787" s="301"/>
      <c r="P787" s="336"/>
      <c r="Q787" s="301"/>
      <c r="R787" s="336"/>
      <c r="S787" s="301"/>
      <c r="T787" s="336"/>
    </row>
    <row r="788" spans="1:20" ht="12" customHeight="1" x14ac:dyDescent="0.25">
      <c r="A788" s="329" t="s">
        <v>294</v>
      </c>
      <c r="B788" s="330">
        <v>42</v>
      </c>
      <c r="C788" s="298">
        <v>46190</v>
      </c>
      <c r="D788" s="299" t="s">
        <v>333</v>
      </c>
      <c r="E788" s="522">
        <v>74.5</v>
      </c>
      <c r="F788" s="522"/>
      <c r="G788" s="333">
        <f t="shared" si="24"/>
        <v>6136.1599999999871</v>
      </c>
      <c r="H788" s="334"/>
      <c r="I788" s="335"/>
      <c r="J788" s="336"/>
      <c r="K788" s="301"/>
      <c r="L788" s="336"/>
      <c r="M788" s="301"/>
      <c r="N788" s="336"/>
      <c r="O788" s="301"/>
      <c r="P788" s="336"/>
      <c r="Q788" s="301"/>
      <c r="R788" s="336"/>
      <c r="S788" s="301"/>
      <c r="T788" s="336"/>
    </row>
    <row r="789" spans="1:20" ht="12" customHeight="1" x14ac:dyDescent="0.25">
      <c r="A789" s="329" t="s">
        <v>289</v>
      </c>
      <c r="B789" s="330">
        <v>4</v>
      </c>
      <c r="C789" s="298">
        <v>46190</v>
      </c>
      <c r="D789" s="299" t="s">
        <v>334</v>
      </c>
      <c r="E789" s="522">
        <v>82.35</v>
      </c>
      <c r="F789" s="522"/>
      <c r="G789" s="333">
        <f t="shared" si="24"/>
        <v>6210.6599999999871</v>
      </c>
      <c r="H789" s="334"/>
      <c r="I789" s="335"/>
      <c r="J789" s="336"/>
      <c r="K789" s="301"/>
      <c r="L789" s="336"/>
      <c r="M789" s="301"/>
      <c r="N789" s="336"/>
      <c r="O789" s="301"/>
      <c r="P789" s="336"/>
      <c r="Q789" s="301"/>
      <c r="R789" s="336"/>
      <c r="S789" s="301"/>
      <c r="T789" s="336"/>
    </row>
    <row r="790" spans="1:20" ht="12" customHeight="1" x14ac:dyDescent="0.25">
      <c r="A790" s="329" t="s">
        <v>289</v>
      </c>
      <c r="B790" s="330">
        <v>2</v>
      </c>
      <c r="C790" s="298">
        <v>46190</v>
      </c>
      <c r="D790" s="299" t="s">
        <v>334</v>
      </c>
      <c r="E790" s="522">
        <v>17.68</v>
      </c>
      <c r="F790" s="522"/>
      <c r="G790" s="333">
        <f t="shared" si="24"/>
        <v>6293.0099999999875</v>
      </c>
      <c r="H790" s="334"/>
      <c r="I790" s="335"/>
      <c r="J790" s="336"/>
      <c r="K790" s="301"/>
      <c r="L790" s="336"/>
      <c r="M790" s="301"/>
      <c r="N790" s="336"/>
      <c r="O790" s="301"/>
      <c r="P790" s="336"/>
      <c r="Q790" s="301"/>
      <c r="R790" s="336"/>
      <c r="S790" s="301"/>
      <c r="T790" s="336"/>
    </row>
    <row r="791" spans="1:20" ht="12" customHeight="1" x14ac:dyDescent="0.25">
      <c r="A791" s="329" t="s">
        <v>289</v>
      </c>
      <c r="B791" s="330">
        <v>6</v>
      </c>
      <c r="C791" s="298">
        <v>46190</v>
      </c>
      <c r="D791" s="299" t="s">
        <v>300</v>
      </c>
      <c r="E791" s="522">
        <v>14.67</v>
      </c>
      <c r="F791" s="522"/>
      <c r="G791" s="333">
        <f t="shared" si="24"/>
        <v>6310.6899999999878</v>
      </c>
      <c r="H791" s="334"/>
      <c r="I791" s="335"/>
      <c r="J791" s="336"/>
      <c r="K791" s="301"/>
      <c r="L791" s="336"/>
      <c r="M791" s="301"/>
      <c r="N791" s="336"/>
      <c r="O791" s="301"/>
      <c r="P791" s="336"/>
      <c r="Q791" s="301"/>
      <c r="R791" s="336"/>
      <c r="S791" s="301"/>
      <c r="T791" s="336"/>
    </row>
    <row r="792" spans="1:20" ht="12" customHeight="1" x14ac:dyDescent="0.25">
      <c r="A792" s="329" t="s">
        <v>289</v>
      </c>
      <c r="B792" s="330">
        <v>6</v>
      </c>
      <c r="C792" s="298">
        <v>46190</v>
      </c>
      <c r="D792" s="299" t="s">
        <v>300</v>
      </c>
      <c r="E792" s="522">
        <v>56.42</v>
      </c>
      <c r="F792" s="522"/>
      <c r="G792" s="333">
        <f t="shared" si="24"/>
        <v>6325.3599999999878</v>
      </c>
      <c r="H792" s="334"/>
      <c r="I792" s="335"/>
      <c r="J792" s="336"/>
      <c r="K792" s="301"/>
      <c r="L792" s="336"/>
      <c r="M792" s="301"/>
      <c r="N792" s="336"/>
      <c r="O792" s="301"/>
      <c r="P792" s="336"/>
      <c r="Q792" s="301"/>
      <c r="R792" s="336"/>
      <c r="S792" s="301"/>
      <c r="T792" s="336"/>
    </row>
    <row r="793" spans="1:20" ht="12" customHeight="1" x14ac:dyDescent="0.25">
      <c r="A793" s="329" t="s">
        <v>289</v>
      </c>
      <c r="B793" s="330">
        <v>6</v>
      </c>
      <c r="C793" s="298">
        <v>46190</v>
      </c>
      <c r="D793" s="299" t="s">
        <v>300</v>
      </c>
      <c r="E793" s="522">
        <v>53.23</v>
      </c>
      <c r="F793" s="522"/>
      <c r="G793" s="333">
        <f t="shared" si="24"/>
        <v>6381.7799999999879</v>
      </c>
      <c r="H793" s="334"/>
      <c r="I793" s="335"/>
      <c r="J793" s="336"/>
      <c r="K793" s="301"/>
      <c r="L793" s="336"/>
      <c r="M793" s="301"/>
      <c r="N793" s="336"/>
      <c r="O793" s="301"/>
      <c r="P793" s="336"/>
      <c r="Q793" s="301"/>
      <c r="R793" s="336"/>
      <c r="S793" s="301"/>
      <c r="T793" s="336"/>
    </row>
    <row r="794" spans="1:20" ht="12" customHeight="1" x14ac:dyDescent="0.25">
      <c r="A794" s="329" t="s">
        <v>294</v>
      </c>
      <c r="B794" s="330">
        <v>23</v>
      </c>
      <c r="C794" s="298">
        <v>46190</v>
      </c>
      <c r="D794" s="299" t="s">
        <v>63</v>
      </c>
      <c r="E794" s="522">
        <v>529.46</v>
      </c>
      <c r="F794" s="522"/>
      <c r="G794" s="333">
        <f t="shared" si="24"/>
        <v>6435.0099999999875</v>
      </c>
      <c r="H794" s="334"/>
      <c r="I794" s="335"/>
      <c r="J794" s="336"/>
      <c r="K794" s="301"/>
      <c r="L794" s="336"/>
      <c r="M794" s="301"/>
      <c r="N794" s="336"/>
      <c r="O794" s="301"/>
      <c r="P794" s="336"/>
      <c r="Q794" s="301"/>
      <c r="R794" s="336"/>
      <c r="S794" s="301"/>
      <c r="T794" s="336"/>
    </row>
    <row r="795" spans="1:20" ht="12" customHeight="1" x14ac:dyDescent="0.25">
      <c r="A795" s="329" t="s">
        <v>294</v>
      </c>
      <c r="B795" s="330">
        <v>17</v>
      </c>
      <c r="C795" s="298">
        <v>46190</v>
      </c>
      <c r="D795" s="299" t="s">
        <v>188</v>
      </c>
      <c r="E795" s="522">
        <v>42.65</v>
      </c>
      <c r="F795" s="522"/>
      <c r="G795" s="333">
        <f t="shared" si="24"/>
        <v>6964.4699999999875</v>
      </c>
      <c r="H795" s="334"/>
      <c r="I795" s="335"/>
      <c r="J795" s="336"/>
      <c r="K795" s="301"/>
      <c r="L795" s="336"/>
      <c r="M795" s="301"/>
      <c r="N795" s="336"/>
      <c r="O795" s="301"/>
      <c r="P795" s="336"/>
      <c r="Q795" s="301"/>
      <c r="R795" s="336"/>
      <c r="S795" s="301"/>
      <c r="T795" s="336"/>
    </row>
    <row r="796" spans="1:20" ht="12" customHeight="1" x14ac:dyDescent="0.25">
      <c r="A796" s="329" t="s">
        <v>294</v>
      </c>
      <c r="B796" s="330">
        <v>15</v>
      </c>
      <c r="C796" s="298">
        <v>46190</v>
      </c>
      <c r="D796" s="299" t="s">
        <v>185</v>
      </c>
      <c r="E796" s="522">
        <v>87.41</v>
      </c>
      <c r="F796" s="522"/>
      <c r="G796" s="333">
        <f t="shared" si="24"/>
        <v>7007.1199999999872</v>
      </c>
      <c r="H796" s="334"/>
      <c r="I796" s="335"/>
      <c r="J796" s="336"/>
      <c r="K796" s="301"/>
      <c r="L796" s="336"/>
      <c r="M796" s="301"/>
      <c r="N796" s="336"/>
      <c r="O796" s="301"/>
      <c r="P796" s="336"/>
      <c r="Q796" s="301"/>
      <c r="R796" s="336"/>
      <c r="S796" s="301"/>
      <c r="T796" s="336"/>
    </row>
    <row r="797" spans="1:20" ht="12" customHeight="1" x14ac:dyDescent="0.25">
      <c r="A797" s="329" t="s">
        <v>335</v>
      </c>
      <c r="B797" s="330" t="s">
        <v>335</v>
      </c>
      <c r="C797" s="298">
        <v>46190</v>
      </c>
      <c r="D797" s="299" t="s">
        <v>185</v>
      </c>
      <c r="E797" s="522">
        <v>86.48</v>
      </c>
      <c r="F797" s="522"/>
      <c r="G797" s="333">
        <f t="shared" si="24"/>
        <v>7094.529999999987</v>
      </c>
      <c r="H797" s="334"/>
      <c r="I797" s="335"/>
      <c r="J797" s="336"/>
      <c r="K797" s="301"/>
      <c r="L797" s="336"/>
      <c r="M797" s="301"/>
      <c r="N797" s="336"/>
      <c r="O797" s="301"/>
      <c r="P797" s="336"/>
      <c r="Q797" s="301"/>
      <c r="R797" s="336"/>
      <c r="S797" s="301"/>
      <c r="T797" s="336"/>
    </row>
    <row r="798" spans="1:20" ht="12" customHeight="1" x14ac:dyDescent="0.25">
      <c r="A798" s="329" t="s">
        <v>291</v>
      </c>
      <c r="B798" s="330">
        <v>40</v>
      </c>
      <c r="C798" s="298">
        <v>46190</v>
      </c>
      <c r="D798" s="299" t="s">
        <v>316</v>
      </c>
      <c r="E798" s="522"/>
      <c r="F798" s="522">
        <v>854.38</v>
      </c>
      <c r="G798" s="333">
        <f t="shared" si="24"/>
        <v>7181.0099999999866</v>
      </c>
      <c r="H798" s="334"/>
      <c r="I798" s="335"/>
      <c r="J798" s="336"/>
      <c r="K798" s="301"/>
      <c r="L798" s="336"/>
      <c r="M798" s="301"/>
      <c r="N798" s="336"/>
      <c r="O798" s="301"/>
      <c r="P798" s="336"/>
      <c r="Q798" s="301"/>
      <c r="R798" s="336"/>
      <c r="S798" s="301"/>
      <c r="T798" s="336"/>
    </row>
    <row r="799" spans="1:20" ht="12" customHeight="1" x14ac:dyDescent="0.25">
      <c r="A799" s="329" t="s">
        <v>289</v>
      </c>
      <c r="B799" s="330">
        <v>5</v>
      </c>
      <c r="C799" s="298">
        <v>46189</v>
      </c>
      <c r="D799" s="299" t="s">
        <v>339</v>
      </c>
      <c r="E799" s="522">
        <v>21.3</v>
      </c>
      <c r="F799" s="522"/>
      <c r="G799" s="333">
        <f t="shared" si="24"/>
        <v>6326.6299999999865</v>
      </c>
      <c r="H799" s="334"/>
      <c r="I799" s="335"/>
      <c r="J799" s="336"/>
      <c r="K799" s="301"/>
      <c r="L799" s="336"/>
      <c r="M799" s="301"/>
      <c r="N799" s="336"/>
      <c r="O799" s="301"/>
      <c r="P799" s="336"/>
      <c r="Q799" s="301"/>
      <c r="R799" s="336"/>
      <c r="S799" s="301"/>
      <c r="T799" s="336"/>
    </row>
    <row r="800" spans="1:20" ht="12" customHeight="1" x14ac:dyDescent="0.25">
      <c r="A800" s="329" t="s">
        <v>294</v>
      </c>
      <c r="B800" s="330">
        <v>11</v>
      </c>
      <c r="C800" s="298">
        <v>46189</v>
      </c>
      <c r="D800" s="299" t="s">
        <v>178</v>
      </c>
      <c r="E800" s="522">
        <v>267.75</v>
      </c>
      <c r="F800" s="522"/>
      <c r="G800" s="333">
        <f t="shared" si="24"/>
        <v>6347.9299999999866</v>
      </c>
      <c r="H800" s="334"/>
      <c r="I800" s="335"/>
      <c r="J800" s="336"/>
      <c r="K800" s="301"/>
      <c r="L800" s="336"/>
      <c r="M800" s="301"/>
      <c r="N800" s="336"/>
      <c r="O800" s="301"/>
      <c r="P800" s="336"/>
      <c r="Q800" s="301"/>
      <c r="R800" s="336"/>
      <c r="S800" s="301"/>
      <c r="T800" s="336"/>
    </row>
    <row r="801" spans="1:20" ht="12" customHeight="1" x14ac:dyDescent="0.25">
      <c r="A801" s="329" t="s">
        <v>289</v>
      </c>
      <c r="B801" s="330">
        <v>6</v>
      </c>
      <c r="C801" s="298">
        <v>46188</v>
      </c>
      <c r="D801" s="299" t="s">
        <v>883</v>
      </c>
      <c r="E801" s="522">
        <v>100</v>
      </c>
      <c r="F801" s="522"/>
      <c r="G801" s="333">
        <f t="shared" si="24"/>
        <v>6615.6799999999866</v>
      </c>
      <c r="H801" s="334"/>
      <c r="I801" s="335"/>
      <c r="J801" s="336"/>
      <c r="K801" s="301"/>
      <c r="L801" s="336"/>
      <c r="M801" s="301"/>
      <c r="N801" s="336"/>
      <c r="O801" s="301"/>
      <c r="P801" s="336"/>
      <c r="Q801" s="301"/>
      <c r="R801" s="336"/>
      <c r="S801" s="301"/>
      <c r="T801" s="336"/>
    </row>
    <row r="802" spans="1:20" ht="12" customHeight="1" x14ac:dyDescent="0.25">
      <c r="A802" s="329" t="s">
        <v>289</v>
      </c>
      <c r="B802" s="330">
        <v>2</v>
      </c>
      <c r="C802" s="298">
        <v>46188</v>
      </c>
      <c r="D802" s="299" t="s">
        <v>334</v>
      </c>
      <c r="E802" s="522">
        <v>11.29</v>
      </c>
      <c r="F802" s="522"/>
      <c r="G802" s="333">
        <f t="shared" si="24"/>
        <v>6715.6799999999866</v>
      </c>
      <c r="H802" s="334"/>
      <c r="I802" s="335"/>
      <c r="J802" s="336"/>
      <c r="K802" s="301"/>
      <c r="L802" s="336"/>
      <c r="M802" s="301"/>
      <c r="N802" s="336"/>
      <c r="O802" s="301"/>
      <c r="P802" s="336"/>
      <c r="Q802" s="301"/>
      <c r="R802" s="336"/>
      <c r="S802" s="301"/>
      <c r="T802" s="336"/>
    </row>
    <row r="803" spans="1:20" ht="12" customHeight="1" x14ac:dyDescent="0.25">
      <c r="A803" s="329" t="s">
        <v>289</v>
      </c>
      <c r="B803" s="330">
        <v>3</v>
      </c>
      <c r="C803" s="298">
        <v>46188</v>
      </c>
      <c r="D803" s="299" t="s">
        <v>334</v>
      </c>
      <c r="E803" s="522">
        <v>5.39</v>
      </c>
      <c r="F803" s="522"/>
      <c r="G803" s="333">
        <f t="shared" si="24"/>
        <v>6726.9699999999866</v>
      </c>
      <c r="H803" s="334"/>
      <c r="I803" s="335"/>
      <c r="J803" s="336"/>
      <c r="K803" s="301"/>
      <c r="L803" s="336"/>
      <c r="M803" s="301"/>
      <c r="N803" s="336"/>
      <c r="O803" s="301"/>
      <c r="P803" s="336"/>
      <c r="Q803" s="301"/>
      <c r="R803" s="336"/>
      <c r="S803" s="301"/>
      <c r="T803" s="336"/>
    </row>
    <row r="804" spans="1:20" ht="12" customHeight="1" x14ac:dyDescent="0.25">
      <c r="A804" s="329" t="s">
        <v>289</v>
      </c>
      <c r="B804" s="330">
        <v>4</v>
      </c>
      <c r="C804" s="298">
        <v>46188</v>
      </c>
      <c r="D804" s="299" t="s">
        <v>334</v>
      </c>
      <c r="E804" s="522">
        <v>31.99</v>
      </c>
      <c r="F804" s="522"/>
      <c r="G804" s="333">
        <f t="shared" si="24"/>
        <v>6732.3599999999869</v>
      </c>
      <c r="H804" s="334"/>
      <c r="I804" s="335"/>
      <c r="J804" s="336"/>
      <c r="K804" s="301"/>
      <c r="L804" s="336"/>
      <c r="M804" s="301"/>
      <c r="N804" s="336"/>
      <c r="O804" s="301"/>
      <c r="P804" s="336"/>
      <c r="Q804" s="301"/>
      <c r="R804" s="336"/>
      <c r="S804" s="301"/>
      <c r="T804" s="336"/>
    </row>
    <row r="805" spans="1:20" ht="12" customHeight="1" x14ac:dyDescent="0.25">
      <c r="A805" s="329" t="s">
        <v>289</v>
      </c>
      <c r="B805" s="330">
        <v>2</v>
      </c>
      <c r="C805" s="298">
        <v>46187</v>
      </c>
      <c r="D805" s="299" t="s">
        <v>915</v>
      </c>
      <c r="E805" s="522">
        <v>102.17</v>
      </c>
      <c r="F805" s="522"/>
      <c r="G805" s="333">
        <f t="shared" si="24"/>
        <v>6764.3499999999867</v>
      </c>
      <c r="H805" s="334"/>
      <c r="I805" s="335"/>
      <c r="J805" s="336"/>
      <c r="K805" s="301"/>
      <c r="L805" s="336"/>
      <c r="M805" s="301"/>
      <c r="N805" s="336"/>
      <c r="O805" s="301"/>
      <c r="P805" s="336"/>
      <c r="Q805" s="301"/>
      <c r="R805" s="336"/>
      <c r="S805" s="301"/>
      <c r="T805" s="336"/>
    </row>
    <row r="806" spans="1:20" ht="12" customHeight="1" x14ac:dyDescent="0.25">
      <c r="A806" s="329" t="s">
        <v>289</v>
      </c>
      <c r="B806" s="330">
        <v>1</v>
      </c>
      <c r="C806" s="298">
        <v>46187</v>
      </c>
      <c r="D806" s="299" t="s">
        <v>829</v>
      </c>
      <c r="E806" s="522">
        <v>21.86</v>
      </c>
      <c r="F806" s="522"/>
      <c r="G806" s="333">
        <f t="shared" si="24"/>
        <v>6866.5199999999868</v>
      </c>
      <c r="H806" s="334"/>
      <c r="I806" s="335"/>
      <c r="J806" s="336"/>
      <c r="K806" s="301"/>
      <c r="L806" s="336"/>
      <c r="M806" s="301"/>
      <c r="N806" s="336"/>
      <c r="O806" s="301"/>
      <c r="P806" s="336"/>
      <c r="Q806" s="301"/>
      <c r="R806" s="336"/>
      <c r="S806" s="301"/>
      <c r="T806" s="336"/>
    </row>
    <row r="807" spans="1:20" ht="12" customHeight="1" x14ac:dyDescent="0.25">
      <c r="A807" s="329" t="s">
        <v>289</v>
      </c>
      <c r="B807" s="330">
        <v>1</v>
      </c>
      <c r="C807" s="298">
        <v>46187</v>
      </c>
      <c r="D807" s="299" t="s">
        <v>311</v>
      </c>
      <c r="E807" s="522">
        <v>102.56</v>
      </c>
      <c r="F807" s="522"/>
      <c r="G807" s="333">
        <f t="shared" si="24"/>
        <v>6888.3799999999865</v>
      </c>
      <c r="H807" s="334"/>
      <c r="I807" s="335"/>
      <c r="J807" s="336"/>
      <c r="K807" s="301"/>
      <c r="L807" s="336"/>
      <c r="M807" s="301"/>
      <c r="N807" s="336"/>
      <c r="O807" s="301"/>
      <c r="P807" s="336"/>
      <c r="Q807" s="301"/>
      <c r="R807" s="336"/>
      <c r="S807" s="301"/>
      <c r="T807" s="336"/>
    </row>
    <row r="808" spans="1:20" ht="12" customHeight="1" x14ac:dyDescent="0.25">
      <c r="A808" s="329" t="s">
        <v>289</v>
      </c>
      <c r="B808" s="330">
        <v>1</v>
      </c>
      <c r="C808" s="298">
        <v>46187</v>
      </c>
      <c r="D808" s="299" t="s">
        <v>329</v>
      </c>
      <c r="E808" s="522">
        <v>121.72</v>
      </c>
      <c r="F808" s="522"/>
      <c r="G808" s="333">
        <f t="shared" si="24"/>
        <v>6990.9399999999869</v>
      </c>
      <c r="H808" s="334"/>
      <c r="I808" s="335"/>
      <c r="J808" s="336"/>
      <c r="K808" s="301"/>
      <c r="L808" s="336"/>
      <c r="M808" s="301"/>
      <c r="N808" s="336"/>
      <c r="O808" s="301"/>
      <c r="P808" s="336"/>
      <c r="Q808" s="301"/>
      <c r="R808" s="336"/>
      <c r="S808" s="301"/>
      <c r="T808" s="336"/>
    </row>
    <row r="809" spans="1:20" ht="12" customHeight="1" x14ac:dyDescent="0.25">
      <c r="A809" s="329" t="s">
        <v>289</v>
      </c>
      <c r="B809" s="330">
        <v>2</v>
      </c>
      <c r="C809" s="298">
        <v>46186</v>
      </c>
      <c r="D809" s="299" t="s">
        <v>308</v>
      </c>
      <c r="E809" s="522">
        <v>143.91999999999999</v>
      </c>
      <c r="F809" s="522"/>
      <c r="G809" s="333">
        <f t="shared" si="24"/>
        <v>7112.6599999999871</v>
      </c>
      <c r="H809" s="334"/>
      <c r="I809" s="335"/>
      <c r="J809" s="336"/>
      <c r="K809" s="301"/>
      <c r="L809" s="336"/>
      <c r="M809" s="301"/>
      <c r="N809" s="336"/>
      <c r="O809" s="301"/>
      <c r="P809" s="336"/>
      <c r="Q809" s="301"/>
      <c r="R809" s="336"/>
      <c r="S809" s="301"/>
      <c r="T809" s="336"/>
    </row>
    <row r="810" spans="1:20" ht="12" customHeight="1" x14ac:dyDescent="0.25">
      <c r="A810" s="329" t="s">
        <v>289</v>
      </c>
      <c r="B810" s="330">
        <v>2</v>
      </c>
      <c r="C810" s="298">
        <v>46186</v>
      </c>
      <c r="D810" s="299" t="s">
        <v>345</v>
      </c>
      <c r="E810" s="522">
        <v>11.95</v>
      </c>
      <c r="F810" s="522"/>
      <c r="G810" s="333">
        <f t="shared" si="24"/>
        <v>7256.5799999999872</v>
      </c>
      <c r="H810" s="334"/>
      <c r="I810" s="335"/>
      <c r="J810" s="336"/>
      <c r="K810" s="301"/>
      <c r="L810" s="336"/>
      <c r="M810" s="301"/>
      <c r="N810" s="336"/>
      <c r="O810" s="301"/>
      <c r="P810" s="336"/>
      <c r="Q810" s="301"/>
      <c r="R810" s="336"/>
      <c r="S810" s="301"/>
      <c r="T810" s="336"/>
    </row>
    <row r="811" spans="1:20" ht="12" customHeight="1" x14ac:dyDescent="0.25">
      <c r="A811" s="329" t="s">
        <v>289</v>
      </c>
      <c r="B811" s="330">
        <v>4</v>
      </c>
      <c r="C811" s="298">
        <v>46186</v>
      </c>
      <c r="D811" s="299" t="s">
        <v>310</v>
      </c>
      <c r="E811" s="522">
        <v>47.29</v>
      </c>
      <c r="F811" s="522"/>
      <c r="G811" s="333">
        <f t="shared" si="24"/>
        <v>7268.529999999987</v>
      </c>
      <c r="H811" s="334"/>
      <c r="I811" s="335"/>
      <c r="J811" s="336"/>
      <c r="K811" s="301"/>
      <c r="L811" s="336"/>
      <c r="M811" s="301"/>
      <c r="N811" s="336"/>
      <c r="O811" s="301"/>
      <c r="P811" s="336"/>
      <c r="Q811" s="301"/>
      <c r="R811" s="336"/>
      <c r="S811" s="301"/>
      <c r="T811" s="336"/>
    </row>
    <row r="812" spans="1:20" ht="12" customHeight="1" x14ac:dyDescent="0.25">
      <c r="A812" s="329" t="s">
        <v>289</v>
      </c>
      <c r="B812" s="330">
        <v>1</v>
      </c>
      <c r="C812" s="298">
        <v>46186</v>
      </c>
      <c r="D812" s="299" t="s">
        <v>306</v>
      </c>
      <c r="E812" s="522">
        <v>52.7</v>
      </c>
      <c r="F812" s="522"/>
      <c r="G812" s="333">
        <f t="shared" si="24"/>
        <v>7315.819999999987</v>
      </c>
      <c r="H812" s="334"/>
      <c r="I812" s="335"/>
      <c r="J812" s="336"/>
      <c r="K812" s="301"/>
      <c r="L812" s="336"/>
      <c r="M812" s="301"/>
      <c r="N812" s="336"/>
      <c r="O812" s="301"/>
      <c r="P812" s="336"/>
      <c r="Q812" s="301"/>
      <c r="R812" s="336"/>
      <c r="S812" s="301"/>
      <c r="T812" s="336"/>
    </row>
    <row r="813" spans="1:20" ht="12" customHeight="1" x14ac:dyDescent="0.25">
      <c r="A813" s="329" t="s">
        <v>289</v>
      </c>
      <c r="B813" s="330">
        <v>8</v>
      </c>
      <c r="C813" s="298">
        <v>46186</v>
      </c>
      <c r="D813" s="299" t="s">
        <v>308</v>
      </c>
      <c r="E813" s="522">
        <v>22.26</v>
      </c>
      <c r="F813" s="522"/>
      <c r="G813" s="333">
        <f t="shared" si="24"/>
        <v>7368.5199999999868</v>
      </c>
      <c r="H813" s="334"/>
      <c r="I813" s="335"/>
      <c r="J813" s="336"/>
      <c r="K813" s="301"/>
      <c r="L813" s="336"/>
      <c r="M813" s="301"/>
      <c r="N813" s="336"/>
      <c r="O813" s="301"/>
      <c r="P813" s="336"/>
      <c r="Q813" s="301"/>
      <c r="R813" s="336"/>
      <c r="S813" s="301"/>
      <c r="T813" s="336"/>
    </row>
    <row r="814" spans="1:20" ht="12" customHeight="1" x14ac:dyDescent="0.25">
      <c r="A814" s="329" t="s">
        <v>289</v>
      </c>
      <c r="B814" s="330">
        <v>8</v>
      </c>
      <c r="C814" s="298">
        <v>46186</v>
      </c>
      <c r="D814" s="299" t="s">
        <v>308</v>
      </c>
      <c r="E814" s="522">
        <v>28.16</v>
      </c>
      <c r="F814" s="522"/>
      <c r="G814" s="333">
        <f t="shared" si="24"/>
        <v>7390.779999999987</v>
      </c>
      <c r="H814" s="334"/>
      <c r="I814" s="335"/>
      <c r="J814" s="336"/>
      <c r="K814" s="301"/>
      <c r="L814" s="336"/>
      <c r="M814" s="301"/>
      <c r="N814" s="336"/>
      <c r="O814" s="301"/>
      <c r="P814" s="336"/>
      <c r="Q814" s="301"/>
      <c r="R814" s="336"/>
      <c r="S814" s="301"/>
      <c r="T814" s="336"/>
    </row>
    <row r="815" spans="1:20" ht="12" customHeight="1" x14ac:dyDescent="0.25">
      <c r="A815" s="329" t="s">
        <v>289</v>
      </c>
      <c r="B815" s="330">
        <v>2</v>
      </c>
      <c r="C815" s="298">
        <v>46186</v>
      </c>
      <c r="D815" s="299" t="s">
        <v>301</v>
      </c>
      <c r="E815" s="522">
        <v>32.049999999999997</v>
      </c>
      <c r="F815" s="522"/>
      <c r="G815" s="333">
        <f t="shared" si="24"/>
        <v>7418.9399999999869</v>
      </c>
      <c r="H815" s="334"/>
      <c r="I815" s="335"/>
      <c r="J815" s="336"/>
      <c r="K815" s="301"/>
      <c r="L815" s="336"/>
      <c r="M815" s="301"/>
      <c r="N815" s="336"/>
      <c r="O815" s="301"/>
      <c r="P815" s="336"/>
      <c r="Q815" s="301"/>
      <c r="R815" s="336"/>
      <c r="S815" s="301"/>
      <c r="T815" s="336"/>
    </row>
    <row r="816" spans="1:20" ht="12" customHeight="1" x14ac:dyDescent="0.25">
      <c r="A816" s="329" t="s">
        <v>289</v>
      </c>
      <c r="B816" s="330">
        <v>5</v>
      </c>
      <c r="C816" s="298">
        <v>46186</v>
      </c>
      <c r="D816" s="299" t="s">
        <v>916</v>
      </c>
      <c r="E816" s="522">
        <v>24</v>
      </c>
      <c r="F816" s="522"/>
      <c r="G816" s="333">
        <f t="shared" si="24"/>
        <v>7450.989999999987</v>
      </c>
      <c r="H816" s="334"/>
      <c r="I816" s="335"/>
      <c r="J816" s="336"/>
      <c r="K816" s="301"/>
      <c r="L816" s="336"/>
      <c r="M816" s="301"/>
      <c r="N816" s="336"/>
      <c r="O816" s="301"/>
      <c r="P816" s="336"/>
      <c r="Q816" s="301"/>
      <c r="R816" s="336"/>
      <c r="S816" s="301"/>
      <c r="T816" s="336"/>
    </row>
    <row r="817" spans="1:20" ht="12" customHeight="1" x14ac:dyDescent="0.25">
      <c r="A817" s="329" t="s">
        <v>289</v>
      </c>
      <c r="B817" s="330">
        <v>1</v>
      </c>
      <c r="C817" s="298">
        <v>46186</v>
      </c>
      <c r="D817" s="299" t="s">
        <v>306</v>
      </c>
      <c r="E817" s="522">
        <v>19.98</v>
      </c>
      <c r="F817" s="522"/>
      <c r="G817" s="333">
        <f t="shared" si="24"/>
        <v>7474.989999999987</v>
      </c>
      <c r="H817" s="334"/>
      <c r="I817" s="335"/>
      <c r="J817" s="336"/>
      <c r="K817" s="301"/>
      <c r="L817" s="336"/>
      <c r="M817" s="301"/>
      <c r="N817" s="336"/>
      <c r="O817" s="301"/>
      <c r="P817" s="336"/>
      <c r="Q817" s="301"/>
      <c r="R817" s="336"/>
      <c r="S817" s="301"/>
      <c r="T817" s="336"/>
    </row>
    <row r="818" spans="1:20" ht="12" customHeight="1" x14ac:dyDescent="0.25">
      <c r="A818" s="329" t="s">
        <v>289</v>
      </c>
      <c r="B818" s="330">
        <v>6</v>
      </c>
      <c r="C818" s="298">
        <v>46186</v>
      </c>
      <c r="D818" s="299" t="s">
        <v>300</v>
      </c>
      <c r="E818" s="522">
        <v>60.07</v>
      </c>
      <c r="F818" s="522"/>
      <c r="G818" s="333">
        <f t="shared" si="24"/>
        <v>7494.9699999999866</v>
      </c>
      <c r="H818" s="334"/>
      <c r="I818" s="335"/>
      <c r="J818" s="336"/>
      <c r="K818" s="301"/>
      <c r="L818" s="336"/>
      <c r="M818" s="301"/>
      <c r="N818" s="336"/>
      <c r="O818" s="301"/>
      <c r="P818" s="336"/>
      <c r="Q818" s="301"/>
      <c r="R818" s="336"/>
      <c r="S818" s="301"/>
      <c r="T818" s="336"/>
    </row>
    <row r="819" spans="1:20" ht="12" customHeight="1" x14ac:dyDescent="0.25">
      <c r="A819" s="329" t="s">
        <v>287</v>
      </c>
      <c r="B819" s="330" t="s">
        <v>287</v>
      </c>
      <c r="C819" s="298">
        <v>46186</v>
      </c>
      <c r="D819" s="299" t="s">
        <v>913</v>
      </c>
      <c r="E819" s="522"/>
      <c r="F819" s="522">
        <v>319.49</v>
      </c>
      <c r="G819" s="333">
        <f t="shared" si="24"/>
        <v>7555.0399999999863</v>
      </c>
      <c r="H819" s="334" t="s">
        <v>298</v>
      </c>
      <c r="I819" s="335"/>
      <c r="J819" s="336"/>
      <c r="K819" s="301"/>
      <c r="L819" s="336"/>
      <c r="M819" s="301"/>
      <c r="N819" s="336"/>
      <c r="O819" s="301"/>
      <c r="P819" s="336"/>
      <c r="Q819" s="301"/>
      <c r="R819" s="336"/>
      <c r="S819" s="301"/>
      <c r="T819" s="336"/>
    </row>
    <row r="820" spans="1:20" ht="12" customHeight="1" x14ac:dyDescent="0.25">
      <c r="A820" s="329" t="s">
        <v>287</v>
      </c>
      <c r="B820" s="330" t="s">
        <v>287</v>
      </c>
      <c r="C820" s="298">
        <v>46186</v>
      </c>
      <c r="D820" s="299" t="s">
        <v>300</v>
      </c>
      <c r="E820" s="522">
        <v>319.49</v>
      </c>
      <c r="F820" s="522"/>
      <c r="G820" s="333">
        <f t="shared" si="24"/>
        <v>7235.5499999999865</v>
      </c>
      <c r="H820" s="334"/>
      <c r="I820" s="335"/>
      <c r="J820" s="336"/>
      <c r="K820" s="301"/>
      <c r="L820" s="336"/>
      <c r="M820" s="301"/>
      <c r="N820" s="336"/>
      <c r="O820" s="301"/>
      <c r="P820" s="336"/>
      <c r="Q820" s="301"/>
      <c r="R820" s="336"/>
      <c r="S820" s="301"/>
      <c r="T820" s="336"/>
    </row>
    <row r="821" spans="1:20" ht="12" customHeight="1" x14ac:dyDescent="0.25">
      <c r="A821" s="329" t="s">
        <v>289</v>
      </c>
      <c r="B821" s="330">
        <v>6</v>
      </c>
      <c r="C821" s="298">
        <v>46186</v>
      </c>
      <c r="D821" s="299" t="s">
        <v>912</v>
      </c>
      <c r="E821" s="522">
        <v>-0.51</v>
      </c>
      <c r="F821" s="522"/>
      <c r="G821" s="333">
        <f t="shared" si="24"/>
        <v>7555.0399999999863</v>
      </c>
      <c r="H821" s="334" t="s">
        <v>298</v>
      </c>
      <c r="I821" s="335"/>
      <c r="J821" s="336"/>
      <c r="K821" s="301"/>
      <c r="L821" s="336"/>
      <c r="M821" s="301"/>
      <c r="N821" s="336"/>
      <c r="O821" s="301"/>
      <c r="P821" s="336"/>
      <c r="Q821" s="301"/>
      <c r="R821" s="336"/>
      <c r="S821" s="301"/>
      <c r="T821" s="336"/>
    </row>
    <row r="822" spans="1:20" ht="12" customHeight="1" x14ac:dyDescent="0.25">
      <c r="A822" s="329" t="s">
        <v>289</v>
      </c>
      <c r="B822" s="330">
        <v>6</v>
      </c>
      <c r="C822" s="298">
        <v>46186</v>
      </c>
      <c r="D822" s="299" t="s">
        <v>319</v>
      </c>
      <c r="E822" s="522">
        <v>13.58</v>
      </c>
      <c r="F822" s="522"/>
      <c r="G822" s="333">
        <f t="shared" si="24"/>
        <v>7554.5299999999861</v>
      </c>
      <c r="H822" s="334"/>
      <c r="I822" s="335"/>
      <c r="J822" s="336"/>
      <c r="K822" s="301"/>
      <c r="L822" s="336"/>
      <c r="M822" s="301"/>
      <c r="N822" s="336"/>
      <c r="O822" s="301"/>
      <c r="P822" s="336"/>
      <c r="Q822" s="301"/>
      <c r="R822" s="336"/>
      <c r="S822" s="301"/>
      <c r="T822" s="336"/>
    </row>
    <row r="823" spans="1:20" ht="12" customHeight="1" x14ac:dyDescent="0.25">
      <c r="A823" s="329" t="s">
        <v>294</v>
      </c>
      <c r="B823" s="330">
        <v>24</v>
      </c>
      <c r="C823" s="298">
        <v>46186</v>
      </c>
      <c r="D823" s="299" t="s">
        <v>858</v>
      </c>
      <c r="E823" s="522">
        <v>109.5</v>
      </c>
      <c r="F823" s="522"/>
      <c r="G823" s="333">
        <f t="shared" si="24"/>
        <v>7568.109999999986</v>
      </c>
      <c r="H823" s="334"/>
      <c r="I823" s="335"/>
      <c r="J823" s="336"/>
      <c r="K823" s="301"/>
      <c r="L823" s="336"/>
      <c r="M823" s="301"/>
      <c r="N823" s="336"/>
      <c r="O823" s="301"/>
      <c r="P823" s="336"/>
      <c r="Q823" s="301"/>
      <c r="R823" s="336"/>
      <c r="S823" s="301"/>
      <c r="T823" s="336"/>
    </row>
    <row r="824" spans="1:20" ht="12" customHeight="1" x14ac:dyDescent="0.25">
      <c r="A824" s="329" t="s">
        <v>294</v>
      </c>
      <c r="B824" s="330">
        <v>19</v>
      </c>
      <c r="C824" s="298">
        <v>46186</v>
      </c>
      <c r="D824" s="299" t="s">
        <v>191</v>
      </c>
      <c r="E824" s="522">
        <v>200</v>
      </c>
      <c r="F824" s="522"/>
      <c r="G824" s="333">
        <f t="shared" si="24"/>
        <v>7677.609999999986</v>
      </c>
      <c r="H824" s="334"/>
      <c r="I824" s="335"/>
      <c r="J824" s="336"/>
      <c r="K824" s="301"/>
      <c r="L824" s="336"/>
      <c r="M824" s="301"/>
      <c r="N824" s="336"/>
      <c r="O824" s="301"/>
      <c r="P824" s="336"/>
      <c r="Q824" s="301"/>
      <c r="R824" s="336"/>
      <c r="S824" s="301"/>
      <c r="T824" s="336"/>
    </row>
    <row r="825" spans="1:20" ht="12" customHeight="1" x14ac:dyDescent="0.25">
      <c r="A825" s="329" t="s">
        <v>291</v>
      </c>
      <c r="B825" s="330">
        <v>38</v>
      </c>
      <c r="C825" s="298">
        <v>46186</v>
      </c>
      <c r="D825" s="299" t="s">
        <v>293</v>
      </c>
      <c r="E825" s="522"/>
      <c r="F825" s="522">
        <v>4597.82</v>
      </c>
      <c r="G825" s="333">
        <f t="shared" si="24"/>
        <v>7877.609999999986</v>
      </c>
      <c r="H825" s="334"/>
      <c r="I825" s="335"/>
      <c r="J825" s="336"/>
      <c r="K825" s="301"/>
      <c r="L825" s="336"/>
      <c r="M825" s="301"/>
      <c r="N825" s="336"/>
      <c r="O825" s="301"/>
      <c r="P825" s="336"/>
      <c r="Q825" s="301"/>
      <c r="R825" s="336"/>
      <c r="S825" s="301"/>
      <c r="T825" s="336"/>
    </row>
    <row r="826" spans="1:20" ht="12" customHeight="1" x14ac:dyDescent="0.25">
      <c r="A826" s="329" t="s">
        <v>289</v>
      </c>
      <c r="B826" s="330">
        <v>2</v>
      </c>
      <c r="C826" s="298">
        <v>46185</v>
      </c>
      <c r="D826" s="299" t="s">
        <v>914</v>
      </c>
      <c r="E826" s="522">
        <v>90.54</v>
      </c>
      <c r="F826" s="522"/>
      <c r="G826" s="333">
        <f t="shared" si="24"/>
        <v>3279.7899999999863</v>
      </c>
      <c r="H826" s="334"/>
      <c r="I826" s="335"/>
      <c r="J826" s="336"/>
      <c r="K826" s="301"/>
      <c r="L826" s="336"/>
      <c r="M826" s="301"/>
      <c r="N826" s="336"/>
      <c r="O826" s="301"/>
      <c r="P826" s="336"/>
      <c r="Q826" s="301"/>
      <c r="R826" s="336"/>
      <c r="S826" s="301"/>
      <c r="T826" s="336"/>
    </row>
    <row r="827" spans="1:20" ht="12" customHeight="1" x14ac:dyDescent="0.25">
      <c r="A827" s="329" t="s">
        <v>289</v>
      </c>
      <c r="B827" s="330">
        <v>8</v>
      </c>
      <c r="C827" s="298">
        <v>46185</v>
      </c>
      <c r="D827" s="299" t="s">
        <v>914</v>
      </c>
      <c r="E827" s="522">
        <v>50</v>
      </c>
      <c r="F827" s="522"/>
      <c r="G827" s="333">
        <f t="shared" si="24"/>
        <v>3370.3299999999863</v>
      </c>
      <c r="H827" s="334"/>
      <c r="I827" s="335"/>
      <c r="J827" s="336"/>
      <c r="K827" s="301"/>
      <c r="L827" s="336"/>
      <c r="M827" s="301"/>
      <c r="N827" s="336"/>
      <c r="O827" s="301"/>
      <c r="P827" s="336"/>
      <c r="Q827" s="301"/>
      <c r="R827" s="336"/>
      <c r="S827" s="301"/>
      <c r="T827" s="336"/>
    </row>
    <row r="828" spans="1:20" ht="12" customHeight="1" x14ac:dyDescent="0.25">
      <c r="A828" s="329" t="s">
        <v>289</v>
      </c>
      <c r="B828" s="330">
        <v>6</v>
      </c>
      <c r="C828" s="298">
        <v>46185</v>
      </c>
      <c r="D828" s="299" t="s">
        <v>300</v>
      </c>
      <c r="E828" s="522">
        <v>79.849999999999994</v>
      </c>
      <c r="F828" s="522"/>
      <c r="G828" s="333">
        <f t="shared" si="24"/>
        <v>3420.3299999999863</v>
      </c>
      <c r="H828" s="334"/>
      <c r="I828" s="335"/>
      <c r="J828" s="336"/>
      <c r="K828" s="301"/>
      <c r="L828" s="336"/>
      <c r="M828" s="301"/>
      <c r="N828" s="336"/>
      <c r="O828" s="301"/>
      <c r="P828" s="336"/>
      <c r="Q828" s="301"/>
      <c r="R828" s="336"/>
      <c r="S828" s="301"/>
      <c r="T828" s="336"/>
    </row>
    <row r="829" spans="1:20" ht="12" customHeight="1" x14ac:dyDescent="0.25">
      <c r="A829" s="329" t="s">
        <v>289</v>
      </c>
      <c r="B829" s="330">
        <v>6</v>
      </c>
      <c r="C829" s="298">
        <v>46184</v>
      </c>
      <c r="D829" s="299" t="s">
        <v>359</v>
      </c>
      <c r="E829" s="522">
        <v>70</v>
      </c>
      <c r="F829" s="522"/>
      <c r="G829" s="333">
        <f t="shared" si="24"/>
        <v>3500.1799999999862</v>
      </c>
      <c r="H829" s="334"/>
      <c r="I829" s="335"/>
      <c r="J829" s="336"/>
      <c r="K829" s="301"/>
      <c r="L829" s="336"/>
      <c r="M829" s="301"/>
      <c r="N829" s="336"/>
      <c r="O829" s="301"/>
      <c r="P829" s="336"/>
      <c r="Q829" s="301"/>
      <c r="R829" s="336"/>
      <c r="S829" s="301"/>
      <c r="T829" s="336"/>
    </row>
    <row r="830" spans="1:20" ht="12" customHeight="1" x14ac:dyDescent="0.25">
      <c r="A830" s="329" t="s">
        <v>287</v>
      </c>
      <c r="B830" s="330" t="s">
        <v>287</v>
      </c>
      <c r="C830" s="298">
        <v>46184</v>
      </c>
      <c r="D830" s="299" t="s">
        <v>909</v>
      </c>
      <c r="E830" s="522">
        <v>2159</v>
      </c>
      <c r="F830" s="522">
        <v>2159</v>
      </c>
      <c r="G830" s="333">
        <f t="shared" si="24"/>
        <v>3570.1799999999862</v>
      </c>
      <c r="H830" s="334"/>
      <c r="I830" s="335"/>
      <c r="J830" s="336"/>
      <c r="K830" s="301"/>
      <c r="L830" s="336"/>
      <c r="M830" s="301"/>
      <c r="N830" s="336"/>
      <c r="O830" s="301"/>
      <c r="P830" s="336"/>
      <c r="Q830" s="301"/>
      <c r="R830" s="336"/>
      <c r="S830" s="301"/>
      <c r="T830" s="336"/>
    </row>
    <row r="831" spans="1:20" ht="12" customHeight="1" x14ac:dyDescent="0.25">
      <c r="A831" s="329" t="s">
        <v>294</v>
      </c>
      <c r="B831" s="330">
        <v>22</v>
      </c>
      <c r="C831" s="298">
        <v>46184</v>
      </c>
      <c r="D831" s="299" t="s">
        <v>351</v>
      </c>
      <c r="E831" s="522">
        <v>21.29</v>
      </c>
      <c r="F831" s="522"/>
      <c r="G831" s="333">
        <f t="shared" si="24"/>
        <v>3570.1799999999862</v>
      </c>
      <c r="H831" s="334"/>
      <c r="I831" s="335"/>
      <c r="J831" s="336"/>
      <c r="K831" s="301"/>
      <c r="L831" s="336"/>
      <c r="M831" s="301"/>
      <c r="N831" s="336"/>
      <c r="O831" s="301"/>
      <c r="P831" s="336"/>
      <c r="Q831" s="301"/>
      <c r="R831" s="336"/>
      <c r="S831" s="301"/>
      <c r="T831" s="336"/>
    </row>
    <row r="832" spans="1:20" ht="12" customHeight="1" x14ac:dyDescent="0.25">
      <c r="A832" s="329" t="s">
        <v>289</v>
      </c>
      <c r="B832" s="330">
        <v>4</v>
      </c>
      <c r="C832" s="298">
        <v>46184</v>
      </c>
      <c r="D832" s="299" t="s">
        <v>296</v>
      </c>
      <c r="E832" s="522">
        <v>40.67</v>
      </c>
      <c r="F832" s="522"/>
      <c r="G832" s="333">
        <f t="shared" si="24"/>
        <v>3591.4699999999862</v>
      </c>
      <c r="H832" s="334"/>
      <c r="I832" s="335"/>
      <c r="J832" s="336"/>
      <c r="K832" s="301"/>
      <c r="L832" s="336"/>
      <c r="M832" s="301"/>
      <c r="N832" s="336"/>
      <c r="O832" s="301"/>
      <c r="P832" s="336"/>
      <c r="Q832" s="301"/>
      <c r="R832" s="336"/>
      <c r="S832" s="301"/>
      <c r="T832" s="336"/>
    </row>
    <row r="833" spans="1:20" ht="12" customHeight="1" x14ac:dyDescent="0.25">
      <c r="A833" s="329" t="s">
        <v>289</v>
      </c>
      <c r="B833" s="330">
        <v>8</v>
      </c>
      <c r="C833" s="298">
        <v>46184</v>
      </c>
      <c r="D833" s="299" t="s">
        <v>319</v>
      </c>
      <c r="E833" s="522">
        <v>15.53</v>
      </c>
      <c r="F833" s="522"/>
      <c r="G833" s="333">
        <f t="shared" si="24"/>
        <v>3632.1399999999862</v>
      </c>
      <c r="H833" s="334"/>
      <c r="I833" s="335"/>
      <c r="J833" s="336"/>
      <c r="K833" s="301"/>
      <c r="L833" s="336"/>
      <c r="M833" s="301"/>
      <c r="N833" s="336"/>
      <c r="O833" s="301"/>
      <c r="P833" s="336"/>
      <c r="Q833" s="301"/>
      <c r="R833" s="336"/>
      <c r="S833" s="301"/>
      <c r="T833" s="336"/>
    </row>
    <row r="834" spans="1:20" ht="12" customHeight="1" x14ac:dyDescent="0.25">
      <c r="A834" s="329" t="s">
        <v>289</v>
      </c>
      <c r="B834" s="330">
        <v>2</v>
      </c>
      <c r="C834" s="298">
        <v>46184</v>
      </c>
      <c r="D834" s="299" t="s">
        <v>471</v>
      </c>
      <c r="E834" s="522">
        <v>83.89</v>
      </c>
      <c r="F834" s="522"/>
      <c r="G834" s="333">
        <f t="shared" ref="G834:G851" si="25">G835-E834+F834</f>
        <v>3647.6699999999864</v>
      </c>
      <c r="H834" s="334"/>
      <c r="I834" s="335"/>
      <c r="J834" s="336"/>
      <c r="K834" s="301"/>
      <c r="L834" s="336"/>
      <c r="M834" s="301"/>
      <c r="N834" s="336"/>
      <c r="O834" s="301"/>
      <c r="P834" s="336"/>
      <c r="Q834" s="301"/>
      <c r="R834" s="336"/>
      <c r="S834" s="301"/>
      <c r="T834" s="336"/>
    </row>
    <row r="835" spans="1:20" ht="12" customHeight="1" x14ac:dyDescent="0.25">
      <c r="A835" s="329" t="s">
        <v>294</v>
      </c>
      <c r="B835" s="330">
        <v>23</v>
      </c>
      <c r="C835" s="298">
        <v>46184</v>
      </c>
      <c r="D835" s="299" t="s">
        <v>67</v>
      </c>
      <c r="E835" s="522">
        <v>599.86</v>
      </c>
      <c r="F835" s="522"/>
      <c r="G835" s="333">
        <f t="shared" si="25"/>
        <v>3731.5599999999863</v>
      </c>
      <c r="H835" s="334"/>
      <c r="I835" s="335"/>
      <c r="J835" s="336"/>
      <c r="K835" s="301"/>
      <c r="L835" s="336"/>
      <c r="M835" s="301"/>
      <c r="N835" s="336"/>
      <c r="O835" s="301"/>
      <c r="P835" s="336"/>
      <c r="Q835" s="301"/>
      <c r="R835" s="336"/>
      <c r="S835" s="301"/>
      <c r="T835" s="336"/>
    </row>
    <row r="836" spans="1:20" ht="12" customHeight="1" x14ac:dyDescent="0.25">
      <c r="A836" s="329" t="s">
        <v>291</v>
      </c>
      <c r="B836" s="330">
        <v>41</v>
      </c>
      <c r="C836" s="298">
        <v>46184</v>
      </c>
      <c r="D836" s="299" t="s">
        <v>907</v>
      </c>
      <c r="E836" s="522"/>
      <c r="F836" s="522">
        <v>800</v>
      </c>
      <c r="G836" s="333">
        <f t="shared" si="25"/>
        <v>4331.4199999999864</v>
      </c>
      <c r="H836" s="334"/>
      <c r="I836" s="335"/>
      <c r="J836" s="336"/>
      <c r="K836" s="301"/>
      <c r="L836" s="336"/>
      <c r="M836" s="301"/>
      <c r="N836" s="336"/>
      <c r="O836" s="301"/>
      <c r="P836" s="336"/>
      <c r="Q836" s="301"/>
      <c r="R836" s="336"/>
      <c r="S836" s="301"/>
      <c r="T836" s="336"/>
    </row>
    <row r="837" spans="1:20" ht="12" customHeight="1" x14ac:dyDescent="0.25">
      <c r="A837" s="329" t="s">
        <v>291</v>
      </c>
      <c r="B837" s="330">
        <v>39</v>
      </c>
      <c r="C837" s="298">
        <v>46184</v>
      </c>
      <c r="D837" s="299" t="s">
        <v>292</v>
      </c>
      <c r="E837" s="522"/>
      <c r="F837" s="522">
        <v>2763.78</v>
      </c>
      <c r="G837" s="333">
        <f t="shared" si="25"/>
        <v>3531.4199999999864</v>
      </c>
      <c r="H837" s="334"/>
      <c r="I837" s="335"/>
      <c r="J837" s="336"/>
      <c r="K837" s="301"/>
      <c r="L837" s="336"/>
      <c r="M837" s="301"/>
      <c r="N837" s="336"/>
      <c r="O837" s="301"/>
      <c r="P837" s="336"/>
      <c r="Q837" s="301"/>
      <c r="R837" s="336"/>
      <c r="S837" s="301"/>
      <c r="T837" s="336"/>
    </row>
    <row r="838" spans="1:20" ht="12" customHeight="1" x14ac:dyDescent="0.25">
      <c r="A838" s="329" t="s">
        <v>287</v>
      </c>
      <c r="B838" s="330" t="s">
        <v>287</v>
      </c>
      <c r="C838" s="298">
        <v>46183</v>
      </c>
      <c r="D838" s="299" t="s">
        <v>908</v>
      </c>
      <c r="E838" s="522">
        <v>816.19</v>
      </c>
      <c r="F838" s="522">
        <v>816.19</v>
      </c>
      <c r="G838" s="333">
        <f t="shared" si="25"/>
        <v>767.639999999986</v>
      </c>
      <c r="H838" s="334"/>
      <c r="I838" s="335"/>
      <c r="J838" s="336"/>
      <c r="K838" s="301"/>
      <c r="L838" s="336"/>
      <c r="M838" s="301"/>
      <c r="N838" s="336"/>
      <c r="O838" s="301"/>
      <c r="P838" s="336"/>
      <c r="Q838" s="301"/>
      <c r="R838" s="336"/>
      <c r="S838" s="301"/>
      <c r="T838" s="336"/>
    </row>
    <row r="839" spans="1:20" ht="12" customHeight="1" x14ac:dyDescent="0.25">
      <c r="A839" s="329" t="s">
        <v>289</v>
      </c>
      <c r="B839" s="330">
        <v>6</v>
      </c>
      <c r="C839" s="298">
        <v>46183</v>
      </c>
      <c r="D839" s="299" t="s">
        <v>411</v>
      </c>
      <c r="E839" s="522">
        <v>-3.99</v>
      </c>
      <c r="F839" s="522"/>
      <c r="G839" s="333">
        <f t="shared" si="25"/>
        <v>767.639999999986</v>
      </c>
      <c r="H839" s="334"/>
      <c r="I839" s="335"/>
      <c r="J839" s="336"/>
      <c r="K839" s="301"/>
      <c r="L839" s="336"/>
      <c r="M839" s="301"/>
      <c r="N839" s="336"/>
      <c r="O839" s="301"/>
      <c r="P839" s="336"/>
      <c r="Q839" s="301"/>
      <c r="R839" s="336"/>
      <c r="S839" s="301"/>
      <c r="T839" s="336"/>
    </row>
    <row r="840" spans="1:20" ht="12" customHeight="1" x14ac:dyDescent="0.25">
      <c r="A840" s="329" t="s">
        <v>289</v>
      </c>
      <c r="B840" s="330">
        <v>6</v>
      </c>
      <c r="C840" s="298">
        <v>46183</v>
      </c>
      <c r="D840" s="299" t="s">
        <v>905</v>
      </c>
      <c r="E840" s="522">
        <v>-0.03</v>
      </c>
      <c r="F840" s="522"/>
      <c r="G840" s="333">
        <f t="shared" si="25"/>
        <v>763.64999999998599</v>
      </c>
      <c r="H840" s="334"/>
      <c r="I840" s="335"/>
      <c r="J840" s="336"/>
      <c r="K840" s="301"/>
      <c r="L840" s="336"/>
      <c r="M840" s="301"/>
      <c r="N840" s="336"/>
      <c r="O840" s="301"/>
      <c r="P840" s="336"/>
      <c r="Q840" s="301"/>
      <c r="R840" s="336"/>
      <c r="S840" s="301"/>
      <c r="T840" s="336"/>
    </row>
    <row r="841" spans="1:20" ht="12" customHeight="1" x14ac:dyDescent="0.25">
      <c r="A841" s="329" t="s">
        <v>291</v>
      </c>
      <c r="B841" s="330">
        <v>40</v>
      </c>
      <c r="C841" s="298">
        <v>46183</v>
      </c>
      <c r="D841" s="299" t="s">
        <v>316</v>
      </c>
      <c r="E841" s="522"/>
      <c r="F841" s="522">
        <v>1250.17</v>
      </c>
      <c r="G841" s="333">
        <f t="shared" si="25"/>
        <v>763.61999999998602</v>
      </c>
      <c r="H841" s="334"/>
      <c r="I841" s="335"/>
      <c r="J841" s="336"/>
      <c r="K841" s="301"/>
      <c r="L841" s="336"/>
      <c r="M841" s="301"/>
      <c r="N841" s="336"/>
      <c r="O841" s="301"/>
      <c r="P841" s="336"/>
      <c r="Q841" s="301"/>
      <c r="R841" s="336"/>
      <c r="S841" s="301"/>
      <c r="T841" s="336"/>
    </row>
    <row r="842" spans="1:20" ht="12" customHeight="1" x14ac:dyDescent="0.25">
      <c r="A842" s="329" t="s">
        <v>289</v>
      </c>
      <c r="B842" s="330">
        <v>2</v>
      </c>
      <c r="C842" s="298">
        <v>46182</v>
      </c>
      <c r="D842" s="299" t="s">
        <v>352</v>
      </c>
      <c r="E842" s="522">
        <v>25.98</v>
      </c>
      <c r="F842" s="522"/>
      <c r="G842" s="333">
        <f t="shared" si="25"/>
        <v>-486.55000000001405</v>
      </c>
      <c r="H842" s="334"/>
      <c r="I842" s="335"/>
      <c r="J842" s="336"/>
      <c r="K842" s="301"/>
      <c r="L842" s="336"/>
      <c r="M842" s="301"/>
      <c r="N842" s="336"/>
      <c r="O842" s="301"/>
      <c r="P842" s="336"/>
      <c r="Q842" s="301"/>
      <c r="R842" s="336"/>
      <c r="S842" s="301"/>
      <c r="T842" s="336"/>
    </row>
    <row r="843" spans="1:20" ht="12" customHeight="1" x14ac:dyDescent="0.25">
      <c r="A843" s="329" t="s">
        <v>289</v>
      </c>
      <c r="B843" s="330">
        <v>5</v>
      </c>
      <c r="C843" s="298">
        <v>46182</v>
      </c>
      <c r="D843" s="299" t="s">
        <v>852</v>
      </c>
      <c r="E843" s="522">
        <v>10.68</v>
      </c>
      <c r="F843" s="522"/>
      <c r="G843" s="333">
        <f t="shared" si="25"/>
        <v>-460.57000000001403</v>
      </c>
      <c r="H843" s="334"/>
      <c r="I843" s="335"/>
      <c r="J843" s="336"/>
      <c r="K843" s="301"/>
      <c r="L843" s="336"/>
      <c r="M843" s="301"/>
      <c r="N843" s="336"/>
      <c r="O843" s="301"/>
      <c r="P843" s="336"/>
      <c r="Q843" s="301"/>
      <c r="R843" s="336"/>
      <c r="S843" s="301"/>
      <c r="T843" s="336"/>
    </row>
    <row r="844" spans="1:20" ht="12" customHeight="1" x14ac:dyDescent="0.25">
      <c r="A844" s="329" t="s">
        <v>289</v>
      </c>
      <c r="B844" s="330">
        <v>2</v>
      </c>
      <c r="C844" s="298">
        <v>46182</v>
      </c>
      <c r="D844" s="299" t="s">
        <v>301</v>
      </c>
      <c r="E844" s="522">
        <v>29.95</v>
      </c>
      <c r="F844" s="522"/>
      <c r="G844" s="333">
        <f t="shared" si="25"/>
        <v>-449.89000000001403</v>
      </c>
      <c r="H844" s="334"/>
      <c r="I844" s="335"/>
      <c r="J844" s="336"/>
      <c r="K844" s="301"/>
      <c r="L844" s="336"/>
      <c r="M844" s="301"/>
      <c r="N844" s="336"/>
      <c r="O844" s="301"/>
      <c r="P844" s="336"/>
      <c r="Q844" s="301"/>
      <c r="R844" s="336"/>
      <c r="S844" s="301"/>
      <c r="T844" s="336"/>
    </row>
    <row r="845" spans="1:20" ht="12" customHeight="1" x14ac:dyDescent="0.25">
      <c r="A845" s="329" t="s">
        <v>294</v>
      </c>
      <c r="B845" s="330">
        <v>22</v>
      </c>
      <c r="C845" s="298">
        <v>46182</v>
      </c>
      <c r="D845" s="299" t="s">
        <v>906</v>
      </c>
      <c r="E845" s="522">
        <v>5.31</v>
      </c>
      <c r="F845" s="522"/>
      <c r="G845" s="333">
        <f t="shared" si="25"/>
        <v>-419.94000000001404</v>
      </c>
      <c r="H845" s="334"/>
      <c r="I845" s="335"/>
      <c r="J845" s="336"/>
      <c r="K845" s="301"/>
      <c r="L845" s="336"/>
      <c r="M845" s="301"/>
      <c r="N845" s="336"/>
      <c r="O845" s="301"/>
      <c r="P845" s="336"/>
      <c r="Q845" s="301"/>
      <c r="R845" s="336"/>
      <c r="S845" s="301"/>
      <c r="T845" s="336"/>
    </row>
    <row r="846" spans="1:20" ht="12" customHeight="1" x14ac:dyDescent="0.25">
      <c r="A846" s="329" t="s">
        <v>289</v>
      </c>
      <c r="B846" s="330">
        <v>2</v>
      </c>
      <c r="C846" s="298">
        <v>46182</v>
      </c>
      <c r="D846" s="299" t="s">
        <v>434</v>
      </c>
      <c r="E846" s="522">
        <v>58.69</v>
      </c>
      <c r="F846" s="522"/>
      <c r="G846" s="333">
        <f t="shared" si="25"/>
        <v>-414.63000000001404</v>
      </c>
      <c r="H846" s="334"/>
      <c r="I846" s="335"/>
      <c r="J846" s="336"/>
      <c r="K846" s="301"/>
      <c r="L846" s="336"/>
      <c r="M846" s="301"/>
      <c r="N846" s="336"/>
      <c r="O846" s="301"/>
      <c r="P846" s="336"/>
      <c r="Q846" s="301"/>
      <c r="R846" s="336"/>
      <c r="S846" s="301"/>
      <c r="T846" s="336"/>
    </row>
    <row r="847" spans="1:20" ht="12" customHeight="1" x14ac:dyDescent="0.25">
      <c r="A847" s="329" t="s">
        <v>289</v>
      </c>
      <c r="B847" s="330">
        <v>8</v>
      </c>
      <c r="C847" s="298">
        <v>46182</v>
      </c>
      <c r="D847" s="299" t="s">
        <v>434</v>
      </c>
      <c r="E847" s="522">
        <v>58.69</v>
      </c>
      <c r="F847" s="522"/>
      <c r="G847" s="333">
        <f t="shared" si="25"/>
        <v>-355.94000000001404</v>
      </c>
      <c r="H847" s="334"/>
      <c r="I847" s="335"/>
      <c r="J847" s="336"/>
      <c r="K847" s="301"/>
      <c r="L847" s="336"/>
      <c r="M847" s="301"/>
      <c r="N847" s="336"/>
      <c r="O847" s="301"/>
      <c r="P847" s="336"/>
      <c r="Q847" s="301"/>
      <c r="R847" s="336"/>
      <c r="S847" s="301"/>
      <c r="T847" s="336"/>
    </row>
    <row r="848" spans="1:20" ht="12" customHeight="1" x14ac:dyDescent="0.25">
      <c r="A848" s="329" t="s">
        <v>289</v>
      </c>
      <c r="B848" s="330">
        <v>8</v>
      </c>
      <c r="C848" s="298">
        <v>46181</v>
      </c>
      <c r="D848" s="299" t="s">
        <v>319</v>
      </c>
      <c r="E848" s="522">
        <v>8.86</v>
      </c>
      <c r="F848" s="522"/>
      <c r="G848" s="333">
        <f t="shared" si="25"/>
        <v>-297.25000000001404</v>
      </c>
      <c r="H848" s="334"/>
      <c r="I848" s="335"/>
      <c r="J848" s="336"/>
      <c r="K848" s="301"/>
      <c r="L848" s="336"/>
      <c r="M848" s="301"/>
      <c r="N848" s="336"/>
      <c r="O848" s="301"/>
      <c r="P848" s="336"/>
      <c r="Q848" s="301"/>
      <c r="R848" s="336"/>
      <c r="S848" s="301"/>
      <c r="T848" s="336"/>
    </row>
    <row r="849" spans="1:20" ht="12" customHeight="1" x14ac:dyDescent="0.25">
      <c r="A849" s="329" t="s">
        <v>289</v>
      </c>
      <c r="B849" s="330">
        <v>6</v>
      </c>
      <c r="C849" s="298">
        <v>46181</v>
      </c>
      <c r="D849" s="299" t="s">
        <v>396</v>
      </c>
      <c r="E849" s="522">
        <v>12.84</v>
      </c>
      <c r="F849" s="522"/>
      <c r="G849" s="333">
        <f t="shared" si="25"/>
        <v>-288.39000000001403</v>
      </c>
      <c r="H849" s="334"/>
      <c r="I849" s="335"/>
      <c r="J849" s="336"/>
      <c r="K849" s="301"/>
      <c r="L849" s="336"/>
      <c r="M849" s="301"/>
      <c r="N849" s="336"/>
      <c r="O849" s="301"/>
      <c r="P849" s="336"/>
      <c r="Q849" s="301"/>
      <c r="R849" s="336"/>
      <c r="S849" s="301"/>
      <c r="T849" s="336"/>
    </row>
    <row r="850" spans="1:20" ht="12" customHeight="1" x14ac:dyDescent="0.25">
      <c r="A850" s="329" t="s">
        <v>294</v>
      </c>
      <c r="B850" s="330">
        <v>9</v>
      </c>
      <c r="C850" s="298">
        <v>46181</v>
      </c>
      <c r="D850" s="299" t="s">
        <v>58</v>
      </c>
      <c r="E850" s="522">
        <v>1231.68</v>
      </c>
      <c r="F850" s="522"/>
      <c r="G850" s="333">
        <f t="shared" si="25"/>
        <v>-275.55000000001405</v>
      </c>
      <c r="H850" s="334"/>
      <c r="I850" s="335"/>
      <c r="J850" s="336"/>
      <c r="K850" s="301"/>
      <c r="L850" s="336"/>
      <c r="M850" s="301"/>
      <c r="N850" s="336"/>
      <c r="O850" s="301"/>
      <c r="P850" s="336"/>
      <c r="Q850" s="301"/>
      <c r="R850" s="336"/>
      <c r="S850" s="301"/>
      <c r="T850" s="336"/>
    </row>
    <row r="851" spans="1:20" ht="12" customHeight="1" x14ac:dyDescent="0.25">
      <c r="A851" s="329" t="s">
        <v>289</v>
      </c>
      <c r="B851" s="330">
        <v>4</v>
      </c>
      <c r="C851" s="298">
        <v>46180</v>
      </c>
      <c r="D851" s="299" t="s">
        <v>310</v>
      </c>
      <c r="E851" s="522">
        <v>47.6</v>
      </c>
      <c r="F851" s="522"/>
      <c r="G851" s="333">
        <f t="shared" si="25"/>
        <v>956.12999999998601</v>
      </c>
      <c r="H851" s="334"/>
      <c r="I851" s="335"/>
      <c r="J851" s="336"/>
      <c r="K851" s="301"/>
      <c r="L851" s="336"/>
      <c r="M851" s="301"/>
      <c r="N851" s="336"/>
      <c r="O851" s="301"/>
      <c r="P851" s="336"/>
      <c r="Q851" s="301"/>
      <c r="R851" s="336"/>
      <c r="S851" s="301"/>
      <c r="T851" s="336"/>
    </row>
    <row r="852" spans="1:20" ht="12" customHeight="1" x14ac:dyDescent="0.25">
      <c r="A852" s="329" t="s">
        <v>289</v>
      </c>
      <c r="B852" s="330">
        <v>1</v>
      </c>
      <c r="C852" s="298">
        <v>46180</v>
      </c>
      <c r="D852" s="299" t="s">
        <v>367</v>
      </c>
      <c r="E852" s="522">
        <v>48.62</v>
      </c>
      <c r="F852" s="522"/>
      <c r="G852" s="333">
        <f t="shared" ref="G852:G862" si="26">G853-E852+F852</f>
        <v>1003.729999999986</v>
      </c>
      <c r="H852" s="334"/>
      <c r="I852" s="335"/>
      <c r="J852" s="336"/>
      <c r="K852" s="301"/>
      <c r="L852" s="336"/>
      <c r="M852" s="301"/>
      <c r="N852" s="336"/>
      <c r="O852" s="301"/>
      <c r="P852" s="336"/>
      <c r="Q852" s="301"/>
      <c r="R852" s="336"/>
      <c r="S852" s="301"/>
      <c r="T852" s="336"/>
    </row>
    <row r="853" spans="1:20" ht="12" customHeight="1" x14ac:dyDescent="0.25">
      <c r="A853" s="329" t="s">
        <v>289</v>
      </c>
      <c r="B853" s="330">
        <v>8</v>
      </c>
      <c r="C853" s="298">
        <v>46180</v>
      </c>
      <c r="D853" s="299" t="s">
        <v>362</v>
      </c>
      <c r="E853" s="522">
        <v>6.37</v>
      </c>
      <c r="F853" s="522"/>
      <c r="G853" s="333">
        <f t="shared" si="26"/>
        <v>1052.349999999986</v>
      </c>
      <c r="H853" s="334"/>
      <c r="I853" s="335"/>
      <c r="J853" s="336"/>
      <c r="K853" s="301"/>
      <c r="L853" s="336"/>
      <c r="M853" s="301"/>
      <c r="N853" s="336"/>
      <c r="O853" s="301"/>
      <c r="P853" s="336"/>
      <c r="Q853" s="301"/>
      <c r="R853" s="336"/>
      <c r="S853" s="301"/>
      <c r="T853" s="336"/>
    </row>
    <row r="854" spans="1:20" ht="12" customHeight="1" x14ac:dyDescent="0.25">
      <c r="A854" s="329" t="s">
        <v>287</v>
      </c>
      <c r="B854" s="330" t="s">
        <v>287</v>
      </c>
      <c r="C854" s="298">
        <v>46180</v>
      </c>
      <c r="D854" s="299" t="s">
        <v>888</v>
      </c>
      <c r="E854" s="522">
        <v>313.77999999999997</v>
      </c>
      <c r="F854" s="522">
        <v>313.77999999999997</v>
      </c>
      <c r="G854" s="333">
        <f t="shared" si="26"/>
        <v>1058.7199999999859</v>
      </c>
      <c r="H854" s="334"/>
      <c r="I854" s="335"/>
      <c r="J854" s="336"/>
      <c r="K854" s="301"/>
      <c r="L854" s="336"/>
      <c r="M854" s="301"/>
      <c r="N854" s="336"/>
      <c r="O854" s="301"/>
      <c r="P854" s="336"/>
      <c r="Q854" s="301"/>
      <c r="R854" s="336"/>
      <c r="S854" s="301"/>
      <c r="T854" s="336"/>
    </row>
    <row r="855" spans="1:20" ht="12" customHeight="1" x14ac:dyDescent="0.25">
      <c r="A855" s="329" t="s">
        <v>289</v>
      </c>
      <c r="B855" s="330">
        <v>6</v>
      </c>
      <c r="C855" s="298">
        <v>46180</v>
      </c>
      <c r="D855" s="299" t="s">
        <v>396</v>
      </c>
      <c r="E855" s="522">
        <v>10.86</v>
      </c>
      <c r="F855" s="522"/>
      <c r="G855" s="333">
        <f t="shared" si="26"/>
        <v>1058.7199999999859</v>
      </c>
      <c r="H855" s="334"/>
      <c r="I855" s="335"/>
      <c r="J855" s="336"/>
      <c r="K855" s="301"/>
      <c r="L855" s="336"/>
      <c r="M855" s="301"/>
      <c r="N855" s="336"/>
      <c r="O855" s="301"/>
      <c r="P855" s="336"/>
      <c r="Q855" s="301"/>
      <c r="R855" s="336"/>
      <c r="S855" s="301"/>
      <c r="T855" s="336"/>
    </row>
    <row r="856" spans="1:20" ht="12" customHeight="1" x14ac:dyDescent="0.25">
      <c r="A856" s="329" t="s">
        <v>294</v>
      </c>
      <c r="B856" s="330">
        <v>14</v>
      </c>
      <c r="C856" s="298">
        <v>46179</v>
      </c>
      <c r="D856" s="299" t="s">
        <v>365</v>
      </c>
      <c r="E856" s="522">
        <v>66.67</v>
      </c>
      <c r="F856" s="522"/>
      <c r="G856" s="333">
        <f t="shared" si="26"/>
        <v>1069.5799999999858</v>
      </c>
      <c r="H856" s="334"/>
      <c r="I856" s="335"/>
      <c r="J856" s="336"/>
      <c r="K856" s="301"/>
      <c r="L856" s="336"/>
      <c r="M856" s="301"/>
      <c r="N856" s="336"/>
      <c r="O856" s="301"/>
      <c r="P856" s="336"/>
      <c r="Q856" s="301"/>
      <c r="R856" s="336"/>
      <c r="S856" s="301"/>
      <c r="T856" s="336"/>
    </row>
    <row r="857" spans="1:20" ht="12" customHeight="1" x14ac:dyDescent="0.25">
      <c r="A857" s="329" t="s">
        <v>289</v>
      </c>
      <c r="B857" s="330">
        <v>5</v>
      </c>
      <c r="C857" s="298">
        <v>46179</v>
      </c>
      <c r="D857" s="299" t="s">
        <v>904</v>
      </c>
      <c r="E857" s="522">
        <v>20</v>
      </c>
      <c r="F857" s="522"/>
      <c r="G857" s="333">
        <f t="shared" si="26"/>
        <v>1136.2499999999859</v>
      </c>
      <c r="H857" s="334"/>
      <c r="I857" s="335"/>
      <c r="J857" s="336"/>
      <c r="K857" s="301"/>
      <c r="L857" s="336"/>
      <c r="M857" s="301"/>
      <c r="N857" s="336"/>
      <c r="O857" s="301"/>
      <c r="P857" s="336"/>
      <c r="Q857" s="301"/>
      <c r="R857" s="336"/>
      <c r="S857" s="301"/>
      <c r="T857" s="336"/>
    </row>
    <row r="858" spans="1:20" ht="12" customHeight="1" x14ac:dyDescent="0.25">
      <c r="A858" s="329" t="s">
        <v>289</v>
      </c>
      <c r="B858" s="330">
        <v>1</v>
      </c>
      <c r="C858" s="298">
        <v>46179</v>
      </c>
      <c r="D858" s="299" t="s">
        <v>829</v>
      </c>
      <c r="E858" s="522">
        <v>54.06</v>
      </c>
      <c r="F858" s="522"/>
      <c r="G858" s="333">
        <f t="shared" si="26"/>
        <v>1156.2499999999859</v>
      </c>
      <c r="H858" s="334"/>
      <c r="I858" s="335"/>
      <c r="J858" s="336"/>
      <c r="K858" s="301"/>
      <c r="L858" s="336"/>
      <c r="M858" s="301"/>
      <c r="N858" s="336"/>
      <c r="O858" s="301"/>
      <c r="P858" s="336"/>
      <c r="Q858" s="301"/>
      <c r="R858" s="336"/>
      <c r="S858" s="301"/>
      <c r="T858" s="336"/>
    </row>
    <row r="859" spans="1:20" ht="12" customHeight="1" x14ac:dyDescent="0.25">
      <c r="A859" s="329" t="s">
        <v>289</v>
      </c>
      <c r="B859" s="330">
        <v>6</v>
      </c>
      <c r="C859" s="298">
        <v>46179</v>
      </c>
      <c r="D859" s="299" t="s">
        <v>901</v>
      </c>
      <c r="E859" s="522">
        <v>19.98</v>
      </c>
      <c r="F859" s="522"/>
      <c r="G859" s="333">
        <f t="shared" si="26"/>
        <v>1210.3099999999858</v>
      </c>
      <c r="H859" s="334"/>
      <c r="I859" s="335"/>
      <c r="J859" s="336"/>
      <c r="K859" s="301"/>
      <c r="L859" s="336"/>
      <c r="M859" s="301"/>
      <c r="N859" s="336"/>
      <c r="O859" s="301"/>
      <c r="P859" s="336"/>
      <c r="Q859" s="301"/>
      <c r="R859" s="336"/>
      <c r="S859" s="301"/>
      <c r="T859" s="336"/>
    </row>
    <row r="860" spans="1:20" ht="12" customHeight="1" x14ac:dyDescent="0.25">
      <c r="A860" s="329" t="s">
        <v>289</v>
      </c>
      <c r="B860" s="330">
        <v>6</v>
      </c>
      <c r="C860" s="298">
        <v>46179</v>
      </c>
      <c r="D860" s="299" t="s">
        <v>883</v>
      </c>
      <c r="E860" s="522">
        <v>100</v>
      </c>
      <c r="F860" s="522"/>
      <c r="G860" s="333">
        <f t="shared" si="26"/>
        <v>1230.2899999999859</v>
      </c>
      <c r="H860" s="334"/>
      <c r="I860" s="335"/>
      <c r="J860" s="336"/>
      <c r="K860" s="301"/>
      <c r="L860" s="336"/>
      <c r="M860" s="301"/>
      <c r="N860" s="336"/>
      <c r="O860" s="301"/>
      <c r="P860" s="336"/>
      <c r="Q860" s="301"/>
      <c r="R860" s="336"/>
      <c r="S860" s="301"/>
      <c r="T860" s="336"/>
    </row>
    <row r="861" spans="1:20" ht="12" customHeight="1" x14ac:dyDescent="0.25">
      <c r="A861" s="329" t="s">
        <v>289</v>
      </c>
      <c r="B861" s="330">
        <v>8</v>
      </c>
      <c r="C861" s="298">
        <v>46178</v>
      </c>
      <c r="D861" s="299" t="s">
        <v>319</v>
      </c>
      <c r="E861" s="522">
        <v>179.72</v>
      </c>
      <c r="F861" s="522"/>
      <c r="G861" s="333">
        <f t="shared" si="26"/>
        <v>1330.2899999999859</v>
      </c>
      <c r="H861" s="334"/>
      <c r="I861" s="335"/>
      <c r="J861" s="336"/>
      <c r="K861" s="301"/>
      <c r="L861" s="336"/>
      <c r="M861" s="301"/>
      <c r="N861" s="336"/>
      <c r="O861" s="301"/>
      <c r="P861" s="336"/>
      <c r="Q861" s="301"/>
      <c r="R861" s="336"/>
      <c r="S861" s="301"/>
      <c r="T861" s="336"/>
    </row>
    <row r="862" spans="1:20" ht="12" customHeight="1" x14ac:dyDescent="0.25">
      <c r="A862" s="329" t="s">
        <v>289</v>
      </c>
      <c r="B862" s="330">
        <v>4</v>
      </c>
      <c r="C862" s="298">
        <v>46178</v>
      </c>
      <c r="D862" s="299" t="s">
        <v>902</v>
      </c>
      <c r="E862" s="522">
        <v>41.26</v>
      </c>
      <c r="F862" s="522"/>
      <c r="G862" s="333">
        <f t="shared" si="26"/>
        <v>1510.0099999999859</v>
      </c>
      <c r="H862" s="334"/>
      <c r="I862" s="335"/>
      <c r="J862" s="336"/>
      <c r="K862" s="301"/>
      <c r="L862" s="336"/>
      <c r="M862" s="301"/>
      <c r="N862" s="336"/>
      <c r="O862" s="301"/>
      <c r="P862" s="336"/>
      <c r="Q862" s="301"/>
      <c r="R862" s="336"/>
      <c r="S862" s="301"/>
      <c r="T862" s="336"/>
    </row>
    <row r="863" spans="1:20" ht="12" customHeight="1" x14ac:dyDescent="0.25">
      <c r="A863" s="329" t="s">
        <v>289</v>
      </c>
      <c r="B863" s="330">
        <v>2</v>
      </c>
      <c r="C863" s="298">
        <v>46178</v>
      </c>
      <c r="D863" s="299" t="s">
        <v>357</v>
      </c>
      <c r="E863" s="522">
        <v>10.07</v>
      </c>
      <c r="F863" s="522"/>
      <c r="G863" s="333">
        <f t="shared" ref="G863:G875" si="27">G864-E863+F863</f>
        <v>1551.2699999999859</v>
      </c>
      <c r="H863" s="334"/>
      <c r="I863" s="335"/>
      <c r="J863" s="336"/>
      <c r="K863" s="301"/>
      <c r="L863" s="336"/>
      <c r="M863" s="301"/>
      <c r="N863" s="336"/>
      <c r="O863" s="301"/>
      <c r="P863" s="336"/>
      <c r="Q863" s="301"/>
      <c r="R863" s="336"/>
      <c r="S863" s="301"/>
      <c r="T863" s="336"/>
    </row>
    <row r="864" spans="1:20" ht="12" customHeight="1" x14ac:dyDescent="0.25">
      <c r="A864" s="329" t="s">
        <v>289</v>
      </c>
      <c r="B864" s="330">
        <v>2</v>
      </c>
      <c r="C864" s="298">
        <v>46178</v>
      </c>
      <c r="D864" s="299" t="s">
        <v>903</v>
      </c>
      <c r="E864" s="522">
        <v>11.75</v>
      </c>
      <c r="F864" s="522"/>
      <c r="G864" s="333">
        <f t="shared" si="27"/>
        <v>1561.3399999999858</v>
      </c>
      <c r="H864" s="334"/>
      <c r="I864" s="335"/>
      <c r="J864" s="336"/>
      <c r="K864" s="301"/>
      <c r="L864" s="336"/>
      <c r="M864" s="301"/>
      <c r="N864" s="336"/>
      <c r="O864" s="301"/>
      <c r="P864" s="336"/>
      <c r="Q864" s="301"/>
      <c r="R864" s="336"/>
      <c r="S864" s="301"/>
      <c r="T864" s="336"/>
    </row>
    <row r="865" spans="1:20" ht="12" customHeight="1" x14ac:dyDescent="0.25">
      <c r="A865" s="329" t="s">
        <v>335</v>
      </c>
      <c r="B865" s="330" t="s">
        <v>335</v>
      </c>
      <c r="C865" s="298">
        <v>46178</v>
      </c>
      <c r="D865" s="299" t="s">
        <v>182</v>
      </c>
      <c r="E865" s="522">
        <v>39.659999999999997</v>
      </c>
      <c r="F865" s="522"/>
      <c r="G865" s="333">
        <f t="shared" si="27"/>
        <v>1573.0899999999858</v>
      </c>
      <c r="H865" s="334"/>
      <c r="I865" s="335"/>
      <c r="J865" s="336"/>
      <c r="K865" s="301"/>
      <c r="L865" s="336"/>
      <c r="M865" s="301"/>
      <c r="N865" s="336"/>
      <c r="O865" s="301"/>
      <c r="P865" s="336"/>
      <c r="Q865" s="301"/>
      <c r="R865" s="336"/>
      <c r="S865" s="301"/>
      <c r="T865" s="336"/>
    </row>
    <row r="866" spans="1:20" ht="12" customHeight="1" x14ac:dyDescent="0.25">
      <c r="A866" s="329" t="s">
        <v>289</v>
      </c>
      <c r="B866" s="330">
        <v>6</v>
      </c>
      <c r="C866" s="298">
        <v>46178</v>
      </c>
      <c r="D866" s="299" t="s">
        <v>300</v>
      </c>
      <c r="E866" s="522">
        <v>9.57</v>
      </c>
      <c r="F866" s="522"/>
      <c r="G866" s="333">
        <f t="shared" si="27"/>
        <v>1612.7499999999859</v>
      </c>
      <c r="H866" s="334"/>
      <c r="I866" s="335"/>
      <c r="J866" s="336"/>
      <c r="K866" s="301"/>
      <c r="L866" s="336"/>
      <c r="M866" s="301"/>
      <c r="N866" s="336"/>
      <c r="O866" s="301"/>
      <c r="P866" s="336"/>
      <c r="Q866" s="301"/>
      <c r="R866" s="336"/>
      <c r="S866" s="301"/>
      <c r="T866" s="336"/>
    </row>
    <row r="867" spans="1:20" ht="12" customHeight="1" x14ac:dyDescent="0.25">
      <c r="A867" s="329" t="s">
        <v>289</v>
      </c>
      <c r="B867" s="330">
        <v>2</v>
      </c>
      <c r="C867" s="298">
        <v>46178</v>
      </c>
      <c r="D867" s="299" t="s">
        <v>375</v>
      </c>
      <c r="E867" s="522">
        <v>46.65</v>
      </c>
      <c r="F867" s="522"/>
      <c r="G867" s="333">
        <f t="shared" si="27"/>
        <v>1622.3199999999858</v>
      </c>
      <c r="H867" s="334"/>
      <c r="I867" s="335"/>
      <c r="J867" s="336"/>
      <c r="K867" s="301"/>
      <c r="L867" s="336"/>
      <c r="M867" s="301"/>
      <c r="N867" s="336"/>
      <c r="O867" s="301"/>
      <c r="P867" s="336"/>
      <c r="Q867" s="301"/>
      <c r="R867" s="336"/>
      <c r="S867" s="301"/>
      <c r="T867" s="336"/>
    </row>
    <row r="868" spans="1:20" ht="12" customHeight="1" x14ac:dyDescent="0.25">
      <c r="A868" s="329" t="s">
        <v>289</v>
      </c>
      <c r="B868" s="330">
        <v>4</v>
      </c>
      <c r="C868" s="298">
        <v>46177</v>
      </c>
      <c r="D868" s="299" t="s">
        <v>296</v>
      </c>
      <c r="E868" s="522">
        <v>43.69</v>
      </c>
      <c r="F868" s="522"/>
      <c r="G868" s="333">
        <f t="shared" si="27"/>
        <v>1668.9699999999859</v>
      </c>
      <c r="H868" s="334"/>
      <c r="I868" s="335"/>
      <c r="J868" s="336"/>
      <c r="K868" s="301"/>
      <c r="L868" s="336"/>
      <c r="M868" s="301"/>
      <c r="N868" s="336"/>
      <c r="O868" s="301"/>
      <c r="P868" s="336"/>
      <c r="Q868" s="301"/>
      <c r="R868" s="336"/>
      <c r="S868" s="301"/>
      <c r="T868" s="336"/>
    </row>
    <row r="869" spans="1:20" ht="12" customHeight="1" x14ac:dyDescent="0.25">
      <c r="A869" s="329" t="s">
        <v>289</v>
      </c>
      <c r="B869" s="330">
        <v>3</v>
      </c>
      <c r="C869" s="298">
        <v>46177</v>
      </c>
      <c r="D869" s="299" t="s">
        <v>334</v>
      </c>
      <c r="E869" s="522">
        <v>8.52</v>
      </c>
      <c r="F869" s="522"/>
      <c r="G869" s="333">
        <f t="shared" si="27"/>
        <v>1712.659999999986</v>
      </c>
      <c r="H869" s="334"/>
      <c r="I869" s="335"/>
      <c r="J869" s="336"/>
      <c r="K869" s="301"/>
      <c r="L869" s="336"/>
      <c r="M869" s="301"/>
      <c r="N869" s="336"/>
      <c r="O869" s="301"/>
      <c r="P869" s="336"/>
      <c r="Q869" s="301"/>
      <c r="R869" s="336"/>
      <c r="S869" s="301"/>
      <c r="T869" s="336"/>
    </row>
    <row r="870" spans="1:20" ht="12" customHeight="1" x14ac:dyDescent="0.25">
      <c r="A870" s="329" t="s">
        <v>294</v>
      </c>
      <c r="B870" s="330">
        <v>14</v>
      </c>
      <c r="C870" s="298">
        <v>46177</v>
      </c>
      <c r="D870" s="299" t="s">
        <v>366</v>
      </c>
      <c r="E870" s="522">
        <v>70.25</v>
      </c>
      <c r="F870" s="522"/>
      <c r="G870" s="333">
        <f t="shared" si="27"/>
        <v>1721.179999999986</v>
      </c>
      <c r="H870" s="334"/>
      <c r="I870" s="335"/>
      <c r="J870" s="336"/>
      <c r="K870" s="301"/>
      <c r="L870" s="336"/>
      <c r="M870" s="301"/>
      <c r="N870" s="336"/>
      <c r="O870" s="301"/>
      <c r="P870" s="336"/>
      <c r="Q870" s="301"/>
      <c r="R870" s="336"/>
      <c r="S870" s="301"/>
      <c r="T870" s="336"/>
    </row>
    <row r="871" spans="1:20" ht="12" customHeight="1" x14ac:dyDescent="0.25">
      <c r="A871" s="329" t="s">
        <v>289</v>
      </c>
      <c r="B871" s="330">
        <v>2</v>
      </c>
      <c r="C871" s="298">
        <v>46177</v>
      </c>
      <c r="D871" s="299" t="s">
        <v>385</v>
      </c>
      <c r="E871" s="522">
        <v>14.38</v>
      </c>
      <c r="F871" s="522"/>
      <c r="G871" s="333">
        <f t="shared" si="27"/>
        <v>1791.429999999986</v>
      </c>
      <c r="H871" s="334"/>
      <c r="I871" s="335"/>
      <c r="J871" s="336"/>
      <c r="K871" s="301"/>
      <c r="L871" s="336"/>
      <c r="M871" s="301"/>
      <c r="N871" s="336"/>
      <c r="O871" s="301"/>
      <c r="P871" s="336"/>
      <c r="Q871" s="301"/>
      <c r="R871" s="336"/>
      <c r="S871" s="301"/>
      <c r="T871" s="336"/>
    </row>
    <row r="872" spans="1:20" ht="12" customHeight="1" x14ac:dyDescent="0.25">
      <c r="A872" s="329" t="s">
        <v>294</v>
      </c>
      <c r="B872" s="330">
        <v>13</v>
      </c>
      <c r="C872" s="298">
        <v>46177</v>
      </c>
      <c r="D872" s="299" t="s">
        <v>900</v>
      </c>
      <c r="E872" s="522">
        <v>122.46</v>
      </c>
      <c r="F872" s="522"/>
      <c r="G872" s="333">
        <f t="shared" si="27"/>
        <v>1805.8099999999861</v>
      </c>
      <c r="H872" s="334"/>
      <c r="I872" s="335"/>
      <c r="J872" s="336"/>
      <c r="K872" s="301"/>
      <c r="L872" s="336"/>
      <c r="M872" s="301"/>
      <c r="N872" s="336"/>
      <c r="O872" s="301"/>
      <c r="P872" s="336"/>
      <c r="Q872" s="301"/>
      <c r="R872" s="336"/>
      <c r="S872" s="301"/>
      <c r="T872" s="336"/>
    </row>
    <row r="873" spans="1:20" ht="12" customHeight="1" x14ac:dyDescent="0.25">
      <c r="A873" s="329" t="s">
        <v>294</v>
      </c>
      <c r="B873" s="330">
        <v>17</v>
      </c>
      <c r="C873" s="298">
        <v>46177</v>
      </c>
      <c r="D873" s="299" t="s">
        <v>369</v>
      </c>
      <c r="E873" s="522">
        <v>99</v>
      </c>
      <c r="F873" s="522"/>
      <c r="G873" s="333">
        <f t="shared" si="27"/>
        <v>1928.2699999999861</v>
      </c>
      <c r="H873" s="334"/>
      <c r="I873" s="335"/>
      <c r="J873" s="336"/>
      <c r="K873" s="301"/>
      <c r="L873" s="336"/>
      <c r="M873" s="301"/>
      <c r="N873" s="336"/>
      <c r="O873" s="301"/>
      <c r="P873" s="336"/>
      <c r="Q873" s="301"/>
      <c r="R873" s="336"/>
      <c r="S873" s="301"/>
      <c r="T873" s="336"/>
    </row>
    <row r="874" spans="1:20" ht="12" customHeight="1" x14ac:dyDescent="0.25">
      <c r="A874" s="329" t="s">
        <v>294</v>
      </c>
      <c r="B874" s="330">
        <v>22</v>
      </c>
      <c r="C874" s="298">
        <v>46176</v>
      </c>
      <c r="D874" s="299" t="s">
        <v>859</v>
      </c>
      <c r="E874" s="522">
        <v>12.77</v>
      </c>
      <c r="F874" s="522"/>
      <c r="G874" s="333">
        <f t="shared" si="27"/>
        <v>2027.2699999999861</v>
      </c>
      <c r="H874" s="334"/>
      <c r="I874" s="335"/>
      <c r="J874" s="336"/>
      <c r="K874" s="301"/>
      <c r="L874" s="336"/>
      <c r="M874" s="301"/>
      <c r="N874" s="336"/>
      <c r="O874" s="301"/>
      <c r="P874" s="336"/>
      <c r="Q874" s="301"/>
      <c r="R874" s="336"/>
      <c r="S874" s="301"/>
      <c r="T874" s="336"/>
    </row>
    <row r="875" spans="1:20" ht="12" customHeight="1" x14ac:dyDescent="0.25">
      <c r="A875" s="329" t="s">
        <v>289</v>
      </c>
      <c r="B875" s="330">
        <v>8</v>
      </c>
      <c r="C875" s="298">
        <v>46176</v>
      </c>
      <c r="D875" s="299" t="s">
        <v>319</v>
      </c>
      <c r="E875" s="522">
        <v>11.55</v>
      </c>
      <c r="F875" s="522"/>
      <c r="G875" s="333">
        <f t="shared" si="27"/>
        <v>2040.0399999999861</v>
      </c>
      <c r="H875" s="334"/>
      <c r="I875" s="335"/>
      <c r="J875" s="336"/>
      <c r="K875" s="301"/>
      <c r="L875" s="336"/>
      <c r="M875" s="301"/>
      <c r="N875" s="336"/>
      <c r="O875" s="301"/>
      <c r="P875" s="336"/>
      <c r="Q875" s="301"/>
      <c r="R875" s="336"/>
      <c r="S875" s="301"/>
      <c r="T875" s="336"/>
    </row>
    <row r="876" spans="1:20" ht="12" customHeight="1" x14ac:dyDescent="0.25">
      <c r="A876" s="329" t="s">
        <v>289</v>
      </c>
      <c r="B876" s="330">
        <v>1</v>
      </c>
      <c r="C876" s="298">
        <v>46176</v>
      </c>
      <c r="D876" s="299" t="s">
        <v>306</v>
      </c>
      <c r="E876" s="522">
        <v>96.16</v>
      </c>
      <c r="F876" s="522"/>
      <c r="G876" s="333">
        <f t="shared" ref="G876:G934" si="28">G877-E876+F876</f>
        <v>2051.589999999986</v>
      </c>
      <c r="H876" s="334"/>
      <c r="I876" s="335"/>
      <c r="J876" s="336"/>
      <c r="K876" s="301"/>
      <c r="L876" s="336"/>
      <c r="M876" s="301"/>
      <c r="N876" s="336"/>
      <c r="O876" s="301"/>
      <c r="P876" s="336"/>
      <c r="Q876" s="301"/>
      <c r="R876" s="336"/>
      <c r="S876" s="301"/>
      <c r="T876" s="336"/>
    </row>
    <row r="877" spans="1:20" ht="12" customHeight="1" x14ac:dyDescent="0.25">
      <c r="A877" s="329" t="s">
        <v>289</v>
      </c>
      <c r="B877" s="330">
        <v>2</v>
      </c>
      <c r="C877" s="298">
        <v>46175</v>
      </c>
      <c r="D877" s="299" t="s">
        <v>897</v>
      </c>
      <c r="E877" s="522">
        <v>21.38</v>
      </c>
      <c r="F877" s="522"/>
      <c r="G877" s="333">
        <f t="shared" si="28"/>
        <v>2147.7499999999859</v>
      </c>
      <c r="H877" s="334"/>
      <c r="I877" s="335"/>
      <c r="J877" s="336"/>
      <c r="K877" s="301"/>
      <c r="L877" s="336"/>
      <c r="M877" s="301"/>
      <c r="N877" s="336"/>
      <c r="O877" s="301"/>
      <c r="P877" s="336"/>
      <c r="Q877" s="301"/>
      <c r="R877" s="336"/>
      <c r="S877" s="301"/>
      <c r="T877" s="336"/>
    </row>
    <row r="878" spans="1:20" ht="12" customHeight="1" x14ac:dyDescent="0.25">
      <c r="A878" s="329" t="s">
        <v>289</v>
      </c>
      <c r="B878" s="330">
        <v>2</v>
      </c>
      <c r="C878" s="298">
        <v>46175</v>
      </c>
      <c r="D878" s="299" t="s">
        <v>385</v>
      </c>
      <c r="E878" s="522">
        <v>14.38</v>
      </c>
      <c r="F878" s="522"/>
      <c r="G878" s="333">
        <f t="shared" si="28"/>
        <v>2169.129999999986</v>
      </c>
      <c r="H878" s="334"/>
      <c r="I878" s="335"/>
      <c r="J878" s="336"/>
      <c r="K878" s="301"/>
      <c r="L878" s="336"/>
      <c r="M878" s="301"/>
      <c r="N878" s="336"/>
      <c r="O878" s="301"/>
      <c r="P878" s="336"/>
      <c r="Q878" s="301"/>
      <c r="R878" s="336"/>
      <c r="S878" s="301"/>
      <c r="T878" s="336"/>
    </row>
    <row r="879" spans="1:20" ht="12" customHeight="1" x14ac:dyDescent="0.25">
      <c r="A879" s="329" t="s">
        <v>289</v>
      </c>
      <c r="B879" s="330">
        <v>6</v>
      </c>
      <c r="C879" s="298">
        <v>46175</v>
      </c>
      <c r="D879" s="299" t="s">
        <v>432</v>
      </c>
      <c r="E879" s="522">
        <v>-142</v>
      </c>
      <c r="F879" s="522"/>
      <c r="G879" s="333">
        <f t="shared" si="28"/>
        <v>2183.5099999999861</v>
      </c>
      <c r="H879" s="334"/>
      <c r="I879" s="335"/>
      <c r="J879" s="336"/>
      <c r="K879" s="301"/>
      <c r="L879" s="336"/>
      <c r="M879" s="301"/>
      <c r="N879" s="336"/>
      <c r="O879" s="301"/>
      <c r="P879" s="336"/>
      <c r="Q879" s="301"/>
      <c r="R879" s="336"/>
      <c r="S879" s="301"/>
      <c r="T879" s="336"/>
    </row>
    <row r="880" spans="1:20" ht="12" customHeight="1" x14ac:dyDescent="0.25">
      <c r="A880" s="329" t="s">
        <v>284</v>
      </c>
      <c r="B880" s="330">
        <v>36</v>
      </c>
      <c r="C880" s="298">
        <v>46175</v>
      </c>
      <c r="D880" s="299" t="s">
        <v>373</v>
      </c>
      <c r="E880" s="522">
        <v>50</v>
      </c>
      <c r="F880" s="522"/>
      <c r="G880" s="333">
        <f t="shared" si="28"/>
        <v>2041.5099999999861</v>
      </c>
      <c r="H880" s="334"/>
      <c r="I880" s="335"/>
      <c r="J880" s="336"/>
      <c r="K880" s="301"/>
      <c r="L880" s="336"/>
      <c r="M880" s="301"/>
      <c r="N880" s="336"/>
      <c r="O880" s="301"/>
      <c r="P880" s="336"/>
      <c r="Q880" s="301"/>
      <c r="R880" s="336"/>
      <c r="S880" s="301"/>
      <c r="T880" s="336"/>
    </row>
    <row r="881" spans="1:20" ht="12" customHeight="1" x14ac:dyDescent="0.25">
      <c r="A881" s="329" t="s">
        <v>294</v>
      </c>
      <c r="B881" s="330">
        <v>22</v>
      </c>
      <c r="C881" s="298">
        <v>46175</v>
      </c>
      <c r="D881" s="299" t="s">
        <v>374</v>
      </c>
      <c r="E881" s="522">
        <v>6.37</v>
      </c>
      <c r="F881" s="522"/>
      <c r="G881" s="333">
        <f t="shared" si="28"/>
        <v>2091.5099999999861</v>
      </c>
      <c r="H881" s="334"/>
      <c r="I881" s="335"/>
      <c r="J881" s="336"/>
      <c r="K881" s="301"/>
      <c r="L881" s="336"/>
      <c r="M881" s="301"/>
      <c r="N881" s="336"/>
      <c r="O881" s="301"/>
      <c r="P881" s="336"/>
      <c r="Q881" s="301"/>
      <c r="R881" s="336"/>
      <c r="S881" s="301"/>
      <c r="T881" s="336"/>
    </row>
    <row r="882" spans="1:20" ht="12" customHeight="1" x14ac:dyDescent="0.25">
      <c r="A882" s="329" t="s">
        <v>289</v>
      </c>
      <c r="B882" s="330">
        <v>1</v>
      </c>
      <c r="C882" s="298">
        <v>46174</v>
      </c>
      <c r="D882" s="299" t="s">
        <v>306</v>
      </c>
      <c r="E882" s="522">
        <v>84.03</v>
      </c>
      <c r="F882" s="522"/>
      <c r="G882" s="333">
        <f t="shared" si="28"/>
        <v>2097.879999999986</v>
      </c>
      <c r="H882" s="334"/>
      <c r="I882" s="335"/>
      <c r="J882" s="336"/>
      <c r="K882" s="301"/>
      <c r="L882" s="336"/>
      <c r="M882" s="301"/>
      <c r="N882" s="336"/>
      <c r="O882" s="301"/>
      <c r="P882" s="336"/>
      <c r="Q882" s="301"/>
      <c r="R882" s="336"/>
      <c r="S882" s="301"/>
      <c r="T882" s="336"/>
    </row>
    <row r="883" spans="1:20" ht="12" customHeight="1" x14ac:dyDescent="0.25">
      <c r="A883" s="329" t="s">
        <v>289</v>
      </c>
      <c r="B883" s="330">
        <v>3</v>
      </c>
      <c r="C883" s="298">
        <v>46174</v>
      </c>
      <c r="D883" s="299" t="s">
        <v>296</v>
      </c>
      <c r="E883" s="522">
        <v>10.31</v>
      </c>
      <c r="F883" s="522"/>
      <c r="G883" s="333">
        <f t="shared" si="28"/>
        <v>2181.9099999999862</v>
      </c>
      <c r="H883" s="334"/>
      <c r="I883" s="335"/>
      <c r="J883" s="336"/>
      <c r="K883" s="301"/>
      <c r="L883" s="336"/>
      <c r="M883" s="301"/>
      <c r="N883" s="336"/>
      <c r="O883" s="301"/>
      <c r="P883" s="336"/>
      <c r="Q883" s="301"/>
      <c r="R883" s="336"/>
      <c r="S883" s="301"/>
      <c r="T883" s="336"/>
    </row>
    <row r="884" spans="1:20" ht="12" customHeight="1" x14ac:dyDescent="0.25">
      <c r="A884" s="329" t="s">
        <v>289</v>
      </c>
      <c r="B884" s="330">
        <v>2</v>
      </c>
      <c r="C884" s="298">
        <v>46174</v>
      </c>
      <c r="D884" s="299" t="s">
        <v>301</v>
      </c>
      <c r="E884" s="522">
        <v>16.05</v>
      </c>
      <c r="F884" s="522"/>
      <c r="G884" s="333">
        <f t="shared" si="28"/>
        <v>2192.2199999999862</v>
      </c>
      <c r="H884" s="334"/>
      <c r="I884" s="335"/>
      <c r="J884" s="336"/>
      <c r="K884" s="301"/>
      <c r="L884" s="336"/>
      <c r="M884" s="301"/>
      <c r="N884" s="336"/>
      <c r="O884" s="301"/>
      <c r="P884" s="336"/>
      <c r="Q884" s="301"/>
      <c r="R884" s="336"/>
      <c r="S884" s="301"/>
      <c r="T884" s="336"/>
    </row>
    <row r="885" spans="1:20" ht="12" customHeight="1" x14ac:dyDescent="0.25">
      <c r="A885" s="329" t="s">
        <v>289</v>
      </c>
      <c r="B885" s="330">
        <v>1</v>
      </c>
      <c r="C885" s="298">
        <v>46174</v>
      </c>
      <c r="D885" s="299" t="s">
        <v>455</v>
      </c>
      <c r="E885" s="522">
        <v>50.44</v>
      </c>
      <c r="F885" s="522"/>
      <c r="G885" s="333">
        <f t="shared" si="28"/>
        <v>2208.2699999999863</v>
      </c>
      <c r="H885" s="334"/>
      <c r="I885" s="335"/>
      <c r="J885" s="336"/>
      <c r="K885" s="301"/>
      <c r="L885" s="336"/>
      <c r="M885" s="301"/>
      <c r="N885" s="336"/>
      <c r="O885" s="301"/>
      <c r="P885" s="336"/>
      <c r="Q885" s="301"/>
      <c r="R885" s="336"/>
      <c r="S885" s="301"/>
      <c r="T885" s="336"/>
    </row>
    <row r="886" spans="1:20" ht="12" customHeight="1" x14ac:dyDescent="0.25">
      <c r="A886" s="329" t="s">
        <v>289</v>
      </c>
      <c r="B886" s="330">
        <v>6</v>
      </c>
      <c r="C886" s="298">
        <v>46174</v>
      </c>
      <c r="D886" s="299" t="s">
        <v>896</v>
      </c>
      <c r="E886" s="522">
        <v>9.99</v>
      </c>
      <c r="F886" s="522"/>
      <c r="G886" s="333">
        <f t="shared" si="28"/>
        <v>2258.7099999999864</v>
      </c>
      <c r="H886" s="334"/>
      <c r="I886" s="335"/>
      <c r="J886" s="336"/>
      <c r="K886" s="301"/>
      <c r="L886" s="336"/>
      <c r="M886" s="301"/>
      <c r="N886" s="336"/>
      <c r="O886" s="301"/>
      <c r="P886" s="336"/>
      <c r="Q886" s="301"/>
      <c r="R886" s="336"/>
      <c r="S886" s="301"/>
      <c r="T886" s="336"/>
    </row>
    <row r="887" spans="1:20" ht="12" customHeight="1" x14ac:dyDescent="0.25">
      <c r="A887" s="329" t="s">
        <v>289</v>
      </c>
      <c r="B887" s="330">
        <v>4</v>
      </c>
      <c r="C887" s="298">
        <v>46174</v>
      </c>
      <c r="D887" s="299" t="s">
        <v>310</v>
      </c>
      <c r="E887" s="522">
        <v>44.98</v>
      </c>
      <c r="F887" s="522"/>
      <c r="G887" s="333">
        <f t="shared" si="28"/>
        <v>2268.6999999999862</v>
      </c>
      <c r="H887" s="334"/>
      <c r="I887" s="335"/>
      <c r="J887" s="336"/>
      <c r="K887" s="301"/>
      <c r="L887" s="336"/>
      <c r="M887" s="301"/>
      <c r="N887" s="336"/>
      <c r="O887" s="301"/>
      <c r="P887" s="336"/>
      <c r="Q887" s="301"/>
      <c r="R887" s="336"/>
      <c r="S887" s="301"/>
      <c r="T887" s="336"/>
    </row>
    <row r="888" spans="1:20" ht="12" customHeight="1" x14ac:dyDescent="0.25">
      <c r="A888" s="329" t="s">
        <v>289</v>
      </c>
      <c r="B888" s="330">
        <v>1</v>
      </c>
      <c r="C888" s="298">
        <v>46174</v>
      </c>
      <c r="D888" s="299" t="s">
        <v>311</v>
      </c>
      <c r="E888" s="522">
        <v>106.14</v>
      </c>
      <c r="F888" s="522"/>
      <c r="G888" s="333">
        <f t="shared" si="28"/>
        <v>2313.6799999999862</v>
      </c>
      <c r="H888" s="334"/>
      <c r="I888" s="335"/>
      <c r="J888" s="336"/>
      <c r="K888" s="301"/>
      <c r="L888" s="336"/>
      <c r="M888" s="301"/>
      <c r="N888" s="336"/>
      <c r="O888" s="301"/>
      <c r="P888" s="336"/>
      <c r="Q888" s="301"/>
      <c r="R888" s="336"/>
      <c r="S888" s="301"/>
      <c r="T888" s="336"/>
    </row>
    <row r="889" spans="1:20" ht="12" customHeight="1" x14ac:dyDescent="0.25">
      <c r="A889" s="329" t="s">
        <v>294</v>
      </c>
      <c r="B889" s="330">
        <v>16</v>
      </c>
      <c r="C889" s="298">
        <v>46174</v>
      </c>
      <c r="D889" s="299" t="s">
        <v>622</v>
      </c>
      <c r="E889" s="522">
        <v>62.31</v>
      </c>
      <c r="F889" s="522"/>
      <c r="G889" s="333">
        <f t="shared" si="28"/>
        <v>2419.8199999999861</v>
      </c>
      <c r="H889" s="334"/>
      <c r="I889" s="335"/>
      <c r="J889" s="336"/>
      <c r="K889" s="301"/>
      <c r="L889" s="336"/>
      <c r="M889" s="301"/>
      <c r="N889" s="336"/>
      <c r="O889" s="301"/>
      <c r="P889" s="336"/>
      <c r="Q889" s="301"/>
      <c r="R889" s="336"/>
      <c r="S889" s="301"/>
      <c r="T889" s="336"/>
    </row>
    <row r="890" spans="1:20" ht="12" customHeight="1" x14ac:dyDescent="0.25">
      <c r="A890" s="329" t="s">
        <v>289</v>
      </c>
      <c r="B890" s="330">
        <v>3</v>
      </c>
      <c r="C890" s="298">
        <v>46174</v>
      </c>
      <c r="D890" s="299" t="s">
        <v>350</v>
      </c>
      <c r="E890" s="522">
        <v>8.1</v>
      </c>
      <c r="F890" s="522"/>
      <c r="G890" s="333">
        <f t="shared" si="28"/>
        <v>2482.129999999986</v>
      </c>
      <c r="H890" s="334"/>
      <c r="I890" s="335"/>
      <c r="J890" s="336"/>
      <c r="K890" s="301"/>
      <c r="L890" s="336"/>
      <c r="M890" s="301"/>
      <c r="N890" s="336"/>
      <c r="O890" s="301"/>
      <c r="P890" s="336"/>
      <c r="Q890" s="301"/>
      <c r="R890" s="336"/>
      <c r="S890" s="301"/>
      <c r="T890" s="336"/>
    </row>
    <row r="891" spans="1:20" ht="12" customHeight="1" x14ac:dyDescent="0.25">
      <c r="A891" s="329" t="s">
        <v>287</v>
      </c>
      <c r="B891" s="330" t="s">
        <v>287</v>
      </c>
      <c r="C891" s="298">
        <v>46174</v>
      </c>
      <c r="D891" s="299" t="s">
        <v>886</v>
      </c>
      <c r="E891" s="522">
        <v>320</v>
      </c>
      <c r="F891" s="522">
        <v>320</v>
      </c>
      <c r="G891" s="333">
        <f t="shared" si="28"/>
        <v>2490.2299999999859</v>
      </c>
      <c r="H891" s="334"/>
      <c r="I891" s="335"/>
      <c r="J891" s="336"/>
      <c r="K891" s="301"/>
      <c r="L891" s="336"/>
      <c r="M891" s="301"/>
      <c r="N891" s="336"/>
      <c r="O891" s="301"/>
      <c r="P891" s="336"/>
      <c r="Q891" s="301"/>
      <c r="R891" s="336"/>
      <c r="S891" s="301"/>
      <c r="T891" s="336"/>
    </row>
    <row r="892" spans="1:20" ht="12" customHeight="1" x14ac:dyDescent="0.25">
      <c r="A892" s="329" t="s">
        <v>289</v>
      </c>
      <c r="B892" s="330">
        <v>6</v>
      </c>
      <c r="C892" s="298">
        <v>46174</v>
      </c>
      <c r="D892" s="299" t="s">
        <v>887</v>
      </c>
      <c r="E892" s="522">
        <v>20</v>
      </c>
      <c r="F892" s="522"/>
      <c r="G892" s="333">
        <f t="shared" si="28"/>
        <v>2490.2299999999859</v>
      </c>
      <c r="H892" s="334"/>
      <c r="I892" s="335"/>
      <c r="J892" s="336"/>
      <c r="K892" s="301"/>
      <c r="L892" s="336"/>
      <c r="M892" s="301"/>
      <c r="N892" s="336"/>
      <c r="O892" s="301"/>
      <c r="P892" s="336"/>
      <c r="Q892" s="301"/>
      <c r="R892" s="336"/>
      <c r="S892" s="301"/>
      <c r="T892" s="336"/>
    </row>
    <row r="893" spans="1:20" ht="12" customHeight="1" x14ac:dyDescent="0.25">
      <c r="A893" s="329" t="s">
        <v>284</v>
      </c>
      <c r="B893" s="330">
        <v>37</v>
      </c>
      <c r="C893" s="298">
        <v>46173</v>
      </c>
      <c r="D893" s="299" t="s">
        <v>893</v>
      </c>
      <c r="E893" s="522">
        <v>1160.3599999999999</v>
      </c>
      <c r="F893" s="522"/>
      <c r="G893" s="333">
        <f t="shared" si="28"/>
        <v>2510.2299999999859</v>
      </c>
      <c r="H893" s="334"/>
      <c r="I893" s="335"/>
      <c r="J893" s="336"/>
      <c r="K893" s="301"/>
      <c r="L893" s="336"/>
      <c r="M893" s="301"/>
      <c r="N893" s="336"/>
      <c r="O893" s="301"/>
      <c r="P893" s="336"/>
      <c r="Q893" s="301"/>
      <c r="R893" s="336"/>
      <c r="S893" s="301"/>
      <c r="T893" s="336"/>
    </row>
    <row r="894" spans="1:20" ht="12" customHeight="1" x14ac:dyDescent="0.25">
      <c r="A894" s="329" t="s">
        <v>286</v>
      </c>
      <c r="B894" s="330">
        <v>25</v>
      </c>
      <c r="C894" s="298">
        <v>46173</v>
      </c>
      <c r="D894" s="298" t="s">
        <v>204</v>
      </c>
      <c r="E894" s="331">
        <v>350</v>
      </c>
      <c r="F894" s="522"/>
      <c r="G894" s="333">
        <f t="shared" si="28"/>
        <v>3670.5899999999856</v>
      </c>
      <c r="H894" s="334"/>
      <c r="I894" s="335"/>
      <c r="J894" s="336"/>
      <c r="K894" s="301"/>
      <c r="L894" s="336"/>
      <c r="M894" s="301"/>
      <c r="N894" s="336"/>
      <c r="O894" s="301"/>
      <c r="P894" s="336"/>
      <c r="Q894" s="301"/>
      <c r="R894" s="336"/>
      <c r="S894" s="301"/>
      <c r="T894" s="336"/>
    </row>
    <row r="895" spans="1:20" ht="12" customHeight="1" x14ac:dyDescent="0.25">
      <c r="A895" s="329" t="s">
        <v>286</v>
      </c>
      <c r="B895" s="330">
        <v>26</v>
      </c>
      <c r="C895" s="298">
        <v>46173</v>
      </c>
      <c r="D895" s="298" t="s">
        <v>205</v>
      </c>
      <c r="E895" s="331">
        <v>320</v>
      </c>
      <c r="F895" s="522"/>
      <c r="G895" s="333">
        <f t="shared" si="28"/>
        <v>4020.5899999999856</v>
      </c>
      <c r="H895" s="334"/>
      <c r="I895" s="335"/>
      <c r="J895" s="336"/>
      <c r="K895" s="301"/>
      <c r="L895" s="336"/>
      <c r="M895" s="301"/>
      <c r="N895" s="336"/>
      <c r="O895" s="301"/>
      <c r="P895" s="336"/>
      <c r="Q895" s="301"/>
      <c r="R895" s="336"/>
      <c r="S895" s="301"/>
      <c r="T895" s="336"/>
    </row>
    <row r="896" spans="1:20" ht="12" customHeight="1" x14ac:dyDescent="0.25">
      <c r="A896" s="329" t="s">
        <v>286</v>
      </c>
      <c r="B896" s="330">
        <v>27</v>
      </c>
      <c r="C896" s="298">
        <v>46173</v>
      </c>
      <c r="D896" s="298" t="s">
        <v>206</v>
      </c>
      <c r="E896" s="331">
        <v>25</v>
      </c>
      <c r="F896" s="522"/>
      <c r="G896" s="333">
        <f t="shared" si="28"/>
        <v>4340.5899999999856</v>
      </c>
      <c r="H896" s="334"/>
      <c r="I896" s="335"/>
      <c r="J896" s="336"/>
      <c r="K896" s="301"/>
      <c r="L896" s="336"/>
      <c r="M896" s="301"/>
      <c r="N896" s="336"/>
      <c r="O896" s="301"/>
      <c r="P896" s="336"/>
      <c r="Q896" s="301"/>
      <c r="R896" s="336"/>
      <c r="S896" s="301"/>
      <c r="T896" s="336"/>
    </row>
    <row r="897" spans="1:20" ht="12" customHeight="1" x14ac:dyDescent="0.25">
      <c r="A897" s="329" t="s">
        <v>286</v>
      </c>
      <c r="B897" s="330">
        <v>28</v>
      </c>
      <c r="C897" s="298">
        <v>46173</v>
      </c>
      <c r="D897" s="298" t="s">
        <v>207</v>
      </c>
      <c r="E897" s="331">
        <v>25</v>
      </c>
      <c r="F897" s="522"/>
      <c r="G897" s="333">
        <f t="shared" si="28"/>
        <v>4365.5899999999856</v>
      </c>
      <c r="H897" s="334"/>
      <c r="I897" s="335"/>
      <c r="J897" s="336"/>
      <c r="K897" s="301"/>
      <c r="L897" s="336"/>
      <c r="M897" s="301"/>
      <c r="N897" s="336"/>
      <c r="O897" s="301"/>
      <c r="P897" s="336"/>
      <c r="Q897" s="301"/>
      <c r="R897" s="336"/>
      <c r="S897" s="301"/>
      <c r="T897" s="336"/>
    </row>
    <row r="898" spans="1:20" ht="12" customHeight="1" x14ac:dyDescent="0.25">
      <c r="A898" s="329" t="s">
        <v>286</v>
      </c>
      <c r="B898" s="330">
        <v>29</v>
      </c>
      <c r="C898" s="298">
        <v>46173</v>
      </c>
      <c r="D898" s="298" t="s">
        <v>208</v>
      </c>
      <c r="E898" s="331">
        <v>45</v>
      </c>
      <c r="F898" s="522"/>
      <c r="G898" s="333">
        <f t="shared" si="28"/>
        <v>4390.5899999999856</v>
      </c>
      <c r="H898" s="334"/>
      <c r="I898" s="335"/>
      <c r="J898" s="336"/>
      <c r="K898" s="301"/>
      <c r="L898" s="336"/>
      <c r="M898" s="301"/>
      <c r="N898" s="336"/>
      <c r="O898" s="301"/>
      <c r="P898" s="336"/>
      <c r="Q898" s="301"/>
      <c r="R898" s="336"/>
      <c r="S898" s="301"/>
      <c r="T898" s="336"/>
    </row>
    <row r="899" spans="1:20" ht="12" customHeight="1" x14ac:dyDescent="0.25">
      <c r="A899" s="329" t="s">
        <v>286</v>
      </c>
      <c r="B899" s="330">
        <v>30</v>
      </c>
      <c r="C899" s="298">
        <v>46173</v>
      </c>
      <c r="D899" s="298" t="s">
        <v>209</v>
      </c>
      <c r="E899" s="331">
        <v>400</v>
      </c>
      <c r="F899" s="522"/>
      <c r="G899" s="333">
        <f t="shared" si="28"/>
        <v>4435.5899999999856</v>
      </c>
      <c r="H899" s="334"/>
      <c r="I899" s="335"/>
      <c r="J899" s="336"/>
      <c r="K899" s="301"/>
      <c r="L899" s="336"/>
      <c r="M899" s="301"/>
      <c r="N899" s="336"/>
      <c r="O899" s="301"/>
      <c r="P899" s="336"/>
      <c r="Q899" s="301"/>
      <c r="R899" s="336"/>
      <c r="S899" s="301"/>
      <c r="T899" s="336"/>
    </row>
    <row r="900" spans="1:20" ht="12" customHeight="1" x14ac:dyDescent="0.25">
      <c r="A900" s="329" t="s">
        <v>286</v>
      </c>
      <c r="B900" s="330">
        <v>31</v>
      </c>
      <c r="C900" s="298">
        <v>46173</v>
      </c>
      <c r="D900" s="298" t="s">
        <v>210</v>
      </c>
      <c r="E900" s="331">
        <v>375</v>
      </c>
      <c r="F900" s="522"/>
      <c r="G900" s="333">
        <f t="shared" si="28"/>
        <v>4835.5899999999856</v>
      </c>
      <c r="H900" s="334"/>
      <c r="I900" s="335"/>
      <c r="J900" s="336"/>
      <c r="K900" s="301"/>
      <c r="L900" s="336"/>
      <c r="M900" s="301"/>
      <c r="N900" s="336"/>
      <c r="O900" s="301"/>
      <c r="P900" s="336"/>
      <c r="Q900" s="301"/>
      <c r="R900" s="336"/>
      <c r="S900" s="301"/>
      <c r="T900" s="336"/>
    </row>
    <row r="901" spans="1:20" ht="12" customHeight="1" x14ac:dyDescent="0.25">
      <c r="A901" s="329" t="s">
        <v>286</v>
      </c>
      <c r="B901" s="330">
        <v>32</v>
      </c>
      <c r="C901" s="298">
        <v>46173</v>
      </c>
      <c r="D901" s="298" t="s">
        <v>211</v>
      </c>
      <c r="E901" s="331">
        <v>100</v>
      </c>
      <c r="F901" s="522"/>
      <c r="G901" s="333">
        <f t="shared" si="28"/>
        <v>5210.5899999999856</v>
      </c>
      <c r="H901" s="334"/>
      <c r="I901" s="335"/>
      <c r="J901" s="336"/>
      <c r="K901" s="301"/>
      <c r="L901" s="336"/>
      <c r="M901" s="301"/>
      <c r="N901" s="336"/>
      <c r="O901" s="301"/>
      <c r="P901" s="336"/>
      <c r="Q901" s="301"/>
      <c r="R901" s="336"/>
      <c r="S901" s="301"/>
      <c r="T901" s="336"/>
    </row>
    <row r="902" spans="1:20" ht="12" customHeight="1" x14ac:dyDescent="0.25">
      <c r="A902" s="329" t="s">
        <v>286</v>
      </c>
      <c r="B902" s="330">
        <v>33</v>
      </c>
      <c r="C902" s="298">
        <v>46173</v>
      </c>
      <c r="D902" s="298" t="s">
        <v>212</v>
      </c>
      <c r="E902" s="331">
        <v>85</v>
      </c>
      <c r="F902" s="522"/>
      <c r="G902" s="333">
        <f t="shared" si="28"/>
        <v>5310.5899999999856</v>
      </c>
      <c r="H902" s="334"/>
      <c r="I902" s="335"/>
      <c r="J902" s="336"/>
      <c r="K902" s="301"/>
      <c r="L902" s="336"/>
      <c r="M902" s="301"/>
      <c r="N902" s="336"/>
      <c r="O902" s="301"/>
      <c r="P902" s="336"/>
      <c r="Q902" s="301"/>
      <c r="R902" s="336"/>
      <c r="S902" s="301"/>
      <c r="T902" s="336"/>
    </row>
    <row r="903" spans="1:20" ht="12" customHeight="1" x14ac:dyDescent="0.25">
      <c r="A903" s="329" t="s">
        <v>286</v>
      </c>
      <c r="B903" s="330">
        <v>34</v>
      </c>
      <c r="C903" s="298">
        <v>46173</v>
      </c>
      <c r="D903" s="298" t="s">
        <v>213</v>
      </c>
      <c r="E903" s="331">
        <v>230</v>
      </c>
      <c r="F903" s="522"/>
      <c r="G903" s="333">
        <f t="shared" si="28"/>
        <v>5395.5899999999856</v>
      </c>
      <c r="H903" s="334"/>
      <c r="I903" s="335"/>
      <c r="J903" s="336"/>
      <c r="K903" s="301"/>
      <c r="L903" s="336"/>
      <c r="M903" s="301"/>
      <c r="N903" s="336"/>
      <c r="O903" s="301"/>
      <c r="P903" s="336"/>
      <c r="Q903" s="301"/>
      <c r="R903" s="336"/>
      <c r="S903" s="301"/>
      <c r="T903" s="336"/>
    </row>
    <row r="904" spans="1:20" ht="12" customHeight="1" x14ac:dyDescent="0.25">
      <c r="A904" s="329" t="s">
        <v>286</v>
      </c>
      <c r="B904" s="330">
        <v>35</v>
      </c>
      <c r="C904" s="298">
        <v>46173</v>
      </c>
      <c r="D904" s="298" t="s">
        <v>214</v>
      </c>
      <c r="E904" s="331">
        <v>45</v>
      </c>
      <c r="F904" s="522"/>
      <c r="G904" s="333">
        <f t="shared" si="28"/>
        <v>5625.5899999999856</v>
      </c>
      <c r="H904" s="334"/>
      <c r="I904" s="335"/>
      <c r="J904" s="336"/>
      <c r="K904" s="301"/>
      <c r="L904" s="336"/>
      <c r="M904" s="301"/>
      <c r="N904" s="336"/>
      <c r="O904" s="301"/>
      <c r="P904" s="336"/>
      <c r="Q904" s="301"/>
      <c r="R904" s="336"/>
      <c r="S904" s="301"/>
      <c r="T904" s="336"/>
    </row>
    <row r="905" spans="1:20" ht="12" customHeight="1" x14ac:dyDescent="0.25">
      <c r="A905" s="329" t="s">
        <v>289</v>
      </c>
      <c r="B905" s="330">
        <v>6</v>
      </c>
      <c r="C905" s="298">
        <v>46173</v>
      </c>
      <c r="D905" s="298" t="s">
        <v>883</v>
      </c>
      <c r="E905" s="522">
        <v>50</v>
      </c>
      <c r="F905" s="522"/>
      <c r="G905" s="333">
        <f t="shared" si="28"/>
        <v>5670.5899999999856</v>
      </c>
      <c r="H905" s="334"/>
      <c r="I905" s="335"/>
      <c r="J905" s="336"/>
      <c r="K905" s="301"/>
      <c r="L905" s="336"/>
      <c r="M905" s="301"/>
      <c r="N905" s="336"/>
      <c r="O905" s="301"/>
      <c r="P905" s="336"/>
      <c r="Q905" s="301"/>
      <c r="R905" s="336"/>
      <c r="S905" s="301"/>
      <c r="T905" s="336"/>
    </row>
    <row r="906" spans="1:20" ht="12" customHeight="1" x14ac:dyDescent="0.25">
      <c r="A906" s="329" t="s">
        <v>294</v>
      </c>
      <c r="B906" s="330">
        <v>22</v>
      </c>
      <c r="C906" s="298">
        <v>46173</v>
      </c>
      <c r="D906" s="298" t="s">
        <v>833</v>
      </c>
      <c r="E906" s="522">
        <v>10.63</v>
      </c>
      <c r="F906" s="522"/>
      <c r="G906" s="333">
        <f t="shared" si="28"/>
        <v>5720.5899999999856</v>
      </c>
      <c r="H906" s="334"/>
      <c r="I906" s="335"/>
      <c r="J906" s="336"/>
      <c r="K906" s="301"/>
      <c r="L906" s="336"/>
      <c r="M906" s="301"/>
      <c r="N906" s="336"/>
      <c r="O906" s="301"/>
      <c r="P906" s="336"/>
      <c r="Q906" s="301"/>
      <c r="R906" s="336"/>
      <c r="S906" s="301"/>
      <c r="T906" s="336"/>
    </row>
    <row r="907" spans="1:20" ht="12" customHeight="1" x14ac:dyDescent="0.25">
      <c r="A907" s="329" t="s">
        <v>289</v>
      </c>
      <c r="B907" s="330">
        <v>4</v>
      </c>
      <c r="C907" s="298">
        <v>46173</v>
      </c>
      <c r="D907" s="298" t="s">
        <v>362</v>
      </c>
      <c r="E907" s="522">
        <v>108.69</v>
      </c>
      <c r="F907" s="522"/>
      <c r="G907" s="333">
        <f t="shared" si="28"/>
        <v>5731.2199999999857</v>
      </c>
      <c r="H907" s="334"/>
      <c r="I907" s="335"/>
      <c r="J907" s="336"/>
      <c r="K907" s="301"/>
      <c r="L907" s="336"/>
      <c r="M907" s="301"/>
      <c r="N907" s="336"/>
      <c r="O907" s="301"/>
      <c r="P907" s="336"/>
      <c r="Q907" s="301"/>
      <c r="R907" s="336"/>
      <c r="S907" s="301"/>
      <c r="T907" s="336"/>
    </row>
    <row r="908" spans="1:20" ht="12" customHeight="1" x14ac:dyDescent="0.25">
      <c r="A908" s="329" t="s">
        <v>294</v>
      </c>
      <c r="B908" s="330">
        <v>10</v>
      </c>
      <c r="C908" s="298">
        <v>46173</v>
      </c>
      <c r="D908" s="298" t="s">
        <v>176</v>
      </c>
      <c r="E908" s="522">
        <v>17.899999999999999</v>
      </c>
      <c r="F908" s="522"/>
      <c r="G908" s="333">
        <f t="shared" si="28"/>
        <v>5839.9099999999853</v>
      </c>
      <c r="H908" s="334"/>
      <c r="I908" s="335"/>
      <c r="J908" s="336"/>
      <c r="K908" s="301"/>
      <c r="L908" s="336"/>
      <c r="M908" s="301"/>
      <c r="N908" s="336"/>
      <c r="O908" s="301"/>
      <c r="P908" s="336"/>
      <c r="Q908" s="301"/>
      <c r="R908" s="336"/>
      <c r="S908" s="301"/>
      <c r="T908" s="336"/>
    </row>
    <row r="909" spans="1:20" ht="12" customHeight="1" x14ac:dyDescent="0.25">
      <c r="A909" s="329" t="s">
        <v>289</v>
      </c>
      <c r="B909" s="330">
        <v>1</v>
      </c>
      <c r="C909" s="298">
        <v>46173</v>
      </c>
      <c r="D909" s="298" t="s">
        <v>444</v>
      </c>
      <c r="E909" s="522">
        <v>9.57</v>
      </c>
      <c r="F909" s="522"/>
      <c r="G909" s="333">
        <f t="shared" si="28"/>
        <v>5857.8099999999849</v>
      </c>
      <c r="H909" s="334"/>
      <c r="I909" s="335"/>
      <c r="J909" s="336"/>
      <c r="K909" s="301"/>
      <c r="L909" s="336"/>
      <c r="M909" s="301"/>
      <c r="N909" s="336"/>
      <c r="O909" s="301"/>
      <c r="P909" s="336"/>
      <c r="Q909" s="301"/>
      <c r="R909" s="336"/>
      <c r="S909" s="301"/>
      <c r="T909" s="336"/>
    </row>
    <row r="910" spans="1:20" ht="12" customHeight="1" x14ac:dyDescent="0.25">
      <c r="A910" s="329" t="s">
        <v>289</v>
      </c>
      <c r="B910" s="330">
        <v>8</v>
      </c>
      <c r="C910" s="298">
        <v>46172</v>
      </c>
      <c r="D910" s="298" t="s">
        <v>319</v>
      </c>
      <c r="E910" s="522">
        <v>88.98</v>
      </c>
      <c r="F910" s="522"/>
      <c r="G910" s="333">
        <f t="shared" si="28"/>
        <v>5867.3799999999846</v>
      </c>
      <c r="H910" s="334"/>
      <c r="I910" s="335"/>
      <c r="J910" s="336"/>
      <c r="K910" s="301"/>
      <c r="L910" s="336"/>
      <c r="M910" s="301"/>
      <c r="N910" s="336"/>
      <c r="O910" s="301"/>
      <c r="P910" s="336"/>
      <c r="Q910" s="301"/>
      <c r="R910" s="336"/>
      <c r="S910" s="301"/>
      <c r="T910" s="336"/>
    </row>
    <row r="911" spans="1:20" ht="12" customHeight="1" x14ac:dyDescent="0.25">
      <c r="A911" s="329" t="s">
        <v>287</v>
      </c>
      <c r="B911" s="330" t="s">
        <v>287</v>
      </c>
      <c r="C911" s="298">
        <v>46172</v>
      </c>
      <c r="D911" s="298" t="s">
        <v>889</v>
      </c>
      <c r="E911" s="522">
        <v>219.38</v>
      </c>
      <c r="F911" s="522">
        <v>219.38</v>
      </c>
      <c r="G911" s="333">
        <f t="shared" si="28"/>
        <v>5956.3599999999842</v>
      </c>
      <c r="H911" s="334"/>
      <c r="I911" s="335"/>
      <c r="J911" s="336"/>
      <c r="K911" s="301"/>
      <c r="L911" s="336"/>
      <c r="M911" s="301"/>
      <c r="N911" s="336"/>
      <c r="O911" s="301"/>
      <c r="P911" s="336"/>
      <c r="Q911" s="301"/>
      <c r="R911" s="336"/>
      <c r="S911" s="301"/>
      <c r="T911" s="336"/>
    </row>
    <row r="912" spans="1:20" ht="12" customHeight="1" x14ac:dyDescent="0.25">
      <c r="A912" s="329" t="s">
        <v>287</v>
      </c>
      <c r="B912" s="330" t="s">
        <v>287</v>
      </c>
      <c r="C912" s="298">
        <v>46172</v>
      </c>
      <c r="D912" s="298" t="s">
        <v>888</v>
      </c>
      <c r="E912" s="522">
        <v>310.98</v>
      </c>
      <c r="F912" s="522">
        <v>310.98</v>
      </c>
      <c r="G912" s="333">
        <f t="shared" si="28"/>
        <v>5956.3599999999842</v>
      </c>
      <c r="H912" s="334"/>
      <c r="I912" s="335"/>
      <c r="J912" s="336"/>
      <c r="K912" s="301"/>
      <c r="L912" s="336"/>
      <c r="M912" s="301"/>
      <c r="N912" s="336"/>
      <c r="O912" s="301"/>
      <c r="P912" s="336"/>
      <c r="Q912" s="301"/>
      <c r="R912" s="336"/>
      <c r="S912" s="301"/>
      <c r="T912" s="336"/>
    </row>
    <row r="913" spans="1:20" ht="12" customHeight="1" x14ac:dyDescent="0.25">
      <c r="A913" s="329" t="s">
        <v>289</v>
      </c>
      <c r="B913" s="330">
        <v>2</v>
      </c>
      <c r="C913" s="298">
        <v>46172</v>
      </c>
      <c r="D913" s="298" t="s">
        <v>892</v>
      </c>
      <c r="E913" s="522">
        <v>130.68</v>
      </c>
      <c r="F913" s="522"/>
      <c r="G913" s="333">
        <f t="shared" si="28"/>
        <v>5956.3599999999842</v>
      </c>
      <c r="H913" s="334"/>
      <c r="I913" s="335"/>
      <c r="J913" s="336"/>
      <c r="K913" s="301"/>
      <c r="L913" s="336"/>
      <c r="M913" s="301"/>
      <c r="N913" s="336"/>
      <c r="O913" s="301"/>
      <c r="P913" s="336"/>
      <c r="Q913" s="301"/>
      <c r="R913" s="336"/>
      <c r="S913" s="301"/>
      <c r="T913" s="336"/>
    </row>
    <row r="914" spans="1:20" ht="12" customHeight="1" x14ac:dyDescent="0.25">
      <c r="A914" s="329" t="s">
        <v>289</v>
      </c>
      <c r="B914" s="330">
        <v>2</v>
      </c>
      <c r="C914" s="298">
        <v>46172</v>
      </c>
      <c r="D914" s="298" t="s">
        <v>355</v>
      </c>
      <c r="E914" s="522">
        <v>49.99</v>
      </c>
      <c r="F914" s="522"/>
      <c r="G914" s="333">
        <f t="shared" si="28"/>
        <v>6087.0399999999845</v>
      </c>
      <c r="H914" s="334"/>
      <c r="I914" s="335"/>
      <c r="J914" s="336"/>
      <c r="K914" s="301"/>
      <c r="L914" s="336"/>
      <c r="M914" s="301"/>
      <c r="N914" s="336"/>
      <c r="O914" s="301"/>
      <c r="P914" s="336"/>
      <c r="Q914" s="301"/>
      <c r="R914" s="336"/>
      <c r="S914" s="301"/>
      <c r="T914" s="336"/>
    </row>
    <row r="915" spans="1:20" ht="12" customHeight="1" x14ac:dyDescent="0.25">
      <c r="A915" s="329" t="s">
        <v>289</v>
      </c>
      <c r="B915" s="330">
        <v>2</v>
      </c>
      <c r="C915" s="298">
        <v>46171</v>
      </c>
      <c r="D915" s="298" t="s">
        <v>296</v>
      </c>
      <c r="E915" s="522">
        <v>15.1</v>
      </c>
      <c r="F915" s="522"/>
      <c r="G915" s="333">
        <f t="shared" si="28"/>
        <v>6137.0299999999843</v>
      </c>
      <c r="H915" s="334"/>
      <c r="I915" s="335"/>
      <c r="J915" s="336"/>
      <c r="K915" s="301"/>
      <c r="L915" s="336"/>
      <c r="M915" s="301"/>
      <c r="N915" s="336"/>
      <c r="O915" s="301"/>
      <c r="P915" s="336"/>
      <c r="Q915" s="301"/>
      <c r="R915" s="336"/>
      <c r="S915" s="301"/>
      <c r="T915" s="336"/>
    </row>
    <row r="916" spans="1:20" ht="12" customHeight="1" x14ac:dyDescent="0.25">
      <c r="A916" s="329" t="s">
        <v>289</v>
      </c>
      <c r="B916" s="330">
        <v>8</v>
      </c>
      <c r="C916" s="298">
        <v>46171</v>
      </c>
      <c r="D916" s="298" t="s">
        <v>295</v>
      </c>
      <c r="E916" s="522">
        <v>7.02</v>
      </c>
      <c r="F916" s="522"/>
      <c r="G916" s="333">
        <f t="shared" si="28"/>
        <v>6152.1299999999846</v>
      </c>
      <c r="H916" s="334"/>
      <c r="I916" s="335"/>
      <c r="J916" s="336"/>
      <c r="K916" s="301"/>
      <c r="L916" s="336"/>
      <c r="M916" s="301"/>
      <c r="N916" s="336"/>
      <c r="O916" s="301"/>
      <c r="P916" s="336"/>
      <c r="Q916" s="301"/>
      <c r="R916" s="336"/>
      <c r="S916" s="301"/>
      <c r="T916" s="336"/>
    </row>
    <row r="917" spans="1:20" ht="12" customHeight="1" x14ac:dyDescent="0.25">
      <c r="A917" s="329" t="s">
        <v>289</v>
      </c>
      <c r="B917" s="330">
        <v>4</v>
      </c>
      <c r="C917" s="298">
        <v>46171</v>
      </c>
      <c r="D917" s="298" t="s">
        <v>295</v>
      </c>
      <c r="E917" s="522">
        <v>93.38</v>
      </c>
      <c r="F917" s="522"/>
      <c r="G917" s="333">
        <f t="shared" si="28"/>
        <v>6159.1499999999851</v>
      </c>
      <c r="H917" s="334"/>
      <c r="I917" s="335"/>
      <c r="J917" s="336"/>
      <c r="K917" s="301"/>
      <c r="L917" s="336"/>
      <c r="M917" s="301"/>
      <c r="N917" s="336"/>
      <c r="O917" s="301"/>
      <c r="P917" s="336"/>
      <c r="Q917" s="301"/>
      <c r="R917" s="336"/>
      <c r="S917" s="301"/>
      <c r="T917" s="336"/>
    </row>
    <row r="918" spans="1:20" ht="12" customHeight="1" x14ac:dyDescent="0.25">
      <c r="A918" s="329" t="s">
        <v>289</v>
      </c>
      <c r="B918" s="330">
        <v>2</v>
      </c>
      <c r="C918" s="298">
        <v>46171</v>
      </c>
      <c r="D918" s="298" t="s">
        <v>352</v>
      </c>
      <c r="E918" s="522">
        <v>18.98</v>
      </c>
      <c r="F918" s="522"/>
      <c r="G918" s="333">
        <f t="shared" si="28"/>
        <v>6252.5299999999852</v>
      </c>
      <c r="H918" s="334"/>
      <c r="I918" s="335"/>
      <c r="J918" s="336"/>
      <c r="K918" s="301"/>
      <c r="L918" s="336"/>
      <c r="M918" s="301"/>
      <c r="N918" s="336"/>
      <c r="O918" s="301"/>
      <c r="P918" s="336"/>
      <c r="Q918" s="301"/>
      <c r="R918" s="336"/>
      <c r="S918" s="301"/>
      <c r="T918" s="336"/>
    </row>
    <row r="919" spans="1:20" ht="12" customHeight="1" x14ac:dyDescent="0.25">
      <c r="A919" s="329" t="s">
        <v>294</v>
      </c>
      <c r="B919" s="330">
        <v>23</v>
      </c>
      <c r="C919" s="298">
        <v>46171</v>
      </c>
      <c r="D919" s="299" t="s">
        <v>67</v>
      </c>
      <c r="E919" s="522">
        <v>650.88</v>
      </c>
      <c r="F919" s="522"/>
      <c r="G919" s="333">
        <f t="shared" si="28"/>
        <v>6271.5099999999848</v>
      </c>
      <c r="H919" s="334"/>
      <c r="I919" s="335"/>
      <c r="J919" s="336"/>
      <c r="K919" s="301"/>
      <c r="L919" s="336"/>
      <c r="M919" s="301"/>
      <c r="N919" s="336"/>
      <c r="O919" s="301"/>
      <c r="P919" s="336"/>
      <c r="Q919" s="301"/>
      <c r="R919" s="336"/>
      <c r="S919" s="301"/>
      <c r="T919" s="336"/>
    </row>
    <row r="920" spans="1:20" ht="12" customHeight="1" x14ac:dyDescent="0.25">
      <c r="A920" s="329" t="s">
        <v>294</v>
      </c>
      <c r="B920" s="330">
        <v>20</v>
      </c>
      <c r="C920" s="298">
        <v>46171</v>
      </c>
      <c r="D920" s="299" t="s">
        <v>193</v>
      </c>
      <c r="E920" s="522">
        <v>600</v>
      </c>
      <c r="F920" s="522"/>
      <c r="G920" s="333">
        <f t="shared" si="28"/>
        <v>6922.3899999999849</v>
      </c>
      <c r="H920" s="334"/>
      <c r="I920" s="335"/>
      <c r="J920" s="336"/>
      <c r="K920" s="301"/>
      <c r="L920" s="336"/>
      <c r="M920" s="301"/>
      <c r="N920" s="336"/>
      <c r="O920" s="301"/>
      <c r="P920" s="336"/>
      <c r="Q920" s="301"/>
      <c r="R920" s="336"/>
      <c r="S920" s="301"/>
      <c r="T920" s="336"/>
    </row>
    <row r="921" spans="1:20" ht="12" customHeight="1" x14ac:dyDescent="0.25">
      <c r="A921" s="329" t="s">
        <v>291</v>
      </c>
      <c r="B921" s="330">
        <v>38</v>
      </c>
      <c r="C921" s="298">
        <v>46171</v>
      </c>
      <c r="D921" s="299" t="s">
        <v>293</v>
      </c>
      <c r="E921" s="522"/>
      <c r="F921" s="522">
        <v>4597.8100000000004</v>
      </c>
      <c r="G921" s="333">
        <f t="shared" si="28"/>
        <v>7522.3899999999849</v>
      </c>
      <c r="H921" s="334"/>
      <c r="I921" s="335"/>
      <c r="J921" s="336"/>
      <c r="K921" s="301"/>
      <c r="L921" s="336"/>
      <c r="M921" s="301"/>
      <c r="N921" s="336"/>
      <c r="O921" s="301"/>
      <c r="P921" s="336"/>
      <c r="Q921" s="301"/>
      <c r="R921" s="336"/>
      <c r="S921" s="301"/>
      <c r="T921" s="336"/>
    </row>
    <row r="922" spans="1:20" ht="12" customHeight="1" x14ac:dyDescent="0.25">
      <c r="A922" s="329" t="s">
        <v>294</v>
      </c>
      <c r="B922" s="330">
        <v>42</v>
      </c>
      <c r="C922" s="298">
        <v>46171</v>
      </c>
      <c r="D922" s="299" t="s">
        <v>200</v>
      </c>
      <c r="E922" s="522">
        <v>50.92</v>
      </c>
      <c r="F922" s="522"/>
      <c r="G922" s="333">
        <f t="shared" si="28"/>
        <v>2924.5799999999849</v>
      </c>
      <c r="H922" s="334"/>
      <c r="I922" s="335"/>
      <c r="J922" s="336"/>
      <c r="K922" s="301"/>
      <c r="L922" s="336"/>
      <c r="M922" s="301"/>
      <c r="N922" s="336"/>
      <c r="O922" s="301"/>
      <c r="P922" s="336"/>
      <c r="Q922" s="301"/>
      <c r="R922" s="336"/>
      <c r="S922" s="301"/>
      <c r="T922" s="336"/>
    </row>
    <row r="923" spans="1:20" ht="12" customHeight="1" x14ac:dyDescent="0.25">
      <c r="A923" s="329" t="s">
        <v>294</v>
      </c>
      <c r="B923" s="330">
        <v>43</v>
      </c>
      <c r="C923" s="298">
        <v>46171</v>
      </c>
      <c r="D923" s="299" t="s">
        <v>201</v>
      </c>
      <c r="E923" s="522">
        <v>42.84</v>
      </c>
      <c r="F923" s="522"/>
      <c r="G923" s="333">
        <f t="shared" si="28"/>
        <v>2975.499999999985</v>
      </c>
      <c r="H923" s="334"/>
      <c r="I923" s="335"/>
      <c r="J923" s="336"/>
      <c r="K923" s="301"/>
      <c r="L923" s="336"/>
      <c r="M923" s="301"/>
      <c r="N923" s="336"/>
      <c r="O923" s="301"/>
      <c r="P923" s="336"/>
      <c r="Q923" s="301"/>
      <c r="R923" s="336"/>
      <c r="S923" s="301"/>
      <c r="T923" s="336"/>
    </row>
    <row r="924" spans="1:20" ht="12" customHeight="1" x14ac:dyDescent="0.25">
      <c r="A924" s="329" t="s">
        <v>291</v>
      </c>
      <c r="B924" s="330">
        <v>39</v>
      </c>
      <c r="C924" s="298">
        <v>46170</v>
      </c>
      <c r="D924" s="299" t="s">
        <v>292</v>
      </c>
      <c r="E924" s="522"/>
      <c r="F924" s="522">
        <v>2763.79</v>
      </c>
      <c r="G924" s="333">
        <f t="shared" si="28"/>
        <v>3018.3399999999851</v>
      </c>
      <c r="H924" s="334"/>
      <c r="I924" s="335"/>
      <c r="J924" s="336"/>
      <c r="K924" s="301"/>
      <c r="L924" s="336"/>
      <c r="M924" s="301"/>
      <c r="N924" s="336"/>
      <c r="O924" s="301"/>
      <c r="P924" s="336"/>
      <c r="Q924" s="301"/>
      <c r="R924" s="336"/>
      <c r="S924" s="301"/>
      <c r="T924" s="336"/>
    </row>
    <row r="925" spans="1:20" ht="12" customHeight="1" x14ac:dyDescent="0.25">
      <c r="A925" s="329" t="s">
        <v>289</v>
      </c>
      <c r="B925" s="330">
        <v>3</v>
      </c>
      <c r="C925" s="298">
        <v>46170</v>
      </c>
      <c r="D925" s="299" t="s">
        <v>882</v>
      </c>
      <c r="E925" s="522">
        <v>8.9499999999999993</v>
      </c>
      <c r="F925" s="522"/>
      <c r="G925" s="333">
        <f t="shared" si="28"/>
        <v>254.54999999998506</v>
      </c>
      <c r="H925" s="334"/>
      <c r="I925" s="335"/>
      <c r="J925" s="336"/>
      <c r="K925" s="301"/>
      <c r="L925" s="336"/>
      <c r="M925" s="301"/>
      <c r="N925" s="336"/>
      <c r="O925" s="301"/>
      <c r="P925" s="336"/>
      <c r="Q925" s="301"/>
      <c r="R925" s="336"/>
      <c r="S925" s="301"/>
      <c r="T925" s="336"/>
    </row>
    <row r="926" spans="1:20" ht="12" customHeight="1" x14ac:dyDescent="0.25">
      <c r="A926" s="329" t="s">
        <v>289</v>
      </c>
      <c r="B926" s="330">
        <v>4</v>
      </c>
      <c r="C926" s="298">
        <v>46170</v>
      </c>
      <c r="D926" s="299" t="s">
        <v>882</v>
      </c>
      <c r="E926" s="522">
        <v>43.44</v>
      </c>
      <c r="F926" s="522"/>
      <c r="G926" s="333">
        <f t="shared" si="28"/>
        <v>263.49999999998505</v>
      </c>
      <c r="H926" s="334"/>
      <c r="I926" s="335"/>
      <c r="J926" s="336"/>
      <c r="K926" s="301"/>
      <c r="L926" s="336"/>
      <c r="M926" s="301"/>
      <c r="N926" s="336"/>
      <c r="O926" s="301"/>
      <c r="P926" s="336"/>
      <c r="Q926" s="301"/>
      <c r="R926" s="336"/>
      <c r="S926" s="301"/>
      <c r="T926" s="336"/>
    </row>
    <row r="927" spans="1:20" ht="12" customHeight="1" x14ac:dyDescent="0.25">
      <c r="A927" s="329" t="s">
        <v>289</v>
      </c>
      <c r="B927" s="330">
        <v>6</v>
      </c>
      <c r="C927" s="298">
        <v>46170</v>
      </c>
      <c r="D927" s="299" t="s">
        <v>890</v>
      </c>
      <c r="E927" s="522">
        <v>30.89</v>
      </c>
      <c r="F927" s="522"/>
      <c r="G927" s="333">
        <f t="shared" si="28"/>
        <v>306.93999999998505</v>
      </c>
      <c r="H927" s="334"/>
      <c r="I927" s="335"/>
      <c r="J927" s="336"/>
      <c r="K927" s="301"/>
      <c r="L927" s="336"/>
      <c r="M927" s="301"/>
      <c r="N927" s="336"/>
      <c r="O927" s="301"/>
      <c r="P927" s="336"/>
      <c r="Q927" s="301"/>
      <c r="R927" s="336"/>
      <c r="S927" s="301"/>
      <c r="T927" s="336"/>
    </row>
    <row r="928" spans="1:20" ht="12" customHeight="1" x14ac:dyDescent="0.25">
      <c r="A928" s="329" t="s">
        <v>289</v>
      </c>
      <c r="B928" s="330">
        <v>2</v>
      </c>
      <c r="C928" s="298">
        <v>46170</v>
      </c>
      <c r="D928" s="299" t="s">
        <v>345</v>
      </c>
      <c r="E928" s="522">
        <v>32.659999999999997</v>
      </c>
      <c r="F928" s="522"/>
      <c r="G928" s="333">
        <f t="shared" si="28"/>
        <v>337.82999999998503</v>
      </c>
      <c r="H928" s="334"/>
      <c r="I928" s="335"/>
      <c r="J928" s="336"/>
      <c r="K928" s="301"/>
      <c r="L928" s="336"/>
      <c r="M928" s="301"/>
      <c r="N928" s="336"/>
      <c r="O928" s="301"/>
      <c r="P928" s="336"/>
      <c r="Q928" s="301"/>
      <c r="R928" s="336"/>
      <c r="S928" s="301"/>
      <c r="T928" s="336"/>
    </row>
    <row r="929" spans="1:20" ht="12" customHeight="1" x14ac:dyDescent="0.25">
      <c r="A929" s="329" t="s">
        <v>289</v>
      </c>
      <c r="B929" s="330">
        <v>2</v>
      </c>
      <c r="C929" s="298">
        <v>46170</v>
      </c>
      <c r="D929" s="299" t="s">
        <v>385</v>
      </c>
      <c r="E929" s="522">
        <v>9.09</v>
      </c>
      <c r="F929" s="522"/>
      <c r="G929" s="333">
        <f t="shared" si="28"/>
        <v>370.48999999998506</v>
      </c>
      <c r="H929" s="334"/>
      <c r="I929" s="335"/>
      <c r="J929" s="336"/>
      <c r="K929" s="301"/>
      <c r="L929" s="336"/>
      <c r="M929" s="301"/>
      <c r="N929" s="336"/>
      <c r="O929" s="301"/>
      <c r="P929" s="336"/>
      <c r="Q929" s="301"/>
      <c r="R929" s="336"/>
      <c r="S929" s="301"/>
      <c r="T929" s="336"/>
    </row>
    <row r="930" spans="1:20" ht="12" customHeight="1" x14ac:dyDescent="0.25">
      <c r="A930" s="329" t="s">
        <v>289</v>
      </c>
      <c r="B930" s="330">
        <v>8</v>
      </c>
      <c r="C930" s="298">
        <v>46170</v>
      </c>
      <c r="D930" s="299" t="s">
        <v>844</v>
      </c>
      <c r="E930" s="522">
        <v>36.74</v>
      </c>
      <c r="F930" s="522"/>
      <c r="G930" s="333">
        <f t="shared" si="28"/>
        <v>379.57999999998503</v>
      </c>
      <c r="H930" s="334"/>
      <c r="I930" s="335"/>
      <c r="J930" s="336"/>
      <c r="K930" s="301"/>
      <c r="L930" s="336"/>
      <c r="M930" s="301"/>
      <c r="N930" s="336"/>
      <c r="O930" s="301"/>
      <c r="P930" s="336"/>
      <c r="Q930" s="301"/>
      <c r="R930" s="336"/>
      <c r="S930" s="301"/>
      <c r="T930" s="336"/>
    </row>
    <row r="931" spans="1:20" ht="12" customHeight="1" x14ac:dyDescent="0.25">
      <c r="A931" s="329" t="s">
        <v>289</v>
      </c>
      <c r="B931" s="330">
        <v>5</v>
      </c>
      <c r="C931" s="298">
        <v>46170</v>
      </c>
      <c r="D931" s="299" t="s">
        <v>844</v>
      </c>
      <c r="E931" s="522">
        <v>11.2</v>
      </c>
      <c r="F931" s="522"/>
      <c r="G931" s="333">
        <f t="shared" si="28"/>
        <v>416.31999999998504</v>
      </c>
      <c r="H931" s="334"/>
      <c r="I931" s="335"/>
      <c r="J931" s="336"/>
      <c r="K931" s="301"/>
      <c r="L931" s="336"/>
      <c r="M931" s="301"/>
      <c r="N931" s="336"/>
      <c r="O931" s="301"/>
      <c r="P931" s="336"/>
      <c r="Q931" s="301"/>
      <c r="R931" s="336"/>
      <c r="S931" s="301"/>
      <c r="T931" s="336"/>
    </row>
    <row r="932" spans="1:20" ht="12" customHeight="1" x14ac:dyDescent="0.25">
      <c r="A932" s="329" t="s">
        <v>289</v>
      </c>
      <c r="B932" s="330">
        <v>2</v>
      </c>
      <c r="C932" s="298">
        <v>46169</v>
      </c>
      <c r="D932" s="299" t="s">
        <v>357</v>
      </c>
      <c r="E932" s="522">
        <v>11.29</v>
      </c>
      <c r="F932" s="522"/>
      <c r="G932" s="333">
        <f t="shared" si="28"/>
        <v>427.51999999998503</v>
      </c>
      <c r="H932" s="334"/>
      <c r="I932" s="335"/>
      <c r="J932" s="336"/>
      <c r="K932" s="301"/>
      <c r="L932" s="336"/>
      <c r="M932" s="301"/>
      <c r="N932" s="336"/>
      <c r="O932" s="301"/>
      <c r="P932" s="336"/>
      <c r="Q932" s="301"/>
      <c r="R932" s="336"/>
      <c r="S932" s="301"/>
      <c r="T932" s="336"/>
    </row>
    <row r="933" spans="1:20" ht="12" customHeight="1" x14ac:dyDescent="0.25">
      <c r="A933" s="329" t="s">
        <v>289</v>
      </c>
      <c r="B933" s="330">
        <v>4</v>
      </c>
      <c r="C933" s="298">
        <v>46169</v>
      </c>
      <c r="D933" s="299" t="s">
        <v>362</v>
      </c>
      <c r="E933" s="522">
        <v>44.84</v>
      </c>
      <c r="F933" s="522"/>
      <c r="G933" s="333">
        <f t="shared" si="28"/>
        <v>438.80999999998505</v>
      </c>
      <c r="H933" s="334"/>
      <c r="I933" s="335"/>
      <c r="J933" s="336"/>
      <c r="K933" s="301"/>
      <c r="L933" s="336"/>
      <c r="M933" s="301"/>
      <c r="N933" s="336"/>
      <c r="O933" s="301"/>
      <c r="P933" s="336"/>
      <c r="Q933" s="301"/>
      <c r="R933" s="336"/>
      <c r="S933" s="301"/>
      <c r="T933" s="336"/>
    </row>
    <row r="934" spans="1:20" ht="12" customHeight="1" x14ac:dyDescent="0.25">
      <c r="A934" s="329" t="s">
        <v>289</v>
      </c>
      <c r="B934" s="330">
        <v>7</v>
      </c>
      <c r="C934" s="298">
        <v>46169</v>
      </c>
      <c r="D934" s="299" t="s">
        <v>337</v>
      </c>
      <c r="E934" s="522">
        <v>139.88</v>
      </c>
      <c r="F934" s="522"/>
      <c r="G934" s="333">
        <f t="shared" si="28"/>
        <v>483.64999999998508</v>
      </c>
      <c r="H934" s="334"/>
      <c r="I934" s="335"/>
      <c r="J934" s="336"/>
      <c r="K934" s="301"/>
      <c r="L934" s="336"/>
      <c r="M934" s="301"/>
      <c r="N934" s="336"/>
      <c r="O934" s="301"/>
      <c r="P934" s="336"/>
      <c r="Q934" s="301"/>
      <c r="R934" s="336"/>
      <c r="S934" s="301"/>
      <c r="T934" s="336"/>
    </row>
    <row r="935" spans="1:20" ht="12" customHeight="1" x14ac:dyDescent="0.25">
      <c r="A935" s="329" t="s">
        <v>289</v>
      </c>
      <c r="B935" s="330">
        <v>8</v>
      </c>
      <c r="C935" s="298">
        <v>46169</v>
      </c>
      <c r="D935" s="299" t="s">
        <v>319</v>
      </c>
      <c r="E935" s="522">
        <v>46.84</v>
      </c>
      <c r="F935" s="522"/>
      <c r="G935" s="333">
        <f t="shared" ref="G935:G972" si="29">G936-E935+F935</f>
        <v>623.52999999998508</v>
      </c>
      <c r="H935" s="334"/>
      <c r="I935" s="335"/>
      <c r="J935" s="336"/>
      <c r="K935" s="301"/>
      <c r="L935" s="336"/>
      <c r="M935" s="301"/>
      <c r="N935" s="336"/>
      <c r="O935" s="301"/>
      <c r="P935" s="336"/>
      <c r="Q935" s="301"/>
      <c r="R935" s="336"/>
      <c r="S935" s="301"/>
      <c r="T935" s="336"/>
    </row>
    <row r="936" spans="1:20" ht="12" customHeight="1" x14ac:dyDescent="0.25">
      <c r="A936" s="329" t="s">
        <v>289</v>
      </c>
      <c r="B936" s="330">
        <v>2</v>
      </c>
      <c r="C936" s="298">
        <v>46169</v>
      </c>
      <c r="D936" s="299" t="s">
        <v>357</v>
      </c>
      <c r="E936" s="522">
        <v>9.4700000000000006</v>
      </c>
      <c r="F936" s="522"/>
      <c r="G936" s="333">
        <f t="shared" si="29"/>
        <v>670.36999999998511</v>
      </c>
      <c r="H936" s="334"/>
      <c r="I936" s="335"/>
      <c r="J936" s="336"/>
      <c r="K936" s="301"/>
      <c r="L936" s="336"/>
      <c r="M936" s="301"/>
      <c r="N936" s="336"/>
      <c r="O936" s="301"/>
      <c r="P936" s="336"/>
      <c r="Q936" s="301"/>
      <c r="R936" s="336"/>
      <c r="S936" s="301"/>
      <c r="T936" s="336"/>
    </row>
    <row r="937" spans="1:20" ht="12" customHeight="1" x14ac:dyDescent="0.25">
      <c r="A937" s="329" t="s">
        <v>289</v>
      </c>
      <c r="B937" s="330">
        <v>8</v>
      </c>
      <c r="C937" s="298">
        <v>46168</v>
      </c>
      <c r="D937" s="299" t="s">
        <v>308</v>
      </c>
      <c r="E937" s="522">
        <v>47.99</v>
      </c>
      <c r="F937" s="522"/>
      <c r="G937" s="333">
        <f t="shared" si="29"/>
        <v>679.83999999998514</v>
      </c>
      <c r="H937" s="334"/>
      <c r="I937" s="335"/>
      <c r="J937" s="336"/>
      <c r="K937" s="301"/>
      <c r="L937" s="336"/>
      <c r="M937" s="301"/>
      <c r="N937" s="336"/>
      <c r="O937" s="301"/>
      <c r="P937" s="336"/>
      <c r="Q937" s="301"/>
      <c r="R937" s="336"/>
      <c r="S937" s="301"/>
      <c r="T937" s="336"/>
    </row>
    <row r="938" spans="1:20" ht="12" customHeight="1" x14ac:dyDescent="0.25">
      <c r="A938" s="329" t="s">
        <v>289</v>
      </c>
      <c r="B938" s="330">
        <v>5</v>
      </c>
      <c r="C938" s="298">
        <v>46168</v>
      </c>
      <c r="D938" s="299" t="s">
        <v>870</v>
      </c>
      <c r="E938" s="522">
        <v>26</v>
      </c>
      <c r="F938" s="522"/>
      <c r="G938" s="333">
        <f t="shared" si="29"/>
        <v>727.82999999998515</v>
      </c>
      <c r="H938" s="334"/>
      <c r="I938" s="335"/>
      <c r="J938" s="336"/>
      <c r="K938" s="301"/>
      <c r="L938" s="336"/>
      <c r="M938" s="301"/>
      <c r="N938" s="336"/>
      <c r="O938" s="301"/>
      <c r="P938" s="336"/>
      <c r="Q938" s="301"/>
      <c r="R938" s="336"/>
      <c r="S938" s="301"/>
      <c r="T938" s="336"/>
    </row>
    <row r="939" spans="1:20" ht="12" customHeight="1" x14ac:dyDescent="0.25">
      <c r="A939" s="329" t="s">
        <v>289</v>
      </c>
      <c r="B939" s="330">
        <v>4</v>
      </c>
      <c r="C939" s="298">
        <v>46168</v>
      </c>
      <c r="D939" s="299" t="s">
        <v>310</v>
      </c>
      <c r="E939" s="522">
        <v>50.15</v>
      </c>
      <c r="F939" s="522"/>
      <c r="G939" s="333">
        <f t="shared" si="29"/>
        <v>753.82999999998515</v>
      </c>
      <c r="H939" s="334"/>
      <c r="I939" s="335"/>
      <c r="J939" s="336"/>
      <c r="K939" s="301"/>
      <c r="L939" s="336"/>
      <c r="M939" s="301"/>
      <c r="N939" s="336"/>
      <c r="O939" s="301"/>
      <c r="P939" s="336"/>
      <c r="Q939" s="301"/>
      <c r="R939" s="336"/>
      <c r="S939" s="301"/>
      <c r="T939" s="336"/>
    </row>
    <row r="940" spans="1:20" ht="12" customHeight="1" x14ac:dyDescent="0.25">
      <c r="A940" s="329" t="s">
        <v>287</v>
      </c>
      <c r="B940" s="330" t="s">
        <v>287</v>
      </c>
      <c r="C940" s="298">
        <v>46168</v>
      </c>
      <c r="D940" s="299" t="s">
        <v>880</v>
      </c>
      <c r="E940" s="522">
        <v>400</v>
      </c>
      <c r="F940" s="522">
        <v>400</v>
      </c>
      <c r="G940" s="333">
        <f t="shared" si="29"/>
        <v>803.97999999998513</v>
      </c>
      <c r="H940" s="334"/>
      <c r="I940" s="335"/>
      <c r="J940" s="336"/>
      <c r="K940" s="301"/>
      <c r="L940" s="336"/>
      <c r="M940" s="301"/>
      <c r="N940" s="336"/>
      <c r="O940" s="301"/>
      <c r="P940" s="336"/>
      <c r="Q940" s="301"/>
      <c r="R940" s="336"/>
      <c r="S940" s="301"/>
      <c r="T940" s="336"/>
    </row>
    <row r="941" spans="1:20" ht="12" customHeight="1" x14ac:dyDescent="0.25">
      <c r="A941" s="329" t="s">
        <v>294</v>
      </c>
      <c r="B941" s="330">
        <v>22</v>
      </c>
      <c r="C941" s="298">
        <v>46168</v>
      </c>
      <c r="D941" s="299" t="s">
        <v>833</v>
      </c>
      <c r="E941" s="522">
        <v>15.96</v>
      </c>
      <c r="F941" s="522"/>
      <c r="G941" s="333">
        <f t="shared" si="29"/>
        <v>803.97999999998513</v>
      </c>
      <c r="H941" s="334"/>
      <c r="I941" s="335"/>
      <c r="J941" s="336"/>
      <c r="K941" s="301"/>
      <c r="L941" s="336"/>
      <c r="M941" s="301"/>
      <c r="N941" s="336"/>
      <c r="O941" s="301"/>
      <c r="P941" s="336"/>
      <c r="Q941" s="301"/>
      <c r="R941" s="336"/>
      <c r="S941" s="301"/>
      <c r="T941" s="336"/>
    </row>
    <row r="942" spans="1:20" ht="12" customHeight="1" x14ac:dyDescent="0.25">
      <c r="A942" s="329" t="s">
        <v>289</v>
      </c>
      <c r="B942" s="330">
        <v>2</v>
      </c>
      <c r="C942" s="298">
        <v>46168</v>
      </c>
      <c r="D942" s="299" t="s">
        <v>296</v>
      </c>
      <c r="E942" s="522">
        <v>15.1</v>
      </c>
      <c r="F942" s="522"/>
      <c r="G942" s="333">
        <f t="shared" si="29"/>
        <v>819.93999999998516</v>
      </c>
      <c r="H942" s="334"/>
      <c r="I942" s="335"/>
      <c r="J942" s="336"/>
      <c r="K942" s="301"/>
      <c r="L942" s="336"/>
      <c r="M942" s="301"/>
      <c r="N942" s="336"/>
      <c r="O942" s="301"/>
      <c r="P942" s="336"/>
      <c r="Q942" s="301"/>
      <c r="R942" s="336"/>
      <c r="S942" s="301"/>
      <c r="T942" s="336"/>
    </row>
    <row r="943" spans="1:20" ht="12" customHeight="1" x14ac:dyDescent="0.25">
      <c r="A943" s="329" t="s">
        <v>289</v>
      </c>
      <c r="B943" s="330">
        <v>4</v>
      </c>
      <c r="C943" s="298">
        <v>46168</v>
      </c>
      <c r="D943" s="299" t="s">
        <v>296</v>
      </c>
      <c r="E943" s="522">
        <v>44.67</v>
      </c>
      <c r="F943" s="522"/>
      <c r="G943" s="333">
        <f t="shared" si="29"/>
        <v>835.03999999998518</v>
      </c>
      <c r="H943" s="334"/>
      <c r="I943" s="335"/>
      <c r="J943" s="336"/>
      <c r="K943" s="301"/>
      <c r="L943" s="336"/>
      <c r="M943" s="301"/>
      <c r="N943" s="336"/>
      <c r="O943" s="301"/>
      <c r="P943" s="336"/>
      <c r="Q943" s="301"/>
      <c r="R943" s="336"/>
      <c r="S943" s="301"/>
      <c r="T943" s="336"/>
    </row>
    <row r="944" spans="1:20" ht="12" customHeight="1" x14ac:dyDescent="0.25">
      <c r="A944" s="329" t="s">
        <v>289</v>
      </c>
      <c r="B944" s="330">
        <v>1</v>
      </c>
      <c r="C944" s="298">
        <v>46168</v>
      </c>
      <c r="D944" s="299" t="s">
        <v>300</v>
      </c>
      <c r="E944" s="522">
        <v>32.99</v>
      </c>
      <c r="F944" s="522"/>
      <c r="G944" s="333">
        <f t="shared" si="29"/>
        <v>879.70999999998514</v>
      </c>
      <c r="H944" s="334"/>
      <c r="I944" s="335"/>
      <c r="J944" s="336"/>
      <c r="K944" s="301"/>
      <c r="L944" s="336"/>
      <c r="M944" s="301"/>
      <c r="N944" s="336"/>
      <c r="O944" s="301"/>
      <c r="P944" s="336"/>
      <c r="Q944" s="301"/>
      <c r="R944" s="336"/>
      <c r="S944" s="301"/>
      <c r="T944" s="336"/>
    </row>
    <row r="945" spans="1:20" ht="12" customHeight="1" x14ac:dyDescent="0.25">
      <c r="A945" s="329" t="s">
        <v>289</v>
      </c>
      <c r="B945" s="330">
        <v>2</v>
      </c>
      <c r="C945" s="298">
        <v>46168</v>
      </c>
      <c r="D945" s="299" t="s">
        <v>385</v>
      </c>
      <c r="E945" s="522">
        <v>14.39</v>
      </c>
      <c r="F945" s="522"/>
      <c r="G945" s="333">
        <f t="shared" si="29"/>
        <v>912.69999999998515</v>
      </c>
      <c r="H945" s="334"/>
      <c r="I945" s="335"/>
      <c r="J945" s="336"/>
      <c r="K945" s="301"/>
      <c r="L945" s="336"/>
      <c r="M945" s="301"/>
      <c r="N945" s="336"/>
      <c r="O945" s="301"/>
      <c r="P945" s="336"/>
      <c r="Q945" s="301"/>
      <c r="R945" s="336"/>
      <c r="S945" s="301"/>
      <c r="T945" s="336"/>
    </row>
    <row r="946" spans="1:20" ht="12" customHeight="1" x14ac:dyDescent="0.25">
      <c r="A946" s="329" t="s">
        <v>294</v>
      </c>
      <c r="B946" s="330">
        <v>12</v>
      </c>
      <c r="C946" s="298">
        <v>46167</v>
      </c>
      <c r="D946" s="299" t="s">
        <v>314</v>
      </c>
      <c r="E946" s="522">
        <v>204.48</v>
      </c>
      <c r="F946" s="522"/>
      <c r="G946" s="333">
        <f t="shared" si="29"/>
        <v>927.08999999998514</v>
      </c>
      <c r="H946" s="334"/>
      <c r="I946" s="335"/>
      <c r="J946" s="336"/>
      <c r="K946" s="301"/>
      <c r="L946" s="336"/>
      <c r="M946" s="301"/>
      <c r="N946" s="336"/>
      <c r="O946" s="301"/>
      <c r="P946" s="336"/>
      <c r="Q946" s="301"/>
      <c r="R946" s="336"/>
      <c r="S946" s="301"/>
      <c r="T946" s="336"/>
    </row>
    <row r="947" spans="1:20" ht="12" customHeight="1" x14ac:dyDescent="0.25">
      <c r="A947" s="329" t="s">
        <v>289</v>
      </c>
      <c r="B947" s="330">
        <v>8</v>
      </c>
      <c r="C947" s="298">
        <v>46167</v>
      </c>
      <c r="D947" s="299" t="s">
        <v>319</v>
      </c>
      <c r="E947" s="522">
        <v>29.79</v>
      </c>
      <c r="F947" s="522"/>
      <c r="G947" s="333">
        <f t="shared" si="29"/>
        <v>1131.5699999999852</v>
      </c>
      <c r="H947" s="334"/>
      <c r="I947" s="335"/>
      <c r="J947" s="336"/>
      <c r="K947" s="301"/>
      <c r="L947" s="336"/>
      <c r="M947" s="301"/>
      <c r="N947" s="336"/>
      <c r="O947" s="301"/>
      <c r="P947" s="336"/>
      <c r="Q947" s="301"/>
      <c r="R947" s="336"/>
      <c r="S947" s="301"/>
      <c r="T947" s="336"/>
    </row>
    <row r="948" spans="1:20" ht="12" customHeight="1" x14ac:dyDescent="0.25">
      <c r="A948" s="329" t="s">
        <v>289</v>
      </c>
      <c r="B948" s="330">
        <v>3</v>
      </c>
      <c r="C948" s="298">
        <v>46167</v>
      </c>
      <c r="D948" s="299" t="s">
        <v>347</v>
      </c>
      <c r="E948" s="522">
        <v>50</v>
      </c>
      <c r="F948" s="522"/>
      <c r="G948" s="333">
        <f t="shared" si="29"/>
        <v>1161.3599999999851</v>
      </c>
      <c r="H948" s="334"/>
      <c r="I948" s="335"/>
      <c r="J948" s="336"/>
      <c r="K948" s="301"/>
      <c r="L948" s="336"/>
      <c r="M948" s="301"/>
      <c r="N948" s="336"/>
      <c r="O948" s="301"/>
      <c r="P948" s="336"/>
      <c r="Q948" s="301"/>
      <c r="R948" s="336"/>
      <c r="S948" s="301"/>
      <c r="T948" s="336"/>
    </row>
    <row r="949" spans="1:20" ht="12" customHeight="1" x14ac:dyDescent="0.25">
      <c r="A949" s="329" t="s">
        <v>289</v>
      </c>
      <c r="B949" s="330">
        <v>1</v>
      </c>
      <c r="C949" s="298">
        <v>46166</v>
      </c>
      <c r="D949" s="299" t="s">
        <v>329</v>
      </c>
      <c r="E949" s="522">
        <v>122.54</v>
      </c>
      <c r="F949" s="522"/>
      <c r="G949" s="333">
        <f t="shared" si="29"/>
        <v>1211.3599999999851</v>
      </c>
      <c r="H949" s="334"/>
      <c r="I949" s="335"/>
      <c r="J949" s="336"/>
      <c r="K949" s="301"/>
      <c r="L949" s="336"/>
      <c r="M949" s="301"/>
      <c r="N949" s="336"/>
      <c r="O949" s="301"/>
      <c r="P949" s="336"/>
      <c r="Q949" s="301"/>
      <c r="R949" s="336"/>
      <c r="S949" s="301"/>
      <c r="T949" s="336"/>
    </row>
    <row r="950" spans="1:20" ht="12" customHeight="1" x14ac:dyDescent="0.25">
      <c r="A950" s="329" t="s">
        <v>289</v>
      </c>
      <c r="B950" s="330">
        <v>1</v>
      </c>
      <c r="C950" s="298">
        <v>46166</v>
      </c>
      <c r="D950" s="299" t="s">
        <v>311</v>
      </c>
      <c r="E950" s="522">
        <v>157.97</v>
      </c>
      <c r="F950" s="522"/>
      <c r="G950" s="333">
        <f t="shared" si="29"/>
        <v>1333.8999999999851</v>
      </c>
      <c r="H950" s="334"/>
      <c r="I950" s="335"/>
      <c r="J950" s="336"/>
      <c r="K950" s="301"/>
      <c r="L950" s="336"/>
      <c r="M950" s="301"/>
      <c r="N950" s="336"/>
      <c r="O950" s="301"/>
      <c r="P950" s="336"/>
      <c r="Q950" s="301"/>
      <c r="R950" s="336"/>
      <c r="S950" s="301"/>
      <c r="T950" s="336"/>
    </row>
    <row r="951" spans="1:20" ht="12" customHeight="1" x14ac:dyDescent="0.25">
      <c r="A951" s="329" t="s">
        <v>289</v>
      </c>
      <c r="B951" s="330">
        <v>6</v>
      </c>
      <c r="C951" s="298">
        <v>46166</v>
      </c>
      <c r="D951" s="299" t="s">
        <v>300</v>
      </c>
      <c r="E951" s="522">
        <v>44.05</v>
      </c>
      <c r="F951" s="522"/>
      <c r="G951" s="333">
        <f t="shared" si="29"/>
        <v>1491.8699999999851</v>
      </c>
      <c r="H951" s="334"/>
      <c r="I951" s="335"/>
      <c r="J951" s="336"/>
      <c r="K951" s="301"/>
      <c r="L951" s="336"/>
      <c r="M951" s="301"/>
      <c r="N951" s="336"/>
      <c r="O951" s="301"/>
      <c r="P951" s="336"/>
      <c r="Q951" s="301"/>
      <c r="R951" s="336"/>
      <c r="S951" s="301"/>
      <c r="T951" s="336"/>
    </row>
    <row r="952" spans="1:20" ht="12" customHeight="1" x14ac:dyDescent="0.25">
      <c r="A952" s="329" t="s">
        <v>289</v>
      </c>
      <c r="B952" s="330">
        <v>8</v>
      </c>
      <c r="C952" s="298">
        <v>46166</v>
      </c>
      <c r="D952" s="299" t="s">
        <v>319</v>
      </c>
      <c r="E952" s="522">
        <v>70.44</v>
      </c>
      <c r="F952" s="522"/>
      <c r="G952" s="333">
        <f t="shared" si="29"/>
        <v>1535.9199999999851</v>
      </c>
      <c r="H952" s="334"/>
      <c r="I952" s="335"/>
      <c r="J952" s="336"/>
      <c r="K952" s="301"/>
      <c r="L952" s="336"/>
      <c r="M952" s="301"/>
      <c r="N952" s="336"/>
      <c r="O952" s="301"/>
      <c r="P952" s="336"/>
      <c r="Q952" s="301"/>
      <c r="R952" s="336"/>
      <c r="S952" s="301"/>
      <c r="T952" s="336"/>
    </row>
    <row r="953" spans="1:20" ht="12" customHeight="1" x14ac:dyDescent="0.25">
      <c r="A953" s="329" t="s">
        <v>289</v>
      </c>
      <c r="B953" s="330">
        <v>1</v>
      </c>
      <c r="C953" s="298">
        <v>46166</v>
      </c>
      <c r="D953" s="299" t="s">
        <v>329</v>
      </c>
      <c r="E953" s="522">
        <v>55.96</v>
      </c>
      <c r="F953" s="522"/>
      <c r="G953" s="333">
        <f t="shared" si="29"/>
        <v>1606.3599999999851</v>
      </c>
      <c r="H953" s="334"/>
      <c r="I953" s="335"/>
      <c r="J953" s="336"/>
      <c r="K953" s="301"/>
      <c r="L953" s="336"/>
      <c r="M953" s="301"/>
      <c r="N953" s="336"/>
      <c r="O953" s="301"/>
      <c r="P953" s="336"/>
      <c r="Q953" s="301"/>
      <c r="R953" s="336"/>
      <c r="S953" s="301"/>
      <c r="T953" s="336"/>
    </row>
    <row r="954" spans="1:20" ht="12" customHeight="1" x14ac:dyDescent="0.25">
      <c r="A954" s="329" t="s">
        <v>289</v>
      </c>
      <c r="B954" s="330">
        <v>6</v>
      </c>
      <c r="C954" s="298">
        <v>46166</v>
      </c>
      <c r="D954" s="299" t="s">
        <v>881</v>
      </c>
      <c r="E954" s="522">
        <v>597.83000000000004</v>
      </c>
      <c r="F954" s="522"/>
      <c r="G954" s="333">
        <f t="shared" si="29"/>
        <v>1662.3199999999852</v>
      </c>
      <c r="H954" s="334"/>
      <c r="I954" s="335"/>
      <c r="J954" s="336"/>
      <c r="K954" s="301"/>
      <c r="L954" s="336"/>
      <c r="M954" s="301"/>
      <c r="N954" s="336"/>
      <c r="O954" s="301"/>
      <c r="P954" s="336"/>
      <c r="Q954" s="301"/>
      <c r="R954" s="336"/>
      <c r="S954" s="301"/>
      <c r="T954" s="336"/>
    </row>
    <row r="955" spans="1:20" ht="12" customHeight="1" x14ac:dyDescent="0.25">
      <c r="A955" s="329" t="s">
        <v>287</v>
      </c>
      <c r="B955" s="330" t="s">
        <v>287</v>
      </c>
      <c r="C955" s="298">
        <v>46166</v>
      </c>
      <c r="D955" s="299" t="s">
        <v>843</v>
      </c>
      <c r="E955" s="522">
        <v>69.2</v>
      </c>
      <c r="F955" s="522">
        <v>69.2</v>
      </c>
      <c r="G955" s="333">
        <f t="shared" si="29"/>
        <v>2260.1499999999851</v>
      </c>
      <c r="H955" s="334"/>
      <c r="I955" s="335"/>
      <c r="J955" s="336"/>
      <c r="K955" s="301"/>
      <c r="L955" s="336"/>
      <c r="M955" s="301"/>
      <c r="N955" s="336"/>
      <c r="O955" s="301"/>
      <c r="P955" s="336"/>
      <c r="Q955" s="301"/>
      <c r="R955" s="336"/>
      <c r="S955" s="301"/>
      <c r="T955" s="336"/>
    </row>
    <row r="956" spans="1:20" ht="12" customHeight="1" x14ac:dyDescent="0.25">
      <c r="A956" s="329" t="s">
        <v>289</v>
      </c>
      <c r="B956" s="330">
        <v>1</v>
      </c>
      <c r="C956" s="298">
        <v>46165</v>
      </c>
      <c r="D956" s="299" t="s">
        <v>878</v>
      </c>
      <c r="E956" s="522">
        <v>94.76</v>
      </c>
      <c r="F956" s="522"/>
      <c r="G956" s="333">
        <f t="shared" si="29"/>
        <v>2260.1499999999851</v>
      </c>
      <c r="H956" s="334"/>
      <c r="I956" s="335"/>
      <c r="J956" s="336"/>
      <c r="K956" s="301"/>
      <c r="L956" s="336"/>
      <c r="M956" s="301"/>
      <c r="N956" s="336"/>
      <c r="O956" s="301"/>
      <c r="P956" s="336"/>
      <c r="Q956" s="301"/>
      <c r="R956" s="336"/>
      <c r="S956" s="301"/>
      <c r="T956" s="336"/>
    </row>
    <row r="957" spans="1:20" ht="12" customHeight="1" x14ac:dyDescent="0.25">
      <c r="A957" s="329" t="s">
        <v>289</v>
      </c>
      <c r="B957" s="330">
        <v>1</v>
      </c>
      <c r="C957" s="298">
        <v>46165</v>
      </c>
      <c r="D957" s="299" t="s">
        <v>392</v>
      </c>
      <c r="E957" s="522">
        <v>34.869999999999997</v>
      </c>
      <c r="F957" s="522"/>
      <c r="G957" s="333">
        <f t="shared" si="29"/>
        <v>2354.9099999999853</v>
      </c>
      <c r="H957" s="334"/>
      <c r="I957" s="335"/>
      <c r="J957" s="336"/>
      <c r="K957" s="301"/>
      <c r="L957" s="336"/>
      <c r="M957" s="301"/>
      <c r="N957" s="336"/>
      <c r="O957" s="301"/>
      <c r="P957" s="336"/>
      <c r="Q957" s="301"/>
      <c r="R957" s="336"/>
      <c r="S957" s="301"/>
      <c r="T957" s="336"/>
    </row>
    <row r="958" spans="1:20" ht="12" customHeight="1" x14ac:dyDescent="0.25">
      <c r="A958" s="329" t="s">
        <v>289</v>
      </c>
      <c r="B958" s="330">
        <v>8</v>
      </c>
      <c r="C958" s="298">
        <v>46165</v>
      </c>
      <c r="D958" s="299" t="s">
        <v>479</v>
      </c>
      <c r="E958" s="522">
        <v>80.48</v>
      </c>
      <c r="F958" s="522"/>
      <c r="G958" s="333">
        <f t="shared" si="29"/>
        <v>2389.7799999999852</v>
      </c>
      <c r="H958" s="334"/>
      <c r="I958" s="335"/>
      <c r="J958" s="336"/>
      <c r="K958" s="301"/>
      <c r="L958" s="336"/>
      <c r="M958" s="301"/>
      <c r="N958" s="336"/>
      <c r="O958" s="301"/>
      <c r="P958" s="336"/>
      <c r="Q958" s="301"/>
      <c r="R958" s="336"/>
      <c r="S958" s="301"/>
      <c r="T958" s="336"/>
    </row>
    <row r="959" spans="1:20" ht="12" customHeight="1" x14ac:dyDescent="0.25">
      <c r="A959" s="329" t="s">
        <v>289</v>
      </c>
      <c r="B959" s="330">
        <v>5</v>
      </c>
      <c r="C959" s="298">
        <v>46165</v>
      </c>
      <c r="D959" s="299" t="s">
        <v>877</v>
      </c>
      <c r="E959" s="522">
        <v>25</v>
      </c>
      <c r="F959" s="522"/>
      <c r="G959" s="333">
        <f t="shared" si="29"/>
        <v>2470.2599999999852</v>
      </c>
      <c r="H959" s="334" t="s">
        <v>298</v>
      </c>
      <c r="I959" s="335"/>
      <c r="J959" s="336"/>
      <c r="K959" s="301"/>
      <c r="L959" s="336"/>
      <c r="M959" s="301"/>
      <c r="N959" s="336"/>
      <c r="O959" s="301"/>
      <c r="P959" s="336"/>
      <c r="Q959" s="301"/>
      <c r="R959" s="336"/>
      <c r="S959" s="301"/>
      <c r="T959" s="336"/>
    </row>
    <row r="960" spans="1:20" ht="12" customHeight="1" x14ac:dyDescent="0.25">
      <c r="A960" s="329" t="s">
        <v>289</v>
      </c>
      <c r="B960" s="330">
        <v>6</v>
      </c>
      <c r="C960" s="298">
        <v>46165</v>
      </c>
      <c r="D960" s="299" t="s">
        <v>875</v>
      </c>
      <c r="E960" s="522">
        <v>50</v>
      </c>
      <c r="F960" s="522"/>
      <c r="G960" s="333">
        <f t="shared" si="29"/>
        <v>2495.2599999999852</v>
      </c>
      <c r="H960" s="334" t="s">
        <v>298</v>
      </c>
      <c r="I960" s="335"/>
      <c r="J960" s="336"/>
      <c r="K960" s="301"/>
      <c r="L960" s="336"/>
      <c r="M960" s="301"/>
      <c r="N960" s="336"/>
      <c r="O960" s="301"/>
      <c r="P960" s="336"/>
      <c r="Q960" s="301"/>
      <c r="R960" s="336"/>
      <c r="S960" s="301"/>
      <c r="T960" s="336"/>
    </row>
    <row r="961" spans="1:20" ht="12" customHeight="1" x14ac:dyDescent="0.25">
      <c r="A961" s="329" t="s">
        <v>289</v>
      </c>
      <c r="B961" s="330">
        <v>2</v>
      </c>
      <c r="C961" s="298">
        <v>46165</v>
      </c>
      <c r="D961" s="299" t="s">
        <v>876</v>
      </c>
      <c r="E961" s="522">
        <v>25</v>
      </c>
      <c r="F961" s="522"/>
      <c r="G961" s="333">
        <f t="shared" si="29"/>
        <v>2545.2599999999852</v>
      </c>
      <c r="H961" s="334" t="s">
        <v>298</v>
      </c>
      <c r="I961" s="335"/>
      <c r="J961" s="336"/>
      <c r="K961" s="301"/>
      <c r="L961" s="336"/>
      <c r="M961" s="301"/>
      <c r="N961" s="336"/>
      <c r="O961" s="301"/>
      <c r="P961" s="336"/>
      <c r="Q961" s="301"/>
      <c r="R961" s="336"/>
      <c r="S961" s="301"/>
      <c r="T961" s="336"/>
    </row>
    <row r="962" spans="1:20" ht="12" customHeight="1" x14ac:dyDescent="0.25">
      <c r="A962" s="329" t="s">
        <v>289</v>
      </c>
      <c r="B962" s="330">
        <v>2</v>
      </c>
      <c r="C962" s="298">
        <v>46164</v>
      </c>
      <c r="D962" s="299" t="s">
        <v>879</v>
      </c>
      <c r="E962" s="522">
        <v>45.46</v>
      </c>
      <c r="F962" s="522"/>
      <c r="G962" s="333">
        <f t="shared" si="29"/>
        <v>2570.2599999999852</v>
      </c>
      <c r="H962" s="334"/>
      <c r="I962" s="335"/>
      <c r="J962" s="336"/>
      <c r="K962" s="301"/>
      <c r="L962" s="336"/>
      <c r="M962" s="301"/>
      <c r="N962" s="336"/>
      <c r="O962" s="301"/>
      <c r="P962" s="336"/>
      <c r="Q962" s="301"/>
      <c r="R962" s="336"/>
      <c r="S962" s="301"/>
      <c r="T962" s="336"/>
    </row>
    <row r="963" spans="1:20" ht="12" customHeight="1" x14ac:dyDescent="0.25">
      <c r="A963" s="329" t="s">
        <v>289</v>
      </c>
      <c r="B963" s="330">
        <v>6</v>
      </c>
      <c r="C963" s="298">
        <v>46164</v>
      </c>
      <c r="D963" s="299" t="s">
        <v>871</v>
      </c>
      <c r="E963" s="522">
        <v>22</v>
      </c>
      <c r="F963" s="522"/>
      <c r="G963" s="333">
        <f t="shared" si="29"/>
        <v>2615.7199999999852</v>
      </c>
      <c r="H963" s="334"/>
      <c r="I963" s="335"/>
      <c r="J963" s="336"/>
      <c r="K963" s="301"/>
      <c r="L963" s="336"/>
      <c r="M963" s="301"/>
      <c r="N963" s="336"/>
      <c r="O963" s="301"/>
      <c r="P963" s="336"/>
      <c r="Q963" s="301"/>
      <c r="R963" s="336"/>
      <c r="S963" s="301"/>
      <c r="T963" s="336"/>
    </row>
    <row r="964" spans="1:20" ht="12" customHeight="1" x14ac:dyDescent="0.25">
      <c r="A964" s="329" t="s">
        <v>289</v>
      </c>
      <c r="B964" s="330">
        <v>2</v>
      </c>
      <c r="C964" s="298">
        <v>46164</v>
      </c>
      <c r="D964" s="299" t="s">
        <v>296</v>
      </c>
      <c r="E964" s="522">
        <v>14.57</v>
      </c>
      <c r="F964" s="522"/>
      <c r="G964" s="333">
        <f t="shared" si="29"/>
        <v>2637.7199999999852</v>
      </c>
      <c r="H964" s="334"/>
      <c r="I964" s="335"/>
      <c r="J964" s="336"/>
      <c r="K964" s="301"/>
      <c r="L964" s="336"/>
      <c r="M964" s="301"/>
      <c r="N964" s="336"/>
      <c r="O964" s="301"/>
      <c r="P964" s="336"/>
      <c r="Q964" s="301"/>
      <c r="R964" s="336"/>
      <c r="S964" s="301"/>
      <c r="T964" s="336"/>
    </row>
    <row r="965" spans="1:20" ht="12" customHeight="1" x14ac:dyDescent="0.25">
      <c r="A965" s="329" t="s">
        <v>289</v>
      </c>
      <c r="B965" s="330">
        <v>3</v>
      </c>
      <c r="C965" s="298">
        <v>46163</v>
      </c>
      <c r="D965" s="299" t="s">
        <v>334</v>
      </c>
      <c r="E965" s="522">
        <v>9.01</v>
      </c>
      <c r="F965" s="522"/>
      <c r="G965" s="333">
        <f t="shared" si="29"/>
        <v>2652.2899999999854</v>
      </c>
      <c r="H965" s="334"/>
      <c r="I965" s="335"/>
      <c r="J965" s="336"/>
      <c r="K965" s="301"/>
      <c r="L965" s="336"/>
      <c r="M965" s="301"/>
      <c r="N965" s="336"/>
      <c r="O965" s="301"/>
      <c r="P965" s="336"/>
      <c r="Q965" s="301"/>
      <c r="R965" s="336"/>
      <c r="S965" s="301"/>
      <c r="T965" s="336"/>
    </row>
    <row r="966" spans="1:20" ht="12" customHeight="1" x14ac:dyDescent="0.25">
      <c r="A966" s="329" t="s">
        <v>289</v>
      </c>
      <c r="B966" s="330">
        <v>8</v>
      </c>
      <c r="C966" s="298">
        <v>46163</v>
      </c>
      <c r="D966" s="299" t="s">
        <v>334</v>
      </c>
      <c r="E966" s="522">
        <v>6.8</v>
      </c>
      <c r="F966" s="522"/>
      <c r="G966" s="333">
        <f t="shared" si="29"/>
        <v>2661.2999999999856</v>
      </c>
      <c r="H966" s="334"/>
      <c r="I966" s="335"/>
      <c r="J966" s="336"/>
      <c r="K966" s="301"/>
      <c r="L966" s="336"/>
      <c r="M966" s="301"/>
      <c r="N966" s="336"/>
      <c r="O966" s="301"/>
      <c r="P966" s="336"/>
      <c r="Q966" s="301"/>
      <c r="R966" s="336"/>
      <c r="S966" s="301"/>
      <c r="T966" s="336"/>
    </row>
    <row r="967" spans="1:20" ht="12" customHeight="1" x14ac:dyDescent="0.25">
      <c r="A967" s="329" t="s">
        <v>289</v>
      </c>
      <c r="B967" s="330">
        <v>2</v>
      </c>
      <c r="C967" s="298">
        <v>46163</v>
      </c>
      <c r="D967" s="299" t="s">
        <v>357</v>
      </c>
      <c r="E967" s="522">
        <v>16.649999999999999</v>
      </c>
      <c r="F967" s="522"/>
      <c r="G967" s="333">
        <f t="shared" si="29"/>
        <v>2668.0999999999858</v>
      </c>
      <c r="H967" s="334"/>
      <c r="I967" s="335"/>
      <c r="J967" s="336"/>
      <c r="K967" s="301"/>
      <c r="L967" s="336"/>
      <c r="M967" s="301"/>
      <c r="N967" s="336"/>
      <c r="O967" s="301"/>
      <c r="P967" s="336"/>
      <c r="Q967" s="301"/>
      <c r="R967" s="336"/>
      <c r="S967" s="301"/>
      <c r="T967" s="336"/>
    </row>
    <row r="968" spans="1:20" ht="12" customHeight="1" x14ac:dyDescent="0.25">
      <c r="A968" s="329" t="s">
        <v>289</v>
      </c>
      <c r="B968" s="330">
        <v>8</v>
      </c>
      <c r="C968" s="298">
        <v>46163</v>
      </c>
      <c r="D968" s="299" t="s">
        <v>844</v>
      </c>
      <c r="E968" s="522">
        <v>24.89</v>
      </c>
      <c r="F968" s="522"/>
      <c r="G968" s="333">
        <f t="shared" si="29"/>
        <v>2684.7499999999859</v>
      </c>
      <c r="H968" s="334"/>
      <c r="I968" s="335"/>
      <c r="J968" s="336"/>
      <c r="K968" s="301"/>
      <c r="L968" s="336"/>
      <c r="M968" s="301"/>
      <c r="N968" s="336"/>
      <c r="O968" s="301"/>
      <c r="P968" s="336"/>
      <c r="Q968" s="301"/>
      <c r="R968" s="336"/>
      <c r="S968" s="301"/>
      <c r="T968" s="336"/>
    </row>
    <row r="969" spans="1:20" ht="12" customHeight="1" x14ac:dyDescent="0.25">
      <c r="A969" s="329" t="s">
        <v>289</v>
      </c>
      <c r="B969" s="330">
        <v>5</v>
      </c>
      <c r="C969" s="298">
        <v>46163</v>
      </c>
      <c r="D969" s="299" t="s">
        <v>844</v>
      </c>
      <c r="E969" s="522">
        <v>11.2</v>
      </c>
      <c r="F969" s="522"/>
      <c r="G969" s="333">
        <f t="shared" si="29"/>
        <v>2709.6399999999858</v>
      </c>
      <c r="H969" s="334"/>
      <c r="I969" s="335"/>
      <c r="J969" s="336"/>
      <c r="K969" s="301"/>
      <c r="L969" s="336"/>
      <c r="M969" s="301"/>
      <c r="N969" s="336"/>
      <c r="O969" s="301"/>
      <c r="P969" s="336"/>
      <c r="Q969" s="301"/>
      <c r="R969" s="336"/>
      <c r="S969" s="301"/>
      <c r="T969" s="336"/>
    </row>
    <row r="970" spans="1:20" ht="12" customHeight="1" x14ac:dyDescent="0.25">
      <c r="A970" s="329" t="s">
        <v>289</v>
      </c>
      <c r="B970" s="330">
        <v>2</v>
      </c>
      <c r="C970" s="298">
        <v>46162</v>
      </c>
      <c r="D970" s="299" t="s">
        <v>296</v>
      </c>
      <c r="E970" s="522">
        <v>11.18</v>
      </c>
      <c r="F970" s="522"/>
      <c r="G970" s="333">
        <f t="shared" si="29"/>
        <v>2720.8399999999856</v>
      </c>
      <c r="H970" s="334"/>
      <c r="I970" s="335"/>
      <c r="J970" s="336"/>
      <c r="K970" s="301"/>
      <c r="L970" s="336"/>
      <c r="M970" s="301"/>
      <c r="N970" s="336"/>
      <c r="O970" s="301"/>
      <c r="P970" s="336"/>
      <c r="Q970" s="301"/>
      <c r="R970" s="336"/>
      <c r="S970" s="301"/>
      <c r="T970" s="336"/>
    </row>
    <row r="971" spans="1:20" ht="12" customHeight="1" x14ac:dyDescent="0.25">
      <c r="A971" s="329" t="s">
        <v>289</v>
      </c>
      <c r="B971" s="330">
        <v>2</v>
      </c>
      <c r="C971" s="298">
        <v>46162</v>
      </c>
      <c r="D971" s="299" t="s">
        <v>385</v>
      </c>
      <c r="E971" s="522">
        <v>14.38</v>
      </c>
      <c r="F971" s="522"/>
      <c r="G971" s="333">
        <f t="shared" si="29"/>
        <v>2732.0199999999854</v>
      </c>
      <c r="H971" s="334"/>
      <c r="I971" s="335"/>
      <c r="J971" s="336"/>
      <c r="K971" s="301"/>
      <c r="L971" s="336"/>
      <c r="M971" s="301"/>
      <c r="N971" s="336"/>
      <c r="O971" s="301"/>
      <c r="P971" s="336"/>
      <c r="Q971" s="301"/>
      <c r="R971" s="336"/>
      <c r="S971" s="301"/>
      <c r="T971" s="336"/>
    </row>
    <row r="972" spans="1:20" ht="12" customHeight="1" x14ac:dyDescent="0.25">
      <c r="A972" s="329" t="s">
        <v>294</v>
      </c>
      <c r="B972" s="330">
        <v>22</v>
      </c>
      <c r="C972" s="298">
        <v>46162</v>
      </c>
      <c r="D972" s="299" t="s">
        <v>323</v>
      </c>
      <c r="E972" s="522">
        <v>20.22</v>
      </c>
      <c r="F972" s="522"/>
      <c r="G972" s="333">
        <f t="shared" si="29"/>
        <v>2746.3999999999855</v>
      </c>
      <c r="H972" s="334"/>
      <c r="I972" s="335"/>
      <c r="J972" s="336"/>
      <c r="K972" s="301"/>
      <c r="L972" s="336"/>
      <c r="M972" s="301"/>
      <c r="N972" s="336"/>
      <c r="O972" s="301"/>
      <c r="P972" s="336"/>
      <c r="Q972" s="301"/>
      <c r="R972" s="336"/>
      <c r="S972" s="301"/>
      <c r="T972" s="336"/>
    </row>
    <row r="973" spans="1:20" ht="12" customHeight="1" x14ac:dyDescent="0.25">
      <c r="A973" s="329" t="s">
        <v>289</v>
      </c>
      <c r="B973" s="330">
        <v>5</v>
      </c>
      <c r="C973" s="298">
        <v>46162</v>
      </c>
      <c r="D973" s="299" t="s">
        <v>870</v>
      </c>
      <c r="E973" s="522">
        <v>30</v>
      </c>
      <c r="F973" s="522"/>
      <c r="G973" s="333">
        <f t="shared" ref="G973:G987" si="30">G974-E973+F973</f>
        <v>2766.6199999999853</v>
      </c>
      <c r="H973" s="334"/>
      <c r="I973" s="335"/>
      <c r="J973" s="336"/>
      <c r="K973" s="301"/>
      <c r="L973" s="336"/>
      <c r="M973" s="301"/>
      <c r="N973" s="336"/>
      <c r="O973" s="301"/>
      <c r="P973" s="336"/>
      <c r="Q973" s="301"/>
      <c r="R973" s="336"/>
      <c r="S973" s="301"/>
      <c r="T973" s="336"/>
    </row>
    <row r="974" spans="1:20" ht="12" customHeight="1" x14ac:dyDescent="0.25">
      <c r="A974" s="329" t="s">
        <v>289</v>
      </c>
      <c r="B974" s="330">
        <v>2</v>
      </c>
      <c r="C974" s="298">
        <v>46162</v>
      </c>
      <c r="D974" s="299" t="s">
        <v>872</v>
      </c>
      <c r="E974" s="522">
        <v>46.72</v>
      </c>
      <c r="F974" s="522"/>
      <c r="G974" s="333">
        <f t="shared" si="30"/>
        <v>2796.6199999999853</v>
      </c>
      <c r="H974" s="334"/>
      <c r="I974" s="335"/>
      <c r="J974" s="336"/>
      <c r="K974" s="301"/>
      <c r="L974" s="336"/>
      <c r="M974" s="301"/>
      <c r="N974" s="336"/>
      <c r="O974" s="301"/>
      <c r="P974" s="336"/>
      <c r="Q974" s="301"/>
      <c r="R974" s="336"/>
      <c r="S974" s="301"/>
      <c r="T974" s="336"/>
    </row>
    <row r="975" spans="1:20" ht="12" customHeight="1" x14ac:dyDescent="0.25">
      <c r="A975" s="329" t="s">
        <v>289</v>
      </c>
      <c r="B975" s="330">
        <v>4</v>
      </c>
      <c r="C975" s="298">
        <v>46162</v>
      </c>
      <c r="D975" s="299" t="s">
        <v>310</v>
      </c>
      <c r="E975" s="522">
        <v>56.51</v>
      </c>
      <c r="F975" s="522"/>
      <c r="G975" s="333">
        <f t="shared" si="30"/>
        <v>2843.3399999999851</v>
      </c>
      <c r="H975" s="334"/>
      <c r="I975" s="335"/>
      <c r="J975" s="336"/>
      <c r="K975" s="301"/>
      <c r="L975" s="336"/>
      <c r="M975" s="301"/>
      <c r="N975" s="336"/>
      <c r="O975" s="301"/>
      <c r="P975" s="336"/>
      <c r="Q975" s="301"/>
      <c r="R975" s="336"/>
      <c r="S975" s="301"/>
      <c r="T975" s="336"/>
    </row>
    <row r="976" spans="1:20" ht="12" customHeight="1" x14ac:dyDescent="0.25">
      <c r="A976" s="329" t="s">
        <v>289</v>
      </c>
      <c r="B976" s="330">
        <v>6</v>
      </c>
      <c r="C976" s="298">
        <v>46161</v>
      </c>
      <c r="D976" s="299" t="s">
        <v>869</v>
      </c>
      <c r="E976" s="522">
        <v>63.99</v>
      </c>
      <c r="F976" s="522"/>
      <c r="G976" s="333">
        <f t="shared" si="30"/>
        <v>2899.8499999999854</v>
      </c>
      <c r="H976" s="334"/>
      <c r="I976" s="335"/>
      <c r="J976" s="336"/>
      <c r="K976" s="301"/>
      <c r="L976" s="336"/>
      <c r="M976" s="301"/>
      <c r="N976" s="336"/>
      <c r="O976" s="301"/>
      <c r="P976" s="336"/>
      <c r="Q976" s="301"/>
      <c r="R976" s="336"/>
      <c r="S976" s="301"/>
      <c r="T976" s="336"/>
    </row>
    <row r="977" spans="1:20" ht="12" customHeight="1" x14ac:dyDescent="0.25">
      <c r="A977" s="329" t="s">
        <v>289</v>
      </c>
      <c r="B977" s="330">
        <v>4</v>
      </c>
      <c r="C977" s="298">
        <v>46161</v>
      </c>
      <c r="D977" s="299" t="s">
        <v>296</v>
      </c>
      <c r="E977" s="522">
        <v>43.46</v>
      </c>
      <c r="F977" s="522"/>
      <c r="G977" s="333">
        <f t="shared" si="30"/>
        <v>2963.8399999999851</v>
      </c>
      <c r="H977" s="334"/>
      <c r="I977" s="335"/>
      <c r="J977" s="336"/>
      <c r="K977" s="301"/>
      <c r="L977" s="336"/>
      <c r="M977" s="301"/>
      <c r="N977" s="336"/>
      <c r="O977" s="301"/>
      <c r="P977" s="336"/>
      <c r="Q977" s="301"/>
      <c r="R977" s="336"/>
      <c r="S977" s="301"/>
      <c r="T977" s="336"/>
    </row>
    <row r="978" spans="1:20" ht="12" customHeight="1" x14ac:dyDescent="0.25">
      <c r="A978" s="329" t="s">
        <v>289</v>
      </c>
      <c r="B978" s="330">
        <v>3</v>
      </c>
      <c r="C978" s="298">
        <v>46161</v>
      </c>
      <c r="D978" s="299" t="s">
        <v>296</v>
      </c>
      <c r="E978" s="522">
        <v>8.7200000000000006</v>
      </c>
      <c r="F978" s="522"/>
      <c r="G978" s="333">
        <f t="shared" si="30"/>
        <v>3007.2999999999852</v>
      </c>
      <c r="H978" s="334"/>
      <c r="I978" s="335"/>
      <c r="J978" s="336"/>
      <c r="K978" s="301"/>
      <c r="L978" s="336"/>
      <c r="M978" s="301"/>
      <c r="N978" s="336"/>
      <c r="O978" s="301"/>
      <c r="P978" s="336"/>
      <c r="Q978" s="301"/>
      <c r="R978" s="336"/>
      <c r="S978" s="301"/>
      <c r="T978" s="336"/>
    </row>
    <row r="979" spans="1:20" ht="12" customHeight="1" x14ac:dyDescent="0.25">
      <c r="A979" s="329" t="s">
        <v>289</v>
      </c>
      <c r="B979" s="330">
        <v>2</v>
      </c>
      <c r="C979" s="298">
        <v>46161</v>
      </c>
      <c r="D979" s="299" t="s">
        <v>301</v>
      </c>
      <c r="E979" s="522">
        <v>30.9</v>
      </c>
      <c r="F979" s="522"/>
      <c r="G979" s="333">
        <f t="shared" si="30"/>
        <v>3016.019999999985</v>
      </c>
      <c r="H979" s="334"/>
      <c r="I979" s="335"/>
      <c r="J979" s="336"/>
      <c r="K979" s="301"/>
      <c r="L979" s="336"/>
      <c r="M979" s="301"/>
      <c r="N979" s="336"/>
      <c r="O979" s="301"/>
      <c r="P979" s="336"/>
      <c r="Q979" s="301"/>
      <c r="R979" s="336"/>
      <c r="S979" s="301"/>
      <c r="T979" s="336"/>
    </row>
    <row r="980" spans="1:20" ht="12" customHeight="1" x14ac:dyDescent="0.25">
      <c r="A980" s="329" t="s">
        <v>294</v>
      </c>
      <c r="B980" s="330">
        <v>22</v>
      </c>
      <c r="C980" s="298">
        <v>46161</v>
      </c>
      <c r="D980" s="299" t="s">
        <v>328</v>
      </c>
      <c r="E980" s="522">
        <v>7.46</v>
      </c>
      <c r="F980" s="522"/>
      <c r="G980" s="333">
        <f t="shared" si="30"/>
        <v>3046.9199999999851</v>
      </c>
      <c r="H980" s="334"/>
      <c r="I980" s="335"/>
      <c r="J980" s="336"/>
      <c r="K980" s="301"/>
      <c r="L980" s="336"/>
      <c r="M980" s="301"/>
      <c r="N980" s="336"/>
      <c r="O980" s="301"/>
      <c r="P980" s="336"/>
      <c r="Q980" s="301"/>
      <c r="R980" s="336"/>
      <c r="S980" s="301"/>
      <c r="T980" s="336"/>
    </row>
    <row r="981" spans="1:20" ht="12" customHeight="1" x14ac:dyDescent="0.25">
      <c r="A981" s="329" t="s">
        <v>289</v>
      </c>
      <c r="B981" s="330">
        <v>2</v>
      </c>
      <c r="C981" s="298">
        <v>46161</v>
      </c>
      <c r="D981" s="299" t="s">
        <v>867</v>
      </c>
      <c r="E981" s="522">
        <v>31.05</v>
      </c>
      <c r="F981" s="522"/>
      <c r="G981" s="333">
        <f t="shared" si="30"/>
        <v>3054.3799999999851</v>
      </c>
      <c r="H981" s="334"/>
      <c r="I981" s="335"/>
      <c r="J981" s="336"/>
      <c r="K981" s="301"/>
      <c r="L981" s="336"/>
      <c r="M981" s="301"/>
      <c r="N981" s="336"/>
      <c r="O981" s="301"/>
      <c r="P981" s="336"/>
      <c r="Q981" s="301"/>
      <c r="R981" s="336"/>
      <c r="S981" s="301"/>
      <c r="T981" s="336"/>
    </row>
    <row r="982" spans="1:20" ht="12" customHeight="1" x14ac:dyDescent="0.25">
      <c r="A982" s="329" t="s">
        <v>289</v>
      </c>
      <c r="B982" s="330">
        <v>2</v>
      </c>
      <c r="C982" s="298">
        <v>46161</v>
      </c>
      <c r="D982" s="299" t="s">
        <v>868</v>
      </c>
      <c r="E982" s="522">
        <v>54.41</v>
      </c>
      <c r="F982" s="522"/>
      <c r="G982" s="333">
        <f t="shared" si="30"/>
        <v>3085.4299999999853</v>
      </c>
      <c r="H982" s="334"/>
      <c r="I982" s="335"/>
      <c r="J982" s="336"/>
      <c r="K982" s="301"/>
      <c r="L982" s="336"/>
      <c r="M982" s="301"/>
      <c r="N982" s="336"/>
      <c r="O982" s="301"/>
      <c r="P982" s="336"/>
      <c r="Q982" s="301"/>
      <c r="R982" s="336"/>
      <c r="S982" s="301"/>
      <c r="T982" s="336"/>
    </row>
    <row r="983" spans="1:20" ht="12" customHeight="1" x14ac:dyDescent="0.25">
      <c r="A983" s="329" t="s">
        <v>289</v>
      </c>
      <c r="B983" s="330">
        <v>8</v>
      </c>
      <c r="C983" s="298">
        <v>46161</v>
      </c>
      <c r="D983" s="299" t="s">
        <v>873</v>
      </c>
      <c r="E983" s="522">
        <v>20.49</v>
      </c>
      <c r="F983" s="522"/>
      <c r="G983" s="333">
        <f t="shared" si="30"/>
        <v>3139.8399999999851</v>
      </c>
      <c r="H983" s="334"/>
      <c r="I983" s="335"/>
      <c r="J983" s="336"/>
      <c r="K983" s="301"/>
      <c r="L983" s="336"/>
      <c r="M983" s="301"/>
      <c r="N983" s="336"/>
      <c r="O983" s="301"/>
      <c r="P983" s="336"/>
      <c r="Q983" s="301"/>
      <c r="R983" s="336"/>
      <c r="S983" s="301"/>
      <c r="T983" s="336"/>
    </row>
    <row r="984" spans="1:20" ht="12" customHeight="1" x14ac:dyDescent="0.25">
      <c r="A984" s="329" t="s">
        <v>294</v>
      </c>
      <c r="B984" s="330">
        <v>22</v>
      </c>
      <c r="C984" s="298">
        <v>46160</v>
      </c>
      <c r="D984" s="299" t="s">
        <v>400</v>
      </c>
      <c r="E984" s="522">
        <v>13.84</v>
      </c>
      <c r="F984" s="522"/>
      <c r="G984" s="333">
        <f t="shared" si="30"/>
        <v>3160.3299999999849</v>
      </c>
      <c r="H984" s="334"/>
      <c r="I984" s="335"/>
      <c r="J984" s="336"/>
      <c r="K984" s="301"/>
      <c r="L984" s="336"/>
      <c r="M984" s="301"/>
      <c r="N984" s="336"/>
      <c r="O984" s="301"/>
      <c r="P984" s="336"/>
      <c r="Q984" s="301"/>
      <c r="R984" s="336"/>
      <c r="S984" s="301"/>
      <c r="T984" s="336"/>
    </row>
    <row r="985" spans="1:20" ht="12" customHeight="1" x14ac:dyDescent="0.25">
      <c r="A985" s="329" t="s">
        <v>287</v>
      </c>
      <c r="B985" s="330" t="s">
        <v>287</v>
      </c>
      <c r="C985" s="298">
        <v>46160</v>
      </c>
      <c r="D985" s="299" t="s">
        <v>874</v>
      </c>
      <c r="E985" s="522">
        <v>138.44</v>
      </c>
      <c r="F985" s="522">
        <v>138.44</v>
      </c>
      <c r="G985" s="333">
        <f t="shared" si="30"/>
        <v>3174.1699999999851</v>
      </c>
      <c r="H985" s="334"/>
      <c r="I985" s="335"/>
      <c r="J985" s="336"/>
      <c r="K985" s="301"/>
      <c r="L985" s="336"/>
      <c r="M985" s="301"/>
      <c r="N985" s="336"/>
      <c r="O985" s="301"/>
      <c r="P985" s="336"/>
      <c r="Q985" s="301"/>
      <c r="R985" s="336"/>
      <c r="S985" s="301"/>
      <c r="T985" s="336"/>
    </row>
    <row r="986" spans="1:20" ht="12" customHeight="1" x14ac:dyDescent="0.25">
      <c r="A986" s="329" t="s">
        <v>289</v>
      </c>
      <c r="B986" s="330">
        <v>2</v>
      </c>
      <c r="C986" s="298">
        <v>46160</v>
      </c>
      <c r="D986" s="299" t="s">
        <v>352</v>
      </c>
      <c r="E986" s="522">
        <v>25.48</v>
      </c>
      <c r="F986" s="522"/>
      <c r="G986" s="333">
        <f t="shared" si="30"/>
        <v>3174.1699999999851</v>
      </c>
      <c r="H986" s="334"/>
      <c r="I986" s="335"/>
      <c r="J986" s="336"/>
      <c r="K986" s="301"/>
      <c r="L986" s="336"/>
      <c r="M986" s="301"/>
      <c r="N986" s="336"/>
      <c r="O986" s="301"/>
      <c r="P986" s="336"/>
      <c r="Q986" s="301"/>
      <c r="R986" s="336"/>
      <c r="S986" s="301"/>
      <c r="T986" s="336"/>
    </row>
    <row r="987" spans="1:20" ht="12" customHeight="1" x14ac:dyDescent="0.25">
      <c r="A987" s="329" t="s">
        <v>294</v>
      </c>
      <c r="B987" s="330">
        <v>17</v>
      </c>
      <c r="C987" s="298">
        <v>46160</v>
      </c>
      <c r="D987" s="299" t="s">
        <v>188</v>
      </c>
      <c r="E987" s="522">
        <v>42.65</v>
      </c>
      <c r="F987" s="522"/>
      <c r="G987" s="333">
        <f t="shared" si="30"/>
        <v>3199.6499999999851</v>
      </c>
      <c r="H987" s="334"/>
      <c r="I987" s="335"/>
      <c r="J987" s="336"/>
      <c r="K987" s="301"/>
      <c r="L987" s="336"/>
      <c r="M987" s="301"/>
      <c r="N987" s="336"/>
      <c r="O987" s="301"/>
      <c r="P987" s="336"/>
      <c r="Q987" s="301"/>
      <c r="R987" s="336"/>
      <c r="S987" s="301"/>
      <c r="T987" s="336"/>
    </row>
    <row r="988" spans="1:20" ht="12" customHeight="1" x14ac:dyDescent="0.25">
      <c r="A988" s="329" t="s">
        <v>294</v>
      </c>
      <c r="B988" s="330">
        <v>15</v>
      </c>
      <c r="C988" s="298">
        <v>46160</v>
      </c>
      <c r="D988" s="299" t="s">
        <v>185</v>
      </c>
      <c r="E988" s="522">
        <v>101.37</v>
      </c>
      <c r="F988" s="522"/>
      <c r="G988" s="333">
        <f t="shared" ref="G988:G1068" si="31">G989-E988+F988</f>
        <v>3242.2999999999852</v>
      </c>
      <c r="H988" s="334"/>
      <c r="I988" s="335"/>
      <c r="J988" s="336"/>
      <c r="K988" s="301"/>
      <c r="L988" s="336"/>
      <c r="M988" s="301"/>
      <c r="N988" s="336"/>
      <c r="O988" s="301"/>
      <c r="P988" s="336"/>
      <c r="Q988" s="301"/>
      <c r="R988" s="336"/>
      <c r="S988" s="301"/>
      <c r="T988" s="336"/>
    </row>
    <row r="989" spans="1:20" ht="12" customHeight="1" x14ac:dyDescent="0.25">
      <c r="A989" s="329" t="s">
        <v>335</v>
      </c>
      <c r="B989" s="330" t="s">
        <v>335</v>
      </c>
      <c r="C989" s="298">
        <v>46160</v>
      </c>
      <c r="D989" s="299" t="s">
        <v>185</v>
      </c>
      <c r="E989" s="522">
        <v>93.13</v>
      </c>
      <c r="F989" s="522"/>
      <c r="G989" s="333">
        <f t="shared" si="31"/>
        <v>3343.6699999999851</v>
      </c>
      <c r="H989" s="334"/>
      <c r="I989" s="335"/>
      <c r="J989" s="336"/>
      <c r="K989" s="301"/>
      <c r="L989" s="336"/>
      <c r="M989" s="301"/>
      <c r="N989" s="336"/>
      <c r="O989" s="301"/>
      <c r="P989" s="336"/>
      <c r="Q989" s="301"/>
      <c r="R989" s="336"/>
      <c r="S989" s="301"/>
      <c r="T989" s="336"/>
    </row>
    <row r="990" spans="1:20" ht="12" customHeight="1" x14ac:dyDescent="0.25">
      <c r="A990" s="329" t="s">
        <v>294</v>
      </c>
      <c r="B990" s="330">
        <v>11</v>
      </c>
      <c r="C990" s="298">
        <v>46160</v>
      </c>
      <c r="D990" s="299" t="s">
        <v>178</v>
      </c>
      <c r="E990" s="522">
        <v>267.68</v>
      </c>
      <c r="F990" s="522"/>
      <c r="G990" s="333">
        <f t="shared" si="31"/>
        <v>3436.7999999999852</v>
      </c>
      <c r="H990" s="334"/>
      <c r="I990" s="335"/>
      <c r="J990" s="336"/>
      <c r="K990" s="301"/>
      <c r="L990" s="336"/>
      <c r="M990" s="301"/>
      <c r="N990" s="336"/>
      <c r="O990" s="301"/>
      <c r="P990" s="336"/>
      <c r="Q990" s="301"/>
      <c r="R990" s="336"/>
      <c r="S990" s="301"/>
      <c r="T990" s="336"/>
    </row>
    <row r="991" spans="1:20" ht="12" customHeight="1" x14ac:dyDescent="0.25">
      <c r="A991" s="329" t="s">
        <v>294</v>
      </c>
      <c r="B991" s="330">
        <v>23</v>
      </c>
      <c r="C991" s="298">
        <v>46160</v>
      </c>
      <c r="D991" s="299" t="s">
        <v>63</v>
      </c>
      <c r="E991" s="522">
        <v>529.46</v>
      </c>
      <c r="F991" s="522"/>
      <c r="G991" s="333">
        <f t="shared" si="31"/>
        <v>3704.479999999985</v>
      </c>
      <c r="H991" s="334"/>
      <c r="I991" s="335"/>
      <c r="J991" s="336"/>
      <c r="K991" s="301"/>
      <c r="L991" s="336"/>
      <c r="M991" s="301"/>
      <c r="N991" s="336"/>
      <c r="O991" s="301"/>
      <c r="P991" s="336"/>
      <c r="Q991" s="301"/>
      <c r="R991" s="336"/>
      <c r="S991" s="301"/>
      <c r="T991" s="336"/>
    </row>
    <row r="992" spans="1:20" ht="12" customHeight="1" x14ac:dyDescent="0.25">
      <c r="A992" s="329" t="s">
        <v>289</v>
      </c>
      <c r="B992" s="330">
        <v>1</v>
      </c>
      <c r="C992" s="298">
        <v>46159</v>
      </c>
      <c r="D992" s="299" t="s">
        <v>311</v>
      </c>
      <c r="E992" s="522">
        <v>148.25</v>
      </c>
      <c r="F992" s="522"/>
      <c r="G992" s="333">
        <f t="shared" si="31"/>
        <v>4233.939999999985</v>
      </c>
      <c r="H992" s="334"/>
      <c r="I992" s="335"/>
      <c r="J992" s="336"/>
      <c r="K992" s="301"/>
      <c r="L992" s="336"/>
      <c r="M992" s="301"/>
      <c r="N992" s="336"/>
      <c r="O992" s="301"/>
      <c r="P992" s="336"/>
      <c r="Q992" s="301"/>
      <c r="R992" s="336"/>
      <c r="S992" s="301"/>
      <c r="T992" s="336"/>
    </row>
    <row r="993" spans="1:20" ht="12" customHeight="1" x14ac:dyDescent="0.25">
      <c r="A993" s="329" t="s">
        <v>289</v>
      </c>
      <c r="B993" s="330">
        <v>1</v>
      </c>
      <c r="C993" s="298">
        <v>46159</v>
      </c>
      <c r="D993" s="299" t="s">
        <v>306</v>
      </c>
      <c r="E993" s="522">
        <v>90.2</v>
      </c>
      <c r="F993" s="522"/>
      <c r="G993" s="333">
        <f t="shared" si="31"/>
        <v>4382.189999999985</v>
      </c>
      <c r="H993" s="334"/>
      <c r="I993" s="335"/>
      <c r="J993" s="336"/>
      <c r="K993" s="301"/>
      <c r="L993" s="336"/>
      <c r="M993" s="301"/>
      <c r="N993" s="336"/>
      <c r="O993" s="301"/>
      <c r="P993" s="336"/>
      <c r="Q993" s="301"/>
      <c r="R993" s="336"/>
      <c r="S993" s="301"/>
      <c r="T993" s="336"/>
    </row>
    <row r="994" spans="1:20" ht="12" customHeight="1" x14ac:dyDescent="0.25">
      <c r="A994" s="329" t="s">
        <v>294</v>
      </c>
      <c r="B994" s="330">
        <v>21</v>
      </c>
      <c r="C994" s="298">
        <v>46159</v>
      </c>
      <c r="D994" s="299" t="s">
        <v>194</v>
      </c>
      <c r="E994" s="522">
        <v>81</v>
      </c>
      <c r="F994" s="522"/>
      <c r="G994" s="333">
        <f t="shared" si="31"/>
        <v>4472.3899999999849</v>
      </c>
      <c r="H994" s="334"/>
      <c r="I994" s="335"/>
      <c r="J994" s="336"/>
      <c r="K994" s="301"/>
      <c r="L994" s="336"/>
      <c r="M994" s="301"/>
      <c r="N994" s="336"/>
      <c r="O994" s="301"/>
      <c r="P994" s="336"/>
      <c r="Q994" s="301"/>
      <c r="R994" s="336"/>
      <c r="S994" s="301"/>
      <c r="T994" s="336"/>
    </row>
    <row r="995" spans="1:20" ht="12" customHeight="1" x14ac:dyDescent="0.25">
      <c r="A995" s="329" t="s">
        <v>289</v>
      </c>
      <c r="B995" s="330">
        <v>6</v>
      </c>
      <c r="C995" s="298">
        <v>46159</v>
      </c>
      <c r="D995" s="299" t="s">
        <v>300</v>
      </c>
      <c r="E995" s="522">
        <v>38.33</v>
      </c>
      <c r="F995" s="522"/>
      <c r="G995" s="333">
        <f t="shared" si="31"/>
        <v>4553.3899999999849</v>
      </c>
      <c r="H995" s="334"/>
      <c r="I995" s="335"/>
      <c r="J995" s="336"/>
      <c r="K995" s="301"/>
      <c r="L995" s="336"/>
      <c r="M995" s="301"/>
      <c r="N995" s="336"/>
      <c r="O995" s="301"/>
      <c r="P995" s="336"/>
      <c r="Q995" s="301"/>
      <c r="R995" s="336"/>
      <c r="S995" s="301"/>
      <c r="T995" s="336"/>
    </row>
    <row r="996" spans="1:20" ht="12" customHeight="1" x14ac:dyDescent="0.25">
      <c r="A996" s="329" t="s">
        <v>294</v>
      </c>
      <c r="B996" s="330">
        <v>42</v>
      </c>
      <c r="C996" s="298">
        <v>46159</v>
      </c>
      <c r="D996" s="299" t="s">
        <v>333</v>
      </c>
      <c r="E996" s="522">
        <v>29.8</v>
      </c>
      <c r="F996" s="522"/>
      <c r="G996" s="333">
        <f t="shared" si="31"/>
        <v>4591.7199999999848</v>
      </c>
      <c r="H996" s="334"/>
      <c r="I996" s="335"/>
      <c r="J996" s="336"/>
      <c r="K996" s="301"/>
      <c r="L996" s="336"/>
      <c r="M996" s="301"/>
      <c r="N996" s="336"/>
      <c r="O996" s="301"/>
      <c r="P996" s="336"/>
      <c r="Q996" s="301"/>
      <c r="R996" s="336"/>
      <c r="S996" s="301"/>
      <c r="T996" s="336"/>
    </row>
    <row r="997" spans="1:20" ht="12" customHeight="1" x14ac:dyDescent="0.25">
      <c r="A997" s="329" t="s">
        <v>294</v>
      </c>
      <c r="B997" s="330">
        <v>43</v>
      </c>
      <c r="C997" s="298">
        <v>46159</v>
      </c>
      <c r="D997" s="299" t="s">
        <v>333</v>
      </c>
      <c r="E997" s="522">
        <v>22.35</v>
      </c>
      <c r="F997" s="522"/>
      <c r="G997" s="333">
        <f t="shared" si="31"/>
        <v>4621.519999999985</v>
      </c>
      <c r="H997" s="334"/>
      <c r="I997" s="335"/>
      <c r="J997" s="336"/>
      <c r="K997" s="301"/>
      <c r="L997" s="336"/>
      <c r="M997" s="301"/>
      <c r="N997" s="336"/>
      <c r="O997" s="301"/>
      <c r="P997" s="336"/>
      <c r="Q997" s="301"/>
      <c r="R997" s="336"/>
      <c r="S997" s="301"/>
      <c r="T997" s="336"/>
    </row>
    <row r="998" spans="1:20" ht="12" customHeight="1" x14ac:dyDescent="0.25">
      <c r="A998" s="329" t="s">
        <v>289</v>
      </c>
      <c r="B998" s="330">
        <v>8</v>
      </c>
      <c r="C998" s="298">
        <v>46159</v>
      </c>
      <c r="D998" s="299" t="s">
        <v>319</v>
      </c>
      <c r="E998" s="522">
        <v>50.75</v>
      </c>
      <c r="F998" s="522"/>
      <c r="G998" s="333">
        <f t="shared" si="31"/>
        <v>4643.8699999999853</v>
      </c>
      <c r="H998" s="334"/>
      <c r="I998" s="335"/>
      <c r="J998" s="336"/>
      <c r="K998" s="301"/>
      <c r="L998" s="336"/>
      <c r="M998" s="301"/>
      <c r="N998" s="336"/>
      <c r="O998" s="301"/>
      <c r="P998" s="336"/>
      <c r="Q998" s="301"/>
      <c r="R998" s="336"/>
      <c r="S998" s="301"/>
      <c r="T998" s="336"/>
    </row>
    <row r="999" spans="1:20" ht="12" customHeight="1" x14ac:dyDescent="0.25">
      <c r="A999" s="329" t="s">
        <v>289</v>
      </c>
      <c r="B999" s="330">
        <v>5</v>
      </c>
      <c r="C999" s="298">
        <v>46158</v>
      </c>
      <c r="D999" s="299" t="s">
        <v>339</v>
      </c>
      <c r="E999" s="522">
        <v>21.3</v>
      </c>
      <c r="F999" s="522"/>
      <c r="G999" s="333">
        <f t="shared" si="31"/>
        <v>4694.6199999999853</v>
      </c>
      <c r="H999" s="334"/>
      <c r="I999" s="335"/>
      <c r="J999" s="336"/>
      <c r="K999" s="301"/>
      <c r="L999" s="336"/>
      <c r="M999" s="301"/>
      <c r="N999" s="336"/>
      <c r="O999" s="301"/>
      <c r="P999" s="336"/>
      <c r="Q999" s="301"/>
      <c r="R999" s="336"/>
      <c r="S999" s="301"/>
      <c r="T999" s="336"/>
    </row>
    <row r="1000" spans="1:20" ht="12" customHeight="1" x14ac:dyDescent="0.25">
      <c r="A1000" s="329" t="s">
        <v>289</v>
      </c>
      <c r="B1000" s="330">
        <v>8</v>
      </c>
      <c r="C1000" s="298">
        <v>46158</v>
      </c>
      <c r="D1000" s="299" t="s">
        <v>319</v>
      </c>
      <c r="E1000" s="522">
        <v>41.46</v>
      </c>
      <c r="F1000" s="522"/>
      <c r="G1000" s="333">
        <f t="shared" si="31"/>
        <v>4715.9199999999855</v>
      </c>
      <c r="H1000" s="334"/>
      <c r="I1000" s="335"/>
      <c r="J1000" s="336"/>
      <c r="K1000" s="301"/>
      <c r="L1000" s="336"/>
      <c r="M1000" s="301"/>
      <c r="N1000" s="336"/>
      <c r="O1000" s="301"/>
      <c r="P1000" s="336"/>
      <c r="Q1000" s="301"/>
      <c r="R1000" s="336"/>
      <c r="S1000" s="301"/>
      <c r="T1000" s="336"/>
    </row>
    <row r="1001" spans="1:20" ht="12" customHeight="1" x14ac:dyDescent="0.25">
      <c r="A1001" s="329" t="s">
        <v>287</v>
      </c>
      <c r="B1001" s="330" t="s">
        <v>287</v>
      </c>
      <c r="C1001" s="298">
        <v>46158</v>
      </c>
      <c r="D1001" s="299" t="s">
        <v>847</v>
      </c>
      <c r="E1001" s="522">
        <v>95.85</v>
      </c>
      <c r="F1001" s="522">
        <v>95.85</v>
      </c>
      <c r="G1001" s="333">
        <f t="shared" si="31"/>
        <v>4757.3799999999856</v>
      </c>
      <c r="H1001" s="334"/>
      <c r="I1001" s="335"/>
      <c r="J1001" s="336"/>
      <c r="K1001" s="301"/>
      <c r="L1001" s="336"/>
      <c r="M1001" s="301"/>
      <c r="N1001" s="336"/>
      <c r="O1001" s="301"/>
      <c r="P1001" s="336"/>
      <c r="Q1001" s="301"/>
      <c r="R1001" s="336"/>
      <c r="S1001" s="301"/>
      <c r="T1001" s="336"/>
    </row>
    <row r="1002" spans="1:20" ht="12" customHeight="1" x14ac:dyDescent="0.25">
      <c r="A1002" s="329" t="s">
        <v>287</v>
      </c>
      <c r="B1002" s="330" t="s">
        <v>287</v>
      </c>
      <c r="C1002" s="298">
        <v>46158</v>
      </c>
      <c r="D1002" s="299" t="s">
        <v>845</v>
      </c>
      <c r="E1002" s="522">
        <v>87.13</v>
      </c>
      <c r="F1002" s="522">
        <v>87.13</v>
      </c>
      <c r="G1002" s="333">
        <f t="shared" si="31"/>
        <v>4757.3799999999856</v>
      </c>
      <c r="H1002" s="334"/>
      <c r="I1002" s="335"/>
      <c r="J1002" s="336"/>
      <c r="K1002" s="301"/>
      <c r="L1002" s="336"/>
      <c r="M1002" s="301"/>
      <c r="N1002" s="336"/>
      <c r="O1002" s="301"/>
      <c r="P1002" s="336"/>
      <c r="Q1002" s="301"/>
      <c r="R1002" s="336"/>
      <c r="S1002" s="301"/>
      <c r="T1002" s="336"/>
    </row>
    <row r="1003" spans="1:20" ht="12" customHeight="1" x14ac:dyDescent="0.25">
      <c r="A1003" s="329" t="s">
        <v>289</v>
      </c>
      <c r="B1003" s="330">
        <v>4</v>
      </c>
      <c r="C1003" s="298">
        <v>46158</v>
      </c>
      <c r="D1003" s="299" t="s">
        <v>310</v>
      </c>
      <c r="E1003" s="522">
        <v>48.15</v>
      </c>
      <c r="F1003" s="522"/>
      <c r="G1003" s="333">
        <f t="shared" si="31"/>
        <v>4757.3799999999856</v>
      </c>
      <c r="H1003" s="334"/>
      <c r="I1003" s="335"/>
      <c r="J1003" s="336"/>
      <c r="K1003" s="301"/>
      <c r="L1003" s="336"/>
      <c r="M1003" s="301"/>
      <c r="N1003" s="336"/>
      <c r="O1003" s="301"/>
      <c r="P1003" s="336"/>
      <c r="Q1003" s="301"/>
      <c r="R1003" s="336"/>
      <c r="S1003" s="301"/>
      <c r="T1003" s="336"/>
    </row>
    <row r="1004" spans="1:20" ht="12" customHeight="1" x14ac:dyDescent="0.25">
      <c r="A1004" s="329" t="s">
        <v>289</v>
      </c>
      <c r="B1004" s="330">
        <v>8</v>
      </c>
      <c r="C1004" s="298">
        <v>46158</v>
      </c>
      <c r="D1004" s="299" t="s">
        <v>308</v>
      </c>
      <c r="E1004" s="522">
        <v>75.069999999999993</v>
      </c>
      <c r="F1004" s="522"/>
      <c r="G1004" s="333">
        <f t="shared" si="31"/>
        <v>4805.5299999999852</v>
      </c>
      <c r="H1004" s="334"/>
      <c r="I1004" s="335"/>
      <c r="J1004" s="336"/>
      <c r="K1004" s="301"/>
      <c r="L1004" s="336"/>
      <c r="M1004" s="301"/>
      <c r="N1004" s="336"/>
      <c r="O1004" s="301"/>
      <c r="P1004" s="336"/>
      <c r="Q1004" s="301"/>
      <c r="R1004" s="336"/>
      <c r="S1004" s="301"/>
      <c r="T1004" s="336"/>
    </row>
    <row r="1005" spans="1:20" ht="12" customHeight="1" x14ac:dyDescent="0.25">
      <c r="A1005" s="329" t="s">
        <v>289</v>
      </c>
      <c r="B1005" s="330">
        <v>2</v>
      </c>
      <c r="C1005" s="298">
        <v>46158</v>
      </c>
      <c r="D1005" s="299" t="s">
        <v>308</v>
      </c>
      <c r="E1005" s="522">
        <v>75</v>
      </c>
      <c r="F1005" s="522"/>
      <c r="G1005" s="333">
        <f t="shared" si="31"/>
        <v>4880.5999999999849</v>
      </c>
      <c r="H1005" s="334"/>
      <c r="I1005" s="335"/>
      <c r="J1005" s="336"/>
      <c r="K1005" s="301"/>
      <c r="L1005" s="336"/>
      <c r="M1005" s="301"/>
      <c r="N1005" s="336"/>
      <c r="O1005" s="301"/>
      <c r="P1005" s="336"/>
      <c r="Q1005" s="301"/>
      <c r="R1005" s="336"/>
      <c r="S1005" s="301"/>
      <c r="T1005" s="336"/>
    </row>
    <row r="1006" spans="1:20" ht="12" customHeight="1" x14ac:dyDescent="0.25">
      <c r="A1006" s="329" t="s">
        <v>289</v>
      </c>
      <c r="B1006" s="330">
        <v>3</v>
      </c>
      <c r="C1006" s="298">
        <v>46158</v>
      </c>
      <c r="D1006" s="299" t="s">
        <v>347</v>
      </c>
      <c r="E1006" s="522">
        <v>8.3800000000000008</v>
      </c>
      <c r="F1006" s="522"/>
      <c r="G1006" s="333">
        <f t="shared" si="31"/>
        <v>4955.5999999999849</v>
      </c>
      <c r="H1006" s="334"/>
      <c r="I1006" s="335"/>
      <c r="J1006" s="336"/>
      <c r="K1006" s="301"/>
      <c r="L1006" s="336"/>
      <c r="M1006" s="301"/>
      <c r="N1006" s="336"/>
      <c r="O1006" s="301"/>
      <c r="P1006" s="336"/>
      <c r="Q1006" s="301"/>
      <c r="R1006" s="336"/>
      <c r="S1006" s="301"/>
      <c r="T1006" s="336"/>
    </row>
    <row r="1007" spans="1:20" ht="12" customHeight="1" x14ac:dyDescent="0.25">
      <c r="A1007" s="329" t="s">
        <v>289</v>
      </c>
      <c r="B1007" s="330">
        <v>8</v>
      </c>
      <c r="C1007" s="298">
        <v>46157</v>
      </c>
      <c r="D1007" s="299" t="s">
        <v>319</v>
      </c>
      <c r="E1007" s="522">
        <v>63.55</v>
      </c>
      <c r="F1007" s="522"/>
      <c r="G1007" s="333">
        <f t="shared" si="31"/>
        <v>4963.979999999985</v>
      </c>
      <c r="H1007" s="334"/>
      <c r="I1007" s="335"/>
      <c r="J1007" s="336"/>
      <c r="K1007" s="301"/>
      <c r="L1007" s="336"/>
      <c r="M1007" s="301"/>
      <c r="N1007" s="336"/>
      <c r="O1007" s="301"/>
      <c r="P1007" s="336"/>
      <c r="Q1007" s="301"/>
      <c r="R1007" s="336"/>
      <c r="S1007" s="301"/>
      <c r="T1007" s="336"/>
    </row>
    <row r="1008" spans="1:20" ht="12" customHeight="1" x14ac:dyDescent="0.25">
      <c r="A1008" s="329" t="s">
        <v>289</v>
      </c>
      <c r="B1008" s="330">
        <v>4</v>
      </c>
      <c r="C1008" s="298">
        <v>46157</v>
      </c>
      <c r="D1008" s="299" t="s">
        <v>296</v>
      </c>
      <c r="E1008" s="522">
        <v>45.1</v>
      </c>
      <c r="F1008" s="522"/>
      <c r="G1008" s="333">
        <f t="shared" si="31"/>
        <v>5027.5299999999852</v>
      </c>
      <c r="H1008" s="334"/>
      <c r="I1008" s="335"/>
      <c r="J1008" s="336"/>
      <c r="K1008" s="301"/>
      <c r="L1008" s="336"/>
      <c r="M1008" s="301"/>
      <c r="N1008" s="336"/>
      <c r="O1008" s="301"/>
      <c r="P1008" s="336"/>
      <c r="Q1008" s="301"/>
      <c r="R1008" s="336"/>
      <c r="S1008" s="301"/>
      <c r="T1008" s="336"/>
    </row>
    <row r="1009" spans="1:20" ht="12" customHeight="1" x14ac:dyDescent="0.25">
      <c r="A1009" s="329" t="s">
        <v>289</v>
      </c>
      <c r="B1009" s="330">
        <v>2</v>
      </c>
      <c r="C1009" s="298">
        <v>46157</v>
      </c>
      <c r="D1009" s="299" t="s">
        <v>296</v>
      </c>
      <c r="E1009" s="522">
        <v>24.54</v>
      </c>
      <c r="F1009" s="522"/>
      <c r="G1009" s="333">
        <f t="shared" si="31"/>
        <v>5072.6299999999856</v>
      </c>
      <c r="H1009" s="334"/>
      <c r="I1009" s="335"/>
      <c r="J1009" s="336"/>
      <c r="K1009" s="301"/>
      <c r="L1009" s="336"/>
      <c r="M1009" s="301"/>
      <c r="N1009" s="336"/>
      <c r="O1009" s="301"/>
      <c r="P1009" s="336"/>
      <c r="Q1009" s="301"/>
      <c r="R1009" s="336"/>
      <c r="S1009" s="301"/>
      <c r="T1009" s="336"/>
    </row>
    <row r="1010" spans="1:20" ht="12" customHeight="1" x14ac:dyDescent="0.25">
      <c r="A1010" s="329" t="s">
        <v>289</v>
      </c>
      <c r="B1010" s="330">
        <v>2</v>
      </c>
      <c r="C1010" s="298">
        <v>46157</v>
      </c>
      <c r="D1010" s="299" t="s">
        <v>334</v>
      </c>
      <c r="E1010" s="522">
        <v>14.28</v>
      </c>
      <c r="F1010" s="522"/>
      <c r="G1010" s="333">
        <f t="shared" si="31"/>
        <v>5097.1699999999855</v>
      </c>
      <c r="H1010" s="334"/>
      <c r="I1010" s="335"/>
      <c r="J1010" s="336"/>
      <c r="K1010" s="301"/>
      <c r="L1010" s="336"/>
      <c r="M1010" s="301"/>
      <c r="N1010" s="336"/>
      <c r="O1010" s="301"/>
      <c r="P1010" s="336"/>
      <c r="Q1010" s="301"/>
      <c r="R1010" s="336"/>
      <c r="S1010" s="301"/>
      <c r="T1010" s="336"/>
    </row>
    <row r="1011" spans="1:20" ht="12" customHeight="1" x14ac:dyDescent="0.25">
      <c r="A1011" s="329" t="s">
        <v>287</v>
      </c>
      <c r="B1011" s="330" t="s">
        <v>287</v>
      </c>
      <c r="C1011" s="298">
        <v>46157</v>
      </c>
      <c r="D1011" s="299" t="s">
        <v>504</v>
      </c>
      <c r="E1011" s="522">
        <v>146.15</v>
      </c>
      <c r="F1011" s="522">
        <v>146.15</v>
      </c>
      <c r="G1011" s="333">
        <f t="shared" si="31"/>
        <v>5111.4499999999853</v>
      </c>
      <c r="H1011" s="334"/>
      <c r="I1011" s="335"/>
      <c r="J1011" s="336"/>
      <c r="K1011" s="301"/>
      <c r="L1011" s="336"/>
      <c r="M1011" s="301"/>
      <c r="N1011" s="336"/>
      <c r="O1011" s="301"/>
      <c r="P1011" s="336"/>
      <c r="Q1011" s="301"/>
      <c r="R1011" s="336"/>
      <c r="S1011" s="301"/>
      <c r="T1011" s="336"/>
    </row>
    <row r="1012" spans="1:20" ht="12" customHeight="1" x14ac:dyDescent="0.25">
      <c r="A1012" s="329" t="s">
        <v>289</v>
      </c>
      <c r="B1012" s="330">
        <v>2</v>
      </c>
      <c r="C1012" s="298">
        <v>46157</v>
      </c>
      <c r="D1012" s="299" t="s">
        <v>866</v>
      </c>
      <c r="E1012" s="522">
        <v>202.87</v>
      </c>
      <c r="F1012" s="522"/>
      <c r="G1012" s="333">
        <f>G1013-E1012+F1012</f>
        <v>5111.4499999999853</v>
      </c>
      <c r="H1012" s="334"/>
      <c r="I1012" s="335"/>
      <c r="J1012" s="336"/>
      <c r="K1012" s="301"/>
      <c r="L1012" s="336"/>
      <c r="M1012" s="301"/>
      <c r="N1012" s="336"/>
      <c r="O1012" s="301"/>
      <c r="P1012" s="336"/>
      <c r="Q1012" s="301"/>
      <c r="R1012" s="336"/>
      <c r="S1012" s="301"/>
      <c r="T1012" s="336"/>
    </row>
    <row r="1013" spans="1:20" ht="12" customHeight="1" x14ac:dyDescent="0.25">
      <c r="A1013" s="329" t="s">
        <v>289</v>
      </c>
      <c r="B1013" s="330">
        <v>6</v>
      </c>
      <c r="C1013" s="298">
        <v>46157</v>
      </c>
      <c r="D1013" s="299" t="s">
        <v>300</v>
      </c>
      <c r="E1013" s="522">
        <v>14.9</v>
      </c>
      <c r="F1013" s="522"/>
      <c r="G1013" s="333">
        <f t="shared" si="31"/>
        <v>5314.3199999999852</v>
      </c>
      <c r="H1013" s="334"/>
      <c r="I1013" s="335"/>
      <c r="J1013" s="336"/>
      <c r="K1013" s="301"/>
      <c r="L1013" s="336"/>
      <c r="M1013" s="301"/>
      <c r="N1013" s="336"/>
      <c r="O1013" s="301"/>
      <c r="P1013" s="336"/>
      <c r="Q1013" s="301"/>
      <c r="R1013" s="336"/>
      <c r="S1013" s="301"/>
      <c r="T1013" s="336"/>
    </row>
    <row r="1014" spans="1:20" ht="12" customHeight="1" x14ac:dyDescent="0.25">
      <c r="A1014" s="329" t="s">
        <v>291</v>
      </c>
      <c r="B1014" s="330">
        <v>38</v>
      </c>
      <c r="C1014" s="298">
        <v>46157</v>
      </c>
      <c r="D1014" s="299" t="s">
        <v>293</v>
      </c>
      <c r="E1014" s="522"/>
      <c r="F1014" s="522">
        <v>4597.82</v>
      </c>
      <c r="G1014" s="333">
        <f t="shared" si="31"/>
        <v>5329.2199999999848</v>
      </c>
      <c r="H1014" s="334"/>
      <c r="I1014" s="335"/>
      <c r="J1014" s="336"/>
      <c r="K1014" s="301"/>
      <c r="L1014" s="336"/>
      <c r="M1014" s="301"/>
      <c r="N1014" s="336"/>
      <c r="O1014" s="301"/>
      <c r="P1014" s="336"/>
      <c r="Q1014" s="301"/>
      <c r="R1014" s="336"/>
      <c r="S1014" s="301"/>
      <c r="T1014" s="336"/>
    </row>
    <row r="1015" spans="1:20" ht="12" customHeight="1" x14ac:dyDescent="0.25">
      <c r="A1015" s="329" t="s">
        <v>289</v>
      </c>
      <c r="B1015" s="330">
        <v>8</v>
      </c>
      <c r="C1015" s="298">
        <v>46156</v>
      </c>
      <c r="D1015" s="299" t="s">
        <v>865</v>
      </c>
      <c r="E1015" s="522">
        <v>34.96</v>
      </c>
      <c r="F1015" s="522"/>
      <c r="G1015" s="333">
        <f t="shared" si="31"/>
        <v>731.39999999998463</v>
      </c>
      <c r="H1015" s="334"/>
      <c r="I1015" s="335"/>
      <c r="J1015" s="336"/>
      <c r="K1015" s="301"/>
      <c r="L1015" s="336"/>
      <c r="M1015" s="301"/>
      <c r="N1015" s="336"/>
      <c r="O1015" s="301"/>
      <c r="P1015" s="336"/>
      <c r="Q1015" s="301"/>
      <c r="R1015" s="336"/>
      <c r="S1015" s="301"/>
      <c r="T1015" s="336"/>
    </row>
    <row r="1016" spans="1:20" ht="12" customHeight="1" x14ac:dyDescent="0.25">
      <c r="A1016" s="329" t="s">
        <v>289</v>
      </c>
      <c r="B1016" s="330">
        <v>2</v>
      </c>
      <c r="C1016" s="298">
        <v>46156</v>
      </c>
      <c r="D1016" s="299" t="s">
        <v>407</v>
      </c>
      <c r="E1016" s="522">
        <v>23.9</v>
      </c>
      <c r="F1016" s="522"/>
      <c r="G1016" s="333">
        <f t="shared" si="31"/>
        <v>766.35999999998467</v>
      </c>
      <c r="H1016" s="334"/>
      <c r="I1016" s="335"/>
      <c r="J1016" s="336"/>
      <c r="K1016" s="301"/>
      <c r="L1016" s="336"/>
      <c r="M1016" s="301"/>
      <c r="N1016" s="336"/>
      <c r="O1016" s="301"/>
      <c r="P1016" s="336"/>
      <c r="Q1016" s="301"/>
      <c r="R1016" s="336"/>
      <c r="S1016" s="301"/>
      <c r="T1016" s="336"/>
    </row>
    <row r="1017" spans="1:20" ht="12" customHeight="1" x14ac:dyDescent="0.25">
      <c r="A1017" s="329" t="s">
        <v>294</v>
      </c>
      <c r="B1017" s="330">
        <v>24</v>
      </c>
      <c r="C1017" s="298">
        <v>46156</v>
      </c>
      <c r="D1017" s="299" t="s">
        <v>858</v>
      </c>
      <c r="E1017" s="522">
        <v>109.92</v>
      </c>
      <c r="F1017" s="522"/>
      <c r="G1017" s="333">
        <f t="shared" si="31"/>
        <v>790.25999999998464</v>
      </c>
      <c r="H1017" s="334"/>
      <c r="I1017" s="335"/>
      <c r="J1017" s="336"/>
      <c r="K1017" s="301"/>
      <c r="L1017" s="336"/>
      <c r="M1017" s="301"/>
      <c r="N1017" s="336"/>
      <c r="O1017" s="301"/>
      <c r="P1017" s="336"/>
      <c r="Q1017" s="301"/>
      <c r="R1017" s="336"/>
      <c r="S1017" s="301"/>
      <c r="T1017" s="336"/>
    </row>
    <row r="1018" spans="1:20" ht="12" customHeight="1" x14ac:dyDescent="0.25">
      <c r="A1018" s="329" t="s">
        <v>289</v>
      </c>
      <c r="B1018" s="330">
        <v>2</v>
      </c>
      <c r="C1018" s="298">
        <v>46156</v>
      </c>
      <c r="D1018" s="299" t="s">
        <v>334</v>
      </c>
      <c r="E1018" s="522">
        <v>24.34</v>
      </c>
      <c r="F1018" s="522"/>
      <c r="G1018" s="333">
        <f t="shared" si="31"/>
        <v>900.1799999999846</v>
      </c>
      <c r="H1018" s="334"/>
      <c r="I1018" s="335"/>
      <c r="J1018" s="336"/>
      <c r="K1018" s="301"/>
      <c r="L1018" s="336"/>
      <c r="M1018" s="301"/>
      <c r="N1018" s="336"/>
      <c r="O1018" s="301"/>
      <c r="P1018" s="336"/>
      <c r="Q1018" s="301"/>
      <c r="R1018" s="336"/>
      <c r="S1018" s="301"/>
      <c r="T1018" s="336"/>
    </row>
    <row r="1019" spans="1:20" ht="12" customHeight="1" x14ac:dyDescent="0.25">
      <c r="A1019" s="329" t="s">
        <v>289</v>
      </c>
      <c r="B1019" s="330">
        <v>8</v>
      </c>
      <c r="C1019" s="298">
        <v>46156</v>
      </c>
      <c r="D1019" s="299" t="s">
        <v>844</v>
      </c>
      <c r="E1019" s="522">
        <v>24.89</v>
      </c>
      <c r="F1019" s="522"/>
      <c r="G1019" s="333">
        <f t="shared" si="31"/>
        <v>924.51999999998463</v>
      </c>
      <c r="H1019" s="334"/>
      <c r="I1019" s="335"/>
      <c r="J1019" s="336"/>
      <c r="K1019" s="301"/>
      <c r="L1019" s="336"/>
      <c r="M1019" s="301"/>
      <c r="N1019" s="336"/>
      <c r="O1019" s="301"/>
      <c r="P1019" s="336"/>
      <c r="Q1019" s="301"/>
      <c r="R1019" s="336"/>
      <c r="S1019" s="301"/>
      <c r="T1019" s="336"/>
    </row>
    <row r="1020" spans="1:20" ht="12" customHeight="1" x14ac:dyDescent="0.25">
      <c r="A1020" s="329" t="s">
        <v>289</v>
      </c>
      <c r="B1020" s="330">
        <v>5</v>
      </c>
      <c r="C1020" s="298">
        <v>46156</v>
      </c>
      <c r="D1020" s="299" t="s">
        <v>844</v>
      </c>
      <c r="E1020" s="522">
        <v>11.2</v>
      </c>
      <c r="F1020" s="522"/>
      <c r="G1020" s="333">
        <f t="shared" si="31"/>
        <v>949.40999999998462</v>
      </c>
      <c r="H1020" s="334"/>
      <c r="I1020" s="335"/>
      <c r="J1020" s="336"/>
      <c r="K1020" s="301"/>
      <c r="L1020" s="336"/>
      <c r="M1020" s="301"/>
      <c r="N1020" s="336"/>
      <c r="O1020" s="301"/>
      <c r="P1020" s="336"/>
      <c r="Q1020" s="301"/>
      <c r="R1020" s="336"/>
      <c r="S1020" s="301"/>
      <c r="T1020" s="336"/>
    </row>
    <row r="1021" spans="1:20" ht="12" customHeight="1" x14ac:dyDescent="0.25">
      <c r="A1021" s="329" t="s">
        <v>289</v>
      </c>
      <c r="B1021" s="330">
        <v>2</v>
      </c>
      <c r="C1021" s="298">
        <v>46156</v>
      </c>
      <c r="D1021" s="299" t="s">
        <v>324</v>
      </c>
      <c r="E1021" s="522">
        <v>22.04</v>
      </c>
      <c r="F1021" s="522"/>
      <c r="G1021" s="333">
        <f t="shared" si="31"/>
        <v>960.60999999998467</v>
      </c>
      <c r="H1021" s="334"/>
      <c r="I1021" s="335"/>
      <c r="J1021" s="336"/>
      <c r="K1021" s="301"/>
      <c r="L1021" s="336"/>
      <c r="M1021" s="301"/>
      <c r="N1021" s="336"/>
      <c r="O1021" s="301"/>
      <c r="P1021" s="336"/>
      <c r="Q1021" s="301"/>
      <c r="R1021" s="336"/>
      <c r="S1021" s="301"/>
      <c r="T1021" s="336"/>
    </row>
    <row r="1022" spans="1:20" ht="12" customHeight="1" x14ac:dyDescent="0.25">
      <c r="A1022" s="329" t="s">
        <v>291</v>
      </c>
      <c r="B1022" s="330">
        <v>39</v>
      </c>
      <c r="C1022" s="298">
        <v>46156</v>
      </c>
      <c r="D1022" s="299" t="s">
        <v>292</v>
      </c>
      <c r="E1022" s="522"/>
      <c r="F1022" s="522">
        <v>2763.78</v>
      </c>
      <c r="G1022" s="333">
        <f t="shared" si="31"/>
        <v>982.64999999998463</v>
      </c>
      <c r="H1022" s="334"/>
      <c r="I1022" s="335"/>
      <c r="J1022" s="336"/>
      <c r="K1022" s="301"/>
      <c r="L1022" s="336"/>
      <c r="M1022" s="301"/>
      <c r="N1022" s="336"/>
      <c r="O1022" s="301"/>
      <c r="P1022" s="336"/>
      <c r="Q1022" s="301"/>
      <c r="R1022" s="336"/>
      <c r="S1022" s="301"/>
      <c r="T1022" s="336"/>
    </row>
    <row r="1023" spans="1:20" ht="12" customHeight="1" x14ac:dyDescent="0.25">
      <c r="A1023" s="329" t="s">
        <v>291</v>
      </c>
      <c r="B1023" s="330">
        <v>41</v>
      </c>
      <c r="C1023" s="298">
        <v>46156</v>
      </c>
      <c r="D1023" s="299" t="s">
        <v>299</v>
      </c>
      <c r="E1023" s="522"/>
      <c r="F1023" s="522">
        <v>250</v>
      </c>
      <c r="G1023" s="333">
        <f t="shared" si="31"/>
        <v>-1781.1300000000156</v>
      </c>
      <c r="H1023" s="334"/>
      <c r="I1023" s="335"/>
      <c r="J1023" s="336"/>
      <c r="K1023" s="301"/>
      <c r="L1023" s="336"/>
      <c r="M1023" s="301"/>
      <c r="N1023" s="336"/>
      <c r="O1023" s="301"/>
      <c r="P1023" s="336"/>
      <c r="Q1023" s="301"/>
      <c r="R1023" s="336"/>
      <c r="S1023" s="301"/>
      <c r="T1023" s="336"/>
    </row>
    <row r="1024" spans="1:20" ht="12" customHeight="1" x14ac:dyDescent="0.25">
      <c r="A1024" s="329" t="s">
        <v>335</v>
      </c>
      <c r="B1024" s="330" t="s">
        <v>335</v>
      </c>
      <c r="C1024" s="298">
        <v>46156</v>
      </c>
      <c r="D1024" s="299" t="s">
        <v>458</v>
      </c>
      <c r="E1024" s="522"/>
      <c r="F1024" s="522">
        <v>100</v>
      </c>
      <c r="G1024" s="333">
        <f t="shared" si="31"/>
        <v>-2031.1300000000156</v>
      </c>
      <c r="H1024" s="334"/>
      <c r="I1024" s="335"/>
      <c r="J1024" s="336"/>
      <c r="K1024" s="301"/>
      <c r="L1024" s="336"/>
      <c r="M1024" s="301"/>
      <c r="N1024" s="336"/>
      <c r="O1024" s="301"/>
      <c r="P1024" s="336"/>
      <c r="Q1024" s="301"/>
      <c r="R1024" s="336"/>
      <c r="S1024" s="301"/>
      <c r="T1024" s="336"/>
    </row>
    <row r="1025" spans="1:20" ht="12" customHeight="1" x14ac:dyDescent="0.25">
      <c r="A1025" s="329" t="s">
        <v>289</v>
      </c>
      <c r="B1025" s="330">
        <v>6</v>
      </c>
      <c r="C1025" s="298">
        <v>46156</v>
      </c>
      <c r="D1025" s="299" t="s">
        <v>300</v>
      </c>
      <c r="E1025" s="522">
        <v>13.3</v>
      </c>
      <c r="F1025" s="522"/>
      <c r="G1025" s="333">
        <f t="shared" si="31"/>
        <v>-2131.1300000000156</v>
      </c>
      <c r="H1025" s="334"/>
      <c r="I1025" s="335"/>
      <c r="J1025" s="336"/>
      <c r="K1025" s="301"/>
      <c r="L1025" s="336"/>
      <c r="M1025" s="301"/>
      <c r="N1025" s="336"/>
      <c r="O1025" s="301"/>
      <c r="P1025" s="336"/>
      <c r="Q1025" s="301"/>
      <c r="R1025" s="336"/>
      <c r="S1025" s="301"/>
      <c r="T1025" s="336"/>
    </row>
    <row r="1026" spans="1:20" ht="12" customHeight="1" x14ac:dyDescent="0.25">
      <c r="A1026" s="329" t="s">
        <v>289</v>
      </c>
      <c r="B1026" s="330">
        <v>2</v>
      </c>
      <c r="C1026" s="298">
        <v>46155</v>
      </c>
      <c r="D1026" s="299" t="s">
        <v>296</v>
      </c>
      <c r="E1026" s="522">
        <v>14.67</v>
      </c>
      <c r="F1026" s="522"/>
      <c r="G1026" s="333">
        <f t="shared" si="31"/>
        <v>-2117.8300000000154</v>
      </c>
      <c r="H1026" s="334"/>
      <c r="I1026" s="335"/>
      <c r="J1026" s="336"/>
      <c r="K1026" s="301"/>
      <c r="L1026" s="336"/>
      <c r="M1026" s="301"/>
      <c r="N1026" s="336"/>
      <c r="O1026" s="301"/>
      <c r="P1026" s="336"/>
      <c r="Q1026" s="301"/>
      <c r="R1026" s="336"/>
      <c r="S1026" s="301"/>
      <c r="T1026" s="336"/>
    </row>
    <row r="1027" spans="1:20" ht="12" customHeight="1" x14ac:dyDescent="0.25">
      <c r="A1027" s="329" t="s">
        <v>289</v>
      </c>
      <c r="B1027" s="330">
        <v>8</v>
      </c>
      <c r="C1027" s="298">
        <v>46155</v>
      </c>
      <c r="D1027" s="299" t="s">
        <v>319</v>
      </c>
      <c r="E1027" s="522">
        <v>22.96</v>
      </c>
      <c r="F1027" s="522"/>
      <c r="G1027" s="333">
        <f t="shared" si="31"/>
        <v>-2103.1600000000153</v>
      </c>
      <c r="H1027" s="334"/>
      <c r="I1027" s="335"/>
      <c r="J1027" s="336"/>
      <c r="K1027" s="301"/>
      <c r="L1027" s="336"/>
      <c r="M1027" s="301"/>
      <c r="N1027" s="336"/>
      <c r="O1027" s="301"/>
      <c r="P1027" s="336"/>
      <c r="Q1027" s="301"/>
      <c r="R1027" s="336"/>
      <c r="S1027" s="301"/>
      <c r="T1027" s="336"/>
    </row>
    <row r="1028" spans="1:20" ht="12" customHeight="1" x14ac:dyDescent="0.25">
      <c r="A1028" s="329" t="s">
        <v>287</v>
      </c>
      <c r="B1028" s="330" t="s">
        <v>287</v>
      </c>
      <c r="C1028" s="298">
        <v>46155</v>
      </c>
      <c r="D1028" s="299" t="s">
        <v>853</v>
      </c>
      <c r="E1028" s="522">
        <v>100</v>
      </c>
      <c r="F1028" s="522">
        <v>100</v>
      </c>
      <c r="G1028" s="333">
        <f t="shared" si="31"/>
        <v>-2080.2000000000153</v>
      </c>
      <c r="H1028" s="334"/>
      <c r="I1028" s="335"/>
      <c r="J1028" s="336"/>
      <c r="K1028" s="301"/>
      <c r="L1028" s="336"/>
      <c r="M1028" s="301"/>
      <c r="N1028" s="336"/>
      <c r="O1028" s="301"/>
      <c r="P1028" s="336"/>
      <c r="Q1028" s="301"/>
      <c r="R1028" s="336"/>
      <c r="S1028" s="301"/>
      <c r="T1028" s="336"/>
    </row>
    <row r="1029" spans="1:20" ht="12" customHeight="1" x14ac:dyDescent="0.25">
      <c r="A1029" s="329" t="s">
        <v>289</v>
      </c>
      <c r="B1029" s="330">
        <v>4</v>
      </c>
      <c r="C1029" s="298">
        <v>46154</v>
      </c>
      <c r="D1029" s="299" t="s">
        <v>453</v>
      </c>
      <c r="E1029" s="522">
        <v>43.14</v>
      </c>
      <c r="F1029" s="522"/>
      <c r="G1029" s="333">
        <f t="shared" si="31"/>
        <v>-2080.2000000000153</v>
      </c>
      <c r="H1029" s="334"/>
      <c r="I1029" s="335"/>
      <c r="J1029" s="336"/>
      <c r="K1029" s="301"/>
      <c r="L1029" s="336"/>
      <c r="M1029" s="301"/>
      <c r="N1029" s="336"/>
      <c r="O1029" s="301"/>
      <c r="P1029" s="336"/>
      <c r="Q1029" s="301"/>
      <c r="R1029" s="336"/>
      <c r="S1029" s="301"/>
      <c r="T1029" s="336"/>
    </row>
    <row r="1030" spans="1:20" ht="12" customHeight="1" x14ac:dyDescent="0.25">
      <c r="A1030" s="329" t="s">
        <v>289</v>
      </c>
      <c r="B1030" s="330">
        <v>3</v>
      </c>
      <c r="C1030" s="298">
        <v>46154</v>
      </c>
      <c r="D1030" s="299" t="s">
        <v>453</v>
      </c>
      <c r="E1030" s="522">
        <v>7.29</v>
      </c>
      <c r="F1030" s="522"/>
      <c r="G1030" s="333">
        <f t="shared" si="31"/>
        <v>-2037.0600000000154</v>
      </c>
      <c r="H1030" s="334"/>
      <c r="I1030" s="335"/>
      <c r="J1030" s="336"/>
      <c r="K1030" s="301"/>
      <c r="L1030" s="336"/>
      <c r="M1030" s="301"/>
      <c r="N1030" s="336"/>
      <c r="O1030" s="301"/>
      <c r="P1030" s="336"/>
      <c r="Q1030" s="301"/>
      <c r="R1030" s="336"/>
      <c r="S1030" s="301"/>
      <c r="T1030" s="336"/>
    </row>
    <row r="1031" spans="1:20" ht="12" customHeight="1" x14ac:dyDescent="0.25">
      <c r="A1031" s="329" t="s">
        <v>294</v>
      </c>
      <c r="B1031" s="330">
        <v>19</v>
      </c>
      <c r="C1031" s="298">
        <v>46154</v>
      </c>
      <c r="D1031" s="299" t="s">
        <v>191</v>
      </c>
      <c r="E1031" s="522">
        <v>200</v>
      </c>
      <c r="F1031" s="522"/>
      <c r="G1031" s="333">
        <f t="shared" si="31"/>
        <v>-2029.7700000000154</v>
      </c>
      <c r="H1031" s="334"/>
      <c r="I1031" s="335"/>
      <c r="J1031" s="336"/>
      <c r="K1031" s="301"/>
      <c r="L1031" s="336"/>
      <c r="M1031" s="301"/>
      <c r="N1031" s="336"/>
      <c r="O1031" s="301"/>
      <c r="P1031" s="336"/>
      <c r="Q1031" s="301"/>
      <c r="R1031" s="336"/>
      <c r="S1031" s="301"/>
      <c r="T1031" s="336"/>
    </row>
    <row r="1032" spans="1:20" ht="12" customHeight="1" x14ac:dyDescent="0.25">
      <c r="A1032" s="329" t="s">
        <v>289</v>
      </c>
      <c r="B1032" s="330">
        <v>6</v>
      </c>
      <c r="C1032" s="298">
        <v>46154</v>
      </c>
      <c r="D1032" s="299" t="s">
        <v>445</v>
      </c>
      <c r="E1032" s="522">
        <v>-0.06</v>
      </c>
      <c r="F1032" s="522"/>
      <c r="G1032" s="333">
        <f t="shared" si="31"/>
        <v>-1829.7700000000154</v>
      </c>
      <c r="H1032" s="334"/>
      <c r="I1032" s="335"/>
      <c r="J1032" s="336"/>
      <c r="K1032" s="301"/>
      <c r="L1032" s="336"/>
      <c r="M1032" s="301"/>
      <c r="N1032" s="336"/>
      <c r="O1032" s="301"/>
      <c r="P1032" s="336"/>
      <c r="Q1032" s="301"/>
      <c r="R1032" s="336"/>
      <c r="S1032" s="301"/>
      <c r="T1032" s="336"/>
    </row>
    <row r="1033" spans="1:20" ht="12" customHeight="1" x14ac:dyDescent="0.25">
      <c r="A1033" s="329" t="s">
        <v>289</v>
      </c>
      <c r="B1033" s="330">
        <v>2</v>
      </c>
      <c r="C1033" s="298">
        <v>46154</v>
      </c>
      <c r="D1033" s="299" t="s">
        <v>301</v>
      </c>
      <c r="E1033" s="522">
        <v>21.55</v>
      </c>
      <c r="F1033" s="522"/>
      <c r="G1033" s="333">
        <f t="shared" si="31"/>
        <v>-1829.8300000000154</v>
      </c>
      <c r="H1033" s="334"/>
      <c r="I1033" s="335"/>
      <c r="J1033" s="336"/>
      <c r="K1033" s="301"/>
      <c r="L1033" s="336"/>
      <c r="M1033" s="301"/>
      <c r="N1033" s="336"/>
      <c r="O1033" s="301"/>
      <c r="P1033" s="336"/>
      <c r="Q1033" s="301"/>
      <c r="R1033" s="336"/>
      <c r="S1033" s="301"/>
      <c r="T1033" s="336"/>
    </row>
    <row r="1034" spans="1:20" ht="12" customHeight="1" x14ac:dyDescent="0.25">
      <c r="A1034" s="329" t="s">
        <v>289</v>
      </c>
      <c r="B1034" s="330">
        <v>3</v>
      </c>
      <c r="C1034" s="298">
        <v>46153</v>
      </c>
      <c r="D1034" s="299" t="s">
        <v>296</v>
      </c>
      <c r="E1034" s="522">
        <v>4.79</v>
      </c>
      <c r="F1034" s="522"/>
      <c r="G1034" s="333">
        <f t="shared" si="31"/>
        <v>-1808.2800000000154</v>
      </c>
      <c r="H1034" s="334"/>
      <c r="I1034" s="335"/>
      <c r="J1034" s="336"/>
      <c r="K1034" s="301"/>
      <c r="L1034" s="336"/>
      <c r="M1034" s="301"/>
      <c r="N1034" s="336"/>
      <c r="O1034" s="301"/>
      <c r="P1034" s="336"/>
      <c r="Q1034" s="301"/>
      <c r="R1034" s="336"/>
      <c r="S1034" s="301"/>
      <c r="T1034" s="336"/>
    </row>
    <row r="1035" spans="1:20" ht="12" customHeight="1" x14ac:dyDescent="0.25">
      <c r="A1035" s="329" t="s">
        <v>289</v>
      </c>
      <c r="B1035" s="330">
        <v>4</v>
      </c>
      <c r="C1035" s="298">
        <v>46153</v>
      </c>
      <c r="D1035" s="299" t="s">
        <v>296</v>
      </c>
      <c r="E1035" s="522">
        <v>66.59</v>
      </c>
      <c r="F1035" s="522"/>
      <c r="G1035" s="333">
        <f t="shared" si="31"/>
        <v>-1803.4900000000155</v>
      </c>
      <c r="H1035" s="334"/>
      <c r="I1035" s="335"/>
      <c r="J1035" s="336"/>
      <c r="K1035" s="301"/>
      <c r="L1035" s="336"/>
      <c r="M1035" s="301"/>
      <c r="N1035" s="336"/>
      <c r="O1035" s="301"/>
      <c r="P1035" s="336"/>
      <c r="Q1035" s="301"/>
      <c r="R1035" s="336"/>
      <c r="S1035" s="301"/>
      <c r="T1035" s="336"/>
    </row>
    <row r="1036" spans="1:20" ht="12" customHeight="1" x14ac:dyDescent="0.25">
      <c r="A1036" s="329" t="s">
        <v>287</v>
      </c>
      <c r="B1036" s="330" t="s">
        <v>287</v>
      </c>
      <c r="C1036" s="298">
        <v>46153</v>
      </c>
      <c r="D1036" s="299" t="s">
        <v>841</v>
      </c>
      <c r="E1036" s="522">
        <v>-51.06</v>
      </c>
      <c r="F1036" s="522">
        <v>-51.06</v>
      </c>
      <c r="G1036" s="333">
        <f t="shared" si="31"/>
        <v>-1736.9000000000156</v>
      </c>
      <c r="H1036" s="334"/>
      <c r="I1036" s="335"/>
      <c r="J1036" s="336"/>
      <c r="K1036" s="301"/>
      <c r="L1036" s="336"/>
      <c r="M1036" s="301"/>
      <c r="N1036" s="336"/>
      <c r="O1036" s="301"/>
      <c r="P1036" s="336"/>
      <c r="Q1036" s="301"/>
      <c r="R1036" s="336"/>
      <c r="S1036" s="301"/>
      <c r="T1036" s="336"/>
    </row>
    <row r="1037" spans="1:20" ht="12" customHeight="1" x14ac:dyDescent="0.25">
      <c r="A1037" s="329" t="s">
        <v>294</v>
      </c>
      <c r="B1037" s="330">
        <v>22</v>
      </c>
      <c r="C1037" s="298">
        <v>46153</v>
      </c>
      <c r="D1037" s="299" t="s">
        <v>351</v>
      </c>
      <c r="E1037" s="522">
        <v>21.29</v>
      </c>
      <c r="F1037" s="522"/>
      <c r="G1037" s="333">
        <f t="shared" si="31"/>
        <v>-1736.9000000000156</v>
      </c>
      <c r="H1037" s="334"/>
      <c r="I1037" s="335"/>
      <c r="J1037" s="336"/>
      <c r="K1037" s="301"/>
      <c r="L1037" s="336"/>
      <c r="M1037" s="301"/>
      <c r="N1037" s="336"/>
      <c r="O1037" s="301"/>
      <c r="P1037" s="336"/>
      <c r="Q1037" s="301"/>
      <c r="R1037" s="336"/>
      <c r="S1037" s="301"/>
      <c r="T1037" s="336"/>
    </row>
    <row r="1038" spans="1:20" ht="12" customHeight="1" x14ac:dyDescent="0.25">
      <c r="A1038" s="329" t="s">
        <v>289</v>
      </c>
      <c r="B1038" s="330">
        <v>8</v>
      </c>
      <c r="C1038" s="298">
        <v>46152</v>
      </c>
      <c r="D1038" s="299" t="s">
        <v>319</v>
      </c>
      <c r="E1038" s="522">
        <v>59.25</v>
      </c>
      <c r="F1038" s="522"/>
      <c r="G1038" s="333">
        <f t="shared" si="31"/>
        <v>-1715.6100000000156</v>
      </c>
      <c r="H1038" s="334"/>
      <c r="I1038" s="335"/>
      <c r="J1038" s="336"/>
      <c r="K1038" s="301"/>
      <c r="L1038" s="336"/>
      <c r="M1038" s="301"/>
      <c r="N1038" s="336"/>
      <c r="O1038" s="301"/>
      <c r="P1038" s="336"/>
      <c r="Q1038" s="301"/>
      <c r="R1038" s="336"/>
      <c r="S1038" s="301"/>
      <c r="T1038" s="336"/>
    </row>
    <row r="1039" spans="1:20" ht="12" customHeight="1" x14ac:dyDescent="0.25">
      <c r="A1039" s="329" t="s">
        <v>289</v>
      </c>
      <c r="B1039" s="330">
        <v>1</v>
      </c>
      <c r="C1039" s="298">
        <v>46152</v>
      </c>
      <c r="D1039" s="299" t="s">
        <v>304</v>
      </c>
      <c r="E1039" s="522">
        <v>145.94999999999999</v>
      </c>
      <c r="F1039" s="522"/>
      <c r="G1039" s="333">
        <f t="shared" si="31"/>
        <v>-1656.3600000000156</v>
      </c>
      <c r="H1039" s="334"/>
      <c r="I1039" s="335"/>
      <c r="J1039" s="336"/>
      <c r="K1039" s="301"/>
      <c r="L1039" s="336"/>
      <c r="M1039" s="301"/>
      <c r="N1039" s="336"/>
      <c r="O1039" s="301"/>
      <c r="P1039" s="336"/>
      <c r="Q1039" s="301"/>
      <c r="R1039" s="336"/>
      <c r="S1039" s="301"/>
      <c r="T1039" s="336"/>
    </row>
    <row r="1040" spans="1:20" ht="12" customHeight="1" x14ac:dyDescent="0.25">
      <c r="A1040" s="329" t="s">
        <v>289</v>
      </c>
      <c r="B1040" s="330">
        <v>1</v>
      </c>
      <c r="C1040" s="298">
        <v>46152</v>
      </c>
      <c r="D1040" s="299" t="s">
        <v>311</v>
      </c>
      <c r="E1040" s="522">
        <v>131.9</v>
      </c>
      <c r="F1040" s="522"/>
      <c r="G1040" s="333">
        <f t="shared" si="31"/>
        <v>-1510.4100000000155</v>
      </c>
      <c r="H1040" s="334"/>
      <c r="I1040" s="335"/>
      <c r="J1040" s="336"/>
      <c r="K1040" s="301"/>
      <c r="L1040" s="336"/>
      <c r="M1040" s="301"/>
      <c r="N1040" s="336"/>
      <c r="O1040" s="301"/>
      <c r="P1040" s="336"/>
      <c r="Q1040" s="301"/>
      <c r="R1040" s="336"/>
      <c r="S1040" s="301"/>
      <c r="T1040" s="336"/>
    </row>
    <row r="1041" spans="1:20" ht="12" customHeight="1" x14ac:dyDescent="0.25">
      <c r="A1041" s="329" t="s">
        <v>289</v>
      </c>
      <c r="B1041" s="330">
        <v>2</v>
      </c>
      <c r="C1041" s="298">
        <v>46152</v>
      </c>
      <c r="D1041" s="299" t="s">
        <v>848</v>
      </c>
      <c r="E1041" s="522">
        <v>96.46</v>
      </c>
      <c r="F1041" s="522"/>
      <c r="G1041" s="333">
        <f t="shared" si="31"/>
        <v>-1378.5100000000155</v>
      </c>
      <c r="H1041" s="334"/>
      <c r="I1041" s="335"/>
      <c r="J1041" s="336"/>
      <c r="K1041" s="301"/>
      <c r="L1041" s="336"/>
      <c r="M1041" s="301"/>
      <c r="N1041" s="336"/>
      <c r="O1041" s="301"/>
      <c r="P1041" s="336"/>
      <c r="Q1041" s="301"/>
      <c r="R1041" s="336"/>
      <c r="S1041" s="301"/>
      <c r="T1041" s="336"/>
    </row>
    <row r="1042" spans="1:20" ht="12" customHeight="1" x14ac:dyDescent="0.25">
      <c r="A1042" s="329" t="s">
        <v>289</v>
      </c>
      <c r="B1042" s="330">
        <v>7</v>
      </c>
      <c r="C1042" s="298">
        <v>46152</v>
      </c>
      <c r="D1042" s="299" t="s">
        <v>849</v>
      </c>
      <c r="E1042" s="522">
        <v>162</v>
      </c>
      <c r="F1042" s="522"/>
      <c r="G1042" s="333">
        <f t="shared" si="31"/>
        <v>-1282.0500000000154</v>
      </c>
      <c r="H1042" s="334"/>
      <c r="I1042" s="335"/>
      <c r="J1042" s="336"/>
      <c r="K1042" s="301"/>
      <c r="L1042" s="336"/>
      <c r="M1042" s="301"/>
      <c r="N1042" s="336"/>
      <c r="O1042" s="301"/>
      <c r="P1042" s="336"/>
      <c r="Q1042" s="301"/>
      <c r="R1042" s="336"/>
      <c r="S1042" s="301"/>
      <c r="T1042" s="336"/>
    </row>
    <row r="1043" spans="1:20" ht="12" customHeight="1" x14ac:dyDescent="0.25">
      <c r="A1043" s="329" t="s">
        <v>289</v>
      </c>
      <c r="B1043" s="330">
        <v>3</v>
      </c>
      <c r="C1043" s="298">
        <v>46152</v>
      </c>
      <c r="D1043" s="299" t="s">
        <v>347</v>
      </c>
      <c r="E1043" s="522">
        <v>25</v>
      </c>
      <c r="F1043" s="522"/>
      <c r="G1043" s="333">
        <f t="shared" si="31"/>
        <v>-1120.0500000000154</v>
      </c>
      <c r="H1043" s="334"/>
      <c r="I1043" s="335"/>
      <c r="J1043" s="336"/>
      <c r="K1043" s="301"/>
      <c r="L1043" s="336"/>
      <c r="M1043" s="301"/>
      <c r="N1043" s="336"/>
      <c r="O1043" s="301"/>
      <c r="P1043" s="336"/>
      <c r="Q1043" s="301"/>
      <c r="R1043" s="336"/>
      <c r="S1043" s="301"/>
      <c r="T1043" s="336"/>
    </row>
    <row r="1044" spans="1:20" ht="12" customHeight="1" x14ac:dyDescent="0.25">
      <c r="A1044" s="329" t="s">
        <v>289</v>
      </c>
      <c r="B1044" s="330">
        <v>2</v>
      </c>
      <c r="C1044" s="298">
        <v>46151</v>
      </c>
      <c r="D1044" s="299" t="s">
        <v>850</v>
      </c>
      <c r="E1044" s="522">
        <v>35.83</v>
      </c>
      <c r="F1044" s="522"/>
      <c r="G1044" s="333">
        <f t="shared" si="31"/>
        <v>-1095.0500000000154</v>
      </c>
      <c r="H1044" s="334"/>
      <c r="I1044" s="335"/>
      <c r="J1044" s="336"/>
      <c r="K1044" s="301"/>
      <c r="L1044" s="336"/>
      <c r="M1044" s="301"/>
      <c r="N1044" s="336"/>
      <c r="O1044" s="301"/>
      <c r="P1044" s="336"/>
      <c r="Q1044" s="301"/>
      <c r="R1044" s="336"/>
      <c r="S1044" s="301"/>
      <c r="T1044" s="336"/>
    </row>
    <row r="1045" spans="1:20" ht="12" customHeight="1" x14ac:dyDescent="0.25">
      <c r="A1045" s="329" t="s">
        <v>289</v>
      </c>
      <c r="B1045" s="330">
        <v>4</v>
      </c>
      <c r="C1045" s="298">
        <v>46151</v>
      </c>
      <c r="D1045" s="299" t="s">
        <v>310</v>
      </c>
      <c r="E1045" s="522">
        <v>50.58</v>
      </c>
      <c r="F1045" s="522"/>
      <c r="G1045" s="333">
        <f t="shared" si="31"/>
        <v>-1059.2200000000155</v>
      </c>
      <c r="H1045" s="334"/>
      <c r="I1045" s="335"/>
      <c r="J1045" s="336"/>
      <c r="K1045" s="301"/>
      <c r="L1045" s="336"/>
      <c r="M1045" s="301"/>
      <c r="N1045" s="336"/>
      <c r="O1045" s="301"/>
      <c r="P1045" s="336"/>
      <c r="Q1045" s="301"/>
      <c r="R1045" s="336"/>
      <c r="S1045" s="301"/>
      <c r="T1045" s="336"/>
    </row>
    <row r="1046" spans="1:20" ht="12" customHeight="1" x14ac:dyDescent="0.25">
      <c r="A1046" s="329" t="s">
        <v>289</v>
      </c>
      <c r="B1046" s="330">
        <v>2</v>
      </c>
      <c r="C1046" s="298">
        <v>46151</v>
      </c>
      <c r="D1046" s="299" t="s">
        <v>851</v>
      </c>
      <c r="E1046" s="522">
        <v>20.65</v>
      </c>
      <c r="F1046" s="522"/>
      <c r="G1046" s="333">
        <f t="shared" si="31"/>
        <v>-1008.6400000000156</v>
      </c>
      <c r="H1046" s="334"/>
      <c r="I1046" s="335"/>
      <c r="J1046" s="336"/>
      <c r="K1046" s="301"/>
      <c r="L1046" s="336"/>
      <c r="M1046" s="301"/>
      <c r="N1046" s="336"/>
      <c r="O1046" s="301"/>
      <c r="P1046" s="336"/>
      <c r="Q1046" s="301"/>
      <c r="R1046" s="336"/>
      <c r="S1046" s="301"/>
      <c r="T1046" s="336"/>
    </row>
    <row r="1047" spans="1:20" ht="12" customHeight="1" x14ac:dyDescent="0.25">
      <c r="A1047" s="329" t="s">
        <v>289</v>
      </c>
      <c r="B1047" s="330">
        <v>8</v>
      </c>
      <c r="C1047" s="298">
        <v>46151</v>
      </c>
      <c r="D1047" s="299" t="s">
        <v>319</v>
      </c>
      <c r="E1047" s="522">
        <v>38.770000000000003</v>
      </c>
      <c r="F1047" s="522"/>
      <c r="G1047" s="333">
        <f t="shared" si="31"/>
        <v>-987.99000000001558</v>
      </c>
      <c r="H1047" s="334"/>
      <c r="I1047" s="335"/>
      <c r="J1047" s="336"/>
      <c r="K1047" s="301"/>
      <c r="L1047" s="336"/>
      <c r="M1047" s="301"/>
      <c r="N1047" s="336"/>
      <c r="O1047" s="301"/>
      <c r="P1047" s="336"/>
      <c r="Q1047" s="301"/>
      <c r="R1047" s="336"/>
      <c r="S1047" s="301"/>
      <c r="T1047" s="336"/>
    </row>
    <row r="1048" spans="1:20" ht="12" customHeight="1" x14ac:dyDescent="0.25">
      <c r="A1048" s="329" t="s">
        <v>287</v>
      </c>
      <c r="B1048" s="330" t="s">
        <v>287</v>
      </c>
      <c r="C1048" s="298">
        <v>46151</v>
      </c>
      <c r="D1048" s="299" t="s">
        <v>841</v>
      </c>
      <c r="E1048" s="522">
        <v>383.63</v>
      </c>
      <c r="F1048" s="522">
        <v>383.63</v>
      </c>
      <c r="G1048" s="333">
        <f t="shared" si="31"/>
        <v>-949.2200000000156</v>
      </c>
      <c r="H1048" s="334"/>
      <c r="I1048" s="335"/>
      <c r="J1048" s="336"/>
      <c r="K1048" s="301"/>
      <c r="L1048" s="336"/>
      <c r="M1048" s="301"/>
      <c r="N1048" s="336"/>
      <c r="O1048" s="301"/>
      <c r="P1048" s="336"/>
      <c r="Q1048" s="301"/>
      <c r="R1048" s="336"/>
      <c r="S1048" s="301"/>
      <c r="T1048" s="336"/>
    </row>
    <row r="1049" spans="1:20" ht="12" customHeight="1" x14ac:dyDescent="0.25">
      <c r="A1049" s="329" t="s">
        <v>289</v>
      </c>
      <c r="B1049" s="330">
        <v>5</v>
      </c>
      <c r="C1049" s="298">
        <v>46151</v>
      </c>
      <c r="D1049" s="299" t="s">
        <v>852</v>
      </c>
      <c r="E1049" s="522">
        <v>10.68</v>
      </c>
      <c r="F1049" s="522"/>
      <c r="G1049" s="333">
        <f t="shared" si="31"/>
        <v>-949.2200000000156</v>
      </c>
      <c r="H1049" s="334"/>
      <c r="I1049" s="335"/>
      <c r="J1049" s="336"/>
      <c r="K1049" s="301"/>
      <c r="L1049" s="336"/>
      <c r="M1049" s="301"/>
      <c r="N1049" s="336"/>
      <c r="O1049" s="301"/>
      <c r="P1049" s="336"/>
      <c r="Q1049" s="301"/>
      <c r="R1049" s="336"/>
      <c r="S1049" s="301"/>
      <c r="T1049" s="336"/>
    </row>
    <row r="1050" spans="1:20" ht="12" customHeight="1" x14ac:dyDescent="0.25">
      <c r="A1050" s="329" t="s">
        <v>289</v>
      </c>
      <c r="B1050" s="330">
        <v>3</v>
      </c>
      <c r="C1050" s="298">
        <v>46151</v>
      </c>
      <c r="D1050" s="299" t="s">
        <v>347</v>
      </c>
      <c r="E1050" s="522">
        <v>9.35</v>
      </c>
      <c r="F1050" s="522"/>
      <c r="G1050" s="333">
        <f t="shared" si="31"/>
        <v>-938.54000000001565</v>
      </c>
      <c r="H1050" s="334"/>
      <c r="I1050" s="335"/>
      <c r="J1050" s="336"/>
      <c r="K1050" s="301"/>
      <c r="L1050" s="336"/>
      <c r="M1050" s="301"/>
      <c r="N1050" s="336"/>
      <c r="O1050" s="301"/>
      <c r="P1050" s="336"/>
      <c r="Q1050" s="301"/>
      <c r="R1050" s="336"/>
      <c r="S1050" s="301"/>
      <c r="T1050" s="336"/>
    </row>
    <row r="1051" spans="1:20" ht="12" customHeight="1" x14ac:dyDescent="0.25">
      <c r="A1051" s="329" t="s">
        <v>287</v>
      </c>
      <c r="B1051" s="330" t="s">
        <v>287</v>
      </c>
      <c r="C1051" s="298">
        <v>46151</v>
      </c>
      <c r="D1051" s="299" t="s">
        <v>331</v>
      </c>
      <c r="E1051" s="522">
        <v>-150.9</v>
      </c>
      <c r="F1051" s="522">
        <v>-150.9</v>
      </c>
      <c r="G1051" s="333">
        <f t="shared" si="31"/>
        <v>-929.19000000001563</v>
      </c>
      <c r="H1051" s="334"/>
      <c r="I1051" s="335"/>
      <c r="J1051" s="336"/>
      <c r="K1051" s="301"/>
      <c r="L1051" s="336"/>
      <c r="M1051" s="301"/>
      <c r="N1051" s="336"/>
      <c r="O1051" s="301"/>
      <c r="P1051" s="336"/>
      <c r="Q1051" s="301"/>
      <c r="R1051" s="336"/>
      <c r="S1051" s="301"/>
      <c r="T1051" s="336"/>
    </row>
    <row r="1052" spans="1:20" ht="12" customHeight="1" x14ac:dyDescent="0.25">
      <c r="A1052" s="329" t="s">
        <v>287</v>
      </c>
      <c r="B1052" s="330" t="s">
        <v>287</v>
      </c>
      <c r="C1052" s="298">
        <v>46151</v>
      </c>
      <c r="D1052" s="299" t="s">
        <v>845</v>
      </c>
      <c r="E1052" s="522">
        <v>557.9</v>
      </c>
      <c r="F1052" s="522">
        <v>557.9</v>
      </c>
      <c r="G1052" s="333">
        <f t="shared" si="31"/>
        <v>-929.19000000001563</v>
      </c>
      <c r="H1052" s="334"/>
      <c r="I1052" s="335"/>
      <c r="J1052" s="336"/>
      <c r="K1052" s="301"/>
      <c r="L1052" s="336"/>
      <c r="M1052" s="301"/>
      <c r="N1052" s="336"/>
      <c r="O1052" s="301"/>
      <c r="P1052" s="336"/>
      <c r="Q1052" s="301"/>
      <c r="R1052" s="336"/>
      <c r="S1052" s="301"/>
      <c r="T1052" s="336"/>
    </row>
    <row r="1053" spans="1:20" ht="12" customHeight="1" x14ac:dyDescent="0.25">
      <c r="A1053" s="329" t="s">
        <v>294</v>
      </c>
      <c r="B1053" s="330">
        <v>18</v>
      </c>
      <c r="C1053" s="298">
        <v>46150</v>
      </c>
      <c r="D1053" s="299" t="s">
        <v>360</v>
      </c>
      <c r="E1053" s="522">
        <v>400</v>
      </c>
      <c r="F1053" s="522"/>
      <c r="G1053" s="333">
        <f t="shared" si="31"/>
        <v>-929.19000000001574</v>
      </c>
      <c r="H1053" s="334"/>
      <c r="I1053" s="335"/>
      <c r="J1053" s="336"/>
      <c r="K1053" s="301"/>
      <c r="L1053" s="336"/>
      <c r="M1053" s="301"/>
      <c r="N1053" s="336"/>
      <c r="O1053" s="301"/>
      <c r="P1053" s="336"/>
      <c r="Q1053" s="301"/>
      <c r="R1053" s="336"/>
      <c r="S1053" s="301"/>
      <c r="T1053" s="336"/>
    </row>
    <row r="1054" spans="1:20" ht="12" customHeight="1" x14ac:dyDescent="0.25">
      <c r="A1054" s="329" t="s">
        <v>287</v>
      </c>
      <c r="B1054" s="330" t="s">
        <v>287</v>
      </c>
      <c r="C1054" s="298">
        <v>46150</v>
      </c>
      <c r="D1054" s="299" t="s">
        <v>840</v>
      </c>
      <c r="E1054" s="522">
        <v>200</v>
      </c>
      <c r="F1054" s="522">
        <v>200</v>
      </c>
      <c r="G1054" s="333">
        <f t="shared" si="31"/>
        <v>-529.19000000001574</v>
      </c>
      <c r="H1054" s="334"/>
      <c r="I1054" s="335"/>
      <c r="J1054" s="336"/>
      <c r="K1054" s="301"/>
      <c r="L1054" s="336"/>
      <c r="M1054" s="301"/>
      <c r="N1054" s="336"/>
      <c r="O1054" s="301"/>
      <c r="P1054" s="336"/>
      <c r="Q1054" s="301"/>
      <c r="R1054" s="336"/>
      <c r="S1054" s="301"/>
      <c r="T1054" s="336"/>
    </row>
    <row r="1055" spans="1:20" ht="12" customHeight="1" x14ac:dyDescent="0.25">
      <c r="A1055" s="329" t="s">
        <v>289</v>
      </c>
      <c r="B1055" s="330">
        <v>2</v>
      </c>
      <c r="C1055" s="298">
        <v>46150</v>
      </c>
      <c r="D1055" s="299" t="s">
        <v>471</v>
      </c>
      <c r="E1055" s="522">
        <v>52.78</v>
      </c>
      <c r="F1055" s="522"/>
      <c r="G1055" s="333">
        <f t="shared" si="31"/>
        <v>-529.19000000001574</v>
      </c>
      <c r="H1055" s="334"/>
      <c r="I1055" s="335"/>
      <c r="J1055" s="336"/>
      <c r="K1055" s="301"/>
      <c r="L1055" s="336"/>
      <c r="M1055" s="301"/>
      <c r="N1055" s="336"/>
      <c r="O1055" s="301"/>
      <c r="P1055" s="336"/>
      <c r="Q1055" s="301"/>
      <c r="R1055" s="336"/>
      <c r="S1055" s="301"/>
      <c r="T1055" s="336"/>
    </row>
    <row r="1056" spans="1:20" ht="12" customHeight="1" x14ac:dyDescent="0.25">
      <c r="A1056" s="329" t="s">
        <v>287</v>
      </c>
      <c r="B1056" s="330" t="s">
        <v>287</v>
      </c>
      <c r="C1056" s="298">
        <v>46150</v>
      </c>
      <c r="D1056" s="299" t="s">
        <v>846</v>
      </c>
      <c r="E1056" s="522">
        <v>137.07</v>
      </c>
      <c r="F1056" s="522">
        <v>137.07</v>
      </c>
      <c r="G1056" s="333">
        <f t="shared" si="31"/>
        <v>-476.41000000001571</v>
      </c>
      <c r="H1056" s="334"/>
      <c r="I1056" s="335"/>
      <c r="J1056" s="336"/>
      <c r="K1056" s="301"/>
      <c r="L1056" s="336"/>
      <c r="M1056" s="301"/>
      <c r="N1056" s="336"/>
      <c r="O1056" s="301"/>
      <c r="P1056" s="336"/>
      <c r="Q1056" s="301"/>
      <c r="R1056" s="336"/>
      <c r="S1056" s="301"/>
      <c r="T1056" s="336"/>
    </row>
    <row r="1057" spans="1:20" ht="12" customHeight="1" x14ac:dyDescent="0.25">
      <c r="A1057" s="329" t="s">
        <v>289</v>
      </c>
      <c r="B1057" s="330">
        <v>2</v>
      </c>
      <c r="C1057" s="298">
        <v>46150</v>
      </c>
      <c r="D1057" s="299" t="s">
        <v>357</v>
      </c>
      <c r="E1057" s="522">
        <v>17.440000000000001</v>
      </c>
      <c r="F1057" s="522"/>
      <c r="G1057" s="333">
        <f t="shared" si="31"/>
        <v>-476.41000000001566</v>
      </c>
      <c r="H1057" s="334"/>
      <c r="I1057" s="335"/>
      <c r="J1057" s="336"/>
      <c r="K1057" s="301"/>
      <c r="L1057" s="336"/>
      <c r="M1057" s="301"/>
      <c r="N1057" s="336"/>
      <c r="O1057" s="301"/>
      <c r="P1057" s="336"/>
      <c r="Q1057" s="301"/>
      <c r="R1057" s="336"/>
      <c r="S1057" s="301"/>
      <c r="T1057" s="336"/>
    </row>
    <row r="1058" spans="1:20" ht="12" customHeight="1" x14ac:dyDescent="0.25">
      <c r="A1058" s="329" t="s">
        <v>287</v>
      </c>
      <c r="B1058" s="330" t="s">
        <v>287</v>
      </c>
      <c r="C1058" s="298">
        <v>46150</v>
      </c>
      <c r="D1058" s="299" t="s">
        <v>847</v>
      </c>
      <c r="E1058" s="522">
        <v>359.81</v>
      </c>
      <c r="F1058" s="522">
        <v>359.81</v>
      </c>
      <c r="G1058" s="333">
        <f t="shared" si="31"/>
        <v>-458.97000000001566</v>
      </c>
      <c r="H1058" s="334"/>
      <c r="I1058" s="335"/>
      <c r="J1058" s="336"/>
      <c r="K1058" s="301"/>
      <c r="L1058" s="336"/>
      <c r="M1058" s="301"/>
      <c r="N1058" s="336"/>
      <c r="O1058" s="301"/>
      <c r="P1058" s="336"/>
      <c r="Q1058" s="301"/>
      <c r="R1058" s="336"/>
      <c r="S1058" s="301"/>
      <c r="T1058" s="336"/>
    </row>
    <row r="1059" spans="1:20" ht="12" customHeight="1" x14ac:dyDescent="0.25">
      <c r="A1059" s="329" t="s">
        <v>289</v>
      </c>
      <c r="B1059" s="330">
        <v>8</v>
      </c>
      <c r="C1059" s="298">
        <v>46149</v>
      </c>
      <c r="D1059" s="299" t="s">
        <v>844</v>
      </c>
      <c r="E1059" s="522">
        <v>23.7</v>
      </c>
      <c r="F1059" s="522"/>
      <c r="G1059" s="333">
        <f t="shared" si="31"/>
        <v>-458.97000000001566</v>
      </c>
      <c r="H1059" s="334"/>
      <c r="I1059" s="335"/>
      <c r="J1059" s="336"/>
      <c r="K1059" s="301"/>
      <c r="L1059" s="336"/>
      <c r="M1059" s="301"/>
      <c r="N1059" s="336"/>
      <c r="O1059" s="301"/>
      <c r="P1059" s="336"/>
      <c r="Q1059" s="301"/>
      <c r="R1059" s="336"/>
      <c r="S1059" s="301"/>
      <c r="T1059" s="336"/>
    </row>
    <row r="1060" spans="1:20" ht="12" customHeight="1" x14ac:dyDescent="0.25">
      <c r="A1060" s="329" t="s">
        <v>289</v>
      </c>
      <c r="B1060" s="330">
        <v>2</v>
      </c>
      <c r="C1060" s="298">
        <v>46149</v>
      </c>
      <c r="D1060" s="299" t="s">
        <v>370</v>
      </c>
      <c r="E1060" s="522">
        <v>13.43</v>
      </c>
      <c r="F1060" s="522"/>
      <c r="G1060" s="333">
        <f t="shared" si="31"/>
        <v>-435.27000000001567</v>
      </c>
      <c r="H1060" s="334"/>
      <c r="I1060" s="335"/>
      <c r="J1060" s="336"/>
      <c r="K1060" s="301"/>
      <c r="L1060" s="336"/>
      <c r="M1060" s="301"/>
      <c r="N1060" s="336"/>
      <c r="O1060" s="301"/>
      <c r="P1060" s="336"/>
      <c r="Q1060" s="301"/>
      <c r="R1060" s="336"/>
      <c r="S1060" s="301"/>
      <c r="T1060" s="336"/>
    </row>
    <row r="1061" spans="1:20" ht="12" customHeight="1" x14ac:dyDescent="0.25">
      <c r="A1061" s="329" t="s">
        <v>294</v>
      </c>
      <c r="B1061" s="330">
        <v>13</v>
      </c>
      <c r="C1061" s="298">
        <v>46149</v>
      </c>
      <c r="D1061" s="299" t="s">
        <v>182</v>
      </c>
      <c r="E1061" s="522">
        <v>122.18</v>
      </c>
      <c r="F1061" s="522"/>
      <c r="G1061" s="333">
        <f t="shared" si="31"/>
        <v>-421.84000000001566</v>
      </c>
      <c r="H1061" s="334"/>
      <c r="I1061" s="335"/>
      <c r="J1061" s="336"/>
      <c r="K1061" s="301"/>
      <c r="L1061" s="336"/>
      <c r="M1061" s="301"/>
      <c r="N1061" s="336"/>
      <c r="O1061" s="301"/>
      <c r="P1061" s="336"/>
      <c r="Q1061" s="301"/>
      <c r="R1061" s="336"/>
      <c r="S1061" s="301"/>
      <c r="T1061" s="336"/>
    </row>
    <row r="1062" spans="1:20" ht="12" customHeight="1" x14ac:dyDescent="0.25">
      <c r="A1062" s="329" t="s">
        <v>335</v>
      </c>
      <c r="B1062" s="330" t="s">
        <v>335</v>
      </c>
      <c r="C1062" s="298">
        <v>46149</v>
      </c>
      <c r="D1062" s="299" t="s">
        <v>182</v>
      </c>
      <c r="E1062" s="522">
        <v>43.62</v>
      </c>
      <c r="F1062" s="522"/>
      <c r="G1062" s="333">
        <f t="shared" si="31"/>
        <v>-299.66000000001566</v>
      </c>
      <c r="H1062" s="334"/>
      <c r="I1062" s="335"/>
      <c r="J1062" s="336"/>
      <c r="K1062" s="301"/>
      <c r="L1062" s="336"/>
      <c r="M1062" s="301"/>
      <c r="N1062" s="336"/>
      <c r="O1062" s="301"/>
      <c r="P1062" s="336"/>
      <c r="Q1062" s="301"/>
      <c r="R1062" s="336"/>
      <c r="S1062" s="301"/>
      <c r="T1062" s="336"/>
    </row>
    <row r="1063" spans="1:20" ht="12" customHeight="1" x14ac:dyDescent="0.25">
      <c r="A1063" s="329" t="s">
        <v>294</v>
      </c>
      <c r="B1063" s="330">
        <v>9</v>
      </c>
      <c r="C1063" s="298">
        <v>46149</v>
      </c>
      <c r="D1063" s="299" t="s">
        <v>58</v>
      </c>
      <c r="E1063" s="522">
        <v>1231.68</v>
      </c>
      <c r="F1063" s="522"/>
      <c r="G1063" s="333">
        <f t="shared" si="31"/>
        <v>-256.04000000001565</v>
      </c>
      <c r="H1063" s="334"/>
      <c r="I1063" s="335"/>
      <c r="J1063" s="336"/>
      <c r="K1063" s="301"/>
      <c r="L1063" s="336"/>
      <c r="M1063" s="301"/>
      <c r="N1063" s="336"/>
      <c r="O1063" s="301"/>
      <c r="P1063" s="336"/>
      <c r="Q1063" s="301"/>
      <c r="R1063" s="336"/>
      <c r="S1063" s="301"/>
      <c r="T1063" s="336"/>
    </row>
    <row r="1064" spans="1:20" ht="12" customHeight="1" x14ac:dyDescent="0.25">
      <c r="A1064" s="329" t="s">
        <v>289</v>
      </c>
      <c r="B1064" s="330">
        <v>3</v>
      </c>
      <c r="C1064" s="298">
        <v>46149</v>
      </c>
      <c r="D1064" s="299" t="s">
        <v>309</v>
      </c>
      <c r="E1064" s="522">
        <v>4.49</v>
      </c>
      <c r="F1064" s="522"/>
      <c r="G1064" s="333">
        <f t="shared" si="31"/>
        <v>975.63999999998441</v>
      </c>
      <c r="H1064" s="334"/>
      <c r="I1064" s="335"/>
      <c r="J1064" s="336"/>
      <c r="K1064" s="301"/>
      <c r="L1064" s="336"/>
      <c r="M1064" s="301"/>
      <c r="N1064" s="336"/>
      <c r="O1064" s="301"/>
      <c r="P1064" s="336"/>
      <c r="Q1064" s="301"/>
      <c r="R1064" s="336"/>
      <c r="S1064" s="301"/>
      <c r="T1064" s="336"/>
    </row>
    <row r="1065" spans="1:20" ht="12" customHeight="1" x14ac:dyDescent="0.25">
      <c r="A1065" s="329" t="s">
        <v>289</v>
      </c>
      <c r="B1065" s="330">
        <v>5</v>
      </c>
      <c r="C1065" s="298">
        <v>46149</v>
      </c>
      <c r="D1065" s="299" t="s">
        <v>844</v>
      </c>
      <c r="E1065" s="522">
        <v>19.2</v>
      </c>
      <c r="F1065" s="522"/>
      <c r="G1065" s="333">
        <f t="shared" si="31"/>
        <v>980.12999999998442</v>
      </c>
      <c r="H1065" s="334"/>
      <c r="I1065" s="335"/>
      <c r="J1065" s="336"/>
      <c r="K1065" s="301"/>
      <c r="L1065" s="336"/>
      <c r="M1065" s="301"/>
      <c r="N1065" s="336"/>
      <c r="O1065" s="301"/>
      <c r="P1065" s="336"/>
      <c r="Q1065" s="301"/>
      <c r="R1065" s="336"/>
      <c r="S1065" s="301"/>
      <c r="T1065" s="336"/>
    </row>
    <row r="1066" spans="1:20" ht="12" customHeight="1" x14ac:dyDescent="0.25">
      <c r="A1066" s="329" t="s">
        <v>289</v>
      </c>
      <c r="B1066" s="330">
        <v>8</v>
      </c>
      <c r="C1066" s="298">
        <v>46149</v>
      </c>
      <c r="D1066" s="299" t="s">
        <v>844</v>
      </c>
      <c r="E1066" s="522">
        <v>35</v>
      </c>
      <c r="F1066" s="522"/>
      <c r="G1066" s="333">
        <f t="shared" si="31"/>
        <v>999.32999999998447</v>
      </c>
      <c r="H1066" s="334"/>
      <c r="I1066" s="335"/>
      <c r="J1066" s="336"/>
      <c r="K1066" s="301"/>
      <c r="L1066" s="336"/>
      <c r="M1066" s="301"/>
      <c r="N1066" s="336"/>
      <c r="O1066" s="301"/>
      <c r="P1066" s="336"/>
      <c r="Q1066" s="301"/>
      <c r="R1066" s="336"/>
      <c r="S1066" s="301"/>
      <c r="T1066" s="336"/>
    </row>
    <row r="1067" spans="1:20" ht="12" customHeight="1" x14ac:dyDescent="0.25">
      <c r="A1067" s="329" t="s">
        <v>289</v>
      </c>
      <c r="B1067" s="330">
        <v>8</v>
      </c>
      <c r="C1067" s="298">
        <v>46149</v>
      </c>
      <c r="D1067" s="299" t="s">
        <v>319</v>
      </c>
      <c r="E1067" s="522">
        <v>15.93</v>
      </c>
      <c r="F1067" s="522"/>
      <c r="G1067" s="333">
        <f t="shared" si="31"/>
        <v>1034.3299999999845</v>
      </c>
      <c r="H1067" s="334"/>
      <c r="I1067" s="335"/>
      <c r="J1067" s="336"/>
      <c r="K1067" s="301"/>
      <c r="L1067" s="336"/>
      <c r="M1067" s="301"/>
      <c r="N1067" s="336"/>
      <c r="O1067" s="301"/>
      <c r="P1067" s="336"/>
      <c r="Q1067" s="301"/>
      <c r="R1067" s="336"/>
      <c r="S1067" s="301"/>
      <c r="T1067" s="336"/>
    </row>
    <row r="1068" spans="1:20" ht="12" customHeight="1" x14ac:dyDescent="0.25">
      <c r="A1068" s="329" t="s">
        <v>289</v>
      </c>
      <c r="B1068" s="330">
        <v>2</v>
      </c>
      <c r="C1068" s="298">
        <v>46149</v>
      </c>
      <c r="D1068" s="299" t="s">
        <v>296</v>
      </c>
      <c r="E1068" s="522">
        <v>11.18</v>
      </c>
      <c r="F1068" s="522"/>
      <c r="G1068" s="333">
        <f t="shared" si="31"/>
        <v>1050.2599999999845</v>
      </c>
      <c r="H1068" s="334"/>
      <c r="I1068" s="335"/>
      <c r="J1068" s="336"/>
      <c r="K1068" s="301"/>
      <c r="L1068" s="336"/>
      <c r="M1068" s="301"/>
      <c r="N1068" s="336"/>
      <c r="O1068" s="301"/>
      <c r="P1068" s="336"/>
      <c r="Q1068" s="301"/>
      <c r="R1068" s="336"/>
      <c r="S1068" s="301"/>
      <c r="T1068" s="336"/>
    </row>
    <row r="1069" spans="1:20" ht="12" customHeight="1" x14ac:dyDescent="0.25">
      <c r="A1069" s="329" t="s">
        <v>289</v>
      </c>
      <c r="B1069" s="330">
        <v>2</v>
      </c>
      <c r="C1069" s="298">
        <v>46149</v>
      </c>
      <c r="D1069" s="299" t="s">
        <v>301</v>
      </c>
      <c r="E1069" s="522">
        <v>16.05</v>
      </c>
      <c r="F1069" s="522"/>
      <c r="G1069" s="333">
        <f t="shared" ref="G1069:G1108" si="32">G1070-E1069+F1069</f>
        <v>1061.4399999999846</v>
      </c>
      <c r="H1069" s="334"/>
      <c r="I1069" s="335"/>
      <c r="J1069" s="336"/>
      <c r="K1069" s="301"/>
      <c r="L1069" s="336"/>
      <c r="M1069" s="301"/>
      <c r="N1069" s="336"/>
      <c r="O1069" s="301"/>
      <c r="P1069" s="336"/>
      <c r="Q1069" s="301"/>
      <c r="R1069" s="336"/>
      <c r="S1069" s="301"/>
      <c r="T1069" s="336"/>
    </row>
    <row r="1070" spans="1:20" ht="12" customHeight="1" x14ac:dyDescent="0.25">
      <c r="A1070" s="329" t="s">
        <v>289</v>
      </c>
      <c r="B1070" s="330">
        <v>5</v>
      </c>
      <c r="C1070" s="298">
        <v>46148</v>
      </c>
      <c r="D1070" s="299" t="s">
        <v>339</v>
      </c>
      <c r="E1070" s="522">
        <v>47.93</v>
      </c>
      <c r="F1070" s="522"/>
      <c r="G1070" s="333">
        <f t="shared" si="32"/>
        <v>1077.4899999999845</v>
      </c>
      <c r="H1070" s="334"/>
      <c r="I1070" s="335"/>
      <c r="J1070" s="336"/>
      <c r="K1070" s="301"/>
      <c r="L1070" s="336"/>
      <c r="M1070" s="301"/>
      <c r="N1070" s="336"/>
      <c r="O1070" s="301"/>
      <c r="P1070" s="336"/>
      <c r="Q1070" s="301"/>
      <c r="R1070" s="336"/>
      <c r="S1070" s="301"/>
      <c r="T1070" s="336"/>
    </row>
    <row r="1071" spans="1:20" ht="12" customHeight="1" x14ac:dyDescent="0.25">
      <c r="A1071" s="329" t="s">
        <v>294</v>
      </c>
      <c r="B1071" s="330">
        <v>14</v>
      </c>
      <c r="C1071" s="298">
        <v>46148</v>
      </c>
      <c r="D1071" s="299" t="s">
        <v>365</v>
      </c>
      <c r="E1071" s="522">
        <v>66.67</v>
      </c>
      <c r="F1071" s="522"/>
      <c r="G1071" s="333">
        <f t="shared" si="32"/>
        <v>1125.4199999999846</v>
      </c>
      <c r="H1071" s="334"/>
      <c r="I1071" s="335"/>
      <c r="J1071" s="336"/>
      <c r="K1071" s="301"/>
      <c r="L1071" s="336"/>
      <c r="M1071" s="301"/>
      <c r="N1071" s="336"/>
      <c r="O1071" s="301"/>
      <c r="P1071" s="336"/>
      <c r="Q1071" s="301"/>
      <c r="R1071" s="336"/>
      <c r="S1071" s="301"/>
      <c r="T1071" s="336"/>
    </row>
    <row r="1072" spans="1:20" ht="12" customHeight="1" x14ac:dyDescent="0.25">
      <c r="A1072" s="329" t="s">
        <v>289</v>
      </c>
      <c r="B1072" s="330">
        <v>8</v>
      </c>
      <c r="C1072" s="298">
        <v>46148</v>
      </c>
      <c r="D1072" s="299" t="s">
        <v>319</v>
      </c>
      <c r="E1072" s="522">
        <v>19.14</v>
      </c>
      <c r="F1072" s="522"/>
      <c r="G1072" s="333">
        <f t="shared" si="32"/>
        <v>1192.0899999999847</v>
      </c>
      <c r="H1072" s="334"/>
      <c r="I1072" s="335"/>
      <c r="J1072" s="336"/>
      <c r="K1072" s="301"/>
      <c r="L1072" s="336"/>
      <c r="M1072" s="301"/>
      <c r="N1072" s="336"/>
      <c r="O1072" s="301"/>
      <c r="P1072" s="336"/>
      <c r="Q1072" s="301"/>
      <c r="R1072" s="336"/>
      <c r="S1072" s="301"/>
      <c r="T1072" s="336"/>
    </row>
    <row r="1073" spans="1:20" ht="12" customHeight="1" x14ac:dyDescent="0.25">
      <c r="A1073" s="329" t="s">
        <v>289</v>
      </c>
      <c r="B1073" s="330">
        <v>4</v>
      </c>
      <c r="C1073" s="298">
        <v>46148</v>
      </c>
      <c r="D1073" s="299" t="s">
        <v>310</v>
      </c>
      <c r="E1073" s="522">
        <v>103.69</v>
      </c>
      <c r="F1073" s="522"/>
      <c r="G1073" s="333">
        <f t="shared" si="32"/>
        <v>1211.2299999999848</v>
      </c>
      <c r="H1073" s="334"/>
      <c r="I1073" s="335"/>
      <c r="J1073" s="336"/>
      <c r="K1073" s="301"/>
      <c r="L1073" s="336"/>
      <c r="M1073" s="301"/>
      <c r="N1073" s="336"/>
      <c r="O1073" s="301"/>
      <c r="P1073" s="336"/>
      <c r="Q1073" s="301"/>
      <c r="R1073" s="336"/>
      <c r="S1073" s="301"/>
      <c r="T1073" s="336"/>
    </row>
    <row r="1074" spans="1:20" ht="12" customHeight="1" x14ac:dyDescent="0.25">
      <c r="A1074" s="329" t="s">
        <v>287</v>
      </c>
      <c r="B1074" s="330" t="s">
        <v>287</v>
      </c>
      <c r="C1074" s="298">
        <v>46148</v>
      </c>
      <c r="D1074" s="299" t="s">
        <v>841</v>
      </c>
      <c r="E1074" s="522">
        <v>513.29999999999995</v>
      </c>
      <c r="F1074" s="522">
        <v>513.29999999999995</v>
      </c>
      <c r="G1074" s="333">
        <f t="shared" si="32"/>
        <v>1314.9199999999848</v>
      </c>
      <c r="H1074" s="334"/>
      <c r="I1074" s="335"/>
      <c r="J1074" s="336"/>
      <c r="K1074" s="301"/>
      <c r="L1074" s="336"/>
      <c r="M1074" s="301"/>
      <c r="N1074" s="336"/>
      <c r="O1074" s="301"/>
      <c r="P1074" s="336"/>
      <c r="Q1074" s="301"/>
      <c r="R1074" s="336"/>
      <c r="S1074" s="301"/>
      <c r="T1074" s="336"/>
    </row>
    <row r="1075" spans="1:20" ht="12" customHeight="1" x14ac:dyDescent="0.25">
      <c r="A1075" s="329" t="s">
        <v>289</v>
      </c>
      <c r="B1075" s="330">
        <v>6</v>
      </c>
      <c r="C1075" s="298">
        <v>46148</v>
      </c>
      <c r="D1075" s="299" t="s">
        <v>300</v>
      </c>
      <c r="E1075" s="522">
        <v>41.52</v>
      </c>
      <c r="F1075" s="522"/>
      <c r="G1075" s="333">
        <f t="shared" si="32"/>
        <v>1314.9199999999848</v>
      </c>
      <c r="H1075" s="334"/>
      <c r="I1075" s="335"/>
      <c r="J1075" s="336"/>
      <c r="K1075" s="301"/>
      <c r="L1075" s="336"/>
      <c r="M1075" s="301"/>
      <c r="N1075" s="336"/>
      <c r="O1075" s="301"/>
      <c r="P1075" s="336"/>
      <c r="Q1075" s="301"/>
      <c r="R1075" s="336"/>
      <c r="S1075" s="301"/>
      <c r="T1075" s="336"/>
    </row>
    <row r="1076" spans="1:20" ht="12" customHeight="1" x14ac:dyDescent="0.25">
      <c r="A1076" s="329" t="s">
        <v>287</v>
      </c>
      <c r="B1076" s="330" t="s">
        <v>287</v>
      </c>
      <c r="C1076" s="298">
        <v>46148</v>
      </c>
      <c r="D1076" s="299" t="s">
        <v>842</v>
      </c>
      <c r="E1076" s="522">
        <v>500.5</v>
      </c>
      <c r="F1076" s="522">
        <v>500.5</v>
      </c>
      <c r="G1076" s="333">
        <f t="shared" si="32"/>
        <v>1356.4399999999848</v>
      </c>
      <c r="H1076" s="334"/>
      <c r="I1076" s="335"/>
      <c r="J1076" s="336"/>
      <c r="K1076" s="301"/>
      <c r="L1076" s="336"/>
      <c r="M1076" s="301"/>
      <c r="N1076" s="336"/>
      <c r="O1076" s="301"/>
      <c r="P1076" s="336"/>
      <c r="Q1076" s="301"/>
      <c r="R1076" s="336"/>
      <c r="S1076" s="301"/>
      <c r="T1076" s="336"/>
    </row>
    <row r="1077" spans="1:20" ht="12" customHeight="1" x14ac:dyDescent="0.25">
      <c r="A1077" s="329" t="s">
        <v>287</v>
      </c>
      <c r="B1077" s="330" t="s">
        <v>287</v>
      </c>
      <c r="C1077" s="298">
        <v>46148</v>
      </c>
      <c r="D1077" s="299" t="s">
        <v>843</v>
      </c>
      <c r="E1077" s="522">
        <v>457.94</v>
      </c>
      <c r="F1077" s="522">
        <v>457.94</v>
      </c>
      <c r="G1077" s="333">
        <f t="shared" si="32"/>
        <v>1356.4399999999848</v>
      </c>
      <c r="H1077" s="334"/>
      <c r="I1077" s="335"/>
      <c r="J1077" s="336"/>
      <c r="K1077" s="301"/>
      <c r="L1077" s="336"/>
      <c r="M1077" s="301"/>
      <c r="N1077" s="336"/>
      <c r="O1077" s="301"/>
      <c r="P1077" s="336"/>
      <c r="Q1077" s="301"/>
      <c r="R1077" s="336"/>
      <c r="S1077" s="301"/>
      <c r="T1077" s="336"/>
    </row>
    <row r="1078" spans="1:20" ht="12" customHeight="1" x14ac:dyDescent="0.25">
      <c r="A1078" s="329" t="s">
        <v>289</v>
      </c>
      <c r="B1078" s="330">
        <v>1</v>
      </c>
      <c r="C1078" s="298">
        <v>46148</v>
      </c>
      <c r="D1078" s="299" t="s">
        <v>306</v>
      </c>
      <c r="E1078" s="522">
        <v>23.48</v>
      </c>
      <c r="F1078" s="522"/>
      <c r="G1078" s="333">
        <f t="shared" si="32"/>
        <v>1356.4399999999848</v>
      </c>
      <c r="H1078" s="334"/>
      <c r="I1078" s="335"/>
      <c r="J1078" s="336"/>
      <c r="K1078" s="301"/>
      <c r="L1078" s="336"/>
      <c r="M1078" s="301"/>
      <c r="N1078" s="336"/>
      <c r="O1078" s="301"/>
      <c r="P1078" s="336"/>
      <c r="Q1078" s="301"/>
      <c r="R1078" s="336"/>
      <c r="S1078" s="301"/>
      <c r="T1078" s="336"/>
    </row>
    <row r="1079" spans="1:20" ht="12" customHeight="1" x14ac:dyDescent="0.25">
      <c r="A1079" s="329" t="s">
        <v>289</v>
      </c>
      <c r="B1079" s="330">
        <v>2</v>
      </c>
      <c r="C1079" s="298">
        <v>46147</v>
      </c>
      <c r="D1079" s="299" t="s">
        <v>383</v>
      </c>
      <c r="E1079" s="522">
        <v>59.03</v>
      </c>
      <c r="F1079" s="522"/>
      <c r="G1079" s="333">
        <f t="shared" si="32"/>
        <v>1379.9199999999848</v>
      </c>
      <c r="H1079" s="334"/>
      <c r="I1079" s="335"/>
      <c r="J1079" s="336"/>
      <c r="K1079" s="301"/>
      <c r="L1079" s="336"/>
      <c r="M1079" s="301"/>
      <c r="N1079" s="336"/>
      <c r="O1079" s="301"/>
      <c r="P1079" s="336"/>
      <c r="Q1079" s="301"/>
      <c r="R1079" s="336"/>
      <c r="S1079" s="301"/>
      <c r="T1079" s="336"/>
    </row>
    <row r="1080" spans="1:20" ht="12" customHeight="1" x14ac:dyDescent="0.25">
      <c r="A1080" s="329" t="s">
        <v>289</v>
      </c>
      <c r="B1080" s="330">
        <v>2</v>
      </c>
      <c r="C1080" s="298">
        <v>46147</v>
      </c>
      <c r="D1080" s="299" t="s">
        <v>334</v>
      </c>
      <c r="E1080" s="522">
        <v>11.06</v>
      </c>
      <c r="F1080" s="522"/>
      <c r="G1080" s="333">
        <f t="shared" si="32"/>
        <v>1438.9499999999848</v>
      </c>
      <c r="H1080" s="334"/>
      <c r="I1080" s="335"/>
      <c r="J1080" s="336"/>
      <c r="K1080" s="301"/>
      <c r="L1080" s="336"/>
      <c r="M1080" s="301"/>
      <c r="N1080" s="336"/>
      <c r="O1080" s="301"/>
      <c r="P1080" s="336"/>
      <c r="Q1080" s="301"/>
      <c r="R1080" s="336"/>
      <c r="S1080" s="301"/>
      <c r="T1080" s="336"/>
    </row>
    <row r="1081" spans="1:20" ht="12" customHeight="1" x14ac:dyDescent="0.25">
      <c r="A1081" s="329" t="s">
        <v>289</v>
      </c>
      <c r="B1081" s="330">
        <v>2</v>
      </c>
      <c r="C1081" s="298">
        <v>46147</v>
      </c>
      <c r="D1081" s="299" t="s">
        <v>296</v>
      </c>
      <c r="E1081" s="522">
        <v>8.7200000000000006</v>
      </c>
      <c r="F1081" s="522"/>
      <c r="G1081" s="333">
        <f t="shared" si="32"/>
        <v>1450.0099999999848</v>
      </c>
      <c r="H1081" s="334"/>
      <c r="I1081" s="335"/>
      <c r="J1081" s="336"/>
      <c r="K1081" s="301"/>
      <c r="L1081" s="336"/>
      <c r="M1081" s="301"/>
      <c r="N1081" s="336"/>
      <c r="O1081" s="301"/>
      <c r="P1081" s="336"/>
      <c r="Q1081" s="301"/>
      <c r="R1081" s="336"/>
      <c r="S1081" s="301"/>
      <c r="T1081" s="336"/>
    </row>
    <row r="1082" spans="1:20" ht="12" customHeight="1" x14ac:dyDescent="0.25">
      <c r="A1082" s="329" t="s">
        <v>289</v>
      </c>
      <c r="B1082" s="330">
        <v>4</v>
      </c>
      <c r="C1082" s="298">
        <v>46147</v>
      </c>
      <c r="D1082" s="299" t="s">
        <v>296</v>
      </c>
      <c r="E1082" s="522">
        <v>42.88</v>
      </c>
      <c r="F1082" s="522"/>
      <c r="G1082" s="333">
        <f t="shared" si="32"/>
        <v>1458.7299999999848</v>
      </c>
      <c r="H1082" s="334"/>
      <c r="I1082" s="335"/>
      <c r="J1082" s="336"/>
      <c r="K1082" s="301"/>
      <c r="L1082" s="336"/>
      <c r="M1082" s="301"/>
      <c r="N1082" s="336"/>
      <c r="O1082" s="301"/>
      <c r="P1082" s="336"/>
      <c r="Q1082" s="301"/>
      <c r="R1082" s="336"/>
      <c r="S1082" s="301"/>
      <c r="T1082" s="336"/>
    </row>
    <row r="1083" spans="1:20" ht="12" customHeight="1" x14ac:dyDescent="0.25">
      <c r="A1083" s="329" t="s">
        <v>289</v>
      </c>
      <c r="B1083" s="330">
        <v>6</v>
      </c>
      <c r="C1083" s="298">
        <v>46147</v>
      </c>
      <c r="D1083" s="299" t="s">
        <v>300</v>
      </c>
      <c r="E1083" s="522">
        <v>17.03</v>
      </c>
      <c r="F1083" s="522"/>
      <c r="G1083" s="333">
        <f t="shared" si="32"/>
        <v>1501.6099999999849</v>
      </c>
      <c r="H1083" s="334"/>
      <c r="I1083" s="335"/>
      <c r="J1083" s="336"/>
      <c r="K1083" s="301"/>
      <c r="L1083" s="336"/>
      <c r="M1083" s="301"/>
      <c r="N1083" s="336"/>
      <c r="O1083" s="301"/>
      <c r="P1083" s="336"/>
      <c r="Q1083" s="301"/>
      <c r="R1083" s="336"/>
      <c r="S1083" s="301"/>
      <c r="T1083" s="336"/>
    </row>
    <row r="1084" spans="1:20" ht="12" customHeight="1" x14ac:dyDescent="0.25">
      <c r="A1084" s="329" t="s">
        <v>294</v>
      </c>
      <c r="B1084" s="330">
        <v>22</v>
      </c>
      <c r="C1084" s="298">
        <v>46146</v>
      </c>
      <c r="D1084" s="299" t="s">
        <v>833</v>
      </c>
      <c r="E1084" s="522">
        <v>13.83</v>
      </c>
      <c r="F1084" s="522"/>
      <c r="G1084" s="333">
        <f t="shared" si="32"/>
        <v>1518.6399999999849</v>
      </c>
      <c r="H1084" s="334"/>
      <c r="I1084" s="335"/>
      <c r="J1084" s="336"/>
      <c r="K1084" s="301"/>
      <c r="L1084" s="336"/>
      <c r="M1084" s="301"/>
      <c r="N1084" s="336"/>
      <c r="O1084" s="301"/>
      <c r="P1084" s="336"/>
      <c r="Q1084" s="301"/>
      <c r="R1084" s="336"/>
      <c r="S1084" s="301"/>
      <c r="T1084" s="336"/>
    </row>
    <row r="1085" spans="1:20" ht="12" customHeight="1" x14ac:dyDescent="0.25">
      <c r="A1085" s="329" t="s">
        <v>289</v>
      </c>
      <c r="B1085" s="330">
        <v>5</v>
      </c>
      <c r="C1085" s="298">
        <v>46146</v>
      </c>
      <c r="D1085" s="299" t="s">
        <v>339</v>
      </c>
      <c r="E1085" s="522">
        <v>47.93</v>
      </c>
      <c r="F1085" s="522"/>
      <c r="G1085" s="333">
        <f t="shared" si="32"/>
        <v>1532.4699999999848</v>
      </c>
      <c r="H1085" s="334"/>
      <c r="I1085" s="335"/>
      <c r="J1085" s="336"/>
      <c r="K1085" s="301"/>
      <c r="L1085" s="336"/>
      <c r="M1085" s="301"/>
      <c r="N1085" s="336"/>
      <c r="O1085" s="301"/>
      <c r="P1085" s="336"/>
      <c r="Q1085" s="301"/>
      <c r="R1085" s="336"/>
      <c r="S1085" s="301"/>
      <c r="T1085" s="336"/>
    </row>
    <row r="1086" spans="1:20" ht="12" customHeight="1" x14ac:dyDescent="0.25">
      <c r="A1086" s="329" t="s">
        <v>289</v>
      </c>
      <c r="B1086" s="330">
        <v>2</v>
      </c>
      <c r="C1086" s="298">
        <v>46146</v>
      </c>
      <c r="D1086" s="299" t="s">
        <v>334</v>
      </c>
      <c r="E1086" s="522">
        <v>11.06</v>
      </c>
      <c r="F1086" s="522"/>
      <c r="G1086" s="333">
        <f t="shared" si="32"/>
        <v>1580.3999999999849</v>
      </c>
      <c r="H1086" s="334"/>
      <c r="I1086" s="335"/>
      <c r="J1086" s="336"/>
      <c r="K1086" s="301"/>
      <c r="L1086" s="336"/>
      <c r="M1086" s="301"/>
      <c r="N1086" s="336"/>
      <c r="O1086" s="301"/>
      <c r="P1086" s="336"/>
      <c r="Q1086" s="301"/>
      <c r="R1086" s="336"/>
      <c r="S1086" s="301"/>
      <c r="T1086" s="336"/>
    </row>
    <row r="1087" spans="1:20" ht="12" customHeight="1" x14ac:dyDescent="0.25">
      <c r="A1087" s="329" t="s">
        <v>294</v>
      </c>
      <c r="B1087" s="330">
        <v>14</v>
      </c>
      <c r="C1087" s="298">
        <v>46146</v>
      </c>
      <c r="D1087" s="299" t="s">
        <v>366</v>
      </c>
      <c r="E1087" s="522">
        <v>70.25</v>
      </c>
      <c r="F1087" s="522"/>
      <c r="G1087" s="333">
        <f t="shared" si="32"/>
        <v>1591.4599999999848</v>
      </c>
      <c r="H1087" s="334"/>
      <c r="I1087" s="335"/>
      <c r="J1087" s="336"/>
      <c r="K1087" s="301"/>
      <c r="L1087" s="336"/>
      <c r="M1087" s="301"/>
      <c r="N1087" s="336"/>
      <c r="O1087" s="301"/>
      <c r="P1087" s="336"/>
      <c r="Q1087" s="301"/>
      <c r="R1087" s="336"/>
      <c r="S1087" s="301"/>
      <c r="T1087" s="336"/>
    </row>
    <row r="1088" spans="1:20" ht="12" customHeight="1" x14ac:dyDescent="0.25">
      <c r="A1088" s="329" t="s">
        <v>284</v>
      </c>
      <c r="B1088" s="330">
        <v>36</v>
      </c>
      <c r="C1088" s="298">
        <v>46146</v>
      </c>
      <c r="D1088" s="299" t="s">
        <v>373</v>
      </c>
      <c r="E1088" s="522">
        <v>50</v>
      </c>
      <c r="F1088" s="522"/>
      <c r="G1088" s="333">
        <f t="shared" si="32"/>
        <v>1661.7099999999848</v>
      </c>
      <c r="H1088" s="334"/>
      <c r="I1088" s="335"/>
      <c r="J1088" s="336"/>
      <c r="K1088" s="301"/>
      <c r="L1088" s="336"/>
      <c r="M1088" s="301"/>
      <c r="N1088" s="336"/>
      <c r="O1088" s="301"/>
      <c r="P1088" s="336"/>
      <c r="Q1088" s="301"/>
      <c r="R1088" s="336"/>
      <c r="S1088" s="301"/>
      <c r="T1088" s="336"/>
    </row>
    <row r="1089" spans="1:20" ht="12" customHeight="1" x14ac:dyDescent="0.25">
      <c r="A1089" s="329" t="s">
        <v>294</v>
      </c>
      <c r="B1089" s="330">
        <v>17</v>
      </c>
      <c r="C1089" s="298">
        <v>46146</v>
      </c>
      <c r="D1089" s="299" t="s">
        <v>369</v>
      </c>
      <c r="E1089" s="522">
        <v>99</v>
      </c>
      <c r="F1089" s="522"/>
      <c r="G1089" s="333">
        <f t="shared" si="32"/>
        <v>1711.7099999999848</v>
      </c>
      <c r="H1089" s="334"/>
      <c r="I1089" s="335"/>
      <c r="J1089" s="336"/>
      <c r="K1089" s="301"/>
      <c r="L1089" s="336"/>
      <c r="M1089" s="301"/>
      <c r="N1089" s="336"/>
      <c r="O1089" s="301"/>
      <c r="P1089" s="336"/>
      <c r="Q1089" s="301"/>
      <c r="R1089" s="336"/>
      <c r="S1089" s="301"/>
      <c r="T1089" s="336"/>
    </row>
    <row r="1090" spans="1:20" ht="12" customHeight="1" x14ac:dyDescent="0.25">
      <c r="A1090" s="329" t="s">
        <v>289</v>
      </c>
      <c r="B1090" s="330">
        <v>5</v>
      </c>
      <c r="C1090" s="298">
        <v>46145</v>
      </c>
      <c r="D1090" s="299" t="s">
        <v>832</v>
      </c>
      <c r="E1090" s="522">
        <v>49.13</v>
      </c>
      <c r="F1090" s="522"/>
      <c r="G1090" s="333">
        <f t="shared" si="32"/>
        <v>1810.7099999999848</v>
      </c>
      <c r="H1090" s="334"/>
      <c r="I1090" s="335"/>
      <c r="J1090" s="336"/>
      <c r="K1090" s="301"/>
      <c r="L1090" s="336"/>
      <c r="M1090" s="301"/>
      <c r="N1090" s="336"/>
      <c r="O1090" s="301"/>
      <c r="P1090" s="336"/>
      <c r="Q1090" s="301"/>
      <c r="R1090" s="336"/>
      <c r="S1090" s="301"/>
      <c r="T1090" s="336"/>
    </row>
    <row r="1091" spans="1:20" ht="12" customHeight="1" x14ac:dyDescent="0.25">
      <c r="A1091" s="329" t="s">
        <v>289</v>
      </c>
      <c r="B1091" s="330">
        <v>1</v>
      </c>
      <c r="C1091" s="298">
        <v>46145</v>
      </c>
      <c r="D1091" s="299" t="s">
        <v>829</v>
      </c>
      <c r="E1091" s="522">
        <v>50</v>
      </c>
      <c r="F1091" s="522"/>
      <c r="G1091" s="333">
        <f t="shared" si="32"/>
        <v>1859.8399999999849</v>
      </c>
      <c r="H1091" s="334"/>
      <c r="I1091" s="335"/>
      <c r="J1091" s="336"/>
      <c r="K1091" s="301"/>
      <c r="L1091" s="336"/>
      <c r="M1091" s="301"/>
      <c r="N1091" s="336"/>
      <c r="O1091" s="301"/>
      <c r="P1091" s="336"/>
      <c r="Q1091" s="301"/>
      <c r="R1091" s="336"/>
      <c r="S1091" s="301"/>
      <c r="T1091" s="336"/>
    </row>
    <row r="1092" spans="1:20" ht="12" customHeight="1" x14ac:dyDescent="0.25">
      <c r="A1092" s="329" t="s">
        <v>289</v>
      </c>
      <c r="B1092" s="330">
        <v>1</v>
      </c>
      <c r="C1092" s="298">
        <v>46145</v>
      </c>
      <c r="D1092" s="299" t="s">
        <v>311</v>
      </c>
      <c r="E1092" s="522">
        <v>91.98</v>
      </c>
      <c r="F1092" s="522"/>
      <c r="G1092" s="333">
        <f t="shared" si="32"/>
        <v>1909.8399999999849</v>
      </c>
      <c r="H1092" s="334"/>
      <c r="I1092" s="335"/>
      <c r="J1092" s="336"/>
      <c r="K1092" s="301"/>
      <c r="L1092" s="336"/>
      <c r="M1092" s="301"/>
      <c r="N1092" s="336"/>
      <c r="O1092" s="301"/>
      <c r="P1092" s="336"/>
      <c r="Q1092" s="301"/>
      <c r="R1092" s="336"/>
      <c r="S1092" s="301"/>
      <c r="T1092" s="336"/>
    </row>
    <row r="1093" spans="1:20" ht="12" customHeight="1" x14ac:dyDescent="0.25">
      <c r="A1093" s="329" t="s">
        <v>289</v>
      </c>
      <c r="B1093" s="330">
        <v>6</v>
      </c>
      <c r="C1093" s="298">
        <v>46145</v>
      </c>
      <c r="D1093" s="299" t="s">
        <v>830</v>
      </c>
      <c r="E1093" s="522">
        <v>24.68</v>
      </c>
      <c r="F1093" s="522"/>
      <c r="G1093" s="333">
        <f t="shared" si="32"/>
        <v>2001.8199999999849</v>
      </c>
      <c r="H1093" s="334"/>
      <c r="I1093" s="335"/>
      <c r="J1093" s="336"/>
      <c r="K1093" s="301"/>
      <c r="L1093" s="336"/>
      <c r="M1093" s="301"/>
      <c r="N1093" s="336"/>
      <c r="O1093" s="301"/>
      <c r="P1093" s="336"/>
      <c r="Q1093" s="301"/>
      <c r="R1093" s="336"/>
      <c r="S1093" s="301"/>
      <c r="T1093" s="336"/>
    </row>
    <row r="1094" spans="1:20" ht="12" customHeight="1" x14ac:dyDescent="0.25">
      <c r="A1094" s="329" t="s">
        <v>289</v>
      </c>
      <c r="B1094" s="330">
        <v>2</v>
      </c>
      <c r="C1094" s="298">
        <v>46145</v>
      </c>
      <c r="D1094" s="299" t="s">
        <v>357</v>
      </c>
      <c r="E1094" s="522">
        <v>2.4900000000000002</v>
      </c>
      <c r="F1094" s="522"/>
      <c r="G1094" s="333">
        <f t="shared" si="32"/>
        <v>2026.499999999985</v>
      </c>
      <c r="H1094" s="334"/>
      <c r="I1094" s="335"/>
      <c r="J1094" s="336"/>
      <c r="K1094" s="301"/>
      <c r="L1094" s="336"/>
      <c r="M1094" s="301"/>
      <c r="N1094" s="336"/>
      <c r="O1094" s="301"/>
      <c r="P1094" s="336"/>
      <c r="Q1094" s="301"/>
      <c r="R1094" s="336"/>
      <c r="S1094" s="301"/>
      <c r="T1094" s="336"/>
    </row>
    <row r="1095" spans="1:20" ht="12" customHeight="1" x14ac:dyDescent="0.25">
      <c r="A1095" s="329" t="s">
        <v>294</v>
      </c>
      <c r="B1095" s="330">
        <v>22</v>
      </c>
      <c r="C1095" s="298">
        <v>46145</v>
      </c>
      <c r="D1095" s="299" t="s">
        <v>859</v>
      </c>
      <c r="E1095" s="522">
        <v>12.77</v>
      </c>
      <c r="F1095" s="522"/>
      <c r="G1095" s="333">
        <f t="shared" si="32"/>
        <v>2028.989999999985</v>
      </c>
      <c r="H1095" s="334"/>
      <c r="I1095" s="335"/>
      <c r="J1095" s="336"/>
      <c r="K1095" s="301"/>
      <c r="L1095" s="336"/>
      <c r="M1095" s="301"/>
      <c r="N1095" s="336"/>
      <c r="O1095" s="301"/>
      <c r="P1095" s="336"/>
      <c r="Q1095" s="301"/>
      <c r="R1095" s="336"/>
      <c r="S1095" s="301"/>
      <c r="T1095" s="336"/>
    </row>
    <row r="1096" spans="1:20" ht="12" customHeight="1" x14ac:dyDescent="0.25">
      <c r="A1096" s="329" t="s">
        <v>289</v>
      </c>
      <c r="B1096" s="330">
        <v>2</v>
      </c>
      <c r="C1096" s="298">
        <v>46145</v>
      </c>
      <c r="D1096" s="299" t="s">
        <v>456</v>
      </c>
      <c r="E1096" s="522">
        <v>192.97</v>
      </c>
      <c r="F1096" s="522"/>
      <c r="G1096" s="333">
        <f t="shared" si="32"/>
        <v>2041.759999999985</v>
      </c>
      <c r="H1096" s="334"/>
      <c r="I1096" s="335"/>
      <c r="J1096" s="336"/>
      <c r="K1096" s="301"/>
      <c r="L1096" s="336"/>
      <c r="M1096" s="301"/>
      <c r="N1096" s="336"/>
      <c r="O1096" s="301"/>
      <c r="P1096" s="336"/>
      <c r="Q1096" s="301"/>
      <c r="R1096" s="336"/>
      <c r="S1096" s="301"/>
      <c r="T1096" s="336"/>
    </row>
    <row r="1097" spans="1:20" ht="12" customHeight="1" x14ac:dyDescent="0.25">
      <c r="A1097" s="329" t="s">
        <v>289</v>
      </c>
      <c r="B1097" s="330">
        <v>3</v>
      </c>
      <c r="C1097" s="298">
        <v>46145</v>
      </c>
      <c r="D1097" s="299" t="s">
        <v>347</v>
      </c>
      <c r="E1097" s="522">
        <v>9.35</v>
      </c>
      <c r="F1097" s="522"/>
      <c r="G1097" s="333">
        <f t="shared" si="32"/>
        <v>2234.729999999985</v>
      </c>
      <c r="H1097" s="334"/>
      <c r="I1097" s="335"/>
      <c r="J1097" s="336"/>
      <c r="K1097" s="301"/>
      <c r="L1097" s="336"/>
      <c r="M1097" s="301"/>
      <c r="N1097" s="336"/>
      <c r="O1097" s="301"/>
      <c r="P1097" s="336"/>
      <c r="Q1097" s="301"/>
      <c r="R1097" s="336"/>
      <c r="S1097" s="301"/>
      <c r="T1097" s="336"/>
    </row>
    <row r="1098" spans="1:20" ht="12" customHeight="1" x14ac:dyDescent="0.25">
      <c r="A1098" s="329" t="s">
        <v>289</v>
      </c>
      <c r="B1098" s="330">
        <v>4</v>
      </c>
      <c r="C1098" s="298">
        <v>46144</v>
      </c>
      <c r="D1098" s="299" t="s">
        <v>310</v>
      </c>
      <c r="E1098" s="522">
        <v>57.69</v>
      </c>
      <c r="F1098" s="522"/>
      <c r="G1098" s="333">
        <f t="shared" si="32"/>
        <v>2244.0799999999849</v>
      </c>
      <c r="H1098" s="334"/>
      <c r="I1098" s="335"/>
      <c r="J1098" s="336"/>
      <c r="K1098" s="301"/>
      <c r="L1098" s="336"/>
      <c r="M1098" s="301"/>
      <c r="N1098" s="336"/>
      <c r="O1098" s="301"/>
      <c r="P1098" s="336"/>
      <c r="Q1098" s="301"/>
      <c r="R1098" s="336"/>
      <c r="S1098" s="301"/>
      <c r="T1098" s="336"/>
    </row>
    <row r="1099" spans="1:20" ht="12" customHeight="1" x14ac:dyDescent="0.25">
      <c r="A1099" s="329" t="s">
        <v>289</v>
      </c>
      <c r="B1099" s="330">
        <v>8</v>
      </c>
      <c r="C1099" s="298">
        <v>46144</v>
      </c>
      <c r="D1099" s="299" t="s">
        <v>310</v>
      </c>
      <c r="E1099" s="522">
        <v>6.37</v>
      </c>
      <c r="F1099" s="522"/>
      <c r="G1099" s="333">
        <f t="shared" si="32"/>
        <v>2301.769999999985</v>
      </c>
      <c r="H1099" s="334"/>
      <c r="I1099" s="335"/>
      <c r="J1099" s="336"/>
      <c r="K1099" s="301"/>
      <c r="L1099" s="336"/>
      <c r="M1099" s="301"/>
      <c r="N1099" s="336"/>
      <c r="O1099" s="301"/>
      <c r="P1099" s="336"/>
      <c r="Q1099" s="301"/>
      <c r="R1099" s="336"/>
      <c r="S1099" s="301"/>
      <c r="T1099" s="336"/>
    </row>
    <row r="1100" spans="1:20" ht="12" customHeight="1" x14ac:dyDescent="0.25">
      <c r="A1100" s="329" t="s">
        <v>294</v>
      </c>
      <c r="B1100" s="330">
        <v>22</v>
      </c>
      <c r="C1100" s="298">
        <v>46144</v>
      </c>
      <c r="D1100" s="299" t="s">
        <v>374</v>
      </c>
      <c r="E1100" s="522">
        <v>6.37</v>
      </c>
      <c r="F1100" s="522"/>
      <c r="G1100" s="333">
        <f t="shared" si="32"/>
        <v>2308.1399999999849</v>
      </c>
      <c r="H1100" s="334"/>
      <c r="I1100" s="335"/>
      <c r="J1100" s="336"/>
      <c r="K1100" s="301"/>
      <c r="L1100" s="336"/>
      <c r="M1100" s="301"/>
      <c r="N1100" s="336"/>
      <c r="O1100" s="301"/>
      <c r="P1100" s="336"/>
      <c r="Q1100" s="301"/>
      <c r="R1100" s="336"/>
      <c r="S1100" s="301"/>
      <c r="T1100" s="336"/>
    </row>
    <row r="1101" spans="1:20" ht="12" customHeight="1" x14ac:dyDescent="0.25">
      <c r="A1101" s="329" t="s">
        <v>289</v>
      </c>
      <c r="B1101" s="330">
        <v>6</v>
      </c>
      <c r="C1101" s="298">
        <v>46144</v>
      </c>
      <c r="D1101" s="299" t="s">
        <v>300</v>
      </c>
      <c r="E1101" s="522">
        <v>41.51</v>
      </c>
      <c r="F1101" s="522"/>
      <c r="G1101" s="333">
        <f t="shared" si="32"/>
        <v>2314.5099999999848</v>
      </c>
      <c r="H1101" s="334"/>
      <c r="I1101" s="335"/>
      <c r="J1101" s="336"/>
      <c r="K1101" s="301"/>
      <c r="L1101" s="336"/>
      <c r="M1101" s="301"/>
      <c r="N1101" s="336"/>
      <c r="O1101" s="301"/>
      <c r="P1101" s="336"/>
      <c r="Q1101" s="301"/>
      <c r="R1101" s="336"/>
      <c r="S1101" s="301"/>
      <c r="T1101" s="336"/>
    </row>
    <row r="1102" spans="1:20" ht="12" customHeight="1" x14ac:dyDescent="0.25">
      <c r="A1102" s="329" t="s">
        <v>289</v>
      </c>
      <c r="B1102" s="330">
        <v>7</v>
      </c>
      <c r="C1102" s="298">
        <v>46144</v>
      </c>
      <c r="D1102" s="299" t="s">
        <v>831</v>
      </c>
      <c r="E1102" s="522">
        <v>74.53</v>
      </c>
      <c r="F1102" s="522"/>
      <c r="G1102" s="333">
        <f t="shared" si="32"/>
        <v>2356.019999999985</v>
      </c>
      <c r="H1102" s="334"/>
      <c r="I1102" s="335"/>
      <c r="J1102" s="336"/>
      <c r="K1102" s="301"/>
      <c r="L1102" s="336"/>
      <c r="M1102" s="301"/>
      <c r="N1102" s="336"/>
      <c r="O1102" s="301"/>
      <c r="P1102" s="336"/>
      <c r="Q1102" s="301"/>
      <c r="R1102" s="336"/>
      <c r="S1102" s="301"/>
      <c r="T1102" s="336"/>
    </row>
    <row r="1103" spans="1:20" ht="12" customHeight="1" x14ac:dyDescent="0.25">
      <c r="A1103" s="329" t="s">
        <v>289</v>
      </c>
      <c r="B1103" s="330">
        <v>1</v>
      </c>
      <c r="C1103" s="298">
        <v>46144</v>
      </c>
      <c r="D1103" s="299" t="s">
        <v>306</v>
      </c>
      <c r="E1103" s="522">
        <v>72.73</v>
      </c>
      <c r="F1103" s="522"/>
      <c r="G1103" s="333">
        <f t="shared" si="32"/>
        <v>2430.5499999999852</v>
      </c>
      <c r="H1103" s="334"/>
      <c r="I1103" s="335"/>
      <c r="J1103" s="336"/>
      <c r="K1103" s="301"/>
      <c r="L1103" s="336"/>
      <c r="M1103" s="301"/>
      <c r="N1103" s="336"/>
      <c r="O1103" s="301"/>
      <c r="P1103" s="336"/>
      <c r="Q1103" s="301"/>
      <c r="R1103" s="336"/>
      <c r="S1103" s="301"/>
      <c r="T1103" s="336"/>
    </row>
    <row r="1104" spans="1:20" ht="12" customHeight="1" x14ac:dyDescent="0.25">
      <c r="A1104" s="329" t="s">
        <v>289</v>
      </c>
      <c r="B1104" s="330">
        <v>3</v>
      </c>
      <c r="C1104" s="298">
        <v>46144</v>
      </c>
      <c r="D1104" s="299" t="s">
        <v>347</v>
      </c>
      <c r="E1104" s="522">
        <v>25</v>
      </c>
      <c r="F1104" s="522"/>
      <c r="G1104" s="333">
        <f t="shared" si="32"/>
        <v>2503.2799999999852</v>
      </c>
      <c r="H1104" s="334"/>
      <c r="I1104" s="335"/>
      <c r="J1104" s="336"/>
      <c r="K1104" s="301"/>
      <c r="L1104" s="336"/>
      <c r="M1104" s="301"/>
      <c r="N1104" s="336"/>
      <c r="O1104" s="301"/>
      <c r="P1104" s="336"/>
      <c r="Q1104" s="301"/>
      <c r="R1104" s="336"/>
      <c r="S1104" s="301"/>
      <c r="T1104" s="336"/>
    </row>
    <row r="1105" spans="1:20" ht="12" customHeight="1" x14ac:dyDescent="0.25">
      <c r="A1105" s="329" t="s">
        <v>287</v>
      </c>
      <c r="B1105" s="330" t="s">
        <v>287</v>
      </c>
      <c r="C1105" s="298">
        <v>46144</v>
      </c>
      <c r="D1105" s="299" t="s">
        <v>483</v>
      </c>
      <c r="E1105" s="522">
        <v>121.4</v>
      </c>
      <c r="F1105" s="522">
        <v>121.4</v>
      </c>
      <c r="G1105" s="333">
        <f t="shared" si="32"/>
        <v>2528.2799999999852</v>
      </c>
      <c r="H1105" s="334"/>
      <c r="I1105" s="335"/>
      <c r="J1105" s="336"/>
      <c r="K1105" s="301"/>
      <c r="L1105" s="336"/>
      <c r="M1105" s="301"/>
      <c r="N1105" s="336"/>
      <c r="O1105" s="301"/>
      <c r="P1105" s="336"/>
      <c r="Q1105" s="301"/>
      <c r="R1105" s="336"/>
      <c r="S1105" s="301"/>
      <c r="T1105" s="336"/>
    </row>
    <row r="1106" spans="1:20" ht="12" customHeight="1" x14ac:dyDescent="0.25">
      <c r="A1106" s="329" t="s">
        <v>289</v>
      </c>
      <c r="B1106" s="330">
        <v>3</v>
      </c>
      <c r="C1106" s="298">
        <v>46144</v>
      </c>
      <c r="D1106" s="299" t="s">
        <v>347</v>
      </c>
      <c r="E1106" s="522">
        <v>9.73</v>
      </c>
      <c r="F1106" s="522"/>
      <c r="G1106" s="333">
        <f t="shared" si="32"/>
        <v>2528.2799999999852</v>
      </c>
      <c r="H1106" s="334"/>
      <c r="I1106" s="335"/>
      <c r="J1106" s="336"/>
      <c r="K1106" s="301"/>
      <c r="L1106" s="336"/>
      <c r="M1106" s="301"/>
      <c r="N1106" s="336"/>
      <c r="O1106" s="301"/>
      <c r="P1106" s="336"/>
      <c r="Q1106" s="301"/>
      <c r="R1106" s="336"/>
      <c r="S1106" s="301"/>
      <c r="T1106" s="336"/>
    </row>
    <row r="1107" spans="1:20" ht="12" customHeight="1" x14ac:dyDescent="0.25">
      <c r="A1107" s="329" t="s">
        <v>289</v>
      </c>
      <c r="B1107" s="330">
        <v>2</v>
      </c>
      <c r="C1107" s="298">
        <v>46143</v>
      </c>
      <c r="D1107" s="299" t="s">
        <v>357</v>
      </c>
      <c r="E1107" s="522">
        <v>8.9700000000000006</v>
      </c>
      <c r="F1107" s="522"/>
      <c r="G1107" s="333">
        <f t="shared" si="32"/>
        <v>2538.0099999999852</v>
      </c>
      <c r="H1107" s="334"/>
      <c r="I1107" s="335"/>
      <c r="J1107" s="336"/>
      <c r="K1107" s="301"/>
      <c r="L1107" s="336"/>
      <c r="M1107" s="301"/>
      <c r="N1107" s="336"/>
      <c r="O1107" s="301"/>
      <c r="P1107" s="336"/>
      <c r="Q1107" s="301"/>
      <c r="R1107" s="336"/>
      <c r="S1107" s="301"/>
      <c r="T1107" s="336"/>
    </row>
    <row r="1108" spans="1:20" s="540" customFormat="1" ht="12" customHeight="1" x14ac:dyDescent="0.25">
      <c r="A1108" s="530" t="s">
        <v>284</v>
      </c>
      <c r="B1108" s="531">
        <v>37</v>
      </c>
      <c r="C1108" s="532">
        <v>46142</v>
      </c>
      <c r="D1108" s="533" t="s">
        <v>285</v>
      </c>
      <c r="E1108" s="534">
        <v>5616.82</v>
      </c>
      <c r="F1108" s="534"/>
      <c r="G1108" s="535">
        <f t="shared" si="32"/>
        <v>2546.979999999985</v>
      </c>
      <c r="H1108" s="536"/>
      <c r="I1108" s="537"/>
      <c r="J1108" s="538"/>
      <c r="K1108" s="539"/>
      <c r="L1108" s="538"/>
      <c r="M1108" s="539"/>
      <c r="N1108" s="538"/>
      <c r="O1108" s="539"/>
      <c r="P1108" s="538"/>
      <c r="Q1108" s="539"/>
      <c r="R1108" s="538"/>
      <c r="S1108" s="539"/>
      <c r="T1108" s="538"/>
    </row>
    <row r="1109" spans="1:20" ht="12" customHeight="1" x14ac:dyDescent="0.25">
      <c r="A1109" s="329" t="s">
        <v>286</v>
      </c>
      <c r="B1109" s="330">
        <v>25</v>
      </c>
      <c r="C1109" s="298">
        <v>46142</v>
      </c>
      <c r="D1109" s="298" t="s">
        <v>204</v>
      </c>
      <c r="E1109" s="331">
        <v>350</v>
      </c>
      <c r="F1109" s="331"/>
      <c r="G1109" s="333">
        <f t="shared" ref="G1109:G1110" si="33">G1110-E1109+F1109</f>
        <v>8163.7999999999847</v>
      </c>
      <c r="H1109" s="334"/>
      <c r="I1109" s="335"/>
      <c r="J1109" s="336"/>
      <c r="K1109" s="301"/>
      <c r="L1109" s="336"/>
      <c r="M1109" s="301"/>
      <c r="N1109" s="336"/>
      <c r="O1109" s="301"/>
      <c r="P1109" s="336"/>
      <c r="Q1109" s="301"/>
      <c r="R1109" s="336"/>
      <c r="S1109" s="301"/>
      <c r="T1109" s="336"/>
    </row>
    <row r="1110" spans="1:20" ht="12" customHeight="1" x14ac:dyDescent="0.25">
      <c r="A1110" s="329" t="s">
        <v>286</v>
      </c>
      <c r="B1110" s="330">
        <v>26</v>
      </c>
      <c r="C1110" s="298">
        <v>46142</v>
      </c>
      <c r="D1110" s="298" t="s">
        <v>205</v>
      </c>
      <c r="E1110" s="331">
        <v>320</v>
      </c>
      <c r="F1110" s="331"/>
      <c r="G1110" s="333">
        <f t="shared" si="33"/>
        <v>8513.7999999999847</v>
      </c>
      <c r="H1110" s="334"/>
      <c r="I1110" s="335"/>
      <c r="J1110" s="336"/>
      <c r="K1110" s="301"/>
      <c r="L1110" s="336"/>
      <c r="M1110" s="301"/>
      <c r="N1110" s="336"/>
      <c r="O1110" s="301"/>
      <c r="P1110" s="336"/>
      <c r="Q1110" s="301"/>
      <c r="R1110" s="336"/>
      <c r="S1110" s="301"/>
      <c r="T1110" s="336"/>
    </row>
    <row r="1111" spans="1:20" ht="12" customHeight="1" x14ac:dyDescent="0.25">
      <c r="A1111" s="329" t="s">
        <v>286</v>
      </c>
      <c r="B1111" s="330">
        <v>27</v>
      </c>
      <c r="C1111" s="298">
        <v>46142</v>
      </c>
      <c r="D1111" s="298" t="s">
        <v>206</v>
      </c>
      <c r="E1111" s="331">
        <v>25</v>
      </c>
      <c r="F1111" s="331"/>
      <c r="G1111" s="333">
        <f t="shared" ref="G1111:G1362" si="34">G1112-E1111+F1111</f>
        <v>8833.7999999999847</v>
      </c>
      <c r="H1111" s="334"/>
      <c r="I1111" s="335"/>
      <c r="J1111" s="336"/>
      <c r="K1111" s="301"/>
      <c r="L1111" s="336"/>
      <c r="M1111" s="301"/>
      <c r="N1111" s="336"/>
      <c r="O1111" s="301"/>
      <c r="P1111" s="336"/>
      <c r="Q1111" s="301"/>
      <c r="R1111" s="336"/>
      <c r="S1111" s="301"/>
      <c r="T1111" s="336"/>
    </row>
    <row r="1112" spans="1:20" ht="12" customHeight="1" x14ac:dyDescent="0.25">
      <c r="A1112" s="329" t="s">
        <v>286</v>
      </c>
      <c r="B1112" s="330">
        <v>28</v>
      </c>
      <c r="C1112" s="298">
        <v>46142</v>
      </c>
      <c r="D1112" s="298" t="s">
        <v>207</v>
      </c>
      <c r="E1112" s="331">
        <v>25</v>
      </c>
      <c r="F1112" s="331"/>
      <c r="G1112" s="333">
        <f t="shared" si="34"/>
        <v>8858.7999999999847</v>
      </c>
      <c r="H1112" s="334"/>
      <c r="I1112" s="335"/>
      <c r="J1112" s="336"/>
      <c r="K1112" s="301"/>
      <c r="L1112" s="336"/>
      <c r="M1112" s="301"/>
      <c r="N1112" s="336"/>
      <c r="O1112" s="301"/>
      <c r="P1112" s="336"/>
      <c r="Q1112" s="301"/>
      <c r="R1112" s="336"/>
      <c r="S1112" s="301"/>
      <c r="T1112" s="336"/>
    </row>
    <row r="1113" spans="1:20" ht="12" customHeight="1" x14ac:dyDescent="0.25">
      <c r="A1113" s="329" t="s">
        <v>286</v>
      </c>
      <c r="B1113" s="330">
        <v>29</v>
      </c>
      <c r="C1113" s="298">
        <v>46142</v>
      </c>
      <c r="D1113" s="298" t="s">
        <v>208</v>
      </c>
      <c r="E1113" s="331">
        <v>45</v>
      </c>
      <c r="F1113" s="331"/>
      <c r="G1113" s="333">
        <f t="shared" si="34"/>
        <v>8883.7999999999847</v>
      </c>
      <c r="H1113" s="334"/>
      <c r="I1113" s="335"/>
      <c r="J1113" s="336"/>
      <c r="K1113" s="301"/>
      <c r="L1113" s="336"/>
      <c r="M1113" s="301"/>
      <c r="N1113" s="336"/>
      <c r="O1113" s="301"/>
      <c r="P1113" s="336"/>
      <c r="Q1113" s="301"/>
      <c r="R1113" s="336"/>
      <c r="S1113" s="301"/>
      <c r="T1113" s="336"/>
    </row>
    <row r="1114" spans="1:20" ht="12" customHeight="1" x14ac:dyDescent="0.25">
      <c r="A1114" s="329" t="s">
        <v>286</v>
      </c>
      <c r="B1114" s="330">
        <v>30</v>
      </c>
      <c r="C1114" s="298">
        <v>46142</v>
      </c>
      <c r="D1114" s="298" t="s">
        <v>209</v>
      </c>
      <c r="E1114" s="331">
        <v>400</v>
      </c>
      <c r="F1114" s="331"/>
      <c r="G1114" s="333">
        <f t="shared" si="34"/>
        <v>8928.7999999999847</v>
      </c>
      <c r="H1114" s="334"/>
      <c r="I1114" s="335"/>
      <c r="J1114" s="336"/>
      <c r="K1114" s="301"/>
      <c r="L1114" s="336"/>
      <c r="M1114" s="301"/>
      <c r="N1114" s="336"/>
      <c r="O1114" s="301"/>
      <c r="P1114" s="336"/>
      <c r="Q1114" s="301"/>
      <c r="R1114" s="336"/>
      <c r="S1114" s="301"/>
      <c r="T1114" s="336"/>
    </row>
    <row r="1115" spans="1:20" ht="12" customHeight="1" x14ac:dyDescent="0.25">
      <c r="A1115" s="329" t="s">
        <v>286</v>
      </c>
      <c r="B1115" s="330">
        <v>31</v>
      </c>
      <c r="C1115" s="298">
        <v>46142</v>
      </c>
      <c r="D1115" s="298" t="s">
        <v>210</v>
      </c>
      <c r="E1115" s="331">
        <v>375</v>
      </c>
      <c r="F1115" s="331"/>
      <c r="G1115" s="333">
        <f t="shared" si="34"/>
        <v>9328.7999999999847</v>
      </c>
      <c r="H1115" s="334"/>
      <c r="I1115" s="335"/>
      <c r="J1115" s="336"/>
      <c r="K1115" s="301"/>
      <c r="L1115" s="336"/>
      <c r="M1115" s="301"/>
      <c r="N1115" s="336"/>
      <c r="O1115" s="301"/>
      <c r="P1115" s="336"/>
      <c r="Q1115" s="301"/>
      <c r="R1115" s="336"/>
      <c r="S1115" s="301"/>
      <c r="T1115" s="336"/>
    </row>
    <row r="1116" spans="1:20" ht="12" customHeight="1" x14ac:dyDescent="0.25">
      <c r="A1116" s="329" t="s">
        <v>286</v>
      </c>
      <c r="B1116" s="330">
        <v>32</v>
      </c>
      <c r="C1116" s="298">
        <v>46142</v>
      </c>
      <c r="D1116" s="298" t="s">
        <v>211</v>
      </c>
      <c r="E1116" s="331">
        <v>100</v>
      </c>
      <c r="F1116" s="331"/>
      <c r="G1116" s="333">
        <f t="shared" si="34"/>
        <v>9703.7999999999847</v>
      </c>
      <c r="H1116" s="334"/>
      <c r="I1116" s="335"/>
      <c r="J1116" s="336"/>
      <c r="K1116" s="301"/>
      <c r="L1116" s="336"/>
      <c r="M1116" s="301"/>
      <c r="N1116" s="336"/>
      <c r="O1116" s="301"/>
      <c r="P1116" s="336"/>
      <c r="Q1116" s="301"/>
      <c r="R1116" s="336"/>
      <c r="S1116" s="301"/>
      <c r="T1116" s="336"/>
    </row>
    <row r="1117" spans="1:20" ht="12" customHeight="1" x14ac:dyDescent="0.25">
      <c r="A1117" s="329" t="s">
        <v>286</v>
      </c>
      <c r="B1117" s="330">
        <v>33</v>
      </c>
      <c r="C1117" s="298">
        <v>46142</v>
      </c>
      <c r="D1117" s="298" t="s">
        <v>212</v>
      </c>
      <c r="E1117" s="331">
        <v>85</v>
      </c>
      <c r="F1117" s="331"/>
      <c r="G1117" s="333">
        <f t="shared" si="34"/>
        <v>9803.7999999999847</v>
      </c>
      <c r="H1117" s="334"/>
      <c r="I1117" s="335"/>
      <c r="J1117" s="336"/>
      <c r="K1117" s="301"/>
      <c r="L1117" s="336"/>
      <c r="M1117" s="301"/>
      <c r="N1117" s="336"/>
      <c r="O1117" s="301"/>
      <c r="P1117" s="336"/>
      <c r="Q1117" s="301"/>
      <c r="R1117" s="336"/>
      <c r="S1117" s="301"/>
      <c r="T1117" s="336"/>
    </row>
    <row r="1118" spans="1:20" ht="12" customHeight="1" x14ac:dyDescent="0.25">
      <c r="A1118" s="329" t="s">
        <v>286</v>
      </c>
      <c r="B1118" s="330">
        <v>34</v>
      </c>
      <c r="C1118" s="298">
        <v>46142</v>
      </c>
      <c r="D1118" s="298" t="s">
        <v>213</v>
      </c>
      <c r="E1118" s="331">
        <v>230</v>
      </c>
      <c r="F1118" s="331"/>
      <c r="G1118" s="333">
        <f t="shared" si="34"/>
        <v>9888.7999999999847</v>
      </c>
      <c r="H1118" s="334"/>
      <c r="I1118" s="335"/>
      <c r="J1118" s="336"/>
      <c r="K1118" s="301"/>
      <c r="L1118" s="336"/>
      <c r="M1118" s="301"/>
      <c r="N1118" s="336"/>
      <c r="O1118" s="301"/>
      <c r="P1118" s="336"/>
      <c r="Q1118" s="301"/>
      <c r="R1118" s="336"/>
      <c r="S1118" s="301"/>
      <c r="T1118" s="336"/>
    </row>
    <row r="1119" spans="1:20" ht="12" customHeight="1" x14ac:dyDescent="0.25">
      <c r="A1119" s="329" t="s">
        <v>286</v>
      </c>
      <c r="B1119" s="330">
        <v>35</v>
      </c>
      <c r="C1119" s="298">
        <v>46142</v>
      </c>
      <c r="D1119" s="298" t="s">
        <v>214</v>
      </c>
      <c r="E1119" s="331">
        <v>45</v>
      </c>
      <c r="F1119" s="331"/>
      <c r="G1119" s="333">
        <f t="shared" si="34"/>
        <v>10118.799999999985</v>
      </c>
      <c r="H1119" s="334"/>
      <c r="I1119" s="335"/>
      <c r="J1119" s="336"/>
      <c r="K1119" s="301"/>
      <c r="L1119" s="336"/>
      <c r="M1119" s="301"/>
      <c r="N1119" s="336"/>
      <c r="O1119" s="301"/>
      <c r="P1119" s="336"/>
      <c r="Q1119" s="301"/>
      <c r="R1119" s="336"/>
      <c r="S1119" s="301"/>
      <c r="T1119" s="336"/>
    </row>
    <row r="1120" spans="1:20" ht="12" customHeight="1" x14ac:dyDescent="0.25">
      <c r="A1120" s="329" t="s">
        <v>287</v>
      </c>
      <c r="B1120" s="330" t="s">
        <v>287</v>
      </c>
      <c r="C1120" s="298">
        <v>46142</v>
      </c>
      <c r="D1120" s="299" t="s">
        <v>288</v>
      </c>
      <c r="E1120" s="331">
        <v>185.64</v>
      </c>
      <c r="F1120" s="331">
        <v>185.64</v>
      </c>
      <c r="G1120" s="333">
        <f t="shared" si="34"/>
        <v>10163.799999999985</v>
      </c>
      <c r="H1120" s="334"/>
      <c r="I1120" s="335"/>
      <c r="J1120" s="336"/>
      <c r="K1120" s="301"/>
      <c r="L1120" s="336"/>
      <c r="M1120" s="301"/>
      <c r="N1120" s="336"/>
      <c r="O1120" s="301"/>
      <c r="P1120" s="336"/>
      <c r="Q1120" s="301"/>
      <c r="R1120" s="336"/>
      <c r="S1120" s="301"/>
      <c r="T1120" s="336"/>
    </row>
    <row r="1121" spans="1:20" ht="12" customHeight="1" x14ac:dyDescent="0.25">
      <c r="A1121" s="329" t="s">
        <v>289</v>
      </c>
      <c r="B1121" s="330">
        <v>6</v>
      </c>
      <c r="C1121" s="298">
        <v>46142</v>
      </c>
      <c r="D1121" s="299" t="s">
        <v>290</v>
      </c>
      <c r="E1121" s="331">
        <v>30</v>
      </c>
      <c r="F1121" s="331"/>
      <c r="G1121" s="333">
        <f t="shared" si="34"/>
        <v>10163.799999999985</v>
      </c>
      <c r="H1121" s="334"/>
      <c r="I1121" s="335"/>
      <c r="J1121" s="336"/>
      <c r="K1121" s="301"/>
      <c r="L1121" s="336"/>
      <c r="M1121" s="301"/>
      <c r="N1121" s="336"/>
      <c r="O1121" s="301"/>
      <c r="P1121" s="336"/>
      <c r="Q1121" s="301"/>
      <c r="R1121" s="336"/>
      <c r="S1121" s="301"/>
      <c r="T1121" s="336"/>
    </row>
    <row r="1122" spans="1:20" ht="12" customHeight="1" x14ac:dyDescent="0.25">
      <c r="A1122" s="329" t="s">
        <v>291</v>
      </c>
      <c r="B1122" s="330">
        <v>39</v>
      </c>
      <c r="C1122" s="298">
        <v>46142</v>
      </c>
      <c r="D1122" s="299" t="s">
        <v>292</v>
      </c>
      <c r="E1122" s="331"/>
      <c r="F1122" s="331">
        <v>2763.78</v>
      </c>
      <c r="G1122" s="333">
        <f t="shared" si="34"/>
        <v>10193.799999999985</v>
      </c>
      <c r="H1122" s="334"/>
      <c r="I1122" s="335"/>
      <c r="J1122" s="336"/>
      <c r="K1122" s="301"/>
      <c r="L1122" s="336"/>
      <c r="M1122" s="301"/>
      <c r="N1122" s="336"/>
      <c r="O1122" s="301"/>
      <c r="P1122" s="336"/>
      <c r="Q1122" s="301"/>
      <c r="R1122" s="336"/>
      <c r="S1122" s="301"/>
      <c r="T1122" s="336"/>
    </row>
    <row r="1123" spans="1:20" ht="12" customHeight="1" x14ac:dyDescent="0.25">
      <c r="A1123" s="329" t="s">
        <v>291</v>
      </c>
      <c r="B1123" s="330">
        <v>38</v>
      </c>
      <c r="C1123" s="298">
        <v>46142</v>
      </c>
      <c r="D1123" s="299" t="s">
        <v>293</v>
      </c>
      <c r="E1123" s="331"/>
      <c r="F1123" s="331">
        <v>4597.82</v>
      </c>
      <c r="G1123" s="333">
        <f t="shared" si="34"/>
        <v>7430.019999999985</v>
      </c>
      <c r="H1123" s="334"/>
      <c r="I1123" s="335"/>
      <c r="J1123" s="336"/>
      <c r="K1123" s="301"/>
      <c r="L1123" s="336"/>
      <c r="M1123" s="301"/>
      <c r="N1123" s="336"/>
      <c r="O1123" s="301"/>
      <c r="P1123" s="336"/>
      <c r="Q1123" s="301"/>
      <c r="R1123" s="336"/>
      <c r="S1123" s="301"/>
      <c r="T1123" s="336"/>
    </row>
    <row r="1124" spans="1:20" ht="12" customHeight="1" x14ac:dyDescent="0.25">
      <c r="A1124" s="329" t="s">
        <v>294</v>
      </c>
      <c r="B1124" s="330">
        <v>42</v>
      </c>
      <c r="C1124" s="298">
        <v>46142</v>
      </c>
      <c r="D1124" s="299" t="s">
        <v>200</v>
      </c>
      <c r="E1124" s="331">
        <v>50.92</v>
      </c>
      <c r="F1124" s="331"/>
      <c r="G1124" s="333">
        <f t="shared" si="34"/>
        <v>2832.1999999999853</v>
      </c>
      <c r="H1124" s="334"/>
      <c r="I1124" s="335"/>
      <c r="J1124" s="336"/>
      <c r="K1124" s="301"/>
      <c r="L1124" s="336"/>
      <c r="M1124" s="301"/>
      <c r="N1124" s="336"/>
      <c r="O1124" s="301"/>
      <c r="P1124" s="336"/>
      <c r="Q1124" s="301"/>
      <c r="R1124" s="336"/>
      <c r="S1124" s="301"/>
      <c r="T1124" s="336"/>
    </row>
    <row r="1125" spans="1:20" ht="12" customHeight="1" x14ac:dyDescent="0.25">
      <c r="A1125" s="329" t="s">
        <v>294</v>
      </c>
      <c r="B1125" s="330">
        <v>43</v>
      </c>
      <c r="C1125" s="298">
        <v>46142</v>
      </c>
      <c r="D1125" s="299" t="s">
        <v>201</v>
      </c>
      <c r="E1125" s="331">
        <v>50.92</v>
      </c>
      <c r="F1125" s="331"/>
      <c r="G1125" s="333">
        <f t="shared" si="34"/>
        <v>2883.1199999999853</v>
      </c>
      <c r="H1125" s="334"/>
      <c r="I1125" s="335"/>
      <c r="J1125" s="336"/>
      <c r="K1125" s="301"/>
      <c r="L1125" s="336"/>
      <c r="M1125" s="301"/>
      <c r="N1125" s="336"/>
      <c r="O1125" s="301"/>
      <c r="P1125" s="336"/>
      <c r="Q1125" s="301"/>
      <c r="R1125" s="336"/>
      <c r="S1125" s="301"/>
      <c r="T1125" s="336"/>
    </row>
    <row r="1126" spans="1:20" ht="12" customHeight="1" x14ac:dyDescent="0.25">
      <c r="A1126" s="329" t="s">
        <v>289</v>
      </c>
      <c r="B1126" s="330">
        <v>4</v>
      </c>
      <c r="C1126" s="298">
        <v>46142</v>
      </c>
      <c r="D1126" s="299" t="s">
        <v>295</v>
      </c>
      <c r="E1126" s="331">
        <v>35.799999999999997</v>
      </c>
      <c r="F1126" s="331"/>
      <c r="G1126" s="333">
        <f t="shared" si="34"/>
        <v>2934.0399999999854</v>
      </c>
      <c r="H1126" s="334"/>
      <c r="I1126" s="335"/>
      <c r="J1126" s="336"/>
      <c r="K1126" s="301"/>
      <c r="L1126" s="336"/>
      <c r="M1126" s="301"/>
      <c r="N1126" s="336"/>
      <c r="O1126" s="301"/>
      <c r="P1126" s="336"/>
      <c r="Q1126" s="301"/>
      <c r="R1126" s="336"/>
      <c r="S1126" s="301"/>
      <c r="T1126" s="336"/>
    </row>
    <row r="1127" spans="1:20" ht="12" customHeight="1" x14ac:dyDescent="0.25">
      <c r="A1127" s="329" t="s">
        <v>294</v>
      </c>
      <c r="B1127" s="330">
        <v>10</v>
      </c>
      <c r="C1127" s="298">
        <v>46142</v>
      </c>
      <c r="D1127" s="299" t="s">
        <v>176</v>
      </c>
      <c r="E1127" s="331">
        <v>17.899999999999999</v>
      </c>
      <c r="F1127" s="331"/>
      <c r="G1127" s="333">
        <f t="shared" si="34"/>
        <v>2969.8399999999856</v>
      </c>
      <c r="H1127" s="334"/>
      <c r="I1127" s="335"/>
      <c r="J1127" s="336"/>
      <c r="K1127" s="301"/>
      <c r="L1127" s="336"/>
      <c r="M1127" s="301"/>
      <c r="N1127" s="336"/>
      <c r="O1127" s="301"/>
      <c r="P1127" s="336"/>
      <c r="Q1127" s="301"/>
      <c r="R1127" s="336"/>
      <c r="S1127" s="301"/>
      <c r="T1127" s="336"/>
    </row>
    <row r="1128" spans="1:20" ht="12" customHeight="1" x14ac:dyDescent="0.25">
      <c r="A1128" s="329" t="s">
        <v>289</v>
      </c>
      <c r="B1128" s="330">
        <v>2</v>
      </c>
      <c r="C1128" s="298">
        <v>46142</v>
      </c>
      <c r="D1128" s="299" t="s">
        <v>296</v>
      </c>
      <c r="E1128" s="331">
        <v>8.7200000000000006</v>
      </c>
      <c r="F1128" s="331"/>
      <c r="G1128" s="333">
        <f t="shared" si="34"/>
        <v>2987.7399999999857</v>
      </c>
      <c r="H1128" s="334"/>
      <c r="I1128" s="335"/>
      <c r="J1128" s="336"/>
      <c r="K1128" s="301"/>
      <c r="L1128" s="336"/>
      <c r="M1128" s="301"/>
      <c r="N1128" s="336"/>
      <c r="O1128" s="301"/>
      <c r="P1128" s="336"/>
      <c r="Q1128" s="301"/>
      <c r="R1128" s="336"/>
      <c r="S1128" s="301"/>
      <c r="T1128" s="336"/>
    </row>
    <row r="1129" spans="1:20" ht="12" customHeight="1" x14ac:dyDescent="0.25">
      <c r="A1129" s="329" t="s">
        <v>289</v>
      </c>
      <c r="B1129" s="330">
        <v>2</v>
      </c>
      <c r="C1129" s="298">
        <v>46142</v>
      </c>
      <c r="D1129" s="299" t="s">
        <v>297</v>
      </c>
      <c r="E1129" s="331">
        <v>100</v>
      </c>
      <c r="F1129" s="331"/>
      <c r="G1129" s="333">
        <f t="shared" si="34"/>
        <v>2996.4599999999855</v>
      </c>
      <c r="H1129" s="334" t="s">
        <v>298</v>
      </c>
      <c r="I1129" s="335"/>
      <c r="J1129" s="336"/>
      <c r="K1129" s="301"/>
      <c r="L1129" s="336"/>
      <c r="M1129" s="301"/>
      <c r="N1129" s="336"/>
      <c r="O1129" s="301"/>
      <c r="P1129" s="336"/>
      <c r="Q1129" s="301"/>
      <c r="R1129" s="336"/>
      <c r="S1129" s="301"/>
      <c r="T1129" s="336"/>
    </row>
    <row r="1130" spans="1:20" ht="12" customHeight="1" x14ac:dyDescent="0.25">
      <c r="A1130" s="329" t="s">
        <v>289</v>
      </c>
      <c r="B1130" s="330">
        <v>5</v>
      </c>
      <c r="C1130" s="298">
        <v>46142</v>
      </c>
      <c r="D1130" s="299" t="s">
        <v>297</v>
      </c>
      <c r="E1130" s="331">
        <v>100</v>
      </c>
      <c r="F1130" s="331"/>
      <c r="G1130" s="333">
        <f t="shared" si="34"/>
        <v>3096.4599999999855</v>
      </c>
      <c r="H1130" s="334" t="s">
        <v>298</v>
      </c>
      <c r="I1130" s="335"/>
      <c r="J1130" s="336"/>
      <c r="K1130" s="301"/>
      <c r="L1130" s="336"/>
      <c r="M1130" s="301"/>
      <c r="N1130" s="336"/>
      <c r="O1130" s="301"/>
      <c r="P1130" s="336"/>
      <c r="Q1130" s="301"/>
      <c r="R1130" s="336"/>
      <c r="S1130" s="301"/>
      <c r="T1130" s="336"/>
    </row>
    <row r="1131" spans="1:20" ht="12" customHeight="1" x14ac:dyDescent="0.25">
      <c r="A1131" s="329" t="s">
        <v>289</v>
      </c>
      <c r="B1131" s="330">
        <v>6</v>
      </c>
      <c r="C1131" s="298">
        <v>46142</v>
      </c>
      <c r="D1131" s="299" t="s">
        <v>297</v>
      </c>
      <c r="E1131" s="331">
        <v>100</v>
      </c>
      <c r="F1131" s="331"/>
      <c r="G1131" s="333">
        <f t="shared" si="34"/>
        <v>3196.4599999999855</v>
      </c>
      <c r="H1131" s="334" t="s">
        <v>298</v>
      </c>
      <c r="I1131" s="335"/>
      <c r="J1131" s="336"/>
      <c r="K1131" s="301"/>
      <c r="L1131" s="336"/>
      <c r="M1131" s="301"/>
      <c r="N1131" s="336"/>
      <c r="O1131" s="301"/>
      <c r="P1131" s="336"/>
      <c r="Q1131" s="301"/>
      <c r="R1131" s="336"/>
      <c r="S1131" s="301"/>
      <c r="T1131" s="336"/>
    </row>
    <row r="1132" spans="1:20" ht="12" customHeight="1" x14ac:dyDescent="0.25">
      <c r="A1132" s="329" t="s">
        <v>289</v>
      </c>
      <c r="B1132" s="330">
        <v>8</v>
      </c>
      <c r="C1132" s="298">
        <v>46142</v>
      </c>
      <c r="D1132" s="299" t="s">
        <v>297</v>
      </c>
      <c r="E1132" s="331">
        <v>100</v>
      </c>
      <c r="F1132" s="331"/>
      <c r="G1132" s="333">
        <f t="shared" si="34"/>
        <v>3296.4599999999855</v>
      </c>
      <c r="H1132" s="334" t="s">
        <v>298</v>
      </c>
      <c r="I1132" s="335"/>
      <c r="J1132" s="336"/>
      <c r="K1132" s="301"/>
      <c r="L1132" s="336"/>
      <c r="M1132" s="301"/>
      <c r="N1132" s="336"/>
      <c r="O1132" s="301"/>
      <c r="P1132" s="336"/>
      <c r="Q1132" s="301"/>
      <c r="R1132" s="336"/>
      <c r="S1132" s="301"/>
      <c r="T1132" s="336"/>
    </row>
    <row r="1133" spans="1:20" ht="12" customHeight="1" x14ac:dyDescent="0.25">
      <c r="A1133" s="329" t="s">
        <v>291</v>
      </c>
      <c r="B1133" s="330">
        <v>41</v>
      </c>
      <c r="C1133" s="298">
        <v>46142</v>
      </c>
      <c r="D1133" s="299" t="s">
        <v>299</v>
      </c>
      <c r="E1133" s="331"/>
      <c r="F1133" s="331">
        <v>250</v>
      </c>
      <c r="G1133" s="333">
        <f t="shared" si="34"/>
        <v>3396.4599999999855</v>
      </c>
      <c r="H1133" s="334"/>
      <c r="I1133" s="335"/>
      <c r="J1133" s="336"/>
      <c r="K1133" s="301"/>
      <c r="L1133" s="336"/>
      <c r="M1133" s="301"/>
      <c r="N1133" s="336"/>
      <c r="O1133" s="301"/>
      <c r="P1133" s="336"/>
      <c r="Q1133" s="301"/>
      <c r="R1133" s="336"/>
      <c r="S1133" s="301"/>
      <c r="T1133" s="336"/>
    </row>
    <row r="1134" spans="1:20" ht="12" customHeight="1" x14ac:dyDescent="0.25">
      <c r="A1134" s="329" t="s">
        <v>289</v>
      </c>
      <c r="B1134" s="330">
        <v>6</v>
      </c>
      <c r="C1134" s="298">
        <v>46142</v>
      </c>
      <c r="D1134" s="299" t="s">
        <v>300</v>
      </c>
      <c r="E1134" s="331">
        <v>42.44</v>
      </c>
      <c r="F1134" s="331"/>
      <c r="G1134" s="333">
        <f t="shared" si="34"/>
        <v>3146.4599999999855</v>
      </c>
      <c r="H1134" s="334"/>
      <c r="I1134" s="335"/>
      <c r="J1134" s="336"/>
      <c r="K1134" s="301"/>
      <c r="L1134" s="336"/>
      <c r="M1134" s="301"/>
      <c r="N1134" s="336"/>
      <c r="O1134" s="301"/>
      <c r="P1134" s="336"/>
      <c r="Q1134" s="301"/>
      <c r="R1134" s="336"/>
      <c r="S1134" s="301"/>
      <c r="T1134" s="336"/>
    </row>
    <row r="1135" spans="1:20" ht="12" customHeight="1" x14ac:dyDescent="0.25">
      <c r="A1135" s="329" t="s">
        <v>289</v>
      </c>
      <c r="B1135" s="330">
        <v>6</v>
      </c>
      <c r="C1135" s="298">
        <v>46142</v>
      </c>
      <c r="D1135" s="299" t="s">
        <v>300</v>
      </c>
      <c r="E1135" s="331">
        <v>24.05</v>
      </c>
      <c r="F1135" s="331"/>
      <c r="G1135" s="333">
        <f t="shared" si="34"/>
        <v>3188.8999999999855</v>
      </c>
      <c r="H1135" s="334"/>
      <c r="I1135" s="335"/>
      <c r="J1135" s="336"/>
      <c r="K1135" s="301"/>
      <c r="L1135" s="336"/>
      <c r="M1135" s="301"/>
      <c r="N1135" s="336"/>
      <c r="O1135" s="301"/>
      <c r="P1135" s="336"/>
      <c r="Q1135" s="301"/>
      <c r="R1135" s="336"/>
      <c r="S1135" s="301"/>
      <c r="T1135" s="336"/>
    </row>
    <row r="1136" spans="1:20" ht="12" customHeight="1" x14ac:dyDescent="0.25">
      <c r="A1136" s="329" t="s">
        <v>289</v>
      </c>
      <c r="B1136" s="330">
        <v>2</v>
      </c>
      <c r="C1136" s="298">
        <v>46141</v>
      </c>
      <c r="D1136" s="299" t="s">
        <v>301</v>
      </c>
      <c r="E1136" s="331">
        <v>31.8</v>
      </c>
      <c r="F1136" s="331"/>
      <c r="G1136" s="333">
        <f t="shared" si="34"/>
        <v>3212.9499999999857</v>
      </c>
      <c r="H1136" s="334"/>
      <c r="I1136" s="335"/>
      <c r="J1136" s="336"/>
      <c r="K1136" s="301"/>
      <c r="L1136" s="336"/>
      <c r="M1136" s="301"/>
      <c r="N1136" s="336"/>
      <c r="O1136" s="301"/>
      <c r="P1136" s="336"/>
      <c r="Q1136" s="301"/>
      <c r="R1136" s="336"/>
      <c r="S1136" s="301"/>
      <c r="T1136" s="336"/>
    </row>
    <row r="1137" spans="1:20" ht="12" customHeight="1" x14ac:dyDescent="0.25">
      <c r="A1137" s="329" t="s">
        <v>289</v>
      </c>
      <c r="B1137" s="330">
        <v>6</v>
      </c>
      <c r="C1137" s="298">
        <v>46141</v>
      </c>
      <c r="D1137" s="299" t="s">
        <v>302</v>
      </c>
      <c r="E1137" s="331">
        <v>100</v>
      </c>
      <c r="F1137" s="331"/>
      <c r="G1137" s="333">
        <f t="shared" si="34"/>
        <v>3244.7499999999859</v>
      </c>
      <c r="H1137" s="334"/>
      <c r="I1137" s="335"/>
      <c r="J1137" s="336"/>
      <c r="K1137" s="301"/>
      <c r="L1137" s="336"/>
      <c r="M1137" s="301"/>
      <c r="N1137" s="336"/>
      <c r="O1137" s="301"/>
      <c r="P1137" s="336"/>
      <c r="Q1137" s="301"/>
      <c r="R1137" s="336"/>
      <c r="S1137" s="301"/>
      <c r="T1137" s="336"/>
    </row>
    <row r="1138" spans="1:20" ht="12" customHeight="1" x14ac:dyDescent="0.25">
      <c r="A1138" s="329" t="s">
        <v>289</v>
      </c>
      <c r="B1138" s="330">
        <v>6</v>
      </c>
      <c r="C1138" s="298">
        <v>46141</v>
      </c>
      <c r="D1138" s="299" t="s">
        <v>303</v>
      </c>
      <c r="E1138" s="331">
        <v>75</v>
      </c>
      <c r="F1138" s="331"/>
      <c r="G1138" s="333">
        <f t="shared" si="34"/>
        <v>3344.7499999999859</v>
      </c>
      <c r="H1138" s="334"/>
      <c r="I1138" s="335"/>
      <c r="J1138" s="336"/>
      <c r="K1138" s="301"/>
      <c r="L1138" s="336"/>
      <c r="M1138" s="301"/>
      <c r="N1138" s="336"/>
      <c r="O1138" s="301"/>
      <c r="P1138" s="336"/>
      <c r="Q1138" s="301"/>
      <c r="R1138" s="336"/>
      <c r="S1138" s="301"/>
      <c r="T1138" s="336"/>
    </row>
    <row r="1139" spans="1:20" ht="12" customHeight="1" x14ac:dyDescent="0.25">
      <c r="A1139" s="329" t="s">
        <v>289</v>
      </c>
      <c r="B1139" s="330">
        <v>1</v>
      </c>
      <c r="C1139" s="298">
        <v>46141</v>
      </c>
      <c r="D1139" s="299" t="s">
        <v>304</v>
      </c>
      <c r="E1139" s="331">
        <v>52.5</v>
      </c>
      <c r="F1139" s="331"/>
      <c r="G1139" s="333">
        <f t="shared" si="34"/>
        <v>3419.7499999999859</v>
      </c>
      <c r="H1139" s="334"/>
      <c r="I1139" s="335"/>
      <c r="J1139" s="336"/>
      <c r="K1139" s="301"/>
      <c r="L1139" s="336"/>
      <c r="M1139" s="301"/>
      <c r="N1139" s="336"/>
      <c r="O1139" s="301"/>
      <c r="P1139" s="336"/>
      <c r="Q1139" s="301"/>
      <c r="R1139" s="336"/>
      <c r="S1139" s="301"/>
      <c r="T1139" s="336"/>
    </row>
    <row r="1140" spans="1:20" ht="12" customHeight="1" x14ac:dyDescent="0.25">
      <c r="A1140" s="329" t="s">
        <v>289</v>
      </c>
      <c r="B1140" s="330">
        <v>6</v>
      </c>
      <c r="C1140" s="298">
        <v>46141</v>
      </c>
      <c r="D1140" s="299" t="s">
        <v>305</v>
      </c>
      <c r="E1140" s="331">
        <v>-256</v>
      </c>
      <c r="F1140" s="331"/>
      <c r="G1140" s="333">
        <f t="shared" si="34"/>
        <v>3472.2499999999859</v>
      </c>
      <c r="H1140" s="334"/>
      <c r="I1140" s="335"/>
      <c r="J1140" s="336"/>
      <c r="K1140" s="301"/>
      <c r="L1140" s="336"/>
      <c r="M1140" s="301"/>
      <c r="N1140" s="336"/>
      <c r="O1140" s="301"/>
      <c r="P1140" s="336"/>
      <c r="Q1140" s="301"/>
      <c r="R1140" s="336"/>
      <c r="S1140" s="301"/>
      <c r="T1140" s="336"/>
    </row>
    <row r="1141" spans="1:20" ht="12" customHeight="1" x14ac:dyDescent="0.25">
      <c r="A1141" s="329" t="s">
        <v>289</v>
      </c>
      <c r="B1141" s="330">
        <v>6</v>
      </c>
      <c r="C1141" s="298">
        <v>46140</v>
      </c>
      <c r="D1141" s="299" t="s">
        <v>300</v>
      </c>
      <c r="E1141" s="331">
        <v>20.38</v>
      </c>
      <c r="F1141" s="331"/>
      <c r="G1141" s="333">
        <f t="shared" si="34"/>
        <v>3216.2499999999859</v>
      </c>
      <c r="H1141" s="334"/>
      <c r="I1141" s="335"/>
      <c r="J1141" s="336"/>
      <c r="K1141" s="301"/>
      <c r="L1141" s="336"/>
      <c r="M1141" s="301"/>
      <c r="N1141" s="336"/>
      <c r="O1141" s="301"/>
      <c r="P1141" s="336"/>
      <c r="Q1141" s="301"/>
      <c r="R1141" s="336"/>
      <c r="S1141" s="301"/>
      <c r="T1141" s="336"/>
    </row>
    <row r="1142" spans="1:20" ht="12" customHeight="1" x14ac:dyDescent="0.25">
      <c r="A1142" s="329" t="s">
        <v>289</v>
      </c>
      <c r="B1142" s="330">
        <v>2</v>
      </c>
      <c r="C1142" s="298">
        <v>46140</v>
      </c>
      <c r="D1142" s="299" t="s">
        <v>296</v>
      </c>
      <c r="E1142" s="331">
        <v>15.41</v>
      </c>
      <c r="F1142" s="331"/>
      <c r="G1142" s="333">
        <f t="shared" si="34"/>
        <v>3236.629999999986</v>
      </c>
      <c r="H1142" s="334"/>
      <c r="I1142" s="335"/>
      <c r="J1142" s="336"/>
      <c r="K1142" s="301"/>
      <c r="L1142" s="336"/>
      <c r="M1142" s="301"/>
      <c r="N1142" s="336"/>
      <c r="O1142" s="301"/>
      <c r="P1142" s="336"/>
      <c r="Q1142" s="301"/>
      <c r="R1142" s="336"/>
      <c r="S1142" s="301"/>
      <c r="T1142" s="336"/>
    </row>
    <row r="1143" spans="1:20" ht="12" customHeight="1" x14ac:dyDescent="0.25">
      <c r="A1143" s="329" t="s">
        <v>289</v>
      </c>
      <c r="B1143" s="330">
        <v>4</v>
      </c>
      <c r="C1143" s="298">
        <v>46140</v>
      </c>
      <c r="D1143" s="299" t="s">
        <v>296</v>
      </c>
      <c r="E1143" s="331">
        <v>33.840000000000003</v>
      </c>
      <c r="F1143" s="331"/>
      <c r="G1143" s="333">
        <f t="shared" si="34"/>
        <v>3252.0399999999859</v>
      </c>
      <c r="H1143" s="334"/>
      <c r="I1143" s="335"/>
      <c r="J1143" s="336"/>
      <c r="K1143" s="301"/>
      <c r="L1143" s="336"/>
      <c r="M1143" s="301"/>
      <c r="N1143" s="336"/>
      <c r="O1143" s="301"/>
      <c r="P1143" s="336"/>
      <c r="Q1143" s="301"/>
      <c r="R1143" s="336"/>
      <c r="S1143" s="301"/>
      <c r="T1143" s="336"/>
    </row>
    <row r="1144" spans="1:20" ht="12" customHeight="1" x14ac:dyDescent="0.25">
      <c r="A1144" s="329" t="s">
        <v>289</v>
      </c>
      <c r="B1144" s="330">
        <v>1</v>
      </c>
      <c r="C1144" s="298">
        <v>46140</v>
      </c>
      <c r="D1144" s="299" t="s">
        <v>306</v>
      </c>
      <c r="E1144" s="331">
        <v>5.3</v>
      </c>
      <c r="F1144" s="331"/>
      <c r="G1144" s="333">
        <f t="shared" si="34"/>
        <v>3285.879999999986</v>
      </c>
      <c r="H1144" s="334"/>
      <c r="I1144" s="335"/>
      <c r="J1144" s="336"/>
      <c r="K1144" s="301"/>
      <c r="L1144" s="336"/>
      <c r="M1144" s="301"/>
      <c r="N1144" s="336"/>
      <c r="O1144" s="301"/>
      <c r="P1144" s="336"/>
      <c r="Q1144" s="301"/>
      <c r="R1144" s="336"/>
      <c r="S1144" s="301"/>
      <c r="T1144" s="336"/>
    </row>
    <row r="1145" spans="1:20" ht="12" customHeight="1" x14ac:dyDescent="0.25">
      <c r="A1145" s="329" t="s">
        <v>289</v>
      </c>
      <c r="B1145" s="330">
        <v>5</v>
      </c>
      <c r="C1145" s="298">
        <v>46140</v>
      </c>
      <c r="D1145" s="299" t="s">
        <v>307</v>
      </c>
      <c r="E1145" s="331">
        <v>500</v>
      </c>
      <c r="F1145" s="331"/>
      <c r="G1145" s="333">
        <f t="shared" si="34"/>
        <v>3291.1799999999862</v>
      </c>
      <c r="H1145" s="334"/>
      <c r="I1145" s="335"/>
      <c r="J1145" s="336"/>
      <c r="K1145" s="301"/>
      <c r="L1145" s="336"/>
      <c r="M1145" s="301"/>
      <c r="N1145" s="336"/>
      <c r="O1145" s="301"/>
      <c r="P1145" s="336"/>
      <c r="Q1145" s="301"/>
      <c r="R1145" s="336"/>
      <c r="S1145" s="301"/>
      <c r="T1145" s="336"/>
    </row>
    <row r="1146" spans="1:20" ht="12" customHeight="1" x14ac:dyDescent="0.25">
      <c r="A1146" s="329" t="s">
        <v>289</v>
      </c>
      <c r="B1146" s="330">
        <v>8</v>
      </c>
      <c r="C1146" s="298">
        <v>46140</v>
      </c>
      <c r="D1146" s="299" t="s">
        <v>308</v>
      </c>
      <c r="E1146" s="331">
        <v>47.99</v>
      </c>
      <c r="F1146" s="331"/>
      <c r="G1146" s="333">
        <f t="shared" si="34"/>
        <v>3791.1799999999862</v>
      </c>
      <c r="H1146" s="334"/>
      <c r="I1146" s="335"/>
      <c r="J1146" s="336"/>
      <c r="K1146" s="301"/>
      <c r="L1146" s="336"/>
      <c r="M1146" s="301"/>
      <c r="N1146" s="336"/>
      <c r="O1146" s="301"/>
      <c r="P1146" s="336"/>
      <c r="Q1146" s="301"/>
      <c r="R1146" s="336"/>
      <c r="S1146" s="301"/>
      <c r="T1146" s="336"/>
    </row>
    <row r="1147" spans="1:20" ht="12" customHeight="1" x14ac:dyDescent="0.25">
      <c r="A1147" s="329" t="s">
        <v>289</v>
      </c>
      <c r="B1147" s="330">
        <v>3</v>
      </c>
      <c r="C1147" s="298">
        <v>46139</v>
      </c>
      <c r="D1147" s="299" t="s">
        <v>309</v>
      </c>
      <c r="E1147" s="331">
        <v>13.11</v>
      </c>
      <c r="F1147" s="331"/>
      <c r="G1147" s="333">
        <f t="shared" si="34"/>
        <v>3839.169999999986</v>
      </c>
      <c r="H1147" s="334"/>
      <c r="I1147" s="335"/>
      <c r="J1147" s="336"/>
      <c r="K1147" s="301"/>
      <c r="L1147" s="336"/>
      <c r="M1147" s="301"/>
      <c r="N1147" s="336"/>
      <c r="O1147" s="301"/>
      <c r="P1147" s="336"/>
      <c r="Q1147" s="301"/>
      <c r="R1147" s="336"/>
      <c r="S1147" s="301"/>
      <c r="T1147" s="336"/>
    </row>
    <row r="1148" spans="1:20" ht="12" customHeight="1" x14ac:dyDescent="0.25">
      <c r="A1148" s="329" t="s">
        <v>289</v>
      </c>
      <c r="B1148" s="330">
        <v>4</v>
      </c>
      <c r="C1148" s="298">
        <v>46139</v>
      </c>
      <c r="D1148" s="299" t="s">
        <v>310</v>
      </c>
      <c r="E1148" s="331">
        <v>30.54</v>
      </c>
      <c r="F1148" s="331"/>
      <c r="G1148" s="333">
        <f t="shared" si="34"/>
        <v>3852.2799999999861</v>
      </c>
      <c r="H1148" s="334"/>
      <c r="I1148" s="335"/>
      <c r="J1148" s="336"/>
      <c r="K1148" s="301"/>
      <c r="L1148" s="336"/>
      <c r="M1148" s="301"/>
      <c r="N1148" s="336"/>
      <c r="O1148" s="301"/>
      <c r="P1148" s="336"/>
      <c r="Q1148" s="301"/>
      <c r="R1148" s="336"/>
      <c r="S1148" s="301"/>
      <c r="T1148" s="336"/>
    </row>
    <row r="1149" spans="1:20" ht="12" customHeight="1" x14ac:dyDescent="0.25">
      <c r="A1149" s="329" t="s">
        <v>289</v>
      </c>
      <c r="B1149" s="330">
        <v>1</v>
      </c>
      <c r="C1149" s="298">
        <v>46139</v>
      </c>
      <c r="D1149" s="299" t="s">
        <v>311</v>
      </c>
      <c r="E1149" s="331">
        <v>163.01</v>
      </c>
      <c r="F1149" s="331"/>
      <c r="G1149" s="333">
        <f t="shared" si="34"/>
        <v>3882.8199999999861</v>
      </c>
      <c r="H1149" s="334"/>
      <c r="I1149" s="335"/>
      <c r="J1149" s="336"/>
      <c r="K1149" s="301"/>
      <c r="L1149" s="336"/>
      <c r="M1149" s="301"/>
      <c r="N1149" s="336"/>
      <c r="O1149" s="301"/>
      <c r="P1149" s="336"/>
      <c r="Q1149" s="301"/>
      <c r="R1149" s="336"/>
      <c r="S1149" s="301"/>
      <c r="T1149" s="336"/>
    </row>
    <row r="1150" spans="1:20" ht="12" customHeight="1" x14ac:dyDescent="0.25">
      <c r="A1150" s="329" t="s">
        <v>289</v>
      </c>
      <c r="B1150" s="330">
        <v>6</v>
      </c>
      <c r="C1150" s="298">
        <v>46139</v>
      </c>
      <c r="D1150" s="299" t="s">
        <v>312</v>
      </c>
      <c r="E1150" s="331">
        <v>54.97</v>
      </c>
      <c r="F1150" s="331"/>
      <c r="G1150" s="333">
        <f t="shared" si="34"/>
        <v>4045.8299999999858</v>
      </c>
      <c r="H1150" s="334"/>
      <c r="I1150" s="335"/>
      <c r="J1150" s="336"/>
      <c r="K1150" s="301"/>
      <c r="L1150" s="336"/>
      <c r="M1150" s="301"/>
      <c r="N1150" s="336"/>
      <c r="O1150" s="301"/>
      <c r="P1150" s="336"/>
      <c r="Q1150" s="301"/>
      <c r="R1150" s="336"/>
      <c r="S1150" s="301"/>
      <c r="T1150" s="336"/>
    </row>
    <row r="1151" spans="1:20" ht="12" customHeight="1" x14ac:dyDescent="0.25">
      <c r="A1151" s="329" t="s">
        <v>289</v>
      </c>
      <c r="B1151" s="330">
        <v>1</v>
      </c>
      <c r="C1151" s="298">
        <v>46139</v>
      </c>
      <c r="D1151" s="299" t="s">
        <v>306</v>
      </c>
      <c r="E1151" s="331">
        <v>51.28</v>
      </c>
      <c r="F1151" s="331"/>
      <c r="G1151" s="333">
        <f t="shared" si="34"/>
        <v>4100.7999999999856</v>
      </c>
      <c r="H1151" s="334"/>
      <c r="I1151" s="335"/>
      <c r="J1151" s="336"/>
      <c r="K1151" s="301"/>
      <c r="L1151" s="336"/>
      <c r="M1151" s="301"/>
      <c r="N1151" s="336"/>
      <c r="O1151" s="301"/>
      <c r="P1151" s="336"/>
      <c r="Q1151" s="301"/>
      <c r="R1151" s="336"/>
      <c r="S1151" s="301"/>
      <c r="T1151" s="336"/>
    </row>
    <row r="1152" spans="1:20" ht="12" customHeight="1" x14ac:dyDescent="0.25">
      <c r="A1152" s="329" t="s">
        <v>289</v>
      </c>
      <c r="B1152" s="330">
        <v>6</v>
      </c>
      <c r="C1152" s="298">
        <v>46138</v>
      </c>
      <c r="D1152" s="299" t="s">
        <v>312</v>
      </c>
      <c r="E1152" s="331">
        <v>38.979999999999997</v>
      </c>
      <c r="F1152" s="331"/>
      <c r="G1152" s="333">
        <f t="shared" si="34"/>
        <v>4152.0799999999854</v>
      </c>
      <c r="H1152" s="334"/>
      <c r="I1152" s="335"/>
      <c r="J1152" s="336"/>
      <c r="K1152" s="301"/>
      <c r="L1152" s="336"/>
      <c r="M1152" s="301"/>
      <c r="N1152" s="336"/>
      <c r="O1152" s="301"/>
      <c r="P1152" s="336"/>
      <c r="Q1152" s="301"/>
      <c r="R1152" s="336"/>
      <c r="S1152" s="301"/>
      <c r="T1152" s="336"/>
    </row>
    <row r="1153" spans="1:20" ht="12" customHeight="1" x14ac:dyDescent="0.25">
      <c r="A1153" s="329" t="s">
        <v>289</v>
      </c>
      <c r="B1153" s="330">
        <v>2</v>
      </c>
      <c r="C1153" s="298">
        <v>46138</v>
      </c>
      <c r="D1153" s="299" t="s">
        <v>313</v>
      </c>
      <c r="E1153" s="331">
        <v>39.83</v>
      </c>
      <c r="F1153" s="331"/>
      <c r="G1153" s="333">
        <f t="shared" si="34"/>
        <v>4191.0599999999849</v>
      </c>
      <c r="H1153" s="334"/>
      <c r="I1153" s="335"/>
      <c r="J1153" s="336"/>
      <c r="K1153" s="301"/>
      <c r="L1153" s="336"/>
      <c r="M1153" s="301"/>
      <c r="N1153" s="336"/>
      <c r="O1153" s="301"/>
      <c r="P1153" s="336"/>
      <c r="Q1153" s="301"/>
      <c r="R1153" s="336"/>
      <c r="S1153" s="301"/>
      <c r="T1153" s="336"/>
    </row>
    <row r="1154" spans="1:20" ht="12" customHeight="1" x14ac:dyDescent="0.25">
      <c r="A1154" s="329" t="s">
        <v>289</v>
      </c>
      <c r="B1154" s="330">
        <v>8</v>
      </c>
      <c r="C1154" s="298">
        <v>46138</v>
      </c>
      <c r="D1154" s="299" t="s">
        <v>313</v>
      </c>
      <c r="E1154" s="331">
        <v>51.24</v>
      </c>
      <c r="F1154" s="331"/>
      <c r="G1154" s="333">
        <f t="shared" si="34"/>
        <v>4230.8899999999849</v>
      </c>
      <c r="H1154" s="334"/>
      <c r="I1154" s="335"/>
      <c r="J1154" s="336"/>
      <c r="K1154" s="301"/>
      <c r="L1154" s="336"/>
      <c r="M1154" s="301"/>
      <c r="N1154" s="336"/>
      <c r="O1154" s="301"/>
      <c r="P1154" s="336"/>
      <c r="Q1154" s="301"/>
      <c r="R1154" s="336"/>
      <c r="S1154" s="301"/>
      <c r="T1154" s="336"/>
    </row>
    <row r="1155" spans="1:20" ht="12" customHeight="1" x14ac:dyDescent="0.25">
      <c r="A1155" s="329" t="s">
        <v>294</v>
      </c>
      <c r="B1155" s="330">
        <v>12</v>
      </c>
      <c r="C1155" s="298">
        <v>46137</v>
      </c>
      <c r="D1155" s="299" t="s">
        <v>314</v>
      </c>
      <c r="E1155" s="331">
        <v>214.74</v>
      </c>
      <c r="F1155" s="331"/>
      <c r="G1155" s="333">
        <f t="shared" si="34"/>
        <v>4282.1299999999846</v>
      </c>
      <c r="H1155" s="334"/>
      <c r="I1155" s="335"/>
      <c r="J1155" s="336"/>
      <c r="K1155" s="301"/>
      <c r="L1155" s="336"/>
      <c r="M1155" s="301"/>
      <c r="N1155" s="336"/>
      <c r="O1155" s="301"/>
      <c r="P1155" s="336"/>
      <c r="Q1155" s="301"/>
      <c r="R1155" s="336"/>
      <c r="S1155" s="301"/>
      <c r="T1155" s="336"/>
    </row>
    <row r="1156" spans="1:20" ht="12" customHeight="1" x14ac:dyDescent="0.25">
      <c r="A1156" s="329" t="s">
        <v>287</v>
      </c>
      <c r="B1156" s="330" t="s">
        <v>287</v>
      </c>
      <c r="C1156" s="298">
        <v>46136</v>
      </c>
      <c r="D1156" s="299" t="s">
        <v>315</v>
      </c>
      <c r="E1156" s="331">
        <v>127.68</v>
      </c>
      <c r="F1156" s="331">
        <v>127.68</v>
      </c>
      <c r="G1156" s="333">
        <f t="shared" si="34"/>
        <v>4496.8699999999844</v>
      </c>
      <c r="H1156" s="334"/>
      <c r="I1156" s="335"/>
      <c r="J1156" s="336"/>
      <c r="K1156" s="301"/>
      <c r="L1156" s="336"/>
      <c r="M1156" s="301"/>
      <c r="N1156" s="336"/>
      <c r="O1156" s="301"/>
      <c r="P1156" s="336"/>
      <c r="Q1156" s="301"/>
      <c r="R1156" s="336"/>
      <c r="S1156" s="301"/>
      <c r="T1156" s="336"/>
    </row>
    <row r="1157" spans="1:20" ht="12" customHeight="1" x14ac:dyDescent="0.25">
      <c r="A1157" s="329" t="s">
        <v>289</v>
      </c>
      <c r="B1157" s="330">
        <v>8</v>
      </c>
      <c r="C1157" s="298">
        <v>46135</v>
      </c>
      <c r="D1157" s="299" t="s">
        <v>861</v>
      </c>
      <c r="E1157" s="331">
        <v>65</v>
      </c>
      <c r="F1157" s="331"/>
      <c r="G1157" s="333">
        <f t="shared" si="34"/>
        <v>4496.8699999999844</v>
      </c>
      <c r="H1157" s="334"/>
      <c r="I1157" s="335"/>
      <c r="J1157" s="336"/>
      <c r="K1157" s="301"/>
      <c r="L1157" s="336"/>
      <c r="M1157" s="301"/>
      <c r="N1157" s="336"/>
      <c r="O1157" s="301"/>
      <c r="P1157" s="336"/>
      <c r="Q1157" s="301"/>
      <c r="R1157" s="336"/>
      <c r="S1157" s="301"/>
      <c r="T1157" s="336"/>
    </row>
    <row r="1158" spans="1:20" ht="12" customHeight="1" x14ac:dyDescent="0.25">
      <c r="A1158" s="329" t="s">
        <v>291</v>
      </c>
      <c r="B1158" s="330">
        <v>40</v>
      </c>
      <c r="C1158" s="298">
        <v>46134</v>
      </c>
      <c r="D1158" s="299" t="s">
        <v>316</v>
      </c>
      <c r="E1158" s="331"/>
      <c r="F1158" s="331">
        <v>838.69</v>
      </c>
      <c r="G1158" s="333">
        <f t="shared" si="34"/>
        <v>4561.8699999999844</v>
      </c>
      <c r="H1158" s="334"/>
      <c r="I1158" s="335"/>
      <c r="J1158" s="336"/>
      <c r="K1158" s="301"/>
      <c r="L1158" s="336"/>
      <c r="M1158" s="301"/>
      <c r="N1158" s="336"/>
      <c r="O1158" s="301"/>
      <c r="P1158" s="336"/>
      <c r="Q1158" s="301"/>
      <c r="R1158" s="336"/>
      <c r="S1158" s="301"/>
      <c r="T1158" s="336"/>
    </row>
    <row r="1159" spans="1:20" ht="12" customHeight="1" x14ac:dyDescent="0.25">
      <c r="A1159" s="329" t="s">
        <v>289</v>
      </c>
      <c r="B1159" s="330">
        <v>2</v>
      </c>
      <c r="C1159" s="298">
        <v>46134</v>
      </c>
      <c r="D1159" s="299" t="s">
        <v>317</v>
      </c>
      <c r="E1159" s="331">
        <v>17.03</v>
      </c>
      <c r="F1159" s="331"/>
      <c r="G1159" s="333">
        <f t="shared" si="34"/>
        <v>3723.1799999999848</v>
      </c>
      <c r="H1159" s="334"/>
      <c r="I1159" s="335"/>
      <c r="J1159" s="336"/>
      <c r="K1159" s="301"/>
      <c r="L1159" s="336"/>
      <c r="M1159" s="301"/>
      <c r="N1159" s="336"/>
      <c r="O1159" s="301"/>
      <c r="P1159" s="336"/>
      <c r="Q1159" s="301"/>
      <c r="R1159" s="336"/>
      <c r="S1159" s="301"/>
      <c r="T1159" s="336"/>
    </row>
    <row r="1160" spans="1:20" ht="12" customHeight="1" x14ac:dyDescent="0.25">
      <c r="A1160" s="329" t="s">
        <v>289</v>
      </c>
      <c r="B1160" s="330">
        <v>6</v>
      </c>
      <c r="C1160" s="298">
        <v>46134</v>
      </c>
      <c r="D1160" s="299" t="s">
        <v>312</v>
      </c>
      <c r="E1160" s="331">
        <v>51.94</v>
      </c>
      <c r="F1160" s="331"/>
      <c r="G1160" s="333">
        <f t="shared" si="34"/>
        <v>3740.209999999985</v>
      </c>
      <c r="H1160" s="334"/>
      <c r="I1160" s="335"/>
      <c r="J1160" s="336"/>
      <c r="K1160" s="301"/>
      <c r="L1160" s="336"/>
      <c r="M1160" s="301"/>
      <c r="N1160" s="336"/>
      <c r="O1160" s="301"/>
      <c r="P1160" s="336"/>
      <c r="Q1160" s="301"/>
      <c r="R1160" s="336"/>
      <c r="S1160" s="301"/>
      <c r="T1160" s="336"/>
    </row>
    <row r="1161" spans="1:20" ht="12" customHeight="1" x14ac:dyDescent="0.25">
      <c r="A1161" s="329" t="s">
        <v>289</v>
      </c>
      <c r="B1161" s="330">
        <v>1</v>
      </c>
      <c r="C1161" s="298">
        <v>46134</v>
      </c>
      <c r="D1161" s="299" t="s">
        <v>306</v>
      </c>
      <c r="E1161" s="331">
        <v>226.7</v>
      </c>
      <c r="F1161" s="331"/>
      <c r="G1161" s="333">
        <f t="shared" si="34"/>
        <v>3792.1499999999851</v>
      </c>
      <c r="H1161" s="334"/>
      <c r="I1161" s="335"/>
      <c r="J1161" s="336"/>
      <c r="K1161" s="301"/>
      <c r="L1161" s="336"/>
      <c r="M1161" s="301"/>
      <c r="N1161" s="336"/>
      <c r="O1161" s="301"/>
      <c r="P1161" s="336"/>
      <c r="Q1161" s="301"/>
      <c r="R1161" s="336"/>
      <c r="S1161" s="301"/>
      <c r="T1161" s="336"/>
    </row>
    <row r="1162" spans="1:20" ht="12" customHeight="1" x14ac:dyDescent="0.25">
      <c r="A1162" s="329" t="s">
        <v>289</v>
      </c>
      <c r="B1162" s="330">
        <v>2</v>
      </c>
      <c r="C1162" s="298">
        <v>46133</v>
      </c>
      <c r="D1162" s="299" t="s">
        <v>318</v>
      </c>
      <c r="E1162" s="331">
        <v>70</v>
      </c>
      <c r="F1162" s="331"/>
      <c r="G1162" s="333">
        <f t="shared" si="34"/>
        <v>4018.8499999999849</v>
      </c>
      <c r="H1162" s="334"/>
      <c r="I1162" s="335"/>
      <c r="J1162" s="336"/>
      <c r="K1162" s="301"/>
      <c r="L1162" s="336"/>
      <c r="M1162" s="301"/>
      <c r="N1162" s="336"/>
      <c r="O1162" s="301"/>
      <c r="P1162" s="336"/>
      <c r="Q1162" s="301"/>
      <c r="R1162" s="336"/>
      <c r="S1162" s="301"/>
      <c r="T1162" s="336"/>
    </row>
    <row r="1163" spans="1:20" ht="12" customHeight="1" x14ac:dyDescent="0.25">
      <c r="A1163" s="329" t="s">
        <v>289</v>
      </c>
      <c r="B1163" s="330">
        <v>8</v>
      </c>
      <c r="C1163" s="298">
        <v>46133</v>
      </c>
      <c r="D1163" s="299" t="s">
        <v>319</v>
      </c>
      <c r="E1163" s="331">
        <v>14.26</v>
      </c>
      <c r="F1163" s="331"/>
      <c r="G1163" s="333">
        <f t="shared" si="34"/>
        <v>4088.8499999999849</v>
      </c>
      <c r="H1163" s="334"/>
      <c r="I1163" s="335"/>
      <c r="J1163" s="336"/>
      <c r="K1163" s="301"/>
      <c r="L1163" s="336"/>
      <c r="M1163" s="301"/>
      <c r="N1163" s="336"/>
      <c r="O1163" s="301"/>
      <c r="P1163" s="336"/>
      <c r="Q1163" s="301"/>
      <c r="R1163" s="336"/>
      <c r="S1163" s="301"/>
      <c r="T1163" s="336"/>
    </row>
    <row r="1164" spans="1:20" ht="12" customHeight="1" x14ac:dyDescent="0.25">
      <c r="A1164" s="329" t="s">
        <v>289</v>
      </c>
      <c r="B1164" s="330">
        <v>1</v>
      </c>
      <c r="C1164" s="298">
        <v>46133</v>
      </c>
      <c r="D1164" s="299" t="s">
        <v>320</v>
      </c>
      <c r="E1164" s="331">
        <v>8.51</v>
      </c>
      <c r="F1164" s="331"/>
      <c r="G1164" s="333">
        <f t="shared" si="34"/>
        <v>4103.1099999999851</v>
      </c>
      <c r="H1164" s="334"/>
      <c r="I1164" s="335"/>
      <c r="J1164" s="336"/>
      <c r="K1164" s="301"/>
      <c r="L1164" s="336"/>
      <c r="M1164" s="301"/>
      <c r="N1164" s="336"/>
      <c r="O1164" s="301"/>
      <c r="P1164" s="336"/>
      <c r="Q1164" s="301"/>
      <c r="R1164" s="336"/>
      <c r="S1164" s="301"/>
      <c r="T1164" s="336"/>
    </row>
    <row r="1165" spans="1:20" ht="12" customHeight="1" x14ac:dyDescent="0.25">
      <c r="A1165" s="329" t="s">
        <v>289</v>
      </c>
      <c r="B1165" s="330">
        <v>5</v>
      </c>
      <c r="C1165" s="298">
        <v>46133</v>
      </c>
      <c r="D1165" s="299" t="s">
        <v>321</v>
      </c>
      <c r="E1165" s="331">
        <v>20</v>
      </c>
      <c r="F1165" s="331"/>
      <c r="G1165" s="333">
        <f t="shared" si="34"/>
        <v>4111.6199999999853</v>
      </c>
      <c r="H1165" s="334"/>
      <c r="I1165" s="335"/>
      <c r="J1165" s="336"/>
      <c r="K1165" s="301"/>
      <c r="L1165" s="336"/>
      <c r="M1165" s="301"/>
      <c r="N1165" s="336"/>
      <c r="O1165" s="301"/>
      <c r="P1165" s="336"/>
      <c r="Q1165" s="301"/>
      <c r="R1165" s="336"/>
      <c r="S1165" s="301"/>
      <c r="T1165" s="336"/>
    </row>
    <row r="1166" spans="1:20" ht="12" customHeight="1" x14ac:dyDescent="0.25">
      <c r="A1166" s="329" t="s">
        <v>294</v>
      </c>
      <c r="B1166" s="330">
        <v>23</v>
      </c>
      <c r="C1166" s="298">
        <v>46133</v>
      </c>
      <c r="D1166" s="299" t="s">
        <v>67</v>
      </c>
      <c r="E1166" s="331">
        <v>650.88</v>
      </c>
      <c r="F1166" s="331"/>
      <c r="G1166" s="333">
        <f t="shared" si="34"/>
        <v>4131.6199999999853</v>
      </c>
      <c r="H1166" s="334"/>
      <c r="I1166" s="335"/>
      <c r="J1166" s="336"/>
      <c r="K1166" s="301"/>
      <c r="L1166" s="336"/>
      <c r="M1166" s="301"/>
      <c r="N1166" s="336"/>
      <c r="O1166" s="301"/>
      <c r="P1166" s="336"/>
      <c r="Q1166" s="301"/>
      <c r="R1166" s="336"/>
      <c r="S1166" s="301"/>
      <c r="T1166" s="336"/>
    </row>
    <row r="1167" spans="1:20" ht="12" customHeight="1" x14ac:dyDescent="0.25">
      <c r="A1167" s="329" t="s">
        <v>289</v>
      </c>
      <c r="B1167" s="330">
        <v>6</v>
      </c>
      <c r="C1167" s="298">
        <v>46133</v>
      </c>
      <c r="D1167" s="299" t="s">
        <v>322</v>
      </c>
      <c r="E1167" s="331">
        <v>15</v>
      </c>
      <c r="F1167" s="331"/>
      <c r="G1167" s="333">
        <f t="shared" si="34"/>
        <v>4782.4999999999854</v>
      </c>
      <c r="H1167" s="334"/>
      <c r="I1167" s="335"/>
      <c r="J1167" s="336"/>
      <c r="K1167" s="301"/>
      <c r="L1167" s="336"/>
      <c r="M1167" s="301"/>
      <c r="N1167" s="336"/>
      <c r="O1167" s="301"/>
      <c r="P1167" s="336"/>
      <c r="Q1167" s="301"/>
      <c r="R1167" s="336"/>
      <c r="S1167" s="301"/>
      <c r="T1167" s="336"/>
    </row>
    <row r="1168" spans="1:20" ht="12" customHeight="1" x14ac:dyDescent="0.25">
      <c r="A1168" s="329" t="s">
        <v>289</v>
      </c>
      <c r="B1168" s="330">
        <v>5</v>
      </c>
      <c r="C1168" s="298">
        <v>46133</v>
      </c>
      <c r="D1168" s="299" t="s">
        <v>322</v>
      </c>
      <c r="E1168" s="331">
        <v>250</v>
      </c>
      <c r="F1168" s="331"/>
      <c r="G1168" s="333">
        <f t="shared" si="34"/>
        <v>4797.4999999999854</v>
      </c>
      <c r="H1168" s="334"/>
      <c r="I1168" s="335"/>
      <c r="J1168" s="336"/>
      <c r="K1168" s="301"/>
      <c r="L1168" s="336"/>
      <c r="M1168" s="301"/>
      <c r="N1168" s="336"/>
      <c r="O1168" s="301"/>
      <c r="P1168" s="336"/>
      <c r="Q1168" s="301"/>
      <c r="R1168" s="336"/>
      <c r="S1168" s="301"/>
      <c r="T1168" s="336"/>
    </row>
    <row r="1169" spans="1:20" ht="12" customHeight="1" x14ac:dyDescent="0.25">
      <c r="A1169" s="329" t="s">
        <v>294</v>
      </c>
      <c r="B1169" s="330">
        <v>22</v>
      </c>
      <c r="C1169" s="298">
        <v>46132</v>
      </c>
      <c r="D1169" s="299" t="s">
        <v>323</v>
      </c>
      <c r="E1169" s="331">
        <v>20.22</v>
      </c>
      <c r="F1169" s="331"/>
      <c r="G1169" s="333">
        <f t="shared" si="34"/>
        <v>5047.4999999999854</v>
      </c>
      <c r="H1169" s="334"/>
      <c r="I1169" s="335"/>
      <c r="J1169" s="336"/>
      <c r="K1169" s="301"/>
      <c r="L1169" s="336"/>
      <c r="M1169" s="301"/>
      <c r="N1169" s="336"/>
      <c r="O1169" s="301"/>
      <c r="P1169" s="336"/>
      <c r="Q1169" s="301"/>
      <c r="R1169" s="336"/>
      <c r="S1169" s="301"/>
      <c r="T1169" s="336"/>
    </row>
    <row r="1170" spans="1:20" ht="12" customHeight="1" x14ac:dyDescent="0.25">
      <c r="A1170" s="329" t="s">
        <v>289</v>
      </c>
      <c r="B1170" s="330">
        <v>6</v>
      </c>
      <c r="C1170" s="298">
        <v>46132</v>
      </c>
      <c r="D1170" s="299" t="s">
        <v>402</v>
      </c>
      <c r="E1170" s="331">
        <v>44</v>
      </c>
      <c r="F1170" s="331"/>
      <c r="G1170" s="333">
        <f t="shared" si="34"/>
        <v>5067.7199999999857</v>
      </c>
      <c r="H1170" s="334"/>
      <c r="I1170" s="335"/>
      <c r="J1170" s="336"/>
      <c r="K1170" s="301"/>
      <c r="L1170" s="336"/>
      <c r="M1170" s="301"/>
      <c r="N1170" s="336"/>
      <c r="O1170" s="301"/>
      <c r="P1170" s="336"/>
      <c r="Q1170" s="301"/>
      <c r="R1170" s="336"/>
      <c r="S1170" s="301"/>
      <c r="T1170" s="336"/>
    </row>
    <row r="1171" spans="1:20" ht="12" customHeight="1" x14ac:dyDescent="0.25">
      <c r="A1171" s="329" t="s">
        <v>289</v>
      </c>
      <c r="B1171" s="330">
        <v>2</v>
      </c>
      <c r="C1171" s="298">
        <v>46132</v>
      </c>
      <c r="D1171" s="299" t="s">
        <v>324</v>
      </c>
      <c r="E1171" s="331">
        <v>12.01</v>
      </c>
      <c r="F1171" s="331"/>
      <c r="G1171" s="333">
        <f t="shared" si="34"/>
        <v>5111.7199999999857</v>
      </c>
      <c r="H1171" s="334"/>
      <c r="I1171" s="335"/>
      <c r="J1171" s="336"/>
      <c r="K1171" s="301"/>
      <c r="L1171" s="336"/>
      <c r="M1171" s="301"/>
      <c r="N1171" s="336"/>
      <c r="O1171" s="301"/>
      <c r="P1171" s="336"/>
      <c r="Q1171" s="301"/>
      <c r="R1171" s="336"/>
      <c r="S1171" s="301"/>
      <c r="T1171" s="336"/>
    </row>
    <row r="1172" spans="1:20" ht="12" customHeight="1" x14ac:dyDescent="0.25">
      <c r="A1172" s="329" t="s">
        <v>289</v>
      </c>
      <c r="B1172" s="330">
        <v>2</v>
      </c>
      <c r="C1172" s="298">
        <v>46132</v>
      </c>
      <c r="D1172" s="299" t="s">
        <v>296</v>
      </c>
      <c r="E1172" s="331">
        <v>12.21</v>
      </c>
      <c r="F1172" s="331"/>
      <c r="G1172" s="333">
        <f t="shared" si="34"/>
        <v>5123.7299999999859</v>
      </c>
      <c r="H1172" s="334"/>
      <c r="I1172" s="335"/>
      <c r="J1172" s="336"/>
      <c r="K1172" s="301"/>
      <c r="L1172" s="336"/>
      <c r="M1172" s="301"/>
      <c r="N1172" s="336"/>
      <c r="O1172" s="301"/>
      <c r="P1172" s="336"/>
      <c r="Q1172" s="301"/>
      <c r="R1172" s="336"/>
      <c r="S1172" s="301"/>
      <c r="T1172" s="336"/>
    </row>
    <row r="1173" spans="1:20" ht="12" customHeight="1" x14ac:dyDescent="0.25">
      <c r="A1173" s="329" t="s">
        <v>289</v>
      </c>
      <c r="B1173" s="330">
        <v>2</v>
      </c>
      <c r="C1173" s="298">
        <v>46132</v>
      </c>
      <c r="D1173" s="299" t="s">
        <v>325</v>
      </c>
      <c r="E1173" s="331">
        <v>46.4</v>
      </c>
      <c r="F1173" s="331"/>
      <c r="G1173" s="333">
        <f t="shared" si="34"/>
        <v>5135.939999999986</v>
      </c>
      <c r="H1173" s="334"/>
      <c r="I1173" s="335"/>
      <c r="J1173" s="336"/>
      <c r="K1173" s="301"/>
      <c r="L1173" s="336"/>
      <c r="M1173" s="301"/>
      <c r="N1173" s="336"/>
      <c r="O1173" s="301"/>
      <c r="P1173" s="336"/>
      <c r="Q1173" s="301"/>
      <c r="R1173" s="336"/>
      <c r="S1173" s="301"/>
      <c r="T1173" s="336"/>
    </row>
    <row r="1174" spans="1:20" ht="12" customHeight="1" x14ac:dyDescent="0.25">
      <c r="A1174" s="329" t="s">
        <v>289</v>
      </c>
      <c r="B1174" s="330">
        <v>2</v>
      </c>
      <c r="C1174" s="298">
        <v>46131</v>
      </c>
      <c r="D1174" s="299" t="s">
        <v>326</v>
      </c>
      <c r="E1174" s="331">
        <v>31.7</v>
      </c>
      <c r="F1174" s="331"/>
      <c r="G1174" s="333">
        <f t="shared" si="34"/>
        <v>5182.3399999999856</v>
      </c>
      <c r="H1174" s="334"/>
      <c r="I1174" s="335"/>
      <c r="J1174" s="336"/>
      <c r="K1174" s="301"/>
      <c r="L1174" s="336"/>
      <c r="M1174" s="301"/>
      <c r="N1174" s="336"/>
      <c r="O1174" s="301"/>
      <c r="P1174" s="336"/>
      <c r="Q1174" s="301"/>
      <c r="R1174" s="336"/>
      <c r="S1174" s="301"/>
      <c r="T1174" s="336"/>
    </row>
    <row r="1175" spans="1:20" ht="12" customHeight="1" x14ac:dyDescent="0.25">
      <c r="A1175" s="329" t="s">
        <v>289</v>
      </c>
      <c r="B1175" s="330">
        <v>8</v>
      </c>
      <c r="C1175" s="298">
        <v>46131</v>
      </c>
      <c r="D1175" s="299" t="s">
        <v>327</v>
      </c>
      <c r="E1175" s="331">
        <v>11.11</v>
      </c>
      <c r="F1175" s="331"/>
      <c r="G1175" s="333">
        <f t="shared" si="34"/>
        <v>5214.0399999999854</v>
      </c>
      <c r="H1175" s="334"/>
      <c r="I1175" s="335"/>
      <c r="J1175" s="336"/>
      <c r="K1175" s="301"/>
      <c r="L1175" s="336"/>
      <c r="M1175" s="301"/>
      <c r="N1175" s="336"/>
      <c r="O1175" s="301"/>
      <c r="P1175" s="336"/>
      <c r="Q1175" s="301"/>
      <c r="R1175" s="336"/>
      <c r="S1175" s="301"/>
      <c r="T1175" s="336"/>
    </row>
    <row r="1176" spans="1:20" ht="12" customHeight="1" x14ac:dyDescent="0.25">
      <c r="A1176" s="329" t="s">
        <v>289</v>
      </c>
      <c r="B1176" s="330">
        <v>1</v>
      </c>
      <c r="C1176" s="298">
        <v>46131</v>
      </c>
      <c r="D1176" s="299" t="s">
        <v>306</v>
      </c>
      <c r="E1176" s="331">
        <v>79.16</v>
      </c>
      <c r="F1176" s="331"/>
      <c r="G1176" s="333">
        <f t="shared" si="34"/>
        <v>5225.1499999999851</v>
      </c>
      <c r="H1176" s="334"/>
      <c r="I1176" s="335"/>
      <c r="J1176" s="336"/>
      <c r="K1176" s="301"/>
      <c r="L1176" s="336"/>
      <c r="M1176" s="301"/>
      <c r="N1176" s="336"/>
      <c r="O1176" s="301"/>
      <c r="P1176" s="336"/>
      <c r="Q1176" s="301"/>
      <c r="R1176" s="336"/>
      <c r="S1176" s="301"/>
      <c r="T1176" s="336"/>
    </row>
    <row r="1177" spans="1:20" ht="12" customHeight="1" x14ac:dyDescent="0.25">
      <c r="A1177" s="329" t="s">
        <v>294</v>
      </c>
      <c r="B1177" s="330">
        <v>22</v>
      </c>
      <c r="C1177" s="298">
        <v>46131</v>
      </c>
      <c r="D1177" s="299" t="s">
        <v>328</v>
      </c>
      <c r="E1177" s="331">
        <v>7.46</v>
      </c>
      <c r="F1177" s="331"/>
      <c r="G1177" s="333">
        <f t="shared" si="34"/>
        <v>5304.3099999999849</v>
      </c>
      <c r="H1177" s="334"/>
      <c r="I1177" s="335"/>
      <c r="J1177" s="336"/>
      <c r="K1177" s="301"/>
      <c r="L1177" s="336"/>
      <c r="M1177" s="301"/>
      <c r="N1177" s="336"/>
      <c r="O1177" s="301"/>
      <c r="P1177" s="336"/>
      <c r="Q1177" s="301"/>
      <c r="R1177" s="336"/>
      <c r="S1177" s="301"/>
      <c r="T1177" s="336"/>
    </row>
    <row r="1178" spans="1:20" ht="12" customHeight="1" x14ac:dyDescent="0.25">
      <c r="A1178" s="329" t="s">
        <v>289</v>
      </c>
      <c r="B1178" s="330">
        <v>6</v>
      </c>
      <c r="C1178" s="298">
        <v>46131</v>
      </c>
      <c r="D1178" s="299" t="s">
        <v>300</v>
      </c>
      <c r="E1178" s="331">
        <v>13.83</v>
      </c>
      <c r="F1178" s="331"/>
      <c r="G1178" s="333">
        <f t="shared" si="34"/>
        <v>5311.769999999985</v>
      </c>
      <c r="H1178" s="334"/>
      <c r="I1178" s="335"/>
      <c r="J1178" s="336"/>
      <c r="K1178" s="301"/>
      <c r="L1178" s="336"/>
      <c r="M1178" s="301"/>
      <c r="N1178" s="336"/>
      <c r="O1178" s="301"/>
      <c r="P1178" s="336"/>
      <c r="Q1178" s="301"/>
      <c r="R1178" s="336"/>
      <c r="S1178" s="301"/>
      <c r="T1178" s="336"/>
    </row>
    <row r="1179" spans="1:20" ht="12" customHeight="1" x14ac:dyDescent="0.25">
      <c r="A1179" s="329" t="s">
        <v>289</v>
      </c>
      <c r="B1179" s="330">
        <v>6</v>
      </c>
      <c r="C1179" s="298">
        <v>46131</v>
      </c>
      <c r="D1179" s="299" t="s">
        <v>300</v>
      </c>
      <c r="E1179" s="331">
        <v>30</v>
      </c>
      <c r="F1179" s="331"/>
      <c r="G1179" s="333">
        <f t="shared" si="34"/>
        <v>5325.5999999999849</v>
      </c>
      <c r="H1179" s="334"/>
      <c r="I1179" s="335"/>
      <c r="J1179" s="336"/>
      <c r="K1179" s="301"/>
      <c r="L1179" s="336"/>
      <c r="M1179" s="301"/>
      <c r="N1179" s="336"/>
      <c r="O1179" s="301"/>
      <c r="P1179" s="336"/>
      <c r="Q1179" s="301"/>
      <c r="R1179" s="336"/>
      <c r="S1179" s="301"/>
      <c r="T1179" s="336"/>
    </row>
    <row r="1180" spans="1:20" ht="12" customHeight="1" x14ac:dyDescent="0.25">
      <c r="A1180" s="329" t="s">
        <v>289</v>
      </c>
      <c r="B1180" s="330">
        <v>6</v>
      </c>
      <c r="C1180" s="298">
        <v>46131</v>
      </c>
      <c r="D1180" s="299" t="s">
        <v>300</v>
      </c>
      <c r="E1180" s="331">
        <v>15.17</v>
      </c>
      <c r="F1180" s="331"/>
      <c r="G1180" s="333">
        <f t="shared" si="34"/>
        <v>5355.5999999999849</v>
      </c>
      <c r="H1180" s="334"/>
      <c r="I1180" s="335"/>
      <c r="J1180" s="336"/>
      <c r="K1180" s="301"/>
      <c r="L1180" s="336"/>
      <c r="M1180" s="301"/>
      <c r="N1180" s="336"/>
      <c r="O1180" s="301"/>
      <c r="P1180" s="336"/>
      <c r="Q1180" s="301"/>
      <c r="R1180" s="336"/>
      <c r="S1180" s="301"/>
      <c r="T1180" s="336"/>
    </row>
    <row r="1181" spans="1:20" ht="12" customHeight="1" x14ac:dyDescent="0.25">
      <c r="A1181" s="329" t="s">
        <v>289</v>
      </c>
      <c r="B1181" s="330">
        <v>1</v>
      </c>
      <c r="C1181" s="298">
        <v>46130</v>
      </c>
      <c r="D1181" s="299" t="s">
        <v>329</v>
      </c>
      <c r="E1181" s="331">
        <v>75.55</v>
      </c>
      <c r="F1181" s="331"/>
      <c r="G1181" s="333">
        <f t="shared" si="34"/>
        <v>5370.769999999985</v>
      </c>
      <c r="H1181" s="334"/>
      <c r="I1181" s="335"/>
      <c r="J1181" s="336"/>
      <c r="K1181" s="301"/>
      <c r="L1181" s="336"/>
      <c r="M1181" s="301"/>
      <c r="N1181" s="336"/>
      <c r="O1181" s="301"/>
      <c r="P1181" s="336"/>
      <c r="Q1181" s="301"/>
      <c r="R1181" s="336"/>
      <c r="S1181" s="301"/>
      <c r="T1181" s="336"/>
    </row>
    <row r="1182" spans="1:20" ht="12" customHeight="1" x14ac:dyDescent="0.25">
      <c r="A1182" s="329" t="s">
        <v>289</v>
      </c>
      <c r="B1182" s="330">
        <v>2</v>
      </c>
      <c r="C1182" s="298">
        <v>46130</v>
      </c>
      <c r="D1182" s="299" t="s">
        <v>330</v>
      </c>
      <c r="E1182" s="331">
        <v>26</v>
      </c>
      <c r="F1182" s="331"/>
      <c r="G1182" s="333">
        <f t="shared" si="34"/>
        <v>5446.3199999999852</v>
      </c>
      <c r="H1182" s="334"/>
      <c r="I1182" s="335"/>
      <c r="J1182" s="336"/>
      <c r="K1182" s="301"/>
      <c r="L1182" s="336"/>
      <c r="M1182" s="301"/>
      <c r="N1182" s="336"/>
      <c r="O1182" s="301"/>
      <c r="P1182" s="336"/>
      <c r="Q1182" s="301"/>
      <c r="R1182" s="336"/>
      <c r="S1182" s="301"/>
      <c r="T1182" s="336"/>
    </row>
    <row r="1183" spans="1:20" ht="12" customHeight="1" x14ac:dyDescent="0.25">
      <c r="A1183" s="329" t="s">
        <v>289</v>
      </c>
      <c r="B1183" s="330">
        <v>1</v>
      </c>
      <c r="C1183" s="298">
        <v>46130</v>
      </c>
      <c r="D1183" s="299" t="s">
        <v>311</v>
      </c>
      <c r="E1183" s="331">
        <v>25.28</v>
      </c>
      <c r="F1183" s="331"/>
      <c r="G1183" s="333">
        <f t="shared" si="34"/>
        <v>5472.3199999999852</v>
      </c>
      <c r="H1183" s="334"/>
      <c r="I1183" s="335"/>
      <c r="J1183" s="336"/>
      <c r="K1183" s="301"/>
      <c r="L1183" s="336"/>
      <c r="M1183" s="301"/>
      <c r="N1183" s="336"/>
      <c r="O1183" s="301"/>
      <c r="P1183" s="336"/>
      <c r="Q1183" s="301"/>
      <c r="R1183" s="336"/>
      <c r="S1183" s="301"/>
      <c r="T1183" s="336"/>
    </row>
    <row r="1184" spans="1:20" ht="12" customHeight="1" x14ac:dyDescent="0.25">
      <c r="A1184" s="329" t="s">
        <v>289</v>
      </c>
      <c r="B1184" s="330">
        <v>3</v>
      </c>
      <c r="C1184" s="298">
        <v>46130</v>
      </c>
      <c r="D1184" s="299" t="s">
        <v>296</v>
      </c>
      <c r="E1184" s="331">
        <v>7.76</v>
      </c>
      <c r="F1184" s="331"/>
      <c r="G1184" s="333">
        <f t="shared" si="34"/>
        <v>5497.5999999999849</v>
      </c>
      <c r="H1184" s="334"/>
      <c r="I1184" s="335"/>
      <c r="J1184" s="336"/>
      <c r="K1184" s="301"/>
      <c r="L1184" s="336"/>
      <c r="M1184" s="301"/>
      <c r="N1184" s="336"/>
      <c r="O1184" s="301"/>
      <c r="P1184" s="336"/>
      <c r="Q1184" s="301"/>
      <c r="R1184" s="336"/>
      <c r="S1184" s="301"/>
      <c r="T1184" s="336"/>
    </row>
    <row r="1185" spans="1:20" ht="12" customHeight="1" x14ac:dyDescent="0.25">
      <c r="A1185" s="329" t="s">
        <v>294</v>
      </c>
      <c r="B1185" s="330">
        <v>22</v>
      </c>
      <c r="C1185" s="298">
        <v>46130</v>
      </c>
      <c r="D1185" s="299" t="s">
        <v>400</v>
      </c>
      <c r="E1185" s="331">
        <v>13.84</v>
      </c>
      <c r="F1185" s="331"/>
      <c r="G1185" s="333">
        <f t="shared" si="34"/>
        <v>5505.3599999999851</v>
      </c>
      <c r="H1185" s="334"/>
      <c r="I1185" s="335"/>
      <c r="J1185" s="336"/>
      <c r="K1185" s="301"/>
      <c r="L1185" s="336"/>
      <c r="M1185" s="301"/>
      <c r="N1185" s="336"/>
      <c r="O1185" s="301"/>
      <c r="P1185" s="336"/>
      <c r="Q1185" s="301"/>
      <c r="R1185" s="336"/>
      <c r="S1185" s="301"/>
      <c r="T1185" s="336"/>
    </row>
    <row r="1186" spans="1:20" ht="12" customHeight="1" x14ac:dyDescent="0.25">
      <c r="A1186" s="329" t="s">
        <v>287</v>
      </c>
      <c r="B1186" s="330" t="s">
        <v>287</v>
      </c>
      <c r="C1186" s="298">
        <v>46130</v>
      </c>
      <c r="D1186" s="299" t="s">
        <v>331</v>
      </c>
      <c r="E1186" s="331">
        <v>578.57000000000005</v>
      </c>
      <c r="F1186" s="331">
        <v>578.57000000000005</v>
      </c>
      <c r="G1186" s="333">
        <f t="shared" si="34"/>
        <v>5519.1999999999853</v>
      </c>
      <c r="H1186" s="334"/>
      <c r="I1186" s="335"/>
      <c r="J1186" s="336"/>
      <c r="K1186" s="301"/>
      <c r="L1186" s="336"/>
      <c r="M1186" s="301"/>
      <c r="N1186" s="336"/>
      <c r="O1186" s="301"/>
      <c r="P1186" s="336"/>
      <c r="Q1186" s="301"/>
      <c r="R1186" s="336"/>
      <c r="S1186" s="301"/>
      <c r="T1186" s="336"/>
    </row>
    <row r="1187" spans="1:20" ht="12" customHeight="1" x14ac:dyDescent="0.25">
      <c r="A1187" s="329" t="s">
        <v>289</v>
      </c>
      <c r="B1187" s="330">
        <v>2</v>
      </c>
      <c r="C1187" s="298">
        <v>46129</v>
      </c>
      <c r="D1187" s="299" t="s">
        <v>324</v>
      </c>
      <c r="E1187" s="331">
        <v>12.84</v>
      </c>
      <c r="F1187" s="331"/>
      <c r="G1187" s="333">
        <f t="shared" si="34"/>
        <v>5519.1999999999853</v>
      </c>
      <c r="H1187" s="334"/>
      <c r="I1187" s="335"/>
      <c r="J1187" s="336"/>
      <c r="K1187" s="301"/>
      <c r="L1187" s="336"/>
      <c r="M1187" s="301"/>
      <c r="N1187" s="336"/>
      <c r="O1187" s="301"/>
      <c r="P1187" s="336"/>
      <c r="Q1187" s="301"/>
      <c r="R1187" s="336"/>
      <c r="S1187" s="301"/>
      <c r="T1187" s="336"/>
    </row>
    <row r="1188" spans="1:20" ht="12" customHeight="1" x14ac:dyDescent="0.25">
      <c r="A1188" s="329" t="s">
        <v>289</v>
      </c>
      <c r="B1188" s="330">
        <v>2</v>
      </c>
      <c r="C1188" s="298">
        <v>46129</v>
      </c>
      <c r="D1188" s="299" t="s">
        <v>332</v>
      </c>
      <c r="E1188" s="331">
        <v>59.71</v>
      </c>
      <c r="F1188" s="331"/>
      <c r="G1188" s="333">
        <f t="shared" si="34"/>
        <v>5532.0399999999854</v>
      </c>
      <c r="H1188" s="334"/>
      <c r="I1188" s="335"/>
      <c r="J1188" s="336"/>
      <c r="K1188" s="301"/>
      <c r="L1188" s="336"/>
      <c r="M1188" s="301"/>
      <c r="N1188" s="336"/>
      <c r="O1188" s="301"/>
      <c r="P1188" s="336"/>
      <c r="Q1188" s="301"/>
      <c r="R1188" s="336"/>
      <c r="S1188" s="301"/>
      <c r="T1188" s="336"/>
    </row>
    <row r="1189" spans="1:20" ht="12" customHeight="1" x14ac:dyDescent="0.25">
      <c r="A1189" s="329" t="s">
        <v>294</v>
      </c>
      <c r="B1189" s="330">
        <v>21</v>
      </c>
      <c r="C1189" s="298">
        <v>46129</v>
      </c>
      <c r="D1189" s="299" t="s">
        <v>194</v>
      </c>
      <c r="E1189" s="331">
        <v>75.599999999999994</v>
      </c>
      <c r="F1189" s="331"/>
      <c r="G1189" s="333">
        <f t="shared" si="34"/>
        <v>5591.7499999999854</v>
      </c>
      <c r="H1189" s="334"/>
      <c r="I1189" s="335"/>
      <c r="J1189" s="336"/>
      <c r="K1189" s="301"/>
      <c r="L1189" s="336"/>
      <c r="M1189" s="301"/>
      <c r="N1189" s="336"/>
      <c r="O1189" s="301"/>
      <c r="P1189" s="336"/>
      <c r="Q1189" s="301"/>
      <c r="R1189" s="336"/>
      <c r="S1189" s="301"/>
      <c r="T1189" s="336"/>
    </row>
    <row r="1190" spans="1:20" ht="12" customHeight="1" x14ac:dyDescent="0.25">
      <c r="A1190" s="329" t="s">
        <v>294</v>
      </c>
      <c r="B1190" s="330">
        <v>43</v>
      </c>
      <c r="C1190" s="298">
        <v>46129</v>
      </c>
      <c r="D1190" s="299" t="s">
        <v>333</v>
      </c>
      <c r="E1190" s="331">
        <v>22.35</v>
      </c>
      <c r="F1190" s="331"/>
      <c r="G1190" s="333">
        <f t="shared" si="34"/>
        <v>5667.3499999999858</v>
      </c>
      <c r="H1190" s="334"/>
      <c r="I1190" s="335"/>
      <c r="J1190" s="336"/>
      <c r="K1190" s="301"/>
      <c r="L1190" s="336"/>
      <c r="M1190" s="301"/>
      <c r="N1190" s="336"/>
      <c r="O1190" s="301"/>
      <c r="P1190" s="336"/>
      <c r="Q1190" s="301"/>
      <c r="R1190" s="336"/>
      <c r="S1190" s="301"/>
      <c r="T1190" s="336"/>
    </row>
    <row r="1191" spans="1:20" ht="12" customHeight="1" x14ac:dyDescent="0.25">
      <c r="A1191" s="329" t="s">
        <v>294</v>
      </c>
      <c r="B1191" s="330">
        <v>42</v>
      </c>
      <c r="C1191" s="298">
        <v>46129</v>
      </c>
      <c r="D1191" s="299" t="s">
        <v>333</v>
      </c>
      <c r="E1191" s="331">
        <v>37.25</v>
      </c>
      <c r="F1191" s="331"/>
      <c r="G1191" s="333">
        <f t="shared" si="34"/>
        <v>5689.6999999999862</v>
      </c>
      <c r="H1191" s="334"/>
      <c r="I1191" s="335"/>
      <c r="J1191" s="336"/>
      <c r="K1191" s="301"/>
      <c r="L1191" s="336"/>
      <c r="M1191" s="301"/>
      <c r="N1191" s="336"/>
      <c r="O1191" s="301"/>
      <c r="P1191" s="336"/>
      <c r="Q1191" s="301"/>
      <c r="R1191" s="336"/>
      <c r="S1191" s="301"/>
      <c r="T1191" s="336"/>
    </row>
    <row r="1192" spans="1:20" ht="12" customHeight="1" x14ac:dyDescent="0.25">
      <c r="A1192" s="329" t="s">
        <v>289</v>
      </c>
      <c r="B1192" s="330">
        <v>8</v>
      </c>
      <c r="C1192" s="298">
        <v>46129</v>
      </c>
      <c r="D1192" s="299" t="s">
        <v>319</v>
      </c>
      <c r="E1192" s="331">
        <v>35.119999999999997</v>
      </c>
      <c r="F1192" s="331"/>
      <c r="G1192" s="333">
        <f t="shared" si="34"/>
        <v>5726.9499999999862</v>
      </c>
      <c r="H1192" s="334"/>
      <c r="I1192" s="335"/>
      <c r="J1192" s="336"/>
      <c r="K1192" s="301"/>
      <c r="L1192" s="336"/>
      <c r="M1192" s="301"/>
      <c r="N1192" s="336"/>
      <c r="O1192" s="301"/>
      <c r="P1192" s="336"/>
      <c r="Q1192" s="301"/>
      <c r="R1192" s="336"/>
      <c r="S1192" s="301"/>
      <c r="T1192" s="336"/>
    </row>
    <row r="1193" spans="1:20" ht="12" customHeight="1" x14ac:dyDescent="0.25">
      <c r="A1193" s="329" t="s">
        <v>289</v>
      </c>
      <c r="B1193" s="330">
        <v>3</v>
      </c>
      <c r="C1193" s="298">
        <v>46129</v>
      </c>
      <c r="D1193" s="299" t="s">
        <v>296</v>
      </c>
      <c r="E1193" s="331">
        <v>8.7200000000000006</v>
      </c>
      <c r="F1193" s="331"/>
      <c r="G1193" s="333">
        <f t="shared" si="34"/>
        <v>5762.0699999999861</v>
      </c>
      <c r="H1193" s="334"/>
      <c r="I1193" s="335"/>
      <c r="J1193" s="336"/>
      <c r="K1193" s="301"/>
      <c r="L1193" s="336"/>
      <c r="M1193" s="301"/>
      <c r="N1193" s="336"/>
      <c r="O1193" s="301"/>
      <c r="P1193" s="336"/>
      <c r="Q1193" s="301"/>
      <c r="R1193" s="336"/>
      <c r="S1193" s="301"/>
      <c r="T1193" s="336"/>
    </row>
    <row r="1194" spans="1:20" ht="12" customHeight="1" x14ac:dyDescent="0.25">
      <c r="A1194" s="329" t="s">
        <v>289</v>
      </c>
      <c r="B1194" s="330">
        <v>2</v>
      </c>
      <c r="C1194" s="298">
        <v>46129</v>
      </c>
      <c r="D1194" s="299" t="s">
        <v>334</v>
      </c>
      <c r="E1194" s="331">
        <v>13.21</v>
      </c>
      <c r="F1194" s="331"/>
      <c r="G1194" s="333">
        <f t="shared" si="34"/>
        <v>5770.7899999999863</v>
      </c>
      <c r="H1194" s="334"/>
      <c r="I1194" s="335"/>
      <c r="J1194" s="336"/>
      <c r="K1194" s="301"/>
      <c r="L1194" s="336"/>
      <c r="M1194" s="301"/>
      <c r="N1194" s="336"/>
      <c r="O1194" s="301"/>
      <c r="P1194" s="336"/>
      <c r="Q1194" s="301"/>
      <c r="R1194" s="336"/>
      <c r="S1194" s="301"/>
      <c r="T1194" s="336"/>
    </row>
    <row r="1195" spans="1:20" ht="12" customHeight="1" x14ac:dyDescent="0.25">
      <c r="A1195" s="329" t="s">
        <v>294</v>
      </c>
      <c r="B1195" s="330">
        <v>17</v>
      </c>
      <c r="C1195" s="298">
        <v>46129</v>
      </c>
      <c r="D1195" s="299" t="s">
        <v>188</v>
      </c>
      <c r="E1195" s="331">
        <v>42.65</v>
      </c>
      <c r="F1195" s="331"/>
      <c r="G1195" s="333">
        <f t="shared" si="34"/>
        <v>5783.9999999999864</v>
      </c>
      <c r="H1195" s="334"/>
      <c r="I1195" s="335"/>
      <c r="J1195" s="336"/>
      <c r="K1195" s="301"/>
      <c r="L1195" s="336"/>
      <c r="M1195" s="301"/>
      <c r="N1195" s="336"/>
      <c r="O1195" s="301"/>
      <c r="P1195" s="336"/>
      <c r="Q1195" s="301"/>
      <c r="R1195" s="336"/>
      <c r="S1195" s="301"/>
      <c r="T1195" s="336"/>
    </row>
    <row r="1196" spans="1:20" ht="12" customHeight="1" x14ac:dyDescent="0.25">
      <c r="A1196" s="329" t="s">
        <v>335</v>
      </c>
      <c r="B1196" s="330" t="s">
        <v>335</v>
      </c>
      <c r="C1196" s="298">
        <v>46129</v>
      </c>
      <c r="D1196" s="299" t="s">
        <v>185</v>
      </c>
      <c r="E1196" s="331">
        <v>130.31</v>
      </c>
      <c r="F1196" s="331"/>
      <c r="G1196" s="333">
        <f t="shared" si="34"/>
        <v>5826.649999999986</v>
      </c>
      <c r="H1196" s="334"/>
      <c r="I1196" s="335"/>
      <c r="J1196" s="336"/>
      <c r="K1196" s="301"/>
      <c r="L1196" s="336"/>
      <c r="M1196" s="301"/>
      <c r="N1196" s="336"/>
      <c r="O1196" s="301"/>
      <c r="P1196" s="336"/>
      <c r="Q1196" s="301"/>
      <c r="R1196" s="336"/>
      <c r="S1196" s="301"/>
      <c r="T1196" s="336"/>
    </row>
    <row r="1197" spans="1:20" ht="12" customHeight="1" x14ac:dyDescent="0.25">
      <c r="A1197" s="329" t="s">
        <v>294</v>
      </c>
      <c r="B1197" s="330">
        <v>15</v>
      </c>
      <c r="C1197" s="298">
        <v>46129</v>
      </c>
      <c r="D1197" s="299" t="s">
        <v>185</v>
      </c>
      <c r="E1197" s="331">
        <v>131.22999999999999</v>
      </c>
      <c r="F1197" s="331"/>
      <c r="G1197" s="333">
        <f t="shared" si="34"/>
        <v>5956.9599999999864</v>
      </c>
      <c r="H1197" s="334"/>
      <c r="I1197" s="335"/>
      <c r="J1197" s="336"/>
      <c r="K1197" s="301"/>
      <c r="L1197" s="336"/>
      <c r="M1197" s="301"/>
      <c r="N1197" s="336"/>
      <c r="O1197" s="301"/>
      <c r="P1197" s="336"/>
      <c r="Q1197" s="301"/>
      <c r="R1197" s="336"/>
      <c r="S1197" s="301"/>
      <c r="T1197" s="336"/>
    </row>
    <row r="1198" spans="1:20" ht="12" customHeight="1" x14ac:dyDescent="0.25">
      <c r="A1198" s="329" t="s">
        <v>289</v>
      </c>
      <c r="B1198" s="330">
        <v>6</v>
      </c>
      <c r="C1198" s="298">
        <v>46129</v>
      </c>
      <c r="D1198" s="299" t="s">
        <v>336</v>
      </c>
      <c r="E1198" s="331">
        <v>210</v>
      </c>
      <c r="F1198" s="331"/>
      <c r="G1198" s="333">
        <f t="shared" si="34"/>
        <v>6088.189999999986</v>
      </c>
      <c r="H1198" s="334"/>
      <c r="I1198" s="335"/>
      <c r="J1198" s="336"/>
      <c r="K1198" s="301"/>
      <c r="L1198" s="336"/>
      <c r="M1198" s="301"/>
      <c r="N1198" s="336"/>
      <c r="O1198" s="301"/>
      <c r="P1198" s="336"/>
      <c r="Q1198" s="301"/>
      <c r="R1198" s="336"/>
      <c r="S1198" s="301"/>
      <c r="T1198" s="336"/>
    </row>
    <row r="1199" spans="1:20" ht="12" customHeight="1" x14ac:dyDescent="0.25">
      <c r="A1199" s="329" t="s">
        <v>294</v>
      </c>
      <c r="B1199" s="330">
        <v>23</v>
      </c>
      <c r="C1199" s="298">
        <v>46129</v>
      </c>
      <c r="D1199" s="299" t="s">
        <v>63</v>
      </c>
      <c r="E1199" s="331">
        <v>529.46</v>
      </c>
      <c r="F1199" s="331"/>
      <c r="G1199" s="333">
        <f t="shared" si="34"/>
        <v>6298.189999999986</v>
      </c>
      <c r="H1199" s="334"/>
      <c r="I1199" s="335"/>
      <c r="J1199" s="336"/>
      <c r="K1199" s="301"/>
      <c r="L1199" s="336"/>
      <c r="M1199" s="301"/>
      <c r="N1199" s="336"/>
      <c r="O1199" s="301"/>
      <c r="P1199" s="336"/>
      <c r="Q1199" s="301"/>
      <c r="R1199" s="336"/>
      <c r="S1199" s="301"/>
      <c r="T1199" s="336"/>
    </row>
    <row r="1200" spans="1:20" ht="12" customHeight="1" x14ac:dyDescent="0.25">
      <c r="A1200" s="329" t="s">
        <v>289</v>
      </c>
      <c r="B1200" s="330">
        <v>7</v>
      </c>
      <c r="C1200" s="298">
        <v>46129</v>
      </c>
      <c r="D1200" s="299" t="s">
        <v>337</v>
      </c>
      <c r="E1200" s="331">
        <v>32.78</v>
      </c>
      <c r="F1200" s="331"/>
      <c r="G1200" s="333">
        <f t="shared" si="34"/>
        <v>6827.649999999986</v>
      </c>
      <c r="H1200" s="334"/>
      <c r="I1200" s="335"/>
      <c r="J1200" s="336"/>
      <c r="K1200" s="301"/>
      <c r="L1200" s="336"/>
      <c r="M1200" s="301"/>
      <c r="N1200" s="336"/>
      <c r="O1200" s="301"/>
      <c r="P1200" s="336"/>
      <c r="Q1200" s="301"/>
      <c r="R1200" s="336"/>
      <c r="S1200" s="301"/>
      <c r="T1200" s="336"/>
    </row>
    <row r="1201" spans="1:20" ht="12" customHeight="1" x14ac:dyDescent="0.25">
      <c r="A1201" s="329" t="s">
        <v>289</v>
      </c>
      <c r="B1201" s="330">
        <v>4</v>
      </c>
      <c r="C1201" s="298">
        <v>46128</v>
      </c>
      <c r="D1201" s="299" t="s">
        <v>310</v>
      </c>
      <c r="E1201" s="331">
        <v>44.41</v>
      </c>
      <c r="F1201" s="331"/>
      <c r="G1201" s="333">
        <f t="shared" si="34"/>
        <v>6860.4299999999857</v>
      </c>
      <c r="H1201" s="334"/>
      <c r="I1201" s="335"/>
      <c r="J1201" s="336"/>
      <c r="K1201" s="301"/>
      <c r="L1201" s="336"/>
      <c r="M1201" s="301"/>
      <c r="N1201" s="336"/>
      <c r="O1201" s="301"/>
      <c r="P1201" s="336"/>
      <c r="Q1201" s="301"/>
      <c r="R1201" s="336"/>
      <c r="S1201" s="301"/>
      <c r="T1201" s="336"/>
    </row>
    <row r="1202" spans="1:20" ht="12" customHeight="1" x14ac:dyDescent="0.25">
      <c r="A1202" s="329" t="s">
        <v>294</v>
      </c>
      <c r="B1202" s="330">
        <v>16</v>
      </c>
      <c r="C1202" s="298">
        <v>46128</v>
      </c>
      <c r="D1202" s="299" t="s">
        <v>338</v>
      </c>
      <c r="E1202" s="331">
        <v>15</v>
      </c>
      <c r="F1202" s="331"/>
      <c r="G1202" s="333">
        <f t="shared" si="34"/>
        <v>6904.8399999999856</v>
      </c>
      <c r="H1202" s="334"/>
      <c r="I1202" s="335"/>
      <c r="J1202" s="336"/>
      <c r="K1202" s="301"/>
      <c r="L1202" s="336"/>
      <c r="M1202" s="301"/>
      <c r="N1202" s="336"/>
      <c r="O1202" s="301"/>
      <c r="P1202" s="336"/>
      <c r="Q1202" s="301"/>
      <c r="R1202" s="336"/>
      <c r="S1202" s="301"/>
      <c r="T1202" s="336"/>
    </row>
    <row r="1203" spans="1:20" ht="12" customHeight="1" x14ac:dyDescent="0.25">
      <c r="A1203" s="329" t="s">
        <v>289</v>
      </c>
      <c r="B1203" s="330">
        <v>2</v>
      </c>
      <c r="C1203" s="298">
        <v>46128</v>
      </c>
      <c r="D1203" s="299" t="s">
        <v>301</v>
      </c>
      <c r="E1203" s="331">
        <v>41.95</v>
      </c>
      <c r="F1203" s="331"/>
      <c r="G1203" s="333">
        <f t="shared" si="34"/>
        <v>6919.8399999999856</v>
      </c>
      <c r="H1203" s="334"/>
      <c r="I1203" s="335"/>
      <c r="J1203" s="336"/>
      <c r="K1203" s="301"/>
      <c r="L1203" s="336"/>
      <c r="M1203" s="301"/>
      <c r="N1203" s="336"/>
      <c r="O1203" s="301"/>
      <c r="P1203" s="336"/>
      <c r="Q1203" s="301"/>
      <c r="R1203" s="336"/>
      <c r="S1203" s="301"/>
      <c r="T1203" s="336"/>
    </row>
    <row r="1204" spans="1:20" ht="12" customHeight="1" x14ac:dyDescent="0.25">
      <c r="A1204" s="329" t="s">
        <v>289</v>
      </c>
      <c r="B1204" s="330">
        <v>5</v>
      </c>
      <c r="C1204" s="298">
        <v>46128</v>
      </c>
      <c r="D1204" s="299" t="s">
        <v>339</v>
      </c>
      <c r="E1204" s="331">
        <v>21.3</v>
      </c>
      <c r="F1204" s="331"/>
      <c r="G1204" s="333">
        <f t="shared" si="34"/>
        <v>6961.7899999999854</v>
      </c>
      <c r="H1204" s="334"/>
      <c r="I1204" s="335"/>
      <c r="J1204" s="336"/>
      <c r="K1204" s="301"/>
      <c r="L1204" s="336"/>
      <c r="M1204" s="301"/>
      <c r="N1204" s="336"/>
      <c r="O1204" s="301"/>
      <c r="P1204" s="336"/>
      <c r="Q1204" s="301"/>
      <c r="R1204" s="336"/>
      <c r="S1204" s="301"/>
      <c r="T1204" s="336"/>
    </row>
    <row r="1205" spans="1:20" ht="12" customHeight="1" x14ac:dyDescent="0.25">
      <c r="A1205" s="329" t="s">
        <v>289</v>
      </c>
      <c r="B1205" s="330">
        <v>4</v>
      </c>
      <c r="C1205" s="298">
        <v>46128</v>
      </c>
      <c r="D1205" s="299" t="s">
        <v>296</v>
      </c>
      <c r="E1205" s="331">
        <v>70.03</v>
      </c>
      <c r="F1205" s="331"/>
      <c r="G1205" s="333">
        <f t="shared" si="34"/>
        <v>6983.0899999999856</v>
      </c>
      <c r="H1205" s="334"/>
      <c r="I1205" s="335"/>
      <c r="J1205" s="336"/>
      <c r="K1205" s="301"/>
      <c r="L1205" s="336"/>
      <c r="M1205" s="301"/>
      <c r="N1205" s="336"/>
      <c r="O1205" s="301"/>
      <c r="P1205" s="336"/>
      <c r="Q1205" s="301"/>
      <c r="R1205" s="336"/>
      <c r="S1205" s="301"/>
      <c r="T1205" s="336"/>
    </row>
    <row r="1206" spans="1:20" ht="12" customHeight="1" x14ac:dyDescent="0.25">
      <c r="A1206" s="329" t="s">
        <v>289</v>
      </c>
      <c r="B1206" s="330">
        <v>2</v>
      </c>
      <c r="C1206" s="298">
        <v>46128</v>
      </c>
      <c r="D1206" s="299" t="s">
        <v>296</v>
      </c>
      <c r="E1206" s="331">
        <v>11.48</v>
      </c>
      <c r="F1206" s="331"/>
      <c r="G1206" s="333">
        <f t="shared" si="34"/>
        <v>7053.1199999999853</v>
      </c>
      <c r="H1206" s="334"/>
      <c r="I1206" s="335"/>
      <c r="J1206" s="336"/>
      <c r="K1206" s="301"/>
      <c r="L1206" s="336"/>
      <c r="M1206" s="301"/>
      <c r="N1206" s="336"/>
      <c r="O1206" s="301"/>
      <c r="P1206" s="336"/>
      <c r="Q1206" s="301"/>
      <c r="R1206" s="336"/>
      <c r="S1206" s="301"/>
      <c r="T1206" s="336"/>
    </row>
    <row r="1207" spans="1:20" ht="12" customHeight="1" x14ac:dyDescent="0.25">
      <c r="A1207" s="329" t="s">
        <v>289</v>
      </c>
      <c r="B1207" s="330">
        <v>6</v>
      </c>
      <c r="C1207" s="298">
        <v>46128</v>
      </c>
      <c r="D1207" s="299" t="s">
        <v>340</v>
      </c>
      <c r="E1207" s="331">
        <v>26.61</v>
      </c>
      <c r="F1207" s="331"/>
      <c r="G1207" s="333">
        <f t="shared" si="34"/>
        <v>7064.5999999999849</v>
      </c>
      <c r="H1207" s="334"/>
      <c r="I1207" s="335"/>
      <c r="J1207" s="336"/>
      <c r="K1207" s="301"/>
      <c r="L1207" s="336"/>
      <c r="M1207" s="301"/>
      <c r="N1207" s="336"/>
      <c r="O1207" s="301"/>
      <c r="P1207" s="336"/>
      <c r="Q1207" s="301"/>
      <c r="R1207" s="336"/>
      <c r="S1207" s="301"/>
      <c r="T1207" s="336"/>
    </row>
    <row r="1208" spans="1:20" ht="12" customHeight="1" x14ac:dyDescent="0.25">
      <c r="A1208" s="329" t="s">
        <v>289</v>
      </c>
      <c r="B1208" s="330">
        <v>6</v>
      </c>
      <c r="C1208" s="298">
        <v>46128</v>
      </c>
      <c r="D1208" s="299" t="s">
        <v>341</v>
      </c>
      <c r="E1208" s="331">
        <v>42.59</v>
      </c>
      <c r="F1208" s="331"/>
      <c r="G1208" s="333">
        <f t="shared" si="34"/>
        <v>7091.2099999999846</v>
      </c>
      <c r="H1208" s="334"/>
      <c r="I1208" s="335"/>
      <c r="J1208" s="336"/>
      <c r="K1208" s="301"/>
      <c r="L1208" s="336"/>
      <c r="M1208" s="301"/>
      <c r="N1208" s="336"/>
      <c r="O1208" s="301"/>
      <c r="P1208" s="336"/>
      <c r="Q1208" s="301"/>
      <c r="R1208" s="336"/>
      <c r="S1208" s="301"/>
      <c r="T1208" s="336"/>
    </row>
    <row r="1209" spans="1:20" ht="12" customHeight="1" x14ac:dyDescent="0.25">
      <c r="A1209" s="329" t="s">
        <v>289</v>
      </c>
      <c r="B1209" s="330">
        <v>6</v>
      </c>
      <c r="C1209" s="298">
        <v>46128</v>
      </c>
      <c r="D1209" s="299" t="s">
        <v>300</v>
      </c>
      <c r="E1209" s="331">
        <v>20.58</v>
      </c>
      <c r="F1209" s="331"/>
      <c r="G1209" s="333">
        <f t="shared" si="34"/>
        <v>7133.7999999999847</v>
      </c>
      <c r="H1209" s="334"/>
      <c r="I1209" s="335"/>
      <c r="J1209" s="336"/>
      <c r="K1209" s="301"/>
      <c r="L1209" s="336"/>
      <c r="M1209" s="301"/>
      <c r="N1209" s="336"/>
      <c r="O1209" s="301"/>
      <c r="P1209" s="336"/>
      <c r="Q1209" s="301"/>
      <c r="R1209" s="336"/>
      <c r="S1209" s="301"/>
      <c r="T1209" s="336"/>
    </row>
    <row r="1210" spans="1:20" ht="12" customHeight="1" x14ac:dyDescent="0.25">
      <c r="A1210" s="329" t="s">
        <v>294</v>
      </c>
      <c r="B1210" s="330">
        <v>11</v>
      </c>
      <c r="C1210" s="298">
        <v>46128</v>
      </c>
      <c r="D1210" s="299" t="s">
        <v>178</v>
      </c>
      <c r="E1210" s="331">
        <v>267.91000000000003</v>
      </c>
      <c r="F1210" s="331"/>
      <c r="G1210" s="333">
        <f t="shared" si="34"/>
        <v>7154.3799999999846</v>
      </c>
      <c r="H1210" s="334"/>
      <c r="I1210" s="335"/>
      <c r="J1210" s="336"/>
      <c r="K1210" s="301"/>
      <c r="L1210" s="336"/>
      <c r="M1210" s="301"/>
      <c r="N1210" s="336"/>
      <c r="O1210" s="301"/>
      <c r="P1210" s="336"/>
      <c r="Q1210" s="301"/>
      <c r="R1210" s="336"/>
      <c r="S1210" s="301"/>
      <c r="T1210" s="336"/>
    </row>
    <row r="1211" spans="1:20" ht="12" customHeight="1" x14ac:dyDescent="0.25">
      <c r="A1211" s="329" t="s">
        <v>291</v>
      </c>
      <c r="B1211" s="330">
        <v>41</v>
      </c>
      <c r="C1211" s="298">
        <v>46128</v>
      </c>
      <c r="D1211" s="299" t="s">
        <v>299</v>
      </c>
      <c r="E1211" s="331"/>
      <c r="F1211" s="331">
        <v>300</v>
      </c>
      <c r="G1211" s="333">
        <f t="shared" si="34"/>
        <v>7422.2899999999845</v>
      </c>
      <c r="H1211" s="334"/>
      <c r="I1211" s="335"/>
      <c r="J1211" s="336"/>
      <c r="K1211" s="301"/>
      <c r="L1211" s="336"/>
      <c r="M1211" s="301"/>
      <c r="N1211" s="336"/>
      <c r="O1211" s="301"/>
      <c r="P1211" s="336"/>
      <c r="Q1211" s="301"/>
      <c r="R1211" s="336"/>
      <c r="S1211" s="301"/>
      <c r="T1211" s="336"/>
    </row>
    <row r="1212" spans="1:20" ht="12" customHeight="1" x14ac:dyDescent="0.25">
      <c r="A1212" s="329" t="s">
        <v>291</v>
      </c>
      <c r="B1212" s="330">
        <v>39</v>
      </c>
      <c r="C1212" s="298">
        <v>46128</v>
      </c>
      <c r="D1212" s="299" t="s">
        <v>292</v>
      </c>
      <c r="E1212" s="331"/>
      <c r="F1212" s="331">
        <v>2763.78</v>
      </c>
      <c r="G1212" s="333">
        <f t="shared" si="34"/>
        <v>7122.2899999999845</v>
      </c>
      <c r="H1212" s="334"/>
      <c r="I1212" s="335"/>
      <c r="J1212" s="336"/>
      <c r="K1212" s="301"/>
      <c r="L1212" s="336"/>
      <c r="M1212" s="301"/>
      <c r="N1212" s="336"/>
      <c r="O1212" s="301"/>
      <c r="P1212" s="336"/>
      <c r="Q1212" s="301"/>
      <c r="R1212" s="336"/>
      <c r="S1212" s="301"/>
      <c r="T1212" s="336"/>
    </row>
    <row r="1213" spans="1:20" ht="12" customHeight="1" x14ac:dyDescent="0.25">
      <c r="A1213" s="329" t="s">
        <v>287</v>
      </c>
      <c r="B1213" s="330" t="s">
        <v>287</v>
      </c>
      <c r="C1213" s="298">
        <v>46127</v>
      </c>
      <c r="D1213" s="299" t="s">
        <v>342</v>
      </c>
      <c r="E1213" s="331">
        <v>93.71</v>
      </c>
      <c r="F1213" s="331">
        <v>93.71</v>
      </c>
      <c r="G1213" s="333">
        <f t="shared" si="34"/>
        <v>4358.5099999999848</v>
      </c>
      <c r="H1213" s="334"/>
      <c r="I1213" s="335"/>
      <c r="J1213" s="336"/>
      <c r="K1213" s="301"/>
      <c r="L1213" s="336"/>
      <c r="M1213" s="301"/>
      <c r="N1213" s="336"/>
      <c r="O1213" s="301"/>
      <c r="P1213" s="336"/>
      <c r="Q1213" s="301"/>
      <c r="R1213" s="336"/>
      <c r="S1213" s="301"/>
      <c r="T1213" s="336"/>
    </row>
    <row r="1214" spans="1:20" ht="12" customHeight="1" x14ac:dyDescent="0.25">
      <c r="A1214" s="329" t="s">
        <v>289</v>
      </c>
      <c r="B1214" s="330">
        <v>6</v>
      </c>
      <c r="C1214" s="298">
        <v>46127</v>
      </c>
      <c r="D1214" s="299" t="s">
        <v>343</v>
      </c>
      <c r="E1214" s="331">
        <v>27</v>
      </c>
      <c r="F1214" s="331"/>
      <c r="G1214" s="333">
        <f t="shared" si="34"/>
        <v>4358.5099999999848</v>
      </c>
      <c r="H1214" s="334"/>
      <c r="I1214" s="335"/>
      <c r="J1214" s="336"/>
      <c r="K1214" s="301"/>
      <c r="L1214" s="336"/>
      <c r="M1214" s="301"/>
      <c r="N1214" s="336"/>
      <c r="O1214" s="301"/>
      <c r="P1214" s="336"/>
      <c r="Q1214" s="301"/>
      <c r="R1214" s="336"/>
      <c r="S1214" s="301"/>
      <c r="T1214" s="336"/>
    </row>
    <row r="1215" spans="1:20" ht="12" customHeight="1" x14ac:dyDescent="0.25">
      <c r="A1215" s="329" t="s">
        <v>291</v>
      </c>
      <c r="B1215" s="330">
        <v>38</v>
      </c>
      <c r="C1215" s="298">
        <v>46127</v>
      </c>
      <c r="D1215" s="299" t="s">
        <v>293</v>
      </c>
      <c r="E1215" s="331"/>
      <c r="F1215" s="331">
        <v>4597.82</v>
      </c>
      <c r="G1215" s="333">
        <f t="shared" si="34"/>
        <v>4385.5099999999848</v>
      </c>
      <c r="H1215" s="334"/>
      <c r="I1215" s="335"/>
      <c r="J1215" s="336"/>
      <c r="K1215" s="301"/>
      <c r="L1215" s="336"/>
      <c r="M1215" s="301"/>
      <c r="N1215" s="336"/>
      <c r="O1215" s="301"/>
      <c r="P1215" s="336"/>
      <c r="Q1215" s="301"/>
      <c r="R1215" s="336"/>
      <c r="S1215" s="301"/>
      <c r="T1215" s="336"/>
    </row>
    <row r="1216" spans="1:20" ht="12" customHeight="1" x14ac:dyDescent="0.25">
      <c r="A1216" s="329" t="s">
        <v>289</v>
      </c>
      <c r="B1216" s="330">
        <v>2</v>
      </c>
      <c r="C1216" s="298">
        <v>46127</v>
      </c>
      <c r="D1216" s="299" t="s">
        <v>296</v>
      </c>
      <c r="E1216" s="331">
        <v>14.67</v>
      </c>
      <c r="F1216" s="331"/>
      <c r="G1216" s="333">
        <f t="shared" si="34"/>
        <v>-212.31000000001481</v>
      </c>
      <c r="H1216" s="334"/>
      <c r="I1216" s="335"/>
      <c r="J1216" s="336"/>
      <c r="K1216" s="301"/>
      <c r="L1216" s="336"/>
      <c r="M1216" s="301"/>
      <c r="N1216" s="336"/>
      <c r="O1216" s="301"/>
      <c r="P1216" s="336"/>
      <c r="Q1216" s="301"/>
      <c r="R1216" s="336"/>
      <c r="S1216" s="301"/>
      <c r="T1216" s="336"/>
    </row>
    <row r="1217" spans="1:20" ht="12" customHeight="1" x14ac:dyDescent="0.25">
      <c r="A1217" s="329" t="s">
        <v>289</v>
      </c>
      <c r="B1217" s="330">
        <v>2</v>
      </c>
      <c r="C1217" s="298">
        <v>46127</v>
      </c>
      <c r="D1217" s="299" t="s">
        <v>344</v>
      </c>
      <c r="E1217" s="331">
        <v>102.2</v>
      </c>
      <c r="F1217" s="331"/>
      <c r="G1217" s="333">
        <f t="shared" si="34"/>
        <v>-197.64000000001482</v>
      </c>
      <c r="H1217" s="334"/>
      <c r="I1217" s="335"/>
      <c r="J1217" s="336"/>
      <c r="K1217" s="301"/>
      <c r="L1217" s="336"/>
      <c r="M1217" s="301"/>
      <c r="N1217" s="336"/>
      <c r="O1217" s="301"/>
      <c r="P1217" s="336"/>
      <c r="Q1217" s="301"/>
      <c r="R1217" s="336"/>
      <c r="S1217" s="301"/>
      <c r="T1217" s="336"/>
    </row>
    <row r="1218" spans="1:20" ht="12" customHeight="1" x14ac:dyDescent="0.25">
      <c r="A1218" s="329" t="s">
        <v>289</v>
      </c>
      <c r="B1218" s="330">
        <v>8</v>
      </c>
      <c r="C1218" s="298">
        <v>46126</v>
      </c>
      <c r="D1218" s="299" t="s">
        <v>319</v>
      </c>
      <c r="E1218" s="331">
        <v>15.53</v>
      </c>
      <c r="F1218" s="331"/>
      <c r="G1218" s="333">
        <f t="shared" si="34"/>
        <v>-95.440000000014805</v>
      </c>
      <c r="H1218" s="334"/>
      <c r="I1218" s="335"/>
      <c r="J1218" s="336"/>
      <c r="K1218" s="301"/>
      <c r="L1218" s="336"/>
      <c r="M1218" s="301"/>
      <c r="N1218" s="336"/>
      <c r="O1218" s="301"/>
      <c r="P1218" s="336"/>
      <c r="Q1218" s="301"/>
      <c r="R1218" s="336"/>
      <c r="S1218" s="301"/>
      <c r="T1218" s="336"/>
    </row>
    <row r="1219" spans="1:20" ht="12" customHeight="1" x14ac:dyDescent="0.25">
      <c r="A1219" s="329" t="s">
        <v>294</v>
      </c>
      <c r="B1219" s="330">
        <v>24</v>
      </c>
      <c r="C1219" s="298">
        <v>46126</v>
      </c>
      <c r="D1219" s="299" t="s">
        <v>858</v>
      </c>
      <c r="E1219" s="331">
        <v>105.33</v>
      </c>
      <c r="F1219" s="331"/>
      <c r="G1219" s="333">
        <f t="shared" si="34"/>
        <v>-79.910000000014804</v>
      </c>
      <c r="H1219" s="334"/>
      <c r="I1219" s="335"/>
      <c r="J1219" s="336"/>
      <c r="K1219" s="301"/>
      <c r="L1219" s="336"/>
      <c r="M1219" s="301"/>
      <c r="N1219" s="336"/>
      <c r="O1219" s="301"/>
      <c r="P1219" s="336"/>
      <c r="Q1219" s="301"/>
      <c r="R1219" s="336"/>
      <c r="S1219" s="301"/>
      <c r="T1219" s="336"/>
    </row>
    <row r="1220" spans="1:20" ht="12" customHeight="1" x14ac:dyDescent="0.25">
      <c r="A1220" s="329" t="s">
        <v>289</v>
      </c>
      <c r="B1220" s="330">
        <v>2</v>
      </c>
      <c r="C1220" s="298">
        <v>46125</v>
      </c>
      <c r="D1220" s="299" t="s">
        <v>345</v>
      </c>
      <c r="E1220" s="331">
        <v>11.64</v>
      </c>
      <c r="F1220" s="331"/>
      <c r="G1220" s="333">
        <f t="shared" si="34"/>
        <v>25.419999999985201</v>
      </c>
      <c r="H1220" s="334"/>
      <c r="I1220" s="335"/>
      <c r="J1220" s="336"/>
      <c r="K1220" s="301"/>
      <c r="L1220" s="336"/>
      <c r="M1220" s="301"/>
      <c r="N1220" s="336"/>
      <c r="O1220" s="301"/>
      <c r="P1220" s="336"/>
      <c r="Q1220" s="301"/>
      <c r="R1220" s="336"/>
      <c r="S1220" s="301"/>
      <c r="T1220" s="336"/>
    </row>
    <row r="1221" spans="1:20" ht="12" customHeight="1" x14ac:dyDescent="0.25">
      <c r="A1221" s="329" t="s">
        <v>289</v>
      </c>
      <c r="B1221" s="330">
        <v>1</v>
      </c>
      <c r="C1221" s="298">
        <v>46125</v>
      </c>
      <c r="D1221" s="299" t="s">
        <v>306</v>
      </c>
      <c r="E1221" s="331">
        <v>50.71</v>
      </c>
      <c r="F1221" s="331"/>
      <c r="G1221" s="333">
        <f t="shared" si="34"/>
        <v>37.059999999985202</v>
      </c>
      <c r="H1221" s="334"/>
      <c r="I1221" s="335"/>
      <c r="J1221" s="336"/>
      <c r="K1221" s="301"/>
      <c r="L1221" s="336"/>
      <c r="M1221" s="301"/>
      <c r="N1221" s="336"/>
      <c r="O1221" s="301"/>
      <c r="P1221" s="336"/>
      <c r="Q1221" s="301"/>
      <c r="R1221" s="336"/>
      <c r="S1221" s="301"/>
      <c r="T1221" s="336"/>
    </row>
    <row r="1222" spans="1:20" ht="12" customHeight="1" x14ac:dyDescent="0.25">
      <c r="A1222" s="329" t="s">
        <v>289</v>
      </c>
      <c r="B1222" s="330">
        <v>2</v>
      </c>
      <c r="C1222" s="298">
        <v>46125</v>
      </c>
      <c r="D1222" s="299" t="s">
        <v>334</v>
      </c>
      <c r="E1222" s="331">
        <v>11.06</v>
      </c>
      <c r="F1222" s="331"/>
      <c r="G1222" s="333">
        <f t="shared" si="34"/>
        <v>87.769999999985203</v>
      </c>
      <c r="H1222" s="334"/>
      <c r="I1222" s="335"/>
      <c r="J1222" s="336"/>
      <c r="K1222" s="301"/>
      <c r="L1222" s="336"/>
      <c r="M1222" s="301"/>
      <c r="N1222" s="336"/>
      <c r="O1222" s="301"/>
      <c r="P1222" s="336"/>
      <c r="Q1222" s="301"/>
      <c r="R1222" s="336"/>
      <c r="S1222" s="301"/>
      <c r="T1222" s="336"/>
    </row>
    <row r="1223" spans="1:20" ht="12" customHeight="1" x14ac:dyDescent="0.25">
      <c r="A1223" s="329" t="s">
        <v>289</v>
      </c>
      <c r="B1223" s="330">
        <v>4</v>
      </c>
      <c r="C1223" s="298">
        <v>46125</v>
      </c>
      <c r="D1223" s="299" t="s">
        <v>295</v>
      </c>
      <c r="E1223" s="331">
        <v>35.979999999999997</v>
      </c>
      <c r="F1223" s="331"/>
      <c r="G1223" s="333">
        <f t="shared" si="34"/>
        <v>98.829999999985205</v>
      </c>
      <c r="H1223" s="334"/>
      <c r="I1223" s="335"/>
      <c r="J1223" s="336"/>
      <c r="K1223" s="301"/>
      <c r="L1223" s="336"/>
      <c r="M1223" s="301"/>
      <c r="N1223" s="336"/>
      <c r="O1223" s="301"/>
      <c r="P1223" s="336"/>
      <c r="Q1223" s="301"/>
      <c r="R1223" s="336"/>
      <c r="S1223" s="301"/>
      <c r="T1223" s="336"/>
    </row>
    <row r="1224" spans="1:20" ht="12" customHeight="1" x14ac:dyDescent="0.25">
      <c r="A1224" s="329" t="s">
        <v>289</v>
      </c>
      <c r="B1224" s="330">
        <v>8</v>
      </c>
      <c r="C1224" s="298">
        <v>46125</v>
      </c>
      <c r="D1224" s="299" t="s">
        <v>346</v>
      </c>
      <c r="E1224" s="331">
        <v>7.83</v>
      </c>
      <c r="F1224" s="331"/>
      <c r="G1224" s="333">
        <f t="shared" si="34"/>
        <v>134.80999999998519</v>
      </c>
      <c r="H1224" s="334"/>
      <c r="I1224" s="335"/>
      <c r="J1224" s="336"/>
      <c r="K1224" s="301"/>
      <c r="L1224" s="336"/>
      <c r="M1224" s="301"/>
      <c r="N1224" s="336"/>
      <c r="O1224" s="301"/>
      <c r="P1224" s="336"/>
      <c r="Q1224" s="301"/>
      <c r="R1224" s="336"/>
      <c r="S1224" s="301"/>
      <c r="T1224" s="336"/>
    </row>
    <row r="1225" spans="1:20" ht="12" customHeight="1" x14ac:dyDescent="0.25">
      <c r="A1225" s="329" t="s">
        <v>289</v>
      </c>
      <c r="B1225" s="330">
        <v>3</v>
      </c>
      <c r="C1225" s="298">
        <v>46125</v>
      </c>
      <c r="D1225" s="299" t="s">
        <v>347</v>
      </c>
      <c r="E1225" s="331">
        <v>4.1900000000000004</v>
      </c>
      <c r="F1225" s="331"/>
      <c r="G1225" s="333">
        <f t="shared" si="34"/>
        <v>142.63999999998521</v>
      </c>
      <c r="H1225" s="334"/>
      <c r="I1225" s="335"/>
      <c r="J1225" s="336"/>
      <c r="K1225" s="301"/>
      <c r="L1225" s="336"/>
      <c r="M1225" s="301"/>
      <c r="N1225" s="336"/>
      <c r="O1225" s="301"/>
      <c r="P1225" s="336"/>
      <c r="Q1225" s="301"/>
      <c r="R1225" s="336"/>
      <c r="S1225" s="301"/>
      <c r="T1225" s="336"/>
    </row>
    <row r="1226" spans="1:20" ht="12" customHeight="1" x14ac:dyDescent="0.25">
      <c r="A1226" s="329" t="s">
        <v>289</v>
      </c>
      <c r="B1226" s="330">
        <v>8</v>
      </c>
      <c r="C1226" s="298">
        <v>46125</v>
      </c>
      <c r="D1226" s="299" t="s">
        <v>348</v>
      </c>
      <c r="E1226" s="331">
        <v>39.25</v>
      </c>
      <c r="F1226" s="331"/>
      <c r="G1226" s="333">
        <f t="shared" si="34"/>
        <v>146.8299999999852</v>
      </c>
      <c r="H1226" s="334"/>
      <c r="I1226" s="335"/>
      <c r="J1226" s="336"/>
      <c r="K1226" s="301"/>
      <c r="L1226" s="336"/>
      <c r="M1226" s="301"/>
      <c r="N1226" s="336"/>
      <c r="O1226" s="301"/>
      <c r="P1226" s="336"/>
      <c r="Q1226" s="301"/>
      <c r="R1226" s="336"/>
      <c r="S1226" s="301"/>
      <c r="T1226" s="336"/>
    </row>
    <row r="1227" spans="1:20" ht="12" customHeight="1" x14ac:dyDescent="0.25">
      <c r="A1227" s="329" t="s">
        <v>287</v>
      </c>
      <c r="B1227" s="330" t="s">
        <v>287</v>
      </c>
      <c r="C1227" s="298">
        <v>46125</v>
      </c>
      <c r="D1227" s="299" t="s">
        <v>349</v>
      </c>
      <c r="E1227" s="331">
        <v>318.36</v>
      </c>
      <c r="F1227" s="331">
        <v>318.36</v>
      </c>
      <c r="G1227" s="333">
        <f t="shared" si="34"/>
        <v>186.0799999999852</v>
      </c>
      <c r="H1227" s="334"/>
      <c r="I1227" s="335"/>
      <c r="J1227" s="336"/>
      <c r="K1227" s="301"/>
      <c r="L1227" s="336"/>
      <c r="M1227" s="301"/>
      <c r="N1227" s="336"/>
      <c r="O1227" s="301"/>
      <c r="P1227" s="336"/>
      <c r="Q1227" s="301"/>
      <c r="R1227" s="336"/>
      <c r="S1227" s="301"/>
      <c r="T1227" s="336"/>
    </row>
    <row r="1228" spans="1:20" ht="12" customHeight="1" x14ac:dyDescent="0.25">
      <c r="A1228" s="329" t="s">
        <v>294</v>
      </c>
      <c r="B1228" s="330">
        <v>19</v>
      </c>
      <c r="C1228" s="298">
        <v>46125</v>
      </c>
      <c r="D1228" s="299" t="s">
        <v>191</v>
      </c>
      <c r="E1228" s="331">
        <v>200</v>
      </c>
      <c r="F1228" s="331"/>
      <c r="G1228" s="333">
        <f t="shared" si="34"/>
        <v>186.0799999999852</v>
      </c>
      <c r="H1228" s="334"/>
      <c r="I1228" s="335"/>
      <c r="J1228" s="336"/>
      <c r="K1228" s="301"/>
      <c r="L1228" s="336"/>
      <c r="M1228" s="301"/>
      <c r="N1228" s="336"/>
      <c r="O1228" s="301"/>
      <c r="P1228" s="336"/>
      <c r="Q1228" s="301"/>
      <c r="R1228" s="336"/>
      <c r="S1228" s="301"/>
      <c r="T1228" s="336"/>
    </row>
    <row r="1229" spans="1:20" ht="12" customHeight="1" x14ac:dyDescent="0.25">
      <c r="A1229" s="329" t="s">
        <v>289</v>
      </c>
      <c r="B1229" s="330">
        <v>1</v>
      </c>
      <c r="C1229" s="298">
        <v>46124</v>
      </c>
      <c r="D1229" s="299" t="s">
        <v>304</v>
      </c>
      <c r="E1229" s="331">
        <v>136.05000000000001</v>
      </c>
      <c r="F1229" s="331"/>
      <c r="G1229" s="333">
        <f t="shared" si="34"/>
        <v>386.0799999999852</v>
      </c>
      <c r="H1229" s="334"/>
      <c r="I1229" s="335"/>
      <c r="J1229" s="336"/>
      <c r="K1229" s="301"/>
      <c r="L1229" s="336"/>
      <c r="M1229" s="301"/>
      <c r="N1229" s="336"/>
      <c r="O1229" s="301"/>
      <c r="P1229" s="336"/>
      <c r="Q1229" s="301"/>
      <c r="R1229" s="336"/>
      <c r="S1229" s="301"/>
      <c r="T1229" s="336"/>
    </row>
    <row r="1230" spans="1:20" ht="12" customHeight="1" x14ac:dyDescent="0.25">
      <c r="A1230" s="329" t="s">
        <v>289</v>
      </c>
      <c r="B1230" s="330">
        <v>3</v>
      </c>
      <c r="C1230" s="298">
        <v>46124</v>
      </c>
      <c r="D1230" s="299" t="s">
        <v>347</v>
      </c>
      <c r="E1230" s="331">
        <v>13.09</v>
      </c>
      <c r="F1230" s="331"/>
      <c r="G1230" s="333">
        <f t="shared" si="34"/>
        <v>522.12999999998522</v>
      </c>
      <c r="H1230" s="334"/>
      <c r="I1230" s="335"/>
      <c r="J1230" s="336"/>
      <c r="K1230" s="301"/>
      <c r="L1230" s="336"/>
      <c r="M1230" s="301"/>
      <c r="N1230" s="336"/>
      <c r="O1230" s="301"/>
      <c r="P1230" s="336"/>
      <c r="Q1230" s="301"/>
      <c r="R1230" s="336"/>
      <c r="S1230" s="301"/>
      <c r="T1230" s="336"/>
    </row>
    <row r="1231" spans="1:20" ht="12" customHeight="1" x14ac:dyDescent="0.25">
      <c r="A1231" s="329" t="s">
        <v>289</v>
      </c>
      <c r="B1231" s="330">
        <v>8</v>
      </c>
      <c r="C1231" s="298">
        <v>46124</v>
      </c>
      <c r="D1231" s="299" t="s">
        <v>319</v>
      </c>
      <c r="E1231" s="331">
        <v>24.47</v>
      </c>
      <c r="F1231" s="331"/>
      <c r="G1231" s="333">
        <f t="shared" si="34"/>
        <v>535.21999999998525</v>
      </c>
      <c r="H1231" s="334"/>
      <c r="I1231" s="335"/>
      <c r="J1231" s="336"/>
      <c r="K1231" s="301"/>
      <c r="L1231" s="336"/>
      <c r="M1231" s="301"/>
      <c r="N1231" s="336"/>
      <c r="O1231" s="301"/>
      <c r="P1231" s="336"/>
      <c r="Q1231" s="301"/>
      <c r="R1231" s="336"/>
      <c r="S1231" s="301"/>
      <c r="T1231" s="336"/>
    </row>
    <row r="1232" spans="1:20" ht="12" customHeight="1" x14ac:dyDescent="0.25">
      <c r="A1232" s="329" t="s">
        <v>289</v>
      </c>
      <c r="B1232" s="330">
        <v>8</v>
      </c>
      <c r="C1232" s="298">
        <v>46124</v>
      </c>
      <c r="D1232" s="299" t="s">
        <v>319</v>
      </c>
      <c r="E1232" s="331">
        <v>14.29</v>
      </c>
      <c r="F1232" s="331"/>
      <c r="G1232" s="333">
        <f t="shared" si="34"/>
        <v>559.68999999998528</v>
      </c>
      <c r="H1232" s="334"/>
      <c r="I1232" s="335"/>
      <c r="J1232" s="336"/>
      <c r="K1232" s="301"/>
      <c r="L1232" s="336"/>
      <c r="M1232" s="301"/>
      <c r="N1232" s="336"/>
      <c r="O1232" s="301"/>
      <c r="P1232" s="336"/>
      <c r="Q1232" s="301"/>
      <c r="R1232" s="336"/>
      <c r="S1232" s="301"/>
      <c r="T1232" s="336"/>
    </row>
    <row r="1233" spans="1:20" ht="12" customHeight="1" x14ac:dyDescent="0.25">
      <c r="A1233" s="329" t="s">
        <v>294</v>
      </c>
      <c r="B1233" s="330">
        <v>22</v>
      </c>
      <c r="C1233" s="298">
        <v>46124</v>
      </c>
      <c r="D1233" s="299" t="s">
        <v>833</v>
      </c>
      <c r="E1233" s="331">
        <v>9.57</v>
      </c>
      <c r="F1233" s="331"/>
      <c r="G1233" s="333">
        <f t="shared" si="34"/>
        <v>573.97999999998524</v>
      </c>
      <c r="H1233" s="334"/>
      <c r="I1233" s="335"/>
      <c r="J1233" s="336"/>
      <c r="K1233" s="301"/>
      <c r="L1233" s="336"/>
      <c r="M1233" s="301"/>
      <c r="N1233" s="336"/>
      <c r="O1233" s="301"/>
      <c r="P1233" s="336"/>
      <c r="Q1233" s="301"/>
      <c r="R1233" s="336"/>
      <c r="S1233" s="301"/>
      <c r="T1233" s="336"/>
    </row>
    <row r="1234" spans="1:20" ht="12" customHeight="1" x14ac:dyDescent="0.25">
      <c r="A1234" s="329" t="s">
        <v>289</v>
      </c>
      <c r="B1234" s="330">
        <v>3</v>
      </c>
      <c r="C1234" s="298">
        <v>46124</v>
      </c>
      <c r="D1234" s="299" t="s">
        <v>350</v>
      </c>
      <c r="E1234" s="331">
        <v>25</v>
      </c>
      <c r="F1234" s="331"/>
      <c r="G1234" s="333">
        <f t="shared" si="34"/>
        <v>583.54999999998529</v>
      </c>
      <c r="H1234" s="334"/>
      <c r="I1234" s="335"/>
      <c r="J1234" s="336"/>
      <c r="K1234" s="301"/>
      <c r="L1234" s="336"/>
      <c r="M1234" s="301"/>
      <c r="N1234" s="336"/>
      <c r="O1234" s="301"/>
      <c r="P1234" s="336"/>
      <c r="Q1234" s="301"/>
      <c r="R1234" s="336"/>
      <c r="S1234" s="301"/>
      <c r="T1234" s="336"/>
    </row>
    <row r="1235" spans="1:20" ht="12" customHeight="1" x14ac:dyDescent="0.25">
      <c r="A1235" s="329" t="s">
        <v>294</v>
      </c>
      <c r="B1235" s="330">
        <v>22</v>
      </c>
      <c r="C1235" s="298">
        <v>46123</v>
      </c>
      <c r="D1235" s="299" t="s">
        <v>351</v>
      </c>
      <c r="E1235" s="331">
        <v>19.16</v>
      </c>
      <c r="F1235" s="331"/>
      <c r="G1235" s="333">
        <f t="shared" si="34"/>
        <v>608.54999999998529</v>
      </c>
      <c r="H1235" s="334"/>
      <c r="I1235" s="335"/>
      <c r="J1235" s="336"/>
      <c r="K1235" s="301"/>
      <c r="L1235" s="336"/>
      <c r="M1235" s="301"/>
      <c r="N1235" s="336"/>
      <c r="O1235" s="301"/>
      <c r="P1235" s="336"/>
      <c r="Q1235" s="301"/>
      <c r="R1235" s="336"/>
      <c r="S1235" s="301"/>
      <c r="T1235" s="336"/>
    </row>
    <row r="1236" spans="1:20" ht="12" customHeight="1" x14ac:dyDescent="0.25">
      <c r="A1236" s="329" t="s">
        <v>289</v>
      </c>
      <c r="B1236" s="330">
        <v>2</v>
      </c>
      <c r="C1236" s="298">
        <v>46123</v>
      </c>
      <c r="D1236" s="299" t="s">
        <v>301</v>
      </c>
      <c r="E1236" s="331">
        <v>20.91</v>
      </c>
      <c r="F1236" s="331"/>
      <c r="G1236" s="333">
        <f t="shared" si="34"/>
        <v>627.70999999998526</v>
      </c>
      <c r="H1236" s="334"/>
      <c r="I1236" s="335"/>
      <c r="J1236" s="336"/>
      <c r="K1236" s="301"/>
      <c r="L1236" s="336"/>
      <c r="M1236" s="301"/>
      <c r="N1236" s="336"/>
      <c r="O1236" s="301"/>
      <c r="P1236" s="336"/>
      <c r="Q1236" s="301"/>
      <c r="R1236" s="336"/>
      <c r="S1236" s="301"/>
      <c r="T1236" s="336"/>
    </row>
    <row r="1237" spans="1:20" ht="12" customHeight="1" x14ac:dyDescent="0.25">
      <c r="A1237" s="329" t="s">
        <v>289</v>
      </c>
      <c r="B1237" s="330">
        <v>2</v>
      </c>
      <c r="C1237" s="298">
        <v>46123</v>
      </c>
      <c r="D1237" s="299" t="s">
        <v>296</v>
      </c>
      <c r="E1237" s="331">
        <v>12.44</v>
      </c>
      <c r="F1237" s="331"/>
      <c r="G1237" s="333">
        <f t="shared" si="34"/>
        <v>648.61999999998523</v>
      </c>
      <c r="H1237" s="334"/>
      <c r="I1237" s="335"/>
      <c r="J1237" s="336"/>
      <c r="K1237" s="301"/>
      <c r="L1237" s="336"/>
      <c r="M1237" s="301"/>
      <c r="N1237" s="336"/>
      <c r="O1237" s="301"/>
      <c r="P1237" s="336"/>
      <c r="Q1237" s="301"/>
      <c r="R1237" s="336"/>
      <c r="S1237" s="301"/>
      <c r="T1237" s="336"/>
    </row>
    <row r="1238" spans="1:20" ht="12" customHeight="1" x14ac:dyDescent="0.25">
      <c r="A1238" s="329" t="s">
        <v>289</v>
      </c>
      <c r="B1238" s="330">
        <v>2</v>
      </c>
      <c r="C1238" s="298">
        <v>46123</v>
      </c>
      <c r="D1238" s="299" t="s">
        <v>352</v>
      </c>
      <c r="E1238" s="331">
        <v>41.34</v>
      </c>
      <c r="F1238" s="331"/>
      <c r="G1238" s="333">
        <f t="shared" si="34"/>
        <v>661.05999999998528</v>
      </c>
      <c r="H1238" s="334"/>
      <c r="I1238" s="335"/>
      <c r="J1238" s="336"/>
      <c r="K1238" s="301"/>
      <c r="L1238" s="336"/>
      <c r="M1238" s="301"/>
      <c r="N1238" s="336"/>
      <c r="O1238" s="301"/>
      <c r="P1238" s="336"/>
      <c r="Q1238" s="301"/>
      <c r="R1238" s="336"/>
      <c r="S1238" s="301"/>
      <c r="T1238" s="336"/>
    </row>
    <row r="1239" spans="1:20" ht="12" customHeight="1" x14ac:dyDescent="0.25">
      <c r="A1239" s="329" t="s">
        <v>289</v>
      </c>
      <c r="B1239" s="330">
        <v>6</v>
      </c>
      <c r="C1239" s="298">
        <v>46122</v>
      </c>
      <c r="D1239" s="299" t="s">
        <v>445</v>
      </c>
      <c r="E1239" s="331">
        <v>-0.04</v>
      </c>
      <c r="F1239" s="331"/>
      <c r="G1239" s="333">
        <f t="shared" si="34"/>
        <v>702.39999999998531</v>
      </c>
      <c r="H1239" s="334"/>
      <c r="I1239" s="335"/>
      <c r="J1239" s="336"/>
      <c r="K1239" s="301"/>
      <c r="L1239" s="336"/>
      <c r="M1239" s="301"/>
      <c r="N1239" s="336"/>
      <c r="O1239" s="301"/>
      <c r="P1239" s="336"/>
      <c r="Q1239" s="301"/>
      <c r="R1239" s="336"/>
      <c r="S1239" s="301"/>
      <c r="T1239" s="336"/>
    </row>
    <row r="1240" spans="1:20" ht="12" customHeight="1" x14ac:dyDescent="0.25">
      <c r="A1240" s="329" t="s">
        <v>289</v>
      </c>
      <c r="B1240" s="330">
        <v>5</v>
      </c>
      <c r="C1240" s="298">
        <v>46122</v>
      </c>
      <c r="D1240" s="299" t="s">
        <v>353</v>
      </c>
      <c r="E1240" s="331">
        <v>372</v>
      </c>
      <c r="F1240" s="331"/>
      <c r="G1240" s="333">
        <f t="shared" si="34"/>
        <v>702.35999999998535</v>
      </c>
      <c r="H1240" s="334" t="s">
        <v>298</v>
      </c>
      <c r="I1240" s="335"/>
      <c r="J1240" s="336"/>
      <c r="K1240" s="301"/>
      <c r="L1240" s="336"/>
      <c r="M1240" s="301"/>
      <c r="N1240" s="336"/>
      <c r="O1240" s="301"/>
      <c r="P1240" s="336"/>
      <c r="Q1240" s="301"/>
      <c r="R1240" s="336"/>
      <c r="S1240" s="301"/>
      <c r="T1240" s="336"/>
    </row>
    <row r="1241" spans="1:20" ht="12" customHeight="1" x14ac:dyDescent="0.25">
      <c r="A1241" s="329" t="s">
        <v>289</v>
      </c>
      <c r="B1241" s="330">
        <v>2</v>
      </c>
      <c r="C1241" s="298">
        <v>46122</v>
      </c>
      <c r="D1241" s="299" t="s">
        <v>354</v>
      </c>
      <c r="E1241" s="331">
        <v>15.22</v>
      </c>
      <c r="F1241" s="331"/>
      <c r="G1241" s="333">
        <f t="shared" si="34"/>
        <v>1074.3599999999853</v>
      </c>
      <c r="H1241" s="334"/>
      <c r="I1241" s="335"/>
      <c r="J1241" s="336"/>
      <c r="K1241" s="301"/>
      <c r="L1241" s="336"/>
      <c r="M1241" s="301"/>
      <c r="N1241" s="336"/>
      <c r="O1241" s="301"/>
      <c r="P1241" s="336"/>
      <c r="Q1241" s="301"/>
      <c r="R1241" s="336"/>
      <c r="S1241" s="301"/>
      <c r="T1241" s="336"/>
    </row>
    <row r="1242" spans="1:20" ht="12" customHeight="1" x14ac:dyDescent="0.25">
      <c r="A1242" s="329" t="s">
        <v>289</v>
      </c>
      <c r="B1242" s="330">
        <v>3</v>
      </c>
      <c r="C1242" s="298">
        <v>46122</v>
      </c>
      <c r="D1242" s="299" t="s">
        <v>296</v>
      </c>
      <c r="E1242" s="331">
        <v>9.5500000000000007</v>
      </c>
      <c r="F1242" s="331"/>
      <c r="G1242" s="333">
        <f t="shared" si="34"/>
        <v>1089.5799999999854</v>
      </c>
      <c r="H1242" s="334"/>
      <c r="I1242" s="335"/>
      <c r="J1242" s="336"/>
      <c r="K1242" s="301"/>
      <c r="L1242" s="336"/>
      <c r="M1242" s="301"/>
      <c r="N1242" s="336"/>
      <c r="O1242" s="301"/>
      <c r="P1242" s="336"/>
      <c r="Q1242" s="301"/>
      <c r="R1242" s="336"/>
      <c r="S1242" s="301"/>
      <c r="T1242" s="336"/>
    </row>
    <row r="1243" spans="1:20" ht="12" customHeight="1" x14ac:dyDescent="0.25">
      <c r="A1243" s="329" t="s">
        <v>289</v>
      </c>
      <c r="B1243" s="330">
        <v>8</v>
      </c>
      <c r="C1243" s="298">
        <v>46122</v>
      </c>
      <c r="D1243" s="299" t="s">
        <v>355</v>
      </c>
      <c r="E1243" s="331">
        <v>52.65</v>
      </c>
      <c r="F1243" s="331"/>
      <c r="G1243" s="333">
        <f t="shared" si="34"/>
        <v>1099.1299999999853</v>
      </c>
      <c r="H1243" s="334"/>
      <c r="I1243" s="335"/>
      <c r="J1243" s="336"/>
      <c r="K1243" s="301"/>
      <c r="L1243" s="336"/>
      <c r="M1243" s="301"/>
      <c r="N1243" s="336"/>
      <c r="O1243" s="301"/>
      <c r="P1243" s="336"/>
      <c r="Q1243" s="301"/>
      <c r="R1243" s="336"/>
      <c r="S1243" s="301"/>
      <c r="T1243" s="336"/>
    </row>
    <row r="1244" spans="1:20" ht="12" customHeight="1" x14ac:dyDescent="0.25">
      <c r="A1244" s="329" t="s">
        <v>289</v>
      </c>
      <c r="B1244" s="330">
        <v>1</v>
      </c>
      <c r="C1244" s="298">
        <v>46122</v>
      </c>
      <c r="D1244" s="299" t="s">
        <v>311</v>
      </c>
      <c r="E1244" s="331">
        <v>68.989999999999995</v>
      </c>
      <c r="F1244" s="331"/>
      <c r="G1244" s="333">
        <f t="shared" si="34"/>
        <v>1151.7799999999854</v>
      </c>
      <c r="H1244" s="334"/>
      <c r="I1244" s="335"/>
      <c r="J1244" s="336"/>
      <c r="K1244" s="301"/>
      <c r="L1244" s="336"/>
      <c r="M1244" s="301"/>
      <c r="N1244" s="336"/>
      <c r="O1244" s="301"/>
      <c r="P1244" s="336"/>
      <c r="Q1244" s="301"/>
      <c r="R1244" s="336"/>
      <c r="S1244" s="301"/>
      <c r="T1244" s="336"/>
    </row>
    <row r="1245" spans="1:20" ht="12" customHeight="1" x14ac:dyDescent="0.25">
      <c r="A1245" s="329" t="s">
        <v>289</v>
      </c>
      <c r="B1245" s="330">
        <v>2</v>
      </c>
      <c r="C1245" s="298">
        <v>46122</v>
      </c>
      <c r="D1245" s="299" t="s">
        <v>324</v>
      </c>
      <c r="E1245" s="331">
        <v>17.37</v>
      </c>
      <c r="F1245" s="331"/>
      <c r="G1245" s="333">
        <f t="shared" si="34"/>
        <v>1220.7699999999854</v>
      </c>
      <c r="H1245" s="334"/>
      <c r="I1245" s="335"/>
      <c r="J1245" s="336"/>
      <c r="K1245" s="301"/>
      <c r="L1245" s="336"/>
      <c r="M1245" s="301"/>
      <c r="N1245" s="336"/>
      <c r="O1245" s="301"/>
      <c r="P1245" s="336"/>
      <c r="Q1245" s="301"/>
      <c r="R1245" s="336"/>
      <c r="S1245" s="301"/>
      <c r="T1245" s="336"/>
    </row>
    <row r="1246" spans="1:20" ht="12" customHeight="1" x14ac:dyDescent="0.25">
      <c r="A1246" s="329" t="s">
        <v>289</v>
      </c>
      <c r="B1246" s="330">
        <v>8</v>
      </c>
      <c r="C1246" s="298">
        <v>46121</v>
      </c>
      <c r="D1246" s="299" t="s">
        <v>356</v>
      </c>
      <c r="E1246" s="331">
        <v>64.42</v>
      </c>
      <c r="F1246" s="331"/>
      <c r="G1246" s="333">
        <f t="shared" si="34"/>
        <v>1238.1399999999853</v>
      </c>
      <c r="H1246" s="334"/>
      <c r="I1246" s="335"/>
      <c r="J1246" s="336"/>
      <c r="K1246" s="301"/>
      <c r="L1246" s="336"/>
      <c r="M1246" s="301"/>
      <c r="N1246" s="336"/>
      <c r="O1246" s="301"/>
      <c r="P1246" s="336"/>
      <c r="Q1246" s="301"/>
      <c r="R1246" s="336"/>
      <c r="S1246" s="301"/>
      <c r="T1246" s="336"/>
    </row>
    <row r="1247" spans="1:20" ht="12" customHeight="1" x14ac:dyDescent="0.25">
      <c r="A1247" s="329" t="s">
        <v>289</v>
      </c>
      <c r="B1247" s="330">
        <v>2</v>
      </c>
      <c r="C1247" s="298">
        <v>46121</v>
      </c>
      <c r="D1247" s="299" t="s">
        <v>357</v>
      </c>
      <c r="E1247" s="331">
        <v>9.4700000000000006</v>
      </c>
      <c r="F1247" s="331"/>
      <c r="G1247" s="333">
        <f t="shared" si="34"/>
        <v>1302.5599999999854</v>
      </c>
      <c r="H1247" s="334"/>
      <c r="I1247" s="335"/>
      <c r="J1247" s="336"/>
      <c r="K1247" s="301"/>
      <c r="L1247" s="336"/>
      <c r="M1247" s="301"/>
      <c r="N1247" s="336"/>
      <c r="O1247" s="301"/>
      <c r="P1247" s="336"/>
      <c r="Q1247" s="301"/>
      <c r="R1247" s="336"/>
      <c r="S1247" s="301"/>
      <c r="T1247" s="336"/>
    </row>
    <row r="1248" spans="1:20" ht="12" customHeight="1" x14ac:dyDescent="0.25">
      <c r="A1248" s="329" t="s">
        <v>289</v>
      </c>
      <c r="B1248" s="330">
        <v>5</v>
      </c>
      <c r="C1248" s="298">
        <v>46121</v>
      </c>
      <c r="D1248" s="299" t="s">
        <v>852</v>
      </c>
      <c r="E1248" s="331">
        <v>10.68</v>
      </c>
      <c r="F1248" s="331"/>
      <c r="G1248" s="333">
        <f t="shared" si="34"/>
        <v>1312.0299999999854</v>
      </c>
      <c r="H1248" s="334"/>
      <c r="I1248" s="335"/>
      <c r="J1248" s="336"/>
      <c r="K1248" s="301"/>
      <c r="L1248" s="336"/>
      <c r="M1248" s="301"/>
      <c r="N1248" s="336"/>
      <c r="O1248" s="301"/>
      <c r="P1248" s="336"/>
      <c r="Q1248" s="301"/>
      <c r="R1248" s="336"/>
      <c r="S1248" s="301"/>
      <c r="T1248" s="336"/>
    </row>
    <row r="1249" spans="1:20" ht="12" customHeight="1" x14ac:dyDescent="0.25">
      <c r="A1249" s="329" t="s">
        <v>289</v>
      </c>
      <c r="B1249" s="330">
        <v>7</v>
      </c>
      <c r="C1249" s="298">
        <v>46121</v>
      </c>
      <c r="D1249" s="299" t="s">
        <v>358</v>
      </c>
      <c r="E1249" s="331">
        <v>68.010000000000005</v>
      </c>
      <c r="F1249" s="331"/>
      <c r="G1249" s="333">
        <f t="shared" si="34"/>
        <v>1322.7099999999855</v>
      </c>
      <c r="H1249" s="334"/>
      <c r="I1249" s="335"/>
      <c r="J1249" s="336"/>
      <c r="K1249" s="301"/>
      <c r="L1249" s="336"/>
      <c r="M1249" s="301"/>
      <c r="N1249" s="336"/>
      <c r="O1249" s="301"/>
      <c r="P1249" s="336"/>
      <c r="Q1249" s="301"/>
      <c r="R1249" s="336"/>
      <c r="S1249" s="301"/>
      <c r="T1249" s="336"/>
    </row>
    <row r="1250" spans="1:20" ht="12" customHeight="1" x14ac:dyDescent="0.25">
      <c r="A1250" s="329" t="s">
        <v>289</v>
      </c>
      <c r="B1250" s="330">
        <v>4</v>
      </c>
      <c r="C1250" s="298">
        <v>46121</v>
      </c>
      <c r="D1250" s="299" t="s">
        <v>310</v>
      </c>
      <c r="E1250" s="331">
        <v>40.85</v>
      </c>
      <c r="F1250" s="331"/>
      <c r="G1250" s="333">
        <f t="shared" si="34"/>
        <v>1390.7199999999855</v>
      </c>
      <c r="H1250" s="334"/>
      <c r="I1250" s="335"/>
      <c r="J1250" s="336"/>
      <c r="K1250" s="301"/>
      <c r="L1250" s="336"/>
      <c r="M1250" s="301"/>
      <c r="N1250" s="336"/>
      <c r="O1250" s="301"/>
      <c r="P1250" s="336"/>
      <c r="Q1250" s="301"/>
      <c r="R1250" s="336"/>
      <c r="S1250" s="301"/>
      <c r="T1250" s="336"/>
    </row>
    <row r="1251" spans="1:20" ht="12" customHeight="1" x14ac:dyDescent="0.25">
      <c r="A1251" s="329" t="s">
        <v>289</v>
      </c>
      <c r="B1251" s="330">
        <v>6</v>
      </c>
      <c r="C1251" s="298">
        <v>46121</v>
      </c>
      <c r="D1251" s="299" t="s">
        <v>359</v>
      </c>
      <c r="E1251" s="331">
        <v>25</v>
      </c>
      <c r="F1251" s="331"/>
      <c r="G1251" s="333">
        <f t="shared" si="34"/>
        <v>1431.5699999999854</v>
      </c>
      <c r="H1251" s="334"/>
      <c r="I1251" s="335"/>
      <c r="J1251" s="336"/>
      <c r="K1251" s="301"/>
      <c r="L1251" s="336"/>
      <c r="M1251" s="301"/>
      <c r="N1251" s="336"/>
      <c r="O1251" s="301"/>
      <c r="P1251" s="336"/>
      <c r="Q1251" s="301"/>
      <c r="R1251" s="336"/>
      <c r="S1251" s="301"/>
      <c r="T1251" s="336"/>
    </row>
    <row r="1252" spans="1:20" ht="12" customHeight="1" x14ac:dyDescent="0.25">
      <c r="A1252" s="329" t="s">
        <v>294</v>
      </c>
      <c r="B1252" s="330">
        <v>18</v>
      </c>
      <c r="C1252" s="298">
        <v>46120</v>
      </c>
      <c r="D1252" s="299" t="s">
        <v>360</v>
      </c>
      <c r="E1252" s="331">
        <v>400</v>
      </c>
      <c r="F1252" s="331"/>
      <c r="G1252" s="333">
        <f t="shared" si="34"/>
        <v>1456.5699999999854</v>
      </c>
      <c r="H1252" s="334"/>
      <c r="I1252" s="335"/>
      <c r="J1252" s="336"/>
      <c r="K1252" s="301"/>
      <c r="L1252" s="336"/>
      <c r="M1252" s="301"/>
      <c r="N1252" s="336"/>
      <c r="O1252" s="301"/>
      <c r="P1252" s="336"/>
      <c r="Q1252" s="301"/>
      <c r="R1252" s="336"/>
      <c r="S1252" s="301"/>
      <c r="T1252" s="336"/>
    </row>
    <row r="1253" spans="1:20" ht="12" customHeight="1" x14ac:dyDescent="0.25">
      <c r="A1253" s="329" t="s">
        <v>335</v>
      </c>
      <c r="B1253" s="330" t="s">
        <v>335</v>
      </c>
      <c r="C1253" s="298">
        <v>46120</v>
      </c>
      <c r="D1253" s="299" t="s">
        <v>182</v>
      </c>
      <c r="E1253" s="331">
        <v>44.96</v>
      </c>
      <c r="F1253" s="331"/>
      <c r="G1253" s="333">
        <f t="shared" si="34"/>
        <v>1856.5699999999854</v>
      </c>
      <c r="H1253" s="334"/>
      <c r="I1253" s="335"/>
      <c r="J1253" s="336"/>
      <c r="K1253" s="301"/>
      <c r="L1253" s="336"/>
      <c r="M1253" s="301"/>
      <c r="N1253" s="336"/>
      <c r="O1253" s="301"/>
      <c r="P1253" s="336"/>
      <c r="Q1253" s="301"/>
      <c r="R1253" s="336"/>
      <c r="S1253" s="301"/>
      <c r="T1253" s="336"/>
    </row>
    <row r="1254" spans="1:20" ht="12" customHeight="1" x14ac:dyDescent="0.25">
      <c r="A1254" s="329" t="s">
        <v>294</v>
      </c>
      <c r="B1254" s="330">
        <v>13</v>
      </c>
      <c r="C1254" s="298">
        <v>46120</v>
      </c>
      <c r="D1254" s="299" t="s">
        <v>182</v>
      </c>
      <c r="E1254" s="331">
        <v>104.98</v>
      </c>
      <c r="F1254" s="331"/>
      <c r="G1254" s="333">
        <f t="shared" si="34"/>
        <v>1901.5299999999854</v>
      </c>
      <c r="H1254" s="334"/>
      <c r="I1254" s="335"/>
      <c r="J1254" s="336"/>
      <c r="K1254" s="301"/>
      <c r="L1254" s="336"/>
      <c r="M1254" s="301"/>
      <c r="N1254" s="336"/>
      <c r="O1254" s="301"/>
      <c r="P1254" s="336"/>
      <c r="Q1254" s="301"/>
      <c r="R1254" s="336"/>
      <c r="S1254" s="301"/>
      <c r="T1254" s="336"/>
    </row>
    <row r="1255" spans="1:20" ht="12" customHeight="1" x14ac:dyDescent="0.25">
      <c r="A1255" s="329" t="s">
        <v>289</v>
      </c>
      <c r="B1255" s="330">
        <v>2</v>
      </c>
      <c r="C1255" s="298">
        <v>46120</v>
      </c>
      <c r="D1255" s="299" t="s">
        <v>296</v>
      </c>
      <c r="E1255" s="331">
        <v>13.8</v>
      </c>
      <c r="F1255" s="331"/>
      <c r="G1255" s="333">
        <f t="shared" si="34"/>
        <v>2006.5099999999854</v>
      </c>
      <c r="H1255" s="334"/>
      <c r="I1255" s="335"/>
      <c r="J1255" s="336"/>
      <c r="K1255" s="301"/>
      <c r="L1255" s="336"/>
      <c r="M1255" s="301"/>
      <c r="N1255" s="336"/>
      <c r="O1255" s="301"/>
      <c r="P1255" s="336"/>
      <c r="Q1255" s="301"/>
      <c r="R1255" s="336"/>
      <c r="S1255" s="301"/>
      <c r="T1255" s="336"/>
    </row>
    <row r="1256" spans="1:20" ht="12" customHeight="1" x14ac:dyDescent="0.25">
      <c r="A1256" s="329" t="s">
        <v>289</v>
      </c>
      <c r="B1256" s="330">
        <v>4</v>
      </c>
      <c r="C1256" s="298">
        <v>46120</v>
      </c>
      <c r="D1256" s="299" t="s">
        <v>295</v>
      </c>
      <c r="E1256" s="331">
        <v>37.92</v>
      </c>
      <c r="F1256" s="331"/>
      <c r="G1256" s="333">
        <f t="shared" si="34"/>
        <v>2020.3099999999854</v>
      </c>
      <c r="H1256" s="334"/>
      <c r="I1256" s="335"/>
      <c r="J1256" s="336"/>
      <c r="K1256" s="301"/>
      <c r="L1256" s="336"/>
      <c r="M1256" s="301"/>
      <c r="N1256" s="336"/>
      <c r="O1256" s="301"/>
      <c r="P1256" s="336"/>
      <c r="Q1256" s="301"/>
      <c r="R1256" s="336"/>
      <c r="S1256" s="301"/>
      <c r="T1256" s="336"/>
    </row>
    <row r="1257" spans="1:20" ht="12" customHeight="1" x14ac:dyDescent="0.25">
      <c r="A1257" s="329" t="s">
        <v>289</v>
      </c>
      <c r="B1257" s="330">
        <v>6</v>
      </c>
      <c r="C1257" s="298">
        <v>46120</v>
      </c>
      <c r="D1257" s="299" t="s">
        <v>300</v>
      </c>
      <c r="E1257" s="331">
        <v>56.68</v>
      </c>
      <c r="F1257" s="331"/>
      <c r="G1257" s="333">
        <f t="shared" si="34"/>
        <v>2058.2299999999855</v>
      </c>
      <c r="H1257" s="334"/>
      <c r="I1257" s="335"/>
      <c r="J1257" s="336"/>
      <c r="K1257" s="301"/>
      <c r="L1257" s="336"/>
      <c r="M1257" s="301"/>
      <c r="N1257" s="336"/>
      <c r="O1257" s="301"/>
      <c r="P1257" s="336"/>
      <c r="Q1257" s="301"/>
      <c r="R1257" s="336"/>
      <c r="S1257" s="301"/>
      <c r="T1257" s="336"/>
    </row>
    <row r="1258" spans="1:20" ht="12" customHeight="1" x14ac:dyDescent="0.25">
      <c r="A1258" s="329" t="s">
        <v>289</v>
      </c>
      <c r="B1258" s="330">
        <v>6</v>
      </c>
      <c r="C1258" s="298">
        <v>46120</v>
      </c>
      <c r="D1258" s="299" t="s">
        <v>361</v>
      </c>
      <c r="E1258" s="331">
        <v>29.26</v>
      </c>
      <c r="F1258" s="331"/>
      <c r="G1258" s="333">
        <f t="shared" si="34"/>
        <v>2114.9099999999853</v>
      </c>
      <c r="H1258" s="334"/>
      <c r="I1258" s="335"/>
      <c r="J1258" s="336"/>
      <c r="K1258" s="301"/>
      <c r="L1258" s="336"/>
      <c r="M1258" s="301"/>
      <c r="N1258" s="336"/>
      <c r="O1258" s="301"/>
      <c r="P1258" s="336"/>
      <c r="Q1258" s="301"/>
      <c r="R1258" s="336"/>
      <c r="S1258" s="301"/>
      <c r="T1258" s="336"/>
    </row>
    <row r="1259" spans="1:20" ht="12" customHeight="1" x14ac:dyDescent="0.25">
      <c r="A1259" s="329" t="s">
        <v>294</v>
      </c>
      <c r="B1259" s="330">
        <v>9</v>
      </c>
      <c r="C1259" s="298">
        <v>46119</v>
      </c>
      <c r="D1259" s="299" t="s">
        <v>58</v>
      </c>
      <c r="E1259" s="331">
        <v>1281.53</v>
      </c>
      <c r="F1259" s="331"/>
      <c r="G1259" s="333">
        <f t="shared" si="34"/>
        <v>2144.1699999999855</v>
      </c>
      <c r="H1259" s="334"/>
      <c r="I1259" s="335"/>
      <c r="J1259" s="336"/>
      <c r="K1259" s="301"/>
      <c r="L1259" s="336"/>
      <c r="M1259" s="301"/>
      <c r="N1259" s="336"/>
      <c r="O1259" s="301"/>
      <c r="P1259" s="336"/>
      <c r="Q1259" s="301"/>
      <c r="R1259" s="336"/>
      <c r="S1259" s="301"/>
      <c r="T1259" s="336"/>
    </row>
    <row r="1260" spans="1:20" ht="12" customHeight="1" x14ac:dyDescent="0.25">
      <c r="A1260" s="329" t="s">
        <v>289</v>
      </c>
      <c r="B1260" s="330">
        <v>4</v>
      </c>
      <c r="C1260" s="298">
        <v>46119</v>
      </c>
      <c r="D1260" s="299" t="s">
        <v>362</v>
      </c>
      <c r="E1260" s="331">
        <v>25.84</v>
      </c>
      <c r="F1260" s="331"/>
      <c r="G1260" s="333">
        <f t="shared" si="34"/>
        <v>3425.6999999999853</v>
      </c>
      <c r="H1260" s="334"/>
      <c r="I1260" s="335"/>
      <c r="J1260" s="336"/>
      <c r="K1260" s="301"/>
      <c r="L1260" s="336"/>
      <c r="M1260" s="301"/>
      <c r="N1260" s="336"/>
      <c r="O1260" s="301"/>
      <c r="P1260" s="336"/>
      <c r="Q1260" s="301"/>
      <c r="R1260" s="336"/>
      <c r="S1260" s="301"/>
      <c r="T1260" s="336"/>
    </row>
    <row r="1261" spans="1:20" ht="12" customHeight="1" x14ac:dyDescent="0.25">
      <c r="A1261" s="329" t="s">
        <v>289</v>
      </c>
      <c r="B1261" s="330">
        <v>8</v>
      </c>
      <c r="C1261" s="298">
        <v>46119</v>
      </c>
      <c r="D1261" s="299" t="s">
        <v>319</v>
      </c>
      <c r="E1261" s="331">
        <v>12.05</v>
      </c>
      <c r="F1261" s="331"/>
      <c r="G1261" s="333">
        <f t="shared" si="34"/>
        <v>3451.5399999999854</v>
      </c>
      <c r="H1261" s="334"/>
      <c r="I1261" s="335"/>
      <c r="J1261" s="336"/>
      <c r="K1261" s="301"/>
      <c r="L1261" s="336"/>
      <c r="M1261" s="301"/>
      <c r="N1261" s="336"/>
      <c r="O1261" s="301"/>
      <c r="P1261" s="336"/>
      <c r="Q1261" s="301"/>
      <c r="R1261" s="336"/>
      <c r="S1261" s="301"/>
      <c r="T1261" s="336"/>
    </row>
    <row r="1262" spans="1:20" ht="12" customHeight="1" x14ac:dyDescent="0.25">
      <c r="A1262" s="329" t="s">
        <v>289</v>
      </c>
      <c r="B1262" s="330">
        <v>4</v>
      </c>
      <c r="C1262" s="298">
        <v>46119</v>
      </c>
      <c r="D1262" s="299" t="s">
        <v>334</v>
      </c>
      <c r="E1262" s="331">
        <v>82.04</v>
      </c>
      <c r="F1262" s="331"/>
      <c r="G1262" s="333">
        <f t="shared" si="34"/>
        <v>3463.5899999999856</v>
      </c>
      <c r="H1262" s="334"/>
      <c r="I1262" s="335"/>
      <c r="J1262" s="336"/>
      <c r="K1262" s="301"/>
      <c r="L1262" s="336"/>
      <c r="M1262" s="301"/>
      <c r="N1262" s="336"/>
      <c r="O1262" s="301"/>
      <c r="P1262" s="336"/>
      <c r="Q1262" s="301"/>
      <c r="R1262" s="336"/>
      <c r="S1262" s="301"/>
      <c r="T1262" s="336"/>
    </row>
    <row r="1263" spans="1:20" ht="12" customHeight="1" x14ac:dyDescent="0.25">
      <c r="A1263" s="329" t="s">
        <v>289</v>
      </c>
      <c r="B1263" s="330">
        <v>2</v>
      </c>
      <c r="C1263" s="298">
        <v>46119</v>
      </c>
      <c r="D1263" s="299" t="s">
        <v>363</v>
      </c>
      <c r="E1263" s="331">
        <v>22.92</v>
      </c>
      <c r="F1263" s="331"/>
      <c r="G1263" s="333">
        <f t="shared" si="34"/>
        <v>3545.6299999999856</v>
      </c>
      <c r="H1263" s="334"/>
      <c r="I1263" s="335"/>
      <c r="J1263" s="336"/>
      <c r="K1263" s="301"/>
      <c r="L1263" s="336"/>
      <c r="M1263" s="301"/>
      <c r="N1263" s="336"/>
      <c r="O1263" s="301"/>
      <c r="P1263" s="336"/>
      <c r="Q1263" s="301"/>
      <c r="R1263" s="336"/>
      <c r="S1263" s="301"/>
      <c r="T1263" s="336"/>
    </row>
    <row r="1264" spans="1:20" ht="12" customHeight="1" x14ac:dyDescent="0.25">
      <c r="A1264" s="329" t="s">
        <v>289</v>
      </c>
      <c r="B1264" s="330">
        <v>5</v>
      </c>
      <c r="C1264" s="298">
        <v>46118</v>
      </c>
      <c r="D1264" s="299" t="s">
        <v>364</v>
      </c>
      <c r="E1264" s="331">
        <v>400</v>
      </c>
      <c r="F1264" s="331"/>
      <c r="G1264" s="333">
        <f t="shared" si="34"/>
        <v>3568.5499999999856</v>
      </c>
      <c r="H1264" s="334"/>
      <c r="I1264" s="335"/>
      <c r="J1264" s="336"/>
      <c r="K1264" s="301"/>
      <c r="L1264" s="336"/>
      <c r="M1264" s="301"/>
      <c r="N1264" s="336"/>
      <c r="O1264" s="301"/>
      <c r="P1264" s="336"/>
      <c r="Q1264" s="301"/>
      <c r="R1264" s="336"/>
      <c r="S1264" s="301"/>
      <c r="T1264" s="336"/>
    </row>
    <row r="1265" spans="1:20" ht="12" customHeight="1" x14ac:dyDescent="0.25">
      <c r="A1265" s="329" t="s">
        <v>294</v>
      </c>
      <c r="B1265" s="330">
        <v>14</v>
      </c>
      <c r="C1265" s="298">
        <v>46118</v>
      </c>
      <c r="D1265" s="299" t="s">
        <v>365</v>
      </c>
      <c r="E1265" s="331">
        <v>66.67</v>
      </c>
      <c r="F1265" s="331"/>
      <c r="G1265" s="333">
        <f t="shared" si="34"/>
        <v>3968.5499999999856</v>
      </c>
      <c r="H1265" s="334"/>
      <c r="I1265" s="335"/>
      <c r="J1265" s="336"/>
      <c r="K1265" s="301"/>
      <c r="L1265" s="336"/>
      <c r="M1265" s="301"/>
      <c r="N1265" s="336"/>
      <c r="O1265" s="301"/>
      <c r="P1265" s="336"/>
      <c r="Q1265" s="301"/>
      <c r="R1265" s="336"/>
      <c r="S1265" s="301"/>
      <c r="T1265" s="336"/>
    </row>
    <row r="1266" spans="1:20" ht="12" customHeight="1" x14ac:dyDescent="0.25">
      <c r="A1266" s="329" t="s">
        <v>294</v>
      </c>
      <c r="B1266" s="330">
        <v>14</v>
      </c>
      <c r="C1266" s="298">
        <v>46118</v>
      </c>
      <c r="D1266" s="299" t="s">
        <v>366</v>
      </c>
      <c r="E1266" s="331">
        <v>70.25</v>
      </c>
      <c r="F1266" s="331"/>
      <c r="G1266" s="333">
        <f t="shared" si="34"/>
        <v>4035.2199999999857</v>
      </c>
      <c r="H1266" s="334"/>
      <c r="I1266" s="335"/>
      <c r="J1266" s="336"/>
      <c r="K1266" s="301"/>
      <c r="L1266" s="336"/>
      <c r="M1266" s="301"/>
      <c r="N1266" s="336"/>
      <c r="O1266" s="301"/>
      <c r="P1266" s="336"/>
      <c r="Q1266" s="301"/>
      <c r="R1266" s="336"/>
      <c r="S1266" s="301"/>
      <c r="T1266" s="336"/>
    </row>
    <row r="1267" spans="1:20" ht="12" customHeight="1" x14ac:dyDescent="0.25">
      <c r="A1267" s="329" t="s">
        <v>289</v>
      </c>
      <c r="B1267" s="330">
        <v>1</v>
      </c>
      <c r="C1267" s="298">
        <v>46117</v>
      </c>
      <c r="D1267" s="299" t="s">
        <v>367</v>
      </c>
      <c r="E1267" s="331">
        <v>25.6</v>
      </c>
      <c r="F1267" s="331"/>
      <c r="G1267" s="333">
        <f t="shared" si="34"/>
        <v>4105.4699999999857</v>
      </c>
      <c r="H1267" s="334"/>
      <c r="I1267" s="335"/>
      <c r="J1267" s="336"/>
      <c r="K1267" s="301"/>
      <c r="L1267" s="336"/>
      <c r="M1267" s="301"/>
      <c r="N1267" s="336"/>
      <c r="O1267" s="301"/>
      <c r="P1267" s="336"/>
      <c r="Q1267" s="301"/>
      <c r="R1267" s="336"/>
      <c r="S1267" s="301"/>
      <c r="T1267" s="336"/>
    </row>
    <row r="1268" spans="1:20" ht="12" customHeight="1" x14ac:dyDescent="0.25">
      <c r="A1268" s="329" t="s">
        <v>289</v>
      </c>
      <c r="B1268" s="330">
        <v>8</v>
      </c>
      <c r="C1268" s="298">
        <v>46117</v>
      </c>
      <c r="D1268" s="299" t="s">
        <v>319</v>
      </c>
      <c r="E1268" s="331">
        <v>8.56</v>
      </c>
      <c r="F1268" s="331"/>
      <c r="G1268" s="333">
        <f t="shared" si="34"/>
        <v>4131.0699999999861</v>
      </c>
      <c r="H1268" s="334"/>
      <c r="I1268" s="335"/>
      <c r="J1268" s="336"/>
      <c r="K1268" s="301"/>
      <c r="L1268" s="336"/>
      <c r="M1268" s="301"/>
      <c r="N1268" s="336"/>
      <c r="O1268" s="301"/>
      <c r="P1268" s="336"/>
      <c r="Q1268" s="301"/>
      <c r="R1268" s="336"/>
      <c r="S1268" s="301"/>
      <c r="T1268" s="336"/>
    </row>
    <row r="1269" spans="1:20" ht="12" customHeight="1" x14ac:dyDescent="0.25">
      <c r="A1269" s="329" t="s">
        <v>289</v>
      </c>
      <c r="B1269" s="330">
        <v>6</v>
      </c>
      <c r="C1269" s="298">
        <v>46117</v>
      </c>
      <c r="D1269" s="299" t="s">
        <v>368</v>
      </c>
      <c r="E1269" s="331">
        <v>301.67</v>
      </c>
      <c r="F1269" s="331"/>
      <c r="G1269" s="333">
        <f t="shared" si="34"/>
        <v>4139.6299999999865</v>
      </c>
      <c r="H1269" s="334"/>
      <c r="I1269" s="335"/>
      <c r="J1269" s="336"/>
      <c r="K1269" s="301"/>
      <c r="L1269" s="336"/>
      <c r="M1269" s="301"/>
      <c r="N1269" s="336"/>
      <c r="O1269" s="301"/>
      <c r="P1269" s="336"/>
      <c r="Q1269" s="301"/>
      <c r="R1269" s="336"/>
      <c r="S1269" s="301"/>
      <c r="T1269" s="336"/>
    </row>
    <row r="1270" spans="1:20" ht="12" customHeight="1" x14ac:dyDescent="0.25">
      <c r="A1270" s="329" t="s">
        <v>289</v>
      </c>
      <c r="B1270" s="330">
        <v>1</v>
      </c>
      <c r="C1270" s="298">
        <v>46116</v>
      </c>
      <c r="D1270" s="299" t="s">
        <v>306</v>
      </c>
      <c r="E1270" s="331">
        <v>176.85</v>
      </c>
      <c r="F1270" s="331"/>
      <c r="G1270" s="333">
        <f t="shared" si="34"/>
        <v>4441.2999999999865</v>
      </c>
      <c r="H1270" s="334"/>
      <c r="I1270" s="335"/>
      <c r="J1270" s="336"/>
      <c r="K1270" s="301"/>
      <c r="L1270" s="336"/>
      <c r="M1270" s="301"/>
      <c r="N1270" s="336"/>
      <c r="O1270" s="301"/>
      <c r="P1270" s="336"/>
      <c r="Q1270" s="301"/>
      <c r="R1270" s="336"/>
      <c r="S1270" s="301"/>
      <c r="T1270" s="336"/>
    </row>
    <row r="1271" spans="1:20" ht="12" customHeight="1" x14ac:dyDescent="0.25">
      <c r="A1271" s="329" t="s">
        <v>289</v>
      </c>
      <c r="B1271" s="330">
        <v>1</v>
      </c>
      <c r="C1271" s="298">
        <v>46116</v>
      </c>
      <c r="D1271" s="299" t="s">
        <v>311</v>
      </c>
      <c r="E1271" s="331">
        <v>139.34</v>
      </c>
      <c r="F1271" s="331"/>
      <c r="G1271" s="333">
        <f t="shared" si="34"/>
        <v>4618.1499999999869</v>
      </c>
      <c r="H1271" s="334"/>
      <c r="I1271" s="335"/>
      <c r="J1271" s="336"/>
      <c r="K1271" s="301"/>
      <c r="L1271" s="336"/>
      <c r="M1271" s="301"/>
      <c r="N1271" s="336"/>
      <c r="O1271" s="301"/>
      <c r="P1271" s="336"/>
      <c r="Q1271" s="301"/>
      <c r="R1271" s="336"/>
      <c r="S1271" s="301"/>
      <c r="T1271" s="336"/>
    </row>
    <row r="1272" spans="1:20" ht="12" customHeight="1" x14ac:dyDescent="0.25">
      <c r="A1272" s="329" t="s">
        <v>294</v>
      </c>
      <c r="B1272" s="330">
        <v>17</v>
      </c>
      <c r="C1272" s="298">
        <v>46116</v>
      </c>
      <c r="D1272" s="299" t="s">
        <v>369</v>
      </c>
      <c r="E1272" s="331">
        <v>99</v>
      </c>
      <c r="F1272" s="331"/>
      <c r="G1272" s="333">
        <f t="shared" si="34"/>
        <v>4757.489999999987</v>
      </c>
      <c r="H1272" s="334"/>
      <c r="I1272" s="335"/>
      <c r="J1272" s="336"/>
      <c r="K1272" s="301"/>
      <c r="L1272" s="336"/>
      <c r="M1272" s="301"/>
      <c r="N1272" s="336"/>
      <c r="O1272" s="301"/>
      <c r="P1272" s="336"/>
      <c r="Q1272" s="301"/>
      <c r="R1272" s="336"/>
      <c r="S1272" s="301"/>
      <c r="T1272" s="336"/>
    </row>
    <row r="1273" spans="1:20" ht="12" customHeight="1" x14ac:dyDescent="0.25">
      <c r="A1273" s="329" t="s">
        <v>289</v>
      </c>
      <c r="B1273" s="330">
        <v>2</v>
      </c>
      <c r="C1273" s="298">
        <v>46116</v>
      </c>
      <c r="D1273" s="299" t="s">
        <v>370</v>
      </c>
      <c r="E1273" s="331">
        <v>34</v>
      </c>
      <c r="F1273" s="331"/>
      <c r="G1273" s="333">
        <f t="shared" si="34"/>
        <v>4856.489999999987</v>
      </c>
      <c r="H1273" s="334"/>
      <c r="I1273" s="335"/>
      <c r="J1273" s="336"/>
      <c r="K1273" s="301"/>
      <c r="L1273" s="336"/>
      <c r="M1273" s="301"/>
      <c r="N1273" s="336"/>
      <c r="O1273" s="301"/>
      <c r="P1273" s="336"/>
      <c r="Q1273" s="301"/>
      <c r="R1273" s="336"/>
      <c r="S1273" s="301"/>
      <c r="T1273" s="336"/>
    </row>
    <row r="1274" spans="1:20" ht="12" customHeight="1" x14ac:dyDescent="0.25">
      <c r="A1274" s="329" t="s">
        <v>289</v>
      </c>
      <c r="B1274" s="330">
        <v>3</v>
      </c>
      <c r="C1274" s="298">
        <v>46116</v>
      </c>
      <c r="D1274" s="299" t="s">
        <v>347</v>
      </c>
      <c r="E1274" s="331">
        <v>10.24</v>
      </c>
      <c r="F1274" s="331"/>
      <c r="G1274" s="333">
        <f t="shared" si="34"/>
        <v>4890.489999999987</v>
      </c>
      <c r="H1274" s="334"/>
      <c r="I1274" s="335"/>
      <c r="J1274" s="336"/>
      <c r="K1274" s="301"/>
      <c r="L1274" s="336"/>
      <c r="M1274" s="301"/>
      <c r="N1274" s="336"/>
      <c r="O1274" s="301"/>
      <c r="P1274" s="336"/>
      <c r="Q1274" s="301"/>
      <c r="R1274" s="336"/>
      <c r="S1274" s="301"/>
      <c r="T1274" s="336"/>
    </row>
    <row r="1275" spans="1:20" ht="12" customHeight="1" x14ac:dyDescent="0.25">
      <c r="A1275" s="329" t="s">
        <v>289</v>
      </c>
      <c r="B1275" s="330">
        <v>7</v>
      </c>
      <c r="C1275" s="298">
        <v>46115</v>
      </c>
      <c r="D1275" s="299" t="s">
        <v>371</v>
      </c>
      <c r="E1275" s="331">
        <v>100</v>
      </c>
      <c r="F1275" s="331"/>
      <c r="G1275" s="333">
        <f t="shared" si="34"/>
        <v>4900.7299999999868</v>
      </c>
      <c r="H1275" s="334"/>
      <c r="I1275" s="335"/>
      <c r="J1275" s="336"/>
      <c r="K1275" s="301"/>
      <c r="L1275" s="336"/>
      <c r="M1275" s="301"/>
      <c r="N1275" s="336"/>
      <c r="O1275" s="301"/>
      <c r="P1275" s="336"/>
      <c r="Q1275" s="301"/>
      <c r="R1275" s="336"/>
      <c r="S1275" s="301"/>
      <c r="T1275" s="336"/>
    </row>
    <row r="1276" spans="1:20" ht="12" customHeight="1" x14ac:dyDescent="0.25">
      <c r="A1276" s="329" t="s">
        <v>289</v>
      </c>
      <c r="B1276" s="330">
        <v>6</v>
      </c>
      <c r="C1276" s="298">
        <v>46115</v>
      </c>
      <c r="D1276" s="299" t="s">
        <v>300</v>
      </c>
      <c r="E1276" s="331">
        <v>7.68</v>
      </c>
      <c r="F1276" s="331"/>
      <c r="G1276" s="333">
        <f t="shared" si="34"/>
        <v>5000.7299999999868</v>
      </c>
      <c r="H1276" s="334"/>
      <c r="I1276" s="335"/>
      <c r="J1276" s="336"/>
      <c r="K1276" s="301"/>
      <c r="L1276" s="336"/>
      <c r="M1276" s="301"/>
      <c r="N1276" s="336"/>
      <c r="O1276" s="301"/>
      <c r="P1276" s="336"/>
      <c r="Q1276" s="301"/>
      <c r="R1276" s="336"/>
      <c r="S1276" s="301"/>
      <c r="T1276" s="336"/>
    </row>
    <row r="1277" spans="1:20" ht="12" customHeight="1" x14ac:dyDescent="0.25">
      <c r="A1277" s="329" t="s">
        <v>289</v>
      </c>
      <c r="B1277" s="330">
        <v>2</v>
      </c>
      <c r="C1277" s="298">
        <v>46115</v>
      </c>
      <c r="D1277" s="299" t="s">
        <v>296</v>
      </c>
      <c r="E1277" s="331">
        <v>8.7200000000000006</v>
      </c>
      <c r="F1277" s="331"/>
      <c r="G1277" s="333">
        <f t="shared" si="34"/>
        <v>5008.4099999999871</v>
      </c>
      <c r="H1277" s="334"/>
      <c r="I1277" s="335"/>
      <c r="J1277" s="336"/>
      <c r="K1277" s="301"/>
      <c r="L1277" s="336"/>
      <c r="M1277" s="301"/>
      <c r="N1277" s="336"/>
      <c r="O1277" s="301"/>
      <c r="P1277" s="336"/>
      <c r="Q1277" s="301"/>
      <c r="R1277" s="336"/>
      <c r="S1277" s="301"/>
      <c r="T1277" s="336"/>
    </row>
    <row r="1278" spans="1:20" ht="12" customHeight="1" x14ac:dyDescent="0.25">
      <c r="A1278" s="329" t="s">
        <v>289</v>
      </c>
      <c r="B1278" s="330">
        <v>8</v>
      </c>
      <c r="C1278" s="298">
        <v>46114</v>
      </c>
      <c r="D1278" s="299" t="s">
        <v>372</v>
      </c>
      <c r="E1278" s="331">
        <v>81.739999999999995</v>
      </c>
      <c r="F1278" s="331"/>
      <c r="G1278" s="333">
        <f t="shared" si="34"/>
        <v>5017.1299999999874</v>
      </c>
      <c r="H1278" s="334"/>
      <c r="I1278" s="335"/>
      <c r="J1278" s="336"/>
      <c r="K1278" s="301"/>
      <c r="L1278" s="336"/>
      <c r="M1278" s="301"/>
      <c r="N1278" s="336"/>
      <c r="O1278" s="301"/>
      <c r="P1278" s="336"/>
      <c r="Q1278" s="301"/>
      <c r="R1278" s="336"/>
      <c r="S1278" s="301"/>
      <c r="T1278" s="336"/>
    </row>
    <row r="1279" spans="1:20" ht="12" customHeight="1" x14ac:dyDescent="0.25">
      <c r="A1279" s="329" t="s">
        <v>284</v>
      </c>
      <c r="B1279" s="330">
        <v>36</v>
      </c>
      <c r="C1279" s="298">
        <v>46114</v>
      </c>
      <c r="D1279" s="299" t="s">
        <v>373</v>
      </c>
      <c r="E1279" s="331">
        <v>50</v>
      </c>
      <c r="F1279" s="331"/>
      <c r="G1279" s="333">
        <f t="shared" si="34"/>
        <v>5098.8699999999872</v>
      </c>
      <c r="H1279" s="334"/>
      <c r="I1279" s="335"/>
      <c r="J1279" s="336"/>
      <c r="K1279" s="301"/>
      <c r="L1279" s="336"/>
      <c r="M1279" s="301"/>
      <c r="N1279" s="336"/>
      <c r="O1279" s="301"/>
      <c r="P1279" s="336"/>
      <c r="Q1279" s="301"/>
      <c r="R1279" s="336"/>
      <c r="S1279" s="301"/>
      <c r="T1279" s="336"/>
    </row>
    <row r="1280" spans="1:20" ht="12" customHeight="1" x14ac:dyDescent="0.25">
      <c r="A1280" s="329" t="s">
        <v>294</v>
      </c>
      <c r="B1280" s="330">
        <v>22</v>
      </c>
      <c r="C1280" s="298">
        <v>46114</v>
      </c>
      <c r="D1280" s="299" t="s">
        <v>374</v>
      </c>
      <c r="E1280" s="331">
        <v>6.37</v>
      </c>
      <c r="F1280" s="331"/>
      <c r="G1280" s="333">
        <f t="shared" si="34"/>
        <v>5148.8699999999872</v>
      </c>
      <c r="H1280" s="334"/>
      <c r="I1280" s="335"/>
      <c r="J1280" s="336"/>
      <c r="K1280" s="301"/>
      <c r="L1280" s="336"/>
      <c r="M1280" s="301"/>
      <c r="N1280" s="336"/>
      <c r="O1280" s="301"/>
      <c r="P1280" s="336"/>
      <c r="Q1280" s="301"/>
      <c r="R1280" s="336"/>
      <c r="S1280" s="301"/>
      <c r="T1280" s="336"/>
    </row>
    <row r="1281" spans="1:20" ht="12" customHeight="1" x14ac:dyDescent="0.25">
      <c r="A1281" s="329" t="s">
        <v>289</v>
      </c>
      <c r="B1281" s="330">
        <v>2</v>
      </c>
      <c r="C1281" s="298">
        <v>46114</v>
      </c>
      <c r="D1281" s="299" t="s">
        <v>326</v>
      </c>
      <c r="E1281" s="331">
        <v>55.22</v>
      </c>
      <c r="F1281" s="331"/>
      <c r="G1281" s="333">
        <f t="shared" si="34"/>
        <v>5155.239999999987</v>
      </c>
      <c r="H1281" s="334"/>
      <c r="I1281" s="335"/>
      <c r="J1281" s="336"/>
      <c r="K1281" s="301"/>
      <c r="L1281" s="336"/>
      <c r="M1281" s="301"/>
      <c r="N1281" s="336"/>
      <c r="O1281" s="301"/>
      <c r="P1281" s="336"/>
      <c r="Q1281" s="301"/>
      <c r="R1281" s="336"/>
      <c r="S1281" s="301"/>
      <c r="T1281" s="336"/>
    </row>
    <row r="1282" spans="1:20" ht="12" customHeight="1" x14ac:dyDescent="0.25">
      <c r="A1282" s="329" t="s">
        <v>289</v>
      </c>
      <c r="B1282" s="330">
        <v>8</v>
      </c>
      <c r="C1282" s="298">
        <v>46114</v>
      </c>
      <c r="D1282" s="299" t="s">
        <v>319</v>
      </c>
      <c r="E1282" s="331">
        <v>8.5</v>
      </c>
      <c r="F1282" s="331"/>
      <c r="G1282" s="333">
        <f t="shared" si="34"/>
        <v>5210.4599999999873</v>
      </c>
      <c r="H1282" s="334"/>
      <c r="I1282" s="335"/>
      <c r="J1282" s="336"/>
      <c r="K1282" s="301"/>
      <c r="L1282" s="336"/>
      <c r="M1282" s="301"/>
      <c r="N1282" s="336"/>
      <c r="O1282" s="301"/>
      <c r="P1282" s="336"/>
      <c r="Q1282" s="301"/>
      <c r="R1282" s="336"/>
      <c r="S1282" s="301"/>
      <c r="T1282" s="336"/>
    </row>
    <row r="1283" spans="1:20" ht="12" customHeight="1" x14ac:dyDescent="0.25">
      <c r="A1283" s="329" t="s">
        <v>289</v>
      </c>
      <c r="B1283" s="330">
        <v>4</v>
      </c>
      <c r="C1283" s="298">
        <v>46114</v>
      </c>
      <c r="D1283" s="299" t="s">
        <v>334</v>
      </c>
      <c r="E1283" s="331">
        <v>38.99</v>
      </c>
      <c r="F1283" s="331"/>
      <c r="G1283" s="333">
        <f t="shared" si="34"/>
        <v>5218.9599999999873</v>
      </c>
      <c r="H1283" s="334"/>
      <c r="I1283" s="335"/>
      <c r="J1283" s="336"/>
      <c r="K1283" s="301"/>
      <c r="L1283" s="336"/>
      <c r="M1283" s="301"/>
      <c r="N1283" s="336"/>
      <c r="O1283" s="301"/>
      <c r="P1283" s="336"/>
      <c r="Q1283" s="301"/>
      <c r="R1283" s="336"/>
      <c r="S1283" s="301"/>
      <c r="T1283" s="336"/>
    </row>
    <row r="1284" spans="1:20" ht="12" customHeight="1" x14ac:dyDescent="0.25">
      <c r="A1284" s="329" t="s">
        <v>291</v>
      </c>
      <c r="B1284" s="330">
        <v>39</v>
      </c>
      <c r="C1284" s="298">
        <v>46113</v>
      </c>
      <c r="D1284" s="299" t="s">
        <v>292</v>
      </c>
      <c r="E1284" s="331"/>
      <c r="F1284" s="331">
        <v>2763.78</v>
      </c>
      <c r="G1284" s="333">
        <f t="shared" si="34"/>
        <v>5257.9499999999871</v>
      </c>
      <c r="H1284" s="334"/>
      <c r="I1284" s="335"/>
      <c r="J1284" s="336"/>
      <c r="K1284" s="301"/>
      <c r="L1284" s="336"/>
      <c r="M1284" s="301"/>
      <c r="N1284" s="336"/>
      <c r="O1284" s="301"/>
      <c r="P1284" s="336"/>
      <c r="Q1284" s="301"/>
      <c r="R1284" s="336"/>
      <c r="S1284" s="301"/>
      <c r="T1284" s="336"/>
    </row>
    <row r="1285" spans="1:20" ht="12" customHeight="1" x14ac:dyDescent="0.25">
      <c r="A1285" s="329" t="s">
        <v>289</v>
      </c>
      <c r="B1285" s="330">
        <v>4</v>
      </c>
      <c r="C1285" s="298">
        <v>46113</v>
      </c>
      <c r="D1285" s="299" t="s">
        <v>296</v>
      </c>
      <c r="E1285" s="331">
        <v>36.090000000000003</v>
      </c>
      <c r="F1285" s="331"/>
      <c r="G1285" s="333">
        <f t="shared" si="34"/>
        <v>2494.1699999999869</v>
      </c>
      <c r="H1285" s="334"/>
      <c r="I1285" s="335"/>
      <c r="J1285" s="336"/>
      <c r="K1285" s="301"/>
      <c r="L1285" s="336"/>
      <c r="M1285" s="301"/>
      <c r="N1285" s="336"/>
      <c r="O1285" s="301"/>
      <c r="P1285" s="336"/>
      <c r="Q1285" s="301"/>
      <c r="R1285" s="336"/>
      <c r="S1285" s="301"/>
      <c r="T1285" s="336"/>
    </row>
    <row r="1286" spans="1:20" ht="12" customHeight="1" x14ac:dyDescent="0.25">
      <c r="A1286" s="329" t="s">
        <v>289</v>
      </c>
      <c r="B1286" s="330">
        <v>4</v>
      </c>
      <c r="C1286" s="298">
        <v>46113</v>
      </c>
      <c r="D1286" s="299" t="s">
        <v>310</v>
      </c>
      <c r="E1286" s="331">
        <v>80</v>
      </c>
      <c r="F1286" s="331"/>
      <c r="G1286" s="333">
        <f t="shared" si="34"/>
        <v>2530.259999999987</v>
      </c>
      <c r="H1286" s="334"/>
      <c r="I1286" s="335"/>
      <c r="J1286" s="336"/>
      <c r="K1286" s="301"/>
      <c r="L1286" s="336"/>
      <c r="M1286" s="301"/>
      <c r="N1286" s="336"/>
      <c r="O1286" s="301"/>
      <c r="P1286" s="336"/>
      <c r="Q1286" s="301"/>
      <c r="R1286" s="336"/>
      <c r="S1286" s="301"/>
      <c r="T1286" s="336"/>
    </row>
    <row r="1287" spans="1:20" ht="12" customHeight="1" x14ac:dyDescent="0.25">
      <c r="A1287" s="329" t="s">
        <v>289</v>
      </c>
      <c r="B1287" s="330">
        <v>7</v>
      </c>
      <c r="C1287" s="298">
        <v>46113</v>
      </c>
      <c r="D1287" s="299" t="s">
        <v>320</v>
      </c>
      <c r="E1287" s="331">
        <v>47.84</v>
      </c>
      <c r="F1287" s="331"/>
      <c r="G1287" s="333">
        <f t="shared" si="34"/>
        <v>2610.259999999987</v>
      </c>
      <c r="H1287" s="334"/>
      <c r="I1287" s="335"/>
      <c r="J1287" s="336"/>
      <c r="K1287" s="301"/>
      <c r="L1287" s="336"/>
      <c r="M1287" s="301"/>
      <c r="N1287" s="336"/>
      <c r="O1287" s="301"/>
      <c r="P1287" s="336"/>
      <c r="Q1287" s="301"/>
      <c r="R1287" s="336"/>
      <c r="S1287" s="301"/>
      <c r="T1287" s="336"/>
    </row>
    <row r="1288" spans="1:20" ht="12" customHeight="1" x14ac:dyDescent="0.25">
      <c r="A1288" s="329" t="s">
        <v>289</v>
      </c>
      <c r="B1288" s="330">
        <v>7</v>
      </c>
      <c r="C1288" s="298">
        <v>46113</v>
      </c>
      <c r="D1288" s="299" t="s">
        <v>320</v>
      </c>
      <c r="E1288" s="331">
        <v>21.25</v>
      </c>
      <c r="F1288" s="331"/>
      <c r="G1288" s="333">
        <f t="shared" si="34"/>
        <v>2658.0999999999872</v>
      </c>
      <c r="H1288" s="334"/>
      <c r="I1288" s="335"/>
      <c r="J1288" s="336"/>
      <c r="K1288" s="301"/>
      <c r="L1288" s="336"/>
      <c r="M1288" s="301"/>
      <c r="N1288" s="336"/>
      <c r="O1288" s="301"/>
      <c r="P1288" s="336"/>
      <c r="Q1288" s="301"/>
      <c r="R1288" s="336"/>
      <c r="S1288" s="301"/>
      <c r="T1288" s="336"/>
    </row>
    <row r="1289" spans="1:20" ht="12" customHeight="1" x14ac:dyDescent="0.25">
      <c r="A1289" s="329" t="s">
        <v>289</v>
      </c>
      <c r="B1289" s="330">
        <v>2</v>
      </c>
      <c r="C1289" s="298">
        <v>46113</v>
      </c>
      <c r="D1289" s="299" t="s">
        <v>375</v>
      </c>
      <c r="E1289" s="331">
        <v>42.9</v>
      </c>
      <c r="F1289" s="331"/>
      <c r="G1289" s="333">
        <f t="shared" si="34"/>
        <v>2679.3499999999872</v>
      </c>
      <c r="H1289" s="334"/>
      <c r="I1289" s="335"/>
      <c r="J1289" s="336"/>
      <c r="K1289" s="301"/>
      <c r="L1289" s="336"/>
      <c r="M1289" s="301"/>
      <c r="N1289" s="336"/>
      <c r="O1289" s="301"/>
      <c r="P1289" s="336"/>
      <c r="Q1289" s="301"/>
      <c r="R1289" s="336"/>
      <c r="S1289" s="301"/>
      <c r="T1289" s="336"/>
    </row>
    <row r="1290" spans="1:20" ht="12" customHeight="1" x14ac:dyDescent="0.25">
      <c r="A1290" s="329" t="s">
        <v>284</v>
      </c>
      <c r="B1290" s="330">
        <v>37</v>
      </c>
      <c r="C1290" s="298">
        <v>46112</v>
      </c>
      <c r="D1290" s="299" t="s">
        <v>376</v>
      </c>
      <c r="E1290" s="331">
        <v>4309.58</v>
      </c>
      <c r="F1290" s="331"/>
      <c r="G1290" s="333">
        <f t="shared" si="34"/>
        <v>2722.2499999999873</v>
      </c>
      <c r="H1290" s="334"/>
      <c r="I1290" s="335"/>
      <c r="J1290" s="336"/>
      <c r="K1290" s="301"/>
      <c r="L1290" s="336"/>
      <c r="M1290" s="301"/>
      <c r="N1290" s="336"/>
      <c r="O1290" s="301"/>
      <c r="P1290" s="336"/>
      <c r="Q1290" s="301"/>
      <c r="R1290" s="336"/>
      <c r="S1290" s="301"/>
      <c r="T1290" s="336"/>
    </row>
    <row r="1291" spans="1:20" ht="12" customHeight="1" x14ac:dyDescent="0.25">
      <c r="A1291" s="329" t="s">
        <v>286</v>
      </c>
      <c r="B1291" s="330">
        <v>25</v>
      </c>
      <c r="C1291" s="298">
        <v>46112</v>
      </c>
      <c r="D1291" s="298" t="s">
        <v>204</v>
      </c>
      <c r="E1291" s="331">
        <v>350</v>
      </c>
      <c r="F1291" s="331"/>
      <c r="G1291" s="333">
        <f t="shared" si="34"/>
        <v>7031.8299999999872</v>
      </c>
      <c r="H1291" s="334"/>
      <c r="I1291" s="335"/>
      <c r="J1291" s="336"/>
      <c r="K1291" s="301"/>
      <c r="L1291" s="336"/>
      <c r="M1291" s="301"/>
      <c r="N1291" s="336"/>
      <c r="O1291" s="301"/>
      <c r="P1291" s="336"/>
      <c r="Q1291" s="301"/>
      <c r="R1291" s="336"/>
      <c r="S1291" s="301"/>
      <c r="T1291" s="336"/>
    </row>
    <row r="1292" spans="1:20" ht="12" customHeight="1" x14ac:dyDescent="0.25">
      <c r="A1292" s="329" t="s">
        <v>286</v>
      </c>
      <c r="B1292" s="330">
        <v>26</v>
      </c>
      <c r="C1292" s="298">
        <v>46112</v>
      </c>
      <c r="D1292" s="298" t="s">
        <v>205</v>
      </c>
      <c r="E1292" s="331">
        <v>320</v>
      </c>
      <c r="F1292" s="331"/>
      <c r="G1292" s="333">
        <f t="shared" si="34"/>
        <v>7381.8299999999872</v>
      </c>
      <c r="H1292" s="334"/>
      <c r="I1292" s="335"/>
      <c r="J1292" s="336"/>
      <c r="K1292" s="301"/>
      <c r="L1292" s="336"/>
      <c r="M1292" s="301"/>
      <c r="N1292" s="336"/>
      <c r="O1292" s="301"/>
      <c r="P1292" s="336"/>
      <c r="Q1292" s="301"/>
      <c r="R1292" s="336"/>
      <c r="S1292" s="301"/>
      <c r="T1292" s="336"/>
    </row>
    <row r="1293" spans="1:20" ht="12" customHeight="1" x14ac:dyDescent="0.25">
      <c r="A1293" s="329" t="s">
        <v>286</v>
      </c>
      <c r="B1293" s="330">
        <v>27</v>
      </c>
      <c r="C1293" s="298">
        <v>46112</v>
      </c>
      <c r="D1293" s="298" t="s">
        <v>206</v>
      </c>
      <c r="E1293" s="331">
        <v>25</v>
      </c>
      <c r="F1293" s="331"/>
      <c r="G1293" s="333">
        <f t="shared" si="34"/>
        <v>7701.8299999999872</v>
      </c>
      <c r="H1293" s="334"/>
      <c r="I1293" s="335"/>
      <c r="J1293" s="336"/>
      <c r="K1293" s="301"/>
      <c r="L1293" s="336"/>
      <c r="M1293" s="301"/>
      <c r="N1293" s="336"/>
      <c r="O1293" s="301"/>
      <c r="P1293" s="336"/>
      <c r="Q1293" s="301"/>
      <c r="R1293" s="336"/>
      <c r="S1293" s="301"/>
      <c r="T1293" s="336"/>
    </row>
    <row r="1294" spans="1:20" ht="12" customHeight="1" x14ac:dyDescent="0.25">
      <c r="A1294" s="329" t="s">
        <v>286</v>
      </c>
      <c r="B1294" s="330">
        <v>28</v>
      </c>
      <c r="C1294" s="298">
        <v>46112</v>
      </c>
      <c r="D1294" s="298" t="s">
        <v>207</v>
      </c>
      <c r="E1294" s="331">
        <v>25</v>
      </c>
      <c r="F1294" s="331"/>
      <c r="G1294" s="333">
        <f t="shared" si="34"/>
        <v>7726.8299999999872</v>
      </c>
      <c r="H1294" s="334"/>
      <c r="I1294" s="335"/>
      <c r="J1294" s="336"/>
      <c r="K1294" s="301"/>
      <c r="L1294" s="336"/>
      <c r="M1294" s="301"/>
      <c r="N1294" s="336"/>
      <c r="O1294" s="301"/>
      <c r="P1294" s="336"/>
      <c r="Q1294" s="301"/>
      <c r="R1294" s="336"/>
      <c r="S1294" s="301"/>
      <c r="T1294" s="336"/>
    </row>
    <row r="1295" spans="1:20" ht="12" customHeight="1" x14ac:dyDescent="0.25">
      <c r="A1295" s="329" t="s">
        <v>286</v>
      </c>
      <c r="B1295" s="330">
        <v>29</v>
      </c>
      <c r="C1295" s="298">
        <v>46112</v>
      </c>
      <c r="D1295" s="298" t="s">
        <v>208</v>
      </c>
      <c r="E1295" s="331">
        <v>45</v>
      </c>
      <c r="F1295" s="331"/>
      <c r="G1295" s="333">
        <f t="shared" si="34"/>
        <v>7751.8299999999872</v>
      </c>
      <c r="H1295" s="334"/>
      <c r="I1295" s="335"/>
      <c r="J1295" s="336"/>
      <c r="K1295" s="301"/>
      <c r="L1295" s="336"/>
      <c r="M1295" s="301"/>
      <c r="N1295" s="336"/>
      <c r="O1295" s="301"/>
      <c r="P1295" s="336"/>
      <c r="Q1295" s="301"/>
      <c r="R1295" s="336"/>
      <c r="S1295" s="301"/>
      <c r="T1295" s="336"/>
    </row>
    <row r="1296" spans="1:20" ht="12" customHeight="1" x14ac:dyDescent="0.25">
      <c r="A1296" s="329" t="s">
        <v>286</v>
      </c>
      <c r="B1296" s="330">
        <v>30</v>
      </c>
      <c r="C1296" s="298">
        <v>46112</v>
      </c>
      <c r="D1296" s="298" t="s">
        <v>209</v>
      </c>
      <c r="E1296" s="331">
        <v>400</v>
      </c>
      <c r="F1296" s="331"/>
      <c r="G1296" s="333">
        <f t="shared" si="34"/>
        <v>7796.8299999999872</v>
      </c>
      <c r="H1296" s="334"/>
      <c r="I1296" s="335"/>
      <c r="J1296" s="336"/>
      <c r="K1296" s="301"/>
      <c r="L1296" s="336"/>
      <c r="M1296" s="301"/>
      <c r="N1296" s="336"/>
      <c r="O1296" s="301"/>
      <c r="P1296" s="336"/>
      <c r="Q1296" s="301"/>
      <c r="R1296" s="336"/>
      <c r="S1296" s="301"/>
      <c r="T1296" s="336"/>
    </row>
    <row r="1297" spans="1:20" ht="12" customHeight="1" x14ac:dyDescent="0.25">
      <c r="A1297" s="329" t="s">
        <v>286</v>
      </c>
      <c r="B1297" s="330">
        <v>31</v>
      </c>
      <c r="C1297" s="298">
        <v>46112</v>
      </c>
      <c r="D1297" s="298" t="s">
        <v>210</v>
      </c>
      <c r="E1297" s="331">
        <v>375</v>
      </c>
      <c r="F1297" s="331"/>
      <c r="G1297" s="333">
        <f t="shared" si="34"/>
        <v>8196.8299999999872</v>
      </c>
      <c r="H1297" s="334"/>
      <c r="I1297" s="335"/>
      <c r="J1297" s="336"/>
      <c r="K1297" s="301"/>
      <c r="L1297" s="336"/>
      <c r="M1297" s="301"/>
      <c r="N1297" s="336"/>
      <c r="O1297" s="301"/>
      <c r="P1297" s="336"/>
      <c r="Q1297" s="301"/>
      <c r="R1297" s="336"/>
      <c r="S1297" s="301"/>
      <c r="T1297" s="336"/>
    </row>
    <row r="1298" spans="1:20" ht="12" customHeight="1" x14ac:dyDescent="0.25">
      <c r="A1298" s="329" t="s">
        <v>286</v>
      </c>
      <c r="B1298" s="330">
        <v>32</v>
      </c>
      <c r="C1298" s="298">
        <v>46112</v>
      </c>
      <c r="D1298" s="298" t="s">
        <v>211</v>
      </c>
      <c r="E1298" s="331">
        <v>100</v>
      </c>
      <c r="F1298" s="331"/>
      <c r="G1298" s="333">
        <f t="shared" si="34"/>
        <v>8571.8299999999872</v>
      </c>
      <c r="H1298" s="334"/>
      <c r="I1298" s="335"/>
      <c r="J1298" s="336"/>
      <c r="K1298" s="301"/>
      <c r="L1298" s="336"/>
      <c r="M1298" s="301"/>
      <c r="N1298" s="336"/>
      <c r="O1298" s="301"/>
      <c r="P1298" s="336"/>
      <c r="Q1298" s="301"/>
      <c r="R1298" s="336"/>
      <c r="S1298" s="301"/>
      <c r="T1298" s="336"/>
    </row>
    <row r="1299" spans="1:20" ht="12" customHeight="1" x14ac:dyDescent="0.25">
      <c r="A1299" s="329" t="s">
        <v>286</v>
      </c>
      <c r="B1299" s="330">
        <v>33</v>
      </c>
      <c r="C1299" s="298">
        <v>46112</v>
      </c>
      <c r="D1299" s="298" t="s">
        <v>212</v>
      </c>
      <c r="E1299" s="331">
        <v>85</v>
      </c>
      <c r="F1299" s="331"/>
      <c r="G1299" s="333">
        <f t="shared" si="34"/>
        <v>8671.8299999999872</v>
      </c>
      <c r="H1299" s="334"/>
      <c r="I1299" s="335"/>
      <c r="J1299" s="336"/>
      <c r="K1299" s="301"/>
      <c r="L1299" s="336"/>
      <c r="M1299" s="301"/>
      <c r="N1299" s="336"/>
      <c r="O1299" s="301"/>
      <c r="P1299" s="336"/>
      <c r="Q1299" s="301"/>
      <c r="R1299" s="336"/>
      <c r="S1299" s="301"/>
      <c r="T1299" s="336"/>
    </row>
    <row r="1300" spans="1:20" ht="12" customHeight="1" x14ac:dyDescent="0.25">
      <c r="A1300" s="329" t="s">
        <v>286</v>
      </c>
      <c r="B1300" s="330">
        <v>34</v>
      </c>
      <c r="C1300" s="298">
        <v>46112</v>
      </c>
      <c r="D1300" s="298" t="s">
        <v>213</v>
      </c>
      <c r="E1300" s="331">
        <v>230</v>
      </c>
      <c r="F1300" s="331"/>
      <c r="G1300" s="333">
        <f t="shared" si="34"/>
        <v>8756.8299999999872</v>
      </c>
      <c r="H1300" s="334"/>
      <c r="I1300" s="335"/>
      <c r="J1300" s="336"/>
      <c r="K1300" s="301"/>
      <c r="L1300" s="336"/>
      <c r="M1300" s="301"/>
      <c r="N1300" s="336"/>
      <c r="O1300" s="301"/>
      <c r="P1300" s="336"/>
      <c r="Q1300" s="301"/>
      <c r="R1300" s="336"/>
      <c r="S1300" s="301"/>
      <c r="T1300" s="336"/>
    </row>
    <row r="1301" spans="1:20" ht="12" customHeight="1" x14ac:dyDescent="0.25">
      <c r="A1301" s="329" t="s">
        <v>286</v>
      </c>
      <c r="B1301" s="330">
        <v>35</v>
      </c>
      <c r="C1301" s="298">
        <v>46112</v>
      </c>
      <c r="D1301" s="298" t="s">
        <v>214</v>
      </c>
      <c r="E1301" s="331">
        <v>45</v>
      </c>
      <c r="F1301" s="331"/>
      <c r="G1301" s="333">
        <f t="shared" si="34"/>
        <v>8986.8299999999872</v>
      </c>
      <c r="H1301" s="334"/>
      <c r="I1301" s="335"/>
      <c r="J1301" s="336"/>
      <c r="K1301" s="301"/>
      <c r="L1301" s="336"/>
      <c r="M1301" s="301"/>
      <c r="N1301" s="336"/>
      <c r="O1301" s="301"/>
      <c r="P1301" s="336"/>
      <c r="Q1301" s="301"/>
      <c r="R1301" s="336"/>
      <c r="S1301" s="301"/>
      <c r="T1301" s="336"/>
    </row>
    <row r="1302" spans="1:20" ht="12" customHeight="1" x14ac:dyDescent="0.25">
      <c r="A1302" s="329" t="s">
        <v>289</v>
      </c>
      <c r="B1302" s="330">
        <v>6</v>
      </c>
      <c r="C1302" s="298">
        <v>46112</v>
      </c>
      <c r="D1302" s="298" t="s">
        <v>377</v>
      </c>
      <c r="E1302" s="331">
        <v>40</v>
      </c>
      <c r="F1302" s="331"/>
      <c r="G1302" s="333">
        <f t="shared" si="34"/>
        <v>9031.8299999999872</v>
      </c>
      <c r="H1302" s="334"/>
      <c r="I1302" s="335"/>
      <c r="J1302" s="336"/>
      <c r="K1302" s="301"/>
      <c r="L1302" s="336"/>
      <c r="M1302" s="301"/>
      <c r="N1302" s="336"/>
      <c r="O1302" s="301"/>
      <c r="P1302" s="336"/>
      <c r="Q1302" s="301"/>
      <c r="R1302" s="336"/>
      <c r="S1302" s="301"/>
      <c r="T1302" s="336"/>
    </row>
    <row r="1303" spans="1:20" ht="12" customHeight="1" x14ac:dyDescent="0.25">
      <c r="A1303" s="329" t="s">
        <v>294</v>
      </c>
      <c r="B1303" s="330">
        <v>42</v>
      </c>
      <c r="C1303" s="298">
        <v>46112</v>
      </c>
      <c r="D1303" s="298" t="s">
        <v>200</v>
      </c>
      <c r="E1303" s="331">
        <v>59</v>
      </c>
      <c r="F1303" s="331"/>
      <c r="G1303" s="333">
        <f t="shared" si="34"/>
        <v>9071.8299999999872</v>
      </c>
      <c r="H1303" s="334"/>
      <c r="I1303" s="335"/>
      <c r="J1303" s="336"/>
      <c r="K1303" s="301"/>
      <c r="L1303" s="336"/>
      <c r="M1303" s="301"/>
      <c r="N1303" s="336"/>
      <c r="O1303" s="301"/>
      <c r="P1303" s="336"/>
      <c r="Q1303" s="301"/>
      <c r="R1303" s="336"/>
      <c r="S1303" s="301"/>
      <c r="T1303" s="336"/>
    </row>
    <row r="1304" spans="1:20" ht="12" customHeight="1" x14ac:dyDescent="0.25">
      <c r="A1304" s="329" t="s">
        <v>294</v>
      </c>
      <c r="B1304" s="330">
        <v>43</v>
      </c>
      <c r="C1304" s="298">
        <v>46112</v>
      </c>
      <c r="D1304" s="298" t="s">
        <v>201</v>
      </c>
      <c r="E1304" s="331">
        <v>42.84</v>
      </c>
      <c r="F1304" s="331"/>
      <c r="G1304" s="333">
        <f t="shared" si="34"/>
        <v>9130.8299999999872</v>
      </c>
      <c r="H1304" s="334"/>
      <c r="I1304" s="335"/>
      <c r="J1304" s="336"/>
      <c r="K1304" s="301"/>
      <c r="L1304" s="336"/>
      <c r="M1304" s="301"/>
      <c r="N1304" s="336"/>
      <c r="O1304" s="301"/>
      <c r="P1304" s="336"/>
      <c r="Q1304" s="301"/>
      <c r="R1304" s="336"/>
      <c r="S1304" s="301"/>
      <c r="T1304" s="336"/>
    </row>
    <row r="1305" spans="1:20" ht="12" customHeight="1" x14ac:dyDescent="0.25">
      <c r="A1305" s="329" t="s">
        <v>289</v>
      </c>
      <c r="B1305" s="330">
        <v>6</v>
      </c>
      <c r="C1305" s="298">
        <v>46112</v>
      </c>
      <c r="D1305" s="298" t="s">
        <v>300</v>
      </c>
      <c r="E1305" s="331">
        <v>57.21</v>
      </c>
      <c r="F1305" s="331"/>
      <c r="G1305" s="333">
        <f t="shared" si="34"/>
        <v>9173.6699999999873</v>
      </c>
      <c r="H1305" s="334"/>
      <c r="I1305" s="335"/>
      <c r="J1305" s="336"/>
      <c r="K1305" s="301"/>
      <c r="L1305" s="336"/>
      <c r="M1305" s="301"/>
      <c r="N1305" s="336"/>
      <c r="O1305" s="301"/>
      <c r="P1305" s="336"/>
      <c r="Q1305" s="301"/>
      <c r="R1305" s="336"/>
      <c r="S1305" s="301"/>
      <c r="T1305" s="336"/>
    </row>
    <row r="1306" spans="1:20" ht="12" customHeight="1" x14ac:dyDescent="0.25">
      <c r="A1306" s="329" t="s">
        <v>289</v>
      </c>
      <c r="B1306" s="330">
        <v>8</v>
      </c>
      <c r="C1306" s="298">
        <v>46112</v>
      </c>
      <c r="D1306" s="298" t="s">
        <v>296</v>
      </c>
      <c r="E1306" s="331">
        <v>11.18</v>
      </c>
      <c r="F1306" s="331"/>
      <c r="G1306" s="333">
        <f t="shared" si="34"/>
        <v>9230.8799999999865</v>
      </c>
      <c r="H1306" s="334"/>
      <c r="I1306" s="335"/>
      <c r="J1306" s="336"/>
      <c r="K1306" s="301"/>
      <c r="L1306" s="336"/>
      <c r="M1306" s="301"/>
      <c r="N1306" s="336"/>
      <c r="O1306" s="301"/>
      <c r="P1306" s="336"/>
      <c r="Q1306" s="301"/>
      <c r="R1306" s="336"/>
      <c r="S1306" s="301"/>
      <c r="T1306" s="336"/>
    </row>
    <row r="1307" spans="1:20" ht="12" customHeight="1" x14ac:dyDescent="0.25">
      <c r="A1307" s="329" t="s">
        <v>294</v>
      </c>
      <c r="B1307" s="330">
        <v>10</v>
      </c>
      <c r="C1307" s="298">
        <v>46112</v>
      </c>
      <c r="D1307" s="298" t="s">
        <v>176</v>
      </c>
      <c r="E1307" s="331">
        <v>17.899999999999999</v>
      </c>
      <c r="F1307" s="331"/>
      <c r="G1307" s="333">
        <f t="shared" si="34"/>
        <v>9242.0599999999868</v>
      </c>
      <c r="H1307" s="334"/>
      <c r="I1307" s="335"/>
      <c r="J1307" s="336"/>
      <c r="K1307" s="301"/>
      <c r="L1307" s="336"/>
      <c r="M1307" s="301"/>
      <c r="N1307" s="336"/>
      <c r="O1307" s="301"/>
      <c r="P1307" s="336"/>
      <c r="Q1307" s="301"/>
      <c r="R1307" s="336"/>
      <c r="S1307" s="301"/>
      <c r="T1307" s="336"/>
    </row>
    <row r="1308" spans="1:20" ht="12" customHeight="1" x14ac:dyDescent="0.25">
      <c r="A1308" s="329" t="s">
        <v>289</v>
      </c>
      <c r="B1308" s="330">
        <v>2</v>
      </c>
      <c r="C1308" s="298">
        <v>46111</v>
      </c>
      <c r="D1308" s="298" t="s">
        <v>334</v>
      </c>
      <c r="E1308" s="331">
        <v>23.83</v>
      </c>
      <c r="F1308" s="331"/>
      <c r="G1308" s="333">
        <f t="shared" si="34"/>
        <v>9259.9599999999864</v>
      </c>
      <c r="H1308" s="334"/>
      <c r="I1308" s="335"/>
      <c r="J1308" s="336"/>
      <c r="K1308" s="301"/>
      <c r="L1308" s="336"/>
      <c r="M1308" s="301"/>
      <c r="N1308" s="336"/>
      <c r="O1308" s="301"/>
      <c r="P1308" s="336"/>
      <c r="Q1308" s="301"/>
      <c r="R1308" s="336"/>
      <c r="S1308" s="301"/>
      <c r="T1308" s="336"/>
    </row>
    <row r="1309" spans="1:20" ht="12" customHeight="1" x14ac:dyDescent="0.25">
      <c r="A1309" s="329" t="s">
        <v>291</v>
      </c>
      <c r="B1309" s="330">
        <v>38</v>
      </c>
      <c r="C1309" s="298">
        <v>46111</v>
      </c>
      <c r="D1309" s="299" t="s">
        <v>293</v>
      </c>
      <c r="E1309" s="331"/>
      <c r="F1309" s="331">
        <v>4278.1400000000003</v>
      </c>
      <c r="G1309" s="333">
        <f t="shared" si="34"/>
        <v>9283.7899999999863</v>
      </c>
      <c r="H1309" s="334"/>
      <c r="I1309" s="335"/>
      <c r="J1309" s="336"/>
      <c r="K1309" s="301"/>
      <c r="L1309" s="336"/>
      <c r="M1309" s="301"/>
      <c r="N1309" s="336"/>
      <c r="O1309" s="301"/>
      <c r="P1309" s="336"/>
      <c r="Q1309" s="301"/>
      <c r="R1309" s="336"/>
      <c r="S1309" s="301"/>
      <c r="T1309" s="336"/>
    </row>
    <row r="1310" spans="1:20" ht="12" customHeight="1" x14ac:dyDescent="0.25">
      <c r="A1310" s="329" t="s">
        <v>289</v>
      </c>
      <c r="B1310" s="330">
        <v>3</v>
      </c>
      <c r="C1310" s="298">
        <v>46111</v>
      </c>
      <c r="D1310" s="299" t="s">
        <v>350</v>
      </c>
      <c r="E1310" s="331">
        <v>30</v>
      </c>
      <c r="F1310" s="331"/>
      <c r="G1310" s="333">
        <f t="shared" si="34"/>
        <v>5005.649999999986</v>
      </c>
      <c r="H1310" s="334"/>
      <c r="I1310" s="335"/>
      <c r="J1310" s="336"/>
      <c r="K1310" s="301"/>
      <c r="L1310" s="336"/>
      <c r="M1310" s="301"/>
      <c r="N1310" s="336"/>
      <c r="O1310" s="301"/>
      <c r="P1310" s="336"/>
      <c r="Q1310" s="301"/>
      <c r="R1310" s="336"/>
      <c r="S1310" s="301"/>
      <c r="T1310" s="336"/>
    </row>
    <row r="1311" spans="1:20" ht="12" customHeight="1" x14ac:dyDescent="0.25">
      <c r="A1311" s="329" t="s">
        <v>289</v>
      </c>
      <c r="B1311" s="330">
        <v>6</v>
      </c>
      <c r="C1311" s="298">
        <v>46111</v>
      </c>
      <c r="D1311" s="299" t="s">
        <v>300</v>
      </c>
      <c r="E1311" s="331">
        <v>15.96</v>
      </c>
      <c r="F1311" s="331"/>
      <c r="G1311" s="333">
        <f t="shared" si="34"/>
        <v>5035.649999999986</v>
      </c>
      <c r="H1311" s="334"/>
      <c r="I1311" s="335"/>
      <c r="J1311" s="336"/>
      <c r="K1311" s="301"/>
      <c r="L1311" s="336"/>
      <c r="M1311" s="301"/>
      <c r="N1311" s="336"/>
      <c r="O1311" s="301"/>
      <c r="P1311" s="336"/>
      <c r="Q1311" s="301"/>
      <c r="R1311" s="336"/>
      <c r="S1311" s="301"/>
      <c r="T1311" s="336"/>
    </row>
    <row r="1312" spans="1:20" ht="12" customHeight="1" x14ac:dyDescent="0.25">
      <c r="A1312" s="329" t="s">
        <v>289</v>
      </c>
      <c r="B1312" s="330">
        <v>3</v>
      </c>
      <c r="C1312" s="298">
        <v>46111</v>
      </c>
      <c r="D1312" s="299" t="s">
        <v>378</v>
      </c>
      <c r="E1312" s="331">
        <v>18.96</v>
      </c>
      <c r="F1312" s="331"/>
      <c r="G1312" s="333">
        <f t="shared" si="34"/>
        <v>5051.609999999986</v>
      </c>
      <c r="H1312" s="334"/>
      <c r="I1312" s="335"/>
      <c r="J1312" s="336"/>
      <c r="K1312" s="301"/>
      <c r="L1312" s="336"/>
      <c r="M1312" s="301"/>
      <c r="N1312" s="336"/>
      <c r="O1312" s="301"/>
      <c r="P1312" s="336"/>
      <c r="Q1312" s="301"/>
      <c r="R1312" s="336"/>
      <c r="S1312" s="301"/>
      <c r="T1312" s="336"/>
    </row>
    <row r="1313" spans="1:20" ht="12" customHeight="1" x14ac:dyDescent="0.25">
      <c r="A1313" s="329" t="s">
        <v>289</v>
      </c>
      <c r="B1313" s="330">
        <v>1</v>
      </c>
      <c r="C1313" s="298">
        <v>46110</v>
      </c>
      <c r="D1313" s="299" t="s">
        <v>311</v>
      </c>
      <c r="E1313" s="331">
        <v>144.22</v>
      </c>
      <c r="F1313" s="331"/>
      <c r="G1313" s="333">
        <f t="shared" si="34"/>
        <v>5070.5699999999861</v>
      </c>
      <c r="H1313" s="334"/>
      <c r="I1313" s="335"/>
      <c r="J1313" s="336"/>
      <c r="K1313" s="301"/>
      <c r="L1313" s="336"/>
      <c r="M1313" s="301"/>
      <c r="N1313" s="336"/>
      <c r="O1313" s="301"/>
      <c r="P1313" s="336"/>
      <c r="Q1313" s="301"/>
      <c r="R1313" s="336"/>
      <c r="S1313" s="301"/>
      <c r="T1313" s="336"/>
    </row>
    <row r="1314" spans="1:20" ht="12" customHeight="1" x14ac:dyDescent="0.25">
      <c r="A1314" s="329" t="s">
        <v>289</v>
      </c>
      <c r="B1314" s="330">
        <v>7</v>
      </c>
      <c r="C1314" s="298">
        <v>46110</v>
      </c>
      <c r="D1314" s="299" t="s">
        <v>379</v>
      </c>
      <c r="E1314" s="331">
        <v>181.04</v>
      </c>
      <c r="F1314" s="331"/>
      <c r="G1314" s="333">
        <f t="shared" si="34"/>
        <v>5214.7899999999863</v>
      </c>
      <c r="H1314" s="334"/>
      <c r="I1314" s="335"/>
      <c r="J1314" s="336"/>
      <c r="K1314" s="301"/>
      <c r="L1314" s="336"/>
      <c r="M1314" s="301"/>
      <c r="N1314" s="336"/>
      <c r="O1314" s="301"/>
      <c r="P1314" s="336"/>
      <c r="Q1314" s="301"/>
      <c r="R1314" s="336"/>
      <c r="S1314" s="301"/>
      <c r="T1314" s="336"/>
    </row>
    <row r="1315" spans="1:20" ht="12" customHeight="1" x14ac:dyDescent="0.25">
      <c r="A1315" s="329" t="s">
        <v>289</v>
      </c>
      <c r="B1315" s="330">
        <v>6</v>
      </c>
      <c r="C1315" s="298">
        <v>46110</v>
      </c>
      <c r="D1315" s="299" t="s">
        <v>380</v>
      </c>
      <c r="E1315" s="331">
        <v>196.9</v>
      </c>
      <c r="F1315" s="331"/>
      <c r="G1315" s="333">
        <f t="shared" si="34"/>
        <v>5395.8299999999863</v>
      </c>
      <c r="H1315" s="334"/>
      <c r="I1315" s="335"/>
      <c r="J1315" s="336"/>
      <c r="K1315" s="301"/>
      <c r="L1315" s="336"/>
      <c r="M1315" s="301"/>
      <c r="N1315" s="336"/>
      <c r="O1315" s="301"/>
      <c r="P1315" s="336"/>
      <c r="Q1315" s="301"/>
      <c r="R1315" s="336"/>
      <c r="S1315" s="301"/>
      <c r="T1315" s="336"/>
    </row>
    <row r="1316" spans="1:20" ht="12" customHeight="1" x14ac:dyDescent="0.25">
      <c r="A1316" s="329" t="s">
        <v>289</v>
      </c>
      <c r="B1316" s="330">
        <v>3</v>
      </c>
      <c r="C1316" s="298">
        <v>46110</v>
      </c>
      <c r="D1316" s="299" t="s">
        <v>381</v>
      </c>
      <c r="E1316" s="331">
        <v>7.5</v>
      </c>
      <c r="F1316" s="331"/>
      <c r="G1316" s="333">
        <f t="shared" si="34"/>
        <v>5592.7299999999859</v>
      </c>
      <c r="H1316" s="334"/>
      <c r="I1316" s="335"/>
      <c r="J1316" s="336"/>
      <c r="K1316" s="301"/>
      <c r="L1316" s="336"/>
      <c r="M1316" s="301"/>
      <c r="N1316" s="336"/>
      <c r="O1316" s="301"/>
      <c r="P1316" s="336"/>
      <c r="Q1316" s="301"/>
      <c r="R1316" s="336"/>
      <c r="S1316" s="301"/>
      <c r="T1316" s="336"/>
    </row>
    <row r="1317" spans="1:20" ht="12" customHeight="1" x14ac:dyDescent="0.25">
      <c r="A1317" s="329" t="s">
        <v>289</v>
      </c>
      <c r="B1317" s="330">
        <v>8</v>
      </c>
      <c r="C1317" s="298">
        <v>46109</v>
      </c>
      <c r="D1317" s="299" t="s">
        <v>319</v>
      </c>
      <c r="E1317" s="331">
        <v>11.7</v>
      </c>
      <c r="F1317" s="331"/>
      <c r="G1317" s="333">
        <f t="shared" si="34"/>
        <v>5600.2299999999859</v>
      </c>
      <c r="H1317" s="334"/>
      <c r="I1317" s="335"/>
      <c r="J1317" s="336"/>
      <c r="K1317" s="301"/>
      <c r="L1317" s="336"/>
      <c r="M1317" s="301"/>
      <c r="N1317" s="336"/>
      <c r="O1317" s="301"/>
      <c r="P1317" s="336"/>
      <c r="Q1317" s="301"/>
      <c r="R1317" s="336"/>
      <c r="S1317" s="301"/>
      <c r="T1317" s="336"/>
    </row>
    <row r="1318" spans="1:20" ht="12" customHeight="1" x14ac:dyDescent="0.25">
      <c r="A1318" s="329" t="s">
        <v>289</v>
      </c>
      <c r="B1318" s="330">
        <v>2</v>
      </c>
      <c r="C1318" s="298">
        <v>46109</v>
      </c>
      <c r="D1318" s="299" t="s">
        <v>308</v>
      </c>
      <c r="E1318" s="331">
        <v>210.76</v>
      </c>
      <c r="F1318" s="331"/>
      <c r="G1318" s="333">
        <f t="shared" si="34"/>
        <v>5611.9299999999857</v>
      </c>
      <c r="H1318" s="334"/>
      <c r="I1318" s="335"/>
      <c r="J1318" s="336"/>
      <c r="K1318" s="301"/>
      <c r="L1318" s="336"/>
      <c r="M1318" s="301"/>
      <c r="N1318" s="336"/>
      <c r="O1318" s="301"/>
      <c r="P1318" s="336"/>
      <c r="Q1318" s="301"/>
      <c r="R1318" s="336"/>
      <c r="S1318" s="301"/>
      <c r="T1318" s="336"/>
    </row>
    <row r="1319" spans="1:20" ht="12" customHeight="1" x14ac:dyDescent="0.25">
      <c r="A1319" s="329" t="s">
        <v>289</v>
      </c>
      <c r="B1319" s="330">
        <v>4</v>
      </c>
      <c r="C1319" s="298">
        <v>46109</v>
      </c>
      <c r="D1319" s="299" t="s">
        <v>310</v>
      </c>
      <c r="E1319" s="331">
        <v>46.9</v>
      </c>
      <c r="F1319" s="331"/>
      <c r="G1319" s="333">
        <f t="shared" si="34"/>
        <v>5822.689999999986</v>
      </c>
      <c r="H1319" s="334"/>
      <c r="I1319" s="335"/>
      <c r="J1319" s="336"/>
      <c r="K1319" s="301"/>
      <c r="L1319" s="336"/>
      <c r="M1319" s="301"/>
      <c r="N1319" s="336"/>
      <c r="O1319" s="301"/>
      <c r="P1319" s="336"/>
      <c r="Q1319" s="301"/>
      <c r="R1319" s="336"/>
      <c r="S1319" s="301"/>
      <c r="T1319" s="336"/>
    </row>
    <row r="1320" spans="1:20" ht="12" customHeight="1" x14ac:dyDescent="0.25">
      <c r="A1320" s="329" t="s">
        <v>289</v>
      </c>
      <c r="B1320" s="330">
        <v>1</v>
      </c>
      <c r="C1320" s="298">
        <v>46109</v>
      </c>
      <c r="D1320" s="299" t="s">
        <v>329</v>
      </c>
      <c r="E1320" s="331">
        <v>179.1</v>
      </c>
      <c r="F1320" s="331"/>
      <c r="G1320" s="333">
        <f t="shared" si="34"/>
        <v>5869.5899999999856</v>
      </c>
      <c r="H1320" s="334"/>
      <c r="I1320" s="335"/>
      <c r="J1320" s="336"/>
      <c r="K1320" s="301"/>
      <c r="L1320" s="336"/>
      <c r="M1320" s="301"/>
      <c r="N1320" s="336"/>
      <c r="O1320" s="301"/>
      <c r="P1320" s="336"/>
      <c r="Q1320" s="301"/>
      <c r="R1320" s="336"/>
      <c r="S1320" s="301"/>
      <c r="T1320" s="336"/>
    </row>
    <row r="1321" spans="1:20" ht="12" customHeight="1" x14ac:dyDescent="0.25">
      <c r="A1321" s="329" t="s">
        <v>289</v>
      </c>
      <c r="B1321" s="330">
        <v>8</v>
      </c>
      <c r="C1321" s="298">
        <v>46109</v>
      </c>
      <c r="D1321" s="299" t="s">
        <v>308</v>
      </c>
      <c r="E1321" s="331">
        <v>31.97</v>
      </c>
      <c r="F1321" s="331"/>
      <c r="G1321" s="333">
        <f t="shared" si="34"/>
        <v>6048.689999999986</v>
      </c>
      <c r="H1321" s="334"/>
      <c r="I1321" s="335"/>
      <c r="J1321" s="336"/>
      <c r="K1321" s="301"/>
      <c r="L1321" s="336"/>
      <c r="M1321" s="301"/>
      <c r="N1321" s="336"/>
      <c r="O1321" s="301"/>
      <c r="P1321" s="336"/>
      <c r="Q1321" s="301"/>
      <c r="R1321" s="336"/>
      <c r="S1321" s="301"/>
      <c r="T1321" s="336"/>
    </row>
    <row r="1322" spans="1:20" ht="12" customHeight="1" x14ac:dyDescent="0.25">
      <c r="A1322" s="329" t="s">
        <v>289</v>
      </c>
      <c r="B1322" s="330">
        <v>8</v>
      </c>
      <c r="C1322" s="298">
        <v>46109</v>
      </c>
      <c r="D1322" s="299" t="s">
        <v>308</v>
      </c>
      <c r="E1322" s="331">
        <v>12.19</v>
      </c>
      <c r="F1322" s="331"/>
      <c r="G1322" s="333">
        <f t="shared" si="34"/>
        <v>6080.6599999999862</v>
      </c>
      <c r="H1322" s="334"/>
      <c r="I1322" s="335"/>
      <c r="J1322" s="336"/>
      <c r="K1322" s="301"/>
      <c r="L1322" s="336"/>
      <c r="M1322" s="301"/>
      <c r="N1322" s="336"/>
      <c r="O1322" s="301"/>
      <c r="P1322" s="336"/>
      <c r="Q1322" s="301"/>
      <c r="R1322" s="336"/>
      <c r="S1322" s="301"/>
      <c r="T1322" s="336"/>
    </row>
    <row r="1323" spans="1:20" ht="12" customHeight="1" x14ac:dyDescent="0.25">
      <c r="A1323" s="329" t="s">
        <v>291</v>
      </c>
      <c r="B1323" s="330">
        <v>41</v>
      </c>
      <c r="C1323" s="298">
        <v>46108</v>
      </c>
      <c r="D1323" s="299" t="s">
        <v>382</v>
      </c>
      <c r="E1323" s="331"/>
      <c r="F1323" s="331">
        <v>400</v>
      </c>
      <c r="G1323" s="333">
        <f t="shared" si="34"/>
        <v>6092.8499999999858</v>
      </c>
      <c r="H1323" s="334"/>
      <c r="I1323" s="335"/>
      <c r="J1323" s="336"/>
      <c r="K1323" s="301"/>
      <c r="L1323" s="336"/>
      <c r="M1323" s="301"/>
      <c r="N1323" s="336"/>
      <c r="O1323" s="301"/>
      <c r="P1323" s="336"/>
      <c r="Q1323" s="301"/>
      <c r="R1323" s="336"/>
      <c r="S1323" s="301"/>
      <c r="T1323" s="336"/>
    </row>
    <row r="1324" spans="1:20" ht="12" customHeight="1" x14ac:dyDescent="0.25">
      <c r="A1324" s="329" t="s">
        <v>289</v>
      </c>
      <c r="B1324" s="330">
        <v>2</v>
      </c>
      <c r="C1324" s="298">
        <v>46108</v>
      </c>
      <c r="D1324" s="299" t="s">
        <v>301</v>
      </c>
      <c r="E1324" s="331">
        <v>19.5</v>
      </c>
      <c r="F1324" s="331"/>
      <c r="G1324" s="333">
        <f t="shared" si="34"/>
        <v>5692.8499999999858</v>
      </c>
      <c r="H1324" s="334"/>
      <c r="I1324" s="335"/>
      <c r="J1324" s="336"/>
      <c r="K1324" s="301"/>
      <c r="L1324" s="336"/>
      <c r="M1324" s="301"/>
      <c r="N1324" s="336"/>
      <c r="O1324" s="301"/>
      <c r="P1324" s="336"/>
      <c r="Q1324" s="301"/>
      <c r="R1324" s="336"/>
      <c r="S1324" s="301"/>
      <c r="T1324" s="336"/>
    </row>
    <row r="1325" spans="1:20" ht="12" customHeight="1" x14ac:dyDescent="0.25">
      <c r="A1325" s="329" t="s">
        <v>289</v>
      </c>
      <c r="B1325" s="330">
        <v>2</v>
      </c>
      <c r="C1325" s="298">
        <v>46108</v>
      </c>
      <c r="D1325" s="299" t="s">
        <v>296</v>
      </c>
      <c r="E1325" s="331">
        <v>11.48</v>
      </c>
      <c r="F1325" s="331"/>
      <c r="G1325" s="333">
        <f t="shared" si="34"/>
        <v>5712.3499999999858</v>
      </c>
      <c r="H1325" s="334"/>
      <c r="I1325" s="335"/>
      <c r="J1325" s="336"/>
      <c r="K1325" s="301"/>
      <c r="L1325" s="336"/>
      <c r="M1325" s="301"/>
      <c r="N1325" s="336"/>
      <c r="O1325" s="301"/>
      <c r="P1325" s="336"/>
      <c r="Q1325" s="301"/>
      <c r="R1325" s="336"/>
      <c r="S1325" s="301"/>
      <c r="T1325" s="336"/>
    </row>
    <row r="1326" spans="1:20" ht="12" customHeight="1" x14ac:dyDescent="0.25">
      <c r="A1326" s="329" t="s">
        <v>289</v>
      </c>
      <c r="B1326" s="330">
        <v>8</v>
      </c>
      <c r="C1326" s="298">
        <v>46108</v>
      </c>
      <c r="D1326" s="299" t="s">
        <v>334</v>
      </c>
      <c r="E1326" s="331">
        <v>11.46</v>
      </c>
      <c r="F1326" s="331"/>
      <c r="G1326" s="333">
        <f t="shared" si="34"/>
        <v>5723.8299999999854</v>
      </c>
      <c r="H1326" s="334"/>
      <c r="I1326" s="335"/>
      <c r="J1326" s="336"/>
      <c r="K1326" s="301"/>
      <c r="L1326" s="336"/>
      <c r="M1326" s="301"/>
      <c r="N1326" s="336"/>
      <c r="O1326" s="301"/>
      <c r="P1326" s="336"/>
      <c r="Q1326" s="301"/>
      <c r="R1326" s="336"/>
      <c r="S1326" s="301"/>
      <c r="T1326" s="336"/>
    </row>
    <row r="1327" spans="1:20" ht="12" customHeight="1" x14ac:dyDescent="0.25">
      <c r="A1327" s="329" t="s">
        <v>289</v>
      </c>
      <c r="B1327" s="330">
        <v>4</v>
      </c>
      <c r="C1327" s="298">
        <v>46108</v>
      </c>
      <c r="D1327" s="299" t="s">
        <v>334</v>
      </c>
      <c r="E1327" s="331">
        <v>38.21</v>
      </c>
      <c r="F1327" s="331"/>
      <c r="G1327" s="333">
        <f t="shared" si="34"/>
        <v>5735.2899999999854</v>
      </c>
      <c r="H1327" s="334"/>
      <c r="I1327" s="335"/>
      <c r="J1327" s="336"/>
      <c r="K1327" s="301"/>
      <c r="L1327" s="336"/>
      <c r="M1327" s="301"/>
      <c r="N1327" s="336"/>
      <c r="O1327" s="301"/>
      <c r="P1327" s="336"/>
      <c r="Q1327" s="301"/>
      <c r="R1327" s="336"/>
      <c r="S1327" s="301"/>
      <c r="T1327" s="336"/>
    </row>
    <row r="1328" spans="1:20" ht="12" customHeight="1" x14ac:dyDescent="0.25">
      <c r="A1328" s="329" t="s">
        <v>289</v>
      </c>
      <c r="B1328" s="330">
        <v>2</v>
      </c>
      <c r="C1328" s="298">
        <v>46108</v>
      </c>
      <c r="D1328" s="299" t="s">
        <v>383</v>
      </c>
      <c r="E1328" s="331">
        <v>69.95</v>
      </c>
      <c r="F1328" s="331"/>
      <c r="G1328" s="333">
        <f t="shared" si="34"/>
        <v>5773.4999999999854</v>
      </c>
      <c r="H1328" s="334"/>
      <c r="I1328" s="335"/>
      <c r="J1328" s="336"/>
      <c r="K1328" s="301"/>
      <c r="L1328" s="336"/>
      <c r="M1328" s="301"/>
      <c r="N1328" s="336"/>
      <c r="O1328" s="301"/>
      <c r="P1328" s="336"/>
      <c r="Q1328" s="301"/>
      <c r="R1328" s="336"/>
      <c r="S1328" s="301"/>
      <c r="T1328" s="336"/>
    </row>
    <row r="1329" spans="1:20" ht="12" customHeight="1" x14ac:dyDescent="0.25">
      <c r="A1329" s="329" t="s">
        <v>289</v>
      </c>
      <c r="B1329" s="330">
        <v>3</v>
      </c>
      <c r="C1329" s="298">
        <v>46108</v>
      </c>
      <c r="D1329" s="299" t="s">
        <v>347</v>
      </c>
      <c r="E1329" s="331">
        <v>10.78</v>
      </c>
      <c r="F1329" s="331"/>
      <c r="G1329" s="333">
        <f t="shared" si="34"/>
        <v>5843.4499999999853</v>
      </c>
      <c r="H1329" s="334"/>
      <c r="I1329" s="335"/>
      <c r="J1329" s="336"/>
      <c r="K1329" s="301"/>
      <c r="L1329" s="336"/>
      <c r="M1329" s="301"/>
      <c r="N1329" s="336"/>
      <c r="O1329" s="301"/>
      <c r="P1329" s="336"/>
      <c r="Q1329" s="301"/>
      <c r="R1329" s="336"/>
      <c r="S1329" s="301"/>
      <c r="T1329" s="336"/>
    </row>
    <row r="1330" spans="1:20" ht="12" customHeight="1" x14ac:dyDescent="0.25">
      <c r="A1330" s="329" t="s">
        <v>289</v>
      </c>
      <c r="B1330" s="330">
        <v>6</v>
      </c>
      <c r="C1330" s="298">
        <v>46108</v>
      </c>
      <c r="D1330" s="299" t="s">
        <v>300</v>
      </c>
      <c r="E1330" s="331">
        <v>15.84</v>
      </c>
      <c r="F1330" s="331"/>
      <c r="G1330" s="333">
        <f t="shared" si="34"/>
        <v>5854.229999999985</v>
      </c>
      <c r="H1330" s="334"/>
      <c r="I1330" s="335"/>
      <c r="J1330" s="336"/>
      <c r="K1330" s="301"/>
      <c r="L1330" s="336"/>
      <c r="M1330" s="301"/>
      <c r="N1330" s="336"/>
      <c r="O1330" s="301"/>
      <c r="P1330" s="336"/>
      <c r="Q1330" s="301"/>
      <c r="R1330" s="336"/>
      <c r="S1330" s="301"/>
      <c r="T1330" s="336"/>
    </row>
    <row r="1331" spans="1:20" ht="12" customHeight="1" x14ac:dyDescent="0.25">
      <c r="A1331" s="329" t="s">
        <v>289</v>
      </c>
      <c r="B1331" s="330">
        <v>8</v>
      </c>
      <c r="C1331" s="298">
        <v>46108</v>
      </c>
      <c r="D1331" s="299" t="s">
        <v>384</v>
      </c>
      <c r="E1331" s="331">
        <v>22.48</v>
      </c>
      <c r="F1331" s="331"/>
      <c r="G1331" s="333">
        <f t="shared" si="34"/>
        <v>5870.0699999999852</v>
      </c>
      <c r="H1331" s="334"/>
      <c r="I1331" s="335"/>
      <c r="J1331" s="336"/>
      <c r="K1331" s="301"/>
      <c r="L1331" s="336"/>
      <c r="M1331" s="301"/>
      <c r="N1331" s="336"/>
      <c r="O1331" s="301"/>
      <c r="P1331" s="336"/>
      <c r="Q1331" s="301"/>
      <c r="R1331" s="336"/>
      <c r="S1331" s="301"/>
      <c r="T1331" s="336"/>
    </row>
    <row r="1332" spans="1:20" ht="12" customHeight="1" x14ac:dyDescent="0.25">
      <c r="A1332" s="329" t="s">
        <v>289</v>
      </c>
      <c r="B1332" s="330">
        <v>2</v>
      </c>
      <c r="C1332" s="298">
        <v>46107</v>
      </c>
      <c r="D1332" s="299" t="s">
        <v>357</v>
      </c>
      <c r="E1332" s="331">
        <v>11.17</v>
      </c>
      <c r="F1332" s="331"/>
      <c r="G1332" s="333">
        <f t="shared" si="34"/>
        <v>5892.5499999999847</v>
      </c>
      <c r="H1332" s="334"/>
      <c r="I1332" s="335"/>
      <c r="J1332" s="336"/>
      <c r="K1332" s="301"/>
      <c r="L1332" s="336"/>
      <c r="M1332" s="301"/>
      <c r="N1332" s="336"/>
      <c r="O1332" s="301"/>
      <c r="P1332" s="336"/>
      <c r="Q1332" s="301"/>
      <c r="R1332" s="336"/>
      <c r="S1332" s="301"/>
      <c r="T1332" s="336"/>
    </row>
    <row r="1333" spans="1:20" ht="12" customHeight="1" x14ac:dyDescent="0.25">
      <c r="A1333" s="329" t="s">
        <v>289</v>
      </c>
      <c r="B1333" s="330">
        <v>2</v>
      </c>
      <c r="C1333" s="298">
        <v>46107</v>
      </c>
      <c r="D1333" s="299" t="s">
        <v>385</v>
      </c>
      <c r="E1333" s="331">
        <v>14.38</v>
      </c>
      <c r="F1333" s="331"/>
      <c r="G1333" s="333">
        <f t="shared" si="34"/>
        <v>5903.7199999999848</v>
      </c>
      <c r="H1333" s="334"/>
      <c r="I1333" s="335"/>
      <c r="J1333" s="336"/>
      <c r="K1333" s="301"/>
      <c r="L1333" s="336"/>
      <c r="M1333" s="301"/>
      <c r="N1333" s="336"/>
      <c r="O1333" s="301"/>
      <c r="P1333" s="336"/>
      <c r="Q1333" s="301"/>
      <c r="R1333" s="336"/>
      <c r="S1333" s="301"/>
      <c r="T1333" s="336"/>
    </row>
    <row r="1334" spans="1:20" ht="12" customHeight="1" x14ac:dyDescent="0.25">
      <c r="A1334" s="329" t="s">
        <v>289</v>
      </c>
      <c r="B1334" s="330">
        <v>8</v>
      </c>
      <c r="C1334" s="298">
        <v>46107</v>
      </c>
      <c r="D1334" s="299" t="s">
        <v>386</v>
      </c>
      <c r="E1334" s="331">
        <v>45</v>
      </c>
      <c r="F1334" s="331"/>
      <c r="G1334" s="333">
        <f t="shared" si="34"/>
        <v>5918.0999999999849</v>
      </c>
      <c r="H1334" s="334"/>
      <c r="I1334" s="335"/>
      <c r="J1334" s="336"/>
      <c r="K1334" s="301"/>
      <c r="L1334" s="336"/>
      <c r="M1334" s="301"/>
      <c r="N1334" s="336"/>
      <c r="O1334" s="301"/>
      <c r="P1334" s="336"/>
      <c r="Q1334" s="301"/>
      <c r="R1334" s="336"/>
      <c r="S1334" s="301"/>
      <c r="T1334" s="336"/>
    </row>
    <row r="1335" spans="1:20" ht="12" customHeight="1" x14ac:dyDescent="0.25">
      <c r="A1335" s="329" t="s">
        <v>289</v>
      </c>
      <c r="B1335" s="330">
        <v>2</v>
      </c>
      <c r="C1335" s="298">
        <v>46107</v>
      </c>
      <c r="D1335" s="299" t="s">
        <v>324</v>
      </c>
      <c r="E1335" s="331">
        <v>9.0299999999999994</v>
      </c>
      <c r="F1335" s="331"/>
      <c r="G1335" s="333">
        <f t="shared" si="34"/>
        <v>5963.0999999999849</v>
      </c>
      <c r="H1335" s="334"/>
      <c r="I1335" s="335"/>
      <c r="J1335" s="336"/>
      <c r="K1335" s="301"/>
      <c r="L1335" s="336"/>
      <c r="M1335" s="301"/>
      <c r="N1335" s="336"/>
      <c r="O1335" s="301"/>
      <c r="P1335" s="336"/>
      <c r="Q1335" s="301"/>
      <c r="R1335" s="336"/>
      <c r="S1335" s="301"/>
      <c r="T1335" s="336"/>
    </row>
    <row r="1336" spans="1:20" ht="12" customHeight="1" x14ac:dyDescent="0.25">
      <c r="A1336" s="329" t="s">
        <v>289</v>
      </c>
      <c r="B1336" s="330">
        <v>2</v>
      </c>
      <c r="C1336" s="298">
        <v>46107</v>
      </c>
      <c r="D1336" s="299" t="s">
        <v>301</v>
      </c>
      <c r="E1336" s="331">
        <v>30</v>
      </c>
      <c r="F1336" s="331"/>
      <c r="G1336" s="333">
        <f t="shared" si="34"/>
        <v>5972.1299999999846</v>
      </c>
      <c r="H1336" s="334"/>
      <c r="I1336" s="335"/>
      <c r="J1336" s="336"/>
      <c r="K1336" s="301"/>
      <c r="L1336" s="336"/>
      <c r="M1336" s="301"/>
      <c r="N1336" s="336"/>
      <c r="O1336" s="301"/>
      <c r="P1336" s="336"/>
      <c r="Q1336" s="301"/>
      <c r="R1336" s="336"/>
      <c r="S1336" s="301"/>
      <c r="T1336" s="336"/>
    </row>
    <row r="1337" spans="1:20" ht="12" customHeight="1" x14ac:dyDescent="0.25">
      <c r="A1337" s="329" t="s">
        <v>289</v>
      </c>
      <c r="B1337" s="330">
        <v>6</v>
      </c>
      <c r="C1337" s="298">
        <v>46106</v>
      </c>
      <c r="D1337" s="299" t="s">
        <v>387</v>
      </c>
      <c r="E1337" s="331">
        <v>12</v>
      </c>
      <c r="F1337" s="331"/>
      <c r="G1337" s="333">
        <f t="shared" si="34"/>
        <v>6002.1299999999846</v>
      </c>
      <c r="H1337" s="334"/>
      <c r="I1337" s="335"/>
      <c r="J1337" s="336"/>
      <c r="K1337" s="301"/>
      <c r="L1337" s="336"/>
      <c r="M1337" s="301"/>
      <c r="N1337" s="336"/>
      <c r="O1337" s="301"/>
      <c r="P1337" s="336"/>
      <c r="Q1337" s="301"/>
      <c r="R1337" s="336"/>
      <c r="S1337" s="301"/>
      <c r="T1337" s="336"/>
    </row>
    <row r="1338" spans="1:20" ht="12" customHeight="1" x14ac:dyDescent="0.25">
      <c r="A1338" s="329" t="s">
        <v>289</v>
      </c>
      <c r="B1338" s="330">
        <v>6</v>
      </c>
      <c r="C1338" s="298">
        <v>46106</v>
      </c>
      <c r="D1338" s="299" t="s">
        <v>388</v>
      </c>
      <c r="E1338" s="331">
        <v>20</v>
      </c>
      <c r="F1338" s="331"/>
      <c r="G1338" s="333">
        <f t="shared" si="34"/>
        <v>6014.1299999999846</v>
      </c>
      <c r="H1338" s="334"/>
      <c r="I1338" s="335"/>
      <c r="J1338" s="336"/>
      <c r="K1338" s="301"/>
      <c r="L1338" s="336"/>
      <c r="M1338" s="301"/>
      <c r="N1338" s="336"/>
      <c r="O1338" s="301"/>
      <c r="P1338" s="336"/>
      <c r="Q1338" s="301"/>
      <c r="R1338" s="336"/>
      <c r="S1338" s="301"/>
      <c r="T1338" s="336"/>
    </row>
    <row r="1339" spans="1:20" ht="12" customHeight="1" x14ac:dyDescent="0.25">
      <c r="A1339" s="329" t="s">
        <v>289</v>
      </c>
      <c r="B1339" s="330">
        <v>2</v>
      </c>
      <c r="C1339" s="298">
        <v>46106</v>
      </c>
      <c r="D1339" s="299" t="s">
        <v>296</v>
      </c>
      <c r="E1339" s="331">
        <v>21.05</v>
      </c>
      <c r="F1339" s="331"/>
      <c r="G1339" s="333">
        <f t="shared" si="34"/>
        <v>6034.1299999999846</v>
      </c>
      <c r="H1339" s="334"/>
      <c r="I1339" s="335"/>
      <c r="J1339" s="336"/>
      <c r="K1339" s="301"/>
      <c r="L1339" s="336"/>
      <c r="M1339" s="301"/>
      <c r="N1339" s="336"/>
      <c r="O1339" s="301"/>
      <c r="P1339" s="336"/>
      <c r="Q1339" s="301"/>
      <c r="R1339" s="336"/>
      <c r="S1339" s="301"/>
      <c r="T1339" s="336"/>
    </row>
    <row r="1340" spans="1:20" ht="12" customHeight="1" x14ac:dyDescent="0.25">
      <c r="A1340" s="329" t="s">
        <v>289</v>
      </c>
      <c r="B1340" s="330">
        <v>4</v>
      </c>
      <c r="C1340" s="298">
        <v>46106</v>
      </c>
      <c r="D1340" s="299" t="s">
        <v>296</v>
      </c>
      <c r="E1340" s="331">
        <v>38.58</v>
      </c>
      <c r="F1340" s="331"/>
      <c r="G1340" s="333">
        <f t="shared" si="34"/>
        <v>6055.1799999999848</v>
      </c>
      <c r="H1340" s="334"/>
      <c r="I1340" s="335"/>
      <c r="J1340" s="336"/>
      <c r="K1340" s="301"/>
      <c r="L1340" s="336"/>
      <c r="M1340" s="301"/>
      <c r="N1340" s="336"/>
      <c r="O1340" s="301"/>
      <c r="P1340" s="336"/>
      <c r="Q1340" s="301"/>
      <c r="R1340" s="336"/>
      <c r="S1340" s="301"/>
      <c r="T1340" s="336"/>
    </row>
    <row r="1341" spans="1:20" ht="12" customHeight="1" x14ac:dyDescent="0.25">
      <c r="A1341" s="329" t="s">
        <v>294</v>
      </c>
      <c r="B1341" s="330">
        <v>12</v>
      </c>
      <c r="C1341" s="298">
        <v>46106</v>
      </c>
      <c r="D1341" s="299" t="s">
        <v>314</v>
      </c>
      <c r="E1341" s="331">
        <v>204.47</v>
      </c>
      <c r="F1341" s="331"/>
      <c r="G1341" s="333">
        <f t="shared" si="34"/>
        <v>6093.7599999999848</v>
      </c>
      <c r="H1341" s="334"/>
      <c r="I1341" s="335"/>
      <c r="J1341" s="336"/>
      <c r="K1341" s="301"/>
      <c r="L1341" s="336"/>
      <c r="M1341" s="301"/>
      <c r="N1341" s="336"/>
      <c r="O1341" s="301"/>
      <c r="P1341" s="336"/>
      <c r="Q1341" s="301"/>
      <c r="R1341" s="336"/>
      <c r="S1341" s="301"/>
      <c r="T1341" s="336"/>
    </row>
    <row r="1342" spans="1:20" ht="12" customHeight="1" x14ac:dyDescent="0.25">
      <c r="A1342" s="329" t="s">
        <v>294</v>
      </c>
      <c r="B1342" s="330">
        <v>24</v>
      </c>
      <c r="C1342" s="298">
        <v>46105</v>
      </c>
      <c r="D1342" s="299" t="s">
        <v>858</v>
      </c>
      <c r="E1342" s="331">
        <v>86.58</v>
      </c>
      <c r="F1342" s="331"/>
      <c r="G1342" s="333">
        <f t="shared" si="34"/>
        <v>6298.229999999985</v>
      </c>
      <c r="H1342" s="334"/>
      <c r="I1342" s="335"/>
      <c r="J1342" s="336"/>
      <c r="K1342" s="301"/>
      <c r="L1342" s="336"/>
      <c r="M1342" s="301"/>
      <c r="N1342" s="336"/>
      <c r="O1342" s="301"/>
      <c r="P1342" s="336"/>
      <c r="Q1342" s="301"/>
      <c r="R1342" s="336"/>
      <c r="S1342" s="301"/>
      <c r="T1342" s="336"/>
    </row>
    <row r="1343" spans="1:20" ht="12" customHeight="1" x14ac:dyDescent="0.25">
      <c r="A1343" s="329" t="s">
        <v>289</v>
      </c>
      <c r="B1343" s="330">
        <v>6</v>
      </c>
      <c r="C1343" s="298">
        <v>46105</v>
      </c>
      <c r="D1343" s="299" t="s">
        <v>388</v>
      </c>
      <c r="E1343" s="331">
        <v>20</v>
      </c>
      <c r="F1343" s="331"/>
      <c r="G1343" s="333">
        <f t="shared" si="34"/>
        <v>6384.8099999999849</v>
      </c>
      <c r="H1343" s="334"/>
      <c r="I1343" s="335"/>
      <c r="J1343" s="336"/>
      <c r="K1343" s="301"/>
      <c r="L1343" s="336"/>
      <c r="M1343" s="301"/>
      <c r="N1343" s="336"/>
      <c r="O1343" s="301"/>
      <c r="P1343" s="336"/>
      <c r="Q1343" s="301"/>
      <c r="R1343" s="336"/>
      <c r="S1343" s="301"/>
      <c r="T1343" s="336"/>
    </row>
    <row r="1344" spans="1:20" ht="12" customHeight="1" x14ac:dyDescent="0.25">
      <c r="A1344" s="329" t="s">
        <v>289</v>
      </c>
      <c r="B1344" s="330">
        <v>2</v>
      </c>
      <c r="C1344" s="298">
        <v>46105</v>
      </c>
      <c r="D1344" s="299" t="s">
        <v>389</v>
      </c>
      <c r="E1344" s="331">
        <v>15.29</v>
      </c>
      <c r="F1344" s="331"/>
      <c r="G1344" s="333">
        <f t="shared" si="34"/>
        <v>6404.8099999999849</v>
      </c>
      <c r="H1344" s="334"/>
      <c r="I1344" s="335"/>
      <c r="J1344" s="336"/>
      <c r="K1344" s="301"/>
      <c r="L1344" s="336"/>
      <c r="M1344" s="301"/>
      <c r="N1344" s="336"/>
      <c r="O1344" s="301"/>
      <c r="P1344" s="336"/>
      <c r="Q1344" s="301"/>
      <c r="R1344" s="336"/>
      <c r="S1344" s="301"/>
      <c r="T1344" s="336"/>
    </row>
    <row r="1345" spans="1:20" ht="12" customHeight="1" x14ac:dyDescent="0.25">
      <c r="A1345" s="329" t="s">
        <v>289</v>
      </c>
      <c r="B1345" s="330">
        <v>8</v>
      </c>
      <c r="C1345" s="298">
        <v>46105</v>
      </c>
      <c r="D1345" s="299" t="s">
        <v>308</v>
      </c>
      <c r="E1345" s="331">
        <v>47.99</v>
      </c>
      <c r="F1345" s="331"/>
      <c r="G1345" s="333">
        <f t="shared" si="34"/>
        <v>6420.0999999999849</v>
      </c>
      <c r="H1345" s="334"/>
      <c r="I1345" s="335"/>
      <c r="J1345" s="336"/>
      <c r="K1345" s="301"/>
      <c r="L1345" s="336"/>
      <c r="M1345" s="301"/>
      <c r="N1345" s="336"/>
      <c r="O1345" s="301"/>
      <c r="P1345" s="336"/>
      <c r="Q1345" s="301"/>
      <c r="R1345" s="336"/>
      <c r="S1345" s="301"/>
      <c r="T1345" s="336"/>
    </row>
    <row r="1346" spans="1:20" ht="12" customHeight="1" x14ac:dyDescent="0.25">
      <c r="A1346" s="329" t="s">
        <v>294</v>
      </c>
      <c r="B1346" s="330">
        <v>23</v>
      </c>
      <c r="C1346" s="298">
        <v>46104</v>
      </c>
      <c r="D1346" s="299" t="s">
        <v>67</v>
      </c>
      <c r="E1346" s="331">
        <v>650.88</v>
      </c>
      <c r="F1346" s="331"/>
      <c r="G1346" s="333">
        <f t="shared" si="34"/>
        <v>6468.0899999999847</v>
      </c>
      <c r="H1346" s="334"/>
      <c r="I1346" s="335"/>
      <c r="J1346" s="336"/>
      <c r="K1346" s="301"/>
      <c r="L1346" s="336"/>
      <c r="M1346" s="301"/>
      <c r="N1346" s="336"/>
      <c r="O1346" s="301"/>
      <c r="P1346" s="336"/>
      <c r="Q1346" s="301"/>
      <c r="R1346" s="336"/>
      <c r="S1346" s="301"/>
      <c r="T1346" s="336"/>
    </row>
    <row r="1347" spans="1:20" ht="12" customHeight="1" x14ac:dyDescent="0.25">
      <c r="A1347" s="329" t="s">
        <v>289</v>
      </c>
      <c r="B1347" s="330">
        <v>2</v>
      </c>
      <c r="C1347" s="298">
        <v>46104</v>
      </c>
      <c r="D1347" s="299" t="s">
        <v>390</v>
      </c>
      <c r="E1347" s="331">
        <v>46</v>
      </c>
      <c r="F1347" s="331"/>
      <c r="G1347" s="333">
        <f t="shared" si="34"/>
        <v>7118.9699999999848</v>
      </c>
      <c r="H1347" s="334"/>
      <c r="I1347" s="335"/>
      <c r="J1347" s="336"/>
      <c r="K1347" s="301"/>
      <c r="L1347" s="336"/>
      <c r="M1347" s="301"/>
      <c r="N1347" s="336"/>
      <c r="O1347" s="301"/>
      <c r="P1347" s="336"/>
      <c r="Q1347" s="301"/>
      <c r="R1347" s="336"/>
      <c r="S1347" s="301"/>
      <c r="T1347" s="336"/>
    </row>
    <row r="1348" spans="1:20" ht="12" customHeight="1" x14ac:dyDescent="0.25">
      <c r="A1348" s="329" t="s">
        <v>289</v>
      </c>
      <c r="B1348" s="330">
        <v>2</v>
      </c>
      <c r="C1348" s="298">
        <v>46103</v>
      </c>
      <c r="D1348" s="299" t="s">
        <v>391</v>
      </c>
      <c r="E1348" s="331">
        <v>24.81</v>
      </c>
      <c r="F1348" s="331"/>
      <c r="G1348" s="333">
        <f t="shared" si="34"/>
        <v>7164.9699999999848</v>
      </c>
      <c r="H1348" s="334"/>
      <c r="I1348" s="335"/>
      <c r="J1348" s="336"/>
      <c r="K1348" s="301"/>
      <c r="L1348" s="336"/>
      <c r="M1348" s="301"/>
      <c r="N1348" s="336"/>
      <c r="O1348" s="301"/>
      <c r="P1348" s="336"/>
      <c r="Q1348" s="301"/>
      <c r="R1348" s="336"/>
      <c r="S1348" s="301"/>
      <c r="T1348" s="336"/>
    </row>
    <row r="1349" spans="1:20" ht="12" customHeight="1" x14ac:dyDescent="0.25">
      <c r="A1349" s="329" t="s">
        <v>289</v>
      </c>
      <c r="B1349" s="330">
        <v>4</v>
      </c>
      <c r="C1349" s="298">
        <v>46103</v>
      </c>
      <c r="D1349" s="299" t="s">
        <v>296</v>
      </c>
      <c r="E1349" s="331">
        <v>28.77</v>
      </c>
      <c r="F1349" s="331"/>
      <c r="G1349" s="333">
        <f t="shared" si="34"/>
        <v>7189.7799999999852</v>
      </c>
      <c r="H1349" s="334"/>
      <c r="I1349" s="335"/>
      <c r="J1349" s="336"/>
      <c r="K1349" s="301"/>
      <c r="L1349" s="336"/>
      <c r="M1349" s="301"/>
      <c r="N1349" s="336"/>
      <c r="O1349" s="301"/>
      <c r="P1349" s="336"/>
      <c r="Q1349" s="301"/>
      <c r="R1349" s="336"/>
      <c r="S1349" s="301"/>
      <c r="T1349" s="336"/>
    </row>
    <row r="1350" spans="1:20" ht="12" customHeight="1" x14ac:dyDescent="0.25">
      <c r="A1350" s="329" t="s">
        <v>289</v>
      </c>
      <c r="B1350" s="330">
        <v>8</v>
      </c>
      <c r="C1350" s="298">
        <v>46103</v>
      </c>
      <c r="D1350" s="299" t="s">
        <v>296</v>
      </c>
      <c r="E1350" s="331">
        <v>11.9</v>
      </c>
      <c r="F1350" s="331"/>
      <c r="G1350" s="333">
        <f t="shared" si="34"/>
        <v>7218.5499999999856</v>
      </c>
      <c r="H1350" s="334"/>
      <c r="I1350" s="335"/>
      <c r="J1350" s="336"/>
      <c r="K1350" s="301"/>
      <c r="L1350" s="336"/>
      <c r="M1350" s="301"/>
      <c r="N1350" s="336"/>
      <c r="O1350" s="301"/>
      <c r="P1350" s="336"/>
      <c r="Q1350" s="301"/>
      <c r="R1350" s="336"/>
      <c r="S1350" s="301"/>
      <c r="T1350" s="336"/>
    </row>
    <row r="1351" spans="1:20" ht="12" customHeight="1" x14ac:dyDescent="0.25">
      <c r="A1351" s="329" t="s">
        <v>289</v>
      </c>
      <c r="B1351" s="330">
        <v>1</v>
      </c>
      <c r="C1351" s="298">
        <v>46103</v>
      </c>
      <c r="D1351" s="299" t="s">
        <v>300</v>
      </c>
      <c r="E1351" s="331">
        <v>42.59</v>
      </c>
      <c r="F1351" s="331"/>
      <c r="G1351" s="333">
        <f t="shared" si="34"/>
        <v>7230.4499999999853</v>
      </c>
      <c r="H1351" s="334"/>
      <c r="I1351" s="335"/>
      <c r="J1351" s="336"/>
      <c r="K1351" s="301"/>
      <c r="L1351" s="336"/>
      <c r="M1351" s="301"/>
      <c r="N1351" s="336"/>
      <c r="O1351" s="301"/>
      <c r="P1351" s="336"/>
      <c r="Q1351" s="301"/>
      <c r="R1351" s="336"/>
      <c r="S1351" s="301"/>
      <c r="T1351" s="336"/>
    </row>
    <row r="1352" spans="1:20" ht="12" customHeight="1" x14ac:dyDescent="0.25">
      <c r="A1352" s="329" t="s">
        <v>289</v>
      </c>
      <c r="B1352" s="330">
        <v>6</v>
      </c>
      <c r="C1352" s="298">
        <v>46103</v>
      </c>
      <c r="D1352" s="299" t="s">
        <v>300</v>
      </c>
      <c r="E1352" s="331">
        <v>17.579999999999998</v>
      </c>
      <c r="F1352" s="331"/>
      <c r="G1352" s="333">
        <f t="shared" si="34"/>
        <v>7273.0399999999854</v>
      </c>
      <c r="H1352" s="334"/>
      <c r="I1352" s="335"/>
      <c r="J1352" s="336"/>
      <c r="K1352" s="301"/>
      <c r="L1352" s="336"/>
      <c r="M1352" s="301"/>
      <c r="N1352" s="336"/>
      <c r="O1352" s="301"/>
      <c r="P1352" s="336"/>
      <c r="Q1352" s="301"/>
      <c r="R1352" s="336"/>
      <c r="S1352" s="301"/>
      <c r="T1352" s="336"/>
    </row>
    <row r="1353" spans="1:20" ht="12" customHeight="1" x14ac:dyDescent="0.25">
      <c r="A1353" s="329" t="s">
        <v>289</v>
      </c>
      <c r="B1353" s="330">
        <v>1</v>
      </c>
      <c r="C1353" s="298">
        <v>46103</v>
      </c>
      <c r="D1353" s="299" t="s">
        <v>300</v>
      </c>
      <c r="E1353" s="331">
        <v>11.99</v>
      </c>
      <c r="F1353" s="331"/>
      <c r="G1353" s="333">
        <f t="shared" si="34"/>
        <v>7290.6199999999853</v>
      </c>
      <c r="H1353" s="334"/>
      <c r="I1353" s="335"/>
      <c r="J1353" s="336"/>
      <c r="K1353" s="301"/>
      <c r="L1353" s="336"/>
      <c r="M1353" s="301"/>
      <c r="N1353" s="336"/>
      <c r="O1353" s="301"/>
      <c r="P1353" s="336"/>
      <c r="Q1353" s="301"/>
      <c r="R1353" s="336"/>
      <c r="S1353" s="301"/>
      <c r="T1353" s="336"/>
    </row>
    <row r="1354" spans="1:20" ht="12" customHeight="1" x14ac:dyDescent="0.25">
      <c r="A1354" s="329" t="s">
        <v>289</v>
      </c>
      <c r="B1354" s="330">
        <v>1</v>
      </c>
      <c r="C1354" s="298">
        <v>46103</v>
      </c>
      <c r="D1354" s="299" t="s">
        <v>311</v>
      </c>
      <c r="E1354" s="331">
        <v>81.31</v>
      </c>
      <c r="F1354" s="331"/>
      <c r="G1354" s="333">
        <f t="shared" si="34"/>
        <v>7302.6099999999851</v>
      </c>
      <c r="H1354" s="334"/>
      <c r="I1354" s="335"/>
      <c r="J1354" s="336"/>
      <c r="K1354" s="301"/>
      <c r="L1354" s="336"/>
      <c r="M1354" s="301"/>
      <c r="N1354" s="336"/>
      <c r="O1354" s="301"/>
      <c r="P1354" s="336"/>
      <c r="Q1354" s="301"/>
      <c r="R1354" s="336"/>
      <c r="S1354" s="301"/>
      <c r="T1354" s="336"/>
    </row>
    <row r="1355" spans="1:20" ht="12" customHeight="1" x14ac:dyDescent="0.25">
      <c r="A1355" s="329" t="s">
        <v>289</v>
      </c>
      <c r="B1355" s="330">
        <v>1</v>
      </c>
      <c r="C1355" s="298">
        <v>46103</v>
      </c>
      <c r="D1355" s="299" t="s">
        <v>392</v>
      </c>
      <c r="E1355" s="331">
        <v>38.44</v>
      </c>
      <c r="F1355" s="331"/>
      <c r="G1355" s="333">
        <f t="shared" si="34"/>
        <v>7383.9199999999855</v>
      </c>
      <c r="H1355" s="334"/>
      <c r="I1355" s="335"/>
      <c r="J1355" s="336"/>
      <c r="K1355" s="301"/>
      <c r="L1355" s="336"/>
      <c r="M1355" s="301"/>
      <c r="N1355" s="336"/>
      <c r="O1355" s="301"/>
      <c r="P1355" s="336"/>
      <c r="Q1355" s="301"/>
      <c r="R1355" s="336"/>
      <c r="S1355" s="301"/>
      <c r="T1355" s="336"/>
    </row>
    <row r="1356" spans="1:20" ht="12" customHeight="1" x14ac:dyDescent="0.25">
      <c r="A1356" s="329" t="s">
        <v>289</v>
      </c>
      <c r="B1356" s="330">
        <v>2</v>
      </c>
      <c r="C1356" s="298">
        <v>46103</v>
      </c>
      <c r="D1356" s="299" t="s">
        <v>393</v>
      </c>
      <c r="E1356" s="331">
        <v>35.700000000000003</v>
      </c>
      <c r="F1356" s="331"/>
      <c r="G1356" s="333">
        <f t="shared" si="34"/>
        <v>7422.3599999999851</v>
      </c>
      <c r="H1356" s="334"/>
      <c r="I1356" s="335"/>
      <c r="J1356" s="336"/>
      <c r="K1356" s="301"/>
      <c r="L1356" s="336"/>
      <c r="M1356" s="301"/>
      <c r="N1356" s="336"/>
      <c r="O1356" s="301"/>
      <c r="P1356" s="336"/>
      <c r="Q1356" s="301"/>
      <c r="R1356" s="336"/>
      <c r="S1356" s="301"/>
      <c r="T1356" s="336"/>
    </row>
    <row r="1357" spans="1:20" ht="12" customHeight="1" x14ac:dyDescent="0.25">
      <c r="A1357" s="329" t="s">
        <v>289</v>
      </c>
      <c r="B1357" s="330">
        <v>6</v>
      </c>
      <c r="C1357" s="298">
        <v>46102</v>
      </c>
      <c r="D1357" s="299" t="s">
        <v>300</v>
      </c>
      <c r="E1357" s="331">
        <v>10.64</v>
      </c>
      <c r="F1357" s="331"/>
      <c r="G1357" s="333">
        <f t="shared" si="34"/>
        <v>7458.0599999999849</v>
      </c>
      <c r="H1357" s="334"/>
      <c r="I1357" s="335"/>
      <c r="J1357" s="336"/>
      <c r="K1357" s="301"/>
      <c r="L1357" s="336"/>
      <c r="M1357" s="301"/>
      <c r="N1357" s="336"/>
      <c r="O1357" s="301"/>
      <c r="P1357" s="336"/>
      <c r="Q1357" s="301"/>
      <c r="R1357" s="336"/>
      <c r="S1357" s="301"/>
      <c r="T1357" s="336"/>
    </row>
    <row r="1358" spans="1:20" ht="12" customHeight="1" x14ac:dyDescent="0.25">
      <c r="A1358" s="329" t="s">
        <v>289</v>
      </c>
      <c r="B1358" s="330">
        <v>1</v>
      </c>
      <c r="C1358" s="298">
        <v>46102</v>
      </c>
      <c r="D1358" s="299" t="s">
        <v>300</v>
      </c>
      <c r="E1358" s="331">
        <v>28.69</v>
      </c>
      <c r="F1358" s="331"/>
      <c r="G1358" s="333">
        <f t="shared" si="34"/>
        <v>7468.6999999999853</v>
      </c>
      <c r="H1358" s="334"/>
      <c r="I1358" s="335"/>
      <c r="J1358" s="336"/>
      <c r="K1358" s="301"/>
      <c r="L1358" s="336"/>
      <c r="M1358" s="301"/>
      <c r="N1358" s="336"/>
      <c r="O1358" s="301"/>
      <c r="P1358" s="336"/>
      <c r="Q1358" s="301"/>
      <c r="R1358" s="336"/>
      <c r="S1358" s="301"/>
      <c r="T1358" s="336"/>
    </row>
    <row r="1359" spans="1:20" ht="12" customHeight="1" x14ac:dyDescent="0.25">
      <c r="A1359" s="329" t="s">
        <v>289</v>
      </c>
      <c r="B1359" s="330">
        <v>3</v>
      </c>
      <c r="C1359" s="298">
        <v>46102</v>
      </c>
      <c r="D1359" s="299" t="s">
        <v>347</v>
      </c>
      <c r="E1359" s="331">
        <v>11.59</v>
      </c>
      <c r="F1359" s="331"/>
      <c r="G1359" s="333">
        <f t="shared" si="34"/>
        <v>7497.3899999999849</v>
      </c>
      <c r="H1359" s="334"/>
      <c r="I1359" s="335"/>
      <c r="J1359" s="336"/>
      <c r="K1359" s="301"/>
      <c r="L1359" s="336"/>
      <c r="M1359" s="301"/>
      <c r="N1359" s="336"/>
      <c r="O1359" s="301"/>
      <c r="P1359" s="336"/>
      <c r="Q1359" s="301"/>
      <c r="R1359" s="336"/>
      <c r="S1359" s="301"/>
      <c r="T1359" s="336"/>
    </row>
    <row r="1360" spans="1:20" ht="12" customHeight="1" x14ac:dyDescent="0.25">
      <c r="A1360" s="329" t="s">
        <v>291</v>
      </c>
      <c r="B1360" s="330">
        <v>41</v>
      </c>
      <c r="C1360" s="298">
        <v>46102</v>
      </c>
      <c r="D1360" s="299" t="s">
        <v>382</v>
      </c>
      <c r="E1360" s="331"/>
      <c r="F1360" s="331">
        <v>400</v>
      </c>
      <c r="G1360" s="333">
        <f t="shared" si="34"/>
        <v>7508.979999999985</v>
      </c>
      <c r="H1360" s="334"/>
      <c r="I1360" s="335"/>
      <c r="J1360" s="336"/>
      <c r="K1360" s="301"/>
      <c r="L1360" s="336"/>
      <c r="M1360" s="301"/>
      <c r="N1360" s="336"/>
      <c r="O1360" s="301"/>
      <c r="P1360" s="336"/>
      <c r="Q1360" s="301"/>
      <c r="R1360" s="336"/>
      <c r="S1360" s="301"/>
      <c r="T1360" s="336"/>
    </row>
    <row r="1361" spans="1:20" ht="12" customHeight="1" x14ac:dyDescent="0.25">
      <c r="A1361" s="329" t="s">
        <v>289</v>
      </c>
      <c r="B1361" s="330">
        <v>5</v>
      </c>
      <c r="C1361" s="298">
        <v>46102</v>
      </c>
      <c r="D1361" s="299" t="s">
        <v>394</v>
      </c>
      <c r="E1361" s="331">
        <v>170</v>
      </c>
      <c r="F1361" s="331"/>
      <c r="G1361" s="333">
        <f t="shared" si="34"/>
        <v>7108.979999999985</v>
      </c>
      <c r="H1361" s="334" t="s">
        <v>298</v>
      </c>
      <c r="I1361" s="335"/>
      <c r="J1361" s="336"/>
      <c r="K1361" s="301"/>
      <c r="L1361" s="336"/>
      <c r="M1361" s="301"/>
      <c r="N1361" s="336"/>
      <c r="O1361" s="301"/>
      <c r="P1361" s="336"/>
      <c r="Q1361" s="301"/>
      <c r="R1361" s="336"/>
      <c r="S1361" s="301"/>
      <c r="T1361" s="336"/>
    </row>
    <row r="1362" spans="1:20" ht="12" customHeight="1" x14ac:dyDescent="0.25">
      <c r="A1362" s="329" t="s">
        <v>289</v>
      </c>
      <c r="B1362" s="330">
        <v>5</v>
      </c>
      <c r="C1362" s="298">
        <v>46102</v>
      </c>
      <c r="D1362" s="299" t="s">
        <v>353</v>
      </c>
      <c r="E1362" s="331">
        <v>70</v>
      </c>
      <c r="F1362" s="331"/>
      <c r="G1362" s="333">
        <f t="shared" si="34"/>
        <v>7278.979999999985</v>
      </c>
      <c r="H1362" s="334" t="s">
        <v>298</v>
      </c>
      <c r="I1362" s="335"/>
      <c r="J1362" s="336"/>
      <c r="K1362" s="301"/>
      <c r="L1362" s="336"/>
      <c r="M1362" s="301"/>
      <c r="N1362" s="336"/>
      <c r="O1362" s="301"/>
      <c r="P1362" s="336"/>
      <c r="Q1362" s="301"/>
      <c r="R1362" s="336"/>
      <c r="S1362" s="301"/>
      <c r="T1362" s="336"/>
    </row>
    <row r="1363" spans="1:20" ht="12" customHeight="1" x14ac:dyDescent="0.25">
      <c r="A1363" s="329" t="s">
        <v>289</v>
      </c>
      <c r="B1363" s="330">
        <v>5</v>
      </c>
      <c r="C1363" s="298">
        <v>46102</v>
      </c>
      <c r="D1363" s="299" t="s">
        <v>395</v>
      </c>
      <c r="E1363" s="331">
        <v>40</v>
      </c>
      <c r="F1363" s="331"/>
      <c r="G1363" s="333">
        <f t="shared" ref="G1363:G1617" si="35">G1364-E1363+F1363</f>
        <v>7348.979999999985</v>
      </c>
      <c r="H1363" s="334" t="s">
        <v>298</v>
      </c>
      <c r="I1363" s="335"/>
      <c r="J1363" s="336"/>
      <c r="K1363" s="301"/>
      <c r="L1363" s="336"/>
      <c r="M1363" s="301"/>
      <c r="N1363" s="336"/>
      <c r="O1363" s="301"/>
      <c r="P1363" s="336"/>
      <c r="Q1363" s="301"/>
      <c r="R1363" s="336"/>
      <c r="S1363" s="301"/>
      <c r="T1363" s="336"/>
    </row>
    <row r="1364" spans="1:20" ht="12" customHeight="1" x14ac:dyDescent="0.25">
      <c r="A1364" s="329" t="s">
        <v>289</v>
      </c>
      <c r="B1364" s="330">
        <v>3</v>
      </c>
      <c r="C1364" s="298">
        <v>46102</v>
      </c>
      <c r="D1364" s="299" t="s">
        <v>347</v>
      </c>
      <c r="E1364" s="331">
        <v>25</v>
      </c>
      <c r="F1364" s="331"/>
      <c r="G1364" s="333">
        <f t="shared" si="35"/>
        <v>7388.979999999985</v>
      </c>
      <c r="H1364" s="334"/>
      <c r="I1364" s="335"/>
      <c r="J1364" s="336"/>
      <c r="K1364" s="301"/>
      <c r="L1364" s="336"/>
      <c r="M1364" s="301"/>
      <c r="N1364" s="336"/>
      <c r="O1364" s="301"/>
      <c r="P1364" s="336"/>
      <c r="Q1364" s="301"/>
      <c r="R1364" s="336"/>
      <c r="S1364" s="301"/>
      <c r="T1364" s="336"/>
    </row>
    <row r="1365" spans="1:20" ht="12" customHeight="1" x14ac:dyDescent="0.25">
      <c r="A1365" s="329" t="s">
        <v>289</v>
      </c>
      <c r="B1365" s="330">
        <v>1</v>
      </c>
      <c r="C1365" s="298">
        <v>46102</v>
      </c>
      <c r="D1365" s="299" t="s">
        <v>304</v>
      </c>
      <c r="E1365" s="331">
        <v>65.19</v>
      </c>
      <c r="F1365" s="331"/>
      <c r="G1365" s="333">
        <f t="shared" si="35"/>
        <v>7413.979999999985</v>
      </c>
      <c r="H1365" s="334"/>
      <c r="I1365" s="335"/>
      <c r="J1365" s="336"/>
      <c r="K1365" s="301"/>
      <c r="L1365" s="336"/>
      <c r="M1365" s="301"/>
      <c r="N1365" s="336"/>
      <c r="O1365" s="301"/>
      <c r="P1365" s="336"/>
      <c r="Q1365" s="301"/>
      <c r="R1365" s="336"/>
      <c r="S1365" s="301"/>
      <c r="T1365" s="336"/>
    </row>
    <row r="1366" spans="1:20" ht="12" customHeight="1" x14ac:dyDescent="0.25">
      <c r="A1366" s="329" t="s">
        <v>289</v>
      </c>
      <c r="B1366" s="330">
        <v>4</v>
      </c>
      <c r="C1366" s="298">
        <v>46102</v>
      </c>
      <c r="D1366" s="299" t="s">
        <v>310</v>
      </c>
      <c r="E1366" s="331">
        <v>37.450000000000003</v>
      </c>
      <c r="F1366" s="331"/>
      <c r="G1366" s="333">
        <f t="shared" si="35"/>
        <v>7479.1699999999846</v>
      </c>
      <c r="H1366" s="334"/>
      <c r="I1366" s="335"/>
      <c r="J1366" s="336"/>
      <c r="K1366" s="301"/>
      <c r="L1366" s="336"/>
      <c r="M1366" s="301"/>
      <c r="N1366" s="336"/>
      <c r="O1366" s="301"/>
      <c r="P1366" s="336"/>
      <c r="Q1366" s="301"/>
      <c r="R1366" s="336"/>
      <c r="S1366" s="301"/>
      <c r="T1366" s="336"/>
    </row>
    <row r="1367" spans="1:20" ht="12" customHeight="1" x14ac:dyDescent="0.25">
      <c r="A1367" s="329" t="s">
        <v>289</v>
      </c>
      <c r="B1367" s="330">
        <v>8</v>
      </c>
      <c r="C1367" s="298">
        <v>46101</v>
      </c>
      <c r="D1367" s="299" t="s">
        <v>355</v>
      </c>
      <c r="E1367" s="331">
        <v>65.099999999999994</v>
      </c>
      <c r="F1367" s="331"/>
      <c r="G1367" s="333">
        <f t="shared" si="35"/>
        <v>7516.6199999999844</v>
      </c>
      <c r="H1367" s="334"/>
      <c r="I1367" s="335"/>
      <c r="J1367" s="336"/>
      <c r="K1367" s="301"/>
      <c r="L1367" s="336"/>
      <c r="M1367" s="301"/>
      <c r="N1367" s="336"/>
      <c r="O1367" s="301"/>
      <c r="P1367" s="336"/>
      <c r="Q1367" s="301"/>
      <c r="R1367" s="336"/>
      <c r="S1367" s="301"/>
      <c r="T1367" s="336"/>
    </row>
    <row r="1368" spans="1:20" ht="12" customHeight="1" x14ac:dyDescent="0.25">
      <c r="A1368" s="329" t="s">
        <v>294</v>
      </c>
      <c r="B1368" s="330">
        <v>22</v>
      </c>
      <c r="C1368" s="298">
        <v>46101</v>
      </c>
      <c r="D1368" s="299" t="s">
        <v>323</v>
      </c>
      <c r="E1368" s="331">
        <v>20.22</v>
      </c>
      <c r="F1368" s="331"/>
      <c r="G1368" s="333">
        <f t="shared" si="35"/>
        <v>7581.7199999999848</v>
      </c>
      <c r="H1368" s="334"/>
      <c r="I1368" s="335"/>
      <c r="J1368" s="336"/>
      <c r="K1368" s="301"/>
      <c r="L1368" s="336"/>
      <c r="M1368" s="301"/>
      <c r="N1368" s="336"/>
      <c r="O1368" s="301"/>
      <c r="P1368" s="336"/>
      <c r="Q1368" s="301"/>
      <c r="R1368" s="336"/>
      <c r="S1368" s="301"/>
      <c r="T1368" s="336"/>
    </row>
    <row r="1369" spans="1:20" ht="12" customHeight="1" x14ac:dyDescent="0.25">
      <c r="A1369" s="329" t="s">
        <v>289</v>
      </c>
      <c r="B1369" s="330">
        <v>6</v>
      </c>
      <c r="C1369" s="298">
        <v>46101</v>
      </c>
      <c r="D1369" s="299" t="s">
        <v>432</v>
      </c>
      <c r="E1369" s="331">
        <v>-73</v>
      </c>
      <c r="F1369" s="331"/>
      <c r="G1369" s="333">
        <f t="shared" si="35"/>
        <v>7601.939999999985</v>
      </c>
      <c r="H1369" s="334"/>
      <c r="I1369" s="335"/>
      <c r="J1369" s="336"/>
      <c r="K1369" s="301"/>
      <c r="L1369" s="336"/>
      <c r="M1369" s="301"/>
      <c r="N1369" s="336"/>
      <c r="O1369" s="301"/>
      <c r="P1369" s="336"/>
      <c r="Q1369" s="301"/>
      <c r="R1369" s="336"/>
      <c r="S1369" s="301"/>
      <c r="T1369" s="336"/>
    </row>
    <row r="1370" spans="1:20" ht="12" customHeight="1" x14ac:dyDescent="0.25">
      <c r="A1370" s="329" t="s">
        <v>289</v>
      </c>
      <c r="B1370" s="330">
        <v>6</v>
      </c>
      <c r="C1370" s="298">
        <v>46101</v>
      </c>
      <c r="D1370" s="299" t="s">
        <v>300</v>
      </c>
      <c r="E1370" s="331">
        <v>34.68</v>
      </c>
      <c r="F1370" s="331"/>
      <c r="G1370" s="333">
        <f t="shared" si="35"/>
        <v>7528.939999999985</v>
      </c>
      <c r="H1370" s="334"/>
      <c r="I1370" s="335"/>
      <c r="J1370" s="336"/>
      <c r="K1370" s="301"/>
      <c r="L1370" s="336"/>
      <c r="M1370" s="301"/>
      <c r="N1370" s="336"/>
      <c r="O1370" s="301"/>
      <c r="P1370" s="336"/>
      <c r="Q1370" s="301"/>
      <c r="R1370" s="336"/>
      <c r="S1370" s="301"/>
      <c r="T1370" s="336"/>
    </row>
    <row r="1371" spans="1:20" ht="12" customHeight="1" x14ac:dyDescent="0.25">
      <c r="A1371" s="329" t="s">
        <v>289</v>
      </c>
      <c r="B1371" s="330">
        <v>6</v>
      </c>
      <c r="C1371" s="298">
        <v>46101</v>
      </c>
      <c r="D1371" s="299" t="s">
        <v>396</v>
      </c>
      <c r="E1371" s="331">
        <v>10.63</v>
      </c>
      <c r="F1371" s="331"/>
      <c r="G1371" s="333">
        <f t="shared" si="35"/>
        <v>7563.6199999999853</v>
      </c>
      <c r="H1371" s="334"/>
      <c r="I1371" s="335"/>
      <c r="J1371" s="336"/>
      <c r="K1371" s="301"/>
      <c r="L1371" s="336"/>
      <c r="M1371" s="301"/>
      <c r="N1371" s="336"/>
      <c r="O1371" s="301"/>
      <c r="P1371" s="336"/>
      <c r="Q1371" s="301"/>
      <c r="R1371" s="336"/>
      <c r="S1371" s="301"/>
      <c r="T1371" s="336"/>
    </row>
    <row r="1372" spans="1:20" ht="12" customHeight="1" x14ac:dyDescent="0.25">
      <c r="A1372" s="329" t="s">
        <v>289</v>
      </c>
      <c r="B1372" s="330">
        <v>5</v>
      </c>
      <c r="C1372" s="298">
        <v>46101</v>
      </c>
      <c r="D1372" s="299" t="s">
        <v>397</v>
      </c>
      <c r="E1372" s="331">
        <v>106.49</v>
      </c>
      <c r="F1372" s="331"/>
      <c r="G1372" s="333">
        <f t="shared" si="35"/>
        <v>7574.2499999999854</v>
      </c>
      <c r="H1372" s="334"/>
      <c r="I1372" s="335"/>
      <c r="J1372" s="336"/>
      <c r="K1372" s="301"/>
      <c r="L1372" s="336"/>
      <c r="M1372" s="301"/>
      <c r="N1372" s="336"/>
      <c r="O1372" s="301"/>
      <c r="P1372" s="336"/>
      <c r="Q1372" s="301"/>
      <c r="R1372" s="336"/>
      <c r="S1372" s="301"/>
      <c r="T1372" s="336"/>
    </row>
    <row r="1373" spans="1:20" ht="12" customHeight="1" x14ac:dyDescent="0.25">
      <c r="A1373" s="329" t="s">
        <v>289</v>
      </c>
      <c r="B1373" s="330">
        <v>8</v>
      </c>
      <c r="C1373" s="298">
        <v>46100</v>
      </c>
      <c r="D1373" s="299" t="s">
        <v>356</v>
      </c>
      <c r="E1373" s="331">
        <v>16.739999999999998</v>
      </c>
      <c r="F1373" s="331"/>
      <c r="G1373" s="333">
        <f t="shared" si="35"/>
        <v>7680.7399999999852</v>
      </c>
      <c r="H1373" s="334"/>
      <c r="I1373" s="335"/>
      <c r="J1373" s="336"/>
      <c r="K1373" s="301"/>
      <c r="L1373" s="336"/>
      <c r="M1373" s="301"/>
      <c r="N1373" s="336"/>
      <c r="O1373" s="301"/>
      <c r="P1373" s="336"/>
      <c r="Q1373" s="301"/>
      <c r="R1373" s="336"/>
      <c r="S1373" s="301"/>
      <c r="T1373" s="336"/>
    </row>
    <row r="1374" spans="1:20" ht="12" customHeight="1" x14ac:dyDescent="0.25">
      <c r="A1374" s="329" t="s">
        <v>289</v>
      </c>
      <c r="B1374" s="330">
        <v>8</v>
      </c>
      <c r="C1374" s="298">
        <v>46100</v>
      </c>
      <c r="D1374" s="299" t="s">
        <v>398</v>
      </c>
      <c r="E1374" s="331">
        <v>108.54</v>
      </c>
      <c r="F1374" s="331"/>
      <c r="G1374" s="333">
        <f t="shared" si="35"/>
        <v>7697.479999999985</v>
      </c>
      <c r="H1374" s="334"/>
      <c r="I1374" s="335"/>
      <c r="J1374" s="336"/>
      <c r="K1374" s="301"/>
      <c r="L1374" s="336"/>
      <c r="M1374" s="301"/>
      <c r="N1374" s="336"/>
      <c r="O1374" s="301"/>
      <c r="P1374" s="336"/>
      <c r="Q1374" s="301"/>
      <c r="R1374" s="336"/>
      <c r="S1374" s="301"/>
      <c r="T1374" s="336"/>
    </row>
    <row r="1375" spans="1:20" ht="12" customHeight="1" x14ac:dyDescent="0.25">
      <c r="A1375" s="329" t="s">
        <v>294</v>
      </c>
      <c r="B1375" s="330">
        <v>22</v>
      </c>
      <c r="C1375" s="298">
        <v>46100</v>
      </c>
      <c r="D1375" s="299" t="s">
        <v>833</v>
      </c>
      <c r="E1375" s="331">
        <v>12.77</v>
      </c>
      <c r="F1375" s="331"/>
      <c r="G1375" s="333">
        <f t="shared" si="35"/>
        <v>7806.019999999985</v>
      </c>
      <c r="H1375" s="334"/>
      <c r="I1375" s="335"/>
      <c r="J1375" s="336"/>
      <c r="K1375" s="301"/>
      <c r="L1375" s="336"/>
      <c r="M1375" s="301"/>
      <c r="N1375" s="336"/>
      <c r="O1375" s="301"/>
      <c r="P1375" s="336"/>
      <c r="Q1375" s="301"/>
      <c r="R1375" s="336"/>
      <c r="S1375" s="301"/>
      <c r="T1375" s="336"/>
    </row>
    <row r="1376" spans="1:20" ht="12" customHeight="1" x14ac:dyDescent="0.25">
      <c r="A1376" s="329" t="s">
        <v>289</v>
      </c>
      <c r="B1376" s="330">
        <v>8</v>
      </c>
      <c r="C1376" s="298">
        <v>46100</v>
      </c>
      <c r="D1376" s="299" t="s">
        <v>334</v>
      </c>
      <c r="E1376" s="331">
        <v>28.33</v>
      </c>
      <c r="F1376" s="331"/>
      <c r="G1376" s="333">
        <f t="shared" si="35"/>
        <v>7818.7899999999854</v>
      </c>
      <c r="H1376" s="334"/>
      <c r="I1376" s="335"/>
      <c r="J1376" s="336"/>
      <c r="K1376" s="301"/>
      <c r="L1376" s="336"/>
      <c r="M1376" s="301"/>
      <c r="N1376" s="336"/>
      <c r="O1376" s="301"/>
      <c r="P1376" s="336"/>
      <c r="Q1376" s="301"/>
      <c r="R1376" s="336"/>
      <c r="S1376" s="301"/>
      <c r="T1376" s="336"/>
    </row>
    <row r="1377" spans="1:20" ht="12" customHeight="1" x14ac:dyDescent="0.25">
      <c r="A1377" s="329" t="s">
        <v>289</v>
      </c>
      <c r="B1377" s="330">
        <v>2</v>
      </c>
      <c r="C1377" s="298">
        <v>46100</v>
      </c>
      <c r="D1377" s="299" t="s">
        <v>357</v>
      </c>
      <c r="E1377" s="331">
        <v>17.45</v>
      </c>
      <c r="F1377" s="331"/>
      <c r="G1377" s="333">
        <f t="shared" si="35"/>
        <v>7847.1199999999853</v>
      </c>
      <c r="H1377" s="334"/>
      <c r="I1377" s="335"/>
      <c r="J1377" s="336"/>
      <c r="K1377" s="301"/>
      <c r="L1377" s="336"/>
      <c r="M1377" s="301"/>
      <c r="N1377" s="336"/>
      <c r="O1377" s="301"/>
      <c r="P1377" s="336"/>
      <c r="Q1377" s="301"/>
      <c r="R1377" s="336"/>
      <c r="S1377" s="301"/>
      <c r="T1377" s="336"/>
    </row>
    <row r="1378" spans="1:20" ht="12" customHeight="1" x14ac:dyDescent="0.25">
      <c r="A1378" s="329" t="s">
        <v>294</v>
      </c>
      <c r="B1378" s="330">
        <v>22</v>
      </c>
      <c r="C1378" s="298">
        <v>46100</v>
      </c>
      <c r="D1378" s="299" t="s">
        <v>328</v>
      </c>
      <c r="E1378" s="331">
        <v>7.46</v>
      </c>
      <c r="F1378" s="331"/>
      <c r="G1378" s="333">
        <f t="shared" si="35"/>
        <v>7864.5699999999852</v>
      </c>
      <c r="H1378" s="334"/>
      <c r="I1378" s="335"/>
      <c r="J1378" s="336"/>
      <c r="K1378" s="301"/>
      <c r="L1378" s="336"/>
      <c r="M1378" s="301"/>
      <c r="N1378" s="336"/>
      <c r="O1378" s="301"/>
      <c r="P1378" s="336"/>
      <c r="Q1378" s="301"/>
      <c r="R1378" s="336"/>
      <c r="S1378" s="301"/>
      <c r="T1378" s="336"/>
    </row>
    <row r="1379" spans="1:20" ht="12" customHeight="1" x14ac:dyDescent="0.25">
      <c r="A1379" s="329" t="s">
        <v>335</v>
      </c>
      <c r="B1379" s="330" t="s">
        <v>335</v>
      </c>
      <c r="C1379" s="298">
        <v>46100</v>
      </c>
      <c r="D1379" s="299" t="s">
        <v>185</v>
      </c>
      <c r="E1379" s="331">
        <v>172.29</v>
      </c>
      <c r="F1379" s="331"/>
      <c r="G1379" s="333">
        <f t="shared" si="35"/>
        <v>7872.0299999999852</v>
      </c>
      <c r="H1379" s="334"/>
      <c r="I1379" s="335"/>
      <c r="J1379" s="336"/>
      <c r="K1379" s="301"/>
      <c r="L1379" s="336"/>
      <c r="M1379" s="301"/>
      <c r="N1379" s="336"/>
      <c r="O1379" s="301"/>
      <c r="P1379" s="336"/>
      <c r="Q1379" s="301"/>
      <c r="R1379" s="336"/>
      <c r="S1379" s="301"/>
      <c r="T1379" s="336"/>
    </row>
    <row r="1380" spans="1:20" ht="12" customHeight="1" x14ac:dyDescent="0.25">
      <c r="A1380" s="329" t="s">
        <v>294</v>
      </c>
      <c r="B1380" s="330">
        <v>15</v>
      </c>
      <c r="C1380" s="298">
        <v>46100</v>
      </c>
      <c r="D1380" s="299" t="s">
        <v>185</v>
      </c>
      <c r="E1380" s="331">
        <v>175.09</v>
      </c>
      <c r="F1380" s="331"/>
      <c r="G1380" s="333">
        <f t="shared" si="35"/>
        <v>8044.3199999999852</v>
      </c>
      <c r="H1380" s="334"/>
      <c r="I1380" s="335"/>
      <c r="J1380" s="336"/>
      <c r="K1380" s="301"/>
      <c r="L1380" s="336"/>
      <c r="M1380" s="301"/>
      <c r="N1380" s="336"/>
      <c r="O1380" s="301"/>
      <c r="P1380" s="336"/>
      <c r="Q1380" s="301"/>
      <c r="R1380" s="336"/>
      <c r="S1380" s="301"/>
      <c r="T1380" s="336"/>
    </row>
    <row r="1381" spans="1:20" ht="12" customHeight="1" x14ac:dyDescent="0.25">
      <c r="A1381" s="329" t="s">
        <v>291</v>
      </c>
      <c r="B1381" s="330">
        <v>39</v>
      </c>
      <c r="C1381" s="298">
        <v>46100</v>
      </c>
      <c r="D1381" s="299" t="s">
        <v>292</v>
      </c>
      <c r="E1381" s="331"/>
      <c r="F1381" s="331">
        <v>2763.78</v>
      </c>
      <c r="G1381" s="333">
        <f t="shared" si="35"/>
        <v>8219.4099999999853</v>
      </c>
      <c r="H1381" s="334"/>
      <c r="I1381" s="335"/>
      <c r="J1381" s="336"/>
      <c r="K1381" s="301"/>
      <c r="L1381" s="336"/>
      <c r="M1381" s="301"/>
      <c r="N1381" s="336"/>
      <c r="O1381" s="301"/>
      <c r="P1381" s="336"/>
      <c r="Q1381" s="301"/>
      <c r="R1381" s="336"/>
      <c r="S1381" s="301"/>
      <c r="T1381" s="336"/>
    </row>
    <row r="1382" spans="1:20" ht="12" customHeight="1" x14ac:dyDescent="0.25">
      <c r="A1382" s="329" t="s">
        <v>289</v>
      </c>
      <c r="B1382" s="330">
        <v>2</v>
      </c>
      <c r="C1382" s="298">
        <v>46099</v>
      </c>
      <c r="D1382" s="299" t="s">
        <v>399</v>
      </c>
      <c r="E1382" s="331">
        <v>47.46</v>
      </c>
      <c r="F1382" s="331"/>
      <c r="G1382" s="333">
        <f t="shared" si="35"/>
        <v>5455.6299999999856</v>
      </c>
      <c r="H1382" s="334"/>
      <c r="I1382" s="335"/>
      <c r="J1382" s="336"/>
      <c r="K1382" s="301"/>
      <c r="L1382" s="336"/>
      <c r="M1382" s="301"/>
      <c r="N1382" s="336"/>
      <c r="O1382" s="301"/>
      <c r="P1382" s="336"/>
      <c r="Q1382" s="301"/>
      <c r="R1382" s="336"/>
      <c r="S1382" s="301"/>
      <c r="T1382" s="336"/>
    </row>
    <row r="1383" spans="1:20" ht="12" customHeight="1" x14ac:dyDescent="0.25">
      <c r="A1383" s="329" t="s">
        <v>289</v>
      </c>
      <c r="B1383" s="330">
        <v>8</v>
      </c>
      <c r="C1383" s="298">
        <v>46099</v>
      </c>
      <c r="D1383" s="299" t="s">
        <v>399</v>
      </c>
      <c r="E1383" s="331">
        <v>15.01</v>
      </c>
      <c r="F1383" s="331"/>
      <c r="G1383" s="333">
        <f t="shared" si="35"/>
        <v>5503.0899999999856</v>
      </c>
      <c r="H1383" s="334"/>
      <c r="I1383" s="335"/>
      <c r="J1383" s="336"/>
      <c r="K1383" s="301"/>
      <c r="L1383" s="336"/>
      <c r="M1383" s="301"/>
      <c r="N1383" s="336"/>
      <c r="O1383" s="301"/>
      <c r="P1383" s="336"/>
      <c r="Q1383" s="301"/>
      <c r="R1383" s="336"/>
      <c r="S1383" s="301"/>
      <c r="T1383" s="336"/>
    </row>
    <row r="1384" spans="1:20" ht="12" customHeight="1" x14ac:dyDescent="0.25">
      <c r="A1384" s="329" t="s">
        <v>291</v>
      </c>
      <c r="B1384" s="330">
        <v>40</v>
      </c>
      <c r="C1384" s="298">
        <v>46099</v>
      </c>
      <c r="D1384" s="299" t="s">
        <v>316</v>
      </c>
      <c r="E1384" s="331"/>
      <c r="F1384" s="331">
        <v>838.67</v>
      </c>
      <c r="G1384" s="333">
        <f t="shared" si="35"/>
        <v>5518.0999999999858</v>
      </c>
      <c r="H1384" s="334"/>
      <c r="I1384" s="335"/>
      <c r="J1384" s="336"/>
      <c r="K1384" s="301"/>
      <c r="L1384" s="336"/>
      <c r="M1384" s="301"/>
      <c r="N1384" s="336"/>
      <c r="O1384" s="301"/>
      <c r="P1384" s="336"/>
      <c r="Q1384" s="301"/>
      <c r="R1384" s="336"/>
      <c r="S1384" s="301"/>
      <c r="T1384" s="336"/>
    </row>
    <row r="1385" spans="1:20" ht="12" customHeight="1" x14ac:dyDescent="0.25">
      <c r="A1385" s="329" t="s">
        <v>289</v>
      </c>
      <c r="B1385" s="330">
        <v>2</v>
      </c>
      <c r="C1385" s="298">
        <v>46099</v>
      </c>
      <c r="D1385" s="299" t="s">
        <v>296</v>
      </c>
      <c r="E1385" s="331">
        <v>14.67</v>
      </c>
      <c r="F1385" s="331"/>
      <c r="G1385" s="333">
        <f t="shared" si="35"/>
        <v>4679.4299999999857</v>
      </c>
      <c r="H1385" s="334"/>
      <c r="I1385" s="335"/>
      <c r="J1385" s="336"/>
      <c r="K1385" s="301"/>
      <c r="L1385" s="336"/>
      <c r="M1385" s="301"/>
      <c r="N1385" s="336"/>
      <c r="O1385" s="301"/>
      <c r="P1385" s="336"/>
      <c r="Q1385" s="301"/>
      <c r="R1385" s="336"/>
      <c r="S1385" s="301"/>
      <c r="T1385" s="336"/>
    </row>
    <row r="1386" spans="1:20" ht="12" customHeight="1" x14ac:dyDescent="0.25">
      <c r="A1386" s="329" t="s">
        <v>289</v>
      </c>
      <c r="B1386" s="330">
        <v>4</v>
      </c>
      <c r="C1386" s="298">
        <v>46099</v>
      </c>
      <c r="D1386" s="299" t="s">
        <v>296</v>
      </c>
      <c r="E1386" s="331">
        <v>40.22</v>
      </c>
      <c r="F1386" s="331"/>
      <c r="G1386" s="333">
        <f t="shared" si="35"/>
        <v>4694.0999999999858</v>
      </c>
      <c r="H1386" s="334"/>
      <c r="I1386" s="335"/>
      <c r="J1386" s="336"/>
      <c r="K1386" s="301"/>
      <c r="L1386" s="336"/>
      <c r="M1386" s="301"/>
      <c r="N1386" s="336"/>
      <c r="O1386" s="301"/>
      <c r="P1386" s="336"/>
      <c r="Q1386" s="301"/>
      <c r="R1386" s="336"/>
      <c r="S1386" s="301"/>
      <c r="T1386" s="336"/>
    </row>
    <row r="1387" spans="1:20" ht="12" customHeight="1" x14ac:dyDescent="0.25">
      <c r="A1387" s="329" t="s">
        <v>289</v>
      </c>
      <c r="B1387" s="330">
        <v>8</v>
      </c>
      <c r="C1387" s="298">
        <v>46099</v>
      </c>
      <c r="D1387" s="299" t="s">
        <v>295</v>
      </c>
      <c r="E1387" s="331">
        <v>3.49</v>
      </c>
      <c r="F1387" s="331"/>
      <c r="G1387" s="333">
        <f t="shared" si="35"/>
        <v>4734.3199999999861</v>
      </c>
      <c r="H1387" s="334"/>
      <c r="I1387" s="335"/>
      <c r="J1387" s="336"/>
      <c r="K1387" s="301"/>
      <c r="L1387" s="336"/>
      <c r="M1387" s="301"/>
      <c r="N1387" s="336"/>
      <c r="O1387" s="301"/>
      <c r="P1387" s="336"/>
      <c r="Q1387" s="301"/>
      <c r="R1387" s="336"/>
      <c r="S1387" s="301"/>
      <c r="T1387" s="336"/>
    </row>
    <row r="1388" spans="1:20" ht="12" customHeight="1" x14ac:dyDescent="0.25">
      <c r="A1388" s="329" t="s">
        <v>294</v>
      </c>
      <c r="B1388" s="330">
        <v>22</v>
      </c>
      <c r="C1388" s="298">
        <v>46099</v>
      </c>
      <c r="D1388" s="299" t="s">
        <v>400</v>
      </c>
      <c r="E1388" s="331">
        <v>13.84</v>
      </c>
      <c r="F1388" s="331"/>
      <c r="G1388" s="333">
        <f t="shared" si="35"/>
        <v>4737.8099999999858</v>
      </c>
      <c r="H1388" s="334"/>
      <c r="I1388" s="335"/>
      <c r="J1388" s="336"/>
      <c r="K1388" s="301"/>
      <c r="L1388" s="336"/>
      <c r="M1388" s="301"/>
      <c r="N1388" s="336"/>
      <c r="O1388" s="301"/>
      <c r="P1388" s="336"/>
      <c r="Q1388" s="301"/>
      <c r="R1388" s="336"/>
      <c r="S1388" s="301"/>
      <c r="T1388" s="336"/>
    </row>
    <row r="1389" spans="1:20" ht="12" customHeight="1" x14ac:dyDescent="0.25">
      <c r="A1389" s="329" t="s">
        <v>294</v>
      </c>
      <c r="B1389" s="330">
        <v>17</v>
      </c>
      <c r="C1389" s="298">
        <v>46098</v>
      </c>
      <c r="D1389" s="299" t="s">
        <v>188</v>
      </c>
      <c r="E1389" s="331">
        <v>42.65</v>
      </c>
      <c r="F1389" s="331"/>
      <c r="G1389" s="333">
        <f t="shared" si="35"/>
        <v>4751.649999999986</v>
      </c>
      <c r="H1389" s="334"/>
      <c r="I1389" s="335"/>
      <c r="J1389" s="336"/>
      <c r="K1389" s="301"/>
      <c r="L1389" s="336"/>
      <c r="M1389" s="301"/>
      <c r="N1389" s="336"/>
      <c r="O1389" s="301"/>
      <c r="P1389" s="336"/>
      <c r="Q1389" s="301"/>
      <c r="R1389" s="336"/>
      <c r="S1389" s="301"/>
      <c r="T1389" s="336"/>
    </row>
    <row r="1390" spans="1:20" ht="12" customHeight="1" x14ac:dyDescent="0.25">
      <c r="A1390" s="329" t="s">
        <v>294</v>
      </c>
      <c r="B1390" s="330">
        <v>23</v>
      </c>
      <c r="C1390" s="298">
        <v>46098</v>
      </c>
      <c r="D1390" s="299" t="s">
        <v>401</v>
      </c>
      <c r="E1390" s="331">
        <v>529.46</v>
      </c>
      <c r="F1390" s="331"/>
      <c r="G1390" s="333">
        <f t="shared" si="35"/>
        <v>4794.2999999999856</v>
      </c>
      <c r="H1390" s="334"/>
      <c r="I1390" s="335"/>
      <c r="J1390" s="336"/>
      <c r="K1390" s="301"/>
      <c r="L1390" s="336"/>
      <c r="M1390" s="301"/>
      <c r="N1390" s="336"/>
      <c r="O1390" s="301"/>
      <c r="P1390" s="336"/>
      <c r="Q1390" s="301"/>
      <c r="R1390" s="336"/>
      <c r="S1390" s="301"/>
      <c r="T1390" s="336"/>
    </row>
    <row r="1391" spans="1:20" ht="12" customHeight="1" x14ac:dyDescent="0.25">
      <c r="A1391" s="329" t="s">
        <v>294</v>
      </c>
      <c r="B1391" s="330">
        <v>43</v>
      </c>
      <c r="C1391" s="298">
        <v>46098</v>
      </c>
      <c r="D1391" s="299" t="s">
        <v>333</v>
      </c>
      <c r="E1391" s="331">
        <v>22.35</v>
      </c>
      <c r="F1391" s="331"/>
      <c r="G1391" s="333">
        <f t="shared" si="35"/>
        <v>5323.7599999999857</v>
      </c>
      <c r="H1391" s="334"/>
      <c r="I1391" s="335"/>
      <c r="J1391" s="336"/>
      <c r="K1391" s="301"/>
      <c r="L1391" s="336"/>
      <c r="M1391" s="301"/>
      <c r="N1391" s="336"/>
      <c r="O1391" s="301"/>
      <c r="P1391" s="336"/>
      <c r="Q1391" s="301"/>
      <c r="R1391" s="336"/>
      <c r="S1391" s="301"/>
      <c r="T1391" s="336"/>
    </row>
    <row r="1392" spans="1:20" ht="12" customHeight="1" x14ac:dyDescent="0.25">
      <c r="A1392" s="329" t="s">
        <v>294</v>
      </c>
      <c r="B1392" s="330">
        <v>42</v>
      </c>
      <c r="C1392" s="298">
        <v>46098</v>
      </c>
      <c r="D1392" s="299" t="s">
        <v>333</v>
      </c>
      <c r="E1392" s="331">
        <v>37.25</v>
      </c>
      <c r="F1392" s="331"/>
      <c r="G1392" s="333">
        <f t="shared" si="35"/>
        <v>5346.109999999986</v>
      </c>
      <c r="H1392" s="334"/>
      <c r="I1392" s="335"/>
      <c r="J1392" s="336"/>
      <c r="K1392" s="301"/>
      <c r="L1392" s="336"/>
      <c r="M1392" s="301"/>
      <c r="N1392" s="336"/>
      <c r="O1392" s="301"/>
      <c r="P1392" s="336"/>
      <c r="Q1392" s="301"/>
      <c r="R1392" s="336"/>
      <c r="S1392" s="301"/>
      <c r="T1392" s="336"/>
    </row>
    <row r="1393" spans="1:20" ht="12" customHeight="1" x14ac:dyDescent="0.25">
      <c r="A1393" s="329" t="s">
        <v>289</v>
      </c>
      <c r="B1393" s="330">
        <v>8</v>
      </c>
      <c r="C1393" s="298">
        <v>46098</v>
      </c>
      <c r="D1393" s="299" t="s">
        <v>319</v>
      </c>
      <c r="E1393" s="331">
        <v>3.99</v>
      </c>
      <c r="F1393" s="331"/>
      <c r="G1393" s="333">
        <f t="shared" si="35"/>
        <v>5383.359999999986</v>
      </c>
      <c r="H1393" s="334"/>
      <c r="I1393" s="335"/>
      <c r="J1393" s="336"/>
      <c r="K1393" s="301"/>
      <c r="L1393" s="336"/>
      <c r="M1393" s="301"/>
      <c r="N1393" s="336"/>
      <c r="O1393" s="301"/>
      <c r="P1393" s="336"/>
      <c r="Q1393" s="301"/>
      <c r="R1393" s="336"/>
      <c r="S1393" s="301"/>
      <c r="T1393" s="336"/>
    </row>
    <row r="1394" spans="1:20" ht="12" customHeight="1" x14ac:dyDescent="0.25">
      <c r="A1394" s="329" t="s">
        <v>289</v>
      </c>
      <c r="B1394" s="330">
        <v>8</v>
      </c>
      <c r="C1394" s="298">
        <v>46098</v>
      </c>
      <c r="D1394" s="299" t="s">
        <v>319</v>
      </c>
      <c r="E1394" s="331">
        <v>24.47</v>
      </c>
      <c r="F1394" s="331"/>
      <c r="G1394" s="333">
        <f t="shared" si="35"/>
        <v>5387.3499999999858</v>
      </c>
      <c r="H1394" s="334"/>
      <c r="I1394" s="335"/>
      <c r="J1394" s="336"/>
      <c r="K1394" s="301"/>
      <c r="L1394" s="336"/>
      <c r="M1394" s="301"/>
      <c r="N1394" s="336"/>
      <c r="O1394" s="301"/>
      <c r="P1394" s="336"/>
      <c r="Q1394" s="301"/>
      <c r="R1394" s="336"/>
      <c r="S1394" s="301"/>
      <c r="T1394" s="336"/>
    </row>
    <row r="1395" spans="1:20" ht="12" customHeight="1" x14ac:dyDescent="0.25">
      <c r="A1395" s="329" t="s">
        <v>294</v>
      </c>
      <c r="B1395" s="330">
        <v>21</v>
      </c>
      <c r="C1395" s="298">
        <v>46098</v>
      </c>
      <c r="D1395" s="299" t="s">
        <v>194</v>
      </c>
      <c r="E1395" s="331">
        <v>75.599999999999994</v>
      </c>
      <c r="F1395" s="331"/>
      <c r="G1395" s="333">
        <f t="shared" si="35"/>
        <v>5411.8199999999861</v>
      </c>
      <c r="H1395" s="334"/>
      <c r="I1395" s="335"/>
      <c r="J1395" s="336"/>
      <c r="K1395" s="301"/>
      <c r="L1395" s="336"/>
      <c r="M1395" s="301"/>
      <c r="N1395" s="336"/>
      <c r="O1395" s="301"/>
      <c r="P1395" s="336"/>
      <c r="Q1395" s="301"/>
      <c r="R1395" s="336"/>
      <c r="S1395" s="301"/>
      <c r="T1395" s="336"/>
    </row>
    <row r="1396" spans="1:20" ht="12" customHeight="1" x14ac:dyDescent="0.25">
      <c r="A1396" s="329" t="s">
        <v>289</v>
      </c>
      <c r="B1396" s="330">
        <v>5</v>
      </c>
      <c r="C1396" s="298">
        <v>46097</v>
      </c>
      <c r="D1396" s="299" t="s">
        <v>339</v>
      </c>
      <c r="E1396" s="331">
        <v>21.3</v>
      </c>
      <c r="F1396" s="331"/>
      <c r="G1396" s="333">
        <f t="shared" si="35"/>
        <v>5487.4199999999864</v>
      </c>
      <c r="H1396" s="334"/>
      <c r="I1396" s="335"/>
      <c r="J1396" s="336"/>
      <c r="K1396" s="301"/>
      <c r="L1396" s="336"/>
      <c r="M1396" s="301"/>
      <c r="N1396" s="336"/>
      <c r="O1396" s="301"/>
      <c r="P1396" s="336"/>
      <c r="Q1396" s="301"/>
      <c r="R1396" s="336"/>
      <c r="S1396" s="301"/>
      <c r="T1396" s="336"/>
    </row>
    <row r="1397" spans="1:20" ht="12" customHeight="1" x14ac:dyDescent="0.25">
      <c r="A1397" s="329" t="s">
        <v>294</v>
      </c>
      <c r="B1397" s="330">
        <v>11</v>
      </c>
      <c r="C1397" s="298">
        <v>46097</v>
      </c>
      <c r="D1397" s="299" t="s">
        <v>178</v>
      </c>
      <c r="E1397" s="331">
        <v>267.91000000000003</v>
      </c>
      <c r="F1397" s="331"/>
      <c r="G1397" s="333">
        <f t="shared" si="35"/>
        <v>5508.7199999999866</v>
      </c>
      <c r="H1397" s="334"/>
      <c r="I1397" s="335"/>
      <c r="J1397" s="336"/>
      <c r="K1397" s="301"/>
      <c r="L1397" s="336"/>
      <c r="M1397" s="301"/>
      <c r="N1397" s="336"/>
      <c r="O1397" s="301"/>
      <c r="P1397" s="336"/>
      <c r="Q1397" s="301"/>
      <c r="R1397" s="336"/>
      <c r="S1397" s="301"/>
      <c r="T1397" s="336"/>
    </row>
    <row r="1398" spans="1:20" ht="12" customHeight="1" x14ac:dyDescent="0.25">
      <c r="A1398" s="329" t="s">
        <v>287</v>
      </c>
      <c r="B1398" s="330" t="s">
        <v>287</v>
      </c>
      <c r="C1398" s="298">
        <v>46097</v>
      </c>
      <c r="D1398" s="299" t="s">
        <v>402</v>
      </c>
      <c r="E1398" s="331"/>
      <c r="F1398" s="331">
        <v>80</v>
      </c>
      <c r="G1398" s="333">
        <f t="shared" si="35"/>
        <v>5776.6299999999865</v>
      </c>
      <c r="H1398" s="334" t="s">
        <v>298</v>
      </c>
      <c r="I1398" s="335"/>
      <c r="J1398" s="336"/>
      <c r="K1398" s="301"/>
      <c r="L1398" s="336"/>
      <c r="M1398" s="301"/>
      <c r="N1398" s="336"/>
      <c r="O1398" s="301"/>
      <c r="P1398" s="336"/>
      <c r="Q1398" s="301"/>
      <c r="R1398" s="336"/>
      <c r="S1398" s="301"/>
      <c r="T1398" s="336"/>
    </row>
    <row r="1399" spans="1:20" ht="12" customHeight="1" x14ac:dyDescent="0.25">
      <c r="A1399" s="329" t="s">
        <v>287</v>
      </c>
      <c r="B1399" s="330" t="s">
        <v>287</v>
      </c>
      <c r="C1399" s="298">
        <v>46097</v>
      </c>
      <c r="D1399" s="299" t="s">
        <v>302</v>
      </c>
      <c r="E1399" s="331">
        <v>80</v>
      </c>
      <c r="F1399" s="331"/>
      <c r="G1399" s="333">
        <f t="shared" si="35"/>
        <v>5696.6299999999865</v>
      </c>
      <c r="H1399" s="334"/>
      <c r="I1399" s="335"/>
      <c r="J1399" s="336"/>
      <c r="K1399" s="301"/>
      <c r="L1399" s="336"/>
      <c r="M1399" s="301"/>
      <c r="N1399" s="336"/>
      <c r="O1399" s="301"/>
      <c r="P1399" s="336"/>
      <c r="Q1399" s="301"/>
      <c r="R1399" s="336"/>
      <c r="S1399" s="301"/>
      <c r="T1399" s="336"/>
    </row>
    <row r="1400" spans="1:20" ht="12" customHeight="1" x14ac:dyDescent="0.25">
      <c r="A1400" s="329" t="s">
        <v>289</v>
      </c>
      <c r="B1400" s="330">
        <v>4</v>
      </c>
      <c r="C1400" s="298">
        <v>46097</v>
      </c>
      <c r="D1400" s="299" t="s">
        <v>310</v>
      </c>
      <c r="E1400" s="331">
        <v>42.47</v>
      </c>
      <c r="F1400" s="331"/>
      <c r="G1400" s="333">
        <f t="shared" si="35"/>
        <v>5776.6299999999865</v>
      </c>
      <c r="H1400" s="334"/>
      <c r="I1400" s="335"/>
      <c r="J1400" s="336"/>
      <c r="K1400" s="301"/>
      <c r="L1400" s="336"/>
      <c r="M1400" s="301"/>
      <c r="N1400" s="336"/>
      <c r="O1400" s="301"/>
      <c r="P1400" s="336"/>
      <c r="Q1400" s="301"/>
      <c r="R1400" s="336"/>
      <c r="S1400" s="301"/>
      <c r="T1400" s="336"/>
    </row>
    <row r="1401" spans="1:20" ht="12" customHeight="1" x14ac:dyDescent="0.25">
      <c r="A1401" s="329" t="s">
        <v>289</v>
      </c>
      <c r="B1401" s="330">
        <v>2</v>
      </c>
      <c r="C1401" s="298">
        <v>46097</v>
      </c>
      <c r="D1401" s="299" t="s">
        <v>296</v>
      </c>
      <c r="E1401" s="331">
        <v>11.18</v>
      </c>
      <c r="F1401" s="331"/>
      <c r="G1401" s="333">
        <f t="shared" si="35"/>
        <v>5819.0999999999867</v>
      </c>
      <c r="H1401" s="334"/>
      <c r="I1401" s="335"/>
      <c r="J1401" s="336"/>
      <c r="K1401" s="301"/>
      <c r="L1401" s="336"/>
      <c r="M1401" s="301"/>
      <c r="N1401" s="336"/>
      <c r="O1401" s="301"/>
      <c r="P1401" s="336"/>
      <c r="Q1401" s="301"/>
      <c r="R1401" s="336"/>
      <c r="S1401" s="301"/>
      <c r="T1401" s="336"/>
    </row>
    <row r="1402" spans="1:20" ht="12" customHeight="1" x14ac:dyDescent="0.25">
      <c r="A1402" s="329" t="s">
        <v>289</v>
      </c>
      <c r="B1402" s="330">
        <v>2</v>
      </c>
      <c r="C1402" s="298">
        <v>46096</v>
      </c>
      <c r="D1402" s="299" t="s">
        <v>403</v>
      </c>
      <c r="E1402" s="331">
        <v>38.67</v>
      </c>
      <c r="F1402" s="331"/>
      <c r="G1402" s="333">
        <f t="shared" si="35"/>
        <v>5830.279999999987</v>
      </c>
      <c r="H1402" s="334"/>
      <c r="I1402" s="335"/>
      <c r="J1402" s="336"/>
      <c r="K1402" s="301"/>
      <c r="L1402" s="336"/>
      <c r="M1402" s="301"/>
      <c r="N1402" s="336"/>
      <c r="O1402" s="301"/>
      <c r="P1402" s="336"/>
      <c r="Q1402" s="301"/>
      <c r="R1402" s="336"/>
      <c r="S1402" s="301"/>
      <c r="T1402" s="336"/>
    </row>
    <row r="1403" spans="1:20" ht="12" customHeight="1" x14ac:dyDescent="0.25">
      <c r="A1403" s="329" t="s">
        <v>289</v>
      </c>
      <c r="B1403" s="330">
        <v>3</v>
      </c>
      <c r="C1403" s="298">
        <v>46096</v>
      </c>
      <c r="D1403" s="299" t="s">
        <v>347</v>
      </c>
      <c r="E1403" s="331">
        <v>7.11</v>
      </c>
      <c r="F1403" s="331"/>
      <c r="G1403" s="333">
        <f t="shared" si="35"/>
        <v>5868.9499999999871</v>
      </c>
      <c r="H1403" s="334"/>
      <c r="I1403" s="335"/>
      <c r="J1403" s="336"/>
      <c r="K1403" s="301"/>
      <c r="L1403" s="336"/>
      <c r="M1403" s="301"/>
      <c r="N1403" s="336"/>
      <c r="O1403" s="301"/>
      <c r="P1403" s="336"/>
      <c r="Q1403" s="301"/>
      <c r="R1403" s="336"/>
      <c r="S1403" s="301"/>
      <c r="T1403" s="336"/>
    </row>
    <row r="1404" spans="1:20" ht="12" customHeight="1" x14ac:dyDescent="0.25">
      <c r="A1404" s="329" t="s">
        <v>289</v>
      </c>
      <c r="B1404" s="330">
        <v>1</v>
      </c>
      <c r="C1404" s="298">
        <v>46096</v>
      </c>
      <c r="D1404" s="299" t="s">
        <v>304</v>
      </c>
      <c r="E1404" s="331">
        <v>126.64</v>
      </c>
      <c r="F1404" s="331"/>
      <c r="G1404" s="333">
        <f t="shared" si="35"/>
        <v>5876.0599999999868</v>
      </c>
      <c r="H1404" s="334"/>
      <c r="I1404" s="335"/>
      <c r="J1404" s="336"/>
      <c r="K1404" s="301"/>
      <c r="L1404" s="336"/>
      <c r="M1404" s="301"/>
      <c r="N1404" s="336"/>
      <c r="O1404" s="301"/>
      <c r="P1404" s="336"/>
      <c r="Q1404" s="301"/>
      <c r="R1404" s="336"/>
      <c r="S1404" s="301"/>
      <c r="T1404" s="336"/>
    </row>
    <row r="1405" spans="1:20" ht="12" customHeight="1" x14ac:dyDescent="0.25">
      <c r="A1405" s="329" t="s">
        <v>289</v>
      </c>
      <c r="B1405" s="330">
        <v>1</v>
      </c>
      <c r="C1405" s="298">
        <v>46096</v>
      </c>
      <c r="D1405" s="299" t="s">
        <v>311</v>
      </c>
      <c r="E1405" s="331">
        <v>125.2</v>
      </c>
      <c r="F1405" s="331"/>
      <c r="G1405" s="333">
        <f t="shared" si="35"/>
        <v>6002.6999999999871</v>
      </c>
      <c r="H1405" s="334"/>
      <c r="I1405" s="335"/>
      <c r="J1405" s="336"/>
      <c r="K1405" s="301"/>
      <c r="L1405" s="336"/>
      <c r="M1405" s="301"/>
      <c r="N1405" s="336"/>
      <c r="O1405" s="301"/>
      <c r="P1405" s="336"/>
      <c r="Q1405" s="301"/>
      <c r="R1405" s="336"/>
      <c r="S1405" s="301"/>
      <c r="T1405" s="336"/>
    </row>
    <row r="1406" spans="1:20" ht="12" customHeight="1" x14ac:dyDescent="0.25">
      <c r="A1406" s="329" t="s">
        <v>289</v>
      </c>
      <c r="B1406" s="330">
        <v>1</v>
      </c>
      <c r="C1406" s="298">
        <v>46096</v>
      </c>
      <c r="D1406" s="299" t="s">
        <v>306</v>
      </c>
      <c r="E1406" s="331">
        <v>37.159999999999997</v>
      </c>
      <c r="F1406" s="331"/>
      <c r="G1406" s="333">
        <f t="shared" si="35"/>
        <v>6127.8999999999869</v>
      </c>
      <c r="H1406" s="334"/>
      <c r="I1406" s="335"/>
      <c r="J1406" s="336"/>
      <c r="K1406" s="301"/>
      <c r="L1406" s="336"/>
      <c r="M1406" s="301"/>
      <c r="N1406" s="336"/>
      <c r="O1406" s="301"/>
      <c r="P1406" s="336"/>
      <c r="Q1406" s="301"/>
      <c r="R1406" s="336"/>
      <c r="S1406" s="301"/>
      <c r="T1406" s="336"/>
    </row>
    <row r="1407" spans="1:20" ht="12" customHeight="1" x14ac:dyDescent="0.25">
      <c r="A1407" s="329" t="s">
        <v>294</v>
      </c>
      <c r="B1407" s="330">
        <v>16</v>
      </c>
      <c r="C1407" s="298">
        <v>46096</v>
      </c>
      <c r="D1407" s="299" t="s">
        <v>404</v>
      </c>
      <c r="E1407" s="331">
        <v>713.06</v>
      </c>
      <c r="F1407" s="331"/>
      <c r="G1407" s="333">
        <f t="shared" si="35"/>
        <v>6165.0599999999868</v>
      </c>
      <c r="H1407" s="334"/>
      <c r="I1407" s="335"/>
      <c r="J1407" s="336"/>
      <c r="K1407" s="301"/>
      <c r="L1407" s="336"/>
      <c r="M1407" s="301"/>
      <c r="N1407" s="336"/>
      <c r="O1407" s="301"/>
      <c r="P1407" s="336"/>
      <c r="Q1407" s="301"/>
      <c r="R1407" s="336"/>
      <c r="S1407" s="301"/>
      <c r="T1407" s="336"/>
    </row>
    <row r="1408" spans="1:20" ht="12" customHeight="1" x14ac:dyDescent="0.25">
      <c r="A1408" s="329" t="s">
        <v>289</v>
      </c>
      <c r="B1408" s="330">
        <v>5</v>
      </c>
      <c r="C1408" s="298">
        <v>46095</v>
      </c>
      <c r="D1408" s="299" t="s">
        <v>405</v>
      </c>
      <c r="E1408" s="331">
        <v>24</v>
      </c>
      <c r="F1408" s="331"/>
      <c r="G1408" s="333">
        <f t="shared" si="35"/>
        <v>6878.1199999999862</v>
      </c>
      <c r="H1408" s="334"/>
      <c r="I1408" s="335"/>
      <c r="J1408" s="336"/>
      <c r="K1408" s="301"/>
      <c r="L1408" s="336"/>
      <c r="M1408" s="301"/>
      <c r="N1408" s="336"/>
      <c r="O1408" s="301"/>
      <c r="P1408" s="336"/>
      <c r="Q1408" s="301"/>
      <c r="R1408" s="336"/>
      <c r="S1408" s="301"/>
      <c r="T1408" s="336"/>
    </row>
    <row r="1409" spans="1:20" ht="12" customHeight="1" x14ac:dyDescent="0.25">
      <c r="A1409" s="329" t="s">
        <v>289</v>
      </c>
      <c r="B1409" s="330">
        <v>3</v>
      </c>
      <c r="C1409" s="298">
        <v>46095</v>
      </c>
      <c r="D1409" s="299" t="s">
        <v>347</v>
      </c>
      <c r="E1409" s="331">
        <v>14.58</v>
      </c>
      <c r="F1409" s="331"/>
      <c r="G1409" s="333">
        <f t="shared" si="35"/>
        <v>6902.1199999999862</v>
      </c>
      <c r="H1409" s="334"/>
      <c r="I1409" s="335"/>
      <c r="J1409" s="336"/>
      <c r="K1409" s="301"/>
      <c r="L1409" s="336"/>
      <c r="M1409" s="301"/>
      <c r="N1409" s="336"/>
      <c r="O1409" s="301"/>
      <c r="P1409" s="336"/>
      <c r="Q1409" s="301"/>
      <c r="R1409" s="336"/>
      <c r="S1409" s="301"/>
      <c r="T1409" s="336"/>
    </row>
    <row r="1410" spans="1:20" ht="12" customHeight="1" x14ac:dyDescent="0.25">
      <c r="A1410" s="329" t="s">
        <v>291</v>
      </c>
      <c r="B1410" s="330">
        <v>41</v>
      </c>
      <c r="C1410" s="298">
        <v>46094</v>
      </c>
      <c r="D1410" s="299" t="s">
        <v>406</v>
      </c>
      <c r="E1410" s="331"/>
      <c r="F1410" s="331">
        <v>300</v>
      </c>
      <c r="G1410" s="333">
        <f t="shared" si="35"/>
        <v>6916.6999999999862</v>
      </c>
      <c r="H1410" s="334"/>
      <c r="I1410" s="335"/>
      <c r="J1410" s="336"/>
      <c r="K1410" s="301"/>
      <c r="L1410" s="336"/>
      <c r="M1410" s="301"/>
      <c r="N1410" s="336"/>
      <c r="O1410" s="301"/>
      <c r="P1410" s="336"/>
      <c r="Q1410" s="301"/>
      <c r="R1410" s="336"/>
      <c r="S1410" s="301"/>
      <c r="T1410" s="336"/>
    </row>
    <row r="1411" spans="1:20" ht="12" customHeight="1" x14ac:dyDescent="0.25">
      <c r="A1411" s="329" t="s">
        <v>289</v>
      </c>
      <c r="B1411" s="330">
        <v>1</v>
      </c>
      <c r="C1411" s="298">
        <v>46094</v>
      </c>
      <c r="D1411" s="299" t="s">
        <v>311</v>
      </c>
      <c r="E1411" s="331">
        <v>17.71</v>
      </c>
      <c r="F1411" s="331"/>
      <c r="G1411" s="333">
        <f t="shared" si="35"/>
        <v>6616.6999999999862</v>
      </c>
      <c r="H1411" s="334"/>
      <c r="I1411" s="335"/>
      <c r="J1411" s="336"/>
      <c r="K1411" s="301"/>
      <c r="L1411" s="336"/>
      <c r="M1411" s="301"/>
      <c r="N1411" s="336"/>
      <c r="O1411" s="301"/>
      <c r="P1411" s="336"/>
      <c r="Q1411" s="301"/>
      <c r="R1411" s="336"/>
      <c r="S1411" s="301"/>
      <c r="T1411" s="336"/>
    </row>
    <row r="1412" spans="1:20" ht="12" customHeight="1" x14ac:dyDescent="0.25">
      <c r="A1412" s="329" t="s">
        <v>289</v>
      </c>
      <c r="B1412" s="330">
        <v>4</v>
      </c>
      <c r="C1412" s="298">
        <v>46094</v>
      </c>
      <c r="D1412" s="299" t="s">
        <v>296</v>
      </c>
      <c r="E1412" s="331">
        <v>31.56</v>
      </c>
      <c r="F1412" s="331"/>
      <c r="G1412" s="333">
        <f t="shared" si="35"/>
        <v>6634.4099999999862</v>
      </c>
      <c r="H1412" s="334"/>
      <c r="I1412" s="335"/>
      <c r="J1412" s="336"/>
      <c r="K1412" s="301"/>
      <c r="L1412" s="336"/>
      <c r="M1412" s="301"/>
      <c r="N1412" s="336"/>
      <c r="O1412" s="301"/>
      <c r="P1412" s="336"/>
      <c r="Q1412" s="301"/>
      <c r="R1412" s="336"/>
      <c r="S1412" s="301"/>
      <c r="T1412" s="336"/>
    </row>
    <row r="1413" spans="1:20" ht="12" customHeight="1" x14ac:dyDescent="0.25">
      <c r="A1413" s="329" t="s">
        <v>289</v>
      </c>
      <c r="B1413" s="330">
        <v>2</v>
      </c>
      <c r="C1413" s="298">
        <v>46094</v>
      </c>
      <c r="D1413" s="299" t="s">
        <v>296</v>
      </c>
      <c r="E1413" s="331">
        <v>34.79</v>
      </c>
      <c r="F1413" s="331"/>
      <c r="G1413" s="333">
        <f t="shared" si="35"/>
        <v>6665.9699999999866</v>
      </c>
      <c r="H1413" s="334"/>
      <c r="I1413" s="335"/>
      <c r="J1413" s="336"/>
      <c r="K1413" s="301"/>
      <c r="L1413" s="336"/>
      <c r="M1413" s="301"/>
      <c r="N1413" s="336"/>
      <c r="O1413" s="301"/>
      <c r="P1413" s="336"/>
      <c r="Q1413" s="301"/>
      <c r="R1413" s="336"/>
      <c r="S1413" s="301"/>
      <c r="T1413" s="336"/>
    </row>
    <row r="1414" spans="1:20" ht="12" customHeight="1" x14ac:dyDescent="0.25">
      <c r="A1414" s="329" t="s">
        <v>289</v>
      </c>
      <c r="B1414" s="330">
        <v>2</v>
      </c>
      <c r="C1414" s="298">
        <v>46094</v>
      </c>
      <c r="D1414" s="299" t="s">
        <v>407</v>
      </c>
      <c r="E1414" s="331">
        <v>23.9</v>
      </c>
      <c r="F1414" s="331"/>
      <c r="G1414" s="333">
        <f t="shared" si="35"/>
        <v>6700.7599999999866</v>
      </c>
      <c r="H1414" s="334"/>
      <c r="I1414" s="335"/>
      <c r="J1414" s="336"/>
      <c r="K1414" s="301"/>
      <c r="L1414" s="336"/>
      <c r="M1414" s="301"/>
      <c r="N1414" s="336"/>
      <c r="O1414" s="301"/>
      <c r="P1414" s="336"/>
      <c r="Q1414" s="301"/>
      <c r="R1414" s="336"/>
      <c r="S1414" s="301"/>
      <c r="T1414" s="336"/>
    </row>
    <row r="1415" spans="1:20" ht="12" customHeight="1" x14ac:dyDescent="0.25">
      <c r="A1415" s="329" t="s">
        <v>289</v>
      </c>
      <c r="B1415" s="330">
        <v>3</v>
      </c>
      <c r="C1415" s="298">
        <v>46094</v>
      </c>
      <c r="D1415" s="299" t="s">
        <v>347</v>
      </c>
      <c r="E1415" s="331">
        <v>7.26</v>
      </c>
      <c r="F1415" s="331"/>
      <c r="G1415" s="333">
        <f t="shared" si="35"/>
        <v>6724.6599999999862</v>
      </c>
      <c r="H1415" s="334"/>
      <c r="I1415" s="335"/>
      <c r="J1415" s="336"/>
      <c r="K1415" s="301"/>
      <c r="L1415" s="336"/>
      <c r="M1415" s="301"/>
      <c r="N1415" s="336"/>
      <c r="O1415" s="301"/>
      <c r="P1415" s="336"/>
      <c r="Q1415" s="301"/>
      <c r="R1415" s="336"/>
      <c r="S1415" s="301"/>
      <c r="T1415" s="336"/>
    </row>
    <row r="1416" spans="1:20" ht="12" customHeight="1" x14ac:dyDescent="0.25">
      <c r="A1416" s="329" t="s">
        <v>289</v>
      </c>
      <c r="B1416" s="330">
        <v>5</v>
      </c>
      <c r="C1416" s="298">
        <v>46094</v>
      </c>
      <c r="D1416" s="299" t="s">
        <v>353</v>
      </c>
      <c r="E1416" s="331">
        <v>85</v>
      </c>
      <c r="F1416" s="331"/>
      <c r="G1416" s="333">
        <f t="shared" si="35"/>
        <v>6731.9199999999864</v>
      </c>
      <c r="H1416" s="334" t="s">
        <v>298</v>
      </c>
      <c r="I1416" s="335"/>
      <c r="J1416" s="336"/>
      <c r="K1416" s="301"/>
      <c r="L1416" s="336"/>
      <c r="M1416" s="301"/>
      <c r="N1416" s="336"/>
      <c r="O1416" s="301"/>
      <c r="P1416" s="336"/>
      <c r="Q1416" s="301"/>
      <c r="R1416" s="336"/>
      <c r="S1416" s="301"/>
      <c r="T1416" s="336"/>
    </row>
    <row r="1417" spans="1:20" ht="12" customHeight="1" x14ac:dyDescent="0.25">
      <c r="A1417" s="329" t="s">
        <v>289</v>
      </c>
      <c r="B1417" s="330">
        <v>8</v>
      </c>
      <c r="C1417" s="298">
        <v>46093</v>
      </c>
      <c r="D1417" s="299" t="s">
        <v>408</v>
      </c>
      <c r="E1417" s="331">
        <v>51.22</v>
      </c>
      <c r="F1417" s="331"/>
      <c r="G1417" s="333">
        <f t="shared" si="35"/>
        <v>6816.9199999999864</v>
      </c>
      <c r="H1417" s="334"/>
      <c r="I1417" s="335"/>
      <c r="J1417" s="336"/>
      <c r="K1417" s="301"/>
      <c r="L1417" s="336"/>
      <c r="M1417" s="301"/>
      <c r="N1417" s="336"/>
      <c r="O1417" s="301"/>
      <c r="P1417" s="336"/>
      <c r="Q1417" s="301"/>
      <c r="R1417" s="336"/>
      <c r="S1417" s="301"/>
      <c r="T1417" s="336"/>
    </row>
    <row r="1418" spans="1:20" ht="12" customHeight="1" x14ac:dyDescent="0.25">
      <c r="A1418" s="329" t="s">
        <v>289</v>
      </c>
      <c r="B1418" s="330">
        <v>2</v>
      </c>
      <c r="C1418" s="298">
        <v>46093</v>
      </c>
      <c r="D1418" s="299" t="s">
        <v>409</v>
      </c>
      <c r="E1418" s="331">
        <v>57.43</v>
      </c>
      <c r="F1418" s="331"/>
      <c r="G1418" s="333">
        <f t="shared" si="35"/>
        <v>6868.1399999999867</v>
      </c>
      <c r="H1418" s="334"/>
      <c r="I1418" s="335"/>
      <c r="J1418" s="336"/>
      <c r="K1418" s="301"/>
      <c r="L1418" s="336"/>
      <c r="M1418" s="301"/>
      <c r="N1418" s="336"/>
      <c r="O1418" s="301"/>
      <c r="P1418" s="336"/>
      <c r="Q1418" s="301"/>
      <c r="R1418" s="336"/>
      <c r="S1418" s="301"/>
      <c r="T1418" s="336"/>
    </row>
    <row r="1419" spans="1:20" ht="12" customHeight="1" x14ac:dyDescent="0.25">
      <c r="A1419" s="329" t="s">
        <v>289</v>
      </c>
      <c r="B1419" s="330">
        <v>2</v>
      </c>
      <c r="C1419" s="298">
        <v>46093</v>
      </c>
      <c r="D1419" s="299" t="s">
        <v>357</v>
      </c>
      <c r="E1419" s="331">
        <v>17.45</v>
      </c>
      <c r="F1419" s="331"/>
      <c r="G1419" s="333">
        <f t="shared" si="35"/>
        <v>6925.569999999987</v>
      </c>
      <c r="H1419" s="334"/>
      <c r="I1419" s="335"/>
      <c r="J1419" s="336"/>
      <c r="K1419" s="301"/>
      <c r="L1419" s="336"/>
      <c r="M1419" s="301"/>
      <c r="N1419" s="336"/>
      <c r="O1419" s="301"/>
      <c r="P1419" s="336"/>
      <c r="Q1419" s="301"/>
      <c r="R1419" s="336"/>
      <c r="S1419" s="301"/>
      <c r="T1419" s="336"/>
    </row>
    <row r="1420" spans="1:20" ht="12" customHeight="1" x14ac:dyDescent="0.25">
      <c r="A1420" s="329" t="s">
        <v>289</v>
      </c>
      <c r="B1420" s="330">
        <v>8</v>
      </c>
      <c r="C1420" s="298">
        <v>46093</v>
      </c>
      <c r="D1420" s="299" t="s">
        <v>319</v>
      </c>
      <c r="E1420" s="331">
        <v>7.92</v>
      </c>
      <c r="F1420" s="331"/>
      <c r="G1420" s="333">
        <f t="shared" si="35"/>
        <v>6943.0199999999868</v>
      </c>
      <c r="H1420" s="334"/>
      <c r="I1420" s="335"/>
      <c r="J1420" s="336"/>
      <c r="K1420" s="301"/>
      <c r="L1420" s="336"/>
      <c r="M1420" s="301"/>
      <c r="N1420" s="336"/>
      <c r="O1420" s="301"/>
      <c r="P1420" s="336"/>
      <c r="Q1420" s="301"/>
      <c r="R1420" s="336"/>
      <c r="S1420" s="301"/>
      <c r="T1420" s="336"/>
    </row>
    <row r="1421" spans="1:20" ht="12" customHeight="1" x14ac:dyDescent="0.25">
      <c r="A1421" s="329" t="s">
        <v>291</v>
      </c>
      <c r="B1421" s="330">
        <v>38</v>
      </c>
      <c r="C1421" s="298">
        <v>46093</v>
      </c>
      <c r="D1421" s="299" t="s">
        <v>293</v>
      </c>
      <c r="E1421" s="331"/>
      <c r="F1421" s="331">
        <v>4726.92</v>
      </c>
      <c r="G1421" s="333">
        <f t="shared" si="35"/>
        <v>6950.9399999999869</v>
      </c>
      <c r="H1421" s="334"/>
      <c r="I1421" s="335"/>
      <c r="J1421" s="336"/>
      <c r="K1421" s="301"/>
      <c r="L1421" s="336"/>
      <c r="M1421" s="301"/>
      <c r="N1421" s="336"/>
      <c r="O1421" s="301"/>
      <c r="P1421" s="336"/>
      <c r="Q1421" s="301"/>
      <c r="R1421" s="336"/>
      <c r="S1421" s="301"/>
      <c r="T1421" s="336"/>
    </row>
    <row r="1422" spans="1:20" ht="12" customHeight="1" x14ac:dyDescent="0.25">
      <c r="A1422" s="329" t="s">
        <v>289</v>
      </c>
      <c r="B1422" s="330">
        <v>2</v>
      </c>
      <c r="C1422" s="298">
        <v>46093</v>
      </c>
      <c r="D1422" s="299" t="s">
        <v>385</v>
      </c>
      <c r="E1422" s="331">
        <v>15</v>
      </c>
      <c r="F1422" s="331"/>
      <c r="G1422" s="333">
        <f t="shared" si="35"/>
        <v>2224.0199999999868</v>
      </c>
      <c r="H1422" s="334"/>
      <c r="I1422" s="335"/>
      <c r="J1422" s="336"/>
      <c r="K1422" s="301"/>
      <c r="L1422" s="336"/>
      <c r="M1422" s="301"/>
      <c r="N1422" s="336"/>
      <c r="O1422" s="301"/>
      <c r="P1422" s="336"/>
      <c r="Q1422" s="301"/>
      <c r="R1422" s="336"/>
      <c r="S1422" s="301"/>
      <c r="T1422" s="336"/>
    </row>
    <row r="1423" spans="1:20" ht="12" customHeight="1" x14ac:dyDescent="0.25">
      <c r="A1423" s="329" t="s">
        <v>289</v>
      </c>
      <c r="B1423" s="330">
        <v>6</v>
      </c>
      <c r="C1423" s="298">
        <v>46093</v>
      </c>
      <c r="D1423" s="299" t="s">
        <v>410</v>
      </c>
      <c r="E1423" s="331">
        <v>12</v>
      </c>
      <c r="F1423" s="331"/>
      <c r="G1423" s="333">
        <f t="shared" si="35"/>
        <v>2239.0199999999868</v>
      </c>
      <c r="H1423" s="334"/>
      <c r="I1423" s="335"/>
      <c r="J1423" s="336"/>
      <c r="K1423" s="301"/>
      <c r="L1423" s="336"/>
      <c r="M1423" s="301"/>
      <c r="N1423" s="336"/>
      <c r="O1423" s="301"/>
      <c r="P1423" s="336"/>
      <c r="Q1423" s="301"/>
      <c r="R1423" s="336"/>
      <c r="S1423" s="301"/>
      <c r="T1423" s="336"/>
    </row>
    <row r="1424" spans="1:20" ht="12" customHeight="1" x14ac:dyDescent="0.25">
      <c r="A1424" s="329" t="s">
        <v>294</v>
      </c>
      <c r="B1424" s="330">
        <v>19</v>
      </c>
      <c r="C1424" s="298">
        <v>46093</v>
      </c>
      <c r="D1424" s="299" t="s">
        <v>191</v>
      </c>
      <c r="E1424" s="331">
        <v>200</v>
      </c>
      <c r="F1424" s="331"/>
      <c r="G1424" s="333">
        <f t="shared" si="35"/>
        <v>2251.0199999999868</v>
      </c>
      <c r="H1424" s="334"/>
      <c r="I1424" s="335"/>
      <c r="J1424" s="336"/>
      <c r="K1424" s="301"/>
      <c r="L1424" s="336"/>
      <c r="M1424" s="301"/>
      <c r="N1424" s="336"/>
      <c r="O1424" s="301"/>
      <c r="P1424" s="336"/>
      <c r="Q1424" s="301"/>
      <c r="R1424" s="336"/>
      <c r="S1424" s="301"/>
      <c r="T1424" s="336"/>
    </row>
    <row r="1425" spans="1:20" ht="12" customHeight="1" x14ac:dyDescent="0.25">
      <c r="A1425" s="329" t="s">
        <v>289</v>
      </c>
      <c r="B1425" s="330">
        <v>6</v>
      </c>
      <c r="C1425" s="298">
        <v>46092</v>
      </c>
      <c r="D1425" s="299" t="s">
        <v>411</v>
      </c>
      <c r="E1425" s="331">
        <v>-10.050000000000001</v>
      </c>
      <c r="F1425" s="331"/>
      <c r="G1425" s="333">
        <f t="shared" si="35"/>
        <v>2451.0199999999868</v>
      </c>
      <c r="H1425" s="334"/>
      <c r="I1425" s="335"/>
      <c r="J1425" s="336"/>
      <c r="K1425" s="301"/>
      <c r="L1425" s="336"/>
      <c r="M1425" s="301"/>
      <c r="N1425" s="336"/>
      <c r="O1425" s="301"/>
      <c r="P1425" s="336"/>
      <c r="Q1425" s="301"/>
      <c r="R1425" s="336"/>
      <c r="S1425" s="301"/>
      <c r="T1425" s="336"/>
    </row>
    <row r="1426" spans="1:20" ht="12" customHeight="1" x14ac:dyDescent="0.25">
      <c r="A1426" s="329" t="s">
        <v>289</v>
      </c>
      <c r="B1426" s="330">
        <v>6</v>
      </c>
      <c r="C1426" s="298">
        <v>46092</v>
      </c>
      <c r="D1426" s="299" t="s">
        <v>412</v>
      </c>
      <c r="E1426" s="331">
        <v>25</v>
      </c>
      <c r="F1426" s="331"/>
      <c r="G1426" s="333">
        <f t="shared" si="35"/>
        <v>2440.9699999999866</v>
      </c>
      <c r="H1426" s="334"/>
      <c r="I1426" s="335"/>
      <c r="J1426" s="336"/>
      <c r="K1426" s="301"/>
      <c r="L1426" s="336"/>
      <c r="M1426" s="301"/>
      <c r="N1426" s="336"/>
      <c r="O1426" s="301"/>
      <c r="P1426" s="336"/>
      <c r="Q1426" s="301"/>
      <c r="R1426" s="336"/>
      <c r="S1426" s="301"/>
      <c r="T1426" s="336"/>
    </row>
    <row r="1427" spans="1:20" ht="12" customHeight="1" x14ac:dyDescent="0.25">
      <c r="A1427" s="329" t="s">
        <v>289</v>
      </c>
      <c r="B1427" s="330">
        <v>2</v>
      </c>
      <c r="C1427" s="298">
        <v>46092</v>
      </c>
      <c r="D1427" s="299" t="s">
        <v>301</v>
      </c>
      <c r="E1427" s="331">
        <v>-9</v>
      </c>
      <c r="F1427" s="331"/>
      <c r="G1427" s="333">
        <f t="shared" si="35"/>
        <v>2465.9699999999866</v>
      </c>
      <c r="H1427" s="334"/>
      <c r="I1427" s="335"/>
      <c r="J1427" s="336"/>
      <c r="K1427" s="301"/>
      <c r="L1427" s="336"/>
      <c r="M1427" s="301"/>
      <c r="N1427" s="336"/>
      <c r="O1427" s="301"/>
      <c r="P1427" s="336"/>
      <c r="Q1427" s="301"/>
      <c r="R1427" s="336"/>
      <c r="S1427" s="301"/>
      <c r="T1427" s="336"/>
    </row>
    <row r="1428" spans="1:20" ht="12" customHeight="1" x14ac:dyDescent="0.25">
      <c r="A1428" s="329" t="s">
        <v>291</v>
      </c>
      <c r="B1428" s="330">
        <v>41</v>
      </c>
      <c r="C1428" s="298">
        <v>46092</v>
      </c>
      <c r="D1428" s="299" t="s">
        <v>406</v>
      </c>
      <c r="E1428" s="331"/>
      <c r="F1428" s="331">
        <v>500</v>
      </c>
      <c r="G1428" s="333">
        <f t="shared" si="35"/>
        <v>2456.9699999999866</v>
      </c>
      <c r="H1428" s="334"/>
      <c r="I1428" s="335"/>
      <c r="J1428" s="336"/>
      <c r="K1428" s="301"/>
      <c r="L1428" s="336"/>
      <c r="M1428" s="301"/>
      <c r="N1428" s="336"/>
      <c r="O1428" s="301"/>
      <c r="P1428" s="336"/>
      <c r="Q1428" s="301"/>
      <c r="R1428" s="336"/>
      <c r="S1428" s="301"/>
      <c r="T1428" s="336"/>
    </row>
    <row r="1429" spans="1:20" ht="12" customHeight="1" x14ac:dyDescent="0.25">
      <c r="A1429" s="329" t="s">
        <v>289</v>
      </c>
      <c r="B1429" s="330">
        <v>2</v>
      </c>
      <c r="C1429" s="298">
        <v>46092</v>
      </c>
      <c r="D1429" s="299" t="s">
        <v>296</v>
      </c>
      <c r="E1429" s="331">
        <v>16.170000000000002</v>
      </c>
      <c r="F1429" s="331"/>
      <c r="G1429" s="333">
        <f t="shared" si="35"/>
        <v>1956.9699999999864</v>
      </c>
      <c r="H1429" s="334"/>
      <c r="I1429" s="335"/>
      <c r="J1429" s="336"/>
      <c r="K1429" s="301"/>
      <c r="L1429" s="336"/>
      <c r="M1429" s="301"/>
      <c r="N1429" s="336"/>
      <c r="O1429" s="301"/>
      <c r="P1429" s="336"/>
      <c r="Q1429" s="301"/>
      <c r="R1429" s="336"/>
      <c r="S1429" s="301"/>
      <c r="T1429" s="336"/>
    </row>
    <row r="1430" spans="1:20" ht="12" customHeight="1" x14ac:dyDescent="0.25">
      <c r="A1430" s="329" t="s">
        <v>294</v>
      </c>
      <c r="B1430" s="330">
        <v>22</v>
      </c>
      <c r="C1430" s="298">
        <v>46092</v>
      </c>
      <c r="D1430" s="299" t="s">
        <v>351</v>
      </c>
      <c r="E1430" s="331">
        <v>19.16</v>
      </c>
      <c r="F1430" s="331"/>
      <c r="G1430" s="333">
        <f t="shared" si="35"/>
        <v>1973.1399999999865</v>
      </c>
      <c r="H1430" s="334"/>
      <c r="I1430" s="335"/>
      <c r="J1430" s="336"/>
      <c r="K1430" s="301"/>
      <c r="L1430" s="336"/>
      <c r="M1430" s="301"/>
      <c r="N1430" s="336"/>
      <c r="O1430" s="301"/>
      <c r="P1430" s="336"/>
      <c r="Q1430" s="301"/>
      <c r="R1430" s="336"/>
      <c r="S1430" s="301"/>
      <c r="T1430" s="336"/>
    </row>
    <row r="1431" spans="1:20" ht="12" customHeight="1" x14ac:dyDescent="0.25">
      <c r="A1431" s="329" t="s">
        <v>335</v>
      </c>
      <c r="B1431" s="330" t="s">
        <v>335</v>
      </c>
      <c r="C1431" s="298">
        <v>46091</v>
      </c>
      <c r="D1431" s="299" t="s">
        <v>182</v>
      </c>
      <c r="E1431" s="331">
        <v>47.28</v>
      </c>
      <c r="F1431" s="331"/>
      <c r="G1431" s="333">
        <f t="shared" si="35"/>
        <v>1992.2999999999865</v>
      </c>
      <c r="H1431" s="334"/>
      <c r="I1431" s="335"/>
      <c r="J1431" s="336"/>
      <c r="K1431" s="301"/>
      <c r="L1431" s="336"/>
      <c r="M1431" s="301"/>
      <c r="N1431" s="336"/>
      <c r="O1431" s="301"/>
      <c r="P1431" s="336"/>
      <c r="Q1431" s="301"/>
      <c r="R1431" s="336"/>
      <c r="S1431" s="301"/>
      <c r="T1431" s="336"/>
    </row>
    <row r="1432" spans="1:20" ht="12" customHeight="1" x14ac:dyDescent="0.25">
      <c r="A1432" s="329" t="s">
        <v>294</v>
      </c>
      <c r="B1432" s="330">
        <v>13</v>
      </c>
      <c r="C1432" s="298">
        <v>46091</v>
      </c>
      <c r="D1432" s="299" t="s">
        <v>182</v>
      </c>
      <c r="E1432" s="331">
        <v>134.93</v>
      </c>
      <c r="F1432" s="331"/>
      <c r="G1432" s="333">
        <f t="shared" si="35"/>
        <v>2039.5799999999865</v>
      </c>
      <c r="H1432" s="334"/>
      <c r="I1432" s="335"/>
      <c r="J1432" s="336"/>
      <c r="K1432" s="301"/>
      <c r="L1432" s="336"/>
      <c r="M1432" s="301"/>
      <c r="N1432" s="336"/>
      <c r="O1432" s="301"/>
      <c r="P1432" s="336"/>
      <c r="Q1432" s="301"/>
      <c r="R1432" s="336"/>
      <c r="S1432" s="301"/>
      <c r="T1432" s="336"/>
    </row>
    <row r="1433" spans="1:20" ht="12" customHeight="1" x14ac:dyDescent="0.25">
      <c r="A1433" s="329" t="s">
        <v>289</v>
      </c>
      <c r="B1433" s="330">
        <v>8</v>
      </c>
      <c r="C1433" s="298">
        <v>46091</v>
      </c>
      <c r="D1433" s="299" t="s">
        <v>295</v>
      </c>
      <c r="E1433" s="331">
        <v>7.44</v>
      </c>
      <c r="F1433" s="331"/>
      <c r="G1433" s="333">
        <f t="shared" si="35"/>
        <v>2174.5099999999866</v>
      </c>
      <c r="H1433" s="334"/>
      <c r="I1433" s="335"/>
      <c r="J1433" s="336"/>
      <c r="K1433" s="301"/>
      <c r="L1433" s="336"/>
      <c r="M1433" s="301"/>
      <c r="N1433" s="336"/>
      <c r="O1433" s="301"/>
      <c r="P1433" s="336"/>
      <c r="Q1433" s="301"/>
      <c r="R1433" s="336"/>
      <c r="S1433" s="301"/>
      <c r="T1433" s="336"/>
    </row>
    <row r="1434" spans="1:20" ht="12" customHeight="1" x14ac:dyDescent="0.25">
      <c r="A1434" s="329" t="s">
        <v>289</v>
      </c>
      <c r="B1434" s="330">
        <v>4</v>
      </c>
      <c r="C1434" s="298">
        <v>46091</v>
      </c>
      <c r="D1434" s="299" t="s">
        <v>295</v>
      </c>
      <c r="E1434" s="331">
        <v>29.53</v>
      </c>
      <c r="F1434" s="331"/>
      <c r="G1434" s="333">
        <f t="shared" si="35"/>
        <v>2181.9499999999866</v>
      </c>
      <c r="H1434" s="334"/>
      <c r="I1434" s="335"/>
      <c r="J1434" s="336"/>
      <c r="K1434" s="301"/>
      <c r="L1434" s="336"/>
      <c r="M1434" s="301"/>
      <c r="N1434" s="336"/>
      <c r="O1434" s="301"/>
      <c r="P1434" s="336"/>
      <c r="Q1434" s="301"/>
      <c r="R1434" s="336"/>
      <c r="S1434" s="301"/>
      <c r="T1434" s="336"/>
    </row>
    <row r="1435" spans="1:20" ht="12" customHeight="1" x14ac:dyDescent="0.25">
      <c r="A1435" s="329" t="s">
        <v>289</v>
      </c>
      <c r="B1435" s="330">
        <v>4</v>
      </c>
      <c r="C1435" s="298">
        <v>46091</v>
      </c>
      <c r="D1435" s="299" t="s">
        <v>310</v>
      </c>
      <c r="E1435" s="331">
        <v>34.119999999999997</v>
      </c>
      <c r="F1435" s="331"/>
      <c r="G1435" s="333">
        <f t="shared" si="35"/>
        <v>2211.4799999999868</v>
      </c>
      <c r="H1435" s="334"/>
      <c r="I1435" s="335"/>
      <c r="J1435" s="336"/>
      <c r="K1435" s="301"/>
      <c r="L1435" s="336"/>
      <c r="M1435" s="301"/>
      <c r="N1435" s="336"/>
      <c r="O1435" s="301"/>
      <c r="P1435" s="336"/>
      <c r="Q1435" s="301"/>
      <c r="R1435" s="336"/>
      <c r="S1435" s="301"/>
      <c r="T1435" s="336"/>
    </row>
    <row r="1436" spans="1:20" ht="12" customHeight="1" x14ac:dyDescent="0.25">
      <c r="A1436" s="329" t="s">
        <v>289</v>
      </c>
      <c r="B1436" s="330">
        <v>2</v>
      </c>
      <c r="C1436" s="298">
        <v>46091</v>
      </c>
      <c r="D1436" s="299" t="s">
        <v>413</v>
      </c>
      <c r="E1436" s="331">
        <v>18.57</v>
      </c>
      <c r="F1436" s="331"/>
      <c r="G1436" s="333">
        <f t="shared" si="35"/>
        <v>2245.5999999999867</v>
      </c>
      <c r="H1436" s="334"/>
      <c r="I1436" s="335"/>
      <c r="J1436" s="336"/>
      <c r="K1436" s="301"/>
      <c r="L1436" s="336"/>
      <c r="M1436" s="301"/>
      <c r="N1436" s="336"/>
      <c r="O1436" s="301"/>
      <c r="P1436" s="336"/>
      <c r="Q1436" s="301"/>
      <c r="R1436" s="336"/>
      <c r="S1436" s="301"/>
      <c r="T1436" s="336"/>
    </row>
    <row r="1437" spans="1:20" ht="12" customHeight="1" x14ac:dyDescent="0.25">
      <c r="A1437" s="329" t="s">
        <v>294</v>
      </c>
      <c r="B1437" s="330">
        <v>16</v>
      </c>
      <c r="C1437" s="298">
        <v>46091</v>
      </c>
      <c r="D1437" s="299" t="s">
        <v>414</v>
      </c>
      <c r="E1437" s="331">
        <v>107</v>
      </c>
      <c r="F1437" s="331"/>
      <c r="G1437" s="333">
        <f t="shared" si="35"/>
        <v>2264.1699999999869</v>
      </c>
      <c r="H1437" s="334"/>
      <c r="I1437" s="335"/>
      <c r="J1437" s="336"/>
      <c r="K1437" s="301"/>
      <c r="L1437" s="336"/>
      <c r="M1437" s="301"/>
      <c r="N1437" s="336"/>
      <c r="O1437" s="301"/>
      <c r="P1437" s="336"/>
      <c r="Q1437" s="301"/>
      <c r="R1437" s="336"/>
      <c r="S1437" s="301"/>
      <c r="T1437" s="336"/>
    </row>
    <row r="1438" spans="1:20" ht="12" customHeight="1" x14ac:dyDescent="0.25">
      <c r="A1438" s="329" t="s">
        <v>294</v>
      </c>
      <c r="B1438" s="330">
        <v>18</v>
      </c>
      <c r="C1438" s="298">
        <v>46090</v>
      </c>
      <c r="D1438" s="299" t="s">
        <v>360</v>
      </c>
      <c r="E1438" s="331">
        <v>400</v>
      </c>
      <c r="F1438" s="331"/>
      <c r="G1438" s="333">
        <f t="shared" si="35"/>
        <v>2371.1699999999869</v>
      </c>
      <c r="H1438" s="334"/>
      <c r="I1438" s="335"/>
      <c r="J1438" s="336"/>
      <c r="K1438" s="301"/>
      <c r="L1438" s="336"/>
      <c r="M1438" s="301"/>
      <c r="N1438" s="336"/>
      <c r="O1438" s="301"/>
      <c r="P1438" s="336"/>
      <c r="Q1438" s="301"/>
      <c r="R1438" s="336"/>
      <c r="S1438" s="301"/>
      <c r="T1438" s="336"/>
    </row>
    <row r="1439" spans="1:20" ht="12" customHeight="1" x14ac:dyDescent="0.25">
      <c r="A1439" s="329" t="s">
        <v>289</v>
      </c>
      <c r="B1439" s="330">
        <v>4</v>
      </c>
      <c r="C1439" s="298">
        <v>46090</v>
      </c>
      <c r="D1439" s="299" t="s">
        <v>296</v>
      </c>
      <c r="E1439" s="331">
        <v>24.69</v>
      </c>
      <c r="F1439" s="331"/>
      <c r="G1439" s="333">
        <f t="shared" si="35"/>
        <v>2771.1699999999869</v>
      </c>
      <c r="H1439" s="334"/>
      <c r="I1439" s="335"/>
      <c r="J1439" s="336"/>
      <c r="K1439" s="301"/>
      <c r="L1439" s="336"/>
      <c r="M1439" s="301"/>
      <c r="N1439" s="336"/>
      <c r="O1439" s="301"/>
      <c r="P1439" s="336"/>
      <c r="Q1439" s="301"/>
      <c r="R1439" s="336"/>
      <c r="S1439" s="301"/>
      <c r="T1439" s="336"/>
    </row>
    <row r="1440" spans="1:20" ht="12" customHeight="1" x14ac:dyDescent="0.25">
      <c r="A1440" s="329" t="s">
        <v>289</v>
      </c>
      <c r="B1440" s="330">
        <v>3</v>
      </c>
      <c r="C1440" s="298">
        <v>46090</v>
      </c>
      <c r="D1440" s="299" t="s">
        <v>415</v>
      </c>
      <c r="E1440" s="331">
        <v>4.59</v>
      </c>
      <c r="F1440" s="331"/>
      <c r="G1440" s="333">
        <f t="shared" si="35"/>
        <v>2795.8599999999869</v>
      </c>
      <c r="H1440" s="334"/>
      <c r="I1440" s="335"/>
      <c r="J1440" s="336"/>
      <c r="K1440" s="301"/>
      <c r="L1440" s="336"/>
      <c r="M1440" s="301"/>
      <c r="N1440" s="336"/>
      <c r="O1440" s="301"/>
      <c r="P1440" s="336"/>
      <c r="Q1440" s="301"/>
      <c r="R1440" s="336"/>
      <c r="S1440" s="301"/>
      <c r="T1440" s="336"/>
    </row>
    <row r="1441" spans="1:20" ht="12" customHeight="1" x14ac:dyDescent="0.25">
      <c r="A1441" s="329" t="s">
        <v>294</v>
      </c>
      <c r="B1441" s="330">
        <v>9</v>
      </c>
      <c r="C1441" s="298">
        <v>46090</v>
      </c>
      <c r="D1441" s="299" t="s">
        <v>58</v>
      </c>
      <c r="E1441" s="331">
        <v>1281.53</v>
      </c>
      <c r="F1441" s="331"/>
      <c r="G1441" s="333">
        <f t="shared" si="35"/>
        <v>2800.4499999999871</v>
      </c>
      <c r="H1441" s="334"/>
      <c r="I1441" s="335"/>
      <c r="J1441" s="336"/>
      <c r="K1441" s="301"/>
      <c r="L1441" s="336"/>
      <c r="M1441" s="301"/>
      <c r="N1441" s="336"/>
      <c r="O1441" s="301"/>
      <c r="P1441" s="336"/>
      <c r="Q1441" s="301"/>
      <c r="R1441" s="336"/>
      <c r="S1441" s="301"/>
      <c r="T1441" s="336"/>
    </row>
    <row r="1442" spans="1:20" ht="12" customHeight="1" x14ac:dyDescent="0.25">
      <c r="A1442" s="329" t="s">
        <v>289</v>
      </c>
      <c r="B1442" s="330">
        <v>7</v>
      </c>
      <c r="C1442" s="298">
        <v>46090</v>
      </c>
      <c r="D1442" s="299" t="s">
        <v>337</v>
      </c>
      <c r="E1442" s="331">
        <v>40.61</v>
      </c>
      <c r="F1442" s="331"/>
      <c r="G1442" s="333">
        <f t="shared" si="35"/>
        <v>4081.9799999999873</v>
      </c>
      <c r="H1442" s="334"/>
      <c r="I1442" s="335"/>
      <c r="J1442" s="336"/>
      <c r="K1442" s="301"/>
      <c r="L1442" s="336"/>
      <c r="M1442" s="301"/>
      <c r="N1442" s="336"/>
      <c r="O1442" s="301"/>
      <c r="P1442" s="336"/>
      <c r="Q1442" s="301"/>
      <c r="R1442" s="336"/>
      <c r="S1442" s="301"/>
      <c r="T1442" s="336"/>
    </row>
    <row r="1443" spans="1:20" ht="12" customHeight="1" x14ac:dyDescent="0.25">
      <c r="A1443" s="329" t="s">
        <v>287</v>
      </c>
      <c r="B1443" s="330" t="s">
        <v>287</v>
      </c>
      <c r="C1443" s="298">
        <v>46090</v>
      </c>
      <c r="D1443" s="299" t="s">
        <v>416</v>
      </c>
      <c r="E1443" s="331">
        <v>380</v>
      </c>
      <c r="F1443" s="331">
        <v>380</v>
      </c>
      <c r="G1443" s="333">
        <f t="shared" si="35"/>
        <v>4122.5899999999874</v>
      </c>
      <c r="H1443" s="334"/>
      <c r="I1443" s="335"/>
      <c r="J1443" s="336"/>
      <c r="K1443" s="301"/>
      <c r="L1443" s="336"/>
      <c r="M1443" s="301"/>
      <c r="N1443" s="336"/>
      <c r="O1443" s="301"/>
      <c r="P1443" s="336"/>
      <c r="Q1443" s="301"/>
      <c r="R1443" s="336"/>
      <c r="S1443" s="301"/>
      <c r="T1443" s="336"/>
    </row>
    <row r="1444" spans="1:20" ht="12" customHeight="1" x14ac:dyDescent="0.25">
      <c r="A1444" s="329" t="s">
        <v>289</v>
      </c>
      <c r="B1444" s="330">
        <v>2</v>
      </c>
      <c r="C1444" s="298">
        <v>46090</v>
      </c>
      <c r="D1444" s="299" t="s">
        <v>417</v>
      </c>
      <c r="E1444" s="331">
        <v>15</v>
      </c>
      <c r="F1444" s="331"/>
      <c r="G1444" s="333">
        <f t="shared" si="35"/>
        <v>4122.5899999999874</v>
      </c>
      <c r="H1444" s="334"/>
      <c r="I1444" s="335"/>
      <c r="J1444" s="336"/>
      <c r="K1444" s="301"/>
      <c r="L1444" s="336"/>
      <c r="M1444" s="301"/>
      <c r="N1444" s="336"/>
      <c r="O1444" s="301"/>
      <c r="P1444" s="336"/>
      <c r="Q1444" s="301"/>
      <c r="R1444" s="336"/>
      <c r="S1444" s="301"/>
      <c r="T1444" s="336"/>
    </row>
    <row r="1445" spans="1:20" ht="12" customHeight="1" x14ac:dyDescent="0.25">
      <c r="A1445" s="329" t="s">
        <v>289</v>
      </c>
      <c r="B1445" s="330">
        <v>2</v>
      </c>
      <c r="C1445" s="298">
        <v>46090</v>
      </c>
      <c r="D1445" s="299" t="s">
        <v>385</v>
      </c>
      <c r="E1445" s="331">
        <v>15</v>
      </c>
      <c r="F1445" s="331"/>
      <c r="G1445" s="333">
        <f t="shared" si="35"/>
        <v>4137.5899999999874</v>
      </c>
      <c r="H1445" s="334"/>
      <c r="I1445" s="335"/>
      <c r="J1445" s="336"/>
      <c r="K1445" s="301"/>
      <c r="L1445" s="336"/>
      <c r="M1445" s="301"/>
      <c r="N1445" s="336"/>
      <c r="O1445" s="301"/>
      <c r="P1445" s="336"/>
      <c r="Q1445" s="301"/>
      <c r="R1445" s="336"/>
      <c r="S1445" s="301"/>
      <c r="T1445" s="336"/>
    </row>
    <row r="1446" spans="1:20" ht="12" customHeight="1" x14ac:dyDescent="0.25">
      <c r="A1446" s="329" t="s">
        <v>289</v>
      </c>
      <c r="B1446" s="330">
        <v>6</v>
      </c>
      <c r="C1446" s="298">
        <v>46090</v>
      </c>
      <c r="D1446" s="299" t="s">
        <v>300</v>
      </c>
      <c r="E1446" s="331">
        <v>70.66</v>
      </c>
      <c r="F1446" s="331"/>
      <c r="G1446" s="333">
        <f t="shared" si="35"/>
        <v>4152.5899999999874</v>
      </c>
      <c r="H1446" s="334"/>
      <c r="I1446" s="335"/>
      <c r="J1446" s="336"/>
      <c r="K1446" s="301"/>
      <c r="L1446" s="336"/>
      <c r="M1446" s="301"/>
      <c r="N1446" s="336"/>
      <c r="O1446" s="301"/>
      <c r="P1446" s="336"/>
      <c r="Q1446" s="301"/>
      <c r="R1446" s="336"/>
      <c r="S1446" s="301"/>
      <c r="T1446" s="336"/>
    </row>
    <row r="1447" spans="1:20" ht="12" customHeight="1" x14ac:dyDescent="0.25">
      <c r="A1447" s="329" t="s">
        <v>289</v>
      </c>
      <c r="B1447" s="330">
        <v>1</v>
      </c>
      <c r="C1447" s="298">
        <v>46089</v>
      </c>
      <c r="D1447" s="299" t="s">
        <v>311</v>
      </c>
      <c r="E1447" s="331">
        <v>109.77</v>
      </c>
      <c r="F1447" s="331"/>
      <c r="G1447" s="333">
        <f t="shared" si="35"/>
        <v>4223.2499999999873</v>
      </c>
      <c r="H1447" s="334"/>
      <c r="I1447" s="335"/>
      <c r="J1447" s="336"/>
      <c r="K1447" s="301"/>
      <c r="L1447" s="336"/>
      <c r="M1447" s="301"/>
      <c r="N1447" s="336"/>
      <c r="O1447" s="301"/>
      <c r="P1447" s="336"/>
      <c r="Q1447" s="301"/>
      <c r="R1447" s="336"/>
      <c r="S1447" s="301"/>
      <c r="T1447" s="336"/>
    </row>
    <row r="1448" spans="1:20" ht="12" customHeight="1" x14ac:dyDescent="0.25">
      <c r="A1448" s="329" t="s">
        <v>289</v>
      </c>
      <c r="B1448" s="330">
        <v>6</v>
      </c>
      <c r="C1448" s="298">
        <v>46089</v>
      </c>
      <c r="D1448" s="299" t="s">
        <v>306</v>
      </c>
      <c r="E1448" s="331">
        <v>9.3800000000000008</v>
      </c>
      <c r="F1448" s="331"/>
      <c r="G1448" s="333">
        <f t="shared" si="35"/>
        <v>4333.0199999999877</v>
      </c>
      <c r="H1448" s="334"/>
      <c r="I1448" s="335"/>
      <c r="J1448" s="336"/>
      <c r="K1448" s="301"/>
      <c r="L1448" s="336"/>
      <c r="M1448" s="301"/>
      <c r="N1448" s="336"/>
      <c r="O1448" s="301"/>
      <c r="P1448" s="336"/>
      <c r="Q1448" s="301"/>
      <c r="R1448" s="336"/>
      <c r="S1448" s="301"/>
      <c r="T1448" s="336"/>
    </row>
    <row r="1449" spans="1:20" ht="12" customHeight="1" x14ac:dyDescent="0.25">
      <c r="A1449" s="329" t="s">
        <v>289</v>
      </c>
      <c r="B1449" s="330">
        <v>3</v>
      </c>
      <c r="C1449" s="298">
        <v>46089</v>
      </c>
      <c r="D1449" s="299" t="s">
        <v>418</v>
      </c>
      <c r="E1449" s="331">
        <v>3.85</v>
      </c>
      <c r="F1449" s="331"/>
      <c r="G1449" s="333">
        <f t="shared" si="35"/>
        <v>4342.3999999999878</v>
      </c>
      <c r="H1449" s="334"/>
      <c r="I1449" s="335"/>
      <c r="J1449" s="336"/>
      <c r="K1449" s="301"/>
      <c r="L1449" s="336"/>
      <c r="M1449" s="301"/>
      <c r="N1449" s="336"/>
      <c r="O1449" s="301"/>
      <c r="P1449" s="336"/>
      <c r="Q1449" s="301"/>
      <c r="R1449" s="336"/>
      <c r="S1449" s="301"/>
      <c r="T1449" s="336"/>
    </row>
    <row r="1450" spans="1:20" ht="12" customHeight="1" x14ac:dyDescent="0.25">
      <c r="A1450" s="329" t="s">
        <v>289</v>
      </c>
      <c r="B1450" s="330">
        <v>2</v>
      </c>
      <c r="C1450" s="298">
        <v>46089</v>
      </c>
      <c r="D1450" s="299" t="s">
        <v>403</v>
      </c>
      <c r="E1450" s="331">
        <v>88.54</v>
      </c>
      <c r="F1450" s="331"/>
      <c r="G1450" s="333">
        <f t="shared" si="35"/>
        <v>4346.2499999999882</v>
      </c>
      <c r="H1450" s="334"/>
      <c r="I1450" s="335"/>
      <c r="J1450" s="336"/>
      <c r="K1450" s="301"/>
      <c r="L1450" s="336"/>
      <c r="M1450" s="301"/>
      <c r="N1450" s="336"/>
      <c r="O1450" s="301"/>
      <c r="P1450" s="336"/>
      <c r="Q1450" s="301"/>
      <c r="R1450" s="336"/>
      <c r="S1450" s="301"/>
      <c r="T1450" s="336"/>
    </row>
    <row r="1451" spans="1:20" ht="12" customHeight="1" x14ac:dyDescent="0.25">
      <c r="A1451" s="329" t="s">
        <v>289</v>
      </c>
      <c r="B1451" s="330">
        <v>2</v>
      </c>
      <c r="C1451" s="298">
        <v>46089</v>
      </c>
      <c r="D1451" s="299" t="s">
        <v>357</v>
      </c>
      <c r="E1451" s="331">
        <v>8.3800000000000008</v>
      </c>
      <c r="F1451" s="331"/>
      <c r="G1451" s="333">
        <f t="shared" si="35"/>
        <v>4434.7899999999881</v>
      </c>
      <c r="H1451" s="334"/>
      <c r="I1451" s="335"/>
      <c r="J1451" s="336"/>
      <c r="K1451" s="301"/>
      <c r="L1451" s="336"/>
      <c r="M1451" s="301"/>
      <c r="N1451" s="336"/>
      <c r="O1451" s="301"/>
      <c r="P1451" s="336"/>
      <c r="Q1451" s="301"/>
      <c r="R1451" s="336"/>
      <c r="S1451" s="301"/>
      <c r="T1451" s="336"/>
    </row>
    <row r="1452" spans="1:20" ht="12" customHeight="1" x14ac:dyDescent="0.25">
      <c r="A1452" s="329" t="s">
        <v>289</v>
      </c>
      <c r="B1452" s="330">
        <v>2</v>
      </c>
      <c r="C1452" s="298">
        <v>46089</v>
      </c>
      <c r="D1452" s="299" t="s">
        <v>301</v>
      </c>
      <c r="E1452" s="331">
        <v>39.549999999999997</v>
      </c>
      <c r="F1452" s="331"/>
      <c r="G1452" s="333">
        <f t="shared" si="35"/>
        <v>4443.1699999999882</v>
      </c>
      <c r="H1452" s="334"/>
      <c r="I1452" s="335"/>
      <c r="J1452" s="336"/>
      <c r="K1452" s="301"/>
      <c r="L1452" s="336"/>
      <c r="M1452" s="301"/>
      <c r="N1452" s="336"/>
      <c r="O1452" s="301"/>
      <c r="P1452" s="336"/>
      <c r="Q1452" s="301"/>
      <c r="R1452" s="336"/>
      <c r="S1452" s="301"/>
      <c r="T1452" s="336"/>
    </row>
    <row r="1453" spans="1:20" ht="12" customHeight="1" x14ac:dyDescent="0.25">
      <c r="A1453" s="329" t="s">
        <v>289</v>
      </c>
      <c r="B1453" s="330">
        <v>4</v>
      </c>
      <c r="C1453" s="298">
        <v>46089</v>
      </c>
      <c r="D1453" s="299" t="s">
        <v>419</v>
      </c>
      <c r="E1453" s="331">
        <v>31.68</v>
      </c>
      <c r="F1453" s="331"/>
      <c r="G1453" s="333">
        <f t="shared" si="35"/>
        <v>4482.7199999999884</v>
      </c>
      <c r="H1453" s="334"/>
      <c r="I1453" s="335"/>
      <c r="J1453" s="336"/>
      <c r="K1453" s="301"/>
      <c r="L1453" s="336"/>
      <c r="M1453" s="301"/>
      <c r="N1453" s="336"/>
      <c r="O1453" s="301"/>
      <c r="P1453" s="336"/>
      <c r="Q1453" s="301"/>
      <c r="R1453" s="336"/>
      <c r="S1453" s="301"/>
      <c r="T1453" s="336"/>
    </row>
    <row r="1454" spans="1:20" ht="12" customHeight="1" x14ac:dyDescent="0.25">
      <c r="A1454" s="329" t="s">
        <v>289</v>
      </c>
      <c r="B1454" s="330">
        <v>8</v>
      </c>
      <c r="C1454" s="298">
        <v>46088</v>
      </c>
      <c r="D1454" s="299" t="s">
        <v>308</v>
      </c>
      <c r="E1454" s="331">
        <v>24.65</v>
      </c>
      <c r="F1454" s="331"/>
      <c r="G1454" s="333">
        <f t="shared" si="35"/>
        <v>4514.3999999999887</v>
      </c>
      <c r="H1454" s="334"/>
      <c r="I1454" s="335"/>
      <c r="J1454" s="336"/>
      <c r="K1454" s="301"/>
      <c r="L1454" s="336"/>
      <c r="M1454" s="301"/>
      <c r="N1454" s="336"/>
      <c r="O1454" s="301"/>
      <c r="P1454" s="336"/>
      <c r="Q1454" s="301"/>
      <c r="R1454" s="336"/>
      <c r="S1454" s="301"/>
      <c r="T1454" s="336"/>
    </row>
    <row r="1455" spans="1:20" ht="12" customHeight="1" x14ac:dyDescent="0.25">
      <c r="A1455" s="329" t="s">
        <v>289</v>
      </c>
      <c r="B1455" s="330">
        <v>2</v>
      </c>
      <c r="C1455" s="298">
        <v>46088</v>
      </c>
      <c r="D1455" s="299" t="s">
        <v>345</v>
      </c>
      <c r="E1455" s="331">
        <v>11.04</v>
      </c>
      <c r="F1455" s="331"/>
      <c r="G1455" s="333">
        <f t="shared" si="35"/>
        <v>4539.0499999999884</v>
      </c>
      <c r="H1455" s="334"/>
      <c r="I1455" s="335"/>
      <c r="J1455" s="336"/>
      <c r="K1455" s="301"/>
      <c r="L1455" s="336"/>
      <c r="M1455" s="301"/>
      <c r="N1455" s="336"/>
      <c r="O1455" s="301"/>
      <c r="P1455" s="336"/>
      <c r="Q1455" s="301"/>
      <c r="R1455" s="336"/>
      <c r="S1455" s="301"/>
      <c r="T1455" s="336"/>
    </row>
    <row r="1456" spans="1:20" ht="12" customHeight="1" x14ac:dyDescent="0.25">
      <c r="A1456" s="329" t="s">
        <v>289</v>
      </c>
      <c r="B1456" s="330">
        <v>8</v>
      </c>
      <c r="C1456" s="298">
        <v>46088</v>
      </c>
      <c r="D1456" s="299" t="s">
        <v>319</v>
      </c>
      <c r="E1456" s="331">
        <v>11.5</v>
      </c>
      <c r="F1456" s="331"/>
      <c r="G1456" s="333">
        <f t="shared" si="35"/>
        <v>4550.0899999999883</v>
      </c>
      <c r="H1456" s="334"/>
      <c r="I1456" s="335"/>
      <c r="J1456" s="336"/>
      <c r="K1456" s="301"/>
      <c r="L1456" s="336"/>
      <c r="M1456" s="301"/>
      <c r="N1456" s="336"/>
      <c r="O1456" s="301"/>
      <c r="P1456" s="336"/>
      <c r="Q1456" s="301"/>
      <c r="R1456" s="336"/>
      <c r="S1456" s="301"/>
      <c r="T1456" s="336"/>
    </row>
    <row r="1457" spans="1:20" ht="12" customHeight="1" x14ac:dyDescent="0.25">
      <c r="A1457" s="329" t="s">
        <v>289</v>
      </c>
      <c r="B1457" s="330">
        <v>8</v>
      </c>
      <c r="C1457" s="298">
        <v>46088</v>
      </c>
      <c r="D1457" s="299" t="s">
        <v>296</v>
      </c>
      <c r="E1457" s="331">
        <v>12.44</v>
      </c>
      <c r="F1457" s="331"/>
      <c r="G1457" s="333">
        <f t="shared" si="35"/>
        <v>4561.5899999999883</v>
      </c>
      <c r="H1457" s="334"/>
      <c r="I1457" s="335"/>
      <c r="J1457" s="336"/>
      <c r="K1457" s="301"/>
      <c r="L1457" s="336"/>
      <c r="M1457" s="301"/>
      <c r="N1457" s="336"/>
      <c r="O1457" s="301"/>
      <c r="P1457" s="336"/>
      <c r="Q1457" s="301"/>
      <c r="R1457" s="336"/>
      <c r="S1457" s="301"/>
      <c r="T1457" s="336"/>
    </row>
    <row r="1458" spans="1:20" ht="12" customHeight="1" x14ac:dyDescent="0.25">
      <c r="A1458" s="329" t="s">
        <v>289</v>
      </c>
      <c r="B1458" s="330">
        <v>4</v>
      </c>
      <c r="C1458" s="298">
        <v>46088</v>
      </c>
      <c r="D1458" s="299" t="s">
        <v>296</v>
      </c>
      <c r="E1458" s="331">
        <v>23.62</v>
      </c>
      <c r="F1458" s="331"/>
      <c r="G1458" s="333">
        <f t="shared" si="35"/>
        <v>4574.0299999999879</v>
      </c>
      <c r="H1458" s="334"/>
      <c r="I1458" s="335"/>
      <c r="J1458" s="336"/>
      <c r="K1458" s="301"/>
      <c r="L1458" s="336"/>
      <c r="M1458" s="301"/>
      <c r="N1458" s="336"/>
      <c r="O1458" s="301"/>
      <c r="P1458" s="336"/>
      <c r="Q1458" s="301"/>
      <c r="R1458" s="336"/>
      <c r="S1458" s="301"/>
      <c r="T1458" s="336"/>
    </row>
    <row r="1459" spans="1:20" ht="12" customHeight="1" x14ac:dyDescent="0.25">
      <c r="A1459" s="329" t="s">
        <v>289</v>
      </c>
      <c r="B1459" s="330">
        <v>2</v>
      </c>
      <c r="C1459" s="298">
        <v>46088</v>
      </c>
      <c r="D1459" s="299" t="s">
        <v>301</v>
      </c>
      <c r="E1459" s="331">
        <v>36.049999999999997</v>
      </c>
      <c r="F1459" s="331"/>
      <c r="G1459" s="333">
        <f t="shared" si="35"/>
        <v>4597.6499999999878</v>
      </c>
      <c r="H1459" s="334"/>
      <c r="I1459" s="335"/>
      <c r="J1459" s="336"/>
      <c r="K1459" s="301"/>
      <c r="L1459" s="336"/>
      <c r="M1459" s="301"/>
      <c r="N1459" s="336"/>
      <c r="O1459" s="301"/>
      <c r="P1459" s="336"/>
      <c r="Q1459" s="301"/>
      <c r="R1459" s="336"/>
      <c r="S1459" s="301"/>
      <c r="T1459" s="336"/>
    </row>
    <row r="1460" spans="1:20" ht="12" customHeight="1" x14ac:dyDescent="0.25">
      <c r="A1460" s="329" t="s">
        <v>294</v>
      </c>
      <c r="B1460" s="330">
        <v>14</v>
      </c>
      <c r="C1460" s="298">
        <v>46087</v>
      </c>
      <c r="D1460" s="299" t="s">
        <v>365</v>
      </c>
      <c r="E1460" s="331">
        <v>66.67</v>
      </c>
      <c r="F1460" s="331"/>
      <c r="G1460" s="333">
        <f t="shared" si="35"/>
        <v>4633.699999999988</v>
      </c>
      <c r="H1460" s="334"/>
      <c r="I1460" s="335"/>
      <c r="J1460" s="336"/>
      <c r="K1460" s="301"/>
      <c r="L1460" s="336"/>
      <c r="M1460" s="301"/>
      <c r="N1460" s="336"/>
      <c r="O1460" s="301"/>
      <c r="P1460" s="336"/>
      <c r="Q1460" s="301"/>
      <c r="R1460" s="336"/>
      <c r="S1460" s="301"/>
      <c r="T1460" s="336"/>
    </row>
    <row r="1461" spans="1:20" ht="12" customHeight="1" x14ac:dyDescent="0.25">
      <c r="A1461" s="329" t="s">
        <v>289</v>
      </c>
      <c r="B1461" s="330">
        <v>2</v>
      </c>
      <c r="C1461" s="298">
        <v>46087</v>
      </c>
      <c r="D1461" s="299" t="s">
        <v>296</v>
      </c>
      <c r="E1461" s="331">
        <v>17.850000000000001</v>
      </c>
      <c r="F1461" s="331"/>
      <c r="G1461" s="333">
        <f t="shared" si="35"/>
        <v>4700.3699999999881</v>
      </c>
      <c r="H1461" s="334"/>
      <c r="I1461" s="335"/>
      <c r="J1461" s="336"/>
      <c r="K1461" s="301"/>
      <c r="L1461" s="336"/>
      <c r="M1461" s="301"/>
      <c r="N1461" s="336"/>
      <c r="O1461" s="301"/>
      <c r="P1461" s="336"/>
      <c r="Q1461" s="301"/>
      <c r="R1461" s="336"/>
      <c r="S1461" s="301"/>
      <c r="T1461" s="336"/>
    </row>
    <row r="1462" spans="1:20" ht="12" customHeight="1" x14ac:dyDescent="0.25">
      <c r="A1462" s="329" t="s">
        <v>289</v>
      </c>
      <c r="B1462" s="330">
        <v>1</v>
      </c>
      <c r="C1462" s="298">
        <v>46087</v>
      </c>
      <c r="D1462" s="299" t="s">
        <v>304</v>
      </c>
      <c r="E1462" s="331">
        <v>112.13</v>
      </c>
      <c r="F1462" s="331"/>
      <c r="G1462" s="333">
        <f t="shared" si="35"/>
        <v>4718.2199999999884</v>
      </c>
      <c r="H1462" s="334"/>
      <c r="I1462" s="335"/>
      <c r="J1462" s="336"/>
      <c r="K1462" s="301"/>
      <c r="L1462" s="336"/>
      <c r="M1462" s="301"/>
      <c r="N1462" s="336"/>
      <c r="O1462" s="301"/>
      <c r="P1462" s="336"/>
      <c r="Q1462" s="301"/>
      <c r="R1462" s="336"/>
      <c r="S1462" s="301"/>
      <c r="T1462" s="336"/>
    </row>
    <row r="1463" spans="1:20" ht="12" customHeight="1" x14ac:dyDescent="0.25">
      <c r="A1463" s="329" t="s">
        <v>289</v>
      </c>
      <c r="B1463" s="330">
        <v>3</v>
      </c>
      <c r="C1463" s="298">
        <v>46087</v>
      </c>
      <c r="D1463" s="299" t="s">
        <v>324</v>
      </c>
      <c r="E1463" s="331">
        <v>7.31</v>
      </c>
      <c r="F1463" s="331"/>
      <c r="G1463" s="333">
        <f t="shared" si="35"/>
        <v>4830.3499999999885</v>
      </c>
      <c r="H1463" s="334"/>
      <c r="I1463" s="335"/>
      <c r="J1463" s="336"/>
      <c r="K1463" s="301"/>
      <c r="L1463" s="336"/>
      <c r="M1463" s="301"/>
      <c r="N1463" s="336"/>
      <c r="O1463" s="301"/>
      <c r="P1463" s="336"/>
      <c r="Q1463" s="301"/>
      <c r="R1463" s="336"/>
      <c r="S1463" s="301"/>
      <c r="T1463" s="336"/>
    </row>
    <row r="1464" spans="1:20" ht="12" customHeight="1" x14ac:dyDescent="0.25">
      <c r="A1464" s="329" t="s">
        <v>291</v>
      </c>
      <c r="B1464" s="330">
        <v>39</v>
      </c>
      <c r="C1464" s="298">
        <v>46086</v>
      </c>
      <c r="D1464" s="299" t="s">
        <v>292</v>
      </c>
      <c r="E1464" s="331"/>
      <c r="F1464" s="331">
        <v>2763.78</v>
      </c>
      <c r="G1464" s="333">
        <f t="shared" si="35"/>
        <v>4837.6599999999889</v>
      </c>
      <c r="H1464" s="334"/>
      <c r="I1464" s="335"/>
      <c r="J1464" s="336"/>
      <c r="K1464" s="301"/>
      <c r="L1464" s="336"/>
      <c r="M1464" s="301"/>
      <c r="N1464" s="336"/>
      <c r="O1464" s="301"/>
      <c r="P1464" s="336"/>
      <c r="Q1464" s="301"/>
      <c r="R1464" s="336"/>
      <c r="S1464" s="301"/>
      <c r="T1464" s="336"/>
    </row>
    <row r="1465" spans="1:20" ht="12" customHeight="1" x14ac:dyDescent="0.25">
      <c r="A1465" s="329" t="s">
        <v>289</v>
      </c>
      <c r="B1465" s="330">
        <v>4</v>
      </c>
      <c r="C1465" s="298">
        <v>46086</v>
      </c>
      <c r="D1465" s="299" t="s">
        <v>295</v>
      </c>
      <c r="E1465" s="331">
        <v>31.52</v>
      </c>
      <c r="F1465" s="331"/>
      <c r="G1465" s="333">
        <f t="shared" si="35"/>
        <v>2073.8799999999892</v>
      </c>
      <c r="H1465" s="334"/>
      <c r="I1465" s="335"/>
      <c r="J1465" s="336"/>
      <c r="K1465" s="301"/>
      <c r="L1465" s="336"/>
      <c r="M1465" s="301"/>
      <c r="N1465" s="336"/>
      <c r="O1465" s="301"/>
      <c r="P1465" s="336"/>
      <c r="Q1465" s="301"/>
      <c r="R1465" s="336"/>
      <c r="S1465" s="301"/>
      <c r="T1465" s="336"/>
    </row>
    <row r="1466" spans="1:20" ht="12" customHeight="1" x14ac:dyDescent="0.25">
      <c r="A1466" s="329" t="s">
        <v>289</v>
      </c>
      <c r="B1466" s="330">
        <v>2</v>
      </c>
      <c r="C1466" s="298">
        <v>46086</v>
      </c>
      <c r="D1466" s="299" t="s">
        <v>357</v>
      </c>
      <c r="E1466" s="331">
        <v>14.86</v>
      </c>
      <c r="F1466" s="331"/>
      <c r="G1466" s="333">
        <f t="shared" si="35"/>
        <v>2105.3999999999892</v>
      </c>
      <c r="H1466" s="334"/>
      <c r="I1466" s="335"/>
      <c r="J1466" s="336"/>
      <c r="K1466" s="301"/>
      <c r="L1466" s="336"/>
      <c r="M1466" s="301"/>
      <c r="N1466" s="336"/>
      <c r="O1466" s="301"/>
      <c r="P1466" s="336"/>
      <c r="Q1466" s="301"/>
      <c r="R1466" s="336"/>
      <c r="S1466" s="301"/>
      <c r="T1466" s="336"/>
    </row>
    <row r="1467" spans="1:20" ht="12" customHeight="1" x14ac:dyDescent="0.25">
      <c r="A1467" s="329" t="s">
        <v>289</v>
      </c>
      <c r="B1467" s="330">
        <v>8</v>
      </c>
      <c r="C1467" s="298">
        <v>46086</v>
      </c>
      <c r="D1467" s="299" t="s">
        <v>408</v>
      </c>
      <c r="E1467" s="331">
        <v>44.99</v>
      </c>
      <c r="F1467" s="331"/>
      <c r="G1467" s="333">
        <f t="shared" si="35"/>
        <v>2120.2599999999893</v>
      </c>
      <c r="H1467" s="334"/>
      <c r="I1467" s="335"/>
      <c r="J1467" s="336"/>
      <c r="K1467" s="301"/>
      <c r="L1467" s="336"/>
      <c r="M1467" s="301"/>
      <c r="N1467" s="336"/>
      <c r="O1467" s="301"/>
      <c r="P1467" s="336"/>
      <c r="Q1467" s="301"/>
      <c r="R1467" s="336"/>
      <c r="S1467" s="301"/>
      <c r="T1467" s="336"/>
    </row>
    <row r="1468" spans="1:20" ht="12" customHeight="1" x14ac:dyDescent="0.25">
      <c r="A1468" s="329" t="s">
        <v>289</v>
      </c>
      <c r="B1468" s="330">
        <v>2</v>
      </c>
      <c r="C1468" s="298">
        <v>46085</v>
      </c>
      <c r="D1468" s="299" t="s">
        <v>420</v>
      </c>
      <c r="E1468" s="331">
        <v>15</v>
      </c>
      <c r="F1468" s="331"/>
      <c r="G1468" s="333">
        <f t="shared" si="35"/>
        <v>2165.2499999999891</v>
      </c>
      <c r="H1468" s="334"/>
      <c r="I1468" s="335"/>
      <c r="J1468" s="336"/>
      <c r="K1468" s="301"/>
      <c r="L1468" s="336"/>
      <c r="M1468" s="301"/>
      <c r="N1468" s="336"/>
      <c r="O1468" s="301"/>
      <c r="P1468" s="336"/>
      <c r="Q1468" s="301"/>
      <c r="R1468" s="336"/>
      <c r="S1468" s="301"/>
      <c r="T1468" s="336"/>
    </row>
    <row r="1469" spans="1:20" ht="12" customHeight="1" x14ac:dyDescent="0.25">
      <c r="A1469" s="329" t="s">
        <v>289</v>
      </c>
      <c r="B1469" s="330">
        <v>2</v>
      </c>
      <c r="C1469" s="298">
        <v>46085</v>
      </c>
      <c r="D1469" s="299" t="s">
        <v>296</v>
      </c>
      <c r="E1469" s="331">
        <v>10.84</v>
      </c>
      <c r="F1469" s="331"/>
      <c r="G1469" s="333">
        <f t="shared" si="35"/>
        <v>2180.2499999999891</v>
      </c>
      <c r="H1469" s="334"/>
      <c r="I1469" s="335"/>
      <c r="J1469" s="336"/>
      <c r="K1469" s="301"/>
      <c r="L1469" s="336"/>
      <c r="M1469" s="301"/>
      <c r="N1469" s="336"/>
      <c r="O1469" s="301"/>
      <c r="P1469" s="336"/>
      <c r="Q1469" s="301"/>
      <c r="R1469" s="336"/>
      <c r="S1469" s="301"/>
      <c r="T1469" s="336"/>
    </row>
    <row r="1470" spans="1:20" ht="12" customHeight="1" x14ac:dyDescent="0.25">
      <c r="A1470" s="329" t="s">
        <v>294</v>
      </c>
      <c r="B1470" s="330">
        <v>14</v>
      </c>
      <c r="C1470" s="298">
        <v>46085</v>
      </c>
      <c r="D1470" s="299" t="s">
        <v>366</v>
      </c>
      <c r="E1470" s="331">
        <v>68.739999999999995</v>
      </c>
      <c r="F1470" s="331"/>
      <c r="G1470" s="333">
        <f t="shared" si="35"/>
        <v>2191.0899999999892</v>
      </c>
      <c r="H1470" s="334"/>
      <c r="I1470" s="335"/>
      <c r="J1470" s="336"/>
      <c r="K1470" s="301"/>
      <c r="L1470" s="336"/>
      <c r="M1470" s="301"/>
      <c r="N1470" s="336"/>
      <c r="O1470" s="301"/>
      <c r="P1470" s="336"/>
      <c r="Q1470" s="301"/>
      <c r="R1470" s="336"/>
      <c r="S1470" s="301"/>
      <c r="T1470" s="336"/>
    </row>
    <row r="1471" spans="1:20" ht="12" customHeight="1" x14ac:dyDescent="0.25">
      <c r="A1471" s="329" t="s">
        <v>289</v>
      </c>
      <c r="B1471" s="330">
        <v>4</v>
      </c>
      <c r="C1471" s="298">
        <v>46085</v>
      </c>
      <c r="D1471" s="299" t="s">
        <v>310</v>
      </c>
      <c r="E1471" s="331">
        <v>30.67</v>
      </c>
      <c r="F1471" s="331"/>
      <c r="G1471" s="333">
        <f t="shared" si="35"/>
        <v>2259.829999999989</v>
      </c>
      <c r="H1471" s="334"/>
      <c r="I1471" s="335"/>
      <c r="J1471" s="336"/>
      <c r="K1471" s="301"/>
      <c r="L1471" s="336"/>
      <c r="M1471" s="301"/>
      <c r="N1471" s="336"/>
      <c r="O1471" s="301"/>
      <c r="P1471" s="336"/>
      <c r="Q1471" s="301"/>
      <c r="R1471" s="336"/>
      <c r="S1471" s="301"/>
      <c r="T1471" s="336"/>
    </row>
    <row r="1472" spans="1:20" ht="12" customHeight="1" x14ac:dyDescent="0.25">
      <c r="A1472" s="329" t="s">
        <v>294</v>
      </c>
      <c r="B1472" s="330">
        <v>17</v>
      </c>
      <c r="C1472" s="298">
        <v>46085</v>
      </c>
      <c r="D1472" s="299" t="s">
        <v>369</v>
      </c>
      <c r="E1472" s="331">
        <v>99</v>
      </c>
      <c r="F1472" s="331"/>
      <c r="G1472" s="333">
        <f t="shared" si="35"/>
        <v>2290.4999999999891</v>
      </c>
      <c r="H1472" s="334"/>
      <c r="I1472" s="335"/>
      <c r="J1472" s="336"/>
      <c r="K1472" s="301"/>
      <c r="L1472" s="336"/>
      <c r="M1472" s="301"/>
      <c r="N1472" s="336"/>
      <c r="O1472" s="301"/>
      <c r="P1472" s="336"/>
      <c r="Q1472" s="301"/>
      <c r="R1472" s="336"/>
      <c r="S1472" s="301"/>
      <c r="T1472" s="336"/>
    </row>
    <row r="1473" spans="1:20" ht="12" customHeight="1" x14ac:dyDescent="0.25">
      <c r="A1473" s="329" t="s">
        <v>294</v>
      </c>
      <c r="B1473" s="330">
        <v>21</v>
      </c>
      <c r="C1473" s="298">
        <v>46084</v>
      </c>
      <c r="D1473" s="299" t="s">
        <v>194</v>
      </c>
      <c r="E1473" s="331">
        <v>40.72</v>
      </c>
      <c r="F1473" s="331"/>
      <c r="G1473" s="333">
        <f t="shared" si="35"/>
        <v>2389.4999999999891</v>
      </c>
      <c r="H1473" s="334"/>
      <c r="I1473" s="335"/>
      <c r="J1473" s="336"/>
      <c r="K1473" s="301"/>
      <c r="L1473" s="336"/>
      <c r="M1473" s="301"/>
      <c r="N1473" s="336"/>
      <c r="O1473" s="301"/>
      <c r="P1473" s="336"/>
      <c r="Q1473" s="301"/>
      <c r="R1473" s="336"/>
      <c r="S1473" s="301"/>
      <c r="T1473" s="336"/>
    </row>
    <row r="1474" spans="1:20" ht="12" customHeight="1" x14ac:dyDescent="0.25">
      <c r="A1474" s="329" t="s">
        <v>284</v>
      </c>
      <c r="B1474" s="330">
        <v>36</v>
      </c>
      <c r="C1474" s="298">
        <v>46084</v>
      </c>
      <c r="D1474" s="299" t="s">
        <v>373</v>
      </c>
      <c r="E1474" s="331">
        <v>50</v>
      </c>
      <c r="F1474" s="331"/>
      <c r="G1474" s="333">
        <f t="shared" si="35"/>
        <v>2430.2199999999889</v>
      </c>
      <c r="H1474" s="334"/>
      <c r="I1474" s="335"/>
      <c r="J1474" s="336"/>
      <c r="K1474" s="301"/>
      <c r="L1474" s="336"/>
      <c r="M1474" s="301"/>
      <c r="N1474" s="336"/>
      <c r="O1474" s="301"/>
      <c r="P1474" s="336"/>
      <c r="Q1474" s="301"/>
      <c r="R1474" s="336"/>
      <c r="S1474" s="301"/>
      <c r="T1474" s="336"/>
    </row>
    <row r="1475" spans="1:20" ht="12" customHeight="1" x14ac:dyDescent="0.25">
      <c r="A1475" s="329" t="s">
        <v>289</v>
      </c>
      <c r="B1475" s="330">
        <v>2</v>
      </c>
      <c r="C1475" s="298">
        <v>46084</v>
      </c>
      <c r="D1475" s="299" t="s">
        <v>296</v>
      </c>
      <c r="E1475" s="331">
        <v>14.67</v>
      </c>
      <c r="F1475" s="331"/>
      <c r="G1475" s="333">
        <f t="shared" si="35"/>
        <v>2480.2199999999889</v>
      </c>
      <c r="H1475" s="334"/>
      <c r="I1475" s="335"/>
      <c r="J1475" s="336"/>
      <c r="K1475" s="301"/>
      <c r="L1475" s="336"/>
      <c r="M1475" s="301"/>
      <c r="N1475" s="336"/>
      <c r="O1475" s="301"/>
      <c r="P1475" s="336"/>
      <c r="Q1475" s="301"/>
      <c r="R1475" s="336"/>
      <c r="S1475" s="301"/>
      <c r="T1475" s="336"/>
    </row>
    <row r="1476" spans="1:20" ht="12" customHeight="1" x14ac:dyDescent="0.25">
      <c r="A1476" s="329" t="s">
        <v>289</v>
      </c>
      <c r="B1476" s="330">
        <v>4</v>
      </c>
      <c r="C1476" s="298">
        <v>46084</v>
      </c>
      <c r="D1476" s="299" t="s">
        <v>296</v>
      </c>
      <c r="E1476" s="331">
        <v>27.42</v>
      </c>
      <c r="F1476" s="331"/>
      <c r="G1476" s="333">
        <f t="shared" si="35"/>
        <v>2494.889999999989</v>
      </c>
      <c r="H1476" s="334"/>
      <c r="I1476" s="335"/>
      <c r="J1476" s="336"/>
      <c r="K1476" s="301"/>
      <c r="L1476" s="336"/>
      <c r="M1476" s="301"/>
      <c r="N1476" s="336"/>
      <c r="O1476" s="301"/>
      <c r="P1476" s="336"/>
      <c r="Q1476" s="301"/>
      <c r="R1476" s="336"/>
      <c r="S1476" s="301"/>
      <c r="T1476" s="336"/>
    </row>
    <row r="1477" spans="1:20" ht="12" customHeight="1" x14ac:dyDescent="0.25">
      <c r="A1477" s="329" t="s">
        <v>289</v>
      </c>
      <c r="B1477" s="330">
        <v>6</v>
      </c>
      <c r="C1477" s="298">
        <v>46084</v>
      </c>
      <c r="D1477" s="299" t="s">
        <v>421</v>
      </c>
      <c r="E1477" s="331">
        <v>106.27</v>
      </c>
      <c r="F1477" s="331"/>
      <c r="G1477" s="333">
        <f t="shared" si="35"/>
        <v>2522.309999999989</v>
      </c>
      <c r="H1477" s="334"/>
      <c r="I1477" s="335"/>
      <c r="J1477" s="336"/>
      <c r="K1477" s="301"/>
      <c r="L1477" s="336"/>
      <c r="M1477" s="301"/>
      <c r="N1477" s="336"/>
      <c r="O1477" s="301"/>
      <c r="P1477" s="336"/>
      <c r="Q1477" s="301"/>
      <c r="R1477" s="336"/>
      <c r="S1477" s="301"/>
      <c r="T1477" s="336"/>
    </row>
    <row r="1478" spans="1:20" ht="12" customHeight="1" x14ac:dyDescent="0.25">
      <c r="A1478" s="329" t="s">
        <v>289</v>
      </c>
      <c r="B1478" s="330">
        <v>6</v>
      </c>
      <c r="C1478" s="298">
        <v>46084</v>
      </c>
      <c r="D1478" s="299" t="s">
        <v>421</v>
      </c>
      <c r="E1478" s="331">
        <v>-107</v>
      </c>
      <c r="F1478" s="331"/>
      <c r="G1478" s="333">
        <f t="shared" si="35"/>
        <v>2628.579999999989</v>
      </c>
      <c r="H1478" s="334" t="s">
        <v>298</v>
      </c>
      <c r="I1478" s="335"/>
      <c r="J1478" s="336"/>
      <c r="K1478" s="301"/>
      <c r="L1478" s="336"/>
      <c r="M1478" s="301"/>
      <c r="N1478" s="336"/>
      <c r="O1478" s="301"/>
      <c r="P1478" s="336"/>
      <c r="Q1478" s="301"/>
      <c r="R1478" s="336"/>
      <c r="S1478" s="301"/>
      <c r="T1478" s="336"/>
    </row>
    <row r="1479" spans="1:20" ht="12" customHeight="1" x14ac:dyDescent="0.25">
      <c r="A1479" s="329" t="s">
        <v>289</v>
      </c>
      <c r="B1479" s="330">
        <v>2</v>
      </c>
      <c r="C1479" s="298">
        <v>46083</v>
      </c>
      <c r="D1479" s="299" t="s">
        <v>301</v>
      </c>
      <c r="E1479" s="331">
        <v>20</v>
      </c>
      <c r="F1479" s="331"/>
      <c r="G1479" s="333">
        <f t="shared" si="35"/>
        <v>2521.579999999989</v>
      </c>
      <c r="H1479" s="334"/>
      <c r="I1479" s="335"/>
      <c r="J1479" s="336"/>
      <c r="K1479" s="301"/>
      <c r="L1479" s="336"/>
      <c r="M1479" s="301"/>
      <c r="N1479" s="336"/>
      <c r="O1479" s="301"/>
      <c r="P1479" s="336"/>
      <c r="Q1479" s="301"/>
      <c r="R1479" s="336"/>
      <c r="S1479" s="301"/>
      <c r="T1479" s="336"/>
    </row>
    <row r="1480" spans="1:20" ht="12" customHeight="1" x14ac:dyDescent="0.25">
      <c r="A1480" s="329" t="s">
        <v>287</v>
      </c>
      <c r="B1480" s="330" t="s">
        <v>287</v>
      </c>
      <c r="C1480" s="298">
        <v>46083</v>
      </c>
      <c r="D1480" s="299" t="s">
        <v>288</v>
      </c>
      <c r="E1480" s="331">
        <v>185.64</v>
      </c>
      <c r="F1480" s="331">
        <v>185.64</v>
      </c>
      <c r="G1480" s="333">
        <f t="shared" si="35"/>
        <v>2541.579999999989</v>
      </c>
      <c r="H1480" s="334"/>
      <c r="I1480" s="335"/>
      <c r="J1480" s="336"/>
      <c r="K1480" s="301"/>
      <c r="L1480" s="336"/>
      <c r="M1480" s="301"/>
      <c r="N1480" s="336"/>
      <c r="O1480" s="301"/>
      <c r="P1480" s="336"/>
      <c r="Q1480" s="301"/>
      <c r="R1480" s="336"/>
      <c r="S1480" s="301"/>
      <c r="T1480" s="336"/>
    </row>
    <row r="1481" spans="1:20" ht="12" customHeight="1" x14ac:dyDescent="0.25">
      <c r="A1481" s="329" t="s">
        <v>289</v>
      </c>
      <c r="B1481" s="330">
        <v>2</v>
      </c>
      <c r="C1481" s="298">
        <v>46083</v>
      </c>
      <c r="D1481" s="299" t="s">
        <v>423</v>
      </c>
      <c r="E1481" s="331">
        <v>70.12</v>
      </c>
      <c r="F1481" s="331"/>
      <c r="G1481" s="333">
        <f t="shared" si="35"/>
        <v>2541.579999999989</v>
      </c>
      <c r="H1481" s="334"/>
      <c r="I1481" s="335"/>
      <c r="J1481" s="336"/>
      <c r="K1481" s="301"/>
      <c r="L1481" s="336"/>
      <c r="M1481" s="301"/>
      <c r="N1481" s="336"/>
      <c r="O1481" s="301"/>
      <c r="P1481" s="336"/>
      <c r="Q1481" s="301"/>
      <c r="R1481" s="336"/>
      <c r="S1481" s="301"/>
      <c r="T1481" s="336"/>
    </row>
    <row r="1482" spans="1:20" ht="12" customHeight="1" x14ac:dyDescent="0.25">
      <c r="A1482" s="329" t="s">
        <v>294</v>
      </c>
      <c r="B1482" s="330">
        <v>17</v>
      </c>
      <c r="C1482" s="298">
        <v>46083</v>
      </c>
      <c r="D1482" s="299" t="s">
        <v>188</v>
      </c>
      <c r="E1482" s="331">
        <v>41.44</v>
      </c>
      <c r="F1482" s="331"/>
      <c r="G1482" s="333">
        <f t="shared" si="35"/>
        <v>2611.6999999999889</v>
      </c>
      <c r="H1482" s="334"/>
      <c r="I1482" s="335"/>
      <c r="J1482" s="336"/>
      <c r="K1482" s="301"/>
      <c r="L1482" s="336"/>
      <c r="M1482" s="301"/>
      <c r="N1482" s="336"/>
      <c r="O1482" s="301"/>
      <c r="P1482" s="336"/>
      <c r="Q1482" s="301"/>
      <c r="R1482" s="336"/>
      <c r="S1482" s="301"/>
      <c r="T1482" s="336"/>
    </row>
    <row r="1483" spans="1:20" ht="12" customHeight="1" x14ac:dyDescent="0.25">
      <c r="A1483" s="329" t="s">
        <v>289</v>
      </c>
      <c r="B1483" s="330">
        <v>8</v>
      </c>
      <c r="C1483" s="298">
        <v>46083</v>
      </c>
      <c r="D1483" s="299" t="s">
        <v>296</v>
      </c>
      <c r="E1483" s="331">
        <v>8.7200000000000006</v>
      </c>
      <c r="F1483" s="331"/>
      <c r="G1483" s="333">
        <f t="shared" si="35"/>
        <v>2653.139999999989</v>
      </c>
      <c r="H1483" s="334"/>
      <c r="I1483" s="335"/>
      <c r="J1483" s="336"/>
      <c r="K1483" s="301"/>
      <c r="L1483" s="336"/>
      <c r="M1483" s="301"/>
      <c r="N1483" s="336"/>
      <c r="O1483" s="301"/>
      <c r="P1483" s="336"/>
      <c r="Q1483" s="301"/>
      <c r="R1483" s="336"/>
      <c r="S1483" s="301"/>
      <c r="T1483" s="336"/>
    </row>
    <row r="1484" spans="1:20" ht="12" customHeight="1" x14ac:dyDescent="0.25">
      <c r="A1484" s="329" t="s">
        <v>294</v>
      </c>
      <c r="B1484" s="330">
        <v>22</v>
      </c>
      <c r="C1484" s="298">
        <v>46082</v>
      </c>
      <c r="D1484" s="299" t="s">
        <v>374</v>
      </c>
      <c r="E1484" s="331">
        <v>6.37</v>
      </c>
      <c r="F1484" s="331"/>
      <c r="G1484" s="333">
        <f t="shared" si="35"/>
        <v>2661.8599999999888</v>
      </c>
      <c r="H1484" s="334"/>
      <c r="I1484" s="335"/>
      <c r="J1484" s="336"/>
      <c r="K1484" s="301"/>
      <c r="L1484" s="336"/>
      <c r="M1484" s="301"/>
      <c r="N1484" s="336"/>
      <c r="O1484" s="301"/>
      <c r="P1484" s="336"/>
      <c r="Q1484" s="301"/>
      <c r="R1484" s="336"/>
      <c r="S1484" s="301"/>
      <c r="T1484" s="336"/>
    </row>
    <row r="1485" spans="1:20" ht="12" customHeight="1" x14ac:dyDescent="0.25">
      <c r="A1485" s="329" t="s">
        <v>289</v>
      </c>
      <c r="B1485" s="330">
        <v>2</v>
      </c>
      <c r="C1485" s="298">
        <v>46082</v>
      </c>
      <c r="D1485" s="299" t="s">
        <v>296</v>
      </c>
      <c r="E1485" s="331">
        <v>9.8699999999999992</v>
      </c>
      <c r="F1485" s="331"/>
      <c r="G1485" s="333">
        <f t="shared" si="35"/>
        <v>2668.2299999999886</v>
      </c>
      <c r="H1485" s="334"/>
      <c r="I1485" s="335"/>
      <c r="J1485" s="336"/>
      <c r="K1485" s="301"/>
      <c r="L1485" s="336"/>
      <c r="M1485" s="301"/>
      <c r="N1485" s="336"/>
      <c r="O1485" s="301"/>
      <c r="P1485" s="336"/>
      <c r="Q1485" s="301"/>
      <c r="R1485" s="336"/>
      <c r="S1485" s="301"/>
      <c r="T1485" s="336"/>
    </row>
    <row r="1486" spans="1:20" ht="12" customHeight="1" x14ac:dyDescent="0.25">
      <c r="A1486" s="329" t="s">
        <v>289</v>
      </c>
      <c r="B1486" s="330">
        <v>1</v>
      </c>
      <c r="C1486" s="298">
        <v>46082</v>
      </c>
      <c r="D1486" s="299" t="s">
        <v>311</v>
      </c>
      <c r="E1486" s="331">
        <v>119.55</v>
      </c>
      <c r="F1486" s="331"/>
      <c r="G1486" s="333">
        <f t="shared" si="35"/>
        <v>2678.0999999999885</v>
      </c>
      <c r="H1486" s="334"/>
      <c r="I1486" s="335"/>
      <c r="J1486" s="336"/>
      <c r="K1486" s="301"/>
      <c r="L1486" s="336"/>
      <c r="M1486" s="301"/>
      <c r="N1486" s="336"/>
      <c r="O1486" s="301"/>
      <c r="P1486" s="336"/>
      <c r="Q1486" s="301"/>
      <c r="R1486" s="336"/>
      <c r="S1486" s="301"/>
      <c r="T1486" s="336"/>
    </row>
    <row r="1487" spans="1:20" ht="12" customHeight="1" x14ac:dyDescent="0.25">
      <c r="A1487" s="329" t="s">
        <v>289</v>
      </c>
      <c r="B1487" s="330">
        <v>3</v>
      </c>
      <c r="C1487" s="298">
        <v>46082</v>
      </c>
      <c r="D1487" s="299" t="s">
        <v>347</v>
      </c>
      <c r="E1487" s="331">
        <v>25</v>
      </c>
      <c r="F1487" s="331"/>
      <c r="G1487" s="333">
        <f t="shared" si="35"/>
        <v>2797.6499999999887</v>
      </c>
      <c r="H1487" s="334"/>
      <c r="I1487" s="335"/>
      <c r="J1487" s="336"/>
      <c r="K1487" s="301"/>
      <c r="L1487" s="336"/>
      <c r="M1487" s="301"/>
      <c r="N1487" s="336"/>
      <c r="O1487" s="301"/>
      <c r="P1487" s="336"/>
      <c r="Q1487" s="301"/>
      <c r="R1487" s="336"/>
      <c r="S1487" s="301"/>
      <c r="T1487" s="336"/>
    </row>
    <row r="1488" spans="1:20" ht="12" customHeight="1" x14ac:dyDescent="0.25">
      <c r="A1488" s="329" t="s">
        <v>289</v>
      </c>
      <c r="B1488" s="330">
        <v>1</v>
      </c>
      <c r="C1488" s="298">
        <v>46082</v>
      </c>
      <c r="D1488" s="299" t="s">
        <v>304</v>
      </c>
      <c r="E1488" s="331">
        <v>119.17</v>
      </c>
      <c r="F1488" s="331"/>
      <c r="G1488" s="333">
        <f t="shared" si="35"/>
        <v>2822.6499999999887</v>
      </c>
      <c r="H1488" s="334"/>
      <c r="I1488" s="335"/>
      <c r="J1488" s="336"/>
      <c r="K1488" s="301"/>
      <c r="L1488" s="336"/>
      <c r="M1488" s="301"/>
      <c r="N1488" s="336"/>
      <c r="O1488" s="301"/>
      <c r="P1488" s="336"/>
      <c r="Q1488" s="301"/>
      <c r="R1488" s="336"/>
      <c r="S1488" s="301"/>
      <c r="T1488" s="336"/>
    </row>
    <row r="1489" spans="1:20" ht="12" customHeight="1" x14ac:dyDescent="0.25">
      <c r="A1489" s="329" t="s">
        <v>284</v>
      </c>
      <c r="B1489" s="330">
        <v>37</v>
      </c>
      <c r="C1489" s="298">
        <v>46081</v>
      </c>
      <c r="D1489" s="299" t="s">
        <v>424</v>
      </c>
      <c r="E1489" s="331">
        <v>3764.91</v>
      </c>
      <c r="F1489" s="331"/>
      <c r="G1489" s="333">
        <f t="shared" si="35"/>
        <v>2941.8199999999888</v>
      </c>
      <c r="H1489" s="334"/>
      <c r="I1489" s="335"/>
      <c r="J1489" s="336"/>
      <c r="K1489" s="301"/>
      <c r="L1489" s="336"/>
      <c r="M1489" s="301"/>
      <c r="N1489" s="336"/>
      <c r="O1489" s="301"/>
      <c r="P1489" s="336"/>
      <c r="Q1489" s="301"/>
      <c r="R1489" s="336"/>
      <c r="S1489" s="301"/>
      <c r="T1489" s="336"/>
    </row>
    <row r="1490" spans="1:20" ht="12" customHeight="1" x14ac:dyDescent="0.25">
      <c r="A1490" s="329" t="s">
        <v>286</v>
      </c>
      <c r="B1490" s="330">
        <v>25</v>
      </c>
      <c r="C1490" s="298">
        <v>46081</v>
      </c>
      <c r="D1490" s="298" t="s">
        <v>204</v>
      </c>
      <c r="E1490" s="331">
        <v>350</v>
      </c>
      <c r="F1490" s="331"/>
      <c r="G1490" s="333">
        <f t="shared" si="35"/>
        <v>6706.7299999999886</v>
      </c>
      <c r="H1490" s="334"/>
      <c r="I1490" s="335"/>
      <c r="J1490" s="336"/>
      <c r="K1490" s="301"/>
      <c r="L1490" s="336"/>
      <c r="M1490" s="301"/>
      <c r="N1490" s="336"/>
      <c r="O1490" s="301"/>
      <c r="P1490" s="336"/>
      <c r="Q1490" s="301"/>
      <c r="R1490" s="336"/>
      <c r="S1490" s="301"/>
      <c r="T1490" s="336"/>
    </row>
    <row r="1491" spans="1:20" ht="12" customHeight="1" x14ac:dyDescent="0.25">
      <c r="A1491" s="329" t="s">
        <v>286</v>
      </c>
      <c r="B1491" s="330">
        <v>26</v>
      </c>
      <c r="C1491" s="298">
        <v>46081</v>
      </c>
      <c r="D1491" s="298" t="s">
        <v>205</v>
      </c>
      <c r="E1491" s="331">
        <v>320</v>
      </c>
      <c r="F1491" s="331"/>
      <c r="G1491" s="333">
        <f t="shared" si="35"/>
        <v>7056.7299999999886</v>
      </c>
      <c r="H1491" s="334"/>
      <c r="I1491" s="335"/>
      <c r="J1491" s="336"/>
      <c r="K1491" s="301"/>
      <c r="L1491" s="336"/>
      <c r="M1491" s="301"/>
      <c r="N1491" s="336"/>
      <c r="O1491" s="301"/>
      <c r="P1491" s="336"/>
      <c r="Q1491" s="301"/>
      <c r="R1491" s="336"/>
      <c r="S1491" s="301"/>
      <c r="T1491" s="336"/>
    </row>
    <row r="1492" spans="1:20" ht="12" customHeight="1" x14ac:dyDescent="0.25">
      <c r="A1492" s="329" t="s">
        <v>286</v>
      </c>
      <c r="B1492" s="330">
        <v>27</v>
      </c>
      <c r="C1492" s="298">
        <v>46081</v>
      </c>
      <c r="D1492" s="298" t="s">
        <v>206</v>
      </c>
      <c r="E1492" s="331">
        <v>25</v>
      </c>
      <c r="F1492" s="331"/>
      <c r="G1492" s="333">
        <f t="shared" si="35"/>
        <v>7376.7299999999886</v>
      </c>
      <c r="H1492" s="334"/>
      <c r="I1492" s="335"/>
      <c r="J1492" s="336"/>
      <c r="K1492" s="301"/>
      <c r="L1492" s="336"/>
      <c r="M1492" s="301"/>
      <c r="N1492" s="336"/>
      <c r="O1492" s="301"/>
      <c r="P1492" s="336"/>
      <c r="Q1492" s="301"/>
      <c r="R1492" s="336"/>
      <c r="S1492" s="301"/>
      <c r="T1492" s="336"/>
    </row>
    <row r="1493" spans="1:20" ht="12" customHeight="1" x14ac:dyDescent="0.25">
      <c r="A1493" s="329" t="s">
        <v>286</v>
      </c>
      <c r="B1493" s="330">
        <v>28</v>
      </c>
      <c r="C1493" s="298">
        <v>46081</v>
      </c>
      <c r="D1493" s="298" t="s">
        <v>207</v>
      </c>
      <c r="E1493" s="331">
        <v>25</v>
      </c>
      <c r="F1493" s="331"/>
      <c r="G1493" s="333">
        <f t="shared" si="35"/>
        <v>7401.7299999999886</v>
      </c>
      <c r="H1493" s="334"/>
      <c r="I1493" s="335"/>
      <c r="J1493" s="336"/>
      <c r="K1493" s="301"/>
      <c r="L1493" s="336"/>
      <c r="M1493" s="301"/>
      <c r="N1493" s="336"/>
      <c r="O1493" s="301"/>
      <c r="P1493" s="336"/>
      <c r="Q1493" s="301"/>
      <c r="R1493" s="336"/>
      <c r="S1493" s="301"/>
      <c r="T1493" s="336"/>
    </row>
    <row r="1494" spans="1:20" ht="12" customHeight="1" x14ac:dyDescent="0.25">
      <c r="A1494" s="329" t="s">
        <v>286</v>
      </c>
      <c r="B1494" s="330">
        <v>29</v>
      </c>
      <c r="C1494" s="298">
        <v>46081</v>
      </c>
      <c r="D1494" s="298" t="s">
        <v>208</v>
      </c>
      <c r="E1494" s="331">
        <v>45</v>
      </c>
      <c r="F1494" s="331"/>
      <c r="G1494" s="333">
        <f t="shared" si="35"/>
        <v>7426.7299999999886</v>
      </c>
      <c r="H1494" s="334"/>
      <c r="I1494" s="335"/>
      <c r="J1494" s="336"/>
      <c r="K1494" s="301"/>
      <c r="L1494" s="336"/>
      <c r="M1494" s="301"/>
      <c r="N1494" s="336"/>
      <c r="O1494" s="301"/>
      <c r="P1494" s="336"/>
      <c r="Q1494" s="301"/>
      <c r="R1494" s="336"/>
      <c r="S1494" s="301"/>
      <c r="T1494" s="336"/>
    </row>
    <row r="1495" spans="1:20" ht="12" customHeight="1" x14ac:dyDescent="0.25">
      <c r="A1495" s="329" t="s">
        <v>286</v>
      </c>
      <c r="B1495" s="330">
        <v>30</v>
      </c>
      <c r="C1495" s="298">
        <v>46081</v>
      </c>
      <c r="D1495" s="298" t="s">
        <v>209</v>
      </c>
      <c r="E1495" s="331">
        <v>400</v>
      </c>
      <c r="F1495" s="331"/>
      <c r="G1495" s="333">
        <f t="shared" si="35"/>
        <v>7471.7299999999886</v>
      </c>
      <c r="H1495" s="334"/>
      <c r="I1495" s="335"/>
      <c r="J1495" s="336"/>
      <c r="K1495" s="301"/>
      <c r="L1495" s="336"/>
      <c r="M1495" s="301"/>
      <c r="N1495" s="336"/>
      <c r="O1495" s="301"/>
      <c r="P1495" s="336"/>
      <c r="Q1495" s="301"/>
      <c r="R1495" s="336"/>
      <c r="S1495" s="301"/>
      <c r="T1495" s="336"/>
    </row>
    <row r="1496" spans="1:20" ht="12" customHeight="1" x14ac:dyDescent="0.25">
      <c r="A1496" s="329" t="s">
        <v>286</v>
      </c>
      <c r="B1496" s="330">
        <v>31</v>
      </c>
      <c r="C1496" s="298">
        <v>46081</v>
      </c>
      <c r="D1496" s="298" t="s">
        <v>210</v>
      </c>
      <c r="E1496" s="331">
        <v>375</v>
      </c>
      <c r="F1496" s="331"/>
      <c r="G1496" s="333">
        <f t="shared" si="35"/>
        <v>7871.7299999999886</v>
      </c>
      <c r="H1496" s="334"/>
      <c r="I1496" s="335"/>
      <c r="J1496" s="336"/>
      <c r="K1496" s="301"/>
      <c r="L1496" s="336"/>
      <c r="M1496" s="301"/>
      <c r="N1496" s="336"/>
      <c r="O1496" s="301"/>
      <c r="P1496" s="336"/>
      <c r="Q1496" s="301"/>
      <c r="R1496" s="336"/>
      <c r="S1496" s="301"/>
      <c r="T1496" s="336"/>
    </row>
    <row r="1497" spans="1:20" ht="12" customHeight="1" x14ac:dyDescent="0.25">
      <c r="A1497" s="329" t="s">
        <v>286</v>
      </c>
      <c r="B1497" s="330">
        <v>32</v>
      </c>
      <c r="C1497" s="298">
        <v>46081</v>
      </c>
      <c r="D1497" s="298" t="s">
        <v>211</v>
      </c>
      <c r="E1497" s="331">
        <v>100</v>
      </c>
      <c r="F1497" s="331"/>
      <c r="G1497" s="333">
        <f t="shared" si="35"/>
        <v>8246.7299999999886</v>
      </c>
      <c r="H1497" s="334"/>
      <c r="I1497" s="335"/>
      <c r="J1497" s="336"/>
      <c r="K1497" s="301"/>
      <c r="L1497" s="336"/>
      <c r="M1497" s="301"/>
      <c r="N1497" s="336"/>
      <c r="O1497" s="301"/>
      <c r="P1497" s="336"/>
      <c r="Q1497" s="301"/>
      <c r="R1497" s="336"/>
      <c r="S1497" s="301"/>
      <c r="T1497" s="336"/>
    </row>
    <row r="1498" spans="1:20" ht="12" customHeight="1" x14ac:dyDescent="0.25">
      <c r="A1498" s="329" t="s">
        <v>286</v>
      </c>
      <c r="B1498" s="330">
        <v>33</v>
      </c>
      <c r="C1498" s="298">
        <v>46081</v>
      </c>
      <c r="D1498" s="298" t="s">
        <v>212</v>
      </c>
      <c r="E1498" s="331">
        <v>85</v>
      </c>
      <c r="F1498" s="331"/>
      <c r="G1498" s="333">
        <f t="shared" si="35"/>
        <v>8346.7299999999886</v>
      </c>
      <c r="H1498" s="334"/>
      <c r="I1498" s="335"/>
      <c r="J1498" s="336"/>
      <c r="K1498" s="301"/>
      <c r="L1498" s="336"/>
      <c r="M1498" s="301"/>
      <c r="N1498" s="336"/>
      <c r="O1498" s="301"/>
      <c r="P1498" s="336"/>
      <c r="Q1498" s="301"/>
      <c r="R1498" s="336"/>
      <c r="S1498" s="301"/>
      <c r="T1498" s="336"/>
    </row>
    <row r="1499" spans="1:20" ht="12" customHeight="1" x14ac:dyDescent="0.25">
      <c r="A1499" s="329" t="s">
        <v>286</v>
      </c>
      <c r="B1499" s="330">
        <v>34</v>
      </c>
      <c r="C1499" s="298">
        <v>46081</v>
      </c>
      <c r="D1499" s="298" t="s">
        <v>213</v>
      </c>
      <c r="E1499" s="331">
        <v>230</v>
      </c>
      <c r="F1499" s="331"/>
      <c r="G1499" s="333">
        <f t="shared" si="35"/>
        <v>8431.7299999999886</v>
      </c>
      <c r="H1499" s="334"/>
      <c r="I1499" s="335"/>
      <c r="J1499" s="336"/>
      <c r="K1499" s="301"/>
      <c r="L1499" s="336"/>
      <c r="M1499" s="301"/>
      <c r="N1499" s="336"/>
      <c r="O1499" s="301"/>
      <c r="P1499" s="336"/>
      <c r="Q1499" s="301"/>
      <c r="R1499" s="336"/>
      <c r="S1499" s="301"/>
      <c r="T1499" s="336"/>
    </row>
    <row r="1500" spans="1:20" ht="12" customHeight="1" x14ac:dyDescent="0.25">
      <c r="A1500" s="329" t="s">
        <v>286</v>
      </c>
      <c r="B1500" s="330">
        <v>35</v>
      </c>
      <c r="C1500" s="298">
        <v>46081</v>
      </c>
      <c r="D1500" s="298" t="s">
        <v>214</v>
      </c>
      <c r="E1500" s="331">
        <v>45</v>
      </c>
      <c r="F1500" s="331"/>
      <c r="G1500" s="333">
        <f t="shared" si="35"/>
        <v>8661.7299999999886</v>
      </c>
      <c r="H1500" s="334"/>
      <c r="I1500" s="335"/>
      <c r="J1500" s="336"/>
      <c r="K1500" s="301"/>
      <c r="L1500" s="336"/>
      <c r="M1500" s="301"/>
      <c r="N1500" s="336"/>
      <c r="O1500" s="301"/>
      <c r="P1500" s="336"/>
      <c r="Q1500" s="301"/>
      <c r="R1500" s="336"/>
      <c r="S1500" s="301"/>
      <c r="T1500" s="336"/>
    </row>
    <row r="1501" spans="1:20" ht="12" customHeight="1" x14ac:dyDescent="0.25">
      <c r="A1501" s="329" t="s">
        <v>294</v>
      </c>
      <c r="B1501" s="330">
        <v>42</v>
      </c>
      <c r="C1501" s="298">
        <v>46081</v>
      </c>
      <c r="D1501" s="298" t="s">
        <v>200</v>
      </c>
      <c r="E1501" s="331">
        <v>51.19</v>
      </c>
      <c r="F1501" s="331"/>
      <c r="G1501" s="333">
        <f t="shared" si="35"/>
        <v>8706.7299999999886</v>
      </c>
      <c r="H1501" s="334"/>
      <c r="I1501" s="335"/>
      <c r="J1501" s="336"/>
      <c r="K1501" s="301"/>
      <c r="L1501" s="336"/>
      <c r="M1501" s="301"/>
      <c r="N1501" s="336"/>
      <c r="O1501" s="301"/>
      <c r="P1501" s="336"/>
      <c r="Q1501" s="301"/>
      <c r="R1501" s="336"/>
      <c r="S1501" s="301"/>
      <c r="T1501" s="336"/>
    </row>
    <row r="1502" spans="1:20" ht="12" customHeight="1" x14ac:dyDescent="0.25">
      <c r="A1502" s="329" t="s">
        <v>294</v>
      </c>
      <c r="B1502" s="330">
        <v>43</v>
      </c>
      <c r="C1502" s="298">
        <v>46081</v>
      </c>
      <c r="D1502" s="298" t="s">
        <v>201</v>
      </c>
      <c r="E1502" s="331">
        <v>37.17</v>
      </c>
      <c r="F1502" s="331"/>
      <c r="G1502" s="333">
        <f t="shared" si="35"/>
        <v>8757.9199999999892</v>
      </c>
      <c r="H1502" s="334"/>
      <c r="I1502" s="335"/>
      <c r="J1502" s="336"/>
      <c r="K1502" s="301"/>
      <c r="L1502" s="336"/>
      <c r="M1502" s="301"/>
      <c r="N1502" s="336"/>
      <c r="O1502" s="301"/>
      <c r="P1502" s="336"/>
      <c r="Q1502" s="301"/>
      <c r="R1502" s="336"/>
      <c r="S1502" s="301"/>
      <c r="T1502" s="336"/>
    </row>
    <row r="1503" spans="1:20" ht="12" customHeight="1" x14ac:dyDescent="0.25">
      <c r="A1503" s="329" t="s">
        <v>294</v>
      </c>
      <c r="B1503" s="330">
        <v>10</v>
      </c>
      <c r="C1503" s="298">
        <v>46081</v>
      </c>
      <c r="D1503" s="298" t="s">
        <v>176</v>
      </c>
      <c r="E1503" s="331">
        <v>17.899999999999999</v>
      </c>
      <c r="F1503" s="331"/>
      <c r="G1503" s="333">
        <f t="shared" si="35"/>
        <v>8795.0899999999892</v>
      </c>
      <c r="H1503" s="334"/>
      <c r="I1503" s="335"/>
      <c r="J1503" s="336"/>
      <c r="K1503" s="301"/>
      <c r="L1503" s="336"/>
      <c r="M1503" s="301"/>
      <c r="N1503" s="336"/>
      <c r="O1503" s="301"/>
      <c r="P1503" s="336"/>
      <c r="Q1503" s="301"/>
      <c r="R1503" s="336"/>
      <c r="S1503" s="301"/>
      <c r="T1503" s="336"/>
    </row>
    <row r="1504" spans="1:20" ht="12" customHeight="1" x14ac:dyDescent="0.25">
      <c r="A1504" s="329" t="s">
        <v>289</v>
      </c>
      <c r="B1504" s="330">
        <v>2</v>
      </c>
      <c r="C1504" s="298">
        <v>46080</v>
      </c>
      <c r="D1504" s="298" t="s">
        <v>357</v>
      </c>
      <c r="E1504" s="331">
        <v>11.17</v>
      </c>
      <c r="F1504" s="331"/>
      <c r="G1504" s="333">
        <f t="shared" si="35"/>
        <v>8812.9899999999889</v>
      </c>
      <c r="H1504" s="334"/>
      <c r="I1504" s="335"/>
      <c r="J1504" s="336"/>
      <c r="K1504" s="301"/>
      <c r="L1504" s="336"/>
      <c r="M1504" s="301"/>
      <c r="N1504" s="336"/>
      <c r="O1504" s="301"/>
      <c r="P1504" s="336"/>
      <c r="Q1504" s="301"/>
      <c r="R1504" s="336"/>
      <c r="S1504" s="301"/>
      <c r="T1504" s="336"/>
    </row>
    <row r="1505" spans="1:20" ht="12" customHeight="1" x14ac:dyDescent="0.25">
      <c r="A1505" s="329" t="s">
        <v>289</v>
      </c>
      <c r="B1505" s="330">
        <v>2</v>
      </c>
      <c r="C1505" s="298">
        <v>46080</v>
      </c>
      <c r="D1505" s="299" t="s">
        <v>425</v>
      </c>
      <c r="E1505" s="331">
        <v>25</v>
      </c>
      <c r="F1505" s="331"/>
      <c r="G1505" s="333">
        <f t="shared" si="35"/>
        <v>8824.1599999999889</v>
      </c>
      <c r="H1505" s="334"/>
      <c r="I1505" s="335"/>
      <c r="J1505" s="336"/>
      <c r="K1505" s="301"/>
      <c r="L1505" s="336"/>
      <c r="M1505" s="301"/>
      <c r="N1505" s="336"/>
      <c r="O1505" s="301"/>
      <c r="P1505" s="336"/>
      <c r="Q1505" s="301"/>
      <c r="R1505" s="336"/>
      <c r="S1505" s="301"/>
      <c r="T1505" s="336"/>
    </row>
    <row r="1506" spans="1:20" ht="12" customHeight="1" x14ac:dyDescent="0.25">
      <c r="A1506" s="329" t="s">
        <v>289</v>
      </c>
      <c r="B1506" s="330">
        <v>2</v>
      </c>
      <c r="C1506" s="298">
        <v>46080</v>
      </c>
      <c r="D1506" s="299" t="s">
        <v>357</v>
      </c>
      <c r="E1506" s="331">
        <v>22.84</v>
      </c>
      <c r="F1506" s="331"/>
      <c r="G1506" s="333">
        <f t="shared" si="35"/>
        <v>8849.1599999999889</v>
      </c>
      <c r="H1506" s="334"/>
      <c r="I1506" s="335"/>
      <c r="J1506" s="336"/>
      <c r="K1506" s="301"/>
      <c r="L1506" s="336"/>
      <c r="M1506" s="301"/>
      <c r="N1506" s="336"/>
      <c r="O1506" s="301"/>
      <c r="P1506" s="336"/>
      <c r="Q1506" s="301"/>
      <c r="R1506" s="336"/>
      <c r="S1506" s="301"/>
      <c r="T1506" s="336"/>
    </row>
    <row r="1507" spans="1:20" ht="12" customHeight="1" x14ac:dyDescent="0.25">
      <c r="A1507" s="329" t="s">
        <v>289</v>
      </c>
      <c r="B1507" s="330">
        <v>6</v>
      </c>
      <c r="C1507" s="298">
        <v>46080</v>
      </c>
      <c r="D1507" s="299" t="s">
        <v>426</v>
      </c>
      <c r="E1507" s="331">
        <v>-88</v>
      </c>
      <c r="F1507" s="331"/>
      <c r="G1507" s="333">
        <f t="shared" si="35"/>
        <v>8871.9999999999891</v>
      </c>
      <c r="H1507" s="334"/>
      <c r="I1507" s="335"/>
      <c r="J1507" s="336"/>
      <c r="K1507" s="301"/>
      <c r="L1507" s="336"/>
      <c r="M1507" s="301"/>
      <c r="N1507" s="336"/>
      <c r="O1507" s="301"/>
      <c r="P1507" s="336"/>
      <c r="Q1507" s="301"/>
      <c r="R1507" s="336"/>
      <c r="S1507" s="301"/>
      <c r="T1507" s="336"/>
    </row>
    <row r="1508" spans="1:20" ht="12" customHeight="1" x14ac:dyDescent="0.25">
      <c r="A1508" s="329" t="s">
        <v>291</v>
      </c>
      <c r="B1508" s="330">
        <v>38</v>
      </c>
      <c r="C1508" s="298">
        <v>46080</v>
      </c>
      <c r="D1508" s="299" t="s">
        <v>293</v>
      </c>
      <c r="E1508" s="331"/>
      <c r="F1508" s="331">
        <v>4278.1499999999996</v>
      </c>
      <c r="G1508" s="333">
        <f t="shared" si="35"/>
        <v>8783.9999999999891</v>
      </c>
      <c r="H1508" s="334"/>
      <c r="I1508" s="335"/>
      <c r="J1508" s="336"/>
      <c r="K1508" s="301"/>
      <c r="L1508" s="336"/>
      <c r="M1508" s="301"/>
      <c r="N1508" s="336"/>
      <c r="O1508" s="301"/>
      <c r="P1508" s="336"/>
      <c r="Q1508" s="301"/>
      <c r="R1508" s="336"/>
      <c r="S1508" s="301"/>
      <c r="T1508" s="336"/>
    </row>
    <row r="1509" spans="1:20" ht="12" customHeight="1" x14ac:dyDescent="0.25">
      <c r="A1509" s="329" t="s">
        <v>289</v>
      </c>
      <c r="B1509" s="330">
        <v>6</v>
      </c>
      <c r="C1509" s="298">
        <v>46080</v>
      </c>
      <c r="D1509" s="299" t="s">
        <v>427</v>
      </c>
      <c r="E1509" s="331">
        <v>25.93</v>
      </c>
      <c r="F1509" s="331"/>
      <c r="G1509" s="333">
        <f t="shared" si="35"/>
        <v>4505.8499999999904</v>
      </c>
      <c r="H1509" s="334"/>
      <c r="I1509" s="335"/>
      <c r="J1509" s="336"/>
      <c r="K1509" s="301"/>
      <c r="L1509" s="336"/>
      <c r="M1509" s="301"/>
      <c r="N1509" s="336"/>
      <c r="O1509" s="301"/>
      <c r="P1509" s="336"/>
      <c r="Q1509" s="301"/>
      <c r="R1509" s="336"/>
      <c r="S1509" s="301"/>
      <c r="T1509" s="336"/>
    </row>
    <row r="1510" spans="1:20" ht="12" customHeight="1" x14ac:dyDescent="0.25">
      <c r="A1510" s="329" t="s">
        <v>289</v>
      </c>
      <c r="B1510" s="330">
        <v>4</v>
      </c>
      <c r="C1510" s="298">
        <v>46079</v>
      </c>
      <c r="D1510" s="299" t="s">
        <v>310</v>
      </c>
      <c r="E1510" s="331">
        <v>29.84</v>
      </c>
      <c r="F1510" s="331"/>
      <c r="G1510" s="333">
        <f t="shared" si="35"/>
        <v>4531.7799999999907</v>
      </c>
      <c r="H1510" s="334"/>
      <c r="I1510" s="335"/>
      <c r="J1510" s="336"/>
      <c r="K1510" s="301"/>
      <c r="L1510" s="336"/>
      <c r="M1510" s="301"/>
      <c r="N1510" s="336"/>
      <c r="O1510" s="301"/>
      <c r="P1510" s="336"/>
      <c r="Q1510" s="301"/>
      <c r="R1510" s="336"/>
      <c r="S1510" s="301"/>
      <c r="T1510" s="336"/>
    </row>
    <row r="1511" spans="1:20" ht="12" customHeight="1" x14ac:dyDescent="0.25">
      <c r="A1511" s="329" t="s">
        <v>289</v>
      </c>
      <c r="B1511" s="330">
        <v>5</v>
      </c>
      <c r="C1511" s="298">
        <v>46079</v>
      </c>
      <c r="D1511" s="299" t="s">
        <v>428</v>
      </c>
      <c r="E1511" s="331">
        <v>103.25</v>
      </c>
      <c r="F1511" s="331"/>
      <c r="G1511" s="333">
        <f t="shared" si="35"/>
        <v>4561.6199999999908</v>
      </c>
      <c r="H1511" s="334"/>
      <c r="I1511" s="335"/>
      <c r="J1511" s="336"/>
      <c r="K1511" s="301"/>
      <c r="L1511" s="336"/>
      <c r="M1511" s="301"/>
      <c r="N1511" s="336"/>
      <c r="O1511" s="301"/>
      <c r="P1511" s="336"/>
      <c r="Q1511" s="301"/>
      <c r="R1511" s="336"/>
      <c r="S1511" s="301"/>
      <c r="T1511" s="336"/>
    </row>
    <row r="1512" spans="1:20" ht="12" customHeight="1" x14ac:dyDescent="0.25">
      <c r="A1512" s="329" t="s">
        <v>289</v>
      </c>
      <c r="B1512" s="330">
        <v>8</v>
      </c>
      <c r="C1512" s="298">
        <v>46079</v>
      </c>
      <c r="D1512" s="299" t="s">
        <v>356</v>
      </c>
      <c r="E1512" s="331">
        <v>26.02</v>
      </c>
      <c r="F1512" s="331"/>
      <c r="G1512" s="333">
        <f t="shared" si="35"/>
        <v>4664.8699999999908</v>
      </c>
      <c r="H1512" s="334"/>
      <c r="I1512" s="335"/>
      <c r="J1512" s="336"/>
      <c r="K1512" s="301"/>
      <c r="L1512" s="336"/>
      <c r="M1512" s="301"/>
      <c r="N1512" s="336"/>
      <c r="O1512" s="301"/>
      <c r="P1512" s="336"/>
      <c r="Q1512" s="301"/>
      <c r="R1512" s="336"/>
      <c r="S1512" s="301"/>
      <c r="T1512" s="336"/>
    </row>
    <row r="1513" spans="1:20" ht="12" customHeight="1" x14ac:dyDescent="0.25">
      <c r="A1513" s="329" t="s">
        <v>294</v>
      </c>
      <c r="B1513" s="330">
        <v>24</v>
      </c>
      <c r="C1513" s="298">
        <v>46079</v>
      </c>
      <c r="D1513" s="299" t="s">
        <v>858</v>
      </c>
      <c r="E1513" s="331">
        <v>84.83</v>
      </c>
      <c r="F1513" s="331"/>
      <c r="G1513" s="333">
        <f t="shared" si="35"/>
        <v>4690.8899999999912</v>
      </c>
      <c r="H1513" s="334"/>
      <c r="I1513" s="335"/>
      <c r="J1513" s="336"/>
      <c r="K1513" s="301"/>
      <c r="L1513" s="336"/>
      <c r="M1513" s="301"/>
      <c r="N1513" s="336"/>
      <c r="O1513" s="301"/>
      <c r="P1513" s="336"/>
      <c r="Q1513" s="301"/>
      <c r="R1513" s="336"/>
      <c r="S1513" s="301"/>
      <c r="T1513" s="336"/>
    </row>
    <row r="1514" spans="1:20" ht="12" customHeight="1" x14ac:dyDescent="0.25">
      <c r="A1514" s="329" t="s">
        <v>289</v>
      </c>
      <c r="B1514" s="330">
        <v>2</v>
      </c>
      <c r="C1514" s="298">
        <v>46079</v>
      </c>
      <c r="D1514" s="299" t="s">
        <v>296</v>
      </c>
      <c r="E1514" s="331">
        <v>17.87</v>
      </c>
      <c r="F1514" s="331"/>
      <c r="G1514" s="333">
        <f t="shared" si="35"/>
        <v>4775.7199999999912</v>
      </c>
      <c r="H1514" s="334"/>
      <c r="I1514" s="335"/>
      <c r="J1514" s="336"/>
      <c r="K1514" s="301"/>
      <c r="L1514" s="336"/>
      <c r="M1514" s="301"/>
      <c r="N1514" s="336"/>
      <c r="O1514" s="301"/>
      <c r="P1514" s="336"/>
      <c r="Q1514" s="301"/>
      <c r="R1514" s="336"/>
      <c r="S1514" s="301"/>
      <c r="T1514" s="336"/>
    </row>
    <row r="1515" spans="1:20" ht="12" customHeight="1" x14ac:dyDescent="0.25">
      <c r="A1515" s="329" t="s">
        <v>289</v>
      </c>
      <c r="B1515" s="330">
        <v>5</v>
      </c>
      <c r="C1515" s="298">
        <v>46079</v>
      </c>
      <c r="D1515" s="299" t="s">
        <v>429</v>
      </c>
      <c r="E1515" s="331">
        <v>123.64</v>
      </c>
      <c r="F1515" s="331"/>
      <c r="G1515" s="333">
        <f t="shared" si="35"/>
        <v>4793.5899999999911</v>
      </c>
      <c r="H1515" s="334"/>
      <c r="I1515" s="335"/>
      <c r="J1515" s="336"/>
      <c r="K1515" s="301"/>
      <c r="L1515" s="336"/>
      <c r="M1515" s="301"/>
      <c r="N1515" s="336"/>
      <c r="O1515" s="301"/>
      <c r="P1515" s="336"/>
      <c r="Q1515" s="301"/>
      <c r="R1515" s="336"/>
      <c r="S1515" s="301"/>
      <c r="T1515" s="336"/>
    </row>
    <row r="1516" spans="1:20" ht="12" customHeight="1" x14ac:dyDescent="0.25">
      <c r="A1516" s="329" t="s">
        <v>289</v>
      </c>
      <c r="B1516" s="330">
        <v>8</v>
      </c>
      <c r="C1516" s="298">
        <v>46078</v>
      </c>
      <c r="D1516" s="299" t="s">
        <v>319</v>
      </c>
      <c r="E1516" s="331">
        <v>18.5</v>
      </c>
      <c r="F1516" s="331"/>
      <c r="G1516" s="333">
        <f t="shared" si="35"/>
        <v>4917.2299999999914</v>
      </c>
      <c r="H1516" s="334"/>
      <c r="I1516" s="335"/>
      <c r="J1516" s="336"/>
      <c r="K1516" s="301"/>
      <c r="L1516" s="336"/>
      <c r="M1516" s="301"/>
      <c r="N1516" s="336"/>
      <c r="O1516" s="301"/>
      <c r="P1516" s="336"/>
      <c r="Q1516" s="301"/>
      <c r="R1516" s="336"/>
      <c r="S1516" s="301"/>
      <c r="T1516" s="336"/>
    </row>
    <row r="1517" spans="1:20" ht="12" customHeight="1" x14ac:dyDescent="0.25">
      <c r="A1517" s="329" t="s">
        <v>289</v>
      </c>
      <c r="B1517" s="330">
        <v>4</v>
      </c>
      <c r="C1517" s="298">
        <v>46078</v>
      </c>
      <c r="D1517" s="299" t="s">
        <v>296</v>
      </c>
      <c r="E1517" s="331">
        <v>50.96</v>
      </c>
      <c r="F1517" s="331"/>
      <c r="G1517" s="333">
        <f t="shared" si="35"/>
        <v>4935.7299999999914</v>
      </c>
      <c r="H1517" s="334"/>
      <c r="I1517" s="335"/>
      <c r="J1517" s="336"/>
      <c r="K1517" s="301"/>
      <c r="L1517" s="336"/>
      <c r="M1517" s="301"/>
      <c r="N1517" s="336"/>
      <c r="O1517" s="301"/>
      <c r="P1517" s="336"/>
      <c r="Q1517" s="301"/>
      <c r="R1517" s="336"/>
      <c r="S1517" s="301"/>
      <c r="T1517" s="336"/>
    </row>
    <row r="1518" spans="1:20" ht="12" customHeight="1" x14ac:dyDescent="0.25">
      <c r="A1518" s="329" t="s">
        <v>289</v>
      </c>
      <c r="B1518" s="330">
        <v>8</v>
      </c>
      <c r="C1518" s="298">
        <v>46078</v>
      </c>
      <c r="D1518" s="299" t="s">
        <v>296</v>
      </c>
      <c r="E1518" s="331">
        <v>11.28</v>
      </c>
      <c r="F1518" s="331"/>
      <c r="G1518" s="333">
        <f t="shared" si="35"/>
        <v>4986.6899999999914</v>
      </c>
      <c r="H1518" s="334"/>
      <c r="I1518" s="335"/>
      <c r="J1518" s="336"/>
      <c r="K1518" s="301"/>
      <c r="L1518" s="336"/>
      <c r="M1518" s="301"/>
      <c r="N1518" s="336"/>
      <c r="O1518" s="301"/>
      <c r="P1518" s="336"/>
      <c r="Q1518" s="301"/>
      <c r="R1518" s="336"/>
      <c r="S1518" s="301"/>
      <c r="T1518" s="336"/>
    </row>
    <row r="1519" spans="1:20" ht="12" customHeight="1" x14ac:dyDescent="0.25">
      <c r="A1519" s="329" t="s">
        <v>294</v>
      </c>
      <c r="B1519" s="330">
        <v>12</v>
      </c>
      <c r="C1519" s="298">
        <v>46078</v>
      </c>
      <c r="D1519" s="299" t="s">
        <v>314</v>
      </c>
      <c r="E1519" s="331">
        <v>204.47</v>
      </c>
      <c r="F1519" s="331"/>
      <c r="G1519" s="333">
        <f t="shared" si="35"/>
        <v>4997.9699999999912</v>
      </c>
      <c r="H1519" s="334"/>
      <c r="I1519" s="335"/>
      <c r="J1519" s="336"/>
      <c r="K1519" s="301"/>
      <c r="L1519" s="336"/>
      <c r="M1519" s="301"/>
      <c r="N1519" s="336"/>
      <c r="O1519" s="301"/>
      <c r="P1519" s="336"/>
      <c r="Q1519" s="301"/>
      <c r="R1519" s="336"/>
      <c r="S1519" s="301"/>
      <c r="T1519" s="336"/>
    </row>
    <row r="1520" spans="1:20" ht="12" customHeight="1" x14ac:dyDescent="0.25">
      <c r="A1520" s="329" t="s">
        <v>289</v>
      </c>
      <c r="B1520" s="330">
        <v>8</v>
      </c>
      <c r="C1520" s="298">
        <v>46078</v>
      </c>
      <c r="D1520" s="299" t="s">
        <v>308</v>
      </c>
      <c r="E1520" s="331">
        <v>47.99</v>
      </c>
      <c r="F1520" s="331"/>
      <c r="G1520" s="333">
        <f t="shared" si="35"/>
        <v>5202.4399999999914</v>
      </c>
      <c r="H1520" s="334"/>
      <c r="I1520" s="335"/>
      <c r="J1520" s="336"/>
      <c r="K1520" s="301"/>
      <c r="L1520" s="336"/>
      <c r="M1520" s="301"/>
      <c r="N1520" s="336"/>
      <c r="O1520" s="301"/>
      <c r="P1520" s="336"/>
      <c r="Q1520" s="301"/>
      <c r="R1520" s="336"/>
      <c r="S1520" s="301"/>
      <c r="T1520" s="336"/>
    </row>
    <row r="1521" spans="1:20" ht="12" customHeight="1" x14ac:dyDescent="0.25">
      <c r="A1521" s="329" t="s">
        <v>289</v>
      </c>
      <c r="B1521" s="330">
        <v>1</v>
      </c>
      <c r="C1521" s="298">
        <v>46078</v>
      </c>
      <c r="D1521" s="299" t="s">
        <v>304</v>
      </c>
      <c r="E1521" s="331">
        <v>19.09</v>
      </c>
      <c r="F1521" s="331"/>
      <c r="G1521" s="333">
        <f t="shared" si="35"/>
        <v>5250.4299999999912</v>
      </c>
      <c r="H1521" s="334"/>
      <c r="I1521" s="335"/>
      <c r="J1521" s="336"/>
      <c r="K1521" s="301"/>
      <c r="L1521" s="336"/>
      <c r="M1521" s="301"/>
      <c r="N1521" s="336"/>
      <c r="O1521" s="301"/>
      <c r="P1521" s="336"/>
      <c r="Q1521" s="301"/>
      <c r="R1521" s="336"/>
      <c r="S1521" s="301"/>
      <c r="T1521" s="336"/>
    </row>
    <row r="1522" spans="1:20" ht="12" customHeight="1" x14ac:dyDescent="0.25">
      <c r="A1522" s="329" t="s">
        <v>294</v>
      </c>
      <c r="B1522" s="330">
        <v>23</v>
      </c>
      <c r="C1522" s="298">
        <v>46076</v>
      </c>
      <c r="D1522" s="299" t="s">
        <v>67</v>
      </c>
      <c r="E1522" s="331">
        <v>650.88</v>
      </c>
      <c r="F1522" s="331"/>
      <c r="G1522" s="333">
        <f t="shared" si="35"/>
        <v>5269.5199999999913</v>
      </c>
      <c r="H1522" s="334"/>
      <c r="I1522" s="335"/>
      <c r="J1522" s="336"/>
      <c r="K1522" s="301"/>
      <c r="L1522" s="336"/>
      <c r="M1522" s="301"/>
      <c r="N1522" s="336"/>
      <c r="O1522" s="301"/>
      <c r="P1522" s="336"/>
      <c r="Q1522" s="301"/>
      <c r="R1522" s="336"/>
      <c r="S1522" s="301"/>
      <c r="T1522" s="336"/>
    </row>
    <row r="1523" spans="1:20" ht="12" customHeight="1" x14ac:dyDescent="0.25">
      <c r="A1523" s="329" t="s">
        <v>289</v>
      </c>
      <c r="B1523" s="330">
        <v>6</v>
      </c>
      <c r="C1523" s="298">
        <v>46076</v>
      </c>
      <c r="D1523" s="299" t="s">
        <v>350</v>
      </c>
      <c r="E1523" s="331">
        <v>35</v>
      </c>
      <c r="F1523" s="331"/>
      <c r="G1523" s="333">
        <f t="shared" si="35"/>
        <v>5920.3999999999915</v>
      </c>
      <c r="H1523" s="334"/>
      <c r="I1523" s="335"/>
      <c r="J1523" s="336"/>
      <c r="K1523" s="301"/>
      <c r="L1523" s="336"/>
      <c r="M1523" s="301"/>
      <c r="N1523" s="336"/>
      <c r="O1523" s="301"/>
      <c r="P1523" s="336"/>
      <c r="Q1523" s="301"/>
      <c r="R1523" s="336"/>
      <c r="S1523" s="301"/>
      <c r="T1523" s="336"/>
    </row>
    <row r="1524" spans="1:20" ht="12" customHeight="1" x14ac:dyDescent="0.25">
      <c r="A1524" s="329" t="s">
        <v>289</v>
      </c>
      <c r="B1524" s="330">
        <v>1</v>
      </c>
      <c r="C1524" s="298">
        <v>46076</v>
      </c>
      <c r="D1524" s="299" t="s">
        <v>306</v>
      </c>
      <c r="E1524" s="331">
        <v>128.97999999999999</v>
      </c>
      <c r="F1524" s="331"/>
      <c r="G1524" s="333">
        <f t="shared" si="35"/>
        <v>5955.3999999999915</v>
      </c>
      <c r="H1524" s="334"/>
      <c r="I1524" s="335"/>
      <c r="J1524" s="336"/>
      <c r="K1524" s="301"/>
      <c r="L1524" s="336"/>
      <c r="M1524" s="301"/>
      <c r="N1524" s="336"/>
      <c r="O1524" s="301"/>
      <c r="P1524" s="336"/>
      <c r="Q1524" s="301"/>
      <c r="R1524" s="336"/>
      <c r="S1524" s="301"/>
      <c r="T1524" s="336"/>
    </row>
    <row r="1525" spans="1:20" ht="12" customHeight="1" x14ac:dyDescent="0.25">
      <c r="A1525" s="329" t="s">
        <v>289</v>
      </c>
      <c r="B1525" s="330">
        <v>1</v>
      </c>
      <c r="C1525" s="298">
        <v>46076</v>
      </c>
      <c r="D1525" s="299" t="s">
        <v>320</v>
      </c>
      <c r="E1525" s="331">
        <v>52.55</v>
      </c>
      <c r="F1525" s="331"/>
      <c r="G1525" s="333">
        <f t="shared" si="35"/>
        <v>6084.379999999991</v>
      </c>
      <c r="H1525" s="334"/>
      <c r="I1525" s="335"/>
      <c r="J1525" s="336"/>
      <c r="K1525" s="301"/>
      <c r="L1525" s="336"/>
      <c r="M1525" s="301"/>
      <c r="N1525" s="336"/>
      <c r="O1525" s="301"/>
      <c r="P1525" s="336"/>
      <c r="Q1525" s="301"/>
      <c r="R1525" s="336"/>
      <c r="S1525" s="301"/>
      <c r="T1525" s="336"/>
    </row>
    <row r="1526" spans="1:20" ht="12" customHeight="1" x14ac:dyDescent="0.25">
      <c r="A1526" s="329" t="s">
        <v>289</v>
      </c>
      <c r="B1526" s="330">
        <v>3</v>
      </c>
      <c r="C1526" s="298">
        <v>46075</v>
      </c>
      <c r="D1526" s="299" t="s">
        <v>347</v>
      </c>
      <c r="E1526" s="331">
        <v>13.76</v>
      </c>
      <c r="F1526" s="331"/>
      <c r="G1526" s="333">
        <f t="shared" si="35"/>
        <v>6136.9299999999912</v>
      </c>
      <c r="H1526" s="334"/>
      <c r="I1526" s="335"/>
      <c r="J1526" s="336"/>
      <c r="K1526" s="301"/>
      <c r="L1526" s="336"/>
      <c r="M1526" s="301"/>
      <c r="N1526" s="336"/>
      <c r="O1526" s="301"/>
      <c r="P1526" s="336"/>
      <c r="Q1526" s="301"/>
      <c r="R1526" s="336"/>
      <c r="S1526" s="301"/>
      <c r="T1526" s="336"/>
    </row>
    <row r="1527" spans="1:20" ht="12" customHeight="1" x14ac:dyDescent="0.25">
      <c r="A1527" s="329" t="s">
        <v>289</v>
      </c>
      <c r="B1527" s="330">
        <v>1</v>
      </c>
      <c r="C1527" s="298">
        <v>46075</v>
      </c>
      <c r="D1527" s="299" t="s">
        <v>311</v>
      </c>
      <c r="E1527" s="331">
        <v>187.64</v>
      </c>
      <c r="F1527" s="331"/>
      <c r="G1527" s="333">
        <f t="shared" si="35"/>
        <v>6150.6899999999914</v>
      </c>
      <c r="H1527" s="334"/>
      <c r="I1527" s="335"/>
      <c r="J1527" s="336"/>
      <c r="K1527" s="301"/>
      <c r="L1527" s="336"/>
      <c r="M1527" s="301"/>
      <c r="N1527" s="336"/>
      <c r="O1527" s="301"/>
      <c r="P1527" s="336"/>
      <c r="Q1527" s="301"/>
      <c r="R1527" s="336"/>
      <c r="S1527" s="301"/>
      <c r="T1527" s="336"/>
    </row>
    <row r="1528" spans="1:20" ht="12" customHeight="1" x14ac:dyDescent="0.25">
      <c r="A1528" s="329" t="s">
        <v>289</v>
      </c>
      <c r="B1528" s="330">
        <v>1</v>
      </c>
      <c r="C1528" s="298">
        <v>46074</v>
      </c>
      <c r="D1528" s="299" t="s">
        <v>392</v>
      </c>
      <c r="E1528" s="331">
        <v>75.78</v>
      </c>
      <c r="F1528" s="331"/>
      <c r="G1528" s="333">
        <f t="shared" si="35"/>
        <v>6338.3299999999917</v>
      </c>
      <c r="H1528" s="334"/>
      <c r="I1528" s="335"/>
      <c r="J1528" s="336"/>
      <c r="K1528" s="301"/>
      <c r="L1528" s="336"/>
      <c r="M1528" s="301"/>
      <c r="N1528" s="336"/>
      <c r="O1528" s="301"/>
      <c r="P1528" s="336"/>
      <c r="Q1528" s="301"/>
      <c r="R1528" s="336"/>
      <c r="S1528" s="301"/>
      <c r="T1528" s="336"/>
    </row>
    <row r="1529" spans="1:20" ht="12" customHeight="1" x14ac:dyDescent="0.25">
      <c r="A1529" s="329" t="s">
        <v>289</v>
      </c>
      <c r="B1529" s="330">
        <v>2</v>
      </c>
      <c r="C1529" s="298">
        <v>46074</v>
      </c>
      <c r="D1529" s="299" t="s">
        <v>391</v>
      </c>
      <c r="E1529" s="331">
        <v>27.41</v>
      </c>
      <c r="F1529" s="331"/>
      <c r="G1529" s="333">
        <f t="shared" si="35"/>
        <v>6414.1099999999915</v>
      </c>
      <c r="H1529" s="334"/>
      <c r="I1529" s="335"/>
      <c r="J1529" s="336"/>
      <c r="K1529" s="301"/>
      <c r="L1529" s="336"/>
      <c r="M1529" s="301"/>
      <c r="N1529" s="336"/>
      <c r="O1529" s="301"/>
      <c r="P1529" s="336"/>
      <c r="Q1529" s="301"/>
      <c r="R1529" s="336"/>
      <c r="S1529" s="301"/>
      <c r="T1529" s="336"/>
    </row>
    <row r="1530" spans="1:20" ht="12" customHeight="1" x14ac:dyDescent="0.25">
      <c r="A1530" s="329" t="s">
        <v>289</v>
      </c>
      <c r="B1530" s="330">
        <v>4</v>
      </c>
      <c r="C1530" s="298">
        <v>46074</v>
      </c>
      <c r="D1530" s="299" t="s">
        <v>430</v>
      </c>
      <c r="E1530" s="331">
        <v>32.049999999999997</v>
      </c>
      <c r="F1530" s="331"/>
      <c r="G1530" s="333">
        <f t="shared" si="35"/>
        <v>6441.5199999999913</v>
      </c>
      <c r="H1530" s="334"/>
      <c r="I1530" s="335"/>
      <c r="J1530" s="336"/>
      <c r="K1530" s="301"/>
      <c r="L1530" s="336"/>
      <c r="M1530" s="301"/>
      <c r="N1530" s="336"/>
      <c r="O1530" s="301"/>
      <c r="P1530" s="336"/>
      <c r="Q1530" s="301"/>
      <c r="R1530" s="336"/>
      <c r="S1530" s="301"/>
      <c r="T1530" s="336"/>
    </row>
    <row r="1531" spans="1:20" ht="12" customHeight="1" x14ac:dyDescent="0.25">
      <c r="A1531" s="329" t="s">
        <v>289</v>
      </c>
      <c r="B1531" s="330">
        <v>2</v>
      </c>
      <c r="C1531" s="298">
        <v>46074</v>
      </c>
      <c r="D1531" s="299" t="s">
        <v>357</v>
      </c>
      <c r="E1531" s="331">
        <v>9.4700000000000006</v>
      </c>
      <c r="F1531" s="331"/>
      <c r="G1531" s="333">
        <f t="shared" si="35"/>
        <v>6473.5699999999915</v>
      </c>
      <c r="H1531" s="334"/>
      <c r="I1531" s="335"/>
      <c r="J1531" s="336"/>
      <c r="K1531" s="301"/>
      <c r="L1531" s="336"/>
      <c r="M1531" s="301"/>
      <c r="N1531" s="336"/>
      <c r="O1531" s="301"/>
      <c r="P1531" s="336"/>
      <c r="Q1531" s="301"/>
      <c r="R1531" s="336"/>
      <c r="S1531" s="301"/>
      <c r="T1531" s="336"/>
    </row>
    <row r="1532" spans="1:20" ht="12" customHeight="1" x14ac:dyDescent="0.25">
      <c r="A1532" s="329" t="s">
        <v>289</v>
      </c>
      <c r="B1532" s="330">
        <v>2</v>
      </c>
      <c r="C1532" s="298">
        <v>46073</v>
      </c>
      <c r="D1532" s="299" t="s">
        <v>296</v>
      </c>
      <c r="E1532" s="331">
        <v>14.47</v>
      </c>
      <c r="F1532" s="331"/>
      <c r="G1532" s="333">
        <f t="shared" si="35"/>
        <v>6483.0399999999918</v>
      </c>
      <c r="H1532" s="334"/>
      <c r="I1532" s="335"/>
      <c r="J1532" s="336"/>
      <c r="K1532" s="301"/>
      <c r="L1532" s="336"/>
      <c r="M1532" s="301"/>
      <c r="N1532" s="336"/>
      <c r="O1532" s="301"/>
      <c r="P1532" s="336"/>
      <c r="Q1532" s="301"/>
      <c r="R1532" s="336"/>
      <c r="S1532" s="301"/>
      <c r="T1532" s="336"/>
    </row>
    <row r="1533" spans="1:20" ht="12" customHeight="1" x14ac:dyDescent="0.25">
      <c r="A1533" s="329" t="s">
        <v>289</v>
      </c>
      <c r="B1533" s="330">
        <v>3</v>
      </c>
      <c r="C1533" s="298">
        <v>46073</v>
      </c>
      <c r="D1533" s="299" t="s">
        <v>354</v>
      </c>
      <c r="E1533" s="331">
        <v>11.97</v>
      </c>
      <c r="F1533" s="331"/>
      <c r="G1533" s="333">
        <f t="shared" si="35"/>
        <v>6497.509999999992</v>
      </c>
      <c r="H1533" s="334"/>
      <c r="I1533" s="335"/>
      <c r="J1533" s="336"/>
      <c r="K1533" s="301"/>
      <c r="L1533" s="336"/>
      <c r="M1533" s="301"/>
      <c r="N1533" s="336"/>
      <c r="O1533" s="301"/>
      <c r="P1533" s="336"/>
      <c r="Q1533" s="301"/>
      <c r="R1533" s="336"/>
      <c r="S1533" s="301"/>
      <c r="T1533" s="336"/>
    </row>
    <row r="1534" spans="1:20" ht="12" customHeight="1" x14ac:dyDescent="0.25">
      <c r="A1534" s="329" t="s">
        <v>289</v>
      </c>
      <c r="B1534" s="330">
        <v>4</v>
      </c>
      <c r="C1534" s="298">
        <v>46073</v>
      </c>
      <c r="D1534" s="299" t="s">
        <v>354</v>
      </c>
      <c r="E1534" s="331">
        <v>59.88</v>
      </c>
      <c r="F1534" s="331"/>
      <c r="G1534" s="333">
        <f t="shared" si="35"/>
        <v>6509.4799999999923</v>
      </c>
      <c r="H1534" s="334"/>
      <c r="I1534" s="335"/>
      <c r="J1534" s="336"/>
      <c r="K1534" s="301"/>
      <c r="L1534" s="336"/>
      <c r="M1534" s="301"/>
      <c r="N1534" s="336"/>
      <c r="O1534" s="301"/>
      <c r="P1534" s="336"/>
      <c r="Q1534" s="301"/>
      <c r="R1534" s="336"/>
      <c r="S1534" s="301"/>
      <c r="T1534" s="336"/>
    </row>
    <row r="1535" spans="1:20" ht="12" customHeight="1" x14ac:dyDescent="0.25">
      <c r="A1535" s="329" t="s">
        <v>289</v>
      </c>
      <c r="B1535" s="330">
        <v>2</v>
      </c>
      <c r="C1535" s="298">
        <v>46073</v>
      </c>
      <c r="D1535" s="299" t="s">
        <v>417</v>
      </c>
      <c r="E1535" s="331">
        <v>19.57</v>
      </c>
      <c r="F1535" s="331"/>
      <c r="G1535" s="333">
        <f t="shared" si="35"/>
        <v>6569.3599999999924</v>
      </c>
      <c r="H1535" s="334"/>
      <c r="I1535" s="335"/>
      <c r="J1535" s="336"/>
      <c r="K1535" s="301"/>
      <c r="L1535" s="336"/>
      <c r="M1535" s="301"/>
      <c r="N1535" s="336"/>
      <c r="O1535" s="301"/>
      <c r="P1535" s="336"/>
      <c r="Q1535" s="301"/>
      <c r="R1535" s="336"/>
      <c r="S1535" s="301"/>
      <c r="T1535" s="336"/>
    </row>
    <row r="1536" spans="1:20" ht="12" customHeight="1" x14ac:dyDescent="0.25">
      <c r="A1536" s="329" t="s">
        <v>294</v>
      </c>
      <c r="B1536" s="330">
        <v>22</v>
      </c>
      <c r="C1536" s="298">
        <v>46073</v>
      </c>
      <c r="D1536" s="299" t="s">
        <v>323</v>
      </c>
      <c r="E1536" s="331">
        <v>20.22</v>
      </c>
      <c r="F1536" s="331"/>
      <c r="G1536" s="333">
        <f t="shared" si="35"/>
        <v>6588.9299999999921</v>
      </c>
      <c r="H1536" s="334"/>
      <c r="I1536" s="335"/>
      <c r="J1536" s="336"/>
      <c r="K1536" s="301"/>
      <c r="L1536" s="336"/>
      <c r="M1536" s="301"/>
      <c r="N1536" s="336"/>
      <c r="O1536" s="301"/>
      <c r="P1536" s="336"/>
      <c r="Q1536" s="301"/>
      <c r="R1536" s="336"/>
      <c r="S1536" s="301"/>
      <c r="T1536" s="336"/>
    </row>
    <row r="1537" spans="1:20" ht="12" customHeight="1" x14ac:dyDescent="0.25">
      <c r="A1537" s="329" t="s">
        <v>289</v>
      </c>
      <c r="B1537" s="330">
        <v>2</v>
      </c>
      <c r="C1537" s="298">
        <v>46073</v>
      </c>
      <c r="D1537" s="299" t="s">
        <v>357</v>
      </c>
      <c r="E1537" s="331">
        <v>5.3</v>
      </c>
      <c r="F1537" s="331"/>
      <c r="G1537" s="333">
        <f t="shared" si="35"/>
        <v>6609.1499999999924</v>
      </c>
      <c r="H1537" s="334"/>
      <c r="I1537" s="335"/>
      <c r="J1537" s="336"/>
      <c r="K1537" s="301"/>
      <c r="L1537" s="336"/>
      <c r="M1537" s="301"/>
      <c r="N1537" s="336"/>
      <c r="O1537" s="301"/>
      <c r="P1537" s="336"/>
      <c r="Q1537" s="301"/>
      <c r="R1537" s="336"/>
      <c r="S1537" s="301"/>
      <c r="T1537" s="336"/>
    </row>
    <row r="1538" spans="1:20" ht="12" customHeight="1" x14ac:dyDescent="0.25">
      <c r="A1538" s="329" t="s">
        <v>289</v>
      </c>
      <c r="B1538" s="330">
        <v>3</v>
      </c>
      <c r="C1538" s="298">
        <v>46073</v>
      </c>
      <c r="D1538" s="299" t="s">
        <v>324</v>
      </c>
      <c r="E1538" s="331">
        <v>8.1300000000000008</v>
      </c>
      <c r="F1538" s="331"/>
      <c r="G1538" s="333">
        <f t="shared" si="35"/>
        <v>6614.4499999999925</v>
      </c>
      <c r="H1538" s="334"/>
      <c r="I1538" s="335"/>
      <c r="J1538" s="336"/>
      <c r="K1538" s="301"/>
      <c r="L1538" s="336"/>
      <c r="M1538" s="301"/>
      <c r="N1538" s="336"/>
      <c r="O1538" s="301"/>
      <c r="P1538" s="336"/>
      <c r="Q1538" s="301"/>
      <c r="R1538" s="336"/>
      <c r="S1538" s="301"/>
      <c r="T1538" s="336"/>
    </row>
    <row r="1539" spans="1:20" ht="12" customHeight="1" x14ac:dyDescent="0.25">
      <c r="A1539" s="329" t="s">
        <v>289</v>
      </c>
      <c r="B1539" s="330">
        <v>4</v>
      </c>
      <c r="C1539" s="298">
        <v>46073</v>
      </c>
      <c r="D1539" s="299" t="s">
        <v>310</v>
      </c>
      <c r="E1539" s="331">
        <v>32.43</v>
      </c>
      <c r="F1539" s="331"/>
      <c r="G1539" s="333">
        <f t="shared" si="35"/>
        <v>6622.5799999999927</v>
      </c>
      <c r="H1539" s="334"/>
      <c r="I1539" s="335"/>
      <c r="J1539" s="336"/>
      <c r="K1539" s="301"/>
      <c r="L1539" s="336"/>
      <c r="M1539" s="301"/>
      <c r="N1539" s="336"/>
      <c r="O1539" s="301"/>
      <c r="P1539" s="336"/>
      <c r="Q1539" s="301"/>
      <c r="R1539" s="336"/>
      <c r="S1539" s="301"/>
      <c r="T1539" s="336"/>
    </row>
    <row r="1540" spans="1:20" ht="12" customHeight="1" x14ac:dyDescent="0.25">
      <c r="A1540" s="329" t="s">
        <v>289</v>
      </c>
      <c r="B1540" s="330">
        <v>8</v>
      </c>
      <c r="C1540" s="298">
        <v>46073</v>
      </c>
      <c r="D1540" s="299" t="s">
        <v>431</v>
      </c>
      <c r="E1540" s="331">
        <v>98.65</v>
      </c>
      <c r="F1540" s="331"/>
      <c r="G1540" s="333">
        <f t="shared" si="35"/>
        <v>6655.0099999999929</v>
      </c>
      <c r="H1540" s="334"/>
      <c r="I1540" s="335"/>
      <c r="J1540" s="336"/>
      <c r="K1540" s="301"/>
      <c r="L1540" s="336"/>
      <c r="M1540" s="301"/>
      <c r="N1540" s="336"/>
      <c r="O1540" s="301"/>
      <c r="P1540" s="336"/>
      <c r="Q1540" s="301"/>
      <c r="R1540" s="336"/>
      <c r="S1540" s="301"/>
      <c r="T1540" s="336"/>
    </row>
    <row r="1541" spans="1:20" ht="12" customHeight="1" x14ac:dyDescent="0.25">
      <c r="A1541" s="329" t="s">
        <v>289</v>
      </c>
      <c r="B1541" s="330">
        <v>6</v>
      </c>
      <c r="C1541" s="298">
        <v>46072</v>
      </c>
      <c r="D1541" s="299" t="s">
        <v>300</v>
      </c>
      <c r="E1541" s="331">
        <v>30.87</v>
      </c>
      <c r="F1541" s="331"/>
      <c r="G1541" s="333">
        <f t="shared" si="35"/>
        <v>6753.6599999999926</v>
      </c>
      <c r="H1541" s="334"/>
      <c r="I1541" s="335"/>
      <c r="J1541" s="336"/>
      <c r="K1541" s="301"/>
      <c r="L1541" s="336"/>
      <c r="M1541" s="301"/>
      <c r="N1541" s="336"/>
      <c r="O1541" s="301"/>
      <c r="P1541" s="336"/>
      <c r="Q1541" s="301"/>
      <c r="R1541" s="336"/>
      <c r="S1541" s="301"/>
      <c r="T1541" s="336"/>
    </row>
    <row r="1542" spans="1:20" ht="12" customHeight="1" x14ac:dyDescent="0.25">
      <c r="A1542" s="329" t="s">
        <v>289</v>
      </c>
      <c r="B1542" s="330">
        <v>6</v>
      </c>
      <c r="C1542" s="298">
        <v>46072</v>
      </c>
      <c r="D1542" s="299" t="s">
        <v>300</v>
      </c>
      <c r="E1542" s="331">
        <v>15.96</v>
      </c>
      <c r="F1542" s="331"/>
      <c r="G1542" s="333">
        <f t="shared" si="35"/>
        <v>6784.5299999999925</v>
      </c>
      <c r="H1542" s="334"/>
      <c r="I1542" s="335"/>
      <c r="J1542" s="336"/>
      <c r="K1542" s="301"/>
      <c r="L1542" s="336"/>
      <c r="M1542" s="301"/>
      <c r="N1542" s="336"/>
      <c r="O1542" s="301"/>
      <c r="P1542" s="336"/>
      <c r="Q1542" s="301"/>
      <c r="R1542" s="336"/>
      <c r="S1542" s="301"/>
      <c r="T1542" s="336"/>
    </row>
    <row r="1543" spans="1:20" ht="12" customHeight="1" x14ac:dyDescent="0.25">
      <c r="A1543" s="329" t="s">
        <v>289</v>
      </c>
      <c r="B1543" s="330">
        <v>2</v>
      </c>
      <c r="C1543" s="298">
        <v>46072</v>
      </c>
      <c r="D1543" s="299" t="s">
        <v>296</v>
      </c>
      <c r="E1543" s="331">
        <v>17.36</v>
      </c>
      <c r="F1543" s="331"/>
      <c r="G1543" s="333">
        <f t="shared" si="35"/>
        <v>6800.4899999999925</v>
      </c>
      <c r="H1543" s="334"/>
      <c r="I1543" s="335"/>
      <c r="J1543" s="336"/>
      <c r="K1543" s="301"/>
      <c r="L1543" s="336"/>
      <c r="M1543" s="301"/>
      <c r="N1543" s="336"/>
      <c r="O1543" s="301"/>
      <c r="P1543" s="336"/>
      <c r="Q1543" s="301"/>
      <c r="R1543" s="336"/>
      <c r="S1543" s="301"/>
      <c r="T1543" s="336"/>
    </row>
    <row r="1544" spans="1:20" ht="12" customHeight="1" x14ac:dyDescent="0.25">
      <c r="A1544" s="329" t="s">
        <v>294</v>
      </c>
      <c r="B1544" s="330">
        <v>22</v>
      </c>
      <c r="C1544" s="298">
        <v>46072</v>
      </c>
      <c r="D1544" s="299" t="s">
        <v>328</v>
      </c>
      <c r="E1544" s="331">
        <v>7.46</v>
      </c>
      <c r="F1544" s="331"/>
      <c r="G1544" s="333">
        <f t="shared" si="35"/>
        <v>6817.8499999999922</v>
      </c>
      <c r="H1544" s="334"/>
      <c r="I1544" s="335"/>
      <c r="J1544" s="336"/>
      <c r="K1544" s="301"/>
      <c r="L1544" s="336"/>
      <c r="M1544" s="301"/>
      <c r="N1544" s="336"/>
      <c r="O1544" s="301"/>
      <c r="P1544" s="336"/>
      <c r="Q1544" s="301"/>
      <c r="R1544" s="336"/>
      <c r="S1544" s="301"/>
      <c r="T1544" s="336"/>
    </row>
    <row r="1545" spans="1:20" ht="12" customHeight="1" x14ac:dyDescent="0.25">
      <c r="A1545" s="329" t="s">
        <v>291</v>
      </c>
      <c r="B1545" s="330">
        <v>39</v>
      </c>
      <c r="C1545" s="298">
        <v>46072</v>
      </c>
      <c r="D1545" s="299" t="s">
        <v>292</v>
      </c>
      <c r="E1545" s="331"/>
      <c r="F1545" s="331">
        <v>2763.77</v>
      </c>
      <c r="G1545" s="333">
        <f t="shared" si="35"/>
        <v>6825.3099999999922</v>
      </c>
      <c r="H1545" s="334"/>
      <c r="I1545" s="335"/>
      <c r="J1545" s="336"/>
      <c r="K1545" s="301"/>
      <c r="L1545" s="336"/>
      <c r="M1545" s="301"/>
      <c r="N1545" s="336"/>
      <c r="O1545" s="301"/>
      <c r="P1545" s="336"/>
      <c r="Q1545" s="301"/>
      <c r="R1545" s="336"/>
      <c r="S1545" s="301"/>
      <c r="T1545" s="336"/>
    </row>
    <row r="1546" spans="1:20" ht="12" customHeight="1" x14ac:dyDescent="0.25">
      <c r="A1546" s="329" t="s">
        <v>335</v>
      </c>
      <c r="B1546" s="330" t="s">
        <v>335</v>
      </c>
      <c r="C1546" s="298">
        <v>46071</v>
      </c>
      <c r="D1546" s="299" t="s">
        <v>185</v>
      </c>
      <c r="E1546" s="331">
        <v>182.55</v>
      </c>
      <c r="F1546" s="331"/>
      <c r="G1546" s="333">
        <f t="shared" si="35"/>
        <v>4061.5399999999927</v>
      </c>
      <c r="H1546" s="334"/>
      <c r="I1546" s="335"/>
      <c r="J1546" s="336"/>
      <c r="K1546" s="301"/>
      <c r="L1546" s="336"/>
      <c r="M1546" s="301"/>
      <c r="N1546" s="336"/>
      <c r="O1546" s="301"/>
      <c r="P1546" s="336"/>
      <c r="Q1546" s="301"/>
      <c r="R1546" s="336"/>
      <c r="S1546" s="301"/>
      <c r="T1546" s="336"/>
    </row>
    <row r="1547" spans="1:20" ht="12" customHeight="1" x14ac:dyDescent="0.25">
      <c r="A1547" s="329" t="s">
        <v>294</v>
      </c>
      <c r="B1547" s="330">
        <v>15</v>
      </c>
      <c r="C1547" s="298">
        <v>46071</v>
      </c>
      <c r="D1547" s="299" t="s">
        <v>185</v>
      </c>
      <c r="E1547" s="331">
        <v>188.16</v>
      </c>
      <c r="F1547" s="331"/>
      <c r="G1547" s="333">
        <f t="shared" si="35"/>
        <v>4244.0899999999929</v>
      </c>
      <c r="H1547" s="334"/>
      <c r="I1547" s="335"/>
      <c r="J1547" s="336"/>
      <c r="K1547" s="301"/>
      <c r="L1547" s="336"/>
      <c r="M1547" s="301"/>
      <c r="N1547" s="336"/>
      <c r="O1547" s="301"/>
      <c r="P1547" s="336"/>
      <c r="Q1547" s="301"/>
      <c r="R1547" s="336"/>
      <c r="S1547" s="301"/>
      <c r="T1547" s="336"/>
    </row>
    <row r="1548" spans="1:20" ht="12" customHeight="1" x14ac:dyDescent="0.25">
      <c r="A1548" s="329" t="s">
        <v>291</v>
      </c>
      <c r="B1548" s="330">
        <v>40</v>
      </c>
      <c r="C1548" s="298">
        <v>46071</v>
      </c>
      <c r="D1548" s="299" t="s">
        <v>316</v>
      </c>
      <c r="E1548" s="331"/>
      <c r="F1548" s="331">
        <v>1281.58</v>
      </c>
      <c r="G1548" s="333">
        <f t="shared" si="35"/>
        <v>4432.2499999999927</v>
      </c>
      <c r="H1548" s="334"/>
      <c r="I1548" s="335"/>
      <c r="J1548" s="336"/>
      <c r="K1548" s="301"/>
      <c r="L1548" s="336"/>
      <c r="M1548" s="301"/>
      <c r="N1548" s="336"/>
      <c r="O1548" s="301"/>
      <c r="P1548" s="336"/>
      <c r="Q1548" s="301"/>
      <c r="R1548" s="336"/>
      <c r="S1548" s="301"/>
      <c r="T1548" s="336"/>
    </row>
    <row r="1549" spans="1:20" ht="12" customHeight="1" x14ac:dyDescent="0.25">
      <c r="A1549" s="329" t="s">
        <v>289</v>
      </c>
      <c r="B1549" s="330">
        <v>6</v>
      </c>
      <c r="C1549" s="298">
        <v>46071</v>
      </c>
      <c r="D1549" s="299" t="s">
        <v>432</v>
      </c>
      <c r="E1549" s="331">
        <v>-146</v>
      </c>
      <c r="F1549" s="331"/>
      <c r="G1549" s="333">
        <f t="shared" si="35"/>
        <v>3150.6699999999933</v>
      </c>
      <c r="H1549" s="334"/>
      <c r="I1549" s="335"/>
      <c r="J1549" s="336"/>
      <c r="K1549" s="301"/>
      <c r="L1549" s="336"/>
      <c r="M1549" s="301"/>
      <c r="N1549" s="336"/>
      <c r="O1549" s="301"/>
      <c r="P1549" s="336"/>
      <c r="Q1549" s="301"/>
      <c r="R1549" s="336"/>
      <c r="S1549" s="301"/>
      <c r="T1549" s="336"/>
    </row>
    <row r="1550" spans="1:20" ht="12" customHeight="1" x14ac:dyDescent="0.25">
      <c r="A1550" s="329" t="s">
        <v>289</v>
      </c>
      <c r="B1550" s="330">
        <v>2</v>
      </c>
      <c r="C1550" s="298">
        <v>46071</v>
      </c>
      <c r="D1550" s="299" t="s">
        <v>433</v>
      </c>
      <c r="E1550" s="331">
        <v>-13</v>
      </c>
      <c r="F1550" s="331"/>
      <c r="G1550" s="333">
        <f t="shared" si="35"/>
        <v>3004.6699999999933</v>
      </c>
      <c r="H1550" s="334"/>
      <c r="I1550" s="335"/>
      <c r="J1550" s="336"/>
      <c r="K1550" s="301"/>
      <c r="L1550" s="336"/>
      <c r="M1550" s="301"/>
      <c r="N1550" s="336"/>
      <c r="O1550" s="301"/>
      <c r="P1550" s="336"/>
      <c r="Q1550" s="301"/>
      <c r="R1550" s="336"/>
      <c r="S1550" s="301"/>
      <c r="T1550" s="336"/>
    </row>
    <row r="1551" spans="1:20" ht="12" customHeight="1" x14ac:dyDescent="0.25">
      <c r="A1551" s="329" t="s">
        <v>335</v>
      </c>
      <c r="B1551" s="330" t="s">
        <v>335</v>
      </c>
      <c r="C1551" s="298">
        <v>46071</v>
      </c>
      <c r="D1551" s="299" t="s">
        <v>458</v>
      </c>
      <c r="E1551" s="331"/>
      <c r="F1551" s="331">
        <v>191</v>
      </c>
      <c r="G1551" s="333">
        <f t="shared" si="35"/>
        <v>2991.6699999999933</v>
      </c>
      <c r="H1551" s="334"/>
      <c r="I1551" s="335"/>
      <c r="J1551" s="336"/>
      <c r="K1551" s="301"/>
      <c r="L1551" s="336"/>
      <c r="M1551" s="301"/>
      <c r="N1551" s="336"/>
      <c r="O1551" s="301"/>
      <c r="P1551" s="336"/>
      <c r="Q1551" s="301"/>
      <c r="R1551" s="336"/>
      <c r="S1551" s="301"/>
      <c r="T1551" s="336"/>
    </row>
    <row r="1552" spans="1:20" ht="12" customHeight="1" x14ac:dyDescent="0.25">
      <c r="A1552" s="329" t="s">
        <v>289</v>
      </c>
      <c r="B1552" s="330">
        <v>6</v>
      </c>
      <c r="C1552" s="298">
        <v>46071</v>
      </c>
      <c r="D1552" s="299" t="s">
        <v>300</v>
      </c>
      <c r="E1552" s="331">
        <v>43.63</v>
      </c>
      <c r="F1552" s="331"/>
      <c r="G1552" s="333">
        <f t="shared" si="35"/>
        <v>2800.6699999999933</v>
      </c>
      <c r="H1552" s="334"/>
      <c r="I1552" s="335"/>
      <c r="J1552" s="336"/>
      <c r="K1552" s="301"/>
      <c r="L1552" s="336"/>
      <c r="M1552" s="301"/>
      <c r="N1552" s="336"/>
      <c r="O1552" s="301"/>
      <c r="P1552" s="336"/>
      <c r="Q1552" s="301"/>
      <c r="R1552" s="336"/>
      <c r="S1552" s="301"/>
      <c r="T1552" s="336"/>
    </row>
    <row r="1553" spans="1:20" ht="12" customHeight="1" x14ac:dyDescent="0.25">
      <c r="A1553" s="329" t="s">
        <v>289</v>
      </c>
      <c r="B1553" s="330">
        <v>6</v>
      </c>
      <c r="C1553" s="298">
        <v>46071</v>
      </c>
      <c r="D1553" s="299" t="s">
        <v>300</v>
      </c>
      <c r="E1553" s="331">
        <v>10.64</v>
      </c>
      <c r="F1553" s="331"/>
      <c r="G1553" s="333">
        <f t="shared" si="35"/>
        <v>2844.2999999999934</v>
      </c>
      <c r="H1553" s="334"/>
      <c r="I1553" s="335"/>
      <c r="J1553" s="336"/>
      <c r="K1553" s="301"/>
      <c r="L1553" s="336"/>
      <c r="M1553" s="301"/>
      <c r="N1553" s="336"/>
      <c r="O1553" s="301"/>
      <c r="P1553" s="336"/>
      <c r="Q1553" s="301"/>
      <c r="R1553" s="336"/>
      <c r="S1553" s="301"/>
      <c r="T1553" s="336"/>
    </row>
    <row r="1554" spans="1:20" ht="12" customHeight="1" x14ac:dyDescent="0.25">
      <c r="A1554" s="329" t="s">
        <v>289</v>
      </c>
      <c r="B1554" s="330">
        <v>8</v>
      </c>
      <c r="C1554" s="298">
        <v>46071</v>
      </c>
      <c r="D1554" s="299" t="s">
        <v>296</v>
      </c>
      <c r="E1554" s="331">
        <v>14.87</v>
      </c>
      <c r="F1554" s="331"/>
      <c r="G1554" s="333">
        <f t="shared" si="35"/>
        <v>2854.9399999999932</v>
      </c>
      <c r="H1554" s="334"/>
      <c r="I1554" s="335"/>
      <c r="J1554" s="336"/>
      <c r="K1554" s="301"/>
      <c r="L1554" s="336"/>
      <c r="M1554" s="301"/>
      <c r="N1554" s="336"/>
      <c r="O1554" s="301"/>
      <c r="P1554" s="336"/>
      <c r="Q1554" s="301"/>
      <c r="R1554" s="336"/>
      <c r="S1554" s="301"/>
      <c r="T1554" s="336"/>
    </row>
    <row r="1555" spans="1:20" ht="12" customHeight="1" x14ac:dyDescent="0.25">
      <c r="A1555" s="329" t="s">
        <v>289</v>
      </c>
      <c r="B1555" s="330">
        <v>2</v>
      </c>
      <c r="C1555" s="298">
        <v>46071</v>
      </c>
      <c r="D1555" s="299" t="s">
        <v>295</v>
      </c>
      <c r="E1555" s="331">
        <v>12.99</v>
      </c>
      <c r="F1555" s="331"/>
      <c r="G1555" s="333">
        <f t="shared" si="35"/>
        <v>2869.8099999999931</v>
      </c>
      <c r="H1555" s="334"/>
      <c r="I1555" s="335"/>
      <c r="J1555" s="336"/>
      <c r="K1555" s="301"/>
      <c r="L1555" s="336"/>
      <c r="M1555" s="301"/>
      <c r="N1555" s="336"/>
      <c r="O1555" s="301"/>
      <c r="P1555" s="336"/>
      <c r="Q1555" s="301"/>
      <c r="R1555" s="336"/>
      <c r="S1555" s="301"/>
      <c r="T1555" s="336"/>
    </row>
    <row r="1556" spans="1:20" ht="12" customHeight="1" x14ac:dyDescent="0.25">
      <c r="A1556" s="329" t="s">
        <v>289</v>
      </c>
      <c r="B1556" s="330">
        <v>4</v>
      </c>
      <c r="C1556" s="298">
        <v>46071</v>
      </c>
      <c r="D1556" s="299" t="s">
        <v>295</v>
      </c>
      <c r="E1556" s="331">
        <v>29.47</v>
      </c>
      <c r="F1556" s="331"/>
      <c r="G1556" s="333">
        <f t="shared" si="35"/>
        <v>2882.7999999999929</v>
      </c>
      <c r="H1556" s="334"/>
      <c r="I1556" s="335"/>
      <c r="J1556" s="336"/>
      <c r="K1556" s="301"/>
      <c r="L1556" s="336"/>
      <c r="M1556" s="301"/>
      <c r="N1556" s="336"/>
      <c r="O1556" s="301"/>
      <c r="P1556" s="336"/>
      <c r="Q1556" s="301"/>
      <c r="R1556" s="336"/>
      <c r="S1556" s="301"/>
      <c r="T1556" s="336"/>
    </row>
    <row r="1557" spans="1:20" ht="12" customHeight="1" x14ac:dyDescent="0.25">
      <c r="A1557" s="329" t="s">
        <v>294</v>
      </c>
      <c r="B1557" s="330">
        <v>22</v>
      </c>
      <c r="C1557" s="298">
        <v>46071</v>
      </c>
      <c r="D1557" s="299" t="s">
        <v>400</v>
      </c>
      <c r="E1557" s="331">
        <v>13.84</v>
      </c>
      <c r="F1557" s="331"/>
      <c r="G1557" s="333">
        <f t="shared" si="35"/>
        <v>2912.2699999999927</v>
      </c>
      <c r="H1557" s="334"/>
      <c r="I1557" s="335"/>
      <c r="J1557" s="336"/>
      <c r="K1557" s="301"/>
      <c r="L1557" s="336"/>
      <c r="M1557" s="301"/>
      <c r="N1557" s="336"/>
      <c r="O1557" s="301"/>
      <c r="P1557" s="336"/>
      <c r="Q1557" s="301"/>
      <c r="R1557" s="336"/>
      <c r="S1557" s="301"/>
      <c r="T1557" s="336"/>
    </row>
    <row r="1558" spans="1:20" ht="12" customHeight="1" x14ac:dyDescent="0.25">
      <c r="A1558" s="329" t="s">
        <v>289</v>
      </c>
      <c r="B1558" s="330">
        <v>2</v>
      </c>
      <c r="C1558" s="298">
        <v>46071</v>
      </c>
      <c r="D1558" s="299" t="s">
        <v>434</v>
      </c>
      <c r="E1558" s="331">
        <v>64.569999999999993</v>
      </c>
      <c r="F1558" s="331"/>
      <c r="G1558" s="333">
        <f t="shared" si="35"/>
        <v>2926.1099999999929</v>
      </c>
      <c r="H1558" s="334"/>
      <c r="I1558" s="335"/>
      <c r="J1558" s="336"/>
      <c r="K1558" s="301"/>
      <c r="L1558" s="336"/>
      <c r="M1558" s="301"/>
      <c r="N1558" s="336"/>
      <c r="O1558" s="301"/>
      <c r="P1558" s="336"/>
      <c r="Q1558" s="301"/>
      <c r="R1558" s="336"/>
      <c r="S1558" s="301"/>
      <c r="T1558" s="336"/>
    </row>
    <row r="1559" spans="1:20" ht="12" customHeight="1" x14ac:dyDescent="0.25">
      <c r="A1559" s="329" t="s">
        <v>294</v>
      </c>
      <c r="B1559" s="330">
        <v>21</v>
      </c>
      <c r="C1559" s="298">
        <v>46070</v>
      </c>
      <c r="D1559" s="299" t="s">
        <v>194</v>
      </c>
      <c r="E1559" s="331">
        <v>81</v>
      </c>
      <c r="F1559" s="331"/>
      <c r="G1559" s="333">
        <f t="shared" si="35"/>
        <v>2990.679999999993</v>
      </c>
      <c r="H1559" s="334"/>
      <c r="I1559" s="335"/>
      <c r="J1559" s="336"/>
      <c r="K1559" s="301"/>
      <c r="L1559" s="336"/>
      <c r="M1559" s="301"/>
      <c r="N1559" s="336"/>
      <c r="O1559" s="301"/>
      <c r="P1559" s="336"/>
      <c r="Q1559" s="301"/>
      <c r="R1559" s="336"/>
      <c r="S1559" s="301"/>
      <c r="T1559" s="336"/>
    </row>
    <row r="1560" spans="1:20" ht="12" customHeight="1" x14ac:dyDescent="0.25">
      <c r="A1560" s="329" t="s">
        <v>289</v>
      </c>
      <c r="B1560" s="330">
        <v>2</v>
      </c>
      <c r="C1560" s="298">
        <v>46070</v>
      </c>
      <c r="D1560" s="299" t="s">
        <v>383</v>
      </c>
      <c r="E1560" s="331">
        <v>81.41</v>
      </c>
      <c r="F1560" s="331"/>
      <c r="G1560" s="333">
        <f t="shared" si="35"/>
        <v>3071.679999999993</v>
      </c>
      <c r="H1560" s="334"/>
      <c r="I1560" s="335"/>
      <c r="J1560" s="336"/>
      <c r="K1560" s="301"/>
      <c r="L1560" s="336"/>
      <c r="M1560" s="301"/>
      <c r="N1560" s="336"/>
      <c r="O1560" s="301"/>
      <c r="P1560" s="336"/>
      <c r="Q1560" s="301"/>
      <c r="R1560" s="336"/>
      <c r="S1560" s="301"/>
      <c r="T1560" s="336"/>
    </row>
    <row r="1561" spans="1:20" ht="12" customHeight="1" x14ac:dyDescent="0.25">
      <c r="A1561" s="329" t="s">
        <v>289</v>
      </c>
      <c r="B1561" s="330">
        <v>6</v>
      </c>
      <c r="C1561" s="298">
        <v>46070</v>
      </c>
      <c r="D1561" s="299" t="s">
        <v>300</v>
      </c>
      <c r="E1561" s="331">
        <v>113.74</v>
      </c>
      <c r="F1561" s="331"/>
      <c r="G1561" s="333">
        <f t="shared" si="35"/>
        <v>3153.0899999999929</v>
      </c>
      <c r="H1561" s="334"/>
      <c r="I1561" s="335"/>
      <c r="J1561" s="336"/>
      <c r="K1561" s="301"/>
      <c r="L1561" s="336"/>
      <c r="M1561" s="301"/>
      <c r="N1561" s="336"/>
      <c r="O1561" s="301"/>
      <c r="P1561" s="336"/>
      <c r="Q1561" s="301"/>
      <c r="R1561" s="336"/>
      <c r="S1561" s="301"/>
      <c r="T1561" s="336"/>
    </row>
    <row r="1562" spans="1:20" ht="12" customHeight="1" x14ac:dyDescent="0.25">
      <c r="A1562" s="329" t="s">
        <v>294</v>
      </c>
      <c r="B1562" s="330">
        <v>43</v>
      </c>
      <c r="C1562" s="298">
        <v>46070</v>
      </c>
      <c r="D1562" s="299" t="s">
        <v>333</v>
      </c>
      <c r="E1562" s="331">
        <v>29.8</v>
      </c>
      <c r="F1562" s="331"/>
      <c r="G1562" s="333">
        <f t="shared" si="35"/>
        <v>3266.8299999999927</v>
      </c>
      <c r="H1562" s="334"/>
      <c r="I1562" s="335"/>
      <c r="J1562" s="336"/>
      <c r="K1562" s="301"/>
      <c r="L1562" s="336"/>
      <c r="M1562" s="301"/>
      <c r="N1562" s="336"/>
      <c r="O1562" s="301"/>
      <c r="P1562" s="336"/>
      <c r="Q1562" s="301"/>
      <c r="R1562" s="336"/>
      <c r="S1562" s="301"/>
      <c r="T1562" s="336"/>
    </row>
    <row r="1563" spans="1:20" ht="12" customHeight="1" x14ac:dyDescent="0.25">
      <c r="A1563" s="329" t="s">
        <v>294</v>
      </c>
      <c r="B1563" s="330">
        <v>42</v>
      </c>
      <c r="C1563" s="298">
        <v>46070</v>
      </c>
      <c r="D1563" s="299" t="s">
        <v>333</v>
      </c>
      <c r="E1563" s="331">
        <v>37.25</v>
      </c>
      <c r="F1563" s="331"/>
      <c r="G1563" s="333">
        <f t="shared" si="35"/>
        <v>3296.6299999999928</v>
      </c>
      <c r="H1563" s="334"/>
      <c r="I1563" s="335"/>
      <c r="J1563" s="336"/>
      <c r="K1563" s="301"/>
      <c r="L1563" s="336"/>
      <c r="M1563" s="301"/>
      <c r="N1563" s="336"/>
      <c r="O1563" s="301"/>
      <c r="P1563" s="336"/>
      <c r="Q1563" s="301"/>
      <c r="R1563" s="336"/>
      <c r="S1563" s="301"/>
      <c r="T1563" s="336"/>
    </row>
    <row r="1564" spans="1:20" ht="12" customHeight="1" x14ac:dyDescent="0.25">
      <c r="A1564" s="329" t="s">
        <v>289</v>
      </c>
      <c r="B1564" s="330">
        <v>2</v>
      </c>
      <c r="C1564" s="298">
        <v>46070</v>
      </c>
      <c r="D1564" s="299" t="s">
        <v>423</v>
      </c>
      <c r="E1564" s="331">
        <v>7.97</v>
      </c>
      <c r="F1564" s="331"/>
      <c r="G1564" s="333">
        <f t="shared" si="35"/>
        <v>3333.8799999999928</v>
      </c>
      <c r="H1564" s="334"/>
      <c r="I1564" s="335"/>
      <c r="J1564" s="336"/>
      <c r="K1564" s="301"/>
      <c r="L1564" s="336"/>
      <c r="M1564" s="301"/>
      <c r="N1564" s="336"/>
      <c r="O1564" s="301"/>
      <c r="P1564" s="336"/>
      <c r="Q1564" s="301"/>
      <c r="R1564" s="336"/>
      <c r="S1564" s="301"/>
      <c r="T1564" s="336"/>
    </row>
    <row r="1565" spans="1:20" ht="12" customHeight="1" x14ac:dyDescent="0.25">
      <c r="A1565" s="329" t="s">
        <v>294</v>
      </c>
      <c r="B1565" s="330">
        <v>17</v>
      </c>
      <c r="C1565" s="298">
        <v>46070</v>
      </c>
      <c r="D1565" s="299" t="s">
        <v>188</v>
      </c>
      <c r="E1565" s="331">
        <v>42.65</v>
      </c>
      <c r="F1565" s="331"/>
      <c r="G1565" s="333">
        <f t="shared" si="35"/>
        <v>3341.8499999999926</v>
      </c>
      <c r="H1565" s="334"/>
      <c r="I1565" s="335"/>
      <c r="J1565" s="336"/>
      <c r="K1565" s="301"/>
      <c r="L1565" s="336"/>
      <c r="M1565" s="301"/>
      <c r="N1565" s="336"/>
      <c r="O1565" s="301"/>
      <c r="P1565" s="336"/>
      <c r="Q1565" s="301"/>
      <c r="R1565" s="336"/>
      <c r="S1565" s="301"/>
      <c r="T1565" s="336"/>
    </row>
    <row r="1566" spans="1:20" ht="12" customHeight="1" x14ac:dyDescent="0.25">
      <c r="A1566" s="329" t="s">
        <v>289</v>
      </c>
      <c r="B1566" s="330">
        <v>6</v>
      </c>
      <c r="C1566" s="298">
        <v>46070</v>
      </c>
      <c r="D1566" s="299" t="s">
        <v>435</v>
      </c>
      <c r="E1566" s="331">
        <v>40</v>
      </c>
      <c r="F1566" s="331"/>
      <c r="G1566" s="333">
        <f t="shared" si="35"/>
        <v>3384.4999999999927</v>
      </c>
      <c r="H1566" s="334"/>
      <c r="I1566" s="335"/>
      <c r="J1566" s="336"/>
      <c r="K1566" s="301"/>
      <c r="L1566" s="336"/>
      <c r="M1566" s="301"/>
      <c r="N1566" s="336"/>
      <c r="O1566" s="301"/>
      <c r="P1566" s="336"/>
      <c r="Q1566" s="301"/>
      <c r="R1566" s="336"/>
      <c r="S1566" s="301"/>
      <c r="T1566" s="336"/>
    </row>
    <row r="1567" spans="1:20" ht="12" customHeight="1" x14ac:dyDescent="0.25">
      <c r="A1567" s="329" t="s">
        <v>294</v>
      </c>
      <c r="B1567" s="330">
        <v>11</v>
      </c>
      <c r="C1567" s="298">
        <v>46070</v>
      </c>
      <c r="D1567" s="299" t="s">
        <v>178</v>
      </c>
      <c r="E1567" s="331">
        <v>480.91</v>
      </c>
      <c r="F1567" s="331"/>
      <c r="G1567" s="333">
        <f t="shared" si="35"/>
        <v>3424.4999999999927</v>
      </c>
      <c r="H1567" s="334"/>
      <c r="I1567" s="335"/>
      <c r="J1567" s="336"/>
      <c r="K1567" s="301"/>
      <c r="L1567" s="336"/>
      <c r="M1567" s="301"/>
      <c r="N1567" s="336"/>
      <c r="O1567" s="301"/>
      <c r="P1567" s="336"/>
      <c r="Q1567" s="301"/>
      <c r="R1567" s="336"/>
      <c r="S1567" s="301"/>
      <c r="T1567" s="336"/>
    </row>
    <row r="1568" spans="1:20" ht="12" customHeight="1" x14ac:dyDescent="0.25">
      <c r="A1568" s="329" t="s">
        <v>294</v>
      </c>
      <c r="B1568" s="330">
        <v>23</v>
      </c>
      <c r="C1568" s="298">
        <v>46070</v>
      </c>
      <c r="D1568" s="299" t="s">
        <v>63</v>
      </c>
      <c r="E1568" s="331">
        <v>529.46</v>
      </c>
      <c r="F1568" s="331"/>
      <c r="G1568" s="333">
        <f t="shared" si="35"/>
        <v>3905.4099999999926</v>
      </c>
      <c r="H1568" s="334"/>
      <c r="I1568" s="335"/>
      <c r="J1568" s="336"/>
      <c r="K1568" s="301"/>
      <c r="L1568" s="336"/>
      <c r="M1568" s="301"/>
      <c r="N1568" s="336"/>
      <c r="O1568" s="301"/>
      <c r="P1568" s="336"/>
      <c r="Q1568" s="301"/>
      <c r="R1568" s="336"/>
      <c r="S1568" s="301"/>
      <c r="T1568" s="336"/>
    </row>
    <row r="1569" spans="1:20" ht="12" customHeight="1" x14ac:dyDescent="0.25">
      <c r="A1569" s="329" t="s">
        <v>289</v>
      </c>
      <c r="B1569" s="330">
        <v>2</v>
      </c>
      <c r="C1569" s="298">
        <v>46069</v>
      </c>
      <c r="D1569" s="299" t="s">
        <v>324</v>
      </c>
      <c r="E1569" s="331">
        <v>16.079999999999998</v>
      </c>
      <c r="F1569" s="331"/>
      <c r="G1569" s="333">
        <f t="shared" si="35"/>
        <v>4434.8699999999926</v>
      </c>
      <c r="H1569" s="334"/>
      <c r="I1569" s="335"/>
      <c r="J1569" s="336"/>
      <c r="K1569" s="301"/>
      <c r="L1569" s="336"/>
      <c r="M1569" s="301"/>
      <c r="N1569" s="336"/>
      <c r="O1569" s="301"/>
      <c r="P1569" s="336"/>
      <c r="Q1569" s="301"/>
      <c r="R1569" s="336"/>
      <c r="S1569" s="301"/>
      <c r="T1569" s="336"/>
    </row>
    <row r="1570" spans="1:20" ht="12" customHeight="1" x14ac:dyDescent="0.25">
      <c r="A1570" s="329" t="s">
        <v>289</v>
      </c>
      <c r="B1570" s="330">
        <v>6</v>
      </c>
      <c r="C1570" s="298">
        <v>46069</v>
      </c>
      <c r="D1570" s="299" t="s">
        <v>300</v>
      </c>
      <c r="E1570" s="331">
        <v>21.17</v>
      </c>
      <c r="F1570" s="331"/>
      <c r="G1570" s="333">
        <f t="shared" si="35"/>
        <v>4450.9499999999925</v>
      </c>
      <c r="H1570" s="334"/>
      <c r="I1570" s="335"/>
      <c r="J1570" s="336"/>
      <c r="K1570" s="301"/>
      <c r="L1570" s="336"/>
      <c r="M1570" s="301"/>
      <c r="N1570" s="336"/>
      <c r="O1570" s="301"/>
      <c r="P1570" s="336"/>
      <c r="Q1570" s="301"/>
      <c r="R1570" s="336"/>
      <c r="S1570" s="301"/>
      <c r="T1570" s="336"/>
    </row>
    <row r="1571" spans="1:20" ht="12" customHeight="1" x14ac:dyDescent="0.25">
      <c r="A1571" s="329" t="s">
        <v>289</v>
      </c>
      <c r="B1571" s="330">
        <v>6</v>
      </c>
      <c r="C1571" s="298">
        <v>46069</v>
      </c>
      <c r="D1571" s="299" t="s">
        <v>300</v>
      </c>
      <c r="E1571" s="331">
        <v>17.03</v>
      </c>
      <c r="F1571" s="331"/>
      <c r="G1571" s="333">
        <f t="shared" si="35"/>
        <v>4472.1199999999926</v>
      </c>
      <c r="H1571" s="334"/>
      <c r="I1571" s="335"/>
      <c r="J1571" s="336"/>
      <c r="K1571" s="301"/>
      <c r="L1571" s="336"/>
      <c r="M1571" s="301"/>
      <c r="N1571" s="336"/>
      <c r="O1571" s="301"/>
      <c r="P1571" s="336"/>
      <c r="Q1571" s="301"/>
      <c r="R1571" s="336"/>
      <c r="S1571" s="301"/>
      <c r="T1571" s="336"/>
    </row>
    <row r="1572" spans="1:20" ht="12" customHeight="1" x14ac:dyDescent="0.25">
      <c r="A1572" s="329" t="s">
        <v>289</v>
      </c>
      <c r="B1572" s="330">
        <v>2</v>
      </c>
      <c r="C1572" s="298">
        <v>46069</v>
      </c>
      <c r="D1572" s="299" t="s">
        <v>296</v>
      </c>
      <c r="E1572" s="331">
        <v>18.309999999999999</v>
      </c>
      <c r="F1572" s="331"/>
      <c r="G1572" s="333">
        <f t="shared" si="35"/>
        <v>4489.1499999999924</v>
      </c>
      <c r="H1572" s="334"/>
      <c r="I1572" s="335"/>
      <c r="J1572" s="336"/>
      <c r="K1572" s="301"/>
      <c r="L1572" s="336"/>
      <c r="M1572" s="301"/>
      <c r="N1572" s="336"/>
      <c r="O1572" s="301"/>
      <c r="P1572" s="336"/>
      <c r="Q1572" s="301"/>
      <c r="R1572" s="336"/>
      <c r="S1572" s="301"/>
      <c r="T1572" s="336"/>
    </row>
    <row r="1573" spans="1:20" ht="12" customHeight="1" x14ac:dyDescent="0.25">
      <c r="A1573" s="329" t="s">
        <v>289</v>
      </c>
      <c r="B1573" s="330">
        <v>2</v>
      </c>
      <c r="C1573" s="298">
        <v>46069</v>
      </c>
      <c r="D1573" s="299" t="s">
        <v>301</v>
      </c>
      <c r="E1573" s="331">
        <v>19.3</v>
      </c>
      <c r="F1573" s="331"/>
      <c r="G1573" s="333">
        <f t="shared" si="35"/>
        <v>4507.4599999999928</v>
      </c>
      <c r="H1573" s="334"/>
      <c r="I1573" s="335"/>
      <c r="J1573" s="336"/>
      <c r="K1573" s="301"/>
      <c r="L1573" s="336"/>
      <c r="M1573" s="301"/>
      <c r="N1573" s="336"/>
      <c r="O1573" s="301"/>
      <c r="P1573" s="336"/>
      <c r="Q1573" s="301"/>
      <c r="R1573" s="336"/>
      <c r="S1573" s="301"/>
      <c r="T1573" s="336"/>
    </row>
    <row r="1574" spans="1:20" ht="12" customHeight="1" x14ac:dyDescent="0.25">
      <c r="A1574" s="329" t="s">
        <v>289</v>
      </c>
      <c r="B1574" s="330">
        <v>6</v>
      </c>
      <c r="C1574" s="298">
        <v>46069</v>
      </c>
      <c r="D1574" s="299" t="s">
        <v>396</v>
      </c>
      <c r="E1574" s="331">
        <v>24.67</v>
      </c>
      <c r="F1574" s="331"/>
      <c r="G1574" s="333">
        <f t="shared" si="35"/>
        <v>4526.7599999999929</v>
      </c>
      <c r="H1574" s="334"/>
      <c r="I1574" s="335"/>
      <c r="J1574" s="336"/>
      <c r="K1574" s="301"/>
      <c r="L1574" s="336"/>
      <c r="M1574" s="301"/>
      <c r="N1574" s="336"/>
      <c r="O1574" s="301"/>
      <c r="P1574" s="336"/>
      <c r="Q1574" s="301"/>
      <c r="R1574" s="336"/>
      <c r="S1574" s="301"/>
      <c r="T1574" s="336"/>
    </row>
    <row r="1575" spans="1:20" ht="12" customHeight="1" x14ac:dyDescent="0.25">
      <c r="A1575" s="329" t="s">
        <v>287</v>
      </c>
      <c r="B1575" s="330" t="s">
        <v>287</v>
      </c>
      <c r="C1575" s="298">
        <v>46069</v>
      </c>
      <c r="D1575" s="299" t="s">
        <v>396</v>
      </c>
      <c r="E1575" s="331">
        <v>152.41999999999999</v>
      </c>
      <c r="F1575" s="331">
        <v>152.41999999999999</v>
      </c>
      <c r="G1575" s="333">
        <f t="shared" si="35"/>
        <v>4551.429999999993</v>
      </c>
      <c r="H1575" s="334"/>
      <c r="I1575" s="335"/>
      <c r="J1575" s="336"/>
      <c r="K1575" s="301"/>
      <c r="L1575" s="336"/>
      <c r="M1575" s="301"/>
      <c r="N1575" s="336"/>
      <c r="O1575" s="301"/>
      <c r="P1575" s="336"/>
      <c r="Q1575" s="301"/>
      <c r="R1575" s="336"/>
      <c r="S1575" s="301"/>
      <c r="T1575" s="336"/>
    </row>
    <row r="1576" spans="1:20" ht="12" customHeight="1" x14ac:dyDescent="0.25">
      <c r="A1576" s="329" t="s">
        <v>289</v>
      </c>
      <c r="B1576" s="330">
        <v>6</v>
      </c>
      <c r="C1576" s="298">
        <v>46068</v>
      </c>
      <c r="D1576" s="299" t="s">
        <v>436</v>
      </c>
      <c r="E1576" s="331">
        <v>233.83</v>
      </c>
      <c r="F1576" s="331"/>
      <c r="G1576" s="333">
        <f t="shared" si="35"/>
        <v>4551.429999999993</v>
      </c>
      <c r="H1576" s="334"/>
      <c r="I1576" s="335"/>
      <c r="J1576" s="336"/>
      <c r="K1576" s="301"/>
      <c r="L1576" s="336"/>
      <c r="M1576" s="301"/>
      <c r="N1576" s="336"/>
      <c r="O1576" s="301"/>
      <c r="P1576" s="336"/>
      <c r="Q1576" s="301"/>
      <c r="R1576" s="336"/>
      <c r="S1576" s="301"/>
      <c r="T1576" s="336"/>
    </row>
    <row r="1577" spans="1:20" ht="12" customHeight="1" x14ac:dyDescent="0.25">
      <c r="A1577" s="329" t="s">
        <v>289</v>
      </c>
      <c r="B1577" s="330">
        <v>2</v>
      </c>
      <c r="C1577" s="298">
        <v>46068</v>
      </c>
      <c r="D1577" s="299" t="s">
        <v>326</v>
      </c>
      <c r="E1577" s="331">
        <v>50.87</v>
      </c>
      <c r="F1577" s="331"/>
      <c r="G1577" s="333">
        <f t="shared" si="35"/>
        <v>4785.2599999999929</v>
      </c>
      <c r="H1577" s="334"/>
      <c r="I1577" s="335"/>
      <c r="J1577" s="336"/>
      <c r="K1577" s="301"/>
      <c r="L1577" s="336"/>
      <c r="M1577" s="301"/>
      <c r="N1577" s="336"/>
      <c r="O1577" s="301"/>
      <c r="P1577" s="336"/>
      <c r="Q1577" s="301"/>
      <c r="R1577" s="336"/>
      <c r="S1577" s="301"/>
      <c r="T1577" s="336"/>
    </row>
    <row r="1578" spans="1:20" ht="12" customHeight="1" x14ac:dyDescent="0.25">
      <c r="A1578" s="329" t="s">
        <v>289</v>
      </c>
      <c r="B1578" s="330">
        <v>2</v>
      </c>
      <c r="C1578" s="298">
        <v>46068</v>
      </c>
      <c r="D1578" s="299" t="s">
        <v>437</v>
      </c>
      <c r="E1578" s="331">
        <v>16</v>
      </c>
      <c r="F1578" s="331"/>
      <c r="G1578" s="333">
        <f t="shared" si="35"/>
        <v>4836.1299999999928</v>
      </c>
      <c r="H1578" s="334"/>
      <c r="I1578" s="335"/>
      <c r="J1578" s="336"/>
      <c r="K1578" s="301"/>
      <c r="L1578" s="336"/>
      <c r="M1578" s="301"/>
      <c r="N1578" s="336"/>
      <c r="O1578" s="301"/>
      <c r="P1578" s="336"/>
      <c r="Q1578" s="301"/>
      <c r="R1578" s="336"/>
      <c r="S1578" s="301"/>
      <c r="T1578" s="336"/>
    </row>
    <row r="1579" spans="1:20" ht="12" customHeight="1" x14ac:dyDescent="0.25">
      <c r="A1579" s="329" t="s">
        <v>289</v>
      </c>
      <c r="B1579" s="330">
        <v>2</v>
      </c>
      <c r="C1579" s="298">
        <v>46068</v>
      </c>
      <c r="D1579" s="299" t="s">
        <v>352</v>
      </c>
      <c r="E1579" s="331">
        <v>30</v>
      </c>
      <c r="F1579" s="331"/>
      <c r="G1579" s="333">
        <f t="shared" si="35"/>
        <v>4852.1299999999928</v>
      </c>
      <c r="H1579" s="334"/>
      <c r="I1579" s="335"/>
      <c r="J1579" s="336"/>
      <c r="K1579" s="301"/>
      <c r="L1579" s="336"/>
      <c r="M1579" s="301"/>
      <c r="N1579" s="336"/>
      <c r="O1579" s="301"/>
      <c r="P1579" s="336"/>
      <c r="Q1579" s="301"/>
      <c r="R1579" s="336"/>
      <c r="S1579" s="301"/>
      <c r="T1579" s="336"/>
    </row>
    <row r="1580" spans="1:20" ht="12" customHeight="1" x14ac:dyDescent="0.25">
      <c r="A1580" s="329" t="s">
        <v>289</v>
      </c>
      <c r="B1580" s="330">
        <v>6</v>
      </c>
      <c r="C1580" s="298">
        <v>46068</v>
      </c>
      <c r="D1580" s="299" t="s">
        <v>306</v>
      </c>
      <c r="E1580" s="331">
        <v>76</v>
      </c>
      <c r="F1580" s="331"/>
      <c r="G1580" s="333">
        <f t="shared" si="35"/>
        <v>4882.1299999999928</v>
      </c>
      <c r="H1580" s="334"/>
      <c r="I1580" s="335"/>
      <c r="J1580" s="336"/>
      <c r="K1580" s="301"/>
      <c r="L1580" s="336"/>
      <c r="M1580" s="301"/>
      <c r="N1580" s="336"/>
      <c r="O1580" s="301"/>
      <c r="P1580" s="336"/>
      <c r="Q1580" s="301"/>
      <c r="R1580" s="336"/>
      <c r="S1580" s="301"/>
      <c r="T1580" s="336"/>
    </row>
    <row r="1581" spans="1:20" ht="12" customHeight="1" x14ac:dyDescent="0.25">
      <c r="A1581" s="329" t="s">
        <v>289</v>
      </c>
      <c r="B1581" s="330">
        <v>3</v>
      </c>
      <c r="C1581" s="298">
        <v>46068</v>
      </c>
      <c r="D1581" s="299" t="s">
        <v>347</v>
      </c>
      <c r="E1581" s="331">
        <v>3.59</v>
      </c>
      <c r="F1581" s="331"/>
      <c r="G1581" s="333">
        <f t="shared" si="35"/>
        <v>4958.1299999999928</v>
      </c>
      <c r="H1581" s="334"/>
      <c r="I1581" s="335"/>
      <c r="J1581" s="336"/>
      <c r="K1581" s="301"/>
      <c r="L1581" s="336"/>
      <c r="M1581" s="301"/>
      <c r="N1581" s="336"/>
      <c r="O1581" s="301"/>
      <c r="P1581" s="336"/>
      <c r="Q1581" s="301"/>
      <c r="R1581" s="336"/>
      <c r="S1581" s="301"/>
      <c r="T1581" s="336"/>
    </row>
    <row r="1582" spans="1:20" ht="12" customHeight="1" x14ac:dyDescent="0.25">
      <c r="A1582" s="329" t="s">
        <v>289</v>
      </c>
      <c r="B1582" s="330">
        <v>6</v>
      </c>
      <c r="C1582" s="298">
        <v>46068</v>
      </c>
      <c r="D1582" s="299" t="s">
        <v>438</v>
      </c>
      <c r="E1582" s="331">
        <v>70</v>
      </c>
      <c r="F1582" s="331"/>
      <c r="G1582" s="333">
        <f t="shared" si="35"/>
        <v>4961.719999999993</v>
      </c>
      <c r="H1582" s="334"/>
      <c r="I1582" s="335"/>
      <c r="J1582" s="336"/>
      <c r="K1582" s="301"/>
      <c r="L1582" s="336"/>
      <c r="M1582" s="301"/>
      <c r="N1582" s="336"/>
      <c r="O1582" s="301"/>
      <c r="P1582" s="336"/>
      <c r="Q1582" s="301"/>
      <c r="R1582" s="336"/>
      <c r="S1582" s="301"/>
      <c r="T1582" s="336"/>
    </row>
    <row r="1583" spans="1:20" ht="12" customHeight="1" x14ac:dyDescent="0.25">
      <c r="A1583" s="329" t="s">
        <v>289</v>
      </c>
      <c r="B1583" s="330">
        <v>8</v>
      </c>
      <c r="C1583" s="298">
        <v>46068</v>
      </c>
      <c r="D1583" s="299" t="s">
        <v>439</v>
      </c>
      <c r="E1583" s="331">
        <v>175</v>
      </c>
      <c r="F1583" s="331"/>
      <c r="G1583" s="333">
        <f t="shared" si="35"/>
        <v>5031.719999999993</v>
      </c>
      <c r="H1583" s="334" t="s">
        <v>298</v>
      </c>
      <c r="I1583" s="335"/>
      <c r="J1583" s="336"/>
      <c r="K1583" s="301"/>
      <c r="L1583" s="336"/>
      <c r="M1583" s="301"/>
      <c r="N1583" s="336"/>
      <c r="O1583" s="301"/>
      <c r="P1583" s="336"/>
      <c r="Q1583" s="301"/>
      <c r="R1583" s="336"/>
      <c r="S1583" s="301"/>
      <c r="T1583" s="336"/>
    </row>
    <row r="1584" spans="1:20" ht="12" customHeight="1" x14ac:dyDescent="0.25">
      <c r="A1584" s="329" t="s">
        <v>289</v>
      </c>
      <c r="B1584" s="330">
        <v>8</v>
      </c>
      <c r="C1584" s="298">
        <v>46067</v>
      </c>
      <c r="D1584" s="299" t="s">
        <v>319</v>
      </c>
      <c r="E1584" s="331">
        <v>13.09</v>
      </c>
      <c r="F1584" s="331"/>
      <c r="G1584" s="333">
        <f t="shared" si="35"/>
        <v>5206.719999999993</v>
      </c>
      <c r="H1584" s="334"/>
      <c r="I1584" s="335"/>
      <c r="J1584" s="336"/>
      <c r="K1584" s="301"/>
      <c r="L1584" s="336"/>
      <c r="M1584" s="301"/>
      <c r="N1584" s="336"/>
      <c r="O1584" s="301"/>
      <c r="P1584" s="336"/>
      <c r="Q1584" s="301"/>
      <c r="R1584" s="336"/>
      <c r="S1584" s="301"/>
      <c r="T1584" s="336"/>
    </row>
    <row r="1585" spans="1:20" ht="12" customHeight="1" x14ac:dyDescent="0.25">
      <c r="A1585" s="329" t="s">
        <v>289</v>
      </c>
      <c r="B1585" s="330">
        <v>3</v>
      </c>
      <c r="C1585" s="298">
        <v>46067</v>
      </c>
      <c r="D1585" s="299" t="s">
        <v>296</v>
      </c>
      <c r="E1585" s="331">
        <v>7.56</v>
      </c>
      <c r="F1585" s="331"/>
      <c r="G1585" s="333">
        <f t="shared" si="35"/>
        <v>5219.8099999999931</v>
      </c>
      <c r="H1585" s="334"/>
      <c r="I1585" s="335"/>
      <c r="J1585" s="336"/>
      <c r="K1585" s="301"/>
      <c r="L1585" s="336"/>
      <c r="M1585" s="301"/>
      <c r="N1585" s="336"/>
      <c r="O1585" s="301"/>
      <c r="P1585" s="336"/>
      <c r="Q1585" s="301"/>
      <c r="R1585" s="336"/>
      <c r="S1585" s="301"/>
      <c r="T1585" s="336"/>
    </row>
    <row r="1586" spans="1:20" ht="12" customHeight="1" x14ac:dyDescent="0.25">
      <c r="A1586" s="329" t="s">
        <v>289</v>
      </c>
      <c r="B1586" s="330">
        <v>4</v>
      </c>
      <c r="C1586" s="298">
        <v>46067</v>
      </c>
      <c r="D1586" s="299" t="s">
        <v>296</v>
      </c>
      <c r="E1586" s="331">
        <v>32.409999999999997</v>
      </c>
      <c r="F1586" s="331"/>
      <c r="G1586" s="333">
        <f t="shared" si="35"/>
        <v>5227.3699999999935</v>
      </c>
      <c r="H1586" s="334"/>
      <c r="I1586" s="335"/>
      <c r="J1586" s="336"/>
      <c r="K1586" s="301"/>
      <c r="L1586" s="336"/>
      <c r="M1586" s="301"/>
      <c r="N1586" s="336"/>
      <c r="O1586" s="301"/>
      <c r="P1586" s="336"/>
      <c r="Q1586" s="301"/>
      <c r="R1586" s="336"/>
      <c r="S1586" s="301"/>
      <c r="T1586" s="336"/>
    </row>
    <row r="1587" spans="1:20" ht="12" customHeight="1" x14ac:dyDescent="0.25">
      <c r="A1587" s="329" t="s">
        <v>289</v>
      </c>
      <c r="B1587" s="330">
        <v>5</v>
      </c>
      <c r="C1587" s="298">
        <v>46067</v>
      </c>
      <c r="D1587" s="299" t="s">
        <v>440</v>
      </c>
      <c r="E1587" s="331">
        <v>400</v>
      </c>
      <c r="F1587" s="331"/>
      <c r="G1587" s="333">
        <f t="shared" si="35"/>
        <v>5259.7799999999934</v>
      </c>
      <c r="H1587" s="334"/>
      <c r="I1587" s="335"/>
      <c r="J1587" s="336"/>
      <c r="K1587" s="301"/>
      <c r="L1587" s="336"/>
      <c r="M1587" s="301"/>
      <c r="N1587" s="336"/>
      <c r="O1587" s="301"/>
      <c r="P1587" s="336"/>
      <c r="Q1587" s="301"/>
      <c r="R1587" s="336"/>
      <c r="S1587" s="301"/>
      <c r="T1587" s="336"/>
    </row>
    <row r="1588" spans="1:20" ht="12" customHeight="1" x14ac:dyDescent="0.25">
      <c r="A1588" s="329" t="s">
        <v>289</v>
      </c>
      <c r="B1588" s="330">
        <v>8</v>
      </c>
      <c r="C1588" s="298">
        <v>46066</v>
      </c>
      <c r="D1588" s="299" t="s">
        <v>319</v>
      </c>
      <c r="E1588" s="331">
        <v>41.51</v>
      </c>
      <c r="F1588" s="331"/>
      <c r="G1588" s="333">
        <f t="shared" si="35"/>
        <v>5659.7799999999934</v>
      </c>
      <c r="H1588" s="334"/>
      <c r="I1588" s="335"/>
      <c r="J1588" s="336"/>
      <c r="K1588" s="301"/>
      <c r="L1588" s="336"/>
      <c r="M1588" s="301"/>
      <c r="N1588" s="336"/>
      <c r="O1588" s="301"/>
      <c r="P1588" s="336"/>
      <c r="Q1588" s="301"/>
      <c r="R1588" s="336"/>
      <c r="S1588" s="301"/>
      <c r="T1588" s="336"/>
    </row>
    <row r="1589" spans="1:20" ht="12" customHeight="1" x14ac:dyDescent="0.25">
      <c r="A1589" s="329" t="s">
        <v>289</v>
      </c>
      <c r="B1589" s="330">
        <v>4</v>
      </c>
      <c r="C1589" s="298">
        <v>46066</v>
      </c>
      <c r="D1589" s="299" t="s">
        <v>296</v>
      </c>
      <c r="E1589" s="331">
        <v>21.55</v>
      </c>
      <c r="F1589" s="331"/>
      <c r="G1589" s="333">
        <f t="shared" si="35"/>
        <v>5701.2899999999936</v>
      </c>
      <c r="H1589" s="334"/>
      <c r="I1589" s="335"/>
      <c r="J1589" s="336"/>
      <c r="K1589" s="301"/>
      <c r="L1589" s="336"/>
      <c r="M1589" s="301"/>
      <c r="N1589" s="336"/>
      <c r="O1589" s="301"/>
      <c r="P1589" s="336"/>
      <c r="Q1589" s="301"/>
      <c r="R1589" s="336"/>
      <c r="S1589" s="301"/>
      <c r="T1589" s="336"/>
    </row>
    <row r="1590" spans="1:20" ht="12" customHeight="1" x14ac:dyDescent="0.25">
      <c r="A1590" s="329" t="s">
        <v>289</v>
      </c>
      <c r="B1590" s="330">
        <v>2</v>
      </c>
      <c r="C1590" s="298">
        <v>46066</v>
      </c>
      <c r="D1590" s="299" t="s">
        <v>357</v>
      </c>
      <c r="E1590" s="331">
        <v>12.45</v>
      </c>
      <c r="F1590" s="331"/>
      <c r="G1590" s="333">
        <f t="shared" si="35"/>
        <v>5722.8399999999938</v>
      </c>
      <c r="H1590" s="334"/>
      <c r="I1590" s="335"/>
      <c r="J1590" s="336"/>
      <c r="K1590" s="301"/>
      <c r="L1590" s="336"/>
      <c r="M1590" s="301"/>
      <c r="N1590" s="336"/>
      <c r="O1590" s="301"/>
      <c r="P1590" s="336"/>
      <c r="Q1590" s="301"/>
      <c r="R1590" s="336"/>
      <c r="S1590" s="301"/>
      <c r="T1590" s="336"/>
    </row>
    <row r="1591" spans="1:20" ht="12" customHeight="1" x14ac:dyDescent="0.25">
      <c r="A1591" s="329" t="s">
        <v>287</v>
      </c>
      <c r="B1591" s="330" t="s">
        <v>287</v>
      </c>
      <c r="C1591" s="298">
        <v>46066</v>
      </c>
      <c r="D1591" s="299" t="s">
        <v>396</v>
      </c>
      <c r="E1591" s="331">
        <v>91.38</v>
      </c>
      <c r="F1591" s="331">
        <v>91.38</v>
      </c>
      <c r="G1591" s="333">
        <f t="shared" si="35"/>
        <v>5735.2899999999936</v>
      </c>
      <c r="H1591" s="334"/>
      <c r="I1591" s="335"/>
      <c r="J1591" s="336"/>
      <c r="K1591" s="301"/>
      <c r="L1591" s="336"/>
      <c r="M1591" s="301"/>
      <c r="N1591" s="336"/>
      <c r="O1591" s="301"/>
      <c r="P1591" s="336"/>
      <c r="Q1591" s="301"/>
      <c r="R1591" s="336"/>
      <c r="S1591" s="301"/>
      <c r="T1591" s="336"/>
    </row>
    <row r="1592" spans="1:20" ht="12" customHeight="1" x14ac:dyDescent="0.25">
      <c r="A1592" s="329" t="s">
        <v>289</v>
      </c>
      <c r="B1592" s="330">
        <v>1</v>
      </c>
      <c r="C1592" s="298">
        <v>46066</v>
      </c>
      <c r="D1592" s="299" t="s">
        <v>311</v>
      </c>
      <c r="E1592" s="331">
        <v>16.48</v>
      </c>
      <c r="F1592" s="331"/>
      <c r="G1592" s="333">
        <f t="shared" si="35"/>
        <v>5735.2899999999936</v>
      </c>
      <c r="H1592" s="334"/>
      <c r="I1592" s="335"/>
      <c r="J1592" s="336"/>
      <c r="K1592" s="301"/>
      <c r="L1592" s="336"/>
      <c r="M1592" s="301"/>
      <c r="N1592" s="336"/>
      <c r="O1592" s="301"/>
      <c r="P1592" s="336"/>
      <c r="Q1592" s="301"/>
      <c r="R1592" s="336"/>
      <c r="S1592" s="301"/>
      <c r="T1592" s="336"/>
    </row>
    <row r="1593" spans="1:20" ht="12" customHeight="1" x14ac:dyDescent="0.25">
      <c r="A1593" s="329" t="s">
        <v>289</v>
      </c>
      <c r="B1593" s="330">
        <v>1</v>
      </c>
      <c r="C1593" s="298">
        <v>46066</v>
      </c>
      <c r="D1593" s="299" t="s">
        <v>427</v>
      </c>
      <c r="E1593" s="331">
        <v>12.76</v>
      </c>
      <c r="F1593" s="331"/>
      <c r="G1593" s="333">
        <f t="shared" si="35"/>
        <v>5751.7699999999932</v>
      </c>
      <c r="H1593" s="334"/>
      <c r="I1593" s="335"/>
      <c r="J1593" s="336"/>
      <c r="K1593" s="301"/>
      <c r="L1593" s="336"/>
      <c r="M1593" s="301"/>
      <c r="N1593" s="336"/>
      <c r="O1593" s="301"/>
      <c r="P1593" s="336"/>
      <c r="Q1593" s="301"/>
      <c r="R1593" s="336"/>
      <c r="S1593" s="301"/>
      <c r="T1593" s="336"/>
    </row>
    <row r="1594" spans="1:20" ht="12" customHeight="1" x14ac:dyDescent="0.25">
      <c r="A1594" s="329" t="s">
        <v>289</v>
      </c>
      <c r="B1594" s="330">
        <v>4</v>
      </c>
      <c r="C1594" s="298">
        <v>46066</v>
      </c>
      <c r="D1594" s="299" t="s">
        <v>329</v>
      </c>
      <c r="E1594" s="331">
        <v>37.9</v>
      </c>
      <c r="F1594" s="331"/>
      <c r="G1594" s="333">
        <f t="shared" si="35"/>
        <v>5764.5299999999934</v>
      </c>
      <c r="H1594" s="334"/>
      <c r="I1594" s="335"/>
      <c r="J1594" s="336"/>
      <c r="K1594" s="301"/>
      <c r="L1594" s="336"/>
      <c r="M1594" s="301"/>
      <c r="N1594" s="336"/>
      <c r="O1594" s="301"/>
      <c r="P1594" s="336"/>
      <c r="Q1594" s="301"/>
      <c r="R1594" s="336"/>
      <c r="S1594" s="301"/>
      <c r="T1594" s="336"/>
    </row>
    <row r="1595" spans="1:20" ht="12" customHeight="1" x14ac:dyDescent="0.25">
      <c r="A1595" s="329" t="s">
        <v>291</v>
      </c>
      <c r="B1595" s="330">
        <v>40</v>
      </c>
      <c r="C1595" s="298">
        <v>46066</v>
      </c>
      <c r="D1595" s="299" t="s">
        <v>316</v>
      </c>
      <c r="E1595" s="331"/>
      <c r="F1595" s="331">
        <v>427.18</v>
      </c>
      <c r="G1595" s="333">
        <f t="shared" si="35"/>
        <v>5802.429999999993</v>
      </c>
      <c r="H1595" s="334"/>
      <c r="I1595" s="335"/>
      <c r="J1595" s="336"/>
      <c r="K1595" s="301"/>
      <c r="L1595" s="336"/>
      <c r="M1595" s="301"/>
      <c r="N1595" s="336"/>
      <c r="O1595" s="301"/>
      <c r="P1595" s="336"/>
      <c r="Q1595" s="301"/>
      <c r="R1595" s="336"/>
      <c r="S1595" s="301"/>
      <c r="T1595" s="336"/>
    </row>
    <row r="1596" spans="1:20" ht="12" customHeight="1" x14ac:dyDescent="0.25">
      <c r="A1596" s="329" t="s">
        <v>291</v>
      </c>
      <c r="B1596" s="330">
        <v>38</v>
      </c>
      <c r="C1596" s="298">
        <v>46066</v>
      </c>
      <c r="D1596" s="299" t="s">
        <v>293</v>
      </c>
      <c r="E1596" s="331"/>
      <c r="F1596" s="331">
        <v>4278.16</v>
      </c>
      <c r="G1596" s="333">
        <f t="shared" si="35"/>
        <v>5375.2499999999927</v>
      </c>
      <c r="H1596" s="334"/>
      <c r="I1596" s="335"/>
      <c r="J1596" s="336"/>
      <c r="K1596" s="301"/>
      <c r="L1596" s="336"/>
      <c r="M1596" s="301"/>
      <c r="N1596" s="336"/>
      <c r="O1596" s="301"/>
      <c r="P1596" s="336"/>
      <c r="Q1596" s="301"/>
      <c r="R1596" s="336"/>
      <c r="S1596" s="301"/>
      <c r="T1596" s="336"/>
    </row>
    <row r="1597" spans="1:20" ht="12" customHeight="1" x14ac:dyDescent="0.25">
      <c r="A1597" s="329" t="s">
        <v>289</v>
      </c>
      <c r="B1597" s="330">
        <v>8</v>
      </c>
      <c r="C1597" s="298">
        <v>46065</v>
      </c>
      <c r="D1597" s="299" t="s">
        <v>356</v>
      </c>
      <c r="E1597" s="331">
        <v>111.36</v>
      </c>
      <c r="F1597" s="331"/>
      <c r="G1597" s="333">
        <f t="shared" si="35"/>
        <v>1097.0899999999931</v>
      </c>
      <c r="H1597" s="334"/>
      <c r="I1597" s="335"/>
      <c r="J1597" s="336"/>
      <c r="K1597" s="301"/>
      <c r="L1597" s="336"/>
      <c r="M1597" s="301"/>
      <c r="N1597" s="336"/>
      <c r="O1597" s="301"/>
      <c r="P1597" s="336"/>
      <c r="Q1597" s="301"/>
      <c r="R1597" s="336"/>
      <c r="S1597" s="301"/>
      <c r="T1597" s="336"/>
    </row>
    <row r="1598" spans="1:20" ht="12" customHeight="1" x14ac:dyDescent="0.25">
      <c r="A1598" s="329" t="s">
        <v>289</v>
      </c>
      <c r="B1598" s="330">
        <v>6</v>
      </c>
      <c r="C1598" s="298">
        <v>46065</v>
      </c>
      <c r="D1598" s="299" t="s">
        <v>441</v>
      </c>
      <c r="E1598" s="331">
        <v>16</v>
      </c>
      <c r="F1598" s="331"/>
      <c r="G1598" s="333">
        <f t="shared" si="35"/>
        <v>1208.449999999993</v>
      </c>
      <c r="H1598" s="334"/>
      <c r="I1598" s="335"/>
      <c r="J1598" s="336"/>
      <c r="K1598" s="301"/>
      <c r="L1598" s="336"/>
      <c r="M1598" s="301"/>
      <c r="N1598" s="336"/>
      <c r="O1598" s="301"/>
      <c r="P1598" s="336"/>
      <c r="Q1598" s="301"/>
      <c r="R1598" s="336"/>
      <c r="S1598" s="301"/>
      <c r="T1598" s="336"/>
    </row>
    <row r="1599" spans="1:20" ht="12" customHeight="1" x14ac:dyDescent="0.25">
      <c r="A1599" s="329" t="s">
        <v>289</v>
      </c>
      <c r="B1599" s="330">
        <v>6</v>
      </c>
      <c r="C1599" s="298">
        <v>46065</v>
      </c>
      <c r="D1599" s="299" t="s">
        <v>300</v>
      </c>
      <c r="E1599" s="331">
        <v>29.81</v>
      </c>
      <c r="F1599" s="331"/>
      <c r="G1599" s="333">
        <f t="shared" si="35"/>
        <v>1224.449999999993</v>
      </c>
      <c r="H1599" s="334"/>
      <c r="I1599" s="335"/>
      <c r="J1599" s="336"/>
      <c r="K1599" s="301"/>
      <c r="L1599" s="336"/>
      <c r="M1599" s="301"/>
      <c r="N1599" s="336"/>
      <c r="O1599" s="301"/>
      <c r="P1599" s="336"/>
      <c r="Q1599" s="301"/>
      <c r="R1599" s="336"/>
      <c r="S1599" s="301"/>
      <c r="T1599" s="336"/>
    </row>
    <row r="1600" spans="1:20" ht="12" customHeight="1" x14ac:dyDescent="0.25">
      <c r="A1600" s="329" t="s">
        <v>294</v>
      </c>
      <c r="B1600" s="330">
        <v>19</v>
      </c>
      <c r="C1600" s="298">
        <v>46065</v>
      </c>
      <c r="D1600" s="299" t="s">
        <v>191</v>
      </c>
      <c r="E1600" s="331">
        <v>200</v>
      </c>
      <c r="F1600" s="331"/>
      <c r="G1600" s="333">
        <f t="shared" si="35"/>
        <v>1254.2599999999929</v>
      </c>
      <c r="H1600" s="334"/>
      <c r="I1600" s="335"/>
      <c r="J1600" s="336"/>
      <c r="K1600" s="301"/>
      <c r="L1600" s="336"/>
      <c r="M1600" s="301"/>
      <c r="N1600" s="336"/>
      <c r="O1600" s="301"/>
      <c r="P1600" s="336"/>
      <c r="Q1600" s="301"/>
      <c r="R1600" s="336"/>
      <c r="S1600" s="301"/>
      <c r="T1600" s="336"/>
    </row>
    <row r="1601" spans="1:20" ht="12" customHeight="1" x14ac:dyDescent="0.25">
      <c r="A1601" s="329" t="s">
        <v>289</v>
      </c>
      <c r="B1601" s="330">
        <v>2</v>
      </c>
      <c r="C1601" s="298">
        <v>46065</v>
      </c>
      <c r="D1601" s="299" t="s">
        <v>296</v>
      </c>
      <c r="E1601" s="331">
        <v>7.56</v>
      </c>
      <c r="F1601" s="331"/>
      <c r="G1601" s="333">
        <f t="shared" si="35"/>
        <v>1454.2599999999929</v>
      </c>
      <c r="H1601" s="334"/>
      <c r="I1601" s="335"/>
      <c r="J1601" s="336"/>
      <c r="K1601" s="301"/>
      <c r="L1601" s="336"/>
      <c r="M1601" s="301"/>
      <c r="N1601" s="336"/>
      <c r="O1601" s="301"/>
      <c r="P1601" s="336"/>
      <c r="Q1601" s="301"/>
      <c r="R1601" s="336"/>
      <c r="S1601" s="301"/>
      <c r="T1601" s="336"/>
    </row>
    <row r="1602" spans="1:20" ht="12" customHeight="1" x14ac:dyDescent="0.25">
      <c r="A1602" s="329" t="s">
        <v>289</v>
      </c>
      <c r="B1602" s="330">
        <v>4</v>
      </c>
      <c r="C1602" s="298">
        <v>46065</v>
      </c>
      <c r="D1602" s="299" t="s">
        <v>296</v>
      </c>
      <c r="E1602" s="331">
        <v>65.78</v>
      </c>
      <c r="F1602" s="331"/>
      <c r="G1602" s="333">
        <f t="shared" si="35"/>
        <v>1461.8199999999929</v>
      </c>
      <c r="H1602" s="334"/>
      <c r="I1602" s="335"/>
      <c r="J1602" s="336"/>
      <c r="K1602" s="301"/>
      <c r="L1602" s="336"/>
      <c r="M1602" s="301"/>
      <c r="N1602" s="336"/>
      <c r="O1602" s="301"/>
      <c r="P1602" s="336"/>
      <c r="Q1602" s="301"/>
      <c r="R1602" s="336"/>
      <c r="S1602" s="301"/>
      <c r="T1602" s="336"/>
    </row>
    <row r="1603" spans="1:20" ht="12" customHeight="1" x14ac:dyDescent="0.25">
      <c r="A1603" s="329" t="s">
        <v>289</v>
      </c>
      <c r="B1603" s="330">
        <v>3</v>
      </c>
      <c r="C1603" s="298">
        <v>46065</v>
      </c>
      <c r="D1603" s="299" t="s">
        <v>296</v>
      </c>
      <c r="E1603" s="331">
        <v>3.93</v>
      </c>
      <c r="F1603" s="331"/>
      <c r="G1603" s="333">
        <f t="shared" si="35"/>
        <v>1527.5999999999929</v>
      </c>
      <c r="H1603" s="334"/>
      <c r="I1603" s="335"/>
      <c r="J1603" s="336"/>
      <c r="K1603" s="301"/>
      <c r="L1603" s="336"/>
      <c r="M1603" s="301"/>
      <c r="N1603" s="336"/>
      <c r="O1603" s="301"/>
      <c r="P1603" s="336"/>
      <c r="Q1603" s="301"/>
      <c r="R1603" s="336"/>
      <c r="S1603" s="301"/>
      <c r="T1603" s="336"/>
    </row>
    <row r="1604" spans="1:20" ht="12" customHeight="1" x14ac:dyDescent="0.25">
      <c r="A1604" s="329" t="s">
        <v>289</v>
      </c>
      <c r="B1604" s="330">
        <v>7</v>
      </c>
      <c r="C1604" s="298">
        <v>46065</v>
      </c>
      <c r="D1604" s="299" t="s">
        <v>442</v>
      </c>
      <c r="E1604" s="331">
        <v>564.83000000000004</v>
      </c>
      <c r="F1604" s="331"/>
      <c r="G1604" s="333">
        <f t="shared" si="35"/>
        <v>1531.5299999999929</v>
      </c>
      <c r="H1604" s="334"/>
      <c r="I1604" s="335"/>
      <c r="J1604" s="336"/>
      <c r="K1604" s="301"/>
      <c r="L1604" s="336"/>
      <c r="M1604" s="301"/>
      <c r="N1604" s="336"/>
      <c r="O1604" s="301"/>
      <c r="P1604" s="336"/>
      <c r="Q1604" s="301"/>
      <c r="R1604" s="336"/>
      <c r="S1604" s="301"/>
      <c r="T1604" s="336"/>
    </row>
    <row r="1605" spans="1:20" ht="12" customHeight="1" x14ac:dyDescent="0.25">
      <c r="A1605" s="329" t="s">
        <v>289</v>
      </c>
      <c r="B1605" s="330">
        <v>7</v>
      </c>
      <c r="C1605" s="298">
        <v>46065</v>
      </c>
      <c r="D1605" s="299" t="s">
        <v>443</v>
      </c>
      <c r="E1605" s="331">
        <v>70.180000000000007</v>
      </c>
      <c r="F1605" s="331"/>
      <c r="G1605" s="333">
        <f t="shared" si="35"/>
        <v>2096.3599999999929</v>
      </c>
      <c r="H1605" s="334"/>
      <c r="I1605" s="335"/>
      <c r="J1605" s="336"/>
      <c r="K1605" s="301"/>
      <c r="L1605" s="336"/>
      <c r="M1605" s="301"/>
      <c r="N1605" s="336"/>
      <c r="O1605" s="301"/>
      <c r="P1605" s="336"/>
      <c r="Q1605" s="301"/>
      <c r="R1605" s="336"/>
      <c r="S1605" s="301"/>
      <c r="T1605" s="336"/>
    </row>
    <row r="1606" spans="1:20" ht="12" customHeight="1" x14ac:dyDescent="0.25">
      <c r="A1606" s="329" t="s">
        <v>289</v>
      </c>
      <c r="B1606" s="330">
        <v>6</v>
      </c>
      <c r="C1606" s="298">
        <v>46065</v>
      </c>
      <c r="D1606" s="299" t="s">
        <v>444</v>
      </c>
      <c r="E1606" s="331">
        <v>2.66</v>
      </c>
      <c r="F1606" s="331"/>
      <c r="G1606" s="333">
        <f t="shared" si="35"/>
        <v>2166.5399999999927</v>
      </c>
      <c r="H1606" s="334"/>
      <c r="I1606" s="335"/>
      <c r="J1606" s="336"/>
      <c r="K1606" s="301"/>
      <c r="L1606" s="336"/>
      <c r="M1606" s="301"/>
      <c r="N1606" s="336"/>
      <c r="O1606" s="301"/>
      <c r="P1606" s="336"/>
      <c r="Q1606" s="301"/>
      <c r="R1606" s="336"/>
      <c r="S1606" s="301"/>
      <c r="T1606" s="336"/>
    </row>
    <row r="1607" spans="1:20" ht="12" customHeight="1" x14ac:dyDescent="0.25">
      <c r="A1607" s="329" t="s">
        <v>289</v>
      </c>
      <c r="B1607" s="330">
        <v>5</v>
      </c>
      <c r="C1607" s="298">
        <v>46064</v>
      </c>
      <c r="D1607" s="299" t="s">
        <v>428</v>
      </c>
      <c r="E1607" s="331">
        <v>103.25</v>
      </c>
      <c r="F1607" s="331"/>
      <c r="G1607" s="333">
        <f t="shared" si="35"/>
        <v>2169.1999999999925</v>
      </c>
      <c r="H1607" s="334"/>
      <c r="I1607" s="335"/>
      <c r="J1607" s="336"/>
      <c r="K1607" s="301"/>
      <c r="L1607" s="336"/>
      <c r="M1607" s="301"/>
      <c r="N1607" s="336"/>
      <c r="O1607" s="301"/>
      <c r="P1607" s="336"/>
      <c r="Q1607" s="301"/>
      <c r="R1607" s="336"/>
      <c r="S1607" s="301"/>
      <c r="T1607" s="336"/>
    </row>
    <row r="1608" spans="1:20" ht="12" customHeight="1" x14ac:dyDescent="0.25">
      <c r="A1608" s="329" t="s">
        <v>289</v>
      </c>
      <c r="B1608" s="330">
        <v>4</v>
      </c>
      <c r="C1608" s="298">
        <v>46064</v>
      </c>
      <c r="D1608" s="299" t="s">
        <v>362</v>
      </c>
      <c r="E1608" s="331">
        <v>30.39</v>
      </c>
      <c r="F1608" s="331"/>
      <c r="G1608" s="333">
        <f t="shared" si="35"/>
        <v>2272.4499999999925</v>
      </c>
      <c r="H1608" s="334"/>
      <c r="I1608" s="335"/>
      <c r="J1608" s="336"/>
      <c r="K1608" s="301"/>
      <c r="L1608" s="336"/>
      <c r="M1608" s="301"/>
      <c r="N1608" s="336"/>
      <c r="O1608" s="301"/>
      <c r="P1608" s="336"/>
      <c r="Q1608" s="301"/>
      <c r="R1608" s="336"/>
      <c r="S1608" s="301"/>
      <c r="T1608" s="336"/>
    </row>
    <row r="1609" spans="1:20" ht="12" customHeight="1" x14ac:dyDescent="0.25">
      <c r="A1609" s="329" t="s">
        <v>289</v>
      </c>
      <c r="B1609" s="330">
        <v>2</v>
      </c>
      <c r="C1609" s="298">
        <v>46064</v>
      </c>
      <c r="D1609" s="299" t="s">
        <v>296</v>
      </c>
      <c r="E1609" s="331">
        <v>9.92</v>
      </c>
      <c r="F1609" s="331"/>
      <c r="G1609" s="333">
        <f t="shared" si="35"/>
        <v>2302.8399999999924</v>
      </c>
      <c r="H1609" s="334"/>
      <c r="I1609" s="335"/>
      <c r="J1609" s="336"/>
      <c r="K1609" s="301"/>
      <c r="L1609" s="336"/>
      <c r="M1609" s="301"/>
      <c r="N1609" s="336"/>
      <c r="O1609" s="301"/>
      <c r="P1609" s="336"/>
      <c r="Q1609" s="301"/>
      <c r="R1609" s="336"/>
      <c r="S1609" s="301"/>
      <c r="T1609" s="336"/>
    </row>
    <row r="1610" spans="1:20" ht="12" customHeight="1" x14ac:dyDescent="0.25">
      <c r="A1610" s="329" t="s">
        <v>289</v>
      </c>
      <c r="B1610" s="330">
        <v>3</v>
      </c>
      <c r="C1610" s="298">
        <v>46064</v>
      </c>
      <c r="D1610" s="299" t="s">
        <v>295</v>
      </c>
      <c r="E1610" s="331">
        <v>3.49</v>
      </c>
      <c r="F1610" s="331"/>
      <c r="G1610" s="333">
        <f t="shared" si="35"/>
        <v>2312.7599999999925</v>
      </c>
      <c r="H1610" s="334"/>
      <c r="I1610" s="335"/>
      <c r="J1610" s="336"/>
      <c r="K1610" s="301"/>
      <c r="L1610" s="336"/>
      <c r="M1610" s="301"/>
      <c r="N1610" s="336"/>
      <c r="O1610" s="301"/>
      <c r="P1610" s="336"/>
      <c r="Q1610" s="301"/>
      <c r="R1610" s="336"/>
      <c r="S1610" s="301"/>
      <c r="T1610" s="336"/>
    </row>
    <row r="1611" spans="1:20" ht="12" customHeight="1" x14ac:dyDescent="0.25">
      <c r="A1611" s="329" t="s">
        <v>294</v>
      </c>
      <c r="B1611" s="330">
        <v>22</v>
      </c>
      <c r="C1611" s="298">
        <v>46064</v>
      </c>
      <c r="D1611" s="299" t="s">
        <v>351</v>
      </c>
      <c r="E1611" s="331">
        <v>19.16</v>
      </c>
      <c r="F1611" s="331"/>
      <c r="G1611" s="333">
        <f t="shared" si="35"/>
        <v>2316.2499999999923</v>
      </c>
      <c r="H1611" s="334"/>
      <c r="I1611" s="335"/>
      <c r="J1611" s="336"/>
      <c r="K1611" s="301"/>
      <c r="L1611" s="336"/>
      <c r="M1611" s="301"/>
      <c r="N1611" s="336"/>
      <c r="O1611" s="301"/>
      <c r="P1611" s="336"/>
      <c r="Q1611" s="301"/>
      <c r="R1611" s="336"/>
      <c r="S1611" s="301"/>
      <c r="T1611" s="336"/>
    </row>
    <row r="1612" spans="1:20" ht="12" customHeight="1" x14ac:dyDescent="0.25">
      <c r="A1612" s="329" t="s">
        <v>289</v>
      </c>
      <c r="B1612" s="330">
        <v>6</v>
      </c>
      <c r="C1612" s="298">
        <v>46063</v>
      </c>
      <c r="D1612" s="299" t="s">
        <v>411</v>
      </c>
      <c r="E1612" s="331">
        <v>-8</v>
      </c>
      <c r="F1612" s="331"/>
      <c r="G1612" s="333">
        <f t="shared" si="35"/>
        <v>2335.4099999999921</v>
      </c>
      <c r="H1612" s="334"/>
      <c r="I1612" s="335"/>
      <c r="J1612" s="336"/>
      <c r="K1612" s="301"/>
      <c r="L1612" s="336"/>
      <c r="M1612" s="301"/>
      <c r="N1612" s="336"/>
      <c r="O1612" s="301"/>
      <c r="P1612" s="336"/>
      <c r="Q1612" s="301"/>
      <c r="R1612" s="336"/>
      <c r="S1612" s="301"/>
      <c r="T1612" s="336"/>
    </row>
    <row r="1613" spans="1:20" ht="12" customHeight="1" x14ac:dyDescent="0.25">
      <c r="A1613" s="329" t="s">
        <v>289</v>
      </c>
      <c r="B1613" s="330">
        <v>6</v>
      </c>
      <c r="C1613" s="298">
        <v>46063</v>
      </c>
      <c r="D1613" s="299" t="s">
        <v>445</v>
      </c>
      <c r="E1613" s="331">
        <v>-0.04</v>
      </c>
      <c r="F1613" s="331"/>
      <c r="G1613" s="333">
        <f t="shared" si="35"/>
        <v>2327.4099999999921</v>
      </c>
      <c r="H1613" s="334"/>
      <c r="I1613" s="335"/>
      <c r="J1613" s="336"/>
      <c r="K1613" s="301"/>
      <c r="L1613" s="336"/>
      <c r="M1613" s="301"/>
      <c r="N1613" s="336"/>
      <c r="O1613" s="301"/>
      <c r="P1613" s="336"/>
      <c r="Q1613" s="301"/>
      <c r="R1613" s="336"/>
      <c r="S1613" s="301"/>
      <c r="T1613" s="336"/>
    </row>
    <row r="1614" spans="1:20" ht="12" customHeight="1" x14ac:dyDescent="0.25">
      <c r="A1614" s="329" t="s">
        <v>335</v>
      </c>
      <c r="B1614" s="330" t="s">
        <v>335</v>
      </c>
      <c r="C1614" s="298">
        <v>46063</v>
      </c>
      <c r="D1614" s="299" t="s">
        <v>182</v>
      </c>
      <c r="E1614" s="331">
        <v>65.78</v>
      </c>
      <c r="F1614" s="331"/>
      <c r="G1614" s="333">
        <f t="shared" si="35"/>
        <v>2327.3699999999922</v>
      </c>
      <c r="H1614" s="334"/>
      <c r="I1614" s="335"/>
      <c r="J1614" s="336"/>
      <c r="K1614" s="301"/>
      <c r="L1614" s="336"/>
      <c r="M1614" s="301"/>
      <c r="N1614" s="336"/>
      <c r="O1614" s="301"/>
      <c r="P1614" s="336"/>
      <c r="Q1614" s="301"/>
      <c r="R1614" s="336"/>
      <c r="S1614" s="301"/>
      <c r="T1614" s="336"/>
    </row>
    <row r="1615" spans="1:20" ht="12" customHeight="1" x14ac:dyDescent="0.25">
      <c r="A1615" s="329" t="s">
        <v>294</v>
      </c>
      <c r="B1615" s="330">
        <v>13</v>
      </c>
      <c r="C1615" s="298">
        <v>46063</v>
      </c>
      <c r="D1615" s="299" t="s">
        <v>182</v>
      </c>
      <c r="E1615" s="331">
        <v>159.35</v>
      </c>
      <c r="F1615" s="331"/>
      <c r="G1615" s="333">
        <f t="shared" si="35"/>
        <v>2393.1499999999924</v>
      </c>
      <c r="H1615" s="334"/>
      <c r="I1615" s="335"/>
      <c r="J1615" s="336"/>
      <c r="K1615" s="301"/>
      <c r="L1615" s="336"/>
      <c r="M1615" s="301"/>
      <c r="N1615" s="336"/>
      <c r="O1615" s="301"/>
      <c r="P1615" s="336"/>
      <c r="Q1615" s="301"/>
      <c r="R1615" s="336"/>
      <c r="S1615" s="301"/>
      <c r="T1615" s="336"/>
    </row>
    <row r="1616" spans="1:20" ht="12" customHeight="1" x14ac:dyDescent="0.25">
      <c r="A1616" s="329" t="s">
        <v>289</v>
      </c>
      <c r="B1616" s="330">
        <v>2</v>
      </c>
      <c r="C1616" s="298">
        <v>46063</v>
      </c>
      <c r="D1616" s="299" t="s">
        <v>296</v>
      </c>
      <c r="E1616" s="331">
        <v>16.29</v>
      </c>
      <c r="F1616" s="331"/>
      <c r="G1616" s="333">
        <f t="shared" si="35"/>
        <v>2552.4999999999923</v>
      </c>
      <c r="H1616" s="334"/>
      <c r="I1616" s="335"/>
      <c r="J1616" s="336"/>
      <c r="K1616" s="301"/>
      <c r="L1616" s="336"/>
      <c r="M1616" s="301"/>
      <c r="N1616" s="336"/>
      <c r="O1616" s="301"/>
      <c r="P1616" s="336"/>
      <c r="Q1616" s="301"/>
      <c r="R1616" s="336"/>
      <c r="S1616" s="301"/>
      <c r="T1616" s="336"/>
    </row>
    <row r="1617" spans="1:20" ht="12" customHeight="1" x14ac:dyDescent="0.25">
      <c r="A1617" s="329" t="s">
        <v>289</v>
      </c>
      <c r="B1617" s="330">
        <v>1</v>
      </c>
      <c r="C1617" s="298">
        <v>46063</v>
      </c>
      <c r="D1617" s="299" t="s">
        <v>311</v>
      </c>
      <c r="E1617" s="331">
        <v>19.329999999999998</v>
      </c>
      <c r="F1617" s="331"/>
      <c r="G1617" s="333">
        <f t="shared" si="35"/>
        <v>2568.7899999999922</v>
      </c>
      <c r="H1617" s="334"/>
      <c r="I1617" s="335"/>
      <c r="J1617" s="336"/>
      <c r="K1617" s="301"/>
      <c r="L1617" s="336"/>
      <c r="M1617" s="301"/>
      <c r="N1617" s="336"/>
      <c r="O1617" s="301"/>
      <c r="P1617" s="336"/>
      <c r="Q1617" s="301"/>
      <c r="R1617" s="336"/>
      <c r="S1617" s="301"/>
      <c r="T1617" s="336"/>
    </row>
    <row r="1618" spans="1:20" ht="12" customHeight="1" x14ac:dyDescent="0.25">
      <c r="A1618" s="329" t="s">
        <v>289</v>
      </c>
      <c r="B1618" s="330">
        <v>3</v>
      </c>
      <c r="C1618" s="298">
        <v>46062</v>
      </c>
      <c r="D1618" s="299" t="s">
        <v>446</v>
      </c>
      <c r="E1618" s="331">
        <v>8.61</v>
      </c>
      <c r="F1618" s="331"/>
      <c r="G1618" s="333">
        <f t="shared" ref="G1618:G1863" si="36">G1619-E1618+F1618</f>
        <v>2588.1199999999922</v>
      </c>
      <c r="H1618" s="334"/>
      <c r="I1618" s="335"/>
      <c r="J1618" s="336"/>
      <c r="K1618" s="301"/>
      <c r="L1618" s="336"/>
      <c r="M1618" s="301"/>
      <c r="N1618" s="336"/>
      <c r="O1618" s="301"/>
      <c r="P1618" s="336"/>
      <c r="Q1618" s="301"/>
      <c r="R1618" s="336"/>
      <c r="S1618" s="301"/>
      <c r="T1618" s="336"/>
    </row>
    <row r="1619" spans="1:20" ht="12" customHeight="1" x14ac:dyDescent="0.25">
      <c r="A1619" s="329" t="s">
        <v>289</v>
      </c>
      <c r="B1619" s="330">
        <v>2</v>
      </c>
      <c r="C1619" s="298">
        <v>46062</v>
      </c>
      <c r="D1619" s="299" t="s">
        <v>296</v>
      </c>
      <c r="E1619" s="331">
        <v>13.41</v>
      </c>
      <c r="F1619" s="331"/>
      <c r="G1619" s="333">
        <f t="shared" si="36"/>
        <v>2596.7299999999923</v>
      </c>
      <c r="H1619" s="334"/>
      <c r="I1619" s="335"/>
      <c r="J1619" s="336"/>
      <c r="K1619" s="301"/>
      <c r="L1619" s="336"/>
      <c r="M1619" s="301"/>
      <c r="N1619" s="336"/>
      <c r="O1619" s="301"/>
      <c r="P1619" s="336"/>
      <c r="Q1619" s="301"/>
      <c r="R1619" s="336"/>
      <c r="S1619" s="301"/>
      <c r="T1619" s="336"/>
    </row>
    <row r="1620" spans="1:20" ht="12" customHeight="1" x14ac:dyDescent="0.25">
      <c r="A1620" s="329" t="s">
        <v>294</v>
      </c>
      <c r="B1620" s="330">
        <v>18</v>
      </c>
      <c r="C1620" s="298">
        <v>46062</v>
      </c>
      <c r="D1620" s="299" t="s">
        <v>360</v>
      </c>
      <c r="E1620" s="331">
        <v>400</v>
      </c>
      <c r="F1620" s="331"/>
      <c r="G1620" s="333">
        <f t="shared" si="36"/>
        <v>2610.1399999999921</v>
      </c>
      <c r="H1620" s="334"/>
      <c r="I1620" s="335"/>
      <c r="J1620" s="336"/>
      <c r="K1620" s="301"/>
      <c r="L1620" s="336"/>
      <c r="M1620" s="301"/>
      <c r="N1620" s="336"/>
      <c r="O1620" s="301"/>
      <c r="P1620" s="336"/>
      <c r="Q1620" s="301"/>
      <c r="R1620" s="336"/>
      <c r="S1620" s="301"/>
      <c r="T1620" s="336"/>
    </row>
    <row r="1621" spans="1:20" ht="12" customHeight="1" x14ac:dyDescent="0.25">
      <c r="A1621" s="329" t="s">
        <v>294</v>
      </c>
      <c r="B1621" s="330">
        <v>9</v>
      </c>
      <c r="C1621" s="298">
        <v>46062</v>
      </c>
      <c r="D1621" s="299" t="s">
        <v>58</v>
      </c>
      <c r="E1621" s="331">
        <v>1281.53</v>
      </c>
      <c r="F1621" s="331"/>
      <c r="G1621" s="333">
        <f t="shared" si="36"/>
        <v>3010.1399999999921</v>
      </c>
      <c r="H1621" s="334"/>
      <c r="I1621" s="335"/>
      <c r="J1621" s="336"/>
      <c r="K1621" s="301"/>
      <c r="L1621" s="336"/>
      <c r="M1621" s="301"/>
      <c r="N1621" s="336"/>
      <c r="O1621" s="301"/>
      <c r="P1621" s="336"/>
      <c r="Q1621" s="301"/>
      <c r="R1621" s="336"/>
      <c r="S1621" s="301"/>
      <c r="T1621" s="336"/>
    </row>
    <row r="1622" spans="1:20" ht="12" customHeight="1" x14ac:dyDescent="0.25">
      <c r="A1622" s="329" t="s">
        <v>289</v>
      </c>
      <c r="B1622" s="330">
        <v>5</v>
      </c>
      <c r="C1622" s="298">
        <v>46062</v>
      </c>
      <c r="D1622" s="299" t="s">
        <v>447</v>
      </c>
      <c r="E1622" s="331">
        <v>50</v>
      </c>
      <c r="F1622" s="331"/>
      <c r="G1622" s="333">
        <f t="shared" si="36"/>
        <v>4291.6699999999919</v>
      </c>
      <c r="H1622" s="334"/>
      <c r="I1622" s="335"/>
      <c r="J1622" s="336"/>
      <c r="K1622" s="301"/>
      <c r="L1622" s="336"/>
      <c r="M1622" s="301"/>
      <c r="N1622" s="336"/>
      <c r="O1622" s="301"/>
      <c r="P1622" s="336"/>
      <c r="Q1622" s="301"/>
      <c r="R1622" s="336"/>
      <c r="S1622" s="301"/>
      <c r="T1622" s="336"/>
    </row>
    <row r="1623" spans="1:20" ht="12" customHeight="1" x14ac:dyDescent="0.25">
      <c r="A1623" s="329" t="s">
        <v>289</v>
      </c>
      <c r="B1623" s="330">
        <v>2</v>
      </c>
      <c r="C1623" s="298">
        <v>46062</v>
      </c>
      <c r="D1623" s="299" t="s">
        <v>448</v>
      </c>
      <c r="E1623" s="331">
        <v>12.1</v>
      </c>
      <c r="F1623" s="331"/>
      <c r="G1623" s="333">
        <f t="shared" si="36"/>
        <v>4341.6699999999919</v>
      </c>
      <c r="H1623" s="334"/>
      <c r="I1623" s="335"/>
      <c r="J1623" s="336"/>
      <c r="K1623" s="301"/>
      <c r="L1623" s="336"/>
      <c r="M1623" s="301"/>
      <c r="N1623" s="336"/>
      <c r="O1623" s="301"/>
      <c r="P1623" s="336"/>
      <c r="Q1623" s="301"/>
      <c r="R1623" s="336"/>
      <c r="S1623" s="301"/>
      <c r="T1623" s="336"/>
    </row>
    <row r="1624" spans="1:20" ht="12" customHeight="1" x14ac:dyDescent="0.25">
      <c r="A1624" s="329" t="s">
        <v>289</v>
      </c>
      <c r="B1624" s="330">
        <v>1</v>
      </c>
      <c r="C1624" s="298">
        <v>46061</v>
      </c>
      <c r="D1624" s="299" t="s">
        <v>306</v>
      </c>
      <c r="E1624" s="331">
        <v>72.099999999999994</v>
      </c>
      <c r="F1624" s="331"/>
      <c r="G1624" s="333">
        <f t="shared" si="36"/>
        <v>4353.7699999999923</v>
      </c>
      <c r="H1624" s="334"/>
      <c r="I1624" s="335"/>
      <c r="J1624" s="336"/>
      <c r="K1624" s="301"/>
      <c r="L1624" s="336"/>
      <c r="M1624" s="301"/>
      <c r="N1624" s="336"/>
      <c r="O1624" s="301"/>
      <c r="P1624" s="336"/>
      <c r="Q1624" s="301"/>
      <c r="R1624" s="336"/>
      <c r="S1624" s="301"/>
      <c r="T1624" s="336"/>
    </row>
    <row r="1625" spans="1:20" ht="12" customHeight="1" x14ac:dyDescent="0.25">
      <c r="A1625" s="329" t="s">
        <v>289</v>
      </c>
      <c r="B1625" s="330">
        <v>8</v>
      </c>
      <c r="C1625" s="298">
        <v>46061</v>
      </c>
      <c r="D1625" s="299" t="s">
        <v>319</v>
      </c>
      <c r="E1625" s="331">
        <v>30.25</v>
      </c>
      <c r="F1625" s="331"/>
      <c r="G1625" s="333">
        <f t="shared" si="36"/>
        <v>4425.8699999999926</v>
      </c>
      <c r="H1625" s="334"/>
      <c r="I1625" s="335"/>
      <c r="J1625" s="336"/>
      <c r="K1625" s="301"/>
      <c r="L1625" s="336"/>
      <c r="M1625" s="301"/>
      <c r="N1625" s="336"/>
      <c r="O1625" s="301"/>
      <c r="P1625" s="336"/>
      <c r="Q1625" s="301"/>
      <c r="R1625" s="336"/>
      <c r="S1625" s="301"/>
      <c r="T1625" s="336"/>
    </row>
    <row r="1626" spans="1:20" ht="12" customHeight="1" x14ac:dyDescent="0.25">
      <c r="A1626" s="329" t="s">
        <v>289</v>
      </c>
      <c r="B1626" s="330">
        <v>3</v>
      </c>
      <c r="C1626" s="298">
        <v>46061</v>
      </c>
      <c r="D1626" s="299" t="s">
        <v>296</v>
      </c>
      <c r="E1626" s="331">
        <v>3.72</v>
      </c>
      <c r="F1626" s="331"/>
      <c r="G1626" s="333">
        <f t="shared" si="36"/>
        <v>4456.1199999999926</v>
      </c>
      <c r="H1626" s="334"/>
      <c r="I1626" s="335"/>
      <c r="J1626" s="336"/>
      <c r="K1626" s="301"/>
      <c r="L1626" s="336"/>
      <c r="M1626" s="301"/>
      <c r="N1626" s="336"/>
      <c r="O1626" s="301"/>
      <c r="P1626" s="336"/>
      <c r="Q1626" s="301"/>
      <c r="R1626" s="336"/>
      <c r="S1626" s="301"/>
      <c r="T1626" s="336"/>
    </row>
    <row r="1627" spans="1:20" ht="12" customHeight="1" x14ac:dyDescent="0.25">
      <c r="A1627" s="329" t="s">
        <v>289</v>
      </c>
      <c r="B1627" s="330">
        <v>4</v>
      </c>
      <c r="C1627" s="298">
        <v>46061</v>
      </c>
      <c r="D1627" s="299" t="s">
        <v>296</v>
      </c>
      <c r="E1627" s="331">
        <v>41.6</v>
      </c>
      <c r="F1627" s="331"/>
      <c r="G1627" s="333">
        <f t="shared" si="36"/>
        <v>4459.8399999999929</v>
      </c>
      <c r="H1627" s="334"/>
      <c r="I1627" s="335"/>
      <c r="J1627" s="336"/>
      <c r="K1627" s="301"/>
      <c r="L1627" s="336"/>
      <c r="M1627" s="301"/>
      <c r="N1627" s="336"/>
      <c r="O1627" s="301"/>
      <c r="P1627" s="336"/>
      <c r="Q1627" s="301"/>
      <c r="R1627" s="336"/>
      <c r="S1627" s="301"/>
      <c r="T1627" s="336"/>
    </row>
    <row r="1628" spans="1:20" ht="12" customHeight="1" x14ac:dyDescent="0.25">
      <c r="A1628" s="329" t="s">
        <v>289</v>
      </c>
      <c r="B1628" s="330">
        <v>3</v>
      </c>
      <c r="C1628" s="298">
        <v>46061</v>
      </c>
      <c r="D1628" s="299" t="s">
        <v>449</v>
      </c>
      <c r="E1628" s="331">
        <v>1</v>
      </c>
      <c r="F1628" s="331"/>
      <c r="G1628" s="333">
        <f t="shared" si="36"/>
        <v>4501.4399999999932</v>
      </c>
      <c r="H1628" s="334"/>
      <c r="I1628" s="335"/>
      <c r="J1628" s="336"/>
      <c r="K1628" s="301"/>
      <c r="L1628" s="336"/>
      <c r="M1628" s="301"/>
      <c r="N1628" s="336"/>
      <c r="O1628" s="301"/>
      <c r="P1628" s="336"/>
      <c r="Q1628" s="301"/>
      <c r="R1628" s="336"/>
      <c r="S1628" s="301"/>
      <c r="T1628" s="336"/>
    </row>
    <row r="1629" spans="1:20" ht="12" customHeight="1" x14ac:dyDescent="0.25">
      <c r="A1629" s="329" t="s">
        <v>289</v>
      </c>
      <c r="B1629" s="330">
        <v>2</v>
      </c>
      <c r="C1629" s="298">
        <v>46061</v>
      </c>
      <c r="D1629" s="299" t="s">
        <v>357</v>
      </c>
      <c r="E1629" s="331">
        <v>10.17</v>
      </c>
      <c r="F1629" s="331"/>
      <c r="G1629" s="333">
        <f t="shared" si="36"/>
        <v>4502.4399999999932</v>
      </c>
      <c r="H1629" s="334"/>
      <c r="I1629" s="335"/>
      <c r="J1629" s="336"/>
      <c r="K1629" s="301"/>
      <c r="L1629" s="336"/>
      <c r="M1629" s="301"/>
      <c r="N1629" s="336"/>
      <c r="O1629" s="301"/>
      <c r="P1629" s="336"/>
      <c r="Q1629" s="301"/>
      <c r="R1629" s="336"/>
      <c r="S1629" s="301"/>
      <c r="T1629" s="336"/>
    </row>
    <row r="1630" spans="1:20" ht="12" customHeight="1" x14ac:dyDescent="0.25">
      <c r="A1630" s="329" t="s">
        <v>287</v>
      </c>
      <c r="B1630" s="330" t="s">
        <v>287</v>
      </c>
      <c r="C1630" s="298">
        <v>46060</v>
      </c>
      <c r="D1630" s="299" t="s">
        <v>450</v>
      </c>
      <c r="E1630" s="331">
        <v>367.77</v>
      </c>
      <c r="F1630" s="331">
        <v>367.77</v>
      </c>
      <c r="G1630" s="333">
        <f t="shared" si="36"/>
        <v>4512.6099999999933</v>
      </c>
      <c r="H1630" s="334"/>
      <c r="I1630" s="335"/>
      <c r="J1630" s="336"/>
      <c r="K1630" s="301"/>
      <c r="L1630" s="336"/>
      <c r="M1630" s="301"/>
      <c r="N1630" s="336"/>
      <c r="O1630" s="301"/>
      <c r="P1630" s="336"/>
      <c r="Q1630" s="301"/>
      <c r="R1630" s="336"/>
      <c r="S1630" s="301"/>
      <c r="T1630" s="336"/>
    </row>
    <row r="1631" spans="1:20" ht="12" customHeight="1" x14ac:dyDescent="0.25">
      <c r="A1631" s="329" t="s">
        <v>289</v>
      </c>
      <c r="B1631" s="330">
        <v>4</v>
      </c>
      <c r="C1631" s="298">
        <v>46060</v>
      </c>
      <c r="D1631" s="299" t="s">
        <v>310</v>
      </c>
      <c r="E1631" s="331">
        <v>32.36</v>
      </c>
      <c r="F1631" s="331"/>
      <c r="G1631" s="333">
        <f t="shared" si="36"/>
        <v>4512.6099999999933</v>
      </c>
      <c r="H1631" s="334"/>
      <c r="I1631" s="335"/>
      <c r="J1631" s="336"/>
      <c r="K1631" s="301"/>
      <c r="L1631" s="336"/>
      <c r="M1631" s="301"/>
      <c r="N1631" s="336"/>
      <c r="O1631" s="301"/>
      <c r="P1631" s="336"/>
      <c r="Q1631" s="301"/>
      <c r="R1631" s="336"/>
      <c r="S1631" s="301"/>
      <c r="T1631" s="336"/>
    </row>
    <row r="1632" spans="1:20" ht="12" customHeight="1" x14ac:dyDescent="0.25">
      <c r="A1632" s="329" t="s">
        <v>289</v>
      </c>
      <c r="B1632" s="330">
        <v>6</v>
      </c>
      <c r="C1632" s="298">
        <v>46060</v>
      </c>
      <c r="D1632" s="299" t="s">
        <v>451</v>
      </c>
      <c r="E1632" s="331">
        <v>41.39</v>
      </c>
      <c r="F1632" s="331"/>
      <c r="G1632" s="333">
        <f t="shared" si="36"/>
        <v>4544.969999999993</v>
      </c>
      <c r="H1632" s="334"/>
      <c r="I1632" s="335"/>
      <c r="J1632" s="336"/>
      <c r="K1632" s="301"/>
      <c r="L1632" s="336"/>
      <c r="M1632" s="301"/>
      <c r="N1632" s="336"/>
      <c r="O1632" s="301"/>
      <c r="P1632" s="336"/>
      <c r="Q1632" s="301"/>
      <c r="R1632" s="336"/>
      <c r="S1632" s="301"/>
      <c r="T1632" s="336"/>
    </row>
    <row r="1633" spans="1:20" ht="12" customHeight="1" x14ac:dyDescent="0.25">
      <c r="A1633" s="329" t="s">
        <v>289</v>
      </c>
      <c r="B1633" s="330">
        <v>1</v>
      </c>
      <c r="C1633" s="298">
        <v>46060</v>
      </c>
      <c r="D1633" s="299" t="s">
        <v>444</v>
      </c>
      <c r="E1633" s="331">
        <v>35.770000000000003</v>
      </c>
      <c r="F1633" s="331"/>
      <c r="G1633" s="333">
        <f t="shared" si="36"/>
        <v>4586.3599999999933</v>
      </c>
      <c r="H1633" s="334"/>
      <c r="I1633" s="335"/>
      <c r="J1633" s="336"/>
      <c r="K1633" s="301"/>
      <c r="L1633" s="336"/>
      <c r="M1633" s="301"/>
      <c r="N1633" s="336"/>
      <c r="O1633" s="301"/>
      <c r="P1633" s="336"/>
      <c r="Q1633" s="301"/>
      <c r="R1633" s="336"/>
      <c r="S1633" s="301"/>
      <c r="T1633" s="336"/>
    </row>
    <row r="1634" spans="1:20" ht="12" customHeight="1" x14ac:dyDescent="0.25">
      <c r="A1634" s="329" t="s">
        <v>289</v>
      </c>
      <c r="B1634" s="330">
        <v>3</v>
      </c>
      <c r="C1634" s="298">
        <v>46060</v>
      </c>
      <c r="D1634" s="299" t="s">
        <v>347</v>
      </c>
      <c r="E1634" s="331">
        <v>25</v>
      </c>
      <c r="F1634" s="331"/>
      <c r="G1634" s="333">
        <f t="shared" si="36"/>
        <v>4622.1299999999937</v>
      </c>
      <c r="H1634" s="334"/>
      <c r="I1634" s="335"/>
      <c r="J1634" s="336"/>
      <c r="K1634" s="301"/>
      <c r="L1634" s="336"/>
      <c r="M1634" s="301"/>
      <c r="N1634" s="336"/>
      <c r="O1634" s="301"/>
      <c r="P1634" s="336"/>
      <c r="Q1634" s="301"/>
      <c r="R1634" s="336"/>
      <c r="S1634" s="301"/>
      <c r="T1634" s="336"/>
    </row>
    <row r="1635" spans="1:20" ht="12" customHeight="1" x14ac:dyDescent="0.25">
      <c r="A1635" s="329" t="s">
        <v>289</v>
      </c>
      <c r="B1635" s="330">
        <v>8</v>
      </c>
      <c r="C1635" s="298">
        <v>46060</v>
      </c>
      <c r="D1635" s="299" t="s">
        <v>296</v>
      </c>
      <c r="E1635" s="331">
        <v>6.69</v>
      </c>
      <c r="F1635" s="331"/>
      <c r="G1635" s="333">
        <f t="shared" si="36"/>
        <v>4647.1299999999937</v>
      </c>
      <c r="H1635" s="334"/>
      <c r="I1635" s="335"/>
      <c r="J1635" s="336"/>
      <c r="K1635" s="301"/>
      <c r="L1635" s="336"/>
      <c r="M1635" s="301"/>
      <c r="N1635" s="336"/>
      <c r="O1635" s="301"/>
      <c r="P1635" s="336"/>
      <c r="Q1635" s="301"/>
      <c r="R1635" s="336"/>
      <c r="S1635" s="301"/>
      <c r="T1635" s="336"/>
    </row>
    <row r="1636" spans="1:20" ht="12" customHeight="1" x14ac:dyDescent="0.25">
      <c r="A1636" s="329" t="s">
        <v>289</v>
      </c>
      <c r="B1636" s="330">
        <v>4</v>
      </c>
      <c r="C1636" s="298">
        <v>46060</v>
      </c>
      <c r="D1636" s="299" t="s">
        <v>296</v>
      </c>
      <c r="E1636" s="331">
        <v>47.85</v>
      </c>
      <c r="F1636" s="331"/>
      <c r="G1636" s="333">
        <f t="shared" si="36"/>
        <v>4653.8199999999933</v>
      </c>
      <c r="H1636" s="334"/>
      <c r="I1636" s="335"/>
      <c r="J1636" s="336"/>
      <c r="K1636" s="301"/>
      <c r="L1636" s="336"/>
      <c r="M1636" s="301"/>
      <c r="N1636" s="336"/>
      <c r="O1636" s="301"/>
      <c r="P1636" s="336"/>
      <c r="Q1636" s="301"/>
      <c r="R1636" s="336"/>
      <c r="S1636" s="301"/>
      <c r="T1636" s="336"/>
    </row>
    <row r="1637" spans="1:20" ht="12" customHeight="1" x14ac:dyDescent="0.25">
      <c r="A1637" s="329" t="s">
        <v>289</v>
      </c>
      <c r="B1637" s="330">
        <v>2</v>
      </c>
      <c r="C1637" s="298">
        <v>46059</v>
      </c>
      <c r="D1637" s="299" t="s">
        <v>301</v>
      </c>
      <c r="E1637" s="331">
        <v>20</v>
      </c>
      <c r="F1637" s="331"/>
      <c r="G1637" s="333">
        <f t="shared" si="36"/>
        <v>4701.6699999999937</v>
      </c>
      <c r="H1637" s="334"/>
      <c r="I1637" s="335"/>
      <c r="J1637" s="336"/>
      <c r="K1637" s="301"/>
      <c r="L1637" s="336"/>
      <c r="M1637" s="301"/>
      <c r="N1637" s="336"/>
      <c r="O1637" s="301"/>
      <c r="P1637" s="336"/>
      <c r="Q1637" s="301"/>
      <c r="R1637" s="336"/>
      <c r="S1637" s="301"/>
      <c r="T1637" s="336"/>
    </row>
    <row r="1638" spans="1:20" ht="12" customHeight="1" x14ac:dyDescent="0.25">
      <c r="A1638" s="329" t="s">
        <v>291</v>
      </c>
      <c r="B1638" s="330">
        <v>40</v>
      </c>
      <c r="C1638" s="298">
        <v>46059</v>
      </c>
      <c r="D1638" s="299" t="s">
        <v>316</v>
      </c>
      <c r="E1638" s="331"/>
      <c r="F1638" s="331">
        <v>822.99</v>
      </c>
      <c r="G1638" s="333">
        <f t="shared" si="36"/>
        <v>4721.6699999999937</v>
      </c>
      <c r="H1638" s="334"/>
      <c r="I1638" s="335"/>
      <c r="J1638" s="336"/>
      <c r="K1638" s="301"/>
      <c r="L1638" s="336"/>
      <c r="M1638" s="301"/>
      <c r="N1638" s="336"/>
      <c r="O1638" s="301"/>
      <c r="P1638" s="336"/>
      <c r="Q1638" s="301"/>
      <c r="R1638" s="336"/>
      <c r="S1638" s="301"/>
      <c r="T1638" s="336"/>
    </row>
    <row r="1639" spans="1:20" ht="12" customHeight="1" x14ac:dyDescent="0.25">
      <c r="A1639" s="329" t="s">
        <v>294</v>
      </c>
      <c r="B1639" s="330">
        <v>14</v>
      </c>
      <c r="C1639" s="298">
        <v>46059</v>
      </c>
      <c r="D1639" s="299" t="s">
        <v>365</v>
      </c>
      <c r="E1639" s="331">
        <v>66.67</v>
      </c>
      <c r="F1639" s="331"/>
      <c r="G1639" s="333">
        <f t="shared" si="36"/>
        <v>3898.6799999999935</v>
      </c>
      <c r="H1639" s="334"/>
      <c r="I1639" s="335"/>
      <c r="J1639" s="336"/>
      <c r="K1639" s="301"/>
      <c r="L1639" s="336"/>
      <c r="M1639" s="301"/>
      <c r="N1639" s="336"/>
      <c r="O1639" s="301"/>
      <c r="P1639" s="336"/>
      <c r="Q1639" s="301"/>
      <c r="R1639" s="336"/>
      <c r="S1639" s="301"/>
      <c r="T1639" s="336"/>
    </row>
    <row r="1640" spans="1:20" ht="12" customHeight="1" x14ac:dyDescent="0.25">
      <c r="A1640" s="329" t="s">
        <v>289</v>
      </c>
      <c r="B1640" s="330">
        <v>2</v>
      </c>
      <c r="C1640" s="298">
        <v>46059</v>
      </c>
      <c r="D1640" s="299" t="s">
        <v>296</v>
      </c>
      <c r="E1640" s="331">
        <v>9.35</v>
      </c>
      <c r="F1640" s="331"/>
      <c r="G1640" s="333">
        <f t="shared" si="36"/>
        <v>3965.3499999999935</v>
      </c>
      <c r="H1640" s="334"/>
      <c r="I1640" s="335"/>
      <c r="J1640" s="336"/>
      <c r="K1640" s="301"/>
      <c r="L1640" s="336"/>
      <c r="M1640" s="301"/>
      <c r="N1640" s="336"/>
      <c r="O1640" s="301"/>
      <c r="P1640" s="336"/>
      <c r="Q1640" s="301"/>
      <c r="R1640" s="336"/>
      <c r="S1640" s="301"/>
      <c r="T1640" s="336"/>
    </row>
    <row r="1641" spans="1:20" ht="12" customHeight="1" x14ac:dyDescent="0.25">
      <c r="A1641" s="329" t="s">
        <v>289</v>
      </c>
      <c r="B1641" s="330">
        <v>4</v>
      </c>
      <c r="C1641" s="298">
        <v>46059</v>
      </c>
      <c r="D1641" s="299" t="s">
        <v>296</v>
      </c>
      <c r="E1641" s="331">
        <v>45.81</v>
      </c>
      <c r="F1641" s="331"/>
      <c r="G1641" s="333">
        <f t="shared" si="36"/>
        <v>3974.6999999999935</v>
      </c>
      <c r="H1641" s="334"/>
      <c r="I1641" s="335"/>
      <c r="J1641" s="336"/>
      <c r="K1641" s="301"/>
      <c r="L1641" s="336"/>
      <c r="M1641" s="301"/>
      <c r="N1641" s="336"/>
      <c r="O1641" s="301"/>
      <c r="P1641" s="336"/>
      <c r="Q1641" s="301"/>
      <c r="R1641" s="336"/>
      <c r="S1641" s="301"/>
      <c r="T1641" s="336"/>
    </row>
    <row r="1642" spans="1:20" ht="12" customHeight="1" x14ac:dyDescent="0.25">
      <c r="A1642" s="329" t="s">
        <v>289</v>
      </c>
      <c r="B1642" s="330">
        <v>2</v>
      </c>
      <c r="C1642" s="298">
        <v>46059</v>
      </c>
      <c r="D1642" s="299" t="s">
        <v>352</v>
      </c>
      <c r="E1642" s="331">
        <v>22.98</v>
      </c>
      <c r="F1642" s="331"/>
      <c r="G1642" s="333">
        <f t="shared" si="36"/>
        <v>4020.5099999999934</v>
      </c>
      <c r="H1642" s="334"/>
      <c r="I1642" s="335"/>
      <c r="J1642" s="336"/>
      <c r="K1642" s="301"/>
      <c r="L1642" s="336"/>
      <c r="M1642" s="301"/>
      <c r="N1642" s="336"/>
      <c r="O1642" s="301"/>
      <c r="P1642" s="336"/>
      <c r="Q1642" s="301"/>
      <c r="R1642" s="336"/>
      <c r="S1642" s="301"/>
      <c r="T1642" s="336"/>
    </row>
    <row r="1643" spans="1:20" ht="12" customHeight="1" x14ac:dyDescent="0.25">
      <c r="A1643" s="329" t="s">
        <v>289</v>
      </c>
      <c r="B1643" s="330">
        <v>2</v>
      </c>
      <c r="C1643" s="298">
        <v>46059</v>
      </c>
      <c r="D1643" s="299" t="s">
        <v>301</v>
      </c>
      <c r="E1643" s="331">
        <v>46.5</v>
      </c>
      <c r="F1643" s="331"/>
      <c r="G1643" s="333">
        <f t="shared" si="36"/>
        <v>4043.4899999999934</v>
      </c>
      <c r="H1643" s="334"/>
      <c r="I1643" s="335"/>
      <c r="J1643" s="336"/>
      <c r="K1643" s="301"/>
      <c r="L1643" s="336"/>
      <c r="M1643" s="301"/>
      <c r="N1643" s="336"/>
      <c r="O1643" s="301"/>
      <c r="P1643" s="336"/>
      <c r="Q1643" s="301"/>
      <c r="R1643" s="336"/>
      <c r="S1643" s="301"/>
      <c r="T1643" s="336"/>
    </row>
    <row r="1644" spans="1:20" ht="12" customHeight="1" x14ac:dyDescent="0.25">
      <c r="A1644" s="329" t="s">
        <v>289</v>
      </c>
      <c r="B1644" s="330">
        <v>2</v>
      </c>
      <c r="C1644" s="298">
        <v>46059</v>
      </c>
      <c r="D1644" s="299" t="s">
        <v>357</v>
      </c>
      <c r="E1644" s="331">
        <v>10.17</v>
      </c>
      <c r="F1644" s="331"/>
      <c r="G1644" s="333">
        <f t="shared" si="36"/>
        <v>4089.9899999999934</v>
      </c>
      <c r="H1644" s="334"/>
      <c r="I1644" s="335"/>
      <c r="J1644" s="336"/>
      <c r="K1644" s="301"/>
      <c r="L1644" s="336"/>
      <c r="M1644" s="301"/>
      <c r="N1644" s="336"/>
      <c r="O1644" s="301"/>
      <c r="P1644" s="336"/>
      <c r="Q1644" s="301"/>
      <c r="R1644" s="336"/>
      <c r="S1644" s="301"/>
      <c r="T1644" s="336"/>
    </row>
    <row r="1645" spans="1:20" ht="12" customHeight="1" x14ac:dyDescent="0.25">
      <c r="A1645" s="329" t="s">
        <v>289</v>
      </c>
      <c r="B1645" s="330">
        <v>8</v>
      </c>
      <c r="C1645" s="298">
        <v>46059</v>
      </c>
      <c r="D1645" s="299" t="s">
        <v>434</v>
      </c>
      <c r="E1645" s="331">
        <v>81.2</v>
      </c>
      <c r="F1645" s="331"/>
      <c r="G1645" s="333">
        <f t="shared" si="36"/>
        <v>4100.1599999999935</v>
      </c>
      <c r="H1645" s="334"/>
      <c r="I1645" s="335"/>
      <c r="J1645" s="336"/>
      <c r="K1645" s="301"/>
      <c r="L1645" s="336"/>
      <c r="M1645" s="301"/>
      <c r="N1645" s="336"/>
      <c r="O1645" s="301"/>
      <c r="P1645" s="336"/>
      <c r="Q1645" s="301"/>
      <c r="R1645" s="336"/>
      <c r="S1645" s="301"/>
      <c r="T1645" s="336"/>
    </row>
    <row r="1646" spans="1:20" ht="12" customHeight="1" x14ac:dyDescent="0.25">
      <c r="A1646" s="329" t="s">
        <v>289</v>
      </c>
      <c r="B1646" s="330">
        <v>2</v>
      </c>
      <c r="C1646" s="298">
        <v>46058</v>
      </c>
      <c r="D1646" s="299" t="s">
        <v>301</v>
      </c>
      <c r="E1646" s="331">
        <v>21</v>
      </c>
      <c r="F1646" s="331"/>
      <c r="G1646" s="333">
        <f t="shared" si="36"/>
        <v>4181.3599999999933</v>
      </c>
      <c r="H1646" s="334"/>
      <c r="I1646" s="335"/>
      <c r="J1646" s="336"/>
      <c r="K1646" s="301"/>
      <c r="L1646" s="336"/>
      <c r="M1646" s="301"/>
      <c r="N1646" s="336"/>
      <c r="O1646" s="301"/>
      <c r="P1646" s="336"/>
      <c r="Q1646" s="301"/>
      <c r="R1646" s="336"/>
      <c r="S1646" s="301"/>
      <c r="T1646" s="336"/>
    </row>
    <row r="1647" spans="1:20" ht="12" customHeight="1" x14ac:dyDescent="0.25">
      <c r="A1647" s="329" t="s">
        <v>291</v>
      </c>
      <c r="B1647" s="330">
        <v>39</v>
      </c>
      <c r="C1647" s="298">
        <v>46058</v>
      </c>
      <c r="D1647" s="299" t="s">
        <v>292</v>
      </c>
      <c r="E1647" s="331"/>
      <c r="F1647" s="331">
        <v>2763.79</v>
      </c>
      <c r="G1647" s="333">
        <f t="shared" si="36"/>
        <v>4202.3599999999933</v>
      </c>
      <c r="H1647" s="334"/>
      <c r="I1647" s="335"/>
      <c r="J1647" s="336"/>
      <c r="K1647" s="301"/>
      <c r="L1647" s="336"/>
      <c r="M1647" s="301"/>
      <c r="N1647" s="336"/>
      <c r="O1647" s="301"/>
      <c r="P1647" s="336"/>
      <c r="Q1647" s="301"/>
      <c r="R1647" s="336"/>
      <c r="S1647" s="301"/>
      <c r="T1647" s="336"/>
    </row>
    <row r="1648" spans="1:20" ht="12" customHeight="1" x14ac:dyDescent="0.25">
      <c r="A1648" s="329" t="s">
        <v>289</v>
      </c>
      <c r="B1648" s="330">
        <v>8</v>
      </c>
      <c r="C1648" s="298">
        <v>46058</v>
      </c>
      <c r="D1648" s="299" t="s">
        <v>356</v>
      </c>
      <c r="E1648" s="331">
        <v>95.35</v>
      </c>
      <c r="F1648" s="331"/>
      <c r="G1648" s="333">
        <f t="shared" si="36"/>
        <v>1438.5699999999933</v>
      </c>
      <c r="H1648" s="334"/>
      <c r="I1648" s="335"/>
      <c r="J1648" s="336"/>
      <c r="K1648" s="301"/>
      <c r="L1648" s="336"/>
      <c r="M1648" s="301"/>
      <c r="N1648" s="336"/>
      <c r="O1648" s="301"/>
      <c r="P1648" s="336"/>
      <c r="Q1648" s="301"/>
      <c r="R1648" s="336"/>
      <c r="S1648" s="301"/>
      <c r="T1648" s="336"/>
    </row>
    <row r="1649" spans="1:20" ht="12" customHeight="1" x14ac:dyDescent="0.25">
      <c r="A1649" s="329" t="s">
        <v>289</v>
      </c>
      <c r="B1649" s="330">
        <v>2</v>
      </c>
      <c r="C1649" s="298">
        <v>46058</v>
      </c>
      <c r="D1649" s="299" t="s">
        <v>352</v>
      </c>
      <c r="E1649" s="331">
        <v>14.99</v>
      </c>
      <c r="F1649" s="331"/>
      <c r="G1649" s="333">
        <f t="shared" si="36"/>
        <v>1533.9199999999933</v>
      </c>
      <c r="H1649" s="334"/>
      <c r="I1649" s="335"/>
      <c r="J1649" s="336"/>
      <c r="K1649" s="301"/>
      <c r="L1649" s="336"/>
      <c r="M1649" s="301"/>
      <c r="N1649" s="336"/>
      <c r="O1649" s="301"/>
      <c r="P1649" s="336"/>
      <c r="Q1649" s="301"/>
      <c r="R1649" s="336"/>
      <c r="S1649" s="301"/>
      <c r="T1649" s="336"/>
    </row>
    <row r="1650" spans="1:20" ht="12" customHeight="1" x14ac:dyDescent="0.25">
      <c r="A1650" s="329" t="s">
        <v>287</v>
      </c>
      <c r="B1650" s="330" t="s">
        <v>287</v>
      </c>
      <c r="C1650" s="298">
        <v>46058</v>
      </c>
      <c r="D1650" s="299" t="s">
        <v>450</v>
      </c>
      <c r="E1650" s="331">
        <v>77.569999999999993</v>
      </c>
      <c r="F1650" s="331">
        <v>77.569999999999993</v>
      </c>
      <c r="G1650" s="333">
        <f t="shared" si="36"/>
        <v>1548.9099999999933</v>
      </c>
      <c r="H1650" s="334"/>
      <c r="I1650" s="335"/>
      <c r="J1650" s="336"/>
      <c r="K1650" s="301"/>
      <c r="L1650" s="336"/>
      <c r="M1650" s="301"/>
      <c r="N1650" s="336"/>
      <c r="O1650" s="301"/>
      <c r="P1650" s="336"/>
      <c r="Q1650" s="301"/>
      <c r="R1650" s="336"/>
      <c r="S1650" s="301"/>
      <c r="T1650" s="336"/>
    </row>
    <row r="1651" spans="1:20" ht="12" customHeight="1" x14ac:dyDescent="0.25">
      <c r="A1651" s="329" t="s">
        <v>289</v>
      </c>
      <c r="B1651" s="330">
        <v>6</v>
      </c>
      <c r="C1651" s="298">
        <v>46057</v>
      </c>
      <c r="D1651" s="299" t="s">
        <v>343</v>
      </c>
      <c r="E1651" s="331">
        <v>50</v>
      </c>
      <c r="F1651" s="331"/>
      <c r="G1651" s="333">
        <f t="shared" si="36"/>
        <v>1548.9099999999933</v>
      </c>
      <c r="H1651" s="334"/>
      <c r="I1651" s="335"/>
      <c r="J1651" s="336"/>
      <c r="K1651" s="301"/>
      <c r="L1651" s="336"/>
      <c r="M1651" s="301"/>
      <c r="N1651" s="336"/>
      <c r="O1651" s="301"/>
      <c r="P1651" s="336"/>
      <c r="Q1651" s="301"/>
      <c r="R1651" s="336"/>
      <c r="S1651" s="301"/>
      <c r="T1651" s="336"/>
    </row>
    <row r="1652" spans="1:20" ht="12" customHeight="1" x14ac:dyDescent="0.25">
      <c r="A1652" s="329" t="s">
        <v>289</v>
      </c>
      <c r="B1652" s="330">
        <v>1</v>
      </c>
      <c r="C1652" s="298">
        <v>46057</v>
      </c>
      <c r="D1652" s="299" t="s">
        <v>306</v>
      </c>
      <c r="E1652" s="331">
        <v>62.03</v>
      </c>
      <c r="F1652" s="331"/>
      <c r="G1652" s="333">
        <f t="shared" si="36"/>
        <v>1598.9099999999933</v>
      </c>
      <c r="H1652" s="334"/>
      <c r="I1652" s="335"/>
      <c r="J1652" s="336"/>
      <c r="K1652" s="301"/>
      <c r="L1652" s="336"/>
      <c r="M1652" s="301"/>
      <c r="N1652" s="336"/>
      <c r="O1652" s="301"/>
      <c r="P1652" s="336"/>
      <c r="Q1652" s="301"/>
      <c r="R1652" s="336"/>
      <c r="S1652" s="301"/>
      <c r="T1652" s="336"/>
    </row>
    <row r="1653" spans="1:20" ht="12" customHeight="1" x14ac:dyDescent="0.25">
      <c r="A1653" s="329" t="s">
        <v>289</v>
      </c>
      <c r="B1653" s="330">
        <v>2</v>
      </c>
      <c r="C1653" s="298">
        <v>46057</v>
      </c>
      <c r="D1653" s="299" t="s">
        <v>296</v>
      </c>
      <c r="E1653" s="331">
        <v>14.91</v>
      </c>
      <c r="F1653" s="331"/>
      <c r="G1653" s="333">
        <f t="shared" si="36"/>
        <v>1660.9399999999932</v>
      </c>
      <c r="H1653" s="334"/>
      <c r="I1653" s="335"/>
      <c r="J1653" s="336"/>
      <c r="K1653" s="301"/>
      <c r="L1653" s="336"/>
      <c r="M1653" s="301"/>
      <c r="N1653" s="336"/>
      <c r="O1653" s="301"/>
      <c r="P1653" s="336"/>
      <c r="Q1653" s="301"/>
      <c r="R1653" s="336"/>
      <c r="S1653" s="301"/>
      <c r="T1653" s="336"/>
    </row>
    <row r="1654" spans="1:20" ht="12" customHeight="1" x14ac:dyDescent="0.25">
      <c r="A1654" s="329" t="s">
        <v>289</v>
      </c>
      <c r="B1654" s="330">
        <v>4</v>
      </c>
      <c r="C1654" s="298">
        <v>46057</v>
      </c>
      <c r="D1654" s="299" t="s">
        <v>310</v>
      </c>
      <c r="E1654" s="331">
        <v>63.38</v>
      </c>
      <c r="F1654" s="331"/>
      <c r="G1654" s="333">
        <f t="shared" si="36"/>
        <v>1675.8499999999933</v>
      </c>
      <c r="H1654" s="334"/>
      <c r="I1654" s="335"/>
      <c r="J1654" s="336"/>
      <c r="K1654" s="301"/>
      <c r="L1654" s="336"/>
      <c r="M1654" s="301"/>
      <c r="N1654" s="336"/>
      <c r="O1654" s="301"/>
      <c r="P1654" s="336"/>
      <c r="Q1654" s="301"/>
      <c r="R1654" s="336"/>
      <c r="S1654" s="301"/>
      <c r="T1654" s="336"/>
    </row>
    <row r="1655" spans="1:20" ht="12" customHeight="1" x14ac:dyDescent="0.25">
      <c r="A1655" s="329" t="s">
        <v>287</v>
      </c>
      <c r="B1655" s="330" t="s">
        <v>287</v>
      </c>
      <c r="C1655" s="298">
        <v>46057</v>
      </c>
      <c r="D1655" s="299" t="s">
        <v>452</v>
      </c>
      <c r="E1655" s="331">
        <v>192.78</v>
      </c>
      <c r="F1655" s="331">
        <v>192.78</v>
      </c>
      <c r="G1655" s="333">
        <f t="shared" si="36"/>
        <v>1739.2299999999934</v>
      </c>
      <c r="H1655" s="334"/>
      <c r="I1655" s="335"/>
      <c r="J1655" s="336"/>
      <c r="K1655" s="301"/>
      <c r="L1655" s="336"/>
      <c r="M1655" s="301"/>
      <c r="N1655" s="336"/>
      <c r="O1655" s="301"/>
      <c r="P1655" s="336"/>
      <c r="Q1655" s="301"/>
      <c r="R1655" s="336"/>
      <c r="S1655" s="301"/>
      <c r="T1655" s="336"/>
    </row>
    <row r="1656" spans="1:20" ht="12" customHeight="1" x14ac:dyDescent="0.25">
      <c r="A1656" s="329" t="s">
        <v>294</v>
      </c>
      <c r="B1656" s="330">
        <v>14</v>
      </c>
      <c r="C1656" s="298">
        <v>46057</v>
      </c>
      <c r="D1656" s="299" t="s">
        <v>366</v>
      </c>
      <c r="E1656" s="331">
        <v>68.739999999999995</v>
      </c>
      <c r="F1656" s="331"/>
      <c r="G1656" s="333">
        <f t="shared" si="36"/>
        <v>1739.2299999999934</v>
      </c>
      <c r="H1656" s="334"/>
      <c r="I1656" s="335"/>
      <c r="J1656" s="336"/>
      <c r="K1656" s="301"/>
      <c r="L1656" s="336"/>
      <c r="M1656" s="301"/>
      <c r="N1656" s="336"/>
      <c r="O1656" s="301"/>
      <c r="P1656" s="336"/>
      <c r="Q1656" s="301"/>
      <c r="R1656" s="336"/>
      <c r="S1656" s="301"/>
      <c r="T1656" s="336"/>
    </row>
    <row r="1657" spans="1:20" ht="12" customHeight="1" x14ac:dyDescent="0.25">
      <c r="A1657" s="329" t="s">
        <v>289</v>
      </c>
      <c r="B1657" s="330">
        <v>6</v>
      </c>
      <c r="C1657" s="298">
        <v>46057</v>
      </c>
      <c r="D1657" s="299" t="s">
        <v>300</v>
      </c>
      <c r="E1657" s="331">
        <v>-42.58</v>
      </c>
      <c r="F1657" s="331"/>
      <c r="G1657" s="333">
        <f t="shared" si="36"/>
        <v>1807.9699999999934</v>
      </c>
      <c r="H1657" s="334"/>
      <c r="I1657" s="335"/>
      <c r="J1657" s="336"/>
      <c r="K1657" s="301"/>
      <c r="L1657" s="336"/>
      <c r="M1657" s="301"/>
      <c r="N1657" s="336"/>
      <c r="O1657" s="301"/>
      <c r="P1657" s="336"/>
      <c r="Q1657" s="301"/>
      <c r="R1657" s="336"/>
      <c r="S1657" s="301"/>
      <c r="T1657" s="336"/>
    </row>
    <row r="1658" spans="1:20" ht="12" customHeight="1" x14ac:dyDescent="0.25">
      <c r="A1658" s="329" t="s">
        <v>289</v>
      </c>
      <c r="B1658" s="330">
        <v>1</v>
      </c>
      <c r="C1658" s="298">
        <v>46057</v>
      </c>
      <c r="D1658" s="299" t="s">
        <v>370</v>
      </c>
      <c r="E1658" s="331">
        <v>31.36</v>
      </c>
      <c r="F1658" s="331"/>
      <c r="G1658" s="333">
        <f t="shared" si="36"/>
        <v>1765.3899999999935</v>
      </c>
      <c r="H1658" s="334"/>
      <c r="I1658" s="335"/>
      <c r="J1658" s="336"/>
      <c r="K1658" s="301"/>
      <c r="L1658" s="336"/>
      <c r="M1658" s="301"/>
      <c r="N1658" s="336"/>
      <c r="O1658" s="301"/>
      <c r="P1658" s="336"/>
      <c r="Q1658" s="301"/>
      <c r="R1658" s="336"/>
      <c r="S1658" s="301"/>
      <c r="T1658" s="336"/>
    </row>
    <row r="1659" spans="1:20" ht="12" customHeight="1" x14ac:dyDescent="0.25">
      <c r="A1659" s="329" t="s">
        <v>294</v>
      </c>
      <c r="B1659" s="330">
        <v>17</v>
      </c>
      <c r="C1659" s="298">
        <v>46057</v>
      </c>
      <c r="D1659" s="299" t="s">
        <v>369</v>
      </c>
      <c r="E1659" s="331">
        <v>99</v>
      </c>
      <c r="F1659" s="331"/>
      <c r="G1659" s="333">
        <f t="shared" si="36"/>
        <v>1796.7499999999934</v>
      </c>
      <c r="H1659" s="334"/>
      <c r="I1659" s="335"/>
      <c r="J1659" s="336"/>
      <c r="K1659" s="301"/>
      <c r="L1659" s="336"/>
      <c r="M1659" s="301"/>
      <c r="N1659" s="336"/>
      <c r="O1659" s="301"/>
      <c r="P1659" s="336"/>
      <c r="Q1659" s="301"/>
      <c r="R1659" s="336"/>
      <c r="S1659" s="301"/>
      <c r="T1659" s="336"/>
    </row>
    <row r="1660" spans="1:20" ht="12" customHeight="1" x14ac:dyDescent="0.25">
      <c r="A1660" s="329" t="s">
        <v>284</v>
      </c>
      <c r="B1660" s="330">
        <v>36</v>
      </c>
      <c r="C1660" s="298">
        <v>46056</v>
      </c>
      <c r="D1660" s="299" t="s">
        <v>373</v>
      </c>
      <c r="E1660" s="331">
        <v>50</v>
      </c>
      <c r="F1660" s="331"/>
      <c r="G1660" s="333">
        <f t="shared" si="36"/>
        <v>1895.7499999999934</v>
      </c>
      <c r="H1660" s="334"/>
      <c r="I1660" s="335"/>
      <c r="J1660" s="336"/>
      <c r="K1660" s="301"/>
      <c r="L1660" s="336"/>
      <c r="M1660" s="301"/>
      <c r="N1660" s="336"/>
      <c r="O1660" s="301"/>
      <c r="P1660" s="336"/>
      <c r="Q1660" s="301"/>
      <c r="R1660" s="336"/>
      <c r="S1660" s="301"/>
      <c r="T1660" s="336"/>
    </row>
    <row r="1661" spans="1:20" ht="12" customHeight="1" x14ac:dyDescent="0.25">
      <c r="A1661" s="329" t="s">
        <v>289</v>
      </c>
      <c r="B1661" s="330">
        <v>8</v>
      </c>
      <c r="C1661" s="298">
        <v>46056</v>
      </c>
      <c r="D1661" s="299" t="s">
        <v>319</v>
      </c>
      <c r="E1661" s="331">
        <v>7.92</v>
      </c>
      <c r="F1661" s="331"/>
      <c r="G1661" s="333">
        <f t="shared" si="36"/>
        <v>1945.7499999999934</v>
      </c>
      <c r="H1661" s="334"/>
      <c r="I1661" s="335"/>
      <c r="J1661" s="336"/>
      <c r="K1661" s="301"/>
      <c r="L1661" s="336"/>
      <c r="M1661" s="301"/>
      <c r="N1661" s="336"/>
      <c r="O1661" s="301"/>
      <c r="P1661" s="336"/>
      <c r="Q1661" s="301"/>
      <c r="R1661" s="336"/>
      <c r="S1661" s="301"/>
      <c r="T1661" s="336"/>
    </row>
    <row r="1662" spans="1:20" ht="12" customHeight="1" x14ac:dyDescent="0.25">
      <c r="A1662" s="329" t="s">
        <v>294</v>
      </c>
      <c r="B1662" s="330">
        <v>24</v>
      </c>
      <c r="C1662" s="298">
        <v>46056</v>
      </c>
      <c r="D1662" s="299" t="s">
        <v>858</v>
      </c>
      <c r="E1662" s="331">
        <v>83.58</v>
      </c>
      <c r="F1662" s="331"/>
      <c r="G1662" s="333">
        <f t="shared" si="36"/>
        <v>1953.6699999999935</v>
      </c>
      <c r="H1662" s="334"/>
      <c r="I1662" s="335"/>
      <c r="J1662" s="336"/>
      <c r="K1662" s="301"/>
      <c r="L1662" s="336"/>
      <c r="M1662" s="301"/>
      <c r="N1662" s="336"/>
      <c r="O1662" s="301"/>
      <c r="P1662" s="336"/>
      <c r="Q1662" s="301"/>
      <c r="R1662" s="336"/>
      <c r="S1662" s="301"/>
      <c r="T1662" s="336"/>
    </row>
    <row r="1663" spans="1:20" ht="12" customHeight="1" x14ac:dyDescent="0.25">
      <c r="A1663" s="329" t="s">
        <v>289</v>
      </c>
      <c r="B1663" s="330">
        <v>4</v>
      </c>
      <c r="C1663" s="298">
        <v>46056</v>
      </c>
      <c r="D1663" s="299" t="s">
        <v>453</v>
      </c>
      <c r="E1663" s="331">
        <v>28.64</v>
      </c>
      <c r="F1663" s="331"/>
      <c r="G1663" s="333">
        <f t="shared" si="36"/>
        <v>2037.2499999999934</v>
      </c>
      <c r="H1663" s="334"/>
      <c r="I1663" s="335"/>
      <c r="J1663" s="336"/>
      <c r="K1663" s="301"/>
      <c r="L1663" s="336"/>
      <c r="M1663" s="301"/>
      <c r="N1663" s="336"/>
      <c r="O1663" s="301"/>
      <c r="P1663" s="336"/>
      <c r="Q1663" s="301"/>
      <c r="R1663" s="336"/>
      <c r="S1663" s="301"/>
      <c r="T1663" s="336"/>
    </row>
    <row r="1664" spans="1:20" ht="12" customHeight="1" x14ac:dyDescent="0.25">
      <c r="A1664" s="329" t="s">
        <v>289</v>
      </c>
      <c r="B1664" s="330">
        <v>2</v>
      </c>
      <c r="C1664" s="298">
        <v>46056</v>
      </c>
      <c r="D1664" s="299" t="s">
        <v>357</v>
      </c>
      <c r="E1664" s="331">
        <v>9.4700000000000006</v>
      </c>
      <c r="F1664" s="331"/>
      <c r="G1664" s="333">
        <f t="shared" si="36"/>
        <v>2065.8899999999935</v>
      </c>
      <c r="H1664" s="334"/>
      <c r="I1664" s="335"/>
      <c r="J1664" s="336"/>
      <c r="K1664" s="301"/>
      <c r="L1664" s="336"/>
      <c r="M1664" s="301"/>
      <c r="N1664" s="336"/>
      <c r="O1664" s="301"/>
      <c r="P1664" s="336"/>
      <c r="Q1664" s="301"/>
      <c r="R1664" s="336"/>
      <c r="S1664" s="301"/>
      <c r="T1664" s="336"/>
    </row>
    <row r="1665" spans="1:20" ht="12" customHeight="1" x14ac:dyDescent="0.25">
      <c r="A1665" s="329" t="s">
        <v>289</v>
      </c>
      <c r="B1665" s="330">
        <v>6</v>
      </c>
      <c r="C1665" s="298">
        <v>46055</v>
      </c>
      <c r="D1665" s="299" t="s">
        <v>454</v>
      </c>
      <c r="E1665" s="331">
        <v>20</v>
      </c>
      <c r="F1665" s="331"/>
      <c r="G1665" s="333">
        <f t="shared" si="36"/>
        <v>2075.3599999999933</v>
      </c>
      <c r="H1665" s="334"/>
      <c r="I1665" s="335"/>
      <c r="J1665" s="336"/>
      <c r="K1665" s="301"/>
      <c r="L1665" s="336"/>
      <c r="M1665" s="301"/>
      <c r="N1665" s="336"/>
      <c r="O1665" s="301"/>
      <c r="P1665" s="336"/>
      <c r="Q1665" s="301"/>
      <c r="R1665" s="336"/>
      <c r="S1665" s="301"/>
      <c r="T1665" s="336"/>
    </row>
    <row r="1666" spans="1:20" ht="12" customHeight="1" x14ac:dyDescent="0.25">
      <c r="A1666" s="329" t="s">
        <v>294</v>
      </c>
      <c r="B1666" s="330">
        <v>17</v>
      </c>
      <c r="C1666" s="298">
        <v>46055</v>
      </c>
      <c r="D1666" s="299" t="s">
        <v>188</v>
      </c>
      <c r="E1666" s="331">
        <v>41.54</v>
      </c>
      <c r="F1666" s="331"/>
      <c r="G1666" s="333">
        <f t="shared" si="36"/>
        <v>2095.3599999999933</v>
      </c>
      <c r="H1666" s="334"/>
      <c r="I1666" s="335"/>
      <c r="J1666" s="336"/>
      <c r="K1666" s="301"/>
      <c r="L1666" s="336"/>
      <c r="M1666" s="301"/>
      <c r="N1666" s="336"/>
      <c r="O1666" s="301"/>
      <c r="P1666" s="336"/>
      <c r="Q1666" s="301"/>
      <c r="R1666" s="336"/>
      <c r="S1666" s="301"/>
      <c r="T1666" s="336"/>
    </row>
    <row r="1667" spans="1:20" ht="12" customHeight="1" x14ac:dyDescent="0.25">
      <c r="A1667" s="329" t="s">
        <v>289</v>
      </c>
      <c r="B1667" s="330">
        <v>2</v>
      </c>
      <c r="C1667" s="298">
        <v>46055</v>
      </c>
      <c r="D1667" s="299" t="s">
        <v>296</v>
      </c>
      <c r="E1667" s="331">
        <v>9.92</v>
      </c>
      <c r="F1667" s="331"/>
      <c r="G1667" s="333">
        <f t="shared" si="36"/>
        <v>2136.8999999999933</v>
      </c>
      <c r="H1667" s="334"/>
      <c r="I1667" s="335"/>
      <c r="J1667" s="336"/>
      <c r="K1667" s="301"/>
      <c r="L1667" s="336"/>
      <c r="M1667" s="301"/>
      <c r="N1667" s="336"/>
      <c r="O1667" s="301"/>
      <c r="P1667" s="336"/>
      <c r="Q1667" s="301"/>
      <c r="R1667" s="336"/>
      <c r="S1667" s="301"/>
      <c r="T1667" s="336"/>
    </row>
    <row r="1668" spans="1:20" ht="12" customHeight="1" x14ac:dyDescent="0.25">
      <c r="A1668" s="329" t="s">
        <v>289</v>
      </c>
      <c r="B1668" s="330">
        <v>8</v>
      </c>
      <c r="C1668" s="298">
        <v>46055</v>
      </c>
      <c r="D1668" s="299" t="s">
        <v>455</v>
      </c>
      <c r="E1668" s="331">
        <v>155.38</v>
      </c>
      <c r="F1668" s="331"/>
      <c r="G1668" s="333">
        <f t="shared" si="36"/>
        <v>2146.8199999999933</v>
      </c>
      <c r="H1668" s="334"/>
      <c r="I1668" s="335"/>
      <c r="J1668" s="336"/>
      <c r="K1668" s="301"/>
      <c r="L1668" s="336"/>
      <c r="M1668" s="301"/>
      <c r="N1668" s="336"/>
      <c r="O1668" s="301"/>
      <c r="P1668" s="336"/>
      <c r="Q1668" s="301"/>
      <c r="R1668" s="336"/>
      <c r="S1668" s="301"/>
      <c r="T1668" s="336"/>
    </row>
    <row r="1669" spans="1:20" ht="12" customHeight="1" x14ac:dyDescent="0.25">
      <c r="A1669" s="329" t="s">
        <v>294</v>
      </c>
      <c r="B1669" s="330">
        <v>21</v>
      </c>
      <c r="C1669" s="298">
        <v>46055</v>
      </c>
      <c r="D1669" s="299" t="s">
        <v>194</v>
      </c>
      <c r="E1669" s="331">
        <v>27.35</v>
      </c>
      <c r="F1669" s="331"/>
      <c r="G1669" s="333">
        <f t="shared" si="36"/>
        <v>2302.1999999999935</v>
      </c>
      <c r="H1669" s="334"/>
      <c r="I1669" s="335"/>
      <c r="J1669" s="336"/>
      <c r="K1669" s="301"/>
      <c r="L1669" s="336"/>
      <c r="M1669" s="301"/>
      <c r="N1669" s="336"/>
      <c r="O1669" s="301"/>
      <c r="P1669" s="336"/>
      <c r="Q1669" s="301"/>
      <c r="R1669" s="336"/>
      <c r="S1669" s="301"/>
      <c r="T1669" s="336"/>
    </row>
    <row r="1670" spans="1:20" ht="12" customHeight="1" x14ac:dyDescent="0.25">
      <c r="A1670" s="329" t="s">
        <v>289</v>
      </c>
      <c r="B1670" s="330">
        <v>6</v>
      </c>
      <c r="C1670" s="298">
        <v>46054</v>
      </c>
      <c r="D1670" s="299" t="s">
        <v>300</v>
      </c>
      <c r="E1670" s="331">
        <v>59.37</v>
      </c>
      <c r="F1670" s="331"/>
      <c r="G1670" s="333">
        <f t="shared" si="36"/>
        <v>2329.5499999999934</v>
      </c>
      <c r="H1670" s="334"/>
      <c r="I1670" s="335"/>
      <c r="J1670" s="336"/>
      <c r="K1670" s="301"/>
      <c r="L1670" s="336"/>
      <c r="M1670" s="301"/>
      <c r="N1670" s="336"/>
      <c r="O1670" s="301"/>
      <c r="P1670" s="336"/>
      <c r="Q1670" s="301"/>
      <c r="R1670" s="336"/>
      <c r="S1670" s="301"/>
      <c r="T1670" s="336"/>
    </row>
    <row r="1671" spans="1:20" ht="12" customHeight="1" x14ac:dyDescent="0.25">
      <c r="A1671" s="329" t="s">
        <v>294</v>
      </c>
      <c r="B1671" s="330">
        <v>22</v>
      </c>
      <c r="C1671" s="298">
        <v>46054</v>
      </c>
      <c r="D1671" s="299" t="s">
        <v>374</v>
      </c>
      <c r="E1671" s="331">
        <v>6.37</v>
      </c>
      <c r="F1671" s="331"/>
      <c r="G1671" s="333">
        <f t="shared" si="36"/>
        <v>2388.9199999999933</v>
      </c>
      <c r="H1671" s="334"/>
      <c r="I1671" s="335"/>
      <c r="J1671" s="336"/>
      <c r="K1671" s="301"/>
      <c r="L1671" s="336"/>
      <c r="M1671" s="301"/>
      <c r="N1671" s="336"/>
      <c r="O1671" s="301"/>
      <c r="P1671" s="336"/>
      <c r="Q1671" s="301"/>
      <c r="R1671" s="336"/>
      <c r="S1671" s="301"/>
      <c r="T1671" s="336"/>
    </row>
    <row r="1672" spans="1:20" ht="12" customHeight="1" x14ac:dyDescent="0.25">
      <c r="A1672" s="329" t="s">
        <v>289</v>
      </c>
      <c r="B1672" s="330">
        <v>8</v>
      </c>
      <c r="C1672" s="298">
        <v>46054</v>
      </c>
      <c r="D1672" s="299" t="s">
        <v>456</v>
      </c>
      <c r="E1672" s="331">
        <v>44.65</v>
      </c>
      <c r="F1672" s="331"/>
      <c r="G1672" s="333">
        <f t="shared" si="36"/>
        <v>2395.2899999999931</v>
      </c>
      <c r="H1672" s="334"/>
      <c r="I1672" s="335"/>
      <c r="J1672" s="336"/>
      <c r="K1672" s="301"/>
      <c r="L1672" s="336"/>
      <c r="M1672" s="301"/>
      <c r="N1672" s="336"/>
      <c r="O1672" s="301"/>
      <c r="P1672" s="336"/>
      <c r="Q1672" s="301"/>
      <c r="R1672" s="336"/>
      <c r="S1672" s="301"/>
      <c r="T1672" s="336"/>
    </row>
    <row r="1673" spans="1:20" ht="12" customHeight="1" x14ac:dyDescent="0.25">
      <c r="A1673" s="329" t="s">
        <v>289</v>
      </c>
      <c r="B1673" s="330">
        <v>7</v>
      </c>
      <c r="C1673" s="298">
        <v>46054</v>
      </c>
      <c r="D1673" s="299" t="s">
        <v>337</v>
      </c>
      <c r="E1673" s="331">
        <v>35.17</v>
      </c>
      <c r="F1673" s="331"/>
      <c r="G1673" s="333">
        <f t="shared" si="36"/>
        <v>2439.9399999999932</v>
      </c>
      <c r="H1673" s="334"/>
      <c r="I1673" s="335"/>
      <c r="J1673" s="336"/>
      <c r="K1673" s="301"/>
      <c r="L1673" s="336"/>
      <c r="M1673" s="301"/>
      <c r="N1673" s="336"/>
      <c r="O1673" s="301"/>
      <c r="P1673" s="336"/>
      <c r="Q1673" s="301"/>
      <c r="R1673" s="336"/>
      <c r="S1673" s="301"/>
      <c r="T1673" s="336"/>
    </row>
    <row r="1674" spans="1:20" ht="12" customHeight="1" x14ac:dyDescent="0.25">
      <c r="A1674" s="329" t="s">
        <v>289</v>
      </c>
      <c r="B1674" s="330">
        <v>4</v>
      </c>
      <c r="C1674" s="298">
        <v>46054</v>
      </c>
      <c r="D1674" s="299" t="s">
        <v>310</v>
      </c>
      <c r="E1674" s="331">
        <v>28.48</v>
      </c>
      <c r="F1674" s="331"/>
      <c r="G1674" s="333">
        <f t="shared" si="36"/>
        <v>2475.1099999999933</v>
      </c>
      <c r="H1674" s="334"/>
      <c r="I1674" s="335"/>
      <c r="J1674" s="336"/>
      <c r="K1674" s="301"/>
      <c r="L1674" s="336"/>
      <c r="M1674" s="301"/>
      <c r="N1674" s="336"/>
      <c r="O1674" s="301"/>
      <c r="P1674" s="336"/>
      <c r="Q1674" s="301"/>
      <c r="R1674" s="336"/>
      <c r="S1674" s="301"/>
      <c r="T1674" s="336"/>
    </row>
    <row r="1675" spans="1:20" ht="12" customHeight="1" x14ac:dyDescent="0.25">
      <c r="A1675" s="329" t="s">
        <v>289</v>
      </c>
      <c r="B1675" s="330">
        <v>1</v>
      </c>
      <c r="C1675" s="298">
        <v>46054</v>
      </c>
      <c r="D1675" s="299" t="s">
        <v>311</v>
      </c>
      <c r="E1675" s="331">
        <v>125.07</v>
      </c>
      <c r="F1675" s="331"/>
      <c r="G1675" s="333">
        <f t="shared" si="36"/>
        <v>2503.5899999999933</v>
      </c>
      <c r="H1675" s="334"/>
      <c r="I1675" s="335"/>
      <c r="J1675" s="336"/>
      <c r="K1675" s="301"/>
      <c r="L1675" s="336"/>
      <c r="M1675" s="301"/>
      <c r="N1675" s="336"/>
      <c r="O1675" s="301"/>
      <c r="P1675" s="336"/>
      <c r="Q1675" s="301"/>
      <c r="R1675" s="336"/>
      <c r="S1675" s="301"/>
      <c r="T1675" s="336"/>
    </row>
    <row r="1676" spans="1:20" ht="12" customHeight="1" x14ac:dyDescent="0.25">
      <c r="A1676" s="329" t="s">
        <v>289</v>
      </c>
      <c r="B1676" s="330">
        <v>2</v>
      </c>
      <c r="C1676" s="298">
        <v>46054</v>
      </c>
      <c r="D1676" s="299" t="s">
        <v>456</v>
      </c>
      <c r="E1676" s="331">
        <v>100</v>
      </c>
      <c r="F1676" s="331"/>
      <c r="G1676" s="333">
        <f t="shared" si="36"/>
        <v>2628.6599999999935</v>
      </c>
      <c r="H1676" s="334"/>
      <c r="I1676" s="335"/>
      <c r="J1676" s="336"/>
      <c r="K1676" s="301"/>
      <c r="L1676" s="336"/>
      <c r="M1676" s="301"/>
      <c r="N1676" s="336"/>
      <c r="O1676" s="301"/>
      <c r="P1676" s="336"/>
      <c r="Q1676" s="301"/>
      <c r="R1676" s="336"/>
      <c r="S1676" s="301"/>
      <c r="T1676" s="336"/>
    </row>
    <row r="1677" spans="1:20" ht="12" customHeight="1" x14ac:dyDescent="0.25">
      <c r="A1677" s="329" t="s">
        <v>289</v>
      </c>
      <c r="B1677" s="330">
        <v>1</v>
      </c>
      <c r="C1677" s="298">
        <v>46054</v>
      </c>
      <c r="D1677" s="299" t="s">
        <v>329</v>
      </c>
      <c r="E1677" s="331">
        <v>194.96</v>
      </c>
      <c r="F1677" s="331"/>
      <c r="G1677" s="333">
        <f t="shared" si="36"/>
        <v>2728.6599999999935</v>
      </c>
      <c r="H1677" s="334"/>
      <c r="I1677" s="335"/>
      <c r="J1677" s="336"/>
      <c r="K1677" s="301"/>
      <c r="L1677" s="336"/>
      <c r="M1677" s="301"/>
      <c r="N1677" s="336"/>
      <c r="O1677" s="301"/>
      <c r="P1677" s="336"/>
      <c r="Q1677" s="301"/>
      <c r="R1677" s="336"/>
      <c r="S1677" s="301"/>
      <c r="T1677" s="336"/>
    </row>
    <row r="1678" spans="1:20" ht="12" customHeight="1" x14ac:dyDescent="0.25">
      <c r="A1678" s="329" t="s">
        <v>289</v>
      </c>
      <c r="B1678" s="330">
        <v>2</v>
      </c>
      <c r="C1678" s="298">
        <v>46054</v>
      </c>
      <c r="D1678" s="299" t="s">
        <v>409</v>
      </c>
      <c r="E1678" s="331">
        <v>75.53</v>
      </c>
      <c r="F1678" s="331"/>
      <c r="G1678" s="333">
        <f t="shared" si="36"/>
        <v>2923.6199999999935</v>
      </c>
      <c r="H1678" s="334"/>
      <c r="I1678" s="335"/>
      <c r="J1678" s="336"/>
      <c r="K1678" s="301"/>
      <c r="L1678" s="336"/>
      <c r="M1678" s="301"/>
      <c r="N1678" s="336"/>
      <c r="O1678" s="301"/>
      <c r="P1678" s="336"/>
      <c r="Q1678" s="301"/>
      <c r="R1678" s="336"/>
      <c r="S1678" s="301"/>
      <c r="T1678" s="336"/>
    </row>
    <row r="1679" spans="1:20" ht="12" customHeight="1" x14ac:dyDescent="0.25">
      <c r="A1679" s="329" t="s">
        <v>284</v>
      </c>
      <c r="B1679" s="330">
        <v>37</v>
      </c>
      <c r="C1679" s="298">
        <v>46053</v>
      </c>
      <c r="D1679" s="299" t="s">
        <v>457</v>
      </c>
      <c r="E1679" s="331">
        <v>3194.64</v>
      </c>
      <c r="F1679" s="331"/>
      <c r="G1679" s="333">
        <f t="shared" si="36"/>
        <v>2999.1499999999937</v>
      </c>
      <c r="H1679" s="334"/>
      <c r="I1679" s="335"/>
      <c r="J1679" s="336"/>
      <c r="K1679" s="301"/>
      <c r="L1679" s="336"/>
      <c r="M1679" s="301"/>
      <c r="N1679" s="336"/>
      <c r="O1679" s="301"/>
      <c r="P1679" s="336"/>
      <c r="Q1679" s="301"/>
      <c r="R1679" s="336"/>
      <c r="S1679" s="301"/>
      <c r="T1679" s="336"/>
    </row>
    <row r="1680" spans="1:20" ht="12" customHeight="1" x14ac:dyDescent="0.25">
      <c r="A1680" s="329" t="s">
        <v>286</v>
      </c>
      <c r="B1680" s="330">
        <v>25</v>
      </c>
      <c r="C1680" s="298">
        <v>46053</v>
      </c>
      <c r="D1680" s="298" t="s">
        <v>204</v>
      </c>
      <c r="E1680" s="331">
        <v>350</v>
      </c>
      <c r="F1680" s="331"/>
      <c r="G1680" s="333">
        <f t="shared" si="36"/>
        <v>6193.7899999999936</v>
      </c>
      <c r="H1680" s="334"/>
      <c r="I1680" s="335"/>
      <c r="J1680" s="336"/>
      <c r="K1680" s="301"/>
      <c r="L1680" s="336"/>
      <c r="M1680" s="301"/>
      <c r="N1680" s="336"/>
      <c r="O1680" s="301"/>
      <c r="P1680" s="336"/>
      <c r="Q1680" s="301"/>
      <c r="R1680" s="336"/>
      <c r="S1680" s="301"/>
      <c r="T1680" s="336"/>
    </row>
    <row r="1681" spans="1:20" ht="12" customHeight="1" x14ac:dyDescent="0.25">
      <c r="A1681" s="329" t="s">
        <v>286</v>
      </c>
      <c r="B1681" s="330">
        <v>26</v>
      </c>
      <c r="C1681" s="298">
        <v>46053</v>
      </c>
      <c r="D1681" s="298" t="s">
        <v>205</v>
      </c>
      <c r="E1681" s="331">
        <v>320</v>
      </c>
      <c r="F1681" s="331"/>
      <c r="G1681" s="333">
        <f t="shared" si="36"/>
        <v>6543.7899999999936</v>
      </c>
      <c r="H1681" s="334"/>
      <c r="I1681" s="335"/>
      <c r="J1681" s="336"/>
      <c r="K1681" s="301"/>
      <c r="L1681" s="336"/>
      <c r="M1681" s="301"/>
      <c r="N1681" s="336"/>
      <c r="O1681" s="301"/>
      <c r="P1681" s="336"/>
      <c r="Q1681" s="301"/>
      <c r="R1681" s="336"/>
      <c r="S1681" s="301"/>
      <c r="T1681" s="336"/>
    </row>
    <row r="1682" spans="1:20" ht="12" customHeight="1" x14ac:dyDescent="0.25">
      <c r="A1682" s="329" t="s">
        <v>286</v>
      </c>
      <c r="B1682" s="330">
        <v>27</v>
      </c>
      <c r="C1682" s="298">
        <v>46053</v>
      </c>
      <c r="D1682" s="298" t="s">
        <v>206</v>
      </c>
      <c r="E1682" s="331">
        <v>25</v>
      </c>
      <c r="F1682" s="331"/>
      <c r="G1682" s="333">
        <f t="shared" si="36"/>
        <v>6863.7899999999936</v>
      </c>
      <c r="H1682" s="334"/>
      <c r="I1682" s="335"/>
      <c r="J1682" s="336"/>
      <c r="K1682" s="301"/>
      <c r="L1682" s="336"/>
      <c r="M1682" s="301"/>
      <c r="N1682" s="336"/>
      <c r="O1682" s="301"/>
      <c r="P1682" s="336"/>
      <c r="Q1682" s="301"/>
      <c r="R1682" s="336"/>
      <c r="S1682" s="301"/>
      <c r="T1682" s="336"/>
    </row>
    <row r="1683" spans="1:20" ht="12" customHeight="1" x14ac:dyDescent="0.25">
      <c r="A1683" s="329" t="s">
        <v>286</v>
      </c>
      <c r="B1683" s="330">
        <v>28</v>
      </c>
      <c r="C1683" s="298">
        <v>46053</v>
      </c>
      <c r="D1683" s="298" t="s">
        <v>207</v>
      </c>
      <c r="E1683" s="331">
        <v>25</v>
      </c>
      <c r="F1683" s="331"/>
      <c r="G1683" s="333">
        <f t="shared" si="36"/>
        <v>6888.7899999999936</v>
      </c>
      <c r="H1683" s="334"/>
      <c r="I1683" s="335"/>
      <c r="J1683" s="336"/>
      <c r="K1683" s="301"/>
      <c r="L1683" s="336"/>
      <c r="M1683" s="301"/>
      <c r="N1683" s="336"/>
      <c r="O1683" s="301"/>
      <c r="P1683" s="336"/>
      <c r="Q1683" s="301"/>
      <c r="R1683" s="336"/>
      <c r="S1683" s="301"/>
      <c r="T1683" s="336"/>
    </row>
    <row r="1684" spans="1:20" ht="12" customHeight="1" x14ac:dyDescent="0.25">
      <c r="A1684" s="329" t="s">
        <v>286</v>
      </c>
      <c r="B1684" s="330">
        <v>29</v>
      </c>
      <c r="C1684" s="298">
        <v>46053</v>
      </c>
      <c r="D1684" s="298" t="s">
        <v>208</v>
      </c>
      <c r="E1684" s="331">
        <v>45</v>
      </c>
      <c r="F1684" s="331"/>
      <c r="G1684" s="333">
        <f t="shared" si="36"/>
        <v>6913.7899999999936</v>
      </c>
      <c r="H1684" s="334"/>
      <c r="I1684" s="335"/>
      <c r="J1684" s="336"/>
      <c r="K1684" s="301"/>
      <c r="L1684" s="336"/>
      <c r="M1684" s="301"/>
      <c r="N1684" s="336"/>
      <c r="O1684" s="301"/>
      <c r="P1684" s="336"/>
      <c r="Q1684" s="301"/>
      <c r="R1684" s="336"/>
      <c r="S1684" s="301"/>
      <c r="T1684" s="336"/>
    </row>
    <row r="1685" spans="1:20" ht="12" customHeight="1" x14ac:dyDescent="0.25">
      <c r="A1685" s="329" t="s">
        <v>286</v>
      </c>
      <c r="B1685" s="330">
        <v>30</v>
      </c>
      <c r="C1685" s="298">
        <v>46053</v>
      </c>
      <c r="D1685" s="298" t="s">
        <v>209</v>
      </c>
      <c r="E1685" s="331">
        <v>400</v>
      </c>
      <c r="F1685" s="331"/>
      <c r="G1685" s="333">
        <f t="shared" si="36"/>
        <v>6958.7899999999936</v>
      </c>
      <c r="H1685" s="334"/>
      <c r="I1685" s="335"/>
      <c r="J1685" s="336"/>
      <c r="K1685" s="301"/>
      <c r="L1685" s="336"/>
      <c r="M1685" s="301"/>
      <c r="N1685" s="336"/>
      <c r="O1685" s="301"/>
      <c r="P1685" s="336"/>
      <c r="Q1685" s="301"/>
      <c r="R1685" s="336"/>
      <c r="S1685" s="301"/>
      <c r="T1685" s="336"/>
    </row>
    <row r="1686" spans="1:20" ht="12" customHeight="1" x14ac:dyDescent="0.25">
      <c r="A1686" s="329" t="s">
        <v>286</v>
      </c>
      <c r="B1686" s="330">
        <v>31</v>
      </c>
      <c r="C1686" s="298">
        <v>46053</v>
      </c>
      <c r="D1686" s="298" t="s">
        <v>210</v>
      </c>
      <c r="E1686" s="331">
        <v>375</v>
      </c>
      <c r="F1686" s="331"/>
      <c r="G1686" s="333">
        <f t="shared" si="36"/>
        <v>7358.7899999999936</v>
      </c>
      <c r="H1686" s="334"/>
      <c r="I1686" s="335"/>
      <c r="J1686" s="336"/>
      <c r="K1686" s="301"/>
      <c r="L1686" s="336"/>
      <c r="M1686" s="301"/>
      <c r="N1686" s="336"/>
      <c r="O1686" s="301"/>
      <c r="P1686" s="336"/>
      <c r="Q1686" s="301"/>
      <c r="R1686" s="336"/>
      <c r="S1686" s="301"/>
      <c r="T1686" s="336"/>
    </row>
    <row r="1687" spans="1:20" ht="12" customHeight="1" x14ac:dyDescent="0.25">
      <c r="A1687" s="329" t="s">
        <v>286</v>
      </c>
      <c r="B1687" s="330">
        <v>32</v>
      </c>
      <c r="C1687" s="298">
        <v>46053</v>
      </c>
      <c r="D1687" s="298" t="s">
        <v>211</v>
      </c>
      <c r="E1687" s="331">
        <v>100</v>
      </c>
      <c r="F1687" s="331"/>
      <c r="G1687" s="333">
        <f t="shared" si="36"/>
        <v>7733.7899999999936</v>
      </c>
      <c r="H1687" s="334"/>
      <c r="I1687" s="335"/>
      <c r="J1687" s="336"/>
      <c r="K1687" s="301"/>
      <c r="L1687" s="336"/>
      <c r="M1687" s="301"/>
      <c r="N1687" s="336"/>
      <c r="O1687" s="301"/>
      <c r="P1687" s="336"/>
      <c r="Q1687" s="301"/>
      <c r="R1687" s="336"/>
      <c r="S1687" s="301"/>
      <c r="T1687" s="336"/>
    </row>
    <row r="1688" spans="1:20" ht="12" customHeight="1" x14ac:dyDescent="0.25">
      <c r="A1688" s="329" t="s">
        <v>286</v>
      </c>
      <c r="B1688" s="330">
        <v>33</v>
      </c>
      <c r="C1688" s="298">
        <v>46053</v>
      </c>
      <c r="D1688" s="298" t="s">
        <v>212</v>
      </c>
      <c r="E1688" s="331">
        <v>85</v>
      </c>
      <c r="F1688" s="331"/>
      <c r="G1688" s="333">
        <f t="shared" si="36"/>
        <v>7833.7899999999936</v>
      </c>
      <c r="H1688" s="334"/>
      <c r="I1688" s="335"/>
      <c r="J1688" s="336"/>
      <c r="K1688" s="301"/>
      <c r="L1688" s="336"/>
      <c r="M1688" s="301"/>
      <c r="N1688" s="336"/>
      <c r="O1688" s="301"/>
      <c r="P1688" s="336"/>
      <c r="Q1688" s="301"/>
      <c r="R1688" s="336"/>
      <c r="S1688" s="301"/>
      <c r="T1688" s="336"/>
    </row>
    <row r="1689" spans="1:20" ht="12" customHeight="1" x14ac:dyDescent="0.25">
      <c r="A1689" s="329" t="s">
        <v>286</v>
      </c>
      <c r="B1689" s="330">
        <v>34</v>
      </c>
      <c r="C1689" s="298">
        <v>46053</v>
      </c>
      <c r="D1689" s="298" t="s">
        <v>213</v>
      </c>
      <c r="E1689" s="331">
        <v>230</v>
      </c>
      <c r="F1689" s="331"/>
      <c r="G1689" s="333">
        <f t="shared" si="36"/>
        <v>7918.7899999999936</v>
      </c>
      <c r="H1689" s="334"/>
      <c r="I1689" s="335"/>
      <c r="J1689" s="336"/>
      <c r="K1689" s="301"/>
      <c r="L1689" s="336"/>
      <c r="M1689" s="301"/>
      <c r="N1689" s="336"/>
      <c r="O1689" s="301"/>
      <c r="P1689" s="336"/>
      <c r="Q1689" s="301"/>
      <c r="R1689" s="336"/>
      <c r="S1689" s="301"/>
      <c r="T1689" s="336"/>
    </row>
    <row r="1690" spans="1:20" ht="12" customHeight="1" x14ac:dyDescent="0.25">
      <c r="A1690" s="329" t="s">
        <v>286</v>
      </c>
      <c r="B1690" s="330">
        <v>35</v>
      </c>
      <c r="C1690" s="298">
        <v>46053</v>
      </c>
      <c r="D1690" s="298" t="s">
        <v>214</v>
      </c>
      <c r="E1690" s="331">
        <v>45</v>
      </c>
      <c r="F1690" s="331"/>
      <c r="G1690" s="333">
        <f t="shared" si="36"/>
        <v>8148.7899999999936</v>
      </c>
      <c r="H1690" s="334"/>
      <c r="I1690" s="335"/>
      <c r="J1690" s="336"/>
      <c r="K1690" s="301"/>
      <c r="L1690" s="336"/>
      <c r="M1690" s="301"/>
      <c r="N1690" s="336"/>
      <c r="O1690" s="301"/>
      <c r="P1690" s="336"/>
      <c r="Q1690" s="301"/>
      <c r="R1690" s="336"/>
      <c r="S1690" s="301"/>
      <c r="T1690" s="336"/>
    </row>
    <row r="1691" spans="1:20" ht="12" customHeight="1" x14ac:dyDescent="0.25">
      <c r="A1691" s="329" t="s">
        <v>289</v>
      </c>
      <c r="B1691" s="330">
        <v>8</v>
      </c>
      <c r="C1691" s="298">
        <v>46053</v>
      </c>
      <c r="D1691" s="298" t="s">
        <v>319</v>
      </c>
      <c r="E1691" s="331">
        <v>31.03</v>
      </c>
      <c r="F1691" s="331"/>
      <c r="G1691" s="333">
        <f t="shared" si="36"/>
        <v>8193.7899999999936</v>
      </c>
      <c r="H1691" s="334"/>
      <c r="I1691" s="335"/>
      <c r="J1691" s="336"/>
      <c r="K1691" s="301"/>
      <c r="L1691" s="336"/>
      <c r="M1691" s="301"/>
      <c r="N1691" s="336"/>
      <c r="O1691" s="301"/>
      <c r="P1691" s="336"/>
      <c r="Q1691" s="301"/>
      <c r="R1691" s="336"/>
      <c r="S1691" s="301"/>
      <c r="T1691" s="336"/>
    </row>
    <row r="1692" spans="1:20" ht="12" customHeight="1" x14ac:dyDescent="0.25">
      <c r="A1692" s="329" t="s">
        <v>294</v>
      </c>
      <c r="B1692" s="330">
        <v>10</v>
      </c>
      <c r="C1692" s="298">
        <v>46053</v>
      </c>
      <c r="D1692" s="298" t="s">
        <v>176</v>
      </c>
      <c r="E1692" s="331">
        <v>17.899999999999999</v>
      </c>
      <c r="F1692" s="331"/>
      <c r="G1692" s="333">
        <f t="shared" si="36"/>
        <v>8224.8199999999943</v>
      </c>
      <c r="H1692" s="334"/>
      <c r="I1692" s="335"/>
      <c r="J1692" s="336"/>
      <c r="K1692" s="301"/>
      <c r="L1692" s="336"/>
      <c r="M1692" s="301"/>
      <c r="N1692" s="336"/>
      <c r="O1692" s="301"/>
      <c r="P1692" s="336"/>
      <c r="Q1692" s="301"/>
      <c r="R1692" s="336"/>
      <c r="S1692" s="301"/>
      <c r="T1692" s="336"/>
    </row>
    <row r="1693" spans="1:20" ht="12" customHeight="1" x14ac:dyDescent="0.25">
      <c r="A1693" s="329" t="s">
        <v>289</v>
      </c>
      <c r="B1693" s="330">
        <v>3</v>
      </c>
      <c r="C1693" s="298">
        <v>46053</v>
      </c>
      <c r="D1693" s="298" t="s">
        <v>347</v>
      </c>
      <c r="E1693" s="331">
        <v>18.84</v>
      </c>
      <c r="F1693" s="331"/>
      <c r="G1693" s="333">
        <f t="shared" si="36"/>
        <v>8242.7199999999939</v>
      </c>
      <c r="H1693" s="334"/>
      <c r="I1693" s="335"/>
      <c r="J1693" s="336"/>
      <c r="K1693" s="301"/>
      <c r="L1693" s="336"/>
      <c r="M1693" s="301"/>
      <c r="N1693" s="336"/>
      <c r="O1693" s="301"/>
      <c r="P1693" s="336"/>
      <c r="Q1693" s="301"/>
      <c r="R1693" s="336"/>
      <c r="S1693" s="301"/>
      <c r="T1693" s="336"/>
    </row>
    <row r="1694" spans="1:20" ht="12" customHeight="1" x14ac:dyDescent="0.25">
      <c r="A1694" s="329" t="s">
        <v>289</v>
      </c>
      <c r="B1694" s="330">
        <v>8</v>
      </c>
      <c r="C1694" s="298">
        <v>46053</v>
      </c>
      <c r="D1694" s="298" t="s">
        <v>319</v>
      </c>
      <c r="E1694" s="331">
        <v>25.54</v>
      </c>
      <c r="F1694" s="331"/>
      <c r="G1694" s="333">
        <f t="shared" si="36"/>
        <v>8261.559999999994</v>
      </c>
      <c r="H1694" s="334"/>
      <c r="I1694" s="335"/>
      <c r="J1694" s="336"/>
      <c r="K1694" s="301"/>
      <c r="L1694" s="336"/>
      <c r="M1694" s="301"/>
      <c r="N1694" s="336"/>
      <c r="O1694" s="301"/>
      <c r="P1694" s="336"/>
      <c r="Q1694" s="301"/>
      <c r="R1694" s="336"/>
      <c r="S1694" s="301"/>
      <c r="T1694" s="336"/>
    </row>
    <row r="1695" spans="1:20" ht="12" customHeight="1" x14ac:dyDescent="0.25">
      <c r="A1695" s="329" t="s">
        <v>289</v>
      </c>
      <c r="B1695" s="330">
        <v>8</v>
      </c>
      <c r="C1695" s="298">
        <v>46053</v>
      </c>
      <c r="D1695" s="298" t="s">
        <v>308</v>
      </c>
      <c r="E1695" s="331">
        <v>52.59</v>
      </c>
      <c r="F1695" s="331"/>
      <c r="G1695" s="333">
        <f t="shared" si="36"/>
        <v>8287.0999999999949</v>
      </c>
      <c r="H1695" s="334"/>
      <c r="I1695" s="335"/>
      <c r="J1695" s="336"/>
      <c r="K1695" s="301"/>
      <c r="L1695" s="336"/>
      <c r="M1695" s="301"/>
      <c r="N1695" s="336"/>
      <c r="O1695" s="301"/>
      <c r="P1695" s="336"/>
      <c r="Q1695" s="301"/>
      <c r="R1695" s="336"/>
      <c r="S1695" s="301"/>
      <c r="T1695" s="336"/>
    </row>
    <row r="1696" spans="1:20" ht="12" customHeight="1" x14ac:dyDescent="0.25">
      <c r="A1696" s="329" t="s">
        <v>335</v>
      </c>
      <c r="B1696" s="330" t="s">
        <v>335</v>
      </c>
      <c r="C1696" s="298">
        <v>46052</v>
      </c>
      <c r="D1696" s="299" t="s">
        <v>458</v>
      </c>
      <c r="E1696" s="331"/>
      <c r="F1696" s="331">
        <v>422</v>
      </c>
      <c r="G1696" s="333">
        <f t="shared" si="36"/>
        <v>8339.6899999999951</v>
      </c>
      <c r="H1696" s="334"/>
      <c r="I1696" s="335"/>
      <c r="J1696" s="336"/>
      <c r="K1696" s="301"/>
      <c r="L1696" s="336"/>
      <c r="M1696" s="301"/>
      <c r="N1696" s="336"/>
      <c r="O1696" s="301"/>
      <c r="P1696" s="336"/>
      <c r="Q1696" s="301"/>
      <c r="R1696" s="336"/>
      <c r="S1696" s="301"/>
      <c r="T1696" s="336"/>
    </row>
    <row r="1697" spans="1:20" ht="12" customHeight="1" x14ac:dyDescent="0.25">
      <c r="A1697" s="329" t="s">
        <v>289</v>
      </c>
      <c r="B1697" s="330">
        <v>5</v>
      </c>
      <c r="C1697" s="298">
        <v>46052</v>
      </c>
      <c r="D1697" s="299" t="s">
        <v>862</v>
      </c>
      <c r="E1697" s="331">
        <v>200</v>
      </c>
      <c r="F1697" s="331"/>
      <c r="G1697" s="333">
        <f t="shared" si="36"/>
        <v>7917.6899999999951</v>
      </c>
      <c r="H1697" s="334"/>
      <c r="I1697" s="335"/>
      <c r="J1697" s="336"/>
      <c r="K1697" s="301"/>
      <c r="L1697" s="336"/>
      <c r="M1697" s="301"/>
      <c r="N1697" s="336"/>
      <c r="O1697" s="301"/>
      <c r="P1697" s="336"/>
      <c r="Q1697" s="301"/>
      <c r="R1697" s="336"/>
      <c r="S1697" s="301"/>
      <c r="T1697" s="336"/>
    </row>
    <row r="1698" spans="1:20" ht="12" customHeight="1" x14ac:dyDescent="0.25">
      <c r="A1698" s="329" t="s">
        <v>289</v>
      </c>
      <c r="B1698" s="330">
        <v>2</v>
      </c>
      <c r="C1698" s="298">
        <v>46052</v>
      </c>
      <c r="D1698" s="299" t="s">
        <v>296</v>
      </c>
      <c r="E1698" s="331">
        <v>8.52</v>
      </c>
      <c r="F1698" s="331"/>
      <c r="G1698" s="333">
        <f t="shared" si="36"/>
        <v>8117.6899999999951</v>
      </c>
      <c r="H1698" s="334"/>
      <c r="I1698" s="335"/>
      <c r="J1698" s="336"/>
      <c r="K1698" s="301"/>
      <c r="L1698" s="336"/>
      <c r="M1698" s="301"/>
      <c r="N1698" s="336"/>
      <c r="O1698" s="301"/>
      <c r="P1698" s="336"/>
      <c r="Q1698" s="301"/>
      <c r="R1698" s="336"/>
      <c r="S1698" s="301"/>
      <c r="T1698" s="336"/>
    </row>
    <row r="1699" spans="1:20" ht="12" customHeight="1" x14ac:dyDescent="0.25">
      <c r="A1699" s="329" t="s">
        <v>287</v>
      </c>
      <c r="B1699" s="330" t="s">
        <v>287</v>
      </c>
      <c r="C1699" s="298">
        <v>46052</v>
      </c>
      <c r="D1699" s="299" t="s">
        <v>459</v>
      </c>
      <c r="E1699" s="331">
        <v>831.92</v>
      </c>
      <c r="F1699" s="331">
        <v>831.92</v>
      </c>
      <c r="G1699" s="333">
        <f t="shared" si="36"/>
        <v>8126.2099999999955</v>
      </c>
      <c r="H1699" s="334"/>
      <c r="I1699" s="335"/>
      <c r="J1699" s="336"/>
      <c r="K1699" s="301"/>
      <c r="L1699" s="336"/>
      <c r="M1699" s="301"/>
      <c r="N1699" s="336"/>
      <c r="O1699" s="301"/>
      <c r="P1699" s="336"/>
      <c r="Q1699" s="301"/>
      <c r="R1699" s="336"/>
      <c r="S1699" s="301"/>
      <c r="T1699" s="336"/>
    </row>
    <row r="1700" spans="1:20" ht="12" customHeight="1" x14ac:dyDescent="0.25">
      <c r="A1700" s="329" t="s">
        <v>289</v>
      </c>
      <c r="B1700" s="330">
        <v>5</v>
      </c>
      <c r="C1700" s="298">
        <v>46052</v>
      </c>
      <c r="D1700" s="299" t="s">
        <v>440</v>
      </c>
      <c r="E1700" s="331">
        <v>200</v>
      </c>
      <c r="F1700" s="331"/>
      <c r="G1700" s="333">
        <f t="shared" si="36"/>
        <v>8126.2099999999955</v>
      </c>
      <c r="H1700" s="334"/>
      <c r="I1700" s="335"/>
      <c r="J1700" s="336"/>
      <c r="K1700" s="301"/>
      <c r="L1700" s="336"/>
      <c r="M1700" s="301"/>
      <c r="N1700" s="336"/>
      <c r="O1700" s="301"/>
      <c r="P1700" s="336"/>
      <c r="Q1700" s="301"/>
      <c r="R1700" s="336"/>
      <c r="S1700" s="301"/>
      <c r="T1700" s="336"/>
    </row>
    <row r="1701" spans="1:20" ht="12" customHeight="1" x14ac:dyDescent="0.25">
      <c r="A1701" s="329" t="s">
        <v>289</v>
      </c>
      <c r="B1701" s="330">
        <v>2</v>
      </c>
      <c r="C1701" s="298">
        <v>46052</v>
      </c>
      <c r="D1701" s="299" t="s">
        <v>324</v>
      </c>
      <c r="E1701" s="331">
        <v>11.04</v>
      </c>
      <c r="F1701" s="331"/>
      <c r="G1701" s="333">
        <f t="shared" si="36"/>
        <v>8326.2099999999955</v>
      </c>
      <c r="H1701" s="334"/>
      <c r="I1701" s="335"/>
      <c r="J1701" s="336"/>
      <c r="K1701" s="301"/>
      <c r="L1701" s="336"/>
      <c r="M1701" s="301"/>
      <c r="N1701" s="336"/>
      <c r="O1701" s="301"/>
      <c r="P1701" s="336"/>
      <c r="Q1701" s="301"/>
      <c r="R1701" s="336"/>
      <c r="S1701" s="301"/>
      <c r="T1701" s="336"/>
    </row>
    <row r="1702" spans="1:20" ht="12" customHeight="1" x14ac:dyDescent="0.25">
      <c r="A1702" s="329" t="s">
        <v>291</v>
      </c>
      <c r="B1702" s="330">
        <v>38</v>
      </c>
      <c r="C1702" s="298">
        <v>46051</v>
      </c>
      <c r="D1702" s="299" t="s">
        <v>293</v>
      </c>
      <c r="E1702" s="331"/>
      <c r="F1702" s="331">
        <v>4365.6499999999996</v>
      </c>
      <c r="G1702" s="333">
        <f t="shared" si="36"/>
        <v>8337.2499999999964</v>
      </c>
      <c r="H1702" s="334"/>
      <c r="I1702" s="335"/>
      <c r="J1702" s="336"/>
      <c r="K1702" s="301"/>
      <c r="L1702" s="336"/>
      <c r="M1702" s="301"/>
      <c r="N1702" s="336"/>
      <c r="O1702" s="301"/>
      <c r="P1702" s="336"/>
      <c r="Q1702" s="301"/>
      <c r="R1702" s="336"/>
      <c r="S1702" s="301"/>
      <c r="T1702" s="336"/>
    </row>
    <row r="1703" spans="1:20" ht="12" customHeight="1" x14ac:dyDescent="0.25">
      <c r="A1703" s="329" t="s">
        <v>289</v>
      </c>
      <c r="B1703" s="330">
        <v>2</v>
      </c>
      <c r="C1703" s="298">
        <v>46051</v>
      </c>
      <c r="D1703" s="299" t="s">
        <v>296</v>
      </c>
      <c r="E1703" s="331">
        <v>18.28</v>
      </c>
      <c r="F1703" s="331"/>
      <c r="G1703" s="333">
        <f t="shared" si="36"/>
        <v>3971.5999999999976</v>
      </c>
      <c r="H1703" s="334"/>
      <c r="I1703" s="335"/>
      <c r="J1703" s="336"/>
      <c r="K1703" s="301"/>
      <c r="L1703" s="336"/>
      <c r="M1703" s="301"/>
      <c r="N1703" s="336"/>
      <c r="O1703" s="301"/>
      <c r="P1703" s="336"/>
      <c r="Q1703" s="301"/>
      <c r="R1703" s="336"/>
      <c r="S1703" s="301"/>
      <c r="T1703" s="336"/>
    </row>
    <row r="1704" spans="1:20" ht="12" customHeight="1" x14ac:dyDescent="0.25">
      <c r="A1704" s="329" t="s">
        <v>289</v>
      </c>
      <c r="B1704" s="330">
        <v>4</v>
      </c>
      <c r="C1704" s="298">
        <v>46051</v>
      </c>
      <c r="D1704" s="299" t="s">
        <v>295</v>
      </c>
      <c r="E1704" s="331">
        <v>57.06</v>
      </c>
      <c r="F1704" s="331"/>
      <c r="G1704" s="333">
        <f t="shared" si="36"/>
        <v>3989.8799999999978</v>
      </c>
      <c r="H1704" s="334"/>
      <c r="I1704" s="335"/>
      <c r="J1704" s="336"/>
      <c r="K1704" s="301"/>
      <c r="L1704" s="336"/>
      <c r="M1704" s="301"/>
      <c r="N1704" s="336"/>
      <c r="O1704" s="301"/>
      <c r="P1704" s="336"/>
      <c r="Q1704" s="301"/>
      <c r="R1704" s="336"/>
      <c r="S1704" s="301"/>
      <c r="T1704" s="336"/>
    </row>
    <row r="1705" spans="1:20" ht="12" customHeight="1" x14ac:dyDescent="0.25">
      <c r="A1705" s="329" t="s">
        <v>287</v>
      </c>
      <c r="B1705" s="330" t="s">
        <v>287</v>
      </c>
      <c r="C1705" s="298">
        <v>46051</v>
      </c>
      <c r="D1705" s="299" t="s">
        <v>460</v>
      </c>
      <c r="E1705" s="331">
        <v>89.42</v>
      </c>
      <c r="F1705" s="331">
        <v>89.42</v>
      </c>
      <c r="G1705" s="333">
        <f t="shared" si="36"/>
        <v>4046.9399999999978</v>
      </c>
      <c r="H1705" s="334"/>
      <c r="I1705" s="335"/>
      <c r="J1705" s="336"/>
      <c r="K1705" s="301"/>
      <c r="L1705" s="336"/>
      <c r="M1705" s="301"/>
      <c r="N1705" s="336"/>
      <c r="O1705" s="301"/>
      <c r="P1705" s="336"/>
      <c r="Q1705" s="301"/>
      <c r="R1705" s="336"/>
      <c r="S1705" s="301"/>
      <c r="T1705" s="336"/>
    </row>
    <row r="1706" spans="1:20" ht="12" customHeight="1" x14ac:dyDescent="0.25">
      <c r="A1706" s="329" t="s">
        <v>289</v>
      </c>
      <c r="B1706" s="330">
        <v>8</v>
      </c>
      <c r="C1706" s="298">
        <v>46051</v>
      </c>
      <c r="D1706" s="299" t="s">
        <v>461</v>
      </c>
      <c r="E1706" s="331">
        <v>59</v>
      </c>
      <c r="F1706" s="331"/>
      <c r="G1706" s="333">
        <f t="shared" si="36"/>
        <v>4046.9399999999978</v>
      </c>
      <c r="H1706" s="334"/>
      <c r="I1706" s="335"/>
      <c r="J1706" s="336"/>
      <c r="K1706" s="301"/>
      <c r="L1706" s="336"/>
      <c r="M1706" s="301"/>
      <c r="N1706" s="336"/>
      <c r="O1706" s="301"/>
      <c r="P1706" s="336"/>
      <c r="Q1706" s="301"/>
      <c r="R1706" s="336"/>
      <c r="S1706" s="301"/>
      <c r="T1706" s="336"/>
    </row>
    <row r="1707" spans="1:20" ht="12" customHeight="1" x14ac:dyDescent="0.25">
      <c r="A1707" s="329" t="s">
        <v>289</v>
      </c>
      <c r="B1707" s="330">
        <v>2</v>
      </c>
      <c r="C1707" s="298">
        <v>46051</v>
      </c>
      <c r="D1707" s="299" t="s">
        <v>370</v>
      </c>
      <c r="E1707" s="331">
        <v>19.899999999999999</v>
      </c>
      <c r="F1707" s="331"/>
      <c r="G1707" s="333">
        <f t="shared" si="36"/>
        <v>4105.9399999999978</v>
      </c>
      <c r="H1707" s="334"/>
      <c r="I1707" s="335"/>
      <c r="J1707" s="336"/>
      <c r="K1707" s="301"/>
      <c r="L1707" s="336"/>
      <c r="M1707" s="301"/>
      <c r="N1707" s="336"/>
      <c r="O1707" s="301"/>
      <c r="P1707" s="336"/>
      <c r="Q1707" s="301"/>
      <c r="R1707" s="336"/>
      <c r="S1707" s="301"/>
      <c r="T1707" s="336"/>
    </row>
    <row r="1708" spans="1:20" ht="12" customHeight="1" x14ac:dyDescent="0.25">
      <c r="A1708" s="329" t="s">
        <v>289</v>
      </c>
      <c r="B1708" s="330">
        <v>2</v>
      </c>
      <c r="C1708" s="298">
        <v>46050</v>
      </c>
      <c r="D1708" s="299" t="s">
        <v>352</v>
      </c>
      <c r="E1708" s="331">
        <v>14.99</v>
      </c>
      <c r="F1708" s="331"/>
      <c r="G1708" s="333">
        <f t="shared" si="36"/>
        <v>4125.8399999999974</v>
      </c>
      <c r="H1708" s="334"/>
      <c r="I1708" s="335"/>
      <c r="J1708" s="336"/>
      <c r="K1708" s="301"/>
      <c r="L1708" s="336"/>
      <c r="M1708" s="301"/>
      <c r="N1708" s="336"/>
      <c r="O1708" s="301"/>
      <c r="P1708" s="336"/>
      <c r="Q1708" s="301"/>
      <c r="R1708" s="336"/>
      <c r="S1708" s="301"/>
      <c r="T1708" s="336"/>
    </row>
    <row r="1709" spans="1:20" ht="12" customHeight="1" x14ac:dyDescent="0.25">
      <c r="A1709" s="329" t="s">
        <v>289</v>
      </c>
      <c r="B1709" s="330">
        <v>6</v>
      </c>
      <c r="C1709" s="298">
        <v>46050</v>
      </c>
      <c r="D1709" s="299" t="s">
        <v>462</v>
      </c>
      <c r="E1709" s="331">
        <v>25</v>
      </c>
      <c r="F1709" s="331"/>
      <c r="G1709" s="333">
        <f t="shared" si="36"/>
        <v>4140.8299999999972</v>
      </c>
      <c r="H1709" s="334"/>
      <c r="I1709" s="335"/>
      <c r="J1709" s="336"/>
      <c r="K1709" s="301"/>
      <c r="L1709" s="336"/>
      <c r="M1709" s="301"/>
      <c r="N1709" s="336"/>
      <c r="O1709" s="301"/>
      <c r="P1709" s="336"/>
      <c r="Q1709" s="301"/>
      <c r="R1709" s="336"/>
      <c r="S1709" s="301"/>
      <c r="T1709" s="336"/>
    </row>
    <row r="1710" spans="1:20" ht="12" customHeight="1" x14ac:dyDescent="0.25">
      <c r="A1710" s="329" t="s">
        <v>289</v>
      </c>
      <c r="B1710" s="330">
        <v>3</v>
      </c>
      <c r="C1710" s="298">
        <v>46050</v>
      </c>
      <c r="D1710" s="299" t="s">
        <v>863</v>
      </c>
      <c r="E1710" s="331">
        <v>6</v>
      </c>
      <c r="F1710" s="331"/>
      <c r="G1710" s="333">
        <f t="shared" si="36"/>
        <v>4165.8299999999972</v>
      </c>
      <c r="H1710" s="334"/>
      <c r="I1710" s="335"/>
      <c r="J1710" s="336"/>
      <c r="K1710" s="301"/>
      <c r="L1710" s="336"/>
      <c r="M1710" s="301"/>
      <c r="N1710" s="336"/>
      <c r="O1710" s="301"/>
      <c r="P1710" s="336"/>
      <c r="Q1710" s="301"/>
      <c r="R1710" s="336"/>
      <c r="S1710" s="301"/>
      <c r="T1710" s="336"/>
    </row>
    <row r="1711" spans="1:20" ht="12" customHeight="1" x14ac:dyDescent="0.25">
      <c r="A1711" s="329" t="s">
        <v>289</v>
      </c>
      <c r="B1711" s="330">
        <v>2</v>
      </c>
      <c r="C1711" s="298">
        <v>46050</v>
      </c>
      <c r="D1711" s="299" t="s">
        <v>864</v>
      </c>
      <c r="E1711" s="331">
        <v>15</v>
      </c>
      <c r="F1711" s="331"/>
      <c r="G1711" s="333">
        <f t="shared" si="36"/>
        <v>4171.8299999999972</v>
      </c>
      <c r="H1711" s="334"/>
      <c r="I1711" s="335"/>
      <c r="J1711" s="336"/>
      <c r="K1711" s="301"/>
      <c r="L1711" s="336"/>
      <c r="M1711" s="301"/>
      <c r="N1711" s="336"/>
      <c r="O1711" s="301"/>
      <c r="P1711" s="336"/>
      <c r="Q1711" s="301"/>
      <c r="R1711" s="336"/>
      <c r="S1711" s="301"/>
      <c r="T1711" s="336"/>
    </row>
    <row r="1712" spans="1:20" ht="12" customHeight="1" x14ac:dyDescent="0.25">
      <c r="A1712" s="329" t="s">
        <v>289</v>
      </c>
      <c r="B1712" s="330">
        <v>2</v>
      </c>
      <c r="C1712" s="298">
        <v>46050</v>
      </c>
      <c r="D1712" s="299" t="s">
        <v>296</v>
      </c>
      <c r="E1712" s="331">
        <v>12.71</v>
      </c>
      <c r="F1712" s="331"/>
      <c r="G1712" s="333">
        <f t="shared" si="36"/>
        <v>4186.8299999999972</v>
      </c>
      <c r="H1712" s="334"/>
      <c r="I1712" s="335"/>
      <c r="J1712" s="336"/>
      <c r="K1712" s="301"/>
      <c r="L1712" s="336"/>
      <c r="M1712" s="301"/>
      <c r="N1712" s="336"/>
      <c r="O1712" s="301"/>
      <c r="P1712" s="336"/>
      <c r="Q1712" s="301"/>
      <c r="R1712" s="336"/>
      <c r="S1712" s="301"/>
      <c r="T1712" s="336"/>
    </row>
    <row r="1713" spans="1:20" ht="12" customHeight="1" x14ac:dyDescent="0.25">
      <c r="A1713" s="329" t="s">
        <v>287</v>
      </c>
      <c r="B1713" s="330" t="s">
        <v>287</v>
      </c>
      <c r="C1713" s="298">
        <v>46050</v>
      </c>
      <c r="D1713" s="299" t="s">
        <v>450</v>
      </c>
      <c r="E1713" s="331">
        <v>1475.9</v>
      </c>
      <c r="F1713" s="331">
        <v>1475.9</v>
      </c>
      <c r="G1713" s="333">
        <f t="shared" si="36"/>
        <v>4199.5399999999972</v>
      </c>
      <c r="H1713" s="334"/>
      <c r="I1713" s="335"/>
      <c r="J1713" s="336"/>
      <c r="K1713" s="301"/>
      <c r="L1713" s="336"/>
      <c r="M1713" s="301"/>
      <c r="N1713" s="336"/>
      <c r="O1713" s="301"/>
      <c r="P1713" s="336"/>
      <c r="Q1713" s="301"/>
      <c r="R1713" s="336"/>
      <c r="S1713" s="301"/>
      <c r="T1713" s="336"/>
    </row>
    <row r="1714" spans="1:20" ht="12" customHeight="1" x14ac:dyDescent="0.25">
      <c r="A1714" s="329" t="s">
        <v>289</v>
      </c>
      <c r="B1714" s="330">
        <v>8</v>
      </c>
      <c r="C1714" s="298">
        <v>46050</v>
      </c>
      <c r="D1714" s="299" t="s">
        <v>319</v>
      </c>
      <c r="E1714" s="331">
        <v>28.52</v>
      </c>
      <c r="F1714" s="331"/>
      <c r="G1714" s="333">
        <f t="shared" si="36"/>
        <v>4199.5399999999972</v>
      </c>
      <c r="H1714" s="334"/>
      <c r="I1714" s="335"/>
      <c r="J1714" s="336"/>
      <c r="K1714" s="301"/>
      <c r="L1714" s="336"/>
      <c r="M1714" s="301"/>
      <c r="N1714" s="336"/>
      <c r="O1714" s="301"/>
      <c r="P1714" s="336"/>
      <c r="Q1714" s="301"/>
      <c r="R1714" s="336"/>
      <c r="S1714" s="301"/>
      <c r="T1714" s="336"/>
    </row>
    <row r="1715" spans="1:20" ht="12" customHeight="1" x14ac:dyDescent="0.25">
      <c r="A1715" s="329" t="s">
        <v>289</v>
      </c>
      <c r="B1715" s="330">
        <v>2</v>
      </c>
      <c r="C1715" s="298">
        <v>46050</v>
      </c>
      <c r="D1715" s="299" t="s">
        <v>463</v>
      </c>
      <c r="E1715" s="331">
        <v>66.94</v>
      </c>
      <c r="F1715" s="331"/>
      <c r="G1715" s="333">
        <f t="shared" si="36"/>
        <v>4228.0599999999977</v>
      </c>
      <c r="H1715" s="334"/>
      <c r="I1715" s="335"/>
      <c r="J1715" s="336"/>
      <c r="K1715" s="301"/>
      <c r="L1715" s="336"/>
      <c r="M1715" s="301"/>
      <c r="N1715" s="336"/>
      <c r="O1715" s="301"/>
      <c r="P1715" s="336"/>
      <c r="Q1715" s="301"/>
      <c r="R1715" s="336"/>
      <c r="S1715" s="301"/>
      <c r="T1715" s="336"/>
    </row>
    <row r="1716" spans="1:20" ht="12" customHeight="1" x14ac:dyDescent="0.25">
      <c r="A1716" s="329" t="s">
        <v>289</v>
      </c>
      <c r="B1716" s="330">
        <v>8</v>
      </c>
      <c r="C1716" s="298">
        <v>46049</v>
      </c>
      <c r="D1716" s="299" t="s">
        <v>308</v>
      </c>
      <c r="E1716" s="331">
        <v>47.99</v>
      </c>
      <c r="F1716" s="331"/>
      <c r="G1716" s="333">
        <f t="shared" si="36"/>
        <v>4294.9999999999973</v>
      </c>
      <c r="H1716" s="334"/>
      <c r="I1716" s="335"/>
      <c r="J1716" s="336"/>
      <c r="K1716" s="301"/>
      <c r="L1716" s="336"/>
      <c r="M1716" s="301"/>
      <c r="N1716" s="336"/>
      <c r="O1716" s="301"/>
      <c r="P1716" s="336"/>
      <c r="Q1716" s="301"/>
      <c r="R1716" s="336"/>
      <c r="S1716" s="301"/>
      <c r="T1716" s="336"/>
    </row>
    <row r="1717" spans="1:20" ht="12" customHeight="1" x14ac:dyDescent="0.25">
      <c r="A1717" s="329" t="s">
        <v>287</v>
      </c>
      <c r="B1717" s="330" t="s">
        <v>287</v>
      </c>
      <c r="C1717" s="298">
        <v>46048</v>
      </c>
      <c r="D1717" s="299" t="s">
        <v>464</v>
      </c>
      <c r="E1717" s="331"/>
      <c r="F1717" s="331">
        <v>425</v>
      </c>
      <c r="G1717" s="333">
        <f t="shared" si="36"/>
        <v>4342.9899999999971</v>
      </c>
      <c r="H1717" s="334" t="s">
        <v>298</v>
      </c>
      <c r="I1717" s="335"/>
      <c r="J1717" s="336"/>
      <c r="K1717" s="301"/>
      <c r="L1717" s="336"/>
      <c r="M1717" s="301"/>
      <c r="N1717" s="336"/>
      <c r="O1717" s="301"/>
      <c r="P1717" s="336"/>
      <c r="Q1717" s="301"/>
      <c r="R1717" s="336"/>
      <c r="S1717" s="301"/>
      <c r="T1717" s="336"/>
    </row>
    <row r="1718" spans="1:20" ht="12" customHeight="1" x14ac:dyDescent="0.25">
      <c r="A1718" s="329" t="s">
        <v>287</v>
      </c>
      <c r="B1718" s="330" t="s">
        <v>287</v>
      </c>
      <c r="C1718" s="298">
        <v>46048</v>
      </c>
      <c r="D1718" s="299" t="s">
        <v>464</v>
      </c>
      <c r="E1718" s="331">
        <v>425</v>
      </c>
      <c r="F1718" s="331"/>
      <c r="G1718" s="333">
        <f t="shared" si="36"/>
        <v>3917.9899999999971</v>
      </c>
      <c r="H1718" s="334"/>
      <c r="I1718" s="335"/>
      <c r="J1718" s="336"/>
      <c r="K1718" s="301"/>
      <c r="L1718" s="336"/>
      <c r="M1718" s="301"/>
      <c r="N1718" s="336"/>
      <c r="O1718" s="301"/>
      <c r="P1718" s="336"/>
      <c r="Q1718" s="301"/>
      <c r="R1718" s="336"/>
      <c r="S1718" s="301"/>
      <c r="T1718" s="336"/>
    </row>
    <row r="1719" spans="1:20" ht="12" customHeight="1" x14ac:dyDescent="0.25">
      <c r="A1719" s="329" t="s">
        <v>289</v>
      </c>
      <c r="B1719" s="330">
        <v>2</v>
      </c>
      <c r="C1719" s="298">
        <v>46048</v>
      </c>
      <c r="D1719" s="299" t="s">
        <v>465</v>
      </c>
      <c r="E1719" s="331">
        <v>20.12</v>
      </c>
      <c r="F1719" s="331"/>
      <c r="G1719" s="333">
        <f t="shared" si="36"/>
        <v>4342.9899999999971</v>
      </c>
      <c r="H1719" s="334"/>
      <c r="I1719" s="335"/>
      <c r="J1719" s="336"/>
      <c r="K1719" s="301"/>
      <c r="L1719" s="336"/>
      <c r="M1719" s="301"/>
      <c r="N1719" s="336"/>
      <c r="O1719" s="301"/>
      <c r="P1719" s="336"/>
      <c r="Q1719" s="301"/>
      <c r="R1719" s="336"/>
      <c r="S1719" s="301"/>
      <c r="T1719" s="336"/>
    </row>
    <row r="1720" spans="1:20" ht="12" customHeight="1" x14ac:dyDescent="0.25">
      <c r="A1720" s="329" t="s">
        <v>294</v>
      </c>
      <c r="B1720" s="330">
        <v>17</v>
      </c>
      <c r="C1720" s="298">
        <v>46048</v>
      </c>
      <c r="D1720" s="299" t="s">
        <v>466</v>
      </c>
      <c r="E1720" s="331">
        <v>42.68</v>
      </c>
      <c r="F1720" s="331"/>
      <c r="G1720" s="333">
        <f t="shared" si="36"/>
        <v>4363.1099999999969</v>
      </c>
      <c r="H1720" s="334"/>
      <c r="I1720" s="335"/>
      <c r="J1720" s="336"/>
      <c r="K1720" s="301"/>
      <c r="L1720" s="336"/>
      <c r="M1720" s="301"/>
      <c r="N1720" s="336"/>
      <c r="O1720" s="301"/>
      <c r="P1720" s="336"/>
      <c r="Q1720" s="301"/>
      <c r="R1720" s="336"/>
      <c r="S1720" s="301"/>
      <c r="T1720" s="336"/>
    </row>
    <row r="1721" spans="1:20" ht="12" customHeight="1" x14ac:dyDescent="0.25">
      <c r="A1721" s="329" t="s">
        <v>289</v>
      </c>
      <c r="B1721" s="330">
        <v>6</v>
      </c>
      <c r="C1721" s="298">
        <v>46048</v>
      </c>
      <c r="D1721" s="299" t="s">
        <v>396</v>
      </c>
      <c r="E1721" s="331">
        <v>47.9</v>
      </c>
      <c r="F1721" s="331"/>
      <c r="G1721" s="333">
        <f t="shared" si="36"/>
        <v>4405.7899999999972</v>
      </c>
      <c r="H1721" s="334"/>
      <c r="I1721" s="335"/>
      <c r="J1721" s="336"/>
      <c r="K1721" s="301"/>
      <c r="L1721" s="336"/>
      <c r="M1721" s="301"/>
      <c r="N1721" s="336"/>
      <c r="O1721" s="301"/>
      <c r="P1721" s="336"/>
      <c r="Q1721" s="301"/>
      <c r="R1721" s="336"/>
      <c r="S1721" s="301"/>
      <c r="T1721" s="336"/>
    </row>
    <row r="1722" spans="1:20" ht="12" customHeight="1" x14ac:dyDescent="0.25">
      <c r="A1722" s="329" t="s">
        <v>289</v>
      </c>
      <c r="B1722" s="330">
        <v>1</v>
      </c>
      <c r="C1722" s="298">
        <v>46047</v>
      </c>
      <c r="D1722" s="299" t="s">
        <v>455</v>
      </c>
      <c r="E1722" s="331">
        <v>105.79</v>
      </c>
      <c r="F1722" s="331"/>
      <c r="G1722" s="333">
        <f t="shared" si="36"/>
        <v>4453.6899999999969</v>
      </c>
      <c r="H1722" s="334"/>
      <c r="I1722" s="335"/>
      <c r="J1722" s="336"/>
      <c r="K1722" s="301"/>
      <c r="L1722" s="336"/>
      <c r="M1722" s="301"/>
      <c r="N1722" s="336"/>
      <c r="O1722" s="301"/>
      <c r="P1722" s="336"/>
      <c r="Q1722" s="301"/>
      <c r="R1722" s="336"/>
      <c r="S1722" s="301"/>
      <c r="T1722" s="336"/>
    </row>
    <row r="1723" spans="1:20" ht="12" customHeight="1" x14ac:dyDescent="0.25">
      <c r="A1723" s="329" t="s">
        <v>294</v>
      </c>
      <c r="B1723" s="330">
        <v>12</v>
      </c>
      <c r="C1723" s="298">
        <v>46047</v>
      </c>
      <c r="D1723" s="299" t="s">
        <v>314</v>
      </c>
      <c r="E1723" s="331">
        <v>204.83</v>
      </c>
      <c r="F1723" s="331"/>
      <c r="G1723" s="333">
        <f t="shared" si="36"/>
        <v>4559.4799999999968</v>
      </c>
      <c r="H1723" s="334"/>
      <c r="I1723" s="335"/>
      <c r="J1723" s="336"/>
      <c r="K1723" s="301"/>
      <c r="L1723" s="336"/>
      <c r="M1723" s="301"/>
      <c r="N1723" s="336"/>
      <c r="O1723" s="301"/>
      <c r="P1723" s="336"/>
      <c r="Q1723" s="301"/>
      <c r="R1723" s="336"/>
      <c r="S1723" s="301"/>
      <c r="T1723" s="336"/>
    </row>
    <row r="1724" spans="1:20" ht="12" customHeight="1" x14ac:dyDescent="0.25">
      <c r="A1724" s="329" t="s">
        <v>289</v>
      </c>
      <c r="B1724" s="330">
        <v>3</v>
      </c>
      <c r="C1724" s="298">
        <v>46047</v>
      </c>
      <c r="D1724" s="299" t="s">
        <v>347</v>
      </c>
      <c r="E1724" s="331">
        <v>8.51</v>
      </c>
      <c r="F1724" s="331"/>
      <c r="G1724" s="333">
        <f t="shared" si="36"/>
        <v>4764.3099999999968</v>
      </c>
      <c r="H1724" s="334"/>
      <c r="I1724" s="335"/>
      <c r="J1724" s="336"/>
      <c r="K1724" s="301"/>
      <c r="L1724" s="336"/>
      <c r="M1724" s="301"/>
      <c r="N1724" s="336"/>
      <c r="O1724" s="301"/>
      <c r="P1724" s="336"/>
      <c r="Q1724" s="301"/>
      <c r="R1724" s="336"/>
      <c r="S1724" s="301"/>
      <c r="T1724" s="336"/>
    </row>
    <row r="1725" spans="1:20" ht="12" customHeight="1" x14ac:dyDescent="0.25">
      <c r="A1725" s="329" t="s">
        <v>289</v>
      </c>
      <c r="B1725" s="330">
        <v>4</v>
      </c>
      <c r="C1725" s="298">
        <v>46046</v>
      </c>
      <c r="D1725" s="299" t="s">
        <v>296</v>
      </c>
      <c r="E1725" s="331">
        <v>92.96</v>
      </c>
      <c r="F1725" s="331"/>
      <c r="G1725" s="333">
        <f t="shared" si="36"/>
        <v>4772.819999999997</v>
      </c>
      <c r="H1725" s="334"/>
      <c r="I1725" s="335"/>
      <c r="J1725" s="336"/>
      <c r="K1725" s="301"/>
      <c r="L1725" s="336"/>
      <c r="M1725" s="301"/>
      <c r="N1725" s="336"/>
      <c r="O1725" s="301"/>
      <c r="P1725" s="336"/>
      <c r="Q1725" s="301"/>
      <c r="R1725" s="336"/>
      <c r="S1725" s="301"/>
      <c r="T1725" s="336"/>
    </row>
    <row r="1726" spans="1:20" ht="12" customHeight="1" x14ac:dyDescent="0.25">
      <c r="A1726" s="329" t="s">
        <v>289</v>
      </c>
      <c r="B1726" s="330">
        <v>4</v>
      </c>
      <c r="C1726" s="298">
        <v>46046</v>
      </c>
      <c r="D1726" s="299" t="s">
        <v>334</v>
      </c>
      <c r="E1726" s="331">
        <v>30.77</v>
      </c>
      <c r="F1726" s="331"/>
      <c r="G1726" s="333">
        <f t="shared" si="36"/>
        <v>4865.779999999997</v>
      </c>
      <c r="H1726" s="334"/>
      <c r="I1726" s="335"/>
      <c r="J1726" s="336"/>
      <c r="K1726" s="301"/>
      <c r="L1726" s="336"/>
      <c r="M1726" s="301"/>
      <c r="N1726" s="336"/>
      <c r="O1726" s="301"/>
      <c r="P1726" s="336"/>
      <c r="Q1726" s="301"/>
      <c r="R1726" s="336"/>
      <c r="S1726" s="301"/>
      <c r="T1726" s="336"/>
    </row>
    <row r="1727" spans="1:20" ht="12" customHeight="1" x14ac:dyDescent="0.25">
      <c r="A1727" s="329" t="s">
        <v>289</v>
      </c>
      <c r="B1727" s="330">
        <v>2</v>
      </c>
      <c r="C1727" s="298">
        <v>46046</v>
      </c>
      <c r="D1727" s="299" t="s">
        <v>357</v>
      </c>
      <c r="E1727" s="331">
        <v>9.4700000000000006</v>
      </c>
      <c r="F1727" s="331"/>
      <c r="G1727" s="333">
        <f t="shared" si="36"/>
        <v>4896.5499999999975</v>
      </c>
      <c r="H1727" s="334"/>
      <c r="I1727" s="335"/>
      <c r="J1727" s="336"/>
      <c r="K1727" s="301"/>
      <c r="L1727" s="336"/>
      <c r="M1727" s="301"/>
      <c r="N1727" s="336"/>
      <c r="O1727" s="301"/>
      <c r="P1727" s="336"/>
      <c r="Q1727" s="301"/>
      <c r="R1727" s="336"/>
      <c r="S1727" s="301"/>
      <c r="T1727" s="336"/>
    </row>
    <row r="1728" spans="1:20" ht="12" customHeight="1" x14ac:dyDescent="0.25">
      <c r="A1728" s="329" t="s">
        <v>289</v>
      </c>
      <c r="B1728" s="330">
        <v>6</v>
      </c>
      <c r="C1728" s="298">
        <v>46046</v>
      </c>
      <c r="D1728" s="299" t="s">
        <v>396</v>
      </c>
      <c r="E1728" s="331">
        <v>53.59</v>
      </c>
      <c r="F1728" s="331"/>
      <c r="G1728" s="333">
        <f t="shared" si="36"/>
        <v>4906.0199999999977</v>
      </c>
      <c r="H1728" s="334"/>
      <c r="I1728" s="335"/>
      <c r="J1728" s="336"/>
      <c r="K1728" s="301"/>
      <c r="L1728" s="336"/>
      <c r="M1728" s="301"/>
      <c r="N1728" s="336"/>
      <c r="O1728" s="301"/>
      <c r="P1728" s="336"/>
      <c r="Q1728" s="301"/>
      <c r="R1728" s="336"/>
      <c r="S1728" s="301"/>
      <c r="T1728" s="336"/>
    </row>
    <row r="1729" spans="1:20" ht="12" customHeight="1" x14ac:dyDescent="0.25">
      <c r="A1729" s="329" t="s">
        <v>289</v>
      </c>
      <c r="B1729" s="330">
        <v>1</v>
      </c>
      <c r="C1729" s="298">
        <v>46046</v>
      </c>
      <c r="D1729" s="299" t="s">
        <v>311</v>
      </c>
      <c r="E1729" s="331">
        <v>61.64</v>
      </c>
      <c r="F1729" s="331"/>
      <c r="G1729" s="333">
        <f t="shared" si="36"/>
        <v>4959.6099999999979</v>
      </c>
      <c r="H1729" s="334"/>
      <c r="I1729" s="335"/>
      <c r="J1729" s="336"/>
      <c r="K1729" s="301"/>
      <c r="L1729" s="336"/>
      <c r="M1729" s="301"/>
      <c r="N1729" s="336"/>
      <c r="O1729" s="301"/>
      <c r="P1729" s="336"/>
      <c r="Q1729" s="301"/>
      <c r="R1729" s="336"/>
      <c r="S1729" s="301"/>
      <c r="T1729" s="336"/>
    </row>
    <row r="1730" spans="1:20" ht="12" customHeight="1" x14ac:dyDescent="0.25">
      <c r="A1730" s="329" t="s">
        <v>289</v>
      </c>
      <c r="B1730" s="330">
        <v>1</v>
      </c>
      <c r="C1730" s="298">
        <v>46045</v>
      </c>
      <c r="D1730" s="299" t="s">
        <v>304</v>
      </c>
      <c r="E1730" s="331">
        <v>23.17</v>
      </c>
      <c r="F1730" s="331"/>
      <c r="G1730" s="333">
        <f t="shared" si="36"/>
        <v>5021.2499999999982</v>
      </c>
      <c r="H1730" s="334"/>
      <c r="I1730" s="335"/>
      <c r="J1730" s="336"/>
      <c r="K1730" s="301"/>
      <c r="L1730" s="336"/>
      <c r="M1730" s="301"/>
      <c r="N1730" s="336"/>
      <c r="O1730" s="301"/>
      <c r="P1730" s="336"/>
      <c r="Q1730" s="301"/>
      <c r="R1730" s="336"/>
      <c r="S1730" s="301"/>
      <c r="T1730" s="336"/>
    </row>
    <row r="1731" spans="1:20" ht="12" customHeight="1" x14ac:dyDescent="0.25">
      <c r="A1731" s="329" t="s">
        <v>289</v>
      </c>
      <c r="B1731" s="330">
        <v>4</v>
      </c>
      <c r="C1731" s="298">
        <v>46045</v>
      </c>
      <c r="D1731" s="299" t="s">
        <v>296</v>
      </c>
      <c r="E1731" s="331">
        <v>62.77</v>
      </c>
      <c r="F1731" s="331"/>
      <c r="G1731" s="333">
        <f t="shared" si="36"/>
        <v>5044.4199999999983</v>
      </c>
      <c r="H1731" s="334"/>
      <c r="I1731" s="335"/>
      <c r="J1731" s="336"/>
      <c r="K1731" s="301"/>
      <c r="L1731" s="336"/>
      <c r="M1731" s="301"/>
      <c r="N1731" s="336"/>
      <c r="O1731" s="301"/>
      <c r="P1731" s="336"/>
      <c r="Q1731" s="301"/>
      <c r="R1731" s="336"/>
      <c r="S1731" s="301"/>
      <c r="T1731" s="336"/>
    </row>
    <row r="1732" spans="1:20" ht="12" customHeight="1" x14ac:dyDescent="0.25">
      <c r="A1732" s="329" t="s">
        <v>289</v>
      </c>
      <c r="B1732" s="330">
        <v>6</v>
      </c>
      <c r="C1732" s="298">
        <v>46045</v>
      </c>
      <c r="D1732" s="299" t="s">
        <v>467</v>
      </c>
      <c r="E1732" s="331">
        <v>105.51</v>
      </c>
      <c r="F1732" s="331"/>
      <c r="G1732" s="333">
        <f t="shared" si="36"/>
        <v>5107.1899999999987</v>
      </c>
      <c r="H1732" s="334"/>
      <c r="I1732" s="335"/>
      <c r="J1732" s="336"/>
      <c r="K1732" s="301"/>
      <c r="L1732" s="336"/>
      <c r="M1732" s="301"/>
      <c r="N1732" s="336"/>
      <c r="O1732" s="301"/>
      <c r="P1732" s="336"/>
      <c r="Q1732" s="301"/>
      <c r="R1732" s="336"/>
      <c r="S1732" s="301"/>
      <c r="T1732" s="336"/>
    </row>
    <row r="1733" spans="1:20" ht="12" customHeight="1" x14ac:dyDescent="0.25">
      <c r="A1733" s="329" t="s">
        <v>289</v>
      </c>
      <c r="B1733" s="330">
        <v>3</v>
      </c>
      <c r="C1733" s="298">
        <v>46045</v>
      </c>
      <c r="D1733" s="299" t="s">
        <v>334</v>
      </c>
      <c r="E1733" s="331">
        <v>9.9499999999999993</v>
      </c>
      <c r="F1733" s="331"/>
      <c r="G1733" s="333">
        <f t="shared" si="36"/>
        <v>5212.6999999999989</v>
      </c>
      <c r="H1733" s="334"/>
      <c r="I1733" s="335"/>
      <c r="J1733" s="336"/>
      <c r="K1733" s="301"/>
      <c r="L1733" s="336"/>
      <c r="M1733" s="301"/>
      <c r="N1733" s="336"/>
      <c r="O1733" s="301"/>
      <c r="P1733" s="336"/>
      <c r="Q1733" s="301"/>
      <c r="R1733" s="336"/>
      <c r="S1733" s="301"/>
      <c r="T1733" s="336"/>
    </row>
    <row r="1734" spans="1:20" ht="12" customHeight="1" x14ac:dyDescent="0.25">
      <c r="A1734" s="329" t="s">
        <v>289</v>
      </c>
      <c r="B1734" s="330">
        <v>2</v>
      </c>
      <c r="C1734" s="298">
        <v>46045</v>
      </c>
      <c r="D1734" s="299" t="s">
        <v>357</v>
      </c>
      <c r="E1734" s="331">
        <v>10.17</v>
      </c>
      <c r="F1734" s="331"/>
      <c r="G1734" s="333">
        <f t="shared" si="36"/>
        <v>5222.6499999999987</v>
      </c>
      <c r="H1734" s="334"/>
      <c r="I1734" s="335"/>
      <c r="J1734" s="336"/>
      <c r="K1734" s="301"/>
      <c r="L1734" s="336"/>
      <c r="M1734" s="301"/>
      <c r="N1734" s="336"/>
      <c r="O1734" s="301"/>
      <c r="P1734" s="336"/>
      <c r="Q1734" s="301"/>
      <c r="R1734" s="336"/>
      <c r="S1734" s="301"/>
      <c r="T1734" s="336"/>
    </row>
    <row r="1735" spans="1:20" ht="12" customHeight="1" x14ac:dyDescent="0.25">
      <c r="A1735" s="329" t="s">
        <v>289</v>
      </c>
      <c r="B1735" s="330">
        <v>2</v>
      </c>
      <c r="C1735" s="298">
        <v>46045</v>
      </c>
      <c r="D1735" s="299" t="s">
        <v>301</v>
      </c>
      <c r="E1735" s="331">
        <v>32.200000000000003</v>
      </c>
      <c r="F1735" s="331"/>
      <c r="G1735" s="333">
        <f t="shared" si="36"/>
        <v>5232.8199999999988</v>
      </c>
      <c r="H1735" s="334"/>
      <c r="I1735" s="335"/>
      <c r="J1735" s="336"/>
      <c r="K1735" s="301"/>
      <c r="L1735" s="336"/>
      <c r="M1735" s="301"/>
      <c r="N1735" s="336"/>
      <c r="O1735" s="301"/>
      <c r="P1735" s="336"/>
      <c r="Q1735" s="301"/>
      <c r="R1735" s="336"/>
      <c r="S1735" s="301"/>
      <c r="T1735" s="336"/>
    </row>
    <row r="1736" spans="1:20" ht="12" customHeight="1" x14ac:dyDescent="0.25">
      <c r="A1736" s="329" t="s">
        <v>294</v>
      </c>
      <c r="B1736" s="330">
        <v>22</v>
      </c>
      <c r="C1736" s="298">
        <v>46045</v>
      </c>
      <c r="D1736" s="299" t="s">
        <v>860</v>
      </c>
      <c r="E1736" s="331">
        <v>5.31</v>
      </c>
      <c r="F1736" s="331"/>
      <c r="G1736" s="333">
        <f t="shared" si="36"/>
        <v>5265.0199999999986</v>
      </c>
      <c r="H1736" s="334"/>
      <c r="I1736" s="335"/>
      <c r="J1736" s="336"/>
      <c r="K1736" s="301"/>
      <c r="L1736" s="336"/>
      <c r="M1736" s="301"/>
      <c r="N1736" s="336"/>
      <c r="O1736" s="301"/>
      <c r="P1736" s="336"/>
      <c r="Q1736" s="301"/>
      <c r="R1736" s="336"/>
      <c r="S1736" s="301"/>
      <c r="T1736" s="336"/>
    </row>
    <row r="1737" spans="1:20" ht="12" customHeight="1" x14ac:dyDescent="0.25">
      <c r="A1737" s="329" t="s">
        <v>289</v>
      </c>
      <c r="B1737" s="330">
        <v>8</v>
      </c>
      <c r="C1737" s="298">
        <v>46044</v>
      </c>
      <c r="D1737" s="299" t="s">
        <v>434</v>
      </c>
      <c r="E1737" s="331">
        <v>73.95</v>
      </c>
      <c r="F1737" s="331"/>
      <c r="G1737" s="333">
        <f t="shared" si="36"/>
        <v>5270.329999999999</v>
      </c>
      <c r="H1737" s="334"/>
      <c r="I1737" s="335"/>
      <c r="J1737" s="336"/>
      <c r="K1737" s="301"/>
      <c r="L1737" s="336"/>
      <c r="M1737" s="301"/>
      <c r="N1737" s="336"/>
      <c r="O1737" s="301"/>
      <c r="P1737" s="336"/>
      <c r="Q1737" s="301"/>
      <c r="R1737" s="336"/>
      <c r="S1737" s="301"/>
      <c r="T1737" s="336"/>
    </row>
    <row r="1738" spans="1:20" ht="12" customHeight="1" x14ac:dyDescent="0.25">
      <c r="A1738" s="329" t="s">
        <v>289</v>
      </c>
      <c r="B1738" s="330">
        <v>2</v>
      </c>
      <c r="C1738" s="298">
        <v>46044</v>
      </c>
      <c r="D1738" s="299" t="s">
        <v>468</v>
      </c>
      <c r="E1738" s="331">
        <v>28.68</v>
      </c>
      <c r="F1738" s="331"/>
      <c r="G1738" s="333">
        <f t="shared" si="36"/>
        <v>5344.2799999999988</v>
      </c>
      <c r="H1738" s="334"/>
      <c r="I1738" s="335"/>
      <c r="J1738" s="336"/>
      <c r="K1738" s="301"/>
      <c r="L1738" s="336"/>
      <c r="M1738" s="301"/>
      <c r="N1738" s="336"/>
      <c r="O1738" s="301"/>
      <c r="P1738" s="336"/>
      <c r="Q1738" s="301"/>
      <c r="R1738" s="336"/>
      <c r="S1738" s="301"/>
      <c r="T1738" s="336"/>
    </row>
    <row r="1739" spans="1:20" ht="12" customHeight="1" x14ac:dyDescent="0.25">
      <c r="A1739" s="329" t="s">
        <v>289</v>
      </c>
      <c r="B1739" s="330">
        <v>8</v>
      </c>
      <c r="C1739" s="298">
        <v>46044</v>
      </c>
      <c r="D1739" s="299" t="s">
        <v>356</v>
      </c>
      <c r="E1739" s="331">
        <v>57.38</v>
      </c>
      <c r="F1739" s="331"/>
      <c r="G1739" s="333">
        <f t="shared" si="36"/>
        <v>5372.9599999999991</v>
      </c>
      <c r="H1739" s="334"/>
      <c r="I1739" s="335"/>
      <c r="J1739" s="336"/>
      <c r="K1739" s="301"/>
      <c r="L1739" s="336"/>
      <c r="M1739" s="301"/>
      <c r="N1739" s="336"/>
      <c r="O1739" s="301"/>
      <c r="P1739" s="336"/>
      <c r="Q1739" s="301"/>
      <c r="R1739" s="336"/>
      <c r="S1739" s="301"/>
      <c r="T1739" s="336"/>
    </row>
    <row r="1740" spans="1:20" ht="12" customHeight="1" x14ac:dyDescent="0.25">
      <c r="A1740" s="329" t="s">
        <v>289</v>
      </c>
      <c r="B1740" s="330">
        <v>2</v>
      </c>
      <c r="C1740" s="298">
        <v>46044</v>
      </c>
      <c r="D1740" s="299" t="s">
        <v>357</v>
      </c>
      <c r="E1740" s="331">
        <v>9.4700000000000006</v>
      </c>
      <c r="F1740" s="331"/>
      <c r="G1740" s="333">
        <f t="shared" si="36"/>
        <v>5430.3399999999992</v>
      </c>
      <c r="H1740" s="334"/>
      <c r="I1740" s="335"/>
      <c r="J1740" s="336"/>
      <c r="K1740" s="301"/>
      <c r="L1740" s="336"/>
      <c r="M1740" s="301"/>
      <c r="N1740" s="336"/>
      <c r="O1740" s="301"/>
      <c r="P1740" s="336"/>
      <c r="Q1740" s="301"/>
      <c r="R1740" s="336"/>
      <c r="S1740" s="301"/>
      <c r="T1740" s="336"/>
    </row>
    <row r="1741" spans="1:20" ht="12" customHeight="1" x14ac:dyDescent="0.25">
      <c r="A1741" s="329" t="s">
        <v>289</v>
      </c>
      <c r="B1741" s="330">
        <v>2</v>
      </c>
      <c r="C1741" s="298">
        <v>46044</v>
      </c>
      <c r="D1741" s="299" t="s">
        <v>357</v>
      </c>
      <c r="E1741" s="331">
        <v>7.18</v>
      </c>
      <c r="F1741" s="331"/>
      <c r="G1741" s="333">
        <f t="shared" si="36"/>
        <v>5439.8099999999995</v>
      </c>
      <c r="H1741" s="334"/>
      <c r="I1741" s="335"/>
      <c r="J1741" s="336"/>
      <c r="K1741" s="301"/>
      <c r="L1741" s="336"/>
      <c r="M1741" s="301"/>
      <c r="N1741" s="336"/>
      <c r="O1741" s="301"/>
      <c r="P1741" s="336"/>
      <c r="Q1741" s="301"/>
      <c r="R1741" s="336"/>
      <c r="S1741" s="301"/>
      <c r="T1741" s="336"/>
    </row>
    <row r="1742" spans="1:20" ht="12" customHeight="1" x14ac:dyDescent="0.25">
      <c r="A1742" s="329" t="s">
        <v>287</v>
      </c>
      <c r="B1742" s="330" t="s">
        <v>287</v>
      </c>
      <c r="C1742" s="298">
        <v>46044</v>
      </c>
      <c r="D1742" s="299" t="s">
        <v>315</v>
      </c>
      <c r="E1742" s="331">
        <v>126.24</v>
      </c>
      <c r="F1742" s="331">
        <v>126.24</v>
      </c>
      <c r="G1742" s="333">
        <f t="shared" si="36"/>
        <v>5446.99</v>
      </c>
      <c r="H1742" s="334"/>
      <c r="I1742" s="335"/>
      <c r="J1742" s="336"/>
      <c r="K1742" s="301"/>
      <c r="L1742" s="336"/>
      <c r="M1742" s="301"/>
      <c r="N1742" s="336"/>
      <c r="O1742" s="301"/>
      <c r="P1742" s="336"/>
      <c r="Q1742" s="301"/>
      <c r="R1742" s="336"/>
      <c r="S1742" s="301"/>
      <c r="T1742" s="336"/>
    </row>
    <row r="1743" spans="1:20" ht="12" customHeight="1" x14ac:dyDescent="0.25">
      <c r="A1743" s="329" t="s">
        <v>289</v>
      </c>
      <c r="B1743" s="330">
        <v>8</v>
      </c>
      <c r="C1743" s="298">
        <v>46043</v>
      </c>
      <c r="D1743" s="299" t="s">
        <v>469</v>
      </c>
      <c r="E1743" s="331">
        <v>17</v>
      </c>
      <c r="F1743" s="331"/>
      <c r="G1743" s="333">
        <f t="shared" si="36"/>
        <v>5446.99</v>
      </c>
      <c r="H1743" s="334"/>
      <c r="I1743" s="335"/>
      <c r="J1743" s="336"/>
      <c r="K1743" s="301"/>
      <c r="L1743" s="336"/>
      <c r="M1743" s="301"/>
      <c r="N1743" s="336"/>
      <c r="O1743" s="301"/>
      <c r="P1743" s="336"/>
      <c r="Q1743" s="301"/>
      <c r="R1743" s="336"/>
      <c r="S1743" s="301"/>
      <c r="T1743" s="336"/>
    </row>
    <row r="1744" spans="1:20" ht="12" customHeight="1" x14ac:dyDescent="0.25">
      <c r="A1744" s="329" t="s">
        <v>289</v>
      </c>
      <c r="B1744" s="330">
        <v>1</v>
      </c>
      <c r="C1744" s="298">
        <v>46043</v>
      </c>
      <c r="D1744" s="299" t="s">
        <v>329</v>
      </c>
      <c r="E1744" s="331">
        <v>24.75</v>
      </c>
      <c r="F1744" s="331"/>
      <c r="G1744" s="333">
        <f t="shared" si="36"/>
        <v>5463.99</v>
      </c>
      <c r="H1744" s="334"/>
      <c r="I1744" s="335"/>
      <c r="J1744" s="336"/>
      <c r="K1744" s="301"/>
      <c r="L1744" s="336"/>
      <c r="M1744" s="301"/>
      <c r="N1744" s="336"/>
      <c r="O1744" s="301"/>
      <c r="P1744" s="336"/>
      <c r="Q1744" s="301"/>
      <c r="R1744" s="336"/>
      <c r="S1744" s="301"/>
      <c r="T1744" s="336"/>
    </row>
    <row r="1745" spans="1:20" ht="12" customHeight="1" x14ac:dyDescent="0.25">
      <c r="A1745" s="329" t="s">
        <v>291</v>
      </c>
      <c r="B1745" s="330">
        <v>39</v>
      </c>
      <c r="C1745" s="298">
        <v>46043</v>
      </c>
      <c r="D1745" s="299" t="s">
        <v>292</v>
      </c>
      <c r="E1745" s="331"/>
      <c r="F1745" s="331">
        <v>3378.82</v>
      </c>
      <c r="G1745" s="333">
        <f t="shared" si="36"/>
        <v>5488.74</v>
      </c>
      <c r="H1745" s="334"/>
      <c r="I1745" s="335"/>
      <c r="J1745" s="336"/>
      <c r="K1745" s="301"/>
      <c r="L1745" s="336"/>
      <c r="M1745" s="301"/>
      <c r="N1745" s="336"/>
      <c r="O1745" s="301"/>
      <c r="P1745" s="336"/>
      <c r="Q1745" s="301"/>
      <c r="R1745" s="336"/>
      <c r="S1745" s="301"/>
      <c r="T1745" s="336"/>
    </row>
    <row r="1746" spans="1:20" ht="12" customHeight="1" x14ac:dyDescent="0.25">
      <c r="A1746" s="329" t="s">
        <v>294</v>
      </c>
      <c r="B1746" s="330">
        <v>23</v>
      </c>
      <c r="C1746" s="298">
        <v>46043</v>
      </c>
      <c r="D1746" s="299" t="s">
        <v>67</v>
      </c>
      <c r="E1746" s="331">
        <v>650.88</v>
      </c>
      <c r="F1746" s="331"/>
      <c r="G1746" s="333">
        <f t="shared" si="36"/>
        <v>2109.9199999999992</v>
      </c>
      <c r="H1746" s="334"/>
      <c r="I1746" s="335"/>
      <c r="J1746" s="336"/>
      <c r="K1746" s="301"/>
      <c r="L1746" s="336"/>
      <c r="M1746" s="301"/>
      <c r="N1746" s="336"/>
      <c r="O1746" s="301"/>
      <c r="P1746" s="336"/>
      <c r="Q1746" s="301"/>
      <c r="R1746" s="336"/>
      <c r="S1746" s="301"/>
      <c r="T1746" s="336"/>
    </row>
    <row r="1747" spans="1:20" ht="12" customHeight="1" x14ac:dyDescent="0.25">
      <c r="A1747" s="329" t="s">
        <v>287</v>
      </c>
      <c r="B1747" s="330" t="s">
        <v>287</v>
      </c>
      <c r="C1747" s="298">
        <v>46043</v>
      </c>
      <c r="D1747" s="299" t="s">
        <v>470</v>
      </c>
      <c r="E1747" s="331">
        <v>100</v>
      </c>
      <c r="F1747" s="331">
        <v>100</v>
      </c>
      <c r="G1747" s="333">
        <f t="shared" si="36"/>
        <v>2760.7999999999993</v>
      </c>
      <c r="H1747" s="334"/>
      <c r="I1747" s="335"/>
      <c r="J1747" s="336"/>
      <c r="K1747" s="301"/>
      <c r="L1747" s="336"/>
      <c r="M1747" s="301"/>
      <c r="N1747" s="336"/>
      <c r="O1747" s="301"/>
      <c r="P1747" s="336"/>
      <c r="Q1747" s="301"/>
      <c r="R1747" s="336"/>
      <c r="S1747" s="301"/>
      <c r="T1747" s="336"/>
    </row>
    <row r="1748" spans="1:20" ht="12" customHeight="1" x14ac:dyDescent="0.25">
      <c r="A1748" s="329" t="s">
        <v>289</v>
      </c>
      <c r="B1748" s="330">
        <v>2</v>
      </c>
      <c r="C1748" s="298">
        <v>46043</v>
      </c>
      <c r="D1748" s="299" t="s">
        <v>301</v>
      </c>
      <c r="E1748" s="331">
        <v>20</v>
      </c>
      <c r="F1748" s="331"/>
      <c r="G1748" s="333">
        <f t="shared" si="36"/>
        <v>2760.7999999999993</v>
      </c>
      <c r="H1748" s="334"/>
      <c r="I1748" s="335"/>
      <c r="J1748" s="336"/>
      <c r="K1748" s="301"/>
      <c r="L1748" s="336"/>
      <c r="M1748" s="301"/>
      <c r="N1748" s="336"/>
      <c r="O1748" s="301"/>
      <c r="P1748" s="336"/>
      <c r="Q1748" s="301"/>
      <c r="R1748" s="336"/>
      <c r="S1748" s="301"/>
      <c r="T1748" s="336"/>
    </row>
    <row r="1749" spans="1:20" ht="12" customHeight="1" x14ac:dyDescent="0.25">
      <c r="A1749" s="329" t="s">
        <v>289</v>
      </c>
      <c r="B1749" s="330">
        <v>8</v>
      </c>
      <c r="C1749" s="298">
        <v>46043</v>
      </c>
      <c r="D1749" s="299" t="s">
        <v>295</v>
      </c>
      <c r="E1749" s="331">
        <v>6.38</v>
      </c>
      <c r="F1749" s="331"/>
      <c r="G1749" s="333">
        <f t="shared" si="36"/>
        <v>2780.7999999999993</v>
      </c>
      <c r="H1749" s="334"/>
      <c r="I1749" s="335"/>
      <c r="J1749" s="336"/>
      <c r="K1749" s="301"/>
      <c r="L1749" s="336"/>
      <c r="M1749" s="301"/>
      <c r="N1749" s="336"/>
      <c r="O1749" s="301"/>
      <c r="P1749" s="336"/>
      <c r="Q1749" s="301"/>
      <c r="R1749" s="336"/>
      <c r="S1749" s="301"/>
      <c r="T1749" s="336"/>
    </row>
    <row r="1750" spans="1:20" ht="12" customHeight="1" x14ac:dyDescent="0.25">
      <c r="A1750" s="329" t="s">
        <v>289</v>
      </c>
      <c r="B1750" s="330">
        <v>2</v>
      </c>
      <c r="C1750" s="298">
        <v>46043</v>
      </c>
      <c r="D1750" s="299" t="s">
        <v>295</v>
      </c>
      <c r="E1750" s="331">
        <v>17.29</v>
      </c>
      <c r="F1750" s="331"/>
      <c r="G1750" s="333">
        <f t="shared" si="36"/>
        <v>2787.1799999999994</v>
      </c>
      <c r="H1750" s="334"/>
      <c r="I1750" s="335"/>
      <c r="J1750" s="336"/>
      <c r="K1750" s="301"/>
      <c r="L1750" s="336"/>
      <c r="M1750" s="301"/>
      <c r="N1750" s="336"/>
      <c r="O1750" s="301"/>
      <c r="P1750" s="336"/>
      <c r="Q1750" s="301"/>
      <c r="R1750" s="336"/>
      <c r="S1750" s="301"/>
      <c r="T1750" s="336"/>
    </row>
    <row r="1751" spans="1:20" ht="12" customHeight="1" x14ac:dyDescent="0.25">
      <c r="A1751" s="329" t="s">
        <v>289</v>
      </c>
      <c r="B1751" s="330">
        <v>2</v>
      </c>
      <c r="C1751" s="298">
        <v>46043</v>
      </c>
      <c r="D1751" s="299" t="s">
        <v>357</v>
      </c>
      <c r="E1751" s="331">
        <v>14.86</v>
      </c>
      <c r="F1751" s="331"/>
      <c r="G1751" s="333">
        <f t="shared" si="36"/>
        <v>2804.4699999999993</v>
      </c>
      <c r="H1751" s="334"/>
      <c r="I1751" s="335"/>
      <c r="J1751" s="336"/>
      <c r="K1751" s="301"/>
      <c r="L1751" s="336"/>
      <c r="M1751" s="301"/>
      <c r="N1751" s="336"/>
      <c r="O1751" s="301"/>
      <c r="P1751" s="336"/>
      <c r="Q1751" s="301"/>
      <c r="R1751" s="336"/>
      <c r="S1751" s="301"/>
      <c r="T1751" s="336"/>
    </row>
    <row r="1752" spans="1:20" ht="12" customHeight="1" x14ac:dyDescent="0.25">
      <c r="A1752" s="329" t="s">
        <v>289</v>
      </c>
      <c r="B1752" s="330">
        <v>2</v>
      </c>
      <c r="C1752" s="298">
        <v>46042</v>
      </c>
      <c r="D1752" s="299" t="s">
        <v>370</v>
      </c>
      <c r="E1752" s="331">
        <v>13.4</v>
      </c>
      <c r="F1752" s="331"/>
      <c r="G1752" s="333">
        <f t="shared" si="36"/>
        <v>2819.3299999999995</v>
      </c>
      <c r="H1752" s="334"/>
      <c r="I1752" s="335"/>
      <c r="J1752" s="336"/>
      <c r="K1752" s="301"/>
      <c r="L1752" s="336"/>
      <c r="M1752" s="301"/>
      <c r="N1752" s="336"/>
      <c r="O1752" s="301"/>
      <c r="P1752" s="336"/>
      <c r="Q1752" s="301"/>
      <c r="R1752" s="336"/>
      <c r="S1752" s="301"/>
      <c r="T1752" s="336"/>
    </row>
    <row r="1753" spans="1:20" ht="12" customHeight="1" x14ac:dyDescent="0.25">
      <c r="A1753" s="329" t="s">
        <v>289</v>
      </c>
      <c r="B1753" s="330">
        <v>2</v>
      </c>
      <c r="C1753" s="298">
        <v>46042</v>
      </c>
      <c r="D1753" s="299" t="s">
        <v>370</v>
      </c>
      <c r="E1753" s="331">
        <v>5.97</v>
      </c>
      <c r="F1753" s="331"/>
      <c r="G1753" s="333">
        <f t="shared" si="36"/>
        <v>2832.7299999999996</v>
      </c>
      <c r="H1753" s="334"/>
      <c r="I1753" s="335"/>
      <c r="J1753" s="336"/>
      <c r="K1753" s="301"/>
      <c r="L1753" s="336"/>
      <c r="M1753" s="301"/>
      <c r="N1753" s="336"/>
      <c r="O1753" s="301"/>
      <c r="P1753" s="336"/>
      <c r="Q1753" s="301"/>
      <c r="R1753" s="336"/>
      <c r="S1753" s="301"/>
      <c r="T1753" s="336"/>
    </row>
    <row r="1754" spans="1:20" ht="12" customHeight="1" x14ac:dyDescent="0.25">
      <c r="A1754" s="329" t="s">
        <v>294</v>
      </c>
      <c r="B1754" s="330">
        <v>22</v>
      </c>
      <c r="C1754" s="298">
        <v>46042</v>
      </c>
      <c r="D1754" s="299" t="s">
        <v>323</v>
      </c>
      <c r="E1754" s="331">
        <v>18.09</v>
      </c>
      <c r="F1754" s="331"/>
      <c r="G1754" s="333">
        <f t="shared" si="36"/>
        <v>2838.6999999999994</v>
      </c>
      <c r="H1754" s="334"/>
      <c r="I1754" s="335"/>
      <c r="J1754" s="336"/>
      <c r="K1754" s="301"/>
      <c r="L1754" s="336"/>
      <c r="M1754" s="301"/>
      <c r="N1754" s="336"/>
      <c r="O1754" s="301"/>
      <c r="P1754" s="336"/>
      <c r="Q1754" s="301"/>
      <c r="R1754" s="336"/>
      <c r="S1754" s="301"/>
      <c r="T1754" s="336"/>
    </row>
    <row r="1755" spans="1:20" ht="12" customHeight="1" x14ac:dyDescent="0.25">
      <c r="A1755" s="329" t="s">
        <v>294</v>
      </c>
      <c r="B1755" s="330">
        <v>17</v>
      </c>
      <c r="C1755" s="298">
        <v>46042</v>
      </c>
      <c r="D1755" s="299" t="s">
        <v>188</v>
      </c>
      <c r="E1755" s="331">
        <v>42.65</v>
      </c>
      <c r="F1755" s="331"/>
      <c r="G1755" s="333">
        <f t="shared" si="36"/>
        <v>2856.7899999999995</v>
      </c>
      <c r="H1755" s="334"/>
      <c r="I1755" s="335"/>
      <c r="J1755" s="336"/>
      <c r="K1755" s="301"/>
      <c r="L1755" s="336"/>
      <c r="M1755" s="301"/>
      <c r="N1755" s="336"/>
      <c r="O1755" s="301"/>
      <c r="P1755" s="336"/>
      <c r="Q1755" s="301"/>
      <c r="R1755" s="336"/>
      <c r="S1755" s="301"/>
      <c r="T1755" s="336"/>
    </row>
    <row r="1756" spans="1:20" ht="12" customHeight="1" x14ac:dyDescent="0.25">
      <c r="A1756" s="329" t="s">
        <v>335</v>
      </c>
      <c r="B1756" s="330" t="s">
        <v>335</v>
      </c>
      <c r="C1756" s="298">
        <v>46042</v>
      </c>
      <c r="D1756" s="299" t="s">
        <v>185</v>
      </c>
      <c r="E1756" s="331">
        <v>130.51</v>
      </c>
      <c r="F1756" s="331"/>
      <c r="G1756" s="333">
        <f t="shared" si="36"/>
        <v>2899.4399999999996</v>
      </c>
      <c r="H1756" s="334"/>
      <c r="I1756" s="335"/>
      <c r="J1756" s="336"/>
      <c r="K1756" s="301"/>
      <c r="L1756" s="336"/>
      <c r="M1756" s="301"/>
      <c r="N1756" s="336"/>
      <c r="O1756" s="301"/>
      <c r="P1756" s="336"/>
      <c r="Q1756" s="301"/>
      <c r="R1756" s="336"/>
      <c r="S1756" s="301"/>
      <c r="T1756" s="336"/>
    </row>
    <row r="1757" spans="1:20" ht="12" customHeight="1" x14ac:dyDescent="0.25">
      <c r="A1757" s="329" t="s">
        <v>294</v>
      </c>
      <c r="B1757" s="330">
        <v>15</v>
      </c>
      <c r="C1757" s="298">
        <v>46042</v>
      </c>
      <c r="D1757" s="299" t="s">
        <v>185</v>
      </c>
      <c r="E1757" s="331">
        <v>132.4</v>
      </c>
      <c r="F1757" s="331"/>
      <c r="G1757" s="333">
        <f t="shared" si="36"/>
        <v>3029.9499999999994</v>
      </c>
      <c r="H1757" s="334"/>
      <c r="I1757" s="335"/>
      <c r="J1757" s="336"/>
      <c r="K1757" s="301"/>
      <c r="L1757" s="336"/>
      <c r="M1757" s="301"/>
      <c r="N1757" s="336"/>
      <c r="O1757" s="301"/>
      <c r="P1757" s="336"/>
      <c r="Q1757" s="301"/>
      <c r="R1757" s="336"/>
      <c r="S1757" s="301"/>
      <c r="T1757" s="336"/>
    </row>
    <row r="1758" spans="1:20" ht="12" customHeight="1" x14ac:dyDescent="0.25">
      <c r="A1758" s="329" t="s">
        <v>294</v>
      </c>
      <c r="B1758" s="330">
        <v>23</v>
      </c>
      <c r="C1758" s="298">
        <v>46042</v>
      </c>
      <c r="D1758" s="299" t="s">
        <v>63</v>
      </c>
      <c r="E1758" s="331">
        <v>529.46</v>
      </c>
      <c r="F1758" s="331"/>
      <c r="G1758" s="333">
        <f t="shared" si="36"/>
        <v>3162.3499999999995</v>
      </c>
      <c r="H1758" s="334"/>
      <c r="I1758" s="335"/>
      <c r="J1758" s="336"/>
      <c r="K1758" s="301"/>
      <c r="L1758" s="336"/>
      <c r="M1758" s="301"/>
      <c r="N1758" s="336"/>
      <c r="O1758" s="301"/>
      <c r="P1758" s="336"/>
      <c r="Q1758" s="301"/>
      <c r="R1758" s="336"/>
      <c r="S1758" s="301"/>
      <c r="T1758" s="336"/>
    </row>
    <row r="1759" spans="1:20" ht="12" customHeight="1" x14ac:dyDescent="0.25">
      <c r="A1759" s="329" t="s">
        <v>289</v>
      </c>
      <c r="B1759" s="330">
        <v>6</v>
      </c>
      <c r="C1759" s="298">
        <v>46042</v>
      </c>
      <c r="D1759" s="299" t="s">
        <v>300</v>
      </c>
      <c r="E1759" s="331">
        <v>51.63</v>
      </c>
      <c r="F1759" s="331"/>
      <c r="G1759" s="333">
        <f t="shared" si="36"/>
        <v>3691.8099999999995</v>
      </c>
      <c r="H1759" s="334"/>
      <c r="I1759" s="335"/>
      <c r="J1759" s="336"/>
      <c r="K1759" s="301"/>
      <c r="L1759" s="336"/>
      <c r="M1759" s="301"/>
      <c r="N1759" s="336"/>
      <c r="O1759" s="301"/>
      <c r="P1759" s="336"/>
      <c r="Q1759" s="301"/>
      <c r="R1759" s="336"/>
      <c r="S1759" s="301"/>
      <c r="T1759" s="336"/>
    </row>
    <row r="1760" spans="1:20" ht="12" customHeight="1" x14ac:dyDescent="0.25">
      <c r="A1760" s="329" t="s">
        <v>289</v>
      </c>
      <c r="B1760" s="330">
        <v>2</v>
      </c>
      <c r="C1760" s="298">
        <v>46042</v>
      </c>
      <c r="D1760" s="299" t="s">
        <v>296</v>
      </c>
      <c r="E1760" s="331">
        <v>11.17</v>
      </c>
      <c r="F1760" s="331"/>
      <c r="G1760" s="333">
        <f t="shared" si="36"/>
        <v>3743.4399999999996</v>
      </c>
      <c r="H1760" s="334"/>
      <c r="I1760" s="335"/>
      <c r="J1760" s="336"/>
      <c r="K1760" s="301"/>
      <c r="L1760" s="336"/>
      <c r="M1760" s="301"/>
      <c r="N1760" s="336"/>
      <c r="O1760" s="301"/>
      <c r="P1760" s="336"/>
      <c r="Q1760" s="301"/>
      <c r="R1760" s="336"/>
      <c r="S1760" s="301"/>
      <c r="T1760" s="336"/>
    </row>
    <row r="1761" spans="1:20" ht="12" customHeight="1" x14ac:dyDescent="0.25">
      <c r="A1761" s="329" t="s">
        <v>289</v>
      </c>
      <c r="B1761" s="330">
        <v>4</v>
      </c>
      <c r="C1761" s="298">
        <v>46042</v>
      </c>
      <c r="D1761" s="299" t="s">
        <v>296</v>
      </c>
      <c r="E1761" s="331">
        <v>57.37</v>
      </c>
      <c r="F1761" s="331"/>
      <c r="G1761" s="333">
        <f t="shared" si="36"/>
        <v>3754.6099999999997</v>
      </c>
      <c r="H1761" s="334"/>
      <c r="I1761" s="335"/>
      <c r="J1761" s="336"/>
      <c r="K1761" s="301"/>
      <c r="L1761" s="336"/>
      <c r="M1761" s="301"/>
      <c r="N1761" s="336"/>
      <c r="O1761" s="301"/>
      <c r="P1761" s="336"/>
      <c r="Q1761" s="301"/>
      <c r="R1761" s="336"/>
      <c r="S1761" s="301"/>
      <c r="T1761" s="336"/>
    </row>
    <row r="1762" spans="1:20" ht="12" customHeight="1" x14ac:dyDescent="0.25">
      <c r="A1762" s="329" t="s">
        <v>294</v>
      </c>
      <c r="B1762" s="330">
        <v>22</v>
      </c>
      <c r="C1762" s="298">
        <v>46042</v>
      </c>
      <c r="D1762" s="299" t="s">
        <v>328</v>
      </c>
      <c r="E1762" s="331">
        <v>7.46</v>
      </c>
      <c r="F1762" s="331"/>
      <c r="G1762" s="333">
        <f t="shared" si="36"/>
        <v>3811.9799999999996</v>
      </c>
      <c r="H1762" s="334"/>
      <c r="I1762" s="335"/>
      <c r="J1762" s="336"/>
      <c r="K1762" s="301"/>
      <c r="L1762" s="336"/>
      <c r="M1762" s="301"/>
      <c r="N1762" s="336"/>
      <c r="O1762" s="301"/>
      <c r="P1762" s="336"/>
      <c r="Q1762" s="301"/>
      <c r="R1762" s="336"/>
      <c r="S1762" s="301"/>
      <c r="T1762" s="336"/>
    </row>
    <row r="1763" spans="1:20" ht="12" customHeight="1" x14ac:dyDescent="0.25">
      <c r="A1763" s="329" t="s">
        <v>289</v>
      </c>
      <c r="B1763" s="330">
        <v>4</v>
      </c>
      <c r="C1763" s="298">
        <v>46042</v>
      </c>
      <c r="D1763" s="299" t="s">
        <v>310</v>
      </c>
      <c r="E1763" s="331">
        <v>28.91</v>
      </c>
      <c r="F1763" s="331"/>
      <c r="G1763" s="333">
        <f t="shared" si="36"/>
        <v>3819.4399999999996</v>
      </c>
      <c r="H1763" s="334"/>
      <c r="I1763" s="335"/>
      <c r="J1763" s="336"/>
      <c r="K1763" s="301"/>
      <c r="L1763" s="336"/>
      <c r="M1763" s="301"/>
      <c r="N1763" s="336"/>
      <c r="O1763" s="301"/>
      <c r="P1763" s="336"/>
      <c r="Q1763" s="301"/>
      <c r="R1763" s="336"/>
      <c r="S1763" s="301"/>
      <c r="T1763" s="336"/>
    </row>
    <row r="1764" spans="1:20" ht="12" customHeight="1" x14ac:dyDescent="0.25">
      <c r="A1764" s="329" t="s">
        <v>289</v>
      </c>
      <c r="B1764" s="330">
        <v>6</v>
      </c>
      <c r="C1764" s="298">
        <v>46040</v>
      </c>
      <c r="D1764" s="299" t="s">
        <v>300</v>
      </c>
      <c r="E1764" s="331">
        <v>31.35</v>
      </c>
      <c r="F1764" s="331"/>
      <c r="G1764" s="333">
        <f t="shared" si="36"/>
        <v>3848.3499999999995</v>
      </c>
      <c r="H1764" s="334"/>
      <c r="I1764" s="335"/>
      <c r="J1764" s="336"/>
      <c r="K1764" s="301"/>
      <c r="L1764" s="336"/>
      <c r="M1764" s="301"/>
      <c r="N1764" s="336"/>
      <c r="O1764" s="301"/>
      <c r="P1764" s="336"/>
      <c r="Q1764" s="301"/>
      <c r="R1764" s="336"/>
      <c r="S1764" s="301"/>
      <c r="T1764" s="336"/>
    </row>
    <row r="1765" spans="1:20" ht="12" customHeight="1" x14ac:dyDescent="0.25">
      <c r="A1765" s="329" t="s">
        <v>289</v>
      </c>
      <c r="B1765" s="330">
        <v>8</v>
      </c>
      <c r="C1765" s="298">
        <v>46040</v>
      </c>
      <c r="D1765" s="299" t="s">
        <v>471</v>
      </c>
      <c r="E1765" s="331">
        <v>124.75</v>
      </c>
      <c r="F1765" s="331"/>
      <c r="G1765" s="333">
        <f t="shared" si="36"/>
        <v>3879.6999999999994</v>
      </c>
      <c r="H1765" s="334"/>
      <c r="I1765" s="335"/>
      <c r="J1765" s="336"/>
      <c r="K1765" s="301"/>
      <c r="L1765" s="336"/>
      <c r="M1765" s="301"/>
      <c r="N1765" s="336"/>
      <c r="O1765" s="301"/>
      <c r="P1765" s="336"/>
      <c r="Q1765" s="301"/>
      <c r="R1765" s="336"/>
      <c r="S1765" s="301"/>
      <c r="T1765" s="336"/>
    </row>
    <row r="1766" spans="1:20" ht="12" customHeight="1" x14ac:dyDescent="0.25">
      <c r="A1766" s="329" t="s">
        <v>289</v>
      </c>
      <c r="B1766" s="330">
        <v>3</v>
      </c>
      <c r="C1766" s="298">
        <v>46040</v>
      </c>
      <c r="D1766" s="299" t="s">
        <v>320</v>
      </c>
      <c r="E1766" s="331">
        <v>11.3</v>
      </c>
      <c r="F1766" s="331"/>
      <c r="G1766" s="333">
        <f t="shared" si="36"/>
        <v>4004.4499999999994</v>
      </c>
      <c r="H1766" s="334"/>
      <c r="I1766" s="335"/>
      <c r="J1766" s="336"/>
      <c r="K1766" s="301"/>
      <c r="L1766" s="336"/>
      <c r="M1766" s="301"/>
      <c r="N1766" s="336"/>
      <c r="O1766" s="301"/>
      <c r="P1766" s="336"/>
      <c r="Q1766" s="301"/>
      <c r="R1766" s="336"/>
      <c r="S1766" s="301"/>
      <c r="T1766" s="336"/>
    </row>
    <row r="1767" spans="1:20" ht="12" customHeight="1" x14ac:dyDescent="0.25">
      <c r="A1767" s="329" t="s">
        <v>294</v>
      </c>
      <c r="B1767" s="330">
        <v>22</v>
      </c>
      <c r="C1767" s="298">
        <v>46040</v>
      </c>
      <c r="D1767" s="299" t="s">
        <v>400</v>
      </c>
      <c r="E1767" s="331">
        <v>13.84</v>
      </c>
      <c r="F1767" s="331"/>
      <c r="G1767" s="333">
        <f t="shared" si="36"/>
        <v>4015.7499999999995</v>
      </c>
      <c r="H1767" s="334"/>
      <c r="I1767" s="335"/>
      <c r="J1767" s="336"/>
      <c r="K1767" s="301"/>
      <c r="L1767" s="336"/>
      <c r="M1767" s="301"/>
      <c r="N1767" s="336"/>
      <c r="O1767" s="301"/>
      <c r="P1767" s="336"/>
      <c r="Q1767" s="301"/>
      <c r="R1767" s="336"/>
      <c r="S1767" s="301"/>
      <c r="T1767" s="336"/>
    </row>
    <row r="1768" spans="1:20" ht="12" customHeight="1" x14ac:dyDescent="0.25">
      <c r="A1768" s="329" t="s">
        <v>289</v>
      </c>
      <c r="B1768" s="330">
        <v>1</v>
      </c>
      <c r="C1768" s="298">
        <v>46040</v>
      </c>
      <c r="D1768" s="299" t="s">
        <v>306</v>
      </c>
      <c r="E1768" s="331">
        <v>92.06</v>
      </c>
      <c r="F1768" s="331"/>
      <c r="G1768" s="333">
        <f t="shared" si="36"/>
        <v>4029.5899999999997</v>
      </c>
      <c r="H1768" s="334"/>
      <c r="I1768" s="335"/>
      <c r="J1768" s="336"/>
      <c r="K1768" s="301"/>
      <c r="L1768" s="336"/>
      <c r="M1768" s="301"/>
      <c r="N1768" s="336"/>
      <c r="O1768" s="301"/>
      <c r="P1768" s="336"/>
      <c r="Q1768" s="301"/>
      <c r="R1768" s="336"/>
      <c r="S1768" s="301"/>
      <c r="T1768" s="336"/>
    </row>
    <row r="1769" spans="1:20" ht="12" customHeight="1" x14ac:dyDescent="0.25">
      <c r="A1769" s="329" t="s">
        <v>289</v>
      </c>
      <c r="B1769" s="330">
        <v>7</v>
      </c>
      <c r="C1769" s="298">
        <v>46040</v>
      </c>
      <c r="D1769" s="299" t="s">
        <v>337</v>
      </c>
      <c r="E1769" s="331">
        <v>78.47</v>
      </c>
      <c r="F1769" s="331"/>
      <c r="G1769" s="333">
        <f t="shared" si="36"/>
        <v>4121.6499999999996</v>
      </c>
      <c r="H1769" s="334"/>
      <c r="I1769" s="335"/>
      <c r="J1769" s="336"/>
      <c r="K1769" s="301"/>
      <c r="L1769" s="336"/>
      <c r="M1769" s="301"/>
      <c r="N1769" s="336"/>
      <c r="O1769" s="301"/>
      <c r="P1769" s="336"/>
      <c r="Q1769" s="301"/>
      <c r="R1769" s="336"/>
      <c r="S1769" s="301"/>
      <c r="T1769" s="336"/>
    </row>
    <row r="1770" spans="1:20" ht="12" customHeight="1" x14ac:dyDescent="0.25">
      <c r="A1770" s="329" t="s">
        <v>289</v>
      </c>
      <c r="B1770" s="330">
        <v>1</v>
      </c>
      <c r="C1770" s="298">
        <v>46040</v>
      </c>
      <c r="D1770" s="299" t="s">
        <v>392</v>
      </c>
      <c r="E1770" s="331">
        <v>28.22</v>
      </c>
      <c r="F1770" s="331"/>
      <c r="G1770" s="333">
        <f t="shared" si="36"/>
        <v>4200.12</v>
      </c>
      <c r="H1770" s="334"/>
      <c r="I1770" s="335"/>
      <c r="J1770" s="336"/>
      <c r="K1770" s="301"/>
      <c r="L1770" s="336"/>
      <c r="M1770" s="301"/>
      <c r="N1770" s="336"/>
      <c r="O1770" s="301"/>
      <c r="P1770" s="336"/>
      <c r="Q1770" s="301"/>
      <c r="R1770" s="336"/>
      <c r="S1770" s="301"/>
      <c r="T1770" s="336"/>
    </row>
    <row r="1771" spans="1:20" ht="12" customHeight="1" x14ac:dyDescent="0.25">
      <c r="A1771" s="329" t="s">
        <v>289</v>
      </c>
      <c r="B1771" s="330">
        <v>2</v>
      </c>
      <c r="C1771" s="298">
        <v>46040</v>
      </c>
      <c r="D1771" s="299" t="s">
        <v>391</v>
      </c>
      <c r="E1771" s="331">
        <v>32.729999999999997</v>
      </c>
      <c r="F1771" s="331"/>
      <c r="G1771" s="333">
        <f t="shared" si="36"/>
        <v>4228.34</v>
      </c>
      <c r="H1771" s="334"/>
      <c r="I1771" s="335"/>
      <c r="J1771" s="336"/>
      <c r="K1771" s="301"/>
      <c r="L1771" s="336"/>
      <c r="M1771" s="301"/>
      <c r="N1771" s="336"/>
      <c r="O1771" s="301"/>
      <c r="P1771" s="336"/>
      <c r="Q1771" s="301"/>
      <c r="R1771" s="336"/>
      <c r="S1771" s="301"/>
      <c r="T1771" s="336"/>
    </row>
    <row r="1772" spans="1:20" ht="12" customHeight="1" x14ac:dyDescent="0.25">
      <c r="A1772" s="329" t="s">
        <v>294</v>
      </c>
      <c r="B1772" s="330">
        <v>42</v>
      </c>
      <c r="C1772" s="298">
        <v>46039</v>
      </c>
      <c r="D1772" s="299" t="s">
        <v>333</v>
      </c>
      <c r="E1772" s="331">
        <v>29.8</v>
      </c>
      <c r="F1772" s="331"/>
      <c r="G1772" s="333">
        <f t="shared" si="36"/>
        <v>4261.07</v>
      </c>
      <c r="H1772" s="334"/>
      <c r="I1772" s="335"/>
      <c r="J1772" s="336"/>
      <c r="K1772" s="301"/>
      <c r="L1772" s="336"/>
      <c r="M1772" s="301"/>
      <c r="N1772" s="336"/>
      <c r="O1772" s="301"/>
      <c r="P1772" s="336"/>
      <c r="Q1772" s="301"/>
      <c r="R1772" s="336"/>
      <c r="S1772" s="301"/>
      <c r="T1772" s="336"/>
    </row>
    <row r="1773" spans="1:20" ht="12" customHeight="1" x14ac:dyDescent="0.25">
      <c r="A1773" s="329" t="s">
        <v>294</v>
      </c>
      <c r="B1773" s="330">
        <v>43</v>
      </c>
      <c r="C1773" s="298">
        <v>46039</v>
      </c>
      <c r="D1773" s="299" t="s">
        <v>333</v>
      </c>
      <c r="E1773" s="331">
        <v>22.35</v>
      </c>
      <c r="F1773" s="331"/>
      <c r="G1773" s="333">
        <f t="shared" si="36"/>
        <v>4290.87</v>
      </c>
      <c r="H1773" s="334"/>
      <c r="I1773" s="335"/>
      <c r="J1773" s="336"/>
      <c r="K1773" s="301"/>
      <c r="L1773" s="336"/>
      <c r="M1773" s="301"/>
      <c r="N1773" s="336"/>
      <c r="O1773" s="301"/>
      <c r="P1773" s="336"/>
      <c r="Q1773" s="301"/>
      <c r="R1773" s="336"/>
      <c r="S1773" s="301"/>
      <c r="T1773" s="336"/>
    </row>
    <row r="1774" spans="1:20" ht="12" customHeight="1" x14ac:dyDescent="0.25">
      <c r="A1774" s="329" t="s">
        <v>289</v>
      </c>
      <c r="B1774" s="330">
        <v>8</v>
      </c>
      <c r="C1774" s="298">
        <v>46039</v>
      </c>
      <c r="D1774" s="299" t="s">
        <v>319</v>
      </c>
      <c r="E1774" s="331">
        <v>36.92</v>
      </c>
      <c r="F1774" s="331"/>
      <c r="G1774" s="333">
        <f t="shared" si="36"/>
        <v>4313.22</v>
      </c>
      <c r="H1774" s="334"/>
      <c r="I1774" s="335"/>
      <c r="J1774" s="336"/>
      <c r="K1774" s="301"/>
      <c r="L1774" s="336"/>
      <c r="M1774" s="301"/>
      <c r="N1774" s="336"/>
      <c r="O1774" s="301"/>
      <c r="P1774" s="336"/>
      <c r="Q1774" s="301"/>
      <c r="R1774" s="336"/>
      <c r="S1774" s="301"/>
      <c r="T1774" s="336"/>
    </row>
    <row r="1775" spans="1:20" ht="12" customHeight="1" x14ac:dyDescent="0.25">
      <c r="A1775" s="329" t="s">
        <v>289</v>
      </c>
      <c r="B1775" s="330">
        <v>1</v>
      </c>
      <c r="C1775" s="298">
        <v>46039</v>
      </c>
      <c r="D1775" s="299" t="s">
        <v>311</v>
      </c>
      <c r="E1775" s="331">
        <v>117.89</v>
      </c>
      <c r="F1775" s="331"/>
      <c r="G1775" s="333">
        <f t="shared" si="36"/>
        <v>4350.1400000000003</v>
      </c>
      <c r="H1775" s="334"/>
      <c r="I1775" s="335"/>
      <c r="J1775" s="336"/>
      <c r="K1775" s="301"/>
      <c r="L1775" s="336"/>
      <c r="M1775" s="301"/>
      <c r="N1775" s="336"/>
      <c r="O1775" s="301"/>
      <c r="P1775" s="336"/>
      <c r="Q1775" s="301"/>
      <c r="R1775" s="336"/>
      <c r="S1775" s="301"/>
      <c r="T1775" s="336"/>
    </row>
    <row r="1776" spans="1:20" ht="12" customHeight="1" x14ac:dyDescent="0.25">
      <c r="A1776" s="329" t="s">
        <v>289</v>
      </c>
      <c r="B1776" s="330">
        <v>1</v>
      </c>
      <c r="C1776" s="298">
        <v>46039</v>
      </c>
      <c r="D1776" s="299" t="s">
        <v>329</v>
      </c>
      <c r="E1776" s="331">
        <v>196.36</v>
      </c>
      <c r="F1776" s="331"/>
      <c r="G1776" s="333">
        <f t="shared" si="36"/>
        <v>4468.0300000000007</v>
      </c>
      <c r="H1776" s="334"/>
      <c r="I1776" s="335"/>
      <c r="J1776" s="336"/>
      <c r="K1776" s="301"/>
      <c r="L1776" s="336"/>
      <c r="M1776" s="301"/>
      <c r="N1776" s="336"/>
      <c r="O1776" s="301"/>
      <c r="P1776" s="336"/>
      <c r="Q1776" s="301"/>
      <c r="R1776" s="336"/>
      <c r="S1776" s="301"/>
      <c r="T1776" s="336"/>
    </row>
    <row r="1777" spans="1:20" ht="12" customHeight="1" x14ac:dyDescent="0.25">
      <c r="A1777" s="329" t="s">
        <v>294</v>
      </c>
      <c r="B1777" s="330">
        <v>21</v>
      </c>
      <c r="C1777" s="298">
        <v>46039</v>
      </c>
      <c r="D1777" s="299" t="s">
        <v>194</v>
      </c>
      <c r="E1777" s="331">
        <v>70.2</v>
      </c>
      <c r="F1777" s="331"/>
      <c r="G1777" s="333">
        <f t="shared" si="36"/>
        <v>4664.3900000000003</v>
      </c>
      <c r="H1777" s="334"/>
      <c r="I1777" s="335"/>
      <c r="J1777" s="336"/>
      <c r="K1777" s="301"/>
      <c r="L1777" s="336"/>
      <c r="M1777" s="301"/>
      <c r="N1777" s="336"/>
      <c r="O1777" s="301"/>
      <c r="P1777" s="336"/>
      <c r="Q1777" s="301"/>
      <c r="R1777" s="336"/>
      <c r="S1777" s="301"/>
      <c r="T1777" s="336"/>
    </row>
    <row r="1778" spans="1:20" ht="12" customHeight="1" x14ac:dyDescent="0.25">
      <c r="A1778" s="329" t="s">
        <v>289</v>
      </c>
      <c r="B1778" s="330">
        <v>2</v>
      </c>
      <c r="C1778" s="298">
        <v>46038</v>
      </c>
      <c r="D1778" s="299" t="s">
        <v>324</v>
      </c>
      <c r="E1778" s="331">
        <v>13.14</v>
      </c>
      <c r="F1778" s="331"/>
      <c r="G1778" s="333">
        <f t="shared" si="36"/>
        <v>4734.59</v>
      </c>
      <c r="H1778" s="334"/>
      <c r="I1778" s="335"/>
      <c r="J1778" s="336"/>
      <c r="K1778" s="301"/>
      <c r="L1778" s="336"/>
      <c r="M1778" s="301"/>
      <c r="N1778" s="336"/>
      <c r="O1778" s="301"/>
      <c r="P1778" s="336"/>
      <c r="Q1778" s="301"/>
      <c r="R1778" s="336"/>
      <c r="S1778" s="301"/>
      <c r="T1778" s="336"/>
    </row>
    <row r="1779" spans="1:20" ht="12" customHeight="1" x14ac:dyDescent="0.25">
      <c r="A1779" s="329" t="s">
        <v>289</v>
      </c>
      <c r="B1779" s="330">
        <v>2</v>
      </c>
      <c r="C1779" s="298">
        <v>46038</v>
      </c>
      <c r="D1779" s="299" t="s">
        <v>296</v>
      </c>
      <c r="E1779" s="331">
        <v>18.489999999999998</v>
      </c>
      <c r="F1779" s="331"/>
      <c r="G1779" s="333">
        <f t="shared" si="36"/>
        <v>4747.7300000000005</v>
      </c>
      <c r="H1779" s="334"/>
      <c r="I1779" s="335"/>
      <c r="J1779" s="336"/>
      <c r="K1779" s="301"/>
      <c r="L1779" s="336"/>
      <c r="M1779" s="301"/>
      <c r="N1779" s="336"/>
      <c r="O1779" s="301"/>
      <c r="P1779" s="336"/>
      <c r="Q1779" s="301"/>
      <c r="R1779" s="336"/>
      <c r="S1779" s="301"/>
      <c r="T1779" s="336"/>
    </row>
    <row r="1780" spans="1:20" ht="12" customHeight="1" x14ac:dyDescent="0.25">
      <c r="A1780" s="329" t="s">
        <v>291</v>
      </c>
      <c r="B1780" s="330">
        <v>41</v>
      </c>
      <c r="C1780" s="298">
        <v>46038</v>
      </c>
      <c r="D1780" s="299" t="s">
        <v>472</v>
      </c>
      <c r="E1780" s="331"/>
      <c r="F1780" s="331">
        <v>800</v>
      </c>
      <c r="G1780" s="333">
        <f t="shared" si="36"/>
        <v>4766.22</v>
      </c>
      <c r="H1780" s="334" t="s">
        <v>298</v>
      </c>
      <c r="I1780" s="335"/>
      <c r="J1780" s="336"/>
      <c r="K1780" s="301"/>
      <c r="L1780" s="336"/>
      <c r="M1780" s="301"/>
      <c r="N1780" s="336"/>
      <c r="O1780" s="301"/>
      <c r="P1780" s="336"/>
      <c r="Q1780" s="301"/>
      <c r="R1780" s="336"/>
      <c r="S1780" s="301"/>
      <c r="T1780" s="336"/>
    </row>
    <row r="1781" spans="1:20" ht="12" customHeight="1" x14ac:dyDescent="0.25">
      <c r="A1781" s="329" t="s">
        <v>294</v>
      </c>
      <c r="B1781" s="330">
        <v>18</v>
      </c>
      <c r="C1781" s="298">
        <v>46038</v>
      </c>
      <c r="D1781" s="299" t="s">
        <v>360</v>
      </c>
      <c r="E1781" s="331">
        <v>400</v>
      </c>
      <c r="F1781" s="331"/>
      <c r="G1781" s="333">
        <f t="shared" si="36"/>
        <v>3966.2200000000003</v>
      </c>
      <c r="H1781" s="334"/>
      <c r="I1781" s="335"/>
      <c r="J1781" s="336"/>
      <c r="K1781" s="301"/>
      <c r="L1781" s="336"/>
      <c r="M1781" s="301"/>
      <c r="N1781" s="336"/>
      <c r="O1781" s="301"/>
      <c r="P1781" s="336"/>
      <c r="Q1781" s="301"/>
      <c r="R1781" s="336"/>
      <c r="S1781" s="301"/>
      <c r="T1781" s="336"/>
    </row>
    <row r="1782" spans="1:20" ht="12" customHeight="1" x14ac:dyDescent="0.25">
      <c r="A1782" s="329" t="s">
        <v>294</v>
      </c>
      <c r="B1782" s="330">
        <v>19</v>
      </c>
      <c r="C1782" s="298">
        <v>46038</v>
      </c>
      <c r="D1782" s="299" t="s">
        <v>191</v>
      </c>
      <c r="E1782" s="331">
        <v>200</v>
      </c>
      <c r="F1782" s="331"/>
      <c r="G1782" s="333">
        <f t="shared" si="36"/>
        <v>4366.22</v>
      </c>
      <c r="H1782" s="334"/>
      <c r="I1782" s="335"/>
      <c r="J1782" s="336"/>
      <c r="K1782" s="301"/>
      <c r="L1782" s="336"/>
      <c r="M1782" s="301"/>
      <c r="N1782" s="336"/>
      <c r="O1782" s="301"/>
      <c r="P1782" s="336"/>
      <c r="Q1782" s="301"/>
      <c r="R1782" s="336"/>
      <c r="S1782" s="301"/>
      <c r="T1782" s="336"/>
    </row>
    <row r="1783" spans="1:20" ht="12" customHeight="1" x14ac:dyDescent="0.25">
      <c r="A1783" s="329" t="s">
        <v>294</v>
      </c>
      <c r="B1783" s="330">
        <v>11</v>
      </c>
      <c r="C1783" s="298">
        <v>46038</v>
      </c>
      <c r="D1783" s="299" t="s">
        <v>178</v>
      </c>
      <c r="E1783" s="331">
        <v>267.95999999999998</v>
      </c>
      <c r="F1783" s="331"/>
      <c r="G1783" s="333">
        <f t="shared" si="36"/>
        <v>4566.22</v>
      </c>
      <c r="H1783" s="334"/>
      <c r="I1783" s="335"/>
      <c r="J1783" s="336"/>
      <c r="K1783" s="301"/>
      <c r="L1783" s="336"/>
      <c r="M1783" s="301"/>
      <c r="N1783" s="336"/>
      <c r="O1783" s="301"/>
      <c r="P1783" s="336"/>
      <c r="Q1783" s="301"/>
      <c r="R1783" s="336"/>
      <c r="S1783" s="301"/>
      <c r="T1783" s="336"/>
    </row>
    <row r="1784" spans="1:20" ht="12" customHeight="1" x14ac:dyDescent="0.25">
      <c r="A1784" s="329" t="s">
        <v>289</v>
      </c>
      <c r="B1784" s="330">
        <v>8</v>
      </c>
      <c r="C1784" s="298">
        <v>46037</v>
      </c>
      <c r="D1784" s="299" t="s">
        <v>356</v>
      </c>
      <c r="E1784" s="331">
        <v>59.95</v>
      </c>
      <c r="F1784" s="331"/>
      <c r="G1784" s="333">
        <f t="shared" si="36"/>
        <v>4834.18</v>
      </c>
      <c r="H1784" s="334"/>
      <c r="I1784" s="335"/>
      <c r="J1784" s="336"/>
      <c r="K1784" s="301"/>
      <c r="L1784" s="336"/>
      <c r="M1784" s="301"/>
      <c r="N1784" s="336"/>
      <c r="O1784" s="301"/>
      <c r="P1784" s="336"/>
      <c r="Q1784" s="301"/>
      <c r="R1784" s="336"/>
      <c r="S1784" s="301"/>
      <c r="T1784" s="336"/>
    </row>
    <row r="1785" spans="1:20" ht="12" customHeight="1" x14ac:dyDescent="0.25">
      <c r="A1785" s="329" t="s">
        <v>289</v>
      </c>
      <c r="B1785" s="330">
        <v>2</v>
      </c>
      <c r="C1785" s="298">
        <v>46037</v>
      </c>
      <c r="D1785" s="299" t="s">
        <v>356</v>
      </c>
      <c r="E1785" s="331">
        <v>59.96</v>
      </c>
      <c r="F1785" s="331"/>
      <c r="G1785" s="333">
        <f t="shared" si="36"/>
        <v>4894.13</v>
      </c>
      <c r="H1785" s="334"/>
      <c r="I1785" s="335"/>
      <c r="J1785" s="336"/>
      <c r="K1785" s="301"/>
      <c r="L1785" s="336"/>
      <c r="M1785" s="301"/>
      <c r="N1785" s="336"/>
      <c r="O1785" s="301"/>
      <c r="P1785" s="336"/>
      <c r="Q1785" s="301"/>
      <c r="R1785" s="336"/>
      <c r="S1785" s="301"/>
      <c r="T1785" s="336"/>
    </row>
    <row r="1786" spans="1:20" ht="12" customHeight="1" x14ac:dyDescent="0.25">
      <c r="A1786" s="329" t="s">
        <v>289</v>
      </c>
      <c r="B1786" s="330">
        <v>8</v>
      </c>
      <c r="C1786" s="298">
        <v>46037</v>
      </c>
      <c r="D1786" s="299" t="s">
        <v>319</v>
      </c>
      <c r="E1786" s="331">
        <v>12.43</v>
      </c>
      <c r="F1786" s="331"/>
      <c r="G1786" s="333">
        <f t="shared" si="36"/>
        <v>4954.09</v>
      </c>
      <c r="H1786" s="334"/>
      <c r="I1786" s="335"/>
      <c r="J1786" s="336"/>
      <c r="K1786" s="301"/>
      <c r="L1786" s="336"/>
      <c r="M1786" s="301"/>
      <c r="N1786" s="336"/>
      <c r="O1786" s="301"/>
      <c r="P1786" s="336"/>
      <c r="Q1786" s="301"/>
      <c r="R1786" s="336"/>
      <c r="S1786" s="301"/>
      <c r="T1786" s="336"/>
    </row>
    <row r="1787" spans="1:20" ht="12" customHeight="1" x14ac:dyDescent="0.25">
      <c r="A1787" s="329" t="s">
        <v>289</v>
      </c>
      <c r="B1787" s="330">
        <v>2</v>
      </c>
      <c r="C1787" s="298">
        <v>46037</v>
      </c>
      <c r="D1787" s="299" t="s">
        <v>296</v>
      </c>
      <c r="E1787" s="331">
        <v>11.07</v>
      </c>
      <c r="F1787" s="331"/>
      <c r="G1787" s="333">
        <f t="shared" si="36"/>
        <v>4966.5200000000004</v>
      </c>
      <c r="H1787" s="334"/>
      <c r="I1787" s="335"/>
      <c r="J1787" s="336"/>
      <c r="K1787" s="301"/>
      <c r="L1787" s="336"/>
      <c r="M1787" s="301"/>
      <c r="N1787" s="336"/>
      <c r="O1787" s="301"/>
      <c r="P1787" s="336"/>
      <c r="Q1787" s="301"/>
      <c r="R1787" s="336"/>
      <c r="S1787" s="301"/>
      <c r="T1787" s="336"/>
    </row>
    <row r="1788" spans="1:20" ht="12" customHeight="1" x14ac:dyDescent="0.25">
      <c r="A1788" s="329" t="s">
        <v>289</v>
      </c>
      <c r="B1788" s="330">
        <v>4</v>
      </c>
      <c r="C1788" s="298">
        <v>46037</v>
      </c>
      <c r="D1788" s="299" t="s">
        <v>296</v>
      </c>
      <c r="E1788" s="331">
        <v>52.3</v>
      </c>
      <c r="F1788" s="331"/>
      <c r="G1788" s="333">
        <f t="shared" si="36"/>
        <v>4977.59</v>
      </c>
      <c r="H1788" s="334"/>
      <c r="I1788" s="335"/>
      <c r="J1788" s="336"/>
      <c r="K1788" s="301"/>
      <c r="L1788" s="336"/>
      <c r="M1788" s="301"/>
      <c r="N1788" s="336"/>
      <c r="O1788" s="301"/>
      <c r="P1788" s="336"/>
      <c r="Q1788" s="301"/>
      <c r="R1788" s="336"/>
      <c r="S1788" s="301"/>
      <c r="T1788" s="336"/>
    </row>
    <row r="1789" spans="1:20" ht="12" customHeight="1" x14ac:dyDescent="0.25">
      <c r="A1789" s="329" t="s">
        <v>289</v>
      </c>
      <c r="B1789" s="330">
        <v>6</v>
      </c>
      <c r="C1789" s="298">
        <v>46037</v>
      </c>
      <c r="D1789" s="299" t="s">
        <v>435</v>
      </c>
      <c r="E1789" s="331">
        <v>50</v>
      </c>
      <c r="F1789" s="331"/>
      <c r="G1789" s="333">
        <f t="shared" si="36"/>
        <v>5029.8900000000003</v>
      </c>
      <c r="H1789" s="334"/>
      <c r="I1789" s="335"/>
      <c r="J1789" s="336"/>
      <c r="K1789" s="301"/>
      <c r="L1789" s="336"/>
      <c r="M1789" s="301"/>
      <c r="N1789" s="336"/>
      <c r="O1789" s="301"/>
      <c r="P1789" s="336"/>
      <c r="Q1789" s="301"/>
      <c r="R1789" s="336"/>
      <c r="S1789" s="301"/>
      <c r="T1789" s="336"/>
    </row>
    <row r="1790" spans="1:20" ht="12" customHeight="1" x14ac:dyDescent="0.25">
      <c r="A1790" s="329" t="s">
        <v>291</v>
      </c>
      <c r="B1790" s="330">
        <v>38</v>
      </c>
      <c r="C1790" s="298">
        <v>46037</v>
      </c>
      <c r="D1790" s="299" t="s">
        <v>293</v>
      </c>
      <c r="E1790" s="331"/>
      <c r="F1790" s="331">
        <v>4365.67</v>
      </c>
      <c r="G1790" s="333">
        <f t="shared" si="36"/>
        <v>5079.8900000000003</v>
      </c>
      <c r="H1790" s="334"/>
      <c r="I1790" s="335"/>
      <c r="J1790" s="336"/>
      <c r="K1790" s="301"/>
      <c r="L1790" s="336"/>
      <c r="M1790" s="301"/>
      <c r="N1790" s="336"/>
      <c r="O1790" s="301"/>
      <c r="P1790" s="336"/>
      <c r="Q1790" s="301"/>
      <c r="R1790" s="336"/>
      <c r="S1790" s="301"/>
      <c r="T1790" s="336"/>
    </row>
    <row r="1791" spans="1:20" ht="12" customHeight="1" x14ac:dyDescent="0.25">
      <c r="A1791" s="329" t="s">
        <v>289</v>
      </c>
      <c r="B1791" s="330">
        <v>4</v>
      </c>
      <c r="C1791" s="298">
        <v>46036</v>
      </c>
      <c r="D1791" s="299" t="s">
        <v>295</v>
      </c>
      <c r="E1791" s="331">
        <v>30.91</v>
      </c>
      <c r="F1791" s="331"/>
      <c r="G1791" s="333">
        <f t="shared" si="36"/>
        <v>714.22</v>
      </c>
      <c r="H1791" s="334"/>
      <c r="I1791" s="335"/>
      <c r="J1791" s="336"/>
      <c r="K1791" s="301"/>
      <c r="L1791" s="336"/>
      <c r="M1791" s="301"/>
      <c r="N1791" s="336"/>
      <c r="O1791" s="301"/>
      <c r="P1791" s="336"/>
      <c r="Q1791" s="301"/>
      <c r="R1791" s="336"/>
      <c r="S1791" s="301"/>
      <c r="T1791" s="336"/>
    </row>
    <row r="1792" spans="1:20" ht="12" customHeight="1" x14ac:dyDescent="0.25">
      <c r="A1792" s="329" t="s">
        <v>289</v>
      </c>
      <c r="B1792" s="330">
        <v>3</v>
      </c>
      <c r="C1792" s="298">
        <v>46036</v>
      </c>
      <c r="D1792" s="299" t="s">
        <v>347</v>
      </c>
      <c r="E1792" s="331">
        <v>8.67</v>
      </c>
      <c r="F1792" s="331"/>
      <c r="G1792" s="333">
        <f t="shared" si="36"/>
        <v>745.13</v>
      </c>
      <c r="H1792" s="334"/>
      <c r="I1792" s="335"/>
      <c r="J1792" s="336"/>
      <c r="K1792" s="301"/>
      <c r="L1792" s="336"/>
      <c r="M1792" s="301"/>
      <c r="N1792" s="336"/>
      <c r="O1792" s="301"/>
      <c r="P1792" s="336"/>
      <c r="Q1792" s="301"/>
      <c r="R1792" s="336"/>
      <c r="S1792" s="301"/>
      <c r="T1792" s="336"/>
    </row>
    <row r="1793" spans="1:20" ht="12" customHeight="1" x14ac:dyDescent="0.25">
      <c r="A1793" s="329" t="s">
        <v>289</v>
      </c>
      <c r="B1793" s="330">
        <v>3</v>
      </c>
      <c r="C1793" s="298">
        <v>46035</v>
      </c>
      <c r="D1793" s="299" t="s">
        <v>350</v>
      </c>
      <c r="E1793" s="331">
        <v>25.01</v>
      </c>
      <c r="F1793" s="331"/>
      <c r="G1793" s="333">
        <f t="shared" si="36"/>
        <v>753.8</v>
      </c>
      <c r="H1793" s="334"/>
      <c r="I1793" s="335"/>
      <c r="J1793" s="336"/>
      <c r="K1793" s="301"/>
      <c r="L1793" s="336"/>
      <c r="M1793" s="301"/>
      <c r="N1793" s="336"/>
      <c r="O1793" s="301"/>
      <c r="P1793" s="336"/>
      <c r="Q1793" s="301"/>
      <c r="R1793" s="336"/>
      <c r="S1793" s="301"/>
      <c r="T1793" s="336"/>
    </row>
    <row r="1794" spans="1:20" ht="12" customHeight="1" x14ac:dyDescent="0.25">
      <c r="A1794" s="329" t="s">
        <v>289</v>
      </c>
      <c r="B1794" s="330">
        <v>6</v>
      </c>
      <c r="C1794" s="298">
        <v>46035</v>
      </c>
      <c r="D1794" s="299" t="s">
        <v>411</v>
      </c>
      <c r="E1794" s="331">
        <v>-5.9</v>
      </c>
      <c r="F1794" s="331"/>
      <c r="G1794" s="333">
        <f t="shared" si="36"/>
        <v>778.81</v>
      </c>
      <c r="H1794" s="334"/>
      <c r="I1794" s="335"/>
      <c r="J1794" s="336"/>
      <c r="K1794" s="301"/>
      <c r="L1794" s="336"/>
      <c r="M1794" s="301"/>
      <c r="N1794" s="336"/>
      <c r="O1794" s="301"/>
      <c r="P1794" s="336"/>
      <c r="Q1794" s="301"/>
      <c r="R1794" s="336"/>
      <c r="S1794" s="301"/>
      <c r="T1794" s="336"/>
    </row>
    <row r="1795" spans="1:20" ht="12" customHeight="1" x14ac:dyDescent="0.25">
      <c r="A1795" s="329" t="s">
        <v>289</v>
      </c>
      <c r="B1795" s="330">
        <v>6</v>
      </c>
      <c r="C1795" s="298">
        <v>46035</v>
      </c>
      <c r="D1795" s="299" t="s">
        <v>445</v>
      </c>
      <c r="E1795" s="331">
        <v>-0.03</v>
      </c>
      <c r="F1795" s="331"/>
      <c r="G1795" s="333">
        <f t="shared" si="36"/>
        <v>772.91</v>
      </c>
      <c r="H1795" s="334"/>
      <c r="I1795" s="335"/>
      <c r="J1795" s="336"/>
      <c r="K1795" s="301"/>
      <c r="L1795" s="336"/>
      <c r="M1795" s="301"/>
      <c r="N1795" s="336"/>
      <c r="O1795" s="301"/>
      <c r="P1795" s="336"/>
      <c r="Q1795" s="301"/>
      <c r="R1795" s="336"/>
      <c r="S1795" s="301"/>
      <c r="T1795" s="336"/>
    </row>
    <row r="1796" spans="1:20" ht="12" customHeight="1" x14ac:dyDescent="0.25">
      <c r="A1796" s="329" t="s">
        <v>294</v>
      </c>
      <c r="B1796" s="330">
        <v>43</v>
      </c>
      <c r="C1796" s="298">
        <v>46035</v>
      </c>
      <c r="D1796" s="299" t="s">
        <v>201</v>
      </c>
      <c r="E1796" s="331">
        <v>44.18</v>
      </c>
      <c r="F1796" s="331"/>
      <c r="G1796" s="333">
        <f t="shared" si="36"/>
        <v>772.88</v>
      </c>
      <c r="H1796" s="334"/>
      <c r="I1796" s="335"/>
      <c r="J1796" s="336"/>
      <c r="K1796" s="301"/>
      <c r="L1796" s="336"/>
      <c r="M1796" s="301"/>
      <c r="N1796" s="336"/>
      <c r="O1796" s="301"/>
      <c r="P1796" s="336"/>
      <c r="Q1796" s="301"/>
      <c r="R1796" s="336"/>
      <c r="S1796" s="301"/>
      <c r="T1796" s="336"/>
    </row>
    <row r="1797" spans="1:20" ht="12" customHeight="1" x14ac:dyDescent="0.25">
      <c r="A1797" s="329" t="s">
        <v>294</v>
      </c>
      <c r="B1797" s="330">
        <v>42</v>
      </c>
      <c r="C1797" s="298">
        <v>46035</v>
      </c>
      <c r="D1797" s="299" t="s">
        <v>200</v>
      </c>
      <c r="E1797" s="331">
        <v>51.19</v>
      </c>
      <c r="F1797" s="331"/>
      <c r="G1797" s="333">
        <f t="shared" si="36"/>
        <v>817.06</v>
      </c>
      <c r="H1797" s="334"/>
      <c r="I1797" s="335"/>
      <c r="J1797" s="336"/>
      <c r="K1797" s="301"/>
      <c r="L1797" s="336"/>
      <c r="M1797" s="301"/>
      <c r="N1797" s="336"/>
      <c r="O1797" s="301"/>
      <c r="P1797" s="336"/>
      <c r="Q1797" s="301"/>
      <c r="R1797" s="336"/>
      <c r="S1797" s="301"/>
      <c r="T1797" s="336"/>
    </row>
    <row r="1798" spans="1:20" ht="12" customHeight="1" x14ac:dyDescent="0.25">
      <c r="A1798" s="329" t="s">
        <v>289</v>
      </c>
      <c r="B1798" s="330">
        <v>4</v>
      </c>
      <c r="C1798" s="298">
        <v>46035</v>
      </c>
      <c r="D1798" s="299" t="s">
        <v>295</v>
      </c>
      <c r="E1798" s="331">
        <v>28.15</v>
      </c>
      <c r="F1798" s="331"/>
      <c r="G1798" s="333">
        <f t="shared" si="36"/>
        <v>868.25</v>
      </c>
      <c r="H1798" s="334"/>
      <c r="I1798" s="335"/>
      <c r="J1798" s="336"/>
      <c r="K1798" s="301"/>
      <c r="L1798" s="336"/>
      <c r="M1798" s="301"/>
      <c r="N1798" s="336"/>
      <c r="O1798" s="301"/>
      <c r="P1798" s="336"/>
      <c r="Q1798" s="301"/>
      <c r="R1798" s="336"/>
      <c r="S1798" s="301"/>
      <c r="T1798" s="336"/>
    </row>
    <row r="1799" spans="1:20" ht="12" customHeight="1" x14ac:dyDescent="0.25">
      <c r="A1799" s="329" t="s">
        <v>289</v>
      </c>
      <c r="B1799" s="330">
        <v>3</v>
      </c>
      <c r="C1799" s="298">
        <v>46035</v>
      </c>
      <c r="D1799" s="299" t="s">
        <v>296</v>
      </c>
      <c r="E1799" s="331">
        <v>20.85</v>
      </c>
      <c r="F1799" s="331"/>
      <c r="G1799" s="333">
        <f t="shared" si="36"/>
        <v>896.4</v>
      </c>
      <c r="H1799" s="334"/>
      <c r="I1799" s="335"/>
      <c r="J1799" s="336"/>
      <c r="K1799" s="301"/>
      <c r="L1799" s="336"/>
      <c r="M1799" s="301"/>
      <c r="N1799" s="336"/>
      <c r="O1799" s="301"/>
      <c r="P1799" s="336"/>
      <c r="Q1799" s="301"/>
      <c r="R1799" s="336"/>
      <c r="S1799" s="301"/>
      <c r="T1799" s="336"/>
    </row>
    <row r="1800" spans="1:20" ht="12" customHeight="1" x14ac:dyDescent="0.25">
      <c r="A1800" s="329" t="s">
        <v>289</v>
      </c>
      <c r="B1800" s="330">
        <v>1</v>
      </c>
      <c r="C1800" s="298">
        <v>46034</v>
      </c>
      <c r="D1800" s="299" t="s">
        <v>306</v>
      </c>
      <c r="E1800" s="331">
        <v>145.81</v>
      </c>
      <c r="F1800" s="331"/>
      <c r="G1800" s="333">
        <f t="shared" si="36"/>
        <v>917.25</v>
      </c>
      <c r="H1800" s="334"/>
      <c r="I1800" s="335"/>
      <c r="J1800" s="336"/>
      <c r="K1800" s="301"/>
      <c r="L1800" s="336"/>
      <c r="M1800" s="301"/>
      <c r="N1800" s="336"/>
      <c r="O1800" s="301"/>
      <c r="P1800" s="336"/>
      <c r="Q1800" s="301"/>
      <c r="R1800" s="336"/>
      <c r="S1800" s="301"/>
      <c r="T1800" s="336"/>
    </row>
    <row r="1801" spans="1:20" ht="12" customHeight="1" x14ac:dyDescent="0.25">
      <c r="A1801" s="329" t="s">
        <v>289</v>
      </c>
      <c r="B1801" s="330">
        <v>2</v>
      </c>
      <c r="C1801" s="298">
        <v>46034</v>
      </c>
      <c r="D1801" s="299" t="s">
        <v>423</v>
      </c>
      <c r="E1801" s="331">
        <v>25.22</v>
      </c>
      <c r="F1801" s="331"/>
      <c r="G1801" s="333">
        <f t="shared" si="36"/>
        <v>1063.06</v>
      </c>
      <c r="H1801" s="334"/>
      <c r="I1801" s="335"/>
      <c r="J1801" s="336"/>
      <c r="K1801" s="301"/>
      <c r="L1801" s="336"/>
      <c r="M1801" s="301"/>
      <c r="N1801" s="336"/>
      <c r="O1801" s="301"/>
      <c r="P1801" s="336"/>
      <c r="Q1801" s="301"/>
      <c r="R1801" s="336"/>
      <c r="S1801" s="301"/>
      <c r="T1801" s="336"/>
    </row>
    <row r="1802" spans="1:20" ht="12" customHeight="1" x14ac:dyDescent="0.25">
      <c r="A1802" s="329" t="s">
        <v>289</v>
      </c>
      <c r="B1802" s="330">
        <v>2</v>
      </c>
      <c r="C1802" s="298">
        <v>46033</v>
      </c>
      <c r="D1802" s="299" t="s">
        <v>326</v>
      </c>
      <c r="E1802" s="331">
        <v>49.38</v>
      </c>
      <c r="F1802" s="331"/>
      <c r="G1802" s="333">
        <f t="shared" si="36"/>
        <v>1088.28</v>
      </c>
      <c r="H1802" s="334"/>
      <c r="I1802" s="335"/>
      <c r="J1802" s="336"/>
      <c r="K1802" s="301"/>
      <c r="L1802" s="336"/>
      <c r="M1802" s="301"/>
      <c r="N1802" s="336"/>
      <c r="O1802" s="301"/>
      <c r="P1802" s="336"/>
      <c r="Q1802" s="301"/>
      <c r="R1802" s="336"/>
      <c r="S1802" s="301"/>
      <c r="T1802" s="336"/>
    </row>
    <row r="1803" spans="1:20" ht="12" customHeight="1" x14ac:dyDescent="0.25">
      <c r="A1803" s="329" t="s">
        <v>294</v>
      </c>
      <c r="B1803" s="330">
        <v>22</v>
      </c>
      <c r="C1803" s="298">
        <v>46033</v>
      </c>
      <c r="D1803" s="299" t="s">
        <v>351</v>
      </c>
      <c r="E1803" s="331">
        <v>19.16</v>
      </c>
      <c r="F1803" s="331"/>
      <c r="G1803" s="333">
        <f t="shared" si="36"/>
        <v>1137.6600000000001</v>
      </c>
      <c r="H1803" s="334"/>
      <c r="I1803" s="335"/>
      <c r="J1803" s="336"/>
      <c r="K1803" s="301"/>
      <c r="L1803" s="336"/>
      <c r="M1803" s="301"/>
      <c r="N1803" s="336"/>
      <c r="O1803" s="301"/>
      <c r="P1803" s="336"/>
      <c r="Q1803" s="301"/>
      <c r="R1803" s="336"/>
      <c r="S1803" s="301"/>
      <c r="T1803" s="336"/>
    </row>
    <row r="1804" spans="1:20" ht="12" customHeight="1" x14ac:dyDescent="0.25">
      <c r="A1804" s="329" t="s">
        <v>289</v>
      </c>
      <c r="B1804" s="330">
        <v>6</v>
      </c>
      <c r="C1804" s="298">
        <v>46033</v>
      </c>
      <c r="D1804" s="299" t="s">
        <v>312</v>
      </c>
      <c r="E1804" s="331">
        <v>39.86</v>
      </c>
      <c r="F1804" s="331"/>
      <c r="G1804" s="333">
        <f t="shared" si="36"/>
        <v>1156.8200000000002</v>
      </c>
      <c r="H1804" s="334"/>
      <c r="I1804" s="335"/>
      <c r="J1804" s="336"/>
      <c r="K1804" s="301"/>
      <c r="L1804" s="336"/>
      <c r="M1804" s="301"/>
      <c r="N1804" s="336"/>
      <c r="O1804" s="301"/>
      <c r="P1804" s="336"/>
      <c r="Q1804" s="301"/>
      <c r="R1804" s="336"/>
      <c r="S1804" s="301"/>
      <c r="T1804" s="336"/>
    </row>
    <row r="1805" spans="1:20" ht="12" customHeight="1" x14ac:dyDescent="0.25">
      <c r="A1805" s="329" t="s">
        <v>289</v>
      </c>
      <c r="B1805" s="330">
        <v>7</v>
      </c>
      <c r="C1805" s="298">
        <v>46033</v>
      </c>
      <c r="D1805" s="299" t="s">
        <v>443</v>
      </c>
      <c r="E1805" s="331">
        <v>165.05</v>
      </c>
      <c r="F1805" s="331"/>
      <c r="G1805" s="333">
        <f t="shared" si="36"/>
        <v>1196.68</v>
      </c>
      <c r="H1805" s="334"/>
      <c r="I1805" s="335"/>
      <c r="J1805" s="336"/>
      <c r="K1805" s="301"/>
      <c r="L1805" s="336"/>
      <c r="M1805" s="301"/>
      <c r="N1805" s="336"/>
      <c r="O1805" s="301"/>
      <c r="P1805" s="336"/>
      <c r="Q1805" s="301"/>
      <c r="R1805" s="336"/>
      <c r="S1805" s="301"/>
      <c r="T1805" s="336"/>
    </row>
    <row r="1806" spans="1:20" ht="12" customHeight="1" x14ac:dyDescent="0.25">
      <c r="A1806" s="329" t="s">
        <v>294</v>
      </c>
      <c r="B1806" s="330">
        <v>24</v>
      </c>
      <c r="C1806" s="298">
        <v>46032</v>
      </c>
      <c r="D1806" s="299" t="s">
        <v>858</v>
      </c>
      <c r="E1806" s="331">
        <v>83.42</v>
      </c>
      <c r="F1806" s="331"/>
      <c r="G1806" s="333">
        <f t="shared" si="36"/>
        <v>1361.73</v>
      </c>
      <c r="H1806" s="334"/>
      <c r="I1806" s="335"/>
      <c r="J1806" s="336"/>
      <c r="K1806" s="301"/>
      <c r="L1806" s="336"/>
      <c r="M1806" s="301"/>
      <c r="N1806" s="336"/>
      <c r="O1806" s="301"/>
      <c r="P1806" s="336"/>
      <c r="Q1806" s="301"/>
      <c r="R1806" s="336"/>
      <c r="S1806" s="301"/>
      <c r="T1806" s="336"/>
    </row>
    <row r="1807" spans="1:20" ht="12" customHeight="1" x14ac:dyDescent="0.25">
      <c r="A1807" s="329" t="s">
        <v>289</v>
      </c>
      <c r="B1807" s="330">
        <v>4</v>
      </c>
      <c r="C1807" s="298">
        <v>46032</v>
      </c>
      <c r="D1807" s="299" t="s">
        <v>296</v>
      </c>
      <c r="E1807" s="331">
        <v>30.4</v>
      </c>
      <c r="F1807" s="331"/>
      <c r="G1807" s="333">
        <f t="shared" si="36"/>
        <v>1445.15</v>
      </c>
      <c r="H1807" s="334"/>
      <c r="I1807" s="335"/>
      <c r="J1807" s="336"/>
      <c r="K1807" s="301"/>
      <c r="L1807" s="336"/>
      <c r="M1807" s="301"/>
      <c r="N1807" s="336"/>
      <c r="O1807" s="301"/>
      <c r="P1807" s="336"/>
      <c r="Q1807" s="301"/>
      <c r="R1807" s="336"/>
      <c r="S1807" s="301"/>
      <c r="T1807" s="336"/>
    </row>
    <row r="1808" spans="1:20" ht="12" customHeight="1" x14ac:dyDescent="0.25">
      <c r="A1808" s="329" t="s">
        <v>289</v>
      </c>
      <c r="B1808" s="330">
        <v>2</v>
      </c>
      <c r="C1808" s="298">
        <v>46032</v>
      </c>
      <c r="D1808" s="299" t="s">
        <v>296</v>
      </c>
      <c r="E1808" s="331">
        <v>13.83</v>
      </c>
      <c r="F1808" s="331"/>
      <c r="G1808" s="333">
        <f t="shared" si="36"/>
        <v>1475.5500000000002</v>
      </c>
      <c r="H1808" s="334"/>
      <c r="I1808" s="335"/>
      <c r="J1808" s="336"/>
      <c r="K1808" s="301"/>
      <c r="L1808" s="336"/>
      <c r="M1808" s="301"/>
      <c r="N1808" s="336"/>
      <c r="O1808" s="301"/>
      <c r="P1808" s="336"/>
      <c r="Q1808" s="301"/>
      <c r="R1808" s="336"/>
      <c r="S1808" s="301"/>
      <c r="T1808" s="336"/>
    </row>
    <row r="1809" spans="1:20" ht="12" customHeight="1" x14ac:dyDescent="0.25">
      <c r="A1809" s="329" t="s">
        <v>289</v>
      </c>
      <c r="B1809" s="330">
        <v>2</v>
      </c>
      <c r="C1809" s="298">
        <v>46032</v>
      </c>
      <c r="D1809" s="299" t="s">
        <v>471</v>
      </c>
      <c r="E1809" s="331">
        <v>100</v>
      </c>
      <c r="F1809" s="331"/>
      <c r="G1809" s="333">
        <f t="shared" si="36"/>
        <v>1489.38</v>
      </c>
      <c r="H1809" s="334"/>
      <c r="I1809" s="335"/>
      <c r="J1809" s="336"/>
      <c r="K1809" s="301"/>
      <c r="L1809" s="336"/>
      <c r="M1809" s="301"/>
      <c r="N1809" s="336"/>
      <c r="O1809" s="301"/>
      <c r="P1809" s="336"/>
      <c r="Q1809" s="301"/>
      <c r="R1809" s="336"/>
      <c r="S1809" s="301"/>
      <c r="T1809" s="336"/>
    </row>
    <row r="1810" spans="1:20" ht="12" customHeight="1" x14ac:dyDescent="0.25">
      <c r="A1810" s="329" t="s">
        <v>289</v>
      </c>
      <c r="B1810" s="330">
        <v>1</v>
      </c>
      <c r="C1810" s="298">
        <v>46032</v>
      </c>
      <c r="D1810" s="299" t="s">
        <v>304</v>
      </c>
      <c r="E1810" s="331">
        <v>55.68</v>
      </c>
      <c r="F1810" s="331"/>
      <c r="G1810" s="333">
        <f t="shared" si="36"/>
        <v>1589.38</v>
      </c>
      <c r="H1810" s="334"/>
      <c r="I1810" s="335"/>
      <c r="J1810" s="336"/>
      <c r="K1810" s="301"/>
      <c r="L1810" s="336"/>
      <c r="M1810" s="301"/>
      <c r="N1810" s="336"/>
      <c r="O1810" s="301"/>
      <c r="P1810" s="336"/>
      <c r="Q1810" s="301"/>
      <c r="R1810" s="336"/>
      <c r="S1810" s="301"/>
      <c r="T1810" s="336"/>
    </row>
    <row r="1811" spans="1:20" ht="12" customHeight="1" x14ac:dyDescent="0.25">
      <c r="A1811" s="329" t="s">
        <v>289</v>
      </c>
      <c r="B1811" s="330">
        <v>2</v>
      </c>
      <c r="C1811" s="298">
        <v>46031</v>
      </c>
      <c r="D1811" s="299" t="s">
        <v>357</v>
      </c>
      <c r="E1811" s="331">
        <v>9.4700000000000006</v>
      </c>
      <c r="F1811" s="331"/>
      <c r="G1811" s="333">
        <f t="shared" si="36"/>
        <v>1645.0600000000002</v>
      </c>
      <c r="H1811" s="334"/>
      <c r="I1811" s="335"/>
      <c r="J1811" s="336"/>
      <c r="K1811" s="301"/>
      <c r="L1811" s="336"/>
      <c r="M1811" s="301"/>
      <c r="N1811" s="336"/>
      <c r="O1811" s="301"/>
      <c r="P1811" s="336"/>
      <c r="Q1811" s="301"/>
      <c r="R1811" s="336"/>
      <c r="S1811" s="301"/>
      <c r="T1811" s="336"/>
    </row>
    <row r="1812" spans="1:20" ht="12" customHeight="1" x14ac:dyDescent="0.25">
      <c r="A1812" s="329" t="s">
        <v>289</v>
      </c>
      <c r="B1812" s="330">
        <v>5</v>
      </c>
      <c r="C1812" s="298">
        <v>46031</v>
      </c>
      <c r="D1812" s="299" t="s">
        <v>473</v>
      </c>
      <c r="E1812" s="331">
        <v>50</v>
      </c>
      <c r="F1812" s="331"/>
      <c r="G1812" s="333">
        <f t="shared" si="36"/>
        <v>1654.5300000000002</v>
      </c>
      <c r="H1812" s="334"/>
      <c r="I1812" s="335"/>
      <c r="J1812" s="336"/>
      <c r="K1812" s="301"/>
      <c r="L1812" s="336"/>
      <c r="M1812" s="301"/>
      <c r="N1812" s="336"/>
      <c r="O1812" s="301"/>
      <c r="P1812" s="336"/>
      <c r="Q1812" s="301"/>
      <c r="R1812" s="336"/>
      <c r="S1812" s="301"/>
      <c r="T1812" s="336"/>
    </row>
    <row r="1813" spans="1:20" ht="12" customHeight="1" x14ac:dyDescent="0.25">
      <c r="A1813" s="329" t="s">
        <v>289</v>
      </c>
      <c r="B1813" s="330">
        <v>8</v>
      </c>
      <c r="C1813" s="298">
        <v>46030</v>
      </c>
      <c r="D1813" s="299" t="s">
        <v>474</v>
      </c>
      <c r="E1813" s="331">
        <v>32.619999999999997</v>
      </c>
      <c r="F1813" s="331"/>
      <c r="G1813" s="333">
        <f t="shared" si="36"/>
        <v>1704.5300000000002</v>
      </c>
      <c r="H1813" s="334"/>
      <c r="I1813" s="335"/>
      <c r="J1813" s="336"/>
      <c r="K1813" s="301"/>
      <c r="L1813" s="336"/>
      <c r="M1813" s="301"/>
      <c r="N1813" s="336"/>
      <c r="O1813" s="301"/>
      <c r="P1813" s="336"/>
      <c r="Q1813" s="301"/>
      <c r="R1813" s="336"/>
      <c r="S1813" s="301"/>
      <c r="T1813" s="336"/>
    </row>
    <row r="1814" spans="1:20" ht="12" customHeight="1" x14ac:dyDescent="0.25">
      <c r="A1814" s="329" t="s">
        <v>291</v>
      </c>
      <c r="B1814" s="330">
        <v>39</v>
      </c>
      <c r="C1814" s="298">
        <v>46030</v>
      </c>
      <c r="D1814" s="299" t="s">
        <v>292</v>
      </c>
      <c r="E1814" s="331"/>
      <c r="F1814" s="331">
        <v>2729.22</v>
      </c>
      <c r="G1814" s="333">
        <f t="shared" si="36"/>
        <v>1737.15</v>
      </c>
      <c r="H1814" s="334"/>
      <c r="I1814" s="335"/>
      <c r="J1814" s="336"/>
      <c r="K1814" s="301"/>
      <c r="L1814" s="336"/>
      <c r="M1814" s="301"/>
      <c r="N1814" s="336"/>
      <c r="O1814" s="301"/>
      <c r="P1814" s="336"/>
      <c r="Q1814" s="301"/>
      <c r="R1814" s="336"/>
      <c r="S1814" s="301"/>
      <c r="T1814" s="336"/>
    </row>
    <row r="1815" spans="1:20" ht="12" customHeight="1" x14ac:dyDescent="0.25">
      <c r="A1815" s="329" t="s">
        <v>289</v>
      </c>
      <c r="B1815" s="330">
        <v>2</v>
      </c>
      <c r="C1815" s="298">
        <v>46030</v>
      </c>
      <c r="D1815" s="299" t="s">
        <v>296</v>
      </c>
      <c r="E1815" s="331">
        <v>6.37</v>
      </c>
      <c r="F1815" s="331"/>
      <c r="G1815" s="333">
        <f t="shared" si="36"/>
        <v>-992.06999999999971</v>
      </c>
      <c r="H1815" s="334"/>
      <c r="I1815" s="335"/>
      <c r="J1815" s="336"/>
      <c r="K1815" s="301"/>
      <c r="L1815" s="336"/>
      <c r="M1815" s="301"/>
      <c r="N1815" s="336"/>
      <c r="O1815" s="301"/>
      <c r="P1815" s="336"/>
      <c r="Q1815" s="301"/>
      <c r="R1815" s="336"/>
      <c r="S1815" s="301"/>
      <c r="T1815" s="336"/>
    </row>
    <row r="1816" spans="1:20" ht="12" customHeight="1" x14ac:dyDescent="0.25">
      <c r="A1816" s="329" t="s">
        <v>289</v>
      </c>
      <c r="B1816" s="330">
        <v>4</v>
      </c>
      <c r="C1816" s="298">
        <v>46030</v>
      </c>
      <c r="D1816" s="299" t="s">
        <v>296</v>
      </c>
      <c r="E1816" s="331">
        <v>32.119999999999997</v>
      </c>
      <c r="F1816" s="331"/>
      <c r="G1816" s="333">
        <f t="shared" si="36"/>
        <v>-985.6999999999997</v>
      </c>
      <c r="H1816" s="334"/>
      <c r="I1816" s="335"/>
      <c r="J1816" s="336"/>
      <c r="K1816" s="301"/>
      <c r="L1816" s="336"/>
      <c r="M1816" s="301"/>
      <c r="N1816" s="336"/>
      <c r="O1816" s="301"/>
      <c r="P1816" s="336"/>
      <c r="Q1816" s="301"/>
      <c r="R1816" s="336"/>
      <c r="S1816" s="301"/>
      <c r="T1816" s="336"/>
    </row>
    <row r="1817" spans="1:20" ht="12" customHeight="1" x14ac:dyDescent="0.25">
      <c r="A1817" s="329" t="s">
        <v>289</v>
      </c>
      <c r="B1817" s="330">
        <v>2</v>
      </c>
      <c r="C1817" s="298">
        <v>46030</v>
      </c>
      <c r="D1817" s="299" t="s">
        <v>357</v>
      </c>
      <c r="E1817" s="331">
        <v>9.4700000000000006</v>
      </c>
      <c r="F1817" s="331"/>
      <c r="G1817" s="333">
        <f t="shared" si="36"/>
        <v>-953.5799999999997</v>
      </c>
      <c r="H1817" s="334"/>
      <c r="I1817" s="335"/>
      <c r="J1817" s="336"/>
      <c r="K1817" s="301"/>
      <c r="L1817" s="336"/>
      <c r="M1817" s="301"/>
      <c r="N1817" s="336"/>
      <c r="O1817" s="301"/>
      <c r="P1817" s="336"/>
      <c r="Q1817" s="301"/>
      <c r="R1817" s="336"/>
      <c r="S1817" s="301"/>
      <c r="T1817" s="336"/>
    </row>
    <row r="1818" spans="1:20" ht="12" customHeight="1" x14ac:dyDescent="0.25">
      <c r="A1818" s="329" t="s">
        <v>289</v>
      </c>
      <c r="B1818" s="330">
        <v>2</v>
      </c>
      <c r="C1818" s="298">
        <v>46030</v>
      </c>
      <c r="D1818" s="299" t="s">
        <v>385</v>
      </c>
      <c r="E1818" s="331">
        <v>21.18</v>
      </c>
      <c r="F1818" s="331"/>
      <c r="G1818" s="333">
        <f t="shared" si="36"/>
        <v>-944.10999999999967</v>
      </c>
      <c r="H1818" s="334"/>
      <c r="I1818" s="335"/>
      <c r="J1818" s="336"/>
      <c r="K1818" s="301"/>
      <c r="L1818" s="336"/>
      <c r="M1818" s="301"/>
      <c r="N1818" s="336"/>
      <c r="O1818" s="301"/>
      <c r="P1818" s="336"/>
      <c r="Q1818" s="301"/>
      <c r="R1818" s="336"/>
      <c r="S1818" s="301"/>
      <c r="T1818" s="336"/>
    </row>
    <row r="1819" spans="1:20" ht="12" customHeight="1" x14ac:dyDescent="0.25">
      <c r="A1819" s="329" t="s">
        <v>335</v>
      </c>
      <c r="B1819" s="330" t="s">
        <v>335</v>
      </c>
      <c r="C1819" s="298">
        <v>46029</v>
      </c>
      <c r="D1819" s="299" t="s">
        <v>182</v>
      </c>
      <c r="E1819" s="331">
        <v>52.66</v>
      </c>
      <c r="F1819" s="331"/>
      <c r="G1819" s="333">
        <f t="shared" si="36"/>
        <v>-922.92999999999972</v>
      </c>
      <c r="H1819" s="334"/>
      <c r="I1819" s="335"/>
      <c r="J1819" s="336"/>
      <c r="K1819" s="301"/>
      <c r="L1819" s="336"/>
      <c r="M1819" s="301"/>
      <c r="N1819" s="336"/>
      <c r="O1819" s="301"/>
      <c r="P1819" s="336"/>
      <c r="Q1819" s="301"/>
      <c r="R1819" s="336"/>
      <c r="S1819" s="301"/>
      <c r="T1819" s="336"/>
    </row>
    <row r="1820" spans="1:20" ht="12" customHeight="1" x14ac:dyDescent="0.25">
      <c r="A1820" s="329" t="s">
        <v>294</v>
      </c>
      <c r="B1820" s="330">
        <v>13</v>
      </c>
      <c r="C1820" s="298">
        <v>46029</v>
      </c>
      <c r="D1820" s="299" t="s">
        <v>182</v>
      </c>
      <c r="E1820" s="331">
        <v>167.42</v>
      </c>
      <c r="F1820" s="331"/>
      <c r="G1820" s="333">
        <f t="shared" si="36"/>
        <v>-870.26999999999975</v>
      </c>
      <c r="H1820" s="334"/>
      <c r="I1820" s="335"/>
      <c r="J1820" s="336"/>
      <c r="K1820" s="301"/>
      <c r="L1820" s="336"/>
      <c r="M1820" s="301"/>
      <c r="N1820" s="336"/>
      <c r="O1820" s="301"/>
      <c r="P1820" s="336"/>
      <c r="Q1820" s="301"/>
      <c r="R1820" s="336"/>
      <c r="S1820" s="301"/>
      <c r="T1820" s="336"/>
    </row>
    <row r="1821" spans="1:20" ht="12" customHeight="1" x14ac:dyDescent="0.25">
      <c r="A1821" s="329" t="s">
        <v>289</v>
      </c>
      <c r="B1821" s="330">
        <v>4</v>
      </c>
      <c r="C1821" s="298">
        <v>46029</v>
      </c>
      <c r="D1821" s="299" t="s">
        <v>296</v>
      </c>
      <c r="E1821" s="331">
        <v>30.81</v>
      </c>
      <c r="F1821" s="331"/>
      <c r="G1821" s="333">
        <f t="shared" si="36"/>
        <v>-702.8499999999998</v>
      </c>
      <c r="H1821" s="334"/>
      <c r="I1821" s="335"/>
      <c r="J1821" s="336"/>
      <c r="K1821" s="301"/>
      <c r="L1821" s="336"/>
      <c r="M1821" s="301"/>
      <c r="N1821" s="336"/>
      <c r="O1821" s="301"/>
      <c r="P1821" s="336"/>
      <c r="Q1821" s="301"/>
      <c r="R1821" s="336"/>
      <c r="S1821" s="301"/>
      <c r="T1821" s="336"/>
    </row>
    <row r="1822" spans="1:20" ht="12" customHeight="1" x14ac:dyDescent="0.25">
      <c r="A1822" s="329" t="s">
        <v>289</v>
      </c>
      <c r="B1822" s="330">
        <v>2</v>
      </c>
      <c r="C1822" s="298">
        <v>46029</v>
      </c>
      <c r="D1822" s="299" t="s">
        <v>357</v>
      </c>
      <c r="E1822" s="331">
        <v>9.4700000000000006</v>
      </c>
      <c r="F1822" s="331"/>
      <c r="G1822" s="333">
        <f t="shared" si="36"/>
        <v>-672.03999999999985</v>
      </c>
      <c r="H1822" s="334"/>
      <c r="I1822" s="335"/>
      <c r="J1822" s="336"/>
      <c r="K1822" s="301"/>
      <c r="L1822" s="336"/>
      <c r="M1822" s="301"/>
      <c r="N1822" s="336"/>
      <c r="O1822" s="301"/>
      <c r="P1822" s="336"/>
      <c r="Q1822" s="301"/>
      <c r="R1822" s="336"/>
      <c r="S1822" s="301"/>
      <c r="T1822" s="336"/>
    </row>
    <row r="1823" spans="1:20" ht="12" customHeight="1" x14ac:dyDescent="0.25">
      <c r="A1823" s="329" t="s">
        <v>294</v>
      </c>
      <c r="B1823" s="330">
        <v>22</v>
      </c>
      <c r="C1823" s="298">
        <v>46029</v>
      </c>
      <c r="D1823" s="299" t="s">
        <v>475</v>
      </c>
      <c r="E1823" s="331">
        <v>148.04</v>
      </c>
      <c r="F1823" s="331"/>
      <c r="G1823" s="333">
        <f t="shared" si="36"/>
        <v>-662.56999999999982</v>
      </c>
      <c r="H1823" s="334"/>
      <c r="I1823" s="335"/>
      <c r="J1823" s="336"/>
      <c r="K1823" s="301"/>
      <c r="L1823" s="336"/>
      <c r="M1823" s="301"/>
      <c r="N1823" s="336"/>
      <c r="O1823" s="301"/>
      <c r="P1823" s="336"/>
      <c r="Q1823" s="301"/>
      <c r="R1823" s="336"/>
      <c r="S1823" s="301"/>
      <c r="T1823" s="336"/>
    </row>
    <row r="1824" spans="1:20" ht="12" customHeight="1" x14ac:dyDescent="0.25">
      <c r="A1824" s="329" t="s">
        <v>294</v>
      </c>
      <c r="B1824" s="330">
        <v>14</v>
      </c>
      <c r="C1824" s="298">
        <v>46028</v>
      </c>
      <c r="D1824" s="299" t="s">
        <v>365</v>
      </c>
      <c r="E1824" s="331">
        <v>66.67</v>
      </c>
      <c r="F1824" s="331"/>
      <c r="G1824" s="333">
        <f t="shared" si="36"/>
        <v>-514.52999999999986</v>
      </c>
      <c r="H1824" s="334"/>
      <c r="I1824" s="335"/>
      <c r="J1824" s="336"/>
      <c r="K1824" s="301"/>
      <c r="L1824" s="336"/>
      <c r="M1824" s="301"/>
      <c r="N1824" s="336"/>
      <c r="O1824" s="301"/>
      <c r="P1824" s="336"/>
      <c r="Q1824" s="301"/>
      <c r="R1824" s="336"/>
      <c r="S1824" s="301"/>
      <c r="T1824" s="336"/>
    </row>
    <row r="1825" spans="1:20" ht="12" customHeight="1" x14ac:dyDescent="0.25">
      <c r="A1825" s="329" t="s">
        <v>289</v>
      </c>
      <c r="B1825" s="330">
        <v>3</v>
      </c>
      <c r="C1825" s="298">
        <v>46028</v>
      </c>
      <c r="D1825" s="299" t="s">
        <v>296</v>
      </c>
      <c r="E1825" s="331">
        <v>5.7</v>
      </c>
      <c r="F1825" s="331"/>
      <c r="G1825" s="333">
        <f t="shared" si="36"/>
        <v>-447.8599999999999</v>
      </c>
      <c r="H1825" s="334"/>
      <c r="I1825" s="335"/>
      <c r="J1825" s="336"/>
      <c r="K1825" s="301"/>
      <c r="L1825" s="336"/>
      <c r="M1825" s="301"/>
      <c r="N1825" s="336"/>
      <c r="O1825" s="301"/>
      <c r="P1825" s="336"/>
      <c r="Q1825" s="301"/>
      <c r="R1825" s="336"/>
      <c r="S1825" s="301"/>
      <c r="T1825" s="336"/>
    </row>
    <row r="1826" spans="1:20" ht="12" customHeight="1" x14ac:dyDescent="0.25">
      <c r="A1826" s="329" t="s">
        <v>294</v>
      </c>
      <c r="B1826" s="330">
        <v>21</v>
      </c>
      <c r="C1826" s="298">
        <v>46028</v>
      </c>
      <c r="D1826" s="299" t="s">
        <v>194</v>
      </c>
      <c r="E1826" s="331">
        <v>30.59</v>
      </c>
      <c r="F1826" s="331"/>
      <c r="G1826" s="333">
        <f t="shared" si="36"/>
        <v>-442.15999999999991</v>
      </c>
      <c r="H1826" s="334"/>
      <c r="I1826" s="335"/>
      <c r="J1826" s="336"/>
      <c r="K1826" s="301"/>
      <c r="L1826" s="336"/>
      <c r="M1826" s="301"/>
      <c r="N1826" s="336"/>
      <c r="O1826" s="301"/>
      <c r="P1826" s="336"/>
      <c r="Q1826" s="301"/>
      <c r="R1826" s="336"/>
      <c r="S1826" s="301"/>
      <c r="T1826" s="336"/>
    </row>
    <row r="1827" spans="1:20" ht="12" customHeight="1" x14ac:dyDescent="0.25">
      <c r="A1827" s="329" t="s">
        <v>294</v>
      </c>
      <c r="B1827" s="330">
        <v>17</v>
      </c>
      <c r="C1827" s="298">
        <v>46027</v>
      </c>
      <c r="D1827" s="299" t="s">
        <v>369</v>
      </c>
      <c r="E1827" s="331">
        <v>133.91999999999999</v>
      </c>
      <c r="F1827" s="331"/>
      <c r="G1827" s="333">
        <f t="shared" si="36"/>
        <v>-411.56999999999994</v>
      </c>
      <c r="H1827" s="334"/>
      <c r="I1827" s="335"/>
      <c r="J1827" s="336"/>
      <c r="K1827" s="301"/>
      <c r="L1827" s="336"/>
      <c r="M1827" s="301"/>
      <c r="N1827" s="336"/>
      <c r="O1827" s="301"/>
      <c r="P1827" s="336"/>
      <c r="Q1827" s="301"/>
      <c r="R1827" s="336"/>
      <c r="S1827" s="301"/>
      <c r="T1827" s="336"/>
    </row>
    <row r="1828" spans="1:20" ht="12" customHeight="1" x14ac:dyDescent="0.25">
      <c r="A1828" s="329" t="s">
        <v>294</v>
      </c>
      <c r="B1828" s="330">
        <v>17</v>
      </c>
      <c r="C1828" s="298">
        <v>46027</v>
      </c>
      <c r="D1828" s="299" t="s">
        <v>369</v>
      </c>
      <c r="E1828" s="331">
        <v>62</v>
      </c>
      <c r="F1828" s="331"/>
      <c r="G1828" s="333">
        <f t="shared" si="36"/>
        <v>-277.64999999999992</v>
      </c>
      <c r="H1828" s="334"/>
      <c r="I1828" s="335"/>
      <c r="J1828" s="336"/>
      <c r="K1828" s="301"/>
      <c r="L1828" s="336"/>
      <c r="M1828" s="301"/>
      <c r="N1828" s="336"/>
      <c r="O1828" s="301"/>
      <c r="P1828" s="336"/>
      <c r="Q1828" s="301"/>
      <c r="R1828" s="336"/>
      <c r="S1828" s="301"/>
      <c r="T1828" s="336"/>
    </row>
    <row r="1829" spans="1:20" ht="12" customHeight="1" x14ac:dyDescent="0.25">
      <c r="A1829" s="329" t="s">
        <v>289</v>
      </c>
      <c r="B1829" s="330">
        <v>6</v>
      </c>
      <c r="C1829" s="298">
        <v>46027</v>
      </c>
      <c r="D1829" s="299" t="s">
        <v>300</v>
      </c>
      <c r="E1829" s="331">
        <v>10.64</v>
      </c>
      <c r="F1829" s="331"/>
      <c r="G1829" s="333">
        <f t="shared" si="36"/>
        <v>-215.64999999999992</v>
      </c>
      <c r="H1829" s="334"/>
      <c r="I1829" s="335"/>
      <c r="J1829" s="336"/>
      <c r="K1829" s="301"/>
      <c r="L1829" s="336"/>
      <c r="M1829" s="301"/>
      <c r="N1829" s="336"/>
      <c r="O1829" s="301"/>
      <c r="P1829" s="336"/>
      <c r="Q1829" s="301"/>
      <c r="R1829" s="336"/>
      <c r="S1829" s="301"/>
      <c r="T1829" s="336"/>
    </row>
    <row r="1830" spans="1:20" ht="12" customHeight="1" x14ac:dyDescent="0.25">
      <c r="A1830" s="329" t="s">
        <v>289</v>
      </c>
      <c r="B1830" s="330">
        <v>8</v>
      </c>
      <c r="C1830" s="298">
        <v>46027</v>
      </c>
      <c r="D1830" s="299" t="s">
        <v>319</v>
      </c>
      <c r="E1830" s="331">
        <v>17.440000000000001</v>
      </c>
      <c r="F1830" s="331"/>
      <c r="G1830" s="333">
        <f t="shared" si="36"/>
        <v>-205.00999999999991</v>
      </c>
      <c r="H1830" s="334"/>
      <c r="I1830" s="335"/>
      <c r="J1830" s="336"/>
      <c r="K1830" s="301"/>
      <c r="L1830" s="336"/>
      <c r="M1830" s="301"/>
      <c r="N1830" s="336"/>
      <c r="O1830" s="301"/>
      <c r="P1830" s="336"/>
      <c r="Q1830" s="301"/>
      <c r="R1830" s="336"/>
      <c r="S1830" s="301"/>
      <c r="T1830" s="336"/>
    </row>
    <row r="1831" spans="1:20" ht="12" customHeight="1" x14ac:dyDescent="0.25">
      <c r="A1831" s="329" t="s">
        <v>289</v>
      </c>
      <c r="B1831" s="330">
        <v>1</v>
      </c>
      <c r="C1831" s="298">
        <v>46027</v>
      </c>
      <c r="D1831" s="299" t="s">
        <v>306</v>
      </c>
      <c r="E1831" s="331">
        <v>216.19</v>
      </c>
      <c r="F1831" s="331"/>
      <c r="G1831" s="333">
        <f t="shared" si="36"/>
        <v>-187.56999999999991</v>
      </c>
      <c r="H1831" s="334"/>
      <c r="I1831" s="335"/>
      <c r="J1831" s="336"/>
      <c r="K1831" s="301"/>
      <c r="L1831" s="336"/>
      <c r="M1831" s="301"/>
      <c r="N1831" s="336"/>
      <c r="O1831" s="301"/>
      <c r="P1831" s="336"/>
      <c r="Q1831" s="301"/>
      <c r="R1831" s="336"/>
      <c r="S1831" s="301"/>
      <c r="T1831" s="336"/>
    </row>
    <row r="1832" spans="1:20" ht="12" customHeight="1" x14ac:dyDescent="0.25">
      <c r="A1832" s="329" t="s">
        <v>289</v>
      </c>
      <c r="B1832" s="330">
        <v>2</v>
      </c>
      <c r="C1832" s="298">
        <v>46027</v>
      </c>
      <c r="D1832" s="299" t="s">
        <v>476</v>
      </c>
      <c r="E1832" s="331">
        <v>70</v>
      </c>
      <c r="F1832" s="331"/>
      <c r="G1832" s="333">
        <f t="shared" si="36"/>
        <v>28.62000000000009</v>
      </c>
      <c r="H1832" s="334"/>
      <c r="I1832" s="335"/>
      <c r="J1832" s="336"/>
      <c r="K1832" s="301"/>
      <c r="L1832" s="336"/>
      <c r="M1832" s="301"/>
      <c r="N1832" s="336"/>
      <c r="O1832" s="301"/>
      <c r="P1832" s="336"/>
      <c r="Q1832" s="301"/>
      <c r="R1832" s="336"/>
      <c r="S1832" s="301"/>
      <c r="T1832" s="336"/>
    </row>
    <row r="1833" spans="1:20" ht="12" customHeight="1" x14ac:dyDescent="0.25">
      <c r="A1833" s="329" t="s">
        <v>289</v>
      </c>
      <c r="B1833" s="330">
        <v>2</v>
      </c>
      <c r="C1833" s="298">
        <v>46027</v>
      </c>
      <c r="D1833" s="299" t="s">
        <v>357</v>
      </c>
      <c r="E1833" s="331">
        <v>14.05</v>
      </c>
      <c r="F1833" s="331"/>
      <c r="G1833" s="333">
        <f t="shared" si="36"/>
        <v>98.62000000000009</v>
      </c>
      <c r="H1833" s="334"/>
      <c r="I1833" s="335"/>
      <c r="J1833" s="336"/>
      <c r="K1833" s="301"/>
      <c r="L1833" s="336"/>
      <c r="M1833" s="301"/>
      <c r="N1833" s="336"/>
      <c r="O1833" s="301"/>
      <c r="P1833" s="336"/>
      <c r="Q1833" s="301"/>
      <c r="R1833" s="336"/>
      <c r="S1833" s="301"/>
      <c r="T1833" s="336"/>
    </row>
    <row r="1834" spans="1:20" ht="12" customHeight="1" x14ac:dyDescent="0.25">
      <c r="A1834" s="329" t="s">
        <v>294</v>
      </c>
      <c r="B1834" s="330">
        <v>14</v>
      </c>
      <c r="C1834" s="298">
        <v>46027</v>
      </c>
      <c r="D1834" s="299" t="s">
        <v>366</v>
      </c>
      <c r="E1834" s="331">
        <v>68.739999999999995</v>
      </c>
      <c r="F1834" s="331"/>
      <c r="G1834" s="333">
        <f t="shared" si="36"/>
        <v>112.67000000000009</v>
      </c>
      <c r="H1834" s="334"/>
      <c r="I1834" s="335"/>
      <c r="J1834" s="336"/>
      <c r="K1834" s="301"/>
      <c r="L1834" s="336"/>
      <c r="M1834" s="301"/>
      <c r="N1834" s="336"/>
      <c r="O1834" s="301"/>
      <c r="P1834" s="336"/>
      <c r="Q1834" s="301"/>
      <c r="R1834" s="336"/>
      <c r="S1834" s="301"/>
      <c r="T1834" s="336"/>
    </row>
    <row r="1835" spans="1:20" ht="12" customHeight="1" x14ac:dyDescent="0.25">
      <c r="A1835" s="329" t="s">
        <v>289</v>
      </c>
      <c r="B1835" s="330">
        <v>6</v>
      </c>
      <c r="C1835" s="298">
        <v>46027</v>
      </c>
      <c r="D1835" s="299" t="s">
        <v>477</v>
      </c>
      <c r="E1835" s="331">
        <v>120</v>
      </c>
      <c r="F1835" s="331"/>
      <c r="G1835" s="333">
        <f t="shared" si="36"/>
        <v>181.41000000000008</v>
      </c>
      <c r="H1835" s="334"/>
      <c r="I1835" s="335"/>
      <c r="J1835" s="336"/>
      <c r="K1835" s="301"/>
      <c r="L1835" s="336"/>
      <c r="M1835" s="301"/>
      <c r="N1835" s="336"/>
      <c r="O1835" s="301"/>
      <c r="P1835" s="336"/>
      <c r="Q1835" s="301"/>
      <c r="R1835" s="336"/>
      <c r="S1835" s="301"/>
      <c r="T1835" s="336"/>
    </row>
    <row r="1836" spans="1:20" ht="12" customHeight="1" x14ac:dyDescent="0.25">
      <c r="A1836" s="329" t="s">
        <v>294</v>
      </c>
      <c r="B1836" s="330">
        <v>9</v>
      </c>
      <c r="C1836" s="298">
        <v>46027</v>
      </c>
      <c r="D1836" s="299" t="s">
        <v>58</v>
      </c>
      <c r="E1836" s="331">
        <v>1281.53</v>
      </c>
      <c r="F1836" s="331"/>
      <c r="G1836" s="333">
        <f t="shared" si="36"/>
        <v>301.41000000000008</v>
      </c>
      <c r="H1836" s="334"/>
      <c r="I1836" s="335"/>
      <c r="J1836" s="336"/>
      <c r="K1836" s="301"/>
      <c r="L1836" s="336"/>
      <c r="M1836" s="301"/>
      <c r="N1836" s="336"/>
      <c r="O1836" s="301"/>
      <c r="P1836" s="336"/>
      <c r="Q1836" s="301"/>
      <c r="R1836" s="336"/>
      <c r="S1836" s="301"/>
      <c r="T1836" s="336"/>
    </row>
    <row r="1837" spans="1:20" ht="12" customHeight="1" x14ac:dyDescent="0.25">
      <c r="A1837" s="329" t="s">
        <v>289</v>
      </c>
      <c r="B1837" s="330">
        <v>7</v>
      </c>
      <c r="C1837" s="298">
        <v>46026</v>
      </c>
      <c r="D1837" s="299" t="s">
        <v>337</v>
      </c>
      <c r="E1837" s="331">
        <v>18.260000000000002</v>
      </c>
      <c r="F1837" s="331"/>
      <c r="G1837" s="333">
        <f t="shared" si="36"/>
        <v>1582.94</v>
      </c>
      <c r="H1837" s="334"/>
      <c r="I1837" s="335"/>
      <c r="J1837" s="336"/>
      <c r="K1837" s="301"/>
      <c r="L1837" s="336"/>
      <c r="M1837" s="301"/>
      <c r="N1837" s="336"/>
      <c r="O1837" s="301"/>
      <c r="P1837" s="336"/>
      <c r="Q1837" s="301"/>
      <c r="R1837" s="336"/>
      <c r="S1837" s="301"/>
      <c r="T1837" s="336"/>
    </row>
    <row r="1838" spans="1:20" ht="12" customHeight="1" x14ac:dyDescent="0.25">
      <c r="A1838" s="329" t="s">
        <v>287</v>
      </c>
      <c r="B1838" s="330" t="s">
        <v>287</v>
      </c>
      <c r="C1838" s="298">
        <v>46026</v>
      </c>
      <c r="D1838" s="299" t="s">
        <v>300</v>
      </c>
      <c r="E1838" s="331">
        <v>114.91</v>
      </c>
      <c r="F1838" s="331">
        <v>114.91</v>
      </c>
      <c r="G1838" s="333">
        <f t="shared" si="36"/>
        <v>1601.2</v>
      </c>
      <c r="H1838" s="334"/>
      <c r="I1838" s="335"/>
      <c r="J1838" s="336"/>
      <c r="K1838" s="301"/>
      <c r="L1838" s="336"/>
      <c r="M1838" s="301"/>
      <c r="N1838" s="336"/>
      <c r="O1838" s="301"/>
      <c r="P1838" s="336"/>
      <c r="Q1838" s="301"/>
      <c r="R1838" s="336"/>
      <c r="S1838" s="301"/>
      <c r="T1838" s="336"/>
    </row>
    <row r="1839" spans="1:20" ht="12" customHeight="1" x14ac:dyDescent="0.25">
      <c r="A1839" s="329" t="s">
        <v>289</v>
      </c>
      <c r="B1839" s="330">
        <v>5</v>
      </c>
      <c r="C1839" s="298">
        <v>46026</v>
      </c>
      <c r="D1839" s="299" t="s">
        <v>478</v>
      </c>
      <c r="E1839" s="331">
        <v>42.43</v>
      </c>
      <c r="F1839" s="331"/>
      <c r="G1839" s="333">
        <f t="shared" si="36"/>
        <v>1601.2</v>
      </c>
      <c r="H1839" s="334"/>
      <c r="I1839" s="335"/>
      <c r="J1839" s="336"/>
      <c r="K1839" s="301"/>
      <c r="L1839" s="336"/>
      <c r="M1839" s="301"/>
      <c r="N1839" s="336"/>
      <c r="O1839" s="301"/>
      <c r="P1839" s="336"/>
      <c r="Q1839" s="301"/>
      <c r="R1839" s="336"/>
      <c r="S1839" s="301"/>
      <c r="T1839" s="336"/>
    </row>
    <row r="1840" spans="1:20" ht="12" customHeight="1" x14ac:dyDescent="0.25">
      <c r="A1840" s="329" t="s">
        <v>289</v>
      </c>
      <c r="B1840" s="330">
        <v>7</v>
      </c>
      <c r="C1840" s="298">
        <v>46026</v>
      </c>
      <c r="D1840" s="299" t="s">
        <v>300</v>
      </c>
      <c r="E1840" s="331">
        <v>42.59</v>
      </c>
      <c r="F1840" s="331"/>
      <c r="G1840" s="333">
        <f t="shared" si="36"/>
        <v>1643.63</v>
      </c>
      <c r="H1840" s="334"/>
      <c r="I1840" s="335"/>
      <c r="J1840" s="336"/>
      <c r="K1840" s="301"/>
      <c r="L1840" s="336"/>
      <c r="M1840" s="301"/>
      <c r="N1840" s="336"/>
      <c r="O1840" s="301"/>
      <c r="P1840" s="336"/>
      <c r="Q1840" s="301"/>
      <c r="R1840" s="336"/>
      <c r="S1840" s="301"/>
      <c r="T1840" s="336"/>
    </row>
    <row r="1841" spans="1:20" ht="12" customHeight="1" x14ac:dyDescent="0.25">
      <c r="A1841" s="329" t="s">
        <v>289</v>
      </c>
      <c r="B1841" s="330">
        <v>3</v>
      </c>
      <c r="C1841" s="298">
        <v>46025</v>
      </c>
      <c r="D1841" s="299" t="s">
        <v>347</v>
      </c>
      <c r="E1841" s="331">
        <v>14.57</v>
      </c>
      <c r="F1841" s="331"/>
      <c r="G1841" s="333">
        <f t="shared" si="36"/>
        <v>1686.22</v>
      </c>
      <c r="H1841" s="334"/>
      <c r="I1841" s="335"/>
      <c r="J1841" s="336"/>
      <c r="K1841" s="301"/>
      <c r="L1841" s="336"/>
      <c r="M1841" s="301"/>
      <c r="N1841" s="336"/>
      <c r="O1841" s="301"/>
      <c r="P1841" s="336"/>
      <c r="Q1841" s="301"/>
      <c r="R1841" s="336"/>
      <c r="S1841" s="301"/>
      <c r="T1841" s="336"/>
    </row>
    <row r="1842" spans="1:20" ht="12" customHeight="1" x14ac:dyDescent="0.25">
      <c r="A1842" s="329" t="s">
        <v>289</v>
      </c>
      <c r="B1842" s="330">
        <v>2</v>
      </c>
      <c r="C1842" s="298">
        <v>46025</v>
      </c>
      <c r="D1842" s="299" t="s">
        <v>479</v>
      </c>
      <c r="E1842" s="331">
        <v>41.05</v>
      </c>
      <c r="F1842" s="331"/>
      <c r="G1842" s="333">
        <f t="shared" si="36"/>
        <v>1700.79</v>
      </c>
      <c r="H1842" s="334"/>
      <c r="I1842" s="335"/>
      <c r="J1842" s="336"/>
      <c r="K1842" s="301"/>
      <c r="L1842" s="336"/>
      <c r="M1842" s="301"/>
      <c r="N1842" s="336"/>
      <c r="O1842" s="301"/>
      <c r="P1842" s="336"/>
      <c r="Q1842" s="301"/>
      <c r="R1842" s="336"/>
      <c r="S1842" s="301"/>
      <c r="T1842" s="336"/>
    </row>
    <row r="1843" spans="1:20" ht="12" customHeight="1" x14ac:dyDescent="0.25">
      <c r="A1843" s="329" t="s">
        <v>289</v>
      </c>
      <c r="B1843" s="330">
        <v>4</v>
      </c>
      <c r="C1843" s="298">
        <v>46025</v>
      </c>
      <c r="D1843" s="299" t="s">
        <v>310</v>
      </c>
      <c r="E1843" s="331">
        <v>26.88</v>
      </c>
      <c r="F1843" s="331"/>
      <c r="G1843" s="333">
        <f t="shared" si="36"/>
        <v>1741.84</v>
      </c>
      <c r="H1843" s="334"/>
      <c r="I1843" s="335"/>
      <c r="J1843" s="336"/>
      <c r="K1843" s="301"/>
      <c r="L1843" s="336"/>
      <c r="M1843" s="301"/>
      <c r="N1843" s="336"/>
      <c r="O1843" s="301"/>
      <c r="P1843" s="336"/>
      <c r="Q1843" s="301"/>
      <c r="R1843" s="336"/>
      <c r="S1843" s="301"/>
      <c r="T1843" s="336"/>
    </row>
    <row r="1844" spans="1:20" ht="12" customHeight="1" x14ac:dyDescent="0.25">
      <c r="A1844" s="329" t="s">
        <v>289</v>
      </c>
      <c r="B1844" s="330">
        <v>2</v>
      </c>
      <c r="C1844" s="298">
        <v>46025</v>
      </c>
      <c r="D1844" s="299" t="s">
        <v>308</v>
      </c>
      <c r="E1844" s="331">
        <v>130.08000000000001</v>
      </c>
      <c r="F1844" s="331"/>
      <c r="G1844" s="333">
        <f t="shared" si="36"/>
        <v>1768.72</v>
      </c>
      <c r="H1844" s="334"/>
      <c r="I1844" s="335"/>
      <c r="J1844" s="336"/>
      <c r="K1844" s="301"/>
      <c r="L1844" s="336"/>
      <c r="M1844" s="301"/>
      <c r="N1844" s="336"/>
      <c r="O1844" s="301"/>
      <c r="P1844" s="336"/>
      <c r="Q1844" s="301"/>
      <c r="R1844" s="336"/>
      <c r="S1844" s="301"/>
      <c r="T1844" s="336"/>
    </row>
    <row r="1845" spans="1:20" ht="12" customHeight="1" x14ac:dyDescent="0.25">
      <c r="A1845" s="329" t="s">
        <v>289</v>
      </c>
      <c r="B1845" s="330">
        <v>7</v>
      </c>
      <c r="C1845" s="298">
        <v>46025</v>
      </c>
      <c r="D1845" s="299" t="s">
        <v>480</v>
      </c>
      <c r="E1845" s="331">
        <v>222.49</v>
      </c>
      <c r="F1845" s="331"/>
      <c r="G1845" s="333">
        <f t="shared" si="36"/>
        <v>1898.8</v>
      </c>
      <c r="H1845" s="334"/>
      <c r="I1845" s="335"/>
      <c r="J1845" s="336"/>
      <c r="K1845" s="301"/>
      <c r="L1845" s="336"/>
      <c r="M1845" s="301"/>
      <c r="N1845" s="336"/>
      <c r="O1845" s="301"/>
      <c r="P1845" s="336"/>
      <c r="Q1845" s="301"/>
      <c r="R1845" s="336"/>
      <c r="S1845" s="301"/>
      <c r="T1845" s="336"/>
    </row>
    <row r="1846" spans="1:20" ht="12" customHeight="1" x14ac:dyDescent="0.25">
      <c r="A1846" s="329" t="s">
        <v>289</v>
      </c>
      <c r="B1846" s="330">
        <v>7</v>
      </c>
      <c r="C1846" s="298">
        <v>46025</v>
      </c>
      <c r="D1846" s="299" t="s">
        <v>480</v>
      </c>
      <c r="E1846" s="331">
        <v>99.18</v>
      </c>
      <c r="F1846" s="331"/>
      <c r="G1846" s="333">
        <f t="shared" si="36"/>
        <v>2121.29</v>
      </c>
      <c r="H1846" s="334"/>
      <c r="I1846" s="335"/>
      <c r="J1846" s="336"/>
      <c r="K1846" s="301"/>
      <c r="L1846" s="336"/>
      <c r="M1846" s="301"/>
      <c r="N1846" s="336"/>
      <c r="O1846" s="301"/>
      <c r="P1846" s="336"/>
      <c r="Q1846" s="301"/>
      <c r="R1846" s="336"/>
      <c r="S1846" s="301"/>
      <c r="T1846" s="336"/>
    </row>
    <row r="1847" spans="1:20" ht="12" customHeight="1" x14ac:dyDescent="0.25">
      <c r="A1847" s="329" t="s">
        <v>289</v>
      </c>
      <c r="B1847" s="330">
        <v>5</v>
      </c>
      <c r="C1847" s="298">
        <v>46024</v>
      </c>
      <c r="D1847" s="299" t="s">
        <v>481</v>
      </c>
      <c r="E1847" s="331">
        <v>35</v>
      </c>
      <c r="F1847" s="331"/>
      <c r="G1847" s="333">
        <f t="shared" si="36"/>
        <v>2220.4699999999998</v>
      </c>
      <c r="H1847" s="334"/>
      <c r="I1847" s="335"/>
      <c r="J1847" s="336"/>
      <c r="K1847" s="301"/>
      <c r="L1847" s="336"/>
      <c r="M1847" s="301"/>
      <c r="N1847" s="336"/>
      <c r="O1847" s="301"/>
      <c r="P1847" s="336"/>
      <c r="Q1847" s="301"/>
      <c r="R1847" s="336"/>
      <c r="S1847" s="301"/>
      <c r="T1847" s="336"/>
    </row>
    <row r="1848" spans="1:20" ht="12" customHeight="1" x14ac:dyDescent="0.25">
      <c r="A1848" s="329" t="s">
        <v>289</v>
      </c>
      <c r="B1848" s="330">
        <v>3</v>
      </c>
      <c r="C1848" s="298">
        <v>46024</v>
      </c>
      <c r="D1848" s="299" t="s">
        <v>296</v>
      </c>
      <c r="E1848" s="331">
        <v>15.11</v>
      </c>
      <c r="F1848" s="331"/>
      <c r="G1848" s="333">
        <f t="shared" si="36"/>
        <v>2255.4699999999998</v>
      </c>
      <c r="H1848" s="334"/>
      <c r="I1848" s="335"/>
      <c r="J1848" s="336"/>
      <c r="K1848" s="301"/>
      <c r="L1848" s="336"/>
      <c r="M1848" s="301"/>
      <c r="N1848" s="336"/>
      <c r="O1848" s="301"/>
      <c r="P1848" s="336"/>
      <c r="Q1848" s="301"/>
      <c r="R1848" s="336"/>
      <c r="S1848" s="301"/>
      <c r="T1848" s="336"/>
    </row>
    <row r="1849" spans="1:20" ht="12" customHeight="1" x14ac:dyDescent="0.25">
      <c r="A1849" s="329" t="s">
        <v>289</v>
      </c>
      <c r="B1849" s="330">
        <v>5</v>
      </c>
      <c r="C1849" s="298">
        <v>46024</v>
      </c>
      <c r="D1849" s="299" t="s">
        <v>482</v>
      </c>
      <c r="E1849" s="331">
        <v>29.67</v>
      </c>
      <c r="F1849" s="331"/>
      <c r="G1849" s="333">
        <f t="shared" si="36"/>
        <v>2270.58</v>
      </c>
      <c r="H1849" s="334"/>
      <c r="I1849" s="335"/>
      <c r="J1849" s="336"/>
      <c r="K1849" s="301"/>
      <c r="L1849" s="336"/>
      <c r="M1849" s="301"/>
      <c r="N1849" s="336"/>
      <c r="O1849" s="301"/>
      <c r="P1849" s="336"/>
      <c r="Q1849" s="301"/>
      <c r="R1849" s="336"/>
      <c r="S1849" s="301"/>
      <c r="T1849" s="336"/>
    </row>
    <row r="1850" spans="1:20" ht="12" customHeight="1" x14ac:dyDescent="0.25">
      <c r="A1850" s="329" t="s">
        <v>287</v>
      </c>
      <c r="B1850" s="330" t="s">
        <v>287</v>
      </c>
      <c r="C1850" s="298">
        <v>46024</v>
      </c>
      <c r="D1850" s="299" t="s">
        <v>396</v>
      </c>
      <c r="E1850" s="331">
        <v>70.56</v>
      </c>
      <c r="F1850" s="331">
        <v>70.56</v>
      </c>
      <c r="G1850" s="333">
        <f t="shared" si="36"/>
        <v>2300.25</v>
      </c>
      <c r="H1850" s="334"/>
      <c r="I1850" s="335"/>
      <c r="J1850" s="336"/>
      <c r="K1850" s="301"/>
      <c r="L1850" s="336"/>
      <c r="M1850" s="301"/>
      <c r="N1850" s="336"/>
      <c r="O1850" s="301"/>
      <c r="P1850" s="336"/>
      <c r="Q1850" s="301"/>
      <c r="R1850" s="336"/>
      <c r="S1850" s="301"/>
      <c r="T1850" s="336"/>
    </row>
    <row r="1851" spans="1:20" ht="12" customHeight="1" x14ac:dyDescent="0.25">
      <c r="A1851" s="329" t="s">
        <v>287</v>
      </c>
      <c r="B1851" s="330" t="s">
        <v>287</v>
      </c>
      <c r="C1851" s="298">
        <v>46024</v>
      </c>
      <c r="D1851" s="299" t="s">
        <v>483</v>
      </c>
      <c r="E1851" s="331">
        <v>113.94</v>
      </c>
      <c r="F1851" s="331">
        <v>113.94</v>
      </c>
      <c r="G1851" s="333">
        <f t="shared" si="36"/>
        <v>2300.25</v>
      </c>
      <c r="H1851" s="334"/>
      <c r="I1851" s="335"/>
      <c r="J1851" s="336"/>
      <c r="K1851" s="301"/>
      <c r="L1851" s="336"/>
      <c r="M1851" s="301"/>
      <c r="N1851" s="336"/>
      <c r="O1851" s="301"/>
      <c r="P1851" s="336"/>
      <c r="Q1851" s="301"/>
      <c r="R1851" s="336"/>
      <c r="S1851" s="301"/>
      <c r="T1851" s="336"/>
    </row>
    <row r="1852" spans="1:20" ht="12" customHeight="1" x14ac:dyDescent="0.25">
      <c r="A1852" s="329" t="s">
        <v>289</v>
      </c>
      <c r="B1852" s="330">
        <v>2</v>
      </c>
      <c r="C1852" s="298">
        <v>46024</v>
      </c>
      <c r="D1852" s="299" t="s">
        <v>370</v>
      </c>
      <c r="E1852" s="331">
        <v>11.9</v>
      </c>
      <c r="F1852" s="331"/>
      <c r="G1852" s="333">
        <f t="shared" si="36"/>
        <v>2300.25</v>
      </c>
      <c r="H1852" s="334"/>
      <c r="I1852" s="335"/>
      <c r="J1852" s="336"/>
      <c r="K1852" s="301"/>
      <c r="L1852" s="336"/>
      <c r="M1852" s="301"/>
      <c r="N1852" s="336"/>
      <c r="O1852" s="301"/>
      <c r="P1852" s="336"/>
      <c r="Q1852" s="301"/>
      <c r="R1852" s="336"/>
      <c r="S1852" s="301"/>
      <c r="T1852" s="336"/>
    </row>
    <row r="1853" spans="1:20" ht="12" customHeight="1" x14ac:dyDescent="0.25">
      <c r="A1853" s="329" t="s">
        <v>289</v>
      </c>
      <c r="B1853" s="330">
        <v>2</v>
      </c>
      <c r="C1853" s="298">
        <v>46024</v>
      </c>
      <c r="D1853" s="299" t="s">
        <v>407</v>
      </c>
      <c r="E1853" s="331">
        <v>23.9</v>
      </c>
      <c r="F1853" s="331"/>
      <c r="G1853" s="333">
        <f t="shared" si="36"/>
        <v>2312.15</v>
      </c>
      <c r="H1853" s="334"/>
      <c r="I1853" s="335"/>
      <c r="J1853" s="336"/>
      <c r="K1853" s="301"/>
      <c r="L1853" s="336"/>
      <c r="M1853" s="301"/>
      <c r="N1853" s="336"/>
      <c r="O1853" s="301"/>
      <c r="P1853" s="336"/>
      <c r="Q1853" s="301"/>
      <c r="R1853" s="336"/>
      <c r="S1853" s="301"/>
      <c r="T1853" s="336"/>
    </row>
    <row r="1854" spans="1:20" ht="12" customHeight="1" x14ac:dyDescent="0.25">
      <c r="A1854" s="329" t="s">
        <v>289</v>
      </c>
      <c r="B1854" s="330">
        <v>5</v>
      </c>
      <c r="C1854" s="298">
        <v>46024</v>
      </c>
      <c r="D1854" s="299" t="s">
        <v>484</v>
      </c>
      <c r="E1854" s="331">
        <v>160</v>
      </c>
      <c r="F1854" s="331"/>
      <c r="G1854" s="333">
        <f t="shared" si="36"/>
        <v>2336.0500000000002</v>
      </c>
      <c r="H1854" s="334"/>
      <c r="I1854" s="335"/>
      <c r="J1854" s="336"/>
      <c r="K1854" s="301"/>
      <c r="L1854" s="336"/>
      <c r="M1854" s="301"/>
      <c r="N1854" s="336"/>
      <c r="O1854" s="301"/>
      <c r="P1854" s="336"/>
      <c r="Q1854" s="301"/>
      <c r="R1854" s="336"/>
      <c r="S1854" s="301"/>
      <c r="T1854" s="336"/>
    </row>
    <row r="1855" spans="1:20" ht="12" customHeight="1" x14ac:dyDescent="0.25">
      <c r="A1855" s="329" t="s">
        <v>284</v>
      </c>
      <c r="B1855" s="330">
        <v>36</v>
      </c>
      <c r="C1855" s="298">
        <v>46024</v>
      </c>
      <c r="D1855" s="299" t="s">
        <v>373</v>
      </c>
      <c r="E1855" s="331">
        <v>50</v>
      </c>
      <c r="F1855" s="331"/>
      <c r="G1855" s="333">
        <f t="shared" si="36"/>
        <v>2496.0500000000002</v>
      </c>
      <c r="H1855" s="334"/>
      <c r="I1855" s="335"/>
      <c r="J1855" s="336"/>
      <c r="K1855" s="301"/>
      <c r="L1855" s="336"/>
      <c r="M1855" s="301"/>
      <c r="N1855" s="336"/>
      <c r="O1855" s="301"/>
      <c r="P1855" s="336"/>
      <c r="Q1855" s="301"/>
      <c r="R1855" s="336"/>
      <c r="S1855" s="301"/>
      <c r="T1855" s="336"/>
    </row>
    <row r="1856" spans="1:20" ht="12" customHeight="1" x14ac:dyDescent="0.25">
      <c r="A1856" s="329" t="s">
        <v>289</v>
      </c>
      <c r="B1856" s="330">
        <v>6</v>
      </c>
      <c r="C1856" s="298">
        <v>46023</v>
      </c>
      <c r="D1856" s="299" t="s">
        <v>312</v>
      </c>
      <c r="E1856" s="331">
        <v>8</v>
      </c>
      <c r="F1856" s="331"/>
      <c r="G1856" s="333">
        <f t="shared" si="36"/>
        <v>2546.0500000000002</v>
      </c>
      <c r="H1856" s="334"/>
      <c r="I1856" s="335"/>
      <c r="J1856" s="336"/>
      <c r="K1856" s="301"/>
      <c r="L1856" s="336"/>
      <c r="M1856" s="301"/>
      <c r="N1856" s="336"/>
      <c r="O1856" s="301"/>
      <c r="P1856" s="336"/>
      <c r="Q1856" s="301"/>
      <c r="R1856" s="336"/>
      <c r="S1856" s="301"/>
      <c r="T1856" s="336"/>
    </row>
    <row r="1857" spans="1:20" ht="12" customHeight="1" x14ac:dyDescent="0.25">
      <c r="A1857" s="329" t="s">
        <v>289</v>
      </c>
      <c r="B1857" s="330">
        <v>2</v>
      </c>
      <c r="C1857" s="298">
        <v>46023</v>
      </c>
      <c r="D1857" s="299" t="s">
        <v>370</v>
      </c>
      <c r="E1857" s="331">
        <v>13.06</v>
      </c>
      <c r="F1857" s="331"/>
      <c r="G1857" s="333">
        <f t="shared" si="36"/>
        <v>2554.0500000000002</v>
      </c>
      <c r="H1857" s="334"/>
      <c r="I1857" s="335"/>
      <c r="J1857" s="336"/>
      <c r="K1857" s="301"/>
      <c r="L1857" s="336"/>
      <c r="M1857" s="301"/>
      <c r="N1857" s="336"/>
      <c r="O1857" s="301"/>
      <c r="P1857" s="336"/>
      <c r="Q1857" s="301"/>
      <c r="R1857" s="336"/>
      <c r="S1857" s="301"/>
      <c r="T1857" s="336"/>
    </row>
    <row r="1858" spans="1:20" ht="12" customHeight="1" x14ac:dyDescent="0.25">
      <c r="A1858" s="329" t="s">
        <v>294</v>
      </c>
      <c r="B1858" s="330">
        <v>22</v>
      </c>
      <c r="C1858" s="298">
        <v>46023</v>
      </c>
      <c r="D1858" s="299" t="s">
        <v>374</v>
      </c>
      <c r="E1858" s="331">
        <v>6.37</v>
      </c>
      <c r="F1858" s="331"/>
      <c r="G1858" s="333">
        <f t="shared" si="36"/>
        <v>2567.11</v>
      </c>
      <c r="H1858" s="334"/>
      <c r="I1858" s="335"/>
      <c r="J1858" s="336"/>
      <c r="K1858" s="301"/>
      <c r="L1858" s="336"/>
      <c r="M1858" s="301"/>
      <c r="N1858" s="336"/>
      <c r="O1858" s="301"/>
      <c r="P1858" s="336"/>
      <c r="Q1858" s="301"/>
      <c r="R1858" s="336"/>
      <c r="S1858" s="301"/>
      <c r="T1858" s="336"/>
    </row>
    <row r="1859" spans="1:20" ht="12" customHeight="1" x14ac:dyDescent="0.25">
      <c r="A1859" s="329" t="s">
        <v>289</v>
      </c>
      <c r="B1859" s="330">
        <v>2</v>
      </c>
      <c r="C1859" s="298">
        <v>46023</v>
      </c>
      <c r="D1859" s="299" t="s">
        <v>357</v>
      </c>
      <c r="E1859" s="331">
        <v>10.27</v>
      </c>
      <c r="F1859" s="331"/>
      <c r="G1859" s="333">
        <f t="shared" si="36"/>
        <v>2573.48</v>
      </c>
      <c r="H1859" s="334"/>
      <c r="I1859" s="335"/>
      <c r="J1859" s="336"/>
      <c r="K1859" s="301"/>
      <c r="L1859" s="336"/>
      <c r="M1859" s="301"/>
      <c r="N1859" s="336"/>
      <c r="O1859" s="301"/>
      <c r="P1859" s="336"/>
      <c r="Q1859" s="301"/>
      <c r="R1859" s="336"/>
      <c r="S1859" s="301"/>
      <c r="T1859" s="336"/>
    </row>
    <row r="1860" spans="1:20" ht="12" customHeight="1" x14ac:dyDescent="0.25">
      <c r="A1860" s="329" t="s">
        <v>289</v>
      </c>
      <c r="B1860" s="330">
        <v>6</v>
      </c>
      <c r="C1860" s="298">
        <v>46023</v>
      </c>
      <c r="D1860" s="299" t="s">
        <v>485</v>
      </c>
      <c r="E1860" s="331">
        <v>176.57</v>
      </c>
      <c r="F1860" s="331"/>
      <c r="G1860" s="333">
        <f t="shared" si="36"/>
        <v>2583.75</v>
      </c>
      <c r="H1860" s="334"/>
      <c r="I1860" s="335"/>
      <c r="J1860" s="336"/>
      <c r="K1860" s="301"/>
      <c r="L1860" s="336"/>
      <c r="M1860" s="301"/>
      <c r="N1860" s="336"/>
      <c r="O1860" s="301"/>
      <c r="P1860" s="336"/>
      <c r="Q1860" s="301"/>
      <c r="R1860" s="336"/>
      <c r="S1860" s="301"/>
      <c r="T1860" s="336"/>
    </row>
    <row r="1861" spans="1:20" ht="12" customHeight="1" x14ac:dyDescent="0.25">
      <c r="A1861" s="329" t="s">
        <v>287</v>
      </c>
      <c r="B1861" s="330" t="s">
        <v>287</v>
      </c>
      <c r="C1861" s="298">
        <v>46023</v>
      </c>
      <c r="D1861" s="299" t="s">
        <v>300</v>
      </c>
      <c r="E1861" s="331">
        <v>383.39</v>
      </c>
      <c r="F1861" s="331">
        <v>383.39</v>
      </c>
      <c r="G1861" s="333">
        <f t="shared" si="36"/>
        <v>2760.32</v>
      </c>
      <c r="H1861" s="334"/>
      <c r="I1861" s="335"/>
      <c r="J1861" s="336"/>
      <c r="K1861" s="301"/>
      <c r="L1861" s="336"/>
      <c r="M1861" s="301"/>
      <c r="N1861" s="336"/>
      <c r="O1861" s="301"/>
      <c r="P1861" s="336"/>
      <c r="Q1861" s="301"/>
      <c r="R1861" s="336"/>
      <c r="S1861" s="301"/>
      <c r="T1861" s="336"/>
    </row>
    <row r="1862" spans="1:20" ht="12" customHeight="1" x14ac:dyDescent="0.25">
      <c r="A1862" s="329" t="s">
        <v>287</v>
      </c>
      <c r="B1862" s="330" t="s">
        <v>287</v>
      </c>
      <c r="C1862" s="298">
        <v>46023</v>
      </c>
      <c r="D1862" s="299" t="s">
        <v>300</v>
      </c>
      <c r="E1862" s="331">
        <v>53.24</v>
      </c>
      <c r="F1862" s="331">
        <v>53.24</v>
      </c>
      <c r="G1862" s="333">
        <f t="shared" si="36"/>
        <v>2760.32</v>
      </c>
      <c r="H1862" s="334"/>
      <c r="I1862" s="335"/>
      <c r="J1862" s="336"/>
      <c r="K1862" s="301"/>
      <c r="L1862" s="336"/>
      <c r="M1862" s="301"/>
      <c r="N1862" s="336"/>
      <c r="O1862" s="301"/>
      <c r="P1862" s="336"/>
      <c r="Q1862" s="301"/>
      <c r="R1862" s="336"/>
      <c r="S1862" s="301"/>
      <c r="T1862" s="336"/>
    </row>
    <row r="1863" spans="1:20" ht="12" customHeight="1" x14ac:dyDescent="0.25">
      <c r="A1863" s="329" t="s">
        <v>335</v>
      </c>
      <c r="B1863" s="330" t="s">
        <v>335</v>
      </c>
      <c r="C1863" s="298">
        <v>46023</v>
      </c>
      <c r="D1863" s="337" t="s">
        <v>458</v>
      </c>
      <c r="E1863" s="331">
        <v>239.68</v>
      </c>
      <c r="F1863" s="331"/>
      <c r="G1863" s="333">
        <f t="shared" si="36"/>
        <v>2760.32</v>
      </c>
      <c r="H1863" s="334"/>
      <c r="I1863" s="335"/>
      <c r="J1863" s="336"/>
      <c r="K1863" s="301"/>
      <c r="L1863" s="336"/>
      <c r="M1863" s="301"/>
      <c r="N1863" s="336"/>
      <c r="O1863" s="301"/>
      <c r="P1863" s="336"/>
      <c r="Q1863" s="301"/>
      <c r="R1863" s="336"/>
      <c r="S1863" s="301"/>
      <c r="T1863" s="336"/>
    </row>
    <row r="1864" spans="1:20" ht="12" customHeight="1" x14ac:dyDescent="0.25">
      <c r="A1864" s="329" t="s">
        <v>486</v>
      </c>
      <c r="B1864" s="330" t="s">
        <v>486</v>
      </c>
      <c r="C1864" s="298">
        <v>45658</v>
      </c>
      <c r="D1864" s="298" t="s">
        <v>487</v>
      </c>
      <c r="E1864" s="332"/>
      <c r="F1864" s="332"/>
      <c r="G1864" s="333">
        <v>3000</v>
      </c>
      <c r="H1864" s="334"/>
      <c r="I1864" s="335"/>
      <c r="J1864" s="336"/>
      <c r="K1864" s="301"/>
      <c r="L1864" s="336"/>
      <c r="M1864" s="301"/>
      <c r="N1864" s="336"/>
      <c r="O1864" s="301"/>
      <c r="P1864" s="336"/>
      <c r="Q1864" s="301"/>
      <c r="R1864" s="336"/>
      <c r="S1864" s="301"/>
      <c r="T1864" s="336"/>
    </row>
    <row r="1865" spans="1:20" ht="15.75" customHeight="1" x14ac:dyDescent="0.25"/>
    <row r="1866" spans="1:20" ht="15.75" customHeight="1" x14ac:dyDescent="0.25"/>
    <row r="1867" spans="1:20" ht="15.75" customHeight="1" x14ac:dyDescent="0.25"/>
    <row r="1868" spans="1:20" ht="15.75" customHeight="1" x14ac:dyDescent="0.25"/>
    <row r="1869" spans="1:20" ht="15.75" customHeight="1" x14ac:dyDescent="0.25"/>
    <row r="1870" spans="1:20" ht="15.75" customHeight="1" x14ac:dyDescent="0.25"/>
    <row r="1871" spans="1:20" ht="15.75" customHeight="1" x14ac:dyDescent="0.25"/>
    <row r="1872" spans="1:20" ht="15.75" customHeight="1" x14ac:dyDescent="0.25"/>
    <row r="1873" ht="15.75" customHeight="1" x14ac:dyDescent="0.25"/>
    <row r="1874" ht="15.75" customHeight="1" x14ac:dyDescent="0.25"/>
    <row r="1875" ht="15.75" customHeight="1" x14ac:dyDescent="0.25"/>
    <row r="1876" ht="15.75" customHeight="1" x14ac:dyDescent="0.25"/>
    <row r="1877" ht="15.75" customHeight="1" x14ac:dyDescent="0.25"/>
    <row r="1878" ht="15.75" customHeight="1" x14ac:dyDescent="0.25"/>
    <row r="1879" ht="15.75" customHeight="1" x14ac:dyDescent="0.25"/>
    <row r="1880" ht="15.75" customHeight="1" x14ac:dyDescent="0.25"/>
    <row r="1881" ht="15.75" customHeight="1" x14ac:dyDescent="0.25"/>
    <row r="1882" ht="15.75" customHeight="1" x14ac:dyDescent="0.25"/>
    <row r="1883" ht="15.75" customHeight="1" x14ac:dyDescent="0.25"/>
    <row r="1884" ht="15.75" customHeight="1" x14ac:dyDescent="0.25"/>
    <row r="1885" ht="15.75" customHeight="1" x14ac:dyDescent="0.25"/>
    <row r="1886" ht="15.75" customHeight="1" x14ac:dyDescent="0.25"/>
    <row r="1887" ht="15.75" customHeight="1" x14ac:dyDescent="0.25"/>
    <row r="1888" ht="15.75" customHeight="1" x14ac:dyDescent="0.25"/>
    <row r="1889" ht="15.75" customHeight="1" x14ac:dyDescent="0.25"/>
    <row r="1890" ht="15.75" customHeight="1" x14ac:dyDescent="0.25"/>
    <row r="1891" ht="15.75" customHeight="1" x14ac:dyDescent="0.25"/>
    <row r="1892" ht="15.75" customHeight="1" x14ac:dyDescent="0.25"/>
    <row r="1893" ht="15.75" customHeight="1" x14ac:dyDescent="0.25"/>
    <row r="1894" ht="15.75" customHeight="1" x14ac:dyDescent="0.25"/>
    <row r="1895" ht="15.75" customHeight="1" x14ac:dyDescent="0.25"/>
    <row r="1896" ht="15.75" customHeight="1" x14ac:dyDescent="0.25"/>
    <row r="1897" ht="15.75" customHeight="1" x14ac:dyDescent="0.25"/>
    <row r="1898" ht="15.75" customHeight="1" x14ac:dyDescent="0.25"/>
    <row r="1899" ht="15.75" customHeight="1" x14ac:dyDescent="0.25"/>
    <row r="1900" ht="15.75" customHeight="1" x14ac:dyDescent="0.25"/>
    <row r="1901" ht="15.75" customHeight="1" x14ac:dyDescent="0.25"/>
    <row r="1902" ht="15.75" customHeight="1" x14ac:dyDescent="0.25"/>
    <row r="1903" ht="15.75" customHeight="1" x14ac:dyDescent="0.25"/>
    <row r="1904" ht="15.75" customHeight="1" x14ac:dyDescent="0.25"/>
    <row r="1905" ht="15.75" customHeight="1" x14ac:dyDescent="0.25"/>
    <row r="1906" ht="15.75" customHeight="1" x14ac:dyDescent="0.25"/>
    <row r="1907" ht="15.75" customHeight="1" x14ac:dyDescent="0.25"/>
    <row r="1908" ht="15.75" customHeight="1" x14ac:dyDescent="0.25"/>
    <row r="1909" ht="15.75" customHeight="1" x14ac:dyDescent="0.25"/>
    <row r="1910" ht="15.75" customHeight="1" x14ac:dyDescent="0.25"/>
    <row r="1911" ht="15.75" customHeight="1" x14ac:dyDescent="0.25"/>
    <row r="1912" ht="15.75" customHeight="1" x14ac:dyDescent="0.25"/>
    <row r="1913" ht="15.75" customHeight="1" x14ac:dyDescent="0.25"/>
    <row r="1914" ht="15.75" customHeight="1" x14ac:dyDescent="0.25"/>
    <row r="1915" ht="15.75" customHeight="1" x14ac:dyDescent="0.25"/>
    <row r="1916" ht="15.75" customHeight="1" x14ac:dyDescent="0.25"/>
    <row r="1917" ht="15.75" customHeight="1" x14ac:dyDescent="0.25"/>
    <row r="1918" ht="15.75" customHeight="1" x14ac:dyDescent="0.25"/>
    <row r="1919" ht="15.75" customHeight="1" x14ac:dyDescent="0.25"/>
    <row r="1920" ht="15.75" customHeight="1" x14ac:dyDescent="0.25"/>
    <row r="1921" ht="15.75" customHeight="1" x14ac:dyDescent="0.25"/>
    <row r="1922" ht="15.75" customHeight="1" x14ac:dyDescent="0.25"/>
    <row r="1923" ht="15.75" customHeight="1" x14ac:dyDescent="0.25"/>
    <row r="1924" ht="15.75" customHeight="1" x14ac:dyDescent="0.25"/>
    <row r="1925" ht="15.75" customHeight="1" x14ac:dyDescent="0.25"/>
    <row r="1926" ht="15.75" customHeight="1" x14ac:dyDescent="0.25"/>
    <row r="1927" ht="15.75" customHeight="1" x14ac:dyDescent="0.25"/>
    <row r="1928" ht="15.75" customHeight="1" x14ac:dyDescent="0.25"/>
    <row r="1929" ht="15.75" customHeight="1" x14ac:dyDescent="0.25"/>
    <row r="1930" ht="15.75" customHeight="1" x14ac:dyDescent="0.25"/>
    <row r="1931" ht="15.75" customHeight="1" x14ac:dyDescent="0.25"/>
    <row r="1932" ht="15.75" customHeight="1" x14ac:dyDescent="0.25"/>
    <row r="1933" ht="15.75" customHeight="1" x14ac:dyDescent="0.25"/>
    <row r="1934" ht="15.75" customHeight="1" x14ac:dyDescent="0.25"/>
    <row r="1935" ht="15.75" customHeight="1" x14ac:dyDescent="0.25"/>
    <row r="1936" ht="15.75" customHeight="1" x14ac:dyDescent="0.25"/>
    <row r="1937" ht="15.75" customHeight="1" x14ac:dyDescent="0.25"/>
    <row r="1938" ht="15.75" customHeight="1" x14ac:dyDescent="0.25"/>
    <row r="1939" ht="15.75" customHeight="1" x14ac:dyDescent="0.25"/>
    <row r="1940" ht="15.75" customHeight="1" x14ac:dyDescent="0.25"/>
    <row r="1941" ht="15.75" customHeight="1" x14ac:dyDescent="0.25"/>
    <row r="1942" ht="15.75" customHeight="1" x14ac:dyDescent="0.25"/>
    <row r="1943" ht="15.75" customHeight="1" x14ac:dyDescent="0.25"/>
    <row r="1944" ht="15.75" customHeight="1" x14ac:dyDescent="0.25"/>
    <row r="1945" ht="15.75" customHeight="1" x14ac:dyDescent="0.25"/>
    <row r="1946" ht="15.75" customHeight="1" x14ac:dyDescent="0.25"/>
    <row r="1947" ht="15.75" customHeight="1" x14ac:dyDescent="0.25"/>
    <row r="1948" ht="15.75" customHeight="1" x14ac:dyDescent="0.25"/>
    <row r="1949" ht="15.75" customHeight="1" x14ac:dyDescent="0.25"/>
    <row r="1950" ht="15.75" customHeight="1" x14ac:dyDescent="0.25"/>
    <row r="1951" ht="15.75" customHeight="1" x14ac:dyDescent="0.25"/>
    <row r="1952" ht="15.75" customHeight="1" x14ac:dyDescent="0.25"/>
    <row r="1953" ht="15.75" customHeight="1" x14ac:dyDescent="0.25"/>
    <row r="1954" ht="15.75" customHeight="1" x14ac:dyDescent="0.25"/>
    <row r="1955" ht="15.75" customHeight="1" x14ac:dyDescent="0.25"/>
    <row r="1956" ht="15.75" customHeight="1" x14ac:dyDescent="0.25"/>
    <row r="1957" ht="15.75" customHeight="1" x14ac:dyDescent="0.25"/>
    <row r="1958" ht="15.75" customHeight="1" x14ac:dyDescent="0.25"/>
    <row r="1959" ht="15.75" customHeight="1" x14ac:dyDescent="0.25"/>
    <row r="1960" ht="15.75" customHeight="1" x14ac:dyDescent="0.25"/>
    <row r="1961" ht="15.75" customHeight="1" x14ac:dyDescent="0.25"/>
    <row r="1962" ht="15.75" customHeight="1" x14ac:dyDescent="0.25"/>
    <row r="1963" ht="15.75" customHeight="1" x14ac:dyDescent="0.25"/>
    <row r="1964" ht="15.75" customHeight="1" x14ac:dyDescent="0.25"/>
    <row r="1965" ht="15.75" customHeight="1" x14ac:dyDescent="0.25"/>
    <row r="1966" ht="15.75" customHeight="1" x14ac:dyDescent="0.25"/>
    <row r="1967" ht="15.75" customHeight="1" x14ac:dyDescent="0.25"/>
    <row r="1968" ht="15.75" customHeight="1" x14ac:dyDescent="0.25"/>
    <row r="1969" ht="15.75" customHeight="1" x14ac:dyDescent="0.25"/>
    <row r="1970" ht="15.75" customHeight="1" x14ac:dyDescent="0.25"/>
    <row r="1971" ht="15.75" customHeight="1" x14ac:dyDescent="0.25"/>
    <row r="1972" ht="15.75" customHeight="1" x14ac:dyDescent="0.25"/>
    <row r="1973" ht="15.75" customHeight="1" x14ac:dyDescent="0.25"/>
    <row r="1974" ht="15.75" customHeight="1" x14ac:dyDescent="0.25"/>
    <row r="1975" ht="15.75" customHeight="1" x14ac:dyDescent="0.25"/>
    <row r="1976" ht="15.75" customHeight="1" x14ac:dyDescent="0.25"/>
    <row r="1977" ht="15.75" customHeight="1" x14ac:dyDescent="0.25"/>
    <row r="1978" ht="15.75" customHeight="1" x14ac:dyDescent="0.25"/>
    <row r="1979" ht="15.75" customHeight="1" x14ac:dyDescent="0.25"/>
    <row r="1980" ht="15.75" customHeight="1" x14ac:dyDescent="0.25"/>
    <row r="1981" ht="15.75" customHeight="1" x14ac:dyDescent="0.25"/>
    <row r="1982" ht="15.75" customHeight="1" x14ac:dyDescent="0.25"/>
    <row r="1983" ht="15.75" customHeight="1" x14ac:dyDescent="0.25"/>
    <row r="1984" ht="15.75" customHeight="1" x14ac:dyDescent="0.25"/>
    <row r="1985" ht="15.75" customHeight="1" x14ac:dyDescent="0.25"/>
    <row r="1986" ht="15.75" customHeight="1" x14ac:dyDescent="0.25"/>
    <row r="1987" ht="15.75" customHeight="1" x14ac:dyDescent="0.25"/>
    <row r="1988" ht="15.75" customHeight="1" x14ac:dyDescent="0.25"/>
    <row r="1989" ht="15.75" customHeight="1" x14ac:dyDescent="0.25"/>
    <row r="1990" ht="15.75" customHeight="1" x14ac:dyDescent="0.25"/>
    <row r="1991" ht="15.75" customHeight="1" x14ac:dyDescent="0.25"/>
    <row r="1992" ht="15.75" customHeight="1" x14ac:dyDescent="0.25"/>
    <row r="1993" ht="15.75" customHeight="1" x14ac:dyDescent="0.25"/>
    <row r="1994" ht="15.75" customHeight="1" x14ac:dyDescent="0.25"/>
    <row r="1995" ht="15.75" customHeight="1" x14ac:dyDescent="0.25"/>
    <row r="1996" ht="15.75" customHeight="1" x14ac:dyDescent="0.25"/>
    <row r="1997" ht="15.75" customHeight="1" x14ac:dyDescent="0.25"/>
    <row r="1998" ht="15.75" customHeight="1" x14ac:dyDescent="0.25"/>
    <row r="1999" ht="15.75" customHeight="1" x14ac:dyDescent="0.25"/>
    <row r="2000" ht="15.75" customHeight="1" x14ac:dyDescent="0.25"/>
    <row r="2001" ht="15.75" customHeight="1" x14ac:dyDescent="0.25"/>
    <row r="2002" ht="15.75" customHeight="1" x14ac:dyDescent="0.25"/>
    <row r="2003" ht="15.75" customHeight="1" x14ac:dyDescent="0.25"/>
    <row r="2004" ht="15.75" customHeight="1" x14ac:dyDescent="0.25"/>
    <row r="2005" ht="15.75" customHeight="1" x14ac:dyDescent="0.25"/>
    <row r="2006" ht="15.75" customHeight="1" x14ac:dyDescent="0.25"/>
    <row r="2007" ht="15.75" customHeight="1" x14ac:dyDescent="0.25"/>
    <row r="2008" ht="15.75" customHeight="1" x14ac:dyDescent="0.25"/>
    <row r="2009" ht="15.75" customHeight="1" x14ac:dyDescent="0.25"/>
    <row r="2010" ht="15.75" customHeight="1" x14ac:dyDescent="0.25"/>
    <row r="2011" ht="15.75" customHeight="1" x14ac:dyDescent="0.25"/>
    <row r="2012" ht="15.75" customHeight="1" x14ac:dyDescent="0.25"/>
    <row r="2013" ht="15.75" customHeight="1" x14ac:dyDescent="0.25"/>
    <row r="2014" ht="15.75" customHeight="1" x14ac:dyDescent="0.25"/>
    <row r="2015" ht="15.75" customHeight="1" x14ac:dyDescent="0.25"/>
    <row r="2016" ht="15.75" customHeight="1" x14ac:dyDescent="0.25"/>
    <row r="2017" ht="15.75" customHeight="1" x14ac:dyDescent="0.25"/>
    <row r="2018" ht="15.75" customHeight="1" x14ac:dyDescent="0.25"/>
    <row r="2019" ht="15.75" customHeight="1" x14ac:dyDescent="0.25"/>
    <row r="2020" ht="15.75" customHeight="1" x14ac:dyDescent="0.25"/>
    <row r="2021" ht="15.75" customHeight="1" x14ac:dyDescent="0.25"/>
    <row r="2022" ht="15.75" customHeight="1" x14ac:dyDescent="0.25"/>
    <row r="2023" ht="15.75" customHeight="1" x14ac:dyDescent="0.25"/>
    <row r="2024" ht="15.75" customHeight="1" x14ac:dyDescent="0.25"/>
    <row r="2025" ht="15.75" customHeight="1" x14ac:dyDescent="0.25"/>
    <row r="2026" ht="15.75" customHeight="1" x14ac:dyDescent="0.25"/>
    <row r="2027" ht="15.75" customHeight="1" x14ac:dyDescent="0.25"/>
    <row r="2028" ht="15.75" customHeight="1" x14ac:dyDescent="0.25"/>
    <row r="2029" ht="15.75" customHeight="1" x14ac:dyDescent="0.25"/>
    <row r="2030" ht="15.75" customHeight="1" x14ac:dyDescent="0.25"/>
    <row r="2031" ht="15.75" customHeight="1" x14ac:dyDescent="0.25"/>
    <row r="2032" ht="15.75" customHeight="1" x14ac:dyDescent="0.25"/>
    <row r="2033" ht="15.75" customHeight="1" x14ac:dyDescent="0.25"/>
    <row r="2034" ht="15.75" customHeight="1" x14ac:dyDescent="0.25"/>
    <row r="2035" ht="15.75" customHeight="1" x14ac:dyDescent="0.25"/>
    <row r="2036" ht="15.75" customHeight="1" x14ac:dyDescent="0.25"/>
    <row r="2037" ht="15.75" customHeight="1" x14ac:dyDescent="0.25"/>
    <row r="2038" ht="15.75" customHeight="1" x14ac:dyDescent="0.25"/>
    <row r="2039" ht="15.75" customHeight="1" x14ac:dyDescent="0.25"/>
    <row r="2040" ht="15.75" customHeight="1" x14ac:dyDescent="0.25"/>
    <row r="2041" ht="15.75" customHeight="1" x14ac:dyDescent="0.25"/>
    <row r="2042" ht="15.75" customHeight="1" x14ac:dyDescent="0.25"/>
    <row r="2043" ht="15.75" customHeight="1" x14ac:dyDescent="0.25"/>
    <row r="2044" ht="15.75" customHeight="1" x14ac:dyDescent="0.25"/>
    <row r="2045" ht="15.75" customHeight="1" x14ac:dyDescent="0.25"/>
    <row r="2046" ht="15.75" customHeight="1" x14ac:dyDescent="0.25"/>
    <row r="2047" ht="15.75" customHeight="1" x14ac:dyDescent="0.25"/>
    <row r="2048" ht="15.75" customHeight="1" x14ac:dyDescent="0.25"/>
    <row r="2049" ht="15.75" customHeight="1" x14ac:dyDescent="0.25"/>
    <row r="2050" ht="15.75" customHeight="1" x14ac:dyDescent="0.25"/>
    <row r="2051" ht="15.75" customHeight="1" x14ac:dyDescent="0.25"/>
    <row r="2052" ht="15.75" customHeight="1" x14ac:dyDescent="0.25"/>
    <row r="2053" ht="15.75" customHeight="1" x14ac:dyDescent="0.25"/>
    <row r="2054" ht="15.75" customHeight="1" x14ac:dyDescent="0.25"/>
    <row r="2055" ht="15.75" customHeight="1" x14ac:dyDescent="0.25"/>
    <row r="2056" ht="15.75" customHeight="1" x14ac:dyDescent="0.25"/>
    <row r="2057" ht="15.75" customHeight="1" x14ac:dyDescent="0.25"/>
    <row r="2058" ht="15.75" customHeight="1" x14ac:dyDescent="0.25"/>
    <row r="2059" ht="15.75" customHeight="1" x14ac:dyDescent="0.25"/>
    <row r="2060" ht="15.75" customHeight="1" x14ac:dyDescent="0.25"/>
    <row r="2061" ht="15.75" customHeight="1" x14ac:dyDescent="0.25"/>
    <row r="2062" ht="15.75" customHeight="1" x14ac:dyDescent="0.25"/>
    <row r="2063" ht="15.75" customHeight="1" x14ac:dyDescent="0.25"/>
    <row r="2064" ht="15.75" customHeight="1" x14ac:dyDescent="0.25"/>
    <row r="2065" ht="15.75" customHeight="1" x14ac:dyDescent="0.25"/>
    <row r="2066" ht="15.75" customHeight="1" x14ac:dyDescent="0.25"/>
    <row r="2067" ht="15.75" customHeight="1" x14ac:dyDescent="0.25"/>
    <row r="2068" ht="15.75" customHeight="1" x14ac:dyDescent="0.25"/>
    <row r="2069" ht="15.75" customHeight="1" x14ac:dyDescent="0.25"/>
    <row r="2070" ht="15.75" customHeight="1" x14ac:dyDescent="0.25"/>
    <row r="2071" ht="15.75" customHeight="1" x14ac:dyDescent="0.25"/>
    <row r="2072" ht="15.75" customHeight="1" x14ac:dyDescent="0.25"/>
    <row r="2073" ht="15.75" customHeight="1" x14ac:dyDescent="0.25"/>
    <row r="2074" ht="15.75" customHeight="1" x14ac:dyDescent="0.25"/>
    <row r="2075" ht="15.75" customHeight="1" x14ac:dyDescent="0.25"/>
    <row r="2076" ht="15.75" customHeight="1" x14ac:dyDescent="0.25"/>
    <row r="2077" ht="15.75" customHeight="1" x14ac:dyDescent="0.25"/>
    <row r="2078" ht="15.75" customHeight="1" x14ac:dyDescent="0.25"/>
    <row r="2079" ht="15.75" customHeight="1" x14ac:dyDescent="0.25"/>
    <row r="2080" ht="15.75" customHeight="1" x14ac:dyDescent="0.25"/>
    <row r="2081" ht="15.75" customHeight="1" x14ac:dyDescent="0.25"/>
    <row r="2082" ht="15.75" customHeight="1" x14ac:dyDescent="0.25"/>
    <row r="2083" ht="15.75" customHeight="1" x14ac:dyDescent="0.25"/>
    <row r="2084" ht="15.75" customHeight="1" x14ac:dyDescent="0.25"/>
    <row r="2085" ht="15.75" customHeight="1" x14ac:dyDescent="0.25"/>
    <row r="2086" ht="15.75" customHeight="1" x14ac:dyDescent="0.25"/>
    <row r="2087" ht="15.75" customHeight="1" x14ac:dyDescent="0.25"/>
    <row r="2088" ht="15.75" customHeight="1" x14ac:dyDescent="0.25"/>
    <row r="2089" ht="15.75" customHeight="1" x14ac:dyDescent="0.25"/>
    <row r="2090" ht="15.75" customHeight="1" x14ac:dyDescent="0.25"/>
    <row r="2091" ht="15.75" customHeight="1" x14ac:dyDescent="0.25"/>
    <row r="2092" ht="15.75" customHeight="1" x14ac:dyDescent="0.25"/>
    <row r="2093" ht="15.75" customHeight="1" x14ac:dyDescent="0.25"/>
    <row r="2094" ht="15.75" customHeight="1" x14ac:dyDescent="0.25"/>
    <row r="2095" ht="15.75" customHeight="1" x14ac:dyDescent="0.25"/>
    <row r="2096" ht="15.75" customHeight="1" x14ac:dyDescent="0.25"/>
    <row r="2097" ht="15.75" customHeight="1" x14ac:dyDescent="0.25"/>
    <row r="2098" ht="15.75" customHeight="1" x14ac:dyDescent="0.25"/>
    <row r="2099" ht="15.75" customHeight="1" x14ac:dyDescent="0.25"/>
    <row r="2100" ht="15.75" customHeight="1" x14ac:dyDescent="0.25"/>
    <row r="2101" ht="15.75" customHeight="1" x14ac:dyDescent="0.25"/>
    <row r="2102" ht="15.75" customHeight="1" x14ac:dyDescent="0.25"/>
    <row r="2103" ht="15.75" customHeight="1" x14ac:dyDescent="0.25"/>
    <row r="2104" ht="15.75" customHeight="1" x14ac:dyDescent="0.25"/>
    <row r="2105" ht="15.75" customHeight="1" x14ac:dyDescent="0.25"/>
    <row r="2106" ht="15.75" customHeight="1" x14ac:dyDescent="0.25"/>
    <row r="2107" ht="15.75" customHeight="1" x14ac:dyDescent="0.25"/>
    <row r="2108" ht="15.75" customHeight="1" x14ac:dyDescent="0.25"/>
    <row r="2109" ht="15.75" customHeight="1" x14ac:dyDescent="0.25"/>
    <row r="2110" ht="15.75" customHeight="1" x14ac:dyDescent="0.25"/>
    <row r="2111" ht="15.75" customHeight="1" x14ac:dyDescent="0.25"/>
    <row r="2112" ht="15.75" customHeight="1" x14ac:dyDescent="0.25"/>
    <row r="2113" ht="15.75" customHeight="1" x14ac:dyDescent="0.25"/>
    <row r="2114" ht="15.75" customHeight="1" x14ac:dyDescent="0.25"/>
    <row r="2115" ht="15.75" customHeight="1" x14ac:dyDescent="0.25"/>
    <row r="2116" ht="15.75" customHeight="1" x14ac:dyDescent="0.25"/>
    <row r="2117" ht="15.75" customHeight="1" x14ac:dyDescent="0.25"/>
    <row r="2118" ht="15.75" customHeight="1" x14ac:dyDescent="0.25"/>
    <row r="2119" ht="15.75" customHeight="1" x14ac:dyDescent="0.25"/>
    <row r="2120" ht="15.75" customHeight="1" x14ac:dyDescent="0.25"/>
    <row r="2121" ht="15.75" customHeight="1" x14ac:dyDescent="0.25"/>
    <row r="2122" ht="15.75" customHeight="1" x14ac:dyDescent="0.25"/>
    <row r="2123" ht="15.75" customHeight="1" x14ac:dyDescent="0.25"/>
    <row r="2124" ht="15.75" customHeight="1" x14ac:dyDescent="0.25"/>
    <row r="2125" ht="15.75" customHeight="1" x14ac:dyDescent="0.25"/>
    <row r="2126" ht="15.75" customHeight="1" x14ac:dyDescent="0.25"/>
    <row r="2127" ht="15.75" customHeight="1" x14ac:dyDescent="0.25"/>
    <row r="2128" ht="15.75" customHeight="1" x14ac:dyDescent="0.25"/>
    <row r="2129" ht="15.75" customHeight="1" x14ac:dyDescent="0.25"/>
    <row r="2130" ht="15.75" customHeight="1" x14ac:dyDescent="0.25"/>
    <row r="2131" ht="15.75" customHeight="1" x14ac:dyDescent="0.25"/>
    <row r="2132" ht="15.75" customHeight="1" x14ac:dyDescent="0.25"/>
    <row r="2133" ht="15.75" customHeight="1" x14ac:dyDescent="0.25"/>
    <row r="2134" ht="15.75" customHeight="1" x14ac:dyDescent="0.25"/>
    <row r="2135" ht="15.75" customHeight="1" x14ac:dyDescent="0.25"/>
    <row r="2136" ht="15.75" customHeight="1" x14ac:dyDescent="0.25"/>
    <row r="2137" ht="15.75" customHeight="1" x14ac:dyDescent="0.25"/>
    <row r="2138" ht="15.75" customHeight="1" x14ac:dyDescent="0.25"/>
    <row r="2139" ht="15.75" customHeight="1" x14ac:dyDescent="0.25"/>
    <row r="2140" ht="15.75" customHeight="1" x14ac:dyDescent="0.25"/>
    <row r="2141" ht="15.75" customHeight="1" x14ac:dyDescent="0.25"/>
    <row r="2142" ht="15.75" customHeight="1" x14ac:dyDescent="0.25"/>
    <row r="2143" ht="15.75" customHeight="1" x14ac:dyDescent="0.25"/>
    <row r="2144" ht="15.75" customHeight="1" x14ac:dyDescent="0.25"/>
    <row r="2145" ht="15.75" customHeight="1" x14ac:dyDescent="0.25"/>
    <row r="2146" ht="15.75" customHeight="1" x14ac:dyDescent="0.25"/>
    <row r="2147" ht="15.75" customHeight="1" x14ac:dyDescent="0.25"/>
    <row r="2148" ht="15.75" customHeight="1" x14ac:dyDescent="0.25"/>
    <row r="2149" ht="15.75" customHeight="1" x14ac:dyDescent="0.25"/>
    <row r="2150" ht="15.75" customHeight="1" x14ac:dyDescent="0.25"/>
    <row r="2151" ht="15.75" customHeight="1" x14ac:dyDescent="0.25"/>
    <row r="2152" ht="15.75" customHeight="1" x14ac:dyDescent="0.25"/>
    <row r="2153" ht="15.75" customHeight="1" x14ac:dyDescent="0.25"/>
    <row r="2154" ht="15.75" customHeight="1" x14ac:dyDescent="0.25"/>
    <row r="2155" ht="15.75" customHeight="1" x14ac:dyDescent="0.25"/>
    <row r="2156" ht="15.75" customHeight="1" x14ac:dyDescent="0.25"/>
    <row r="2157" ht="15.75" customHeight="1" x14ac:dyDescent="0.25"/>
    <row r="2158" ht="15.75" customHeight="1" x14ac:dyDescent="0.25"/>
    <row r="2159" ht="15.75" customHeight="1" x14ac:dyDescent="0.25"/>
    <row r="2160" ht="15.75" customHeight="1" x14ac:dyDescent="0.25"/>
    <row r="2161" ht="15.75" customHeight="1" x14ac:dyDescent="0.25"/>
    <row r="2162" ht="15.75" customHeight="1" x14ac:dyDescent="0.25"/>
    <row r="2163" ht="15.75" customHeight="1" x14ac:dyDescent="0.25"/>
    <row r="2164" ht="15.75" customHeight="1" x14ac:dyDescent="0.25"/>
    <row r="2165" ht="15.75" customHeight="1" x14ac:dyDescent="0.25"/>
    <row r="2166" ht="15.75" customHeight="1" x14ac:dyDescent="0.25"/>
    <row r="2167" ht="15.75" customHeight="1" x14ac:dyDescent="0.25"/>
    <row r="2168" ht="15.75" customHeight="1" x14ac:dyDescent="0.25"/>
    <row r="2169" ht="15.75" customHeight="1" x14ac:dyDescent="0.25"/>
    <row r="2170" ht="15.75" customHeight="1" x14ac:dyDescent="0.25"/>
    <row r="2171" ht="15.75" customHeight="1" x14ac:dyDescent="0.25"/>
    <row r="2172" ht="15.75" customHeight="1" x14ac:dyDescent="0.25"/>
    <row r="2173" ht="15.75" customHeight="1" x14ac:dyDescent="0.25"/>
    <row r="2174" ht="15.75" customHeight="1" x14ac:dyDescent="0.25"/>
    <row r="2175" ht="15.75" customHeight="1" x14ac:dyDescent="0.25"/>
    <row r="2176" ht="15.75" customHeight="1" x14ac:dyDescent="0.25"/>
    <row r="2177" ht="15.75" customHeight="1" x14ac:dyDescent="0.25"/>
    <row r="2178" ht="15.75" customHeight="1" x14ac:dyDescent="0.25"/>
    <row r="2179" ht="15.75" customHeight="1" x14ac:dyDescent="0.25"/>
    <row r="2180" ht="15.75" customHeight="1" x14ac:dyDescent="0.25"/>
    <row r="2181" ht="15.75" customHeight="1" x14ac:dyDescent="0.25"/>
    <row r="2182" ht="15.75" customHeight="1" x14ac:dyDescent="0.25"/>
    <row r="2183" ht="15.75" customHeight="1" x14ac:dyDescent="0.25"/>
    <row r="2184" ht="15.75" customHeight="1" x14ac:dyDescent="0.25"/>
    <row r="2185" ht="15.75" customHeight="1" x14ac:dyDescent="0.25"/>
    <row r="2186" ht="15.75" customHeight="1" x14ac:dyDescent="0.25"/>
    <row r="2187" ht="15.75" customHeight="1" x14ac:dyDescent="0.25"/>
    <row r="2188" ht="15.75" customHeight="1" x14ac:dyDescent="0.25"/>
    <row r="2189" ht="15.75" customHeight="1" x14ac:dyDescent="0.25"/>
    <row r="2190" ht="15.75" customHeight="1" x14ac:dyDescent="0.25"/>
    <row r="2191" ht="15.75" customHeight="1" x14ac:dyDescent="0.25"/>
    <row r="2192" ht="15.75" customHeight="1" x14ac:dyDescent="0.25"/>
    <row r="2193" ht="15.75" customHeight="1" x14ac:dyDescent="0.25"/>
    <row r="2194" ht="15.75" customHeight="1" x14ac:dyDescent="0.25"/>
    <row r="2195" ht="15.75" customHeight="1" x14ac:dyDescent="0.25"/>
    <row r="2196" ht="15.75" customHeight="1" x14ac:dyDescent="0.25"/>
    <row r="2197" ht="15.75" customHeight="1" x14ac:dyDescent="0.25"/>
    <row r="2198" ht="15.75" customHeight="1" x14ac:dyDescent="0.25"/>
    <row r="2199" ht="15.75" customHeight="1" x14ac:dyDescent="0.25"/>
    <row r="2200" ht="15.75" customHeight="1" x14ac:dyDescent="0.25"/>
    <row r="2201" ht="15.75" customHeight="1" x14ac:dyDescent="0.25"/>
    <row r="2202" ht="15.75" customHeight="1" x14ac:dyDescent="0.25"/>
    <row r="2203" ht="15.75" customHeight="1" x14ac:dyDescent="0.25"/>
    <row r="2204" ht="15.75" customHeight="1" x14ac:dyDescent="0.25"/>
    <row r="2205" ht="15.75" customHeight="1" x14ac:dyDescent="0.25"/>
    <row r="2206" ht="15.75" customHeight="1" x14ac:dyDescent="0.25"/>
    <row r="2207" ht="15.75" customHeight="1" x14ac:dyDescent="0.25"/>
    <row r="2208" ht="15.75" customHeight="1" x14ac:dyDescent="0.25"/>
    <row r="2209" ht="15.75" customHeight="1" x14ac:dyDescent="0.25"/>
    <row r="2210" ht="15.75" customHeight="1" x14ac:dyDescent="0.25"/>
    <row r="2211" ht="15.75" customHeight="1" x14ac:dyDescent="0.25"/>
    <row r="2212" ht="15.75" customHeight="1" x14ac:dyDescent="0.25"/>
    <row r="2213" ht="15.75" customHeight="1" x14ac:dyDescent="0.25"/>
    <row r="2214" ht="15.75" customHeight="1" x14ac:dyDescent="0.25"/>
    <row r="2215" ht="15.75" customHeight="1" x14ac:dyDescent="0.25"/>
    <row r="2216" ht="15.75" customHeight="1" x14ac:dyDescent="0.25"/>
    <row r="2217" ht="15.75" customHeight="1" x14ac:dyDescent="0.25"/>
    <row r="2218" ht="15.75" customHeight="1" x14ac:dyDescent="0.25"/>
    <row r="2219" ht="15.75" customHeight="1" x14ac:dyDescent="0.25"/>
    <row r="2220" ht="15.75" customHeight="1" x14ac:dyDescent="0.25"/>
    <row r="2221" ht="15.75" customHeight="1" x14ac:dyDescent="0.25"/>
    <row r="2222" ht="15.75" customHeight="1" x14ac:dyDescent="0.25"/>
    <row r="2223" ht="15.75" customHeight="1" x14ac:dyDescent="0.25"/>
    <row r="2224" ht="15.75" customHeight="1" x14ac:dyDescent="0.25"/>
    <row r="2225" ht="15.75" customHeight="1" x14ac:dyDescent="0.25"/>
    <row r="2226" ht="15.75" customHeight="1" x14ac:dyDescent="0.25"/>
    <row r="2227" ht="15.75" customHeight="1" x14ac:dyDescent="0.25"/>
    <row r="2228" ht="15.75" customHeight="1" x14ac:dyDescent="0.25"/>
    <row r="2229" ht="15.75" customHeight="1" x14ac:dyDescent="0.25"/>
    <row r="2230" ht="15.75" customHeight="1" x14ac:dyDescent="0.25"/>
    <row r="2231" ht="15.75" customHeight="1" x14ac:dyDescent="0.25"/>
    <row r="2232" ht="15.75" customHeight="1" x14ac:dyDescent="0.25"/>
    <row r="2233" ht="15.75" customHeight="1" x14ac:dyDescent="0.25"/>
    <row r="2234" ht="15.75" customHeight="1" x14ac:dyDescent="0.25"/>
    <row r="2235" ht="15.75" customHeight="1" x14ac:dyDescent="0.25"/>
    <row r="2236" ht="15.75" customHeight="1" x14ac:dyDescent="0.25"/>
    <row r="2237" ht="15.75" customHeight="1" x14ac:dyDescent="0.25"/>
    <row r="2238" ht="15.75" customHeight="1" x14ac:dyDescent="0.25"/>
    <row r="2239" ht="15.75" customHeight="1" x14ac:dyDescent="0.25"/>
    <row r="2240" ht="15.75" customHeight="1" x14ac:dyDescent="0.25"/>
    <row r="2241" ht="15.75" customHeight="1" x14ac:dyDescent="0.25"/>
    <row r="2242" ht="15.75" customHeight="1" x14ac:dyDescent="0.25"/>
    <row r="2243" ht="15.75" customHeight="1" x14ac:dyDescent="0.25"/>
    <row r="2244" ht="15.75" customHeight="1" x14ac:dyDescent="0.25"/>
    <row r="2245" ht="15.75" customHeight="1" x14ac:dyDescent="0.25"/>
    <row r="2246" ht="15.75" customHeight="1" x14ac:dyDescent="0.25"/>
    <row r="2247" ht="15.75" customHeight="1" x14ac:dyDescent="0.25"/>
    <row r="2248" ht="15.75" customHeight="1" x14ac:dyDescent="0.25"/>
    <row r="2249" ht="15.75" customHeight="1" x14ac:dyDescent="0.25"/>
    <row r="2250" ht="15.75" customHeight="1" x14ac:dyDescent="0.25"/>
    <row r="2251" ht="15.75" customHeight="1" x14ac:dyDescent="0.25"/>
    <row r="2252" ht="15.75" customHeight="1" x14ac:dyDescent="0.25"/>
    <row r="2253" ht="15.75" customHeight="1" x14ac:dyDescent="0.25"/>
    <row r="2254" ht="15.75" customHeight="1" x14ac:dyDescent="0.25"/>
    <row r="2255" ht="15.75" customHeight="1" x14ac:dyDescent="0.25"/>
    <row r="2256" ht="15.75" customHeight="1" x14ac:dyDescent="0.25"/>
    <row r="2257" ht="15.75" customHeight="1" x14ac:dyDescent="0.25"/>
    <row r="2258" ht="15.75" customHeight="1" x14ac:dyDescent="0.25"/>
    <row r="2259" ht="15.75" customHeight="1" x14ac:dyDescent="0.25"/>
    <row r="2260" ht="15.75" customHeight="1" x14ac:dyDescent="0.25"/>
    <row r="2261" ht="15.75" customHeight="1" x14ac:dyDescent="0.25"/>
    <row r="2262" ht="15.75" customHeight="1" x14ac:dyDescent="0.25"/>
    <row r="2263" ht="15.75" customHeight="1" x14ac:dyDescent="0.25"/>
    <row r="2264" ht="15.75" customHeight="1" x14ac:dyDescent="0.25"/>
    <row r="2265" ht="15.75" customHeight="1" x14ac:dyDescent="0.25"/>
    <row r="2266" ht="15.75" customHeight="1" x14ac:dyDescent="0.25"/>
    <row r="2267" ht="15.75" customHeight="1" x14ac:dyDescent="0.25"/>
    <row r="2268" ht="15.75" customHeight="1" x14ac:dyDescent="0.25"/>
    <row r="2269" ht="15.75" customHeight="1" x14ac:dyDescent="0.25"/>
    <row r="2270" ht="15.75" customHeight="1" x14ac:dyDescent="0.25"/>
    <row r="2271" ht="15.75" customHeight="1" x14ac:dyDescent="0.25"/>
    <row r="2272" ht="15.75" customHeight="1" x14ac:dyDescent="0.25"/>
    <row r="2273" ht="15.75" customHeight="1" x14ac:dyDescent="0.25"/>
    <row r="2274" ht="15.75" customHeight="1" x14ac:dyDescent="0.25"/>
    <row r="2275" ht="15.75" customHeight="1" x14ac:dyDescent="0.25"/>
    <row r="2276" ht="15.75" customHeight="1" x14ac:dyDescent="0.25"/>
    <row r="2277" ht="15.75" customHeight="1" x14ac:dyDescent="0.25"/>
    <row r="2278" ht="15.75" customHeight="1" x14ac:dyDescent="0.25"/>
    <row r="2279" ht="15.75" customHeight="1" x14ac:dyDescent="0.25"/>
    <row r="2280" ht="15.75" customHeight="1" x14ac:dyDescent="0.25"/>
    <row r="2281" ht="15.75" customHeight="1" x14ac:dyDescent="0.25"/>
    <row r="2282" ht="15.75" customHeight="1" x14ac:dyDescent="0.25"/>
    <row r="2283" ht="15.75" customHeight="1" x14ac:dyDescent="0.25"/>
    <row r="2284" ht="15.75" customHeight="1" x14ac:dyDescent="0.25"/>
    <row r="2285" ht="15.75" customHeight="1" x14ac:dyDescent="0.25"/>
    <row r="2286" ht="15.75" customHeight="1" x14ac:dyDescent="0.25"/>
    <row r="2287" ht="15.75" customHeight="1" x14ac:dyDescent="0.25"/>
    <row r="2288" ht="15.75" customHeight="1" x14ac:dyDescent="0.25"/>
    <row r="2289" ht="15.75" customHeight="1" x14ac:dyDescent="0.25"/>
    <row r="2290" ht="15.75" customHeight="1" x14ac:dyDescent="0.25"/>
    <row r="2291" ht="15.75" customHeight="1" x14ac:dyDescent="0.25"/>
    <row r="2292" ht="15.75" customHeight="1" x14ac:dyDescent="0.25"/>
    <row r="2293" ht="15.75" customHeight="1" x14ac:dyDescent="0.25"/>
    <row r="2294" ht="15.75" customHeight="1" x14ac:dyDescent="0.25"/>
    <row r="2295" ht="15.75" customHeight="1" x14ac:dyDescent="0.25"/>
    <row r="2296" ht="15.75" customHeight="1" x14ac:dyDescent="0.25"/>
    <row r="2297" ht="15.75" customHeight="1" x14ac:dyDescent="0.25"/>
    <row r="2298" ht="15.75" customHeight="1" x14ac:dyDescent="0.25"/>
    <row r="2299" ht="15.75" customHeight="1" x14ac:dyDescent="0.25"/>
    <row r="2300" ht="15.75" customHeight="1" x14ac:dyDescent="0.25"/>
    <row r="2301" ht="15.75" customHeight="1" x14ac:dyDescent="0.25"/>
    <row r="2302" ht="15.75" customHeight="1" x14ac:dyDescent="0.25"/>
    <row r="2303" ht="15.75" customHeight="1" x14ac:dyDescent="0.25"/>
    <row r="2304" ht="15.75" customHeight="1" x14ac:dyDescent="0.25"/>
    <row r="2305" ht="15.75" customHeight="1" x14ac:dyDescent="0.25"/>
    <row r="2306" ht="15.75" customHeight="1" x14ac:dyDescent="0.25"/>
    <row r="2307" ht="15.75" customHeight="1" x14ac:dyDescent="0.25"/>
    <row r="2308" ht="15.75" customHeight="1" x14ac:dyDescent="0.25"/>
    <row r="2309" ht="15.75" customHeight="1" x14ac:dyDescent="0.25"/>
    <row r="2310" ht="15.75" customHeight="1" x14ac:dyDescent="0.25"/>
    <row r="2311" ht="15.75" customHeight="1" x14ac:dyDescent="0.25"/>
    <row r="2312" ht="15.75" customHeight="1" x14ac:dyDescent="0.25"/>
    <row r="2313" ht="15.75" customHeight="1" x14ac:dyDescent="0.25"/>
    <row r="2314" ht="15.75" customHeight="1" x14ac:dyDescent="0.25"/>
    <row r="2315" ht="15.75" customHeight="1" x14ac:dyDescent="0.25"/>
    <row r="2316" ht="15.75" customHeight="1" x14ac:dyDescent="0.25"/>
    <row r="2317" ht="15.75" customHeight="1" x14ac:dyDescent="0.25"/>
    <row r="2318" ht="15.75" customHeight="1" x14ac:dyDescent="0.25"/>
    <row r="2319" ht="15.75" customHeight="1" x14ac:dyDescent="0.25"/>
    <row r="2320" ht="15.75" customHeight="1" x14ac:dyDescent="0.25"/>
    <row r="2321" ht="15.75" customHeight="1" x14ac:dyDescent="0.25"/>
    <row r="2322" ht="15.75" customHeight="1" x14ac:dyDescent="0.25"/>
    <row r="2323" ht="15.75" customHeight="1" x14ac:dyDescent="0.25"/>
    <row r="2324" ht="15.75" customHeight="1" x14ac:dyDescent="0.25"/>
    <row r="2325" ht="15.75" customHeight="1" x14ac:dyDescent="0.25"/>
    <row r="2326" ht="15.75" customHeight="1" x14ac:dyDescent="0.25"/>
    <row r="2327" ht="15.75" customHeight="1" x14ac:dyDescent="0.25"/>
    <row r="2328" ht="15.75" customHeight="1" x14ac:dyDescent="0.25"/>
    <row r="2329" ht="15.75" customHeight="1" x14ac:dyDescent="0.25"/>
    <row r="2330" ht="15.75" customHeight="1" x14ac:dyDescent="0.25"/>
    <row r="2331" ht="15.75" customHeight="1" x14ac:dyDescent="0.25"/>
    <row r="2332" ht="15.75" customHeight="1" x14ac:dyDescent="0.25"/>
    <row r="2333" ht="15.75" customHeight="1" x14ac:dyDescent="0.25"/>
    <row r="2334" ht="15.75" customHeight="1" x14ac:dyDescent="0.25"/>
    <row r="2335" ht="15.75" customHeight="1" x14ac:dyDescent="0.25"/>
    <row r="2336" ht="15.75" customHeight="1" x14ac:dyDescent="0.25"/>
    <row r="2337" ht="15.75" customHeight="1" x14ac:dyDescent="0.25"/>
    <row r="2338" ht="15.75" customHeight="1" x14ac:dyDescent="0.25"/>
    <row r="2339" ht="15.75" customHeight="1" x14ac:dyDescent="0.25"/>
    <row r="2340" ht="15.75" customHeight="1" x14ac:dyDescent="0.25"/>
    <row r="2341" ht="15.75" customHeight="1" x14ac:dyDescent="0.25"/>
    <row r="2342" ht="15.75" customHeight="1" x14ac:dyDescent="0.25"/>
    <row r="2343" ht="15.75" customHeight="1" x14ac:dyDescent="0.25"/>
    <row r="2344" ht="15.75" customHeight="1" x14ac:dyDescent="0.25"/>
    <row r="2345" ht="15.75" customHeight="1" x14ac:dyDescent="0.25"/>
    <row r="2346" ht="15.75" customHeight="1" x14ac:dyDescent="0.25"/>
    <row r="2347" ht="15.75" customHeight="1" x14ac:dyDescent="0.25"/>
    <row r="2348" ht="15.75" customHeight="1" x14ac:dyDescent="0.25"/>
    <row r="2349" ht="15.75" customHeight="1" x14ac:dyDescent="0.25"/>
    <row r="2350" ht="15.75" customHeight="1" x14ac:dyDescent="0.25"/>
    <row r="2351" ht="15.75" customHeight="1" x14ac:dyDescent="0.25"/>
    <row r="2352" ht="15.75" customHeight="1" x14ac:dyDescent="0.25"/>
    <row r="2353" ht="15.75" customHeight="1" x14ac:dyDescent="0.25"/>
    <row r="2354" ht="15.75" customHeight="1" x14ac:dyDescent="0.25"/>
    <row r="2355" ht="15.75" customHeight="1" x14ac:dyDescent="0.25"/>
    <row r="2356" ht="15.75" customHeight="1" x14ac:dyDescent="0.25"/>
    <row r="2357" ht="15.75" customHeight="1" x14ac:dyDescent="0.25"/>
    <row r="2358" ht="15.75" customHeight="1" x14ac:dyDescent="0.25"/>
    <row r="2359" ht="15.75" customHeight="1" x14ac:dyDescent="0.25"/>
    <row r="2360" ht="15.75" customHeight="1" x14ac:dyDescent="0.25"/>
    <row r="2361" ht="15.75" customHeight="1" x14ac:dyDescent="0.25"/>
    <row r="2362" ht="15.75" customHeight="1" x14ac:dyDescent="0.25"/>
    <row r="2363" ht="15.75" customHeight="1" x14ac:dyDescent="0.25"/>
    <row r="2364" ht="15.75" customHeight="1" x14ac:dyDescent="0.25"/>
    <row r="2365" ht="15.75" customHeight="1" x14ac:dyDescent="0.25"/>
    <row r="2366" ht="15.75" customHeight="1" x14ac:dyDescent="0.25"/>
    <row r="2367" ht="15.75" customHeight="1" x14ac:dyDescent="0.25"/>
    <row r="2368" ht="15.75" customHeight="1" x14ac:dyDescent="0.25"/>
    <row r="2369" ht="15.75" customHeight="1" x14ac:dyDescent="0.25"/>
    <row r="2370" ht="15.75" customHeight="1" x14ac:dyDescent="0.25"/>
    <row r="2371" ht="15.75" customHeight="1" x14ac:dyDescent="0.25"/>
    <row r="2372" ht="15.75" customHeight="1" x14ac:dyDescent="0.25"/>
    <row r="2373" ht="15.75" customHeight="1" x14ac:dyDescent="0.25"/>
    <row r="2374" ht="15.75" customHeight="1" x14ac:dyDescent="0.25"/>
    <row r="2375" ht="15.75" customHeight="1" x14ac:dyDescent="0.25"/>
    <row r="2376" ht="15.75" customHeight="1" x14ac:dyDescent="0.25"/>
    <row r="2377" ht="15.75" customHeight="1" x14ac:dyDescent="0.25"/>
    <row r="2378" ht="15.75" customHeight="1" x14ac:dyDescent="0.25"/>
    <row r="2379" ht="15.75" customHeight="1" x14ac:dyDescent="0.25"/>
    <row r="2380" ht="15.75" customHeight="1" x14ac:dyDescent="0.25"/>
    <row r="2381" ht="15.75" customHeight="1" x14ac:dyDescent="0.25"/>
    <row r="2382" ht="15.75" customHeight="1" x14ac:dyDescent="0.25"/>
    <row r="2383" ht="15.75" customHeight="1" x14ac:dyDescent="0.25"/>
    <row r="2384" ht="15.75" customHeight="1" x14ac:dyDescent="0.25"/>
    <row r="2385" ht="15.75" customHeight="1" x14ac:dyDescent="0.25"/>
    <row r="2386" ht="15.75" customHeight="1" x14ac:dyDescent="0.25"/>
    <row r="2387" ht="15.75" customHeight="1" x14ac:dyDescent="0.25"/>
    <row r="2388" ht="15.75" customHeight="1" x14ac:dyDescent="0.25"/>
    <row r="2389" ht="15.75" customHeight="1" x14ac:dyDescent="0.25"/>
    <row r="2390" ht="15.75" customHeight="1" x14ac:dyDescent="0.25"/>
    <row r="2391" ht="15.75" customHeight="1" x14ac:dyDescent="0.25"/>
    <row r="2392" ht="15.75" customHeight="1" x14ac:dyDescent="0.25"/>
    <row r="2393" ht="15.75" customHeight="1" x14ac:dyDescent="0.25"/>
    <row r="2394" ht="15.75" customHeight="1" x14ac:dyDescent="0.25"/>
    <row r="2395" ht="15.75" customHeight="1" x14ac:dyDescent="0.25"/>
    <row r="2396" ht="15.75" customHeight="1" x14ac:dyDescent="0.25"/>
    <row r="2397" ht="15.75" customHeight="1" x14ac:dyDescent="0.25"/>
    <row r="2398" ht="15.75" customHeight="1" x14ac:dyDescent="0.25"/>
    <row r="2399" ht="15.75" customHeight="1" x14ac:dyDescent="0.25"/>
    <row r="2400" ht="15.75" customHeight="1" x14ac:dyDescent="0.25"/>
    <row r="2401" ht="15.75" customHeight="1" x14ac:dyDescent="0.25"/>
    <row r="2402" ht="15.75" customHeight="1" x14ac:dyDescent="0.25"/>
    <row r="2403" ht="15.75" customHeight="1" x14ac:dyDescent="0.25"/>
    <row r="2404" ht="15.75" customHeight="1" x14ac:dyDescent="0.25"/>
    <row r="2405" ht="15.75" customHeight="1" x14ac:dyDescent="0.25"/>
    <row r="2406" ht="15.75" customHeight="1" x14ac:dyDescent="0.25"/>
    <row r="2407" ht="15.75" customHeight="1" x14ac:dyDescent="0.25"/>
    <row r="2408" ht="15.75" customHeight="1" x14ac:dyDescent="0.25"/>
    <row r="2409" ht="15.75" customHeight="1" x14ac:dyDescent="0.25"/>
    <row r="2410" ht="15.75" customHeight="1" x14ac:dyDescent="0.25"/>
    <row r="2411" ht="15.75" customHeight="1" x14ac:dyDescent="0.25"/>
    <row r="2412" ht="15.75" customHeight="1" x14ac:dyDescent="0.25"/>
    <row r="2413" ht="15.75" customHeight="1" x14ac:dyDescent="0.25"/>
    <row r="2414" ht="15.75" customHeight="1" x14ac:dyDescent="0.25"/>
    <row r="2415" ht="15.75" customHeight="1" x14ac:dyDescent="0.25"/>
    <row r="2416" ht="15.75" customHeight="1" x14ac:dyDescent="0.25"/>
    <row r="2417" ht="15.75" customHeight="1" x14ac:dyDescent="0.25"/>
    <row r="2418" ht="15.75" customHeight="1" x14ac:dyDescent="0.25"/>
    <row r="2419" ht="15.75" customHeight="1" x14ac:dyDescent="0.25"/>
    <row r="2420" ht="15.75" customHeight="1" x14ac:dyDescent="0.25"/>
    <row r="2421" ht="15.75" customHeight="1" x14ac:dyDescent="0.25"/>
    <row r="2422" ht="15.75" customHeight="1" x14ac:dyDescent="0.25"/>
    <row r="2423" ht="15.75" customHeight="1" x14ac:dyDescent="0.25"/>
    <row r="2424" ht="15.75" customHeight="1" x14ac:dyDescent="0.25"/>
    <row r="2425" ht="15.75" customHeight="1" x14ac:dyDescent="0.25"/>
    <row r="2426" ht="15.75" customHeight="1" x14ac:dyDescent="0.25"/>
    <row r="2427" ht="15.75" customHeight="1" x14ac:dyDescent="0.25"/>
    <row r="2428" ht="15.75" customHeight="1" x14ac:dyDescent="0.25"/>
    <row r="2429" ht="15.75" customHeight="1" x14ac:dyDescent="0.25"/>
    <row r="2430" ht="15.75" customHeight="1" x14ac:dyDescent="0.25"/>
    <row r="2431" ht="15.75" customHeight="1" x14ac:dyDescent="0.25"/>
    <row r="2432" ht="15.75" customHeight="1" x14ac:dyDescent="0.25"/>
    <row r="2433" ht="15.75" customHeight="1" x14ac:dyDescent="0.25"/>
    <row r="2434" ht="15.75" customHeight="1" x14ac:dyDescent="0.25"/>
    <row r="2435" ht="15.75" customHeight="1" x14ac:dyDescent="0.25"/>
    <row r="2436" ht="15.75" customHeight="1" x14ac:dyDescent="0.25"/>
    <row r="2437" ht="15.75" customHeight="1" x14ac:dyDescent="0.25"/>
    <row r="2438" ht="15.75" customHeight="1" x14ac:dyDescent="0.25"/>
    <row r="2439" ht="15.75" customHeight="1" x14ac:dyDescent="0.25"/>
    <row r="2440" ht="15.75" customHeight="1" x14ac:dyDescent="0.25"/>
    <row r="2441" ht="15.75" customHeight="1" x14ac:dyDescent="0.25"/>
    <row r="2442" ht="15.75" customHeight="1" x14ac:dyDescent="0.25"/>
    <row r="2443" ht="15.75" customHeight="1" x14ac:dyDescent="0.25"/>
    <row r="2444" ht="15.75" customHeight="1" x14ac:dyDescent="0.25"/>
    <row r="2445" ht="15.75" customHeight="1" x14ac:dyDescent="0.25"/>
    <row r="2446" ht="15.75" customHeight="1" x14ac:dyDescent="0.25"/>
    <row r="2447" ht="15.75" customHeight="1" x14ac:dyDescent="0.25"/>
    <row r="2448" ht="15.75" customHeight="1" x14ac:dyDescent="0.25"/>
    <row r="2449" ht="15.75" customHeight="1" x14ac:dyDescent="0.25"/>
    <row r="2450" ht="15.75" customHeight="1" x14ac:dyDescent="0.25"/>
    <row r="2451" ht="15.75" customHeight="1" x14ac:dyDescent="0.25"/>
    <row r="2452" ht="15.75" customHeight="1" x14ac:dyDescent="0.25"/>
    <row r="2453" ht="15.75" customHeight="1" x14ac:dyDescent="0.25"/>
    <row r="2454" ht="15.75" customHeight="1" x14ac:dyDescent="0.25"/>
    <row r="2455" ht="15.75" customHeight="1" x14ac:dyDescent="0.25"/>
    <row r="2456" ht="15.75" customHeight="1" x14ac:dyDescent="0.25"/>
    <row r="2457" ht="15.75" customHeight="1" x14ac:dyDescent="0.25"/>
    <row r="2458" ht="15.75" customHeight="1" x14ac:dyDescent="0.25"/>
    <row r="2459" ht="15.75" customHeight="1" x14ac:dyDescent="0.25"/>
    <row r="2460" ht="15.75" customHeight="1" x14ac:dyDescent="0.25"/>
    <row r="2461" ht="15.75" customHeight="1" x14ac:dyDescent="0.25"/>
    <row r="2462" ht="15.75" customHeight="1" x14ac:dyDescent="0.25"/>
    <row r="2463" ht="15.75" customHeight="1" x14ac:dyDescent="0.25"/>
    <row r="2464" ht="15.75" customHeight="1" x14ac:dyDescent="0.25"/>
    <row r="2465" ht="15.75" customHeight="1" x14ac:dyDescent="0.25"/>
    <row r="2466" ht="15.75" customHeight="1" x14ac:dyDescent="0.25"/>
    <row r="2467" ht="15.75" customHeight="1" x14ac:dyDescent="0.25"/>
    <row r="2468" ht="15.75" customHeight="1" x14ac:dyDescent="0.25"/>
    <row r="2469" ht="15.75" customHeight="1" x14ac:dyDescent="0.25"/>
    <row r="2470" ht="15.75" customHeight="1" x14ac:dyDescent="0.25"/>
    <row r="2471" ht="15.75" customHeight="1" x14ac:dyDescent="0.25"/>
    <row r="2472" ht="15.75" customHeight="1" x14ac:dyDescent="0.25"/>
    <row r="2473" ht="15.75" customHeight="1" x14ac:dyDescent="0.25"/>
    <row r="2474" ht="15.75" customHeight="1" x14ac:dyDescent="0.25"/>
    <row r="2475" ht="15.75" customHeight="1" x14ac:dyDescent="0.25"/>
    <row r="2476" ht="15.75" customHeight="1" x14ac:dyDescent="0.25"/>
    <row r="2477" ht="15.75" customHeight="1" x14ac:dyDescent="0.25"/>
    <row r="2478" ht="15.75" customHeight="1" x14ac:dyDescent="0.25"/>
    <row r="2479" ht="15.75" customHeight="1" x14ac:dyDescent="0.25"/>
    <row r="2480" ht="15.75" customHeight="1" x14ac:dyDescent="0.25"/>
    <row r="2481" ht="15.75" customHeight="1" x14ac:dyDescent="0.25"/>
    <row r="2482" ht="15.75" customHeight="1" x14ac:dyDescent="0.25"/>
    <row r="2483" ht="15.75" customHeight="1" x14ac:dyDescent="0.25"/>
    <row r="2484" ht="15.75" customHeight="1" x14ac:dyDescent="0.25"/>
    <row r="2485" ht="15.75" customHeight="1" x14ac:dyDescent="0.25"/>
    <row r="2486" ht="15.75" customHeight="1" x14ac:dyDescent="0.25"/>
    <row r="2487" ht="15.75" customHeight="1" x14ac:dyDescent="0.25"/>
    <row r="2488" ht="15.75" customHeight="1" x14ac:dyDescent="0.25"/>
    <row r="2489" ht="15.75" customHeight="1" x14ac:dyDescent="0.25"/>
    <row r="2490" ht="15.75" customHeight="1" x14ac:dyDescent="0.25"/>
    <row r="2491" ht="15.75" customHeight="1" x14ac:dyDescent="0.25"/>
    <row r="2492" ht="15.75" customHeight="1" x14ac:dyDescent="0.25"/>
    <row r="2493" ht="15.75" customHeight="1" x14ac:dyDescent="0.25"/>
    <row r="2494" ht="15.75" customHeight="1" x14ac:dyDescent="0.25"/>
    <row r="2495" ht="15.75" customHeight="1" x14ac:dyDescent="0.25"/>
    <row r="2496" ht="15.75" customHeight="1" x14ac:dyDescent="0.25"/>
    <row r="2497" ht="15.75" customHeight="1" x14ac:dyDescent="0.25"/>
    <row r="2498" ht="15.75" customHeight="1" x14ac:dyDescent="0.25"/>
    <row r="2499" ht="15.75" customHeight="1" x14ac:dyDescent="0.25"/>
    <row r="2500" ht="15.75" customHeight="1" x14ac:dyDescent="0.25"/>
    <row r="2501" ht="15.75" customHeight="1" x14ac:dyDescent="0.25"/>
    <row r="2502" ht="15.75" customHeight="1" x14ac:dyDescent="0.25"/>
    <row r="2503" ht="15.75" customHeight="1" x14ac:dyDescent="0.25"/>
    <row r="2504" ht="15.75" customHeight="1" x14ac:dyDescent="0.25"/>
    <row r="2505" ht="15.75" customHeight="1" x14ac:dyDescent="0.25"/>
    <row r="2506" ht="15.75" customHeight="1" x14ac:dyDescent="0.25"/>
    <row r="2507" ht="15.75" customHeight="1" x14ac:dyDescent="0.25"/>
    <row r="2508" ht="15.75" customHeight="1" x14ac:dyDescent="0.25"/>
    <row r="2509" ht="15.75" customHeight="1" x14ac:dyDescent="0.25"/>
    <row r="2510" ht="15.75" customHeight="1" x14ac:dyDescent="0.25"/>
    <row r="2511" ht="15.75" customHeight="1" x14ac:dyDescent="0.25"/>
    <row r="2512" ht="15.75" customHeight="1" x14ac:dyDescent="0.25"/>
    <row r="2513" ht="15.75" customHeight="1" x14ac:dyDescent="0.25"/>
    <row r="2514" ht="15.75" customHeight="1" x14ac:dyDescent="0.25"/>
    <row r="2515" ht="15.75" customHeight="1" x14ac:dyDescent="0.25"/>
    <row r="2516" ht="15.75" customHeight="1" x14ac:dyDescent="0.25"/>
    <row r="2517" ht="15.75" customHeight="1" x14ac:dyDescent="0.25"/>
    <row r="2518" ht="15.75" customHeight="1" x14ac:dyDescent="0.25"/>
    <row r="2519" ht="15.75" customHeight="1" x14ac:dyDescent="0.25"/>
    <row r="2520" ht="15.75" customHeight="1" x14ac:dyDescent="0.25"/>
    <row r="2521" ht="15.75" customHeight="1" x14ac:dyDescent="0.25"/>
    <row r="2522" ht="15.75" customHeight="1" x14ac:dyDescent="0.25"/>
    <row r="2523" ht="15.75" customHeight="1" x14ac:dyDescent="0.25"/>
    <row r="2524" ht="15.75" customHeight="1" x14ac:dyDescent="0.25"/>
    <row r="2525" ht="15.75" customHeight="1" x14ac:dyDescent="0.25"/>
    <row r="2526" ht="15.75" customHeight="1" x14ac:dyDescent="0.25"/>
    <row r="2527" ht="15.75" customHeight="1" x14ac:dyDescent="0.25"/>
    <row r="2528" ht="15.75" customHeight="1" x14ac:dyDescent="0.25"/>
    <row r="2529" ht="15.75" customHeight="1" x14ac:dyDescent="0.25"/>
    <row r="2530" ht="15.75" customHeight="1" x14ac:dyDescent="0.25"/>
    <row r="2531" ht="15.75" customHeight="1" x14ac:dyDescent="0.25"/>
    <row r="2532" ht="15.75" customHeight="1" x14ac:dyDescent="0.25"/>
    <row r="2533" ht="15.75" customHeight="1" x14ac:dyDescent="0.25"/>
    <row r="2534" ht="15.75" customHeight="1" x14ac:dyDescent="0.25"/>
    <row r="2535" ht="15.75" customHeight="1" x14ac:dyDescent="0.25"/>
    <row r="2536" ht="15.75" customHeight="1" x14ac:dyDescent="0.25"/>
    <row r="2537" ht="15.75" customHeight="1" x14ac:dyDescent="0.25"/>
    <row r="2538" ht="15.75" customHeight="1" x14ac:dyDescent="0.25"/>
    <row r="2539" ht="15.75" customHeight="1" x14ac:dyDescent="0.25"/>
    <row r="2540" ht="15.75" customHeight="1" x14ac:dyDescent="0.25"/>
    <row r="2541" ht="15.75" customHeight="1" x14ac:dyDescent="0.25"/>
    <row r="2542" ht="15.75" customHeight="1" x14ac:dyDescent="0.25"/>
    <row r="2543" ht="15.75" customHeight="1" x14ac:dyDescent="0.25"/>
    <row r="2544" ht="15.75" customHeight="1" x14ac:dyDescent="0.25"/>
    <row r="2545" ht="15.75" customHeight="1" x14ac:dyDescent="0.25"/>
    <row r="2546" ht="15.75" customHeight="1" x14ac:dyDescent="0.25"/>
    <row r="2547" ht="15.75" customHeight="1" x14ac:dyDescent="0.25"/>
    <row r="2548" ht="15.75" customHeight="1" x14ac:dyDescent="0.25"/>
    <row r="2549" ht="15.75" customHeight="1" x14ac:dyDescent="0.25"/>
    <row r="2550" ht="15.75" customHeight="1" x14ac:dyDescent="0.25"/>
    <row r="2551" ht="15.75" customHeight="1" x14ac:dyDescent="0.25"/>
    <row r="2552" ht="15.75" customHeight="1" x14ac:dyDescent="0.25"/>
    <row r="2553" ht="15.75" customHeight="1" x14ac:dyDescent="0.25"/>
    <row r="2554" ht="15.75" customHeight="1" x14ac:dyDescent="0.25"/>
    <row r="2555" ht="15.75" customHeight="1" x14ac:dyDescent="0.25"/>
    <row r="2556" ht="15.75" customHeight="1" x14ac:dyDescent="0.25"/>
    <row r="2557" ht="15.75" customHeight="1" x14ac:dyDescent="0.25"/>
    <row r="2558" ht="15.75" customHeight="1" x14ac:dyDescent="0.25"/>
    <row r="2559" ht="15.75" customHeight="1" x14ac:dyDescent="0.25"/>
    <row r="2560" ht="15.75" customHeight="1" x14ac:dyDescent="0.25"/>
    <row r="2561" ht="15.75" customHeight="1" x14ac:dyDescent="0.25"/>
    <row r="2562" ht="15.75" customHeight="1" x14ac:dyDescent="0.25"/>
    <row r="2563" ht="15.75" customHeight="1" x14ac:dyDescent="0.25"/>
    <row r="2564" ht="15.75" customHeight="1" x14ac:dyDescent="0.25"/>
    <row r="2565" ht="15.75" customHeight="1" x14ac:dyDescent="0.25"/>
    <row r="2566" ht="15.75" customHeight="1" x14ac:dyDescent="0.25"/>
    <row r="2567" ht="15.75" customHeight="1" x14ac:dyDescent="0.25"/>
    <row r="2568" ht="15.75" customHeight="1" x14ac:dyDescent="0.25"/>
    <row r="2569" ht="15.75" customHeight="1" x14ac:dyDescent="0.25"/>
    <row r="2570" ht="15.75" customHeight="1" x14ac:dyDescent="0.25"/>
    <row r="2571" ht="15.75" customHeight="1" x14ac:dyDescent="0.25"/>
    <row r="2572" ht="15.75" customHeight="1" x14ac:dyDescent="0.25"/>
    <row r="2573" ht="15.75" customHeight="1" x14ac:dyDescent="0.25"/>
    <row r="2574" ht="15.75" customHeight="1" x14ac:dyDescent="0.25"/>
    <row r="2575" ht="15.75" customHeight="1" x14ac:dyDescent="0.25"/>
    <row r="2576" ht="15.75" customHeight="1" x14ac:dyDescent="0.25"/>
    <row r="2577" ht="15.75" customHeight="1" x14ac:dyDescent="0.25"/>
    <row r="2578" ht="15.75" customHeight="1" x14ac:dyDescent="0.25"/>
    <row r="2579" ht="15.75" customHeight="1" x14ac:dyDescent="0.25"/>
    <row r="2580" ht="15.75" customHeight="1" x14ac:dyDescent="0.25"/>
    <row r="2581" ht="15.75" customHeight="1" x14ac:dyDescent="0.25"/>
    <row r="2582" ht="15.75" customHeight="1" x14ac:dyDescent="0.25"/>
    <row r="2583" ht="15.75" customHeight="1" x14ac:dyDescent="0.25"/>
    <row r="2584" ht="15.75" customHeight="1" x14ac:dyDescent="0.25"/>
    <row r="2585" ht="15.75" customHeight="1" x14ac:dyDescent="0.25"/>
    <row r="2586" ht="15.75" customHeight="1" x14ac:dyDescent="0.25"/>
    <row r="2587" ht="15.75" customHeight="1" x14ac:dyDescent="0.25"/>
    <row r="2588" ht="15.75" customHeight="1" x14ac:dyDescent="0.25"/>
    <row r="2589" ht="15.75" customHeight="1" x14ac:dyDescent="0.25"/>
    <row r="2590" ht="15.75" customHeight="1" x14ac:dyDescent="0.25"/>
    <row r="2591" ht="15.75" customHeight="1" x14ac:dyDescent="0.25"/>
    <row r="2592" ht="15.75" customHeight="1" x14ac:dyDescent="0.25"/>
    <row r="2593" ht="15.75" customHeight="1" x14ac:dyDescent="0.25"/>
    <row r="2594" ht="15.75" customHeight="1" x14ac:dyDescent="0.25"/>
    <row r="2595" ht="15.75" customHeight="1" x14ac:dyDescent="0.25"/>
    <row r="2596" ht="15.75" customHeight="1" x14ac:dyDescent="0.25"/>
    <row r="2597" ht="15.75" customHeight="1" x14ac:dyDescent="0.25"/>
    <row r="2598" ht="15.75" customHeight="1" x14ac:dyDescent="0.25"/>
    <row r="2599" ht="15.75" customHeight="1" x14ac:dyDescent="0.25"/>
    <row r="2600" ht="15.75" customHeight="1" x14ac:dyDescent="0.25"/>
    <row r="2601" ht="15.75" customHeight="1" x14ac:dyDescent="0.25"/>
    <row r="2602" ht="15.75" customHeight="1" x14ac:dyDescent="0.25"/>
    <row r="2603" ht="15.75" customHeight="1" x14ac:dyDescent="0.25"/>
    <row r="2604" ht="15.75" customHeight="1" x14ac:dyDescent="0.25"/>
    <row r="2605" ht="15.75" customHeight="1" x14ac:dyDescent="0.25"/>
    <row r="2606" ht="15.75" customHeight="1" x14ac:dyDescent="0.25"/>
    <row r="2607" ht="15.75" customHeight="1" x14ac:dyDescent="0.25"/>
    <row r="2608" ht="15.75" customHeight="1" x14ac:dyDescent="0.25"/>
    <row r="2609" ht="15.75" customHeight="1" x14ac:dyDescent="0.25"/>
    <row r="2610" ht="15.75" customHeight="1" x14ac:dyDescent="0.25"/>
    <row r="2611" ht="15.75" customHeight="1" x14ac:dyDescent="0.25"/>
    <row r="2612" ht="15.75" customHeight="1" x14ac:dyDescent="0.25"/>
    <row r="2613" ht="15.75" customHeight="1" x14ac:dyDescent="0.25"/>
    <row r="2614" ht="15.75" customHeight="1" x14ac:dyDescent="0.25"/>
    <row r="2615" ht="15.75" customHeight="1" x14ac:dyDescent="0.25"/>
    <row r="2616" ht="15.75" customHeight="1" x14ac:dyDescent="0.25"/>
    <row r="2617" ht="15.75" customHeight="1" x14ac:dyDescent="0.25"/>
    <row r="2618" ht="15.75" customHeight="1" x14ac:dyDescent="0.25"/>
    <row r="2619" ht="15.75" customHeight="1" x14ac:dyDescent="0.25"/>
    <row r="2620" ht="15.75" customHeight="1" x14ac:dyDescent="0.25"/>
    <row r="2621" ht="15.75" customHeight="1" x14ac:dyDescent="0.25"/>
    <row r="2622" ht="15.75" customHeight="1" x14ac:dyDescent="0.25"/>
    <row r="2623" ht="15.75" customHeight="1" x14ac:dyDescent="0.25"/>
    <row r="2624" ht="15.75" customHeight="1" x14ac:dyDescent="0.25"/>
    <row r="2625" ht="15.75" customHeight="1" x14ac:dyDescent="0.25"/>
    <row r="2626" ht="15.75" customHeight="1" x14ac:dyDescent="0.25"/>
    <row r="2627" ht="15.75" customHeight="1" x14ac:dyDescent="0.25"/>
    <row r="2628" ht="15.75" customHeight="1" x14ac:dyDescent="0.25"/>
    <row r="2629" ht="15.75" customHeight="1" x14ac:dyDescent="0.25"/>
    <row r="2630" ht="15.75" customHeight="1" x14ac:dyDescent="0.25"/>
    <row r="2631" ht="15.75" customHeight="1" x14ac:dyDescent="0.25"/>
    <row r="2632" ht="15.75" customHeight="1" x14ac:dyDescent="0.25"/>
    <row r="2633" ht="15.75" customHeight="1" x14ac:dyDescent="0.25"/>
    <row r="2634" ht="15.75" customHeight="1" x14ac:dyDescent="0.25"/>
    <row r="2635" ht="15.75" customHeight="1" x14ac:dyDescent="0.25"/>
    <row r="2636" ht="15.75" customHeight="1" x14ac:dyDescent="0.25"/>
    <row r="2637" ht="15.75" customHeight="1" x14ac:dyDescent="0.25"/>
    <row r="2638" ht="15.75" customHeight="1" x14ac:dyDescent="0.25"/>
    <row r="2639" ht="15.75" customHeight="1" x14ac:dyDescent="0.25"/>
    <row r="2640" ht="15.75" customHeight="1" x14ac:dyDescent="0.25"/>
    <row r="2641" ht="15.75" customHeight="1" x14ac:dyDescent="0.25"/>
    <row r="2642" ht="15.75" customHeight="1" x14ac:dyDescent="0.25"/>
    <row r="2643" ht="15.75" customHeight="1" x14ac:dyDescent="0.25"/>
    <row r="2644" ht="15.75" customHeight="1" x14ac:dyDescent="0.25"/>
    <row r="2645" ht="15.75" customHeight="1" x14ac:dyDescent="0.25"/>
    <row r="2646" ht="15.75" customHeight="1" x14ac:dyDescent="0.25"/>
    <row r="2647" ht="15.75" customHeight="1" x14ac:dyDescent="0.25"/>
    <row r="2648" ht="15.75" customHeight="1" x14ac:dyDescent="0.25"/>
    <row r="2649" ht="15.75" customHeight="1" x14ac:dyDescent="0.25"/>
    <row r="2650" ht="15.75" customHeight="1" x14ac:dyDescent="0.25"/>
    <row r="2651" ht="15.75" customHeight="1" x14ac:dyDescent="0.25"/>
    <row r="2652" ht="15.75" customHeight="1" x14ac:dyDescent="0.25"/>
    <row r="2653" ht="15.75" customHeight="1" x14ac:dyDescent="0.25"/>
    <row r="2654" ht="15.75" customHeight="1" x14ac:dyDescent="0.25"/>
    <row r="2655" ht="15.75" customHeight="1" x14ac:dyDescent="0.25"/>
    <row r="2656" ht="15.75" customHeight="1" x14ac:dyDescent="0.25"/>
    <row r="2657" ht="15.75" customHeight="1" x14ac:dyDescent="0.25"/>
    <row r="2658" ht="15.75" customHeight="1" x14ac:dyDescent="0.25"/>
    <row r="2659" ht="15.75" customHeight="1" x14ac:dyDescent="0.25"/>
    <row r="2660" ht="15.75" customHeight="1" x14ac:dyDescent="0.25"/>
    <row r="2661" ht="15.75" customHeight="1" x14ac:dyDescent="0.25"/>
    <row r="2662" ht="15.75" customHeight="1" x14ac:dyDescent="0.25"/>
    <row r="2663" ht="15.75" customHeight="1" x14ac:dyDescent="0.25"/>
    <row r="2664" ht="15.75" customHeight="1" x14ac:dyDescent="0.25"/>
    <row r="2665" ht="15.75" customHeight="1" x14ac:dyDescent="0.25"/>
    <row r="2666" ht="15.75" customHeight="1" x14ac:dyDescent="0.25"/>
    <row r="2667" ht="15.75" customHeight="1" x14ac:dyDescent="0.25"/>
    <row r="2668" ht="15.75" customHeight="1" x14ac:dyDescent="0.25"/>
    <row r="2669" ht="15.75" customHeight="1" x14ac:dyDescent="0.25"/>
    <row r="2670" ht="15.75" customHeight="1" x14ac:dyDescent="0.25"/>
    <row r="2671" ht="15.75" customHeight="1" x14ac:dyDescent="0.25"/>
    <row r="2672" ht="15.75" customHeight="1" x14ac:dyDescent="0.25"/>
    <row r="2673" ht="15.75" customHeight="1" x14ac:dyDescent="0.25"/>
    <row r="2674" ht="15.75" customHeight="1" x14ac:dyDescent="0.25"/>
    <row r="2675" ht="15.75" customHeight="1" x14ac:dyDescent="0.25"/>
    <row r="2676" ht="15.75" customHeight="1" x14ac:dyDescent="0.25"/>
    <row r="2677" ht="15.75" customHeight="1" x14ac:dyDescent="0.25"/>
    <row r="2678" ht="15.75" customHeight="1" x14ac:dyDescent="0.25"/>
    <row r="2679" ht="15.75" customHeight="1" x14ac:dyDescent="0.25"/>
    <row r="2680" ht="15.75" customHeight="1" x14ac:dyDescent="0.25"/>
    <row r="2681" ht="15.75" customHeight="1" x14ac:dyDescent="0.25"/>
    <row r="2682" ht="15.75" customHeight="1" x14ac:dyDescent="0.25"/>
    <row r="2683" ht="15.75" customHeight="1" x14ac:dyDescent="0.25"/>
    <row r="2684" ht="15.75" customHeight="1" x14ac:dyDescent="0.25"/>
    <row r="2685" ht="15.75" customHeight="1" x14ac:dyDescent="0.25"/>
    <row r="2686" ht="15.75" customHeight="1" x14ac:dyDescent="0.25"/>
    <row r="2687" ht="15.75" customHeight="1" x14ac:dyDescent="0.25"/>
    <row r="2688" ht="15.75" customHeight="1" x14ac:dyDescent="0.25"/>
    <row r="2689" ht="15.75" customHeight="1" x14ac:dyDescent="0.25"/>
    <row r="2690" ht="15.75" customHeight="1" x14ac:dyDescent="0.25"/>
    <row r="2691" ht="15.75" customHeight="1" x14ac:dyDescent="0.25"/>
    <row r="2692" ht="15.75" customHeight="1" x14ac:dyDescent="0.25"/>
    <row r="2693" ht="15.75" customHeight="1" x14ac:dyDescent="0.25"/>
    <row r="2694" ht="15.75" customHeight="1" x14ac:dyDescent="0.25"/>
    <row r="2695" ht="15.75" customHeight="1" x14ac:dyDescent="0.25"/>
    <row r="2696" ht="15.75" customHeight="1" x14ac:dyDescent="0.25"/>
    <row r="2697" ht="15.75" customHeight="1" x14ac:dyDescent="0.25"/>
    <row r="2698" ht="15.75" customHeight="1" x14ac:dyDescent="0.25"/>
    <row r="2699" ht="15.75" customHeight="1" x14ac:dyDescent="0.25"/>
    <row r="2700" ht="15.75" customHeight="1" x14ac:dyDescent="0.25"/>
    <row r="2701" ht="15.75" customHeight="1" x14ac:dyDescent="0.25"/>
    <row r="2702" ht="15.75" customHeight="1" x14ac:dyDescent="0.25"/>
    <row r="2703" ht="15.75" customHeight="1" x14ac:dyDescent="0.25"/>
    <row r="2704" ht="15.75" customHeight="1" x14ac:dyDescent="0.25"/>
    <row r="2705" ht="15.75" customHeight="1" x14ac:dyDescent="0.25"/>
    <row r="2706" ht="15.75" customHeight="1" x14ac:dyDescent="0.25"/>
    <row r="2707" ht="15.75" customHeight="1" x14ac:dyDescent="0.25"/>
    <row r="2708" ht="15.75" customHeight="1" x14ac:dyDescent="0.25"/>
    <row r="2709" ht="15.75" customHeight="1" x14ac:dyDescent="0.25"/>
    <row r="2710" ht="15.75" customHeight="1" x14ac:dyDescent="0.25"/>
    <row r="2711" ht="15.75" customHeight="1" x14ac:dyDescent="0.25"/>
    <row r="2712" ht="15.75" customHeight="1" x14ac:dyDescent="0.25"/>
    <row r="2713" ht="15.75" customHeight="1" x14ac:dyDescent="0.25"/>
    <row r="2714" ht="15.75" customHeight="1" x14ac:dyDescent="0.25"/>
    <row r="2715" ht="15.75" customHeight="1" x14ac:dyDescent="0.25"/>
    <row r="2716" ht="15.75" customHeight="1" x14ac:dyDescent="0.25"/>
    <row r="2717" ht="15.75" customHeight="1" x14ac:dyDescent="0.25"/>
    <row r="2718" ht="15.75" customHeight="1" x14ac:dyDescent="0.25"/>
    <row r="2719" ht="15.75" customHeight="1" x14ac:dyDescent="0.25"/>
    <row r="2720" ht="15.75" customHeight="1" x14ac:dyDescent="0.25"/>
    <row r="2721" ht="15.75" customHeight="1" x14ac:dyDescent="0.25"/>
    <row r="2722" ht="15.75" customHeight="1" x14ac:dyDescent="0.25"/>
    <row r="2723" ht="15.75" customHeight="1" x14ac:dyDescent="0.25"/>
    <row r="2724" ht="15.75" customHeight="1" x14ac:dyDescent="0.25"/>
    <row r="2725" ht="15.75" customHeight="1" x14ac:dyDescent="0.25"/>
    <row r="2726" ht="15.75" customHeight="1" x14ac:dyDescent="0.25"/>
    <row r="2727" ht="15.75" customHeight="1" x14ac:dyDescent="0.25"/>
    <row r="2728" ht="15.75" customHeight="1" x14ac:dyDescent="0.25"/>
    <row r="2729" ht="15.75" customHeight="1" x14ac:dyDescent="0.25"/>
    <row r="2730" ht="15.75" customHeight="1" x14ac:dyDescent="0.25"/>
    <row r="2731" ht="15.75" customHeight="1" x14ac:dyDescent="0.25"/>
    <row r="2732" ht="15.75" customHeight="1" x14ac:dyDescent="0.25"/>
    <row r="2733" ht="15.75" customHeight="1" x14ac:dyDescent="0.25"/>
    <row r="2734" ht="15.75" customHeight="1" x14ac:dyDescent="0.25"/>
    <row r="2735" ht="15.75" customHeight="1" x14ac:dyDescent="0.25"/>
    <row r="2736" ht="15.75" customHeight="1" x14ac:dyDescent="0.25"/>
    <row r="2737" ht="15.75" customHeight="1" x14ac:dyDescent="0.25"/>
    <row r="2738" ht="15.75" customHeight="1" x14ac:dyDescent="0.25"/>
    <row r="2739" ht="15.75" customHeight="1" x14ac:dyDescent="0.25"/>
    <row r="2740" ht="15.75" customHeight="1" x14ac:dyDescent="0.25"/>
    <row r="2741" ht="15.75" customHeight="1" x14ac:dyDescent="0.25"/>
    <row r="2742" ht="15.75" customHeight="1" x14ac:dyDescent="0.25"/>
    <row r="2743" ht="15.75" customHeight="1" x14ac:dyDescent="0.25"/>
    <row r="2744" ht="15.75" customHeight="1" x14ac:dyDescent="0.25"/>
    <row r="2745" ht="15.75" customHeight="1" x14ac:dyDescent="0.25"/>
    <row r="2746" ht="15.75" customHeight="1" x14ac:dyDescent="0.25"/>
    <row r="2747" ht="15.75" customHeight="1" x14ac:dyDescent="0.25"/>
    <row r="2748" ht="15.75" customHeight="1" x14ac:dyDescent="0.25"/>
    <row r="2749" ht="15.75" customHeight="1" x14ac:dyDescent="0.25"/>
    <row r="2750" ht="15.75" customHeight="1" x14ac:dyDescent="0.25"/>
    <row r="2751" ht="15.75" customHeight="1" x14ac:dyDescent="0.25"/>
    <row r="2752" ht="15.75" customHeight="1" x14ac:dyDescent="0.25"/>
    <row r="2753" ht="15.75" customHeight="1" x14ac:dyDescent="0.25"/>
    <row r="2754" ht="15.75" customHeight="1" x14ac:dyDescent="0.25"/>
    <row r="2755" ht="15.75" customHeight="1" x14ac:dyDescent="0.25"/>
    <row r="2756" ht="15.75" customHeight="1" x14ac:dyDescent="0.25"/>
    <row r="2757" ht="15.75" customHeight="1" x14ac:dyDescent="0.25"/>
    <row r="2758" ht="15.75" customHeight="1" x14ac:dyDescent="0.25"/>
    <row r="2759" ht="15.75" customHeight="1" x14ac:dyDescent="0.25"/>
    <row r="2760" ht="15.75" customHeight="1" x14ac:dyDescent="0.25"/>
    <row r="2761" ht="15.75" customHeight="1" x14ac:dyDescent="0.25"/>
    <row r="2762" ht="15.75" customHeight="1" x14ac:dyDescent="0.25"/>
    <row r="2763" ht="15.75" customHeight="1" x14ac:dyDescent="0.25"/>
    <row r="2764" ht="15.75" customHeight="1" x14ac:dyDescent="0.25"/>
    <row r="2765" ht="15.75" customHeight="1" x14ac:dyDescent="0.25"/>
    <row r="2766" ht="15.75" customHeight="1" x14ac:dyDescent="0.25"/>
    <row r="2767" ht="15.75" customHeight="1" x14ac:dyDescent="0.25"/>
    <row r="2768" ht="15.75" customHeight="1" x14ac:dyDescent="0.25"/>
    <row r="2769" ht="15.75" customHeight="1" x14ac:dyDescent="0.25"/>
    <row r="2770" ht="15.75" customHeight="1" x14ac:dyDescent="0.25"/>
    <row r="2771" ht="15.75" customHeight="1" x14ac:dyDescent="0.25"/>
    <row r="2772" ht="15.75" customHeight="1" x14ac:dyDescent="0.25"/>
    <row r="2773" ht="15.75" customHeight="1" x14ac:dyDescent="0.25"/>
    <row r="2774" ht="15.75" customHeight="1" x14ac:dyDescent="0.25"/>
    <row r="2775" ht="15.75" customHeight="1" x14ac:dyDescent="0.25"/>
    <row r="2776" ht="15.75" customHeight="1" x14ac:dyDescent="0.25"/>
    <row r="2777" ht="15.75" customHeight="1" x14ac:dyDescent="0.25"/>
    <row r="2778" ht="15.75" customHeight="1" x14ac:dyDescent="0.25"/>
    <row r="2779" ht="15.75" customHeight="1" x14ac:dyDescent="0.25"/>
    <row r="2780" ht="15.75" customHeight="1" x14ac:dyDescent="0.25"/>
    <row r="2781" ht="15.75" customHeight="1" x14ac:dyDescent="0.25"/>
    <row r="2782" ht="15.75" customHeight="1" x14ac:dyDescent="0.25"/>
    <row r="2783" ht="15.75" customHeight="1" x14ac:dyDescent="0.25"/>
    <row r="2784" ht="15.75" customHeight="1" x14ac:dyDescent="0.25"/>
    <row r="2785" ht="15.75" customHeight="1" x14ac:dyDescent="0.25"/>
    <row r="2786" ht="15.75" customHeight="1" x14ac:dyDescent="0.25"/>
    <row r="2787" ht="15.75" customHeight="1" x14ac:dyDescent="0.25"/>
    <row r="2788" ht="15.75" customHeight="1" x14ac:dyDescent="0.25"/>
    <row r="2789" ht="15.75" customHeight="1" x14ac:dyDescent="0.25"/>
    <row r="2790" ht="15.75" customHeight="1" x14ac:dyDescent="0.25"/>
    <row r="2791" ht="15.75" customHeight="1" x14ac:dyDescent="0.25"/>
    <row r="2792" ht="15.75" customHeight="1" x14ac:dyDescent="0.25"/>
    <row r="2793" ht="15.75" customHeight="1" x14ac:dyDescent="0.25"/>
    <row r="2794" ht="15.75" customHeight="1" x14ac:dyDescent="0.25"/>
    <row r="2795" ht="15.75" customHeight="1" x14ac:dyDescent="0.25"/>
    <row r="2796" ht="15.75" customHeight="1" x14ac:dyDescent="0.25"/>
    <row r="2797" ht="15.75" customHeight="1" x14ac:dyDescent="0.25"/>
    <row r="2798" ht="15.75" customHeight="1" x14ac:dyDescent="0.25"/>
    <row r="2799" ht="15.75" customHeight="1" x14ac:dyDescent="0.25"/>
    <row r="2800" ht="15.75" customHeight="1" x14ac:dyDescent="0.25"/>
    <row r="2801" ht="15.75" customHeight="1" x14ac:dyDescent="0.25"/>
    <row r="2802" ht="15.75" customHeight="1" x14ac:dyDescent="0.25"/>
    <row r="2803" ht="15.75" customHeight="1" x14ac:dyDescent="0.25"/>
    <row r="2804" ht="15.75" customHeight="1" x14ac:dyDescent="0.25"/>
    <row r="2805" ht="15.75" customHeight="1" x14ac:dyDescent="0.25"/>
    <row r="2806" ht="15.75" customHeight="1" x14ac:dyDescent="0.25"/>
    <row r="2807" ht="15.75" customHeight="1" x14ac:dyDescent="0.25"/>
    <row r="2808" ht="15.75" customHeight="1" x14ac:dyDescent="0.25"/>
    <row r="2809" ht="15.75" customHeight="1" x14ac:dyDescent="0.25"/>
    <row r="2810" ht="15.75" customHeight="1" x14ac:dyDescent="0.25"/>
    <row r="2811" ht="15.75" customHeight="1" x14ac:dyDescent="0.25"/>
    <row r="2812" ht="15.75" customHeight="1" x14ac:dyDescent="0.25"/>
    <row r="2813" ht="15.75" customHeight="1" x14ac:dyDescent="0.25"/>
    <row r="2814" ht="15.75" customHeight="1" x14ac:dyDescent="0.25"/>
    <row r="2815" ht="15.75" customHeight="1" x14ac:dyDescent="0.25"/>
    <row r="2816" ht="15.75" customHeight="1" x14ac:dyDescent="0.25"/>
    <row r="2817" ht="15.75" customHeight="1" x14ac:dyDescent="0.25"/>
    <row r="2818" ht="15.75" customHeight="1" x14ac:dyDescent="0.25"/>
    <row r="2819" ht="15.75" customHeight="1" x14ac:dyDescent="0.25"/>
    <row r="2820" ht="15.75" customHeight="1" x14ac:dyDescent="0.25"/>
    <row r="2821" ht="15.75" customHeight="1" x14ac:dyDescent="0.25"/>
    <row r="2822" ht="15.75" customHeight="1" x14ac:dyDescent="0.25"/>
    <row r="2823" ht="15.75" customHeight="1" x14ac:dyDescent="0.25"/>
    <row r="2824" ht="15.75" customHeight="1" x14ac:dyDescent="0.25"/>
    <row r="2825" ht="15.75" customHeight="1" x14ac:dyDescent="0.25"/>
    <row r="2826" ht="15.75" customHeight="1" x14ac:dyDescent="0.25"/>
    <row r="2827" ht="15.75" customHeight="1" x14ac:dyDescent="0.25"/>
    <row r="2828" ht="15.75" customHeight="1" x14ac:dyDescent="0.25"/>
    <row r="2829" ht="15.75" customHeight="1" x14ac:dyDescent="0.25"/>
    <row r="2830" ht="15.75" customHeight="1" x14ac:dyDescent="0.25"/>
    <row r="2831" ht="15.75" customHeight="1" x14ac:dyDescent="0.25"/>
    <row r="2832" ht="15.75" customHeight="1" x14ac:dyDescent="0.25"/>
    <row r="2833" ht="15.75" customHeight="1" x14ac:dyDescent="0.25"/>
    <row r="2834" ht="15.75" customHeight="1" x14ac:dyDescent="0.25"/>
    <row r="2835" ht="15.75" customHeight="1" x14ac:dyDescent="0.25"/>
    <row r="2836" ht="15.75" customHeight="1" x14ac:dyDescent="0.25"/>
    <row r="2837" ht="15.75" customHeight="1" x14ac:dyDescent="0.25"/>
    <row r="2838" ht="15.75" customHeight="1" x14ac:dyDescent="0.25"/>
    <row r="2839" ht="15.75" customHeight="1" x14ac:dyDescent="0.25"/>
    <row r="2840" ht="15.75" customHeight="1" x14ac:dyDescent="0.25"/>
    <row r="2841" ht="15.75" customHeight="1" x14ac:dyDescent="0.25"/>
    <row r="2842" ht="15.75" customHeight="1" x14ac:dyDescent="0.25"/>
    <row r="2843" ht="15.75" customHeight="1" x14ac:dyDescent="0.25"/>
    <row r="2844" ht="15.75" customHeight="1" x14ac:dyDescent="0.25"/>
    <row r="2845" ht="15.75" customHeight="1" x14ac:dyDescent="0.25"/>
    <row r="2846" ht="15.75" customHeight="1" x14ac:dyDescent="0.25"/>
    <row r="2847" ht="15.75" customHeight="1" x14ac:dyDescent="0.25"/>
    <row r="2848" ht="15.75" customHeight="1" x14ac:dyDescent="0.25"/>
    <row r="2849" ht="15.75" customHeight="1" x14ac:dyDescent="0.25"/>
    <row r="2850" ht="15.75" customHeight="1" x14ac:dyDescent="0.25"/>
    <row r="2851" ht="15.75" customHeight="1" x14ac:dyDescent="0.25"/>
    <row r="2852" ht="15.75" customHeight="1" x14ac:dyDescent="0.25"/>
    <row r="2853" ht="15.75" customHeight="1" x14ac:dyDescent="0.25"/>
    <row r="2854" ht="15.75" customHeight="1" x14ac:dyDescent="0.25"/>
    <row r="2855" ht="15.75" customHeight="1" x14ac:dyDescent="0.25"/>
    <row r="2856" ht="15.75" customHeight="1" x14ac:dyDescent="0.25"/>
    <row r="2857" ht="15.75" customHeight="1" x14ac:dyDescent="0.25"/>
    <row r="2858" ht="15.75" customHeight="1" x14ac:dyDescent="0.25"/>
    <row r="2859" ht="15.75" customHeight="1" x14ac:dyDescent="0.25"/>
    <row r="2860" ht="15.75" customHeight="1" x14ac:dyDescent="0.25"/>
    <row r="2861" ht="15.75" customHeight="1" x14ac:dyDescent="0.25"/>
    <row r="2862" ht="15.75" customHeight="1" x14ac:dyDescent="0.25"/>
    <row r="2863" ht="15.75" customHeight="1" x14ac:dyDescent="0.25"/>
    <row r="2864" ht="15.75" customHeight="1" x14ac:dyDescent="0.25"/>
    <row r="2865" ht="15.75" customHeight="1" x14ac:dyDescent="0.25"/>
    <row r="2866" ht="15.75" customHeight="1" x14ac:dyDescent="0.25"/>
    <row r="2867" ht="15.75" customHeight="1" x14ac:dyDescent="0.25"/>
    <row r="2868" ht="15.75" customHeight="1" x14ac:dyDescent="0.25"/>
    <row r="2869" ht="15.75" customHeight="1" x14ac:dyDescent="0.25"/>
    <row r="2870" ht="15.75" customHeight="1" x14ac:dyDescent="0.25"/>
    <row r="2871" ht="15.75" customHeight="1" x14ac:dyDescent="0.25"/>
    <row r="2872" ht="15.75" customHeight="1" x14ac:dyDescent="0.25"/>
    <row r="2873" ht="15.75" customHeight="1" x14ac:dyDescent="0.25"/>
    <row r="2874" ht="15.75" customHeight="1" x14ac:dyDescent="0.25"/>
    <row r="2875" ht="15.75" customHeight="1" x14ac:dyDescent="0.25"/>
    <row r="2876" ht="15.75" customHeight="1" x14ac:dyDescent="0.25"/>
    <row r="2877" ht="15.75" customHeight="1" x14ac:dyDescent="0.25"/>
    <row r="2878" ht="15.75" customHeight="1" x14ac:dyDescent="0.25"/>
    <row r="2879" ht="15.75" customHeight="1" x14ac:dyDescent="0.25"/>
    <row r="2880" ht="15.75" customHeight="1" x14ac:dyDescent="0.25"/>
    <row r="2881" ht="15.75" customHeight="1" x14ac:dyDescent="0.25"/>
    <row r="2882" ht="15.75" customHeight="1" x14ac:dyDescent="0.25"/>
    <row r="2883" ht="15.75" customHeight="1" x14ac:dyDescent="0.25"/>
    <row r="2884" ht="15.75" customHeight="1" x14ac:dyDescent="0.25"/>
    <row r="2885" ht="15.75" customHeight="1" x14ac:dyDescent="0.25"/>
    <row r="2886" ht="15.75" customHeight="1" x14ac:dyDescent="0.25"/>
    <row r="2887" ht="15.75" customHeight="1" x14ac:dyDescent="0.25"/>
    <row r="2888" ht="15.75" customHeight="1" x14ac:dyDescent="0.25"/>
    <row r="2889" ht="15.75" customHeight="1" x14ac:dyDescent="0.25"/>
    <row r="2890" ht="15.75" customHeight="1" x14ac:dyDescent="0.25"/>
    <row r="2891" ht="15.75" customHeight="1" x14ac:dyDescent="0.25"/>
    <row r="2892" ht="15.75" customHeight="1" x14ac:dyDescent="0.25"/>
    <row r="2893" ht="15.75" customHeight="1" x14ac:dyDescent="0.25"/>
    <row r="2894" ht="15.75" customHeight="1" x14ac:dyDescent="0.25"/>
    <row r="2895" ht="15.75" customHeight="1" x14ac:dyDescent="0.25"/>
    <row r="2896" ht="15.75" customHeight="1" x14ac:dyDescent="0.25"/>
    <row r="2897" ht="15.75" customHeight="1" x14ac:dyDescent="0.25"/>
    <row r="2898" ht="15.75" customHeight="1" x14ac:dyDescent="0.25"/>
    <row r="2899" ht="15.75" customHeight="1" x14ac:dyDescent="0.25"/>
    <row r="2900" ht="15.75" customHeight="1" x14ac:dyDescent="0.25"/>
    <row r="2901" ht="15.75" customHeight="1" x14ac:dyDescent="0.25"/>
    <row r="2902" ht="15.75" customHeight="1" x14ac:dyDescent="0.25"/>
    <row r="2903" ht="15.75" customHeight="1" x14ac:dyDescent="0.25"/>
    <row r="2904" ht="15.75" customHeight="1" x14ac:dyDescent="0.25"/>
    <row r="2905" ht="15.75" customHeight="1" x14ac:dyDescent="0.25"/>
    <row r="2906" ht="15.75" customHeight="1" x14ac:dyDescent="0.25"/>
    <row r="2907" ht="15.75" customHeight="1" x14ac:dyDescent="0.25"/>
    <row r="2908" ht="15.75" customHeight="1" x14ac:dyDescent="0.25"/>
    <row r="2909" ht="15.75" customHeight="1" x14ac:dyDescent="0.25"/>
    <row r="2910" ht="15.75" customHeight="1" x14ac:dyDescent="0.25"/>
    <row r="2911" ht="15.75" customHeight="1" x14ac:dyDescent="0.25"/>
    <row r="2912" ht="15.75" customHeight="1" x14ac:dyDescent="0.25"/>
    <row r="2913" ht="15.75" customHeight="1" x14ac:dyDescent="0.25"/>
    <row r="2914" ht="15.75" customHeight="1" x14ac:dyDescent="0.25"/>
    <row r="2915" ht="15.75" customHeight="1" x14ac:dyDescent="0.25"/>
    <row r="2916" ht="15.75" customHeight="1" x14ac:dyDescent="0.25"/>
    <row r="2917" ht="15.75" customHeight="1" x14ac:dyDescent="0.25"/>
    <row r="2918" ht="15.75" customHeight="1" x14ac:dyDescent="0.25"/>
    <row r="2919" ht="15.75" customHeight="1" x14ac:dyDescent="0.25"/>
    <row r="2920" ht="15.75" customHeight="1" x14ac:dyDescent="0.25"/>
    <row r="2921" ht="15.75" customHeight="1" x14ac:dyDescent="0.25"/>
    <row r="2922" ht="15.75" customHeight="1" x14ac:dyDescent="0.25"/>
    <row r="2923" ht="15.75" customHeight="1" x14ac:dyDescent="0.25"/>
    <row r="2924" ht="15.75" customHeight="1" x14ac:dyDescent="0.25"/>
    <row r="2925" ht="15.75" customHeight="1" x14ac:dyDescent="0.25"/>
    <row r="2926" ht="15.75" customHeight="1" x14ac:dyDescent="0.25"/>
    <row r="2927" ht="15.75" customHeight="1" x14ac:dyDescent="0.25"/>
    <row r="2928" ht="15.75" customHeight="1" x14ac:dyDescent="0.25"/>
    <row r="2929" ht="15.75" customHeight="1" x14ac:dyDescent="0.25"/>
    <row r="2930" ht="15.75" customHeight="1" x14ac:dyDescent="0.25"/>
    <row r="2931" ht="15.75" customHeight="1" x14ac:dyDescent="0.25"/>
    <row r="2932" ht="15.75" customHeight="1" x14ac:dyDescent="0.25"/>
    <row r="2933" ht="15.75" customHeight="1" x14ac:dyDescent="0.25"/>
    <row r="2934" ht="15.75" customHeight="1" x14ac:dyDescent="0.25"/>
    <row r="2935" ht="15.75" customHeight="1" x14ac:dyDescent="0.25"/>
    <row r="2936" ht="15.75" customHeight="1" x14ac:dyDescent="0.25"/>
    <row r="2937" ht="15.75" customHeight="1" x14ac:dyDescent="0.25"/>
    <row r="2938" ht="15.75" customHeight="1" x14ac:dyDescent="0.25"/>
    <row r="2939" ht="15.75" customHeight="1" x14ac:dyDescent="0.25"/>
    <row r="2940" ht="15.75" customHeight="1" x14ac:dyDescent="0.25"/>
    <row r="2941" ht="15.75" customHeight="1" x14ac:dyDescent="0.25"/>
    <row r="2942" ht="15.75" customHeight="1" x14ac:dyDescent="0.25"/>
    <row r="2943" ht="15.75" customHeight="1" x14ac:dyDescent="0.25"/>
    <row r="2944" ht="15.75" customHeight="1" x14ac:dyDescent="0.25"/>
    <row r="2945" ht="15.75" customHeight="1" x14ac:dyDescent="0.25"/>
    <row r="2946" ht="15.75" customHeight="1" x14ac:dyDescent="0.25"/>
    <row r="2947" ht="15.75" customHeight="1" x14ac:dyDescent="0.25"/>
    <row r="2948" ht="15.75" customHeight="1" x14ac:dyDescent="0.25"/>
    <row r="2949" ht="15.75" customHeight="1" x14ac:dyDescent="0.25"/>
    <row r="2950" ht="15.75" customHeight="1" x14ac:dyDescent="0.25"/>
    <row r="2951" ht="15.75" customHeight="1" x14ac:dyDescent="0.25"/>
    <row r="2952" ht="15.75" customHeight="1" x14ac:dyDescent="0.25"/>
    <row r="2953" ht="15.75" customHeight="1" x14ac:dyDescent="0.25"/>
    <row r="2954" ht="15.75" customHeight="1" x14ac:dyDescent="0.25"/>
    <row r="2955" ht="15.75" customHeight="1" x14ac:dyDescent="0.25"/>
    <row r="2956" ht="15.75" customHeight="1" x14ac:dyDescent="0.25"/>
    <row r="2957" ht="15.75" customHeight="1" x14ac:dyDescent="0.25"/>
    <row r="2958" ht="15.75" customHeight="1" x14ac:dyDescent="0.25"/>
    <row r="2959" ht="15.75" customHeight="1" x14ac:dyDescent="0.25"/>
    <row r="2960" ht="15.75" customHeight="1" x14ac:dyDescent="0.25"/>
    <row r="2961" ht="15.75" customHeight="1" x14ac:dyDescent="0.25"/>
    <row r="2962" ht="15.75" customHeight="1" x14ac:dyDescent="0.25"/>
    <row r="2963" ht="15.75" customHeight="1" x14ac:dyDescent="0.25"/>
    <row r="2964" ht="15.75" customHeight="1" x14ac:dyDescent="0.25"/>
    <row r="2965" ht="15.75" customHeight="1" x14ac:dyDescent="0.25"/>
    <row r="2966" ht="15.75" customHeight="1" x14ac:dyDescent="0.25"/>
    <row r="2967" ht="15.75" customHeight="1" x14ac:dyDescent="0.25"/>
    <row r="2968" ht="15.75" customHeight="1" x14ac:dyDescent="0.25"/>
    <row r="2969" ht="15.75" customHeight="1" x14ac:dyDescent="0.25"/>
    <row r="2970" ht="15.75" customHeight="1" x14ac:dyDescent="0.25"/>
    <row r="2971" ht="15.75" customHeight="1" x14ac:dyDescent="0.25"/>
    <row r="2972" ht="15.75" customHeight="1" x14ac:dyDescent="0.25"/>
    <row r="2973" ht="15.75" customHeight="1" x14ac:dyDescent="0.25"/>
    <row r="2974" ht="15.75" customHeight="1" x14ac:dyDescent="0.25"/>
    <row r="2975" ht="15.75" customHeight="1" x14ac:dyDescent="0.25"/>
    <row r="2976" ht="15.75" customHeight="1" x14ac:dyDescent="0.25"/>
    <row r="2977" ht="15.75" customHeight="1" x14ac:dyDescent="0.25"/>
    <row r="2978" ht="15.75" customHeight="1" x14ac:dyDescent="0.25"/>
    <row r="2979" ht="15.75" customHeight="1" x14ac:dyDescent="0.25"/>
    <row r="2980" ht="15.75" customHeight="1" x14ac:dyDescent="0.25"/>
    <row r="2981" ht="15.75" customHeight="1" x14ac:dyDescent="0.25"/>
    <row r="2982" ht="15.75" customHeight="1" x14ac:dyDescent="0.25"/>
    <row r="2983" ht="15.75" customHeight="1" x14ac:dyDescent="0.25"/>
    <row r="2984" ht="15.75" customHeight="1" x14ac:dyDescent="0.25"/>
    <row r="2985" ht="15.75" customHeight="1" x14ac:dyDescent="0.25"/>
    <row r="2986" ht="15.75" customHeight="1" x14ac:dyDescent="0.25"/>
    <row r="2987" ht="15.75" customHeight="1" x14ac:dyDescent="0.25"/>
    <row r="2988" ht="15.75" customHeight="1" x14ac:dyDescent="0.25"/>
    <row r="2989" ht="15.75" customHeight="1" x14ac:dyDescent="0.25"/>
    <row r="2990" ht="15.75" customHeight="1" x14ac:dyDescent="0.25"/>
    <row r="2991" ht="15.75" customHeight="1" x14ac:dyDescent="0.25"/>
    <row r="2992" ht="15.75" customHeight="1" x14ac:dyDescent="0.25"/>
    <row r="2993" ht="15.75" customHeight="1" x14ac:dyDescent="0.25"/>
    <row r="2994" ht="15.75" customHeight="1" x14ac:dyDescent="0.25"/>
    <row r="2995" ht="15.75" customHeight="1" x14ac:dyDescent="0.25"/>
    <row r="2996" ht="15.75" customHeight="1" x14ac:dyDescent="0.25"/>
    <row r="2997" ht="15.75" customHeight="1" x14ac:dyDescent="0.25"/>
    <row r="2998" ht="15.75" customHeight="1" x14ac:dyDescent="0.25"/>
    <row r="2999" ht="15.75" customHeight="1" x14ac:dyDescent="0.25"/>
    <row r="3000" ht="15.75" customHeight="1" x14ac:dyDescent="0.25"/>
    <row r="3001" ht="15.75" customHeight="1" x14ac:dyDescent="0.25"/>
    <row r="3002" ht="15.75" customHeight="1" x14ac:dyDescent="0.25"/>
    <row r="3003" ht="15.75" customHeight="1" x14ac:dyDescent="0.25"/>
    <row r="3004" ht="15.75" customHeight="1" x14ac:dyDescent="0.25"/>
    <row r="3005" ht="15.75" customHeight="1" x14ac:dyDescent="0.25"/>
    <row r="3006" ht="15.75" customHeight="1" x14ac:dyDescent="0.25"/>
    <row r="3007" ht="15.75" customHeight="1" x14ac:dyDescent="0.25"/>
    <row r="3008" ht="15.75" customHeight="1" x14ac:dyDescent="0.25"/>
    <row r="3009" ht="15.75" customHeight="1" x14ac:dyDescent="0.25"/>
    <row r="3010" ht="15.75" customHeight="1" x14ac:dyDescent="0.25"/>
    <row r="3011" ht="15.75" customHeight="1" x14ac:dyDescent="0.25"/>
    <row r="3012" ht="15.75" customHeight="1" x14ac:dyDescent="0.25"/>
    <row r="3013" ht="15.75" customHeight="1" x14ac:dyDescent="0.25"/>
    <row r="3014" ht="15.75" customHeight="1" x14ac:dyDescent="0.25"/>
    <row r="3015" ht="15.75" customHeight="1" x14ac:dyDescent="0.25"/>
    <row r="3016" ht="15.75" customHeight="1" x14ac:dyDescent="0.25"/>
    <row r="3017" ht="15.75" customHeight="1" x14ac:dyDescent="0.25"/>
    <row r="3018" ht="15.75" customHeight="1" x14ac:dyDescent="0.25"/>
    <row r="3019" ht="15.75" customHeight="1" x14ac:dyDescent="0.25"/>
    <row r="3020" ht="15.75" customHeight="1" x14ac:dyDescent="0.25"/>
    <row r="3021" ht="15.75" customHeight="1" x14ac:dyDescent="0.25"/>
    <row r="3022" ht="15.75" customHeight="1" x14ac:dyDescent="0.25"/>
    <row r="3023" ht="15.75" customHeight="1" x14ac:dyDescent="0.25"/>
    <row r="3024" ht="15.75" customHeight="1" x14ac:dyDescent="0.25"/>
    <row r="3025" ht="15.75" customHeight="1" x14ac:dyDescent="0.25"/>
    <row r="3026" ht="15.75" customHeight="1" x14ac:dyDescent="0.25"/>
    <row r="3027" ht="15.75" customHeight="1" x14ac:dyDescent="0.25"/>
    <row r="3028" ht="15.75" customHeight="1" x14ac:dyDescent="0.25"/>
    <row r="3029" ht="15.75" customHeight="1" x14ac:dyDescent="0.25"/>
    <row r="3030" ht="15.75" customHeight="1" x14ac:dyDescent="0.25"/>
    <row r="3031" ht="15.75" customHeight="1" x14ac:dyDescent="0.25"/>
    <row r="3032" ht="15.75" customHeight="1" x14ac:dyDescent="0.25"/>
    <row r="3033" ht="15.75" customHeight="1" x14ac:dyDescent="0.25"/>
    <row r="3034" ht="15.75" customHeight="1" x14ac:dyDescent="0.25"/>
    <row r="3035" ht="15.75" customHeight="1" x14ac:dyDescent="0.25"/>
    <row r="3036" ht="15.75" customHeight="1" x14ac:dyDescent="0.25"/>
    <row r="3037" ht="15.75" customHeight="1" x14ac:dyDescent="0.25"/>
    <row r="3038" ht="15.75" customHeight="1" x14ac:dyDescent="0.25"/>
    <row r="3039" ht="15.75" customHeight="1" x14ac:dyDescent="0.25"/>
    <row r="3040" ht="15.75" customHeight="1" x14ac:dyDescent="0.25"/>
    <row r="3041" ht="15.75" customHeight="1" x14ac:dyDescent="0.25"/>
    <row r="3042" ht="15.75" customHeight="1" x14ac:dyDescent="0.25"/>
    <row r="3043" ht="15.75" customHeight="1" x14ac:dyDescent="0.25"/>
    <row r="3044" ht="15.75" customHeight="1" x14ac:dyDescent="0.25"/>
    <row r="3045" ht="15.75" customHeight="1" x14ac:dyDescent="0.25"/>
    <row r="3046" ht="15.75" customHeight="1" x14ac:dyDescent="0.25"/>
    <row r="3047" ht="15.75" customHeight="1" x14ac:dyDescent="0.25"/>
    <row r="3048" ht="15.75" customHeight="1" x14ac:dyDescent="0.25"/>
    <row r="3049" ht="15.75" customHeight="1" x14ac:dyDescent="0.25"/>
    <row r="3050" ht="15.75" customHeight="1" x14ac:dyDescent="0.25"/>
    <row r="3051" ht="15.75" customHeight="1" x14ac:dyDescent="0.25"/>
    <row r="3052" ht="15.75" customHeight="1" x14ac:dyDescent="0.25"/>
    <row r="3053" ht="15.75" customHeight="1" x14ac:dyDescent="0.25"/>
    <row r="3054" ht="15.75" customHeight="1" x14ac:dyDescent="0.25"/>
    <row r="3055" ht="15.75" customHeight="1" x14ac:dyDescent="0.25"/>
    <row r="3056" ht="15.75" customHeight="1" x14ac:dyDescent="0.25"/>
    <row r="3057" ht="15.75" customHeight="1" x14ac:dyDescent="0.25"/>
    <row r="3058" ht="15.75" customHeight="1" x14ac:dyDescent="0.25"/>
    <row r="3059" ht="15.75" customHeight="1" x14ac:dyDescent="0.25"/>
    <row r="3060" ht="15.75" customHeight="1" x14ac:dyDescent="0.25"/>
    <row r="3061" ht="15.75" customHeight="1" x14ac:dyDescent="0.25"/>
    <row r="3062" ht="15.75" customHeight="1" x14ac:dyDescent="0.25"/>
    <row r="3063" ht="15.75" customHeight="1" x14ac:dyDescent="0.25"/>
    <row r="3064" ht="15.75" customHeight="1" x14ac:dyDescent="0.25"/>
    <row r="3065" ht="15.75" customHeight="1" x14ac:dyDescent="0.25"/>
    <row r="3066" ht="15.75" customHeight="1" x14ac:dyDescent="0.25"/>
    <row r="3067" ht="15.75" customHeight="1" x14ac:dyDescent="0.25"/>
    <row r="3068" ht="15.75" customHeight="1" x14ac:dyDescent="0.25"/>
    <row r="3069" ht="15.75" customHeight="1" x14ac:dyDescent="0.25"/>
    <row r="3070" ht="15.75" customHeight="1" x14ac:dyDescent="0.25"/>
    <row r="3071" ht="15.75" customHeight="1" x14ac:dyDescent="0.25"/>
    <row r="3072" ht="15.75" customHeight="1" x14ac:dyDescent="0.25"/>
    <row r="3073" ht="15.75" customHeight="1" x14ac:dyDescent="0.25"/>
    <row r="3074" ht="15.75" customHeight="1" x14ac:dyDescent="0.25"/>
    <row r="3075" ht="15.75" customHeight="1" x14ac:dyDescent="0.25"/>
    <row r="3076" ht="15.75" customHeight="1" x14ac:dyDescent="0.25"/>
    <row r="3077" ht="15.75" customHeight="1" x14ac:dyDescent="0.25"/>
    <row r="3078" ht="15.75" customHeight="1" x14ac:dyDescent="0.25"/>
    <row r="3079" ht="15.75" customHeight="1" x14ac:dyDescent="0.25"/>
    <row r="3080" ht="15.75" customHeight="1" x14ac:dyDescent="0.25"/>
    <row r="3081" ht="15.75" customHeight="1" x14ac:dyDescent="0.25"/>
    <row r="3082" ht="15.75" customHeight="1" x14ac:dyDescent="0.25"/>
    <row r="3083" ht="15.75" customHeight="1" x14ac:dyDescent="0.25"/>
    <row r="3084" ht="15.75" customHeight="1" x14ac:dyDescent="0.25"/>
    <row r="3085" ht="15.75" customHeight="1" x14ac:dyDescent="0.25"/>
    <row r="3086" ht="15.75" customHeight="1" x14ac:dyDescent="0.25"/>
    <row r="3087" ht="15.75" customHeight="1" x14ac:dyDescent="0.25"/>
    <row r="3088" ht="15.75" customHeight="1" x14ac:dyDescent="0.25"/>
    <row r="3089" ht="15.75" customHeight="1" x14ac:dyDescent="0.25"/>
    <row r="3090" ht="15.75" customHeight="1" x14ac:dyDescent="0.25"/>
    <row r="3091" ht="15.75" customHeight="1" x14ac:dyDescent="0.25"/>
    <row r="3092" ht="15.75" customHeight="1" x14ac:dyDescent="0.25"/>
    <row r="3093" ht="15.75" customHeight="1" x14ac:dyDescent="0.25"/>
    <row r="3094" ht="15.75" customHeight="1" x14ac:dyDescent="0.25"/>
    <row r="3095" ht="15.75" customHeight="1" x14ac:dyDescent="0.25"/>
    <row r="3096" ht="15.75" customHeight="1" x14ac:dyDescent="0.25"/>
    <row r="3097" ht="15.75" customHeight="1" x14ac:dyDescent="0.25"/>
    <row r="3098" ht="15.75" customHeight="1" x14ac:dyDescent="0.25"/>
    <row r="3099" ht="15.75" customHeight="1" x14ac:dyDescent="0.25"/>
    <row r="3100" ht="15.75" customHeight="1" x14ac:dyDescent="0.25"/>
    <row r="3101" ht="15.75" customHeight="1" x14ac:dyDescent="0.25"/>
    <row r="3102" ht="15.75" customHeight="1" x14ac:dyDescent="0.25"/>
    <row r="3103" ht="15.75" customHeight="1" x14ac:dyDescent="0.25"/>
    <row r="3104" ht="15.75" customHeight="1" x14ac:dyDescent="0.25"/>
    <row r="3105" ht="15.75" customHeight="1" x14ac:dyDescent="0.25"/>
    <row r="3106" ht="15.75" customHeight="1" x14ac:dyDescent="0.25"/>
    <row r="3107" ht="15.75" customHeight="1" x14ac:dyDescent="0.25"/>
    <row r="3108" ht="15.75" customHeight="1" x14ac:dyDescent="0.25"/>
    <row r="3109" ht="15.75" customHeight="1" x14ac:dyDescent="0.25"/>
    <row r="3110" ht="15.75" customHeight="1" x14ac:dyDescent="0.25"/>
    <row r="3111" ht="15.75" customHeight="1" x14ac:dyDescent="0.25"/>
    <row r="3112" ht="15.75" customHeight="1" x14ac:dyDescent="0.25"/>
    <row r="3113" ht="15.75" customHeight="1" x14ac:dyDescent="0.25"/>
    <row r="3114" ht="15.75" customHeight="1" x14ac:dyDescent="0.25"/>
    <row r="3115" ht="15.75" customHeight="1" x14ac:dyDescent="0.25"/>
    <row r="3116" ht="15.75" customHeight="1" x14ac:dyDescent="0.25"/>
    <row r="3117" ht="15.75" customHeight="1" x14ac:dyDescent="0.25"/>
    <row r="3118" ht="15.75" customHeight="1" x14ac:dyDescent="0.25"/>
    <row r="3119" ht="15.75" customHeight="1" x14ac:dyDescent="0.25"/>
    <row r="3120" ht="15.75" customHeight="1" x14ac:dyDescent="0.25"/>
    <row r="3121" ht="15.75" customHeight="1" x14ac:dyDescent="0.25"/>
    <row r="3122" ht="15.75" customHeight="1" x14ac:dyDescent="0.25"/>
    <row r="3123" ht="15.75" customHeight="1" x14ac:dyDescent="0.25"/>
    <row r="3124" ht="15.75" customHeight="1" x14ac:dyDescent="0.25"/>
    <row r="3125" ht="15.75" customHeight="1" x14ac:dyDescent="0.25"/>
    <row r="3126" ht="15.75" customHeight="1" x14ac:dyDescent="0.25"/>
    <row r="3127" ht="15.75" customHeight="1" x14ac:dyDescent="0.25"/>
    <row r="3128" ht="15.75" customHeight="1" x14ac:dyDescent="0.25"/>
    <row r="3129" ht="15.75" customHeight="1" x14ac:dyDescent="0.25"/>
    <row r="3130" ht="15.75" customHeight="1" x14ac:dyDescent="0.25"/>
    <row r="3131" ht="15.75" customHeight="1" x14ac:dyDescent="0.25"/>
    <row r="3132" ht="15.75" customHeight="1" x14ac:dyDescent="0.25"/>
    <row r="3133" ht="15.75" customHeight="1" x14ac:dyDescent="0.25"/>
    <row r="3134" ht="15.75" customHeight="1" x14ac:dyDescent="0.25"/>
    <row r="3135" ht="15.75" customHeight="1" x14ac:dyDescent="0.25"/>
    <row r="3136" ht="15.75" customHeight="1" x14ac:dyDescent="0.25"/>
    <row r="3137" ht="15.75" customHeight="1" x14ac:dyDescent="0.25"/>
    <row r="3138" ht="15.75" customHeight="1" x14ac:dyDescent="0.25"/>
    <row r="3139" ht="15.75" customHeight="1" x14ac:dyDescent="0.25"/>
    <row r="3140" ht="15.75" customHeight="1" x14ac:dyDescent="0.25"/>
    <row r="3141" ht="15.75" customHeight="1" x14ac:dyDescent="0.25"/>
    <row r="3142" ht="15.75" customHeight="1" x14ac:dyDescent="0.25"/>
    <row r="3143" ht="15.75" customHeight="1" x14ac:dyDescent="0.25"/>
    <row r="3144" ht="15.75" customHeight="1" x14ac:dyDescent="0.25"/>
    <row r="3145" ht="15.75" customHeight="1" x14ac:dyDescent="0.25"/>
    <row r="3146" ht="15.75" customHeight="1" x14ac:dyDescent="0.25"/>
    <row r="3147" ht="15.75" customHeight="1" x14ac:dyDescent="0.25"/>
    <row r="3148" ht="15.75" customHeight="1" x14ac:dyDescent="0.25"/>
    <row r="3149" ht="15.75" customHeight="1" x14ac:dyDescent="0.25"/>
    <row r="3150" ht="15.75" customHeight="1" x14ac:dyDescent="0.25"/>
    <row r="3151" ht="15.75" customHeight="1" x14ac:dyDescent="0.25"/>
    <row r="3152" ht="15.75" customHeight="1" x14ac:dyDescent="0.25"/>
    <row r="3153" ht="15.75" customHeight="1" x14ac:dyDescent="0.25"/>
    <row r="3154" ht="15.75" customHeight="1" x14ac:dyDescent="0.25"/>
    <row r="3155" ht="15.75" customHeight="1" x14ac:dyDescent="0.25"/>
    <row r="3156" ht="15.75" customHeight="1" x14ac:dyDescent="0.25"/>
    <row r="3157" ht="15.75" customHeight="1" x14ac:dyDescent="0.25"/>
    <row r="3158" ht="15.75" customHeight="1" x14ac:dyDescent="0.25"/>
    <row r="3159" ht="15.75" customHeight="1" x14ac:dyDescent="0.25"/>
    <row r="3160" ht="15.75" customHeight="1" x14ac:dyDescent="0.25"/>
    <row r="3161" ht="15.75" customHeight="1" x14ac:dyDescent="0.25"/>
    <row r="3162" ht="15.75" customHeight="1" x14ac:dyDescent="0.25"/>
    <row r="3163" ht="15.75" customHeight="1" x14ac:dyDescent="0.25"/>
    <row r="3164" ht="15.75" customHeight="1" x14ac:dyDescent="0.25"/>
    <row r="3165" ht="15.75" customHeight="1" x14ac:dyDescent="0.25"/>
    <row r="3166" ht="15.75" customHeight="1" x14ac:dyDescent="0.25"/>
    <row r="3167" ht="15.75" customHeight="1" x14ac:dyDescent="0.25"/>
    <row r="3168" ht="15.75" customHeight="1" x14ac:dyDescent="0.25"/>
    <row r="3169" ht="15.75" customHeight="1" x14ac:dyDescent="0.25"/>
    <row r="3170" ht="15.75" customHeight="1" x14ac:dyDescent="0.25"/>
    <row r="3171" ht="15.75" customHeight="1" x14ac:dyDescent="0.25"/>
    <row r="3172" ht="15.75" customHeight="1" x14ac:dyDescent="0.25"/>
    <row r="3173" ht="15.75" customHeight="1" x14ac:dyDescent="0.25"/>
    <row r="3174" ht="15.75" customHeight="1" x14ac:dyDescent="0.25"/>
    <row r="3175" ht="15.75" customHeight="1" x14ac:dyDescent="0.25"/>
    <row r="3176" ht="15.75" customHeight="1" x14ac:dyDescent="0.25"/>
    <row r="3177" ht="15.75" customHeight="1" x14ac:dyDescent="0.25"/>
    <row r="3178" ht="15.75" customHeight="1" x14ac:dyDescent="0.25"/>
    <row r="3179" ht="15.75" customHeight="1" x14ac:dyDescent="0.25"/>
    <row r="3180" ht="15.75" customHeight="1" x14ac:dyDescent="0.25"/>
    <row r="3181" ht="15.75" customHeight="1" x14ac:dyDescent="0.25"/>
    <row r="3182" ht="15.75" customHeight="1" x14ac:dyDescent="0.25"/>
    <row r="3183" ht="15.75" customHeight="1" x14ac:dyDescent="0.25"/>
    <row r="3184" ht="15.75" customHeight="1" x14ac:dyDescent="0.25"/>
    <row r="3185" ht="15.75" customHeight="1" x14ac:dyDescent="0.25"/>
    <row r="3186" ht="15.75" customHeight="1" x14ac:dyDescent="0.25"/>
    <row r="3187" ht="15.75" customHeight="1" x14ac:dyDescent="0.25"/>
    <row r="3188" ht="15.75" customHeight="1" x14ac:dyDescent="0.25"/>
    <row r="3189" ht="15.75" customHeight="1" x14ac:dyDescent="0.25"/>
    <row r="3190" ht="15.75" customHeight="1" x14ac:dyDescent="0.25"/>
    <row r="3191" ht="15.75" customHeight="1" x14ac:dyDescent="0.25"/>
    <row r="3192" ht="15.75" customHeight="1" x14ac:dyDescent="0.25"/>
    <row r="3193" ht="15.75" customHeight="1" x14ac:dyDescent="0.25"/>
    <row r="3194" ht="15.75" customHeight="1" x14ac:dyDescent="0.25"/>
    <row r="3195" ht="15.75" customHeight="1" x14ac:dyDescent="0.25"/>
    <row r="3196" ht="15.75" customHeight="1" x14ac:dyDescent="0.25"/>
    <row r="3197" ht="15.75" customHeight="1" x14ac:dyDescent="0.25"/>
    <row r="3198" ht="15.75" customHeight="1" x14ac:dyDescent="0.25"/>
    <row r="3199" ht="15.75" customHeight="1" x14ac:dyDescent="0.25"/>
    <row r="3200" ht="15.75" customHeight="1" x14ac:dyDescent="0.25"/>
    <row r="3201" ht="15.75" customHeight="1" x14ac:dyDescent="0.25"/>
    <row r="3202" ht="15.75" customHeight="1" x14ac:dyDescent="0.25"/>
    <row r="3203" ht="15.75" customHeight="1" x14ac:dyDescent="0.25"/>
    <row r="3204" ht="15.75" customHeight="1" x14ac:dyDescent="0.25"/>
    <row r="3205" ht="15.75" customHeight="1" x14ac:dyDescent="0.25"/>
    <row r="3206" ht="15.75" customHeight="1" x14ac:dyDescent="0.25"/>
    <row r="3207" ht="15.75" customHeight="1" x14ac:dyDescent="0.25"/>
    <row r="3208" ht="15.75" customHeight="1" x14ac:dyDescent="0.25"/>
    <row r="3209" ht="15.75" customHeight="1" x14ac:dyDescent="0.25"/>
    <row r="3210" ht="15.75" customHeight="1" x14ac:dyDescent="0.25"/>
    <row r="3211" ht="15.75" customHeight="1" x14ac:dyDescent="0.25"/>
    <row r="3212" ht="15.75" customHeight="1" x14ac:dyDescent="0.25"/>
    <row r="3213" ht="15.75" customHeight="1" x14ac:dyDescent="0.25"/>
    <row r="3214" ht="15.75" customHeight="1" x14ac:dyDescent="0.25"/>
    <row r="3215" ht="15.75" customHeight="1" x14ac:dyDescent="0.25"/>
    <row r="3216" ht="15.75" customHeight="1" x14ac:dyDescent="0.25"/>
    <row r="3217" ht="15.75" customHeight="1" x14ac:dyDescent="0.25"/>
    <row r="3218" ht="15.75" customHeight="1" x14ac:dyDescent="0.25"/>
    <row r="3219" ht="15.75" customHeight="1" x14ac:dyDescent="0.25"/>
    <row r="3220" ht="15.75" customHeight="1" x14ac:dyDescent="0.25"/>
    <row r="3221" ht="15.75" customHeight="1" x14ac:dyDescent="0.25"/>
    <row r="3222" ht="15.75" customHeight="1" x14ac:dyDescent="0.25"/>
    <row r="3223" ht="15.75" customHeight="1" x14ac:dyDescent="0.25"/>
    <row r="3224" ht="15.75" customHeight="1" x14ac:dyDescent="0.25"/>
    <row r="3225" ht="15.75" customHeight="1" x14ac:dyDescent="0.25"/>
    <row r="3226" ht="15.75" customHeight="1" x14ac:dyDescent="0.25"/>
    <row r="3227" ht="15.75" customHeight="1" x14ac:dyDescent="0.25"/>
    <row r="3228" ht="15.75" customHeight="1" x14ac:dyDescent="0.25"/>
    <row r="3229" ht="15.75" customHeight="1" x14ac:dyDescent="0.25"/>
    <row r="3230" ht="15.75" customHeight="1" x14ac:dyDescent="0.25"/>
    <row r="3231" ht="15.75" customHeight="1" x14ac:dyDescent="0.25"/>
    <row r="3232" ht="15.75" customHeight="1" x14ac:dyDescent="0.25"/>
    <row r="3233" ht="15.75" customHeight="1" x14ac:dyDescent="0.25"/>
    <row r="3234" ht="15.75" customHeight="1" x14ac:dyDescent="0.25"/>
    <row r="3235" ht="15.75" customHeight="1" x14ac:dyDescent="0.25"/>
    <row r="3236" ht="15.75" customHeight="1" x14ac:dyDescent="0.25"/>
    <row r="3237" ht="15.75" customHeight="1" x14ac:dyDescent="0.25"/>
    <row r="3238" ht="15.75" customHeight="1" x14ac:dyDescent="0.25"/>
    <row r="3239" ht="15.75" customHeight="1" x14ac:dyDescent="0.25"/>
    <row r="3240" ht="15.75" customHeight="1" x14ac:dyDescent="0.25"/>
    <row r="3241" ht="15.75" customHeight="1" x14ac:dyDescent="0.25"/>
    <row r="3242" ht="15.75" customHeight="1" x14ac:dyDescent="0.25"/>
    <row r="3243" ht="15.75" customHeight="1" x14ac:dyDescent="0.25"/>
    <row r="3244" ht="15.75" customHeight="1" x14ac:dyDescent="0.25"/>
    <row r="3245" ht="15.75" customHeight="1" x14ac:dyDescent="0.25"/>
    <row r="3246" ht="15.75" customHeight="1" x14ac:dyDescent="0.25"/>
    <row r="3247" ht="15.75" customHeight="1" x14ac:dyDescent="0.25"/>
    <row r="3248" ht="15.75" customHeight="1" x14ac:dyDescent="0.25"/>
    <row r="3249" ht="15.75" customHeight="1" x14ac:dyDescent="0.25"/>
    <row r="3250" ht="15.75" customHeight="1" x14ac:dyDescent="0.25"/>
    <row r="3251" ht="15.75" customHeight="1" x14ac:dyDescent="0.25"/>
    <row r="3252" ht="15.75" customHeight="1" x14ac:dyDescent="0.25"/>
    <row r="3253" ht="15.75" customHeight="1" x14ac:dyDescent="0.25"/>
    <row r="3254" ht="15.75" customHeight="1" x14ac:dyDescent="0.25"/>
    <row r="3255" ht="15.75" customHeight="1" x14ac:dyDescent="0.25"/>
    <row r="3256" ht="15.75" customHeight="1" x14ac:dyDescent="0.25"/>
    <row r="3257" ht="15.75" customHeight="1" x14ac:dyDescent="0.25"/>
    <row r="3258" ht="15.75" customHeight="1" x14ac:dyDescent="0.25"/>
    <row r="3259" ht="15.75" customHeight="1" x14ac:dyDescent="0.25"/>
    <row r="3260" ht="15.75" customHeight="1" x14ac:dyDescent="0.25"/>
    <row r="3261" ht="15.75" customHeight="1" x14ac:dyDescent="0.25"/>
    <row r="3262" ht="15.75" customHeight="1" x14ac:dyDescent="0.25"/>
    <row r="3263" ht="15.75" customHeight="1" x14ac:dyDescent="0.25"/>
    <row r="3264" ht="15.75" customHeight="1" x14ac:dyDescent="0.25"/>
    <row r="3265" ht="15.75" customHeight="1" x14ac:dyDescent="0.25"/>
    <row r="3266" ht="15.75" customHeight="1" x14ac:dyDescent="0.25"/>
    <row r="3267" ht="15.75" customHeight="1" x14ac:dyDescent="0.25"/>
    <row r="3268" ht="15.75" customHeight="1" x14ac:dyDescent="0.25"/>
    <row r="3269" ht="15.75" customHeight="1" x14ac:dyDescent="0.25"/>
    <row r="3270" ht="15.75" customHeight="1" x14ac:dyDescent="0.25"/>
    <row r="3271" ht="15.75" customHeight="1" x14ac:dyDescent="0.25"/>
    <row r="3272" ht="15.75" customHeight="1" x14ac:dyDescent="0.25"/>
    <row r="3273" ht="15.75" customHeight="1" x14ac:dyDescent="0.25"/>
    <row r="3274" ht="15.75" customHeight="1" x14ac:dyDescent="0.25"/>
    <row r="3275" ht="15.75" customHeight="1" x14ac:dyDescent="0.25"/>
    <row r="3276" ht="15.75" customHeight="1" x14ac:dyDescent="0.25"/>
    <row r="3277" ht="15.75" customHeight="1" x14ac:dyDescent="0.25"/>
    <row r="3278" ht="15.75" customHeight="1" x14ac:dyDescent="0.25"/>
    <row r="3279" ht="15.75" customHeight="1" x14ac:dyDescent="0.25"/>
    <row r="3280" ht="15.75" customHeight="1" x14ac:dyDescent="0.25"/>
    <row r="3281" ht="15.75" customHeight="1" x14ac:dyDescent="0.25"/>
    <row r="3282" ht="15.75" customHeight="1" x14ac:dyDescent="0.25"/>
    <row r="3283" ht="15.75" customHeight="1" x14ac:dyDescent="0.25"/>
    <row r="3284" ht="15.75" customHeight="1" x14ac:dyDescent="0.25"/>
    <row r="3285" ht="15.75" customHeight="1" x14ac:dyDescent="0.25"/>
    <row r="3286" ht="15.75" customHeight="1" x14ac:dyDescent="0.25"/>
    <row r="3287" ht="15.75" customHeight="1" x14ac:dyDescent="0.25"/>
    <row r="3288" ht="15.75" customHeight="1" x14ac:dyDescent="0.25"/>
    <row r="3289" ht="15.75" customHeight="1" x14ac:dyDescent="0.25"/>
    <row r="3290" ht="15.75" customHeight="1" x14ac:dyDescent="0.25"/>
    <row r="3291" ht="15.75" customHeight="1" x14ac:dyDescent="0.25"/>
    <row r="3292" ht="15.75" customHeight="1" x14ac:dyDescent="0.25"/>
    <row r="3293" ht="15.75" customHeight="1" x14ac:dyDescent="0.25"/>
    <row r="3294" ht="15.75" customHeight="1" x14ac:dyDescent="0.25"/>
    <row r="3295" ht="15.75" customHeight="1" x14ac:dyDescent="0.25"/>
    <row r="3296" ht="15.75" customHeight="1" x14ac:dyDescent="0.25"/>
    <row r="3297" ht="15.75" customHeight="1" x14ac:dyDescent="0.25"/>
    <row r="3298" ht="15.75" customHeight="1" x14ac:dyDescent="0.25"/>
    <row r="3299" ht="15.75" customHeight="1" x14ac:dyDescent="0.25"/>
    <row r="3300" ht="15.75" customHeight="1" x14ac:dyDescent="0.25"/>
    <row r="3301" ht="15.75" customHeight="1" x14ac:dyDescent="0.25"/>
    <row r="3302" ht="15.75" customHeight="1" x14ac:dyDescent="0.25"/>
    <row r="3303" ht="15.75" customHeight="1" x14ac:dyDescent="0.25"/>
    <row r="3304" ht="15.75" customHeight="1" x14ac:dyDescent="0.25"/>
    <row r="3305" ht="15.75" customHeight="1" x14ac:dyDescent="0.25"/>
    <row r="3306" ht="15.75" customHeight="1" x14ac:dyDescent="0.25"/>
    <row r="3307" ht="15.75" customHeight="1" x14ac:dyDescent="0.25"/>
    <row r="3308" ht="15.75" customHeight="1" x14ac:dyDescent="0.25"/>
    <row r="3309" ht="15.75" customHeight="1" x14ac:dyDescent="0.25"/>
    <row r="3310" ht="15.75" customHeight="1" x14ac:dyDescent="0.25"/>
    <row r="3311" ht="15.75" customHeight="1" x14ac:dyDescent="0.25"/>
    <row r="3312" ht="15.75" customHeight="1" x14ac:dyDescent="0.25"/>
    <row r="3313" ht="15.75" customHeight="1" x14ac:dyDescent="0.25"/>
    <row r="3314" ht="15.75" customHeight="1" x14ac:dyDescent="0.25"/>
    <row r="3315" ht="15.75" customHeight="1" x14ac:dyDescent="0.25"/>
    <row r="3316" ht="15.75" customHeight="1" x14ac:dyDescent="0.25"/>
    <row r="3317" ht="15.75" customHeight="1" x14ac:dyDescent="0.25"/>
    <row r="3318" ht="15.75" customHeight="1" x14ac:dyDescent="0.25"/>
    <row r="3319" ht="15.75" customHeight="1" x14ac:dyDescent="0.25"/>
    <row r="3320" ht="15.75" customHeight="1" x14ac:dyDescent="0.25"/>
    <row r="3321" ht="15.75" customHeight="1" x14ac:dyDescent="0.25"/>
    <row r="3322" ht="15.75" customHeight="1" x14ac:dyDescent="0.25"/>
    <row r="3323" ht="15.75" customHeight="1" x14ac:dyDescent="0.25"/>
    <row r="3324" ht="15.75" customHeight="1" x14ac:dyDescent="0.25"/>
    <row r="3325" ht="15.75" customHeight="1" x14ac:dyDescent="0.25"/>
    <row r="3326" ht="15.75" customHeight="1" x14ac:dyDescent="0.25"/>
    <row r="3327" ht="15.75" customHeight="1" x14ac:dyDescent="0.25"/>
    <row r="3328" ht="15.75" customHeight="1" x14ac:dyDescent="0.25"/>
    <row r="3329" ht="15.75" customHeight="1" x14ac:dyDescent="0.25"/>
    <row r="3330" ht="15.75" customHeight="1" x14ac:dyDescent="0.25"/>
    <row r="3331" ht="15.75" customHeight="1" x14ac:dyDescent="0.25"/>
    <row r="3332" ht="15.75" customHeight="1" x14ac:dyDescent="0.25"/>
    <row r="3333" ht="15.75" customHeight="1" x14ac:dyDescent="0.25"/>
    <row r="3334" ht="15.75" customHeight="1" x14ac:dyDescent="0.25"/>
    <row r="3335" ht="15.75" customHeight="1" x14ac:dyDescent="0.25"/>
    <row r="3336" ht="15.75" customHeight="1" x14ac:dyDescent="0.25"/>
    <row r="3337" ht="15.75" customHeight="1" x14ac:dyDescent="0.25"/>
    <row r="3338" ht="15.75" customHeight="1" x14ac:dyDescent="0.25"/>
    <row r="3339" ht="15.75" customHeight="1" x14ac:dyDescent="0.25"/>
    <row r="3340" ht="15.75" customHeight="1" x14ac:dyDescent="0.25"/>
    <row r="3341" ht="15.75" customHeight="1" x14ac:dyDescent="0.25"/>
    <row r="3342" ht="15.75" customHeight="1" x14ac:dyDescent="0.25"/>
    <row r="3343" ht="15.75" customHeight="1" x14ac:dyDescent="0.25"/>
    <row r="3344" ht="15.75" customHeight="1" x14ac:dyDescent="0.25"/>
    <row r="3345" ht="15.75" customHeight="1" x14ac:dyDescent="0.25"/>
    <row r="3346" ht="15.75" customHeight="1" x14ac:dyDescent="0.25"/>
    <row r="3347" ht="15.75" customHeight="1" x14ac:dyDescent="0.25"/>
    <row r="3348" ht="15.75" customHeight="1" x14ac:dyDescent="0.25"/>
    <row r="3349" ht="15.75" customHeight="1" x14ac:dyDescent="0.25"/>
    <row r="3350" ht="15.75" customHeight="1" x14ac:dyDescent="0.25"/>
    <row r="3351" ht="15.75" customHeight="1" x14ac:dyDescent="0.25"/>
    <row r="3352" ht="15.75" customHeight="1" x14ac:dyDescent="0.25"/>
    <row r="3353" ht="15.75" customHeight="1" x14ac:dyDescent="0.25"/>
    <row r="3354" ht="15.75" customHeight="1" x14ac:dyDescent="0.25"/>
    <row r="3355" ht="15.75" customHeight="1" x14ac:dyDescent="0.25"/>
    <row r="3356" ht="15.75" customHeight="1" x14ac:dyDescent="0.25"/>
    <row r="3357" ht="15.75" customHeight="1" x14ac:dyDescent="0.25"/>
    <row r="3358" ht="15.75" customHeight="1" x14ac:dyDescent="0.25"/>
    <row r="3359" ht="15.75" customHeight="1" x14ac:dyDescent="0.25"/>
    <row r="3360" ht="15.75" customHeight="1" x14ac:dyDescent="0.25"/>
    <row r="3361" ht="15.75" customHeight="1" x14ac:dyDescent="0.25"/>
    <row r="3362" ht="15.75" customHeight="1" x14ac:dyDescent="0.25"/>
    <row r="3363" ht="15.75" customHeight="1" x14ac:dyDescent="0.25"/>
    <row r="3364" ht="15.75" customHeight="1" x14ac:dyDescent="0.25"/>
    <row r="3365" ht="15.75" customHeight="1" x14ac:dyDescent="0.25"/>
    <row r="3366" ht="15.75" customHeight="1" x14ac:dyDescent="0.25"/>
    <row r="3367" ht="15.75" customHeight="1" x14ac:dyDescent="0.25"/>
    <row r="3368" ht="15.75" customHeight="1" x14ac:dyDescent="0.25"/>
    <row r="3369" ht="15.75" customHeight="1" x14ac:dyDescent="0.25"/>
    <row r="3370" ht="15.75" customHeight="1" x14ac:dyDescent="0.25"/>
    <row r="3371" ht="15.75" customHeight="1" x14ac:dyDescent="0.25"/>
    <row r="3372" ht="15.75" customHeight="1" x14ac:dyDescent="0.25"/>
    <row r="3373" ht="15.75" customHeight="1" x14ac:dyDescent="0.25"/>
    <row r="3374" ht="15.75" customHeight="1" x14ac:dyDescent="0.25"/>
    <row r="3375" ht="15.75" customHeight="1" x14ac:dyDescent="0.25"/>
    <row r="3376" ht="15.75" customHeight="1" x14ac:dyDescent="0.25"/>
    <row r="3377" ht="15.75" customHeight="1" x14ac:dyDescent="0.25"/>
    <row r="3378" ht="15.75" customHeight="1" x14ac:dyDescent="0.25"/>
    <row r="3379" ht="15.75" customHeight="1" x14ac:dyDescent="0.25"/>
    <row r="3380" ht="15.75" customHeight="1" x14ac:dyDescent="0.25"/>
    <row r="3381" ht="15.75" customHeight="1" x14ac:dyDescent="0.25"/>
    <row r="3382" ht="15.75" customHeight="1" x14ac:dyDescent="0.25"/>
    <row r="3383" ht="15.75" customHeight="1" x14ac:dyDescent="0.25"/>
    <row r="3384" ht="15.75" customHeight="1" x14ac:dyDescent="0.25"/>
    <row r="3385" ht="15.75" customHeight="1" x14ac:dyDescent="0.25"/>
    <row r="3386" ht="15.75" customHeight="1" x14ac:dyDescent="0.25"/>
    <row r="3387" ht="15.75" customHeight="1" x14ac:dyDescent="0.25"/>
    <row r="3388" ht="15.75" customHeight="1" x14ac:dyDescent="0.25"/>
    <row r="3389" ht="15.75" customHeight="1" x14ac:dyDescent="0.25"/>
    <row r="3390" ht="15.75" customHeight="1" x14ac:dyDescent="0.25"/>
    <row r="3391" ht="15.75" customHeight="1" x14ac:dyDescent="0.25"/>
    <row r="3392" ht="15.75" customHeight="1" x14ac:dyDescent="0.25"/>
    <row r="3393" ht="15.75" customHeight="1" x14ac:dyDescent="0.25"/>
    <row r="3394" ht="15.75" customHeight="1" x14ac:dyDescent="0.25"/>
    <row r="3395" ht="15.75" customHeight="1" x14ac:dyDescent="0.25"/>
    <row r="3396" ht="15.75" customHeight="1" x14ac:dyDescent="0.25"/>
    <row r="3397" ht="15.75" customHeight="1" x14ac:dyDescent="0.25"/>
    <row r="3398" ht="15.75" customHeight="1" x14ac:dyDescent="0.25"/>
    <row r="3399" ht="15.75" customHeight="1" x14ac:dyDescent="0.25"/>
    <row r="3400" ht="15.75" customHeight="1" x14ac:dyDescent="0.25"/>
    <row r="3401" ht="15.75" customHeight="1" x14ac:dyDescent="0.25"/>
    <row r="3402" ht="15.75" customHeight="1" x14ac:dyDescent="0.25"/>
    <row r="3403" ht="15.75" customHeight="1" x14ac:dyDescent="0.25"/>
    <row r="3404" ht="15.75" customHeight="1" x14ac:dyDescent="0.25"/>
    <row r="3405" ht="15.75" customHeight="1" x14ac:dyDescent="0.25"/>
    <row r="3406" ht="15.75" customHeight="1" x14ac:dyDescent="0.25"/>
    <row r="3407" ht="15.75" customHeight="1" x14ac:dyDescent="0.25"/>
    <row r="3408" ht="15.75" customHeight="1" x14ac:dyDescent="0.25"/>
    <row r="3409" ht="15.75" customHeight="1" x14ac:dyDescent="0.25"/>
    <row r="3410" ht="15.75" customHeight="1" x14ac:dyDescent="0.25"/>
    <row r="3411" ht="15.75" customHeight="1" x14ac:dyDescent="0.25"/>
    <row r="3412" ht="15.75" customHeight="1" x14ac:dyDescent="0.25"/>
    <row r="3413" ht="15.75" customHeight="1" x14ac:dyDescent="0.25"/>
    <row r="3414" ht="15.75" customHeight="1" x14ac:dyDescent="0.25"/>
    <row r="3415" ht="15.75" customHeight="1" x14ac:dyDescent="0.25"/>
    <row r="3416" ht="15.75" customHeight="1" x14ac:dyDescent="0.25"/>
    <row r="3417" ht="15.75" customHeight="1" x14ac:dyDescent="0.25"/>
    <row r="3418" ht="15.75" customHeight="1" x14ac:dyDescent="0.25"/>
    <row r="3419" ht="15.75" customHeight="1" x14ac:dyDescent="0.25"/>
    <row r="3420" ht="15.75" customHeight="1" x14ac:dyDescent="0.25"/>
    <row r="3421" ht="15.75" customHeight="1" x14ac:dyDescent="0.25"/>
    <row r="3422" ht="15.75" customHeight="1" x14ac:dyDescent="0.25"/>
    <row r="3423" ht="15.75" customHeight="1" x14ac:dyDescent="0.25"/>
    <row r="3424" ht="15.75" customHeight="1" x14ac:dyDescent="0.25"/>
    <row r="3425" ht="15.75" customHeight="1" x14ac:dyDescent="0.25"/>
    <row r="3426" ht="15.75" customHeight="1" x14ac:dyDescent="0.25"/>
    <row r="3427" ht="15.75" customHeight="1" x14ac:dyDescent="0.25"/>
    <row r="3428" ht="15.75" customHeight="1" x14ac:dyDescent="0.25"/>
    <row r="3429" ht="15.75" customHeight="1" x14ac:dyDescent="0.25"/>
    <row r="3430" ht="15.75" customHeight="1" x14ac:dyDescent="0.25"/>
    <row r="3431" ht="15.75" customHeight="1" x14ac:dyDescent="0.25"/>
    <row r="3432" ht="15.75" customHeight="1" x14ac:dyDescent="0.25"/>
    <row r="3433" ht="15.75" customHeight="1" x14ac:dyDescent="0.25"/>
    <row r="3434" ht="15.75" customHeight="1" x14ac:dyDescent="0.25"/>
    <row r="3435" ht="15.75" customHeight="1" x14ac:dyDescent="0.25"/>
    <row r="3436" ht="15.75" customHeight="1" x14ac:dyDescent="0.25"/>
    <row r="3437" ht="15.75" customHeight="1" x14ac:dyDescent="0.25"/>
    <row r="3438" ht="15.75" customHeight="1" x14ac:dyDescent="0.25"/>
    <row r="3439" ht="15.75" customHeight="1" x14ac:dyDescent="0.25"/>
    <row r="3440" ht="15.75" customHeight="1" x14ac:dyDescent="0.25"/>
    <row r="3441" ht="15.75" customHeight="1" x14ac:dyDescent="0.25"/>
    <row r="3442" ht="15.75" customHeight="1" x14ac:dyDescent="0.25"/>
    <row r="3443" ht="15.75" customHeight="1" x14ac:dyDescent="0.25"/>
    <row r="3444" ht="15.75" customHeight="1" x14ac:dyDescent="0.25"/>
    <row r="3445" ht="15.75" customHeight="1" x14ac:dyDescent="0.25"/>
    <row r="3446" ht="15.75" customHeight="1" x14ac:dyDescent="0.25"/>
    <row r="3447" ht="15.75" customHeight="1" x14ac:dyDescent="0.25"/>
    <row r="3448" ht="15.75" customHeight="1" x14ac:dyDescent="0.25"/>
    <row r="3449" ht="15.75" customHeight="1" x14ac:dyDescent="0.25"/>
    <row r="3450" ht="15.75" customHeight="1" x14ac:dyDescent="0.25"/>
    <row r="3451" ht="15.75" customHeight="1" x14ac:dyDescent="0.25"/>
    <row r="3452" ht="15.75" customHeight="1" x14ac:dyDescent="0.25"/>
    <row r="3453" ht="15.75" customHeight="1" x14ac:dyDescent="0.25"/>
    <row r="3454" ht="15.75" customHeight="1" x14ac:dyDescent="0.25"/>
    <row r="3455" ht="15.75" customHeight="1" x14ac:dyDescent="0.25"/>
    <row r="3456" ht="15.75" customHeight="1" x14ac:dyDescent="0.25"/>
    <row r="3457" ht="15.75" customHeight="1" x14ac:dyDescent="0.25"/>
    <row r="3458" ht="15.75" customHeight="1" x14ac:dyDescent="0.25"/>
    <row r="3459" ht="15.75" customHeight="1" x14ac:dyDescent="0.25"/>
    <row r="3460" ht="15.75" customHeight="1" x14ac:dyDescent="0.25"/>
    <row r="3461" ht="15.75" customHeight="1" x14ac:dyDescent="0.25"/>
    <row r="3462" ht="15.75" customHeight="1" x14ac:dyDescent="0.25"/>
    <row r="3463" ht="15.75" customHeight="1" x14ac:dyDescent="0.25"/>
    <row r="3464" ht="15.75" customHeight="1" x14ac:dyDescent="0.25"/>
    <row r="3465" ht="15.75" customHeight="1" x14ac:dyDescent="0.25"/>
    <row r="3466" ht="15.75" customHeight="1" x14ac:dyDescent="0.25"/>
    <row r="3467" ht="15.75" customHeight="1" x14ac:dyDescent="0.25"/>
    <row r="3468" ht="15.75" customHeight="1" x14ac:dyDescent="0.25"/>
    <row r="3469" ht="15.75" customHeight="1" x14ac:dyDescent="0.25"/>
    <row r="3470" ht="15.75" customHeight="1" x14ac:dyDescent="0.25"/>
    <row r="3471" ht="15.75" customHeight="1" x14ac:dyDescent="0.25"/>
    <row r="3472" ht="15.75" customHeight="1" x14ac:dyDescent="0.25"/>
    <row r="3473" ht="15.75" customHeight="1" x14ac:dyDescent="0.25"/>
    <row r="3474" ht="15.75" customHeight="1" x14ac:dyDescent="0.25"/>
    <row r="3475" ht="15.75" customHeight="1" x14ac:dyDescent="0.25"/>
    <row r="3476" ht="15.75" customHeight="1" x14ac:dyDescent="0.25"/>
    <row r="3477" ht="15.75" customHeight="1" x14ac:dyDescent="0.25"/>
    <row r="3478" ht="15.75" customHeight="1" x14ac:dyDescent="0.25"/>
    <row r="3479" ht="15.75" customHeight="1" x14ac:dyDescent="0.25"/>
    <row r="3480" ht="15.75" customHeight="1" x14ac:dyDescent="0.25"/>
    <row r="3481" ht="15.75" customHeight="1" x14ac:dyDescent="0.25"/>
    <row r="3482" ht="15.75" customHeight="1" x14ac:dyDescent="0.25"/>
    <row r="3483" ht="15.75" customHeight="1" x14ac:dyDescent="0.25"/>
    <row r="3484" ht="15.75" customHeight="1" x14ac:dyDescent="0.25"/>
    <row r="3485" ht="15.75" customHeight="1" x14ac:dyDescent="0.25"/>
    <row r="3486" ht="15.75" customHeight="1" x14ac:dyDescent="0.25"/>
    <row r="3487" ht="15.75" customHeight="1" x14ac:dyDescent="0.25"/>
    <row r="3488" ht="15.75" customHeight="1" x14ac:dyDescent="0.25"/>
    <row r="3489" ht="15.75" customHeight="1" x14ac:dyDescent="0.25"/>
    <row r="3490" ht="15.75" customHeight="1" x14ac:dyDescent="0.25"/>
    <row r="3491" ht="15.75" customHeight="1" x14ac:dyDescent="0.25"/>
    <row r="3492" ht="15.75" customHeight="1" x14ac:dyDescent="0.25"/>
    <row r="3493" ht="15.75" customHeight="1" x14ac:dyDescent="0.25"/>
    <row r="3494" ht="15.75" customHeight="1" x14ac:dyDescent="0.25"/>
    <row r="3495" ht="15.75" customHeight="1" x14ac:dyDescent="0.25"/>
    <row r="3496" ht="15.75" customHeight="1" x14ac:dyDescent="0.25"/>
    <row r="3497" ht="15.75" customHeight="1" x14ac:dyDescent="0.25"/>
    <row r="3498" ht="15.75" customHeight="1" x14ac:dyDescent="0.25"/>
    <row r="3499" ht="15.75" customHeight="1" x14ac:dyDescent="0.25"/>
    <row r="3500" ht="15.75" customHeight="1" x14ac:dyDescent="0.25"/>
    <row r="3501" ht="15.75" customHeight="1" x14ac:dyDescent="0.25"/>
    <row r="3502" ht="15.75" customHeight="1" x14ac:dyDescent="0.25"/>
    <row r="3503" ht="15.75" customHeight="1" x14ac:dyDescent="0.25"/>
    <row r="3504" ht="15.75" customHeight="1" x14ac:dyDescent="0.25"/>
    <row r="3505" ht="15.75" customHeight="1" x14ac:dyDescent="0.25"/>
    <row r="3506" ht="15.75" customHeight="1" x14ac:dyDescent="0.25"/>
    <row r="3507" ht="15.75" customHeight="1" x14ac:dyDescent="0.25"/>
    <row r="3508" ht="15.75" customHeight="1" x14ac:dyDescent="0.25"/>
    <row r="3509" ht="15.75" customHeight="1" x14ac:dyDescent="0.25"/>
    <row r="3510" ht="15.75" customHeight="1" x14ac:dyDescent="0.25"/>
    <row r="3511" ht="15.75" customHeight="1" x14ac:dyDescent="0.25"/>
    <row r="3512" ht="15.75" customHeight="1" x14ac:dyDescent="0.25"/>
    <row r="3513" ht="15.75" customHeight="1" x14ac:dyDescent="0.25"/>
    <row r="3514" ht="15.75" customHeight="1" x14ac:dyDescent="0.25"/>
    <row r="3515" ht="15.75" customHeight="1" x14ac:dyDescent="0.25"/>
    <row r="3516" ht="15.75" customHeight="1" x14ac:dyDescent="0.25"/>
    <row r="3517" ht="15.75" customHeight="1" x14ac:dyDescent="0.25"/>
    <row r="3518" ht="15.75" customHeight="1" x14ac:dyDescent="0.25"/>
    <row r="3519" ht="15.75" customHeight="1" x14ac:dyDescent="0.25"/>
    <row r="3520" ht="15.75" customHeight="1" x14ac:dyDescent="0.25"/>
    <row r="3521" ht="15.75" customHeight="1" x14ac:dyDescent="0.25"/>
    <row r="3522" ht="15.75" customHeight="1" x14ac:dyDescent="0.25"/>
    <row r="3523" ht="15.75" customHeight="1" x14ac:dyDescent="0.25"/>
    <row r="3524" ht="15.75" customHeight="1" x14ac:dyDescent="0.25"/>
    <row r="3525" ht="15.75" customHeight="1" x14ac:dyDescent="0.25"/>
    <row r="3526" ht="15.75" customHeight="1" x14ac:dyDescent="0.25"/>
    <row r="3527" ht="15.75" customHeight="1" x14ac:dyDescent="0.25"/>
    <row r="3528" ht="15.75" customHeight="1" x14ac:dyDescent="0.25"/>
    <row r="3529" ht="15.75" customHeight="1" x14ac:dyDescent="0.25"/>
    <row r="3530" ht="15.75" customHeight="1" x14ac:dyDescent="0.25"/>
    <row r="3531" ht="15.75" customHeight="1" x14ac:dyDescent="0.25"/>
    <row r="3532" ht="15.75" customHeight="1" x14ac:dyDescent="0.25"/>
    <row r="3533" ht="15.75" customHeight="1" x14ac:dyDescent="0.25"/>
    <row r="3534" ht="15.75" customHeight="1" x14ac:dyDescent="0.25"/>
    <row r="3535" ht="15.75" customHeight="1" x14ac:dyDescent="0.25"/>
    <row r="3536" ht="15.75" customHeight="1" x14ac:dyDescent="0.25"/>
    <row r="3537" ht="15.75" customHeight="1" x14ac:dyDescent="0.25"/>
    <row r="3538" ht="15.75" customHeight="1" x14ac:dyDescent="0.25"/>
    <row r="3539" ht="15.75" customHeight="1" x14ac:dyDescent="0.25"/>
    <row r="3540" ht="15.75" customHeight="1" x14ac:dyDescent="0.25"/>
    <row r="3541" ht="15.75" customHeight="1" x14ac:dyDescent="0.25"/>
    <row r="3542" ht="15.75" customHeight="1" x14ac:dyDescent="0.25"/>
    <row r="3543" ht="15.75" customHeight="1" x14ac:dyDescent="0.25"/>
    <row r="3544" ht="15.75" customHeight="1" x14ac:dyDescent="0.25"/>
    <row r="3545" ht="15.75" customHeight="1" x14ac:dyDescent="0.25"/>
    <row r="3546" ht="15.75" customHeight="1" x14ac:dyDescent="0.25"/>
    <row r="3547" ht="15.75" customHeight="1" x14ac:dyDescent="0.25"/>
    <row r="3548" ht="15.75" customHeight="1" x14ac:dyDescent="0.25"/>
    <row r="3549" ht="15.75" customHeight="1" x14ac:dyDescent="0.25"/>
    <row r="3550" ht="15.75" customHeight="1" x14ac:dyDescent="0.25"/>
    <row r="3551" ht="15.75" customHeight="1" x14ac:dyDescent="0.25"/>
    <row r="3552" ht="15.75" customHeight="1" x14ac:dyDescent="0.25"/>
    <row r="3553" ht="15.75" customHeight="1" x14ac:dyDescent="0.25"/>
    <row r="3554" ht="15.75" customHeight="1" x14ac:dyDescent="0.25"/>
    <row r="3555" ht="15.75" customHeight="1" x14ac:dyDescent="0.25"/>
    <row r="3556" ht="15.75" customHeight="1" x14ac:dyDescent="0.25"/>
    <row r="3557" ht="15.75" customHeight="1" x14ac:dyDescent="0.25"/>
    <row r="3558" ht="15.75" customHeight="1" x14ac:dyDescent="0.25"/>
    <row r="3559" ht="15.75" customHeight="1" x14ac:dyDescent="0.25"/>
    <row r="3560" ht="15.75" customHeight="1" x14ac:dyDescent="0.25"/>
    <row r="3561" ht="15.75" customHeight="1" x14ac:dyDescent="0.25"/>
    <row r="3562" ht="15.75" customHeight="1" x14ac:dyDescent="0.25"/>
    <row r="3563" ht="15.75" customHeight="1" x14ac:dyDescent="0.25"/>
    <row r="3564" ht="15.75" customHeight="1" x14ac:dyDescent="0.25"/>
    <row r="3565" ht="15.75" customHeight="1" x14ac:dyDescent="0.25"/>
    <row r="3566" ht="15.75" customHeight="1" x14ac:dyDescent="0.25"/>
    <row r="3567" ht="15.75" customHeight="1" x14ac:dyDescent="0.25"/>
    <row r="3568" ht="15.75" customHeight="1" x14ac:dyDescent="0.25"/>
    <row r="3569" ht="15.75" customHeight="1" x14ac:dyDescent="0.25"/>
    <row r="3570" ht="15.75" customHeight="1" x14ac:dyDescent="0.25"/>
    <row r="3571" ht="15.75" customHeight="1" x14ac:dyDescent="0.25"/>
    <row r="3572" ht="15.75" customHeight="1" x14ac:dyDescent="0.25"/>
    <row r="3573" ht="15.75" customHeight="1" x14ac:dyDescent="0.25"/>
    <row r="3574" ht="15.75" customHeight="1" x14ac:dyDescent="0.25"/>
    <row r="3575" ht="15.75" customHeight="1" x14ac:dyDescent="0.25"/>
    <row r="3576" ht="15.75" customHeight="1" x14ac:dyDescent="0.25"/>
    <row r="3577" ht="15.75" customHeight="1" x14ac:dyDescent="0.25"/>
    <row r="3578" ht="15.75" customHeight="1" x14ac:dyDescent="0.25"/>
    <row r="3579" ht="15.75" customHeight="1" x14ac:dyDescent="0.25"/>
    <row r="3580" ht="15.75" customHeight="1" x14ac:dyDescent="0.25"/>
    <row r="3581" ht="15.75" customHeight="1" x14ac:dyDescent="0.25"/>
    <row r="3582" ht="15.75" customHeight="1" x14ac:dyDescent="0.25"/>
    <row r="3583" ht="15.75" customHeight="1" x14ac:dyDescent="0.25"/>
    <row r="3584" ht="15.75" customHeight="1" x14ac:dyDescent="0.25"/>
    <row r="3585" spans="9:9" ht="15.75" customHeight="1" x14ac:dyDescent="0.25"/>
    <row r="3586" spans="9:9" ht="15.75" customHeight="1" x14ac:dyDescent="0.25"/>
    <row r="3587" spans="9:9" ht="15.75" customHeight="1" x14ac:dyDescent="0.25"/>
    <row r="3588" spans="9:9" ht="15.75" customHeight="1" x14ac:dyDescent="0.25"/>
    <row r="3589" spans="9:9" ht="15.75" customHeight="1" x14ac:dyDescent="0.25"/>
    <row r="3590" spans="9:9" ht="15.75" customHeight="1" x14ac:dyDescent="0.25"/>
    <row r="3591" spans="9:9" ht="15.75" customHeight="1" x14ac:dyDescent="0.25"/>
    <row r="3592" spans="9:9" ht="15.75" customHeight="1" x14ac:dyDescent="0.25"/>
    <row r="3593" spans="9:9" ht="15.75" customHeight="1" x14ac:dyDescent="0.25"/>
    <row r="3594" spans="9:9" ht="12" customHeight="1" x14ac:dyDescent="0.25">
      <c r="I3594" s="335" t="s">
        <v>225</v>
      </c>
    </row>
    <row r="3595" spans="9:9" ht="12" customHeight="1" x14ac:dyDescent="0.25">
      <c r="I3595" s="335"/>
    </row>
    <row r="3596" spans="9:9" ht="12" customHeight="1" x14ac:dyDescent="0.25">
      <c r="I3596" s="335"/>
    </row>
    <row r="3597" spans="9:9" ht="12" customHeight="1" x14ac:dyDescent="0.25">
      <c r="I3597" s="335"/>
    </row>
    <row r="3598" spans="9:9" ht="12" customHeight="1" x14ac:dyDescent="0.25">
      <c r="I3598" s="335"/>
    </row>
    <row r="3599" spans="9:9" ht="12" customHeight="1" x14ac:dyDescent="0.25">
      <c r="I3599" s="335"/>
    </row>
    <row r="3600" spans="9:9" ht="12" customHeight="1" x14ac:dyDescent="0.25">
      <c r="I3600" s="335"/>
    </row>
    <row r="3601" spans="9:9" ht="12" customHeight="1" x14ac:dyDescent="0.25">
      <c r="I3601" s="335"/>
    </row>
    <row r="3602" spans="9:9" ht="12" customHeight="1" x14ac:dyDescent="0.25">
      <c r="I3602" s="335"/>
    </row>
    <row r="3603" spans="9:9" ht="12" customHeight="1" x14ac:dyDescent="0.25">
      <c r="I3603" s="335" t="s">
        <v>226</v>
      </c>
    </row>
    <row r="3604" spans="9:9" ht="15.75" customHeight="1" x14ac:dyDescent="0.25"/>
    <row r="3605" spans="9:9" ht="15.75" customHeight="1" x14ac:dyDescent="0.25"/>
    <row r="3606" spans="9:9" ht="12" customHeight="1" x14ac:dyDescent="0.25">
      <c r="I3606" s="335" t="s">
        <v>226</v>
      </c>
    </row>
    <row r="3607" spans="9:9" ht="12" customHeight="1" x14ac:dyDescent="0.25">
      <c r="I3607" s="335"/>
    </row>
    <row r="3608" spans="9:9" ht="12" customHeight="1" x14ac:dyDescent="0.25">
      <c r="I3608" s="335"/>
    </row>
    <row r="3609" spans="9:9" ht="12" customHeight="1" x14ac:dyDescent="0.25">
      <c r="I3609" s="335"/>
    </row>
    <row r="3610" spans="9:9" ht="12" customHeight="1" x14ac:dyDescent="0.25">
      <c r="I3610" s="335"/>
    </row>
    <row r="3611" spans="9:9" ht="12" customHeight="1" x14ac:dyDescent="0.25">
      <c r="I3611" s="335"/>
    </row>
    <row r="3612" spans="9:9" ht="12" customHeight="1" x14ac:dyDescent="0.25">
      <c r="I3612" s="335" t="s">
        <v>226</v>
      </c>
    </row>
    <row r="3613" spans="9:9" ht="12" customHeight="1" x14ac:dyDescent="0.25">
      <c r="I3613" s="335" t="s">
        <v>226</v>
      </c>
    </row>
    <row r="3614" spans="9:9" ht="12" customHeight="1" x14ac:dyDescent="0.25">
      <c r="I3614" s="335"/>
    </row>
    <row r="3615" spans="9:9" ht="12" customHeight="1" x14ac:dyDescent="0.25">
      <c r="I3615" s="335"/>
    </row>
    <row r="3616" spans="9:9" ht="12" customHeight="1" x14ac:dyDescent="0.25">
      <c r="I3616" s="335"/>
    </row>
    <row r="3617" spans="9:9" ht="12" customHeight="1" x14ac:dyDescent="0.25">
      <c r="I3617" s="335" t="s">
        <v>226</v>
      </c>
    </row>
    <row r="3618" spans="9:9" ht="12" customHeight="1" x14ac:dyDescent="0.25">
      <c r="I3618" s="335" t="s">
        <v>225</v>
      </c>
    </row>
    <row r="3619" spans="9:9" ht="12" customHeight="1" x14ac:dyDescent="0.25">
      <c r="I3619" s="335" t="s">
        <v>225</v>
      </c>
    </row>
    <row r="3620" spans="9:9" ht="15.75" customHeight="1" x14ac:dyDescent="0.25"/>
    <row r="3621" spans="9:9" ht="15.75" customHeight="1" x14ac:dyDescent="0.25"/>
    <row r="3622" spans="9:9" ht="12" customHeight="1" x14ac:dyDescent="0.25">
      <c r="I3622" s="335" t="s">
        <v>225</v>
      </c>
    </row>
    <row r="3623" spans="9:9" ht="12" customHeight="1" x14ac:dyDescent="0.25">
      <c r="I3623" s="335"/>
    </row>
    <row r="3624" spans="9:9" ht="12" customHeight="1" x14ac:dyDescent="0.25">
      <c r="I3624" s="335" t="s">
        <v>226</v>
      </c>
    </row>
    <row r="3625" spans="9:9" ht="12" customHeight="1" x14ac:dyDescent="0.25">
      <c r="I3625" s="335"/>
    </row>
    <row r="3626" spans="9:9" ht="12" customHeight="1" x14ac:dyDescent="0.25">
      <c r="I3626" s="335"/>
    </row>
    <row r="3627" spans="9:9" ht="12" customHeight="1" x14ac:dyDescent="0.25">
      <c r="I3627" s="335" t="s">
        <v>226</v>
      </c>
    </row>
    <row r="3628" spans="9:9" ht="12" customHeight="1" x14ac:dyDescent="0.25">
      <c r="I3628" s="335"/>
    </row>
    <row r="3629" spans="9:9" ht="12" customHeight="1" x14ac:dyDescent="0.25">
      <c r="I3629" s="335" t="s">
        <v>226</v>
      </c>
    </row>
    <row r="3630" spans="9:9" ht="15.75" customHeight="1" x14ac:dyDescent="0.25"/>
    <row r="3631" spans="9:9" ht="15.75" customHeight="1" x14ac:dyDescent="0.25"/>
    <row r="3632" spans="9:9" ht="15.75" customHeight="1" x14ac:dyDescent="0.25"/>
    <row r="3633" spans="9:9" ht="15.75" customHeight="1" x14ac:dyDescent="0.25"/>
    <row r="3634" spans="9:9" ht="15.75" customHeight="1" x14ac:dyDescent="0.25"/>
    <row r="3635" spans="9:9" ht="15.75" customHeight="1" x14ac:dyDescent="0.25"/>
    <row r="3636" spans="9:9" ht="15.75" customHeight="1" x14ac:dyDescent="0.25"/>
    <row r="3637" spans="9:9" ht="15.75" customHeight="1" x14ac:dyDescent="0.25"/>
    <row r="3638" spans="9:9" ht="12" customHeight="1" x14ac:dyDescent="0.25">
      <c r="I3638" s="335" t="s">
        <v>226</v>
      </c>
    </row>
    <row r="3639" spans="9:9" ht="12" customHeight="1" x14ac:dyDescent="0.25">
      <c r="I3639" s="335"/>
    </row>
    <row r="3640" spans="9:9" ht="12" customHeight="1" x14ac:dyDescent="0.25">
      <c r="I3640" s="335" t="s">
        <v>225</v>
      </c>
    </row>
    <row r="3641" spans="9:9" ht="12" customHeight="1" x14ac:dyDescent="0.25">
      <c r="I3641" s="335"/>
    </row>
    <row r="3642" spans="9:9" ht="12" customHeight="1" x14ac:dyDescent="0.25">
      <c r="I3642" s="335" t="s">
        <v>226</v>
      </c>
    </row>
    <row r="3643" spans="9:9" ht="12" customHeight="1" x14ac:dyDescent="0.25">
      <c r="I3643" s="335" t="s">
        <v>225</v>
      </c>
    </row>
    <row r="3644" spans="9:9" ht="15.75" customHeight="1" x14ac:dyDescent="0.25"/>
    <row r="3645" spans="9:9" ht="15.75" customHeight="1" x14ac:dyDescent="0.25"/>
    <row r="3646" spans="9:9" ht="15.75" customHeight="1" x14ac:dyDescent="0.25"/>
    <row r="3647" spans="9:9" ht="15.75" customHeight="1" x14ac:dyDescent="0.25"/>
    <row r="3648" spans="9:9" ht="15.75" customHeight="1" x14ac:dyDescent="0.25"/>
    <row r="3649" spans="9:9" ht="15.75" customHeight="1" x14ac:dyDescent="0.25"/>
    <row r="3650" spans="9:9" ht="15.75" customHeight="1" x14ac:dyDescent="0.25"/>
    <row r="3651" spans="9:9" ht="15.75" customHeight="1" x14ac:dyDescent="0.25"/>
    <row r="3652" spans="9:9" ht="15.75" customHeight="1" x14ac:dyDescent="0.25"/>
    <row r="3653" spans="9:9" ht="15.75" customHeight="1" x14ac:dyDescent="0.25"/>
    <row r="3654" spans="9:9" ht="15.75" customHeight="1" x14ac:dyDescent="0.25"/>
    <row r="3655" spans="9:9" ht="15.75" customHeight="1" x14ac:dyDescent="0.25"/>
    <row r="3656" spans="9:9" ht="15.75" customHeight="1" x14ac:dyDescent="0.25"/>
    <row r="3657" spans="9:9" ht="15.75" customHeight="1" x14ac:dyDescent="0.25"/>
    <row r="3658" spans="9:9" ht="15.75" customHeight="1" x14ac:dyDescent="0.25"/>
    <row r="3659" spans="9:9" ht="15.75" customHeight="1" x14ac:dyDescent="0.25"/>
    <row r="3660" spans="9:9" ht="15.75" customHeight="1" x14ac:dyDescent="0.25"/>
    <row r="3661" spans="9:9" ht="15.75" customHeight="1" x14ac:dyDescent="0.25"/>
    <row r="3662" spans="9:9" ht="12" customHeight="1" x14ac:dyDescent="0.25">
      <c r="I3662" s="335" t="s">
        <v>226</v>
      </c>
    </row>
  </sheetData>
  <autoFilter ref="A1:G1864" xr:uid="{00000000-0009-0000-0000-000006000000}"/>
  <mergeCells count="5">
    <mergeCell ref="A1:B1"/>
    <mergeCell ref="E1:F1"/>
    <mergeCell ref="Q1:R1"/>
    <mergeCell ref="E2:F2"/>
    <mergeCell ref="E3:F3"/>
  </mergeCells>
  <conditionalFormatting sqref="I1 I4:I3662">
    <cfRule type="cellIs" dxfId="9" priority="1" operator="equal">
      <formula>6</formula>
    </cfRule>
    <cfRule type="cellIs" dxfId="8" priority="2" operator="equal">
      <formula>5</formula>
    </cfRule>
    <cfRule type="cellIs" dxfId="7" priority="3" operator="equal">
      <formula>4</formula>
    </cfRule>
    <cfRule type="cellIs" dxfId="6" priority="4" operator="equal">
      <formula>3</formula>
    </cfRule>
    <cfRule type="cellIs" dxfId="5" priority="5" operator="equal">
      <formula>1</formula>
    </cfRule>
    <cfRule type="cellIs" dxfId="4" priority="6" operator="equal">
      <formula>2</formula>
    </cfRule>
  </conditionalFormatting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84"/>
  <sheetViews>
    <sheetView workbookViewId="0">
      <pane ySplit="1" topLeftCell="A2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4.140625" customWidth="1"/>
    <col min="2" max="2" width="12" customWidth="1"/>
    <col min="3" max="3" width="43.85546875" customWidth="1"/>
    <col min="4" max="4" width="11" customWidth="1"/>
    <col min="5" max="5" width="12" customWidth="1"/>
    <col min="6" max="9" width="11" customWidth="1"/>
    <col min="10" max="10" width="10" customWidth="1"/>
    <col min="11" max="11" width="11" customWidth="1"/>
    <col min="12" max="12" width="10" customWidth="1"/>
    <col min="13" max="13" width="11" customWidth="1"/>
    <col min="14" max="16" width="10" customWidth="1"/>
    <col min="17" max="17" width="11" customWidth="1"/>
    <col min="18" max="19" width="11.28515625" customWidth="1"/>
    <col min="20" max="21" width="12.7109375" customWidth="1"/>
    <col min="22" max="22" width="10" customWidth="1"/>
    <col min="23" max="23" width="11" customWidth="1"/>
    <col min="24" max="25" width="10" customWidth="1"/>
    <col min="26" max="27" width="12.140625" customWidth="1"/>
    <col min="28" max="29" width="10" customWidth="1"/>
  </cols>
  <sheetData>
    <row r="1" spans="1:29" ht="14.25" customHeight="1" x14ac:dyDescent="0.25">
      <c r="A1" s="338" t="s">
        <v>488</v>
      </c>
      <c r="B1" s="339"/>
      <c r="C1" s="340"/>
      <c r="D1" s="564" t="s">
        <v>489</v>
      </c>
      <c r="E1" s="548"/>
      <c r="F1" s="565" t="s">
        <v>490</v>
      </c>
      <c r="G1" s="548"/>
      <c r="H1" s="564" t="str">
        <f>'Proposed Budget'!C33</f>
        <v>Vehicle Maintenance</v>
      </c>
      <c r="I1" s="548"/>
      <c r="J1" s="565" t="str">
        <f>'Proposed Budget'!C34</f>
        <v>Car Insurance</v>
      </c>
      <c r="K1" s="548"/>
      <c r="L1" s="564" t="str">
        <f>'Proposed Budget'!C35</f>
        <v>Rental Garbage</v>
      </c>
      <c r="M1" s="548"/>
      <c r="N1" s="565" t="str">
        <f>'Proposed Budget'!C36</f>
        <v>Garbage</v>
      </c>
      <c r="O1" s="548"/>
      <c r="P1" s="564" t="str">
        <f>'Monthly Breakdown'!C37</f>
        <v>Sanitation - Main</v>
      </c>
      <c r="Q1" s="548"/>
      <c r="R1" s="565" t="str">
        <f>'Proposed Budget'!C38</f>
        <v>Camping/Vacation</v>
      </c>
      <c r="S1" s="548"/>
      <c r="T1" s="564" t="str">
        <f>'Proposed Budget'!C39</f>
        <v>Home Maintenance</v>
      </c>
      <c r="U1" s="548"/>
      <c r="V1" s="565" t="str">
        <f>'Proposed Budget'!C40</f>
        <v>Rental Repairs</v>
      </c>
      <c r="W1" s="548"/>
      <c r="X1" s="564" t="str">
        <f>'Proposed Budget'!C41</f>
        <v>Rental Insurance</v>
      </c>
      <c r="Y1" s="548"/>
      <c r="Z1" s="565" t="str">
        <f>'Proposed Budget'!C42</f>
        <v>Rental Property Taxes</v>
      </c>
      <c r="AA1" s="548"/>
      <c r="AB1" s="564" t="str">
        <f>'Proposed Budget'!C43</f>
        <v>Rental Sanitation</v>
      </c>
      <c r="AC1" s="548"/>
    </row>
    <row r="2" spans="1:29" ht="14.25" customHeight="1" x14ac:dyDescent="0.25">
      <c r="A2" s="341">
        <f t="shared" ref="A2:A3" si="0">SUM(G2,E2,U2,I2,S2,O2,K2,M2,Q2,W2,Y2,AA2,AC2)</f>
        <v>11690.039999999999</v>
      </c>
      <c r="B2" s="339"/>
      <c r="C2" s="340"/>
      <c r="D2" s="342" t="s">
        <v>491</v>
      </c>
      <c r="E2" s="343">
        <f>E3-E142</f>
        <v>29724.139999999996</v>
      </c>
      <c r="F2" s="344" t="s">
        <v>491</v>
      </c>
      <c r="G2" s="345">
        <f>G3-G142</f>
        <v>1271.1600000000001</v>
      </c>
      <c r="H2" s="343" t="s">
        <v>491</v>
      </c>
      <c r="I2" s="343">
        <f>I3-I142</f>
        <v>1533.3599999999997</v>
      </c>
      <c r="J2" s="344" t="s">
        <v>491</v>
      </c>
      <c r="K2" s="345">
        <f>K3-K142</f>
        <v>721</v>
      </c>
      <c r="L2" s="343" t="s">
        <v>491</v>
      </c>
      <c r="M2" s="343">
        <f>M3-M142</f>
        <v>-35.789999999999964</v>
      </c>
      <c r="N2" s="345" t="s">
        <v>491</v>
      </c>
      <c r="O2" s="345">
        <f>O3-O142</f>
        <v>-35.789999999999964</v>
      </c>
      <c r="P2" s="343" t="s">
        <v>491</v>
      </c>
      <c r="Q2" s="343">
        <f>Q3-Q142</f>
        <v>30.720000000000027</v>
      </c>
      <c r="R2" s="345" t="s">
        <v>491</v>
      </c>
      <c r="S2" s="345">
        <f>S3-S142</f>
        <v>-3041.09</v>
      </c>
      <c r="T2" s="346" t="s">
        <v>491</v>
      </c>
      <c r="U2" s="343">
        <f>U3-U142</f>
        <v>-19295.109999999993</v>
      </c>
      <c r="V2" s="345" t="s">
        <v>491</v>
      </c>
      <c r="W2" s="345">
        <f>W3-W142</f>
        <v>900</v>
      </c>
      <c r="X2" s="343" t="s">
        <v>491</v>
      </c>
      <c r="Y2" s="343">
        <f>Y3-Y142</f>
        <v>264.5</v>
      </c>
      <c r="Z2" s="345" t="s">
        <v>491</v>
      </c>
      <c r="AA2" s="345">
        <f>AA3-AA142</f>
        <v>-377.7800000000002</v>
      </c>
      <c r="AB2" s="343" t="s">
        <v>491</v>
      </c>
      <c r="AC2" s="343">
        <f>AC3-AC142</f>
        <v>30.720000000000027</v>
      </c>
    </row>
    <row r="3" spans="1:29" ht="14.25" customHeight="1" x14ac:dyDescent="0.25">
      <c r="A3" s="341">
        <f t="shared" si="0"/>
        <v>23930.53000000001</v>
      </c>
      <c r="B3" s="347"/>
      <c r="C3" s="340"/>
      <c r="D3" s="342" t="s">
        <v>492</v>
      </c>
      <c r="E3" s="343">
        <f>SUM(E6:E142)-SUM(D6:D142)</f>
        <v>31434.629999999997</v>
      </c>
      <c r="F3" s="345" t="s">
        <v>492</v>
      </c>
      <c r="G3" s="345">
        <f>SUM(G6:G142)-SUM(F6:F142)</f>
        <v>1771.16</v>
      </c>
      <c r="H3" s="343" t="s">
        <v>492</v>
      </c>
      <c r="I3" s="343">
        <f>SUM(I6:I142)-SUM(H6:H142)</f>
        <v>3533.3599999999997</v>
      </c>
      <c r="J3" s="345" t="s">
        <v>492</v>
      </c>
      <c r="K3" s="345">
        <f>SUM(K6:K142)-SUM(J6:J142)</f>
        <v>1721</v>
      </c>
      <c r="L3" s="343" t="s">
        <v>492</v>
      </c>
      <c r="M3" s="343">
        <f>SUM(M6:M142)-SUM(L6:L142)</f>
        <v>29.210000000000036</v>
      </c>
      <c r="N3" s="345" t="s">
        <v>492</v>
      </c>
      <c r="O3" s="345">
        <f>SUM(O6:O142)-SUM(N6:N142)</f>
        <v>29.210000000000036</v>
      </c>
      <c r="P3" s="343" t="s">
        <v>492</v>
      </c>
      <c r="Q3" s="343">
        <f>SUM(Q6:Q142)-SUM(P6:P142)</f>
        <v>130.72000000000003</v>
      </c>
      <c r="R3" s="345" t="s">
        <v>492</v>
      </c>
      <c r="S3" s="345">
        <f>SUM(S6:S142)-SUM(R6:R142)</f>
        <v>-1041.0900000000001</v>
      </c>
      <c r="T3" s="343" t="s">
        <v>492</v>
      </c>
      <c r="U3" s="343">
        <f>SUM(U6:U142)-SUM(T6:T142)</f>
        <v>-16795.109999999993</v>
      </c>
      <c r="V3" s="345" t="s">
        <v>492</v>
      </c>
      <c r="W3" s="345">
        <f>SUM(W6:W142)-SUM(V6:V142)</f>
        <v>1400</v>
      </c>
      <c r="X3" s="343" t="s">
        <v>492</v>
      </c>
      <c r="Y3" s="343">
        <f>SUM(Y6:Y142)-SUM(X6:X142)</f>
        <v>464.5</v>
      </c>
      <c r="Z3" s="345" t="s">
        <v>492</v>
      </c>
      <c r="AA3" s="345">
        <f>SUM(AA6:AA142)-SUM(Z6:Z142)</f>
        <v>1122.2199999999998</v>
      </c>
      <c r="AB3" s="343" t="s">
        <v>492</v>
      </c>
      <c r="AC3" s="343">
        <f>SUM(AC6:AC142)-SUM(AB6:AB142)</f>
        <v>130.72000000000003</v>
      </c>
    </row>
    <row r="4" spans="1:29" ht="14.25" customHeight="1" x14ac:dyDescent="0.25">
      <c r="A4" s="338" t="s">
        <v>493</v>
      </c>
      <c r="B4" s="347"/>
      <c r="C4" s="340"/>
      <c r="D4" s="564" t="s">
        <v>494</v>
      </c>
      <c r="E4" s="548"/>
      <c r="F4" s="565" t="s">
        <v>494</v>
      </c>
      <c r="G4" s="548"/>
      <c r="H4" s="564" t="s">
        <v>494</v>
      </c>
      <c r="I4" s="548"/>
      <c r="J4" s="565" t="s">
        <v>494</v>
      </c>
      <c r="K4" s="548"/>
      <c r="L4" s="564" t="s">
        <v>494</v>
      </c>
      <c r="M4" s="548"/>
      <c r="N4" s="565" t="s">
        <v>494</v>
      </c>
      <c r="O4" s="548"/>
      <c r="P4" s="564" t="s">
        <v>494</v>
      </c>
      <c r="Q4" s="548"/>
      <c r="R4" s="565" t="s">
        <v>495</v>
      </c>
      <c r="S4" s="548"/>
      <c r="T4" s="564" t="s">
        <v>496</v>
      </c>
      <c r="U4" s="548"/>
      <c r="V4" s="565" t="s">
        <v>494</v>
      </c>
      <c r="W4" s="548"/>
      <c r="X4" s="564" t="s">
        <v>494</v>
      </c>
      <c r="Y4" s="548"/>
      <c r="Z4" s="565" t="s">
        <v>494</v>
      </c>
      <c r="AA4" s="548"/>
      <c r="AB4" s="564" t="s">
        <v>494</v>
      </c>
      <c r="AC4" s="548"/>
    </row>
    <row r="5" spans="1:29" ht="14.25" customHeight="1" x14ac:dyDescent="0.25">
      <c r="A5" s="338" t="s">
        <v>497</v>
      </c>
      <c r="B5" s="347"/>
      <c r="C5" s="340"/>
      <c r="D5" s="342">
        <f t="shared" ref="D5:AC5" si="1">SUM(D6:D141)</f>
        <v>21300.18</v>
      </c>
      <c r="E5" s="343">
        <f t="shared" si="1"/>
        <v>51024.32</v>
      </c>
      <c r="F5" s="345">
        <f t="shared" si="1"/>
        <v>69.69</v>
      </c>
      <c r="G5" s="345">
        <f t="shared" si="1"/>
        <v>1340.8500000000001</v>
      </c>
      <c r="H5" s="343">
        <f t="shared" si="1"/>
        <v>1616.6400000000003</v>
      </c>
      <c r="I5" s="343">
        <f t="shared" si="1"/>
        <v>3150</v>
      </c>
      <c r="J5" s="345">
        <f t="shared" si="1"/>
        <v>2159</v>
      </c>
      <c r="K5" s="345">
        <f t="shared" si="1"/>
        <v>2880</v>
      </c>
      <c r="L5" s="343">
        <f t="shared" si="1"/>
        <v>260.78999999999996</v>
      </c>
      <c r="M5" s="343">
        <f t="shared" si="1"/>
        <v>225</v>
      </c>
      <c r="N5" s="345">
        <f t="shared" si="1"/>
        <v>260.78999999999996</v>
      </c>
      <c r="O5" s="345">
        <f t="shared" si="1"/>
        <v>225</v>
      </c>
      <c r="P5" s="343">
        <f t="shared" si="1"/>
        <v>374.28</v>
      </c>
      <c r="Q5" s="343">
        <f t="shared" si="1"/>
        <v>405</v>
      </c>
      <c r="R5" s="345">
        <f t="shared" si="1"/>
        <v>6641.09</v>
      </c>
      <c r="S5" s="345">
        <f t="shared" si="1"/>
        <v>3600</v>
      </c>
      <c r="T5" s="343">
        <f t="shared" si="1"/>
        <v>22670.109999999993</v>
      </c>
      <c r="U5" s="343">
        <f t="shared" si="1"/>
        <v>3375</v>
      </c>
      <c r="V5" s="345">
        <f t="shared" si="1"/>
        <v>0</v>
      </c>
      <c r="W5" s="345">
        <f t="shared" si="1"/>
        <v>900</v>
      </c>
      <c r="X5" s="343">
        <f t="shared" si="1"/>
        <v>500.5</v>
      </c>
      <c r="Y5" s="343">
        <f t="shared" si="1"/>
        <v>765</v>
      </c>
      <c r="Z5" s="345">
        <f t="shared" si="1"/>
        <v>2447.7800000000002</v>
      </c>
      <c r="AA5" s="345">
        <f t="shared" si="1"/>
        <v>2070</v>
      </c>
      <c r="AB5" s="343">
        <f t="shared" si="1"/>
        <v>374.28</v>
      </c>
      <c r="AC5" s="343">
        <f t="shared" si="1"/>
        <v>405</v>
      </c>
    </row>
    <row r="6" spans="1:29" ht="14.25" customHeight="1" x14ac:dyDescent="0.25">
      <c r="A6" s="338" t="s">
        <v>498</v>
      </c>
      <c r="B6" s="347" t="s">
        <v>499</v>
      </c>
      <c r="C6" s="284" t="s">
        <v>500</v>
      </c>
      <c r="D6" s="342" t="s">
        <v>281</v>
      </c>
      <c r="E6" s="343" t="s">
        <v>282</v>
      </c>
      <c r="F6" s="345" t="s">
        <v>281</v>
      </c>
      <c r="G6" s="345" t="s">
        <v>282</v>
      </c>
      <c r="H6" s="343" t="s">
        <v>281</v>
      </c>
      <c r="I6" s="343" t="s">
        <v>282</v>
      </c>
      <c r="J6" s="345" t="s">
        <v>281</v>
      </c>
      <c r="K6" s="345" t="s">
        <v>282</v>
      </c>
      <c r="L6" s="343" t="s">
        <v>281</v>
      </c>
      <c r="M6" s="343" t="s">
        <v>282</v>
      </c>
      <c r="N6" s="345" t="s">
        <v>281</v>
      </c>
      <c r="O6" s="345" t="s">
        <v>282</v>
      </c>
      <c r="P6" s="343" t="s">
        <v>281</v>
      </c>
      <c r="Q6" s="343" t="s">
        <v>282</v>
      </c>
      <c r="R6" s="345" t="s">
        <v>281</v>
      </c>
      <c r="S6" s="345" t="s">
        <v>282</v>
      </c>
      <c r="T6" s="343" t="s">
        <v>281</v>
      </c>
      <c r="U6" s="343" t="s">
        <v>282</v>
      </c>
      <c r="V6" s="345" t="s">
        <v>281</v>
      </c>
      <c r="W6" s="345" t="s">
        <v>282</v>
      </c>
      <c r="X6" s="343" t="s">
        <v>281</v>
      </c>
      <c r="Y6" s="343" t="s">
        <v>282</v>
      </c>
      <c r="Z6" s="345" t="s">
        <v>281</v>
      </c>
      <c r="AA6" s="345" t="s">
        <v>282</v>
      </c>
      <c r="AB6" s="343" t="s">
        <v>281</v>
      </c>
      <c r="AC6" s="343" t="s">
        <v>282</v>
      </c>
    </row>
    <row r="7" spans="1:29" ht="14.25" customHeight="1" x14ac:dyDescent="0.25">
      <c r="A7" s="338">
        <v>46323</v>
      </c>
      <c r="B7" s="347">
        <f t="shared" ref="B7:B70" si="2">SUM(E7,U7,K7,G7,I7,S7,O7,M7,Q7,W7,Y7,AA7,AC7)-SUM(D7,F7,T7,H7,R7,N7,J7,L7,P7,V7,X7,Z7,AB7)</f>
        <v>-69.69</v>
      </c>
      <c r="C7" s="348" t="s">
        <v>1119</v>
      </c>
      <c r="D7" s="342"/>
      <c r="E7" s="343"/>
      <c r="F7" s="345">
        <v>69.69</v>
      </c>
      <c r="G7" s="345"/>
      <c r="H7" s="343"/>
      <c r="I7" s="343"/>
      <c r="J7" s="345"/>
      <c r="K7" s="345"/>
      <c r="L7" s="343"/>
      <c r="M7" s="343"/>
      <c r="N7" s="345"/>
      <c r="O7" s="345"/>
      <c r="P7" s="343"/>
      <c r="Q7" s="343"/>
      <c r="R7" s="345"/>
      <c r="S7" s="345"/>
      <c r="T7" s="343"/>
      <c r="U7" s="343"/>
      <c r="V7" s="345"/>
      <c r="W7" s="345"/>
      <c r="X7" s="343"/>
      <c r="Y7" s="343"/>
      <c r="Z7" s="345"/>
      <c r="AA7" s="345"/>
      <c r="AB7" s="343"/>
      <c r="AC7" s="343"/>
    </row>
    <row r="8" spans="1:29" ht="14.25" customHeight="1" x14ac:dyDescent="0.25">
      <c r="A8" s="338">
        <v>46323</v>
      </c>
      <c r="B8" s="347">
        <f t="shared" si="2"/>
        <v>1705</v>
      </c>
      <c r="C8" s="348" t="s">
        <v>1118</v>
      </c>
      <c r="D8" s="342"/>
      <c r="E8" s="343">
        <v>1705</v>
      </c>
      <c r="F8" s="345"/>
      <c r="G8" s="345"/>
      <c r="H8" s="343"/>
      <c r="I8" s="343"/>
      <c r="J8" s="345"/>
      <c r="K8" s="345"/>
      <c r="L8" s="343"/>
      <c r="M8" s="343"/>
      <c r="N8" s="345"/>
      <c r="O8" s="345"/>
      <c r="P8" s="343"/>
      <c r="Q8" s="343"/>
      <c r="R8" s="345"/>
      <c r="S8" s="345"/>
      <c r="T8" s="343"/>
      <c r="U8" s="343"/>
      <c r="V8" s="345"/>
      <c r="W8" s="345"/>
      <c r="X8" s="343"/>
      <c r="Y8" s="343"/>
      <c r="Z8" s="345"/>
      <c r="AA8" s="345"/>
      <c r="AB8" s="343"/>
      <c r="AC8" s="343"/>
    </row>
    <row r="9" spans="1:29" ht="14.25" customHeight="1" x14ac:dyDescent="0.25">
      <c r="A9" s="338">
        <v>46321</v>
      </c>
      <c r="B9" s="347">
        <f t="shared" si="2"/>
        <v>781</v>
      </c>
      <c r="C9" s="348" t="s">
        <v>1111</v>
      </c>
      <c r="D9" s="342"/>
      <c r="E9" s="343">
        <v>781</v>
      </c>
      <c r="F9" s="345"/>
      <c r="G9" s="345"/>
      <c r="H9" s="343"/>
      <c r="I9" s="343"/>
      <c r="J9" s="345"/>
      <c r="K9" s="345"/>
      <c r="L9" s="343"/>
      <c r="M9" s="343"/>
      <c r="N9" s="345"/>
      <c r="O9" s="345"/>
      <c r="P9" s="343"/>
      <c r="Q9" s="343"/>
      <c r="R9" s="345"/>
      <c r="S9" s="345"/>
      <c r="T9" s="343"/>
      <c r="U9" s="343"/>
      <c r="V9" s="345"/>
      <c r="W9" s="345"/>
      <c r="X9" s="343"/>
      <c r="Y9" s="343"/>
      <c r="Z9" s="345"/>
      <c r="AA9" s="345"/>
      <c r="AB9" s="343"/>
      <c r="AC9" s="343"/>
    </row>
    <row r="10" spans="1:29" ht="14.25" customHeight="1" x14ac:dyDescent="0.25">
      <c r="A10" s="338">
        <v>46321</v>
      </c>
      <c r="B10" s="347">
        <f t="shared" si="2"/>
        <v>-134.52000000000001</v>
      </c>
      <c r="C10" s="348" t="s">
        <v>315</v>
      </c>
      <c r="D10" s="342"/>
      <c r="E10" s="343"/>
      <c r="F10" s="345"/>
      <c r="G10" s="345"/>
      <c r="H10" s="343"/>
      <c r="I10" s="343"/>
      <c r="J10" s="345"/>
      <c r="K10" s="345"/>
      <c r="L10" s="343">
        <v>67.260000000000005</v>
      </c>
      <c r="M10" s="343"/>
      <c r="N10" s="345">
        <v>67.260000000000005</v>
      </c>
      <c r="O10" s="345"/>
      <c r="P10" s="343"/>
      <c r="Q10" s="343"/>
      <c r="R10" s="345"/>
      <c r="S10" s="345"/>
      <c r="T10" s="343"/>
      <c r="U10" s="343"/>
      <c r="V10" s="345"/>
      <c r="W10" s="345"/>
      <c r="X10" s="343"/>
      <c r="Y10" s="343"/>
      <c r="Z10" s="345"/>
      <c r="AA10" s="345"/>
      <c r="AB10" s="343"/>
      <c r="AC10" s="343"/>
    </row>
    <row r="11" spans="1:29" ht="14.25" customHeight="1" x14ac:dyDescent="0.25">
      <c r="A11" s="338">
        <v>46314</v>
      </c>
      <c r="B11" s="347">
        <f t="shared" si="2"/>
        <v>54.24</v>
      </c>
      <c r="C11" s="348" t="s">
        <v>502</v>
      </c>
      <c r="D11" s="342"/>
      <c r="E11" s="343"/>
      <c r="F11" s="345"/>
      <c r="G11" s="345">
        <v>54.24</v>
      </c>
      <c r="H11" s="343"/>
      <c r="I11" s="343"/>
      <c r="J11" s="345"/>
      <c r="K11" s="345"/>
      <c r="L11" s="343"/>
      <c r="M11" s="343"/>
      <c r="N11" s="345"/>
      <c r="O11" s="345"/>
      <c r="P11" s="343"/>
      <c r="Q11" s="343"/>
      <c r="R11" s="345"/>
      <c r="S11" s="345"/>
      <c r="T11" s="343"/>
      <c r="U11" s="343"/>
      <c r="V11" s="345"/>
      <c r="W11" s="345"/>
      <c r="X11" s="343"/>
      <c r="Y11" s="343"/>
      <c r="Z11" s="345"/>
      <c r="AA11" s="345"/>
      <c r="AB11" s="343"/>
      <c r="AC11" s="343"/>
    </row>
    <row r="12" spans="1:29" ht="14.25" customHeight="1" x14ac:dyDescent="0.25">
      <c r="A12" s="338">
        <v>46304</v>
      </c>
      <c r="B12" s="347">
        <f t="shared" si="2"/>
        <v>-959.8</v>
      </c>
      <c r="C12" s="348" t="s">
        <v>899</v>
      </c>
      <c r="D12" s="342"/>
      <c r="E12" s="343"/>
      <c r="F12" s="345"/>
      <c r="G12" s="345"/>
      <c r="H12" s="343"/>
      <c r="I12" s="343"/>
      <c r="J12" s="345"/>
      <c r="K12" s="345"/>
      <c r="L12" s="343"/>
      <c r="M12" s="343"/>
      <c r="N12" s="345"/>
      <c r="O12" s="345"/>
      <c r="P12" s="343"/>
      <c r="Q12" s="343"/>
      <c r="R12" s="345"/>
      <c r="S12" s="345"/>
      <c r="T12" s="343">
        <v>959.8</v>
      </c>
      <c r="U12" s="343"/>
      <c r="V12" s="345"/>
      <c r="W12" s="345"/>
      <c r="X12" s="343"/>
      <c r="Y12" s="343"/>
      <c r="Z12" s="345"/>
      <c r="AA12" s="345"/>
      <c r="AB12" s="343"/>
      <c r="AC12" s="343"/>
    </row>
    <row r="13" spans="1:29" ht="14.25" customHeight="1" x14ac:dyDescent="0.25">
      <c r="A13" s="338">
        <v>46304</v>
      </c>
      <c r="B13" s="347">
        <f t="shared" si="2"/>
        <v>1000</v>
      </c>
      <c r="C13" s="348" t="s">
        <v>1092</v>
      </c>
      <c r="D13" s="342"/>
      <c r="E13" s="343">
        <v>1000</v>
      </c>
      <c r="F13" s="345"/>
      <c r="G13" s="345"/>
      <c r="H13" s="343"/>
      <c r="I13" s="343"/>
      <c r="J13" s="345"/>
      <c r="K13" s="345"/>
      <c r="L13" s="343"/>
      <c r="M13" s="343"/>
      <c r="N13" s="345"/>
      <c r="O13" s="345"/>
      <c r="P13" s="343"/>
      <c r="Q13" s="343"/>
      <c r="R13" s="345"/>
      <c r="S13" s="345"/>
      <c r="T13" s="343"/>
      <c r="U13" s="343"/>
      <c r="V13" s="345"/>
      <c r="W13" s="345"/>
      <c r="X13" s="343"/>
      <c r="Y13" s="343"/>
      <c r="Z13" s="345"/>
      <c r="AA13" s="345"/>
      <c r="AB13" s="343"/>
      <c r="AC13" s="343"/>
    </row>
    <row r="14" spans="1:29" ht="14.25" customHeight="1" x14ac:dyDescent="0.25">
      <c r="A14" s="338">
        <v>46304</v>
      </c>
      <c r="B14" s="347">
        <f t="shared" si="2"/>
        <v>-80.89</v>
      </c>
      <c r="C14" s="348" t="s">
        <v>856</v>
      </c>
      <c r="D14" s="342">
        <v>80.89</v>
      </c>
      <c r="E14" s="343"/>
      <c r="F14" s="345"/>
      <c r="G14" s="345"/>
      <c r="H14" s="343"/>
      <c r="I14" s="343"/>
      <c r="J14" s="345"/>
      <c r="K14" s="345"/>
      <c r="L14" s="343"/>
      <c r="M14" s="343"/>
      <c r="N14" s="345"/>
      <c r="O14" s="345"/>
      <c r="P14" s="343"/>
      <c r="Q14" s="343"/>
      <c r="R14" s="345"/>
      <c r="S14" s="345"/>
      <c r="T14" s="343"/>
      <c r="U14" s="343"/>
      <c r="V14" s="345"/>
      <c r="W14" s="345"/>
      <c r="X14" s="343"/>
      <c r="Y14" s="343"/>
      <c r="Z14" s="345"/>
      <c r="AA14" s="345"/>
      <c r="AB14" s="343"/>
      <c r="AC14" s="343"/>
    </row>
    <row r="15" spans="1:29" ht="14.25" customHeight="1" x14ac:dyDescent="0.25">
      <c r="A15" s="338">
        <v>46303</v>
      </c>
      <c r="B15" s="347">
        <f t="shared" si="2"/>
        <v>-960</v>
      </c>
      <c r="C15" s="348" t="s">
        <v>899</v>
      </c>
      <c r="D15" s="342"/>
      <c r="E15" s="343"/>
      <c r="F15" s="345"/>
      <c r="G15" s="345"/>
      <c r="H15" s="343"/>
      <c r="I15" s="343"/>
      <c r="J15" s="345"/>
      <c r="K15" s="345"/>
      <c r="L15" s="343"/>
      <c r="M15" s="343"/>
      <c r="N15" s="345"/>
      <c r="O15" s="345"/>
      <c r="P15" s="343"/>
      <c r="Q15" s="343"/>
      <c r="R15" s="345"/>
      <c r="S15" s="345"/>
      <c r="T15" s="343">
        <v>960</v>
      </c>
      <c r="U15" s="343"/>
      <c r="V15" s="345"/>
      <c r="W15" s="345"/>
      <c r="X15" s="343"/>
      <c r="Y15" s="343"/>
      <c r="Z15" s="345"/>
      <c r="AA15" s="345"/>
      <c r="AB15" s="343"/>
      <c r="AC15" s="343"/>
    </row>
    <row r="16" spans="1:29" ht="14.25" customHeight="1" x14ac:dyDescent="0.25">
      <c r="A16" s="338">
        <v>46300</v>
      </c>
      <c r="B16" s="347">
        <f t="shared" si="2"/>
        <v>292</v>
      </c>
      <c r="C16" s="348" t="s">
        <v>1087</v>
      </c>
      <c r="D16" s="342">
        <v>1508</v>
      </c>
      <c r="E16" s="343">
        <v>1800</v>
      </c>
      <c r="F16" s="345"/>
      <c r="G16" s="345"/>
      <c r="H16" s="343"/>
      <c r="I16" s="343"/>
      <c r="J16" s="345"/>
      <c r="K16" s="345"/>
      <c r="L16" s="343"/>
      <c r="M16" s="343"/>
      <c r="N16" s="345"/>
      <c r="O16" s="345"/>
      <c r="P16" s="343"/>
      <c r="Q16" s="343"/>
      <c r="R16" s="345"/>
      <c r="S16" s="345"/>
      <c r="T16" s="343"/>
      <c r="U16" s="343"/>
      <c r="V16" s="345"/>
      <c r="W16" s="345"/>
      <c r="X16" s="343"/>
      <c r="Y16" s="343"/>
      <c r="Z16" s="345"/>
      <c r="AA16" s="345"/>
      <c r="AB16" s="343"/>
      <c r="AC16" s="343"/>
    </row>
    <row r="17" spans="1:29" ht="14.25" customHeight="1" x14ac:dyDescent="0.25">
      <c r="A17" s="338">
        <v>46297</v>
      </c>
      <c r="B17" s="347">
        <f t="shared" si="2"/>
        <v>-112.25</v>
      </c>
      <c r="C17" s="348" t="s">
        <v>1085</v>
      </c>
      <c r="D17" s="342"/>
      <c r="E17" s="343"/>
      <c r="F17" s="345"/>
      <c r="G17" s="345"/>
      <c r="H17" s="343"/>
      <c r="I17" s="343"/>
      <c r="J17" s="345"/>
      <c r="K17" s="345"/>
      <c r="L17" s="343"/>
      <c r="M17" s="343"/>
      <c r="N17" s="345"/>
      <c r="O17" s="345"/>
      <c r="P17" s="343"/>
      <c r="Q17" s="343"/>
      <c r="R17" s="345">
        <v>112.25</v>
      </c>
      <c r="S17" s="345"/>
      <c r="T17" s="343"/>
      <c r="U17" s="343"/>
      <c r="V17" s="345"/>
      <c r="W17" s="345"/>
      <c r="X17" s="343"/>
      <c r="Y17" s="343"/>
      <c r="Z17" s="345"/>
      <c r="AA17" s="345"/>
      <c r="AB17" s="343"/>
      <c r="AC17" s="343"/>
    </row>
    <row r="18" spans="1:29" ht="14.25" customHeight="1" x14ac:dyDescent="0.25">
      <c r="A18" s="338">
        <v>46295</v>
      </c>
      <c r="B18" s="347">
        <f t="shared" si="2"/>
        <v>2768.7</v>
      </c>
      <c r="C18" s="348" t="s">
        <v>1080</v>
      </c>
      <c r="D18" s="342"/>
      <c r="E18" s="343">
        <v>2768.7</v>
      </c>
      <c r="F18" s="345"/>
      <c r="G18" s="345"/>
      <c r="H18" s="343"/>
      <c r="I18" s="343"/>
      <c r="J18" s="345"/>
      <c r="K18" s="345"/>
      <c r="L18" s="343"/>
      <c r="M18" s="343"/>
      <c r="N18" s="345"/>
      <c r="O18" s="345"/>
      <c r="P18" s="343"/>
      <c r="Q18" s="343"/>
      <c r="R18" s="345"/>
      <c r="S18" s="345"/>
      <c r="T18" s="343"/>
      <c r="U18" s="343"/>
      <c r="V18" s="345"/>
      <c r="W18" s="345"/>
      <c r="X18" s="343"/>
      <c r="Y18" s="343"/>
      <c r="Z18" s="345"/>
      <c r="AA18" s="345"/>
      <c r="AB18" s="343"/>
      <c r="AC18" s="343"/>
    </row>
    <row r="19" spans="1:29" ht="14.25" customHeight="1" x14ac:dyDescent="0.25">
      <c r="A19" s="338">
        <v>46295</v>
      </c>
      <c r="B19" s="347">
        <f t="shared" si="2"/>
        <v>2000</v>
      </c>
      <c r="C19" s="348" t="s">
        <v>1074</v>
      </c>
      <c r="D19" s="342"/>
      <c r="E19" s="343"/>
      <c r="F19" s="345"/>
      <c r="G19" s="345"/>
      <c r="H19" s="343"/>
      <c r="I19" s="343">
        <v>350</v>
      </c>
      <c r="J19" s="345"/>
      <c r="K19" s="345">
        <v>320</v>
      </c>
      <c r="L19" s="343"/>
      <c r="M19" s="343">
        <v>25</v>
      </c>
      <c r="N19" s="345"/>
      <c r="O19" s="345">
        <v>25</v>
      </c>
      <c r="P19" s="343"/>
      <c r="Q19" s="343">
        <v>45</v>
      </c>
      <c r="R19" s="345"/>
      <c r="S19" s="345">
        <v>400</v>
      </c>
      <c r="T19" s="343"/>
      <c r="U19" s="343">
        <v>375</v>
      </c>
      <c r="V19" s="345"/>
      <c r="W19" s="345">
        <v>100</v>
      </c>
      <c r="X19" s="343"/>
      <c r="Y19" s="343">
        <v>85</v>
      </c>
      <c r="Z19" s="345"/>
      <c r="AA19" s="345">
        <v>230</v>
      </c>
      <c r="AB19" s="343"/>
      <c r="AC19" s="343">
        <v>45</v>
      </c>
    </row>
    <row r="20" spans="1:29" ht="14.25" customHeight="1" x14ac:dyDescent="0.25">
      <c r="A20" s="338">
        <v>46295</v>
      </c>
      <c r="B20" s="347">
        <f t="shared" si="2"/>
        <v>0.6</v>
      </c>
      <c r="C20" s="348" t="s">
        <v>503</v>
      </c>
      <c r="D20" s="342"/>
      <c r="E20" s="343"/>
      <c r="F20" s="345"/>
      <c r="G20" s="345">
        <v>0.6</v>
      </c>
      <c r="H20" s="343"/>
      <c r="I20" s="343"/>
      <c r="J20" s="345"/>
      <c r="K20" s="345"/>
      <c r="L20" s="343"/>
      <c r="M20" s="343"/>
      <c r="N20" s="345"/>
      <c r="O20" s="345"/>
      <c r="P20" s="343"/>
      <c r="Q20" s="343"/>
      <c r="R20" s="345"/>
      <c r="S20" s="345"/>
      <c r="T20" s="343"/>
      <c r="U20" s="343"/>
      <c r="V20" s="345"/>
      <c r="W20" s="345"/>
      <c r="X20" s="343"/>
      <c r="Y20" s="343"/>
      <c r="Z20" s="345"/>
      <c r="AA20" s="345"/>
      <c r="AB20" s="343"/>
      <c r="AC20" s="343"/>
    </row>
    <row r="21" spans="1:29" ht="14.25" customHeight="1" x14ac:dyDescent="0.25">
      <c r="A21" s="338">
        <v>46295</v>
      </c>
      <c r="B21" s="347">
        <f t="shared" si="2"/>
        <v>60.95</v>
      </c>
      <c r="C21" s="348" t="s">
        <v>507</v>
      </c>
      <c r="D21" s="342"/>
      <c r="E21" s="343"/>
      <c r="F21" s="345"/>
      <c r="G21" s="345">
        <v>60.95</v>
      </c>
      <c r="H21" s="343"/>
      <c r="I21" s="343"/>
      <c r="J21" s="345"/>
      <c r="K21" s="345"/>
      <c r="L21" s="343"/>
      <c r="M21" s="343"/>
      <c r="N21" s="345"/>
      <c r="O21" s="345"/>
      <c r="P21" s="343"/>
      <c r="Q21" s="343"/>
      <c r="R21" s="345"/>
      <c r="S21" s="345"/>
      <c r="T21" s="343"/>
      <c r="U21" s="343"/>
      <c r="V21" s="345"/>
      <c r="W21" s="345"/>
      <c r="X21" s="343"/>
      <c r="Y21" s="343"/>
      <c r="Z21" s="345"/>
      <c r="AA21" s="345"/>
      <c r="AB21" s="343"/>
      <c r="AC21" s="343"/>
    </row>
    <row r="22" spans="1:29" ht="14.25" customHeight="1" x14ac:dyDescent="0.25">
      <c r="A22" s="338">
        <v>46279</v>
      </c>
      <c r="B22" s="347">
        <f t="shared" si="2"/>
        <v>-1360</v>
      </c>
      <c r="C22" s="348" t="s">
        <v>1055</v>
      </c>
      <c r="D22" s="342"/>
      <c r="E22" s="343"/>
      <c r="F22" s="345"/>
      <c r="G22" s="345"/>
      <c r="H22" s="343"/>
      <c r="I22" s="343"/>
      <c r="J22" s="345"/>
      <c r="K22" s="345"/>
      <c r="L22" s="343"/>
      <c r="M22" s="343"/>
      <c r="N22" s="345"/>
      <c r="O22" s="345"/>
      <c r="P22" s="343"/>
      <c r="Q22" s="343"/>
      <c r="R22" s="345"/>
      <c r="S22" s="345"/>
      <c r="T22" s="343">
        <v>1360</v>
      </c>
      <c r="U22" s="343"/>
      <c r="V22" s="345"/>
      <c r="W22" s="345"/>
      <c r="X22" s="343"/>
      <c r="Y22" s="343"/>
      <c r="Z22" s="345"/>
      <c r="AA22" s="345"/>
      <c r="AB22" s="343"/>
      <c r="AC22" s="343"/>
    </row>
    <row r="23" spans="1:29" ht="14.25" customHeight="1" x14ac:dyDescent="0.25">
      <c r="A23" s="338">
        <v>46273</v>
      </c>
      <c r="B23" s="347">
        <f t="shared" si="2"/>
        <v>-960</v>
      </c>
      <c r="C23" s="348" t="s">
        <v>899</v>
      </c>
      <c r="D23" s="342"/>
      <c r="E23" s="343"/>
      <c r="F23" s="345"/>
      <c r="G23" s="345"/>
      <c r="H23" s="343"/>
      <c r="I23" s="343"/>
      <c r="J23" s="345"/>
      <c r="K23" s="345"/>
      <c r="L23" s="343"/>
      <c r="M23" s="343"/>
      <c r="N23" s="345"/>
      <c r="O23" s="345"/>
      <c r="P23" s="343"/>
      <c r="Q23" s="343"/>
      <c r="R23" s="345"/>
      <c r="S23" s="345"/>
      <c r="T23" s="343">
        <v>960</v>
      </c>
      <c r="U23" s="343"/>
      <c r="V23" s="345"/>
      <c r="W23" s="345"/>
      <c r="X23" s="343"/>
      <c r="Y23" s="343"/>
      <c r="Z23" s="345"/>
      <c r="AA23" s="345"/>
      <c r="AB23" s="343"/>
      <c r="AC23" s="343"/>
    </row>
    <row r="24" spans="1:29" ht="14.25" customHeight="1" x14ac:dyDescent="0.25">
      <c r="A24" s="338">
        <v>46272</v>
      </c>
      <c r="B24" s="347">
        <f t="shared" si="2"/>
        <v>-600</v>
      </c>
      <c r="C24" s="348" t="s">
        <v>527</v>
      </c>
      <c r="D24" s="342">
        <v>600</v>
      </c>
      <c r="E24" s="343"/>
      <c r="F24" s="345"/>
      <c r="G24" s="345"/>
      <c r="H24" s="343"/>
      <c r="I24" s="343"/>
      <c r="J24" s="345"/>
      <c r="K24" s="345"/>
      <c r="L24" s="343"/>
      <c r="M24" s="343"/>
      <c r="N24" s="345"/>
      <c r="O24" s="345"/>
      <c r="P24" s="343"/>
      <c r="Q24" s="343"/>
      <c r="R24" s="345"/>
      <c r="S24" s="345"/>
      <c r="T24" s="343"/>
      <c r="U24" s="343"/>
      <c r="V24" s="345"/>
      <c r="W24" s="345"/>
      <c r="X24" s="343"/>
      <c r="Y24" s="343"/>
      <c r="Z24" s="345"/>
      <c r="AA24" s="345"/>
      <c r="AB24" s="343"/>
      <c r="AC24" s="343"/>
    </row>
    <row r="25" spans="1:29" ht="14.25" customHeight="1" x14ac:dyDescent="0.25">
      <c r="A25" s="338">
        <v>46265</v>
      </c>
      <c r="B25" s="347">
        <f t="shared" si="2"/>
        <v>6794.38</v>
      </c>
      <c r="C25" s="348" t="s">
        <v>1035</v>
      </c>
      <c r="D25" s="342"/>
      <c r="E25" s="343">
        <v>6794.38</v>
      </c>
      <c r="F25" s="345"/>
      <c r="G25" s="345"/>
      <c r="H25" s="343"/>
      <c r="I25" s="343"/>
      <c r="J25" s="345"/>
      <c r="K25" s="345"/>
      <c r="L25" s="343"/>
      <c r="M25" s="343"/>
      <c r="N25" s="345"/>
      <c r="O25" s="345"/>
      <c r="P25" s="343"/>
      <c r="Q25" s="343"/>
      <c r="R25" s="345"/>
      <c r="S25" s="345"/>
      <c r="T25" s="343"/>
      <c r="U25" s="343"/>
      <c r="V25" s="345"/>
      <c r="W25" s="345"/>
      <c r="X25" s="343"/>
      <c r="Y25" s="343"/>
      <c r="Z25" s="345"/>
      <c r="AA25" s="345"/>
      <c r="AB25" s="343"/>
      <c r="AC25" s="343"/>
    </row>
    <row r="26" spans="1:29" ht="14.25" customHeight="1" x14ac:dyDescent="0.25">
      <c r="A26" s="338">
        <v>46265</v>
      </c>
      <c r="B26" s="347">
        <f t="shared" si="2"/>
        <v>2000</v>
      </c>
      <c r="C26" s="348" t="s">
        <v>1031</v>
      </c>
      <c r="D26" s="342"/>
      <c r="E26" s="343"/>
      <c r="F26" s="345"/>
      <c r="G26" s="345"/>
      <c r="H26" s="343"/>
      <c r="I26" s="343">
        <v>350</v>
      </c>
      <c r="J26" s="345"/>
      <c r="K26" s="345">
        <v>320</v>
      </c>
      <c r="L26" s="343"/>
      <c r="M26" s="343">
        <v>25</v>
      </c>
      <c r="N26" s="345"/>
      <c r="O26" s="345">
        <v>25</v>
      </c>
      <c r="P26" s="343"/>
      <c r="Q26" s="343">
        <v>45</v>
      </c>
      <c r="R26" s="345"/>
      <c r="S26" s="345">
        <v>400</v>
      </c>
      <c r="T26" s="343"/>
      <c r="U26" s="343">
        <v>375</v>
      </c>
      <c r="V26" s="345"/>
      <c r="W26" s="345">
        <v>100</v>
      </c>
      <c r="X26" s="343"/>
      <c r="Y26" s="343">
        <v>85</v>
      </c>
      <c r="Z26" s="345"/>
      <c r="AA26" s="345">
        <v>230</v>
      </c>
      <c r="AB26" s="343"/>
      <c r="AC26" s="343">
        <v>45</v>
      </c>
    </row>
    <row r="27" spans="1:29" ht="14.25" customHeight="1" x14ac:dyDescent="0.25">
      <c r="A27" s="338">
        <v>46265</v>
      </c>
      <c r="B27" s="347">
        <f t="shared" si="2"/>
        <v>53.41</v>
      </c>
      <c r="C27" s="348" t="s">
        <v>502</v>
      </c>
      <c r="D27" s="342"/>
      <c r="E27" s="343"/>
      <c r="F27" s="345"/>
      <c r="G27" s="345">
        <v>53.41</v>
      </c>
      <c r="H27" s="343"/>
      <c r="I27" s="343"/>
      <c r="J27" s="345"/>
      <c r="K27" s="345"/>
      <c r="L27" s="343"/>
      <c r="M27" s="343"/>
      <c r="N27" s="345"/>
      <c r="O27" s="345"/>
      <c r="P27" s="343"/>
      <c r="Q27" s="343"/>
      <c r="R27" s="345"/>
      <c r="S27" s="345"/>
      <c r="T27" s="343"/>
      <c r="U27" s="343"/>
      <c r="V27" s="345"/>
      <c r="W27" s="345"/>
      <c r="X27" s="343"/>
      <c r="Y27" s="343"/>
      <c r="Z27" s="345"/>
      <c r="AA27" s="345"/>
      <c r="AB27" s="343"/>
      <c r="AC27" s="343"/>
    </row>
    <row r="28" spans="1:29" ht="14.25" customHeight="1" x14ac:dyDescent="0.25">
      <c r="A28" s="338">
        <v>46265</v>
      </c>
      <c r="B28" s="347">
        <f t="shared" si="2"/>
        <v>0.41</v>
      </c>
      <c r="C28" s="348" t="s">
        <v>503</v>
      </c>
      <c r="D28" s="342"/>
      <c r="E28" s="343"/>
      <c r="F28" s="345"/>
      <c r="G28" s="345">
        <v>0.41</v>
      </c>
      <c r="H28" s="343"/>
      <c r="I28" s="343"/>
      <c r="J28" s="345"/>
      <c r="K28" s="345"/>
      <c r="L28" s="343"/>
      <c r="M28" s="343"/>
      <c r="N28" s="345"/>
      <c r="O28" s="345"/>
      <c r="P28" s="343"/>
      <c r="Q28" s="343"/>
      <c r="R28" s="345"/>
      <c r="S28" s="345"/>
      <c r="T28" s="343"/>
      <c r="U28" s="343"/>
      <c r="V28" s="345"/>
      <c r="W28" s="345"/>
      <c r="X28" s="343"/>
      <c r="Y28" s="343"/>
      <c r="Z28" s="345"/>
      <c r="AA28" s="345"/>
      <c r="AB28" s="343"/>
      <c r="AC28" s="343"/>
    </row>
    <row r="29" spans="1:29" ht="14.25" customHeight="1" x14ac:dyDescent="0.25">
      <c r="A29" s="338">
        <v>46265</v>
      </c>
      <c r="B29" s="347">
        <f t="shared" si="2"/>
        <v>-191.64</v>
      </c>
      <c r="C29" s="348" t="s">
        <v>422</v>
      </c>
      <c r="D29" s="342"/>
      <c r="E29" s="343"/>
      <c r="F29" s="345"/>
      <c r="G29" s="345"/>
      <c r="H29" s="343"/>
      <c r="I29" s="343"/>
      <c r="J29" s="345"/>
      <c r="K29" s="345"/>
      <c r="L29" s="343"/>
      <c r="M29" s="343"/>
      <c r="N29" s="345"/>
      <c r="O29" s="345"/>
      <c r="P29" s="343">
        <v>95.82</v>
      </c>
      <c r="Q29" s="343"/>
      <c r="R29" s="345"/>
      <c r="S29" s="345"/>
      <c r="T29" s="343"/>
      <c r="U29" s="343"/>
      <c r="V29" s="345"/>
      <c r="W29" s="345"/>
      <c r="X29" s="343"/>
      <c r="Y29" s="343"/>
      <c r="Z29" s="345"/>
      <c r="AA29" s="345"/>
      <c r="AB29" s="343">
        <v>95.82</v>
      </c>
      <c r="AC29" s="343"/>
    </row>
    <row r="30" spans="1:29" ht="14.25" customHeight="1" x14ac:dyDescent="0.25">
      <c r="A30" s="338">
        <v>46261</v>
      </c>
      <c r="B30" s="347">
        <f t="shared" si="2"/>
        <v>99.61</v>
      </c>
      <c r="C30" s="348" t="s">
        <v>507</v>
      </c>
      <c r="D30" s="342"/>
      <c r="E30" s="343"/>
      <c r="F30" s="345"/>
      <c r="G30" s="345">
        <v>99.61</v>
      </c>
      <c r="H30" s="343"/>
      <c r="I30" s="343"/>
      <c r="J30" s="345"/>
      <c r="K30" s="345"/>
      <c r="L30" s="343"/>
      <c r="M30" s="343"/>
      <c r="N30" s="345"/>
      <c r="O30" s="345"/>
      <c r="P30" s="343"/>
      <c r="Q30" s="343"/>
      <c r="R30" s="345"/>
      <c r="S30" s="345"/>
      <c r="T30" s="343"/>
      <c r="U30" s="343"/>
      <c r="V30" s="345"/>
      <c r="W30" s="345"/>
      <c r="X30" s="343"/>
      <c r="Y30" s="343"/>
      <c r="Z30" s="345"/>
      <c r="AA30" s="345"/>
      <c r="AB30" s="343"/>
      <c r="AC30" s="343"/>
    </row>
    <row r="31" spans="1:29" ht="14.25" customHeight="1" x14ac:dyDescent="0.25">
      <c r="A31" s="338">
        <v>46253</v>
      </c>
      <c r="B31" s="347">
        <f t="shared" si="2"/>
        <v>-219.38</v>
      </c>
      <c r="C31" s="348" t="s">
        <v>1032</v>
      </c>
      <c r="D31" s="342"/>
      <c r="E31" s="343"/>
      <c r="F31" s="345"/>
      <c r="G31" s="345"/>
      <c r="H31" s="343"/>
      <c r="I31" s="343"/>
      <c r="J31" s="345"/>
      <c r="K31" s="345"/>
      <c r="L31" s="343"/>
      <c r="M31" s="343"/>
      <c r="N31" s="345"/>
      <c r="O31" s="345"/>
      <c r="P31" s="343"/>
      <c r="Q31" s="343"/>
      <c r="R31" s="345"/>
      <c r="S31" s="345"/>
      <c r="T31" s="343">
        <v>219.38</v>
      </c>
      <c r="U31" s="343"/>
      <c r="V31" s="345"/>
      <c r="W31" s="345"/>
      <c r="X31" s="343"/>
      <c r="Y31" s="343"/>
      <c r="Z31" s="345"/>
      <c r="AA31" s="345"/>
      <c r="AB31" s="343"/>
      <c r="AC31" s="343"/>
    </row>
    <row r="32" spans="1:29" ht="14.25" customHeight="1" x14ac:dyDescent="0.25">
      <c r="A32" s="338">
        <v>46244</v>
      </c>
      <c r="B32" s="347">
        <f t="shared" si="2"/>
        <v>-960</v>
      </c>
      <c r="C32" s="348" t="s">
        <v>899</v>
      </c>
      <c r="D32" s="342"/>
      <c r="E32" s="343"/>
      <c r="F32" s="345"/>
      <c r="G32" s="345"/>
      <c r="H32" s="343"/>
      <c r="I32" s="343"/>
      <c r="J32" s="345"/>
      <c r="K32" s="345"/>
      <c r="L32" s="343"/>
      <c r="M32" s="343"/>
      <c r="N32" s="345"/>
      <c r="O32" s="345"/>
      <c r="P32" s="343"/>
      <c r="Q32" s="343"/>
      <c r="R32" s="345"/>
      <c r="S32" s="345"/>
      <c r="T32" s="343">
        <v>960</v>
      </c>
      <c r="U32" s="343"/>
      <c r="V32" s="345"/>
      <c r="W32" s="345"/>
      <c r="X32" s="343"/>
      <c r="Y32" s="343"/>
      <c r="Z32" s="345"/>
      <c r="AA32" s="345"/>
      <c r="AB32" s="343"/>
      <c r="AC32" s="343"/>
    </row>
    <row r="33" spans="1:29" ht="14.25" customHeight="1" x14ac:dyDescent="0.25">
      <c r="A33" s="338">
        <v>46243</v>
      </c>
      <c r="B33" s="347">
        <f t="shared" si="2"/>
        <v>-116.04</v>
      </c>
      <c r="C33" s="348" t="s">
        <v>856</v>
      </c>
      <c r="D33" s="342">
        <v>116.04</v>
      </c>
      <c r="E33" s="343"/>
      <c r="F33" s="345"/>
      <c r="G33" s="345"/>
      <c r="H33" s="343"/>
      <c r="I33" s="343"/>
      <c r="J33" s="345"/>
      <c r="K33" s="345"/>
      <c r="L33" s="343"/>
      <c r="M33" s="343"/>
      <c r="N33" s="345"/>
      <c r="O33" s="345"/>
      <c r="P33" s="343"/>
      <c r="Q33" s="343"/>
      <c r="R33" s="345"/>
      <c r="S33" s="345"/>
      <c r="T33" s="343"/>
      <c r="U33" s="343"/>
      <c r="V33" s="345"/>
      <c r="W33" s="345"/>
      <c r="X33" s="343"/>
      <c r="Y33" s="343"/>
      <c r="Z33" s="345"/>
      <c r="AA33" s="345"/>
      <c r="AB33" s="343"/>
      <c r="AC33" s="343"/>
    </row>
    <row r="34" spans="1:29" ht="14.25" customHeight="1" x14ac:dyDescent="0.25">
      <c r="A34" s="338">
        <v>46240</v>
      </c>
      <c r="B34" s="347">
        <f t="shared" si="2"/>
        <v>52.8</v>
      </c>
      <c r="C34" s="348" t="s">
        <v>507</v>
      </c>
      <c r="D34" s="342"/>
      <c r="E34" s="343"/>
      <c r="F34" s="345"/>
      <c r="G34" s="345">
        <v>52.8</v>
      </c>
      <c r="H34" s="343"/>
      <c r="I34" s="343"/>
      <c r="J34" s="345"/>
      <c r="K34" s="345"/>
      <c r="L34" s="343"/>
      <c r="M34" s="343"/>
      <c r="N34" s="345"/>
      <c r="O34" s="345"/>
      <c r="P34" s="343"/>
      <c r="Q34" s="343"/>
      <c r="R34" s="345"/>
      <c r="S34" s="345"/>
      <c r="T34" s="343"/>
      <c r="U34" s="343"/>
      <c r="V34" s="345"/>
      <c r="W34" s="345"/>
      <c r="X34" s="343"/>
      <c r="Y34" s="343"/>
      <c r="Z34" s="345"/>
      <c r="AA34" s="345"/>
      <c r="AB34" s="343"/>
      <c r="AC34" s="343"/>
    </row>
    <row r="35" spans="1:29" ht="14.25" customHeight="1" x14ac:dyDescent="0.25">
      <c r="A35" s="338">
        <v>46238</v>
      </c>
      <c r="B35" s="347">
        <f t="shared" si="2"/>
        <v>-500</v>
      </c>
      <c r="C35" s="348" t="s">
        <v>894</v>
      </c>
      <c r="D35" s="342">
        <v>500</v>
      </c>
      <c r="E35" s="343"/>
      <c r="F35" s="345"/>
      <c r="G35" s="345"/>
      <c r="H35" s="343"/>
      <c r="I35" s="343"/>
      <c r="J35" s="345"/>
      <c r="K35" s="345"/>
      <c r="L35" s="343"/>
      <c r="M35" s="343"/>
      <c r="N35" s="345"/>
      <c r="O35" s="345"/>
      <c r="P35" s="343"/>
      <c r="Q35" s="343"/>
      <c r="R35" s="345"/>
      <c r="S35" s="345"/>
      <c r="T35" s="343"/>
      <c r="U35" s="343"/>
      <c r="V35" s="345"/>
      <c r="W35" s="345"/>
      <c r="X35" s="343"/>
      <c r="Y35" s="343"/>
      <c r="Z35" s="345"/>
      <c r="AA35" s="345"/>
      <c r="AB35" s="343"/>
      <c r="AC35" s="343"/>
    </row>
    <row r="36" spans="1:29" ht="14.25" customHeight="1" x14ac:dyDescent="0.25">
      <c r="A36" s="338">
        <v>46238</v>
      </c>
      <c r="B36" s="347">
        <f t="shared" si="2"/>
        <v>-500</v>
      </c>
      <c r="C36" s="348" t="s">
        <v>895</v>
      </c>
      <c r="D36" s="342">
        <v>500</v>
      </c>
      <c r="E36" s="343"/>
      <c r="F36" s="345"/>
      <c r="G36" s="345"/>
      <c r="H36" s="343"/>
      <c r="I36" s="343"/>
      <c r="J36" s="345"/>
      <c r="K36" s="345"/>
      <c r="L36" s="343"/>
      <c r="M36" s="343"/>
      <c r="N36" s="345"/>
      <c r="O36" s="345"/>
      <c r="P36" s="343"/>
      <c r="Q36" s="343"/>
      <c r="R36" s="345"/>
      <c r="S36" s="345"/>
      <c r="T36" s="343"/>
      <c r="U36" s="343"/>
      <c r="V36" s="345"/>
      <c r="W36" s="345"/>
      <c r="X36" s="343"/>
      <c r="Y36" s="343"/>
      <c r="Z36" s="345"/>
      <c r="AA36" s="345"/>
      <c r="AB36" s="343"/>
      <c r="AC36" s="343"/>
    </row>
    <row r="37" spans="1:29" ht="14.25" customHeight="1" x14ac:dyDescent="0.25">
      <c r="A37" s="338">
        <v>46238</v>
      </c>
      <c r="B37" s="347">
        <f t="shared" si="2"/>
        <v>-121.4</v>
      </c>
      <c r="C37" s="348" t="s">
        <v>531</v>
      </c>
      <c r="D37" s="342"/>
      <c r="E37" s="343"/>
      <c r="F37" s="345"/>
      <c r="G37" s="345"/>
      <c r="H37" s="343">
        <v>121.4</v>
      </c>
      <c r="I37" s="343"/>
      <c r="J37" s="345"/>
      <c r="K37" s="345"/>
      <c r="L37" s="343"/>
      <c r="M37" s="343"/>
      <c r="N37" s="345"/>
      <c r="O37" s="345"/>
      <c r="P37" s="343"/>
      <c r="Q37" s="343"/>
      <c r="R37" s="345"/>
      <c r="S37" s="345"/>
      <c r="T37" s="343"/>
      <c r="U37" s="343"/>
      <c r="V37" s="345"/>
      <c r="W37" s="345"/>
      <c r="X37" s="343"/>
      <c r="Y37" s="343"/>
      <c r="Z37" s="345"/>
      <c r="AA37" s="345"/>
      <c r="AB37" s="343"/>
      <c r="AC37" s="343"/>
    </row>
    <row r="38" spans="1:29" ht="14.25" customHeight="1" x14ac:dyDescent="0.25">
      <c r="A38" s="338">
        <v>46234</v>
      </c>
      <c r="B38" s="347">
        <f t="shared" si="2"/>
        <v>8746.27</v>
      </c>
      <c r="C38" s="348" t="s">
        <v>1002</v>
      </c>
      <c r="D38" s="342"/>
      <c r="E38" s="343">
        <v>8746.27</v>
      </c>
      <c r="F38" s="345"/>
      <c r="G38" s="345"/>
      <c r="H38" s="343"/>
      <c r="I38" s="343"/>
      <c r="J38" s="345"/>
      <c r="K38" s="345"/>
      <c r="L38" s="343"/>
      <c r="M38" s="343"/>
      <c r="N38" s="345"/>
      <c r="O38" s="345"/>
      <c r="P38" s="343"/>
      <c r="Q38" s="343"/>
      <c r="R38" s="345"/>
      <c r="S38" s="345"/>
      <c r="T38" s="343"/>
      <c r="U38" s="343"/>
      <c r="V38" s="345"/>
      <c r="W38" s="345"/>
      <c r="X38" s="343"/>
      <c r="Y38" s="343"/>
      <c r="Z38" s="345"/>
      <c r="AA38" s="345"/>
      <c r="AB38" s="343"/>
      <c r="AC38" s="343"/>
    </row>
    <row r="39" spans="1:29" ht="14.25" customHeight="1" x14ac:dyDescent="0.25">
      <c r="A39" s="338">
        <v>46234</v>
      </c>
      <c r="B39" s="347">
        <f t="shared" si="2"/>
        <v>2000</v>
      </c>
      <c r="C39" s="348" t="s">
        <v>1003</v>
      </c>
      <c r="D39" s="342"/>
      <c r="E39" s="343"/>
      <c r="F39" s="345"/>
      <c r="G39" s="345"/>
      <c r="H39" s="343"/>
      <c r="I39" s="343">
        <v>350</v>
      </c>
      <c r="J39" s="345"/>
      <c r="K39" s="345">
        <v>320</v>
      </c>
      <c r="L39" s="343"/>
      <c r="M39" s="343">
        <v>25</v>
      </c>
      <c r="N39" s="345"/>
      <c r="O39" s="345">
        <v>25</v>
      </c>
      <c r="P39" s="343"/>
      <c r="Q39" s="343">
        <v>45</v>
      </c>
      <c r="R39" s="345"/>
      <c r="S39" s="345">
        <v>400</v>
      </c>
      <c r="T39" s="343"/>
      <c r="U39" s="343">
        <v>375</v>
      </c>
      <c r="V39" s="345"/>
      <c r="W39" s="345">
        <v>100</v>
      </c>
      <c r="X39" s="343"/>
      <c r="Y39" s="343">
        <v>85</v>
      </c>
      <c r="Z39" s="345"/>
      <c r="AA39" s="345">
        <v>230</v>
      </c>
      <c r="AB39" s="343"/>
      <c r="AC39" s="343">
        <v>45</v>
      </c>
    </row>
    <row r="40" spans="1:29" ht="14.25" customHeight="1" x14ac:dyDescent="0.25">
      <c r="A40" s="338">
        <v>46234</v>
      </c>
      <c r="B40" s="347">
        <f t="shared" si="2"/>
        <v>0.22</v>
      </c>
      <c r="C40" s="348" t="s">
        <v>503</v>
      </c>
      <c r="D40" s="342"/>
      <c r="E40" s="343"/>
      <c r="F40" s="345"/>
      <c r="G40" s="345">
        <v>0.22</v>
      </c>
      <c r="H40" s="343"/>
      <c r="I40" s="343"/>
      <c r="J40" s="345"/>
      <c r="K40" s="345"/>
      <c r="L40" s="343"/>
      <c r="M40" s="343"/>
      <c r="N40" s="345"/>
      <c r="O40" s="345"/>
      <c r="P40" s="343"/>
      <c r="Q40" s="343"/>
      <c r="R40" s="345"/>
      <c r="S40" s="345"/>
      <c r="T40" s="343"/>
      <c r="U40" s="343"/>
      <c r="V40" s="345"/>
      <c r="W40" s="345"/>
      <c r="X40" s="343"/>
      <c r="Y40" s="343"/>
      <c r="Z40" s="345"/>
      <c r="AA40" s="345"/>
      <c r="AB40" s="343"/>
      <c r="AC40" s="343"/>
    </row>
    <row r="41" spans="1:29" ht="14.25" customHeight="1" x14ac:dyDescent="0.25">
      <c r="A41" s="338">
        <v>46232</v>
      </c>
      <c r="B41" s="347">
        <f t="shared" si="2"/>
        <v>52.7</v>
      </c>
      <c r="C41" s="348" t="s">
        <v>502</v>
      </c>
      <c r="D41" s="342"/>
      <c r="E41" s="343"/>
      <c r="F41" s="345"/>
      <c r="G41" s="345">
        <v>52.7</v>
      </c>
      <c r="H41" s="343"/>
      <c r="I41" s="343"/>
      <c r="J41" s="345"/>
      <c r="K41" s="345"/>
      <c r="L41" s="343"/>
      <c r="M41" s="343"/>
      <c r="N41" s="345"/>
      <c r="O41" s="345"/>
      <c r="P41" s="343"/>
      <c r="Q41" s="343"/>
      <c r="R41" s="345"/>
      <c r="S41" s="345"/>
      <c r="T41" s="343"/>
      <c r="U41" s="343"/>
      <c r="V41" s="345"/>
      <c r="W41" s="345"/>
      <c r="X41" s="343"/>
      <c r="Y41" s="343"/>
      <c r="Z41" s="345"/>
      <c r="AA41" s="345"/>
      <c r="AB41" s="343"/>
      <c r="AC41" s="343"/>
    </row>
    <row r="42" spans="1:29" ht="14.25" customHeight="1" x14ac:dyDescent="0.25">
      <c r="A42" s="338">
        <v>46231</v>
      </c>
      <c r="B42" s="347">
        <f t="shared" si="2"/>
        <v>-1171.3800000000001</v>
      </c>
      <c r="C42" s="348" t="s">
        <v>523</v>
      </c>
      <c r="D42" s="342"/>
      <c r="E42" s="343"/>
      <c r="F42" s="345"/>
      <c r="G42" s="345"/>
      <c r="H42" s="343"/>
      <c r="I42" s="343"/>
      <c r="J42" s="345"/>
      <c r="K42" s="345"/>
      <c r="L42" s="343"/>
      <c r="M42" s="343"/>
      <c r="N42" s="345"/>
      <c r="O42" s="345"/>
      <c r="P42" s="343"/>
      <c r="Q42" s="343"/>
      <c r="R42" s="345"/>
      <c r="S42" s="345"/>
      <c r="T42" s="343"/>
      <c r="U42" s="343"/>
      <c r="V42" s="345"/>
      <c r="W42" s="345"/>
      <c r="X42" s="343"/>
      <c r="Y42" s="343"/>
      <c r="Z42" s="345">
        <v>1171.3800000000001</v>
      </c>
      <c r="AA42" s="345"/>
      <c r="AB42" s="343"/>
      <c r="AC42" s="343"/>
    </row>
    <row r="43" spans="1:29" ht="14.25" customHeight="1" x14ac:dyDescent="0.25">
      <c r="A43" s="338">
        <v>46226</v>
      </c>
      <c r="B43" s="347">
        <f t="shared" si="2"/>
        <v>-133.13999999999999</v>
      </c>
      <c r="C43" s="348" t="s">
        <v>315</v>
      </c>
      <c r="D43" s="342"/>
      <c r="E43" s="343"/>
      <c r="F43" s="345"/>
      <c r="G43" s="345"/>
      <c r="H43" s="343"/>
      <c r="I43" s="343"/>
      <c r="J43" s="345"/>
      <c r="K43" s="345"/>
      <c r="L43" s="343">
        <v>66.569999999999993</v>
      </c>
      <c r="M43" s="343"/>
      <c r="N43" s="345">
        <v>66.569999999999993</v>
      </c>
      <c r="O43" s="345"/>
      <c r="P43" s="343"/>
      <c r="Q43" s="343"/>
      <c r="R43" s="345"/>
      <c r="S43" s="345"/>
      <c r="T43" s="343"/>
      <c r="U43" s="343"/>
      <c r="V43" s="345"/>
      <c r="W43" s="345"/>
      <c r="X43" s="343"/>
      <c r="Y43" s="343"/>
      <c r="Z43" s="345"/>
      <c r="AA43" s="345"/>
      <c r="AB43" s="343"/>
      <c r="AC43" s="343"/>
    </row>
    <row r="44" spans="1:29" ht="14.25" customHeight="1" x14ac:dyDescent="0.25">
      <c r="A44" s="338">
        <v>46214</v>
      </c>
      <c r="B44" s="347">
        <f t="shared" si="2"/>
        <v>53.11</v>
      </c>
      <c r="C44" s="348" t="s">
        <v>507</v>
      </c>
      <c r="D44" s="342"/>
      <c r="E44" s="343"/>
      <c r="F44" s="345"/>
      <c r="G44" s="345">
        <v>53.11</v>
      </c>
      <c r="H44" s="343"/>
      <c r="I44" s="343"/>
      <c r="J44" s="345"/>
      <c r="K44" s="345"/>
      <c r="L44" s="343"/>
      <c r="M44" s="343"/>
      <c r="N44" s="345"/>
      <c r="O44" s="345"/>
      <c r="P44" s="343"/>
      <c r="Q44" s="343"/>
      <c r="R44" s="345"/>
      <c r="S44" s="345"/>
      <c r="T44" s="343"/>
      <c r="U44" s="343"/>
      <c r="V44" s="345"/>
      <c r="W44" s="345"/>
      <c r="X44" s="343"/>
      <c r="Y44" s="343"/>
      <c r="Z44" s="345"/>
      <c r="AA44" s="345"/>
      <c r="AB44" s="343"/>
      <c r="AC44" s="343"/>
    </row>
    <row r="45" spans="1:29" ht="14.25" customHeight="1" x14ac:dyDescent="0.25">
      <c r="A45" s="338">
        <v>46212</v>
      </c>
      <c r="B45" s="347">
        <f t="shared" si="2"/>
        <v>300</v>
      </c>
      <c r="C45" s="348" t="s">
        <v>971</v>
      </c>
      <c r="D45" s="342"/>
      <c r="E45" s="343">
        <v>300</v>
      </c>
      <c r="F45" s="345"/>
      <c r="G45" s="345"/>
      <c r="H45" s="343"/>
      <c r="I45" s="343"/>
      <c r="J45" s="345"/>
      <c r="K45" s="345"/>
      <c r="L45" s="343"/>
      <c r="M45" s="343"/>
      <c r="N45" s="345"/>
      <c r="O45" s="345"/>
      <c r="P45" s="343"/>
      <c r="Q45" s="343"/>
      <c r="R45" s="345"/>
      <c r="S45" s="345"/>
      <c r="T45" s="343"/>
      <c r="U45" s="343"/>
      <c r="V45" s="345"/>
      <c r="W45" s="345"/>
      <c r="X45" s="343"/>
      <c r="Y45" s="343"/>
      <c r="Z45" s="345"/>
      <c r="AA45" s="345"/>
      <c r="AB45" s="343"/>
      <c r="AC45" s="343"/>
    </row>
    <row r="46" spans="1:29" ht="14.25" customHeight="1" x14ac:dyDescent="0.25">
      <c r="A46" s="338">
        <v>46211</v>
      </c>
      <c r="B46" s="347">
        <f t="shared" si="2"/>
        <v>-960</v>
      </c>
      <c r="C46" s="348" t="s">
        <v>899</v>
      </c>
      <c r="D46" s="342"/>
      <c r="E46" s="343"/>
      <c r="F46" s="345"/>
      <c r="G46" s="345"/>
      <c r="H46" s="343"/>
      <c r="I46" s="343"/>
      <c r="J46" s="345"/>
      <c r="K46" s="345"/>
      <c r="L46" s="343"/>
      <c r="M46" s="343"/>
      <c r="N46" s="345"/>
      <c r="O46" s="345"/>
      <c r="P46" s="343"/>
      <c r="Q46" s="343"/>
      <c r="R46" s="345"/>
      <c r="S46" s="345"/>
      <c r="T46" s="343">
        <v>960</v>
      </c>
      <c r="U46" s="343"/>
      <c r="V46" s="345"/>
      <c r="W46" s="345"/>
      <c r="X46" s="343"/>
      <c r="Y46" s="343"/>
      <c r="Z46" s="345"/>
      <c r="AA46" s="345"/>
      <c r="AB46" s="343"/>
      <c r="AC46" s="343"/>
    </row>
    <row r="47" spans="1:29" ht="14.25" customHeight="1" x14ac:dyDescent="0.25">
      <c r="A47" s="338">
        <v>46209</v>
      </c>
      <c r="B47" s="347">
        <f t="shared" si="2"/>
        <v>-1182.68</v>
      </c>
      <c r="C47" s="348" t="s">
        <v>1000</v>
      </c>
      <c r="D47" s="342">
        <v>1182.68</v>
      </c>
      <c r="E47" s="343"/>
      <c r="F47" s="345"/>
      <c r="G47" s="345"/>
      <c r="H47" s="343"/>
      <c r="I47" s="343"/>
      <c r="J47" s="345"/>
      <c r="K47" s="345"/>
      <c r="L47" s="343"/>
      <c r="M47" s="343"/>
      <c r="N47" s="345"/>
      <c r="O47" s="345"/>
      <c r="P47" s="343"/>
      <c r="Q47" s="343"/>
      <c r="R47" s="345"/>
      <c r="S47" s="345"/>
      <c r="T47" s="343"/>
      <c r="U47" s="343"/>
      <c r="V47" s="345"/>
      <c r="W47" s="345"/>
      <c r="X47" s="343"/>
      <c r="Y47" s="343"/>
      <c r="Z47" s="345"/>
      <c r="AA47" s="345"/>
      <c r="AB47" s="343"/>
      <c r="AC47" s="343"/>
    </row>
    <row r="48" spans="1:29" ht="14.25" customHeight="1" x14ac:dyDescent="0.25">
      <c r="A48" s="338">
        <v>46209</v>
      </c>
      <c r="B48" s="347">
        <f t="shared" si="2"/>
        <v>350</v>
      </c>
      <c r="C48" s="348" t="s">
        <v>969</v>
      </c>
      <c r="D48" s="342"/>
      <c r="E48" s="343">
        <v>350</v>
      </c>
      <c r="F48" s="345"/>
      <c r="G48" s="345"/>
      <c r="H48" s="343"/>
      <c r="I48" s="343"/>
      <c r="J48" s="345"/>
      <c r="K48" s="345"/>
      <c r="L48" s="343"/>
      <c r="M48" s="343"/>
      <c r="N48" s="345"/>
      <c r="O48" s="345"/>
      <c r="P48" s="343"/>
      <c r="Q48" s="343"/>
      <c r="R48" s="345"/>
      <c r="S48" s="345"/>
      <c r="T48" s="343"/>
      <c r="U48" s="343"/>
      <c r="V48" s="345"/>
      <c r="W48" s="345"/>
      <c r="X48" s="343"/>
      <c r="Y48" s="343"/>
      <c r="Z48" s="345"/>
      <c r="AA48" s="345"/>
      <c r="AB48" s="343"/>
      <c r="AC48" s="343"/>
    </row>
    <row r="49" spans="1:29" ht="14.25" customHeight="1" x14ac:dyDescent="0.25">
      <c r="A49" s="338">
        <v>46209</v>
      </c>
      <c r="B49" s="347">
        <f t="shared" si="2"/>
        <v>-8500</v>
      </c>
      <c r="C49" s="348" t="s">
        <v>955</v>
      </c>
      <c r="D49" s="342">
        <v>8500</v>
      </c>
      <c r="E49" s="343"/>
      <c r="F49" s="345"/>
      <c r="G49" s="345"/>
      <c r="H49" s="343"/>
      <c r="I49" s="343"/>
      <c r="J49" s="345"/>
      <c r="K49" s="345"/>
      <c r="L49" s="343"/>
      <c r="M49" s="343"/>
      <c r="N49" s="345"/>
      <c r="O49" s="345"/>
      <c r="P49" s="343"/>
      <c r="Q49" s="343"/>
      <c r="R49" s="345"/>
      <c r="S49" s="345"/>
      <c r="T49" s="343"/>
      <c r="U49" s="343"/>
      <c r="V49" s="345"/>
      <c r="W49" s="345"/>
      <c r="X49" s="343"/>
      <c r="Y49" s="343"/>
      <c r="Z49" s="345"/>
      <c r="AA49" s="345"/>
      <c r="AB49" s="343"/>
      <c r="AC49" s="343"/>
    </row>
    <row r="50" spans="1:29" ht="14.25" customHeight="1" x14ac:dyDescent="0.25">
      <c r="A50" s="338">
        <v>46209</v>
      </c>
      <c r="B50" s="347">
        <f t="shared" si="2"/>
        <v>-150</v>
      </c>
      <c r="C50" s="348" t="s">
        <v>970</v>
      </c>
      <c r="D50" s="342"/>
      <c r="E50" s="343"/>
      <c r="F50" s="345"/>
      <c r="G50" s="345"/>
      <c r="H50" s="343">
        <v>150</v>
      </c>
      <c r="I50" s="343"/>
      <c r="J50" s="345"/>
      <c r="K50" s="345"/>
      <c r="L50" s="343"/>
      <c r="M50" s="343"/>
      <c r="N50" s="345"/>
      <c r="O50" s="345"/>
      <c r="P50" s="343"/>
      <c r="Q50" s="343"/>
      <c r="R50" s="345"/>
      <c r="S50" s="345"/>
      <c r="T50" s="343"/>
      <c r="U50" s="343"/>
      <c r="V50" s="345"/>
      <c r="W50" s="345"/>
      <c r="X50" s="343"/>
      <c r="Y50" s="343"/>
      <c r="Z50" s="345"/>
      <c r="AA50" s="345"/>
      <c r="AB50" s="343"/>
      <c r="AC50" s="343"/>
    </row>
    <row r="51" spans="1:29" ht="14.25" customHeight="1" x14ac:dyDescent="0.25">
      <c r="A51" s="338">
        <v>46205</v>
      </c>
      <c r="B51" s="347">
        <f t="shared" si="2"/>
        <v>-783</v>
      </c>
      <c r="C51" s="348" t="s">
        <v>999</v>
      </c>
      <c r="D51" s="342"/>
      <c r="E51" s="343"/>
      <c r="F51" s="345"/>
      <c r="G51" s="345"/>
      <c r="H51" s="343"/>
      <c r="I51" s="343"/>
      <c r="J51" s="345"/>
      <c r="K51" s="345"/>
      <c r="L51" s="343"/>
      <c r="M51" s="343"/>
      <c r="N51" s="345"/>
      <c r="O51" s="345"/>
      <c r="P51" s="343"/>
      <c r="Q51" s="343"/>
      <c r="R51" s="345">
        <v>783</v>
      </c>
      <c r="S51" s="345"/>
      <c r="T51" s="343"/>
      <c r="U51" s="343"/>
      <c r="V51" s="345"/>
      <c r="W51" s="345"/>
      <c r="X51" s="343"/>
      <c r="Y51" s="343"/>
      <c r="Z51" s="345"/>
      <c r="AA51" s="345"/>
      <c r="AB51" s="343"/>
      <c r="AC51" s="343"/>
    </row>
    <row r="52" spans="1:29" ht="14.25" customHeight="1" x14ac:dyDescent="0.25">
      <c r="A52" s="338">
        <v>46203</v>
      </c>
      <c r="B52" s="347">
        <f t="shared" si="2"/>
        <v>6487.16</v>
      </c>
      <c r="C52" s="348" t="s">
        <v>968</v>
      </c>
      <c r="D52" s="342"/>
      <c r="E52" s="343">
        <v>6487.16</v>
      </c>
      <c r="F52" s="345"/>
      <c r="G52" s="345"/>
      <c r="H52" s="343"/>
      <c r="I52" s="343"/>
      <c r="J52" s="345"/>
      <c r="K52" s="345"/>
      <c r="L52" s="343"/>
      <c r="M52" s="343"/>
      <c r="N52" s="345"/>
      <c r="O52" s="345"/>
      <c r="P52" s="343"/>
      <c r="Q52" s="343"/>
      <c r="R52" s="345"/>
      <c r="S52" s="345"/>
      <c r="T52" s="343"/>
      <c r="U52" s="343"/>
      <c r="V52" s="345"/>
      <c r="W52" s="345"/>
      <c r="X52" s="343"/>
      <c r="Y52" s="343"/>
      <c r="Z52" s="345"/>
      <c r="AA52" s="345"/>
      <c r="AB52" s="343"/>
      <c r="AC52" s="343"/>
    </row>
    <row r="53" spans="1:29" ht="14.25" customHeight="1" x14ac:dyDescent="0.25">
      <c r="A53" s="338">
        <v>46203</v>
      </c>
      <c r="B53" s="347">
        <f t="shared" si="2"/>
        <v>2000</v>
      </c>
      <c r="C53" s="348" t="s">
        <v>942</v>
      </c>
      <c r="D53" s="342"/>
      <c r="E53" s="343"/>
      <c r="F53" s="345"/>
      <c r="G53" s="345"/>
      <c r="H53" s="343"/>
      <c r="I53" s="343">
        <v>350</v>
      </c>
      <c r="J53" s="345"/>
      <c r="K53" s="345">
        <v>320</v>
      </c>
      <c r="L53" s="343"/>
      <c r="M53" s="343">
        <v>25</v>
      </c>
      <c r="N53" s="345"/>
      <c r="O53" s="345">
        <v>25</v>
      </c>
      <c r="P53" s="343"/>
      <c r="Q53" s="343">
        <v>45</v>
      </c>
      <c r="R53" s="345"/>
      <c r="S53" s="345">
        <v>400</v>
      </c>
      <c r="T53" s="343"/>
      <c r="U53" s="343">
        <v>375</v>
      </c>
      <c r="V53" s="345"/>
      <c r="W53" s="345">
        <v>100</v>
      </c>
      <c r="X53" s="343"/>
      <c r="Y53" s="343">
        <v>85</v>
      </c>
      <c r="Z53" s="345"/>
      <c r="AA53" s="345">
        <v>230</v>
      </c>
      <c r="AB53" s="343"/>
      <c r="AC53" s="343">
        <v>45</v>
      </c>
    </row>
    <row r="54" spans="1:29" ht="14.25" customHeight="1" x14ac:dyDescent="0.25">
      <c r="A54" s="338">
        <v>46203</v>
      </c>
      <c r="B54" s="347">
        <f t="shared" si="2"/>
        <v>0.35</v>
      </c>
      <c r="C54" s="348" t="s">
        <v>503</v>
      </c>
      <c r="D54" s="342"/>
      <c r="E54" s="343"/>
      <c r="F54" s="345"/>
      <c r="G54" s="345">
        <v>0.35</v>
      </c>
      <c r="H54" s="343"/>
      <c r="I54" s="343"/>
      <c r="J54" s="345"/>
      <c r="K54" s="345"/>
      <c r="L54" s="343"/>
      <c r="M54" s="343"/>
      <c r="N54" s="345"/>
      <c r="O54" s="345"/>
      <c r="P54" s="343"/>
      <c r="Q54" s="343"/>
      <c r="R54" s="345"/>
      <c r="S54" s="345"/>
      <c r="T54" s="343"/>
      <c r="U54" s="343"/>
      <c r="V54" s="345"/>
      <c r="W54" s="345"/>
      <c r="X54" s="343"/>
      <c r="Y54" s="343"/>
      <c r="Z54" s="345"/>
      <c r="AA54" s="345"/>
      <c r="AB54" s="343"/>
      <c r="AC54" s="343"/>
    </row>
    <row r="55" spans="1:29" ht="14.25" customHeight="1" x14ac:dyDescent="0.25">
      <c r="A55" s="338">
        <v>46203</v>
      </c>
      <c r="B55" s="347">
        <f t="shared" si="2"/>
        <v>-580</v>
      </c>
      <c r="C55" s="348" t="s">
        <v>947</v>
      </c>
      <c r="D55" s="342">
        <v>580</v>
      </c>
      <c r="E55" s="343"/>
      <c r="F55" s="345"/>
      <c r="G55" s="345"/>
      <c r="H55" s="343"/>
      <c r="I55" s="343"/>
      <c r="J55" s="345"/>
      <c r="K55" s="345"/>
      <c r="L55" s="343"/>
      <c r="M55" s="343"/>
      <c r="N55" s="345"/>
      <c r="O55" s="345"/>
      <c r="P55" s="343"/>
      <c r="Q55" s="343"/>
      <c r="R55" s="345"/>
      <c r="S55" s="345"/>
      <c r="T55" s="343"/>
      <c r="U55" s="343"/>
      <c r="V55" s="345"/>
      <c r="W55" s="345"/>
      <c r="X55" s="343"/>
      <c r="Y55" s="343"/>
      <c r="Z55" s="345"/>
      <c r="AA55" s="345"/>
      <c r="AB55" s="343"/>
      <c r="AC55" s="343"/>
    </row>
    <row r="56" spans="1:29" ht="14.25" customHeight="1" x14ac:dyDescent="0.25">
      <c r="A56" s="338">
        <v>46203</v>
      </c>
      <c r="B56" s="347">
        <f t="shared" si="2"/>
        <v>-185.64</v>
      </c>
      <c r="C56" s="348" t="s">
        <v>422</v>
      </c>
      <c r="D56" s="342"/>
      <c r="E56" s="343"/>
      <c r="F56" s="345"/>
      <c r="G56" s="345"/>
      <c r="H56" s="343"/>
      <c r="I56" s="343"/>
      <c r="J56" s="345"/>
      <c r="K56" s="345"/>
      <c r="L56" s="343"/>
      <c r="M56" s="343"/>
      <c r="N56" s="345"/>
      <c r="O56" s="345"/>
      <c r="P56" s="343">
        <v>92.82</v>
      </c>
      <c r="Q56" s="343"/>
      <c r="R56" s="345"/>
      <c r="S56" s="345"/>
      <c r="T56" s="343"/>
      <c r="U56" s="343"/>
      <c r="V56" s="345"/>
      <c r="W56" s="345"/>
      <c r="X56" s="343"/>
      <c r="Y56" s="343"/>
      <c r="Z56" s="345"/>
      <c r="AA56" s="345"/>
      <c r="AB56" s="343">
        <v>92.82</v>
      </c>
      <c r="AC56" s="343"/>
    </row>
    <row r="57" spans="1:29" ht="14.25" customHeight="1" x14ac:dyDescent="0.25">
      <c r="A57" s="338">
        <v>46203</v>
      </c>
      <c r="B57" s="347">
        <f t="shared" si="2"/>
        <v>51.56</v>
      </c>
      <c r="C57" s="348" t="s">
        <v>507</v>
      </c>
      <c r="D57" s="342"/>
      <c r="E57" s="343"/>
      <c r="F57" s="345"/>
      <c r="G57" s="345">
        <v>51.56</v>
      </c>
      <c r="H57" s="343"/>
      <c r="I57" s="343"/>
      <c r="J57" s="345"/>
      <c r="K57" s="345"/>
      <c r="L57" s="343"/>
      <c r="M57" s="343"/>
      <c r="N57" s="345"/>
      <c r="O57" s="345"/>
      <c r="P57" s="343"/>
      <c r="Q57" s="343"/>
      <c r="R57" s="345"/>
      <c r="S57" s="345"/>
      <c r="T57" s="343"/>
      <c r="U57" s="343"/>
      <c r="V57" s="345"/>
      <c r="W57" s="345"/>
      <c r="X57" s="343"/>
      <c r="Y57" s="343"/>
      <c r="Z57" s="345"/>
      <c r="AA57" s="345"/>
      <c r="AB57" s="343"/>
      <c r="AC57" s="343"/>
    </row>
    <row r="58" spans="1:29" ht="14.25" customHeight="1" x14ac:dyDescent="0.25">
      <c r="A58" s="338">
        <v>46203</v>
      </c>
      <c r="B58" s="347">
        <f t="shared" si="2"/>
        <v>53.44</v>
      </c>
      <c r="C58" s="348" t="s">
        <v>502</v>
      </c>
      <c r="D58" s="342"/>
      <c r="E58" s="343"/>
      <c r="F58" s="345"/>
      <c r="G58" s="345">
        <v>53.44</v>
      </c>
      <c r="H58" s="343"/>
      <c r="I58" s="343"/>
      <c r="J58" s="345"/>
      <c r="K58" s="345"/>
      <c r="L58" s="343"/>
      <c r="M58" s="343"/>
      <c r="N58" s="345"/>
      <c r="O58" s="345"/>
      <c r="P58" s="343"/>
      <c r="Q58" s="343"/>
      <c r="R58" s="345"/>
      <c r="S58" s="345"/>
      <c r="T58" s="343"/>
      <c r="U58" s="343"/>
      <c r="V58" s="345"/>
      <c r="W58" s="345"/>
      <c r="X58" s="343"/>
      <c r="Y58" s="343"/>
      <c r="Z58" s="345"/>
      <c r="AA58" s="345"/>
      <c r="AB58" s="343"/>
      <c r="AC58" s="343"/>
    </row>
    <row r="59" spans="1:29" ht="14.25" customHeight="1" x14ac:dyDescent="0.25">
      <c r="A59" s="338">
        <v>46203</v>
      </c>
      <c r="B59" s="347">
        <f t="shared" si="2"/>
        <v>-207.96</v>
      </c>
      <c r="C59" s="348" t="s">
        <v>944</v>
      </c>
      <c r="D59" s="342"/>
      <c r="E59" s="343"/>
      <c r="F59" s="345"/>
      <c r="G59" s="345"/>
      <c r="H59" s="343"/>
      <c r="I59" s="343"/>
      <c r="J59" s="345"/>
      <c r="K59" s="345"/>
      <c r="L59" s="343"/>
      <c r="M59" s="343"/>
      <c r="N59" s="345"/>
      <c r="O59" s="345"/>
      <c r="P59" s="343"/>
      <c r="Q59" s="343"/>
      <c r="R59" s="345">
        <v>207.96</v>
      </c>
      <c r="S59" s="345"/>
      <c r="T59" s="343"/>
      <c r="U59" s="343"/>
      <c r="V59" s="345"/>
      <c r="W59" s="345"/>
      <c r="X59" s="343"/>
      <c r="Y59" s="343"/>
      <c r="Z59" s="345"/>
      <c r="AA59" s="345"/>
      <c r="AB59" s="343"/>
      <c r="AC59" s="343"/>
    </row>
    <row r="60" spans="1:29" ht="14.25" customHeight="1" x14ac:dyDescent="0.25">
      <c r="A60" s="338">
        <v>46203</v>
      </c>
      <c r="B60" s="347">
        <f t="shared" si="2"/>
        <v>-1713.1</v>
      </c>
      <c r="C60" s="348" t="s">
        <v>529</v>
      </c>
      <c r="D60" s="342"/>
      <c r="E60" s="343"/>
      <c r="F60" s="345"/>
      <c r="G60" s="345"/>
      <c r="H60" s="343"/>
      <c r="I60" s="343"/>
      <c r="J60" s="345"/>
      <c r="K60" s="345"/>
      <c r="L60" s="343"/>
      <c r="M60" s="343"/>
      <c r="N60" s="345"/>
      <c r="O60" s="345"/>
      <c r="P60" s="343"/>
      <c r="Q60" s="343"/>
      <c r="R60" s="345">
        <v>1713.1</v>
      </c>
      <c r="S60" s="345"/>
      <c r="T60" s="343"/>
      <c r="U60" s="343"/>
      <c r="V60" s="345"/>
      <c r="W60" s="345"/>
      <c r="X60" s="343"/>
      <c r="Y60" s="343"/>
      <c r="Z60" s="345"/>
      <c r="AA60" s="345"/>
      <c r="AB60" s="343"/>
      <c r="AC60" s="343"/>
    </row>
    <row r="61" spans="1:29" ht="14.25" customHeight="1" x14ac:dyDescent="0.25">
      <c r="A61" s="338">
        <v>46189</v>
      </c>
      <c r="B61" s="347">
        <f t="shared" si="2"/>
        <v>53.17</v>
      </c>
      <c r="C61" s="348" t="s">
        <v>507</v>
      </c>
      <c r="D61" s="342"/>
      <c r="E61" s="343"/>
      <c r="F61" s="345"/>
      <c r="G61" s="345">
        <v>53.17</v>
      </c>
      <c r="H61" s="343"/>
      <c r="I61" s="343"/>
      <c r="J61" s="345"/>
      <c r="K61" s="345"/>
      <c r="L61" s="343"/>
      <c r="M61" s="343"/>
      <c r="N61" s="345"/>
      <c r="O61" s="345"/>
      <c r="P61" s="343"/>
      <c r="Q61" s="343"/>
      <c r="R61" s="345"/>
      <c r="S61" s="345"/>
      <c r="T61" s="343"/>
      <c r="U61" s="343"/>
      <c r="V61" s="345"/>
      <c r="W61" s="345"/>
      <c r="X61" s="343"/>
      <c r="Y61" s="343"/>
      <c r="Z61" s="345"/>
      <c r="AA61" s="345"/>
      <c r="AB61" s="343"/>
      <c r="AC61" s="343"/>
    </row>
    <row r="62" spans="1:29" ht="14.25" customHeight="1" x14ac:dyDescent="0.25">
      <c r="A62" s="338">
        <v>46186</v>
      </c>
      <c r="B62" s="347">
        <f t="shared" si="2"/>
        <v>57.38</v>
      </c>
      <c r="C62" s="348" t="s">
        <v>507</v>
      </c>
      <c r="D62" s="342"/>
      <c r="E62" s="343"/>
      <c r="F62" s="345"/>
      <c r="G62" s="345">
        <v>57.38</v>
      </c>
      <c r="H62" s="343"/>
      <c r="I62" s="343"/>
      <c r="J62" s="345"/>
      <c r="K62" s="345"/>
      <c r="L62" s="343"/>
      <c r="M62" s="343"/>
      <c r="N62" s="345"/>
      <c r="O62" s="345"/>
      <c r="P62" s="343"/>
      <c r="Q62" s="343"/>
      <c r="R62" s="345"/>
      <c r="S62" s="345"/>
      <c r="T62" s="343"/>
      <c r="U62" s="343"/>
      <c r="V62" s="345"/>
      <c r="W62" s="345"/>
      <c r="X62" s="343"/>
      <c r="Y62" s="343"/>
      <c r="Z62" s="345"/>
      <c r="AA62" s="345"/>
      <c r="AB62" s="343"/>
      <c r="AC62" s="343"/>
    </row>
    <row r="63" spans="1:29" ht="14.25" customHeight="1" x14ac:dyDescent="0.25">
      <c r="A63" s="338">
        <v>46184</v>
      </c>
      <c r="B63" s="347">
        <f t="shared" si="2"/>
        <v>-2159</v>
      </c>
      <c r="C63" s="348" t="s">
        <v>909</v>
      </c>
      <c r="D63" s="342"/>
      <c r="E63" s="343"/>
      <c r="F63" s="345"/>
      <c r="G63" s="345"/>
      <c r="H63" s="343"/>
      <c r="I63" s="343"/>
      <c r="J63" s="345">
        <v>2159</v>
      </c>
      <c r="K63" s="345"/>
      <c r="L63" s="343"/>
      <c r="M63" s="343"/>
      <c r="N63" s="345"/>
      <c r="O63" s="345"/>
      <c r="P63" s="343"/>
      <c r="Q63" s="343"/>
      <c r="R63" s="345"/>
      <c r="S63" s="345"/>
      <c r="T63" s="343"/>
      <c r="U63" s="343"/>
      <c r="V63" s="345"/>
      <c r="W63" s="345"/>
      <c r="X63" s="343"/>
      <c r="Y63" s="343"/>
      <c r="Z63" s="345"/>
      <c r="AA63" s="345"/>
      <c r="AB63" s="343"/>
      <c r="AC63" s="343"/>
    </row>
    <row r="64" spans="1:29" ht="14.25" customHeight="1" x14ac:dyDescent="0.25">
      <c r="A64" s="338">
        <v>46183</v>
      </c>
      <c r="B64" s="347">
        <f t="shared" si="2"/>
        <v>-816.19</v>
      </c>
      <c r="C64" s="348" t="s">
        <v>910</v>
      </c>
      <c r="D64" s="342"/>
      <c r="E64" s="343"/>
      <c r="F64" s="345"/>
      <c r="G64" s="345"/>
      <c r="H64" s="343">
        <v>816.19</v>
      </c>
      <c r="I64" s="343"/>
      <c r="J64" s="345"/>
      <c r="K64" s="345"/>
      <c r="L64" s="343"/>
      <c r="M64" s="343"/>
      <c r="N64" s="345"/>
      <c r="O64" s="345"/>
      <c r="P64" s="343"/>
      <c r="Q64" s="343"/>
      <c r="R64" s="345"/>
      <c r="S64" s="345"/>
      <c r="T64" s="343"/>
      <c r="U64" s="343"/>
      <c r="V64" s="345"/>
      <c r="W64" s="345"/>
      <c r="X64" s="343"/>
      <c r="Y64" s="343"/>
      <c r="Z64" s="345"/>
      <c r="AA64" s="345"/>
      <c r="AB64" s="343"/>
      <c r="AC64" s="343"/>
    </row>
    <row r="65" spans="1:29" ht="14.25" customHeight="1" x14ac:dyDescent="0.25">
      <c r="A65" s="338">
        <v>46180</v>
      </c>
      <c r="B65" s="347">
        <f t="shared" si="2"/>
        <v>-313.77999999999997</v>
      </c>
      <c r="C65" s="348" t="s">
        <v>888</v>
      </c>
      <c r="D65" s="342"/>
      <c r="E65" s="343"/>
      <c r="F65" s="345"/>
      <c r="G65" s="345"/>
      <c r="H65" s="343"/>
      <c r="I65" s="343"/>
      <c r="J65" s="345"/>
      <c r="K65" s="345"/>
      <c r="L65" s="343"/>
      <c r="M65" s="343"/>
      <c r="N65" s="345"/>
      <c r="O65" s="345"/>
      <c r="P65" s="343"/>
      <c r="Q65" s="343"/>
      <c r="R65" s="345"/>
      <c r="S65" s="345"/>
      <c r="T65" s="343">
        <v>313.77999999999997</v>
      </c>
      <c r="U65" s="343"/>
      <c r="V65" s="345"/>
      <c r="W65" s="345"/>
      <c r="X65" s="343"/>
      <c r="Y65" s="343"/>
      <c r="Z65" s="345"/>
      <c r="AA65" s="345"/>
      <c r="AB65" s="343"/>
      <c r="AC65" s="343"/>
    </row>
    <row r="66" spans="1:29" ht="14.25" customHeight="1" x14ac:dyDescent="0.25">
      <c r="A66" s="338">
        <v>46176</v>
      </c>
      <c r="B66" s="347">
        <f t="shared" si="2"/>
        <v>-1000</v>
      </c>
      <c r="C66" s="348" t="s">
        <v>899</v>
      </c>
      <c r="D66" s="342"/>
      <c r="E66" s="343"/>
      <c r="F66" s="345"/>
      <c r="G66" s="345"/>
      <c r="H66" s="343"/>
      <c r="I66" s="343"/>
      <c r="J66" s="345"/>
      <c r="K66" s="345"/>
      <c r="L66" s="343"/>
      <c r="M66" s="343"/>
      <c r="N66" s="345"/>
      <c r="O66" s="345"/>
      <c r="P66" s="343"/>
      <c r="Q66" s="343"/>
      <c r="R66" s="345"/>
      <c r="S66" s="345"/>
      <c r="T66" s="343">
        <v>1000</v>
      </c>
      <c r="U66" s="343"/>
      <c r="V66" s="345"/>
      <c r="W66" s="345"/>
      <c r="X66" s="343"/>
      <c r="Y66" s="343"/>
      <c r="Z66" s="345"/>
      <c r="AA66" s="345"/>
      <c r="AB66" s="343"/>
      <c r="AC66" s="343"/>
    </row>
    <row r="67" spans="1:29" ht="14.25" customHeight="1" x14ac:dyDescent="0.25">
      <c r="A67" s="338">
        <v>46174</v>
      </c>
      <c r="B67" s="347">
        <f t="shared" si="2"/>
        <v>-320</v>
      </c>
      <c r="C67" s="348" t="s">
        <v>911</v>
      </c>
      <c r="D67" s="342">
        <v>320</v>
      </c>
      <c r="E67" s="343"/>
      <c r="F67" s="345"/>
      <c r="G67" s="345"/>
      <c r="H67" s="343"/>
      <c r="I67" s="343"/>
      <c r="J67" s="345"/>
      <c r="K67" s="345"/>
      <c r="L67" s="343"/>
      <c r="M67" s="343"/>
      <c r="N67" s="345"/>
      <c r="O67" s="345"/>
      <c r="P67" s="343"/>
      <c r="Q67" s="343"/>
      <c r="R67" s="345"/>
      <c r="S67" s="345"/>
      <c r="T67" s="343"/>
      <c r="U67" s="343"/>
      <c r="V67" s="345"/>
      <c r="W67" s="345"/>
      <c r="X67" s="343"/>
      <c r="Y67" s="343"/>
      <c r="Z67" s="345"/>
      <c r="AA67" s="345"/>
      <c r="AB67" s="343"/>
      <c r="AC67" s="343"/>
    </row>
    <row r="68" spans="1:29" ht="14.25" customHeight="1" x14ac:dyDescent="0.25">
      <c r="A68" s="338">
        <v>46173</v>
      </c>
      <c r="B68" s="347">
        <f t="shared" si="2"/>
        <v>-3000</v>
      </c>
      <c r="C68" s="348" t="s">
        <v>895</v>
      </c>
      <c r="D68" s="342">
        <v>3000</v>
      </c>
      <c r="E68" s="343"/>
      <c r="F68" s="345"/>
      <c r="G68" s="345"/>
      <c r="H68" s="343"/>
      <c r="I68" s="343"/>
      <c r="J68" s="345"/>
      <c r="K68" s="345"/>
      <c r="L68" s="343"/>
      <c r="M68" s="343"/>
      <c r="N68" s="345"/>
      <c r="O68" s="345"/>
      <c r="P68" s="343"/>
      <c r="Q68" s="343"/>
      <c r="R68" s="345"/>
      <c r="S68" s="345"/>
      <c r="T68" s="343"/>
      <c r="U68" s="343"/>
      <c r="V68" s="345"/>
      <c r="W68" s="345"/>
      <c r="X68" s="343"/>
      <c r="Y68" s="343"/>
      <c r="Z68" s="345"/>
      <c r="AA68" s="345"/>
      <c r="AB68" s="343"/>
      <c r="AC68" s="343"/>
    </row>
    <row r="69" spans="1:29" ht="14.25" customHeight="1" x14ac:dyDescent="0.25">
      <c r="A69" s="338">
        <v>46173</v>
      </c>
      <c r="B69" s="347">
        <f t="shared" si="2"/>
        <v>-1000</v>
      </c>
      <c r="C69" s="348" t="s">
        <v>894</v>
      </c>
      <c r="D69" s="342">
        <v>1000</v>
      </c>
      <c r="E69" s="343"/>
      <c r="F69" s="345"/>
      <c r="G69" s="345"/>
      <c r="H69" s="343"/>
      <c r="I69" s="343"/>
      <c r="J69" s="345"/>
      <c r="K69" s="345"/>
      <c r="L69" s="343"/>
      <c r="M69" s="343"/>
      <c r="N69" s="345"/>
      <c r="O69" s="345"/>
      <c r="P69" s="343"/>
      <c r="Q69" s="343"/>
      <c r="R69" s="345"/>
      <c r="S69" s="345"/>
      <c r="T69" s="343"/>
      <c r="U69" s="343"/>
      <c r="V69" s="345"/>
      <c r="W69" s="345"/>
      <c r="X69" s="343"/>
      <c r="Y69" s="343"/>
      <c r="Z69" s="345"/>
      <c r="AA69" s="345"/>
      <c r="AB69" s="343"/>
      <c r="AC69" s="343"/>
    </row>
    <row r="70" spans="1:29" ht="14.25" customHeight="1" x14ac:dyDescent="0.25">
      <c r="A70" s="338">
        <v>46173</v>
      </c>
      <c r="B70" s="347">
        <f t="shared" si="2"/>
        <v>1160.3599999999999</v>
      </c>
      <c r="C70" s="348" t="s">
        <v>893</v>
      </c>
      <c r="D70" s="342"/>
      <c r="E70" s="343">
        <v>1160.3599999999999</v>
      </c>
      <c r="F70" s="345"/>
      <c r="G70" s="345"/>
      <c r="H70" s="343"/>
      <c r="I70" s="343"/>
      <c r="J70" s="345"/>
      <c r="K70" s="345"/>
      <c r="L70" s="343"/>
      <c r="M70" s="343"/>
      <c r="N70" s="345"/>
      <c r="O70" s="345"/>
      <c r="P70" s="343"/>
      <c r="Q70" s="343"/>
      <c r="R70" s="345"/>
      <c r="S70" s="345"/>
      <c r="T70" s="343"/>
      <c r="U70" s="343"/>
      <c r="V70" s="345"/>
      <c r="W70" s="345"/>
      <c r="X70" s="343"/>
      <c r="Y70" s="343"/>
      <c r="Z70" s="345"/>
      <c r="AA70" s="345"/>
      <c r="AB70" s="343"/>
      <c r="AC70" s="343"/>
    </row>
    <row r="71" spans="1:29" ht="14.25" customHeight="1" x14ac:dyDescent="0.25">
      <c r="A71" s="338">
        <v>46173</v>
      </c>
      <c r="B71" s="347">
        <f t="shared" ref="B71:B142" si="3">SUM(E71,U71,K71,G71,I71,S71,O71,M71,Q71,W71,Y71,AA71,AC71)-SUM(D71,F71,T71,H71,R71,N71,J71,L71,P71,V71,X71,Z71,AB71)</f>
        <v>2000</v>
      </c>
      <c r="C71" s="348" t="s">
        <v>884</v>
      </c>
      <c r="D71" s="342"/>
      <c r="E71" s="343"/>
      <c r="F71" s="345"/>
      <c r="G71" s="345"/>
      <c r="H71" s="343"/>
      <c r="I71" s="343">
        <v>350</v>
      </c>
      <c r="J71" s="345"/>
      <c r="K71" s="345">
        <v>320</v>
      </c>
      <c r="L71" s="343"/>
      <c r="M71" s="343">
        <v>25</v>
      </c>
      <c r="N71" s="345"/>
      <c r="O71" s="345">
        <v>25</v>
      </c>
      <c r="P71" s="343"/>
      <c r="Q71" s="343">
        <v>45</v>
      </c>
      <c r="R71" s="345"/>
      <c r="S71" s="345">
        <v>400</v>
      </c>
      <c r="T71" s="343"/>
      <c r="U71" s="343">
        <v>375</v>
      </c>
      <c r="V71" s="345"/>
      <c r="W71" s="345">
        <v>100</v>
      </c>
      <c r="X71" s="343"/>
      <c r="Y71" s="343">
        <v>85</v>
      </c>
      <c r="Z71" s="345"/>
      <c r="AA71" s="345">
        <v>230</v>
      </c>
      <c r="AB71" s="343"/>
      <c r="AC71" s="343">
        <v>45</v>
      </c>
    </row>
    <row r="72" spans="1:29" ht="14.25" customHeight="1" x14ac:dyDescent="0.25">
      <c r="A72" s="338">
        <v>46173</v>
      </c>
      <c r="B72" s="347">
        <f t="shared" si="3"/>
        <v>0.63</v>
      </c>
      <c r="C72" s="348" t="s">
        <v>503</v>
      </c>
      <c r="D72" s="342"/>
      <c r="E72" s="343"/>
      <c r="F72" s="345"/>
      <c r="G72" s="345">
        <v>0.63</v>
      </c>
      <c r="H72" s="343"/>
      <c r="I72" s="343"/>
      <c r="J72" s="345"/>
      <c r="K72" s="345"/>
      <c r="L72" s="343"/>
      <c r="M72" s="343"/>
      <c r="N72" s="345"/>
      <c r="O72" s="345"/>
      <c r="P72" s="343"/>
      <c r="Q72" s="343"/>
      <c r="R72" s="345"/>
      <c r="S72" s="345"/>
      <c r="T72" s="343"/>
      <c r="U72" s="343"/>
      <c r="V72" s="345"/>
      <c r="W72" s="345"/>
      <c r="X72" s="343"/>
      <c r="Y72" s="343"/>
      <c r="Z72" s="345"/>
      <c r="AA72" s="345"/>
      <c r="AB72" s="343"/>
      <c r="AC72" s="343"/>
    </row>
    <row r="73" spans="1:29" ht="14.25" customHeight="1" x14ac:dyDescent="0.25">
      <c r="A73" s="338">
        <v>46172</v>
      </c>
      <c r="B73" s="347">
        <f t="shared" si="3"/>
        <v>-530.36</v>
      </c>
      <c r="C73" s="348" t="s">
        <v>888</v>
      </c>
      <c r="D73" s="342"/>
      <c r="E73" s="343"/>
      <c r="F73" s="345"/>
      <c r="G73" s="345"/>
      <c r="H73" s="343"/>
      <c r="I73" s="343"/>
      <c r="J73" s="345"/>
      <c r="K73" s="345"/>
      <c r="L73" s="343"/>
      <c r="M73" s="343"/>
      <c r="N73" s="345"/>
      <c r="O73" s="345"/>
      <c r="P73" s="343"/>
      <c r="Q73" s="343"/>
      <c r="R73" s="345"/>
      <c r="S73" s="345"/>
      <c r="T73" s="343">
        <v>530.36</v>
      </c>
      <c r="U73" s="343"/>
      <c r="V73" s="345"/>
      <c r="W73" s="345"/>
      <c r="X73" s="343"/>
      <c r="Y73" s="343"/>
      <c r="Z73" s="345"/>
      <c r="AA73" s="345"/>
      <c r="AB73" s="343"/>
      <c r="AC73" s="343"/>
    </row>
    <row r="74" spans="1:29" ht="14.25" customHeight="1" x14ac:dyDescent="0.25">
      <c r="A74" s="338">
        <v>46168</v>
      </c>
      <c r="B74" s="347">
        <f t="shared" si="3"/>
        <v>0</v>
      </c>
      <c r="C74" s="348" t="s">
        <v>885</v>
      </c>
      <c r="D74" s="342">
        <v>400</v>
      </c>
      <c r="E74" s="343">
        <v>400</v>
      </c>
      <c r="F74" s="345"/>
      <c r="G74" s="345"/>
      <c r="H74" s="343"/>
      <c r="I74" s="343"/>
      <c r="J74" s="345"/>
      <c r="K74" s="345"/>
      <c r="L74" s="343"/>
      <c r="M74" s="343"/>
      <c r="N74" s="345"/>
      <c r="O74" s="345"/>
      <c r="P74" s="343"/>
      <c r="Q74" s="343"/>
      <c r="R74" s="345"/>
      <c r="S74" s="345"/>
      <c r="T74" s="343"/>
      <c r="U74" s="343"/>
      <c r="V74" s="345"/>
      <c r="W74" s="345"/>
      <c r="X74" s="343"/>
      <c r="Y74" s="343"/>
      <c r="Z74" s="345"/>
      <c r="AA74" s="345"/>
      <c r="AB74" s="343"/>
      <c r="AC74" s="343"/>
    </row>
    <row r="75" spans="1:29" ht="14.25" customHeight="1" x14ac:dyDescent="0.25">
      <c r="A75" s="338">
        <v>46170</v>
      </c>
      <c r="B75" s="347">
        <f t="shared" si="3"/>
        <v>87.5</v>
      </c>
      <c r="C75" s="348" t="s">
        <v>507</v>
      </c>
      <c r="D75" s="342"/>
      <c r="E75" s="343"/>
      <c r="F75" s="345"/>
      <c r="G75" s="345">
        <v>87.5</v>
      </c>
      <c r="H75" s="343"/>
      <c r="I75" s="343"/>
      <c r="J75" s="345"/>
      <c r="K75" s="345"/>
      <c r="L75" s="343"/>
      <c r="M75" s="343"/>
      <c r="N75" s="345"/>
      <c r="O75" s="345"/>
      <c r="P75" s="343"/>
      <c r="Q75" s="343"/>
      <c r="R75" s="345"/>
      <c r="S75" s="345"/>
      <c r="T75" s="343"/>
      <c r="U75" s="343"/>
      <c r="V75" s="345"/>
      <c r="W75" s="345"/>
      <c r="X75" s="343"/>
      <c r="Y75" s="343"/>
      <c r="Z75" s="345"/>
      <c r="AA75" s="345"/>
      <c r="AB75" s="343"/>
      <c r="AC75" s="343"/>
    </row>
    <row r="76" spans="1:29" ht="14.25" customHeight="1" x14ac:dyDescent="0.25">
      <c r="A76" s="338">
        <v>46170</v>
      </c>
      <c r="B76" s="347">
        <f t="shared" si="3"/>
        <v>56.18</v>
      </c>
      <c r="C76" s="348" t="s">
        <v>502</v>
      </c>
      <c r="D76" s="342"/>
      <c r="E76" s="343"/>
      <c r="F76" s="345"/>
      <c r="G76" s="345">
        <v>56.18</v>
      </c>
      <c r="H76" s="343"/>
      <c r="I76" s="343"/>
      <c r="J76" s="345"/>
      <c r="K76" s="345"/>
      <c r="L76" s="343"/>
      <c r="M76" s="343"/>
      <c r="N76" s="345"/>
      <c r="O76" s="345"/>
      <c r="P76" s="343"/>
      <c r="Q76" s="343"/>
      <c r="R76" s="345"/>
      <c r="S76" s="345"/>
      <c r="T76" s="343"/>
      <c r="U76" s="343"/>
      <c r="V76" s="345"/>
      <c r="W76" s="345"/>
      <c r="X76" s="343"/>
      <c r="Y76" s="343"/>
      <c r="Z76" s="345"/>
      <c r="AA76" s="345"/>
      <c r="AB76" s="343"/>
      <c r="AC76" s="343"/>
    </row>
    <row r="77" spans="1:29" ht="14.25" customHeight="1" x14ac:dyDescent="0.25">
      <c r="A77" s="338">
        <v>46170</v>
      </c>
      <c r="B77" s="347">
        <f t="shared" si="3"/>
        <v>-4500</v>
      </c>
      <c r="C77" s="348" t="s">
        <v>510</v>
      </c>
      <c r="D77" s="342"/>
      <c r="E77" s="343"/>
      <c r="F77" s="345"/>
      <c r="G77" s="345"/>
      <c r="H77" s="343"/>
      <c r="I77" s="343"/>
      <c r="J77" s="345"/>
      <c r="K77" s="345"/>
      <c r="L77" s="343"/>
      <c r="M77" s="343"/>
      <c r="N77" s="345"/>
      <c r="O77" s="345"/>
      <c r="P77" s="343"/>
      <c r="Q77" s="343"/>
      <c r="R77" s="345"/>
      <c r="S77" s="345"/>
      <c r="T77" s="343">
        <v>4500</v>
      </c>
      <c r="U77" s="343"/>
      <c r="V77" s="345"/>
      <c r="W77" s="345"/>
      <c r="X77" s="343"/>
      <c r="Y77" s="343"/>
      <c r="Z77" s="345"/>
      <c r="AA77" s="345"/>
      <c r="AB77" s="343"/>
      <c r="AC77" s="343"/>
    </row>
    <row r="78" spans="1:29" ht="14.25" customHeight="1" x14ac:dyDescent="0.25">
      <c r="A78" s="338">
        <v>46166</v>
      </c>
      <c r="B78" s="347">
        <f t="shared" si="3"/>
        <v>-69.2</v>
      </c>
      <c r="C78" s="348" t="s">
        <v>856</v>
      </c>
      <c r="D78" s="342">
        <v>69.2</v>
      </c>
      <c r="E78" s="343"/>
      <c r="F78" s="345"/>
      <c r="G78" s="345"/>
      <c r="H78" s="343"/>
      <c r="I78" s="343"/>
      <c r="J78" s="345"/>
      <c r="K78" s="345"/>
      <c r="L78" s="343"/>
      <c r="M78" s="343"/>
      <c r="N78" s="345"/>
      <c r="O78" s="345"/>
      <c r="P78" s="343"/>
      <c r="Q78" s="343"/>
      <c r="R78" s="345"/>
      <c r="S78" s="345"/>
      <c r="T78" s="343"/>
      <c r="U78" s="343"/>
      <c r="V78" s="345"/>
      <c r="W78" s="345"/>
      <c r="X78" s="343"/>
      <c r="Y78" s="343"/>
      <c r="Z78" s="345"/>
      <c r="AA78" s="345"/>
      <c r="AB78" s="343"/>
      <c r="AC78" s="343"/>
    </row>
    <row r="79" spans="1:29" ht="14.25" customHeight="1" x14ac:dyDescent="0.25">
      <c r="A79" s="338">
        <v>46165</v>
      </c>
      <c r="B79" s="347">
        <f t="shared" si="3"/>
        <v>-138.44</v>
      </c>
      <c r="C79" s="348" t="s">
        <v>874</v>
      </c>
      <c r="D79" s="342">
        <v>138.44</v>
      </c>
      <c r="E79" s="343"/>
      <c r="F79" s="345"/>
      <c r="G79" s="345"/>
      <c r="H79" s="343"/>
      <c r="I79" s="343"/>
      <c r="J79" s="345"/>
      <c r="K79" s="345"/>
      <c r="L79" s="343"/>
      <c r="M79" s="343"/>
      <c r="N79" s="345"/>
      <c r="O79" s="345"/>
      <c r="P79" s="343"/>
      <c r="Q79" s="343"/>
      <c r="R79" s="345"/>
      <c r="S79" s="345"/>
      <c r="T79" s="343"/>
      <c r="U79" s="343"/>
      <c r="V79" s="345"/>
      <c r="W79" s="345"/>
      <c r="X79" s="343"/>
      <c r="Y79" s="343"/>
      <c r="Z79" s="345"/>
      <c r="AA79" s="345"/>
      <c r="AB79" s="343"/>
      <c r="AC79" s="343"/>
    </row>
    <row r="80" spans="1:29" ht="14.25" customHeight="1" x14ac:dyDescent="0.25">
      <c r="A80" s="338">
        <v>46158</v>
      </c>
      <c r="B80" s="347">
        <f t="shared" si="3"/>
        <v>-87.13</v>
      </c>
      <c r="C80" s="348" t="s">
        <v>845</v>
      </c>
      <c r="D80" s="342"/>
      <c r="E80" s="343"/>
      <c r="F80" s="345"/>
      <c r="G80" s="345"/>
      <c r="H80" s="343"/>
      <c r="I80" s="343"/>
      <c r="J80" s="345"/>
      <c r="K80" s="345"/>
      <c r="L80" s="343"/>
      <c r="M80" s="343"/>
      <c r="N80" s="345"/>
      <c r="O80" s="345"/>
      <c r="P80" s="343"/>
      <c r="Q80" s="343"/>
      <c r="R80" s="345"/>
      <c r="S80" s="345"/>
      <c r="T80" s="343">
        <v>87.13</v>
      </c>
      <c r="U80" s="343"/>
      <c r="V80" s="345"/>
      <c r="W80" s="345"/>
      <c r="X80" s="343"/>
      <c r="Y80" s="343"/>
      <c r="Z80" s="345"/>
      <c r="AA80" s="345"/>
      <c r="AB80" s="343"/>
      <c r="AC80" s="343"/>
    </row>
    <row r="81" spans="1:29" ht="14.25" customHeight="1" x14ac:dyDescent="0.25">
      <c r="A81" s="338">
        <v>46158</v>
      </c>
      <c r="B81" s="347">
        <f t="shared" si="3"/>
        <v>-95.85</v>
      </c>
      <c r="C81" s="348" t="s">
        <v>847</v>
      </c>
      <c r="D81" s="342"/>
      <c r="E81" s="343"/>
      <c r="F81" s="345"/>
      <c r="G81" s="345"/>
      <c r="H81" s="343"/>
      <c r="I81" s="343"/>
      <c r="J81" s="345"/>
      <c r="K81" s="345"/>
      <c r="L81" s="343"/>
      <c r="M81" s="343"/>
      <c r="N81" s="345"/>
      <c r="O81" s="345"/>
      <c r="P81" s="343"/>
      <c r="Q81" s="343"/>
      <c r="R81" s="345"/>
      <c r="S81" s="345"/>
      <c r="T81" s="343">
        <v>95.85</v>
      </c>
      <c r="U81" s="343"/>
      <c r="V81" s="345"/>
      <c r="W81" s="345"/>
      <c r="X81" s="343"/>
      <c r="Y81" s="343"/>
      <c r="Z81" s="345"/>
      <c r="AA81" s="345"/>
      <c r="AB81" s="343"/>
      <c r="AC81" s="343"/>
    </row>
    <row r="82" spans="1:29" ht="14.25" customHeight="1" x14ac:dyDescent="0.25">
      <c r="A82" s="338">
        <v>46157</v>
      </c>
      <c r="B82" s="347">
        <f t="shared" si="3"/>
        <v>-146.15</v>
      </c>
      <c r="C82" s="348" t="s">
        <v>504</v>
      </c>
      <c r="D82" s="342"/>
      <c r="E82" s="343"/>
      <c r="F82" s="345"/>
      <c r="G82" s="345"/>
      <c r="H82" s="343"/>
      <c r="I82" s="343"/>
      <c r="J82" s="345"/>
      <c r="K82" s="345"/>
      <c r="L82" s="343"/>
      <c r="M82" s="343"/>
      <c r="N82" s="345"/>
      <c r="O82" s="345"/>
      <c r="P82" s="343"/>
      <c r="Q82" s="343"/>
      <c r="R82" s="345"/>
      <c r="S82" s="345"/>
      <c r="T82" s="343">
        <v>146.15</v>
      </c>
      <c r="U82" s="343"/>
      <c r="V82" s="345"/>
      <c r="W82" s="345"/>
      <c r="X82" s="343"/>
      <c r="Y82" s="343"/>
      <c r="Z82" s="345"/>
      <c r="AA82" s="345"/>
      <c r="AB82" s="343"/>
      <c r="AC82" s="343"/>
    </row>
    <row r="83" spans="1:29" ht="14.25" customHeight="1" x14ac:dyDescent="0.25">
      <c r="A83" s="338">
        <v>46155</v>
      </c>
      <c r="B83" s="347">
        <f t="shared" si="3"/>
        <v>-221.4</v>
      </c>
      <c r="C83" s="348" t="s">
        <v>854</v>
      </c>
      <c r="D83" s="342"/>
      <c r="E83" s="343"/>
      <c r="F83" s="345"/>
      <c r="G83" s="345"/>
      <c r="H83" s="343">
        <v>221.4</v>
      </c>
      <c r="I83" s="343"/>
      <c r="J83" s="345"/>
      <c r="K83" s="345"/>
      <c r="L83" s="343"/>
      <c r="M83" s="343"/>
      <c r="N83" s="345"/>
      <c r="O83" s="345"/>
      <c r="P83" s="343"/>
      <c r="Q83" s="343"/>
      <c r="R83" s="345"/>
      <c r="S83" s="345"/>
      <c r="T83" s="343"/>
      <c r="U83" s="343"/>
      <c r="V83" s="345"/>
      <c r="W83" s="345"/>
      <c r="X83" s="343"/>
      <c r="Y83" s="343"/>
      <c r="Z83" s="345"/>
      <c r="AA83" s="345"/>
      <c r="AB83" s="343"/>
      <c r="AC83" s="343"/>
    </row>
    <row r="84" spans="1:29" ht="14.25" customHeight="1" x14ac:dyDescent="0.25">
      <c r="A84" s="338">
        <v>46155</v>
      </c>
      <c r="B84" s="347">
        <f t="shared" si="3"/>
        <v>444.44</v>
      </c>
      <c r="C84" s="348" t="s">
        <v>517</v>
      </c>
      <c r="D84" s="342"/>
      <c r="E84" s="343">
        <v>444.44</v>
      </c>
      <c r="F84" s="345"/>
      <c r="G84" s="345"/>
      <c r="H84" s="343"/>
      <c r="I84" s="343"/>
      <c r="J84" s="345"/>
      <c r="K84" s="345"/>
      <c r="L84" s="343"/>
      <c r="M84" s="343"/>
      <c r="N84" s="345"/>
      <c r="O84" s="345"/>
      <c r="P84" s="343"/>
      <c r="Q84" s="343"/>
      <c r="R84" s="345"/>
      <c r="S84" s="345"/>
      <c r="T84" s="343"/>
      <c r="U84" s="343"/>
      <c r="V84" s="345"/>
      <c r="W84" s="345"/>
      <c r="X84" s="343"/>
      <c r="Y84" s="343"/>
      <c r="Z84" s="345"/>
      <c r="AA84" s="345"/>
      <c r="AB84" s="343"/>
      <c r="AC84" s="343"/>
    </row>
    <row r="85" spans="1:29" ht="14.25" customHeight="1" x14ac:dyDescent="0.25">
      <c r="A85" s="338">
        <v>46155</v>
      </c>
      <c r="B85" s="347">
        <f t="shared" si="3"/>
        <v>351.69</v>
      </c>
      <c r="C85" s="348" t="s">
        <v>857</v>
      </c>
      <c r="D85" s="342"/>
      <c r="E85" s="343">
        <v>351.69</v>
      </c>
      <c r="F85" s="345"/>
      <c r="G85" s="345"/>
      <c r="H85" s="343"/>
      <c r="I85" s="343"/>
      <c r="J85" s="345"/>
      <c r="K85" s="345"/>
      <c r="L85" s="343"/>
      <c r="M85" s="343"/>
      <c r="N85" s="345"/>
      <c r="O85" s="345"/>
      <c r="P85" s="343"/>
      <c r="Q85" s="343"/>
      <c r="R85" s="345"/>
      <c r="S85" s="345"/>
      <c r="T85" s="343"/>
      <c r="U85" s="343"/>
      <c r="V85" s="345"/>
      <c r="W85" s="345"/>
      <c r="X85" s="343"/>
      <c r="Y85" s="343"/>
      <c r="Z85" s="345"/>
      <c r="AA85" s="345"/>
      <c r="AB85" s="343"/>
      <c r="AC85" s="343"/>
    </row>
    <row r="86" spans="1:29" ht="14.25" customHeight="1" x14ac:dyDescent="0.25">
      <c r="A86" s="338">
        <v>46153</v>
      </c>
      <c r="B86" s="347">
        <f t="shared" si="3"/>
        <v>-1045.8699999999999</v>
      </c>
      <c r="C86" s="348" t="s">
        <v>841</v>
      </c>
      <c r="D86" s="342"/>
      <c r="E86" s="343"/>
      <c r="F86" s="345"/>
      <c r="G86" s="345"/>
      <c r="H86" s="343"/>
      <c r="I86" s="343"/>
      <c r="J86" s="345"/>
      <c r="K86" s="345"/>
      <c r="L86" s="343"/>
      <c r="M86" s="343"/>
      <c r="N86" s="345"/>
      <c r="O86" s="345"/>
      <c r="P86" s="343"/>
      <c r="Q86" s="343"/>
      <c r="R86" s="345"/>
      <c r="S86" s="345"/>
      <c r="T86" s="343">
        <v>1045.8699999999999</v>
      </c>
      <c r="U86" s="343"/>
      <c r="V86" s="345"/>
      <c r="W86" s="345"/>
      <c r="X86" s="343"/>
      <c r="Y86" s="343"/>
      <c r="Z86" s="345"/>
      <c r="AA86" s="345"/>
      <c r="AB86" s="343"/>
      <c r="AC86" s="343"/>
    </row>
    <row r="87" spans="1:29" ht="14.25" customHeight="1" x14ac:dyDescent="0.25">
      <c r="A87" s="338">
        <v>46151</v>
      </c>
      <c r="B87" s="347">
        <f t="shared" si="3"/>
        <v>-903.88</v>
      </c>
      <c r="C87" s="348" t="s">
        <v>855</v>
      </c>
      <c r="D87" s="342"/>
      <c r="E87" s="343"/>
      <c r="F87" s="345"/>
      <c r="G87" s="345"/>
      <c r="H87" s="343"/>
      <c r="I87" s="343"/>
      <c r="J87" s="345"/>
      <c r="K87" s="345"/>
      <c r="L87" s="343"/>
      <c r="M87" s="343"/>
      <c r="N87" s="345"/>
      <c r="O87" s="345"/>
      <c r="P87" s="343"/>
      <c r="Q87" s="343"/>
      <c r="R87" s="345"/>
      <c r="S87" s="345"/>
      <c r="T87" s="343">
        <v>903.88</v>
      </c>
      <c r="U87" s="343"/>
      <c r="V87" s="345"/>
      <c r="W87" s="345"/>
      <c r="X87" s="343"/>
      <c r="Y87" s="343"/>
      <c r="Z87" s="345"/>
      <c r="AA87" s="345"/>
      <c r="AB87" s="343"/>
      <c r="AC87" s="343"/>
    </row>
    <row r="88" spans="1:29" ht="14.25" customHeight="1" x14ac:dyDescent="0.25">
      <c r="A88" s="338">
        <v>46149</v>
      </c>
      <c r="B88" s="347">
        <f t="shared" si="3"/>
        <v>69.400000000000006</v>
      </c>
      <c r="C88" s="348" t="s">
        <v>507</v>
      </c>
      <c r="D88" s="342"/>
      <c r="E88" s="343"/>
      <c r="F88" s="345"/>
      <c r="G88" s="345">
        <v>69.400000000000006</v>
      </c>
      <c r="H88" s="343"/>
      <c r="I88" s="343"/>
      <c r="J88" s="345"/>
      <c r="K88" s="345"/>
      <c r="L88" s="343"/>
      <c r="M88" s="343"/>
      <c r="N88" s="345"/>
      <c r="O88" s="345"/>
      <c r="P88" s="343"/>
      <c r="Q88" s="343"/>
      <c r="R88" s="345"/>
      <c r="S88" s="345"/>
      <c r="T88" s="343"/>
      <c r="U88" s="343"/>
      <c r="V88" s="345"/>
      <c r="W88" s="345"/>
      <c r="X88" s="343"/>
      <c r="Y88" s="343"/>
      <c r="Z88" s="345"/>
      <c r="AA88" s="345"/>
      <c r="AB88" s="343"/>
      <c r="AC88" s="343"/>
    </row>
    <row r="89" spans="1:29" ht="14.25" customHeight="1" x14ac:dyDescent="0.25">
      <c r="A89" s="338">
        <v>46148</v>
      </c>
      <c r="B89" s="347">
        <f t="shared" si="3"/>
        <v>-500.5</v>
      </c>
      <c r="C89" s="348" t="s">
        <v>212</v>
      </c>
      <c r="D89" s="342"/>
      <c r="E89" s="343"/>
      <c r="F89" s="345"/>
      <c r="G89" s="345"/>
      <c r="H89" s="343"/>
      <c r="I89" s="343"/>
      <c r="J89" s="345"/>
      <c r="K89" s="345"/>
      <c r="L89" s="343"/>
      <c r="M89" s="343"/>
      <c r="N89" s="345"/>
      <c r="O89" s="345"/>
      <c r="P89" s="343"/>
      <c r="Q89" s="343"/>
      <c r="R89" s="345"/>
      <c r="S89" s="345"/>
      <c r="T89" s="343"/>
      <c r="U89" s="343"/>
      <c r="V89" s="345"/>
      <c r="W89" s="345"/>
      <c r="X89" s="343">
        <v>500.5</v>
      </c>
      <c r="Y89" s="343"/>
      <c r="Z89" s="345"/>
      <c r="AA89" s="345"/>
      <c r="AB89" s="343"/>
      <c r="AC89" s="343"/>
    </row>
    <row r="90" spans="1:29" ht="14.25" customHeight="1" x14ac:dyDescent="0.25">
      <c r="A90" s="338">
        <v>46148</v>
      </c>
      <c r="B90" s="347">
        <f t="shared" si="3"/>
        <v>-457.94</v>
      </c>
      <c r="C90" s="348" t="s">
        <v>856</v>
      </c>
      <c r="D90" s="342">
        <v>457.94</v>
      </c>
      <c r="E90" s="343"/>
      <c r="F90" s="345"/>
      <c r="G90" s="345"/>
      <c r="H90" s="343"/>
      <c r="I90" s="343"/>
      <c r="J90" s="345"/>
      <c r="K90" s="345"/>
      <c r="L90" s="343"/>
      <c r="M90" s="343"/>
      <c r="N90" s="345"/>
      <c r="O90" s="345"/>
      <c r="P90" s="343"/>
      <c r="Q90" s="343"/>
      <c r="R90" s="345"/>
      <c r="S90" s="345"/>
      <c r="T90" s="343"/>
      <c r="U90" s="343"/>
      <c r="V90" s="345"/>
      <c r="W90" s="345"/>
      <c r="X90" s="343"/>
      <c r="Y90" s="343"/>
      <c r="Z90" s="345"/>
      <c r="AA90" s="345"/>
      <c r="AB90" s="343"/>
      <c r="AC90" s="343"/>
    </row>
    <row r="91" spans="1:29" ht="14.25" customHeight="1" x14ac:dyDescent="0.25">
      <c r="A91" s="338">
        <v>46142</v>
      </c>
      <c r="B91" s="347">
        <f t="shared" si="3"/>
        <v>5616.82</v>
      </c>
      <c r="C91" s="348" t="s">
        <v>285</v>
      </c>
      <c r="D91" s="342"/>
      <c r="E91" s="343">
        <v>5616.82</v>
      </c>
      <c r="F91" s="345"/>
      <c r="G91" s="345"/>
      <c r="H91" s="343"/>
      <c r="I91" s="343"/>
      <c r="J91" s="345"/>
      <c r="K91" s="345"/>
      <c r="L91" s="343"/>
      <c r="M91" s="343"/>
      <c r="N91" s="345"/>
      <c r="O91" s="345"/>
      <c r="P91" s="343"/>
      <c r="Q91" s="343"/>
      <c r="R91" s="345"/>
      <c r="S91" s="345"/>
      <c r="T91" s="343"/>
      <c r="U91" s="343"/>
      <c r="V91" s="345"/>
      <c r="W91" s="345"/>
      <c r="X91" s="343"/>
      <c r="Y91" s="343"/>
      <c r="Z91" s="345"/>
      <c r="AA91" s="345"/>
      <c r="AB91" s="343"/>
      <c r="AC91" s="343"/>
    </row>
    <row r="92" spans="1:29" ht="14.25" customHeight="1" x14ac:dyDescent="0.25">
      <c r="A92" s="338">
        <v>46142</v>
      </c>
      <c r="B92" s="347">
        <f t="shared" si="3"/>
        <v>2000</v>
      </c>
      <c r="C92" s="348" t="s">
        <v>501</v>
      </c>
      <c r="D92" s="342"/>
      <c r="E92" s="343"/>
      <c r="F92" s="345"/>
      <c r="G92" s="345"/>
      <c r="H92" s="343"/>
      <c r="I92" s="343">
        <v>350</v>
      </c>
      <c r="J92" s="345"/>
      <c r="K92" s="345">
        <v>320</v>
      </c>
      <c r="L92" s="343"/>
      <c r="M92" s="343">
        <v>25</v>
      </c>
      <c r="N92" s="345"/>
      <c r="O92" s="345">
        <v>25</v>
      </c>
      <c r="P92" s="343"/>
      <c r="Q92" s="343">
        <v>45</v>
      </c>
      <c r="R92" s="345"/>
      <c r="S92" s="345">
        <v>400</v>
      </c>
      <c r="T92" s="343"/>
      <c r="U92" s="343">
        <v>375</v>
      </c>
      <c r="V92" s="345"/>
      <c r="W92" s="345">
        <v>100</v>
      </c>
      <c r="X92" s="343"/>
      <c r="Y92" s="343">
        <v>85</v>
      </c>
      <c r="Z92" s="345"/>
      <c r="AA92" s="345">
        <v>230</v>
      </c>
      <c r="AB92" s="343"/>
      <c r="AC92" s="343">
        <v>45</v>
      </c>
    </row>
    <row r="93" spans="1:29" ht="14.25" customHeight="1" x14ac:dyDescent="0.25">
      <c r="A93" s="338">
        <v>46142</v>
      </c>
      <c r="B93" s="347">
        <f t="shared" si="3"/>
        <v>62.26</v>
      </c>
      <c r="C93" s="348" t="s">
        <v>502</v>
      </c>
      <c r="D93" s="342"/>
      <c r="E93" s="343"/>
      <c r="F93" s="345"/>
      <c r="G93" s="345">
        <v>62.26</v>
      </c>
      <c r="H93" s="343"/>
      <c r="I93" s="343"/>
      <c r="J93" s="345"/>
      <c r="K93" s="345"/>
      <c r="L93" s="343"/>
      <c r="M93" s="343"/>
      <c r="N93" s="345"/>
      <c r="O93" s="345"/>
      <c r="P93" s="343"/>
      <c r="Q93" s="343"/>
      <c r="R93" s="345"/>
      <c r="S93" s="345"/>
      <c r="T93" s="343"/>
      <c r="U93" s="343"/>
      <c r="V93" s="345"/>
      <c r="W93" s="345"/>
      <c r="X93" s="343"/>
      <c r="Y93" s="343"/>
      <c r="Z93" s="345"/>
      <c r="AA93" s="345"/>
      <c r="AB93" s="343"/>
      <c r="AC93" s="343"/>
    </row>
    <row r="94" spans="1:29" ht="14.25" customHeight="1" x14ac:dyDescent="0.25">
      <c r="A94" s="338">
        <v>46142</v>
      </c>
      <c r="B94" s="347">
        <f t="shared" si="3"/>
        <v>-185.64</v>
      </c>
      <c r="C94" s="348" t="s">
        <v>422</v>
      </c>
      <c r="D94" s="342"/>
      <c r="E94" s="343"/>
      <c r="F94" s="345"/>
      <c r="G94" s="345"/>
      <c r="H94" s="343"/>
      <c r="I94" s="343"/>
      <c r="J94" s="345"/>
      <c r="K94" s="345"/>
      <c r="L94" s="343"/>
      <c r="M94" s="343"/>
      <c r="N94" s="345"/>
      <c r="O94" s="345"/>
      <c r="P94" s="343">
        <v>92.82</v>
      </c>
      <c r="Q94" s="343"/>
      <c r="R94" s="345"/>
      <c r="S94" s="345"/>
      <c r="T94" s="343"/>
      <c r="U94" s="343"/>
      <c r="V94" s="345"/>
      <c r="W94" s="345"/>
      <c r="X94" s="343"/>
      <c r="Y94" s="343"/>
      <c r="Z94" s="345"/>
      <c r="AA94" s="345"/>
      <c r="AB94" s="343">
        <v>92.82</v>
      </c>
      <c r="AC94" s="343"/>
    </row>
    <row r="95" spans="1:29" ht="14.25" customHeight="1" x14ac:dyDescent="0.25">
      <c r="A95" s="338">
        <v>46142</v>
      </c>
      <c r="B95" s="347">
        <f t="shared" si="3"/>
        <v>-127.68</v>
      </c>
      <c r="C95" s="348" t="s">
        <v>315</v>
      </c>
      <c r="D95" s="342"/>
      <c r="E95" s="343"/>
      <c r="F95" s="345"/>
      <c r="G95" s="345"/>
      <c r="H95" s="343"/>
      <c r="I95" s="343"/>
      <c r="J95" s="345"/>
      <c r="K95" s="345"/>
      <c r="L95" s="343">
        <v>63.84</v>
      </c>
      <c r="M95" s="343"/>
      <c r="N95" s="345">
        <v>63.84</v>
      </c>
      <c r="O95" s="345"/>
      <c r="P95" s="343"/>
      <c r="Q95" s="343"/>
      <c r="R95" s="345"/>
      <c r="S95" s="345"/>
      <c r="T95" s="343"/>
      <c r="U95" s="343"/>
      <c r="V95" s="345"/>
      <c r="W95" s="345"/>
      <c r="X95" s="343"/>
      <c r="Y95" s="343"/>
      <c r="Z95" s="345"/>
      <c r="AA95" s="345"/>
      <c r="AB95" s="343"/>
      <c r="AC95" s="343"/>
    </row>
    <row r="96" spans="1:29" ht="14.25" customHeight="1" x14ac:dyDescent="0.25">
      <c r="A96" s="338">
        <v>46142</v>
      </c>
      <c r="B96" s="347">
        <f t="shared" si="3"/>
        <v>0.52</v>
      </c>
      <c r="C96" s="348" t="s">
        <v>503</v>
      </c>
      <c r="D96" s="342"/>
      <c r="E96" s="343"/>
      <c r="F96" s="345"/>
      <c r="G96" s="345">
        <v>0.52</v>
      </c>
      <c r="H96" s="343"/>
      <c r="I96" s="343"/>
      <c r="J96" s="345"/>
      <c r="K96" s="345"/>
      <c r="L96" s="343"/>
      <c r="M96" s="343"/>
      <c r="N96" s="345"/>
      <c r="O96" s="345"/>
      <c r="P96" s="343"/>
      <c r="Q96" s="343"/>
      <c r="R96" s="345"/>
      <c r="S96" s="345"/>
      <c r="T96" s="343"/>
      <c r="U96" s="343"/>
      <c r="V96" s="345"/>
      <c r="W96" s="345"/>
      <c r="X96" s="343"/>
      <c r="Y96" s="343"/>
      <c r="Z96" s="345"/>
      <c r="AA96" s="345"/>
      <c r="AB96" s="343"/>
      <c r="AC96" s="343"/>
    </row>
    <row r="97" spans="1:29" ht="14.25" customHeight="1" x14ac:dyDescent="0.25">
      <c r="A97" s="338">
        <v>46130</v>
      </c>
      <c r="B97" s="347">
        <f t="shared" si="3"/>
        <v>-578.57000000000005</v>
      </c>
      <c r="C97" s="348" t="s">
        <v>504</v>
      </c>
      <c r="D97" s="342"/>
      <c r="E97" s="343"/>
      <c r="F97" s="345"/>
      <c r="G97" s="345"/>
      <c r="H97" s="343"/>
      <c r="I97" s="343"/>
      <c r="J97" s="345"/>
      <c r="K97" s="345"/>
      <c r="L97" s="343"/>
      <c r="M97" s="343"/>
      <c r="N97" s="345"/>
      <c r="O97" s="345"/>
      <c r="P97" s="343"/>
      <c r="Q97" s="343"/>
      <c r="R97" s="345"/>
      <c r="S97" s="345"/>
      <c r="T97" s="343">
        <v>578.57000000000005</v>
      </c>
      <c r="U97" s="343"/>
      <c r="V97" s="345"/>
      <c r="W97" s="345"/>
      <c r="X97" s="343"/>
      <c r="Y97" s="343"/>
      <c r="Z97" s="345"/>
      <c r="AA97" s="345"/>
      <c r="AB97" s="343"/>
      <c r="AC97" s="343"/>
    </row>
    <row r="98" spans="1:29" ht="14.25" customHeight="1" x14ac:dyDescent="0.25">
      <c r="A98" s="338">
        <v>46130</v>
      </c>
      <c r="B98" s="347">
        <f t="shared" si="3"/>
        <v>-93.71</v>
      </c>
      <c r="C98" s="348" t="s">
        <v>505</v>
      </c>
      <c r="D98" s="342"/>
      <c r="E98" s="343"/>
      <c r="F98" s="345"/>
      <c r="G98" s="345"/>
      <c r="H98" s="343">
        <v>93.71</v>
      </c>
      <c r="I98" s="343"/>
      <c r="J98" s="345"/>
      <c r="K98" s="345"/>
      <c r="L98" s="343"/>
      <c r="M98" s="343"/>
      <c r="N98" s="345"/>
      <c r="O98" s="345"/>
      <c r="P98" s="343"/>
      <c r="Q98" s="343"/>
      <c r="R98" s="345"/>
      <c r="S98" s="345"/>
      <c r="T98" s="343"/>
      <c r="U98" s="343"/>
      <c r="V98" s="345"/>
      <c r="W98" s="345"/>
      <c r="X98" s="343"/>
      <c r="Y98" s="343"/>
      <c r="Z98" s="345"/>
      <c r="AA98" s="345"/>
      <c r="AB98" s="343"/>
      <c r="AC98" s="343"/>
    </row>
    <row r="99" spans="1:29" ht="14.25" customHeight="1" x14ac:dyDescent="0.25">
      <c r="A99" s="338">
        <v>46130</v>
      </c>
      <c r="B99" s="347">
        <f t="shared" si="3"/>
        <v>-318.36</v>
      </c>
      <c r="C99" s="348" t="s">
        <v>506</v>
      </c>
      <c r="D99" s="342"/>
      <c r="E99" s="343"/>
      <c r="F99" s="345"/>
      <c r="G99" s="345"/>
      <c r="H99" s="343"/>
      <c r="I99" s="343"/>
      <c r="J99" s="345"/>
      <c r="K99" s="345"/>
      <c r="L99" s="343"/>
      <c r="M99" s="343"/>
      <c r="N99" s="345"/>
      <c r="O99" s="345"/>
      <c r="P99" s="343"/>
      <c r="Q99" s="343"/>
      <c r="R99" s="345">
        <v>318.36</v>
      </c>
      <c r="S99" s="345"/>
      <c r="T99" s="343"/>
      <c r="U99" s="343"/>
      <c r="V99" s="345"/>
      <c r="W99" s="345"/>
      <c r="X99" s="343"/>
      <c r="Y99" s="343"/>
      <c r="Z99" s="345"/>
      <c r="AA99" s="345"/>
      <c r="AB99" s="343"/>
      <c r="AC99" s="343"/>
    </row>
    <row r="100" spans="1:29" ht="14.25" customHeight="1" x14ac:dyDescent="0.25">
      <c r="A100" s="338">
        <v>46129</v>
      </c>
      <c r="B100" s="347">
        <f t="shared" si="3"/>
        <v>62.19</v>
      </c>
      <c r="C100" s="348" t="s">
        <v>507</v>
      </c>
      <c r="D100" s="342"/>
      <c r="E100" s="343"/>
      <c r="F100" s="345"/>
      <c r="G100" s="345">
        <v>62.19</v>
      </c>
      <c r="H100" s="343"/>
      <c r="I100" s="343"/>
      <c r="J100" s="345"/>
      <c r="K100" s="345"/>
      <c r="L100" s="343"/>
      <c r="M100" s="343"/>
      <c r="N100" s="345"/>
      <c r="O100" s="345"/>
      <c r="P100" s="343"/>
      <c r="Q100" s="343"/>
      <c r="R100" s="345"/>
      <c r="S100" s="345"/>
      <c r="T100" s="343"/>
      <c r="U100" s="343"/>
      <c r="V100" s="345"/>
      <c r="W100" s="345"/>
      <c r="X100" s="343"/>
      <c r="Y100" s="343"/>
      <c r="Z100" s="345"/>
      <c r="AA100" s="345"/>
      <c r="AB100" s="343"/>
      <c r="AC100" s="343"/>
    </row>
    <row r="101" spans="1:29" ht="14.25" customHeight="1" x14ac:dyDescent="0.25">
      <c r="A101" s="338">
        <v>46112</v>
      </c>
      <c r="B101" s="347">
        <f t="shared" si="3"/>
        <v>4309.58</v>
      </c>
      <c r="C101" s="348" t="s">
        <v>508</v>
      </c>
      <c r="D101" s="342"/>
      <c r="E101" s="343">
        <v>4309.58</v>
      </c>
      <c r="F101" s="345"/>
      <c r="G101" s="345"/>
      <c r="H101" s="343"/>
      <c r="I101" s="343"/>
      <c r="J101" s="345"/>
      <c r="K101" s="345"/>
      <c r="L101" s="343"/>
      <c r="M101" s="343"/>
      <c r="N101" s="345"/>
      <c r="O101" s="345"/>
      <c r="P101" s="343"/>
      <c r="Q101" s="343"/>
      <c r="R101" s="345"/>
      <c r="S101" s="345"/>
      <c r="T101" s="343"/>
      <c r="U101" s="343"/>
      <c r="V101" s="345"/>
      <c r="W101" s="345"/>
      <c r="X101" s="343"/>
      <c r="Y101" s="343"/>
      <c r="Z101" s="345"/>
      <c r="AA101" s="345"/>
      <c r="AB101" s="343"/>
      <c r="AC101" s="343"/>
    </row>
    <row r="102" spans="1:29" ht="14.25" customHeight="1" x14ac:dyDescent="0.25">
      <c r="A102" s="338">
        <v>46112</v>
      </c>
      <c r="B102" s="347">
        <f t="shared" si="3"/>
        <v>2000</v>
      </c>
      <c r="C102" s="348" t="s">
        <v>509</v>
      </c>
      <c r="D102" s="342"/>
      <c r="E102" s="343"/>
      <c r="F102" s="345"/>
      <c r="G102" s="345"/>
      <c r="H102" s="343"/>
      <c r="I102" s="343">
        <v>350</v>
      </c>
      <c r="J102" s="345"/>
      <c r="K102" s="345">
        <v>320</v>
      </c>
      <c r="L102" s="343"/>
      <c r="M102" s="343">
        <v>25</v>
      </c>
      <c r="N102" s="345"/>
      <c r="O102" s="345">
        <v>25</v>
      </c>
      <c r="P102" s="343"/>
      <c r="Q102" s="343">
        <v>45</v>
      </c>
      <c r="R102" s="345"/>
      <c r="S102" s="345">
        <v>400</v>
      </c>
      <c r="T102" s="343"/>
      <c r="U102" s="343">
        <v>375</v>
      </c>
      <c r="V102" s="345"/>
      <c r="W102" s="345">
        <v>100</v>
      </c>
      <c r="X102" s="343"/>
      <c r="Y102" s="343">
        <v>85</v>
      </c>
      <c r="Z102" s="345"/>
      <c r="AA102" s="345">
        <v>230</v>
      </c>
      <c r="AB102" s="343"/>
      <c r="AC102" s="343">
        <v>45</v>
      </c>
    </row>
    <row r="103" spans="1:29" ht="14.25" customHeight="1" x14ac:dyDescent="0.25">
      <c r="A103" s="338">
        <v>46112</v>
      </c>
      <c r="B103" s="347">
        <f t="shared" si="3"/>
        <v>0.34</v>
      </c>
      <c r="C103" s="348" t="s">
        <v>503</v>
      </c>
      <c r="D103" s="342"/>
      <c r="E103" s="343"/>
      <c r="F103" s="345"/>
      <c r="G103" s="345">
        <v>0.34</v>
      </c>
      <c r="H103" s="343"/>
      <c r="I103" s="343"/>
      <c r="J103" s="345"/>
      <c r="K103" s="345"/>
      <c r="L103" s="343"/>
      <c r="M103" s="343"/>
      <c r="N103" s="345"/>
      <c r="O103" s="345"/>
      <c r="P103" s="343"/>
      <c r="Q103" s="343"/>
      <c r="R103" s="345"/>
      <c r="S103" s="345"/>
      <c r="T103" s="343"/>
      <c r="U103" s="343"/>
      <c r="V103" s="345"/>
      <c r="W103" s="345"/>
      <c r="X103" s="343"/>
      <c r="Y103" s="343"/>
      <c r="Z103" s="345"/>
      <c r="AA103" s="345"/>
      <c r="AB103" s="343"/>
      <c r="AC103" s="343"/>
    </row>
    <row r="104" spans="1:29" ht="14.25" customHeight="1" x14ac:dyDescent="0.25">
      <c r="A104" s="338">
        <v>46112</v>
      </c>
      <c r="B104" s="347">
        <f t="shared" si="3"/>
        <v>-1200</v>
      </c>
      <c r="C104" s="348" t="s">
        <v>510</v>
      </c>
      <c r="D104" s="342"/>
      <c r="E104" s="343"/>
      <c r="F104" s="345"/>
      <c r="G104" s="345"/>
      <c r="H104" s="343"/>
      <c r="I104" s="343"/>
      <c r="J104" s="345"/>
      <c r="K104" s="345"/>
      <c r="L104" s="343"/>
      <c r="M104" s="343"/>
      <c r="N104" s="345"/>
      <c r="O104" s="345"/>
      <c r="P104" s="343"/>
      <c r="Q104" s="343"/>
      <c r="R104" s="345"/>
      <c r="S104" s="345"/>
      <c r="T104" s="343">
        <v>1200</v>
      </c>
      <c r="U104" s="343"/>
      <c r="V104" s="345"/>
      <c r="W104" s="345"/>
      <c r="X104" s="343"/>
      <c r="Y104" s="343"/>
      <c r="Z104" s="345"/>
      <c r="AA104" s="345"/>
      <c r="AB104" s="343"/>
      <c r="AC104" s="343"/>
    </row>
    <row r="105" spans="1:29" ht="14.25" customHeight="1" x14ac:dyDescent="0.25">
      <c r="A105" s="338">
        <v>46108</v>
      </c>
      <c r="B105" s="347">
        <f t="shared" si="3"/>
        <v>68.72</v>
      </c>
      <c r="C105" s="348" t="s">
        <v>502</v>
      </c>
      <c r="D105" s="342"/>
      <c r="E105" s="343"/>
      <c r="F105" s="345"/>
      <c r="G105" s="345">
        <v>68.72</v>
      </c>
      <c r="H105" s="343"/>
      <c r="I105" s="343"/>
      <c r="J105" s="345"/>
      <c r="K105" s="345"/>
      <c r="L105" s="343"/>
      <c r="M105" s="343"/>
      <c r="N105" s="345"/>
      <c r="O105" s="345"/>
      <c r="P105" s="343"/>
      <c r="Q105" s="343"/>
      <c r="R105" s="345"/>
      <c r="S105" s="345"/>
      <c r="T105" s="343"/>
      <c r="U105" s="343"/>
      <c r="V105" s="345"/>
      <c r="W105" s="345"/>
      <c r="X105" s="343"/>
      <c r="Y105" s="343"/>
      <c r="Z105" s="345"/>
      <c r="AA105" s="345"/>
      <c r="AB105" s="343"/>
      <c r="AC105" s="343"/>
    </row>
    <row r="106" spans="1:29" ht="14.25" customHeight="1" x14ac:dyDescent="0.25">
      <c r="A106" s="338">
        <v>46104</v>
      </c>
      <c r="B106" s="347">
        <f t="shared" si="3"/>
        <v>-6</v>
      </c>
      <c r="C106" s="348" t="s">
        <v>511</v>
      </c>
      <c r="D106" s="342">
        <v>6</v>
      </c>
      <c r="E106" s="343"/>
      <c r="F106" s="345"/>
      <c r="G106" s="345"/>
      <c r="H106" s="343"/>
      <c r="I106" s="343"/>
      <c r="J106" s="345"/>
      <c r="K106" s="345"/>
      <c r="L106" s="343"/>
      <c r="M106" s="343"/>
      <c r="N106" s="345"/>
      <c r="O106" s="345"/>
      <c r="P106" s="343"/>
      <c r="Q106" s="343"/>
      <c r="R106" s="345"/>
      <c r="S106" s="345"/>
      <c r="T106" s="343"/>
      <c r="U106" s="343"/>
      <c r="V106" s="345"/>
      <c r="W106" s="345"/>
      <c r="X106" s="343"/>
      <c r="Y106" s="343"/>
      <c r="Z106" s="345"/>
      <c r="AA106" s="345"/>
      <c r="AB106" s="343"/>
      <c r="AC106" s="343"/>
    </row>
    <row r="107" spans="1:29" ht="14.25" customHeight="1" x14ac:dyDescent="0.25">
      <c r="A107" s="338">
        <v>46103</v>
      </c>
      <c r="B107" s="347">
        <f t="shared" si="3"/>
        <v>-100</v>
      </c>
      <c r="C107" s="348" t="s">
        <v>512</v>
      </c>
      <c r="D107" s="342">
        <v>100</v>
      </c>
      <c r="E107" s="343"/>
      <c r="F107" s="345"/>
      <c r="G107" s="345"/>
      <c r="H107" s="343"/>
      <c r="I107" s="343"/>
      <c r="J107" s="345"/>
      <c r="K107" s="345"/>
      <c r="L107" s="343"/>
      <c r="M107" s="343"/>
      <c r="N107" s="345"/>
      <c r="O107" s="345"/>
      <c r="P107" s="343"/>
      <c r="Q107" s="343"/>
      <c r="R107" s="345"/>
      <c r="S107" s="345"/>
      <c r="T107" s="343"/>
      <c r="U107" s="343"/>
      <c r="V107" s="345"/>
      <c r="W107" s="345"/>
      <c r="X107" s="343"/>
      <c r="Y107" s="343"/>
      <c r="Z107" s="345"/>
      <c r="AA107" s="345"/>
      <c r="AB107" s="343"/>
      <c r="AC107" s="343"/>
    </row>
    <row r="108" spans="1:29" ht="14.25" customHeight="1" x14ac:dyDescent="0.25">
      <c r="A108" s="338">
        <v>46103</v>
      </c>
      <c r="B108" s="347">
        <f t="shared" si="3"/>
        <v>-100</v>
      </c>
      <c r="C108" s="348" t="s">
        <v>513</v>
      </c>
      <c r="D108" s="342">
        <v>100</v>
      </c>
      <c r="E108" s="343"/>
      <c r="F108" s="345"/>
      <c r="G108" s="345"/>
      <c r="H108" s="343"/>
      <c r="I108" s="343"/>
      <c r="J108" s="345"/>
      <c r="K108" s="345"/>
      <c r="L108" s="343"/>
      <c r="M108" s="343"/>
      <c r="N108" s="345"/>
      <c r="O108" s="345"/>
      <c r="P108" s="343"/>
      <c r="Q108" s="343"/>
      <c r="R108" s="345"/>
      <c r="S108" s="345"/>
      <c r="T108" s="343"/>
      <c r="U108" s="343"/>
      <c r="V108" s="345"/>
      <c r="W108" s="345"/>
      <c r="X108" s="343"/>
      <c r="Y108" s="343"/>
      <c r="Z108" s="345"/>
      <c r="AA108" s="345"/>
      <c r="AB108" s="343"/>
      <c r="AC108" s="343"/>
    </row>
    <row r="109" spans="1:29" ht="14.25" customHeight="1" x14ac:dyDescent="0.25">
      <c r="A109" s="338">
        <v>46103</v>
      </c>
      <c r="B109" s="347">
        <f t="shared" si="3"/>
        <v>-50</v>
      </c>
      <c r="C109" s="348" t="s">
        <v>514</v>
      </c>
      <c r="D109" s="342">
        <v>50</v>
      </c>
      <c r="E109" s="343"/>
      <c r="F109" s="345"/>
      <c r="G109" s="345"/>
      <c r="H109" s="343"/>
      <c r="I109" s="343"/>
      <c r="J109" s="345"/>
      <c r="K109" s="345"/>
      <c r="L109" s="343"/>
      <c r="M109" s="343"/>
      <c r="N109" s="345"/>
      <c r="O109" s="345"/>
      <c r="P109" s="343"/>
      <c r="Q109" s="343"/>
      <c r="R109" s="345"/>
      <c r="S109" s="345"/>
      <c r="T109" s="343"/>
      <c r="U109" s="343"/>
      <c r="V109" s="345"/>
      <c r="W109" s="345"/>
      <c r="X109" s="343"/>
      <c r="Y109" s="343"/>
      <c r="Z109" s="345"/>
      <c r="AA109" s="345"/>
      <c r="AB109" s="343"/>
      <c r="AC109" s="343"/>
    </row>
    <row r="110" spans="1:29" ht="14.25" customHeight="1" x14ac:dyDescent="0.25">
      <c r="A110" s="338">
        <v>46103</v>
      </c>
      <c r="B110" s="347">
        <f t="shared" si="3"/>
        <v>-100</v>
      </c>
      <c r="C110" s="348" t="s">
        <v>515</v>
      </c>
      <c r="D110" s="342">
        <v>100</v>
      </c>
      <c r="E110" s="343"/>
      <c r="F110" s="345"/>
      <c r="G110" s="345"/>
      <c r="H110" s="343"/>
      <c r="I110" s="343"/>
      <c r="J110" s="345"/>
      <c r="K110" s="345"/>
      <c r="L110" s="343"/>
      <c r="M110" s="343"/>
      <c r="N110" s="345"/>
      <c r="O110" s="345"/>
      <c r="P110" s="343"/>
      <c r="Q110" s="343"/>
      <c r="R110" s="345"/>
      <c r="S110" s="345"/>
      <c r="T110" s="343"/>
      <c r="U110" s="343"/>
      <c r="V110" s="345"/>
      <c r="W110" s="345"/>
      <c r="X110" s="343"/>
      <c r="Y110" s="343"/>
      <c r="Z110" s="345"/>
      <c r="AA110" s="345"/>
      <c r="AB110" s="343"/>
      <c r="AC110" s="343"/>
    </row>
    <row r="111" spans="1:29" ht="14.25" customHeight="1" x14ac:dyDescent="0.25">
      <c r="A111" s="338">
        <v>46103</v>
      </c>
      <c r="B111" s="347">
        <f t="shared" si="3"/>
        <v>-100</v>
      </c>
      <c r="C111" s="348" t="s">
        <v>516</v>
      </c>
      <c r="D111" s="342">
        <v>100</v>
      </c>
      <c r="E111" s="343"/>
      <c r="F111" s="345"/>
      <c r="G111" s="345"/>
      <c r="H111" s="343"/>
      <c r="I111" s="343"/>
      <c r="J111" s="345"/>
      <c r="K111" s="345"/>
      <c r="L111" s="343"/>
      <c r="M111" s="343"/>
      <c r="N111" s="345"/>
      <c r="O111" s="345"/>
      <c r="P111" s="343"/>
      <c r="Q111" s="343"/>
      <c r="R111" s="345"/>
      <c r="S111" s="345"/>
      <c r="T111" s="343"/>
      <c r="U111" s="343"/>
      <c r="V111" s="345"/>
      <c r="W111" s="345"/>
      <c r="X111" s="343"/>
      <c r="Y111" s="343"/>
      <c r="Z111" s="345"/>
      <c r="AA111" s="345"/>
      <c r="AB111" s="343"/>
      <c r="AC111" s="343"/>
    </row>
    <row r="112" spans="1:29" ht="14.25" customHeight="1" x14ac:dyDescent="0.25">
      <c r="A112" s="338">
        <v>46102</v>
      </c>
      <c r="B112" s="347">
        <f t="shared" si="3"/>
        <v>-300</v>
      </c>
      <c r="C112" s="348" t="s">
        <v>517</v>
      </c>
      <c r="D112" s="342">
        <v>300</v>
      </c>
      <c r="E112" s="343"/>
      <c r="F112" s="345"/>
      <c r="G112" s="345"/>
      <c r="H112" s="343"/>
      <c r="I112" s="343"/>
      <c r="J112" s="345"/>
      <c r="K112" s="345"/>
      <c r="L112" s="343"/>
      <c r="M112" s="343"/>
      <c r="N112" s="345"/>
      <c r="O112" s="345"/>
      <c r="P112" s="343"/>
      <c r="Q112" s="343"/>
      <c r="R112" s="345"/>
      <c r="S112" s="345"/>
      <c r="T112" s="343"/>
      <c r="U112" s="343"/>
      <c r="V112" s="345"/>
      <c r="W112" s="345"/>
      <c r="X112" s="343"/>
      <c r="Y112" s="343"/>
      <c r="Z112" s="345"/>
      <c r="AA112" s="345"/>
      <c r="AB112" s="343"/>
      <c r="AC112" s="343"/>
    </row>
    <row r="113" spans="1:29" ht="14.25" customHeight="1" x14ac:dyDescent="0.25">
      <c r="A113" s="338">
        <v>46102</v>
      </c>
      <c r="B113" s="347">
        <f t="shared" si="3"/>
        <v>1384.5</v>
      </c>
      <c r="C113" s="348" t="s">
        <v>518</v>
      </c>
      <c r="D113" s="342"/>
      <c r="E113" s="343"/>
      <c r="F113" s="345"/>
      <c r="G113" s="345"/>
      <c r="H113" s="343"/>
      <c r="I113" s="343"/>
      <c r="J113" s="345"/>
      <c r="K113" s="345"/>
      <c r="L113" s="343"/>
      <c r="M113" s="343"/>
      <c r="N113" s="345"/>
      <c r="O113" s="345"/>
      <c r="P113" s="343"/>
      <c r="Q113" s="343"/>
      <c r="R113" s="345">
        <v>-1384.5</v>
      </c>
      <c r="S113" s="345"/>
      <c r="T113" s="343"/>
      <c r="U113" s="343"/>
      <c r="V113" s="345"/>
      <c r="W113" s="345"/>
      <c r="X113" s="343"/>
      <c r="Y113" s="343"/>
      <c r="Z113" s="345"/>
      <c r="AA113" s="345"/>
      <c r="AB113" s="343"/>
      <c r="AC113" s="343"/>
    </row>
    <row r="114" spans="1:29" ht="14.25" customHeight="1" x14ac:dyDescent="0.25">
      <c r="A114" s="338">
        <v>46094</v>
      </c>
      <c r="B114" s="347">
        <f t="shared" si="3"/>
        <v>55.66</v>
      </c>
      <c r="C114" s="348" t="s">
        <v>507</v>
      </c>
      <c r="D114" s="342"/>
      <c r="E114" s="343"/>
      <c r="F114" s="345"/>
      <c r="G114" s="345">
        <v>55.66</v>
      </c>
      <c r="H114" s="343"/>
      <c r="I114" s="343"/>
      <c r="J114" s="345"/>
      <c r="K114" s="345"/>
      <c r="L114" s="343"/>
      <c r="M114" s="343"/>
      <c r="N114" s="345"/>
      <c r="O114" s="345"/>
      <c r="P114" s="343"/>
      <c r="Q114" s="343"/>
      <c r="R114" s="345"/>
      <c r="S114" s="345"/>
      <c r="T114" s="343"/>
      <c r="U114" s="343"/>
      <c r="V114" s="345"/>
      <c r="W114" s="345"/>
      <c r="X114" s="343"/>
      <c r="Y114" s="343"/>
      <c r="Z114" s="345"/>
      <c r="AA114" s="345"/>
      <c r="AB114" s="343"/>
      <c r="AC114" s="343"/>
    </row>
    <row r="115" spans="1:29" ht="14.25" customHeight="1" x14ac:dyDescent="0.25">
      <c r="A115" s="338">
        <v>46090</v>
      </c>
      <c r="B115" s="347">
        <f t="shared" si="3"/>
        <v>-380</v>
      </c>
      <c r="C115" s="348" t="s">
        <v>519</v>
      </c>
      <c r="D115" s="342"/>
      <c r="E115" s="343"/>
      <c r="F115" s="345"/>
      <c r="G115" s="345"/>
      <c r="H115" s="343"/>
      <c r="I115" s="343"/>
      <c r="J115" s="345"/>
      <c r="K115" s="345"/>
      <c r="L115" s="343"/>
      <c r="M115" s="343"/>
      <c r="N115" s="345"/>
      <c r="O115" s="345"/>
      <c r="P115" s="343"/>
      <c r="Q115" s="343"/>
      <c r="R115" s="345">
        <v>380</v>
      </c>
      <c r="S115" s="345"/>
      <c r="T115" s="343"/>
      <c r="U115" s="343"/>
      <c r="V115" s="345"/>
      <c r="W115" s="345"/>
      <c r="X115" s="343"/>
      <c r="Y115" s="343"/>
      <c r="Z115" s="345"/>
      <c r="AA115" s="345"/>
      <c r="AB115" s="343"/>
      <c r="AC115" s="343"/>
    </row>
    <row r="116" spans="1:29" ht="14.25" customHeight="1" x14ac:dyDescent="0.25">
      <c r="A116" s="338">
        <v>46083</v>
      </c>
      <c r="B116" s="347">
        <f t="shared" si="3"/>
        <v>-185.64</v>
      </c>
      <c r="C116" s="348" t="s">
        <v>422</v>
      </c>
      <c r="D116" s="342"/>
      <c r="E116" s="343"/>
      <c r="F116" s="345"/>
      <c r="G116" s="345"/>
      <c r="H116" s="343"/>
      <c r="I116" s="343"/>
      <c r="J116" s="345"/>
      <c r="K116" s="345"/>
      <c r="L116" s="343"/>
      <c r="M116" s="343"/>
      <c r="N116" s="345"/>
      <c r="O116" s="345"/>
      <c r="P116" s="343">
        <v>92.82</v>
      </c>
      <c r="Q116" s="343"/>
      <c r="R116" s="345"/>
      <c r="S116" s="345"/>
      <c r="T116" s="343"/>
      <c r="U116" s="343"/>
      <c r="V116" s="345"/>
      <c r="W116" s="345"/>
      <c r="X116" s="343"/>
      <c r="Y116" s="343"/>
      <c r="Z116" s="345"/>
      <c r="AA116" s="345"/>
      <c r="AB116" s="343">
        <v>92.82</v>
      </c>
      <c r="AC116" s="343"/>
    </row>
    <row r="117" spans="1:29" ht="14.25" customHeight="1" x14ac:dyDescent="0.25">
      <c r="A117" s="338">
        <v>46081</v>
      </c>
      <c r="B117" s="347">
        <f t="shared" si="3"/>
        <v>3764.91</v>
      </c>
      <c r="C117" s="348" t="s">
        <v>424</v>
      </c>
      <c r="D117" s="342"/>
      <c r="E117" s="343">
        <v>3764.91</v>
      </c>
      <c r="F117" s="345"/>
      <c r="G117" s="345"/>
      <c r="H117" s="343"/>
      <c r="I117" s="343"/>
      <c r="J117" s="345"/>
      <c r="K117" s="345"/>
      <c r="L117" s="343"/>
      <c r="M117" s="343"/>
      <c r="N117" s="345"/>
      <c r="O117" s="345"/>
      <c r="P117" s="343"/>
      <c r="Q117" s="343"/>
      <c r="R117" s="345"/>
      <c r="S117" s="345"/>
      <c r="T117" s="343"/>
      <c r="U117" s="343"/>
      <c r="V117" s="345"/>
      <c r="W117" s="345"/>
      <c r="X117" s="343"/>
      <c r="Y117" s="343"/>
      <c r="Z117" s="345"/>
      <c r="AA117" s="345"/>
      <c r="AB117" s="343"/>
      <c r="AC117" s="343"/>
    </row>
    <row r="118" spans="1:29" ht="14.25" customHeight="1" x14ac:dyDescent="0.25">
      <c r="A118" s="338">
        <v>46081</v>
      </c>
      <c r="B118" s="347">
        <f t="shared" si="3"/>
        <v>2000</v>
      </c>
      <c r="C118" s="348" t="s">
        <v>520</v>
      </c>
      <c r="D118" s="342"/>
      <c r="E118" s="343"/>
      <c r="F118" s="345"/>
      <c r="G118" s="345"/>
      <c r="H118" s="343"/>
      <c r="I118" s="343">
        <v>350</v>
      </c>
      <c r="J118" s="345"/>
      <c r="K118" s="345">
        <v>320</v>
      </c>
      <c r="L118" s="343"/>
      <c r="M118" s="343">
        <v>25</v>
      </c>
      <c r="N118" s="345"/>
      <c r="O118" s="345">
        <v>25</v>
      </c>
      <c r="P118" s="343"/>
      <c r="Q118" s="343">
        <v>45</v>
      </c>
      <c r="R118" s="345"/>
      <c r="S118" s="345">
        <v>400</v>
      </c>
      <c r="T118" s="343"/>
      <c r="U118" s="343">
        <v>375</v>
      </c>
      <c r="V118" s="345"/>
      <c r="W118" s="345">
        <v>100</v>
      </c>
      <c r="X118" s="343"/>
      <c r="Y118" s="343">
        <v>85</v>
      </c>
      <c r="Z118" s="345"/>
      <c r="AA118" s="345">
        <v>230</v>
      </c>
      <c r="AB118" s="343"/>
      <c r="AC118" s="343">
        <v>45</v>
      </c>
    </row>
    <row r="119" spans="1:29" ht="14.25" customHeight="1" x14ac:dyDescent="0.25">
      <c r="A119" s="338">
        <v>46081</v>
      </c>
      <c r="B119" s="347">
        <f t="shared" si="3"/>
        <v>0.23</v>
      </c>
      <c r="C119" s="348" t="s">
        <v>503</v>
      </c>
      <c r="D119" s="342"/>
      <c r="E119" s="343"/>
      <c r="F119" s="345"/>
      <c r="G119" s="345">
        <v>0.23</v>
      </c>
      <c r="H119" s="343"/>
      <c r="I119" s="343"/>
      <c r="J119" s="345"/>
      <c r="K119" s="345"/>
      <c r="L119" s="343"/>
      <c r="M119" s="343"/>
      <c r="N119" s="345"/>
      <c r="O119" s="345"/>
      <c r="P119" s="343"/>
      <c r="Q119" s="343"/>
      <c r="R119" s="345"/>
      <c r="S119" s="345"/>
      <c r="T119" s="343"/>
      <c r="U119" s="343"/>
      <c r="V119" s="345"/>
      <c r="W119" s="345"/>
      <c r="X119" s="343"/>
      <c r="Y119" s="343"/>
      <c r="Z119" s="345"/>
      <c r="AA119" s="345"/>
      <c r="AB119" s="343"/>
      <c r="AC119" s="343"/>
    </row>
    <row r="120" spans="1:29" ht="14.25" customHeight="1" x14ac:dyDescent="0.25">
      <c r="A120" s="338">
        <v>46070</v>
      </c>
      <c r="B120" s="347">
        <f t="shared" si="3"/>
        <v>-1920</v>
      </c>
      <c r="C120" s="348" t="s">
        <v>521</v>
      </c>
      <c r="D120" s="342"/>
      <c r="E120" s="343"/>
      <c r="F120" s="345"/>
      <c r="G120" s="345"/>
      <c r="H120" s="343"/>
      <c r="I120" s="343"/>
      <c r="J120" s="345"/>
      <c r="K120" s="345"/>
      <c r="L120" s="343"/>
      <c r="M120" s="343"/>
      <c r="N120" s="345"/>
      <c r="O120" s="345"/>
      <c r="P120" s="343"/>
      <c r="Q120" s="343"/>
      <c r="R120" s="345"/>
      <c r="S120" s="345"/>
      <c r="T120" s="343">
        <v>1920</v>
      </c>
      <c r="U120" s="343"/>
      <c r="V120" s="345"/>
      <c r="W120" s="345"/>
      <c r="X120" s="343"/>
      <c r="Y120" s="343"/>
      <c r="Z120" s="345"/>
      <c r="AA120" s="345"/>
      <c r="AB120" s="343"/>
      <c r="AC120" s="343"/>
    </row>
    <row r="121" spans="1:29" ht="14.25" customHeight="1" x14ac:dyDescent="0.25">
      <c r="A121" s="338">
        <v>46069</v>
      </c>
      <c r="B121" s="347">
        <f t="shared" si="3"/>
        <v>-243.8</v>
      </c>
      <c r="C121" s="348" t="s">
        <v>521</v>
      </c>
      <c r="D121" s="342"/>
      <c r="E121" s="343"/>
      <c r="F121" s="345"/>
      <c r="G121" s="345"/>
      <c r="H121" s="343"/>
      <c r="I121" s="343"/>
      <c r="J121" s="345"/>
      <c r="K121" s="345"/>
      <c r="L121" s="343"/>
      <c r="M121" s="343"/>
      <c r="N121" s="345"/>
      <c r="O121" s="345"/>
      <c r="P121" s="343"/>
      <c r="Q121" s="343"/>
      <c r="R121" s="345"/>
      <c r="S121" s="345"/>
      <c r="T121" s="343">
        <v>243.8</v>
      </c>
      <c r="U121" s="343"/>
      <c r="V121" s="345"/>
      <c r="W121" s="345"/>
      <c r="X121" s="343"/>
      <c r="Y121" s="343"/>
      <c r="Z121" s="345"/>
      <c r="AA121" s="345"/>
      <c r="AB121" s="343"/>
      <c r="AC121" s="343"/>
    </row>
    <row r="122" spans="1:29" ht="14.25" customHeight="1" x14ac:dyDescent="0.25">
      <c r="A122" s="338">
        <v>46068</v>
      </c>
      <c r="B122" s="347">
        <f t="shared" si="3"/>
        <v>63.46</v>
      </c>
      <c r="C122" s="348" t="s">
        <v>507</v>
      </c>
      <c r="D122" s="342"/>
      <c r="E122" s="343"/>
      <c r="F122" s="345"/>
      <c r="G122" s="345">
        <v>63.46</v>
      </c>
      <c r="H122" s="343"/>
      <c r="I122" s="343"/>
      <c r="J122" s="345"/>
      <c r="K122" s="345"/>
      <c r="L122" s="343"/>
      <c r="M122" s="343"/>
      <c r="N122" s="345"/>
      <c r="O122" s="345"/>
      <c r="P122" s="343"/>
      <c r="Q122" s="343"/>
      <c r="R122" s="345"/>
      <c r="S122" s="345"/>
      <c r="T122" s="343"/>
      <c r="U122" s="343"/>
      <c r="V122" s="345"/>
      <c r="W122" s="345"/>
      <c r="X122" s="343"/>
      <c r="Y122" s="343"/>
      <c r="Z122" s="345"/>
      <c r="AA122" s="345"/>
      <c r="AB122" s="343"/>
      <c r="AC122" s="343"/>
    </row>
    <row r="123" spans="1:29" ht="14.25" customHeight="1" x14ac:dyDescent="0.25">
      <c r="A123" s="338">
        <v>46067</v>
      </c>
      <c r="B123" s="347">
        <f t="shared" si="3"/>
        <v>-1007.99</v>
      </c>
      <c r="C123" s="348" t="s">
        <v>522</v>
      </c>
      <c r="D123" s="342">
        <v>1007.99</v>
      </c>
      <c r="E123" s="343"/>
      <c r="F123" s="345"/>
      <c r="G123" s="345"/>
      <c r="H123" s="343"/>
      <c r="I123" s="343"/>
      <c r="J123" s="345"/>
      <c r="K123" s="345"/>
      <c r="L123" s="343"/>
      <c r="M123" s="343"/>
      <c r="N123" s="345"/>
      <c r="O123" s="345"/>
      <c r="P123" s="343"/>
      <c r="Q123" s="343"/>
      <c r="R123" s="345"/>
      <c r="S123" s="345"/>
      <c r="T123" s="343"/>
      <c r="U123" s="343"/>
      <c r="V123" s="345"/>
      <c r="W123" s="345"/>
      <c r="X123" s="343"/>
      <c r="Y123" s="343"/>
      <c r="Z123" s="345"/>
      <c r="AA123" s="345"/>
      <c r="AB123" s="343"/>
      <c r="AC123" s="343"/>
    </row>
    <row r="124" spans="1:29" ht="14.25" customHeight="1" x14ac:dyDescent="0.25">
      <c r="A124" s="338">
        <v>46063</v>
      </c>
      <c r="B124" s="347">
        <f t="shared" si="3"/>
        <v>-1276.4000000000001</v>
      </c>
      <c r="C124" s="348" t="s">
        <v>523</v>
      </c>
      <c r="D124" s="342"/>
      <c r="E124" s="343"/>
      <c r="F124" s="345"/>
      <c r="G124" s="345"/>
      <c r="H124" s="343"/>
      <c r="I124" s="343"/>
      <c r="J124" s="345"/>
      <c r="K124" s="345"/>
      <c r="L124" s="343"/>
      <c r="M124" s="343"/>
      <c r="N124" s="345"/>
      <c r="O124" s="345"/>
      <c r="P124" s="343"/>
      <c r="Q124" s="343"/>
      <c r="R124" s="345"/>
      <c r="S124" s="345"/>
      <c r="T124" s="343"/>
      <c r="U124" s="343"/>
      <c r="V124" s="345"/>
      <c r="W124" s="345"/>
      <c r="X124" s="343"/>
      <c r="Y124" s="343"/>
      <c r="Z124" s="345">
        <v>1276.4000000000001</v>
      </c>
      <c r="AA124" s="345"/>
      <c r="AB124" s="343"/>
      <c r="AC124" s="343"/>
    </row>
    <row r="125" spans="1:29" ht="14.25" customHeight="1" x14ac:dyDescent="0.25">
      <c r="A125" s="338">
        <v>46063</v>
      </c>
      <c r="B125" s="347">
        <f t="shared" si="3"/>
        <v>-955</v>
      </c>
      <c r="C125" s="348" t="s">
        <v>524</v>
      </c>
      <c r="D125" s="342"/>
      <c r="E125" s="343"/>
      <c r="F125" s="345"/>
      <c r="G125" s="345"/>
      <c r="H125" s="343"/>
      <c r="I125" s="343"/>
      <c r="J125" s="345"/>
      <c r="K125" s="345"/>
      <c r="L125" s="343"/>
      <c r="M125" s="343"/>
      <c r="N125" s="345"/>
      <c r="O125" s="345"/>
      <c r="P125" s="343"/>
      <c r="Q125" s="343"/>
      <c r="R125" s="345">
        <v>955</v>
      </c>
      <c r="S125" s="345"/>
      <c r="T125" s="343"/>
      <c r="U125" s="343"/>
      <c r="V125" s="345"/>
      <c r="W125" s="345"/>
      <c r="X125" s="343"/>
      <c r="Y125" s="343"/>
      <c r="Z125" s="345"/>
      <c r="AA125" s="345"/>
      <c r="AB125" s="343"/>
      <c r="AC125" s="343"/>
    </row>
    <row r="126" spans="1:29" ht="14.25" customHeight="1" x14ac:dyDescent="0.25">
      <c r="A126" s="338">
        <v>46063</v>
      </c>
      <c r="B126" s="347">
        <f t="shared" si="3"/>
        <v>59.19</v>
      </c>
      <c r="C126" s="348" t="s">
        <v>502</v>
      </c>
      <c r="D126" s="342"/>
      <c r="E126" s="343"/>
      <c r="F126" s="345"/>
      <c r="G126" s="345">
        <v>59.19</v>
      </c>
      <c r="H126" s="343"/>
      <c r="I126" s="343"/>
      <c r="J126" s="345"/>
      <c r="K126" s="345"/>
      <c r="L126" s="343"/>
      <c r="M126" s="343"/>
      <c r="N126" s="345"/>
      <c r="O126" s="345"/>
      <c r="P126" s="343"/>
      <c r="Q126" s="343"/>
      <c r="R126" s="345"/>
      <c r="S126" s="345"/>
      <c r="T126" s="343"/>
      <c r="U126" s="343"/>
      <c r="V126" s="345"/>
      <c r="W126" s="345"/>
      <c r="X126" s="343"/>
      <c r="Y126" s="343"/>
      <c r="Z126" s="345"/>
      <c r="AA126" s="345"/>
      <c r="AB126" s="343"/>
      <c r="AC126" s="343"/>
    </row>
    <row r="127" spans="1:29" ht="14.25" customHeight="1" x14ac:dyDescent="0.25">
      <c r="A127" s="338">
        <v>46061</v>
      </c>
      <c r="B127" s="347">
        <f t="shared" si="3"/>
        <v>-2203.44</v>
      </c>
      <c r="C127" s="348" t="s">
        <v>521</v>
      </c>
      <c r="D127" s="342"/>
      <c r="E127" s="343"/>
      <c r="F127" s="345"/>
      <c r="G127" s="345"/>
      <c r="H127" s="343"/>
      <c r="I127" s="343"/>
      <c r="J127" s="345"/>
      <c r="K127" s="345"/>
      <c r="L127" s="343"/>
      <c r="M127" s="343"/>
      <c r="N127" s="345"/>
      <c r="O127" s="345"/>
      <c r="P127" s="343"/>
      <c r="Q127" s="343"/>
      <c r="R127" s="345"/>
      <c r="S127" s="345"/>
      <c r="T127" s="343">
        <v>2203.44</v>
      </c>
      <c r="U127" s="343"/>
      <c r="V127" s="345"/>
      <c r="W127" s="345"/>
      <c r="X127" s="343"/>
      <c r="Y127" s="343"/>
      <c r="Z127" s="345"/>
      <c r="AA127" s="345"/>
      <c r="AB127" s="343"/>
      <c r="AC127" s="343"/>
    </row>
    <row r="128" spans="1:29" ht="14.25" customHeight="1" x14ac:dyDescent="0.25">
      <c r="A128" s="338">
        <v>46061</v>
      </c>
      <c r="B128" s="347">
        <f t="shared" si="3"/>
        <v>-831.92</v>
      </c>
      <c r="C128" s="348" t="s">
        <v>525</v>
      </c>
      <c r="D128" s="342"/>
      <c r="E128" s="343"/>
      <c r="F128" s="345"/>
      <c r="G128" s="345"/>
      <c r="H128" s="343"/>
      <c r="I128" s="343"/>
      <c r="J128" s="345"/>
      <c r="K128" s="345"/>
      <c r="L128" s="343"/>
      <c r="M128" s="343"/>
      <c r="N128" s="345"/>
      <c r="O128" s="345"/>
      <c r="P128" s="343"/>
      <c r="Q128" s="343"/>
      <c r="R128" s="345">
        <v>831.92</v>
      </c>
      <c r="S128" s="345"/>
      <c r="T128" s="343"/>
      <c r="U128" s="343"/>
      <c r="V128" s="345"/>
      <c r="W128" s="345"/>
      <c r="X128" s="343"/>
      <c r="Y128" s="343"/>
      <c r="Z128" s="345"/>
      <c r="AA128" s="345"/>
      <c r="AB128" s="343"/>
      <c r="AC128" s="343"/>
    </row>
    <row r="129" spans="1:29" ht="14.25" customHeight="1" x14ac:dyDescent="0.25">
      <c r="A129" s="338">
        <v>46055</v>
      </c>
      <c r="B129" s="347">
        <f t="shared" si="3"/>
        <v>-900</v>
      </c>
      <c r="C129" s="348" t="s">
        <v>510</v>
      </c>
      <c r="D129" s="342"/>
      <c r="E129" s="343"/>
      <c r="F129" s="345"/>
      <c r="G129" s="345"/>
      <c r="H129" s="343"/>
      <c r="I129" s="343"/>
      <c r="J129" s="345"/>
      <c r="K129" s="345"/>
      <c r="L129" s="343"/>
      <c r="M129" s="343"/>
      <c r="N129" s="345"/>
      <c r="O129" s="345"/>
      <c r="P129" s="343"/>
      <c r="Q129" s="343"/>
      <c r="R129" s="345"/>
      <c r="S129" s="345"/>
      <c r="T129" s="343">
        <v>900</v>
      </c>
      <c r="U129" s="343"/>
      <c r="V129" s="345"/>
      <c r="W129" s="345"/>
      <c r="X129" s="343"/>
      <c r="Y129" s="343"/>
      <c r="Z129" s="345"/>
      <c r="AA129" s="345"/>
      <c r="AB129" s="343"/>
      <c r="AC129" s="343"/>
    </row>
    <row r="130" spans="1:29" ht="14.25" customHeight="1" x14ac:dyDescent="0.25">
      <c r="A130" s="338">
        <v>46053</v>
      </c>
      <c r="B130" s="347">
        <f t="shared" si="3"/>
        <v>3194.64</v>
      </c>
      <c r="C130" s="348" t="s">
        <v>457</v>
      </c>
      <c r="D130" s="342"/>
      <c r="E130" s="343">
        <v>3194.64</v>
      </c>
      <c r="F130" s="345"/>
      <c r="G130" s="345"/>
      <c r="H130" s="343"/>
      <c r="I130" s="343"/>
      <c r="J130" s="345"/>
      <c r="K130" s="345"/>
      <c r="L130" s="343"/>
      <c r="M130" s="343"/>
      <c r="N130" s="345"/>
      <c r="O130" s="345"/>
      <c r="P130" s="343"/>
      <c r="Q130" s="343"/>
      <c r="R130" s="345"/>
      <c r="S130" s="345"/>
      <c r="T130" s="343"/>
      <c r="U130" s="343"/>
      <c r="V130" s="345"/>
      <c r="W130" s="345"/>
      <c r="X130" s="343"/>
      <c r="Y130" s="343"/>
      <c r="Z130" s="345"/>
      <c r="AA130" s="345"/>
      <c r="AB130" s="343"/>
      <c r="AC130" s="343"/>
    </row>
    <row r="131" spans="1:29" ht="14.25" customHeight="1" x14ac:dyDescent="0.25">
      <c r="A131" s="338">
        <v>46053</v>
      </c>
      <c r="B131" s="347">
        <f t="shared" si="3"/>
        <v>2000</v>
      </c>
      <c r="C131" s="348" t="s">
        <v>526</v>
      </c>
      <c r="D131" s="342"/>
      <c r="E131" s="343"/>
      <c r="F131" s="345"/>
      <c r="G131" s="345"/>
      <c r="H131" s="343"/>
      <c r="I131" s="343">
        <v>350</v>
      </c>
      <c r="J131" s="345"/>
      <c r="K131" s="345">
        <v>320</v>
      </c>
      <c r="L131" s="343"/>
      <c r="M131" s="343">
        <v>25</v>
      </c>
      <c r="N131" s="345"/>
      <c r="O131" s="345">
        <v>25</v>
      </c>
      <c r="P131" s="343"/>
      <c r="Q131" s="343">
        <v>45</v>
      </c>
      <c r="R131" s="345"/>
      <c r="S131" s="345">
        <v>400</v>
      </c>
      <c r="T131" s="343"/>
      <c r="U131" s="343">
        <v>375</v>
      </c>
      <c r="V131" s="345"/>
      <c r="W131" s="345">
        <v>100</v>
      </c>
      <c r="X131" s="343"/>
      <c r="Y131" s="343">
        <v>85</v>
      </c>
      <c r="Z131" s="345"/>
      <c r="AA131" s="345">
        <v>230</v>
      </c>
      <c r="AB131" s="343"/>
      <c r="AC131" s="343">
        <v>45</v>
      </c>
    </row>
    <row r="132" spans="1:29" ht="14.25" customHeight="1" x14ac:dyDescent="0.25">
      <c r="A132" s="338">
        <v>46053</v>
      </c>
      <c r="B132" s="347">
        <f t="shared" si="3"/>
        <v>0.38</v>
      </c>
      <c r="C132" s="348" t="s">
        <v>503</v>
      </c>
      <c r="D132" s="342"/>
      <c r="E132" s="343"/>
      <c r="F132" s="345"/>
      <c r="G132" s="345">
        <v>0.38</v>
      </c>
      <c r="H132" s="343"/>
      <c r="I132" s="343"/>
      <c r="J132" s="345"/>
      <c r="K132" s="345"/>
      <c r="L132" s="343"/>
      <c r="M132" s="343"/>
      <c r="N132" s="345"/>
      <c r="O132" s="345"/>
      <c r="P132" s="343"/>
      <c r="Q132" s="343"/>
      <c r="R132" s="345"/>
      <c r="S132" s="345"/>
      <c r="T132" s="343"/>
      <c r="U132" s="343"/>
      <c r="V132" s="345"/>
      <c r="W132" s="345"/>
      <c r="X132" s="343"/>
      <c r="Y132" s="343"/>
      <c r="Z132" s="345"/>
      <c r="AA132" s="345"/>
      <c r="AB132" s="343"/>
      <c r="AC132" s="343"/>
    </row>
    <row r="133" spans="1:29" ht="14.25" customHeight="1" x14ac:dyDescent="0.25">
      <c r="A133" s="338">
        <v>46053</v>
      </c>
      <c r="B133" s="347">
        <f t="shared" si="3"/>
        <v>54.55</v>
      </c>
      <c r="C133" s="348" t="s">
        <v>507</v>
      </c>
      <c r="D133" s="342"/>
      <c r="E133" s="343"/>
      <c r="F133" s="345"/>
      <c r="G133" s="345">
        <v>54.55</v>
      </c>
      <c r="H133" s="343"/>
      <c r="I133" s="343"/>
      <c r="J133" s="345"/>
      <c r="K133" s="345"/>
      <c r="L133" s="343"/>
      <c r="M133" s="343"/>
      <c r="N133" s="345"/>
      <c r="O133" s="345"/>
      <c r="P133" s="343"/>
      <c r="Q133" s="343"/>
      <c r="R133" s="345"/>
      <c r="S133" s="345"/>
      <c r="T133" s="343"/>
      <c r="U133" s="343"/>
      <c r="V133" s="345"/>
      <c r="W133" s="345"/>
      <c r="X133" s="343"/>
      <c r="Y133" s="343"/>
      <c r="Z133" s="345"/>
      <c r="AA133" s="345"/>
      <c r="AB133" s="343"/>
      <c r="AC133" s="343"/>
    </row>
    <row r="134" spans="1:29" ht="14.25" customHeight="1" x14ac:dyDescent="0.25">
      <c r="A134" s="338">
        <v>46048</v>
      </c>
      <c r="B134" s="347">
        <f t="shared" si="3"/>
        <v>-583</v>
      </c>
      <c r="C134" s="348" t="s">
        <v>527</v>
      </c>
      <c r="D134" s="342">
        <v>583</v>
      </c>
      <c r="E134" s="343"/>
      <c r="F134" s="345"/>
      <c r="G134" s="345"/>
      <c r="H134" s="343"/>
      <c r="I134" s="343"/>
      <c r="J134" s="345"/>
      <c r="K134" s="345"/>
      <c r="L134" s="343"/>
      <c r="M134" s="343"/>
      <c r="N134" s="345"/>
      <c r="O134" s="345"/>
      <c r="P134" s="343"/>
      <c r="Q134" s="343"/>
      <c r="R134" s="345"/>
      <c r="S134" s="345"/>
      <c r="T134" s="343"/>
      <c r="U134" s="343"/>
      <c r="V134" s="345"/>
      <c r="W134" s="345"/>
      <c r="X134" s="343"/>
      <c r="Y134" s="343"/>
      <c r="Z134" s="345"/>
      <c r="AA134" s="345"/>
      <c r="AB134" s="343"/>
      <c r="AC134" s="343"/>
    </row>
    <row r="135" spans="1:29" ht="14.25" customHeight="1" x14ac:dyDescent="0.25">
      <c r="A135" s="338">
        <v>46044</v>
      </c>
      <c r="B135" s="347">
        <f t="shared" si="3"/>
        <v>-126.24</v>
      </c>
      <c r="C135" s="348" t="s">
        <v>315</v>
      </c>
      <c r="D135" s="342"/>
      <c r="E135" s="343"/>
      <c r="F135" s="345"/>
      <c r="G135" s="345"/>
      <c r="H135" s="343"/>
      <c r="I135" s="343"/>
      <c r="J135" s="345"/>
      <c r="K135" s="345"/>
      <c r="L135" s="343">
        <v>63.12</v>
      </c>
      <c r="M135" s="343"/>
      <c r="N135" s="345">
        <v>63.12</v>
      </c>
      <c r="O135" s="345"/>
      <c r="P135" s="343"/>
      <c r="Q135" s="343"/>
      <c r="R135" s="345"/>
      <c r="S135" s="345"/>
      <c r="T135" s="343"/>
      <c r="U135" s="343"/>
      <c r="V135" s="345"/>
      <c r="W135" s="345"/>
      <c r="X135" s="343"/>
      <c r="Y135" s="343"/>
      <c r="Z135" s="345"/>
      <c r="AA135" s="345"/>
      <c r="AB135" s="343"/>
      <c r="AC135" s="343"/>
    </row>
    <row r="136" spans="1:29" ht="14.25" customHeight="1" x14ac:dyDescent="0.25">
      <c r="A136" s="338">
        <v>46043</v>
      </c>
      <c r="B136" s="347">
        <f t="shared" si="3"/>
        <v>-100</v>
      </c>
      <c r="C136" s="348" t="s">
        <v>528</v>
      </c>
      <c r="D136" s="342"/>
      <c r="E136" s="343"/>
      <c r="F136" s="345"/>
      <c r="G136" s="345"/>
      <c r="H136" s="343">
        <v>100</v>
      </c>
      <c r="I136" s="343"/>
      <c r="J136" s="345"/>
      <c r="K136" s="345"/>
      <c r="L136" s="343"/>
      <c r="M136" s="343"/>
      <c r="N136" s="345"/>
      <c r="O136" s="345"/>
      <c r="P136" s="343"/>
      <c r="Q136" s="343"/>
      <c r="R136" s="345"/>
      <c r="S136" s="345"/>
      <c r="T136" s="343"/>
      <c r="U136" s="343"/>
      <c r="V136" s="345"/>
      <c r="W136" s="345"/>
      <c r="X136" s="343"/>
      <c r="Y136" s="343"/>
      <c r="Z136" s="345"/>
      <c r="AA136" s="345"/>
      <c r="AB136" s="343"/>
      <c r="AC136" s="343"/>
    </row>
    <row r="137" spans="1:29" ht="14.25" customHeight="1" x14ac:dyDescent="0.25">
      <c r="A137" s="338">
        <v>46043</v>
      </c>
      <c r="B137" s="347">
        <f t="shared" si="3"/>
        <v>-2724</v>
      </c>
      <c r="C137" s="348" t="s">
        <v>529</v>
      </c>
      <c r="D137" s="342"/>
      <c r="E137" s="343"/>
      <c r="F137" s="345"/>
      <c r="G137" s="345"/>
      <c r="H137" s="343"/>
      <c r="I137" s="343"/>
      <c r="J137" s="345"/>
      <c r="K137" s="345"/>
      <c r="L137" s="343"/>
      <c r="M137" s="343"/>
      <c r="N137" s="345"/>
      <c r="O137" s="345"/>
      <c r="P137" s="343"/>
      <c r="Q137" s="343"/>
      <c r="R137" s="345">
        <v>2724</v>
      </c>
      <c r="S137" s="345"/>
      <c r="T137" s="343"/>
      <c r="U137" s="343"/>
      <c r="V137" s="345"/>
      <c r="W137" s="345"/>
      <c r="X137" s="343"/>
      <c r="Y137" s="343"/>
      <c r="Z137" s="345"/>
      <c r="AA137" s="345"/>
      <c r="AB137" s="343"/>
      <c r="AC137" s="343"/>
    </row>
    <row r="138" spans="1:29" ht="14.25" customHeight="1" x14ac:dyDescent="0.25">
      <c r="A138" s="338">
        <v>46038</v>
      </c>
      <c r="B138" s="347">
        <f t="shared" si="3"/>
        <v>55.69</v>
      </c>
      <c r="C138" s="348" t="s">
        <v>507</v>
      </c>
      <c r="D138" s="342"/>
      <c r="E138" s="343"/>
      <c r="F138" s="345"/>
      <c r="G138" s="345">
        <v>55.69</v>
      </c>
      <c r="H138" s="343"/>
      <c r="I138" s="343"/>
      <c r="J138" s="345"/>
      <c r="K138" s="345"/>
      <c r="L138" s="343"/>
      <c r="M138" s="343"/>
      <c r="N138" s="345"/>
      <c r="O138" s="345"/>
      <c r="P138" s="343"/>
      <c r="Q138" s="343"/>
      <c r="R138" s="345"/>
      <c r="S138" s="345"/>
      <c r="T138" s="343"/>
      <c r="U138" s="343"/>
      <c r="V138" s="345"/>
      <c r="W138" s="345"/>
      <c r="X138" s="343"/>
      <c r="Y138" s="343"/>
      <c r="Z138" s="345"/>
      <c r="AA138" s="345"/>
      <c r="AB138" s="343"/>
      <c r="AC138" s="343"/>
    </row>
    <row r="139" spans="1:29" ht="14.25" customHeight="1" x14ac:dyDescent="0.25">
      <c r="A139" s="338">
        <v>46030</v>
      </c>
      <c r="B139" s="347">
        <f t="shared" si="3"/>
        <v>1049.3699999999999</v>
      </c>
      <c r="C139" s="340" t="s">
        <v>530</v>
      </c>
      <c r="D139" s="342"/>
      <c r="E139" s="343">
        <v>1049.3699999999999</v>
      </c>
      <c r="F139" s="345"/>
      <c r="G139" s="345"/>
      <c r="H139" s="343"/>
      <c r="I139" s="343"/>
      <c r="J139" s="345"/>
      <c r="K139" s="345"/>
      <c r="L139" s="343"/>
      <c r="M139" s="343"/>
      <c r="N139" s="345"/>
      <c r="O139" s="345"/>
      <c r="P139" s="343"/>
      <c r="Q139" s="343"/>
      <c r="R139" s="345"/>
      <c r="S139" s="345"/>
      <c r="T139" s="343"/>
      <c r="U139" s="343"/>
      <c r="V139" s="345"/>
      <c r="W139" s="345"/>
      <c r="X139" s="343"/>
      <c r="Y139" s="343"/>
      <c r="Z139" s="345"/>
      <c r="AA139" s="345"/>
      <c r="AB139" s="343"/>
      <c r="AC139" s="343"/>
    </row>
    <row r="140" spans="1:29" ht="14.25" customHeight="1" x14ac:dyDescent="0.25">
      <c r="A140" s="338">
        <v>46027</v>
      </c>
      <c r="B140" s="347">
        <f t="shared" si="3"/>
        <v>-113.94</v>
      </c>
      <c r="C140" s="348" t="s">
        <v>531</v>
      </c>
      <c r="D140" s="342"/>
      <c r="E140" s="343"/>
      <c r="F140" s="345"/>
      <c r="G140" s="345"/>
      <c r="H140" s="343">
        <v>113.94</v>
      </c>
      <c r="I140" s="343"/>
      <c r="J140" s="345"/>
      <c r="K140" s="345"/>
      <c r="L140" s="343"/>
      <c r="M140" s="343"/>
      <c r="N140" s="345"/>
      <c r="O140" s="345"/>
      <c r="P140" s="343"/>
      <c r="Q140" s="343"/>
      <c r="R140" s="345"/>
      <c r="S140" s="345"/>
      <c r="T140" s="343"/>
      <c r="U140" s="343"/>
      <c r="V140" s="345"/>
      <c r="W140" s="345"/>
      <c r="X140" s="343"/>
      <c r="Y140" s="343"/>
      <c r="Z140" s="345"/>
      <c r="AA140" s="345"/>
      <c r="AB140" s="343"/>
      <c r="AC140" s="343"/>
    </row>
    <row r="141" spans="1:29" ht="14.25" customHeight="1" x14ac:dyDescent="0.25">
      <c r="A141" s="338">
        <v>46027</v>
      </c>
      <c r="B141" s="347">
        <f t="shared" si="3"/>
        <v>-622.1</v>
      </c>
      <c r="C141" s="348" t="s">
        <v>521</v>
      </c>
      <c r="D141" s="342"/>
      <c r="E141" s="343"/>
      <c r="F141" s="345"/>
      <c r="G141" s="345"/>
      <c r="H141" s="343"/>
      <c r="I141" s="343"/>
      <c r="J141" s="345"/>
      <c r="K141" s="345"/>
      <c r="L141" s="343"/>
      <c r="M141" s="343"/>
      <c r="N141" s="345"/>
      <c r="O141" s="345"/>
      <c r="P141" s="343"/>
      <c r="Q141" s="343"/>
      <c r="R141" s="345"/>
      <c r="S141" s="345"/>
      <c r="T141" s="343">
        <v>622.1</v>
      </c>
      <c r="U141" s="343"/>
      <c r="V141" s="345"/>
      <c r="W141" s="345"/>
      <c r="X141" s="343"/>
      <c r="Y141" s="343"/>
      <c r="Z141" s="345"/>
      <c r="AA141" s="345"/>
      <c r="AB141" s="343"/>
      <c r="AC141" s="343"/>
    </row>
    <row r="142" spans="1:29" ht="14.25" customHeight="1" x14ac:dyDescent="0.25">
      <c r="A142" s="338">
        <v>44562</v>
      </c>
      <c r="B142" s="347">
        <f t="shared" si="3"/>
        <v>12240.49</v>
      </c>
      <c r="C142" s="348" t="s">
        <v>532</v>
      </c>
      <c r="D142" s="342"/>
      <c r="E142" s="343">
        <v>1710.49</v>
      </c>
      <c r="F142" s="345"/>
      <c r="G142" s="345">
        <v>500</v>
      </c>
      <c r="H142" s="343"/>
      <c r="I142" s="343">
        <v>2000</v>
      </c>
      <c r="J142" s="345"/>
      <c r="K142" s="345">
        <v>1000</v>
      </c>
      <c r="L142" s="343"/>
      <c r="M142" s="343">
        <v>65</v>
      </c>
      <c r="N142" s="345"/>
      <c r="O142" s="345">
        <v>65</v>
      </c>
      <c r="P142" s="343"/>
      <c r="Q142" s="343">
        <v>100</v>
      </c>
      <c r="R142" s="345"/>
      <c r="S142" s="345">
        <v>2000</v>
      </c>
      <c r="T142" s="343"/>
      <c r="U142" s="343">
        <v>2500</v>
      </c>
      <c r="V142" s="345"/>
      <c r="W142" s="345">
        <v>500</v>
      </c>
      <c r="X142" s="343"/>
      <c r="Y142" s="343">
        <v>200</v>
      </c>
      <c r="Z142" s="345"/>
      <c r="AA142" s="345">
        <v>1500</v>
      </c>
      <c r="AB142" s="343"/>
      <c r="AC142" s="343">
        <v>100</v>
      </c>
    </row>
    <row r="143" spans="1:29" ht="14.25" customHeight="1" x14ac:dyDescent="0.25"/>
    <row r="144" spans="1:29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x14ac:dyDescent="0.25"/>
    <row r="1026" ht="14.25" customHeight="1" x14ac:dyDescent="0.25"/>
    <row r="1027" ht="14.25" customHeight="1" x14ac:dyDescent="0.25"/>
    <row r="1028" ht="14.25" customHeight="1" x14ac:dyDescent="0.25"/>
    <row r="1029" ht="14.25" customHeight="1" x14ac:dyDescent="0.25"/>
    <row r="1030" ht="14.25" customHeight="1" x14ac:dyDescent="0.25"/>
    <row r="1031" ht="14.25" customHeight="1" x14ac:dyDescent="0.25"/>
    <row r="1032" ht="14.25" customHeight="1" x14ac:dyDescent="0.25"/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x14ac:dyDescent="0.25"/>
    <row r="1047" ht="14.25" customHeight="1" x14ac:dyDescent="0.25"/>
    <row r="1048" ht="14.25" customHeight="1" x14ac:dyDescent="0.25"/>
    <row r="1049" ht="14.25" customHeight="1" x14ac:dyDescent="0.25"/>
    <row r="1050" ht="14.25" customHeight="1" x14ac:dyDescent="0.25"/>
    <row r="1051" ht="14.25" customHeight="1" x14ac:dyDescent="0.25"/>
    <row r="1052" ht="14.25" customHeight="1" x14ac:dyDescent="0.25"/>
    <row r="1053" ht="14.25" customHeight="1" x14ac:dyDescent="0.25"/>
    <row r="1054" ht="14.25" customHeight="1" x14ac:dyDescent="0.25"/>
    <row r="1055" ht="14.25" customHeight="1" x14ac:dyDescent="0.25"/>
    <row r="1056" ht="14.25" customHeight="1" x14ac:dyDescent="0.25"/>
    <row r="1057" ht="14.25" customHeight="1" x14ac:dyDescent="0.25"/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x14ac:dyDescent="0.25"/>
    <row r="1069" ht="14.25" customHeight="1" x14ac:dyDescent="0.25"/>
    <row r="1070" ht="14.25" customHeight="1" x14ac:dyDescent="0.25"/>
    <row r="1071" ht="14.25" customHeight="1" x14ac:dyDescent="0.25"/>
    <row r="1072" ht="14.25" customHeight="1" x14ac:dyDescent="0.25"/>
    <row r="1073" ht="14.25" customHeight="1" x14ac:dyDescent="0.25"/>
    <row r="1074" ht="14.25" customHeight="1" x14ac:dyDescent="0.25"/>
    <row r="1075" ht="14.25" customHeight="1" x14ac:dyDescent="0.25"/>
    <row r="1076" ht="14.25" customHeight="1" x14ac:dyDescent="0.25"/>
    <row r="1077" ht="14.25" customHeight="1" x14ac:dyDescent="0.25"/>
    <row r="1078" ht="14.25" customHeight="1" x14ac:dyDescent="0.25"/>
    <row r="1079" ht="14.25" customHeight="1" x14ac:dyDescent="0.25"/>
    <row r="1080" ht="14.25" customHeight="1" x14ac:dyDescent="0.25"/>
    <row r="1081" ht="14.25" customHeight="1" x14ac:dyDescent="0.25"/>
    <row r="1082" ht="14.25" customHeight="1" x14ac:dyDescent="0.25"/>
    <row r="1083" ht="14.25" customHeight="1" x14ac:dyDescent="0.25"/>
    <row r="1084" ht="14.25" customHeight="1" x14ac:dyDescent="0.25"/>
  </sheetData>
  <mergeCells count="26">
    <mergeCell ref="AB4:A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1:A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000"/>
  <sheetViews>
    <sheetView workbookViewId="0"/>
  </sheetViews>
  <sheetFormatPr defaultColWidth="14.42578125" defaultRowHeight="15" customHeight="1" x14ac:dyDescent="0.25"/>
  <cols>
    <col min="1" max="1" width="13.85546875" customWidth="1"/>
    <col min="2" max="5" width="11.28515625" customWidth="1"/>
    <col min="6" max="26" width="8.7109375" customWidth="1"/>
  </cols>
  <sheetData>
    <row r="1" spans="1:17" ht="14.25" customHeight="1" x14ac:dyDescent="0.25">
      <c r="B1" s="23"/>
      <c r="D1" s="25"/>
      <c r="E1" s="25"/>
      <c r="M1" s="12"/>
      <c r="N1" s="118"/>
      <c r="O1" s="118"/>
      <c r="P1" s="118"/>
      <c r="Q1" s="118"/>
    </row>
    <row r="2" spans="1:17" ht="14.25" customHeight="1" x14ac:dyDescent="0.25">
      <c r="B2" s="23"/>
      <c r="D2" s="25" t="s">
        <v>533</v>
      </c>
      <c r="E2" s="25" t="s">
        <v>534</v>
      </c>
      <c r="M2" s="12"/>
      <c r="N2" s="118"/>
      <c r="O2" s="118"/>
      <c r="P2" s="118"/>
      <c r="Q2" s="118"/>
    </row>
    <row r="3" spans="1:17" ht="14.25" customHeight="1" x14ac:dyDescent="0.25">
      <c r="A3" s="92" t="s">
        <v>523</v>
      </c>
      <c r="B3" s="23">
        <v>2700</v>
      </c>
      <c r="C3" s="92" t="s">
        <v>535</v>
      </c>
      <c r="D3" s="25">
        <f t="shared" ref="D3:D4" si="0">B3/12</f>
        <v>225</v>
      </c>
      <c r="E3" s="25">
        <f t="shared" ref="E3:E7" si="1">D3*12</f>
        <v>2700</v>
      </c>
      <c r="M3" s="12"/>
      <c r="N3" s="118"/>
      <c r="O3" s="118"/>
      <c r="P3" s="118"/>
      <c r="Q3" s="118"/>
    </row>
    <row r="4" spans="1:17" ht="14.25" customHeight="1" x14ac:dyDescent="0.25">
      <c r="A4" s="92" t="s">
        <v>536</v>
      </c>
      <c r="B4" s="23">
        <v>780</v>
      </c>
      <c r="C4" s="92" t="s">
        <v>535</v>
      </c>
      <c r="D4" s="25">
        <f t="shared" si="0"/>
        <v>65</v>
      </c>
      <c r="E4" s="25">
        <f t="shared" si="1"/>
        <v>780</v>
      </c>
      <c r="M4" s="12"/>
      <c r="N4" s="118"/>
      <c r="O4" s="118"/>
      <c r="P4" s="118"/>
      <c r="Q4" s="118"/>
    </row>
    <row r="5" spans="1:17" ht="14.25" customHeight="1" x14ac:dyDescent="0.25">
      <c r="A5" s="92" t="s">
        <v>207</v>
      </c>
      <c r="B5" s="23">
        <v>75</v>
      </c>
      <c r="C5" s="92" t="s">
        <v>537</v>
      </c>
      <c r="D5" s="25">
        <f>B5/3</f>
        <v>25</v>
      </c>
      <c r="E5" s="25">
        <f t="shared" si="1"/>
        <v>300</v>
      </c>
      <c r="M5" s="12"/>
      <c r="N5" s="118"/>
      <c r="O5" s="118"/>
      <c r="P5" s="118"/>
      <c r="Q5" s="118"/>
    </row>
    <row r="6" spans="1:17" ht="14.25" customHeight="1" x14ac:dyDescent="0.25">
      <c r="A6" s="92" t="s">
        <v>422</v>
      </c>
      <c r="B6" s="23">
        <v>90</v>
      </c>
      <c r="C6" s="92" t="s">
        <v>538</v>
      </c>
      <c r="D6" s="25">
        <f>B6/2</f>
        <v>45</v>
      </c>
      <c r="E6" s="25">
        <f t="shared" si="1"/>
        <v>540</v>
      </c>
      <c r="M6" s="12"/>
      <c r="N6" s="118"/>
      <c r="O6" s="118"/>
      <c r="P6" s="118"/>
      <c r="Q6" s="118"/>
    </row>
    <row r="7" spans="1:17" ht="14.25" customHeight="1" x14ac:dyDescent="0.25">
      <c r="A7" s="92" t="s">
        <v>539</v>
      </c>
      <c r="B7" s="23">
        <v>60</v>
      </c>
      <c r="C7" s="92" t="s">
        <v>540</v>
      </c>
      <c r="D7" s="25">
        <f>B7</f>
        <v>60</v>
      </c>
      <c r="E7" s="25">
        <f t="shared" si="1"/>
        <v>720</v>
      </c>
      <c r="M7" s="12"/>
      <c r="N7" s="118"/>
      <c r="O7" s="118"/>
      <c r="P7" s="118"/>
      <c r="Q7" s="118"/>
    </row>
    <row r="8" spans="1:17" ht="14.25" customHeight="1" x14ac:dyDescent="0.25">
      <c r="B8" s="23"/>
      <c r="D8" s="25"/>
      <c r="E8" s="25"/>
      <c r="M8" s="12"/>
      <c r="N8" s="118"/>
      <c r="O8" s="118"/>
      <c r="P8" s="118"/>
      <c r="Q8" s="118"/>
    </row>
    <row r="9" spans="1:17" ht="14.25" customHeight="1" x14ac:dyDescent="0.25">
      <c r="A9" s="92" t="s">
        <v>68</v>
      </c>
      <c r="B9" s="23"/>
      <c r="D9" s="25">
        <f>SUM(D3:D7)</f>
        <v>420</v>
      </c>
      <c r="E9" s="25">
        <f>D9*12</f>
        <v>5040</v>
      </c>
      <c r="M9" s="12"/>
      <c r="N9" s="118"/>
      <c r="O9" s="118"/>
      <c r="P9" s="118"/>
      <c r="Q9" s="118"/>
    </row>
    <row r="10" spans="1:17" ht="14.25" customHeight="1" x14ac:dyDescent="0.25">
      <c r="B10" s="23"/>
      <c r="D10" s="25"/>
      <c r="E10" s="25"/>
      <c r="M10" s="12"/>
      <c r="N10" s="118"/>
      <c r="O10" s="118"/>
      <c r="P10" s="118"/>
      <c r="Q10" s="118"/>
    </row>
    <row r="11" spans="1:17" ht="14.25" customHeight="1" x14ac:dyDescent="0.25">
      <c r="A11" s="92" t="s">
        <v>541</v>
      </c>
      <c r="B11" s="23">
        <v>100</v>
      </c>
      <c r="C11" s="92" t="s">
        <v>540</v>
      </c>
      <c r="D11" s="25">
        <f>B11</f>
        <v>100</v>
      </c>
      <c r="E11" s="25">
        <f>D11*12</f>
        <v>1200</v>
      </c>
      <c r="M11" s="12"/>
      <c r="N11" s="118"/>
      <c r="O11" s="118"/>
      <c r="P11" s="118"/>
      <c r="Q11" s="118"/>
    </row>
    <row r="12" spans="1:17" ht="14.25" customHeight="1" x14ac:dyDescent="0.25">
      <c r="B12" s="23"/>
      <c r="D12" s="25"/>
      <c r="E12" s="25"/>
      <c r="M12" s="12"/>
      <c r="N12" s="118"/>
      <c r="O12" s="118"/>
      <c r="P12" s="118"/>
      <c r="Q12" s="118"/>
    </row>
    <row r="13" spans="1:17" ht="14.25" customHeight="1" x14ac:dyDescent="0.25">
      <c r="A13" s="92" t="s">
        <v>542</v>
      </c>
      <c r="B13" s="23"/>
      <c r="D13" s="25">
        <f>SUM(D9+D11)</f>
        <v>520</v>
      </c>
      <c r="E13" s="25">
        <f>D13*12</f>
        <v>6240</v>
      </c>
      <c r="M13" s="12"/>
      <c r="N13" s="118"/>
      <c r="O13" s="118"/>
      <c r="P13" s="118"/>
      <c r="Q13" s="118"/>
    </row>
    <row r="14" spans="1:17" ht="14.25" customHeight="1" x14ac:dyDescent="0.25">
      <c r="B14" s="23"/>
      <c r="D14" s="25"/>
      <c r="E14" s="25"/>
      <c r="M14" s="12"/>
      <c r="N14" s="118"/>
      <c r="O14" s="118"/>
      <c r="P14" s="118"/>
      <c r="Q14" s="118"/>
    </row>
    <row r="15" spans="1:17" ht="14.25" customHeight="1" x14ac:dyDescent="0.25">
      <c r="B15" s="23"/>
      <c r="D15" s="25"/>
      <c r="E15" s="25"/>
      <c r="M15" s="12"/>
      <c r="N15" s="118"/>
      <c r="O15" s="118"/>
      <c r="P15" s="118"/>
      <c r="Q15" s="118"/>
    </row>
    <row r="16" spans="1:17" ht="14.25" customHeight="1" x14ac:dyDescent="0.25">
      <c r="A16" s="92" t="s">
        <v>543</v>
      </c>
      <c r="B16" s="23">
        <v>800</v>
      </c>
      <c r="C16" s="92" t="s">
        <v>540</v>
      </c>
      <c r="D16" s="25">
        <f>B16</f>
        <v>800</v>
      </c>
      <c r="E16" s="25">
        <f>D16*12</f>
        <v>9600</v>
      </c>
      <c r="M16" s="12"/>
      <c r="N16" s="118"/>
      <c r="O16" s="118"/>
      <c r="P16" s="118"/>
      <c r="Q16" s="118"/>
    </row>
    <row r="17" spans="1:17" ht="14.25" customHeight="1" x14ac:dyDescent="0.25">
      <c r="B17" s="23"/>
      <c r="D17" s="25"/>
      <c r="E17" s="25"/>
      <c r="M17" s="12"/>
      <c r="N17" s="118"/>
      <c r="O17" s="118"/>
      <c r="P17" s="118"/>
      <c r="Q17" s="118"/>
    </row>
    <row r="18" spans="1:17" ht="14.25" customHeight="1" x14ac:dyDescent="0.25">
      <c r="A18" s="92" t="s">
        <v>544</v>
      </c>
      <c r="B18" s="23"/>
      <c r="D18" s="25">
        <f>D16-D13</f>
        <v>280</v>
      </c>
      <c r="E18" s="25">
        <f>D18*12</f>
        <v>3360</v>
      </c>
      <c r="M18" s="12"/>
      <c r="N18" s="118"/>
      <c r="O18" s="118"/>
      <c r="P18" s="118"/>
      <c r="Q18" s="118"/>
    </row>
    <row r="19" spans="1:17" ht="14.25" customHeight="1" x14ac:dyDescent="0.25">
      <c r="A19" s="92" t="s">
        <v>545</v>
      </c>
      <c r="B19" s="23"/>
      <c r="D19" s="25"/>
      <c r="E19" s="50">
        <f>(E16-E13)/E13</f>
        <v>0.53846153846153844</v>
      </c>
      <c r="M19" s="12"/>
      <c r="N19" s="118"/>
      <c r="O19" s="118"/>
      <c r="P19" s="118"/>
      <c r="Q19" s="118"/>
    </row>
    <row r="20" spans="1:17" ht="14.25" customHeight="1" x14ac:dyDescent="0.25">
      <c r="B20" s="23"/>
      <c r="D20" s="25"/>
      <c r="E20" s="25"/>
      <c r="M20" s="12"/>
      <c r="N20" s="118"/>
      <c r="O20" s="118"/>
      <c r="P20" s="118"/>
      <c r="Q20" s="118"/>
    </row>
    <row r="21" spans="1:17" ht="14.25" customHeight="1" x14ac:dyDescent="0.25">
      <c r="B21" s="23"/>
      <c r="D21" s="25"/>
      <c r="E21" s="25"/>
      <c r="M21" s="12"/>
      <c r="N21" s="118"/>
      <c r="O21" s="118"/>
      <c r="P21" s="118"/>
      <c r="Q21" s="118"/>
    </row>
    <row r="22" spans="1:17" ht="14.25" customHeight="1" x14ac:dyDescent="0.25">
      <c r="B22" s="23"/>
      <c r="D22" s="25"/>
      <c r="E22" s="25"/>
      <c r="M22" s="12"/>
      <c r="N22" s="118"/>
      <c r="O22" s="118"/>
      <c r="P22" s="118"/>
      <c r="Q22" s="118"/>
    </row>
    <row r="23" spans="1:17" ht="14.25" customHeight="1" x14ac:dyDescent="0.25">
      <c r="B23" s="23"/>
      <c r="D23" s="25"/>
      <c r="E23" s="25"/>
      <c r="M23" s="12"/>
      <c r="N23" s="118"/>
      <c r="O23" s="118"/>
      <c r="P23" s="118"/>
      <c r="Q23" s="118"/>
    </row>
    <row r="24" spans="1:17" ht="14.25" customHeight="1" x14ac:dyDescent="0.25">
      <c r="B24" s="23"/>
      <c r="D24" s="25"/>
      <c r="E24" s="25"/>
      <c r="M24" s="12"/>
      <c r="N24" s="118"/>
      <c r="O24" s="118"/>
      <c r="P24" s="118"/>
      <c r="Q24" s="118"/>
    </row>
    <row r="25" spans="1:17" ht="14.25" customHeight="1" x14ac:dyDescent="0.25">
      <c r="B25" s="23"/>
      <c r="D25" s="25"/>
      <c r="E25" s="25"/>
      <c r="M25" s="12"/>
      <c r="N25" s="118"/>
      <c r="O25" s="118"/>
      <c r="P25" s="118"/>
      <c r="Q25" s="118"/>
    </row>
    <row r="26" spans="1:17" ht="14.25" customHeight="1" x14ac:dyDescent="0.25">
      <c r="B26" s="23"/>
      <c r="D26" s="25"/>
      <c r="E26" s="25"/>
      <c r="M26" s="12"/>
      <c r="N26" s="118"/>
      <c r="O26" s="118"/>
      <c r="P26" s="118"/>
      <c r="Q26" s="118"/>
    </row>
    <row r="27" spans="1:17" ht="14.25" customHeight="1" x14ac:dyDescent="0.25">
      <c r="B27" s="23"/>
      <c r="D27" s="25"/>
      <c r="E27" s="25"/>
      <c r="M27" s="12"/>
      <c r="N27" s="118"/>
      <c r="O27" s="118"/>
      <c r="P27" s="118"/>
      <c r="Q27" s="118"/>
    </row>
    <row r="28" spans="1:17" ht="14.25" customHeight="1" x14ac:dyDescent="0.25">
      <c r="B28" s="23"/>
      <c r="D28" s="25"/>
      <c r="E28" s="25"/>
      <c r="M28" s="12"/>
      <c r="N28" s="118"/>
      <c r="O28" s="118"/>
      <c r="P28" s="118"/>
      <c r="Q28" s="118"/>
    </row>
    <row r="29" spans="1:17" ht="14.25" customHeight="1" x14ac:dyDescent="0.25">
      <c r="B29" s="23"/>
      <c r="D29" s="25"/>
      <c r="E29" s="25"/>
      <c r="M29" s="12"/>
      <c r="N29" s="118"/>
      <c r="O29" s="118"/>
      <c r="P29" s="118"/>
      <c r="Q29" s="118"/>
    </row>
    <row r="30" spans="1:17" ht="14.25" customHeight="1" x14ac:dyDescent="0.25">
      <c r="B30" s="23"/>
      <c r="D30" s="25"/>
      <c r="E30" s="25"/>
      <c r="M30" s="12"/>
      <c r="N30" s="118"/>
      <c r="O30" s="118"/>
      <c r="P30" s="118"/>
      <c r="Q30" s="118"/>
    </row>
    <row r="31" spans="1:17" ht="14.25" customHeight="1" x14ac:dyDescent="0.25">
      <c r="B31" s="23"/>
      <c r="D31" s="25"/>
      <c r="E31" s="25"/>
      <c r="M31" s="12"/>
      <c r="N31" s="118"/>
      <c r="O31" s="118"/>
      <c r="P31" s="118"/>
      <c r="Q31" s="118"/>
    </row>
    <row r="32" spans="1:17" ht="14.25" customHeight="1" x14ac:dyDescent="0.25">
      <c r="B32" s="23"/>
      <c r="D32" s="25"/>
      <c r="E32" s="25"/>
      <c r="M32" s="12"/>
      <c r="N32" s="118"/>
      <c r="O32" s="118"/>
      <c r="P32" s="118"/>
      <c r="Q32" s="118"/>
    </row>
    <row r="33" spans="2:17" ht="14.25" customHeight="1" x14ac:dyDescent="0.25">
      <c r="B33" s="23"/>
      <c r="D33" s="25"/>
      <c r="E33" s="25"/>
      <c r="M33" s="12"/>
      <c r="N33" s="118"/>
      <c r="O33" s="118"/>
      <c r="P33" s="118"/>
      <c r="Q33" s="118"/>
    </row>
    <row r="34" spans="2:17" ht="14.25" customHeight="1" x14ac:dyDescent="0.25">
      <c r="B34" s="23"/>
      <c r="D34" s="25"/>
      <c r="E34" s="25"/>
      <c r="M34" s="12"/>
      <c r="N34" s="118"/>
      <c r="O34" s="118"/>
      <c r="P34" s="118"/>
      <c r="Q34" s="118"/>
    </row>
    <row r="35" spans="2:17" ht="14.25" customHeight="1" x14ac:dyDescent="0.25">
      <c r="B35" s="23"/>
      <c r="D35" s="25"/>
      <c r="E35" s="25"/>
      <c r="M35" s="12"/>
      <c r="N35" s="118"/>
      <c r="O35" s="118"/>
      <c r="P35" s="118"/>
      <c r="Q35" s="118"/>
    </row>
    <row r="36" spans="2:17" ht="14.25" customHeight="1" x14ac:dyDescent="0.25">
      <c r="B36" s="23"/>
      <c r="D36" s="25"/>
      <c r="E36" s="25"/>
      <c r="M36" s="12"/>
      <c r="N36" s="118"/>
      <c r="O36" s="118"/>
      <c r="P36" s="118"/>
      <c r="Q36" s="118"/>
    </row>
    <row r="37" spans="2:17" ht="14.25" customHeight="1" x14ac:dyDescent="0.25">
      <c r="B37" s="23"/>
      <c r="D37" s="25"/>
      <c r="E37" s="25"/>
      <c r="M37" s="12"/>
      <c r="N37" s="118"/>
      <c r="O37" s="118"/>
      <c r="P37" s="118"/>
      <c r="Q37" s="118"/>
    </row>
    <row r="38" spans="2:17" ht="14.25" customHeight="1" x14ac:dyDescent="0.25">
      <c r="B38" s="23"/>
      <c r="D38" s="25"/>
      <c r="E38" s="25"/>
      <c r="M38" s="12"/>
      <c r="N38" s="118"/>
      <c r="O38" s="118"/>
      <c r="P38" s="118"/>
      <c r="Q38" s="118"/>
    </row>
    <row r="39" spans="2:17" ht="14.25" customHeight="1" x14ac:dyDescent="0.25">
      <c r="B39" s="23"/>
      <c r="D39" s="25"/>
      <c r="E39" s="25"/>
      <c r="M39" s="12"/>
      <c r="N39" s="118"/>
      <c r="O39" s="118"/>
      <c r="P39" s="118"/>
      <c r="Q39" s="118"/>
    </row>
    <row r="40" spans="2:17" ht="14.25" customHeight="1" x14ac:dyDescent="0.25">
      <c r="B40" s="23"/>
      <c r="D40" s="25"/>
      <c r="E40" s="25"/>
      <c r="M40" s="12"/>
      <c r="N40" s="118"/>
      <c r="O40" s="118"/>
      <c r="P40" s="118"/>
      <c r="Q40" s="118"/>
    </row>
    <row r="41" spans="2:17" ht="14.25" customHeight="1" x14ac:dyDescent="0.25">
      <c r="B41" s="23"/>
      <c r="D41" s="25"/>
      <c r="E41" s="25"/>
      <c r="M41" s="12"/>
      <c r="N41" s="118"/>
      <c r="O41" s="118"/>
      <c r="P41" s="118"/>
      <c r="Q41" s="118"/>
    </row>
    <row r="42" spans="2:17" ht="14.25" customHeight="1" x14ac:dyDescent="0.25">
      <c r="B42" s="23"/>
      <c r="D42" s="25"/>
      <c r="E42" s="25"/>
      <c r="M42" s="12"/>
      <c r="N42" s="118"/>
      <c r="O42" s="118"/>
      <c r="P42" s="118"/>
      <c r="Q42" s="118"/>
    </row>
    <row r="43" spans="2:17" ht="14.25" customHeight="1" x14ac:dyDescent="0.25">
      <c r="B43" s="23"/>
      <c r="D43" s="25"/>
      <c r="E43" s="25"/>
      <c r="M43" s="12"/>
      <c r="N43" s="118"/>
      <c r="O43" s="118"/>
      <c r="P43" s="118"/>
      <c r="Q43" s="118"/>
    </row>
    <row r="44" spans="2:17" ht="14.25" customHeight="1" x14ac:dyDescent="0.25">
      <c r="B44" s="23"/>
      <c r="D44" s="25"/>
      <c r="E44" s="25"/>
      <c r="M44" s="12"/>
      <c r="N44" s="118"/>
      <c r="O44" s="118"/>
      <c r="P44" s="118"/>
      <c r="Q44" s="118"/>
    </row>
    <row r="45" spans="2:17" ht="14.25" customHeight="1" x14ac:dyDescent="0.25">
      <c r="B45" s="23"/>
      <c r="D45" s="25"/>
      <c r="E45" s="25"/>
      <c r="M45" s="12"/>
      <c r="N45" s="118"/>
      <c r="O45" s="118"/>
      <c r="P45" s="118"/>
      <c r="Q45" s="118"/>
    </row>
    <row r="46" spans="2:17" ht="14.25" customHeight="1" x14ac:dyDescent="0.25">
      <c r="B46" s="23"/>
      <c r="D46" s="25"/>
      <c r="E46" s="25"/>
      <c r="M46" s="12"/>
      <c r="N46" s="118"/>
      <c r="O46" s="118"/>
      <c r="P46" s="118"/>
      <c r="Q46" s="118"/>
    </row>
    <row r="47" spans="2:17" ht="14.25" customHeight="1" x14ac:dyDescent="0.25">
      <c r="B47" s="23"/>
      <c r="D47" s="25"/>
      <c r="E47" s="25"/>
      <c r="M47" s="12"/>
      <c r="N47" s="118"/>
      <c r="O47" s="118"/>
      <c r="P47" s="118"/>
      <c r="Q47" s="118"/>
    </row>
    <row r="48" spans="2:17" ht="14.25" customHeight="1" x14ac:dyDescent="0.25">
      <c r="B48" s="23"/>
      <c r="D48" s="25"/>
      <c r="E48" s="25"/>
      <c r="M48" s="12"/>
      <c r="N48" s="118"/>
      <c r="O48" s="118"/>
      <c r="P48" s="118"/>
      <c r="Q48" s="118"/>
    </row>
    <row r="49" spans="2:17" ht="14.25" customHeight="1" x14ac:dyDescent="0.25">
      <c r="B49" s="23"/>
      <c r="D49" s="25"/>
      <c r="E49" s="25"/>
      <c r="M49" s="12"/>
      <c r="N49" s="118"/>
      <c r="O49" s="118"/>
      <c r="P49" s="118"/>
      <c r="Q49" s="118"/>
    </row>
    <row r="50" spans="2:17" ht="14.25" customHeight="1" x14ac:dyDescent="0.25">
      <c r="B50" s="23"/>
      <c r="D50" s="25"/>
      <c r="E50" s="25"/>
      <c r="M50" s="12"/>
      <c r="N50" s="118"/>
      <c r="O50" s="118"/>
      <c r="P50" s="118"/>
      <c r="Q50" s="118"/>
    </row>
    <row r="51" spans="2:17" ht="14.25" customHeight="1" x14ac:dyDescent="0.25">
      <c r="B51" s="23"/>
      <c r="D51" s="25"/>
      <c r="E51" s="25"/>
      <c r="M51" s="12"/>
      <c r="N51" s="118"/>
      <c r="O51" s="118"/>
      <c r="P51" s="118"/>
      <c r="Q51" s="118"/>
    </row>
    <row r="52" spans="2:17" ht="14.25" customHeight="1" x14ac:dyDescent="0.25">
      <c r="B52" s="23"/>
      <c r="D52" s="25"/>
      <c r="E52" s="25"/>
      <c r="M52" s="12"/>
      <c r="N52" s="118"/>
      <c r="O52" s="118"/>
      <c r="P52" s="118"/>
      <c r="Q52" s="118"/>
    </row>
    <row r="53" spans="2:17" ht="14.25" customHeight="1" x14ac:dyDescent="0.25">
      <c r="B53" s="23"/>
      <c r="D53" s="25"/>
      <c r="E53" s="25"/>
      <c r="M53" s="12"/>
      <c r="N53" s="118"/>
      <c r="O53" s="118"/>
      <c r="P53" s="118"/>
      <c r="Q53" s="118"/>
    </row>
    <row r="54" spans="2:17" ht="14.25" customHeight="1" x14ac:dyDescent="0.25">
      <c r="B54" s="23"/>
      <c r="D54" s="25"/>
      <c r="E54" s="25"/>
      <c r="M54" s="12"/>
      <c r="N54" s="118"/>
      <c r="O54" s="118"/>
      <c r="P54" s="118"/>
      <c r="Q54" s="118"/>
    </row>
    <row r="55" spans="2:17" ht="14.25" customHeight="1" x14ac:dyDescent="0.25">
      <c r="B55" s="23"/>
      <c r="D55" s="25"/>
      <c r="E55" s="25"/>
      <c r="M55" s="12"/>
      <c r="N55" s="118"/>
      <c r="O55" s="118"/>
      <c r="P55" s="118"/>
      <c r="Q55" s="118"/>
    </row>
    <row r="56" spans="2:17" ht="14.25" customHeight="1" x14ac:dyDescent="0.25">
      <c r="B56" s="23"/>
      <c r="D56" s="25"/>
      <c r="E56" s="25"/>
      <c r="M56" s="12"/>
      <c r="N56" s="118"/>
      <c r="O56" s="118"/>
      <c r="P56" s="118"/>
      <c r="Q56" s="118"/>
    </row>
    <row r="57" spans="2:17" ht="14.25" customHeight="1" x14ac:dyDescent="0.25">
      <c r="B57" s="23"/>
      <c r="D57" s="25"/>
      <c r="E57" s="25"/>
      <c r="M57" s="12"/>
      <c r="N57" s="118"/>
      <c r="O57" s="118"/>
      <c r="P57" s="118"/>
      <c r="Q57" s="118"/>
    </row>
    <row r="58" spans="2:17" ht="14.25" customHeight="1" x14ac:dyDescent="0.25">
      <c r="B58" s="23"/>
      <c r="D58" s="25"/>
      <c r="E58" s="25"/>
      <c r="M58" s="12"/>
      <c r="N58" s="118"/>
      <c r="O58" s="118"/>
      <c r="P58" s="118"/>
      <c r="Q58" s="118"/>
    </row>
    <row r="59" spans="2:17" ht="14.25" customHeight="1" x14ac:dyDescent="0.25">
      <c r="B59" s="23"/>
      <c r="D59" s="25"/>
      <c r="E59" s="25"/>
      <c r="M59" s="12"/>
      <c r="N59" s="118"/>
      <c r="O59" s="118"/>
      <c r="P59" s="118"/>
      <c r="Q59" s="118"/>
    </row>
    <row r="60" spans="2:17" ht="14.25" customHeight="1" x14ac:dyDescent="0.25">
      <c r="B60" s="23"/>
      <c r="D60" s="25"/>
      <c r="E60" s="25"/>
      <c r="M60" s="12"/>
      <c r="N60" s="118"/>
      <c r="O60" s="118"/>
      <c r="P60" s="118"/>
      <c r="Q60" s="118"/>
    </row>
    <row r="61" spans="2:17" ht="14.25" customHeight="1" x14ac:dyDescent="0.25">
      <c r="B61" s="23"/>
      <c r="D61" s="25"/>
      <c r="E61" s="25"/>
      <c r="M61" s="12"/>
      <c r="N61" s="118"/>
      <c r="O61" s="118"/>
      <c r="P61" s="118"/>
      <c r="Q61" s="118"/>
    </row>
    <row r="62" spans="2:17" ht="14.25" customHeight="1" x14ac:dyDescent="0.25">
      <c r="B62" s="23"/>
      <c r="D62" s="25"/>
      <c r="E62" s="25"/>
      <c r="M62" s="12"/>
      <c r="N62" s="118"/>
      <c r="O62" s="118"/>
      <c r="P62" s="118"/>
      <c r="Q62" s="118"/>
    </row>
    <row r="63" spans="2:17" ht="14.25" customHeight="1" x14ac:dyDescent="0.25">
      <c r="B63" s="23"/>
      <c r="D63" s="25"/>
      <c r="E63" s="25"/>
      <c r="M63" s="12"/>
      <c r="N63" s="118"/>
      <c r="O63" s="118"/>
      <c r="P63" s="118"/>
      <c r="Q63" s="118"/>
    </row>
    <row r="64" spans="2:17" ht="14.25" customHeight="1" x14ac:dyDescent="0.25">
      <c r="B64" s="23"/>
      <c r="D64" s="25"/>
      <c r="E64" s="25"/>
      <c r="M64" s="12"/>
      <c r="N64" s="118"/>
      <c r="O64" s="118"/>
      <c r="P64" s="118"/>
      <c r="Q64" s="118"/>
    </row>
    <row r="65" spans="2:17" ht="14.25" customHeight="1" x14ac:dyDescent="0.25">
      <c r="B65" s="23"/>
      <c r="D65" s="25"/>
      <c r="E65" s="25"/>
      <c r="M65" s="12"/>
      <c r="N65" s="118"/>
      <c r="O65" s="118"/>
      <c r="P65" s="118"/>
      <c r="Q65" s="118"/>
    </row>
    <row r="66" spans="2:17" ht="14.25" customHeight="1" x14ac:dyDescent="0.25">
      <c r="B66" s="23"/>
      <c r="D66" s="25"/>
      <c r="E66" s="25"/>
      <c r="M66" s="12"/>
      <c r="N66" s="118"/>
      <c r="O66" s="118"/>
      <c r="P66" s="118"/>
      <c r="Q66" s="118"/>
    </row>
    <row r="67" spans="2:17" ht="14.25" customHeight="1" x14ac:dyDescent="0.25">
      <c r="B67" s="23"/>
      <c r="D67" s="25"/>
      <c r="E67" s="25"/>
      <c r="M67" s="12"/>
      <c r="N67" s="118"/>
      <c r="O67" s="118"/>
      <c r="P67" s="118"/>
      <c r="Q67" s="118"/>
    </row>
    <row r="68" spans="2:17" ht="14.25" customHeight="1" x14ac:dyDescent="0.25">
      <c r="B68" s="23"/>
      <c r="D68" s="25"/>
      <c r="E68" s="25"/>
      <c r="M68" s="12"/>
      <c r="N68" s="118"/>
      <c r="O68" s="118"/>
      <c r="P68" s="118"/>
      <c r="Q68" s="118"/>
    </row>
    <row r="69" spans="2:17" ht="14.25" customHeight="1" x14ac:dyDescent="0.25">
      <c r="B69" s="23"/>
      <c r="D69" s="25"/>
      <c r="E69" s="25"/>
      <c r="M69" s="12"/>
      <c r="N69" s="118"/>
      <c r="O69" s="118"/>
      <c r="P69" s="118"/>
      <c r="Q69" s="118"/>
    </row>
    <row r="70" spans="2:17" ht="14.25" customHeight="1" x14ac:dyDescent="0.25">
      <c r="B70" s="23"/>
      <c r="D70" s="25"/>
      <c r="E70" s="25"/>
      <c r="M70" s="12"/>
      <c r="N70" s="118"/>
      <c r="O70" s="118"/>
      <c r="P70" s="118"/>
      <c r="Q70" s="118"/>
    </row>
    <row r="71" spans="2:17" ht="14.25" customHeight="1" x14ac:dyDescent="0.25">
      <c r="B71" s="23"/>
      <c r="D71" s="25"/>
      <c r="E71" s="25"/>
      <c r="M71" s="12"/>
      <c r="N71" s="118"/>
      <c r="O71" s="118"/>
      <c r="P71" s="118"/>
      <c r="Q71" s="118"/>
    </row>
    <row r="72" spans="2:17" ht="14.25" customHeight="1" x14ac:dyDescent="0.25">
      <c r="B72" s="23"/>
      <c r="D72" s="25"/>
      <c r="E72" s="25"/>
      <c r="M72" s="12"/>
      <c r="N72" s="118"/>
      <c r="O72" s="118"/>
      <c r="P72" s="118"/>
      <c r="Q72" s="118"/>
    </row>
    <row r="73" spans="2:17" ht="14.25" customHeight="1" x14ac:dyDescent="0.25">
      <c r="B73" s="23"/>
      <c r="D73" s="25"/>
      <c r="E73" s="25"/>
      <c r="M73" s="12"/>
      <c r="N73" s="118"/>
      <c r="O73" s="118"/>
      <c r="P73" s="118"/>
      <c r="Q73" s="118"/>
    </row>
    <row r="74" spans="2:17" ht="14.25" customHeight="1" x14ac:dyDescent="0.25">
      <c r="B74" s="23"/>
      <c r="D74" s="25"/>
      <c r="E74" s="25"/>
      <c r="M74" s="12"/>
      <c r="N74" s="118"/>
      <c r="O74" s="118"/>
      <c r="P74" s="118"/>
      <c r="Q74" s="118"/>
    </row>
    <row r="75" spans="2:17" ht="14.25" customHeight="1" x14ac:dyDescent="0.25">
      <c r="B75" s="23"/>
      <c r="D75" s="25"/>
      <c r="E75" s="25"/>
      <c r="M75" s="12"/>
      <c r="N75" s="118"/>
      <c r="O75" s="118"/>
      <c r="P75" s="118"/>
      <c r="Q75" s="118"/>
    </row>
    <row r="76" spans="2:17" ht="14.25" customHeight="1" x14ac:dyDescent="0.25">
      <c r="B76" s="23"/>
      <c r="D76" s="25"/>
      <c r="E76" s="25"/>
      <c r="M76" s="12"/>
      <c r="N76" s="118"/>
      <c r="O76" s="118"/>
      <c r="P76" s="118"/>
      <c r="Q76" s="118"/>
    </row>
    <row r="77" spans="2:17" ht="14.25" customHeight="1" x14ac:dyDescent="0.25">
      <c r="B77" s="23"/>
      <c r="D77" s="25"/>
      <c r="E77" s="25"/>
      <c r="M77" s="12"/>
      <c r="N77" s="118"/>
      <c r="O77" s="118"/>
      <c r="P77" s="118"/>
      <c r="Q77" s="118"/>
    </row>
    <row r="78" spans="2:17" ht="14.25" customHeight="1" x14ac:dyDescent="0.25">
      <c r="B78" s="23"/>
      <c r="D78" s="25"/>
      <c r="E78" s="25"/>
      <c r="M78" s="12"/>
      <c r="N78" s="118"/>
      <c r="O78" s="118"/>
      <c r="P78" s="118"/>
      <c r="Q78" s="118"/>
    </row>
    <row r="79" spans="2:17" ht="14.25" customHeight="1" x14ac:dyDescent="0.25">
      <c r="B79" s="23"/>
      <c r="D79" s="25"/>
      <c r="E79" s="25"/>
      <c r="M79" s="12"/>
      <c r="N79" s="118"/>
      <c r="O79" s="118"/>
      <c r="P79" s="118"/>
      <c r="Q79" s="118"/>
    </row>
    <row r="80" spans="2:17" ht="14.25" customHeight="1" x14ac:dyDescent="0.25">
      <c r="B80" s="23"/>
      <c r="D80" s="25"/>
      <c r="E80" s="25"/>
      <c r="M80" s="12"/>
      <c r="N80" s="118"/>
      <c r="O80" s="118"/>
      <c r="P80" s="118"/>
      <c r="Q80" s="118"/>
    </row>
    <row r="81" spans="2:17" ht="14.25" customHeight="1" x14ac:dyDescent="0.25">
      <c r="B81" s="23"/>
      <c r="D81" s="25"/>
      <c r="E81" s="25"/>
      <c r="M81" s="12"/>
      <c r="N81" s="118"/>
      <c r="O81" s="118"/>
      <c r="P81" s="118"/>
      <c r="Q81" s="118"/>
    </row>
    <row r="82" spans="2:17" ht="14.25" customHeight="1" x14ac:dyDescent="0.25">
      <c r="B82" s="23"/>
      <c r="D82" s="25"/>
      <c r="E82" s="25"/>
      <c r="M82" s="12"/>
      <c r="N82" s="118"/>
      <c r="O82" s="118"/>
      <c r="P82" s="118"/>
      <c r="Q82" s="118"/>
    </row>
    <row r="83" spans="2:17" ht="14.25" customHeight="1" x14ac:dyDescent="0.25">
      <c r="B83" s="23"/>
      <c r="D83" s="25"/>
      <c r="E83" s="25"/>
      <c r="M83" s="12"/>
      <c r="N83" s="118"/>
      <c r="O83" s="118"/>
      <c r="P83" s="118"/>
      <c r="Q83" s="118"/>
    </row>
    <row r="84" spans="2:17" ht="14.25" customHeight="1" x14ac:dyDescent="0.25">
      <c r="B84" s="23"/>
      <c r="D84" s="25"/>
      <c r="E84" s="25"/>
      <c r="M84" s="12"/>
      <c r="N84" s="118"/>
      <c r="O84" s="118"/>
      <c r="P84" s="118"/>
      <c r="Q84" s="118"/>
    </row>
    <row r="85" spans="2:17" ht="14.25" customHeight="1" x14ac:dyDescent="0.25">
      <c r="B85" s="23"/>
      <c r="D85" s="25"/>
      <c r="E85" s="25"/>
      <c r="M85" s="12"/>
      <c r="N85" s="118"/>
      <c r="O85" s="118"/>
      <c r="P85" s="118"/>
      <c r="Q85" s="118"/>
    </row>
    <row r="86" spans="2:17" ht="14.25" customHeight="1" x14ac:dyDescent="0.25">
      <c r="B86" s="23"/>
      <c r="D86" s="25"/>
      <c r="E86" s="25"/>
      <c r="M86" s="12"/>
      <c r="N86" s="118"/>
      <c r="O86" s="118"/>
      <c r="P86" s="118"/>
      <c r="Q86" s="118"/>
    </row>
    <row r="87" spans="2:17" ht="14.25" customHeight="1" x14ac:dyDescent="0.25">
      <c r="B87" s="23"/>
      <c r="D87" s="25"/>
      <c r="E87" s="25"/>
      <c r="M87" s="12"/>
      <c r="N87" s="118"/>
      <c r="O87" s="118"/>
      <c r="P87" s="118"/>
      <c r="Q87" s="118"/>
    </row>
    <row r="88" spans="2:17" ht="14.25" customHeight="1" x14ac:dyDescent="0.25">
      <c r="B88" s="23"/>
      <c r="D88" s="25"/>
      <c r="E88" s="25"/>
      <c r="M88" s="12"/>
      <c r="N88" s="118"/>
      <c r="O88" s="118"/>
      <c r="P88" s="118"/>
      <c r="Q88" s="118"/>
    </row>
    <row r="89" spans="2:17" ht="14.25" customHeight="1" x14ac:dyDescent="0.25">
      <c r="B89" s="23"/>
      <c r="D89" s="25"/>
      <c r="E89" s="25"/>
      <c r="M89" s="12"/>
      <c r="N89" s="118"/>
      <c r="O89" s="118"/>
      <c r="P89" s="118"/>
      <c r="Q89" s="118"/>
    </row>
    <row r="90" spans="2:17" ht="14.25" customHeight="1" x14ac:dyDescent="0.25">
      <c r="B90" s="23"/>
      <c r="D90" s="25"/>
      <c r="E90" s="25"/>
      <c r="M90" s="12"/>
      <c r="N90" s="118"/>
      <c r="O90" s="118"/>
      <c r="P90" s="118"/>
      <c r="Q90" s="118"/>
    </row>
    <row r="91" spans="2:17" ht="14.25" customHeight="1" x14ac:dyDescent="0.25">
      <c r="B91" s="23"/>
      <c r="D91" s="25"/>
      <c r="E91" s="25"/>
      <c r="M91" s="12"/>
      <c r="N91" s="118"/>
      <c r="O91" s="118"/>
      <c r="P91" s="118"/>
      <c r="Q91" s="118"/>
    </row>
    <row r="92" spans="2:17" ht="14.25" customHeight="1" x14ac:dyDescent="0.25">
      <c r="B92" s="23"/>
      <c r="D92" s="25"/>
      <c r="E92" s="25"/>
      <c r="M92" s="12"/>
      <c r="N92" s="118"/>
      <c r="O92" s="118"/>
      <c r="P92" s="118"/>
      <c r="Q92" s="118"/>
    </row>
    <row r="93" spans="2:17" ht="14.25" customHeight="1" x14ac:dyDescent="0.25">
      <c r="B93" s="23"/>
      <c r="D93" s="25"/>
      <c r="E93" s="25"/>
      <c r="M93" s="12"/>
      <c r="N93" s="118"/>
      <c r="O93" s="118"/>
      <c r="P93" s="118"/>
      <c r="Q93" s="118"/>
    </row>
    <row r="94" spans="2:17" ht="14.25" customHeight="1" x14ac:dyDescent="0.25">
      <c r="B94" s="23"/>
      <c r="D94" s="25"/>
      <c r="E94" s="25"/>
      <c r="M94" s="12"/>
      <c r="N94" s="118"/>
      <c r="O94" s="118"/>
      <c r="P94" s="118"/>
      <c r="Q94" s="118"/>
    </row>
    <row r="95" spans="2:17" ht="14.25" customHeight="1" x14ac:dyDescent="0.25">
      <c r="B95" s="23"/>
      <c r="D95" s="25"/>
      <c r="E95" s="25"/>
      <c r="M95" s="12"/>
      <c r="N95" s="118"/>
      <c r="O95" s="118"/>
      <c r="P95" s="118"/>
      <c r="Q95" s="118"/>
    </row>
    <row r="96" spans="2:17" ht="14.25" customHeight="1" x14ac:dyDescent="0.25">
      <c r="B96" s="23"/>
      <c r="D96" s="25"/>
      <c r="E96" s="25"/>
      <c r="M96" s="12"/>
      <c r="N96" s="118"/>
      <c r="O96" s="118"/>
      <c r="P96" s="118"/>
      <c r="Q96" s="118"/>
    </row>
    <row r="97" spans="2:17" ht="14.25" customHeight="1" x14ac:dyDescent="0.25">
      <c r="B97" s="23"/>
      <c r="D97" s="25"/>
      <c r="E97" s="25"/>
      <c r="M97" s="12"/>
      <c r="N97" s="118"/>
      <c r="O97" s="118"/>
      <c r="P97" s="118"/>
      <c r="Q97" s="118"/>
    </row>
    <row r="98" spans="2:17" ht="14.25" customHeight="1" x14ac:dyDescent="0.25">
      <c r="B98" s="23"/>
      <c r="D98" s="25"/>
      <c r="E98" s="25"/>
      <c r="M98" s="12"/>
      <c r="N98" s="118"/>
      <c r="O98" s="118"/>
      <c r="P98" s="118"/>
      <c r="Q98" s="118"/>
    </row>
    <row r="99" spans="2:17" ht="14.25" customHeight="1" x14ac:dyDescent="0.25">
      <c r="B99" s="23"/>
      <c r="D99" s="25"/>
      <c r="E99" s="25"/>
      <c r="M99" s="12"/>
      <c r="N99" s="118"/>
      <c r="O99" s="118"/>
      <c r="P99" s="118"/>
      <c r="Q99" s="118"/>
    </row>
    <row r="100" spans="2:17" ht="14.25" customHeight="1" x14ac:dyDescent="0.25">
      <c r="B100" s="23"/>
      <c r="D100" s="25"/>
      <c r="E100" s="25"/>
      <c r="M100" s="12"/>
      <c r="N100" s="118"/>
      <c r="O100" s="118"/>
      <c r="P100" s="118"/>
      <c r="Q100" s="118"/>
    </row>
    <row r="101" spans="2:17" ht="14.25" customHeight="1" x14ac:dyDescent="0.25">
      <c r="B101" s="23"/>
      <c r="D101" s="25"/>
      <c r="E101" s="25"/>
      <c r="M101" s="12"/>
      <c r="N101" s="118"/>
      <c r="O101" s="118"/>
      <c r="P101" s="118"/>
      <c r="Q101" s="118"/>
    </row>
    <row r="102" spans="2:17" ht="14.25" customHeight="1" x14ac:dyDescent="0.25">
      <c r="B102" s="23"/>
      <c r="D102" s="25"/>
      <c r="E102" s="25"/>
      <c r="M102" s="12"/>
      <c r="N102" s="118"/>
      <c r="O102" s="118"/>
      <c r="P102" s="118"/>
      <c r="Q102" s="118"/>
    </row>
    <row r="103" spans="2:17" ht="14.25" customHeight="1" x14ac:dyDescent="0.25">
      <c r="B103" s="23"/>
      <c r="D103" s="25"/>
      <c r="E103" s="25"/>
      <c r="M103" s="12"/>
      <c r="N103" s="118"/>
      <c r="O103" s="118"/>
      <c r="P103" s="118"/>
      <c r="Q103" s="118"/>
    </row>
    <row r="104" spans="2:17" ht="14.25" customHeight="1" x14ac:dyDescent="0.25">
      <c r="B104" s="23"/>
      <c r="D104" s="25"/>
      <c r="E104" s="25"/>
      <c r="M104" s="12"/>
      <c r="N104" s="118"/>
      <c r="O104" s="118"/>
      <c r="P104" s="118"/>
      <c r="Q104" s="118"/>
    </row>
    <row r="105" spans="2:17" ht="14.25" customHeight="1" x14ac:dyDescent="0.25">
      <c r="B105" s="23"/>
      <c r="D105" s="25"/>
      <c r="E105" s="25"/>
      <c r="M105" s="12"/>
      <c r="N105" s="118"/>
      <c r="O105" s="118"/>
      <c r="P105" s="118"/>
      <c r="Q105" s="118"/>
    </row>
    <row r="106" spans="2:17" ht="14.25" customHeight="1" x14ac:dyDescent="0.25">
      <c r="B106" s="23"/>
      <c r="D106" s="25"/>
      <c r="E106" s="25"/>
      <c r="M106" s="12"/>
      <c r="N106" s="118"/>
      <c r="O106" s="118"/>
      <c r="P106" s="118"/>
      <c r="Q106" s="118"/>
    </row>
    <row r="107" spans="2:17" ht="14.25" customHeight="1" x14ac:dyDescent="0.25">
      <c r="B107" s="23"/>
      <c r="D107" s="25"/>
      <c r="E107" s="25"/>
      <c r="M107" s="12"/>
      <c r="N107" s="118"/>
      <c r="O107" s="118"/>
      <c r="P107" s="118"/>
      <c r="Q107" s="118"/>
    </row>
    <row r="108" spans="2:17" ht="14.25" customHeight="1" x14ac:dyDescent="0.25">
      <c r="B108" s="23"/>
      <c r="D108" s="25"/>
      <c r="E108" s="25"/>
      <c r="M108" s="12"/>
      <c r="N108" s="118"/>
      <c r="O108" s="118"/>
      <c r="P108" s="118"/>
      <c r="Q108" s="118"/>
    </row>
    <row r="109" spans="2:17" ht="14.25" customHeight="1" x14ac:dyDescent="0.25">
      <c r="B109" s="23"/>
      <c r="D109" s="25"/>
      <c r="E109" s="25"/>
      <c r="M109" s="12"/>
      <c r="N109" s="118"/>
      <c r="O109" s="118"/>
      <c r="P109" s="118"/>
      <c r="Q109" s="118"/>
    </row>
    <row r="110" spans="2:17" ht="14.25" customHeight="1" x14ac:dyDescent="0.25">
      <c r="B110" s="23"/>
      <c r="D110" s="25"/>
      <c r="E110" s="25"/>
      <c r="M110" s="12"/>
      <c r="N110" s="118"/>
      <c r="O110" s="118"/>
      <c r="P110" s="118"/>
      <c r="Q110" s="118"/>
    </row>
    <row r="111" spans="2:17" ht="14.25" customHeight="1" x14ac:dyDescent="0.25">
      <c r="B111" s="23"/>
      <c r="D111" s="25"/>
      <c r="E111" s="25"/>
      <c r="M111" s="12"/>
      <c r="N111" s="118"/>
      <c r="O111" s="118"/>
      <c r="P111" s="118"/>
      <c r="Q111" s="118"/>
    </row>
    <row r="112" spans="2:17" ht="14.25" customHeight="1" x14ac:dyDescent="0.25">
      <c r="B112" s="23"/>
      <c r="D112" s="25"/>
      <c r="E112" s="25"/>
      <c r="M112" s="12"/>
      <c r="N112" s="118"/>
      <c r="O112" s="118"/>
      <c r="P112" s="118"/>
      <c r="Q112" s="118"/>
    </row>
    <row r="113" spans="2:17" ht="14.25" customHeight="1" x14ac:dyDescent="0.25">
      <c r="B113" s="23"/>
      <c r="D113" s="25"/>
      <c r="E113" s="25"/>
      <c r="M113" s="12"/>
      <c r="N113" s="118"/>
      <c r="O113" s="118"/>
      <c r="P113" s="118"/>
      <c r="Q113" s="118"/>
    </row>
    <row r="114" spans="2:17" ht="14.25" customHeight="1" x14ac:dyDescent="0.25">
      <c r="B114" s="23"/>
      <c r="D114" s="25"/>
      <c r="E114" s="25"/>
      <c r="M114" s="12"/>
      <c r="N114" s="118"/>
      <c r="O114" s="118"/>
      <c r="P114" s="118"/>
      <c r="Q114" s="118"/>
    </row>
    <row r="115" spans="2:17" ht="14.25" customHeight="1" x14ac:dyDescent="0.25">
      <c r="B115" s="23"/>
      <c r="D115" s="25"/>
      <c r="E115" s="25"/>
      <c r="M115" s="12"/>
      <c r="N115" s="118"/>
      <c r="O115" s="118"/>
      <c r="P115" s="118"/>
      <c r="Q115" s="118"/>
    </row>
    <row r="116" spans="2:17" ht="14.25" customHeight="1" x14ac:dyDescent="0.25">
      <c r="B116" s="23"/>
      <c r="D116" s="25"/>
      <c r="E116" s="25"/>
      <c r="M116" s="12"/>
      <c r="N116" s="118"/>
      <c r="O116" s="118"/>
      <c r="P116" s="118"/>
      <c r="Q116" s="118"/>
    </row>
    <row r="117" spans="2:17" ht="14.25" customHeight="1" x14ac:dyDescent="0.25">
      <c r="B117" s="23"/>
      <c r="D117" s="25"/>
      <c r="E117" s="25"/>
      <c r="M117" s="12"/>
      <c r="N117" s="118"/>
      <c r="O117" s="118"/>
      <c r="P117" s="118"/>
      <c r="Q117" s="118"/>
    </row>
    <row r="118" spans="2:17" ht="14.25" customHeight="1" x14ac:dyDescent="0.25">
      <c r="B118" s="23"/>
      <c r="D118" s="25"/>
      <c r="E118" s="25"/>
      <c r="M118" s="12"/>
      <c r="N118" s="118"/>
      <c r="O118" s="118"/>
      <c r="P118" s="118"/>
      <c r="Q118" s="118"/>
    </row>
    <row r="119" spans="2:17" ht="14.25" customHeight="1" x14ac:dyDescent="0.25">
      <c r="B119" s="23"/>
      <c r="D119" s="25"/>
      <c r="E119" s="25"/>
      <c r="M119" s="12"/>
      <c r="N119" s="118"/>
      <c r="O119" s="118"/>
      <c r="P119" s="118"/>
      <c r="Q119" s="118"/>
    </row>
    <row r="120" spans="2:17" ht="14.25" customHeight="1" x14ac:dyDescent="0.25">
      <c r="B120" s="23"/>
      <c r="D120" s="25"/>
      <c r="E120" s="25"/>
      <c r="M120" s="12"/>
      <c r="N120" s="118"/>
      <c r="O120" s="118"/>
      <c r="P120" s="118"/>
      <c r="Q120" s="118"/>
    </row>
    <row r="121" spans="2:17" ht="14.25" customHeight="1" x14ac:dyDescent="0.25">
      <c r="B121" s="23"/>
      <c r="D121" s="25"/>
      <c r="E121" s="25"/>
      <c r="M121" s="12"/>
      <c r="N121" s="118"/>
      <c r="O121" s="118"/>
      <c r="P121" s="118"/>
      <c r="Q121" s="118"/>
    </row>
    <row r="122" spans="2:17" ht="14.25" customHeight="1" x14ac:dyDescent="0.25">
      <c r="B122" s="23"/>
      <c r="D122" s="25"/>
      <c r="E122" s="25"/>
      <c r="M122" s="12"/>
      <c r="N122" s="118"/>
      <c r="O122" s="118"/>
      <c r="P122" s="118"/>
      <c r="Q122" s="118"/>
    </row>
    <row r="123" spans="2:17" ht="14.25" customHeight="1" x14ac:dyDescent="0.25">
      <c r="B123" s="23"/>
      <c r="D123" s="25"/>
      <c r="E123" s="25"/>
      <c r="M123" s="12"/>
      <c r="N123" s="118"/>
      <c r="O123" s="118"/>
      <c r="P123" s="118"/>
      <c r="Q123" s="118"/>
    </row>
    <row r="124" spans="2:17" ht="14.25" customHeight="1" x14ac:dyDescent="0.25">
      <c r="B124" s="23"/>
      <c r="D124" s="25"/>
      <c r="E124" s="25"/>
      <c r="M124" s="12"/>
      <c r="N124" s="118"/>
      <c r="O124" s="118"/>
      <c r="P124" s="118"/>
      <c r="Q124" s="118"/>
    </row>
    <row r="125" spans="2:17" ht="14.25" customHeight="1" x14ac:dyDescent="0.25">
      <c r="B125" s="23"/>
      <c r="D125" s="25"/>
      <c r="E125" s="25"/>
      <c r="M125" s="12"/>
      <c r="N125" s="118"/>
      <c r="O125" s="118"/>
      <c r="P125" s="118"/>
      <c r="Q125" s="118"/>
    </row>
    <row r="126" spans="2:17" ht="14.25" customHeight="1" x14ac:dyDescent="0.25">
      <c r="B126" s="23"/>
      <c r="D126" s="25"/>
      <c r="E126" s="25"/>
      <c r="M126" s="12"/>
      <c r="N126" s="118"/>
      <c r="O126" s="118"/>
      <c r="P126" s="118"/>
      <c r="Q126" s="118"/>
    </row>
    <row r="127" spans="2:17" ht="14.25" customHeight="1" x14ac:dyDescent="0.25">
      <c r="B127" s="23"/>
      <c r="D127" s="25"/>
      <c r="E127" s="25"/>
      <c r="M127" s="12"/>
      <c r="N127" s="118"/>
      <c r="O127" s="118"/>
      <c r="P127" s="118"/>
      <c r="Q127" s="118"/>
    </row>
    <row r="128" spans="2:17" ht="14.25" customHeight="1" x14ac:dyDescent="0.25">
      <c r="B128" s="23"/>
      <c r="D128" s="25"/>
      <c r="E128" s="25"/>
      <c r="M128" s="12"/>
      <c r="N128" s="118"/>
      <c r="O128" s="118"/>
      <c r="P128" s="118"/>
      <c r="Q128" s="118"/>
    </row>
    <row r="129" spans="2:17" ht="14.25" customHeight="1" x14ac:dyDescent="0.25">
      <c r="B129" s="23"/>
      <c r="D129" s="25"/>
      <c r="E129" s="25"/>
      <c r="M129" s="12"/>
      <c r="N129" s="118"/>
      <c r="O129" s="118"/>
      <c r="P129" s="118"/>
      <c r="Q129" s="118"/>
    </row>
    <row r="130" spans="2:17" ht="14.25" customHeight="1" x14ac:dyDescent="0.25">
      <c r="B130" s="23"/>
      <c r="D130" s="25"/>
      <c r="E130" s="25"/>
      <c r="M130" s="12"/>
      <c r="N130" s="118"/>
      <c r="O130" s="118"/>
      <c r="P130" s="118"/>
      <c r="Q130" s="118"/>
    </row>
    <row r="131" spans="2:17" ht="14.25" customHeight="1" x14ac:dyDescent="0.25">
      <c r="B131" s="23"/>
      <c r="D131" s="25"/>
      <c r="E131" s="25"/>
      <c r="M131" s="12"/>
      <c r="N131" s="118"/>
      <c r="O131" s="118"/>
      <c r="P131" s="118"/>
      <c r="Q131" s="118"/>
    </row>
    <row r="132" spans="2:17" ht="14.25" customHeight="1" x14ac:dyDescent="0.25">
      <c r="B132" s="23"/>
      <c r="D132" s="25"/>
      <c r="E132" s="25"/>
      <c r="M132" s="12"/>
      <c r="N132" s="118"/>
      <c r="O132" s="118"/>
      <c r="P132" s="118"/>
      <c r="Q132" s="118"/>
    </row>
    <row r="133" spans="2:17" ht="14.25" customHeight="1" x14ac:dyDescent="0.25">
      <c r="B133" s="23"/>
      <c r="D133" s="25"/>
      <c r="E133" s="25"/>
      <c r="M133" s="12"/>
      <c r="N133" s="118"/>
      <c r="O133" s="118"/>
      <c r="P133" s="118"/>
      <c r="Q133" s="118"/>
    </row>
    <row r="134" spans="2:17" ht="14.25" customHeight="1" x14ac:dyDescent="0.25">
      <c r="B134" s="23"/>
      <c r="D134" s="25"/>
      <c r="E134" s="25"/>
      <c r="M134" s="12"/>
      <c r="N134" s="118"/>
      <c r="O134" s="118"/>
      <c r="P134" s="118"/>
      <c r="Q134" s="118"/>
    </row>
    <row r="135" spans="2:17" ht="14.25" customHeight="1" x14ac:dyDescent="0.25">
      <c r="B135" s="23"/>
      <c r="D135" s="25"/>
      <c r="E135" s="25"/>
      <c r="M135" s="12"/>
      <c r="N135" s="118"/>
      <c r="O135" s="118"/>
      <c r="P135" s="118"/>
      <c r="Q135" s="118"/>
    </row>
    <row r="136" spans="2:17" ht="14.25" customHeight="1" x14ac:dyDescent="0.25">
      <c r="B136" s="23"/>
      <c r="D136" s="25"/>
      <c r="E136" s="25"/>
      <c r="M136" s="12"/>
      <c r="N136" s="118"/>
      <c r="O136" s="118"/>
      <c r="P136" s="118"/>
      <c r="Q136" s="118"/>
    </row>
    <row r="137" spans="2:17" ht="14.25" customHeight="1" x14ac:dyDescent="0.25">
      <c r="B137" s="23"/>
      <c r="D137" s="25"/>
      <c r="E137" s="25"/>
      <c r="M137" s="12"/>
      <c r="N137" s="118"/>
      <c r="O137" s="118"/>
      <c r="P137" s="118"/>
      <c r="Q137" s="118"/>
    </row>
    <row r="138" spans="2:17" ht="14.25" customHeight="1" x14ac:dyDescent="0.25">
      <c r="B138" s="23"/>
      <c r="D138" s="25"/>
      <c r="E138" s="25"/>
      <c r="M138" s="12"/>
      <c r="N138" s="118"/>
      <c r="O138" s="118"/>
      <c r="P138" s="118"/>
      <c r="Q138" s="118"/>
    </row>
    <row r="139" spans="2:17" ht="14.25" customHeight="1" x14ac:dyDescent="0.25">
      <c r="B139" s="23"/>
      <c r="D139" s="25"/>
      <c r="E139" s="25"/>
      <c r="M139" s="12"/>
      <c r="N139" s="118"/>
      <c r="O139" s="118"/>
      <c r="P139" s="118"/>
      <c r="Q139" s="118"/>
    </row>
    <row r="140" spans="2:17" ht="14.25" customHeight="1" x14ac:dyDescent="0.25">
      <c r="B140" s="23"/>
      <c r="D140" s="25"/>
      <c r="E140" s="25"/>
      <c r="M140" s="12"/>
      <c r="N140" s="118"/>
      <c r="O140" s="118"/>
      <c r="P140" s="118"/>
      <c r="Q140" s="118"/>
    </row>
    <row r="141" spans="2:17" ht="14.25" customHeight="1" x14ac:dyDescent="0.25">
      <c r="B141" s="23"/>
      <c r="D141" s="25"/>
      <c r="E141" s="25"/>
      <c r="M141" s="12"/>
      <c r="N141" s="118"/>
      <c r="O141" s="118"/>
      <c r="P141" s="118"/>
      <c r="Q141" s="118"/>
    </row>
    <row r="142" spans="2:17" ht="14.25" customHeight="1" x14ac:dyDescent="0.25">
      <c r="B142" s="23"/>
      <c r="D142" s="25"/>
      <c r="E142" s="25"/>
      <c r="M142" s="12"/>
      <c r="N142" s="118"/>
      <c r="O142" s="118"/>
      <c r="P142" s="118"/>
      <c r="Q142" s="118"/>
    </row>
    <row r="143" spans="2:17" ht="14.25" customHeight="1" x14ac:dyDescent="0.25">
      <c r="B143" s="23"/>
      <c r="D143" s="25"/>
      <c r="E143" s="25"/>
      <c r="M143" s="12"/>
      <c r="N143" s="118"/>
      <c r="O143" s="118"/>
      <c r="P143" s="118"/>
      <c r="Q143" s="118"/>
    </row>
    <row r="144" spans="2:17" ht="14.25" customHeight="1" x14ac:dyDescent="0.25">
      <c r="B144" s="23"/>
      <c r="D144" s="25"/>
      <c r="E144" s="25"/>
      <c r="M144" s="12"/>
      <c r="N144" s="118"/>
      <c r="O144" s="118"/>
      <c r="P144" s="118"/>
      <c r="Q144" s="118"/>
    </row>
    <row r="145" spans="2:17" ht="14.25" customHeight="1" x14ac:dyDescent="0.25">
      <c r="B145" s="23"/>
      <c r="D145" s="25"/>
      <c r="E145" s="25"/>
      <c r="M145" s="12"/>
      <c r="N145" s="118"/>
      <c r="O145" s="118"/>
      <c r="P145" s="118"/>
      <c r="Q145" s="118"/>
    </row>
    <row r="146" spans="2:17" ht="14.25" customHeight="1" x14ac:dyDescent="0.25">
      <c r="B146" s="23"/>
      <c r="D146" s="25"/>
      <c r="E146" s="25"/>
      <c r="M146" s="12"/>
      <c r="N146" s="118"/>
      <c r="O146" s="118"/>
      <c r="P146" s="118"/>
      <c r="Q146" s="118"/>
    </row>
    <row r="147" spans="2:17" ht="14.25" customHeight="1" x14ac:dyDescent="0.25">
      <c r="B147" s="23"/>
      <c r="D147" s="25"/>
      <c r="E147" s="25"/>
      <c r="M147" s="12"/>
      <c r="N147" s="118"/>
      <c r="O147" s="118"/>
      <c r="P147" s="118"/>
      <c r="Q147" s="118"/>
    </row>
    <row r="148" spans="2:17" ht="14.25" customHeight="1" x14ac:dyDescent="0.25">
      <c r="B148" s="23"/>
      <c r="D148" s="25"/>
      <c r="E148" s="25"/>
      <c r="M148" s="12"/>
      <c r="N148" s="118"/>
      <c r="O148" s="118"/>
      <c r="P148" s="118"/>
      <c r="Q148" s="118"/>
    </row>
    <row r="149" spans="2:17" ht="14.25" customHeight="1" x14ac:dyDescent="0.25">
      <c r="B149" s="23"/>
      <c r="D149" s="25"/>
      <c r="E149" s="25"/>
      <c r="M149" s="12"/>
      <c r="N149" s="118"/>
      <c r="O149" s="118"/>
      <c r="P149" s="118"/>
      <c r="Q149" s="118"/>
    </row>
    <row r="150" spans="2:17" ht="14.25" customHeight="1" x14ac:dyDescent="0.25">
      <c r="B150" s="23"/>
      <c r="D150" s="25"/>
      <c r="E150" s="25"/>
      <c r="M150" s="12"/>
      <c r="N150" s="118"/>
      <c r="O150" s="118"/>
      <c r="P150" s="118"/>
      <c r="Q150" s="118"/>
    </row>
    <row r="151" spans="2:17" ht="14.25" customHeight="1" x14ac:dyDescent="0.25">
      <c r="B151" s="23"/>
      <c r="D151" s="25"/>
      <c r="E151" s="25"/>
      <c r="M151" s="12"/>
      <c r="N151" s="118"/>
      <c r="O151" s="118"/>
      <c r="P151" s="118"/>
      <c r="Q151" s="118"/>
    </row>
    <row r="152" spans="2:17" ht="14.25" customHeight="1" x14ac:dyDescent="0.25">
      <c r="B152" s="23"/>
      <c r="D152" s="25"/>
      <c r="E152" s="25"/>
      <c r="M152" s="12"/>
      <c r="N152" s="118"/>
      <c r="O152" s="118"/>
      <c r="P152" s="118"/>
      <c r="Q152" s="118"/>
    </row>
    <row r="153" spans="2:17" ht="14.25" customHeight="1" x14ac:dyDescent="0.25">
      <c r="B153" s="23"/>
      <c r="D153" s="25"/>
      <c r="E153" s="25"/>
      <c r="M153" s="12"/>
      <c r="N153" s="118"/>
      <c r="O153" s="118"/>
      <c r="P153" s="118"/>
      <c r="Q153" s="118"/>
    </row>
    <row r="154" spans="2:17" ht="14.25" customHeight="1" x14ac:dyDescent="0.25">
      <c r="B154" s="23"/>
      <c r="D154" s="25"/>
      <c r="E154" s="25"/>
      <c r="M154" s="12"/>
      <c r="N154" s="118"/>
      <c r="O154" s="118"/>
      <c r="P154" s="118"/>
      <c r="Q154" s="118"/>
    </row>
    <row r="155" spans="2:17" ht="14.25" customHeight="1" x14ac:dyDescent="0.25">
      <c r="B155" s="23"/>
      <c r="D155" s="25"/>
      <c r="E155" s="25"/>
      <c r="M155" s="12"/>
      <c r="N155" s="118"/>
      <c r="O155" s="118"/>
      <c r="P155" s="118"/>
      <c r="Q155" s="118"/>
    </row>
    <row r="156" spans="2:17" ht="14.25" customHeight="1" x14ac:dyDescent="0.25">
      <c r="B156" s="23"/>
      <c r="D156" s="25"/>
      <c r="E156" s="25"/>
      <c r="M156" s="12"/>
      <c r="N156" s="118"/>
      <c r="O156" s="118"/>
      <c r="P156" s="118"/>
      <c r="Q156" s="118"/>
    </row>
    <row r="157" spans="2:17" ht="14.25" customHeight="1" x14ac:dyDescent="0.25">
      <c r="B157" s="23"/>
      <c r="D157" s="25"/>
      <c r="E157" s="25"/>
      <c r="M157" s="12"/>
      <c r="N157" s="118"/>
      <c r="O157" s="118"/>
      <c r="P157" s="118"/>
      <c r="Q157" s="118"/>
    </row>
    <row r="158" spans="2:17" ht="14.25" customHeight="1" x14ac:dyDescent="0.25">
      <c r="B158" s="23"/>
      <c r="D158" s="25"/>
      <c r="E158" s="25"/>
      <c r="M158" s="12"/>
      <c r="N158" s="118"/>
      <c r="O158" s="118"/>
      <c r="P158" s="118"/>
      <c r="Q158" s="118"/>
    </row>
    <row r="159" spans="2:17" ht="14.25" customHeight="1" x14ac:dyDescent="0.25">
      <c r="B159" s="23"/>
      <c r="D159" s="25"/>
      <c r="E159" s="25"/>
      <c r="M159" s="12"/>
      <c r="N159" s="118"/>
      <c r="O159" s="118"/>
      <c r="P159" s="118"/>
      <c r="Q159" s="118"/>
    </row>
    <row r="160" spans="2:17" ht="14.25" customHeight="1" x14ac:dyDescent="0.25">
      <c r="B160" s="23"/>
      <c r="D160" s="25"/>
      <c r="E160" s="25"/>
      <c r="M160" s="12"/>
      <c r="N160" s="118"/>
      <c r="O160" s="118"/>
      <c r="P160" s="118"/>
      <c r="Q160" s="118"/>
    </row>
    <row r="161" spans="2:17" ht="14.25" customHeight="1" x14ac:dyDescent="0.25">
      <c r="B161" s="23"/>
      <c r="D161" s="25"/>
      <c r="E161" s="25"/>
      <c r="M161" s="12"/>
      <c r="N161" s="118"/>
      <c r="O161" s="118"/>
      <c r="P161" s="118"/>
      <c r="Q161" s="118"/>
    </row>
    <row r="162" spans="2:17" ht="14.25" customHeight="1" x14ac:dyDescent="0.25">
      <c r="B162" s="23"/>
      <c r="D162" s="25"/>
      <c r="E162" s="25"/>
      <c r="M162" s="12"/>
      <c r="N162" s="118"/>
      <c r="O162" s="118"/>
      <c r="P162" s="118"/>
      <c r="Q162" s="118"/>
    </row>
    <row r="163" spans="2:17" ht="14.25" customHeight="1" x14ac:dyDescent="0.25">
      <c r="B163" s="23"/>
      <c r="D163" s="25"/>
      <c r="E163" s="25"/>
      <c r="M163" s="12"/>
      <c r="N163" s="118"/>
      <c r="O163" s="118"/>
      <c r="P163" s="118"/>
      <c r="Q163" s="118"/>
    </row>
    <row r="164" spans="2:17" ht="14.25" customHeight="1" x14ac:dyDescent="0.25">
      <c r="B164" s="23"/>
      <c r="D164" s="25"/>
      <c r="E164" s="25"/>
      <c r="M164" s="12"/>
      <c r="N164" s="118"/>
      <c r="O164" s="118"/>
      <c r="P164" s="118"/>
      <c r="Q164" s="118"/>
    </row>
    <row r="165" spans="2:17" ht="14.25" customHeight="1" x14ac:dyDescent="0.25">
      <c r="B165" s="23"/>
      <c r="D165" s="25"/>
      <c r="E165" s="25"/>
      <c r="M165" s="12"/>
      <c r="N165" s="118"/>
      <c r="O165" s="118"/>
      <c r="P165" s="118"/>
      <c r="Q165" s="118"/>
    </row>
    <row r="166" spans="2:17" ht="14.25" customHeight="1" x14ac:dyDescent="0.25">
      <c r="B166" s="23"/>
      <c r="D166" s="25"/>
      <c r="E166" s="25"/>
      <c r="M166" s="12"/>
      <c r="N166" s="118"/>
      <c r="O166" s="118"/>
      <c r="P166" s="118"/>
      <c r="Q166" s="118"/>
    </row>
    <row r="167" spans="2:17" ht="14.25" customHeight="1" x14ac:dyDescent="0.25">
      <c r="B167" s="23"/>
      <c r="D167" s="25"/>
      <c r="E167" s="25"/>
      <c r="M167" s="12"/>
      <c r="N167" s="118"/>
      <c r="O167" s="118"/>
      <c r="P167" s="118"/>
      <c r="Q167" s="118"/>
    </row>
    <row r="168" spans="2:17" ht="14.25" customHeight="1" x14ac:dyDescent="0.25">
      <c r="B168" s="23"/>
      <c r="D168" s="25"/>
      <c r="E168" s="25"/>
      <c r="M168" s="12"/>
      <c r="N168" s="118"/>
      <c r="O168" s="118"/>
      <c r="P168" s="118"/>
      <c r="Q168" s="118"/>
    </row>
    <row r="169" spans="2:17" ht="14.25" customHeight="1" x14ac:dyDescent="0.25">
      <c r="B169" s="23"/>
      <c r="D169" s="25"/>
      <c r="E169" s="25"/>
      <c r="M169" s="12"/>
      <c r="N169" s="118"/>
      <c r="O169" s="118"/>
      <c r="P169" s="118"/>
      <c r="Q169" s="118"/>
    </row>
    <row r="170" spans="2:17" ht="14.25" customHeight="1" x14ac:dyDescent="0.25">
      <c r="B170" s="23"/>
      <c r="D170" s="25"/>
      <c r="E170" s="25"/>
      <c r="M170" s="12"/>
      <c r="N170" s="118"/>
      <c r="O170" s="118"/>
      <c r="P170" s="118"/>
      <c r="Q170" s="118"/>
    </row>
    <row r="171" spans="2:17" ht="14.25" customHeight="1" x14ac:dyDescent="0.25">
      <c r="B171" s="23"/>
      <c r="D171" s="25"/>
      <c r="E171" s="25"/>
      <c r="M171" s="12"/>
      <c r="N171" s="118"/>
      <c r="O171" s="118"/>
      <c r="P171" s="118"/>
      <c r="Q171" s="118"/>
    </row>
    <row r="172" spans="2:17" ht="14.25" customHeight="1" x14ac:dyDescent="0.25">
      <c r="B172" s="23"/>
      <c r="D172" s="25"/>
      <c r="E172" s="25"/>
      <c r="M172" s="12"/>
      <c r="N172" s="118"/>
      <c r="O172" s="118"/>
      <c r="P172" s="118"/>
      <c r="Q172" s="118"/>
    </row>
    <row r="173" spans="2:17" ht="14.25" customHeight="1" x14ac:dyDescent="0.25">
      <c r="B173" s="23"/>
      <c r="D173" s="25"/>
      <c r="E173" s="25"/>
      <c r="M173" s="12"/>
      <c r="N173" s="118"/>
      <c r="O173" s="118"/>
      <c r="P173" s="118"/>
      <c r="Q173" s="118"/>
    </row>
    <row r="174" spans="2:17" ht="14.25" customHeight="1" x14ac:dyDescent="0.25">
      <c r="B174" s="23"/>
      <c r="D174" s="25"/>
      <c r="E174" s="25"/>
      <c r="M174" s="12"/>
      <c r="N174" s="118"/>
      <c r="O174" s="118"/>
      <c r="P174" s="118"/>
      <c r="Q174" s="118"/>
    </row>
    <row r="175" spans="2:17" ht="14.25" customHeight="1" x14ac:dyDescent="0.25">
      <c r="B175" s="23"/>
      <c r="D175" s="25"/>
      <c r="E175" s="25"/>
      <c r="M175" s="12"/>
      <c r="N175" s="118"/>
      <c r="O175" s="118"/>
      <c r="P175" s="118"/>
      <c r="Q175" s="118"/>
    </row>
    <row r="176" spans="2:17" ht="14.25" customHeight="1" x14ac:dyDescent="0.25">
      <c r="B176" s="23"/>
      <c r="D176" s="25"/>
      <c r="E176" s="25"/>
      <c r="M176" s="12"/>
      <c r="N176" s="118"/>
      <c r="O176" s="118"/>
      <c r="P176" s="118"/>
      <c r="Q176" s="118"/>
    </row>
    <row r="177" spans="2:17" ht="14.25" customHeight="1" x14ac:dyDescent="0.25">
      <c r="B177" s="23"/>
      <c r="D177" s="25"/>
      <c r="E177" s="25"/>
      <c r="M177" s="12"/>
      <c r="N177" s="118"/>
      <c r="O177" s="118"/>
      <c r="P177" s="118"/>
      <c r="Q177" s="118"/>
    </row>
    <row r="178" spans="2:17" ht="14.25" customHeight="1" x14ac:dyDescent="0.25">
      <c r="B178" s="23"/>
      <c r="D178" s="25"/>
      <c r="E178" s="25"/>
      <c r="M178" s="12"/>
      <c r="N178" s="118"/>
      <c r="O178" s="118"/>
      <c r="P178" s="118"/>
      <c r="Q178" s="118"/>
    </row>
    <row r="179" spans="2:17" ht="14.25" customHeight="1" x14ac:dyDescent="0.25">
      <c r="B179" s="23"/>
      <c r="D179" s="25"/>
      <c r="E179" s="25"/>
      <c r="M179" s="12"/>
      <c r="N179" s="118"/>
      <c r="O179" s="118"/>
      <c r="P179" s="118"/>
      <c r="Q179" s="118"/>
    </row>
    <row r="180" spans="2:17" ht="14.25" customHeight="1" x14ac:dyDescent="0.25">
      <c r="B180" s="23"/>
      <c r="D180" s="25"/>
      <c r="E180" s="25"/>
      <c r="M180" s="12"/>
      <c r="N180" s="118"/>
      <c r="O180" s="118"/>
      <c r="P180" s="118"/>
      <c r="Q180" s="118"/>
    </row>
    <row r="181" spans="2:17" ht="14.25" customHeight="1" x14ac:dyDescent="0.25">
      <c r="B181" s="23"/>
      <c r="D181" s="25"/>
      <c r="E181" s="25"/>
      <c r="M181" s="12"/>
      <c r="N181" s="118"/>
      <c r="O181" s="118"/>
      <c r="P181" s="118"/>
      <c r="Q181" s="118"/>
    </row>
    <row r="182" spans="2:17" ht="14.25" customHeight="1" x14ac:dyDescent="0.25">
      <c r="B182" s="23"/>
      <c r="D182" s="25"/>
      <c r="E182" s="25"/>
      <c r="M182" s="12"/>
      <c r="N182" s="118"/>
      <c r="O182" s="118"/>
      <c r="P182" s="118"/>
      <c r="Q182" s="118"/>
    </row>
    <row r="183" spans="2:17" ht="14.25" customHeight="1" x14ac:dyDescent="0.25">
      <c r="B183" s="23"/>
      <c r="D183" s="25"/>
      <c r="E183" s="25"/>
      <c r="M183" s="12"/>
      <c r="N183" s="118"/>
      <c r="O183" s="118"/>
      <c r="P183" s="118"/>
      <c r="Q183" s="118"/>
    </row>
    <row r="184" spans="2:17" ht="14.25" customHeight="1" x14ac:dyDescent="0.25">
      <c r="B184" s="23"/>
      <c r="D184" s="25"/>
      <c r="E184" s="25"/>
      <c r="M184" s="12"/>
      <c r="N184" s="118"/>
      <c r="O184" s="118"/>
      <c r="P184" s="118"/>
      <c r="Q184" s="118"/>
    </row>
    <row r="185" spans="2:17" ht="14.25" customHeight="1" x14ac:dyDescent="0.25">
      <c r="B185" s="23"/>
      <c r="D185" s="25"/>
      <c r="E185" s="25"/>
      <c r="M185" s="12"/>
      <c r="N185" s="118"/>
      <c r="O185" s="118"/>
      <c r="P185" s="118"/>
      <c r="Q185" s="118"/>
    </row>
    <row r="186" spans="2:17" ht="14.25" customHeight="1" x14ac:dyDescent="0.25">
      <c r="B186" s="23"/>
      <c r="D186" s="25"/>
      <c r="E186" s="25"/>
      <c r="M186" s="12"/>
      <c r="N186" s="118"/>
      <c r="O186" s="118"/>
      <c r="P186" s="118"/>
      <c r="Q186" s="118"/>
    </row>
    <row r="187" spans="2:17" ht="14.25" customHeight="1" x14ac:dyDescent="0.25">
      <c r="B187" s="23"/>
      <c r="D187" s="25"/>
      <c r="E187" s="25"/>
      <c r="M187" s="12"/>
      <c r="N187" s="118"/>
      <c r="O187" s="118"/>
      <c r="P187" s="118"/>
      <c r="Q187" s="118"/>
    </row>
    <row r="188" spans="2:17" ht="14.25" customHeight="1" x14ac:dyDescent="0.25">
      <c r="B188" s="23"/>
      <c r="D188" s="25"/>
      <c r="E188" s="25"/>
      <c r="M188" s="12"/>
      <c r="N188" s="118"/>
      <c r="O188" s="118"/>
      <c r="P188" s="118"/>
      <c r="Q188" s="118"/>
    </row>
    <row r="189" spans="2:17" ht="14.25" customHeight="1" x14ac:dyDescent="0.25">
      <c r="B189" s="23"/>
      <c r="D189" s="25"/>
      <c r="E189" s="25"/>
      <c r="M189" s="12"/>
      <c r="N189" s="118"/>
      <c r="O189" s="118"/>
      <c r="P189" s="118"/>
      <c r="Q189" s="118"/>
    </row>
    <row r="190" spans="2:17" ht="14.25" customHeight="1" x14ac:dyDescent="0.25">
      <c r="B190" s="23"/>
      <c r="D190" s="25"/>
      <c r="E190" s="25"/>
      <c r="M190" s="12"/>
      <c r="N190" s="118"/>
      <c r="O190" s="118"/>
      <c r="P190" s="118"/>
      <c r="Q190" s="118"/>
    </row>
    <row r="191" spans="2:17" ht="14.25" customHeight="1" x14ac:dyDescent="0.25">
      <c r="B191" s="23"/>
      <c r="D191" s="25"/>
      <c r="E191" s="25"/>
      <c r="M191" s="12"/>
      <c r="N191" s="118"/>
      <c r="O191" s="118"/>
      <c r="P191" s="118"/>
      <c r="Q191" s="118"/>
    </row>
    <row r="192" spans="2:17" ht="14.25" customHeight="1" x14ac:dyDescent="0.25">
      <c r="B192" s="23"/>
      <c r="D192" s="25"/>
      <c r="E192" s="25"/>
      <c r="M192" s="12"/>
      <c r="N192" s="118"/>
      <c r="O192" s="118"/>
      <c r="P192" s="118"/>
      <c r="Q192" s="118"/>
    </row>
    <row r="193" spans="2:17" ht="14.25" customHeight="1" x14ac:dyDescent="0.25">
      <c r="B193" s="23"/>
      <c r="D193" s="25"/>
      <c r="E193" s="25"/>
      <c r="M193" s="12"/>
      <c r="N193" s="118"/>
      <c r="O193" s="118"/>
      <c r="P193" s="118"/>
      <c r="Q193" s="118"/>
    </row>
    <row r="194" spans="2:17" ht="14.25" customHeight="1" x14ac:dyDescent="0.25">
      <c r="B194" s="23"/>
      <c r="D194" s="25"/>
      <c r="E194" s="25"/>
      <c r="M194" s="12"/>
      <c r="N194" s="118"/>
      <c r="O194" s="118"/>
      <c r="P194" s="118"/>
      <c r="Q194" s="118"/>
    </row>
    <row r="195" spans="2:17" ht="14.25" customHeight="1" x14ac:dyDescent="0.25">
      <c r="B195" s="23"/>
      <c r="D195" s="25"/>
      <c r="E195" s="25"/>
      <c r="M195" s="12"/>
      <c r="N195" s="118"/>
      <c r="O195" s="118"/>
      <c r="P195" s="118"/>
      <c r="Q195" s="118"/>
    </row>
    <row r="196" spans="2:17" ht="14.25" customHeight="1" x14ac:dyDescent="0.25">
      <c r="B196" s="23"/>
      <c r="D196" s="25"/>
      <c r="E196" s="25"/>
      <c r="M196" s="12"/>
      <c r="N196" s="118"/>
      <c r="O196" s="118"/>
      <c r="P196" s="118"/>
      <c r="Q196" s="118"/>
    </row>
    <row r="197" spans="2:17" ht="14.25" customHeight="1" x14ac:dyDescent="0.25">
      <c r="B197" s="23"/>
      <c r="D197" s="25"/>
      <c r="E197" s="25"/>
      <c r="M197" s="12"/>
      <c r="N197" s="118"/>
      <c r="O197" s="118"/>
      <c r="P197" s="118"/>
      <c r="Q197" s="118"/>
    </row>
    <row r="198" spans="2:17" ht="14.25" customHeight="1" x14ac:dyDescent="0.25">
      <c r="B198" s="23"/>
      <c r="D198" s="25"/>
      <c r="E198" s="25"/>
      <c r="M198" s="12"/>
      <c r="N198" s="118"/>
      <c r="O198" s="118"/>
      <c r="P198" s="118"/>
      <c r="Q198" s="118"/>
    </row>
    <row r="199" spans="2:17" ht="14.25" customHeight="1" x14ac:dyDescent="0.25">
      <c r="B199" s="23"/>
      <c r="D199" s="25"/>
      <c r="E199" s="25"/>
      <c r="M199" s="12"/>
      <c r="N199" s="118"/>
      <c r="O199" s="118"/>
      <c r="P199" s="118"/>
      <c r="Q199" s="118"/>
    </row>
    <row r="200" spans="2:17" ht="14.25" customHeight="1" x14ac:dyDescent="0.25">
      <c r="B200" s="23"/>
      <c r="D200" s="25"/>
      <c r="E200" s="25"/>
      <c r="M200" s="12"/>
      <c r="N200" s="118"/>
      <c r="O200" s="118"/>
      <c r="P200" s="118"/>
      <c r="Q200" s="118"/>
    </row>
    <row r="201" spans="2:17" ht="14.25" customHeight="1" x14ac:dyDescent="0.25">
      <c r="B201" s="23"/>
      <c r="D201" s="25"/>
      <c r="E201" s="25"/>
      <c r="M201" s="12"/>
      <c r="N201" s="118"/>
      <c r="O201" s="118"/>
      <c r="P201" s="118"/>
      <c r="Q201" s="118"/>
    </row>
    <row r="202" spans="2:17" ht="14.25" customHeight="1" x14ac:dyDescent="0.25">
      <c r="B202" s="23"/>
      <c r="D202" s="25"/>
      <c r="E202" s="25"/>
      <c r="M202" s="12"/>
      <c r="N202" s="118"/>
      <c r="O202" s="118"/>
      <c r="P202" s="118"/>
      <c r="Q202" s="118"/>
    </row>
    <row r="203" spans="2:17" ht="14.25" customHeight="1" x14ac:dyDescent="0.25">
      <c r="B203" s="23"/>
      <c r="D203" s="25"/>
      <c r="E203" s="25"/>
      <c r="M203" s="12"/>
      <c r="N203" s="118"/>
      <c r="O203" s="118"/>
      <c r="P203" s="118"/>
      <c r="Q203" s="118"/>
    </row>
    <row r="204" spans="2:17" ht="14.25" customHeight="1" x14ac:dyDescent="0.25">
      <c r="B204" s="23"/>
      <c r="D204" s="25"/>
      <c r="E204" s="25"/>
      <c r="M204" s="12"/>
      <c r="N204" s="118"/>
      <c r="O204" s="118"/>
      <c r="P204" s="118"/>
      <c r="Q204" s="118"/>
    </row>
    <row r="205" spans="2:17" ht="14.25" customHeight="1" x14ac:dyDescent="0.25">
      <c r="B205" s="23"/>
      <c r="D205" s="25"/>
      <c r="E205" s="25"/>
      <c r="M205" s="12"/>
      <c r="N205" s="118"/>
      <c r="O205" s="118"/>
      <c r="P205" s="118"/>
      <c r="Q205" s="118"/>
    </row>
    <row r="206" spans="2:17" ht="14.25" customHeight="1" x14ac:dyDescent="0.25">
      <c r="B206" s="23"/>
      <c r="D206" s="25"/>
      <c r="E206" s="25"/>
      <c r="M206" s="12"/>
      <c r="N206" s="118"/>
      <c r="O206" s="118"/>
      <c r="P206" s="118"/>
      <c r="Q206" s="118"/>
    </row>
    <row r="207" spans="2:17" ht="14.25" customHeight="1" x14ac:dyDescent="0.25">
      <c r="B207" s="23"/>
      <c r="D207" s="25"/>
      <c r="E207" s="25"/>
      <c r="M207" s="12"/>
      <c r="N207" s="118"/>
      <c r="O207" s="118"/>
      <c r="P207" s="118"/>
      <c r="Q207" s="118"/>
    </row>
    <row r="208" spans="2:17" ht="14.25" customHeight="1" x14ac:dyDescent="0.25">
      <c r="B208" s="23"/>
      <c r="D208" s="25"/>
      <c r="E208" s="25"/>
      <c r="M208" s="12"/>
      <c r="N208" s="118"/>
      <c r="O208" s="118"/>
      <c r="P208" s="118"/>
      <c r="Q208" s="118"/>
    </row>
    <row r="209" spans="2:17" ht="14.25" customHeight="1" x14ac:dyDescent="0.25">
      <c r="B209" s="23"/>
      <c r="D209" s="25"/>
      <c r="E209" s="25"/>
      <c r="M209" s="12"/>
      <c r="N209" s="118"/>
      <c r="O209" s="118"/>
      <c r="P209" s="118"/>
      <c r="Q209" s="118"/>
    </row>
    <row r="210" spans="2:17" ht="14.25" customHeight="1" x14ac:dyDescent="0.25">
      <c r="B210" s="23"/>
      <c r="D210" s="25"/>
      <c r="E210" s="25"/>
      <c r="M210" s="12"/>
      <c r="N210" s="118"/>
      <c r="O210" s="118"/>
      <c r="P210" s="118"/>
      <c r="Q210" s="118"/>
    </row>
    <row r="211" spans="2:17" ht="14.25" customHeight="1" x14ac:dyDescent="0.25">
      <c r="B211" s="23"/>
      <c r="D211" s="25"/>
      <c r="E211" s="25"/>
      <c r="M211" s="12"/>
      <c r="N211" s="118"/>
      <c r="O211" s="118"/>
      <c r="P211" s="118"/>
      <c r="Q211" s="118"/>
    </row>
    <row r="212" spans="2:17" ht="14.25" customHeight="1" x14ac:dyDescent="0.25">
      <c r="B212" s="23"/>
      <c r="D212" s="25"/>
      <c r="E212" s="25"/>
      <c r="M212" s="12"/>
      <c r="N212" s="118"/>
      <c r="O212" s="118"/>
      <c r="P212" s="118"/>
      <c r="Q212" s="118"/>
    </row>
    <row r="213" spans="2:17" ht="14.25" customHeight="1" x14ac:dyDescent="0.25">
      <c r="B213" s="23"/>
      <c r="D213" s="25"/>
      <c r="E213" s="25"/>
      <c r="M213" s="12"/>
      <c r="N213" s="118"/>
      <c r="O213" s="118"/>
      <c r="P213" s="118"/>
      <c r="Q213" s="118"/>
    </row>
    <row r="214" spans="2:17" ht="14.25" customHeight="1" x14ac:dyDescent="0.25">
      <c r="B214" s="23"/>
      <c r="D214" s="25"/>
      <c r="E214" s="25"/>
      <c r="M214" s="12"/>
      <c r="N214" s="118"/>
      <c r="O214" s="118"/>
      <c r="P214" s="118"/>
      <c r="Q214" s="118"/>
    </row>
    <row r="215" spans="2:17" ht="14.25" customHeight="1" x14ac:dyDescent="0.25">
      <c r="B215" s="23"/>
      <c r="D215" s="25"/>
      <c r="E215" s="25"/>
      <c r="M215" s="12"/>
      <c r="N215" s="118"/>
      <c r="O215" s="118"/>
      <c r="P215" s="118"/>
      <c r="Q215" s="118"/>
    </row>
    <row r="216" spans="2:17" ht="14.25" customHeight="1" x14ac:dyDescent="0.25">
      <c r="B216" s="23"/>
      <c r="D216" s="25"/>
      <c r="E216" s="25"/>
      <c r="M216" s="12"/>
      <c r="N216" s="118"/>
      <c r="O216" s="118"/>
      <c r="P216" s="118"/>
      <c r="Q216" s="118"/>
    </row>
    <row r="217" spans="2:17" ht="14.25" customHeight="1" x14ac:dyDescent="0.25">
      <c r="B217" s="23"/>
      <c r="D217" s="25"/>
      <c r="E217" s="25"/>
      <c r="M217" s="12"/>
      <c r="N217" s="118"/>
      <c r="O217" s="118"/>
      <c r="P217" s="118"/>
      <c r="Q217" s="118"/>
    </row>
    <row r="218" spans="2:17" ht="14.25" customHeight="1" x14ac:dyDescent="0.25">
      <c r="B218" s="23"/>
      <c r="D218" s="25"/>
      <c r="E218" s="25"/>
      <c r="M218" s="12"/>
      <c r="N218" s="118"/>
      <c r="O218" s="118"/>
      <c r="P218" s="118"/>
      <c r="Q218" s="118"/>
    </row>
    <row r="219" spans="2:17" ht="14.25" customHeight="1" x14ac:dyDescent="0.25">
      <c r="B219" s="23"/>
      <c r="D219" s="25"/>
      <c r="E219" s="25"/>
      <c r="M219" s="12"/>
      <c r="N219" s="118"/>
      <c r="O219" s="118"/>
      <c r="P219" s="118"/>
      <c r="Q219" s="118"/>
    </row>
    <row r="220" spans="2:17" ht="14.25" customHeight="1" x14ac:dyDescent="0.25">
      <c r="B220" s="23"/>
      <c r="D220" s="25"/>
      <c r="E220" s="25"/>
      <c r="M220" s="12"/>
      <c r="N220" s="118"/>
      <c r="O220" s="118"/>
      <c r="P220" s="118"/>
      <c r="Q220" s="118"/>
    </row>
    <row r="221" spans="2:17" ht="14.25" customHeight="1" x14ac:dyDescent="0.25">
      <c r="B221" s="23"/>
      <c r="D221" s="25"/>
      <c r="E221" s="25"/>
      <c r="M221" s="12"/>
      <c r="N221" s="118"/>
      <c r="O221" s="118"/>
      <c r="P221" s="118"/>
      <c r="Q221" s="118"/>
    </row>
    <row r="222" spans="2:17" ht="14.25" customHeight="1" x14ac:dyDescent="0.25">
      <c r="B222" s="23"/>
      <c r="D222" s="25"/>
      <c r="E222" s="25"/>
      <c r="M222" s="12"/>
      <c r="N222" s="118"/>
      <c r="O222" s="118"/>
      <c r="P222" s="118"/>
      <c r="Q222" s="118"/>
    </row>
    <row r="223" spans="2:17" ht="14.25" customHeight="1" x14ac:dyDescent="0.25">
      <c r="B223" s="23"/>
      <c r="D223" s="25"/>
      <c r="E223" s="25"/>
      <c r="M223" s="12"/>
      <c r="N223" s="118"/>
      <c r="O223" s="118"/>
      <c r="P223" s="118"/>
      <c r="Q223" s="118"/>
    </row>
    <row r="224" spans="2:17" ht="14.25" customHeight="1" x14ac:dyDescent="0.25">
      <c r="B224" s="23"/>
      <c r="D224" s="25"/>
      <c r="E224" s="25"/>
      <c r="M224" s="12"/>
      <c r="N224" s="118"/>
      <c r="O224" s="118"/>
      <c r="P224" s="118"/>
      <c r="Q224" s="118"/>
    </row>
    <row r="225" spans="2:17" ht="14.25" customHeight="1" x14ac:dyDescent="0.25">
      <c r="B225" s="23"/>
      <c r="D225" s="25"/>
      <c r="E225" s="25"/>
      <c r="M225" s="12"/>
      <c r="N225" s="118"/>
      <c r="O225" s="118"/>
      <c r="P225" s="118"/>
      <c r="Q225" s="118"/>
    </row>
    <row r="226" spans="2:17" ht="14.25" customHeight="1" x14ac:dyDescent="0.25">
      <c r="B226" s="23"/>
      <c r="D226" s="25"/>
      <c r="E226" s="25"/>
      <c r="M226" s="12"/>
      <c r="N226" s="118"/>
      <c r="O226" s="118"/>
      <c r="P226" s="118"/>
      <c r="Q226" s="118"/>
    </row>
    <row r="227" spans="2:17" ht="14.25" customHeight="1" x14ac:dyDescent="0.25">
      <c r="B227" s="23"/>
      <c r="D227" s="25"/>
      <c r="E227" s="25"/>
      <c r="M227" s="12"/>
      <c r="N227" s="118"/>
      <c r="O227" s="118"/>
      <c r="P227" s="118"/>
      <c r="Q227" s="118"/>
    </row>
    <row r="228" spans="2:17" ht="14.25" customHeight="1" x14ac:dyDescent="0.25">
      <c r="B228" s="23"/>
      <c r="D228" s="25"/>
      <c r="E228" s="25"/>
      <c r="M228" s="12"/>
      <c r="N228" s="118"/>
      <c r="O228" s="118"/>
      <c r="P228" s="118"/>
      <c r="Q228" s="118"/>
    </row>
    <row r="229" spans="2:17" ht="14.25" customHeight="1" x14ac:dyDescent="0.25">
      <c r="B229" s="23"/>
      <c r="D229" s="25"/>
      <c r="E229" s="25"/>
      <c r="M229" s="12"/>
      <c r="N229" s="118"/>
      <c r="O229" s="118"/>
      <c r="P229" s="118"/>
      <c r="Q229" s="118"/>
    </row>
    <row r="230" spans="2:17" ht="14.25" customHeight="1" x14ac:dyDescent="0.25">
      <c r="B230" s="23"/>
      <c r="D230" s="25"/>
      <c r="E230" s="25"/>
      <c r="M230" s="12"/>
      <c r="N230" s="118"/>
      <c r="O230" s="118"/>
      <c r="P230" s="118"/>
      <c r="Q230" s="118"/>
    </row>
    <row r="231" spans="2:17" ht="14.25" customHeight="1" x14ac:dyDescent="0.25">
      <c r="B231" s="23"/>
      <c r="D231" s="25"/>
      <c r="E231" s="25"/>
      <c r="M231" s="12"/>
      <c r="N231" s="118"/>
      <c r="O231" s="118"/>
      <c r="P231" s="118"/>
      <c r="Q231" s="118"/>
    </row>
    <row r="232" spans="2:17" ht="14.25" customHeight="1" x14ac:dyDescent="0.25">
      <c r="B232" s="23"/>
      <c r="D232" s="25"/>
      <c r="E232" s="25"/>
      <c r="M232" s="12"/>
      <c r="N232" s="118"/>
      <c r="O232" s="118"/>
      <c r="P232" s="118"/>
      <c r="Q232" s="118"/>
    </row>
    <row r="233" spans="2:17" ht="14.25" customHeight="1" x14ac:dyDescent="0.25">
      <c r="B233" s="23"/>
      <c r="D233" s="25"/>
      <c r="E233" s="25"/>
      <c r="M233" s="12"/>
      <c r="N233" s="118"/>
      <c r="O233" s="118"/>
      <c r="P233" s="118"/>
      <c r="Q233" s="118"/>
    </row>
    <row r="234" spans="2:17" ht="14.25" customHeight="1" x14ac:dyDescent="0.25">
      <c r="B234" s="23"/>
      <c r="D234" s="25"/>
      <c r="E234" s="25"/>
      <c r="M234" s="12"/>
      <c r="N234" s="118"/>
      <c r="O234" s="118"/>
      <c r="P234" s="118"/>
      <c r="Q234" s="118"/>
    </row>
    <row r="235" spans="2:17" ht="14.25" customHeight="1" x14ac:dyDescent="0.25">
      <c r="B235" s="23"/>
      <c r="D235" s="25"/>
      <c r="E235" s="25"/>
      <c r="M235" s="12"/>
      <c r="N235" s="118"/>
      <c r="O235" s="118"/>
      <c r="P235" s="118"/>
      <c r="Q235" s="118"/>
    </row>
    <row r="236" spans="2:17" ht="14.25" customHeight="1" x14ac:dyDescent="0.25">
      <c r="B236" s="23"/>
      <c r="D236" s="25"/>
      <c r="E236" s="25"/>
      <c r="M236" s="12"/>
      <c r="N236" s="118"/>
      <c r="O236" s="118"/>
      <c r="P236" s="118"/>
      <c r="Q236" s="118"/>
    </row>
    <row r="237" spans="2:17" ht="14.25" customHeight="1" x14ac:dyDescent="0.25">
      <c r="B237" s="23"/>
      <c r="D237" s="25"/>
      <c r="E237" s="25"/>
      <c r="M237" s="12"/>
      <c r="N237" s="118"/>
      <c r="O237" s="118"/>
      <c r="P237" s="118"/>
      <c r="Q237" s="118"/>
    </row>
    <row r="238" spans="2:17" ht="14.25" customHeight="1" x14ac:dyDescent="0.25">
      <c r="B238" s="23"/>
      <c r="D238" s="25"/>
      <c r="E238" s="25"/>
      <c r="M238" s="12"/>
      <c r="N238" s="118"/>
      <c r="O238" s="118"/>
      <c r="P238" s="118"/>
      <c r="Q238" s="118"/>
    </row>
    <row r="239" spans="2:17" ht="14.25" customHeight="1" x14ac:dyDescent="0.25">
      <c r="B239" s="23"/>
      <c r="D239" s="25"/>
      <c r="E239" s="25"/>
      <c r="M239" s="12"/>
      <c r="N239" s="118"/>
      <c r="O239" s="118"/>
      <c r="P239" s="118"/>
      <c r="Q239" s="118"/>
    </row>
    <row r="240" spans="2:17" ht="14.25" customHeight="1" x14ac:dyDescent="0.25">
      <c r="B240" s="23"/>
      <c r="D240" s="25"/>
      <c r="E240" s="25"/>
      <c r="M240" s="12"/>
      <c r="N240" s="118"/>
      <c r="O240" s="118"/>
      <c r="P240" s="118"/>
      <c r="Q240" s="118"/>
    </row>
    <row r="241" spans="2:17" ht="14.25" customHeight="1" x14ac:dyDescent="0.25">
      <c r="B241" s="23"/>
      <c r="D241" s="25"/>
      <c r="E241" s="25"/>
      <c r="M241" s="12"/>
      <c r="N241" s="118"/>
      <c r="O241" s="118"/>
      <c r="P241" s="118"/>
      <c r="Q241" s="118"/>
    </row>
    <row r="242" spans="2:17" ht="14.25" customHeight="1" x14ac:dyDescent="0.25">
      <c r="B242" s="23"/>
      <c r="D242" s="25"/>
      <c r="E242" s="25"/>
      <c r="M242" s="12"/>
      <c r="N242" s="118"/>
      <c r="O242" s="118"/>
      <c r="P242" s="118"/>
      <c r="Q242" s="118"/>
    </row>
    <row r="243" spans="2:17" ht="14.25" customHeight="1" x14ac:dyDescent="0.25">
      <c r="B243" s="23"/>
      <c r="D243" s="25"/>
      <c r="E243" s="25"/>
      <c r="M243" s="12"/>
      <c r="N243" s="118"/>
      <c r="O243" s="118"/>
      <c r="P243" s="118"/>
      <c r="Q243" s="118"/>
    </row>
    <row r="244" spans="2:17" ht="14.25" customHeight="1" x14ac:dyDescent="0.25">
      <c r="B244" s="23"/>
      <c r="D244" s="25"/>
      <c r="E244" s="25"/>
      <c r="M244" s="12"/>
      <c r="N244" s="118"/>
      <c r="O244" s="118"/>
      <c r="P244" s="118"/>
      <c r="Q244" s="118"/>
    </row>
    <row r="245" spans="2:17" ht="14.25" customHeight="1" x14ac:dyDescent="0.25">
      <c r="B245" s="23"/>
      <c r="D245" s="25"/>
      <c r="E245" s="25"/>
      <c r="M245" s="12"/>
      <c r="N245" s="118"/>
      <c r="O245" s="118"/>
      <c r="P245" s="118"/>
      <c r="Q245" s="118"/>
    </row>
    <row r="246" spans="2:17" ht="14.25" customHeight="1" x14ac:dyDescent="0.25">
      <c r="B246" s="23"/>
      <c r="D246" s="25"/>
      <c r="E246" s="25"/>
      <c r="M246" s="12"/>
      <c r="N246" s="118"/>
      <c r="O246" s="118"/>
      <c r="P246" s="118"/>
      <c r="Q246" s="118"/>
    </row>
    <row r="247" spans="2:17" ht="14.25" customHeight="1" x14ac:dyDescent="0.25">
      <c r="B247" s="23"/>
      <c r="D247" s="25"/>
      <c r="E247" s="25"/>
      <c r="M247" s="12"/>
      <c r="N247" s="118"/>
      <c r="O247" s="118"/>
      <c r="P247" s="118"/>
      <c r="Q247" s="118"/>
    </row>
    <row r="248" spans="2:17" ht="14.25" customHeight="1" x14ac:dyDescent="0.25">
      <c r="B248" s="23"/>
      <c r="D248" s="25"/>
      <c r="E248" s="25"/>
      <c r="M248" s="12"/>
      <c r="N248" s="118"/>
      <c r="O248" s="118"/>
      <c r="P248" s="118"/>
      <c r="Q248" s="118"/>
    </row>
    <row r="249" spans="2:17" ht="14.25" customHeight="1" x14ac:dyDescent="0.25">
      <c r="B249" s="23"/>
      <c r="D249" s="25"/>
      <c r="E249" s="25"/>
      <c r="M249" s="12"/>
      <c r="N249" s="118"/>
      <c r="O249" s="118"/>
      <c r="P249" s="118"/>
      <c r="Q249" s="118"/>
    </row>
    <row r="250" spans="2:17" ht="14.25" customHeight="1" x14ac:dyDescent="0.25">
      <c r="B250" s="23"/>
      <c r="D250" s="25"/>
      <c r="E250" s="25"/>
      <c r="M250" s="12"/>
      <c r="N250" s="118"/>
      <c r="O250" s="118"/>
      <c r="P250" s="118"/>
      <c r="Q250" s="118"/>
    </row>
    <row r="251" spans="2:17" ht="14.25" customHeight="1" x14ac:dyDescent="0.25">
      <c r="B251" s="23"/>
      <c r="D251" s="25"/>
      <c r="E251" s="25"/>
      <c r="M251" s="12"/>
      <c r="N251" s="118"/>
      <c r="O251" s="118"/>
      <c r="P251" s="118"/>
      <c r="Q251" s="118"/>
    </row>
    <row r="252" spans="2:17" ht="14.25" customHeight="1" x14ac:dyDescent="0.25">
      <c r="B252" s="23"/>
      <c r="D252" s="25"/>
      <c r="E252" s="25"/>
      <c r="M252" s="12"/>
      <c r="N252" s="118"/>
      <c r="O252" s="118"/>
      <c r="P252" s="118"/>
      <c r="Q252" s="118"/>
    </row>
    <row r="253" spans="2:17" ht="14.25" customHeight="1" x14ac:dyDescent="0.25">
      <c r="B253" s="23"/>
      <c r="D253" s="25"/>
      <c r="E253" s="25"/>
      <c r="M253" s="12"/>
      <c r="N253" s="118"/>
      <c r="O253" s="118"/>
      <c r="P253" s="118"/>
      <c r="Q253" s="118"/>
    </row>
    <row r="254" spans="2:17" ht="14.25" customHeight="1" x14ac:dyDescent="0.25">
      <c r="B254" s="23"/>
      <c r="D254" s="25"/>
      <c r="E254" s="25"/>
      <c r="M254" s="12"/>
      <c r="N254" s="118"/>
      <c r="O254" s="118"/>
      <c r="P254" s="118"/>
      <c r="Q254" s="118"/>
    </row>
    <row r="255" spans="2:17" ht="14.25" customHeight="1" x14ac:dyDescent="0.25">
      <c r="B255" s="23"/>
      <c r="D255" s="25"/>
      <c r="E255" s="25"/>
      <c r="M255" s="12"/>
      <c r="N255" s="118"/>
      <c r="O255" s="118"/>
      <c r="P255" s="118"/>
      <c r="Q255" s="118"/>
    </row>
    <row r="256" spans="2:17" ht="14.25" customHeight="1" x14ac:dyDescent="0.25">
      <c r="B256" s="23"/>
      <c r="D256" s="25"/>
      <c r="E256" s="25"/>
      <c r="M256" s="12"/>
      <c r="N256" s="118"/>
      <c r="O256" s="118"/>
      <c r="P256" s="118"/>
      <c r="Q256" s="118"/>
    </row>
    <row r="257" spans="2:17" ht="14.25" customHeight="1" x14ac:dyDescent="0.25">
      <c r="B257" s="23"/>
      <c r="D257" s="25"/>
      <c r="E257" s="25"/>
      <c r="M257" s="12"/>
      <c r="N257" s="118"/>
      <c r="O257" s="118"/>
      <c r="P257" s="118"/>
      <c r="Q257" s="118"/>
    </row>
    <row r="258" spans="2:17" ht="14.25" customHeight="1" x14ac:dyDescent="0.25">
      <c r="B258" s="23"/>
      <c r="D258" s="25"/>
      <c r="E258" s="25"/>
      <c r="M258" s="12"/>
      <c r="N258" s="118"/>
      <c r="O258" s="118"/>
      <c r="P258" s="118"/>
      <c r="Q258" s="118"/>
    </row>
    <row r="259" spans="2:17" ht="14.25" customHeight="1" x14ac:dyDescent="0.25">
      <c r="B259" s="23"/>
      <c r="D259" s="25"/>
      <c r="E259" s="25"/>
      <c r="M259" s="12"/>
      <c r="N259" s="118"/>
      <c r="O259" s="118"/>
      <c r="P259" s="118"/>
      <c r="Q259" s="118"/>
    </row>
    <row r="260" spans="2:17" ht="14.25" customHeight="1" x14ac:dyDescent="0.25">
      <c r="B260" s="23"/>
      <c r="D260" s="25"/>
      <c r="E260" s="25"/>
      <c r="M260" s="12"/>
      <c r="N260" s="118"/>
      <c r="O260" s="118"/>
      <c r="P260" s="118"/>
      <c r="Q260" s="118"/>
    </row>
    <row r="261" spans="2:17" ht="14.25" customHeight="1" x14ac:dyDescent="0.25">
      <c r="B261" s="23"/>
      <c r="D261" s="25"/>
      <c r="E261" s="25"/>
      <c r="M261" s="12"/>
      <c r="N261" s="118"/>
      <c r="O261" s="118"/>
      <c r="P261" s="118"/>
      <c r="Q261" s="118"/>
    </row>
    <row r="262" spans="2:17" ht="14.25" customHeight="1" x14ac:dyDescent="0.25">
      <c r="B262" s="23"/>
      <c r="D262" s="25"/>
      <c r="E262" s="25"/>
      <c r="M262" s="12"/>
      <c r="N262" s="118"/>
      <c r="O262" s="118"/>
      <c r="P262" s="118"/>
      <c r="Q262" s="118"/>
    </row>
    <row r="263" spans="2:17" ht="14.25" customHeight="1" x14ac:dyDescent="0.25">
      <c r="B263" s="23"/>
      <c r="D263" s="25"/>
      <c r="E263" s="25"/>
      <c r="M263" s="12"/>
      <c r="N263" s="118"/>
      <c r="O263" s="118"/>
      <c r="P263" s="118"/>
      <c r="Q263" s="118"/>
    </row>
    <row r="264" spans="2:17" ht="14.25" customHeight="1" x14ac:dyDescent="0.25">
      <c r="B264" s="23"/>
      <c r="D264" s="25"/>
      <c r="E264" s="25"/>
      <c r="M264" s="12"/>
      <c r="N264" s="118"/>
      <c r="O264" s="118"/>
      <c r="P264" s="118"/>
      <c r="Q264" s="118"/>
    </row>
    <row r="265" spans="2:17" ht="14.25" customHeight="1" x14ac:dyDescent="0.25">
      <c r="B265" s="23"/>
      <c r="D265" s="25"/>
      <c r="E265" s="25"/>
      <c r="M265" s="12"/>
      <c r="N265" s="118"/>
      <c r="O265" s="118"/>
      <c r="P265" s="118"/>
      <c r="Q265" s="118"/>
    </row>
    <row r="266" spans="2:17" ht="14.25" customHeight="1" x14ac:dyDescent="0.25">
      <c r="B266" s="23"/>
      <c r="D266" s="25"/>
      <c r="E266" s="25"/>
      <c r="M266" s="12"/>
      <c r="N266" s="118"/>
      <c r="O266" s="118"/>
      <c r="P266" s="118"/>
      <c r="Q266" s="118"/>
    </row>
    <row r="267" spans="2:17" ht="14.25" customHeight="1" x14ac:dyDescent="0.25">
      <c r="B267" s="23"/>
      <c r="D267" s="25"/>
      <c r="E267" s="25"/>
      <c r="M267" s="12"/>
      <c r="N267" s="118"/>
      <c r="O267" s="118"/>
      <c r="P267" s="118"/>
      <c r="Q267" s="118"/>
    </row>
    <row r="268" spans="2:17" ht="14.25" customHeight="1" x14ac:dyDescent="0.25">
      <c r="B268" s="23"/>
      <c r="D268" s="25"/>
      <c r="E268" s="25"/>
      <c r="M268" s="12"/>
      <c r="N268" s="118"/>
      <c r="O268" s="118"/>
      <c r="P268" s="118"/>
      <c r="Q268" s="118"/>
    </row>
    <row r="269" spans="2:17" ht="14.25" customHeight="1" x14ac:dyDescent="0.25">
      <c r="B269" s="23"/>
      <c r="D269" s="25"/>
      <c r="E269" s="25"/>
      <c r="M269" s="12"/>
      <c r="N269" s="118"/>
      <c r="O269" s="118"/>
      <c r="P269" s="118"/>
      <c r="Q269" s="118"/>
    </row>
    <row r="270" spans="2:17" ht="14.25" customHeight="1" x14ac:dyDescent="0.25">
      <c r="B270" s="23"/>
      <c r="D270" s="25"/>
      <c r="E270" s="25"/>
      <c r="M270" s="12"/>
      <c r="N270" s="118"/>
      <c r="O270" s="118"/>
      <c r="P270" s="118"/>
      <c r="Q270" s="118"/>
    </row>
    <row r="271" spans="2:17" ht="14.25" customHeight="1" x14ac:dyDescent="0.25">
      <c r="B271" s="23"/>
      <c r="D271" s="25"/>
      <c r="E271" s="25"/>
      <c r="M271" s="12"/>
      <c r="N271" s="118"/>
      <c r="O271" s="118"/>
      <c r="P271" s="118"/>
      <c r="Q271" s="118"/>
    </row>
    <row r="272" spans="2:17" ht="14.25" customHeight="1" x14ac:dyDescent="0.25">
      <c r="B272" s="23"/>
      <c r="D272" s="25"/>
      <c r="E272" s="25"/>
      <c r="M272" s="12"/>
      <c r="N272" s="118"/>
      <c r="O272" s="118"/>
      <c r="P272" s="118"/>
      <c r="Q272" s="118"/>
    </row>
    <row r="273" spans="2:17" ht="14.25" customHeight="1" x14ac:dyDescent="0.25">
      <c r="B273" s="23"/>
      <c r="D273" s="25"/>
      <c r="E273" s="25"/>
      <c r="M273" s="12"/>
      <c r="N273" s="118"/>
      <c r="O273" s="118"/>
      <c r="P273" s="118"/>
      <c r="Q273" s="118"/>
    </row>
    <row r="274" spans="2:17" ht="14.25" customHeight="1" x14ac:dyDescent="0.25">
      <c r="B274" s="23"/>
      <c r="D274" s="25"/>
      <c r="E274" s="25"/>
      <c r="M274" s="12"/>
      <c r="N274" s="118"/>
      <c r="O274" s="118"/>
      <c r="P274" s="118"/>
      <c r="Q274" s="118"/>
    </row>
    <row r="275" spans="2:17" ht="14.25" customHeight="1" x14ac:dyDescent="0.25">
      <c r="B275" s="23"/>
      <c r="D275" s="25"/>
      <c r="E275" s="25"/>
      <c r="M275" s="12"/>
      <c r="N275" s="118"/>
      <c r="O275" s="118"/>
      <c r="P275" s="118"/>
      <c r="Q275" s="118"/>
    </row>
    <row r="276" spans="2:17" ht="14.25" customHeight="1" x14ac:dyDescent="0.25">
      <c r="B276" s="23"/>
      <c r="D276" s="25"/>
      <c r="E276" s="25"/>
      <c r="M276" s="12"/>
      <c r="N276" s="118"/>
      <c r="O276" s="118"/>
      <c r="P276" s="118"/>
      <c r="Q276" s="118"/>
    </row>
    <row r="277" spans="2:17" ht="14.25" customHeight="1" x14ac:dyDescent="0.25">
      <c r="B277" s="23"/>
      <c r="D277" s="25"/>
      <c r="E277" s="25"/>
      <c r="M277" s="12"/>
      <c r="N277" s="118"/>
      <c r="O277" s="118"/>
      <c r="P277" s="118"/>
      <c r="Q277" s="118"/>
    </row>
    <row r="278" spans="2:17" ht="14.25" customHeight="1" x14ac:dyDescent="0.25">
      <c r="B278" s="23"/>
      <c r="D278" s="25"/>
      <c r="E278" s="25"/>
      <c r="M278" s="12"/>
      <c r="N278" s="118"/>
      <c r="O278" s="118"/>
      <c r="P278" s="118"/>
      <c r="Q278" s="118"/>
    </row>
    <row r="279" spans="2:17" ht="14.25" customHeight="1" x14ac:dyDescent="0.25">
      <c r="B279" s="23"/>
      <c r="D279" s="25"/>
      <c r="E279" s="25"/>
      <c r="M279" s="12"/>
      <c r="N279" s="118"/>
      <c r="O279" s="118"/>
      <c r="P279" s="118"/>
      <c r="Q279" s="118"/>
    </row>
    <row r="280" spans="2:17" ht="14.25" customHeight="1" x14ac:dyDescent="0.25">
      <c r="B280" s="23"/>
      <c r="D280" s="25"/>
      <c r="E280" s="25"/>
      <c r="M280" s="12"/>
      <c r="N280" s="118"/>
      <c r="O280" s="118"/>
      <c r="P280" s="118"/>
      <c r="Q280" s="118"/>
    </row>
    <row r="281" spans="2:17" ht="14.25" customHeight="1" x14ac:dyDescent="0.25">
      <c r="B281" s="23"/>
      <c r="D281" s="25"/>
      <c r="E281" s="25"/>
      <c r="M281" s="12"/>
      <c r="N281" s="118"/>
      <c r="O281" s="118"/>
      <c r="P281" s="118"/>
      <c r="Q281" s="118"/>
    </row>
    <row r="282" spans="2:17" ht="14.25" customHeight="1" x14ac:dyDescent="0.25">
      <c r="B282" s="23"/>
      <c r="D282" s="25"/>
      <c r="E282" s="25"/>
      <c r="M282" s="12"/>
      <c r="N282" s="118"/>
      <c r="O282" s="118"/>
      <c r="P282" s="118"/>
      <c r="Q282" s="118"/>
    </row>
    <row r="283" spans="2:17" ht="14.25" customHeight="1" x14ac:dyDescent="0.25">
      <c r="B283" s="23"/>
      <c r="D283" s="25"/>
      <c r="E283" s="25"/>
      <c r="M283" s="12"/>
      <c r="N283" s="118"/>
      <c r="O283" s="118"/>
      <c r="P283" s="118"/>
      <c r="Q283" s="118"/>
    </row>
    <row r="284" spans="2:17" ht="14.25" customHeight="1" x14ac:dyDescent="0.25">
      <c r="B284" s="23"/>
      <c r="D284" s="25"/>
      <c r="E284" s="25"/>
      <c r="M284" s="12"/>
      <c r="N284" s="118"/>
      <c r="O284" s="118"/>
      <c r="P284" s="118"/>
      <c r="Q284" s="118"/>
    </row>
    <row r="285" spans="2:17" ht="14.25" customHeight="1" x14ac:dyDescent="0.25">
      <c r="B285" s="23"/>
      <c r="D285" s="25"/>
      <c r="E285" s="25"/>
      <c r="M285" s="12"/>
      <c r="N285" s="118"/>
      <c r="O285" s="118"/>
      <c r="P285" s="118"/>
      <c r="Q285" s="118"/>
    </row>
    <row r="286" spans="2:17" ht="14.25" customHeight="1" x14ac:dyDescent="0.25">
      <c r="B286" s="23"/>
      <c r="D286" s="25"/>
      <c r="E286" s="25"/>
      <c r="M286" s="12"/>
      <c r="N286" s="118"/>
      <c r="O286" s="118"/>
      <c r="P286" s="118"/>
      <c r="Q286" s="118"/>
    </row>
    <row r="287" spans="2:17" ht="14.25" customHeight="1" x14ac:dyDescent="0.25">
      <c r="B287" s="23"/>
      <c r="D287" s="25"/>
      <c r="E287" s="25"/>
      <c r="M287" s="12"/>
      <c r="N287" s="118"/>
      <c r="O287" s="118"/>
      <c r="P287" s="118"/>
      <c r="Q287" s="118"/>
    </row>
    <row r="288" spans="2:17" ht="14.25" customHeight="1" x14ac:dyDescent="0.25">
      <c r="B288" s="23"/>
      <c r="D288" s="25"/>
      <c r="E288" s="25"/>
      <c r="M288" s="12"/>
      <c r="N288" s="118"/>
      <c r="O288" s="118"/>
      <c r="P288" s="118"/>
      <c r="Q288" s="118"/>
    </row>
    <row r="289" spans="2:17" ht="14.25" customHeight="1" x14ac:dyDescent="0.25">
      <c r="B289" s="23"/>
      <c r="D289" s="25"/>
      <c r="E289" s="25"/>
      <c r="M289" s="12"/>
      <c r="N289" s="118"/>
      <c r="O289" s="118"/>
      <c r="P289" s="118"/>
      <c r="Q289" s="118"/>
    </row>
    <row r="290" spans="2:17" ht="14.25" customHeight="1" x14ac:dyDescent="0.25">
      <c r="B290" s="23"/>
      <c r="D290" s="25"/>
      <c r="E290" s="25"/>
      <c r="M290" s="12"/>
      <c r="N290" s="118"/>
      <c r="O290" s="118"/>
      <c r="P290" s="118"/>
      <c r="Q290" s="118"/>
    </row>
    <row r="291" spans="2:17" ht="14.25" customHeight="1" x14ac:dyDescent="0.25">
      <c r="B291" s="23"/>
      <c r="D291" s="25"/>
      <c r="E291" s="25"/>
      <c r="M291" s="12"/>
      <c r="N291" s="118"/>
      <c r="O291" s="118"/>
      <c r="P291" s="118"/>
      <c r="Q291" s="118"/>
    </row>
    <row r="292" spans="2:17" ht="14.25" customHeight="1" x14ac:dyDescent="0.25">
      <c r="B292" s="23"/>
      <c r="D292" s="25"/>
      <c r="E292" s="25"/>
      <c r="M292" s="12"/>
      <c r="N292" s="118"/>
      <c r="O292" s="118"/>
      <c r="P292" s="118"/>
      <c r="Q292" s="118"/>
    </row>
    <row r="293" spans="2:17" ht="14.25" customHeight="1" x14ac:dyDescent="0.25">
      <c r="B293" s="23"/>
      <c r="D293" s="25"/>
      <c r="E293" s="25"/>
      <c r="M293" s="12"/>
      <c r="N293" s="118"/>
      <c r="O293" s="118"/>
      <c r="P293" s="118"/>
      <c r="Q293" s="118"/>
    </row>
    <row r="294" spans="2:17" ht="14.25" customHeight="1" x14ac:dyDescent="0.25">
      <c r="B294" s="23"/>
      <c r="D294" s="25"/>
      <c r="E294" s="25"/>
      <c r="M294" s="12"/>
      <c r="N294" s="118"/>
      <c r="O294" s="118"/>
      <c r="P294" s="118"/>
      <c r="Q294" s="118"/>
    </row>
    <row r="295" spans="2:17" ht="14.25" customHeight="1" x14ac:dyDescent="0.25">
      <c r="B295" s="23"/>
      <c r="D295" s="25"/>
      <c r="E295" s="25"/>
      <c r="M295" s="12"/>
      <c r="N295" s="118"/>
      <c r="O295" s="118"/>
      <c r="P295" s="118"/>
      <c r="Q295" s="118"/>
    </row>
    <row r="296" spans="2:17" ht="14.25" customHeight="1" x14ac:dyDescent="0.25">
      <c r="B296" s="23"/>
      <c r="D296" s="25"/>
      <c r="E296" s="25"/>
      <c r="M296" s="12"/>
      <c r="N296" s="118"/>
      <c r="O296" s="118"/>
      <c r="P296" s="118"/>
      <c r="Q296" s="118"/>
    </row>
    <row r="297" spans="2:17" ht="14.25" customHeight="1" x14ac:dyDescent="0.25">
      <c r="B297" s="23"/>
      <c r="D297" s="25"/>
      <c r="E297" s="25"/>
      <c r="M297" s="12"/>
      <c r="N297" s="118"/>
      <c r="O297" s="118"/>
      <c r="P297" s="118"/>
      <c r="Q297" s="118"/>
    </row>
    <row r="298" spans="2:17" ht="14.25" customHeight="1" x14ac:dyDescent="0.25">
      <c r="B298" s="23"/>
      <c r="D298" s="25"/>
      <c r="E298" s="25"/>
      <c r="M298" s="12"/>
      <c r="N298" s="118"/>
      <c r="O298" s="118"/>
      <c r="P298" s="118"/>
      <c r="Q298" s="118"/>
    </row>
    <row r="299" spans="2:17" ht="14.25" customHeight="1" x14ac:dyDescent="0.25">
      <c r="B299" s="23"/>
      <c r="D299" s="25"/>
      <c r="E299" s="25"/>
      <c r="M299" s="12"/>
      <c r="N299" s="118"/>
      <c r="O299" s="118"/>
      <c r="P299" s="118"/>
      <c r="Q299" s="118"/>
    </row>
    <row r="300" spans="2:17" ht="14.25" customHeight="1" x14ac:dyDescent="0.25">
      <c r="B300" s="23"/>
      <c r="D300" s="25"/>
      <c r="E300" s="25"/>
      <c r="M300" s="12"/>
      <c r="N300" s="118"/>
      <c r="O300" s="118"/>
      <c r="P300" s="118"/>
      <c r="Q300" s="118"/>
    </row>
    <row r="301" spans="2:17" ht="14.25" customHeight="1" x14ac:dyDescent="0.25">
      <c r="B301" s="23"/>
      <c r="D301" s="25"/>
      <c r="E301" s="25"/>
      <c r="M301" s="12"/>
      <c r="N301" s="118"/>
      <c r="O301" s="118"/>
      <c r="P301" s="118"/>
      <c r="Q301" s="118"/>
    </row>
    <row r="302" spans="2:17" ht="14.25" customHeight="1" x14ac:dyDescent="0.25">
      <c r="B302" s="23"/>
      <c r="D302" s="25"/>
      <c r="E302" s="25"/>
      <c r="M302" s="12"/>
      <c r="N302" s="118"/>
      <c r="O302" s="118"/>
      <c r="P302" s="118"/>
      <c r="Q302" s="118"/>
    </row>
    <row r="303" spans="2:17" ht="14.25" customHeight="1" x14ac:dyDescent="0.25">
      <c r="B303" s="23"/>
      <c r="D303" s="25"/>
      <c r="E303" s="25"/>
      <c r="M303" s="12"/>
      <c r="N303" s="118"/>
      <c r="O303" s="118"/>
      <c r="P303" s="118"/>
      <c r="Q303" s="118"/>
    </row>
    <row r="304" spans="2:17" ht="14.25" customHeight="1" x14ac:dyDescent="0.25">
      <c r="B304" s="23"/>
      <c r="D304" s="25"/>
      <c r="E304" s="25"/>
      <c r="M304" s="12"/>
      <c r="N304" s="118"/>
      <c r="O304" s="118"/>
      <c r="P304" s="118"/>
      <c r="Q304" s="118"/>
    </row>
    <row r="305" spans="2:17" ht="14.25" customHeight="1" x14ac:dyDescent="0.25">
      <c r="B305" s="23"/>
      <c r="D305" s="25"/>
      <c r="E305" s="25"/>
      <c r="M305" s="12"/>
      <c r="N305" s="118"/>
      <c r="O305" s="118"/>
      <c r="P305" s="118"/>
      <c r="Q305" s="118"/>
    </row>
    <row r="306" spans="2:17" ht="14.25" customHeight="1" x14ac:dyDescent="0.25">
      <c r="B306" s="23"/>
      <c r="D306" s="25"/>
      <c r="E306" s="25"/>
      <c r="M306" s="12"/>
      <c r="N306" s="118"/>
      <c r="O306" s="118"/>
      <c r="P306" s="118"/>
      <c r="Q306" s="118"/>
    </row>
    <row r="307" spans="2:17" ht="14.25" customHeight="1" x14ac:dyDescent="0.25">
      <c r="B307" s="23"/>
      <c r="D307" s="25"/>
      <c r="E307" s="25"/>
      <c r="M307" s="12"/>
      <c r="N307" s="118"/>
      <c r="O307" s="118"/>
      <c r="P307" s="118"/>
      <c r="Q307" s="118"/>
    </row>
    <row r="308" spans="2:17" ht="14.25" customHeight="1" x14ac:dyDescent="0.25">
      <c r="B308" s="23"/>
      <c r="D308" s="25"/>
      <c r="E308" s="25"/>
      <c r="M308" s="12"/>
      <c r="N308" s="118"/>
      <c r="O308" s="118"/>
      <c r="P308" s="118"/>
      <c r="Q308" s="118"/>
    </row>
    <row r="309" spans="2:17" ht="14.25" customHeight="1" x14ac:dyDescent="0.25">
      <c r="B309" s="23"/>
      <c r="D309" s="25"/>
      <c r="E309" s="25"/>
      <c r="M309" s="12"/>
      <c r="N309" s="118"/>
      <c r="O309" s="118"/>
      <c r="P309" s="118"/>
      <c r="Q309" s="118"/>
    </row>
    <row r="310" spans="2:17" ht="14.25" customHeight="1" x14ac:dyDescent="0.25">
      <c r="B310" s="23"/>
      <c r="D310" s="25"/>
      <c r="E310" s="25"/>
      <c r="M310" s="12"/>
      <c r="N310" s="118"/>
      <c r="O310" s="118"/>
      <c r="P310" s="118"/>
      <c r="Q310" s="118"/>
    </row>
    <row r="311" spans="2:17" ht="14.25" customHeight="1" x14ac:dyDescent="0.25">
      <c r="B311" s="23"/>
      <c r="D311" s="25"/>
      <c r="E311" s="25"/>
      <c r="M311" s="12"/>
      <c r="N311" s="118"/>
      <c r="O311" s="118"/>
      <c r="P311" s="118"/>
      <c r="Q311" s="118"/>
    </row>
    <row r="312" spans="2:17" ht="14.25" customHeight="1" x14ac:dyDescent="0.25">
      <c r="B312" s="23"/>
      <c r="D312" s="25"/>
      <c r="E312" s="25"/>
      <c r="M312" s="12"/>
      <c r="N312" s="118"/>
      <c r="O312" s="118"/>
      <c r="P312" s="118"/>
      <c r="Q312" s="118"/>
    </row>
    <row r="313" spans="2:17" ht="14.25" customHeight="1" x14ac:dyDescent="0.25">
      <c r="B313" s="23"/>
      <c r="D313" s="25"/>
      <c r="E313" s="25"/>
      <c r="M313" s="12"/>
      <c r="N313" s="118"/>
      <c r="O313" s="118"/>
      <c r="P313" s="118"/>
      <c r="Q313" s="118"/>
    </row>
    <row r="314" spans="2:17" ht="14.25" customHeight="1" x14ac:dyDescent="0.25">
      <c r="B314" s="23"/>
      <c r="D314" s="25"/>
      <c r="E314" s="25"/>
      <c r="M314" s="12"/>
      <c r="N314" s="118"/>
      <c r="O314" s="118"/>
      <c r="P314" s="118"/>
      <c r="Q314" s="118"/>
    </row>
    <row r="315" spans="2:17" ht="14.25" customHeight="1" x14ac:dyDescent="0.25">
      <c r="B315" s="23"/>
      <c r="D315" s="25"/>
      <c r="E315" s="25"/>
      <c r="M315" s="12"/>
      <c r="N315" s="118"/>
      <c r="O315" s="118"/>
      <c r="P315" s="118"/>
      <c r="Q315" s="118"/>
    </row>
    <row r="316" spans="2:17" ht="14.25" customHeight="1" x14ac:dyDescent="0.25">
      <c r="B316" s="23"/>
      <c r="D316" s="25"/>
      <c r="E316" s="25"/>
      <c r="M316" s="12"/>
      <c r="N316" s="118"/>
      <c r="O316" s="118"/>
      <c r="P316" s="118"/>
      <c r="Q316" s="118"/>
    </row>
    <row r="317" spans="2:17" ht="14.25" customHeight="1" x14ac:dyDescent="0.25">
      <c r="B317" s="23"/>
      <c r="D317" s="25"/>
      <c r="E317" s="25"/>
      <c r="M317" s="12"/>
      <c r="N317" s="118"/>
      <c r="O317" s="118"/>
      <c r="P317" s="118"/>
      <c r="Q317" s="118"/>
    </row>
    <row r="318" spans="2:17" ht="14.25" customHeight="1" x14ac:dyDescent="0.25">
      <c r="B318" s="23"/>
      <c r="D318" s="25"/>
      <c r="E318" s="25"/>
      <c r="M318" s="12"/>
      <c r="N318" s="118"/>
      <c r="O318" s="118"/>
      <c r="P318" s="118"/>
      <c r="Q318" s="118"/>
    </row>
    <row r="319" spans="2:17" ht="14.25" customHeight="1" x14ac:dyDescent="0.25">
      <c r="B319" s="23"/>
      <c r="D319" s="25"/>
      <c r="E319" s="25"/>
      <c r="M319" s="12"/>
      <c r="N319" s="118"/>
      <c r="O319" s="118"/>
      <c r="P319" s="118"/>
      <c r="Q319" s="118"/>
    </row>
    <row r="320" spans="2:17" ht="14.25" customHeight="1" x14ac:dyDescent="0.25">
      <c r="B320" s="23"/>
      <c r="D320" s="25"/>
      <c r="E320" s="25"/>
      <c r="M320" s="12"/>
      <c r="N320" s="118"/>
      <c r="O320" s="118"/>
      <c r="P320" s="118"/>
      <c r="Q320" s="118"/>
    </row>
    <row r="321" spans="2:17" ht="14.25" customHeight="1" x14ac:dyDescent="0.25">
      <c r="B321" s="23"/>
      <c r="D321" s="25"/>
      <c r="E321" s="25"/>
      <c r="M321" s="12"/>
      <c r="N321" s="118"/>
      <c r="O321" s="118"/>
      <c r="P321" s="118"/>
      <c r="Q321" s="118"/>
    </row>
    <row r="322" spans="2:17" ht="14.25" customHeight="1" x14ac:dyDescent="0.25">
      <c r="B322" s="23"/>
      <c r="D322" s="25"/>
      <c r="E322" s="25"/>
      <c r="M322" s="12"/>
      <c r="N322" s="118"/>
      <c r="O322" s="118"/>
      <c r="P322" s="118"/>
      <c r="Q322" s="118"/>
    </row>
    <row r="323" spans="2:17" ht="14.25" customHeight="1" x14ac:dyDescent="0.25">
      <c r="B323" s="23"/>
      <c r="D323" s="25"/>
      <c r="E323" s="25"/>
      <c r="M323" s="12"/>
      <c r="N323" s="118"/>
      <c r="O323" s="118"/>
      <c r="P323" s="118"/>
      <c r="Q323" s="118"/>
    </row>
    <row r="324" spans="2:17" ht="14.25" customHeight="1" x14ac:dyDescent="0.25">
      <c r="B324" s="23"/>
      <c r="D324" s="25"/>
      <c r="E324" s="25"/>
      <c r="M324" s="12"/>
      <c r="N324" s="118"/>
      <c r="O324" s="118"/>
      <c r="P324" s="118"/>
      <c r="Q324" s="118"/>
    </row>
    <row r="325" spans="2:17" ht="14.25" customHeight="1" x14ac:dyDescent="0.25">
      <c r="B325" s="23"/>
      <c r="D325" s="25"/>
      <c r="E325" s="25"/>
      <c r="M325" s="12"/>
      <c r="N325" s="118"/>
      <c r="O325" s="118"/>
      <c r="P325" s="118"/>
      <c r="Q325" s="118"/>
    </row>
    <row r="326" spans="2:17" ht="14.25" customHeight="1" x14ac:dyDescent="0.25">
      <c r="B326" s="23"/>
      <c r="D326" s="25"/>
      <c r="E326" s="25"/>
      <c r="M326" s="12"/>
      <c r="N326" s="118"/>
      <c r="O326" s="118"/>
      <c r="P326" s="118"/>
      <c r="Q326" s="118"/>
    </row>
    <row r="327" spans="2:17" ht="14.25" customHeight="1" x14ac:dyDescent="0.25">
      <c r="B327" s="23"/>
      <c r="D327" s="25"/>
      <c r="E327" s="25"/>
      <c r="M327" s="12"/>
      <c r="N327" s="118"/>
      <c r="O327" s="118"/>
      <c r="P327" s="118"/>
      <c r="Q327" s="118"/>
    </row>
    <row r="328" spans="2:17" ht="14.25" customHeight="1" x14ac:dyDescent="0.25">
      <c r="B328" s="23"/>
      <c r="D328" s="25"/>
      <c r="E328" s="25"/>
      <c r="M328" s="12"/>
      <c r="N328" s="118"/>
      <c r="O328" s="118"/>
      <c r="P328" s="118"/>
      <c r="Q328" s="118"/>
    </row>
    <row r="329" spans="2:17" ht="14.25" customHeight="1" x14ac:dyDescent="0.25">
      <c r="B329" s="23"/>
      <c r="D329" s="25"/>
      <c r="E329" s="25"/>
      <c r="M329" s="12"/>
      <c r="N329" s="118"/>
      <c r="O329" s="118"/>
      <c r="P329" s="118"/>
      <c r="Q329" s="118"/>
    </row>
    <row r="330" spans="2:17" ht="14.25" customHeight="1" x14ac:dyDescent="0.25">
      <c r="B330" s="23"/>
      <c r="D330" s="25"/>
      <c r="E330" s="25"/>
      <c r="M330" s="12"/>
      <c r="N330" s="118"/>
      <c r="O330" s="118"/>
      <c r="P330" s="118"/>
      <c r="Q330" s="118"/>
    </row>
    <row r="331" spans="2:17" ht="14.25" customHeight="1" x14ac:dyDescent="0.25">
      <c r="B331" s="23"/>
      <c r="D331" s="25"/>
      <c r="E331" s="25"/>
      <c r="M331" s="12"/>
      <c r="N331" s="118"/>
      <c r="O331" s="118"/>
      <c r="P331" s="118"/>
      <c r="Q331" s="118"/>
    </row>
    <row r="332" spans="2:17" ht="14.25" customHeight="1" x14ac:dyDescent="0.25">
      <c r="B332" s="23"/>
      <c r="D332" s="25"/>
      <c r="E332" s="25"/>
      <c r="M332" s="12"/>
      <c r="N332" s="118"/>
      <c r="O332" s="118"/>
      <c r="P332" s="118"/>
      <c r="Q332" s="118"/>
    </row>
    <row r="333" spans="2:17" ht="14.25" customHeight="1" x14ac:dyDescent="0.25">
      <c r="B333" s="23"/>
      <c r="D333" s="25"/>
      <c r="E333" s="25"/>
      <c r="M333" s="12"/>
      <c r="N333" s="118"/>
      <c r="O333" s="118"/>
      <c r="P333" s="118"/>
      <c r="Q333" s="118"/>
    </row>
    <row r="334" spans="2:17" ht="14.25" customHeight="1" x14ac:dyDescent="0.25">
      <c r="B334" s="23"/>
      <c r="D334" s="25"/>
      <c r="E334" s="25"/>
      <c r="M334" s="12"/>
      <c r="N334" s="118"/>
      <c r="O334" s="118"/>
      <c r="P334" s="118"/>
      <c r="Q334" s="118"/>
    </row>
    <row r="335" spans="2:17" ht="14.25" customHeight="1" x14ac:dyDescent="0.25">
      <c r="B335" s="23"/>
      <c r="D335" s="25"/>
      <c r="E335" s="25"/>
      <c r="M335" s="12"/>
      <c r="N335" s="118"/>
      <c r="O335" s="118"/>
      <c r="P335" s="118"/>
      <c r="Q335" s="118"/>
    </row>
    <row r="336" spans="2:17" ht="14.25" customHeight="1" x14ac:dyDescent="0.25">
      <c r="B336" s="23"/>
      <c r="D336" s="25"/>
      <c r="E336" s="25"/>
      <c r="M336" s="12"/>
      <c r="N336" s="118"/>
      <c r="O336" s="118"/>
      <c r="P336" s="118"/>
      <c r="Q336" s="118"/>
    </row>
    <row r="337" spans="2:17" ht="14.25" customHeight="1" x14ac:dyDescent="0.25">
      <c r="B337" s="23"/>
      <c r="D337" s="25"/>
      <c r="E337" s="25"/>
      <c r="M337" s="12"/>
      <c r="N337" s="118"/>
      <c r="O337" s="118"/>
      <c r="P337" s="118"/>
      <c r="Q337" s="118"/>
    </row>
    <row r="338" spans="2:17" ht="14.25" customHeight="1" x14ac:dyDescent="0.25">
      <c r="B338" s="23"/>
      <c r="D338" s="25"/>
      <c r="E338" s="25"/>
      <c r="M338" s="12"/>
      <c r="N338" s="118"/>
      <c r="O338" s="118"/>
      <c r="P338" s="118"/>
      <c r="Q338" s="118"/>
    </row>
    <row r="339" spans="2:17" ht="14.25" customHeight="1" x14ac:dyDescent="0.25">
      <c r="B339" s="23"/>
      <c r="D339" s="25"/>
      <c r="E339" s="25"/>
      <c r="M339" s="12"/>
      <c r="N339" s="118"/>
      <c r="O339" s="118"/>
      <c r="P339" s="118"/>
      <c r="Q339" s="118"/>
    </row>
    <row r="340" spans="2:17" ht="14.25" customHeight="1" x14ac:dyDescent="0.25">
      <c r="B340" s="23"/>
      <c r="D340" s="25"/>
      <c r="E340" s="25"/>
      <c r="M340" s="12"/>
      <c r="N340" s="118"/>
      <c r="O340" s="118"/>
      <c r="P340" s="118"/>
      <c r="Q340" s="118"/>
    </row>
    <row r="341" spans="2:17" ht="14.25" customHeight="1" x14ac:dyDescent="0.25">
      <c r="B341" s="23"/>
      <c r="D341" s="25"/>
      <c r="E341" s="25"/>
      <c r="M341" s="12"/>
      <c r="N341" s="118"/>
      <c r="O341" s="118"/>
      <c r="P341" s="118"/>
      <c r="Q341" s="118"/>
    </row>
    <row r="342" spans="2:17" ht="14.25" customHeight="1" x14ac:dyDescent="0.25">
      <c r="B342" s="23"/>
      <c r="D342" s="25"/>
      <c r="E342" s="25"/>
      <c r="M342" s="12"/>
      <c r="N342" s="118"/>
      <c r="O342" s="118"/>
      <c r="P342" s="118"/>
      <c r="Q342" s="118"/>
    </row>
    <row r="343" spans="2:17" ht="14.25" customHeight="1" x14ac:dyDescent="0.25">
      <c r="B343" s="23"/>
      <c r="D343" s="25"/>
      <c r="E343" s="25"/>
      <c r="M343" s="12"/>
      <c r="N343" s="118"/>
      <c r="O343" s="118"/>
      <c r="P343" s="118"/>
      <c r="Q343" s="118"/>
    </row>
    <row r="344" spans="2:17" ht="14.25" customHeight="1" x14ac:dyDescent="0.25">
      <c r="B344" s="23"/>
      <c r="D344" s="25"/>
      <c r="E344" s="25"/>
      <c r="M344" s="12"/>
      <c r="N344" s="118"/>
      <c r="O344" s="118"/>
      <c r="P344" s="118"/>
      <c r="Q344" s="118"/>
    </row>
    <row r="345" spans="2:17" ht="14.25" customHeight="1" x14ac:dyDescent="0.25">
      <c r="B345" s="23"/>
      <c r="D345" s="25"/>
      <c r="E345" s="25"/>
      <c r="M345" s="12"/>
      <c r="N345" s="118"/>
      <c r="O345" s="118"/>
      <c r="P345" s="118"/>
      <c r="Q345" s="118"/>
    </row>
    <row r="346" spans="2:17" ht="14.25" customHeight="1" x14ac:dyDescent="0.25">
      <c r="B346" s="23"/>
      <c r="D346" s="25"/>
      <c r="E346" s="25"/>
      <c r="M346" s="12"/>
      <c r="N346" s="118"/>
      <c r="O346" s="118"/>
      <c r="P346" s="118"/>
      <c r="Q346" s="118"/>
    </row>
    <row r="347" spans="2:17" ht="14.25" customHeight="1" x14ac:dyDescent="0.25">
      <c r="B347" s="23"/>
      <c r="D347" s="25"/>
      <c r="E347" s="25"/>
      <c r="M347" s="12"/>
      <c r="N347" s="118"/>
      <c r="O347" s="118"/>
      <c r="P347" s="118"/>
      <c r="Q347" s="118"/>
    </row>
    <row r="348" spans="2:17" ht="14.25" customHeight="1" x14ac:dyDescent="0.25">
      <c r="B348" s="23"/>
      <c r="D348" s="25"/>
      <c r="E348" s="25"/>
      <c r="M348" s="12"/>
      <c r="N348" s="118"/>
      <c r="O348" s="118"/>
      <c r="P348" s="118"/>
      <c r="Q348" s="118"/>
    </row>
    <row r="349" spans="2:17" ht="14.25" customHeight="1" x14ac:dyDescent="0.25">
      <c r="B349" s="23"/>
      <c r="D349" s="25"/>
      <c r="E349" s="25"/>
      <c r="M349" s="12"/>
      <c r="N349" s="118"/>
      <c r="O349" s="118"/>
      <c r="P349" s="118"/>
      <c r="Q349" s="118"/>
    </row>
    <row r="350" spans="2:17" ht="14.25" customHeight="1" x14ac:dyDescent="0.25">
      <c r="B350" s="23"/>
      <c r="D350" s="25"/>
      <c r="E350" s="25"/>
      <c r="M350" s="12"/>
      <c r="N350" s="118"/>
      <c r="O350" s="118"/>
      <c r="P350" s="118"/>
      <c r="Q350" s="118"/>
    </row>
    <row r="351" spans="2:17" ht="14.25" customHeight="1" x14ac:dyDescent="0.25">
      <c r="B351" s="23"/>
      <c r="D351" s="25"/>
      <c r="E351" s="25"/>
      <c r="M351" s="12"/>
      <c r="N351" s="118"/>
      <c r="O351" s="118"/>
      <c r="P351" s="118"/>
      <c r="Q351" s="118"/>
    </row>
    <row r="352" spans="2:17" ht="14.25" customHeight="1" x14ac:dyDescent="0.25">
      <c r="B352" s="23"/>
      <c r="D352" s="25"/>
      <c r="E352" s="25"/>
      <c r="M352" s="12"/>
      <c r="N352" s="118"/>
      <c r="O352" s="118"/>
      <c r="P352" s="118"/>
      <c r="Q352" s="118"/>
    </row>
    <row r="353" spans="2:17" ht="14.25" customHeight="1" x14ac:dyDescent="0.25">
      <c r="B353" s="23"/>
      <c r="D353" s="25"/>
      <c r="E353" s="25"/>
      <c r="M353" s="12"/>
      <c r="N353" s="118"/>
      <c r="O353" s="118"/>
      <c r="P353" s="118"/>
      <c r="Q353" s="118"/>
    </row>
    <row r="354" spans="2:17" ht="14.25" customHeight="1" x14ac:dyDescent="0.25">
      <c r="B354" s="23"/>
      <c r="D354" s="25"/>
      <c r="E354" s="25"/>
      <c r="M354" s="12"/>
      <c r="N354" s="118"/>
      <c r="O354" s="118"/>
      <c r="P354" s="118"/>
      <c r="Q354" s="118"/>
    </row>
    <row r="355" spans="2:17" ht="14.25" customHeight="1" x14ac:dyDescent="0.25">
      <c r="B355" s="23"/>
      <c r="D355" s="25"/>
      <c r="E355" s="25"/>
      <c r="M355" s="12"/>
      <c r="N355" s="118"/>
      <c r="O355" s="118"/>
      <c r="P355" s="118"/>
      <c r="Q355" s="118"/>
    </row>
    <row r="356" spans="2:17" ht="14.25" customHeight="1" x14ac:dyDescent="0.25">
      <c r="B356" s="23"/>
      <c r="D356" s="25"/>
      <c r="E356" s="25"/>
      <c r="M356" s="12"/>
      <c r="N356" s="118"/>
      <c r="O356" s="118"/>
      <c r="P356" s="118"/>
      <c r="Q356" s="118"/>
    </row>
    <row r="357" spans="2:17" ht="14.25" customHeight="1" x14ac:dyDescent="0.25">
      <c r="B357" s="23"/>
      <c r="D357" s="25"/>
      <c r="E357" s="25"/>
      <c r="M357" s="12"/>
      <c r="N357" s="118"/>
      <c r="O357" s="118"/>
      <c r="P357" s="118"/>
      <c r="Q357" s="118"/>
    </row>
    <row r="358" spans="2:17" ht="14.25" customHeight="1" x14ac:dyDescent="0.25">
      <c r="B358" s="23"/>
      <c r="D358" s="25"/>
      <c r="E358" s="25"/>
      <c r="M358" s="12"/>
      <c r="N358" s="118"/>
      <c r="O358" s="118"/>
      <c r="P358" s="118"/>
      <c r="Q358" s="118"/>
    </row>
    <row r="359" spans="2:17" ht="14.25" customHeight="1" x14ac:dyDescent="0.25">
      <c r="B359" s="23"/>
      <c r="D359" s="25"/>
      <c r="E359" s="25"/>
      <c r="M359" s="12"/>
      <c r="N359" s="118"/>
      <c r="O359" s="118"/>
      <c r="P359" s="118"/>
      <c r="Q359" s="118"/>
    </row>
    <row r="360" spans="2:17" ht="14.25" customHeight="1" x14ac:dyDescent="0.25">
      <c r="B360" s="23"/>
      <c r="D360" s="25"/>
      <c r="E360" s="25"/>
      <c r="M360" s="12"/>
      <c r="N360" s="118"/>
      <c r="O360" s="118"/>
      <c r="P360" s="118"/>
      <c r="Q360" s="118"/>
    </row>
    <row r="361" spans="2:17" ht="14.25" customHeight="1" x14ac:dyDescent="0.25">
      <c r="B361" s="23"/>
      <c r="D361" s="25"/>
      <c r="E361" s="25"/>
      <c r="M361" s="12"/>
      <c r="N361" s="118"/>
      <c r="O361" s="118"/>
      <c r="P361" s="118"/>
      <c r="Q361" s="118"/>
    </row>
    <row r="362" spans="2:17" ht="14.25" customHeight="1" x14ac:dyDescent="0.25">
      <c r="B362" s="23"/>
      <c r="D362" s="25"/>
      <c r="E362" s="25"/>
      <c r="M362" s="12"/>
      <c r="N362" s="118"/>
      <c r="O362" s="118"/>
      <c r="P362" s="118"/>
      <c r="Q362" s="118"/>
    </row>
    <row r="363" spans="2:17" ht="14.25" customHeight="1" x14ac:dyDescent="0.25">
      <c r="B363" s="23"/>
      <c r="D363" s="25"/>
      <c r="E363" s="25"/>
      <c r="M363" s="12"/>
      <c r="N363" s="118"/>
      <c r="O363" s="118"/>
      <c r="P363" s="118"/>
      <c r="Q363" s="118"/>
    </row>
    <row r="364" spans="2:17" ht="14.25" customHeight="1" x14ac:dyDescent="0.25">
      <c r="B364" s="23"/>
      <c r="D364" s="25"/>
      <c r="E364" s="25"/>
      <c r="M364" s="12"/>
      <c r="N364" s="118"/>
      <c r="O364" s="118"/>
      <c r="P364" s="118"/>
      <c r="Q364" s="118"/>
    </row>
    <row r="365" spans="2:17" ht="14.25" customHeight="1" x14ac:dyDescent="0.25">
      <c r="B365" s="23"/>
      <c r="D365" s="25"/>
      <c r="E365" s="25"/>
      <c r="M365" s="12"/>
      <c r="N365" s="118"/>
      <c r="O365" s="118"/>
      <c r="P365" s="118"/>
      <c r="Q365" s="118"/>
    </row>
    <row r="366" spans="2:17" ht="14.25" customHeight="1" x14ac:dyDescent="0.25">
      <c r="B366" s="23"/>
      <c r="D366" s="25"/>
      <c r="E366" s="25"/>
      <c r="M366" s="12"/>
      <c r="N366" s="118"/>
      <c r="O366" s="118"/>
      <c r="P366" s="118"/>
      <c r="Q366" s="118"/>
    </row>
    <row r="367" spans="2:17" ht="14.25" customHeight="1" x14ac:dyDescent="0.25">
      <c r="B367" s="23"/>
      <c r="D367" s="25"/>
      <c r="E367" s="25"/>
      <c r="M367" s="12"/>
      <c r="N367" s="118"/>
      <c r="O367" s="118"/>
      <c r="P367" s="118"/>
      <c r="Q367" s="118"/>
    </row>
    <row r="368" spans="2:17" ht="14.25" customHeight="1" x14ac:dyDescent="0.25">
      <c r="B368" s="23"/>
      <c r="D368" s="25"/>
      <c r="E368" s="25"/>
      <c r="M368" s="12"/>
      <c r="N368" s="118"/>
      <c r="O368" s="118"/>
      <c r="P368" s="118"/>
      <c r="Q368" s="118"/>
    </row>
    <row r="369" spans="2:17" ht="14.25" customHeight="1" x14ac:dyDescent="0.25">
      <c r="B369" s="23"/>
      <c r="D369" s="25"/>
      <c r="E369" s="25"/>
      <c r="M369" s="12"/>
      <c r="N369" s="118"/>
      <c r="O369" s="118"/>
      <c r="P369" s="118"/>
      <c r="Q369" s="118"/>
    </row>
    <row r="370" spans="2:17" ht="14.25" customHeight="1" x14ac:dyDescent="0.25">
      <c r="B370" s="23"/>
      <c r="D370" s="25"/>
      <c r="E370" s="25"/>
      <c r="M370" s="12"/>
      <c r="N370" s="118"/>
      <c r="O370" s="118"/>
      <c r="P370" s="118"/>
      <c r="Q370" s="118"/>
    </row>
    <row r="371" spans="2:17" ht="14.25" customHeight="1" x14ac:dyDescent="0.25">
      <c r="B371" s="23"/>
      <c r="D371" s="25"/>
      <c r="E371" s="25"/>
      <c r="M371" s="12"/>
      <c r="N371" s="118"/>
      <c r="O371" s="118"/>
      <c r="P371" s="118"/>
      <c r="Q371" s="118"/>
    </row>
    <row r="372" spans="2:17" ht="14.25" customHeight="1" x14ac:dyDescent="0.25">
      <c r="B372" s="23"/>
      <c r="D372" s="25"/>
      <c r="E372" s="25"/>
      <c r="M372" s="12"/>
      <c r="N372" s="118"/>
      <c r="O372" s="118"/>
      <c r="P372" s="118"/>
      <c r="Q372" s="118"/>
    </row>
    <row r="373" spans="2:17" ht="14.25" customHeight="1" x14ac:dyDescent="0.25">
      <c r="B373" s="23"/>
      <c r="D373" s="25"/>
      <c r="E373" s="25"/>
      <c r="M373" s="12"/>
      <c r="N373" s="118"/>
      <c r="O373" s="118"/>
      <c r="P373" s="118"/>
      <c r="Q373" s="118"/>
    </row>
    <row r="374" spans="2:17" ht="14.25" customHeight="1" x14ac:dyDescent="0.25">
      <c r="B374" s="23"/>
      <c r="D374" s="25"/>
      <c r="E374" s="25"/>
      <c r="M374" s="12"/>
      <c r="N374" s="118"/>
      <c r="O374" s="118"/>
      <c r="P374" s="118"/>
      <c r="Q374" s="118"/>
    </row>
    <row r="375" spans="2:17" ht="14.25" customHeight="1" x14ac:dyDescent="0.25">
      <c r="B375" s="23"/>
      <c r="D375" s="25"/>
      <c r="E375" s="25"/>
      <c r="M375" s="12"/>
      <c r="N375" s="118"/>
      <c r="O375" s="118"/>
      <c r="P375" s="118"/>
      <c r="Q375" s="118"/>
    </row>
    <row r="376" spans="2:17" ht="14.25" customHeight="1" x14ac:dyDescent="0.25">
      <c r="B376" s="23"/>
      <c r="D376" s="25"/>
      <c r="E376" s="25"/>
      <c r="M376" s="12"/>
      <c r="N376" s="118"/>
      <c r="O376" s="118"/>
      <c r="P376" s="118"/>
      <c r="Q376" s="118"/>
    </row>
    <row r="377" spans="2:17" ht="14.25" customHeight="1" x14ac:dyDescent="0.25">
      <c r="B377" s="23"/>
      <c r="D377" s="25"/>
      <c r="E377" s="25"/>
      <c r="M377" s="12"/>
      <c r="N377" s="118"/>
      <c r="O377" s="118"/>
      <c r="P377" s="118"/>
      <c r="Q377" s="118"/>
    </row>
    <row r="378" spans="2:17" ht="14.25" customHeight="1" x14ac:dyDescent="0.25">
      <c r="B378" s="23"/>
      <c r="D378" s="25"/>
      <c r="E378" s="25"/>
      <c r="M378" s="12"/>
      <c r="N378" s="118"/>
      <c r="O378" s="118"/>
      <c r="P378" s="118"/>
      <c r="Q378" s="118"/>
    </row>
    <row r="379" spans="2:17" ht="14.25" customHeight="1" x14ac:dyDescent="0.25">
      <c r="B379" s="23"/>
      <c r="D379" s="25"/>
      <c r="E379" s="25"/>
      <c r="M379" s="12"/>
      <c r="N379" s="118"/>
      <c r="O379" s="118"/>
      <c r="P379" s="118"/>
      <c r="Q379" s="118"/>
    </row>
    <row r="380" spans="2:17" ht="14.25" customHeight="1" x14ac:dyDescent="0.25">
      <c r="B380" s="23"/>
      <c r="D380" s="25"/>
      <c r="E380" s="25"/>
      <c r="M380" s="12"/>
      <c r="N380" s="118"/>
      <c r="O380" s="118"/>
      <c r="P380" s="118"/>
      <c r="Q380" s="118"/>
    </row>
    <row r="381" spans="2:17" ht="14.25" customHeight="1" x14ac:dyDescent="0.25">
      <c r="B381" s="23"/>
      <c r="D381" s="25"/>
      <c r="E381" s="25"/>
      <c r="M381" s="12"/>
      <c r="N381" s="118"/>
      <c r="O381" s="118"/>
      <c r="P381" s="118"/>
      <c r="Q381" s="118"/>
    </row>
    <row r="382" spans="2:17" ht="14.25" customHeight="1" x14ac:dyDescent="0.25">
      <c r="B382" s="23"/>
      <c r="D382" s="25"/>
      <c r="E382" s="25"/>
      <c r="M382" s="12"/>
      <c r="N382" s="118"/>
      <c r="O382" s="118"/>
      <c r="P382" s="118"/>
      <c r="Q382" s="118"/>
    </row>
    <row r="383" spans="2:17" ht="14.25" customHeight="1" x14ac:dyDescent="0.25">
      <c r="B383" s="23"/>
      <c r="D383" s="25"/>
      <c r="E383" s="25"/>
      <c r="M383" s="12"/>
      <c r="N383" s="118"/>
      <c r="O383" s="118"/>
      <c r="P383" s="118"/>
      <c r="Q383" s="118"/>
    </row>
    <row r="384" spans="2:17" ht="14.25" customHeight="1" x14ac:dyDescent="0.25">
      <c r="B384" s="23"/>
      <c r="D384" s="25"/>
      <c r="E384" s="25"/>
      <c r="M384" s="12"/>
      <c r="N384" s="118"/>
      <c r="O384" s="118"/>
      <c r="P384" s="118"/>
      <c r="Q384" s="118"/>
    </row>
    <row r="385" spans="2:17" ht="14.25" customHeight="1" x14ac:dyDescent="0.25">
      <c r="B385" s="23"/>
      <c r="D385" s="25"/>
      <c r="E385" s="25"/>
      <c r="M385" s="12"/>
      <c r="N385" s="118"/>
      <c r="O385" s="118"/>
      <c r="P385" s="118"/>
      <c r="Q385" s="118"/>
    </row>
    <row r="386" spans="2:17" ht="14.25" customHeight="1" x14ac:dyDescent="0.25">
      <c r="B386" s="23"/>
      <c r="D386" s="25"/>
      <c r="E386" s="25"/>
      <c r="M386" s="12"/>
      <c r="N386" s="118"/>
      <c r="O386" s="118"/>
      <c r="P386" s="118"/>
      <c r="Q386" s="118"/>
    </row>
    <row r="387" spans="2:17" ht="14.25" customHeight="1" x14ac:dyDescent="0.25">
      <c r="B387" s="23"/>
      <c r="D387" s="25"/>
      <c r="E387" s="25"/>
      <c r="M387" s="12"/>
      <c r="N387" s="118"/>
      <c r="O387" s="118"/>
      <c r="P387" s="118"/>
      <c r="Q387" s="118"/>
    </row>
    <row r="388" spans="2:17" ht="14.25" customHeight="1" x14ac:dyDescent="0.25">
      <c r="B388" s="23"/>
      <c r="D388" s="25"/>
      <c r="E388" s="25"/>
      <c r="M388" s="12"/>
      <c r="N388" s="118"/>
      <c r="O388" s="118"/>
      <c r="P388" s="118"/>
      <c r="Q388" s="118"/>
    </row>
    <row r="389" spans="2:17" ht="14.25" customHeight="1" x14ac:dyDescent="0.25">
      <c r="B389" s="23"/>
      <c r="D389" s="25"/>
      <c r="E389" s="25"/>
      <c r="M389" s="12"/>
      <c r="N389" s="118"/>
      <c r="O389" s="118"/>
      <c r="P389" s="118"/>
      <c r="Q389" s="118"/>
    </row>
    <row r="390" spans="2:17" ht="14.25" customHeight="1" x14ac:dyDescent="0.25">
      <c r="B390" s="23"/>
      <c r="D390" s="25"/>
      <c r="E390" s="25"/>
      <c r="M390" s="12"/>
      <c r="N390" s="118"/>
      <c r="O390" s="118"/>
      <c r="P390" s="118"/>
      <c r="Q390" s="118"/>
    </row>
    <row r="391" spans="2:17" ht="14.25" customHeight="1" x14ac:dyDescent="0.25">
      <c r="B391" s="23"/>
      <c r="D391" s="25"/>
      <c r="E391" s="25"/>
      <c r="M391" s="12"/>
      <c r="N391" s="118"/>
      <c r="O391" s="118"/>
      <c r="P391" s="118"/>
      <c r="Q391" s="118"/>
    </row>
    <row r="392" spans="2:17" ht="14.25" customHeight="1" x14ac:dyDescent="0.25">
      <c r="B392" s="23"/>
      <c r="D392" s="25"/>
      <c r="E392" s="25"/>
      <c r="M392" s="12"/>
      <c r="N392" s="118"/>
      <c r="O392" s="118"/>
      <c r="P392" s="118"/>
      <c r="Q392" s="118"/>
    </row>
    <row r="393" spans="2:17" ht="14.25" customHeight="1" x14ac:dyDescent="0.25">
      <c r="B393" s="23"/>
      <c r="D393" s="25"/>
      <c r="E393" s="25"/>
      <c r="M393" s="12"/>
      <c r="N393" s="118"/>
      <c r="O393" s="118"/>
      <c r="P393" s="118"/>
      <c r="Q393" s="118"/>
    </row>
    <row r="394" spans="2:17" ht="14.25" customHeight="1" x14ac:dyDescent="0.25">
      <c r="B394" s="23"/>
      <c r="D394" s="25"/>
      <c r="E394" s="25"/>
      <c r="M394" s="12"/>
      <c r="N394" s="118"/>
      <c r="O394" s="118"/>
      <c r="P394" s="118"/>
      <c r="Q394" s="118"/>
    </row>
    <row r="395" spans="2:17" ht="14.25" customHeight="1" x14ac:dyDescent="0.25">
      <c r="B395" s="23"/>
      <c r="D395" s="25"/>
      <c r="E395" s="25"/>
      <c r="M395" s="12"/>
      <c r="N395" s="118"/>
      <c r="O395" s="118"/>
      <c r="P395" s="118"/>
      <c r="Q395" s="118"/>
    </row>
    <row r="396" spans="2:17" ht="14.25" customHeight="1" x14ac:dyDescent="0.25">
      <c r="B396" s="23"/>
      <c r="D396" s="25"/>
      <c r="E396" s="25"/>
      <c r="M396" s="12"/>
      <c r="N396" s="118"/>
      <c r="O396" s="118"/>
      <c r="P396" s="118"/>
      <c r="Q396" s="118"/>
    </row>
    <row r="397" spans="2:17" ht="14.25" customHeight="1" x14ac:dyDescent="0.25">
      <c r="B397" s="23"/>
      <c r="D397" s="25"/>
      <c r="E397" s="25"/>
      <c r="M397" s="12"/>
      <c r="N397" s="118"/>
      <c r="O397" s="118"/>
      <c r="P397" s="118"/>
      <c r="Q397" s="118"/>
    </row>
    <row r="398" spans="2:17" ht="14.25" customHeight="1" x14ac:dyDescent="0.25">
      <c r="B398" s="23"/>
      <c r="D398" s="25"/>
      <c r="E398" s="25"/>
      <c r="M398" s="12"/>
      <c r="N398" s="118"/>
      <c r="O398" s="118"/>
      <c r="P398" s="118"/>
      <c r="Q398" s="118"/>
    </row>
    <row r="399" spans="2:17" ht="14.25" customHeight="1" x14ac:dyDescent="0.25">
      <c r="B399" s="23"/>
      <c r="D399" s="25"/>
      <c r="E399" s="25"/>
      <c r="M399" s="12"/>
      <c r="N399" s="118"/>
      <c r="O399" s="118"/>
      <c r="P399" s="118"/>
      <c r="Q399" s="118"/>
    </row>
    <row r="400" spans="2:17" ht="14.25" customHeight="1" x14ac:dyDescent="0.25">
      <c r="B400" s="23"/>
      <c r="D400" s="25"/>
      <c r="E400" s="25"/>
      <c r="M400" s="12"/>
      <c r="N400" s="118"/>
      <c r="O400" s="118"/>
      <c r="P400" s="118"/>
      <c r="Q400" s="118"/>
    </row>
    <row r="401" spans="2:17" ht="14.25" customHeight="1" x14ac:dyDescent="0.25">
      <c r="B401" s="23"/>
      <c r="D401" s="25"/>
      <c r="E401" s="25"/>
      <c r="M401" s="12"/>
      <c r="N401" s="118"/>
      <c r="O401" s="118"/>
      <c r="P401" s="118"/>
      <c r="Q401" s="118"/>
    </row>
    <row r="402" spans="2:17" ht="14.25" customHeight="1" x14ac:dyDescent="0.25">
      <c r="B402" s="23"/>
      <c r="D402" s="25"/>
      <c r="E402" s="25"/>
      <c r="M402" s="12"/>
      <c r="N402" s="118"/>
      <c r="O402" s="118"/>
      <c r="P402" s="118"/>
      <c r="Q402" s="118"/>
    </row>
    <row r="403" spans="2:17" ht="14.25" customHeight="1" x14ac:dyDescent="0.25">
      <c r="B403" s="23"/>
      <c r="D403" s="25"/>
      <c r="E403" s="25"/>
      <c r="M403" s="12"/>
      <c r="N403" s="118"/>
      <c r="O403" s="118"/>
      <c r="P403" s="118"/>
      <c r="Q403" s="118"/>
    </row>
    <row r="404" spans="2:17" ht="14.25" customHeight="1" x14ac:dyDescent="0.25">
      <c r="B404" s="23"/>
      <c r="D404" s="25"/>
      <c r="E404" s="25"/>
      <c r="M404" s="12"/>
      <c r="N404" s="118"/>
      <c r="O404" s="118"/>
      <c r="P404" s="118"/>
      <c r="Q404" s="118"/>
    </row>
    <row r="405" spans="2:17" ht="14.25" customHeight="1" x14ac:dyDescent="0.25">
      <c r="B405" s="23"/>
      <c r="D405" s="25"/>
      <c r="E405" s="25"/>
      <c r="M405" s="12"/>
      <c r="N405" s="118"/>
      <c r="O405" s="118"/>
      <c r="P405" s="118"/>
      <c r="Q405" s="118"/>
    </row>
    <row r="406" spans="2:17" ht="14.25" customHeight="1" x14ac:dyDescent="0.25">
      <c r="B406" s="23"/>
      <c r="D406" s="25"/>
      <c r="E406" s="25"/>
      <c r="M406" s="12"/>
      <c r="N406" s="118"/>
      <c r="O406" s="118"/>
      <c r="P406" s="118"/>
      <c r="Q406" s="118"/>
    </row>
    <row r="407" spans="2:17" ht="14.25" customHeight="1" x14ac:dyDescent="0.25">
      <c r="B407" s="23"/>
      <c r="D407" s="25"/>
      <c r="E407" s="25"/>
      <c r="M407" s="12"/>
      <c r="N407" s="118"/>
      <c r="O407" s="118"/>
      <c r="P407" s="118"/>
      <c r="Q407" s="118"/>
    </row>
    <row r="408" spans="2:17" ht="14.25" customHeight="1" x14ac:dyDescent="0.25">
      <c r="B408" s="23"/>
      <c r="D408" s="25"/>
      <c r="E408" s="25"/>
      <c r="M408" s="12"/>
      <c r="N408" s="118"/>
      <c r="O408" s="118"/>
      <c r="P408" s="118"/>
      <c r="Q408" s="118"/>
    </row>
    <row r="409" spans="2:17" ht="14.25" customHeight="1" x14ac:dyDescent="0.25">
      <c r="B409" s="23"/>
      <c r="D409" s="25"/>
      <c r="E409" s="25"/>
      <c r="M409" s="12"/>
      <c r="N409" s="118"/>
      <c r="O409" s="118"/>
      <c r="P409" s="118"/>
      <c r="Q409" s="118"/>
    </row>
    <row r="410" spans="2:17" ht="14.25" customHeight="1" x14ac:dyDescent="0.25">
      <c r="B410" s="23"/>
      <c r="D410" s="25"/>
      <c r="E410" s="25"/>
      <c r="M410" s="12"/>
      <c r="N410" s="118"/>
      <c r="O410" s="118"/>
      <c r="P410" s="118"/>
      <c r="Q410" s="118"/>
    </row>
    <row r="411" spans="2:17" ht="14.25" customHeight="1" x14ac:dyDescent="0.25">
      <c r="B411" s="23"/>
      <c r="D411" s="25"/>
      <c r="E411" s="25"/>
      <c r="M411" s="12"/>
      <c r="N411" s="118"/>
      <c r="O411" s="118"/>
      <c r="P411" s="118"/>
      <c r="Q411" s="118"/>
    </row>
    <row r="412" spans="2:17" ht="14.25" customHeight="1" x14ac:dyDescent="0.25">
      <c r="B412" s="23"/>
      <c r="D412" s="25"/>
      <c r="E412" s="25"/>
      <c r="M412" s="12"/>
      <c r="N412" s="118"/>
      <c r="O412" s="118"/>
      <c r="P412" s="118"/>
      <c r="Q412" s="118"/>
    </row>
    <row r="413" spans="2:17" ht="14.25" customHeight="1" x14ac:dyDescent="0.25">
      <c r="B413" s="23"/>
      <c r="D413" s="25"/>
      <c r="E413" s="25"/>
      <c r="M413" s="12"/>
      <c r="N413" s="118"/>
      <c r="O413" s="118"/>
      <c r="P413" s="118"/>
      <c r="Q413" s="118"/>
    </row>
    <row r="414" spans="2:17" ht="14.25" customHeight="1" x14ac:dyDescent="0.25">
      <c r="B414" s="23"/>
      <c r="D414" s="25"/>
      <c r="E414" s="25"/>
      <c r="M414" s="12"/>
      <c r="N414" s="118"/>
      <c r="O414" s="118"/>
      <c r="P414" s="118"/>
      <c r="Q414" s="118"/>
    </row>
    <row r="415" spans="2:17" ht="14.25" customHeight="1" x14ac:dyDescent="0.25">
      <c r="B415" s="23"/>
      <c r="D415" s="25"/>
      <c r="E415" s="25"/>
      <c r="M415" s="12"/>
      <c r="N415" s="118"/>
      <c r="O415" s="118"/>
      <c r="P415" s="118"/>
      <c r="Q415" s="118"/>
    </row>
    <row r="416" spans="2:17" ht="14.25" customHeight="1" x14ac:dyDescent="0.25">
      <c r="B416" s="23"/>
      <c r="D416" s="25"/>
      <c r="E416" s="25"/>
      <c r="M416" s="12"/>
      <c r="N416" s="118"/>
      <c r="O416" s="118"/>
      <c r="P416" s="118"/>
      <c r="Q416" s="118"/>
    </row>
    <row r="417" spans="2:17" ht="14.25" customHeight="1" x14ac:dyDescent="0.25">
      <c r="B417" s="23"/>
      <c r="D417" s="25"/>
      <c r="E417" s="25"/>
      <c r="M417" s="12"/>
      <c r="N417" s="118"/>
      <c r="O417" s="118"/>
      <c r="P417" s="118"/>
      <c r="Q417" s="118"/>
    </row>
    <row r="418" spans="2:17" ht="14.25" customHeight="1" x14ac:dyDescent="0.25">
      <c r="B418" s="23"/>
      <c r="D418" s="25"/>
      <c r="E418" s="25"/>
      <c r="M418" s="12"/>
      <c r="N418" s="118"/>
      <c r="O418" s="118"/>
      <c r="P418" s="118"/>
      <c r="Q418" s="118"/>
    </row>
    <row r="419" spans="2:17" ht="14.25" customHeight="1" x14ac:dyDescent="0.25">
      <c r="B419" s="23"/>
      <c r="D419" s="25"/>
      <c r="E419" s="25"/>
      <c r="M419" s="12"/>
      <c r="N419" s="118"/>
      <c r="O419" s="118"/>
      <c r="P419" s="118"/>
      <c r="Q419" s="118"/>
    </row>
    <row r="420" spans="2:17" ht="14.25" customHeight="1" x14ac:dyDescent="0.25">
      <c r="B420" s="23"/>
      <c r="D420" s="25"/>
      <c r="E420" s="25"/>
      <c r="M420" s="12"/>
      <c r="N420" s="118"/>
      <c r="O420" s="118"/>
      <c r="P420" s="118"/>
      <c r="Q420" s="118"/>
    </row>
    <row r="421" spans="2:17" ht="14.25" customHeight="1" x14ac:dyDescent="0.25">
      <c r="B421" s="23"/>
      <c r="D421" s="25"/>
      <c r="E421" s="25"/>
      <c r="M421" s="12"/>
      <c r="N421" s="118"/>
      <c r="O421" s="118"/>
      <c r="P421" s="118"/>
      <c r="Q421" s="118"/>
    </row>
    <row r="422" spans="2:17" ht="14.25" customHeight="1" x14ac:dyDescent="0.25">
      <c r="B422" s="23"/>
      <c r="D422" s="25"/>
      <c r="E422" s="25"/>
      <c r="M422" s="12"/>
      <c r="N422" s="118"/>
      <c r="O422" s="118"/>
      <c r="P422" s="118"/>
      <c r="Q422" s="118"/>
    </row>
    <row r="423" spans="2:17" ht="14.25" customHeight="1" x14ac:dyDescent="0.25">
      <c r="B423" s="23"/>
      <c r="D423" s="25"/>
      <c r="E423" s="25"/>
      <c r="M423" s="12"/>
      <c r="N423" s="118"/>
      <c r="O423" s="118"/>
      <c r="P423" s="118"/>
      <c r="Q423" s="118"/>
    </row>
    <row r="424" spans="2:17" ht="14.25" customHeight="1" x14ac:dyDescent="0.25">
      <c r="B424" s="23"/>
      <c r="D424" s="25"/>
      <c r="E424" s="25"/>
      <c r="M424" s="12"/>
      <c r="N424" s="118"/>
      <c r="O424" s="118"/>
      <c r="P424" s="118"/>
      <c r="Q424" s="118"/>
    </row>
    <row r="425" spans="2:17" ht="14.25" customHeight="1" x14ac:dyDescent="0.25">
      <c r="B425" s="23"/>
      <c r="D425" s="25"/>
      <c r="E425" s="25"/>
      <c r="M425" s="12"/>
      <c r="N425" s="118"/>
      <c r="O425" s="118"/>
      <c r="P425" s="118"/>
      <c r="Q425" s="118"/>
    </row>
    <row r="426" spans="2:17" ht="14.25" customHeight="1" x14ac:dyDescent="0.25">
      <c r="B426" s="23"/>
      <c r="D426" s="25"/>
      <c r="E426" s="25"/>
      <c r="M426" s="12"/>
      <c r="N426" s="118"/>
      <c r="O426" s="118"/>
      <c r="P426" s="118"/>
      <c r="Q426" s="118"/>
    </row>
    <row r="427" spans="2:17" ht="14.25" customHeight="1" x14ac:dyDescent="0.25">
      <c r="B427" s="23"/>
      <c r="D427" s="25"/>
      <c r="E427" s="25"/>
      <c r="M427" s="12"/>
      <c r="N427" s="118"/>
      <c r="O427" s="118"/>
      <c r="P427" s="118"/>
      <c r="Q427" s="118"/>
    </row>
    <row r="428" spans="2:17" ht="14.25" customHeight="1" x14ac:dyDescent="0.25">
      <c r="B428" s="23"/>
      <c r="D428" s="25"/>
      <c r="E428" s="25"/>
      <c r="M428" s="12"/>
      <c r="N428" s="118"/>
      <c r="O428" s="118"/>
      <c r="P428" s="118"/>
      <c r="Q428" s="118"/>
    </row>
    <row r="429" spans="2:17" ht="14.25" customHeight="1" x14ac:dyDescent="0.25">
      <c r="B429" s="23"/>
      <c r="D429" s="25"/>
      <c r="E429" s="25"/>
      <c r="M429" s="12"/>
      <c r="N429" s="118"/>
      <c r="O429" s="118"/>
      <c r="P429" s="118"/>
      <c r="Q429" s="118"/>
    </row>
    <row r="430" spans="2:17" ht="14.25" customHeight="1" x14ac:dyDescent="0.25">
      <c r="B430" s="23"/>
      <c r="D430" s="25"/>
      <c r="E430" s="25"/>
      <c r="M430" s="12"/>
      <c r="N430" s="118"/>
      <c r="O430" s="118"/>
      <c r="P430" s="118"/>
      <c r="Q430" s="118"/>
    </row>
    <row r="431" spans="2:17" ht="14.25" customHeight="1" x14ac:dyDescent="0.25">
      <c r="B431" s="23"/>
      <c r="D431" s="25"/>
      <c r="E431" s="25"/>
      <c r="M431" s="12"/>
      <c r="N431" s="118"/>
      <c r="O431" s="118"/>
      <c r="P431" s="118"/>
      <c r="Q431" s="118"/>
    </row>
    <row r="432" spans="2:17" ht="14.25" customHeight="1" x14ac:dyDescent="0.25">
      <c r="B432" s="23"/>
      <c r="D432" s="25"/>
      <c r="E432" s="25"/>
      <c r="M432" s="12"/>
      <c r="N432" s="118"/>
      <c r="O432" s="118"/>
      <c r="P432" s="118"/>
      <c r="Q432" s="118"/>
    </row>
    <row r="433" spans="2:17" ht="14.25" customHeight="1" x14ac:dyDescent="0.25">
      <c r="B433" s="23"/>
      <c r="D433" s="25"/>
      <c r="E433" s="25"/>
      <c r="M433" s="12"/>
      <c r="N433" s="118"/>
      <c r="O433" s="118"/>
      <c r="P433" s="118"/>
      <c r="Q433" s="118"/>
    </row>
    <row r="434" spans="2:17" ht="14.25" customHeight="1" x14ac:dyDescent="0.25">
      <c r="B434" s="23"/>
      <c r="D434" s="25"/>
      <c r="E434" s="25"/>
      <c r="M434" s="12"/>
      <c r="N434" s="118"/>
      <c r="O434" s="118"/>
      <c r="P434" s="118"/>
      <c r="Q434" s="118"/>
    </row>
    <row r="435" spans="2:17" ht="14.25" customHeight="1" x14ac:dyDescent="0.25">
      <c r="B435" s="23"/>
      <c r="D435" s="25"/>
      <c r="E435" s="25"/>
      <c r="M435" s="12"/>
      <c r="N435" s="118"/>
      <c r="O435" s="118"/>
      <c r="P435" s="118"/>
      <c r="Q435" s="118"/>
    </row>
    <row r="436" spans="2:17" ht="14.25" customHeight="1" x14ac:dyDescent="0.25">
      <c r="B436" s="23"/>
      <c r="D436" s="25"/>
      <c r="E436" s="25"/>
      <c r="M436" s="12"/>
      <c r="N436" s="118"/>
      <c r="O436" s="118"/>
      <c r="P436" s="118"/>
      <c r="Q436" s="118"/>
    </row>
    <row r="437" spans="2:17" ht="14.25" customHeight="1" x14ac:dyDescent="0.25">
      <c r="B437" s="23"/>
      <c r="D437" s="25"/>
      <c r="E437" s="25"/>
      <c r="M437" s="12"/>
      <c r="N437" s="118"/>
      <c r="O437" s="118"/>
      <c r="P437" s="118"/>
      <c r="Q437" s="118"/>
    </row>
    <row r="438" spans="2:17" ht="14.25" customHeight="1" x14ac:dyDescent="0.25">
      <c r="B438" s="23"/>
      <c r="D438" s="25"/>
      <c r="E438" s="25"/>
      <c r="M438" s="12"/>
      <c r="N438" s="118"/>
      <c r="O438" s="118"/>
      <c r="P438" s="118"/>
      <c r="Q438" s="118"/>
    </row>
    <row r="439" spans="2:17" ht="14.25" customHeight="1" x14ac:dyDescent="0.25">
      <c r="B439" s="23"/>
      <c r="D439" s="25"/>
      <c r="E439" s="25"/>
      <c r="M439" s="12"/>
      <c r="N439" s="118"/>
      <c r="O439" s="118"/>
      <c r="P439" s="118"/>
      <c r="Q439" s="118"/>
    </row>
    <row r="440" spans="2:17" ht="14.25" customHeight="1" x14ac:dyDescent="0.25">
      <c r="B440" s="23"/>
      <c r="D440" s="25"/>
      <c r="E440" s="25"/>
      <c r="M440" s="12"/>
      <c r="N440" s="118"/>
      <c r="O440" s="118"/>
      <c r="P440" s="118"/>
      <c r="Q440" s="118"/>
    </row>
    <row r="441" spans="2:17" ht="14.25" customHeight="1" x14ac:dyDescent="0.25">
      <c r="B441" s="23"/>
      <c r="D441" s="25"/>
      <c r="E441" s="25"/>
      <c r="M441" s="12"/>
      <c r="N441" s="118"/>
      <c r="O441" s="118"/>
      <c r="P441" s="118"/>
      <c r="Q441" s="118"/>
    </row>
    <row r="442" spans="2:17" ht="14.25" customHeight="1" x14ac:dyDescent="0.25">
      <c r="B442" s="23"/>
      <c r="D442" s="25"/>
      <c r="E442" s="25"/>
      <c r="M442" s="12"/>
      <c r="N442" s="118"/>
      <c r="O442" s="118"/>
      <c r="P442" s="118"/>
      <c r="Q442" s="118"/>
    </row>
    <row r="443" spans="2:17" ht="14.25" customHeight="1" x14ac:dyDescent="0.25">
      <c r="B443" s="23"/>
      <c r="D443" s="25"/>
      <c r="E443" s="25"/>
      <c r="M443" s="12"/>
      <c r="N443" s="118"/>
      <c r="O443" s="118"/>
      <c r="P443" s="118"/>
      <c r="Q443" s="118"/>
    </row>
    <row r="444" spans="2:17" ht="14.25" customHeight="1" x14ac:dyDescent="0.25">
      <c r="B444" s="23"/>
      <c r="D444" s="25"/>
      <c r="E444" s="25"/>
      <c r="M444" s="12"/>
      <c r="N444" s="118"/>
      <c r="O444" s="118"/>
      <c r="P444" s="118"/>
      <c r="Q444" s="118"/>
    </row>
    <row r="445" spans="2:17" ht="14.25" customHeight="1" x14ac:dyDescent="0.25">
      <c r="B445" s="23"/>
      <c r="D445" s="25"/>
      <c r="E445" s="25"/>
      <c r="M445" s="12"/>
      <c r="N445" s="118"/>
      <c r="O445" s="118"/>
      <c r="P445" s="118"/>
      <c r="Q445" s="118"/>
    </row>
    <row r="446" spans="2:17" ht="14.25" customHeight="1" x14ac:dyDescent="0.25">
      <c r="B446" s="23"/>
      <c r="D446" s="25"/>
      <c r="E446" s="25"/>
      <c r="M446" s="12"/>
      <c r="N446" s="118"/>
      <c r="O446" s="118"/>
      <c r="P446" s="118"/>
      <c r="Q446" s="118"/>
    </row>
    <row r="447" spans="2:17" ht="14.25" customHeight="1" x14ac:dyDescent="0.25">
      <c r="B447" s="23"/>
      <c r="D447" s="25"/>
      <c r="E447" s="25"/>
      <c r="M447" s="12"/>
      <c r="N447" s="118"/>
      <c r="O447" s="118"/>
      <c r="P447" s="118"/>
      <c r="Q447" s="118"/>
    </row>
    <row r="448" spans="2:17" ht="14.25" customHeight="1" x14ac:dyDescent="0.25">
      <c r="B448" s="23"/>
      <c r="D448" s="25"/>
      <c r="E448" s="25"/>
      <c r="M448" s="12"/>
      <c r="N448" s="118"/>
      <c r="O448" s="118"/>
      <c r="P448" s="118"/>
      <c r="Q448" s="118"/>
    </row>
    <row r="449" spans="2:17" ht="14.25" customHeight="1" x14ac:dyDescent="0.25">
      <c r="B449" s="23"/>
      <c r="D449" s="25"/>
      <c r="E449" s="25"/>
      <c r="M449" s="12"/>
      <c r="N449" s="118"/>
      <c r="O449" s="118"/>
      <c r="P449" s="118"/>
      <c r="Q449" s="118"/>
    </row>
    <row r="450" spans="2:17" ht="14.25" customHeight="1" x14ac:dyDescent="0.25">
      <c r="B450" s="23"/>
      <c r="D450" s="25"/>
      <c r="E450" s="25"/>
      <c r="M450" s="12"/>
      <c r="N450" s="118"/>
      <c r="O450" s="118"/>
      <c r="P450" s="118"/>
      <c r="Q450" s="118"/>
    </row>
    <row r="451" spans="2:17" ht="14.25" customHeight="1" x14ac:dyDescent="0.25">
      <c r="B451" s="23"/>
      <c r="D451" s="25"/>
      <c r="E451" s="25"/>
      <c r="M451" s="12"/>
      <c r="N451" s="118"/>
      <c r="O451" s="118"/>
      <c r="P451" s="118"/>
      <c r="Q451" s="118"/>
    </row>
    <row r="452" spans="2:17" ht="14.25" customHeight="1" x14ac:dyDescent="0.25">
      <c r="B452" s="23"/>
      <c r="D452" s="25"/>
      <c r="E452" s="25"/>
      <c r="M452" s="12"/>
      <c r="N452" s="118"/>
      <c r="O452" s="118"/>
      <c r="P452" s="118"/>
      <c r="Q452" s="118"/>
    </row>
    <row r="453" spans="2:17" ht="14.25" customHeight="1" x14ac:dyDescent="0.25">
      <c r="B453" s="23"/>
      <c r="D453" s="25"/>
      <c r="E453" s="25"/>
      <c r="M453" s="12"/>
      <c r="N453" s="118"/>
      <c r="O453" s="118"/>
      <c r="P453" s="118"/>
      <c r="Q453" s="118"/>
    </row>
    <row r="454" spans="2:17" ht="14.25" customHeight="1" x14ac:dyDescent="0.25">
      <c r="B454" s="23"/>
      <c r="D454" s="25"/>
      <c r="E454" s="25"/>
      <c r="M454" s="12"/>
      <c r="N454" s="118"/>
      <c r="O454" s="118"/>
      <c r="P454" s="118"/>
      <c r="Q454" s="118"/>
    </row>
    <row r="455" spans="2:17" ht="14.25" customHeight="1" x14ac:dyDescent="0.25">
      <c r="B455" s="23"/>
      <c r="D455" s="25"/>
      <c r="E455" s="25"/>
      <c r="M455" s="12"/>
      <c r="N455" s="118"/>
      <c r="O455" s="118"/>
      <c r="P455" s="118"/>
      <c r="Q455" s="118"/>
    </row>
    <row r="456" spans="2:17" ht="14.25" customHeight="1" x14ac:dyDescent="0.25">
      <c r="B456" s="23"/>
      <c r="D456" s="25"/>
      <c r="E456" s="25"/>
      <c r="M456" s="12"/>
      <c r="N456" s="118"/>
      <c r="O456" s="118"/>
      <c r="P456" s="118"/>
      <c r="Q456" s="118"/>
    </row>
    <row r="457" spans="2:17" ht="14.25" customHeight="1" x14ac:dyDescent="0.25">
      <c r="B457" s="23"/>
      <c r="D457" s="25"/>
      <c r="E457" s="25"/>
      <c r="M457" s="12"/>
      <c r="N457" s="118"/>
      <c r="O457" s="118"/>
      <c r="P457" s="118"/>
      <c r="Q457" s="118"/>
    </row>
    <row r="458" spans="2:17" ht="14.25" customHeight="1" x14ac:dyDescent="0.25">
      <c r="B458" s="23"/>
      <c r="D458" s="25"/>
      <c r="E458" s="25"/>
      <c r="M458" s="12"/>
      <c r="N458" s="118"/>
      <c r="O458" s="118"/>
      <c r="P458" s="118"/>
      <c r="Q458" s="118"/>
    </row>
    <row r="459" spans="2:17" ht="14.25" customHeight="1" x14ac:dyDescent="0.25">
      <c r="B459" s="23"/>
      <c r="D459" s="25"/>
      <c r="E459" s="25"/>
      <c r="M459" s="12"/>
      <c r="N459" s="118"/>
      <c r="O459" s="118"/>
      <c r="P459" s="118"/>
      <c r="Q459" s="118"/>
    </row>
    <row r="460" spans="2:17" ht="14.25" customHeight="1" x14ac:dyDescent="0.25">
      <c r="B460" s="23"/>
      <c r="D460" s="25"/>
      <c r="E460" s="25"/>
      <c r="M460" s="12"/>
      <c r="N460" s="118"/>
      <c r="O460" s="118"/>
      <c r="P460" s="118"/>
      <c r="Q460" s="118"/>
    </row>
    <row r="461" spans="2:17" ht="14.25" customHeight="1" x14ac:dyDescent="0.25">
      <c r="B461" s="23"/>
      <c r="D461" s="25"/>
      <c r="E461" s="25"/>
      <c r="M461" s="12"/>
      <c r="N461" s="118"/>
      <c r="O461" s="118"/>
      <c r="P461" s="118"/>
      <c r="Q461" s="118"/>
    </row>
    <row r="462" spans="2:17" ht="14.25" customHeight="1" x14ac:dyDescent="0.25">
      <c r="B462" s="23"/>
      <c r="D462" s="25"/>
      <c r="E462" s="25"/>
      <c r="M462" s="12"/>
      <c r="N462" s="118"/>
      <c r="O462" s="118"/>
      <c r="P462" s="118"/>
      <c r="Q462" s="118"/>
    </row>
    <row r="463" spans="2:17" ht="14.25" customHeight="1" x14ac:dyDescent="0.25">
      <c r="B463" s="23"/>
      <c r="D463" s="25"/>
      <c r="E463" s="25"/>
      <c r="M463" s="12"/>
      <c r="N463" s="118"/>
      <c r="O463" s="118"/>
      <c r="P463" s="118"/>
      <c r="Q463" s="118"/>
    </row>
    <row r="464" spans="2:17" ht="14.25" customHeight="1" x14ac:dyDescent="0.25">
      <c r="B464" s="23"/>
      <c r="D464" s="25"/>
      <c r="E464" s="25"/>
      <c r="M464" s="12"/>
      <c r="N464" s="118"/>
      <c r="O464" s="118"/>
      <c r="P464" s="118"/>
      <c r="Q464" s="118"/>
    </row>
    <row r="465" spans="2:17" ht="14.25" customHeight="1" x14ac:dyDescent="0.25">
      <c r="B465" s="23"/>
      <c r="D465" s="25"/>
      <c r="E465" s="25"/>
      <c r="M465" s="12"/>
      <c r="N465" s="118"/>
      <c r="O465" s="118"/>
      <c r="P465" s="118"/>
      <c r="Q465" s="118"/>
    </row>
    <row r="466" spans="2:17" ht="14.25" customHeight="1" x14ac:dyDescent="0.25">
      <c r="B466" s="23"/>
      <c r="D466" s="25"/>
      <c r="E466" s="25"/>
      <c r="M466" s="12"/>
      <c r="N466" s="118"/>
      <c r="O466" s="118"/>
      <c r="P466" s="118"/>
      <c r="Q466" s="118"/>
    </row>
    <row r="467" spans="2:17" ht="14.25" customHeight="1" x14ac:dyDescent="0.25">
      <c r="B467" s="23"/>
      <c r="D467" s="25"/>
      <c r="E467" s="25"/>
      <c r="M467" s="12"/>
      <c r="N467" s="118"/>
      <c r="O467" s="118"/>
      <c r="P467" s="118"/>
      <c r="Q467" s="118"/>
    </row>
    <row r="468" spans="2:17" ht="14.25" customHeight="1" x14ac:dyDescent="0.25">
      <c r="B468" s="23"/>
      <c r="D468" s="25"/>
      <c r="E468" s="25"/>
      <c r="M468" s="12"/>
      <c r="N468" s="118"/>
      <c r="O468" s="118"/>
      <c r="P468" s="118"/>
      <c r="Q468" s="118"/>
    </row>
    <row r="469" spans="2:17" ht="14.25" customHeight="1" x14ac:dyDescent="0.25">
      <c r="B469" s="23"/>
      <c r="D469" s="25"/>
      <c r="E469" s="25"/>
      <c r="M469" s="12"/>
      <c r="N469" s="118"/>
      <c r="O469" s="118"/>
      <c r="P469" s="118"/>
      <c r="Q469" s="118"/>
    </row>
    <row r="470" spans="2:17" ht="14.25" customHeight="1" x14ac:dyDescent="0.25">
      <c r="B470" s="23"/>
      <c r="D470" s="25"/>
      <c r="E470" s="25"/>
      <c r="M470" s="12"/>
      <c r="N470" s="118"/>
      <c r="O470" s="118"/>
      <c r="P470" s="118"/>
      <c r="Q470" s="118"/>
    </row>
    <row r="471" spans="2:17" ht="14.25" customHeight="1" x14ac:dyDescent="0.25">
      <c r="B471" s="23"/>
      <c r="D471" s="25"/>
      <c r="E471" s="25"/>
      <c r="M471" s="12"/>
      <c r="N471" s="118"/>
      <c r="O471" s="118"/>
      <c r="P471" s="118"/>
      <c r="Q471" s="118"/>
    </row>
    <row r="472" spans="2:17" ht="14.25" customHeight="1" x14ac:dyDescent="0.25">
      <c r="B472" s="23"/>
      <c r="D472" s="25"/>
      <c r="E472" s="25"/>
      <c r="M472" s="12"/>
      <c r="N472" s="118"/>
      <c r="O472" s="118"/>
      <c r="P472" s="118"/>
      <c r="Q472" s="118"/>
    </row>
    <row r="473" spans="2:17" ht="14.25" customHeight="1" x14ac:dyDescent="0.25">
      <c r="B473" s="23"/>
      <c r="D473" s="25"/>
      <c r="E473" s="25"/>
      <c r="M473" s="12"/>
      <c r="N473" s="118"/>
      <c r="O473" s="118"/>
      <c r="P473" s="118"/>
      <c r="Q473" s="118"/>
    </row>
    <row r="474" spans="2:17" ht="14.25" customHeight="1" x14ac:dyDescent="0.25">
      <c r="B474" s="23"/>
      <c r="D474" s="25"/>
      <c r="E474" s="25"/>
      <c r="M474" s="12"/>
      <c r="N474" s="118"/>
      <c r="O474" s="118"/>
      <c r="P474" s="118"/>
      <c r="Q474" s="118"/>
    </row>
    <row r="475" spans="2:17" ht="14.25" customHeight="1" x14ac:dyDescent="0.25">
      <c r="B475" s="23"/>
      <c r="D475" s="25"/>
      <c r="E475" s="25"/>
      <c r="M475" s="12"/>
      <c r="N475" s="118"/>
      <c r="O475" s="118"/>
      <c r="P475" s="118"/>
      <c r="Q475" s="118"/>
    </row>
    <row r="476" spans="2:17" ht="14.25" customHeight="1" x14ac:dyDescent="0.25">
      <c r="B476" s="23"/>
      <c r="D476" s="25"/>
      <c r="E476" s="25"/>
      <c r="M476" s="12"/>
      <c r="N476" s="118"/>
      <c r="O476" s="118"/>
      <c r="P476" s="118"/>
      <c r="Q476" s="118"/>
    </row>
    <row r="477" spans="2:17" ht="14.25" customHeight="1" x14ac:dyDescent="0.25">
      <c r="B477" s="23"/>
      <c r="D477" s="25"/>
      <c r="E477" s="25"/>
      <c r="M477" s="12"/>
      <c r="N477" s="118"/>
      <c r="O477" s="118"/>
      <c r="P477" s="118"/>
      <c r="Q477" s="118"/>
    </row>
    <row r="478" spans="2:17" ht="14.25" customHeight="1" x14ac:dyDescent="0.25">
      <c r="B478" s="23"/>
      <c r="D478" s="25"/>
      <c r="E478" s="25"/>
      <c r="M478" s="12"/>
      <c r="N478" s="118"/>
      <c r="O478" s="118"/>
      <c r="P478" s="118"/>
      <c r="Q478" s="118"/>
    </row>
    <row r="479" spans="2:17" ht="14.25" customHeight="1" x14ac:dyDescent="0.25">
      <c r="B479" s="23"/>
      <c r="D479" s="25"/>
      <c r="E479" s="25"/>
      <c r="M479" s="12"/>
      <c r="N479" s="118"/>
      <c r="O479" s="118"/>
      <c r="P479" s="118"/>
      <c r="Q479" s="118"/>
    </row>
    <row r="480" spans="2:17" ht="14.25" customHeight="1" x14ac:dyDescent="0.25">
      <c r="B480" s="23"/>
      <c r="D480" s="25"/>
      <c r="E480" s="25"/>
      <c r="M480" s="12"/>
      <c r="N480" s="118"/>
      <c r="O480" s="118"/>
      <c r="P480" s="118"/>
      <c r="Q480" s="118"/>
    </row>
    <row r="481" spans="2:17" ht="14.25" customHeight="1" x14ac:dyDescent="0.25">
      <c r="B481" s="23"/>
      <c r="D481" s="25"/>
      <c r="E481" s="25"/>
      <c r="M481" s="12"/>
      <c r="N481" s="118"/>
      <c r="O481" s="118"/>
      <c r="P481" s="118"/>
      <c r="Q481" s="118"/>
    </row>
    <row r="482" spans="2:17" ht="14.25" customHeight="1" x14ac:dyDescent="0.25">
      <c r="B482" s="23"/>
      <c r="D482" s="25"/>
      <c r="E482" s="25"/>
      <c r="M482" s="12"/>
      <c r="N482" s="118"/>
      <c r="O482" s="118"/>
      <c r="P482" s="118"/>
      <c r="Q482" s="118"/>
    </row>
    <row r="483" spans="2:17" ht="14.25" customHeight="1" x14ac:dyDescent="0.25">
      <c r="B483" s="23"/>
      <c r="D483" s="25"/>
      <c r="E483" s="25"/>
      <c r="M483" s="12"/>
      <c r="N483" s="118"/>
      <c r="O483" s="118"/>
      <c r="P483" s="118"/>
      <c r="Q483" s="118"/>
    </row>
    <row r="484" spans="2:17" ht="14.25" customHeight="1" x14ac:dyDescent="0.25">
      <c r="B484" s="23"/>
      <c r="D484" s="25"/>
      <c r="E484" s="25"/>
      <c r="M484" s="12"/>
      <c r="N484" s="118"/>
      <c r="O484" s="118"/>
      <c r="P484" s="118"/>
      <c r="Q484" s="118"/>
    </row>
    <row r="485" spans="2:17" ht="14.25" customHeight="1" x14ac:dyDescent="0.25">
      <c r="B485" s="23"/>
      <c r="D485" s="25"/>
      <c r="E485" s="25"/>
      <c r="M485" s="12"/>
      <c r="N485" s="118"/>
      <c r="O485" s="118"/>
      <c r="P485" s="118"/>
      <c r="Q485" s="118"/>
    </row>
    <row r="486" spans="2:17" ht="14.25" customHeight="1" x14ac:dyDescent="0.25">
      <c r="B486" s="23"/>
      <c r="D486" s="25"/>
      <c r="E486" s="25"/>
      <c r="M486" s="12"/>
      <c r="N486" s="118"/>
      <c r="O486" s="118"/>
      <c r="P486" s="118"/>
      <c r="Q486" s="118"/>
    </row>
    <row r="487" spans="2:17" ht="14.25" customHeight="1" x14ac:dyDescent="0.25">
      <c r="B487" s="23"/>
      <c r="D487" s="25"/>
      <c r="E487" s="25"/>
      <c r="M487" s="12"/>
      <c r="N487" s="118"/>
      <c r="O487" s="118"/>
      <c r="P487" s="118"/>
      <c r="Q487" s="118"/>
    </row>
    <row r="488" spans="2:17" ht="14.25" customHeight="1" x14ac:dyDescent="0.25">
      <c r="B488" s="23"/>
      <c r="D488" s="25"/>
      <c r="E488" s="25"/>
      <c r="M488" s="12"/>
      <c r="N488" s="118"/>
      <c r="O488" s="118"/>
      <c r="P488" s="118"/>
      <c r="Q488" s="118"/>
    </row>
    <row r="489" spans="2:17" ht="14.25" customHeight="1" x14ac:dyDescent="0.25">
      <c r="B489" s="23"/>
      <c r="D489" s="25"/>
      <c r="E489" s="25"/>
      <c r="M489" s="12"/>
      <c r="N489" s="118"/>
      <c r="O489" s="118"/>
      <c r="P489" s="118"/>
      <c r="Q489" s="118"/>
    </row>
    <row r="490" spans="2:17" ht="14.25" customHeight="1" x14ac:dyDescent="0.25">
      <c r="B490" s="23"/>
      <c r="D490" s="25"/>
      <c r="E490" s="25"/>
      <c r="M490" s="12"/>
      <c r="N490" s="118"/>
      <c r="O490" s="118"/>
      <c r="P490" s="118"/>
      <c r="Q490" s="118"/>
    </row>
    <row r="491" spans="2:17" ht="14.25" customHeight="1" x14ac:dyDescent="0.25">
      <c r="B491" s="23"/>
      <c r="D491" s="25"/>
      <c r="E491" s="25"/>
      <c r="M491" s="12"/>
      <c r="N491" s="118"/>
      <c r="O491" s="118"/>
      <c r="P491" s="118"/>
      <c r="Q491" s="118"/>
    </row>
    <row r="492" spans="2:17" ht="14.25" customHeight="1" x14ac:dyDescent="0.25">
      <c r="B492" s="23"/>
      <c r="D492" s="25"/>
      <c r="E492" s="25"/>
      <c r="M492" s="12"/>
      <c r="N492" s="118"/>
      <c r="O492" s="118"/>
      <c r="P492" s="118"/>
      <c r="Q492" s="118"/>
    </row>
    <row r="493" spans="2:17" ht="14.25" customHeight="1" x14ac:dyDescent="0.25">
      <c r="B493" s="23"/>
      <c r="D493" s="25"/>
      <c r="E493" s="25"/>
      <c r="M493" s="12"/>
      <c r="N493" s="118"/>
      <c r="O493" s="118"/>
      <c r="P493" s="118"/>
      <c r="Q493" s="118"/>
    </row>
    <row r="494" spans="2:17" ht="14.25" customHeight="1" x14ac:dyDescent="0.25">
      <c r="B494" s="23"/>
      <c r="D494" s="25"/>
      <c r="E494" s="25"/>
      <c r="M494" s="12"/>
      <c r="N494" s="118"/>
      <c r="O494" s="118"/>
      <c r="P494" s="118"/>
      <c r="Q494" s="118"/>
    </row>
    <row r="495" spans="2:17" ht="14.25" customHeight="1" x14ac:dyDescent="0.25">
      <c r="B495" s="23"/>
      <c r="D495" s="25"/>
      <c r="E495" s="25"/>
      <c r="M495" s="12"/>
      <c r="N495" s="118"/>
      <c r="O495" s="118"/>
      <c r="P495" s="118"/>
      <c r="Q495" s="118"/>
    </row>
    <row r="496" spans="2:17" ht="14.25" customHeight="1" x14ac:dyDescent="0.25">
      <c r="B496" s="23"/>
      <c r="D496" s="25"/>
      <c r="E496" s="25"/>
      <c r="M496" s="12"/>
      <c r="N496" s="118"/>
      <c r="O496" s="118"/>
      <c r="P496" s="118"/>
      <c r="Q496" s="118"/>
    </row>
    <row r="497" spans="2:17" ht="14.25" customHeight="1" x14ac:dyDescent="0.25">
      <c r="B497" s="23"/>
      <c r="D497" s="25"/>
      <c r="E497" s="25"/>
      <c r="M497" s="12"/>
      <c r="N497" s="118"/>
      <c r="O497" s="118"/>
      <c r="P497" s="118"/>
      <c r="Q497" s="118"/>
    </row>
    <row r="498" spans="2:17" ht="14.25" customHeight="1" x14ac:dyDescent="0.25">
      <c r="B498" s="23"/>
      <c r="D498" s="25"/>
      <c r="E498" s="25"/>
      <c r="M498" s="12"/>
      <c r="N498" s="118"/>
      <c r="O498" s="118"/>
      <c r="P498" s="118"/>
      <c r="Q498" s="118"/>
    </row>
    <row r="499" spans="2:17" ht="14.25" customHeight="1" x14ac:dyDescent="0.25">
      <c r="B499" s="23"/>
      <c r="D499" s="25"/>
      <c r="E499" s="25"/>
      <c r="M499" s="12"/>
      <c r="N499" s="118"/>
      <c r="O499" s="118"/>
      <c r="P499" s="118"/>
      <c r="Q499" s="118"/>
    </row>
    <row r="500" spans="2:17" ht="14.25" customHeight="1" x14ac:dyDescent="0.25">
      <c r="B500" s="23"/>
      <c r="D500" s="25"/>
      <c r="E500" s="25"/>
      <c r="M500" s="12"/>
      <c r="N500" s="118"/>
      <c r="O500" s="118"/>
      <c r="P500" s="118"/>
      <c r="Q500" s="118"/>
    </row>
    <row r="501" spans="2:17" ht="14.25" customHeight="1" x14ac:dyDescent="0.25">
      <c r="B501" s="23"/>
      <c r="D501" s="25"/>
      <c r="E501" s="25"/>
      <c r="M501" s="12"/>
      <c r="N501" s="118"/>
      <c r="O501" s="118"/>
      <c r="P501" s="118"/>
      <c r="Q501" s="118"/>
    </row>
    <row r="502" spans="2:17" ht="14.25" customHeight="1" x14ac:dyDescent="0.25">
      <c r="B502" s="23"/>
      <c r="D502" s="25"/>
      <c r="E502" s="25"/>
      <c r="M502" s="12"/>
      <c r="N502" s="118"/>
      <c r="O502" s="118"/>
      <c r="P502" s="118"/>
      <c r="Q502" s="118"/>
    </row>
    <row r="503" spans="2:17" ht="14.25" customHeight="1" x14ac:dyDescent="0.25">
      <c r="B503" s="23"/>
      <c r="D503" s="25"/>
      <c r="E503" s="25"/>
      <c r="M503" s="12"/>
      <c r="N503" s="118"/>
      <c r="O503" s="118"/>
      <c r="P503" s="118"/>
      <c r="Q503" s="118"/>
    </row>
    <row r="504" spans="2:17" ht="14.25" customHeight="1" x14ac:dyDescent="0.25">
      <c r="B504" s="23"/>
      <c r="D504" s="25"/>
      <c r="E504" s="25"/>
      <c r="M504" s="12"/>
      <c r="N504" s="118"/>
      <c r="O504" s="118"/>
      <c r="P504" s="118"/>
      <c r="Q504" s="118"/>
    </row>
    <row r="505" spans="2:17" ht="14.25" customHeight="1" x14ac:dyDescent="0.25">
      <c r="B505" s="23"/>
      <c r="D505" s="25"/>
      <c r="E505" s="25"/>
      <c r="M505" s="12"/>
      <c r="N505" s="118"/>
      <c r="O505" s="118"/>
      <c r="P505" s="118"/>
      <c r="Q505" s="118"/>
    </row>
    <row r="506" spans="2:17" ht="14.25" customHeight="1" x14ac:dyDescent="0.25">
      <c r="B506" s="23"/>
      <c r="D506" s="25"/>
      <c r="E506" s="25"/>
      <c r="M506" s="12"/>
      <c r="N506" s="118"/>
      <c r="O506" s="118"/>
      <c r="P506" s="118"/>
      <c r="Q506" s="118"/>
    </row>
    <row r="507" spans="2:17" ht="14.25" customHeight="1" x14ac:dyDescent="0.25">
      <c r="B507" s="23"/>
      <c r="D507" s="25"/>
      <c r="E507" s="25"/>
      <c r="M507" s="12"/>
      <c r="N507" s="118"/>
      <c r="O507" s="118"/>
      <c r="P507" s="118"/>
      <c r="Q507" s="118"/>
    </row>
    <row r="508" spans="2:17" ht="14.25" customHeight="1" x14ac:dyDescent="0.25">
      <c r="B508" s="23"/>
      <c r="D508" s="25"/>
      <c r="E508" s="25"/>
      <c r="M508" s="12"/>
      <c r="N508" s="118"/>
      <c r="O508" s="118"/>
      <c r="P508" s="118"/>
      <c r="Q508" s="118"/>
    </row>
    <row r="509" spans="2:17" ht="14.25" customHeight="1" x14ac:dyDescent="0.25">
      <c r="B509" s="23"/>
      <c r="D509" s="25"/>
      <c r="E509" s="25"/>
      <c r="M509" s="12"/>
      <c r="N509" s="118"/>
      <c r="O509" s="118"/>
      <c r="P509" s="118"/>
      <c r="Q509" s="118"/>
    </row>
    <row r="510" spans="2:17" ht="14.25" customHeight="1" x14ac:dyDescent="0.25">
      <c r="B510" s="23"/>
      <c r="D510" s="25"/>
      <c r="E510" s="25"/>
      <c r="M510" s="12"/>
      <c r="N510" s="118"/>
      <c r="O510" s="118"/>
      <c r="P510" s="118"/>
      <c r="Q510" s="118"/>
    </row>
    <row r="511" spans="2:17" ht="14.25" customHeight="1" x14ac:dyDescent="0.25">
      <c r="B511" s="23"/>
      <c r="D511" s="25"/>
      <c r="E511" s="25"/>
      <c r="M511" s="12"/>
      <c r="N511" s="118"/>
      <c r="O511" s="118"/>
      <c r="P511" s="118"/>
      <c r="Q511" s="118"/>
    </row>
    <row r="512" spans="2:17" ht="14.25" customHeight="1" x14ac:dyDescent="0.25">
      <c r="B512" s="23"/>
      <c r="D512" s="25"/>
      <c r="E512" s="25"/>
      <c r="M512" s="12"/>
      <c r="N512" s="118"/>
      <c r="O512" s="118"/>
      <c r="P512" s="118"/>
      <c r="Q512" s="118"/>
    </row>
    <row r="513" spans="2:17" ht="14.25" customHeight="1" x14ac:dyDescent="0.25">
      <c r="B513" s="23"/>
      <c r="D513" s="25"/>
      <c r="E513" s="25"/>
      <c r="M513" s="12"/>
      <c r="N513" s="118"/>
      <c r="O513" s="118"/>
      <c r="P513" s="118"/>
      <c r="Q513" s="118"/>
    </row>
    <row r="514" spans="2:17" ht="14.25" customHeight="1" x14ac:dyDescent="0.25">
      <c r="B514" s="23"/>
      <c r="D514" s="25"/>
      <c r="E514" s="25"/>
      <c r="M514" s="12"/>
      <c r="N514" s="118"/>
      <c r="O514" s="118"/>
      <c r="P514" s="118"/>
      <c r="Q514" s="118"/>
    </row>
    <row r="515" spans="2:17" ht="14.25" customHeight="1" x14ac:dyDescent="0.25">
      <c r="B515" s="23"/>
      <c r="D515" s="25"/>
      <c r="E515" s="25"/>
      <c r="M515" s="12"/>
      <c r="N515" s="118"/>
      <c r="O515" s="118"/>
      <c r="P515" s="118"/>
      <c r="Q515" s="118"/>
    </row>
    <row r="516" spans="2:17" ht="14.25" customHeight="1" x14ac:dyDescent="0.25">
      <c r="B516" s="23"/>
      <c r="D516" s="25"/>
      <c r="E516" s="25"/>
      <c r="M516" s="12"/>
      <c r="N516" s="118"/>
      <c r="O516" s="118"/>
      <c r="P516" s="118"/>
      <c r="Q516" s="118"/>
    </row>
    <row r="517" spans="2:17" ht="14.25" customHeight="1" x14ac:dyDescent="0.25">
      <c r="B517" s="23"/>
      <c r="D517" s="25"/>
      <c r="E517" s="25"/>
      <c r="M517" s="12"/>
      <c r="N517" s="118"/>
      <c r="O517" s="118"/>
      <c r="P517" s="118"/>
      <c r="Q517" s="118"/>
    </row>
    <row r="518" spans="2:17" ht="14.25" customHeight="1" x14ac:dyDescent="0.25">
      <c r="B518" s="23"/>
      <c r="D518" s="25"/>
      <c r="E518" s="25"/>
      <c r="M518" s="12"/>
      <c r="N518" s="118"/>
      <c r="O518" s="118"/>
      <c r="P518" s="118"/>
      <c r="Q518" s="118"/>
    </row>
    <row r="519" spans="2:17" ht="14.25" customHeight="1" x14ac:dyDescent="0.25">
      <c r="B519" s="23"/>
      <c r="D519" s="25"/>
      <c r="E519" s="25"/>
      <c r="M519" s="12"/>
      <c r="N519" s="118"/>
      <c r="O519" s="118"/>
      <c r="P519" s="118"/>
      <c r="Q519" s="118"/>
    </row>
    <row r="520" spans="2:17" ht="14.25" customHeight="1" x14ac:dyDescent="0.25">
      <c r="B520" s="23"/>
      <c r="D520" s="25"/>
      <c r="E520" s="25"/>
      <c r="M520" s="12"/>
      <c r="N520" s="118"/>
      <c r="O520" s="118"/>
      <c r="P520" s="118"/>
      <c r="Q520" s="118"/>
    </row>
    <row r="521" spans="2:17" ht="14.25" customHeight="1" x14ac:dyDescent="0.25">
      <c r="B521" s="23"/>
      <c r="D521" s="25"/>
      <c r="E521" s="25"/>
      <c r="M521" s="12"/>
      <c r="N521" s="118"/>
      <c r="O521" s="118"/>
      <c r="P521" s="118"/>
      <c r="Q521" s="118"/>
    </row>
    <row r="522" spans="2:17" ht="14.25" customHeight="1" x14ac:dyDescent="0.25">
      <c r="B522" s="23"/>
      <c r="D522" s="25"/>
      <c r="E522" s="25"/>
      <c r="M522" s="12"/>
      <c r="N522" s="118"/>
      <c r="O522" s="118"/>
      <c r="P522" s="118"/>
      <c r="Q522" s="118"/>
    </row>
    <row r="523" spans="2:17" ht="14.25" customHeight="1" x14ac:dyDescent="0.25">
      <c r="B523" s="23"/>
      <c r="D523" s="25"/>
      <c r="E523" s="25"/>
      <c r="M523" s="12"/>
      <c r="N523" s="118"/>
      <c r="O523" s="118"/>
      <c r="P523" s="118"/>
      <c r="Q523" s="118"/>
    </row>
    <row r="524" spans="2:17" ht="14.25" customHeight="1" x14ac:dyDescent="0.25">
      <c r="B524" s="23"/>
      <c r="D524" s="25"/>
      <c r="E524" s="25"/>
      <c r="M524" s="12"/>
      <c r="N524" s="118"/>
      <c r="O524" s="118"/>
      <c r="P524" s="118"/>
      <c r="Q524" s="118"/>
    </row>
    <row r="525" spans="2:17" ht="14.25" customHeight="1" x14ac:dyDescent="0.25">
      <c r="B525" s="23"/>
      <c r="D525" s="25"/>
      <c r="E525" s="25"/>
      <c r="M525" s="12"/>
      <c r="N525" s="118"/>
      <c r="O525" s="118"/>
      <c r="P525" s="118"/>
      <c r="Q525" s="118"/>
    </row>
    <row r="526" spans="2:17" ht="14.25" customHeight="1" x14ac:dyDescent="0.25">
      <c r="B526" s="23"/>
      <c r="D526" s="25"/>
      <c r="E526" s="25"/>
      <c r="M526" s="12"/>
      <c r="N526" s="118"/>
      <c r="O526" s="118"/>
      <c r="P526" s="118"/>
      <c r="Q526" s="118"/>
    </row>
    <row r="527" spans="2:17" ht="14.25" customHeight="1" x14ac:dyDescent="0.25">
      <c r="B527" s="23"/>
      <c r="D527" s="25"/>
      <c r="E527" s="25"/>
      <c r="M527" s="12"/>
      <c r="N527" s="118"/>
      <c r="O527" s="118"/>
      <c r="P527" s="118"/>
      <c r="Q527" s="118"/>
    </row>
    <row r="528" spans="2:17" ht="14.25" customHeight="1" x14ac:dyDescent="0.25">
      <c r="B528" s="23"/>
      <c r="D528" s="25"/>
      <c r="E528" s="25"/>
      <c r="M528" s="12"/>
      <c r="N528" s="118"/>
      <c r="O528" s="118"/>
      <c r="P528" s="118"/>
      <c r="Q528" s="118"/>
    </row>
    <row r="529" spans="2:17" ht="14.25" customHeight="1" x14ac:dyDescent="0.25">
      <c r="B529" s="23"/>
      <c r="D529" s="25"/>
      <c r="E529" s="25"/>
      <c r="M529" s="12"/>
      <c r="N529" s="118"/>
      <c r="O529" s="118"/>
      <c r="P529" s="118"/>
      <c r="Q529" s="118"/>
    </row>
    <row r="530" spans="2:17" ht="14.25" customHeight="1" x14ac:dyDescent="0.25">
      <c r="B530" s="23"/>
      <c r="D530" s="25"/>
      <c r="E530" s="25"/>
      <c r="M530" s="12"/>
      <c r="N530" s="118"/>
      <c r="O530" s="118"/>
      <c r="P530" s="118"/>
      <c r="Q530" s="118"/>
    </row>
    <row r="531" spans="2:17" ht="14.25" customHeight="1" x14ac:dyDescent="0.25">
      <c r="B531" s="23"/>
      <c r="D531" s="25"/>
      <c r="E531" s="25"/>
      <c r="M531" s="12"/>
      <c r="N531" s="118"/>
      <c r="O531" s="118"/>
      <c r="P531" s="118"/>
      <c r="Q531" s="118"/>
    </row>
    <row r="532" spans="2:17" ht="14.25" customHeight="1" x14ac:dyDescent="0.25">
      <c r="B532" s="23"/>
      <c r="D532" s="25"/>
      <c r="E532" s="25"/>
      <c r="M532" s="12"/>
      <c r="N532" s="118"/>
      <c r="O532" s="118"/>
      <c r="P532" s="118"/>
      <c r="Q532" s="118"/>
    </row>
    <row r="533" spans="2:17" ht="14.25" customHeight="1" x14ac:dyDescent="0.25">
      <c r="B533" s="23"/>
      <c r="D533" s="25"/>
      <c r="E533" s="25"/>
      <c r="M533" s="12"/>
      <c r="N533" s="118"/>
      <c r="O533" s="118"/>
      <c r="P533" s="118"/>
      <c r="Q533" s="118"/>
    </row>
    <row r="534" spans="2:17" ht="14.25" customHeight="1" x14ac:dyDescent="0.25">
      <c r="B534" s="23"/>
      <c r="D534" s="25"/>
      <c r="E534" s="25"/>
      <c r="M534" s="12"/>
      <c r="N534" s="118"/>
      <c r="O534" s="118"/>
      <c r="P534" s="118"/>
      <c r="Q534" s="118"/>
    </row>
    <row r="535" spans="2:17" ht="14.25" customHeight="1" x14ac:dyDescent="0.25">
      <c r="B535" s="23"/>
      <c r="D535" s="25"/>
      <c r="E535" s="25"/>
      <c r="M535" s="12"/>
      <c r="N535" s="118"/>
      <c r="O535" s="118"/>
      <c r="P535" s="118"/>
      <c r="Q535" s="118"/>
    </row>
    <row r="536" spans="2:17" ht="14.25" customHeight="1" x14ac:dyDescent="0.25">
      <c r="B536" s="23"/>
      <c r="D536" s="25"/>
      <c r="E536" s="25"/>
      <c r="M536" s="12"/>
      <c r="N536" s="118"/>
      <c r="O536" s="118"/>
      <c r="P536" s="118"/>
      <c r="Q536" s="118"/>
    </row>
    <row r="537" spans="2:17" ht="14.25" customHeight="1" x14ac:dyDescent="0.25">
      <c r="B537" s="23"/>
      <c r="D537" s="25"/>
      <c r="E537" s="25"/>
      <c r="M537" s="12"/>
      <c r="N537" s="118"/>
      <c r="O537" s="118"/>
      <c r="P537" s="118"/>
      <c r="Q537" s="118"/>
    </row>
    <row r="538" spans="2:17" ht="14.25" customHeight="1" x14ac:dyDescent="0.25">
      <c r="B538" s="23"/>
      <c r="D538" s="25"/>
      <c r="E538" s="25"/>
      <c r="M538" s="12"/>
      <c r="N538" s="118"/>
      <c r="O538" s="118"/>
      <c r="P538" s="118"/>
      <c r="Q538" s="118"/>
    </row>
    <row r="539" spans="2:17" ht="14.25" customHeight="1" x14ac:dyDescent="0.25">
      <c r="B539" s="23"/>
      <c r="D539" s="25"/>
      <c r="E539" s="25"/>
      <c r="M539" s="12"/>
      <c r="N539" s="118"/>
      <c r="O539" s="118"/>
      <c r="P539" s="118"/>
      <c r="Q539" s="118"/>
    </row>
    <row r="540" spans="2:17" ht="14.25" customHeight="1" x14ac:dyDescent="0.25">
      <c r="B540" s="23"/>
      <c r="D540" s="25"/>
      <c r="E540" s="25"/>
      <c r="M540" s="12"/>
      <c r="N540" s="118"/>
      <c r="O540" s="118"/>
      <c r="P540" s="118"/>
      <c r="Q540" s="118"/>
    </row>
    <row r="541" spans="2:17" ht="14.25" customHeight="1" x14ac:dyDescent="0.25">
      <c r="B541" s="23"/>
      <c r="D541" s="25"/>
      <c r="E541" s="25"/>
      <c r="M541" s="12"/>
      <c r="N541" s="118"/>
      <c r="O541" s="118"/>
      <c r="P541" s="118"/>
      <c r="Q541" s="118"/>
    </row>
    <row r="542" spans="2:17" ht="14.25" customHeight="1" x14ac:dyDescent="0.25">
      <c r="B542" s="23"/>
      <c r="D542" s="25"/>
      <c r="E542" s="25"/>
      <c r="M542" s="12"/>
      <c r="N542" s="118"/>
      <c r="O542" s="118"/>
      <c r="P542" s="118"/>
      <c r="Q542" s="118"/>
    </row>
    <row r="543" spans="2:17" ht="14.25" customHeight="1" x14ac:dyDescent="0.25">
      <c r="B543" s="23"/>
      <c r="D543" s="25"/>
      <c r="E543" s="25"/>
      <c r="M543" s="12"/>
      <c r="N543" s="118"/>
      <c r="O543" s="118"/>
      <c r="P543" s="118"/>
      <c r="Q543" s="118"/>
    </row>
    <row r="544" spans="2:17" ht="14.25" customHeight="1" x14ac:dyDescent="0.25">
      <c r="B544" s="23"/>
      <c r="D544" s="25"/>
      <c r="E544" s="25"/>
      <c r="M544" s="12"/>
      <c r="N544" s="118"/>
      <c r="O544" s="118"/>
      <c r="P544" s="118"/>
      <c r="Q544" s="118"/>
    </row>
    <row r="545" spans="2:17" ht="14.25" customHeight="1" x14ac:dyDescent="0.25">
      <c r="B545" s="23"/>
      <c r="D545" s="25"/>
      <c r="E545" s="25"/>
      <c r="M545" s="12"/>
      <c r="N545" s="118"/>
      <c r="O545" s="118"/>
      <c r="P545" s="118"/>
      <c r="Q545" s="118"/>
    </row>
    <row r="546" spans="2:17" ht="14.25" customHeight="1" x14ac:dyDescent="0.25">
      <c r="B546" s="23"/>
      <c r="D546" s="25"/>
      <c r="E546" s="25"/>
      <c r="M546" s="12"/>
      <c r="N546" s="118"/>
      <c r="O546" s="118"/>
      <c r="P546" s="118"/>
      <c r="Q546" s="118"/>
    </row>
    <row r="547" spans="2:17" ht="14.25" customHeight="1" x14ac:dyDescent="0.25">
      <c r="B547" s="23"/>
      <c r="D547" s="25"/>
      <c r="E547" s="25"/>
      <c r="M547" s="12"/>
      <c r="N547" s="118"/>
      <c r="O547" s="118"/>
      <c r="P547" s="118"/>
      <c r="Q547" s="118"/>
    </row>
    <row r="548" spans="2:17" ht="14.25" customHeight="1" x14ac:dyDescent="0.25">
      <c r="B548" s="23"/>
      <c r="D548" s="25"/>
      <c r="E548" s="25"/>
      <c r="M548" s="12"/>
      <c r="N548" s="118"/>
      <c r="O548" s="118"/>
      <c r="P548" s="118"/>
      <c r="Q548" s="118"/>
    </row>
    <row r="549" spans="2:17" ht="14.25" customHeight="1" x14ac:dyDescent="0.25">
      <c r="B549" s="23"/>
      <c r="D549" s="25"/>
      <c r="E549" s="25"/>
      <c r="M549" s="12"/>
      <c r="N549" s="118"/>
      <c r="O549" s="118"/>
      <c r="P549" s="118"/>
      <c r="Q549" s="118"/>
    </row>
    <row r="550" spans="2:17" ht="14.25" customHeight="1" x14ac:dyDescent="0.25">
      <c r="B550" s="23"/>
      <c r="D550" s="25"/>
      <c r="E550" s="25"/>
      <c r="M550" s="12"/>
      <c r="N550" s="118"/>
      <c r="O550" s="118"/>
      <c r="P550" s="118"/>
      <c r="Q550" s="118"/>
    </row>
    <row r="551" spans="2:17" ht="14.25" customHeight="1" x14ac:dyDescent="0.25">
      <c r="B551" s="23"/>
      <c r="D551" s="25"/>
      <c r="E551" s="25"/>
      <c r="M551" s="12"/>
      <c r="N551" s="118"/>
      <c r="O551" s="118"/>
      <c r="P551" s="118"/>
      <c r="Q551" s="118"/>
    </row>
    <row r="552" spans="2:17" ht="14.25" customHeight="1" x14ac:dyDescent="0.25">
      <c r="B552" s="23"/>
      <c r="D552" s="25"/>
      <c r="E552" s="25"/>
      <c r="M552" s="12"/>
      <c r="N552" s="118"/>
      <c r="O552" s="118"/>
      <c r="P552" s="118"/>
      <c r="Q552" s="118"/>
    </row>
    <row r="553" spans="2:17" ht="14.25" customHeight="1" x14ac:dyDescent="0.25">
      <c r="B553" s="23"/>
      <c r="D553" s="25"/>
      <c r="E553" s="25"/>
      <c r="M553" s="12"/>
      <c r="N553" s="118"/>
      <c r="O553" s="118"/>
      <c r="P553" s="118"/>
      <c r="Q553" s="118"/>
    </row>
    <row r="554" spans="2:17" ht="14.25" customHeight="1" x14ac:dyDescent="0.25">
      <c r="B554" s="23"/>
      <c r="D554" s="25"/>
      <c r="E554" s="25"/>
      <c r="M554" s="12"/>
      <c r="N554" s="118"/>
      <c r="O554" s="118"/>
      <c r="P554" s="118"/>
      <c r="Q554" s="118"/>
    </row>
    <row r="555" spans="2:17" ht="14.25" customHeight="1" x14ac:dyDescent="0.25">
      <c r="B555" s="23"/>
      <c r="D555" s="25"/>
      <c r="E555" s="25"/>
      <c r="M555" s="12"/>
      <c r="N555" s="118"/>
      <c r="O555" s="118"/>
      <c r="P555" s="118"/>
      <c r="Q555" s="118"/>
    </row>
    <row r="556" spans="2:17" ht="14.25" customHeight="1" x14ac:dyDescent="0.25">
      <c r="B556" s="23"/>
      <c r="D556" s="25"/>
      <c r="E556" s="25"/>
      <c r="M556" s="12"/>
      <c r="N556" s="118"/>
      <c r="O556" s="118"/>
      <c r="P556" s="118"/>
      <c r="Q556" s="118"/>
    </row>
    <row r="557" spans="2:17" ht="14.25" customHeight="1" x14ac:dyDescent="0.25">
      <c r="B557" s="23"/>
      <c r="D557" s="25"/>
      <c r="E557" s="25"/>
      <c r="M557" s="12"/>
      <c r="N557" s="118"/>
      <c r="O557" s="118"/>
      <c r="P557" s="118"/>
      <c r="Q557" s="118"/>
    </row>
    <row r="558" spans="2:17" ht="14.25" customHeight="1" x14ac:dyDescent="0.25">
      <c r="B558" s="23"/>
      <c r="D558" s="25"/>
      <c r="E558" s="25"/>
      <c r="M558" s="12"/>
      <c r="N558" s="118"/>
      <c r="O558" s="118"/>
      <c r="P558" s="118"/>
      <c r="Q558" s="118"/>
    </row>
    <row r="559" spans="2:17" ht="14.25" customHeight="1" x14ac:dyDescent="0.25">
      <c r="B559" s="23"/>
      <c r="D559" s="25"/>
      <c r="E559" s="25"/>
      <c r="M559" s="12"/>
      <c r="N559" s="118"/>
      <c r="O559" s="118"/>
      <c r="P559" s="118"/>
      <c r="Q559" s="118"/>
    </row>
    <row r="560" spans="2:17" ht="14.25" customHeight="1" x14ac:dyDescent="0.25">
      <c r="B560" s="23"/>
      <c r="D560" s="25"/>
      <c r="E560" s="25"/>
      <c r="M560" s="12"/>
      <c r="N560" s="118"/>
      <c r="O560" s="118"/>
      <c r="P560" s="118"/>
      <c r="Q560" s="118"/>
    </row>
    <row r="561" spans="2:17" ht="14.25" customHeight="1" x14ac:dyDescent="0.25">
      <c r="B561" s="23"/>
      <c r="D561" s="25"/>
      <c r="E561" s="25"/>
      <c r="M561" s="12"/>
      <c r="N561" s="118"/>
      <c r="O561" s="118"/>
      <c r="P561" s="118"/>
      <c r="Q561" s="118"/>
    </row>
    <row r="562" spans="2:17" ht="14.25" customHeight="1" x14ac:dyDescent="0.25">
      <c r="B562" s="23"/>
      <c r="D562" s="25"/>
      <c r="E562" s="25"/>
      <c r="M562" s="12"/>
      <c r="N562" s="118"/>
      <c r="O562" s="118"/>
      <c r="P562" s="118"/>
      <c r="Q562" s="118"/>
    </row>
    <row r="563" spans="2:17" ht="14.25" customHeight="1" x14ac:dyDescent="0.25">
      <c r="B563" s="23"/>
      <c r="D563" s="25"/>
      <c r="E563" s="25"/>
      <c r="M563" s="12"/>
      <c r="N563" s="118"/>
      <c r="O563" s="118"/>
      <c r="P563" s="118"/>
      <c r="Q563" s="118"/>
    </row>
    <row r="564" spans="2:17" ht="14.25" customHeight="1" x14ac:dyDescent="0.25">
      <c r="B564" s="23"/>
      <c r="D564" s="25"/>
      <c r="E564" s="25"/>
      <c r="M564" s="12"/>
      <c r="N564" s="118"/>
      <c r="O564" s="118"/>
      <c r="P564" s="118"/>
      <c r="Q564" s="118"/>
    </row>
    <row r="565" spans="2:17" ht="14.25" customHeight="1" x14ac:dyDescent="0.25">
      <c r="B565" s="23"/>
      <c r="D565" s="25"/>
      <c r="E565" s="25"/>
      <c r="M565" s="12"/>
      <c r="N565" s="118"/>
      <c r="O565" s="118"/>
      <c r="P565" s="118"/>
      <c r="Q565" s="118"/>
    </row>
    <row r="566" spans="2:17" ht="14.25" customHeight="1" x14ac:dyDescent="0.25">
      <c r="B566" s="23"/>
      <c r="D566" s="25"/>
      <c r="E566" s="25"/>
      <c r="M566" s="12"/>
      <c r="N566" s="118"/>
      <c r="O566" s="118"/>
      <c r="P566" s="118"/>
      <c r="Q566" s="118"/>
    </row>
    <row r="567" spans="2:17" ht="14.25" customHeight="1" x14ac:dyDescent="0.25">
      <c r="B567" s="23"/>
      <c r="D567" s="25"/>
      <c r="E567" s="25"/>
      <c r="M567" s="12"/>
      <c r="N567" s="118"/>
      <c r="O567" s="118"/>
      <c r="P567" s="118"/>
      <c r="Q567" s="118"/>
    </row>
    <row r="568" spans="2:17" ht="14.25" customHeight="1" x14ac:dyDescent="0.25">
      <c r="B568" s="23"/>
      <c r="D568" s="25"/>
      <c r="E568" s="25"/>
      <c r="M568" s="12"/>
      <c r="N568" s="118"/>
      <c r="O568" s="118"/>
      <c r="P568" s="118"/>
      <c r="Q568" s="118"/>
    </row>
    <row r="569" spans="2:17" ht="14.25" customHeight="1" x14ac:dyDescent="0.25">
      <c r="B569" s="23"/>
      <c r="D569" s="25"/>
      <c r="E569" s="25"/>
      <c r="M569" s="12"/>
      <c r="N569" s="118"/>
      <c r="O569" s="118"/>
      <c r="P569" s="118"/>
      <c r="Q569" s="118"/>
    </row>
    <row r="570" spans="2:17" ht="14.25" customHeight="1" x14ac:dyDescent="0.25">
      <c r="B570" s="23"/>
      <c r="D570" s="25"/>
      <c r="E570" s="25"/>
      <c r="M570" s="12"/>
      <c r="N570" s="118"/>
      <c r="O570" s="118"/>
      <c r="P570" s="118"/>
      <c r="Q570" s="118"/>
    </row>
    <row r="571" spans="2:17" ht="14.25" customHeight="1" x14ac:dyDescent="0.25">
      <c r="B571" s="23"/>
      <c r="D571" s="25"/>
      <c r="E571" s="25"/>
      <c r="M571" s="12"/>
      <c r="N571" s="118"/>
      <c r="O571" s="118"/>
      <c r="P571" s="118"/>
      <c r="Q571" s="118"/>
    </row>
    <row r="572" spans="2:17" ht="14.25" customHeight="1" x14ac:dyDescent="0.25">
      <c r="B572" s="23"/>
      <c r="D572" s="25"/>
      <c r="E572" s="25"/>
      <c r="M572" s="12"/>
      <c r="N572" s="118"/>
      <c r="O572" s="118"/>
      <c r="P572" s="118"/>
      <c r="Q572" s="118"/>
    </row>
    <row r="573" spans="2:17" ht="14.25" customHeight="1" x14ac:dyDescent="0.25">
      <c r="B573" s="23"/>
      <c r="D573" s="25"/>
      <c r="E573" s="25"/>
      <c r="M573" s="12"/>
      <c r="N573" s="118"/>
      <c r="O573" s="118"/>
      <c r="P573" s="118"/>
      <c r="Q573" s="118"/>
    </row>
    <row r="574" spans="2:17" ht="14.25" customHeight="1" x14ac:dyDescent="0.25">
      <c r="B574" s="23"/>
      <c r="D574" s="25"/>
      <c r="E574" s="25"/>
      <c r="M574" s="12"/>
      <c r="N574" s="118"/>
      <c r="O574" s="118"/>
      <c r="P574" s="118"/>
      <c r="Q574" s="118"/>
    </row>
    <row r="575" spans="2:17" ht="14.25" customHeight="1" x14ac:dyDescent="0.25">
      <c r="B575" s="23"/>
      <c r="D575" s="25"/>
      <c r="E575" s="25"/>
      <c r="M575" s="12"/>
      <c r="N575" s="118"/>
      <c r="O575" s="118"/>
      <c r="P575" s="118"/>
      <c r="Q575" s="118"/>
    </row>
    <row r="576" spans="2:17" ht="14.25" customHeight="1" x14ac:dyDescent="0.25">
      <c r="B576" s="23"/>
      <c r="D576" s="25"/>
      <c r="E576" s="25"/>
      <c r="M576" s="12"/>
      <c r="N576" s="118"/>
      <c r="O576" s="118"/>
      <c r="P576" s="118"/>
      <c r="Q576" s="118"/>
    </row>
    <row r="577" spans="2:17" ht="14.25" customHeight="1" x14ac:dyDescent="0.25">
      <c r="B577" s="23"/>
      <c r="D577" s="25"/>
      <c r="E577" s="25"/>
      <c r="M577" s="12"/>
      <c r="N577" s="118"/>
      <c r="O577" s="118"/>
      <c r="P577" s="118"/>
      <c r="Q577" s="118"/>
    </row>
    <row r="578" spans="2:17" ht="14.25" customHeight="1" x14ac:dyDescent="0.25">
      <c r="B578" s="23"/>
      <c r="D578" s="25"/>
      <c r="E578" s="25"/>
      <c r="M578" s="12"/>
      <c r="N578" s="118"/>
      <c r="O578" s="118"/>
      <c r="P578" s="118"/>
      <c r="Q578" s="118"/>
    </row>
    <row r="579" spans="2:17" ht="14.25" customHeight="1" x14ac:dyDescent="0.25">
      <c r="B579" s="23"/>
      <c r="D579" s="25"/>
      <c r="E579" s="25"/>
      <c r="M579" s="12"/>
      <c r="N579" s="118"/>
      <c r="O579" s="118"/>
      <c r="P579" s="118"/>
      <c r="Q579" s="118"/>
    </row>
    <row r="580" spans="2:17" ht="14.25" customHeight="1" x14ac:dyDescent="0.25">
      <c r="B580" s="23"/>
      <c r="D580" s="25"/>
      <c r="E580" s="25"/>
      <c r="M580" s="12"/>
      <c r="N580" s="118"/>
      <c r="O580" s="118"/>
      <c r="P580" s="118"/>
      <c r="Q580" s="118"/>
    </row>
    <row r="581" spans="2:17" ht="14.25" customHeight="1" x14ac:dyDescent="0.25">
      <c r="B581" s="23"/>
      <c r="D581" s="25"/>
      <c r="E581" s="25"/>
      <c r="M581" s="12"/>
      <c r="N581" s="118"/>
      <c r="O581" s="118"/>
      <c r="P581" s="118"/>
      <c r="Q581" s="118"/>
    </row>
    <row r="582" spans="2:17" ht="14.25" customHeight="1" x14ac:dyDescent="0.25">
      <c r="B582" s="23"/>
      <c r="D582" s="25"/>
      <c r="E582" s="25"/>
      <c r="M582" s="12"/>
      <c r="N582" s="118"/>
      <c r="O582" s="118"/>
      <c r="P582" s="118"/>
      <c r="Q582" s="118"/>
    </row>
    <row r="583" spans="2:17" ht="14.25" customHeight="1" x14ac:dyDescent="0.25">
      <c r="B583" s="23"/>
      <c r="D583" s="25"/>
      <c r="E583" s="25"/>
      <c r="M583" s="12"/>
      <c r="N583" s="118"/>
      <c r="O583" s="118"/>
      <c r="P583" s="118"/>
      <c r="Q583" s="118"/>
    </row>
    <row r="584" spans="2:17" ht="14.25" customHeight="1" x14ac:dyDescent="0.25">
      <c r="B584" s="23"/>
      <c r="D584" s="25"/>
      <c r="E584" s="25"/>
      <c r="M584" s="12"/>
      <c r="N584" s="118"/>
      <c r="O584" s="118"/>
      <c r="P584" s="118"/>
      <c r="Q584" s="118"/>
    </row>
    <row r="585" spans="2:17" ht="14.25" customHeight="1" x14ac:dyDescent="0.25">
      <c r="B585" s="23"/>
      <c r="D585" s="25"/>
      <c r="E585" s="25"/>
      <c r="M585" s="12"/>
      <c r="N585" s="118"/>
      <c r="O585" s="118"/>
      <c r="P585" s="118"/>
      <c r="Q585" s="118"/>
    </row>
    <row r="586" spans="2:17" ht="14.25" customHeight="1" x14ac:dyDescent="0.25">
      <c r="B586" s="23"/>
      <c r="D586" s="25"/>
      <c r="E586" s="25"/>
      <c r="M586" s="12"/>
      <c r="N586" s="118"/>
      <c r="O586" s="118"/>
      <c r="P586" s="118"/>
      <c r="Q586" s="118"/>
    </row>
    <row r="587" spans="2:17" ht="14.25" customHeight="1" x14ac:dyDescent="0.25">
      <c r="B587" s="23"/>
      <c r="D587" s="25"/>
      <c r="E587" s="25"/>
      <c r="M587" s="12"/>
      <c r="N587" s="118"/>
      <c r="O587" s="118"/>
      <c r="P587" s="118"/>
      <c r="Q587" s="118"/>
    </row>
    <row r="588" spans="2:17" ht="14.25" customHeight="1" x14ac:dyDescent="0.25">
      <c r="B588" s="23"/>
      <c r="D588" s="25"/>
      <c r="E588" s="25"/>
      <c r="M588" s="12"/>
      <c r="N588" s="118"/>
      <c r="O588" s="118"/>
      <c r="P588" s="118"/>
      <c r="Q588" s="118"/>
    </row>
    <row r="589" spans="2:17" ht="14.25" customHeight="1" x14ac:dyDescent="0.25">
      <c r="B589" s="23"/>
      <c r="D589" s="25"/>
      <c r="E589" s="25"/>
      <c r="M589" s="12"/>
      <c r="N589" s="118"/>
      <c r="O589" s="118"/>
      <c r="P589" s="118"/>
      <c r="Q589" s="118"/>
    </row>
    <row r="590" spans="2:17" ht="14.25" customHeight="1" x14ac:dyDescent="0.25">
      <c r="B590" s="23"/>
      <c r="D590" s="25"/>
      <c r="E590" s="25"/>
      <c r="M590" s="12"/>
      <c r="N590" s="118"/>
      <c r="O590" s="118"/>
      <c r="P590" s="118"/>
      <c r="Q590" s="118"/>
    </row>
    <row r="591" spans="2:17" ht="14.25" customHeight="1" x14ac:dyDescent="0.25">
      <c r="B591" s="23"/>
      <c r="D591" s="25"/>
      <c r="E591" s="25"/>
      <c r="M591" s="12"/>
      <c r="N591" s="118"/>
      <c r="O591" s="118"/>
      <c r="P591" s="118"/>
      <c r="Q591" s="118"/>
    </row>
    <row r="592" spans="2:17" ht="14.25" customHeight="1" x14ac:dyDescent="0.25">
      <c r="B592" s="23"/>
      <c r="D592" s="25"/>
      <c r="E592" s="25"/>
      <c r="M592" s="12"/>
      <c r="N592" s="118"/>
      <c r="O592" s="118"/>
      <c r="P592" s="118"/>
      <c r="Q592" s="118"/>
    </row>
    <row r="593" spans="2:17" ht="14.25" customHeight="1" x14ac:dyDescent="0.25">
      <c r="B593" s="23"/>
      <c r="D593" s="25"/>
      <c r="E593" s="25"/>
      <c r="M593" s="12"/>
      <c r="N593" s="118"/>
      <c r="O593" s="118"/>
      <c r="P593" s="118"/>
      <c r="Q593" s="118"/>
    </row>
    <row r="594" spans="2:17" ht="14.25" customHeight="1" x14ac:dyDescent="0.25">
      <c r="B594" s="23"/>
      <c r="D594" s="25"/>
      <c r="E594" s="25"/>
      <c r="M594" s="12"/>
      <c r="N594" s="118"/>
      <c r="O594" s="118"/>
      <c r="P594" s="118"/>
      <c r="Q594" s="118"/>
    </row>
    <row r="595" spans="2:17" ht="14.25" customHeight="1" x14ac:dyDescent="0.25">
      <c r="B595" s="23"/>
      <c r="D595" s="25"/>
      <c r="E595" s="25"/>
      <c r="M595" s="12"/>
      <c r="N595" s="118"/>
      <c r="O595" s="118"/>
      <c r="P595" s="118"/>
      <c r="Q595" s="118"/>
    </row>
    <row r="596" spans="2:17" ht="14.25" customHeight="1" x14ac:dyDescent="0.25">
      <c r="B596" s="23"/>
      <c r="D596" s="25"/>
      <c r="E596" s="25"/>
      <c r="M596" s="12"/>
      <c r="N596" s="118"/>
      <c r="O596" s="118"/>
      <c r="P596" s="118"/>
      <c r="Q596" s="118"/>
    </row>
    <row r="597" spans="2:17" ht="14.25" customHeight="1" x14ac:dyDescent="0.25">
      <c r="B597" s="23"/>
      <c r="D597" s="25"/>
      <c r="E597" s="25"/>
      <c r="M597" s="12"/>
      <c r="N597" s="118"/>
      <c r="O597" s="118"/>
      <c r="P597" s="118"/>
      <c r="Q597" s="118"/>
    </row>
    <row r="598" spans="2:17" ht="14.25" customHeight="1" x14ac:dyDescent="0.25">
      <c r="B598" s="23"/>
      <c r="D598" s="25"/>
      <c r="E598" s="25"/>
      <c r="M598" s="12"/>
      <c r="N598" s="118"/>
      <c r="O598" s="118"/>
      <c r="P598" s="118"/>
      <c r="Q598" s="118"/>
    </row>
    <row r="599" spans="2:17" ht="14.25" customHeight="1" x14ac:dyDescent="0.25">
      <c r="B599" s="23"/>
      <c r="D599" s="25"/>
      <c r="E599" s="25"/>
      <c r="M599" s="12"/>
      <c r="N599" s="118"/>
      <c r="O599" s="118"/>
      <c r="P599" s="118"/>
      <c r="Q599" s="118"/>
    </row>
    <row r="600" spans="2:17" ht="14.25" customHeight="1" x14ac:dyDescent="0.25">
      <c r="B600" s="23"/>
      <c r="D600" s="25"/>
      <c r="E600" s="25"/>
      <c r="M600" s="12"/>
      <c r="N600" s="118"/>
      <c r="O600" s="118"/>
      <c r="P600" s="118"/>
      <c r="Q600" s="118"/>
    </row>
    <row r="601" spans="2:17" ht="14.25" customHeight="1" x14ac:dyDescent="0.25">
      <c r="B601" s="23"/>
      <c r="D601" s="25"/>
      <c r="E601" s="25"/>
      <c r="M601" s="12"/>
      <c r="N601" s="118"/>
      <c r="O601" s="118"/>
      <c r="P601" s="118"/>
      <c r="Q601" s="118"/>
    </row>
    <row r="602" spans="2:17" ht="14.25" customHeight="1" x14ac:dyDescent="0.25">
      <c r="B602" s="23"/>
      <c r="D602" s="25"/>
      <c r="E602" s="25"/>
      <c r="M602" s="12"/>
      <c r="N602" s="118"/>
      <c r="O602" s="118"/>
      <c r="P602" s="118"/>
      <c r="Q602" s="118"/>
    </row>
    <row r="603" spans="2:17" ht="14.25" customHeight="1" x14ac:dyDescent="0.25">
      <c r="B603" s="23"/>
      <c r="D603" s="25"/>
      <c r="E603" s="25"/>
      <c r="M603" s="12"/>
      <c r="N603" s="118"/>
      <c r="O603" s="118"/>
      <c r="P603" s="118"/>
      <c r="Q603" s="118"/>
    </row>
    <row r="604" spans="2:17" ht="14.25" customHeight="1" x14ac:dyDescent="0.25">
      <c r="B604" s="23"/>
      <c r="D604" s="25"/>
      <c r="E604" s="25"/>
      <c r="M604" s="12"/>
      <c r="N604" s="118"/>
      <c r="O604" s="118"/>
      <c r="P604" s="118"/>
      <c r="Q604" s="118"/>
    </row>
    <row r="605" spans="2:17" ht="14.25" customHeight="1" x14ac:dyDescent="0.25">
      <c r="B605" s="23"/>
      <c r="D605" s="25"/>
      <c r="E605" s="25"/>
      <c r="M605" s="12"/>
      <c r="N605" s="118"/>
      <c r="O605" s="118"/>
      <c r="P605" s="118"/>
      <c r="Q605" s="118"/>
    </row>
    <row r="606" spans="2:17" ht="14.25" customHeight="1" x14ac:dyDescent="0.25">
      <c r="B606" s="23"/>
      <c r="D606" s="25"/>
      <c r="E606" s="25"/>
      <c r="M606" s="12"/>
      <c r="N606" s="118"/>
      <c r="O606" s="118"/>
      <c r="P606" s="118"/>
      <c r="Q606" s="118"/>
    </row>
    <row r="607" spans="2:17" ht="14.25" customHeight="1" x14ac:dyDescent="0.25">
      <c r="B607" s="23"/>
      <c r="D607" s="25"/>
      <c r="E607" s="25"/>
      <c r="M607" s="12"/>
      <c r="N607" s="118"/>
      <c r="O607" s="118"/>
      <c r="P607" s="118"/>
      <c r="Q607" s="118"/>
    </row>
    <row r="608" spans="2:17" ht="14.25" customHeight="1" x14ac:dyDescent="0.25">
      <c r="B608" s="23"/>
      <c r="D608" s="25"/>
      <c r="E608" s="25"/>
      <c r="M608" s="12"/>
      <c r="N608" s="118"/>
      <c r="O608" s="118"/>
      <c r="P608" s="118"/>
      <c r="Q608" s="118"/>
    </row>
    <row r="609" spans="2:17" ht="14.25" customHeight="1" x14ac:dyDescent="0.25">
      <c r="B609" s="23"/>
      <c r="D609" s="25"/>
      <c r="E609" s="25"/>
      <c r="M609" s="12"/>
      <c r="N609" s="118"/>
      <c r="O609" s="118"/>
      <c r="P609" s="118"/>
      <c r="Q609" s="118"/>
    </row>
    <row r="610" spans="2:17" ht="14.25" customHeight="1" x14ac:dyDescent="0.25">
      <c r="B610" s="23"/>
      <c r="D610" s="25"/>
      <c r="E610" s="25"/>
      <c r="M610" s="12"/>
      <c r="N610" s="118"/>
      <c r="O610" s="118"/>
      <c r="P610" s="118"/>
      <c r="Q610" s="118"/>
    </row>
    <row r="611" spans="2:17" ht="14.25" customHeight="1" x14ac:dyDescent="0.25">
      <c r="B611" s="23"/>
      <c r="D611" s="25"/>
      <c r="E611" s="25"/>
      <c r="M611" s="12"/>
      <c r="N611" s="118"/>
      <c r="O611" s="118"/>
      <c r="P611" s="118"/>
      <c r="Q611" s="118"/>
    </row>
    <row r="612" spans="2:17" ht="14.25" customHeight="1" x14ac:dyDescent="0.25">
      <c r="B612" s="23"/>
      <c r="D612" s="25"/>
      <c r="E612" s="25"/>
      <c r="M612" s="12"/>
      <c r="N612" s="118"/>
      <c r="O612" s="118"/>
      <c r="P612" s="118"/>
      <c r="Q612" s="118"/>
    </row>
    <row r="613" spans="2:17" ht="14.25" customHeight="1" x14ac:dyDescent="0.25">
      <c r="B613" s="23"/>
      <c r="D613" s="25"/>
      <c r="E613" s="25"/>
      <c r="M613" s="12"/>
      <c r="N613" s="118"/>
      <c r="O613" s="118"/>
      <c r="P613" s="118"/>
      <c r="Q613" s="118"/>
    </row>
    <row r="614" spans="2:17" ht="14.25" customHeight="1" x14ac:dyDescent="0.25">
      <c r="B614" s="23"/>
      <c r="D614" s="25"/>
      <c r="E614" s="25"/>
      <c r="M614" s="12"/>
      <c r="N614" s="118"/>
      <c r="O614" s="118"/>
      <c r="P614" s="118"/>
      <c r="Q614" s="118"/>
    </row>
    <row r="615" spans="2:17" ht="14.25" customHeight="1" x14ac:dyDescent="0.25">
      <c r="B615" s="23"/>
      <c r="D615" s="25"/>
      <c r="E615" s="25"/>
      <c r="M615" s="12"/>
      <c r="N615" s="118"/>
      <c r="O615" s="118"/>
      <c r="P615" s="118"/>
      <c r="Q615" s="118"/>
    </row>
    <row r="616" spans="2:17" ht="14.25" customHeight="1" x14ac:dyDescent="0.25">
      <c r="B616" s="23"/>
      <c r="D616" s="25"/>
      <c r="E616" s="25"/>
      <c r="M616" s="12"/>
      <c r="N616" s="118"/>
      <c r="O616" s="118"/>
      <c r="P616" s="118"/>
      <c r="Q616" s="118"/>
    </row>
    <row r="617" spans="2:17" ht="14.25" customHeight="1" x14ac:dyDescent="0.25">
      <c r="B617" s="23"/>
      <c r="D617" s="25"/>
      <c r="E617" s="25"/>
      <c r="M617" s="12"/>
      <c r="N617" s="118"/>
      <c r="O617" s="118"/>
      <c r="P617" s="118"/>
      <c r="Q617" s="118"/>
    </row>
    <row r="618" spans="2:17" ht="14.25" customHeight="1" x14ac:dyDescent="0.25">
      <c r="B618" s="23"/>
      <c r="D618" s="25"/>
      <c r="E618" s="25"/>
      <c r="M618" s="12"/>
      <c r="N618" s="118"/>
      <c r="O618" s="118"/>
      <c r="P618" s="118"/>
      <c r="Q618" s="118"/>
    </row>
    <row r="619" spans="2:17" ht="14.25" customHeight="1" x14ac:dyDescent="0.25">
      <c r="B619" s="23"/>
      <c r="D619" s="25"/>
      <c r="E619" s="25"/>
      <c r="M619" s="12"/>
      <c r="N619" s="118"/>
      <c r="O619" s="118"/>
      <c r="P619" s="118"/>
      <c r="Q619" s="118"/>
    </row>
    <row r="620" spans="2:17" ht="14.25" customHeight="1" x14ac:dyDescent="0.25">
      <c r="B620" s="23"/>
      <c r="D620" s="25"/>
      <c r="E620" s="25"/>
      <c r="M620" s="12"/>
      <c r="N620" s="118"/>
      <c r="O620" s="118"/>
      <c r="P620" s="118"/>
      <c r="Q620" s="118"/>
    </row>
    <row r="621" spans="2:17" ht="14.25" customHeight="1" x14ac:dyDescent="0.25">
      <c r="B621" s="23"/>
      <c r="D621" s="25"/>
      <c r="E621" s="25"/>
      <c r="M621" s="12"/>
      <c r="N621" s="118"/>
      <c r="O621" s="118"/>
      <c r="P621" s="118"/>
      <c r="Q621" s="118"/>
    </row>
    <row r="622" spans="2:17" ht="14.25" customHeight="1" x14ac:dyDescent="0.25">
      <c r="B622" s="23"/>
      <c r="D622" s="25"/>
      <c r="E622" s="25"/>
      <c r="M622" s="12"/>
      <c r="N622" s="118"/>
      <c r="O622" s="118"/>
      <c r="P622" s="118"/>
      <c r="Q622" s="118"/>
    </row>
    <row r="623" spans="2:17" ht="14.25" customHeight="1" x14ac:dyDescent="0.25">
      <c r="B623" s="23"/>
      <c r="D623" s="25"/>
      <c r="E623" s="25"/>
      <c r="M623" s="12"/>
      <c r="N623" s="118"/>
      <c r="O623" s="118"/>
      <c r="P623" s="118"/>
      <c r="Q623" s="118"/>
    </row>
    <row r="624" spans="2:17" ht="14.25" customHeight="1" x14ac:dyDescent="0.25">
      <c r="B624" s="23"/>
      <c r="D624" s="25"/>
      <c r="E624" s="25"/>
      <c r="M624" s="12"/>
      <c r="N624" s="118"/>
      <c r="O624" s="118"/>
      <c r="P624" s="118"/>
      <c r="Q624" s="118"/>
    </row>
    <row r="625" spans="2:17" ht="14.25" customHeight="1" x14ac:dyDescent="0.25">
      <c r="B625" s="23"/>
      <c r="D625" s="25"/>
      <c r="E625" s="25"/>
      <c r="M625" s="12"/>
      <c r="N625" s="118"/>
      <c r="O625" s="118"/>
      <c r="P625" s="118"/>
      <c r="Q625" s="118"/>
    </row>
    <row r="626" spans="2:17" ht="14.25" customHeight="1" x14ac:dyDescent="0.25">
      <c r="B626" s="23"/>
      <c r="D626" s="25"/>
      <c r="E626" s="25"/>
      <c r="M626" s="12"/>
      <c r="N626" s="118"/>
      <c r="O626" s="118"/>
      <c r="P626" s="118"/>
      <c r="Q626" s="118"/>
    </row>
    <row r="627" spans="2:17" ht="14.25" customHeight="1" x14ac:dyDescent="0.25">
      <c r="B627" s="23"/>
      <c r="D627" s="25"/>
      <c r="E627" s="25"/>
      <c r="M627" s="12"/>
      <c r="N627" s="118"/>
      <c r="O627" s="118"/>
      <c r="P627" s="118"/>
      <c r="Q627" s="118"/>
    </row>
    <row r="628" spans="2:17" ht="14.25" customHeight="1" x14ac:dyDescent="0.25">
      <c r="B628" s="23"/>
      <c r="D628" s="25"/>
      <c r="E628" s="25"/>
      <c r="M628" s="12"/>
      <c r="N628" s="118"/>
      <c r="O628" s="118"/>
      <c r="P628" s="118"/>
      <c r="Q628" s="118"/>
    </row>
    <row r="629" spans="2:17" ht="14.25" customHeight="1" x14ac:dyDescent="0.25">
      <c r="B629" s="23"/>
      <c r="D629" s="25"/>
      <c r="E629" s="25"/>
      <c r="M629" s="12"/>
      <c r="N629" s="118"/>
      <c r="O629" s="118"/>
      <c r="P629" s="118"/>
      <c r="Q629" s="118"/>
    </row>
    <row r="630" spans="2:17" ht="14.25" customHeight="1" x14ac:dyDescent="0.25">
      <c r="B630" s="23"/>
      <c r="D630" s="25"/>
      <c r="E630" s="25"/>
      <c r="M630" s="12"/>
      <c r="N630" s="118"/>
      <c r="O630" s="118"/>
      <c r="P630" s="118"/>
      <c r="Q630" s="118"/>
    </row>
    <row r="631" spans="2:17" ht="14.25" customHeight="1" x14ac:dyDescent="0.25">
      <c r="B631" s="23"/>
      <c r="D631" s="25"/>
      <c r="E631" s="25"/>
      <c r="M631" s="12"/>
      <c r="N631" s="118"/>
      <c r="O631" s="118"/>
      <c r="P631" s="118"/>
      <c r="Q631" s="118"/>
    </row>
    <row r="632" spans="2:17" ht="14.25" customHeight="1" x14ac:dyDescent="0.25">
      <c r="B632" s="23"/>
      <c r="D632" s="25"/>
      <c r="E632" s="25"/>
      <c r="M632" s="12"/>
      <c r="N632" s="118"/>
      <c r="O632" s="118"/>
      <c r="P632" s="118"/>
      <c r="Q632" s="118"/>
    </row>
    <row r="633" spans="2:17" ht="14.25" customHeight="1" x14ac:dyDescent="0.25">
      <c r="B633" s="23"/>
      <c r="D633" s="25"/>
      <c r="E633" s="25"/>
      <c r="M633" s="12"/>
      <c r="N633" s="118"/>
      <c r="O633" s="118"/>
      <c r="P633" s="118"/>
      <c r="Q633" s="118"/>
    </row>
    <row r="634" spans="2:17" ht="14.25" customHeight="1" x14ac:dyDescent="0.25">
      <c r="B634" s="23"/>
      <c r="D634" s="25"/>
      <c r="E634" s="25"/>
      <c r="M634" s="12"/>
      <c r="N634" s="118"/>
      <c r="O634" s="118"/>
      <c r="P634" s="118"/>
      <c r="Q634" s="118"/>
    </row>
    <row r="635" spans="2:17" ht="14.25" customHeight="1" x14ac:dyDescent="0.25">
      <c r="B635" s="23"/>
      <c r="D635" s="25"/>
      <c r="E635" s="25"/>
      <c r="M635" s="12"/>
      <c r="N635" s="118"/>
      <c r="O635" s="118"/>
      <c r="P635" s="118"/>
      <c r="Q635" s="118"/>
    </row>
    <row r="636" spans="2:17" ht="14.25" customHeight="1" x14ac:dyDescent="0.25">
      <c r="B636" s="23"/>
      <c r="D636" s="25"/>
      <c r="E636" s="25"/>
      <c r="M636" s="12"/>
      <c r="N636" s="118"/>
      <c r="O636" s="118"/>
      <c r="P636" s="118"/>
      <c r="Q636" s="118"/>
    </row>
    <row r="637" spans="2:17" ht="14.25" customHeight="1" x14ac:dyDescent="0.25">
      <c r="B637" s="23"/>
      <c r="D637" s="25"/>
      <c r="E637" s="25"/>
      <c r="M637" s="12"/>
      <c r="N637" s="118"/>
      <c r="O637" s="118"/>
      <c r="P637" s="118"/>
      <c r="Q637" s="118"/>
    </row>
    <row r="638" spans="2:17" ht="14.25" customHeight="1" x14ac:dyDescent="0.25">
      <c r="B638" s="23"/>
      <c r="D638" s="25"/>
      <c r="E638" s="25"/>
      <c r="M638" s="12"/>
      <c r="N638" s="118"/>
      <c r="O638" s="118"/>
      <c r="P638" s="118"/>
      <c r="Q638" s="118"/>
    </row>
    <row r="639" spans="2:17" ht="14.25" customHeight="1" x14ac:dyDescent="0.25">
      <c r="B639" s="23"/>
      <c r="D639" s="25"/>
      <c r="E639" s="25"/>
      <c r="M639" s="12"/>
      <c r="N639" s="118"/>
      <c r="O639" s="118"/>
      <c r="P639" s="118"/>
      <c r="Q639" s="118"/>
    </row>
    <row r="640" spans="2:17" ht="14.25" customHeight="1" x14ac:dyDescent="0.25">
      <c r="B640" s="23"/>
      <c r="D640" s="25"/>
      <c r="E640" s="25"/>
      <c r="M640" s="12"/>
      <c r="N640" s="118"/>
      <c r="O640" s="118"/>
      <c r="P640" s="118"/>
      <c r="Q640" s="118"/>
    </row>
    <row r="641" spans="2:17" ht="14.25" customHeight="1" x14ac:dyDescent="0.25">
      <c r="B641" s="23"/>
      <c r="D641" s="25"/>
      <c r="E641" s="25"/>
      <c r="M641" s="12"/>
      <c r="N641" s="118"/>
      <c r="O641" s="118"/>
      <c r="P641" s="118"/>
      <c r="Q641" s="118"/>
    </row>
    <row r="642" spans="2:17" ht="14.25" customHeight="1" x14ac:dyDescent="0.25">
      <c r="B642" s="23"/>
      <c r="D642" s="25"/>
      <c r="E642" s="25"/>
      <c r="M642" s="12"/>
      <c r="N642" s="118"/>
      <c r="O642" s="118"/>
      <c r="P642" s="118"/>
      <c r="Q642" s="118"/>
    </row>
    <row r="643" spans="2:17" ht="14.25" customHeight="1" x14ac:dyDescent="0.25">
      <c r="B643" s="23"/>
      <c r="D643" s="25"/>
      <c r="E643" s="25"/>
      <c r="M643" s="12"/>
      <c r="N643" s="118"/>
      <c r="O643" s="118"/>
      <c r="P643" s="118"/>
      <c r="Q643" s="118"/>
    </row>
    <row r="644" spans="2:17" ht="14.25" customHeight="1" x14ac:dyDescent="0.25">
      <c r="B644" s="23"/>
      <c r="D644" s="25"/>
      <c r="E644" s="25"/>
      <c r="M644" s="12"/>
      <c r="N644" s="118"/>
      <c r="O644" s="118"/>
      <c r="P644" s="118"/>
      <c r="Q644" s="118"/>
    </row>
    <row r="645" spans="2:17" ht="14.25" customHeight="1" x14ac:dyDescent="0.25">
      <c r="B645" s="23"/>
      <c r="D645" s="25"/>
      <c r="E645" s="25"/>
      <c r="M645" s="12"/>
      <c r="N645" s="118"/>
      <c r="O645" s="118"/>
      <c r="P645" s="118"/>
      <c r="Q645" s="118"/>
    </row>
    <row r="646" spans="2:17" ht="14.25" customHeight="1" x14ac:dyDescent="0.25">
      <c r="B646" s="23"/>
      <c r="D646" s="25"/>
      <c r="E646" s="25"/>
      <c r="M646" s="12"/>
      <c r="N646" s="118"/>
      <c r="O646" s="118"/>
      <c r="P646" s="118"/>
      <c r="Q646" s="118"/>
    </row>
    <row r="647" spans="2:17" ht="14.25" customHeight="1" x14ac:dyDescent="0.25">
      <c r="B647" s="23"/>
      <c r="D647" s="25"/>
      <c r="E647" s="25"/>
      <c r="M647" s="12"/>
      <c r="N647" s="118"/>
      <c r="O647" s="118"/>
      <c r="P647" s="118"/>
      <c r="Q647" s="118"/>
    </row>
    <row r="648" spans="2:17" ht="14.25" customHeight="1" x14ac:dyDescent="0.25">
      <c r="B648" s="23"/>
      <c r="D648" s="25"/>
      <c r="E648" s="25"/>
      <c r="M648" s="12"/>
      <c r="N648" s="118"/>
      <c r="O648" s="118"/>
      <c r="P648" s="118"/>
      <c r="Q648" s="118"/>
    </row>
    <row r="649" spans="2:17" ht="14.25" customHeight="1" x14ac:dyDescent="0.25">
      <c r="B649" s="23"/>
      <c r="D649" s="25"/>
      <c r="E649" s="25"/>
      <c r="M649" s="12"/>
      <c r="N649" s="118"/>
      <c r="O649" s="118"/>
      <c r="P649" s="118"/>
      <c r="Q649" s="118"/>
    </row>
    <row r="650" spans="2:17" ht="14.25" customHeight="1" x14ac:dyDescent="0.25">
      <c r="B650" s="23"/>
      <c r="D650" s="25"/>
      <c r="E650" s="25"/>
      <c r="M650" s="12"/>
      <c r="N650" s="118"/>
      <c r="O650" s="118"/>
      <c r="P650" s="118"/>
      <c r="Q650" s="118"/>
    </row>
    <row r="651" spans="2:17" ht="14.25" customHeight="1" x14ac:dyDescent="0.25">
      <c r="B651" s="23"/>
      <c r="D651" s="25"/>
      <c r="E651" s="25"/>
      <c r="M651" s="12"/>
      <c r="N651" s="118"/>
      <c r="O651" s="118"/>
      <c r="P651" s="118"/>
      <c r="Q651" s="118"/>
    </row>
    <row r="652" spans="2:17" ht="14.25" customHeight="1" x14ac:dyDescent="0.25">
      <c r="B652" s="23"/>
      <c r="D652" s="25"/>
      <c r="E652" s="25"/>
      <c r="M652" s="12"/>
      <c r="N652" s="118"/>
      <c r="O652" s="118"/>
      <c r="P652" s="118"/>
      <c r="Q652" s="118"/>
    </row>
    <row r="653" spans="2:17" ht="14.25" customHeight="1" x14ac:dyDescent="0.25">
      <c r="B653" s="23"/>
      <c r="D653" s="25"/>
      <c r="E653" s="25"/>
      <c r="M653" s="12"/>
      <c r="N653" s="118"/>
      <c r="O653" s="118"/>
      <c r="P653" s="118"/>
      <c r="Q653" s="118"/>
    </row>
    <row r="654" spans="2:17" ht="14.25" customHeight="1" x14ac:dyDescent="0.25">
      <c r="B654" s="23"/>
      <c r="D654" s="25"/>
      <c r="E654" s="25"/>
      <c r="M654" s="12"/>
      <c r="N654" s="118"/>
      <c r="O654" s="118"/>
      <c r="P654" s="118"/>
      <c r="Q654" s="118"/>
    </row>
    <row r="655" spans="2:17" ht="14.25" customHeight="1" x14ac:dyDescent="0.25">
      <c r="B655" s="23"/>
      <c r="D655" s="25"/>
      <c r="E655" s="25"/>
      <c r="M655" s="12"/>
      <c r="N655" s="118"/>
      <c r="O655" s="118"/>
      <c r="P655" s="118"/>
      <c r="Q655" s="118"/>
    </row>
    <row r="656" spans="2:17" ht="14.25" customHeight="1" x14ac:dyDescent="0.25">
      <c r="B656" s="23"/>
      <c r="D656" s="25"/>
      <c r="E656" s="25"/>
      <c r="M656" s="12"/>
      <c r="N656" s="118"/>
      <c r="O656" s="118"/>
      <c r="P656" s="118"/>
      <c r="Q656" s="118"/>
    </row>
    <row r="657" spans="2:17" ht="14.25" customHeight="1" x14ac:dyDescent="0.25">
      <c r="B657" s="23"/>
      <c r="D657" s="25"/>
      <c r="E657" s="25"/>
      <c r="M657" s="12"/>
      <c r="N657" s="118"/>
      <c r="O657" s="118"/>
      <c r="P657" s="118"/>
      <c r="Q657" s="118"/>
    </row>
    <row r="658" spans="2:17" ht="14.25" customHeight="1" x14ac:dyDescent="0.25">
      <c r="B658" s="23"/>
      <c r="D658" s="25"/>
      <c r="E658" s="25"/>
      <c r="M658" s="12"/>
      <c r="N658" s="118"/>
      <c r="O658" s="118"/>
      <c r="P658" s="118"/>
      <c r="Q658" s="118"/>
    </row>
    <row r="659" spans="2:17" ht="14.25" customHeight="1" x14ac:dyDescent="0.25">
      <c r="B659" s="23"/>
      <c r="D659" s="25"/>
      <c r="E659" s="25"/>
      <c r="M659" s="12"/>
      <c r="N659" s="118"/>
      <c r="O659" s="118"/>
      <c r="P659" s="118"/>
      <c r="Q659" s="118"/>
    </row>
    <row r="660" spans="2:17" ht="14.25" customHeight="1" x14ac:dyDescent="0.25">
      <c r="B660" s="23"/>
      <c r="D660" s="25"/>
      <c r="E660" s="25"/>
      <c r="M660" s="12"/>
      <c r="N660" s="118"/>
      <c r="O660" s="118"/>
      <c r="P660" s="118"/>
      <c r="Q660" s="118"/>
    </row>
    <row r="661" spans="2:17" ht="14.25" customHeight="1" x14ac:dyDescent="0.25">
      <c r="B661" s="23"/>
      <c r="D661" s="25"/>
      <c r="E661" s="25"/>
      <c r="M661" s="12"/>
      <c r="N661" s="118"/>
      <c r="O661" s="118"/>
      <c r="P661" s="118"/>
      <c r="Q661" s="118"/>
    </row>
    <row r="662" spans="2:17" ht="14.25" customHeight="1" x14ac:dyDescent="0.25">
      <c r="B662" s="23"/>
      <c r="D662" s="25"/>
      <c r="E662" s="25"/>
      <c r="M662" s="12"/>
      <c r="N662" s="118"/>
      <c r="O662" s="118"/>
      <c r="P662" s="118"/>
      <c r="Q662" s="118"/>
    </row>
    <row r="663" spans="2:17" ht="14.25" customHeight="1" x14ac:dyDescent="0.25">
      <c r="B663" s="23"/>
      <c r="D663" s="25"/>
      <c r="E663" s="25"/>
      <c r="M663" s="12"/>
      <c r="N663" s="118"/>
      <c r="O663" s="118"/>
      <c r="P663" s="118"/>
      <c r="Q663" s="118"/>
    </row>
    <row r="664" spans="2:17" ht="14.25" customHeight="1" x14ac:dyDescent="0.25">
      <c r="B664" s="23"/>
      <c r="D664" s="25"/>
      <c r="E664" s="25"/>
      <c r="M664" s="12"/>
      <c r="N664" s="118"/>
      <c r="O664" s="118"/>
      <c r="P664" s="118"/>
      <c r="Q664" s="118"/>
    </row>
    <row r="665" spans="2:17" ht="14.25" customHeight="1" x14ac:dyDescent="0.25">
      <c r="B665" s="23"/>
      <c r="D665" s="25"/>
      <c r="E665" s="25"/>
      <c r="M665" s="12"/>
      <c r="N665" s="118"/>
      <c r="O665" s="118"/>
      <c r="P665" s="118"/>
      <c r="Q665" s="118"/>
    </row>
    <row r="666" spans="2:17" ht="14.25" customHeight="1" x14ac:dyDescent="0.25">
      <c r="B666" s="23"/>
      <c r="D666" s="25"/>
      <c r="E666" s="25"/>
      <c r="M666" s="12"/>
      <c r="N666" s="118"/>
      <c r="O666" s="118"/>
      <c r="P666" s="118"/>
      <c r="Q666" s="118"/>
    </row>
    <row r="667" spans="2:17" ht="14.25" customHeight="1" x14ac:dyDescent="0.25">
      <c r="B667" s="23"/>
      <c r="D667" s="25"/>
      <c r="E667" s="25"/>
      <c r="M667" s="12"/>
      <c r="N667" s="118"/>
      <c r="O667" s="118"/>
      <c r="P667" s="118"/>
      <c r="Q667" s="118"/>
    </row>
    <row r="668" spans="2:17" ht="14.25" customHeight="1" x14ac:dyDescent="0.25">
      <c r="B668" s="23"/>
      <c r="D668" s="25"/>
      <c r="E668" s="25"/>
      <c r="M668" s="12"/>
      <c r="N668" s="118"/>
      <c r="O668" s="118"/>
      <c r="P668" s="118"/>
      <c r="Q668" s="118"/>
    </row>
    <row r="669" spans="2:17" ht="14.25" customHeight="1" x14ac:dyDescent="0.25">
      <c r="B669" s="23"/>
      <c r="D669" s="25"/>
      <c r="E669" s="25"/>
      <c r="M669" s="12"/>
      <c r="N669" s="118"/>
      <c r="O669" s="118"/>
      <c r="P669" s="118"/>
      <c r="Q669" s="118"/>
    </row>
    <row r="670" spans="2:17" ht="14.25" customHeight="1" x14ac:dyDescent="0.25">
      <c r="B670" s="23"/>
      <c r="D670" s="25"/>
      <c r="E670" s="25"/>
      <c r="M670" s="12"/>
      <c r="N670" s="118"/>
      <c r="O670" s="118"/>
      <c r="P670" s="118"/>
      <c r="Q670" s="118"/>
    </row>
    <row r="671" spans="2:17" ht="14.25" customHeight="1" x14ac:dyDescent="0.25">
      <c r="B671" s="23"/>
      <c r="D671" s="25"/>
      <c r="E671" s="25"/>
      <c r="M671" s="12"/>
      <c r="N671" s="118"/>
      <c r="O671" s="118"/>
      <c r="P671" s="118"/>
      <c r="Q671" s="118"/>
    </row>
    <row r="672" spans="2:17" ht="14.25" customHeight="1" x14ac:dyDescent="0.25">
      <c r="B672" s="23"/>
      <c r="D672" s="25"/>
      <c r="E672" s="25"/>
      <c r="M672" s="12"/>
      <c r="N672" s="118"/>
      <c r="O672" s="118"/>
      <c r="P672" s="118"/>
      <c r="Q672" s="118"/>
    </row>
    <row r="673" spans="2:17" ht="14.25" customHeight="1" x14ac:dyDescent="0.25">
      <c r="B673" s="23"/>
      <c r="D673" s="25"/>
      <c r="E673" s="25"/>
      <c r="M673" s="12"/>
      <c r="N673" s="118"/>
      <c r="O673" s="118"/>
      <c r="P673" s="118"/>
      <c r="Q673" s="118"/>
    </row>
    <row r="674" spans="2:17" ht="14.25" customHeight="1" x14ac:dyDescent="0.25">
      <c r="B674" s="23"/>
      <c r="D674" s="25"/>
      <c r="E674" s="25"/>
      <c r="M674" s="12"/>
      <c r="N674" s="118"/>
      <c r="O674" s="118"/>
      <c r="P674" s="118"/>
      <c r="Q674" s="118"/>
    </row>
    <row r="675" spans="2:17" ht="14.25" customHeight="1" x14ac:dyDescent="0.25">
      <c r="B675" s="23"/>
      <c r="D675" s="25"/>
      <c r="E675" s="25"/>
      <c r="M675" s="12"/>
      <c r="N675" s="118"/>
      <c r="O675" s="118"/>
      <c r="P675" s="118"/>
      <c r="Q675" s="118"/>
    </row>
    <row r="676" spans="2:17" ht="14.25" customHeight="1" x14ac:dyDescent="0.25">
      <c r="B676" s="23"/>
      <c r="D676" s="25"/>
      <c r="E676" s="25"/>
      <c r="M676" s="12"/>
      <c r="N676" s="118"/>
      <c r="O676" s="118"/>
      <c r="P676" s="118"/>
      <c r="Q676" s="118"/>
    </row>
    <row r="677" spans="2:17" ht="14.25" customHeight="1" x14ac:dyDescent="0.25">
      <c r="B677" s="23"/>
      <c r="D677" s="25"/>
      <c r="E677" s="25"/>
      <c r="M677" s="12"/>
      <c r="N677" s="118"/>
      <c r="O677" s="118"/>
      <c r="P677" s="118"/>
      <c r="Q677" s="118"/>
    </row>
    <row r="678" spans="2:17" ht="14.25" customHeight="1" x14ac:dyDescent="0.25">
      <c r="B678" s="23"/>
      <c r="D678" s="25"/>
      <c r="E678" s="25"/>
      <c r="M678" s="12"/>
      <c r="N678" s="118"/>
      <c r="O678" s="118"/>
      <c r="P678" s="118"/>
      <c r="Q678" s="118"/>
    </row>
    <row r="679" spans="2:17" ht="14.25" customHeight="1" x14ac:dyDescent="0.25">
      <c r="B679" s="23"/>
      <c r="D679" s="25"/>
      <c r="E679" s="25"/>
      <c r="M679" s="12"/>
      <c r="N679" s="118"/>
      <c r="O679" s="118"/>
      <c r="P679" s="118"/>
      <c r="Q679" s="118"/>
    </row>
    <row r="680" spans="2:17" ht="14.25" customHeight="1" x14ac:dyDescent="0.25">
      <c r="B680" s="23"/>
      <c r="D680" s="25"/>
      <c r="E680" s="25"/>
      <c r="M680" s="12"/>
      <c r="N680" s="118"/>
      <c r="O680" s="118"/>
      <c r="P680" s="118"/>
      <c r="Q680" s="118"/>
    </row>
    <row r="681" spans="2:17" ht="14.25" customHeight="1" x14ac:dyDescent="0.25">
      <c r="B681" s="23"/>
      <c r="D681" s="25"/>
      <c r="E681" s="25"/>
      <c r="M681" s="12"/>
      <c r="N681" s="118"/>
      <c r="O681" s="118"/>
      <c r="P681" s="118"/>
      <c r="Q681" s="118"/>
    </row>
    <row r="682" spans="2:17" ht="14.25" customHeight="1" x14ac:dyDescent="0.25">
      <c r="B682" s="23"/>
      <c r="D682" s="25"/>
      <c r="E682" s="25"/>
      <c r="M682" s="12"/>
      <c r="N682" s="118"/>
      <c r="O682" s="118"/>
      <c r="P682" s="118"/>
      <c r="Q682" s="118"/>
    </row>
    <row r="683" spans="2:17" ht="14.25" customHeight="1" x14ac:dyDescent="0.25">
      <c r="B683" s="23"/>
      <c r="D683" s="25"/>
      <c r="E683" s="25"/>
      <c r="M683" s="12"/>
      <c r="N683" s="118"/>
      <c r="O683" s="118"/>
      <c r="P683" s="118"/>
      <c r="Q683" s="118"/>
    </row>
    <row r="684" spans="2:17" ht="14.25" customHeight="1" x14ac:dyDescent="0.25">
      <c r="B684" s="23"/>
      <c r="D684" s="25"/>
      <c r="E684" s="25"/>
      <c r="M684" s="12"/>
      <c r="N684" s="118"/>
      <c r="O684" s="118"/>
      <c r="P684" s="118"/>
      <c r="Q684" s="118"/>
    </row>
    <row r="685" spans="2:17" ht="14.25" customHeight="1" x14ac:dyDescent="0.25">
      <c r="B685" s="23"/>
      <c r="D685" s="25"/>
      <c r="E685" s="25"/>
      <c r="M685" s="12"/>
      <c r="N685" s="118"/>
      <c r="O685" s="118"/>
      <c r="P685" s="118"/>
      <c r="Q685" s="118"/>
    </row>
    <row r="686" spans="2:17" ht="14.25" customHeight="1" x14ac:dyDescent="0.25">
      <c r="B686" s="23"/>
      <c r="D686" s="25"/>
      <c r="E686" s="25"/>
      <c r="M686" s="12"/>
      <c r="N686" s="118"/>
      <c r="O686" s="118"/>
      <c r="P686" s="118"/>
      <c r="Q686" s="118"/>
    </row>
    <row r="687" spans="2:17" ht="14.25" customHeight="1" x14ac:dyDescent="0.25">
      <c r="B687" s="23"/>
      <c r="D687" s="25"/>
      <c r="E687" s="25"/>
      <c r="M687" s="12"/>
      <c r="N687" s="118"/>
      <c r="O687" s="118"/>
      <c r="P687" s="118"/>
      <c r="Q687" s="118"/>
    </row>
    <row r="688" spans="2:17" ht="14.25" customHeight="1" x14ac:dyDescent="0.25">
      <c r="B688" s="23"/>
      <c r="D688" s="25"/>
      <c r="E688" s="25"/>
      <c r="M688" s="12"/>
      <c r="N688" s="118"/>
      <c r="O688" s="118"/>
      <c r="P688" s="118"/>
      <c r="Q688" s="118"/>
    </row>
    <row r="689" spans="2:17" ht="14.25" customHeight="1" x14ac:dyDescent="0.25">
      <c r="B689" s="23"/>
      <c r="D689" s="25"/>
      <c r="E689" s="25"/>
      <c r="M689" s="12"/>
      <c r="N689" s="118"/>
      <c r="O689" s="118"/>
      <c r="P689" s="118"/>
      <c r="Q689" s="118"/>
    </row>
    <row r="690" spans="2:17" ht="14.25" customHeight="1" x14ac:dyDescent="0.25">
      <c r="B690" s="23"/>
      <c r="D690" s="25"/>
      <c r="E690" s="25"/>
      <c r="M690" s="12"/>
      <c r="N690" s="118"/>
      <c r="O690" s="118"/>
      <c r="P690" s="118"/>
      <c r="Q690" s="118"/>
    </row>
    <row r="691" spans="2:17" ht="14.25" customHeight="1" x14ac:dyDescent="0.25">
      <c r="B691" s="23"/>
      <c r="D691" s="25"/>
      <c r="E691" s="25"/>
      <c r="M691" s="12"/>
      <c r="N691" s="118"/>
      <c r="O691" s="118"/>
      <c r="P691" s="118"/>
      <c r="Q691" s="118"/>
    </row>
    <row r="692" spans="2:17" ht="14.25" customHeight="1" x14ac:dyDescent="0.25">
      <c r="B692" s="23"/>
      <c r="D692" s="25"/>
      <c r="E692" s="25"/>
      <c r="M692" s="12"/>
      <c r="N692" s="118"/>
      <c r="O692" s="118"/>
      <c r="P692" s="118"/>
      <c r="Q692" s="118"/>
    </row>
    <row r="693" spans="2:17" ht="14.25" customHeight="1" x14ac:dyDescent="0.25">
      <c r="B693" s="23"/>
      <c r="D693" s="25"/>
      <c r="E693" s="25"/>
      <c r="M693" s="12"/>
      <c r="N693" s="118"/>
      <c r="O693" s="118"/>
      <c r="P693" s="118"/>
      <c r="Q693" s="118"/>
    </row>
    <row r="694" spans="2:17" ht="14.25" customHeight="1" x14ac:dyDescent="0.25">
      <c r="B694" s="23"/>
      <c r="D694" s="25"/>
      <c r="E694" s="25"/>
      <c r="M694" s="12"/>
      <c r="N694" s="118"/>
      <c r="O694" s="118"/>
      <c r="P694" s="118"/>
      <c r="Q694" s="118"/>
    </row>
    <row r="695" spans="2:17" ht="14.25" customHeight="1" x14ac:dyDescent="0.25">
      <c r="B695" s="23"/>
      <c r="D695" s="25"/>
      <c r="E695" s="25"/>
      <c r="M695" s="12"/>
      <c r="N695" s="118"/>
      <c r="O695" s="118"/>
      <c r="P695" s="118"/>
      <c r="Q695" s="118"/>
    </row>
    <row r="696" spans="2:17" ht="14.25" customHeight="1" x14ac:dyDescent="0.25">
      <c r="B696" s="23"/>
      <c r="D696" s="25"/>
      <c r="E696" s="25"/>
      <c r="M696" s="12"/>
      <c r="N696" s="118"/>
      <c r="O696" s="118"/>
      <c r="P696" s="118"/>
      <c r="Q696" s="118"/>
    </row>
    <row r="697" spans="2:17" ht="14.25" customHeight="1" x14ac:dyDescent="0.25">
      <c r="B697" s="23"/>
      <c r="D697" s="25"/>
      <c r="E697" s="25"/>
      <c r="M697" s="12"/>
      <c r="N697" s="118"/>
      <c r="O697" s="118"/>
      <c r="P697" s="118"/>
      <c r="Q697" s="118"/>
    </row>
    <row r="698" spans="2:17" ht="14.25" customHeight="1" x14ac:dyDescent="0.25">
      <c r="B698" s="23"/>
      <c r="D698" s="25"/>
      <c r="E698" s="25"/>
      <c r="M698" s="12"/>
      <c r="N698" s="118"/>
      <c r="O698" s="118"/>
      <c r="P698" s="118"/>
      <c r="Q698" s="118"/>
    </row>
    <row r="699" spans="2:17" ht="14.25" customHeight="1" x14ac:dyDescent="0.25">
      <c r="B699" s="23"/>
      <c r="D699" s="25"/>
      <c r="E699" s="25"/>
      <c r="M699" s="12"/>
      <c r="N699" s="118"/>
      <c r="O699" s="118"/>
      <c r="P699" s="118"/>
      <c r="Q699" s="118"/>
    </row>
    <row r="700" spans="2:17" ht="14.25" customHeight="1" x14ac:dyDescent="0.25">
      <c r="B700" s="23"/>
      <c r="D700" s="25"/>
      <c r="E700" s="25"/>
      <c r="M700" s="12"/>
      <c r="N700" s="118"/>
      <c r="O700" s="118"/>
      <c r="P700" s="118"/>
      <c r="Q700" s="118"/>
    </row>
    <row r="701" spans="2:17" ht="14.25" customHeight="1" x14ac:dyDescent="0.25">
      <c r="B701" s="23"/>
      <c r="D701" s="25"/>
      <c r="E701" s="25"/>
      <c r="M701" s="12"/>
      <c r="N701" s="118"/>
      <c r="O701" s="118"/>
      <c r="P701" s="118"/>
      <c r="Q701" s="118"/>
    </row>
    <row r="702" spans="2:17" ht="14.25" customHeight="1" x14ac:dyDescent="0.25">
      <c r="B702" s="23"/>
      <c r="D702" s="25"/>
      <c r="E702" s="25"/>
      <c r="M702" s="12"/>
      <c r="N702" s="118"/>
      <c r="O702" s="118"/>
      <c r="P702" s="118"/>
      <c r="Q702" s="118"/>
    </row>
    <row r="703" spans="2:17" ht="14.25" customHeight="1" x14ac:dyDescent="0.25">
      <c r="B703" s="23"/>
      <c r="D703" s="25"/>
      <c r="E703" s="25"/>
      <c r="M703" s="12"/>
      <c r="N703" s="118"/>
      <c r="O703" s="118"/>
      <c r="P703" s="118"/>
      <c r="Q703" s="118"/>
    </row>
    <row r="704" spans="2:17" ht="14.25" customHeight="1" x14ac:dyDescent="0.25">
      <c r="B704" s="23"/>
      <c r="D704" s="25"/>
      <c r="E704" s="25"/>
      <c r="M704" s="12"/>
      <c r="N704" s="118"/>
      <c r="O704" s="118"/>
      <c r="P704" s="118"/>
      <c r="Q704" s="118"/>
    </row>
    <row r="705" spans="2:17" ht="14.25" customHeight="1" x14ac:dyDescent="0.25">
      <c r="B705" s="23"/>
      <c r="D705" s="25"/>
      <c r="E705" s="25"/>
      <c r="M705" s="12"/>
      <c r="N705" s="118"/>
      <c r="O705" s="118"/>
      <c r="P705" s="118"/>
      <c r="Q705" s="118"/>
    </row>
    <row r="706" spans="2:17" ht="14.25" customHeight="1" x14ac:dyDescent="0.25">
      <c r="B706" s="23"/>
      <c r="D706" s="25"/>
      <c r="E706" s="25"/>
      <c r="M706" s="12"/>
      <c r="N706" s="118"/>
      <c r="O706" s="118"/>
      <c r="P706" s="118"/>
      <c r="Q706" s="118"/>
    </row>
    <row r="707" spans="2:17" ht="14.25" customHeight="1" x14ac:dyDescent="0.25">
      <c r="B707" s="23"/>
      <c r="D707" s="25"/>
      <c r="E707" s="25"/>
      <c r="M707" s="12"/>
      <c r="N707" s="118"/>
      <c r="O707" s="118"/>
      <c r="P707" s="118"/>
      <c r="Q707" s="118"/>
    </row>
    <row r="708" spans="2:17" ht="14.25" customHeight="1" x14ac:dyDescent="0.25">
      <c r="B708" s="23"/>
      <c r="D708" s="25"/>
      <c r="E708" s="25"/>
      <c r="M708" s="12"/>
      <c r="N708" s="118"/>
      <c r="O708" s="118"/>
      <c r="P708" s="118"/>
      <c r="Q708" s="118"/>
    </row>
    <row r="709" spans="2:17" ht="14.25" customHeight="1" x14ac:dyDescent="0.25">
      <c r="B709" s="23"/>
      <c r="D709" s="25"/>
      <c r="E709" s="25"/>
      <c r="M709" s="12"/>
      <c r="N709" s="118"/>
      <c r="O709" s="118"/>
      <c r="P709" s="118"/>
      <c r="Q709" s="118"/>
    </row>
    <row r="710" spans="2:17" ht="14.25" customHeight="1" x14ac:dyDescent="0.25">
      <c r="B710" s="23"/>
      <c r="D710" s="25"/>
      <c r="E710" s="25"/>
      <c r="M710" s="12"/>
      <c r="N710" s="118"/>
      <c r="O710" s="118"/>
      <c r="P710" s="118"/>
      <c r="Q710" s="118"/>
    </row>
    <row r="711" spans="2:17" ht="14.25" customHeight="1" x14ac:dyDescent="0.25">
      <c r="B711" s="23"/>
      <c r="D711" s="25"/>
      <c r="E711" s="25"/>
      <c r="M711" s="12"/>
      <c r="N711" s="118"/>
      <c r="O711" s="118"/>
      <c r="P711" s="118"/>
      <c r="Q711" s="118"/>
    </row>
    <row r="712" spans="2:17" ht="14.25" customHeight="1" x14ac:dyDescent="0.25">
      <c r="B712" s="23"/>
      <c r="D712" s="25"/>
      <c r="E712" s="25"/>
      <c r="M712" s="12"/>
      <c r="N712" s="118"/>
      <c r="O712" s="118"/>
      <c r="P712" s="118"/>
      <c r="Q712" s="118"/>
    </row>
    <row r="713" spans="2:17" ht="14.25" customHeight="1" x14ac:dyDescent="0.25">
      <c r="B713" s="23"/>
      <c r="D713" s="25"/>
      <c r="E713" s="25"/>
      <c r="M713" s="12"/>
      <c r="N713" s="118"/>
      <c r="O713" s="118"/>
      <c r="P713" s="118"/>
      <c r="Q713" s="118"/>
    </row>
    <row r="714" spans="2:17" ht="14.25" customHeight="1" x14ac:dyDescent="0.25">
      <c r="B714" s="23"/>
      <c r="D714" s="25"/>
      <c r="E714" s="25"/>
      <c r="M714" s="12"/>
      <c r="N714" s="118"/>
      <c r="O714" s="118"/>
      <c r="P714" s="118"/>
      <c r="Q714" s="118"/>
    </row>
    <row r="715" spans="2:17" ht="14.25" customHeight="1" x14ac:dyDescent="0.25">
      <c r="B715" s="23"/>
      <c r="D715" s="25"/>
      <c r="E715" s="25"/>
      <c r="M715" s="12"/>
      <c r="N715" s="118"/>
      <c r="O715" s="118"/>
      <c r="P715" s="118"/>
      <c r="Q715" s="118"/>
    </row>
    <row r="716" spans="2:17" ht="14.25" customHeight="1" x14ac:dyDescent="0.25">
      <c r="B716" s="23"/>
      <c r="D716" s="25"/>
      <c r="E716" s="25"/>
      <c r="M716" s="12"/>
      <c r="N716" s="118"/>
      <c r="O716" s="118"/>
      <c r="P716" s="118"/>
      <c r="Q716" s="118"/>
    </row>
    <row r="717" spans="2:17" ht="14.25" customHeight="1" x14ac:dyDescent="0.25">
      <c r="B717" s="23"/>
      <c r="D717" s="25"/>
      <c r="E717" s="25"/>
      <c r="M717" s="12"/>
      <c r="N717" s="118"/>
      <c r="O717" s="118"/>
      <c r="P717" s="118"/>
      <c r="Q717" s="118"/>
    </row>
    <row r="718" spans="2:17" ht="14.25" customHeight="1" x14ac:dyDescent="0.25">
      <c r="B718" s="23"/>
      <c r="D718" s="25"/>
      <c r="E718" s="25"/>
      <c r="M718" s="12"/>
      <c r="N718" s="118"/>
      <c r="O718" s="118"/>
      <c r="P718" s="118"/>
      <c r="Q718" s="118"/>
    </row>
    <row r="719" spans="2:17" ht="14.25" customHeight="1" x14ac:dyDescent="0.25">
      <c r="B719" s="23"/>
      <c r="D719" s="25"/>
      <c r="E719" s="25"/>
      <c r="M719" s="12"/>
      <c r="N719" s="118"/>
      <c r="O719" s="118"/>
      <c r="P719" s="118"/>
      <c r="Q719" s="118"/>
    </row>
    <row r="720" spans="2:17" ht="14.25" customHeight="1" x14ac:dyDescent="0.25">
      <c r="B720" s="23"/>
      <c r="D720" s="25"/>
      <c r="E720" s="25"/>
      <c r="M720" s="12"/>
      <c r="N720" s="118"/>
      <c r="O720" s="118"/>
      <c r="P720" s="118"/>
      <c r="Q720" s="118"/>
    </row>
    <row r="721" spans="2:17" ht="14.25" customHeight="1" x14ac:dyDescent="0.25">
      <c r="B721" s="23"/>
      <c r="D721" s="25"/>
      <c r="E721" s="25"/>
      <c r="M721" s="12"/>
      <c r="N721" s="118"/>
      <c r="O721" s="118"/>
      <c r="P721" s="118"/>
      <c r="Q721" s="118"/>
    </row>
    <row r="722" spans="2:17" ht="14.25" customHeight="1" x14ac:dyDescent="0.25">
      <c r="B722" s="23"/>
      <c r="D722" s="25"/>
      <c r="E722" s="25"/>
      <c r="M722" s="12"/>
      <c r="N722" s="118"/>
      <c r="O722" s="118"/>
      <c r="P722" s="118"/>
      <c r="Q722" s="118"/>
    </row>
    <row r="723" spans="2:17" ht="14.25" customHeight="1" x14ac:dyDescent="0.25">
      <c r="B723" s="23"/>
      <c r="D723" s="25"/>
      <c r="E723" s="25"/>
      <c r="M723" s="12"/>
      <c r="N723" s="118"/>
      <c r="O723" s="118"/>
      <c r="P723" s="118"/>
      <c r="Q723" s="118"/>
    </row>
    <row r="724" spans="2:17" ht="14.25" customHeight="1" x14ac:dyDescent="0.25">
      <c r="B724" s="23"/>
      <c r="D724" s="25"/>
      <c r="E724" s="25"/>
      <c r="M724" s="12"/>
      <c r="N724" s="118"/>
      <c r="O724" s="118"/>
      <c r="P724" s="118"/>
      <c r="Q724" s="118"/>
    </row>
    <row r="725" spans="2:17" ht="14.25" customHeight="1" x14ac:dyDescent="0.25">
      <c r="B725" s="23"/>
      <c r="D725" s="25"/>
      <c r="E725" s="25"/>
      <c r="M725" s="12"/>
      <c r="N725" s="118"/>
      <c r="O725" s="118"/>
      <c r="P725" s="118"/>
      <c r="Q725" s="118"/>
    </row>
    <row r="726" spans="2:17" ht="14.25" customHeight="1" x14ac:dyDescent="0.25">
      <c r="B726" s="23"/>
      <c r="D726" s="25"/>
      <c r="E726" s="25"/>
      <c r="M726" s="12"/>
      <c r="N726" s="118"/>
      <c r="O726" s="118"/>
      <c r="P726" s="118"/>
      <c r="Q726" s="118"/>
    </row>
    <row r="727" spans="2:17" ht="14.25" customHeight="1" x14ac:dyDescent="0.25">
      <c r="B727" s="23"/>
      <c r="D727" s="25"/>
      <c r="E727" s="25"/>
      <c r="M727" s="12"/>
      <c r="N727" s="118"/>
      <c r="O727" s="118"/>
      <c r="P727" s="118"/>
      <c r="Q727" s="118"/>
    </row>
    <row r="728" spans="2:17" ht="14.25" customHeight="1" x14ac:dyDescent="0.25">
      <c r="B728" s="23"/>
      <c r="D728" s="25"/>
      <c r="E728" s="25"/>
      <c r="M728" s="12"/>
      <c r="N728" s="118"/>
      <c r="O728" s="118"/>
      <c r="P728" s="118"/>
      <c r="Q728" s="118"/>
    </row>
    <row r="729" spans="2:17" ht="14.25" customHeight="1" x14ac:dyDescent="0.25">
      <c r="B729" s="23"/>
      <c r="D729" s="25"/>
      <c r="E729" s="25"/>
      <c r="M729" s="12"/>
      <c r="N729" s="118"/>
      <c r="O729" s="118"/>
      <c r="P729" s="118"/>
      <c r="Q729" s="118"/>
    </row>
    <row r="730" spans="2:17" ht="14.25" customHeight="1" x14ac:dyDescent="0.25">
      <c r="B730" s="23"/>
      <c r="D730" s="25"/>
      <c r="E730" s="25"/>
      <c r="M730" s="12"/>
      <c r="N730" s="118"/>
      <c r="O730" s="118"/>
      <c r="P730" s="118"/>
      <c r="Q730" s="118"/>
    </row>
    <row r="731" spans="2:17" ht="14.25" customHeight="1" x14ac:dyDescent="0.25">
      <c r="B731" s="23"/>
      <c r="D731" s="25"/>
      <c r="E731" s="25"/>
      <c r="M731" s="12"/>
      <c r="N731" s="118"/>
      <c r="O731" s="118"/>
      <c r="P731" s="118"/>
      <c r="Q731" s="118"/>
    </row>
    <row r="732" spans="2:17" ht="14.25" customHeight="1" x14ac:dyDescent="0.25">
      <c r="B732" s="23"/>
      <c r="D732" s="25"/>
      <c r="E732" s="25"/>
      <c r="M732" s="12"/>
      <c r="N732" s="118"/>
      <c r="O732" s="118"/>
      <c r="P732" s="118"/>
      <c r="Q732" s="118"/>
    </row>
    <row r="733" spans="2:17" ht="14.25" customHeight="1" x14ac:dyDescent="0.25">
      <c r="B733" s="23"/>
      <c r="D733" s="25"/>
      <c r="E733" s="25"/>
      <c r="M733" s="12"/>
      <c r="N733" s="118"/>
      <c r="O733" s="118"/>
      <c r="P733" s="118"/>
      <c r="Q733" s="118"/>
    </row>
    <row r="734" spans="2:17" ht="14.25" customHeight="1" x14ac:dyDescent="0.25">
      <c r="B734" s="23"/>
      <c r="D734" s="25"/>
      <c r="E734" s="25"/>
      <c r="M734" s="12"/>
      <c r="N734" s="118"/>
      <c r="O734" s="118"/>
      <c r="P734" s="118"/>
      <c r="Q734" s="118"/>
    </row>
    <row r="735" spans="2:17" ht="14.25" customHeight="1" x14ac:dyDescent="0.25">
      <c r="B735" s="23"/>
      <c r="D735" s="25"/>
      <c r="E735" s="25"/>
      <c r="M735" s="12"/>
      <c r="N735" s="118"/>
      <c r="O735" s="118"/>
      <c r="P735" s="118"/>
      <c r="Q735" s="118"/>
    </row>
    <row r="736" spans="2:17" ht="14.25" customHeight="1" x14ac:dyDescent="0.25">
      <c r="B736" s="23"/>
      <c r="D736" s="25"/>
      <c r="E736" s="25"/>
      <c r="M736" s="12"/>
      <c r="N736" s="118"/>
      <c r="O736" s="118"/>
      <c r="P736" s="118"/>
      <c r="Q736" s="118"/>
    </row>
    <row r="737" spans="2:17" ht="14.25" customHeight="1" x14ac:dyDescent="0.25">
      <c r="B737" s="23"/>
      <c r="D737" s="25"/>
      <c r="E737" s="25"/>
      <c r="M737" s="12"/>
      <c r="N737" s="118"/>
      <c r="O737" s="118"/>
      <c r="P737" s="118"/>
      <c r="Q737" s="118"/>
    </row>
    <row r="738" spans="2:17" ht="14.25" customHeight="1" x14ac:dyDescent="0.25">
      <c r="B738" s="23"/>
      <c r="D738" s="25"/>
      <c r="E738" s="25"/>
      <c r="M738" s="12"/>
      <c r="N738" s="118"/>
      <c r="O738" s="118"/>
      <c r="P738" s="118"/>
      <c r="Q738" s="118"/>
    </row>
    <row r="739" spans="2:17" ht="14.25" customHeight="1" x14ac:dyDescent="0.25">
      <c r="B739" s="23"/>
      <c r="D739" s="25"/>
      <c r="E739" s="25"/>
      <c r="M739" s="12"/>
      <c r="N739" s="118"/>
      <c r="O739" s="118"/>
      <c r="P739" s="118"/>
      <c r="Q739" s="118"/>
    </row>
    <row r="740" spans="2:17" ht="14.25" customHeight="1" x14ac:dyDescent="0.25">
      <c r="B740" s="23"/>
      <c r="D740" s="25"/>
      <c r="E740" s="25"/>
      <c r="M740" s="12"/>
      <c r="N740" s="118"/>
      <c r="O740" s="118"/>
      <c r="P740" s="118"/>
      <c r="Q740" s="118"/>
    </row>
    <row r="741" spans="2:17" ht="14.25" customHeight="1" x14ac:dyDescent="0.25">
      <c r="B741" s="23"/>
      <c r="D741" s="25"/>
      <c r="E741" s="25"/>
      <c r="M741" s="12"/>
      <c r="N741" s="118"/>
      <c r="O741" s="118"/>
      <c r="P741" s="118"/>
      <c r="Q741" s="118"/>
    </row>
    <row r="742" spans="2:17" ht="14.25" customHeight="1" x14ac:dyDescent="0.25">
      <c r="B742" s="23"/>
      <c r="D742" s="25"/>
      <c r="E742" s="25"/>
      <c r="M742" s="12"/>
      <c r="N742" s="118"/>
      <c r="O742" s="118"/>
      <c r="P742" s="118"/>
      <c r="Q742" s="118"/>
    </row>
    <row r="743" spans="2:17" ht="14.25" customHeight="1" x14ac:dyDescent="0.25">
      <c r="B743" s="23"/>
      <c r="D743" s="25"/>
      <c r="E743" s="25"/>
      <c r="M743" s="12"/>
      <c r="N743" s="118"/>
      <c r="O743" s="118"/>
      <c r="P743" s="118"/>
      <c r="Q743" s="118"/>
    </row>
    <row r="744" spans="2:17" ht="14.25" customHeight="1" x14ac:dyDescent="0.25">
      <c r="B744" s="23"/>
      <c r="D744" s="25"/>
      <c r="E744" s="25"/>
      <c r="M744" s="12"/>
      <c r="N744" s="118"/>
      <c r="O744" s="118"/>
      <c r="P744" s="118"/>
      <c r="Q744" s="118"/>
    </row>
    <row r="745" spans="2:17" ht="14.25" customHeight="1" x14ac:dyDescent="0.25">
      <c r="B745" s="23"/>
      <c r="D745" s="25"/>
      <c r="E745" s="25"/>
      <c r="M745" s="12"/>
      <c r="N745" s="118"/>
      <c r="O745" s="118"/>
      <c r="P745" s="118"/>
      <c r="Q745" s="118"/>
    </row>
    <row r="746" spans="2:17" ht="14.25" customHeight="1" x14ac:dyDescent="0.25">
      <c r="B746" s="23"/>
      <c r="D746" s="25"/>
      <c r="E746" s="25"/>
      <c r="M746" s="12"/>
      <c r="N746" s="118"/>
      <c r="O746" s="118"/>
      <c r="P746" s="118"/>
      <c r="Q746" s="118"/>
    </row>
    <row r="747" spans="2:17" ht="14.25" customHeight="1" x14ac:dyDescent="0.25">
      <c r="B747" s="23"/>
      <c r="D747" s="25"/>
      <c r="E747" s="25"/>
      <c r="M747" s="12"/>
      <c r="N747" s="118"/>
      <c r="O747" s="118"/>
      <c r="P747" s="118"/>
      <c r="Q747" s="118"/>
    </row>
    <row r="748" spans="2:17" ht="14.25" customHeight="1" x14ac:dyDescent="0.25">
      <c r="B748" s="23"/>
      <c r="D748" s="25"/>
      <c r="E748" s="25"/>
      <c r="M748" s="12"/>
      <c r="N748" s="118"/>
      <c r="O748" s="118"/>
      <c r="P748" s="118"/>
      <c r="Q748" s="118"/>
    </row>
    <row r="749" spans="2:17" ht="14.25" customHeight="1" x14ac:dyDescent="0.25">
      <c r="B749" s="23"/>
      <c r="D749" s="25"/>
      <c r="E749" s="25"/>
      <c r="M749" s="12"/>
      <c r="N749" s="118"/>
      <c r="O749" s="118"/>
      <c r="P749" s="118"/>
      <c r="Q749" s="118"/>
    </row>
    <row r="750" spans="2:17" ht="14.25" customHeight="1" x14ac:dyDescent="0.25">
      <c r="B750" s="23"/>
      <c r="D750" s="25"/>
      <c r="E750" s="25"/>
      <c r="M750" s="12"/>
      <c r="N750" s="118"/>
      <c r="O750" s="118"/>
      <c r="P750" s="118"/>
      <c r="Q750" s="118"/>
    </row>
    <row r="751" spans="2:17" ht="14.25" customHeight="1" x14ac:dyDescent="0.25">
      <c r="B751" s="23"/>
      <c r="D751" s="25"/>
      <c r="E751" s="25"/>
      <c r="M751" s="12"/>
      <c r="N751" s="118"/>
      <c r="O751" s="118"/>
      <c r="P751" s="118"/>
      <c r="Q751" s="118"/>
    </row>
    <row r="752" spans="2:17" ht="14.25" customHeight="1" x14ac:dyDescent="0.25">
      <c r="B752" s="23"/>
      <c r="D752" s="25"/>
      <c r="E752" s="25"/>
      <c r="M752" s="12"/>
      <c r="N752" s="118"/>
      <c r="O752" s="118"/>
      <c r="P752" s="118"/>
      <c r="Q752" s="118"/>
    </row>
    <row r="753" spans="2:17" ht="14.25" customHeight="1" x14ac:dyDescent="0.25">
      <c r="B753" s="23"/>
      <c r="D753" s="25"/>
      <c r="E753" s="25"/>
      <c r="M753" s="12"/>
      <c r="N753" s="118"/>
      <c r="O753" s="118"/>
      <c r="P753" s="118"/>
      <c r="Q753" s="118"/>
    </row>
    <row r="754" spans="2:17" ht="14.25" customHeight="1" x14ac:dyDescent="0.25">
      <c r="B754" s="23"/>
      <c r="D754" s="25"/>
      <c r="E754" s="25"/>
      <c r="M754" s="12"/>
      <c r="N754" s="118"/>
      <c r="O754" s="118"/>
      <c r="P754" s="118"/>
      <c r="Q754" s="118"/>
    </row>
    <row r="755" spans="2:17" ht="14.25" customHeight="1" x14ac:dyDescent="0.25">
      <c r="B755" s="23"/>
      <c r="D755" s="25"/>
      <c r="E755" s="25"/>
      <c r="M755" s="12"/>
      <c r="N755" s="118"/>
      <c r="O755" s="118"/>
      <c r="P755" s="118"/>
      <c r="Q755" s="118"/>
    </row>
    <row r="756" spans="2:17" ht="14.25" customHeight="1" x14ac:dyDescent="0.25">
      <c r="B756" s="23"/>
      <c r="D756" s="25"/>
      <c r="E756" s="25"/>
      <c r="M756" s="12"/>
      <c r="N756" s="118"/>
      <c r="O756" s="118"/>
      <c r="P756" s="118"/>
      <c r="Q756" s="118"/>
    </row>
    <row r="757" spans="2:17" ht="14.25" customHeight="1" x14ac:dyDescent="0.25">
      <c r="B757" s="23"/>
      <c r="D757" s="25"/>
      <c r="E757" s="25"/>
      <c r="M757" s="12"/>
      <c r="N757" s="118"/>
      <c r="O757" s="118"/>
      <c r="P757" s="118"/>
      <c r="Q757" s="118"/>
    </row>
    <row r="758" spans="2:17" ht="14.25" customHeight="1" x14ac:dyDescent="0.25">
      <c r="B758" s="23"/>
      <c r="D758" s="25"/>
      <c r="E758" s="25"/>
      <c r="M758" s="12"/>
      <c r="N758" s="118"/>
      <c r="O758" s="118"/>
      <c r="P758" s="118"/>
      <c r="Q758" s="118"/>
    </row>
    <row r="759" spans="2:17" ht="14.25" customHeight="1" x14ac:dyDescent="0.25">
      <c r="B759" s="23"/>
      <c r="D759" s="25"/>
      <c r="E759" s="25"/>
      <c r="M759" s="12"/>
      <c r="N759" s="118"/>
      <c r="O759" s="118"/>
      <c r="P759" s="118"/>
      <c r="Q759" s="118"/>
    </row>
    <row r="760" spans="2:17" ht="14.25" customHeight="1" x14ac:dyDescent="0.25">
      <c r="B760" s="23"/>
      <c r="D760" s="25"/>
      <c r="E760" s="25"/>
      <c r="M760" s="12"/>
      <c r="N760" s="118"/>
      <c r="O760" s="118"/>
      <c r="P760" s="118"/>
      <c r="Q760" s="118"/>
    </row>
    <row r="761" spans="2:17" ht="14.25" customHeight="1" x14ac:dyDescent="0.25">
      <c r="B761" s="23"/>
      <c r="D761" s="25"/>
      <c r="E761" s="25"/>
      <c r="M761" s="12"/>
      <c r="N761" s="118"/>
      <c r="O761" s="118"/>
      <c r="P761" s="118"/>
      <c r="Q761" s="118"/>
    </row>
    <row r="762" spans="2:17" ht="14.25" customHeight="1" x14ac:dyDescent="0.25">
      <c r="B762" s="23"/>
      <c r="D762" s="25"/>
      <c r="E762" s="25"/>
      <c r="M762" s="12"/>
      <c r="N762" s="118"/>
      <c r="O762" s="118"/>
      <c r="P762" s="118"/>
      <c r="Q762" s="118"/>
    </row>
    <row r="763" spans="2:17" ht="14.25" customHeight="1" x14ac:dyDescent="0.25">
      <c r="B763" s="23"/>
      <c r="D763" s="25"/>
      <c r="E763" s="25"/>
      <c r="M763" s="12"/>
      <c r="N763" s="118"/>
      <c r="O763" s="118"/>
      <c r="P763" s="118"/>
      <c r="Q763" s="118"/>
    </row>
    <row r="764" spans="2:17" ht="14.25" customHeight="1" x14ac:dyDescent="0.25">
      <c r="B764" s="23"/>
      <c r="D764" s="25"/>
      <c r="E764" s="25"/>
      <c r="M764" s="12"/>
      <c r="N764" s="118"/>
      <c r="O764" s="118"/>
      <c r="P764" s="118"/>
      <c r="Q764" s="118"/>
    </row>
    <row r="765" spans="2:17" ht="14.25" customHeight="1" x14ac:dyDescent="0.25">
      <c r="B765" s="23"/>
      <c r="D765" s="25"/>
      <c r="E765" s="25"/>
      <c r="M765" s="12"/>
      <c r="N765" s="118"/>
      <c r="O765" s="118"/>
      <c r="P765" s="118"/>
      <c r="Q765" s="118"/>
    </row>
    <row r="766" spans="2:17" ht="14.25" customHeight="1" x14ac:dyDescent="0.25">
      <c r="B766" s="23"/>
      <c r="D766" s="25"/>
      <c r="E766" s="25"/>
      <c r="M766" s="12"/>
      <c r="N766" s="118"/>
      <c r="O766" s="118"/>
      <c r="P766" s="118"/>
      <c r="Q766" s="118"/>
    </row>
    <row r="767" spans="2:17" ht="14.25" customHeight="1" x14ac:dyDescent="0.25">
      <c r="B767" s="23"/>
      <c r="D767" s="25"/>
      <c r="E767" s="25"/>
      <c r="M767" s="12"/>
      <c r="N767" s="118"/>
      <c r="O767" s="118"/>
      <c r="P767" s="118"/>
      <c r="Q767" s="118"/>
    </row>
    <row r="768" spans="2:17" ht="14.25" customHeight="1" x14ac:dyDescent="0.25">
      <c r="B768" s="23"/>
      <c r="D768" s="25"/>
      <c r="E768" s="25"/>
      <c r="M768" s="12"/>
      <c r="N768" s="118"/>
      <c r="O768" s="118"/>
      <c r="P768" s="118"/>
      <c r="Q768" s="118"/>
    </row>
    <row r="769" spans="2:17" ht="14.25" customHeight="1" x14ac:dyDescent="0.25">
      <c r="B769" s="23"/>
      <c r="D769" s="25"/>
      <c r="E769" s="25"/>
      <c r="M769" s="12"/>
      <c r="N769" s="118"/>
      <c r="O769" s="118"/>
      <c r="P769" s="118"/>
      <c r="Q769" s="118"/>
    </row>
    <row r="770" spans="2:17" ht="14.25" customHeight="1" x14ac:dyDescent="0.25">
      <c r="B770" s="23"/>
      <c r="D770" s="25"/>
      <c r="E770" s="25"/>
      <c r="M770" s="12"/>
      <c r="N770" s="118"/>
      <c r="O770" s="118"/>
      <c r="P770" s="118"/>
      <c r="Q770" s="118"/>
    </row>
    <row r="771" spans="2:17" ht="14.25" customHeight="1" x14ac:dyDescent="0.25">
      <c r="B771" s="23"/>
      <c r="D771" s="25"/>
      <c r="E771" s="25"/>
      <c r="M771" s="12"/>
      <c r="N771" s="118"/>
      <c r="O771" s="118"/>
      <c r="P771" s="118"/>
      <c r="Q771" s="118"/>
    </row>
    <row r="772" spans="2:17" ht="14.25" customHeight="1" x14ac:dyDescent="0.25">
      <c r="B772" s="23"/>
      <c r="D772" s="25"/>
      <c r="E772" s="25"/>
      <c r="M772" s="12"/>
      <c r="N772" s="118"/>
      <c r="O772" s="118"/>
      <c r="P772" s="118"/>
      <c r="Q772" s="118"/>
    </row>
    <row r="773" spans="2:17" ht="14.25" customHeight="1" x14ac:dyDescent="0.25">
      <c r="B773" s="23"/>
      <c r="D773" s="25"/>
      <c r="E773" s="25"/>
      <c r="M773" s="12"/>
      <c r="N773" s="118"/>
      <c r="O773" s="118"/>
      <c r="P773" s="118"/>
      <c r="Q773" s="118"/>
    </row>
    <row r="774" spans="2:17" ht="14.25" customHeight="1" x14ac:dyDescent="0.25">
      <c r="B774" s="23"/>
      <c r="D774" s="25"/>
      <c r="E774" s="25"/>
      <c r="M774" s="12"/>
      <c r="N774" s="118"/>
      <c r="O774" s="118"/>
      <c r="P774" s="118"/>
      <c r="Q774" s="118"/>
    </row>
    <row r="775" spans="2:17" ht="14.25" customHeight="1" x14ac:dyDescent="0.25">
      <c r="B775" s="23"/>
      <c r="D775" s="25"/>
      <c r="E775" s="25"/>
      <c r="M775" s="12"/>
      <c r="N775" s="118"/>
      <c r="O775" s="118"/>
      <c r="P775" s="118"/>
      <c r="Q775" s="118"/>
    </row>
    <row r="776" spans="2:17" ht="14.25" customHeight="1" x14ac:dyDescent="0.25">
      <c r="B776" s="23"/>
      <c r="D776" s="25"/>
      <c r="E776" s="25"/>
      <c r="M776" s="12"/>
      <c r="N776" s="118"/>
      <c r="O776" s="118"/>
      <c r="P776" s="118"/>
      <c r="Q776" s="118"/>
    </row>
    <row r="777" spans="2:17" ht="14.25" customHeight="1" x14ac:dyDescent="0.25">
      <c r="B777" s="23"/>
      <c r="D777" s="25"/>
      <c r="E777" s="25"/>
      <c r="M777" s="12"/>
      <c r="N777" s="118"/>
      <c r="O777" s="118"/>
      <c r="P777" s="118"/>
      <c r="Q777" s="118"/>
    </row>
    <row r="778" spans="2:17" ht="14.25" customHeight="1" x14ac:dyDescent="0.25">
      <c r="B778" s="23"/>
      <c r="D778" s="25"/>
      <c r="E778" s="25"/>
      <c r="M778" s="12"/>
      <c r="N778" s="118"/>
      <c r="O778" s="118"/>
      <c r="P778" s="118"/>
      <c r="Q778" s="118"/>
    </row>
    <row r="779" spans="2:17" ht="14.25" customHeight="1" x14ac:dyDescent="0.25">
      <c r="B779" s="23"/>
      <c r="D779" s="25"/>
      <c r="E779" s="25"/>
      <c r="M779" s="12"/>
      <c r="N779" s="118"/>
      <c r="O779" s="118"/>
      <c r="P779" s="118"/>
      <c r="Q779" s="118"/>
    </row>
    <row r="780" spans="2:17" ht="14.25" customHeight="1" x14ac:dyDescent="0.25">
      <c r="B780" s="23"/>
      <c r="D780" s="25"/>
      <c r="E780" s="25"/>
      <c r="M780" s="12"/>
      <c r="N780" s="118"/>
      <c r="O780" s="118"/>
      <c r="P780" s="118"/>
      <c r="Q780" s="118"/>
    </row>
    <row r="781" spans="2:17" ht="14.25" customHeight="1" x14ac:dyDescent="0.25">
      <c r="B781" s="23"/>
      <c r="D781" s="25"/>
      <c r="E781" s="25"/>
      <c r="M781" s="12"/>
      <c r="N781" s="118"/>
      <c r="O781" s="118"/>
      <c r="P781" s="118"/>
      <c r="Q781" s="118"/>
    </row>
    <row r="782" spans="2:17" ht="14.25" customHeight="1" x14ac:dyDescent="0.25">
      <c r="B782" s="23"/>
      <c r="D782" s="25"/>
      <c r="E782" s="25"/>
      <c r="M782" s="12"/>
      <c r="N782" s="118"/>
      <c r="O782" s="118"/>
      <c r="P782" s="118"/>
      <c r="Q782" s="118"/>
    </row>
    <row r="783" spans="2:17" ht="14.25" customHeight="1" x14ac:dyDescent="0.25">
      <c r="B783" s="23"/>
      <c r="D783" s="25"/>
      <c r="E783" s="25"/>
      <c r="M783" s="12"/>
      <c r="N783" s="118"/>
      <c r="O783" s="118"/>
      <c r="P783" s="118"/>
      <c r="Q783" s="118"/>
    </row>
    <row r="784" spans="2:17" ht="14.25" customHeight="1" x14ac:dyDescent="0.25">
      <c r="B784" s="23"/>
      <c r="D784" s="25"/>
      <c r="E784" s="25"/>
      <c r="M784" s="12"/>
      <c r="N784" s="118"/>
      <c r="O784" s="118"/>
      <c r="P784" s="118"/>
      <c r="Q784" s="118"/>
    </row>
    <row r="785" spans="2:17" ht="14.25" customHeight="1" x14ac:dyDescent="0.25">
      <c r="B785" s="23"/>
      <c r="D785" s="25"/>
      <c r="E785" s="25"/>
      <c r="M785" s="12"/>
      <c r="N785" s="118"/>
      <c r="O785" s="118"/>
      <c r="P785" s="118"/>
      <c r="Q785" s="118"/>
    </row>
    <row r="786" spans="2:17" ht="14.25" customHeight="1" x14ac:dyDescent="0.25">
      <c r="B786" s="23"/>
      <c r="D786" s="25"/>
      <c r="E786" s="25"/>
      <c r="M786" s="12"/>
      <c r="N786" s="118"/>
      <c r="O786" s="118"/>
      <c r="P786" s="118"/>
      <c r="Q786" s="118"/>
    </row>
    <row r="787" spans="2:17" ht="14.25" customHeight="1" x14ac:dyDescent="0.25">
      <c r="B787" s="23"/>
      <c r="D787" s="25"/>
      <c r="E787" s="25"/>
      <c r="M787" s="12"/>
      <c r="N787" s="118"/>
      <c r="O787" s="118"/>
      <c r="P787" s="118"/>
      <c r="Q787" s="118"/>
    </row>
    <row r="788" spans="2:17" ht="14.25" customHeight="1" x14ac:dyDescent="0.25">
      <c r="B788" s="23"/>
      <c r="D788" s="25"/>
      <c r="E788" s="25"/>
      <c r="M788" s="12"/>
      <c r="N788" s="118"/>
      <c r="O788" s="118"/>
      <c r="P788" s="118"/>
      <c r="Q788" s="118"/>
    </row>
    <row r="789" spans="2:17" ht="14.25" customHeight="1" x14ac:dyDescent="0.25">
      <c r="B789" s="23"/>
      <c r="D789" s="25"/>
      <c r="E789" s="25"/>
      <c r="M789" s="12"/>
      <c r="N789" s="118"/>
      <c r="O789" s="118"/>
      <c r="P789" s="118"/>
      <c r="Q789" s="118"/>
    </row>
    <row r="790" spans="2:17" ht="14.25" customHeight="1" x14ac:dyDescent="0.25">
      <c r="B790" s="23"/>
      <c r="D790" s="25"/>
      <c r="E790" s="25"/>
      <c r="M790" s="12"/>
      <c r="N790" s="118"/>
      <c r="O790" s="118"/>
      <c r="P790" s="118"/>
      <c r="Q790" s="118"/>
    </row>
    <row r="791" spans="2:17" ht="14.25" customHeight="1" x14ac:dyDescent="0.25">
      <c r="B791" s="23"/>
      <c r="D791" s="25"/>
      <c r="E791" s="25"/>
      <c r="M791" s="12"/>
      <c r="N791" s="118"/>
      <c r="O791" s="118"/>
      <c r="P791" s="118"/>
      <c r="Q791" s="118"/>
    </row>
    <row r="792" spans="2:17" ht="14.25" customHeight="1" x14ac:dyDescent="0.25">
      <c r="B792" s="23"/>
      <c r="D792" s="25"/>
      <c r="E792" s="25"/>
      <c r="M792" s="12"/>
      <c r="N792" s="118"/>
      <c r="O792" s="118"/>
      <c r="P792" s="118"/>
      <c r="Q792" s="118"/>
    </row>
    <row r="793" spans="2:17" ht="14.25" customHeight="1" x14ac:dyDescent="0.25">
      <c r="B793" s="23"/>
      <c r="D793" s="25"/>
      <c r="E793" s="25"/>
      <c r="M793" s="12"/>
      <c r="N793" s="118"/>
      <c r="O793" s="118"/>
      <c r="P793" s="118"/>
      <c r="Q793" s="118"/>
    </row>
    <row r="794" spans="2:17" ht="14.25" customHeight="1" x14ac:dyDescent="0.25">
      <c r="B794" s="23"/>
      <c r="D794" s="25"/>
      <c r="E794" s="25"/>
      <c r="M794" s="12"/>
      <c r="N794" s="118"/>
      <c r="O794" s="118"/>
      <c r="P794" s="118"/>
      <c r="Q794" s="118"/>
    </row>
    <row r="795" spans="2:17" ht="14.25" customHeight="1" x14ac:dyDescent="0.25">
      <c r="B795" s="23"/>
      <c r="D795" s="25"/>
      <c r="E795" s="25"/>
      <c r="M795" s="12"/>
      <c r="N795" s="118"/>
      <c r="O795" s="118"/>
      <c r="P795" s="118"/>
      <c r="Q795" s="118"/>
    </row>
    <row r="796" spans="2:17" ht="14.25" customHeight="1" x14ac:dyDescent="0.25">
      <c r="B796" s="23"/>
      <c r="D796" s="25"/>
      <c r="E796" s="25"/>
      <c r="M796" s="12"/>
      <c r="N796" s="118"/>
      <c r="O796" s="118"/>
      <c r="P796" s="118"/>
      <c r="Q796" s="118"/>
    </row>
    <row r="797" spans="2:17" ht="14.25" customHeight="1" x14ac:dyDescent="0.25">
      <c r="B797" s="23"/>
      <c r="D797" s="25"/>
      <c r="E797" s="25"/>
      <c r="M797" s="12"/>
      <c r="N797" s="118"/>
      <c r="O797" s="118"/>
      <c r="P797" s="118"/>
      <c r="Q797" s="118"/>
    </row>
    <row r="798" spans="2:17" ht="14.25" customHeight="1" x14ac:dyDescent="0.25">
      <c r="B798" s="23"/>
      <c r="D798" s="25"/>
      <c r="E798" s="25"/>
      <c r="M798" s="12"/>
      <c r="N798" s="118"/>
      <c r="O798" s="118"/>
      <c r="P798" s="118"/>
      <c r="Q798" s="118"/>
    </row>
    <row r="799" spans="2:17" ht="14.25" customHeight="1" x14ac:dyDescent="0.25">
      <c r="B799" s="23"/>
      <c r="D799" s="25"/>
      <c r="E799" s="25"/>
      <c r="M799" s="12"/>
      <c r="N799" s="118"/>
      <c r="O799" s="118"/>
      <c r="P799" s="118"/>
      <c r="Q799" s="118"/>
    </row>
    <row r="800" spans="2:17" ht="14.25" customHeight="1" x14ac:dyDescent="0.25">
      <c r="B800" s="23"/>
      <c r="D800" s="25"/>
      <c r="E800" s="25"/>
      <c r="M800" s="12"/>
      <c r="N800" s="118"/>
      <c r="O800" s="118"/>
      <c r="P800" s="118"/>
      <c r="Q800" s="118"/>
    </row>
    <row r="801" spans="2:17" ht="14.25" customHeight="1" x14ac:dyDescent="0.25">
      <c r="B801" s="23"/>
      <c r="D801" s="25"/>
      <c r="E801" s="25"/>
      <c r="M801" s="12"/>
      <c r="N801" s="118"/>
      <c r="O801" s="118"/>
      <c r="P801" s="118"/>
      <c r="Q801" s="118"/>
    </row>
    <row r="802" spans="2:17" ht="14.25" customHeight="1" x14ac:dyDescent="0.25">
      <c r="B802" s="23"/>
      <c r="D802" s="25"/>
      <c r="E802" s="25"/>
      <c r="M802" s="12"/>
      <c r="N802" s="118"/>
      <c r="O802" s="118"/>
      <c r="P802" s="118"/>
      <c r="Q802" s="118"/>
    </row>
    <row r="803" spans="2:17" ht="14.25" customHeight="1" x14ac:dyDescent="0.25">
      <c r="B803" s="23"/>
      <c r="D803" s="25"/>
      <c r="E803" s="25"/>
      <c r="M803" s="12"/>
      <c r="N803" s="118"/>
      <c r="O803" s="118"/>
      <c r="P803" s="118"/>
      <c r="Q803" s="118"/>
    </row>
    <row r="804" spans="2:17" ht="14.25" customHeight="1" x14ac:dyDescent="0.25">
      <c r="B804" s="23"/>
      <c r="D804" s="25"/>
      <c r="E804" s="25"/>
      <c r="M804" s="12"/>
      <c r="N804" s="118"/>
      <c r="O804" s="118"/>
      <c r="P804" s="118"/>
      <c r="Q804" s="118"/>
    </row>
    <row r="805" spans="2:17" ht="14.25" customHeight="1" x14ac:dyDescent="0.25">
      <c r="B805" s="23"/>
      <c r="D805" s="25"/>
      <c r="E805" s="25"/>
      <c r="M805" s="12"/>
      <c r="N805" s="118"/>
      <c r="O805" s="118"/>
      <c r="P805" s="118"/>
      <c r="Q805" s="118"/>
    </row>
    <row r="806" spans="2:17" ht="14.25" customHeight="1" x14ac:dyDescent="0.25">
      <c r="B806" s="23"/>
      <c r="D806" s="25"/>
      <c r="E806" s="25"/>
      <c r="M806" s="12"/>
      <c r="N806" s="118"/>
      <c r="O806" s="118"/>
      <c r="P806" s="118"/>
      <c r="Q806" s="118"/>
    </row>
    <row r="807" spans="2:17" ht="14.25" customHeight="1" x14ac:dyDescent="0.25">
      <c r="B807" s="23"/>
      <c r="D807" s="25"/>
      <c r="E807" s="25"/>
      <c r="M807" s="12"/>
      <c r="N807" s="118"/>
      <c r="O807" s="118"/>
      <c r="P807" s="118"/>
      <c r="Q807" s="118"/>
    </row>
    <row r="808" spans="2:17" ht="14.25" customHeight="1" x14ac:dyDescent="0.25">
      <c r="B808" s="23"/>
      <c r="D808" s="25"/>
      <c r="E808" s="25"/>
      <c r="M808" s="12"/>
      <c r="N808" s="118"/>
      <c r="O808" s="118"/>
      <c r="P808" s="118"/>
      <c r="Q808" s="118"/>
    </row>
    <row r="809" spans="2:17" ht="14.25" customHeight="1" x14ac:dyDescent="0.25">
      <c r="B809" s="23"/>
      <c r="D809" s="25"/>
      <c r="E809" s="25"/>
      <c r="M809" s="12"/>
      <c r="N809" s="118"/>
      <c r="O809" s="118"/>
      <c r="P809" s="118"/>
      <c r="Q809" s="118"/>
    </row>
    <row r="810" spans="2:17" ht="14.25" customHeight="1" x14ac:dyDescent="0.25">
      <c r="B810" s="23"/>
      <c r="D810" s="25"/>
      <c r="E810" s="25"/>
      <c r="M810" s="12"/>
      <c r="N810" s="118"/>
      <c r="O810" s="118"/>
      <c r="P810" s="118"/>
      <c r="Q810" s="118"/>
    </row>
    <row r="811" spans="2:17" ht="14.25" customHeight="1" x14ac:dyDescent="0.25">
      <c r="B811" s="23"/>
      <c r="D811" s="25"/>
      <c r="E811" s="25"/>
      <c r="M811" s="12"/>
      <c r="N811" s="118"/>
      <c r="O811" s="118"/>
      <c r="P811" s="118"/>
      <c r="Q811" s="118"/>
    </row>
    <row r="812" spans="2:17" ht="14.25" customHeight="1" x14ac:dyDescent="0.25">
      <c r="B812" s="23"/>
      <c r="D812" s="25"/>
      <c r="E812" s="25"/>
      <c r="M812" s="12"/>
      <c r="N812" s="118"/>
      <c r="O812" s="118"/>
      <c r="P812" s="118"/>
      <c r="Q812" s="118"/>
    </row>
    <row r="813" spans="2:17" ht="14.25" customHeight="1" x14ac:dyDescent="0.25">
      <c r="B813" s="23"/>
      <c r="D813" s="25"/>
      <c r="E813" s="25"/>
      <c r="M813" s="12"/>
      <c r="N813" s="118"/>
      <c r="O813" s="118"/>
      <c r="P813" s="118"/>
      <c r="Q813" s="118"/>
    </row>
    <row r="814" spans="2:17" ht="14.25" customHeight="1" x14ac:dyDescent="0.25">
      <c r="B814" s="23"/>
      <c r="D814" s="25"/>
      <c r="E814" s="25"/>
      <c r="M814" s="12"/>
      <c r="N814" s="118"/>
      <c r="O814" s="118"/>
      <c r="P814" s="118"/>
      <c r="Q814" s="118"/>
    </row>
    <row r="815" spans="2:17" ht="14.25" customHeight="1" x14ac:dyDescent="0.25">
      <c r="B815" s="23"/>
      <c r="D815" s="25"/>
      <c r="E815" s="25"/>
      <c r="M815" s="12"/>
      <c r="N815" s="118"/>
      <c r="O815" s="118"/>
      <c r="P815" s="118"/>
      <c r="Q815" s="118"/>
    </row>
    <row r="816" spans="2:17" ht="14.25" customHeight="1" x14ac:dyDescent="0.25">
      <c r="B816" s="23"/>
      <c r="D816" s="25"/>
      <c r="E816" s="25"/>
      <c r="M816" s="12"/>
      <c r="N816" s="118"/>
      <c r="O816" s="118"/>
      <c r="P816" s="118"/>
      <c r="Q816" s="118"/>
    </row>
    <row r="817" spans="2:17" ht="14.25" customHeight="1" x14ac:dyDescent="0.25">
      <c r="B817" s="23"/>
      <c r="D817" s="25"/>
      <c r="E817" s="25"/>
      <c r="M817" s="12"/>
      <c r="N817" s="118"/>
      <c r="O817" s="118"/>
      <c r="P817" s="118"/>
      <c r="Q817" s="118"/>
    </row>
    <row r="818" spans="2:17" ht="14.25" customHeight="1" x14ac:dyDescent="0.25">
      <c r="B818" s="23"/>
      <c r="D818" s="25"/>
      <c r="E818" s="25"/>
      <c r="M818" s="12"/>
      <c r="N818" s="118"/>
      <c r="O818" s="118"/>
      <c r="P818" s="118"/>
      <c r="Q818" s="118"/>
    </row>
    <row r="819" spans="2:17" ht="14.25" customHeight="1" x14ac:dyDescent="0.25">
      <c r="B819" s="23"/>
      <c r="D819" s="25"/>
      <c r="E819" s="25"/>
      <c r="M819" s="12"/>
      <c r="N819" s="118"/>
      <c r="O819" s="118"/>
      <c r="P819" s="118"/>
      <c r="Q819" s="118"/>
    </row>
    <row r="820" spans="2:17" ht="14.25" customHeight="1" x14ac:dyDescent="0.25">
      <c r="B820" s="23"/>
      <c r="D820" s="25"/>
      <c r="E820" s="25"/>
      <c r="M820" s="12"/>
      <c r="N820" s="118"/>
      <c r="O820" s="118"/>
      <c r="P820" s="118"/>
      <c r="Q820" s="118"/>
    </row>
    <row r="821" spans="2:17" ht="14.25" customHeight="1" x14ac:dyDescent="0.25">
      <c r="B821" s="23"/>
      <c r="D821" s="25"/>
      <c r="E821" s="25"/>
      <c r="M821" s="12"/>
      <c r="N821" s="118"/>
      <c r="O821" s="118"/>
      <c r="P821" s="118"/>
      <c r="Q821" s="118"/>
    </row>
    <row r="822" spans="2:17" ht="14.25" customHeight="1" x14ac:dyDescent="0.25">
      <c r="B822" s="23"/>
      <c r="D822" s="25"/>
      <c r="E822" s="25"/>
      <c r="M822" s="12"/>
      <c r="N822" s="118"/>
      <c r="O822" s="118"/>
      <c r="P822" s="118"/>
      <c r="Q822" s="118"/>
    </row>
    <row r="823" spans="2:17" ht="14.25" customHeight="1" x14ac:dyDescent="0.25">
      <c r="B823" s="23"/>
      <c r="D823" s="25"/>
      <c r="E823" s="25"/>
      <c r="M823" s="12"/>
      <c r="N823" s="118"/>
      <c r="O823" s="118"/>
      <c r="P823" s="118"/>
      <c r="Q823" s="118"/>
    </row>
    <row r="824" spans="2:17" ht="14.25" customHeight="1" x14ac:dyDescent="0.25">
      <c r="B824" s="23"/>
      <c r="D824" s="25"/>
      <c r="E824" s="25"/>
      <c r="M824" s="12"/>
      <c r="N824" s="118"/>
      <c r="O824" s="118"/>
      <c r="P824" s="118"/>
      <c r="Q824" s="118"/>
    </row>
    <row r="825" spans="2:17" ht="14.25" customHeight="1" x14ac:dyDescent="0.25">
      <c r="B825" s="23"/>
      <c r="D825" s="25"/>
      <c r="E825" s="25"/>
      <c r="M825" s="12"/>
      <c r="N825" s="118"/>
      <c r="O825" s="118"/>
      <c r="P825" s="118"/>
      <c r="Q825" s="118"/>
    </row>
    <row r="826" spans="2:17" ht="14.25" customHeight="1" x14ac:dyDescent="0.25">
      <c r="B826" s="23"/>
      <c r="D826" s="25"/>
      <c r="E826" s="25"/>
      <c r="M826" s="12"/>
      <c r="N826" s="118"/>
      <c r="O826" s="118"/>
      <c r="P826" s="118"/>
      <c r="Q826" s="118"/>
    </row>
    <row r="827" spans="2:17" ht="14.25" customHeight="1" x14ac:dyDescent="0.25">
      <c r="B827" s="23"/>
      <c r="D827" s="25"/>
      <c r="E827" s="25"/>
      <c r="M827" s="12"/>
      <c r="N827" s="118"/>
      <c r="O827" s="118"/>
      <c r="P827" s="118"/>
      <c r="Q827" s="118"/>
    </row>
    <row r="828" spans="2:17" ht="14.25" customHeight="1" x14ac:dyDescent="0.25">
      <c r="B828" s="23"/>
      <c r="D828" s="25"/>
      <c r="E828" s="25"/>
      <c r="M828" s="12"/>
      <c r="N828" s="118"/>
      <c r="O828" s="118"/>
      <c r="P828" s="118"/>
      <c r="Q828" s="118"/>
    </row>
    <row r="829" spans="2:17" ht="14.25" customHeight="1" x14ac:dyDescent="0.25">
      <c r="B829" s="23"/>
      <c r="D829" s="25"/>
      <c r="E829" s="25"/>
      <c r="M829" s="12"/>
      <c r="N829" s="118"/>
      <c r="O829" s="118"/>
      <c r="P829" s="118"/>
      <c r="Q829" s="118"/>
    </row>
    <row r="830" spans="2:17" ht="14.25" customHeight="1" x14ac:dyDescent="0.25">
      <c r="B830" s="23"/>
      <c r="D830" s="25"/>
      <c r="E830" s="25"/>
      <c r="M830" s="12"/>
      <c r="N830" s="118"/>
      <c r="O830" s="118"/>
      <c r="P830" s="118"/>
      <c r="Q830" s="118"/>
    </row>
    <row r="831" spans="2:17" ht="14.25" customHeight="1" x14ac:dyDescent="0.25">
      <c r="B831" s="23"/>
      <c r="D831" s="25"/>
      <c r="E831" s="25"/>
      <c r="M831" s="12"/>
      <c r="N831" s="118"/>
      <c r="O831" s="118"/>
      <c r="P831" s="118"/>
      <c r="Q831" s="118"/>
    </row>
    <row r="832" spans="2:17" ht="14.25" customHeight="1" x14ac:dyDescent="0.25">
      <c r="B832" s="23"/>
      <c r="D832" s="25"/>
      <c r="E832" s="25"/>
      <c r="M832" s="12"/>
      <c r="N832" s="118"/>
      <c r="O832" s="118"/>
      <c r="P832" s="118"/>
      <c r="Q832" s="118"/>
    </row>
    <row r="833" spans="2:17" ht="14.25" customHeight="1" x14ac:dyDescent="0.25">
      <c r="B833" s="23"/>
      <c r="D833" s="25"/>
      <c r="E833" s="25"/>
      <c r="M833" s="12"/>
      <c r="N833" s="118"/>
      <c r="O833" s="118"/>
      <c r="P833" s="118"/>
      <c r="Q833" s="118"/>
    </row>
    <row r="834" spans="2:17" ht="14.25" customHeight="1" x14ac:dyDescent="0.25">
      <c r="B834" s="23"/>
      <c r="D834" s="25"/>
      <c r="E834" s="25"/>
      <c r="M834" s="12"/>
      <c r="N834" s="118"/>
      <c r="O834" s="118"/>
      <c r="P834" s="118"/>
      <c r="Q834" s="118"/>
    </row>
    <row r="835" spans="2:17" ht="14.25" customHeight="1" x14ac:dyDescent="0.25">
      <c r="B835" s="23"/>
      <c r="D835" s="25"/>
      <c r="E835" s="25"/>
      <c r="M835" s="12"/>
      <c r="N835" s="118"/>
      <c r="O835" s="118"/>
      <c r="P835" s="118"/>
      <c r="Q835" s="118"/>
    </row>
    <row r="836" spans="2:17" ht="14.25" customHeight="1" x14ac:dyDescent="0.25">
      <c r="B836" s="23"/>
      <c r="D836" s="25"/>
      <c r="E836" s="25"/>
      <c r="M836" s="12"/>
      <c r="N836" s="118"/>
      <c r="O836" s="118"/>
      <c r="P836" s="118"/>
      <c r="Q836" s="118"/>
    </row>
    <row r="837" spans="2:17" ht="14.25" customHeight="1" x14ac:dyDescent="0.25">
      <c r="B837" s="23"/>
      <c r="D837" s="25"/>
      <c r="E837" s="25"/>
      <c r="M837" s="12"/>
      <c r="N837" s="118"/>
      <c r="O837" s="118"/>
      <c r="P837" s="118"/>
      <c r="Q837" s="118"/>
    </row>
    <row r="838" spans="2:17" ht="14.25" customHeight="1" x14ac:dyDescent="0.25">
      <c r="B838" s="23"/>
      <c r="D838" s="25"/>
      <c r="E838" s="25"/>
      <c r="M838" s="12"/>
      <c r="N838" s="118"/>
      <c r="O838" s="118"/>
      <c r="P838" s="118"/>
      <c r="Q838" s="118"/>
    </row>
    <row r="839" spans="2:17" ht="14.25" customHeight="1" x14ac:dyDescent="0.25">
      <c r="B839" s="23"/>
      <c r="D839" s="25"/>
      <c r="E839" s="25"/>
      <c r="M839" s="12"/>
      <c r="N839" s="118"/>
      <c r="O839" s="118"/>
      <c r="P839" s="118"/>
      <c r="Q839" s="118"/>
    </row>
    <row r="840" spans="2:17" ht="14.25" customHeight="1" x14ac:dyDescent="0.25">
      <c r="B840" s="23"/>
      <c r="D840" s="25"/>
      <c r="E840" s="25"/>
      <c r="M840" s="12"/>
      <c r="N840" s="118"/>
      <c r="O840" s="118"/>
      <c r="P840" s="118"/>
      <c r="Q840" s="118"/>
    </row>
    <row r="841" spans="2:17" ht="14.25" customHeight="1" x14ac:dyDescent="0.25">
      <c r="B841" s="23"/>
      <c r="D841" s="25"/>
      <c r="E841" s="25"/>
      <c r="M841" s="12"/>
      <c r="N841" s="118"/>
      <c r="O841" s="118"/>
      <c r="P841" s="118"/>
      <c r="Q841" s="118"/>
    </row>
    <row r="842" spans="2:17" ht="14.25" customHeight="1" x14ac:dyDescent="0.25">
      <c r="B842" s="23"/>
      <c r="D842" s="25"/>
      <c r="E842" s="25"/>
      <c r="M842" s="12"/>
      <c r="N842" s="118"/>
      <c r="O842" s="118"/>
      <c r="P842" s="118"/>
      <c r="Q842" s="118"/>
    </row>
    <row r="843" spans="2:17" ht="14.25" customHeight="1" x14ac:dyDescent="0.25">
      <c r="B843" s="23"/>
      <c r="D843" s="25"/>
      <c r="E843" s="25"/>
      <c r="M843" s="12"/>
      <c r="N843" s="118"/>
      <c r="O843" s="118"/>
      <c r="P843" s="118"/>
      <c r="Q843" s="118"/>
    </row>
    <row r="844" spans="2:17" ht="14.25" customHeight="1" x14ac:dyDescent="0.25">
      <c r="B844" s="23"/>
      <c r="D844" s="25"/>
      <c r="E844" s="25"/>
      <c r="M844" s="12"/>
      <c r="N844" s="118"/>
      <c r="O844" s="118"/>
      <c r="P844" s="118"/>
      <c r="Q844" s="118"/>
    </row>
    <row r="845" spans="2:17" ht="14.25" customHeight="1" x14ac:dyDescent="0.25">
      <c r="B845" s="23"/>
      <c r="D845" s="25"/>
      <c r="E845" s="25"/>
      <c r="M845" s="12"/>
      <c r="N845" s="118"/>
      <c r="O845" s="118"/>
      <c r="P845" s="118"/>
      <c r="Q845" s="118"/>
    </row>
    <row r="846" spans="2:17" ht="14.25" customHeight="1" x14ac:dyDescent="0.25">
      <c r="B846" s="23"/>
      <c r="D846" s="25"/>
      <c r="E846" s="25"/>
      <c r="M846" s="12"/>
      <c r="N846" s="118"/>
      <c r="O846" s="118"/>
      <c r="P846" s="118"/>
      <c r="Q846" s="118"/>
    </row>
    <row r="847" spans="2:17" ht="14.25" customHeight="1" x14ac:dyDescent="0.25">
      <c r="B847" s="23"/>
      <c r="D847" s="25"/>
      <c r="E847" s="25"/>
      <c r="M847" s="12"/>
      <c r="N847" s="118"/>
      <c r="O847" s="118"/>
      <c r="P847" s="118"/>
      <c r="Q847" s="118"/>
    </row>
    <row r="848" spans="2:17" ht="14.25" customHeight="1" x14ac:dyDescent="0.25">
      <c r="B848" s="23"/>
      <c r="D848" s="25"/>
      <c r="E848" s="25"/>
      <c r="M848" s="12"/>
      <c r="N848" s="118"/>
      <c r="O848" s="118"/>
      <c r="P848" s="118"/>
      <c r="Q848" s="118"/>
    </row>
    <row r="849" spans="2:17" ht="14.25" customHeight="1" x14ac:dyDescent="0.25">
      <c r="B849" s="23"/>
      <c r="D849" s="25"/>
      <c r="E849" s="25"/>
      <c r="M849" s="12"/>
      <c r="N849" s="118"/>
      <c r="O849" s="118"/>
      <c r="P849" s="118"/>
      <c r="Q849" s="118"/>
    </row>
    <row r="850" spans="2:17" ht="14.25" customHeight="1" x14ac:dyDescent="0.25">
      <c r="B850" s="23"/>
      <c r="D850" s="25"/>
      <c r="E850" s="25"/>
      <c r="M850" s="12"/>
      <c r="N850" s="118"/>
      <c r="O850" s="118"/>
      <c r="P850" s="118"/>
      <c r="Q850" s="118"/>
    </row>
    <row r="851" spans="2:17" ht="14.25" customHeight="1" x14ac:dyDescent="0.25">
      <c r="B851" s="23"/>
      <c r="D851" s="25"/>
      <c r="E851" s="25"/>
      <c r="M851" s="12"/>
      <c r="N851" s="118"/>
      <c r="O851" s="118"/>
      <c r="P851" s="118"/>
      <c r="Q851" s="118"/>
    </row>
    <row r="852" spans="2:17" ht="14.25" customHeight="1" x14ac:dyDescent="0.25">
      <c r="B852" s="23"/>
      <c r="D852" s="25"/>
      <c r="E852" s="25"/>
      <c r="M852" s="12"/>
      <c r="N852" s="118"/>
      <c r="O852" s="118"/>
      <c r="P852" s="118"/>
      <c r="Q852" s="118"/>
    </row>
    <row r="853" spans="2:17" ht="14.25" customHeight="1" x14ac:dyDescent="0.25">
      <c r="B853" s="23"/>
      <c r="D853" s="25"/>
      <c r="E853" s="25"/>
      <c r="M853" s="12"/>
      <c r="N853" s="118"/>
      <c r="O853" s="118"/>
      <c r="P853" s="118"/>
      <c r="Q853" s="118"/>
    </row>
    <row r="854" spans="2:17" ht="14.25" customHeight="1" x14ac:dyDescent="0.25">
      <c r="B854" s="23"/>
      <c r="D854" s="25"/>
      <c r="E854" s="25"/>
      <c r="M854" s="12"/>
      <c r="N854" s="118"/>
      <c r="O854" s="118"/>
      <c r="P854" s="118"/>
      <c r="Q854" s="118"/>
    </row>
    <row r="855" spans="2:17" ht="14.25" customHeight="1" x14ac:dyDescent="0.25">
      <c r="B855" s="23"/>
      <c r="D855" s="25"/>
      <c r="E855" s="25"/>
      <c r="M855" s="12"/>
      <c r="N855" s="118"/>
      <c r="O855" s="118"/>
      <c r="P855" s="118"/>
      <c r="Q855" s="118"/>
    </row>
    <row r="856" spans="2:17" ht="14.25" customHeight="1" x14ac:dyDescent="0.25">
      <c r="B856" s="23"/>
      <c r="D856" s="25"/>
      <c r="E856" s="25"/>
      <c r="M856" s="12"/>
      <c r="N856" s="118"/>
      <c r="O856" s="118"/>
      <c r="P856" s="118"/>
      <c r="Q856" s="118"/>
    </row>
    <row r="857" spans="2:17" ht="14.25" customHeight="1" x14ac:dyDescent="0.25">
      <c r="B857" s="23"/>
      <c r="D857" s="25"/>
      <c r="E857" s="25"/>
      <c r="M857" s="12"/>
      <c r="N857" s="118"/>
      <c r="O857" s="118"/>
      <c r="P857" s="118"/>
      <c r="Q857" s="118"/>
    </row>
    <row r="858" spans="2:17" ht="14.25" customHeight="1" x14ac:dyDescent="0.25">
      <c r="B858" s="23"/>
      <c r="D858" s="25"/>
      <c r="E858" s="25"/>
      <c r="M858" s="12"/>
      <c r="N858" s="118"/>
      <c r="O858" s="118"/>
      <c r="P858" s="118"/>
      <c r="Q858" s="118"/>
    </row>
    <row r="859" spans="2:17" ht="14.25" customHeight="1" x14ac:dyDescent="0.25">
      <c r="B859" s="23"/>
      <c r="D859" s="25"/>
      <c r="E859" s="25"/>
      <c r="M859" s="12"/>
      <c r="N859" s="118"/>
      <c r="O859" s="118"/>
      <c r="P859" s="118"/>
      <c r="Q859" s="118"/>
    </row>
    <row r="860" spans="2:17" ht="14.25" customHeight="1" x14ac:dyDescent="0.25">
      <c r="B860" s="23"/>
      <c r="D860" s="25"/>
      <c r="E860" s="25"/>
      <c r="M860" s="12"/>
      <c r="N860" s="118"/>
      <c r="O860" s="118"/>
      <c r="P860" s="118"/>
      <c r="Q860" s="118"/>
    </row>
    <row r="861" spans="2:17" ht="14.25" customHeight="1" x14ac:dyDescent="0.25">
      <c r="B861" s="23"/>
      <c r="D861" s="25"/>
      <c r="E861" s="25"/>
      <c r="M861" s="12"/>
      <c r="N861" s="118"/>
      <c r="O861" s="118"/>
      <c r="P861" s="118"/>
      <c r="Q861" s="118"/>
    </row>
    <row r="862" spans="2:17" ht="14.25" customHeight="1" x14ac:dyDescent="0.25">
      <c r="B862" s="23"/>
      <c r="D862" s="25"/>
      <c r="E862" s="25"/>
      <c r="M862" s="12"/>
      <c r="N862" s="118"/>
      <c r="O862" s="118"/>
      <c r="P862" s="118"/>
      <c r="Q862" s="118"/>
    </row>
    <row r="863" spans="2:17" ht="14.25" customHeight="1" x14ac:dyDescent="0.25">
      <c r="B863" s="23"/>
      <c r="D863" s="25"/>
      <c r="E863" s="25"/>
      <c r="M863" s="12"/>
      <c r="N863" s="118"/>
      <c r="O863" s="118"/>
      <c r="P863" s="118"/>
      <c r="Q863" s="118"/>
    </row>
    <row r="864" spans="2:17" ht="14.25" customHeight="1" x14ac:dyDescent="0.25">
      <c r="B864" s="23"/>
      <c r="D864" s="25"/>
      <c r="E864" s="25"/>
      <c r="M864" s="12"/>
      <c r="N864" s="118"/>
      <c r="O864" s="118"/>
      <c r="P864" s="118"/>
      <c r="Q864" s="118"/>
    </row>
    <row r="865" spans="2:17" ht="14.25" customHeight="1" x14ac:dyDescent="0.25">
      <c r="B865" s="23"/>
      <c r="D865" s="25"/>
      <c r="E865" s="25"/>
      <c r="M865" s="12"/>
      <c r="N865" s="118"/>
      <c r="O865" s="118"/>
      <c r="P865" s="118"/>
      <c r="Q865" s="118"/>
    </row>
    <row r="866" spans="2:17" ht="14.25" customHeight="1" x14ac:dyDescent="0.25">
      <c r="B866" s="23"/>
      <c r="D866" s="25"/>
      <c r="E866" s="25"/>
      <c r="M866" s="12"/>
      <c r="N866" s="118"/>
      <c r="O866" s="118"/>
      <c r="P866" s="118"/>
      <c r="Q866" s="118"/>
    </row>
    <row r="867" spans="2:17" ht="14.25" customHeight="1" x14ac:dyDescent="0.25">
      <c r="B867" s="23"/>
      <c r="D867" s="25"/>
      <c r="E867" s="25"/>
      <c r="M867" s="12"/>
      <c r="N867" s="118"/>
      <c r="O867" s="118"/>
      <c r="P867" s="118"/>
      <c r="Q867" s="118"/>
    </row>
    <row r="868" spans="2:17" ht="14.25" customHeight="1" x14ac:dyDescent="0.25">
      <c r="B868" s="23"/>
      <c r="D868" s="25"/>
      <c r="E868" s="25"/>
      <c r="M868" s="12"/>
      <c r="N868" s="118"/>
      <c r="O868" s="118"/>
      <c r="P868" s="118"/>
      <c r="Q868" s="118"/>
    </row>
    <row r="869" spans="2:17" ht="14.25" customHeight="1" x14ac:dyDescent="0.25">
      <c r="B869" s="23"/>
      <c r="D869" s="25"/>
      <c r="E869" s="25"/>
      <c r="M869" s="12"/>
      <c r="N869" s="118"/>
      <c r="O869" s="118"/>
      <c r="P869" s="118"/>
      <c r="Q869" s="118"/>
    </row>
    <row r="870" spans="2:17" ht="14.25" customHeight="1" x14ac:dyDescent="0.25">
      <c r="B870" s="23"/>
      <c r="D870" s="25"/>
      <c r="E870" s="25"/>
      <c r="M870" s="12"/>
      <c r="N870" s="118"/>
      <c r="O870" s="118"/>
      <c r="P870" s="118"/>
      <c r="Q870" s="118"/>
    </row>
    <row r="871" spans="2:17" ht="14.25" customHeight="1" x14ac:dyDescent="0.25">
      <c r="B871" s="23"/>
      <c r="D871" s="25"/>
      <c r="E871" s="25"/>
      <c r="M871" s="12"/>
      <c r="N871" s="118"/>
      <c r="O871" s="118"/>
      <c r="P871" s="118"/>
      <c r="Q871" s="118"/>
    </row>
    <row r="872" spans="2:17" ht="14.25" customHeight="1" x14ac:dyDescent="0.25">
      <c r="B872" s="23"/>
      <c r="D872" s="25"/>
      <c r="E872" s="25"/>
      <c r="M872" s="12"/>
      <c r="N872" s="118"/>
      <c r="O872" s="118"/>
      <c r="P872" s="118"/>
      <c r="Q872" s="118"/>
    </row>
    <row r="873" spans="2:17" ht="14.25" customHeight="1" x14ac:dyDescent="0.25">
      <c r="B873" s="23"/>
      <c r="D873" s="25"/>
      <c r="E873" s="25"/>
      <c r="M873" s="12"/>
      <c r="N873" s="118"/>
      <c r="O873" s="118"/>
      <c r="P873" s="118"/>
      <c r="Q873" s="118"/>
    </row>
    <row r="874" spans="2:17" ht="14.25" customHeight="1" x14ac:dyDescent="0.25">
      <c r="B874" s="23"/>
      <c r="D874" s="25"/>
      <c r="E874" s="25"/>
      <c r="M874" s="12"/>
      <c r="N874" s="118"/>
      <c r="O874" s="118"/>
      <c r="P874" s="118"/>
      <c r="Q874" s="118"/>
    </row>
    <row r="875" spans="2:17" ht="14.25" customHeight="1" x14ac:dyDescent="0.25">
      <c r="B875" s="23"/>
      <c r="D875" s="25"/>
      <c r="E875" s="25"/>
      <c r="M875" s="12"/>
      <c r="N875" s="118"/>
      <c r="O875" s="118"/>
      <c r="P875" s="118"/>
      <c r="Q875" s="118"/>
    </row>
    <row r="876" spans="2:17" ht="14.25" customHeight="1" x14ac:dyDescent="0.25">
      <c r="B876" s="23"/>
      <c r="D876" s="25"/>
      <c r="E876" s="25"/>
      <c r="M876" s="12"/>
      <c r="N876" s="118"/>
      <c r="O876" s="118"/>
      <c r="P876" s="118"/>
      <c r="Q876" s="118"/>
    </row>
    <row r="877" spans="2:17" ht="14.25" customHeight="1" x14ac:dyDescent="0.25">
      <c r="B877" s="23"/>
      <c r="D877" s="25"/>
      <c r="E877" s="25"/>
      <c r="M877" s="12"/>
      <c r="N877" s="118"/>
      <c r="O877" s="118"/>
      <c r="P877" s="118"/>
      <c r="Q877" s="118"/>
    </row>
    <row r="878" spans="2:17" ht="14.25" customHeight="1" x14ac:dyDescent="0.25">
      <c r="B878" s="23"/>
      <c r="D878" s="25"/>
      <c r="E878" s="25"/>
      <c r="M878" s="12"/>
      <c r="N878" s="118"/>
      <c r="O878" s="118"/>
      <c r="P878" s="118"/>
      <c r="Q878" s="118"/>
    </row>
    <row r="879" spans="2:17" ht="14.25" customHeight="1" x14ac:dyDescent="0.25">
      <c r="B879" s="23"/>
      <c r="D879" s="25"/>
      <c r="E879" s="25"/>
      <c r="M879" s="12"/>
      <c r="N879" s="118"/>
      <c r="O879" s="118"/>
      <c r="P879" s="118"/>
      <c r="Q879" s="118"/>
    </row>
    <row r="880" spans="2:17" ht="14.25" customHeight="1" x14ac:dyDescent="0.25">
      <c r="B880" s="23"/>
      <c r="D880" s="25"/>
      <c r="E880" s="25"/>
      <c r="M880" s="12"/>
      <c r="N880" s="118"/>
      <c r="O880" s="118"/>
      <c r="P880" s="118"/>
      <c r="Q880" s="118"/>
    </row>
    <row r="881" spans="2:17" ht="14.25" customHeight="1" x14ac:dyDescent="0.25">
      <c r="B881" s="23"/>
      <c r="D881" s="25"/>
      <c r="E881" s="25"/>
      <c r="M881" s="12"/>
      <c r="N881" s="118"/>
      <c r="O881" s="118"/>
      <c r="P881" s="118"/>
      <c r="Q881" s="118"/>
    </row>
    <row r="882" spans="2:17" ht="14.25" customHeight="1" x14ac:dyDescent="0.25">
      <c r="B882" s="23"/>
      <c r="D882" s="25"/>
      <c r="E882" s="25"/>
      <c r="M882" s="12"/>
      <c r="N882" s="118"/>
      <c r="O882" s="118"/>
      <c r="P882" s="118"/>
      <c r="Q882" s="118"/>
    </row>
    <row r="883" spans="2:17" ht="14.25" customHeight="1" x14ac:dyDescent="0.25">
      <c r="B883" s="23"/>
      <c r="D883" s="25"/>
      <c r="E883" s="25"/>
      <c r="M883" s="12"/>
      <c r="N883" s="118"/>
      <c r="O883" s="118"/>
      <c r="P883" s="118"/>
      <c r="Q883" s="118"/>
    </row>
    <row r="884" spans="2:17" ht="14.25" customHeight="1" x14ac:dyDescent="0.25">
      <c r="B884" s="23"/>
      <c r="D884" s="25"/>
      <c r="E884" s="25"/>
      <c r="M884" s="12"/>
      <c r="N884" s="118"/>
      <c r="O884" s="118"/>
      <c r="P884" s="118"/>
      <c r="Q884" s="118"/>
    </row>
    <row r="885" spans="2:17" ht="14.25" customHeight="1" x14ac:dyDescent="0.25">
      <c r="B885" s="23"/>
      <c r="D885" s="25"/>
      <c r="E885" s="25"/>
      <c r="M885" s="12"/>
      <c r="N885" s="118"/>
      <c r="O885" s="118"/>
      <c r="P885" s="118"/>
      <c r="Q885" s="118"/>
    </row>
    <row r="886" spans="2:17" ht="14.25" customHeight="1" x14ac:dyDescent="0.25">
      <c r="B886" s="23"/>
      <c r="D886" s="25"/>
      <c r="E886" s="25"/>
      <c r="M886" s="12"/>
      <c r="N886" s="118"/>
      <c r="O886" s="118"/>
      <c r="P886" s="118"/>
      <c r="Q886" s="118"/>
    </row>
    <row r="887" spans="2:17" ht="14.25" customHeight="1" x14ac:dyDescent="0.25">
      <c r="B887" s="23"/>
      <c r="D887" s="25"/>
      <c r="E887" s="25"/>
      <c r="M887" s="12"/>
      <c r="N887" s="118"/>
      <c r="O887" s="118"/>
      <c r="P887" s="118"/>
      <c r="Q887" s="118"/>
    </row>
    <row r="888" spans="2:17" ht="14.25" customHeight="1" x14ac:dyDescent="0.25">
      <c r="B888" s="23"/>
      <c r="D888" s="25"/>
      <c r="E888" s="25"/>
      <c r="M888" s="12"/>
      <c r="N888" s="118"/>
      <c r="O888" s="118"/>
      <c r="P888" s="118"/>
      <c r="Q888" s="118"/>
    </row>
    <row r="889" spans="2:17" ht="14.25" customHeight="1" x14ac:dyDescent="0.25">
      <c r="B889" s="23"/>
      <c r="D889" s="25"/>
      <c r="E889" s="25"/>
      <c r="M889" s="12"/>
      <c r="N889" s="118"/>
      <c r="O889" s="118"/>
      <c r="P889" s="118"/>
      <c r="Q889" s="118"/>
    </row>
    <row r="890" spans="2:17" ht="14.25" customHeight="1" x14ac:dyDescent="0.25">
      <c r="B890" s="23"/>
      <c r="D890" s="25"/>
      <c r="E890" s="25"/>
      <c r="M890" s="12"/>
      <c r="N890" s="118"/>
      <c r="O890" s="118"/>
      <c r="P890" s="118"/>
      <c r="Q890" s="118"/>
    </row>
    <row r="891" spans="2:17" ht="14.25" customHeight="1" x14ac:dyDescent="0.25">
      <c r="B891" s="23"/>
      <c r="D891" s="25"/>
      <c r="E891" s="25"/>
      <c r="M891" s="12"/>
      <c r="N891" s="118"/>
      <c r="O891" s="118"/>
      <c r="P891" s="118"/>
      <c r="Q891" s="118"/>
    </row>
    <row r="892" spans="2:17" ht="14.25" customHeight="1" x14ac:dyDescent="0.25">
      <c r="B892" s="23"/>
      <c r="D892" s="25"/>
      <c r="E892" s="25"/>
      <c r="M892" s="12"/>
      <c r="N892" s="118"/>
      <c r="O892" s="118"/>
      <c r="P892" s="118"/>
      <c r="Q892" s="118"/>
    </row>
    <row r="893" spans="2:17" ht="14.25" customHeight="1" x14ac:dyDescent="0.25">
      <c r="B893" s="23"/>
      <c r="D893" s="25"/>
      <c r="E893" s="25"/>
      <c r="M893" s="12"/>
      <c r="N893" s="118"/>
      <c r="O893" s="118"/>
      <c r="P893" s="118"/>
      <c r="Q893" s="118"/>
    </row>
    <row r="894" spans="2:17" ht="14.25" customHeight="1" x14ac:dyDescent="0.25">
      <c r="B894" s="23"/>
      <c r="D894" s="25"/>
      <c r="E894" s="25"/>
      <c r="M894" s="12"/>
      <c r="N894" s="118"/>
      <c r="O894" s="118"/>
      <c r="P894" s="118"/>
      <c r="Q894" s="118"/>
    </row>
    <row r="895" spans="2:17" ht="14.25" customHeight="1" x14ac:dyDescent="0.25">
      <c r="B895" s="23"/>
      <c r="D895" s="25"/>
      <c r="E895" s="25"/>
      <c r="M895" s="12"/>
      <c r="N895" s="118"/>
      <c r="O895" s="118"/>
      <c r="P895" s="118"/>
      <c r="Q895" s="118"/>
    </row>
    <row r="896" spans="2:17" ht="14.25" customHeight="1" x14ac:dyDescent="0.25">
      <c r="B896" s="23"/>
      <c r="D896" s="25"/>
      <c r="E896" s="25"/>
      <c r="M896" s="12"/>
      <c r="N896" s="118"/>
      <c r="O896" s="118"/>
      <c r="P896" s="118"/>
      <c r="Q896" s="118"/>
    </row>
    <row r="897" spans="2:17" ht="14.25" customHeight="1" x14ac:dyDescent="0.25">
      <c r="B897" s="23"/>
      <c r="D897" s="25"/>
      <c r="E897" s="25"/>
      <c r="M897" s="12"/>
      <c r="N897" s="118"/>
      <c r="O897" s="118"/>
      <c r="P897" s="118"/>
      <c r="Q897" s="118"/>
    </row>
    <row r="898" spans="2:17" ht="14.25" customHeight="1" x14ac:dyDescent="0.25">
      <c r="B898" s="23"/>
      <c r="D898" s="25"/>
      <c r="E898" s="25"/>
      <c r="M898" s="12"/>
      <c r="N898" s="118"/>
      <c r="O898" s="118"/>
      <c r="P898" s="118"/>
      <c r="Q898" s="118"/>
    </row>
    <row r="899" spans="2:17" ht="14.25" customHeight="1" x14ac:dyDescent="0.25">
      <c r="B899" s="23"/>
      <c r="D899" s="25"/>
      <c r="E899" s="25"/>
      <c r="M899" s="12"/>
      <c r="N899" s="118"/>
      <c r="O899" s="118"/>
      <c r="P899" s="118"/>
      <c r="Q899" s="118"/>
    </row>
    <row r="900" spans="2:17" ht="14.25" customHeight="1" x14ac:dyDescent="0.25">
      <c r="B900" s="23"/>
      <c r="D900" s="25"/>
      <c r="E900" s="25"/>
      <c r="M900" s="12"/>
      <c r="N900" s="118"/>
      <c r="O900" s="118"/>
      <c r="P900" s="118"/>
      <c r="Q900" s="118"/>
    </row>
    <row r="901" spans="2:17" ht="14.25" customHeight="1" x14ac:dyDescent="0.25">
      <c r="B901" s="23"/>
      <c r="D901" s="25"/>
      <c r="E901" s="25"/>
      <c r="M901" s="12"/>
      <c r="N901" s="118"/>
      <c r="O901" s="118"/>
      <c r="P901" s="118"/>
      <c r="Q901" s="118"/>
    </row>
    <row r="902" spans="2:17" ht="14.25" customHeight="1" x14ac:dyDescent="0.25">
      <c r="B902" s="23"/>
      <c r="D902" s="25"/>
      <c r="E902" s="25"/>
      <c r="M902" s="12"/>
      <c r="N902" s="118"/>
      <c r="O902" s="118"/>
      <c r="P902" s="118"/>
      <c r="Q902" s="118"/>
    </row>
    <row r="903" spans="2:17" ht="14.25" customHeight="1" x14ac:dyDescent="0.25">
      <c r="B903" s="23"/>
      <c r="D903" s="25"/>
      <c r="E903" s="25"/>
      <c r="M903" s="12"/>
      <c r="N903" s="118"/>
      <c r="O903" s="118"/>
      <c r="P903" s="118"/>
      <c r="Q903" s="118"/>
    </row>
    <row r="904" spans="2:17" ht="14.25" customHeight="1" x14ac:dyDescent="0.25">
      <c r="B904" s="23"/>
      <c r="D904" s="25"/>
      <c r="E904" s="25"/>
      <c r="M904" s="12"/>
      <c r="N904" s="118"/>
      <c r="O904" s="118"/>
      <c r="P904" s="118"/>
      <c r="Q904" s="118"/>
    </row>
    <row r="905" spans="2:17" ht="14.25" customHeight="1" x14ac:dyDescent="0.25">
      <c r="B905" s="23"/>
      <c r="D905" s="25"/>
      <c r="E905" s="25"/>
      <c r="M905" s="12"/>
      <c r="N905" s="118"/>
      <c r="O905" s="118"/>
      <c r="P905" s="118"/>
      <c r="Q905" s="118"/>
    </row>
    <row r="906" spans="2:17" ht="14.25" customHeight="1" x14ac:dyDescent="0.25">
      <c r="B906" s="23"/>
      <c r="D906" s="25"/>
      <c r="E906" s="25"/>
      <c r="M906" s="12"/>
      <c r="N906" s="118"/>
      <c r="O906" s="118"/>
      <c r="P906" s="118"/>
      <c r="Q906" s="118"/>
    </row>
    <row r="907" spans="2:17" ht="14.25" customHeight="1" x14ac:dyDescent="0.25">
      <c r="B907" s="23"/>
      <c r="D907" s="25"/>
      <c r="E907" s="25"/>
      <c r="M907" s="12"/>
      <c r="N907" s="118"/>
      <c r="O907" s="118"/>
      <c r="P907" s="118"/>
      <c r="Q907" s="118"/>
    </row>
    <row r="908" spans="2:17" ht="14.25" customHeight="1" x14ac:dyDescent="0.25">
      <c r="B908" s="23"/>
      <c r="D908" s="25"/>
      <c r="E908" s="25"/>
      <c r="M908" s="12"/>
      <c r="N908" s="118"/>
      <c r="O908" s="118"/>
      <c r="P908" s="118"/>
      <c r="Q908" s="118"/>
    </row>
    <row r="909" spans="2:17" ht="14.25" customHeight="1" x14ac:dyDescent="0.25">
      <c r="B909" s="23"/>
      <c r="D909" s="25"/>
      <c r="E909" s="25"/>
      <c r="M909" s="12"/>
      <c r="N909" s="118"/>
      <c r="O909" s="118"/>
      <c r="P909" s="118"/>
      <c r="Q909" s="118"/>
    </row>
    <row r="910" spans="2:17" ht="14.25" customHeight="1" x14ac:dyDescent="0.25">
      <c r="B910" s="23"/>
      <c r="D910" s="25"/>
      <c r="E910" s="25"/>
      <c r="M910" s="12"/>
      <c r="N910" s="118"/>
      <c r="O910" s="118"/>
      <c r="P910" s="118"/>
      <c r="Q910" s="118"/>
    </row>
    <row r="911" spans="2:17" ht="14.25" customHeight="1" x14ac:dyDescent="0.25">
      <c r="B911" s="23"/>
      <c r="D911" s="25"/>
      <c r="E911" s="25"/>
      <c r="M911" s="12"/>
      <c r="N911" s="118"/>
      <c r="O911" s="118"/>
      <c r="P911" s="118"/>
      <c r="Q911" s="118"/>
    </row>
    <row r="912" spans="2:17" ht="14.25" customHeight="1" x14ac:dyDescent="0.25">
      <c r="B912" s="23"/>
      <c r="D912" s="25"/>
      <c r="E912" s="25"/>
      <c r="M912" s="12"/>
      <c r="N912" s="118"/>
      <c r="O912" s="118"/>
      <c r="P912" s="118"/>
      <c r="Q912" s="118"/>
    </row>
    <row r="913" spans="2:17" ht="14.25" customHeight="1" x14ac:dyDescent="0.25">
      <c r="B913" s="23"/>
      <c r="D913" s="25"/>
      <c r="E913" s="25"/>
      <c r="M913" s="12"/>
      <c r="N913" s="118"/>
      <c r="O913" s="118"/>
      <c r="P913" s="118"/>
      <c r="Q913" s="118"/>
    </row>
    <row r="914" spans="2:17" ht="14.25" customHeight="1" x14ac:dyDescent="0.25">
      <c r="B914" s="23"/>
      <c r="D914" s="25"/>
      <c r="E914" s="25"/>
      <c r="M914" s="12"/>
      <c r="N914" s="118"/>
      <c r="O914" s="118"/>
      <c r="P914" s="118"/>
      <c r="Q914" s="118"/>
    </row>
    <row r="915" spans="2:17" ht="14.25" customHeight="1" x14ac:dyDescent="0.25">
      <c r="B915" s="23"/>
      <c r="D915" s="25"/>
      <c r="E915" s="25"/>
      <c r="M915" s="12"/>
      <c r="N915" s="118"/>
      <c r="O915" s="118"/>
      <c r="P915" s="118"/>
      <c r="Q915" s="118"/>
    </row>
    <row r="916" spans="2:17" ht="14.25" customHeight="1" x14ac:dyDescent="0.25">
      <c r="B916" s="23"/>
      <c r="D916" s="25"/>
      <c r="E916" s="25"/>
      <c r="M916" s="12"/>
      <c r="N916" s="118"/>
      <c r="O916" s="118"/>
      <c r="P916" s="118"/>
      <c r="Q916" s="118"/>
    </row>
    <row r="917" spans="2:17" ht="14.25" customHeight="1" x14ac:dyDescent="0.25">
      <c r="B917" s="23"/>
      <c r="D917" s="25"/>
      <c r="E917" s="25"/>
      <c r="M917" s="12"/>
      <c r="N917" s="118"/>
      <c r="O917" s="118"/>
      <c r="P917" s="118"/>
      <c r="Q917" s="118"/>
    </row>
    <row r="918" spans="2:17" ht="14.25" customHeight="1" x14ac:dyDescent="0.25">
      <c r="B918" s="23"/>
      <c r="D918" s="25"/>
      <c r="E918" s="25"/>
      <c r="M918" s="12"/>
      <c r="N918" s="118"/>
      <c r="O918" s="118"/>
      <c r="P918" s="118"/>
      <c r="Q918" s="118"/>
    </row>
    <row r="919" spans="2:17" ht="14.25" customHeight="1" x14ac:dyDescent="0.25">
      <c r="B919" s="23"/>
      <c r="D919" s="25"/>
      <c r="E919" s="25"/>
      <c r="M919" s="12"/>
      <c r="N919" s="118"/>
      <c r="O919" s="118"/>
      <c r="P919" s="118"/>
      <c r="Q919" s="118"/>
    </row>
    <row r="920" spans="2:17" ht="14.25" customHeight="1" x14ac:dyDescent="0.25">
      <c r="B920" s="23"/>
      <c r="D920" s="25"/>
      <c r="E920" s="25"/>
      <c r="M920" s="12"/>
      <c r="N920" s="118"/>
      <c r="O920" s="118"/>
      <c r="P920" s="118"/>
      <c r="Q920" s="118"/>
    </row>
    <row r="921" spans="2:17" ht="14.25" customHeight="1" x14ac:dyDescent="0.25">
      <c r="B921" s="23"/>
      <c r="D921" s="25"/>
      <c r="E921" s="25"/>
      <c r="M921" s="12"/>
      <c r="N921" s="118"/>
      <c r="O921" s="118"/>
      <c r="P921" s="118"/>
      <c r="Q921" s="118"/>
    </row>
    <row r="922" spans="2:17" ht="14.25" customHeight="1" x14ac:dyDescent="0.25">
      <c r="B922" s="23"/>
      <c r="D922" s="25"/>
      <c r="E922" s="25"/>
      <c r="M922" s="12"/>
      <c r="N922" s="118"/>
      <c r="O922" s="118"/>
      <c r="P922" s="118"/>
      <c r="Q922" s="118"/>
    </row>
    <row r="923" spans="2:17" ht="14.25" customHeight="1" x14ac:dyDescent="0.25">
      <c r="B923" s="23"/>
      <c r="D923" s="25"/>
      <c r="E923" s="25"/>
      <c r="M923" s="12"/>
      <c r="N923" s="118"/>
      <c r="O923" s="118"/>
      <c r="P923" s="118"/>
      <c r="Q923" s="118"/>
    </row>
    <row r="924" spans="2:17" ht="14.25" customHeight="1" x14ac:dyDescent="0.25">
      <c r="B924" s="23"/>
      <c r="D924" s="25"/>
      <c r="E924" s="25"/>
      <c r="M924" s="12"/>
      <c r="N924" s="118"/>
      <c r="O924" s="118"/>
      <c r="P924" s="118"/>
      <c r="Q924" s="118"/>
    </row>
    <row r="925" spans="2:17" ht="14.25" customHeight="1" x14ac:dyDescent="0.25">
      <c r="B925" s="23"/>
      <c r="D925" s="25"/>
      <c r="E925" s="25"/>
      <c r="M925" s="12"/>
      <c r="N925" s="118"/>
      <c r="O925" s="118"/>
      <c r="P925" s="118"/>
      <c r="Q925" s="118"/>
    </row>
    <row r="926" spans="2:17" ht="14.25" customHeight="1" x14ac:dyDescent="0.25">
      <c r="B926" s="23"/>
      <c r="D926" s="25"/>
      <c r="E926" s="25"/>
      <c r="M926" s="12"/>
      <c r="N926" s="118"/>
      <c r="O926" s="118"/>
      <c r="P926" s="118"/>
      <c r="Q926" s="118"/>
    </row>
    <row r="927" spans="2:17" ht="14.25" customHeight="1" x14ac:dyDescent="0.25">
      <c r="B927" s="23"/>
      <c r="D927" s="25"/>
      <c r="E927" s="25"/>
      <c r="M927" s="12"/>
      <c r="N927" s="118"/>
      <c r="O927" s="118"/>
      <c r="P927" s="118"/>
      <c r="Q927" s="118"/>
    </row>
    <row r="928" spans="2:17" ht="14.25" customHeight="1" x14ac:dyDescent="0.25">
      <c r="B928" s="23"/>
      <c r="D928" s="25"/>
      <c r="E928" s="25"/>
      <c r="M928" s="12"/>
      <c r="N928" s="118"/>
      <c r="O928" s="118"/>
      <c r="P928" s="118"/>
      <c r="Q928" s="118"/>
    </row>
    <row r="929" spans="2:17" ht="14.25" customHeight="1" x14ac:dyDescent="0.25">
      <c r="B929" s="23"/>
      <c r="D929" s="25"/>
      <c r="E929" s="25"/>
      <c r="M929" s="12"/>
      <c r="N929" s="118"/>
      <c r="O929" s="118"/>
      <c r="P929" s="118"/>
      <c r="Q929" s="118"/>
    </row>
    <row r="930" spans="2:17" ht="14.25" customHeight="1" x14ac:dyDescent="0.25">
      <c r="B930" s="23"/>
      <c r="D930" s="25"/>
      <c r="E930" s="25"/>
      <c r="M930" s="12"/>
      <c r="N930" s="118"/>
      <c r="O930" s="118"/>
      <c r="P930" s="118"/>
      <c r="Q930" s="118"/>
    </row>
    <row r="931" spans="2:17" ht="14.25" customHeight="1" x14ac:dyDescent="0.25">
      <c r="B931" s="23"/>
      <c r="D931" s="25"/>
      <c r="E931" s="25"/>
      <c r="M931" s="12"/>
      <c r="N931" s="118"/>
      <c r="O931" s="118"/>
      <c r="P931" s="118"/>
      <c r="Q931" s="118"/>
    </row>
    <row r="932" spans="2:17" ht="14.25" customHeight="1" x14ac:dyDescent="0.25">
      <c r="B932" s="23"/>
      <c r="D932" s="25"/>
      <c r="E932" s="25"/>
      <c r="M932" s="12"/>
      <c r="N932" s="118"/>
      <c r="O932" s="118"/>
      <c r="P932" s="118"/>
      <c r="Q932" s="118"/>
    </row>
    <row r="933" spans="2:17" ht="14.25" customHeight="1" x14ac:dyDescent="0.25">
      <c r="B933" s="23"/>
      <c r="D933" s="25"/>
      <c r="E933" s="25"/>
      <c r="M933" s="12"/>
      <c r="N933" s="118"/>
      <c r="O933" s="118"/>
      <c r="P933" s="118"/>
      <c r="Q933" s="118"/>
    </row>
    <row r="934" spans="2:17" ht="14.25" customHeight="1" x14ac:dyDescent="0.25">
      <c r="B934" s="23"/>
      <c r="D934" s="25"/>
      <c r="E934" s="25"/>
      <c r="M934" s="12"/>
      <c r="N934" s="118"/>
      <c r="O934" s="118"/>
      <c r="P934" s="118"/>
      <c r="Q934" s="118"/>
    </row>
    <row r="935" spans="2:17" ht="14.25" customHeight="1" x14ac:dyDescent="0.25">
      <c r="B935" s="23"/>
      <c r="D935" s="25"/>
      <c r="E935" s="25"/>
      <c r="M935" s="12"/>
      <c r="N935" s="118"/>
      <c r="O935" s="118"/>
      <c r="P935" s="118"/>
      <c r="Q935" s="118"/>
    </row>
    <row r="936" spans="2:17" ht="14.25" customHeight="1" x14ac:dyDescent="0.25">
      <c r="B936" s="23"/>
      <c r="D936" s="25"/>
      <c r="E936" s="25"/>
      <c r="M936" s="12"/>
      <c r="N936" s="118"/>
      <c r="O936" s="118"/>
      <c r="P936" s="118"/>
      <c r="Q936" s="118"/>
    </row>
    <row r="937" spans="2:17" ht="14.25" customHeight="1" x14ac:dyDescent="0.25">
      <c r="B937" s="23"/>
      <c r="D937" s="25"/>
      <c r="E937" s="25"/>
      <c r="M937" s="12"/>
      <c r="N937" s="118"/>
      <c r="O937" s="118"/>
      <c r="P937" s="118"/>
      <c r="Q937" s="118"/>
    </row>
    <row r="938" spans="2:17" ht="14.25" customHeight="1" x14ac:dyDescent="0.25">
      <c r="B938" s="23"/>
      <c r="D938" s="25"/>
      <c r="E938" s="25"/>
      <c r="M938" s="12"/>
      <c r="N938" s="118"/>
      <c r="O938" s="118"/>
      <c r="P938" s="118"/>
      <c r="Q938" s="118"/>
    </row>
    <row r="939" spans="2:17" ht="14.25" customHeight="1" x14ac:dyDescent="0.25">
      <c r="B939" s="23"/>
      <c r="D939" s="25"/>
      <c r="E939" s="25"/>
      <c r="M939" s="12"/>
      <c r="N939" s="118"/>
      <c r="O939" s="118"/>
      <c r="P939" s="118"/>
      <c r="Q939" s="118"/>
    </row>
    <row r="940" spans="2:17" ht="14.25" customHeight="1" x14ac:dyDescent="0.25">
      <c r="B940" s="23"/>
      <c r="D940" s="25"/>
      <c r="E940" s="25"/>
      <c r="M940" s="12"/>
      <c r="N940" s="118"/>
      <c r="O940" s="118"/>
      <c r="P940" s="118"/>
      <c r="Q940" s="118"/>
    </row>
    <row r="941" spans="2:17" ht="14.25" customHeight="1" x14ac:dyDescent="0.25">
      <c r="B941" s="23"/>
      <c r="D941" s="25"/>
      <c r="E941" s="25"/>
      <c r="M941" s="12"/>
      <c r="N941" s="118"/>
      <c r="O941" s="118"/>
      <c r="P941" s="118"/>
      <c r="Q941" s="118"/>
    </row>
    <row r="942" spans="2:17" ht="14.25" customHeight="1" x14ac:dyDescent="0.25">
      <c r="B942" s="23"/>
      <c r="D942" s="25"/>
      <c r="E942" s="25"/>
      <c r="M942" s="12"/>
      <c r="N942" s="118"/>
      <c r="O942" s="118"/>
      <c r="P942" s="118"/>
      <c r="Q942" s="118"/>
    </row>
    <row r="943" spans="2:17" ht="14.25" customHeight="1" x14ac:dyDescent="0.25">
      <c r="B943" s="23"/>
      <c r="D943" s="25"/>
      <c r="E943" s="25"/>
      <c r="M943" s="12"/>
      <c r="N943" s="118"/>
      <c r="O943" s="118"/>
      <c r="P943" s="118"/>
      <c r="Q943" s="118"/>
    </row>
    <row r="944" spans="2:17" ht="14.25" customHeight="1" x14ac:dyDescent="0.25">
      <c r="B944" s="23"/>
      <c r="D944" s="25"/>
      <c r="E944" s="25"/>
      <c r="M944" s="12"/>
      <c r="N944" s="118"/>
      <c r="O944" s="118"/>
      <c r="P944" s="118"/>
      <c r="Q944" s="118"/>
    </row>
    <row r="945" spans="2:17" ht="14.25" customHeight="1" x14ac:dyDescent="0.25">
      <c r="B945" s="23"/>
      <c r="D945" s="25"/>
      <c r="E945" s="25"/>
      <c r="M945" s="12"/>
      <c r="N945" s="118"/>
      <c r="O945" s="118"/>
      <c r="P945" s="118"/>
      <c r="Q945" s="118"/>
    </row>
    <row r="946" spans="2:17" ht="14.25" customHeight="1" x14ac:dyDescent="0.25">
      <c r="B946" s="23"/>
      <c r="D946" s="25"/>
      <c r="E946" s="25"/>
      <c r="M946" s="12"/>
      <c r="N946" s="118"/>
      <c r="O946" s="118"/>
      <c r="P946" s="118"/>
      <c r="Q946" s="118"/>
    </row>
    <row r="947" spans="2:17" ht="14.25" customHeight="1" x14ac:dyDescent="0.25">
      <c r="B947" s="23"/>
      <c r="D947" s="25"/>
      <c r="E947" s="25"/>
      <c r="M947" s="12"/>
      <c r="N947" s="118"/>
      <c r="O947" s="118"/>
      <c r="P947" s="118"/>
      <c r="Q947" s="118"/>
    </row>
    <row r="948" spans="2:17" ht="14.25" customHeight="1" x14ac:dyDescent="0.25">
      <c r="B948" s="23"/>
      <c r="D948" s="25"/>
      <c r="E948" s="25"/>
      <c r="M948" s="12"/>
      <c r="N948" s="118"/>
      <c r="O948" s="118"/>
      <c r="P948" s="118"/>
      <c r="Q948" s="118"/>
    </row>
    <row r="949" spans="2:17" ht="14.25" customHeight="1" x14ac:dyDescent="0.25">
      <c r="B949" s="23"/>
      <c r="D949" s="25"/>
      <c r="E949" s="25"/>
      <c r="M949" s="12"/>
      <c r="N949" s="118"/>
      <c r="O949" s="118"/>
      <c r="P949" s="118"/>
      <c r="Q949" s="118"/>
    </row>
    <row r="950" spans="2:17" ht="14.25" customHeight="1" x14ac:dyDescent="0.25">
      <c r="B950" s="23"/>
      <c r="D950" s="25"/>
      <c r="E950" s="25"/>
      <c r="M950" s="12"/>
      <c r="N950" s="118"/>
      <c r="O950" s="118"/>
      <c r="P950" s="118"/>
      <c r="Q950" s="118"/>
    </row>
    <row r="951" spans="2:17" ht="14.25" customHeight="1" x14ac:dyDescent="0.25">
      <c r="B951" s="23"/>
      <c r="D951" s="25"/>
      <c r="E951" s="25"/>
      <c r="M951" s="12"/>
      <c r="N951" s="118"/>
      <c r="O951" s="118"/>
      <c r="P951" s="118"/>
      <c r="Q951" s="118"/>
    </row>
    <row r="952" spans="2:17" ht="14.25" customHeight="1" x14ac:dyDescent="0.25">
      <c r="B952" s="23"/>
      <c r="D952" s="25"/>
      <c r="E952" s="25"/>
      <c r="M952" s="12"/>
      <c r="N952" s="118"/>
      <c r="O952" s="118"/>
      <c r="P952" s="118"/>
      <c r="Q952" s="118"/>
    </row>
    <row r="953" spans="2:17" ht="14.25" customHeight="1" x14ac:dyDescent="0.25">
      <c r="B953" s="23"/>
      <c r="D953" s="25"/>
      <c r="E953" s="25"/>
      <c r="M953" s="12"/>
      <c r="N953" s="118"/>
      <c r="O953" s="118"/>
      <c r="P953" s="118"/>
      <c r="Q953" s="118"/>
    </row>
    <row r="954" spans="2:17" ht="14.25" customHeight="1" x14ac:dyDescent="0.25">
      <c r="B954" s="23"/>
      <c r="D954" s="25"/>
      <c r="E954" s="25"/>
      <c r="M954" s="12"/>
      <c r="N954" s="118"/>
      <c r="O954" s="118"/>
      <c r="P954" s="118"/>
      <c r="Q954" s="118"/>
    </row>
    <row r="955" spans="2:17" ht="14.25" customHeight="1" x14ac:dyDescent="0.25">
      <c r="B955" s="23"/>
      <c r="D955" s="25"/>
      <c r="E955" s="25"/>
      <c r="M955" s="12"/>
      <c r="N955" s="118"/>
      <c r="O955" s="118"/>
      <c r="P955" s="118"/>
      <c r="Q955" s="118"/>
    </row>
    <row r="956" spans="2:17" ht="14.25" customHeight="1" x14ac:dyDescent="0.25">
      <c r="B956" s="23"/>
      <c r="D956" s="25"/>
      <c r="E956" s="25"/>
      <c r="M956" s="12"/>
      <c r="N956" s="118"/>
      <c r="O956" s="118"/>
      <c r="P956" s="118"/>
      <c r="Q956" s="118"/>
    </row>
    <row r="957" spans="2:17" ht="14.25" customHeight="1" x14ac:dyDescent="0.25">
      <c r="B957" s="23"/>
      <c r="D957" s="25"/>
      <c r="E957" s="25"/>
      <c r="M957" s="12"/>
      <c r="N957" s="118"/>
      <c r="O957" s="118"/>
      <c r="P957" s="118"/>
      <c r="Q957" s="118"/>
    </row>
    <row r="958" spans="2:17" ht="14.25" customHeight="1" x14ac:dyDescent="0.25">
      <c r="B958" s="23"/>
      <c r="D958" s="25"/>
      <c r="E958" s="25"/>
      <c r="M958" s="12"/>
      <c r="N958" s="118"/>
      <c r="O958" s="118"/>
      <c r="P958" s="118"/>
      <c r="Q958" s="118"/>
    </row>
    <row r="959" spans="2:17" ht="14.25" customHeight="1" x14ac:dyDescent="0.25">
      <c r="B959" s="23"/>
      <c r="D959" s="25"/>
      <c r="E959" s="25"/>
      <c r="M959" s="12"/>
      <c r="N959" s="118"/>
      <c r="O959" s="118"/>
      <c r="P959" s="118"/>
      <c r="Q959" s="118"/>
    </row>
    <row r="960" spans="2:17" ht="14.25" customHeight="1" x14ac:dyDescent="0.25">
      <c r="B960" s="23"/>
      <c r="D960" s="25"/>
      <c r="E960" s="25"/>
      <c r="M960" s="12"/>
      <c r="N960" s="118"/>
      <c r="O960" s="118"/>
      <c r="P960" s="118"/>
      <c r="Q960" s="118"/>
    </row>
    <row r="961" spans="2:17" ht="14.25" customHeight="1" x14ac:dyDescent="0.25">
      <c r="B961" s="23"/>
      <c r="D961" s="25"/>
      <c r="E961" s="25"/>
      <c r="M961" s="12"/>
      <c r="N961" s="118"/>
      <c r="O961" s="118"/>
      <c r="P961" s="118"/>
      <c r="Q961" s="118"/>
    </row>
    <row r="962" spans="2:17" ht="14.25" customHeight="1" x14ac:dyDescent="0.25">
      <c r="B962" s="23"/>
      <c r="D962" s="25"/>
      <c r="E962" s="25"/>
      <c r="M962" s="12"/>
      <c r="N962" s="118"/>
      <c r="O962" s="118"/>
      <c r="P962" s="118"/>
      <c r="Q962" s="118"/>
    </row>
    <row r="963" spans="2:17" ht="14.25" customHeight="1" x14ac:dyDescent="0.25">
      <c r="B963" s="23"/>
      <c r="D963" s="25"/>
      <c r="E963" s="25"/>
      <c r="M963" s="12"/>
      <c r="N963" s="118"/>
      <c r="O963" s="118"/>
      <c r="P963" s="118"/>
      <c r="Q963" s="118"/>
    </row>
    <row r="964" spans="2:17" ht="14.25" customHeight="1" x14ac:dyDescent="0.25">
      <c r="B964" s="23"/>
      <c r="D964" s="25"/>
      <c r="E964" s="25"/>
      <c r="M964" s="12"/>
      <c r="N964" s="118"/>
      <c r="O964" s="118"/>
      <c r="P964" s="118"/>
      <c r="Q964" s="118"/>
    </row>
    <row r="965" spans="2:17" ht="14.25" customHeight="1" x14ac:dyDescent="0.25">
      <c r="B965" s="23"/>
      <c r="D965" s="25"/>
      <c r="E965" s="25"/>
      <c r="M965" s="12"/>
      <c r="N965" s="118"/>
      <c r="O965" s="118"/>
      <c r="P965" s="118"/>
      <c r="Q965" s="118"/>
    </row>
    <row r="966" spans="2:17" ht="14.25" customHeight="1" x14ac:dyDescent="0.25">
      <c r="B966" s="23"/>
      <c r="D966" s="25"/>
      <c r="E966" s="25"/>
      <c r="M966" s="12"/>
      <c r="N966" s="118"/>
      <c r="O966" s="118"/>
      <c r="P966" s="118"/>
      <c r="Q966" s="118"/>
    </row>
    <row r="967" spans="2:17" ht="14.25" customHeight="1" x14ac:dyDescent="0.25">
      <c r="B967" s="23"/>
      <c r="D967" s="25"/>
      <c r="E967" s="25"/>
      <c r="M967" s="12"/>
      <c r="N967" s="118"/>
      <c r="O967" s="118"/>
      <c r="P967" s="118"/>
      <c r="Q967" s="118"/>
    </row>
    <row r="968" spans="2:17" ht="14.25" customHeight="1" x14ac:dyDescent="0.25">
      <c r="B968" s="23"/>
      <c r="D968" s="25"/>
      <c r="E968" s="25"/>
      <c r="M968" s="12"/>
      <c r="N968" s="118"/>
      <c r="O968" s="118"/>
      <c r="P968" s="118"/>
      <c r="Q968" s="118"/>
    </row>
    <row r="969" spans="2:17" ht="14.25" customHeight="1" x14ac:dyDescent="0.25">
      <c r="B969" s="23"/>
      <c r="D969" s="25"/>
      <c r="E969" s="25"/>
      <c r="M969" s="12"/>
      <c r="N969" s="118"/>
      <c r="O969" s="118"/>
      <c r="P969" s="118"/>
      <c r="Q969" s="118"/>
    </row>
    <row r="970" spans="2:17" ht="14.25" customHeight="1" x14ac:dyDescent="0.25">
      <c r="B970" s="23"/>
      <c r="D970" s="25"/>
      <c r="E970" s="25"/>
      <c r="M970" s="12"/>
      <c r="N970" s="118"/>
      <c r="O970" s="118"/>
      <c r="P970" s="118"/>
      <c r="Q970" s="118"/>
    </row>
    <row r="971" spans="2:17" ht="14.25" customHeight="1" x14ac:dyDescent="0.25">
      <c r="B971" s="23"/>
      <c r="D971" s="25"/>
      <c r="E971" s="25"/>
      <c r="M971" s="12"/>
      <c r="N971" s="118"/>
      <c r="O971" s="118"/>
      <c r="P971" s="118"/>
      <c r="Q971" s="118"/>
    </row>
    <row r="972" spans="2:17" ht="14.25" customHeight="1" x14ac:dyDescent="0.25">
      <c r="B972" s="23"/>
      <c r="D972" s="25"/>
      <c r="E972" s="25"/>
      <c r="M972" s="12"/>
      <c r="N972" s="118"/>
      <c r="O972" s="118"/>
      <c r="P972" s="118"/>
      <c r="Q972" s="118"/>
    </row>
    <row r="973" spans="2:17" ht="14.25" customHeight="1" x14ac:dyDescent="0.25">
      <c r="B973" s="23"/>
      <c r="D973" s="25"/>
      <c r="E973" s="25"/>
      <c r="M973" s="12"/>
      <c r="N973" s="118"/>
      <c r="O973" s="118"/>
      <c r="P973" s="118"/>
      <c r="Q973" s="118"/>
    </row>
    <row r="974" spans="2:17" ht="14.25" customHeight="1" x14ac:dyDescent="0.25">
      <c r="B974" s="23"/>
      <c r="D974" s="25"/>
      <c r="E974" s="25"/>
      <c r="M974" s="12"/>
      <c r="N974" s="118"/>
      <c r="O974" s="118"/>
      <c r="P974" s="118"/>
      <c r="Q974" s="118"/>
    </row>
    <row r="975" spans="2:17" ht="14.25" customHeight="1" x14ac:dyDescent="0.25">
      <c r="B975" s="23"/>
      <c r="D975" s="25"/>
      <c r="E975" s="25"/>
      <c r="M975" s="12"/>
      <c r="N975" s="118"/>
      <c r="O975" s="118"/>
      <c r="P975" s="118"/>
      <c r="Q975" s="118"/>
    </row>
    <row r="976" spans="2:17" ht="14.25" customHeight="1" x14ac:dyDescent="0.25">
      <c r="B976" s="23"/>
      <c r="D976" s="25"/>
      <c r="E976" s="25"/>
      <c r="M976" s="12"/>
      <c r="N976" s="118"/>
      <c r="O976" s="118"/>
      <c r="P976" s="118"/>
      <c r="Q976" s="118"/>
    </row>
    <row r="977" spans="2:17" ht="14.25" customHeight="1" x14ac:dyDescent="0.25">
      <c r="B977" s="23"/>
      <c r="D977" s="25"/>
      <c r="E977" s="25"/>
      <c r="M977" s="12"/>
      <c r="N977" s="118"/>
      <c r="O977" s="118"/>
      <c r="P977" s="118"/>
      <c r="Q977" s="118"/>
    </row>
    <row r="978" spans="2:17" ht="14.25" customHeight="1" x14ac:dyDescent="0.25">
      <c r="B978" s="23"/>
      <c r="D978" s="25"/>
      <c r="E978" s="25"/>
      <c r="M978" s="12"/>
      <c r="N978" s="118"/>
      <c r="O978" s="118"/>
      <c r="P978" s="118"/>
      <c r="Q978" s="118"/>
    </row>
    <row r="979" spans="2:17" ht="14.25" customHeight="1" x14ac:dyDescent="0.25">
      <c r="B979" s="23"/>
      <c r="D979" s="25"/>
      <c r="E979" s="25"/>
      <c r="M979" s="12"/>
      <c r="N979" s="118"/>
      <c r="O979" s="118"/>
      <c r="P979" s="118"/>
      <c r="Q979" s="118"/>
    </row>
    <row r="980" spans="2:17" ht="14.25" customHeight="1" x14ac:dyDescent="0.25">
      <c r="B980" s="23"/>
      <c r="D980" s="25"/>
      <c r="E980" s="25"/>
      <c r="M980" s="12"/>
      <c r="N980" s="118"/>
      <c r="O980" s="118"/>
      <c r="P980" s="118"/>
      <c r="Q980" s="118"/>
    </row>
    <row r="981" spans="2:17" ht="14.25" customHeight="1" x14ac:dyDescent="0.25">
      <c r="B981" s="23"/>
      <c r="D981" s="25"/>
      <c r="E981" s="25"/>
      <c r="M981" s="12"/>
      <c r="N981" s="118"/>
      <c r="O981" s="118"/>
      <c r="P981" s="118"/>
      <c r="Q981" s="118"/>
    </row>
    <row r="982" spans="2:17" ht="14.25" customHeight="1" x14ac:dyDescent="0.25">
      <c r="B982" s="23"/>
      <c r="D982" s="25"/>
      <c r="E982" s="25"/>
      <c r="M982" s="12"/>
      <c r="N982" s="118"/>
      <c r="O982" s="118"/>
      <c r="P982" s="118"/>
      <c r="Q982" s="118"/>
    </row>
    <row r="983" spans="2:17" ht="14.25" customHeight="1" x14ac:dyDescent="0.25">
      <c r="B983" s="23"/>
      <c r="D983" s="25"/>
      <c r="E983" s="25"/>
      <c r="M983" s="12"/>
      <c r="N983" s="118"/>
      <c r="O983" s="118"/>
      <c r="P983" s="118"/>
      <c r="Q983" s="118"/>
    </row>
    <row r="984" spans="2:17" ht="14.25" customHeight="1" x14ac:dyDescent="0.25">
      <c r="B984" s="23"/>
      <c r="D984" s="25"/>
      <c r="E984" s="25"/>
      <c r="M984" s="12"/>
      <c r="N984" s="118"/>
      <c r="O984" s="118"/>
      <c r="P984" s="118"/>
      <c r="Q984" s="118"/>
    </row>
    <row r="985" spans="2:17" ht="14.25" customHeight="1" x14ac:dyDescent="0.25">
      <c r="B985" s="23"/>
      <c r="D985" s="25"/>
      <c r="E985" s="25"/>
      <c r="M985" s="12"/>
      <c r="N985" s="118"/>
      <c r="O985" s="118"/>
      <c r="P985" s="118"/>
      <c r="Q985" s="118"/>
    </row>
    <row r="986" spans="2:17" ht="14.25" customHeight="1" x14ac:dyDescent="0.25">
      <c r="B986" s="23"/>
      <c r="D986" s="25"/>
      <c r="E986" s="25"/>
      <c r="M986" s="12"/>
      <c r="N986" s="118"/>
      <c r="O986" s="118"/>
      <c r="P986" s="118"/>
      <c r="Q986" s="118"/>
    </row>
    <row r="987" spans="2:17" ht="14.25" customHeight="1" x14ac:dyDescent="0.25">
      <c r="B987" s="23"/>
      <c r="D987" s="25"/>
      <c r="E987" s="25"/>
      <c r="M987" s="12"/>
      <c r="N987" s="118"/>
      <c r="O987" s="118"/>
      <c r="P987" s="118"/>
      <c r="Q987" s="118"/>
    </row>
    <row r="988" spans="2:17" ht="14.25" customHeight="1" x14ac:dyDescent="0.25">
      <c r="B988" s="23"/>
      <c r="D988" s="25"/>
      <c r="E988" s="25"/>
      <c r="M988" s="12"/>
      <c r="N988" s="118"/>
      <c r="O988" s="118"/>
      <c r="P988" s="118"/>
      <c r="Q988" s="118"/>
    </row>
    <row r="989" spans="2:17" ht="14.25" customHeight="1" x14ac:dyDescent="0.25">
      <c r="B989" s="23"/>
      <c r="D989" s="25"/>
      <c r="E989" s="25"/>
      <c r="M989" s="12"/>
      <c r="N989" s="118"/>
      <c r="O989" s="118"/>
      <c r="P989" s="118"/>
      <c r="Q989" s="118"/>
    </row>
    <row r="990" spans="2:17" ht="14.25" customHeight="1" x14ac:dyDescent="0.25">
      <c r="B990" s="23"/>
      <c r="D990" s="25"/>
      <c r="E990" s="25"/>
      <c r="M990" s="12"/>
      <c r="N990" s="118"/>
      <c r="O990" s="118"/>
      <c r="P990" s="118"/>
      <c r="Q990" s="118"/>
    </row>
    <row r="991" spans="2:17" ht="14.25" customHeight="1" x14ac:dyDescent="0.25">
      <c r="B991" s="23"/>
      <c r="D991" s="25"/>
      <c r="E991" s="25"/>
      <c r="M991" s="12"/>
      <c r="N991" s="118"/>
      <c r="O991" s="118"/>
      <c r="P991" s="118"/>
      <c r="Q991" s="118"/>
    </row>
    <row r="992" spans="2:17" ht="14.25" customHeight="1" x14ac:dyDescent="0.25">
      <c r="B992" s="23"/>
      <c r="D992" s="25"/>
      <c r="E992" s="25"/>
      <c r="M992" s="12"/>
      <c r="N992" s="118"/>
      <c r="O992" s="118"/>
      <c r="P992" s="118"/>
      <c r="Q992" s="118"/>
    </row>
    <row r="993" spans="2:17" ht="14.25" customHeight="1" x14ac:dyDescent="0.25">
      <c r="B993" s="23"/>
      <c r="D993" s="25"/>
      <c r="E993" s="25"/>
      <c r="M993" s="12"/>
      <c r="N993" s="118"/>
      <c r="O993" s="118"/>
      <c r="P993" s="118"/>
      <c r="Q993" s="118"/>
    </row>
    <row r="994" spans="2:17" ht="14.25" customHeight="1" x14ac:dyDescent="0.25">
      <c r="B994" s="23"/>
      <c r="D994" s="25"/>
      <c r="E994" s="25"/>
      <c r="M994" s="12"/>
      <c r="N994" s="118"/>
      <c r="O994" s="118"/>
      <c r="P994" s="118"/>
      <c r="Q994" s="118"/>
    </row>
    <row r="995" spans="2:17" ht="14.25" customHeight="1" x14ac:dyDescent="0.25">
      <c r="B995" s="23"/>
      <c r="D995" s="25"/>
      <c r="E995" s="25"/>
      <c r="M995" s="12"/>
      <c r="N995" s="118"/>
      <c r="O995" s="118"/>
      <c r="P995" s="118"/>
      <c r="Q995" s="118"/>
    </row>
    <row r="996" spans="2:17" ht="14.25" customHeight="1" x14ac:dyDescent="0.25">
      <c r="B996" s="23"/>
      <c r="D996" s="25"/>
      <c r="E996" s="25"/>
      <c r="M996" s="12"/>
      <c r="N996" s="118"/>
      <c r="O996" s="118"/>
      <c r="P996" s="118"/>
      <c r="Q996" s="118"/>
    </row>
    <row r="997" spans="2:17" ht="14.25" customHeight="1" x14ac:dyDescent="0.25">
      <c r="B997" s="23"/>
      <c r="D997" s="25"/>
      <c r="E997" s="25"/>
      <c r="M997" s="12"/>
      <c r="N997" s="118"/>
      <c r="O997" s="118"/>
      <c r="P997" s="118"/>
      <c r="Q997" s="118"/>
    </row>
    <row r="998" spans="2:17" ht="14.25" customHeight="1" x14ac:dyDescent="0.25">
      <c r="B998" s="23"/>
      <c r="D998" s="25"/>
      <c r="E998" s="25"/>
      <c r="M998" s="12"/>
      <c r="N998" s="118"/>
      <c r="O998" s="118"/>
      <c r="P998" s="118"/>
      <c r="Q998" s="118"/>
    </row>
    <row r="999" spans="2:17" ht="14.25" customHeight="1" x14ac:dyDescent="0.25">
      <c r="B999" s="23"/>
      <c r="D999" s="25"/>
      <c r="E999" s="25"/>
      <c r="M999" s="12"/>
      <c r="N999" s="118"/>
      <c r="O999" s="118"/>
      <c r="P999" s="118"/>
      <c r="Q999" s="118"/>
    </row>
    <row r="1000" spans="2:17" ht="14.25" customHeight="1" x14ac:dyDescent="0.25">
      <c r="B1000" s="23"/>
      <c r="D1000" s="25"/>
      <c r="E1000" s="25"/>
      <c r="M1000" s="12"/>
      <c r="N1000" s="118"/>
      <c r="O1000" s="118"/>
      <c r="P1000" s="118"/>
      <c r="Q1000" s="118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171"/>
  <sheetViews>
    <sheetView zoomScale="80" zoomScaleNormal="80" workbookViewId="0">
      <pane ySplit="10" topLeftCell="A11" activePane="bottomLeft" state="frozen"/>
      <selection pane="bottomLeft" activeCell="N11" sqref="N11:N22"/>
    </sheetView>
  </sheetViews>
  <sheetFormatPr defaultColWidth="14.42578125" defaultRowHeight="15" customHeight="1" x14ac:dyDescent="0.25"/>
  <cols>
    <col min="1" max="1" width="22.85546875" customWidth="1"/>
    <col min="2" max="2" width="16.28515625" customWidth="1"/>
    <col min="3" max="3" width="15.28515625" customWidth="1"/>
    <col min="4" max="4" width="12" customWidth="1"/>
    <col min="5" max="5" width="17.7109375" customWidth="1"/>
    <col min="6" max="6" width="13.85546875" customWidth="1"/>
    <col min="7" max="7" width="13.42578125" customWidth="1"/>
    <col min="8" max="8" width="14.85546875" customWidth="1"/>
    <col min="9" max="9" width="13.85546875" customWidth="1"/>
    <col min="10" max="10" width="21.7109375" customWidth="1"/>
    <col min="11" max="11" width="23.85546875" customWidth="1"/>
    <col min="12" max="12" width="9.85546875" customWidth="1"/>
    <col min="13" max="13" width="15.28515625" customWidth="1"/>
    <col min="14" max="14" width="21.5703125" customWidth="1"/>
    <col min="15" max="15" width="20.7109375" customWidth="1"/>
    <col min="16" max="16" width="23.42578125" customWidth="1"/>
    <col min="17" max="17" width="15.5703125" customWidth="1"/>
    <col min="18" max="18" width="16.5703125" customWidth="1"/>
    <col min="19" max="19" width="17.85546875" customWidth="1"/>
  </cols>
  <sheetData>
    <row r="1" spans="1:19" x14ac:dyDescent="0.25">
      <c r="A1" s="349" t="s">
        <v>546</v>
      </c>
      <c r="B1" s="350">
        <f>SUM(D1:D3)</f>
        <v>297749.59999999998</v>
      </c>
      <c r="C1" s="351" t="s">
        <v>547</v>
      </c>
      <c r="D1" s="352">
        <v>175500</v>
      </c>
      <c r="E1" s="353" t="s">
        <v>548</v>
      </c>
      <c r="F1" s="354" t="s">
        <v>549</v>
      </c>
      <c r="G1" s="354" t="s">
        <v>550</v>
      </c>
      <c r="H1" s="354" t="s">
        <v>551</v>
      </c>
      <c r="I1" s="350" t="s">
        <v>552</v>
      </c>
      <c r="J1" s="353" t="s">
        <v>553</v>
      </c>
      <c r="K1" s="354" t="s">
        <v>554</v>
      </c>
      <c r="L1" s="350" t="s">
        <v>254</v>
      </c>
      <c r="M1" s="566" t="s">
        <v>555</v>
      </c>
      <c r="N1" s="553"/>
      <c r="Q1" s="25"/>
      <c r="R1" s="25"/>
      <c r="S1" s="25"/>
    </row>
    <row r="2" spans="1:19" x14ac:dyDescent="0.25">
      <c r="A2" s="355" t="s">
        <v>556</v>
      </c>
      <c r="B2" s="356">
        <v>0.65</v>
      </c>
      <c r="C2" s="357" t="s">
        <v>557</v>
      </c>
      <c r="D2" s="358">
        <v>104249.60000000001</v>
      </c>
      <c r="E2" s="359" t="s">
        <v>558</v>
      </c>
      <c r="F2" s="360">
        <v>2420</v>
      </c>
      <c r="G2" s="360">
        <v>3519</v>
      </c>
      <c r="H2" s="360">
        <v>4397</v>
      </c>
      <c r="I2" s="358">
        <v>0</v>
      </c>
      <c r="J2" s="361" t="s">
        <v>559</v>
      </c>
      <c r="K2" s="362">
        <f>'Combined Retirement'!B22</f>
        <v>34444.46742778919</v>
      </c>
      <c r="L2" s="363">
        <f>'Combined Retirement'!B24</f>
        <v>2870.372285649099</v>
      </c>
      <c r="M2" s="359" t="s">
        <v>560</v>
      </c>
      <c r="N2" s="364">
        <f>'Combined Retirement'!N1</f>
        <v>0.22415375262239876</v>
      </c>
      <c r="Q2" s="25"/>
      <c r="R2" s="25"/>
      <c r="S2" s="25"/>
    </row>
    <row r="3" spans="1:19" x14ac:dyDescent="0.25">
      <c r="A3" s="365" t="s">
        <v>561</v>
      </c>
      <c r="B3" s="366">
        <f>B1*(1+B2)</f>
        <v>491286.83999999991</v>
      </c>
      <c r="C3" s="367" t="s">
        <v>562</v>
      </c>
      <c r="D3" s="368">
        <v>18000</v>
      </c>
      <c r="E3" s="369" t="s">
        <v>563</v>
      </c>
      <c r="F3" s="370">
        <v>2345</v>
      </c>
      <c r="G3" s="370">
        <v>3401</v>
      </c>
      <c r="H3" s="370">
        <v>4262</v>
      </c>
      <c r="I3" s="368">
        <v>0</v>
      </c>
      <c r="J3" s="371" t="s">
        <v>564</v>
      </c>
      <c r="K3" s="372">
        <f>'Combined Retirement'!C22</f>
        <v>39051.173639423083</v>
      </c>
      <c r="L3" s="366">
        <f>'Combined Retirement'!C24</f>
        <v>3254.2644699519233</v>
      </c>
      <c r="M3" s="369" t="s">
        <v>565</v>
      </c>
      <c r="N3" s="373">
        <f>'Combined Retirement'!R1</f>
        <v>110123.78879999998</v>
      </c>
      <c r="Q3" s="25"/>
      <c r="R3" s="25"/>
      <c r="S3" s="25"/>
    </row>
    <row r="4" spans="1:19" x14ac:dyDescent="0.25">
      <c r="A4" s="374"/>
      <c r="B4" s="25"/>
      <c r="C4" s="11"/>
      <c r="D4" s="86"/>
      <c r="E4" s="23"/>
      <c r="F4" s="23"/>
      <c r="G4" s="23"/>
      <c r="H4" s="23"/>
      <c r="I4" s="23"/>
      <c r="J4" s="23"/>
      <c r="K4" s="23"/>
      <c r="L4" s="23"/>
      <c r="M4" s="86"/>
      <c r="N4" s="25"/>
      <c r="O4" s="25"/>
      <c r="P4" s="25"/>
      <c r="Q4" s="25"/>
      <c r="R4" s="25"/>
      <c r="S4" s="25"/>
    </row>
    <row r="5" spans="1:19" x14ac:dyDescent="0.25">
      <c r="A5" s="349"/>
      <c r="B5" s="375" t="s">
        <v>566</v>
      </c>
      <c r="C5" s="375" t="s">
        <v>567</v>
      </c>
      <c r="D5" s="375" t="s">
        <v>568</v>
      </c>
      <c r="E5" s="350" t="s">
        <v>569</v>
      </c>
      <c r="F5" s="376" t="s">
        <v>570</v>
      </c>
      <c r="G5" s="377" t="s">
        <v>571</v>
      </c>
      <c r="H5" s="23"/>
      <c r="I5" s="23"/>
      <c r="J5" s="23"/>
      <c r="K5" s="23"/>
      <c r="L5" s="23"/>
      <c r="M5" s="378" t="s">
        <v>572</v>
      </c>
      <c r="N5" s="354">
        <f>N11</f>
        <v>40940.569999999992</v>
      </c>
      <c r="O5" s="379">
        <f t="shared" ref="O5:O7" si="0">N5*12</f>
        <v>491286.83999999991</v>
      </c>
      <c r="P5" s="25"/>
      <c r="Q5" s="25"/>
      <c r="R5" s="25"/>
      <c r="S5" s="25"/>
    </row>
    <row r="6" spans="1:19" x14ac:dyDescent="0.25">
      <c r="A6" s="355" t="s">
        <v>573</v>
      </c>
      <c r="B6" s="380">
        <v>57</v>
      </c>
      <c r="C6" s="381">
        <f t="array" ref="C6">INDEX(B11:B1171,MATCH(MIN(ABS(B11:B1171-B6)),ABS(B11:B1171-B6),0))</f>
        <v>58.540725530458587</v>
      </c>
      <c r="D6" s="382">
        <f t="array" ref="D6">INDEX(A11:A1171,MATCH(C6,B11:B1171,0),0)</f>
        <v>51288</v>
      </c>
      <c r="E6" s="383">
        <f ca="1">'Isaac 401k'!B4</f>
        <v>28.916666666666668</v>
      </c>
      <c r="F6" s="384">
        <f ca="1">'Isaac 401k'!D4</f>
        <v>61819</v>
      </c>
      <c r="G6" s="385">
        <f ca="1">(F6-B9)/365.25</f>
        <v>87.37303216974675</v>
      </c>
      <c r="H6" s="23"/>
      <c r="I6" s="23"/>
      <c r="J6" s="566" t="s">
        <v>574</v>
      </c>
      <c r="K6" s="553"/>
      <c r="L6" s="23"/>
      <c r="M6" s="386" t="s">
        <v>575</v>
      </c>
      <c r="N6" s="362">
        <f>N3/12</f>
        <v>9176.982399999999</v>
      </c>
      <c r="O6" s="387">
        <f t="shared" si="0"/>
        <v>110123.78879999998</v>
      </c>
      <c r="P6" s="25"/>
      <c r="Q6" s="25"/>
      <c r="R6" s="25"/>
      <c r="S6" s="25"/>
    </row>
    <row r="7" spans="1:19" x14ac:dyDescent="0.25">
      <c r="A7" s="365" t="s">
        <v>576</v>
      </c>
      <c r="B7" s="388">
        <v>53.9</v>
      </c>
      <c r="C7" s="389">
        <f t="array" ref="C7">INDEX(C11:C1171,MATCH(MIN(ABS(C11:C1171-B7)),ABS(C11:C1171-B7),0))</f>
        <v>53.930184804928132</v>
      </c>
      <c r="D7" s="390">
        <f t="array" ref="D7">INDEX(A11:A1171,MATCH(C7,C11:C1171,0),0)</f>
        <v>51288</v>
      </c>
      <c r="E7" s="391">
        <f ca="1">'Lorri 401b'!B4</f>
        <v>36.333333333333336</v>
      </c>
      <c r="F7" s="392">
        <f ca="1">'Lorri 401b'!D4</f>
        <v>64529</v>
      </c>
      <c r="G7" s="393">
        <f ca="1">(F7-C9)/365.25</f>
        <v>90.182067077344286</v>
      </c>
      <c r="H7" s="23"/>
      <c r="I7" s="23"/>
      <c r="J7" s="394">
        <v>0.27938000000000002</v>
      </c>
      <c r="K7" s="395">
        <f>1-J7</f>
        <v>0.72062000000000004</v>
      </c>
      <c r="L7" s="23"/>
      <c r="M7" s="396" t="s">
        <v>577</v>
      </c>
      <c r="N7" s="372">
        <f>N5-N6</f>
        <v>31763.587599999992</v>
      </c>
      <c r="O7" s="397">
        <f t="shared" si="0"/>
        <v>381163.05119999987</v>
      </c>
      <c r="P7" s="25"/>
      <c r="Q7" s="25"/>
      <c r="R7" s="25"/>
      <c r="S7" s="25"/>
    </row>
    <row r="8" spans="1:19" x14ac:dyDescent="0.25">
      <c r="A8" s="37"/>
      <c r="B8" s="11"/>
      <c r="C8" s="11"/>
      <c r="E8" s="23"/>
      <c r="F8" s="23"/>
      <c r="G8" s="23"/>
      <c r="H8" s="23"/>
      <c r="I8" s="23"/>
      <c r="J8" s="23"/>
      <c r="K8" s="23"/>
      <c r="L8" s="23"/>
      <c r="N8" s="25"/>
      <c r="O8" s="25"/>
      <c r="P8" s="25"/>
      <c r="Q8" s="25"/>
      <c r="R8" s="25"/>
      <c r="S8" s="25"/>
    </row>
    <row r="9" spans="1:19" x14ac:dyDescent="0.25">
      <c r="A9" s="37"/>
      <c r="B9" s="37">
        <v>29906</v>
      </c>
      <c r="C9" s="37">
        <v>31590</v>
      </c>
      <c r="E9" s="23"/>
      <c r="F9" s="23"/>
      <c r="G9" s="23"/>
      <c r="H9" s="23"/>
      <c r="I9" s="23"/>
      <c r="J9" s="25">
        <f t="shared" ref="J9:K9" si="1">SUM(J11:J607)</f>
        <v>6678111.2721795486</v>
      </c>
      <c r="K9" s="25">
        <f t="shared" si="1"/>
        <v>11529627.874726763</v>
      </c>
      <c r="L9" s="23"/>
      <c r="N9" s="25"/>
      <c r="O9" s="25"/>
      <c r="P9" s="25"/>
      <c r="Q9" s="25"/>
      <c r="R9" s="25"/>
      <c r="S9" s="25"/>
    </row>
    <row r="10" spans="1:19" x14ac:dyDescent="0.25">
      <c r="A10" s="37" t="s">
        <v>268</v>
      </c>
      <c r="B10" s="11" t="s">
        <v>578</v>
      </c>
      <c r="C10" s="11" t="s">
        <v>579</v>
      </c>
      <c r="E10" s="25" t="s">
        <v>547</v>
      </c>
      <c r="F10" s="25" t="s">
        <v>559</v>
      </c>
      <c r="G10" s="25" t="s">
        <v>564</v>
      </c>
      <c r="H10" s="25" t="s">
        <v>580</v>
      </c>
      <c r="I10" s="25" t="s">
        <v>581</v>
      </c>
      <c r="J10" s="25" t="s">
        <v>582</v>
      </c>
      <c r="K10" s="25" t="s">
        <v>583</v>
      </c>
      <c r="L10" s="25"/>
      <c r="N10" s="25" t="s">
        <v>584</v>
      </c>
      <c r="O10" s="25" t="s">
        <v>585</v>
      </c>
      <c r="P10" s="25" t="s">
        <v>586</v>
      </c>
      <c r="Q10" s="25" t="s">
        <v>587</v>
      </c>
      <c r="R10" s="25" t="s">
        <v>588</v>
      </c>
      <c r="S10" s="25" t="s">
        <v>589</v>
      </c>
    </row>
    <row r="11" spans="1:19" x14ac:dyDescent="0.25">
      <c r="A11" s="37">
        <v>51288</v>
      </c>
      <c r="B11" s="398">
        <f t="shared" ref="B11:C11" si="2">($A11-B$9)/365.25</f>
        <v>58.540725530458587</v>
      </c>
      <c r="C11" s="398">
        <f t="shared" si="2"/>
        <v>53.930184804928132</v>
      </c>
      <c r="E11" s="25">
        <f>IF(C11&gt;$B$7,0,'Combined Retirement'!$D$13/12)</f>
        <v>0</v>
      </c>
      <c r="F11" s="25">
        <f>IF(H11=0,'Combined Retirement'!$D$32,0)+'Combined Retirement'!$B$24</f>
        <v>4439.3722856490986</v>
      </c>
      <c r="G11" s="25">
        <f>'Combined Retirement'!$C$24</f>
        <v>3254.2644699519233</v>
      </c>
      <c r="H11" s="25">
        <f>IF(B11&lt;62,0,'Combined Retirement'!$I$14)</f>
        <v>0</v>
      </c>
      <c r="I11" s="25">
        <f>IF(C11&lt;62,0,'Combined Retirement'!$I$13)</f>
        <v>0</v>
      </c>
      <c r="J11" s="25">
        <f t="shared" ref="J11:J265" si="3">IF(C11&lt;59.5,P11,P11*$J$7)</f>
        <v>33246.93324439897</v>
      </c>
      <c r="K11" s="25">
        <f t="shared" ref="K11:K265" si="4">IF(C11&lt;59.5,0,IF(C11&lt;$B$7,0,P11*$K$7))</f>
        <v>0</v>
      </c>
      <c r="L11" s="25"/>
      <c r="N11" s="25">
        <f>'Combined Retirement'!$C$18/12</f>
        <v>40940.569999999992</v>
      </c>
      <c r="O11" s="25">
        <f t="shared" ref="O11:O265" si="5">SUM(E11:I11)</f>
        <v>7693.6367556010218</v>
      </c>
      <c r="P11" s="25">
        <f t="shared" ref="P11:P265" si="6">N11-O11</f>
        <v>33246.93324439897</v>
      </c>
      <c r="Q11" s="25">
        <f t="array" aca="1" ref="Q11" ca="1">INDEX('Isaac 401k'!L:L,MATCH('Retirement Calculator'!A11,'Isaac 401k'!N:N,0),0)</f>
        <v>2978385.4648899003</v>
      </c>
      <c r="R11" s="25">
        <f t="array" aca="1" ref="R11" ca="1">INDEX('Lorri 401b'!L:L,MATCH('Retirement Calculator'!A11,'Lorri 401b'!N:N,0),0)</f>
        <v>3147995.5482788919</v>
      </c>
      <c r="S11" s="25">
        <f t="shared" ref="S11:S265" ca="1" si="7">SUM(Q11:R11)</f>
        <v>6126381.0131687922</v>
      </c>
    </row>
    <row r="12" spans="1:19" x14ac:dyDescent="0.25">
      <c r="A12" s="37">
        <v>51318</v>
      </c>
      <c r="B12" s="398">
        <f t="shared" ref="B12:C12" si="8">($A12-B$9)/365.25</f>
        <v>58.622861054072551</v>
      </c>
      <c r="C12" s="398">
        <f t="shared" si="8"/>
        <v>54.012320328542096</v>
      </c>
      <c r="E12" s="25">
        <f>IF(C12&gt;$B$7,0,'Combined Retirement'!$D$13/12)</f>
        <v>0</v>
      </c>
      <c r="F12" s="25">
        <f>IF(H12=0,'Combined Retirement'!$D$32,0)+'Combined Retirement'!$B$24</f>
        <v>4439.3722856490986</v>
      </c>
      <c r="G12" s="25">
        <f>'Combined Retirement'!$C$24</f>
        <v>3254.2644699519233</v>
      </c>
      <c r="H12" s="25">
        <f>IF(B12&lt;62,0,'Combined Retirement'!$I$14)</f>
        <v>0</v>
      </c>
      <c r="I12" s="25">
        <f>IF(C12&lt;62,0,'Combined Retirement'!$I$13)</f>
        <v>0</v>
      </c>
      <c r="J12" s="25">
        <f t="shared" si="3"/>
        <v>33246.93324439897</v>
      </c>
      <c r="K12" s="25">
        <f t="shared" si="4"/>
        <v>0</v>
      </c>
      <c r="L12" s="25"/>
      <c r="N12" s="25">
        <f>'Combined Retirement'!$C$18/12</f>
        <v>40940.569999999992</v>
      </c>
      <c r="O12" s="25">
        <f t="shared" si="5"/>
        <v>7693.6367556010218</v>
      </c>
      <c r="P12" s="25">
        <f t="shared" si="6"/>
        <v>33246.93324439897</v>
      </c>
      <c r="Q12" s="25">
        <f t="array" aca="1" ref="Q12" ca="1">INDEX('Isaac 401k'!L:L,MATCH('Retirement Calculator'!A12,'Isaac 401k'!N:N,0),0)</f>
        <v>2957409.9421940246</v>
      </c>
      <c r="R12" s="25">
        <f t="array" aca="1" ref="R12" ca="1">INDEX('Lorri 401b'!L:L,MATCH('Retirement Calculator'!A12,'Lorri 401b'!N:N,0),0)</f>
        <v>3161112.1963967206</v>
      </c>
      <c r="S12" s="25">
        <f t="shared" ca="1" si="7"/>
        <v>6118522.1385907456</v>
      </c>
    </row>
    <row r="13" spans="1:19" x14ac:dyDescent="0.25">
      <c r="A13" s="37">
        <v>51349</v>
      </c>
      <c r="B13" s="398">
        <f t="shared" ref="B13:C13" si="9">($A13-B$9)/365.25</f>
        <v>58.70773442847365</v>
      </c>
      <c r="C13" s="398">
        <f t="shared" si="9"/>
        <v>54.097193702943187</v>
      </c>
      <c r="E13" s="25">
        <f>IF(C13&gt;$B$7,0,'Combined Retirement'!$D$13/12)</f>
        <v>0</v>
      </c>
      <c r="F13" s="25">
        <f>IF(H13=0,'Combined Retirement'!$D$32,0)+'Combined Retirement'!$B$24</f>
        <v>4439.3722856490986</v>
      </c>
      <c r="G13" s="25">
        <f>'Combined Retirement'!$C$24</f>
        <v>3254.2644699519233</v>
      </c>
      <c r="H13" s="25">
        <f>IF(B13&lt;62,0,'Combined Retirement'!$I$14)</f>
        <v>0</v>
      </c>
      <c r="I13" s="25">
        <f>IF(C13&lt;62,0,'Combined Retirement'!$I$13)</f>
        <v>0</v>
      </c>
      <c r="J13" s="25">
        <f t="shared" si="3"/>
        <v>33246.93324439897</v>
      </c>
      <c r="K13" s="25">
        <f t="shared" si="4"/>
        <v>0</v>
      </c>
      <c r="L13" s="25"/>
      <c r="N13" s="25">
        <f>'Combined Retirement'!$C$18/12</f>
        <v>40940.569999999992</v>
      </c>
      <c r="O13" s="25">
        <f t="shared" si="5"/>
        <v>7693.6367556010218</v>
      </c>
      <c r="P13" s="25">
        <f t="shared" si="6"/>
        <v>33246.93324439897</v>
      </c>
      <c r="Q13" s="25">
        <f t="array" aca="1" ref="Q13" ca="1">INDEX('Isaac 401k'!L:L,MATCH('Retirement Calculator'!A13,'Isaac 401k'!N:N,0),0)</f>
        <v>2936347.0214869156</v>
      </c>
      <c r="R13" s="25">
        <f t="array" aca="1" ref="R13" ca="1">INDEX('Lorri 401b'!L:L,MATCH('Retirement Calculator'!A13,'Lorri 401b'!N:N,0),0)</f>
        <v>3174283.4972150405</v>
      </c>
      <c r="S13" s="25">
        <f t="shared" ca="1" si="7"/>
        <v>6110630.5187019557</v>
      </c>
    </row>
    <row r="14" spans="1:19" x14ac:dyDescent="0.25">
      <c r="A14" s="37">
        <v>51380</v>
      </c>
      <c r="B14" s="398">
        <f t="shared" ref="B14:C14" si="10">($A14-B$9)/365.25</f>
        <v>58.792607802874741</v>
      </c>
      <c r="C14" s="398">
        <f t="shared" si="10"/>
        <v>54.182067077344286</v>
      </c>
      <c r="E14" s="25">
        <f>IF(C14&gt;$B$7,0,'Combined Retirement'!$D$13/12)</f>
        <v>0</v>
      </c>
      <c r="F14" s="25">
        <f>IF(H14=0,'Combined Retirement'!$D$32,0)+'Combined Retirement'!$B$24</f>
        <v>4439.3722856490986</v>
      </c>
      <c r="G14" s="25">
        <f>'Combined Retirement'!$C$24</f>
        <v>3254.2644699519233</v>
      </c>
      <c r="H14" s="25">
        <f>IF(B14&lt;62,0,'Combined Retirement'!$I$14)</f>
        <v>0</v>
      </c>
      <c r="I14" s="25">
        <f>IF(C14&lt;62,0,'Combined Retirement'!$I$13)</f>
        <v>0</v>
      </c>
      <c r="J14" s="25">
        <f t="shared" si="3"/>
        <v>33246.93324439897</v>
      </c>
      <c r="K14" s="25">
        <f t="shared" si="4"/>
        <v>0</v>
      </c>
      <c r="L14" s="25"/>
      <c r="N14" s="25">
        <f>'Combined Retirement'!$C$18/12</f>
        <v>40940.569999999992</v>
      </c>
      <c r="O14" s="25">
        <f t="shared" si="5"/>
        <v>7693.6367556010218</v>
      </c>
      <c r="P14" s="25">
        <f t="shared" si="6"/>
        <v>33246.93324439897</v>
      </c>
      <c r="Q14" s="25">
        <f t="array" aca="1" ref="Q14" ca="1">INDEX('Isaac 401k'!L:L,MATCH('Retirement Calculator'!A14,'Isaac 401k'!N:N,0),0)</f>
        <v>2915196.3386101942</v>
      </c>
      <c r="R14" s="25">
        <f t="array" aca="1" ref="R14" ca="1">INDEX('Lorri 401b'!L:L,MATCH('Retirement Calculator'!A14,'Lorri 401b'!N:N,0),0)</f>
        <v>3187509.6784534366</v>
      </c>
      <c r="S14" s="25">
        <f t="shared" ca="1" si="7"/>
        <v>6102706.0170636307</v>
      </c>
    </row>
    <row r="15" spans="1:19" x14ac:dyDescent="0.25">
      <c r="A15" s="37">
        <v>51410</v>
      </c>
      <c r="B15" s="398">
        <f t="shared" ref="B15:C15" si="11">($A15-B$9)/365.25</f>
        <v>58.874743326488705</v>
      </c>
      <c r="C15" s="398">
        <f t="shared" si="11"/>
        <v>54.264202600958249</v>
      </c>
      <c r="E15" s="25">
        <f>IF(C15&gt;$B$7,0,'Combined Retirement'!$D$13/12)</f>
        <v>0</v>
      </c>
      <c r="F15" s="25">
        <f>IF(H15=0,'Combined Retirement'!$D$32,0)+'Combined Retirement'!$B$24</f>
        <v>4439.3722856490986</v>
      </c>
      <c r="G15" s="25">
        <f>'Combined Retirement'!$C$24</f>
        <v>3254.2644699519233</v>
      </c>
      <c r="H15" s="25">
        <f>IF(B15&lt;62,0,'Combined Retirement'!$I$14)</f>
        <v>0</v>
      </c>
      <c r="I15" s="25">
        <f>IF(C15&lt;62,0,'Combined Retirement'!$I$13)</f>
        <v>0</v>
      </c>
      <c r="J15" s="25">
        <f t="shared" si="3"/>
        <v>33246.93324439897</v>
      </c>
      <c r="K15" s="25">
        <f t="shared" si="4"/>
        <v>0</v>
      </c>
      <c r="L15" s="25"/>
      <c r="N15" s="25">
        <f>'Combined Retirement'!$C$18/12</f>
        <v>40940.569999999992</v>
      </c>
      <c r="O15" s="25">
        <f t="shared" si="5"/>
        <v>7693.6367556010218</v>
      </c>
      <c r="P15" s="25">
        <f t="shared" si="6"/>
        <v>33246.93324439897</v>
      </c>
      <c r="Q15" s="25">
        <f t="array" aca="1" ref="Q15" ca="1">INDEX('Isaac 401k'!L:L,MATCH('Retirement Calculator'!A15,'Isaac 401k'!N:N,0),0)</f>
        <v>2893957.5278881527</v>
      </c>
      <c r="R15" s="25">
        <f t="array" aca="1" ref="R15" ca="1">INDEX('Lorri 401b'!L:L,MATCH('Retirement Calculator'!A15,'Lorri 401b'!N:N,0),0)</f>
        <v>3200790.9687803257</v>
      </c>
      <c r="S15" s="25">
        <f t="shared" ca="1" si="7"/>
        <v>6094748.4966684785</v>
      </c>
    </row>
    <row r="16" spans="1:19" x14ac:dyDescent="0.25">
      <c r="A16" s="37">
        <v>51441</v>
      </c>
      <c r="B16" s="398">
        <f t="shared" ref="B16:C16" si="12">($A16-B$9)/365.25</f>
        <v>58.959616700889804</v>
      </c>
      <c r="C16" s="398">
        <f t="shared" si="12"/>
        <v>54.349075975359341</v>
      </c>
      <c r="E16" s="25">
        <f>IF(C16&gt;$B$7,0,'Combined Retirement'!$D$13/12)</f>
        <v>0</v>
      </c>
      <c r="F16" s="25">
        <f>IF(H16=0,'Combined Retirement'!$D$32,0)+'Combined Retirement'!$B$24</f>
        <v>4439.3722856490986</v>
      </c>
      <c r="G16" s="25">
        <f>'Combined Retirement'!$C$24</f>
        <v>3254.2644699519233</v>
      </c>
      <c r="H16" s="25">
        <f>IF(B16&lt;62,0,'Combined Retirement'!$I$14)</f>
        <v>0</v>
      </c>
      <c r="I16" s="25">
        <f>IF(C16&lt;62,0,'Combined Retirement'!$I$13)</f>
        <v>0</v>
      </c>
      <c r="J16" s="25">
        <f t="shared" si="3"/>
        <v>33246.93324439897</v>
      </c>
      <c r="K16" s="25">
        <f t="shared" si="4"/>
        <v>0</v>
      </c>
      <c r="L16" s="25"/>
      <c r="N16" s="25">
        <f>'Combined Retirement'!$C$18/12</f>
        <v>40940.569999999992</v>
      </c>
      <c r="O16" s="25">
        <f t="shared" si="5"/>
        <v>7693.6367556010218</v>
      </c>
      <c r="P16" s="25">
        <f t="shared" si="6"/>
        <v>33246.93324439897</v>
      </c>
      <c r="Q16" s="25">
        <f t="array" aca="1" ref="Q16" ca="1">INDEX('Isaac 401k'!L:L,MATCH('Retirement Calculator'!A16,'Isaac 401k'!N:N,0),0)</f>
        <v>2872630.2221214361</v>
      </c>
      <c r="R16" s="25">
        <f t="array" aca="1" ref="R16" ca="1">INDEX('Lorri 401b'!L:L,MATCH('Retirement Calculator'!A16,'Lorri 401b'!N:N,0),0)</f>
        <v>3214127.5978169106</v>
      </c>
      <c r="S16" s="25">
        <f t="shared" ca="1" si="7"/>
        <v>6086757.8199383467</v>
      </c>
    </row>
    <row r="17" spans="1:19" x14ac:dyDescent="0.25">
      <c r="A17" s="37">
        <v>51471</v>
      </c>
      <c r="B17" s="398">
        <f t="shared" ref="B17:C17" si="13">($A17-B$9)/365.25</f>
        <v>59.041752224503767</v>
      </c>
      <c r="C17" s="398">
        <f t="shared" si="13"/>
        <v>54.431211498973305</v>
      </c>
      <c r="E17" s="25">
        <f>IF(C17&gt;$B$7,0,'Combined Retirement'!$D$13/12)</f>
        <v>0</v>
      </c>
      <c r="F17" s="25">
        <f>IF(H17=0,'Combined Retirement'!$D$32,0)+'Combined Retirement'!$B$24</f>
        <v>4439.3722856490986</v>
      </c>
      <c r="G17" s="25">
        <f>'Combined Retirement'!$C$24</f>
        <v>3254.2644699519233</v>
      </c>
      <c r="H17" s="25">
        <f>IF(B17&lt;62,0,'Combined Retirement'!$I$14)</f>
        <v>0</v>
      </c>
      <c r="I17" s="25">
        <f>IF(C17&lt;62,0,'Combined Retirement'!$I$13)</f>
        <v>0</v>
      </c>
      <c r="J17" s="25">
        <f t="shared" si="3"/>
        <v>33246.93324439897</v>
      </c>
      <c r="K17" s="25">
        <f t="shared" si="4"/>
        <v>0</v>
      </c>
      <c r="L17" s="25"/>
      <c r="N17" s="25">
        <f>'Combined Retirement'!$C$18/12</f>
        <v>40940.569999999992</v>
      </c>
      <c r="O17" s="25">
        <f t="shared" si="5"/>
        <v>7693.6367556010218</v>
      </c>
      <c r="P17" s="25">
        <f t="shared" si="6"/>
        <v>33246.93324439897</v>
      </c>
      <c r="Q17" s="25">
        <f t="array" aca="1" ref="Q17" ca="1">INDEX('Isaac 401k'!L:L,MATCH('Retirement Calculator'!A17,'Isaac 401k'!N:N,0),0)</f>
        <v>2851214.0525806919</v>
      </c>
      <c r="R17" s="25">
        <f t="array" aca="1" ref="R17" ca="1">INDEX('Lorri 401b'!L:L,MATCH('Retirement Calculator'!A17,'Lorri 401b'!N:N,0),0)</f>
        <v>3227519.7961411476</v>
      </c>
      <c r="S17" s="25">
        <f t="shared" ca="1" si="7"/>
        <v>6078733.8487218395</v>
      </c>
    </row>
    <row r="18" spans="1:19" x14ac:dyDescent="0.25">
      <c r="A18" s="37">
        <v>51502</v>
      </c>
      <c r="B18" s="398">
        <f t="shared" ref="B18:C18" si="14">($A18-B$9)/365.25</f>
        <v>59.126625598904859</v>
      </c>
      <c r="C18" s="398">
        <f t="shared" si="14"/>
        <v>54.516084873374403</v>
      </c>
      <c r="E18" s="25">
        <f>IF(C18&gt;$B$7,0,'Combined Retirement'!$D$13/12)</f>
        <v>0</v>
      </c>
      <c r="F18" s="25">
        <f>IF(H18=0,'Combined Retirement'!$D$32,0)+'Combined Retirement'!$B$24</f>
        <v>4439.3722856490986</v>
      </c>
      <c r="G18" s="25">
        <f>'Combined Retirement'!$C$24</f>
        <v>3254.2644699519233</v>
      </c>
      <c r="H18" s="25">
        <f>IF(B18&lt;62,0,'Combined Retirement'!$I$14)</f>
        <v>0</v>
      </c>
      <c r="I18" s="25">
        <f>IF(C18&lt;62,0,'Combined Retirement'!$I$13)</f>
        <v>0</v>
      </c>
      <c r="J18" s="25">
        <f t="shared" si="3"/>
        <v>33246.93324439897</v>
      </c>
      <c r="K18" s="25">
        <f t="shared" si="4"/>
        <v>0</v>
      </c>
      <c r="L18" s="25"/>
      <c r="N18" s="25">
        <f>'Combined Retirement'!$C$18/12</f>
        <v>40940.569999999992</v>
      </c>
      <c r="O18" s="25">
        <f t="shared" si="5"/>
        <v>7693.6367556010218</v>
      </c>
      <c r="P18" s="25">
        <f t="shared" si="6"/>
        <v>33246.93324439897</v>
      </c>
      <c r="Q18" s="25">
        <f t="array" aca="1" ref="Q18" ca="1">INDEX('Isaac 401k'!L:L,MATCH('Retirement Calculator'!A18,'Isaac 401k'!N:N,0),0)</f>
        <v>2829708.6490001944</v>
      </c>
      <c r="R18" s="25">
        <f t="array" aca="1" ref="R18" ca="1">INDEX('Lorri 401b'!L:L,MATCH('Retirement Calculator'!A18,'Lorri 401b'!N:N,0),0)</f>
        <v>3240967.7952917358</v>
      </c>
      <c r="S18" s="25">
        <f t="shared" ca="1" si="7"/>
        <v>6070676.4442919306</v>
      </c>
    </row>
    <row r="19" spans="1:19" x14ac:dyDescent="0.25">
      <c r="A19" s="37">
        <v>51533</v>
      </c>
      <c r="B19" s="398">
        <f t="shared" ref="B19:C19" si="15">($A19-B$9)/365.25</f>
        <v>59.211498973305957</v>
      </c>
      <c r="C19" s="398">
        <f t="shared" si="15"/>
        <v>54.600958247775495</v>
      </c>
      <c r="E19" s="25">
        <f>IF(C19&gt;$B$7,0,'Combined Retirement'!$D$13/12)</f>
        <v>0</v>
      </c>
      <c r="F19" s="25">
        <f>IF(H19=0,'Combined Retirement'!$D$32,0)+'Combined Retirement'!$B$24</f>
        <v>4439.3722856490986</v>
      </c>
      <c r="G19" s="25">
        <f>'Combined Retirement'!$C$24</f>
        <v>3254.2644699519233</v>
      </c>
      <c r="H19" s="25">
        <f>IF(B19&lt;62,0,'Combined Retirement'!$I$14)</f>
        <v>0</v>
      </c>
      <c r="I19" s="25">
        <f>IF(C19&lt;62,0,'Combined Retirement'!$I$13)</f>
        <v>0</v>
      </c>
      <c r="J19" s="25">
        <f t="shared" si="3"/>
        <v>33246.93324439897</v>
      </c>
      <c r="K19" s="25">
        <f t="shared" si="4"/>
        <v>0</v>
      </c>
      <c r="L19" s="25"/>
      <c r="N19" s="25">
        <f>'Combined Retirement'!$C$18/12</f>
        <v>40940.569999999992</v>
      </c>
      <c r="O19" s="25">
        <f t="shared" si="5"/>
        <v>7693.6367556010218</v>
      </c>
      <c r="P19" s="25">
        <f t="shared" si="6"/>
        <v>33246.93324439897</v>
      </c>
      <c r="Q19" s="25">
        <f t="array" aca="1" ref="Q19" ca="1">INDEX('Isaac 401k'!L:L,MATCH('Retirement Calculator'!A19,'Isaac 401k'!N:N,0),0)</f>
        <v>2808113.6395714446</v>
      </c>
      <c r="R19" s="25">
        <f t="array" aca="1" ref="R19" ca="1">INDEX('Lorri 401b'!L:L,MATCH('Retirement Calculator'!A19,'Lorri 401b'!N:N,0),0)</f>
        <v>3254471.8277721182</v>
      </c>
      <c r="S19" s="25">
        <f t="shared" ca="1" si="7"/>
        <v>6062585.4673435632</v>
      </c>
    </row>
    <row r="20" spans="1:19" x14ac:dyDescent="0.25">
      <c r="A20" s="37">
        <v>51561</v>
      </c>
      <c r="B20" s="398">
        <f t="shared" ref="B20:C20" si="16">($A20-B$9)/365.25</f>
        <v>59.288158795345652</v>
      </c>
      <c r="C20" s="398">
        <f t="shared" si="16"/>
        <v>54.677618069815196</v>
      </c>
      <c r="E20" s="25">
        <f>IF(C20&gt;$B$7,0,'Combined Retirement'!$D$13/12)</f>
        <v>0</v>
      </c>
      <c r="F20" s="25">
        <f>IF(H20=0,'Combined Retirement'!$D$32,0)+'Combined Retirement'!$B$24</f>
        <v>4439.3722856490986</v>
      </c>
      <c r="G20" s="25">
        <f>'Combined Retirement'!$C$24</f>
        <v>3254.2644699519233</v>
      </c>
      <c r="H20" s="25">
        <f>IF(B20&lt;62,0,'Combined Retirement'!$I$14)</f>
        <v>0</v>
      </c>
      <c r="I20" s="25">
        <f>IF(C20&lt;62,0,'Combined Retirement'!$I$13)</f>
        <v>0</v>
      </c>
      <c r="J20" s="25">
        <f t="shared" si="3"/>
        <v>33246.93324439897</v>
      </c>
      <c r="K20" s="25">
        <f t="shared" si="4"/>
        <v>0</v>
      </c>
      <c r="L20" s="25"/>
      <c r="N20" s="25">
        <f>'Combined Retirement'!$C$18/12</f>
        <v>40940.569999999992</v>
      </c>
      <c r="O20" s="25">
        <f t="shared" si="5"/>
        <v>7693.6367556010218</v>
      </c>
      <c r="P20" s="25">
        <f t="shared" si="6"/>
        <v>33246.93324439897</v>
      </c>
      <c r="Q20" s="25">
        <f t="array" aca="1" ref="Q20" ca="1">INDEX('Isaac 401k'!L:L,MATCH('Retirement Calculator'!A20,'Isaac 401k'!N:N,0),0)</f>
        <v>2786428.6509367418</v>
      </c>
      <c r="R20" s="25">
        <f t="array" aca="1" ref="R20" ca="1">INDEX('Lorri 401b'!L:L,MATCH('Retirement Calculator'!A20,'Lorri 401b'!N:N,0),0)</f>
        <v>3268032.1270545018</v>
      </c>
      <c r="S20" s="25">
        <f t="shared" ca="1" si="7"/>
        <v>6054460.7779912436</v>
      </c>
    </row>
    <row r="21" spans="1:19" ht="15.75" customHeight="1" x14ac:dyDescent="0.25">
      <c r="A21" s="37">
        <v>51592</v>
      </c>
      <c r="B21" s="398">
        <f t="shared" ref="B21:C21" si="17">($A21-B$9)/365.25</f>
        <v>59.37303216974675</v>
      </c>
      <c r="C21" s="398">
        <f t="shared" si="17"/>
        <v>54.762491444216288</v>
      </c>
      <c r="E21" s="25">
        <f>IF(C21&gt;$B$7,0,'Combined Retirement'!$D$13/12)</f>
        <v>0</v>
      </c>
      <c r="F21" s="25">
        <f>IF(H21=0,'Combined Retirement'!$D$32,0)+'Combined Retirement'!$B$24</f>
        <v>4439.3722856490986</v>
      </c>
      <c r="G21" s="25">
        <f>'Combined Retirement'!$C$24</f>
        <v>3254.2644699519233</v>
      </c>
      <c r="H21" s="25">
        <f>IF(B21&lt;62,0,'Combined Retirement'!$I$14)</f>
        <v>0</v>
      </c>
      <c r="I21" s="25">
        <f>IF(C21&lt;62,0,'Combined Retirement'!$I$13)</f>
        <v>0</v>
      </c>
      <c r="J21" s="25">
        <f t="shared" si="3"/>
        <v>33246.93324439897</v>
      </c>
      <c r="K21" s="25">
        <f t="shared" si="4"/>
        <v>0</v>
      </c>
      <c r="L21" s="25"/>
      <c r="N21" s="25">
        <f>'Combined Retirement'!$C$18/12</f>
        <v>40940.569999999992</v>
      </c>
      <c r="O21" s="25">
        <f t="shared" si="5"/>
        <v>7693.6367556010218</v>
      </c>
      <c r="P21" s="25">
        <f t="shared" si="6"/>
        <v>33246.93324439897</v>
      </c>
      <c r="Q21" s="25">
        <f t="array" aca="1" ref="Q21" ca="1">INDEX('Isaac 401k'!L:L,MATCH('Retirement Calculator'!A21,'Isaac 401k'!N:N,0),0)</f>
        <v>2764653.308182728</v>
      </c>
      <c r="R21" s="25">
        <f t="array" aca="1" ref="R21" ca="1">INDEX('Lorri 401b'!L:L,MATCH('Retirement Calculator'!A21,'Lorri 401b'!N:N,0),0)</f>
        <v>3281648.9275838956</v>
      </c>
      <c r="S21" s="25">
        <f t="shared" ca="1" si="7"/>
        <v>6046302.2357666232</v>
      </c>
    </row>
    <row r="22" spans="1:19" ht="15.75" customHeight="1" x14ac:dyDescent="0.25">
      <c r="A22" s="37">
        <v>51622</v>
      </c>
      <c r="B22" s="398">
        <f t="shared" ref="B22:C22" si="18">($A22-B$9)/365.25</f>
        <v>59.455167693360714</v>
      </c>
      <c r="C22" s="398">
        <f t="shared" si="18"/>
        <v>54.844626967830251</v>
      </c>
      <c r="E22" s="25">
        <f>IF(C22&gt;$B$7,0,'Combined Retirement'!$D$13/12)</f>
        <v>0</v>
      </c>
      <c r="F22" s="25">
        <f>IF(H22=0,'Combined Retirement'!$D$32,0)+'Combined Retirement'!$B$24</f>
        <v>4439.3722856490986</v>
      </c>
      <c r="G22" s="25">
        <f>'Combined Retirement'!$C$24</f>
        <v>3254.2644699519233</v>
      </c>
      <c r="H22" s="25">
        <f>IF(B22&lt;62,0,'Combined Retirement'!$I$14)</f>
        <v>0</v>
      </c>
      <c r="I22" s="25">
        <f>IF(C22&lt;62,0,'Combined Retirement'!$I$13)</f>
        <v>0</v>
      </c>
      <c r="J22" s="25">
        <f t="shared" si="3"/>
        <v>33246.93324439897</v>
      </c>
      <c r="K22" s="25">
        <f t="shared" si="4"/>
        <v>0</v>
      </c>
      <c r="L22" s="25"/>
      <c r="N22" s="25">
        <f>'Combined Retirement'!$C$18/12</f>
        <v>40940.569999999992</v>
      </c>
      <c r="O22" s="25">
        <f t="shared" si="5"/>
        <v>7693.6367556010218</v>
      </c>
      <c r="P22" s="25">
        <f t="shared" si="6"/>
        <v>33246.93324439897</v>
      </c>
      <c r="Q22" s="25">
        <f t="array" aca="1" ref="Q22" ca="1">INDEX('Isaac 401k'!L:L,MATCH('Retirement Calculator'!A22,'Isaac 401k'!N:N,0),0)</f>
        <v>2742787.2348339055</v>
      </c>
      <c r="R22" s="25">
        <f t="array" aca="1" ref="R22" ca="1">INDEX('Lorri 401b'!L:L,MATCH('Retirement Calculator'!A22,'Lorri 401b'!N:N,0),0)</f>
        <v>3295322.4647821616</v>
      </c>
      <c r="S22" s="25">
        <f t="shared" ca="1" si="7"/>
        <v>6038109.6996160671</v>
      </c>
    </row>
    <row r="23" spans="1:19" ht="15.75" customHeight="1" x14ac:dyDescent="0.25">
      <c r="A23" s="37">
        <v>51653</v>
      </c>
      <c r="B23" s="398">
        <f t="shared" ref="B23:C23" si="19">($A23-B$9)/365.25</f>
        <v>59.540041067761805</v>
      </c>
      <c r="C23" s="398">
        <f t="shared" si="19"/>
        <v>54.92950034223135</v>
      </c>
      <c r="E23" s="25">
        <f>IF(C23&gt;$B$7,0,'Combined Retirement'!$D$13/12)</f>
        <v>0</v>
      </c>
      <c r="F23" s="25">
        <f>IF(H23=0,'Combined Retirement'!$D$32,0)+'Combined Retirement'!$B$24</f>
        <v>4439.3722856490986</v>
      </c>
      <c r="G23" s="25">
        <f>'Combined Retirement'!$C$24</f>
        <v>3254.2644699519233</v>
      </c>
      <c r="H23" s="25">
        <f>IF(B23&lt;62,0,'Combined Retirement'!$I$14)</f>
        <v>0</v>
      </c>
      <c r="I23" s="25">
        <f>IF(C23&lt;62,0,'Combined Retirement'!$I$13)</f>
        <v>0</v>
      </c>
      <c r="J23" s="25">
        <f t="shared" si="3"/>
        <v>33246.93324439897</v>
      </c>
      <c r="K23" s="25">
        <f t="shared" si="4"/>
        <v>0</v>
      </c>
      <c r="L23" s="25"/>
      <c r="N23" s="25">
        <f>'Combined Retirement'!$C$18/12</f>
        <v>40940.569999999992</v>
      </c>
      <c r="O23" s="25">
        <f t="shared" si="5"/>
        <v>7693.6367556010218</v>
      </c>
      <c r="P23" s="25">
        <f t="shared" si="6"/>
        <v>33246.93324439897</v>
      </c>
      <c r="Q23" s="25">
        <f t="array" aca="1" ref="Q23" ca="1">INDEX('Isaac 401k'!L:L,MATCH('Retirement Calculator'!A23,'Isaac 401k'!N:N,0),0)</f>
        <v>2720830.0528461295</v>
      </c>
      <c r="R23" s="25">
        <f t="array" aca="1" ref="R23" ca="1">INDEX('Lorri 401b'!L:L,MATCH('Retirement Calculator'!A23,'Lorri 401b'!N:N,0),0)</f>
        <v>3309052.9750520871</v>
      </c>
      <c r="S23" s="25">
        <f t="shared" ca="1" si="7"/>
        <v>6029883.0278982166</v>
      </c>
    </row>
    <row r="24" spans="1:19" ht="15.75" customHeight="1" x14ac:dyDescent="0.25">
      <c r="A24" s="37">
        <v>51683</v>
      </c>
      <c r="B24" s="398">
        <f t="shared" ref="B24:C24" si="20">($A24-B$9)/365.25</f>
        <v>59.622176591375769</v>
      </c>
      <c r="C24" s="398">
        <f t="shared" si="20"/>
        <v>55.011635865845314</v>
      </c>
      <c r="E24" s="25">
        <f>IF(C24&gt;$B$7,0,'Combined Retirement'!$D$13/12)</f>
        <v>0</v>
      </c>
      <c r="F24" s="25">
        <f>IF(H24=0,'Combined Retirement'!$D$32,0)+'Combined Retirement'!$B$24</f>
        <v>4439.3722856490986</v>
      </c>
      <c r="G24" s="25">
        <f>'Combined Retirement'!$C$24</f>
        <v>3254.2644699519233</v>
      </c>
      <c r="H24" s="25">
        <f>IF(B24&lt;62,0,'Combined Retirement'!$I$14)</f>
        <v>0</v>
      </c>
      <c r="I24" s="25">
        <f>IF(C24&lt;62,0,'Combined Retirement'!$I$13)</f>
        <v>0</v>
      </c>
      <c r="J24" s="25">
        <f t="shared" si="3"/>
        <v>33246.93324439897</v>
      </c>
      <c r="K24" s="25">
        <f t="shared" si="4"/>
        <v>0</v>
      </c>
      <c r="L24" s="25"/>
      <c r="N24" s="25">
        <f>'Combined Retirement'!$C$18/12</f>
        <v>40940.569999999992</v>
      </c>
      <c r="O24" s="25">
        <f t="shared" si="5"/>
        <v>7693.6367556010218</v>
      </c>
      <c r="P24" s="25">
        <f t="shared" si="6"/>
        <v>33246.93324439897</v>
      </c>
      <c r="Q24" s="25">
        <f t="array" aca="1" ref="Q24" ca="1">INDEX('Isaac 401k'!L:L,MATCH('Retirement Calculator'!A24,'Isaac 401k'!N:N,0),0)</f>
        <v>2698781.3826000714</v>
      </c>
      <c r="R24" s="25">
        <f t="array" aca="1" ref="R24" ca="1">INDEX('Lorri 401b'!L:L,MATCH('Retirement Calculator'!A24,'Lorri 401b'!N:N,0),0)</f>
        <v>3322840.6957814707</v>
      </c>
      <c r="S24" s="25">
        <f t="shared" ca="1" si="7"/>
        <v>6021622.0783815421</v>
      </c>
    </row>
    <row r="25" spans="1:19" ht="15.75" customHeight="1" x14ac:dyDescent="0.25">
      <c r="A25" s="37">
        <v>51714</v>
      </c>
      <c r="B25" s="398">
        <f t="shared" ref="B25:C25" si="21">($A25-B$9)/365.25</f>
        <v>59.707049965776868</v>
      </c>
      <c r="C25" s="398">
        <f t="shared" si="21"/>
        <v>55.096509240246405</v>
      </c>
      <c r="E25" s="25">
        <f>IF(C25&gt;$B$7,0,'Combined Retirement'!$D$13/12)</f>
        <v>0</v>
      </c>
      <c r="F25" s="25">
        <f>IF(H25=0,'Combined Retirement'!$D$32,0)+'Combined Retirement'!$B$24</f>
        <v>4439.3722856490986</v>
      </c>
      <c r="G25" s="25">
        <f>'Combined Retirement'!$C$24</f>
        <v>3254.2644699519233</v>
      </c>
      <c r="H25" s="25">
        <f>IF(B25&lt;62,0,'Combined Retirement'!$I$14)</f>
        <v>0</v>
      </c>
      <c r="I25" s="25">
        <f>IF(C25&lt;62,0,'Combined Retirement'!$I$13)</f>
        <v>0</v>
      </c>
      <c r="J25" s="25">
        <f t="shared" si="3"/>
        <v>33246.93324439897</v>
      </c>
      <c r="K25" s="25">
        <f t="shared" si="4"/>
        <v>0</v>
      </c>
      <c r="L25" s="25"/>
      <c r="N25" s="25">
        <f>'Combined Retirement'!$C$18/12</f>
        <v>40940.569999999992</v>
      </c>
      <c r="O25" s="25">
        <f t="shared" si="5"/>
        <v>7693.6367556010218</v>
      </c>
      <c r="P25" s="25">
        <f t="shared" si="6"/>
        <v>33246.93324439897</v>
      </c>
      <c r="Q25" s="25">
        <f t="array" aca="1" ref="Q25" ca="1">INDEX('Isaac 401k'!L:L,MATCH('Retirement Calculator'!A25,'Isaac 401k'!N:N,0),0)</f>
        <v>2676640.8428946547</v>
      </c>
      <c r="R25" s="25">
        <f t="array" aca="1" ref="R25" ca="1">INDEX('Lorri 401b'!L:L,MATCH('Retirement Calculator'!A25,'Lorri 401b'!N:N,0),0)</f>
        <v>3336685.8653472271</v>
      </c>
      <c r="S25" s="25">
        <f t="shared" ca="1" si="7"/>
        <v>6013326.7082418818</v>
      </c>
    </row>
    <row r="26" spans="1:19" ht="15.75" customHeight="1" x14ac:dyDescent="0.25">
      <c r="A26" s="37">
        <v>51745</v>
      </c>
      <c r="B26" s="398">
        <f t="shared" ref="B26:C26" si="22">($A26-B$9)/365.25</f>
        <v>59.791923340177959</v>
      </c>
      <c r="C26" s="398">
        <f t="shared" si="22"/>
        <v>55.181382614647504</v>
      </c>
      <c r="E26" s="25">
        <f>IF(C26&gt;$B$7,0,'Combined Retirement'!$D$13/12)</f>
        <v>0</v>
      </c>
      <c r="F26" s="25">
        <f>IF(H26=0,'Combined Retirement'!$D$32,0)+'Combined Retirement'!$B$24</f>
        <v>4439.3722856490986</v>
      </c>
      <c r="G26" s="25">
        <f>'Combined Retirement'!$C$24</f>
        <v>3254.2644699519233</v>
      </c>
      <c r="H26" s="25">
        <f>IF(B26&lt;62,0,'Combined Retirement'!$I$14)</f>
        <v>0</v>
      </c>
      <c r="I26" s="25">
        <f>IF(C26&lt;62,0,'Combined Retirement'!$I$13)</f>
        <v>0</v>
      </c>
      <c r="J26" s="25">
        <f t="shared" si="3"/>
        <v>33246.93324439897</v>
      </c>
      <c r="K26" s="25">
        <f t="shared" si="4"/>
        <v>0</v>
      </c>
      <c r="L26" s="25"/>
      <c r="N26" s="25">
        <f>'Combined Retirement'!$C$18/12</f>
        <v>40940.569999999992</v>
      </c>
      <c r="O26" s="25">
        <f t="shared" si="5"/>
        <v>7693.6367556010218</v>
      </c>
      <c r="P26" s="25">
        <f t="shared" si="6"/>
        <v>33246.93324439897</v>
      </c>
      <c r="Q26" s="25">
        <f t="array" aca="1" ref="Q26" ca="1">INDEX('Isaac 401k'!L:L,MATCH('Retirement Calculator'!A26,'Isaac 401k'!N:N,0),0)</f>
        <v>2654408.0509404652</v>
      </c>
      <c r="R26" s="25">
        <f t="array" aca="1" ref="R26" ca="1">INDEX('Lorri 401b'!L:L,MATCH('Retirement Calculator'!A26,'Lorri 401b'!N:N,0),0)</f>
        <v>3350588.7231195071</v>
      </c>
      <c r="S26" s="25">
        <f t="shared" ca="1" si="7"/>
        <v>6004996.7740599718</v>
      </c>
    </row>
    <row r="27" spans="1:19" ht="15.75" customHeight="1" x14ac:dyDescent="0.25">
      <c r="A27" s="37">
        <v>51775</v>
      </c>
      <c r="B27" s="398">
        <f t="shared" ref="B27:C27" si="23">($A27-B$9)/365.25</f>
        <v>59.874058863791923</v>
      </c>
      <c r="C27" s="398">
        <f t="shared" si="23"/>
        <v>55.263518138261468</v>
      </c>
      <c r="E27" s="25">
        <f>IF(C27&gt;$B$7,0,'Combined Retirement'!$D$13/12)</f>
        <v>0</v>
      </c>
      <c r="F27" s="25">
        <f>IF(H27=0,'Combined Retirement'!$D$32,0)+'Combined Retirement'!$B$24</f>
        <v>4439.3722856490986</v>
      </c>
      <c r="G27" s="25">
        <f>'Combined Retirement'!$C$24</f>
        <v>3254.2644699519233</v>
      </c>
      <c r="H27" s="25">
        <f>IF(B27&lt;62,0,'Combined Retirement'!$I$14)</f>
        <v>0</v>
      </c>
      <c r="I27" s="25">
        <f>IF(C27&lt;62,0,'Combined Retirement'!$I$13)</f>
        <v>0</v>
      </c>
      <c r="J27" s="25">
        <f t="shared" si="3"/>
        <v>33246.93324439897</v>
      </c>
      <c r="K27" s="25">
        <f t="shared" si="4"/>
        <v>0</v>
      </c>
      <c r="L27" s="25"/>
      <c r="N27" s="25">
        <f>'Combined Retirement'!$C$18/12</f>
        <v>40940.569999999992</v>
      </c>
      <c r="O27" s="25">
        <f t="shared" si="5"/>
        <v>7693.6367556010218</v>
      </c>
      <c r="P27" s="25">
        <f t="shared" si="6"/>
        <v>33246.93324439897</v>
      </c>
      <c r="Q27" s="25">
        <f t="array" aca="1" ref="Q27" ca="1">INDEX('Isaac 401k'!L:L,MATCH('Retirement Calculator'!A27,'Isaac 401k'!N:N,0),0)</f>
        <v>2632082.6223531333</v>
      </c>
      <c r="R27" s="25">
        <f t="array" aca="1" ref="R27" ca="1">INDEX('Lorri 401b'!L:L,MATCH('Retirement Calculator'!A27,'Lorri 401b'!N:N,0),0)</f>
        <v>3364549.5094658383</v>
      </c>
      <c r="S27" s="25">
        <f t="shared" ca="1" si="7"/>
        <v>5996632.1318189716</v>
      </c>
    </row>
    <row r="28" spans="1:19" ht="15.75" customHeight="1" x14ac:dyDescent="0.25">
      <c r="A28" s="37">
        <v>51806</v>
      </c>
      <c r="B28" s="398">
        <f t="shared" ref="B28:C28" si="24">($A28-B$9)/365.25</f>
        <v>59.958932238193022</v>
      </c>
      <c r="C28" s="398">
        <f t="shared" si="24"/>
        <v>55.348391512662559</v>
      </c>
      <c r="E28" s="25">
        <f>IF(C28&gt;$B$7,0,'Combined Retirement'!$D$13/12)</f>
        <v>0</v>
      </c>
      <c r="F28" s="25">
        <f>IF(H28=0,'Combined Retirement'!$D$32,0)+'Combined Retirement'!$B$24</f>
        <v>4439.3722856490986</v>
      </c>
      <c r="G28" s="25">
        <f>'Combined Retirement'!$C$24</f>
        <v>3254.2644699519233</v>
      </c>
      <c r="H28" s="25">
        <f>IF(B28&lt;62,0,'Combined Retirement'!$I$14)</f>
        <v>0</v>
      </c>
      <c r="I28" s="25">
        <f>IF(C28&lt;62,0,'Combined Retirement'!$I$13)</f>
        <v>0</v>
      </c>
      <c r="J28" s="25">
        <f t="shared" si="3"/>
        <v>33246.93324439897</v>
      </c>
      <c r="K28" s="25">
        <f t="shared" si="4"/>
        <v>0</v>
      </c>
      <c r="L28" s="25"/>
      <c r="N28" s="25">
        <f>'Combined Retirement'!$C$18/12</f>
        <v>40940.569999999992</v>
      </c>
      <c r="O28" s="25">
        <f t="shared" si="5"/>
        <v>7693.6367556010218</v>
      </c>
      <c r="P28" s="25">
        <f t="shared" si="6"/>
        <v>33246.93324439897</v>
      </c>
      <c r="Q28" s="25">
        <f t="array" aca="1" ref="Q28" ca="1">INDEX('Isaac 401k'!L:L,MATCH('Retirement Calculator'!A28,'Isaac 401k'!N:N,0),0)</f>
        <v>2609664.1711466876</v>
      </c>
      <c r="R28" s="25">
        <f t="array" aca="1" ref="R28" ca="1">INDEX('Lorri 401b'!L:L,MATCH('Retirement Calculator'!A28,'Lorri 401b'!N:N,0),0)</f>
        <v>3378568.4657552792</v>
      </c>
      <c r="S28" s="25">
        <f t="shared" ca="1" si="7"/>
        <v>5988232.6369019672</v>
      </c>
    </row>
    <row r="29" spans="1:19" ht="15.75" customHeight="1" x14ac:dyDescent="0.25">
      <c r="A29" s="37">
        <v>51836</v>
      </c>
      <c r="B29" s="398">
        <f t="shared" ref="B29:C29" si="25">($A29-B$9)/365.25</f>
        <v>60.041067761806978</v>
      </c>
      <c r="C29" s="398">
        <f t="shared" si="25"/>
        <v>55.430527036276523</v>
      </c>
      <c r="E29" s="25">
        <f>IF(C29&gt;$B$7,0,'Combined Retirement'!$D$13/12)</f>
        <v>0</v>
      </c>
      <c r="F29" s="25">
        <f>IF(H29=0,'Combined Retirement'!$D$32,0)+'Combined Retirement'!$B$24</f>
        <v>4439.3722856490986</v>
      </c>
      <c r="G29" s="25">
        <f>'Combined Retirement'!$C$24</f>
        <v>3254.2644699519233</v>
      </c>
      <c r="H29" s="25">
        <f>IF(B29&lt;62,0,'Combined Retirement'!$I$14)</f>
        <v>0</v>
      </c>
      <c r="I29" s="25">
        <f>IF(C29&lt;62,0,'Combined Retirement'!$I$13)</f>
        <v>0</v>
      </c>
      <c r="J29" s="25">
        <f t="shared" si="3"/>
        <v>33246.93324439897</v>
      </c>
      <c r="K29" s="25">
        <f t="shared" si="4"/>
        <v>0</v>
      </c>
      <c r="L29" s="25"/>
      <c r="N29" s="25">
        <f>'Combined Retirement'!$C$18/12</f>
        <v>40940.569999999992</v>
      </c>
      <c r="O29" s="25">
        <f t="shared" si="5"/>
        <v>7693.6367556010218</v>
      </c>
      <c r="P29" s="25">
        <f t="shared" si="6"/>
        <v>33246.93324439897</v>
      </c>
      <c r="Q29" s="25">
        <f t="array" aca="1" ref="Q29" ca="1">INDEX('Isaac 401k'!L:L,MATCH('Retirement Calculator'!A29,'Isaac 401k'!N:N,0),0)</f>
        <v>2587152.3097268818</v>
      </c>
      <c r="R29" s="25">
        <f t="array" aca="1" ref="R29" ca="1">INDEX('Lorri 401b'!L:L,MATCH('Retirement Calculator'!A29,'Lorri 401b'!N:N,0),0)</f>
        <v>3392645.834362593</v>
      </c>
      <c r="S29" s="25">
        <f t="shared" ca="1" si="7"/>
        <v>5979798.1440894753</v>
      </c>
    </row>
    <row r="30" spans="1:19" ht="15.75" customHeight="1" x14ac:dyDescent="0.25">
      <c r="A30" s="37">
        <v>51867</v>
      </c>
      <c r="B30" s="398">
        <f t="shared" ref="B30:C30" si="26">($A30-B$9)/365.25</f>
        <v>60.125941136208077</v>
      </c>
      <c r="C30" s="398">
        <f t="shared" si="26"/>
        <v>55.515400410677621</v>
      </c>
      <c r="E30" s="25">
        <f>IF(C30&gt;$B$7,0,'Combined Retirement'!$D$13/12)</f>
        <v>0</v>
      </c>
      <c r="F30" s="25">
        <f>IF(H30=0,'Combined Retirement'!$D$32,0)+'Combined Retirement'!$B$24</f>
        <v>4439.3722856490986</v>
      </c>
      <c r="G30" s="25">
        <f>'Combined Retirement'!$C$24</f>
        <v>3254.2644699519233</v>
      </c>
      <c r="H30" s="25">
        <f>IF(B30&lt;62,0,'Combined Retirement'!$I$14)</f>
        <v>0</v>
      </c>
      <c r="I30" s="25">
        <f>IF(C30&lt;62,0,'Combined Retirement'!$I$13)</f>
        <v>0</v>
      </c>
      <c r="J30" s="25">
        <f t="shared" si="3"/>
        <v>33246.93324439897</v>
      </c>
      <c r="K30" s="25">
        <f t="shared" si="4"/>
        <v>0</v>
      </c>
      <c r="L30" s="25"/>
      <c r="N30" s="25">
        <f>'Combined Retirement'!$C$18/12</f>
        <v>40940.569999999992</v>
      </c>
      <c r="O30" s="25">
        <f t="shared" si="5"/>
        <v>7693.6367556010218</v>
      </c>
      <c r="P30" s="25">
        <f t="shared" si="6"/>
        <v>33246.93324439897</v>
      </c>
      <c r="Q30" s="25">
        <f t="array" aca="1" ref="Q30" ca="1">INDEX('Isaac 401k'!L:L,MATCH('Retirement Calculator'!A30,'Isaac 401k'!N:N,0),0)</f>
        <v>2564546.6488844934</v>
      </c>
      <c r="R30" s="25">
        <f t="array" aca="1" ref="R30" ca="1">INDEX('Lorri 401b'!L:L,MATCH('Retirement Calculator'!A30,'Lorri 401b'!N:N,0),0)</f>
        <v>3406781.8586724373</v>
      </c>
      <c r="S30" s="25">
        <f t="shared" ca="1" si="7"/>
        <v>5971328.5075569302</v>
      </c>
    </row>
    <row r="31" spans="1:19" ht="15.75" customHeight="1" x14ac:dyDescent="0.25">
      <c r="A31" s="37">
        <v>51898</v>
      </c>
      <c r="B31" s="398">
        <f t="shared" ref="B31:C31" si="27">($A31-B$9)/365.25</f>
        <v>60.210814510609168</v>
      </c>
      <c r="C31" s="398">
        <f t="shared" si="27"/>
        <v>55.600273785078713</v>
      </c>
      <c r="E31" s="25">
        <f>IF(C31&gt;$B$7,0,'Combined Retirement'!$D$13/12)</f>
        <v>0</v>
      </c>
      <c r="F31" s="25">
        <f>IF(H31=0,'Combined Retirement'!$D$32,0)+'Combined Retirement'!$B$24</f>
        <v>4439.3722856490986</v>
      </c>
      <c r="G31" s="25">
        <f>'Combined Retirement'!$C$24</f>
        <v>3254.2644699519233</v>
      </c>
      <c r="H31" s="25">
        <f>IF(B31&lt;62,0,'Combined Retirement'!$I$14)</f>
        <v>0</v>
      </c>
      <c r="I31" s="25">
        <f>IF(C31&lt;62,0,'Combined Retirement'!$I$13)</f>
        <v>0</v>
      </c>
      <c r="J31" s="25">
        <f t="shared" si="3"/>
        <v>33246.93324439897</v>
      </c>
      <c r="K31" s="25">
        <f t="shared" si="4"/>
        <v>0</v>
      </c>
      <c r="L31" s="25"/>
      <c r="N31" s="25">
        <f>'Combined Retirement'!$C$18/12</f>
        <v>40940.569999999992</v>
      </c>
      <c r="O31" s="25">
        <f t="shared" si="5"/>
        <v>7693.6367556010218</v>
      </c>
      <c r="P31" s="25">
        <f t="shared" si="6"/>
        <v>33246.93324439897</v>
      </c>
      <c r="Q31" s="25">
        <f t="array" aca="1" ref="Q31" ca="1">INDEX('Isaac 401k'!L:L,MATCH('Retirement Calculator'!A31,'Isaac 401k'!N:N,0),0)</f>
        <v>2541846.7977885948</v>
      </c>
      <c r="R31" s="25">
        <f t="array" aca="1" ref="R31" ca="1">INDEX('Lorri 401b'!L:L,MATCH('Retirement Calculator'!A31,'Lorri 401b'!N:N,0),0)</f>
        <v>3420976.7830835725</v>
      </c>
      <c r="S31" s="25">
        <f t="shared" ca="1" si="7"/>
        <v>5962823.5808721669</v>
      </c>
    </row>
    <row r="32" spans="1:19" ht="15.75" customHeight="1" x14ac:dyDescent="0.25">
      <c r="A32" s="37">
        <v>51926</v>
      </c>
      <c r="B32" s="398">
        <f t="shared" ref="B32:C32" si="28">($A32-B$9)/365.25</f>
        <v>60.28747433264887</v>
      </c>
      <c r="C32" s="398">
        <f t="shared" si="28"/>
        <v>55.676933607118414</v>
      </c>
      <c r="E32" s="25">
        <f>IF(C32&gt;$B$7,0,'Combined Retirement'!$D$13/12)</f>
        <v>0</v>
      </c>
      <c r="F32" s="25">
        <f>IF(H32=0,'Combined Retirement'!$D$32,0)+'Combined Retirement'!$B$24</f>
        <v>4439.3722856490986</v>
      </c>
      <c r="G32" s="25">
        <f>'Combined Retirement'!$C$24</f>
        <v>3254.2644699519233</v>
      </c>
      <c r="H32" s="25">
        <f>IF(B32&lt;62,0,'Combined Retirement'!$I$14)</f>
        <v>0</v>
      </c>
      <c r="I32" s="25">
        <f>IF(C32&lt;62,0,'Combined Retirement'!$I$13)</f>
        <v>0</v>
      </c>
      <c r="J32" s="25">
        <f t="shared" si="3"/>
        <v>33246.93324439897</v>
      </c>
      <c r="K32" s="25">
        <f t="shared" si="4"/>
        <v>0</v>
      </c>
      <c r="L32" s="25"/>
      <c r="N32" s="25">
        <f>'Combined Retirement'!$C$18/12</f>
        <v>40940.569999999992</v>
      </c>
      <c r="O32" s="25">
        <f t="shared" si="5"/>
        <v>7693.6367556010218</v>
      </c>
      <c r="P32" s="25">
        <f t="shared" si="6"/>
        <v>33246.93324439897</v>
      </c>
      <c r="Q32" s="25">
        <f t="array" aca="1" ref="Q32" ca="1">INDEX('Isaac 401k'!L:L,MATCH('Retirement Calculator'!A32,'Isaac 401k'!N:N,0),0)</f>
        <v>2519052.3639797969</v>
      </c>
      <c r="R32" s="25">
        <f t="array" aca="1" ref="R32" ca="1">INDEX('Lorri 401b'!L:L,MATCH('Retirement Calculator'!A32,'Lorri 401b'!N:N,0),0)</f>
        <v>3435230.8530130875</v>
      </c>
      <c r="S32" s="25">
        <f t="shared" ca="1" si="7"/>
        <v>5954283.2169928849</v>
      </c>
    </row>
    <row r="33" spans="1:19" ht="15.75" customHeight="1" x14ac:dyDescent="0.25">
      <c r="A33" s="37">
        <v>51957</v>
      </c>
      <c r="B33" s="398">
        <f t="shared" ref="B33:C33" si="29">($A33-B$9)/365.25</f>
        <v>60.372347707049968</v>
      </c>
      <c r="C33" s="398">
        <f t="shared" si="29"/>
        <v>55.761806981519506</v>
      </c>
      <c r="E33" s="25">
        <f>IF(C33&gt;$B$7,0,'Combined Retirement'!$D$13/12)</f>
        <v>0</v>
      </c>
      <c r="F33" s="25">
        <f>IF(H33=0,'Combined Retirement'!$D$32,0)+'Combined Retirement'!$B$24</f>
        <v>4439.3722856490986</v>
      </c>
      <c r="G33" s="25">
        <f>'Combined Retirement'!$C$24</f>
        <v>3254.2644699519233</v>
      </c>
      <c r="H33" s="25">
        <f>IF(B33&lt;62,0,'Combined Retirement'!$I$14)</f>
        <v>0</v>
      </c>
      <c r="I33" s="25">
        <f>IF(C33&lt;62,0,'Combined Retirement'!$I$13)</f>
        <v>0</v>
      </c>
      <c r="J33" s="25">
        <f t="shared" si="3"/>
        <v>33246.93324439897</v>
      </c>
      <c r="K33" s="25">
        <f t="shared" si="4"/>
        <v>0</v>
      </c>
      <c r="L33" s="25"/>
      <c r="N33" s="25">
        <f>'Combined Retirement'!$C$18/12</f>
        <v>40940.569999999992</v>
      </c>
      <c r="O33" s="25">
        <f t="shared" si="5"/>
        <v>7693.6367556010218</v>
      </c>
      <c r="P33" s="25">
        <f t="shared" si="6"/>
        <v>33246.93324439897</v>
      </c>
      <c r="Q33" s="25">
        <f t="array" aca="1" ref="Q33" ca="1">INDEX('Isaac 401k'!L:L,MATCH('Retirement Calculator'!A33,'Isaac 401k'!N:N,0),0)</f>
        <v>2496162.9533634624</v>
      </c>
      <c r="R33" s="25">
        <f t="array" aca="1" ref="R33" ca="1">INDEX('Lorri 401b'!L:L,MATCH('Retirement Calculator'!A33,'Lorri 401b'!N:N,0),0)</f>
        <v>3449544.3149006423</v>
      </c>
      <c r="S33" s="25">
        <f t="shared" ca="1" si="7"/>
        <v>5945707.2682641046</v>
      </c>
    </row>
    <row r="34" spans="1:19" ht="15.75" customHeight="1" x14ac:dyDescent="0.25">
      <c r="A34" s="37">
        <v>51987</v>
      </c>
      <c r="B34" s="398">
        <f t="shared" ref="B34:C34" si="30">($A34-B$9)/365.25</f>
        <v>60.454483230663932</v>
      </c>
      <c r="C34" s="398">
        <f t="shared" si="30"/>
        <v>55.843942505133469</v>
      </c>
      <c r="E34" s="25">
        <f>IF(C34&gt;$B$7,0,'Combined Retirement'!$D$13/12)</f>
        <v>0</v>
      </c>
      <c r="F34" s="25">
        <f>IF(H34=0,'Combined Retirement'!$D$32,0)+'Combined Retirement'!$B$24</f>
        <v>4439.3722856490986</v>
      </c>
      <c r="G34" s="25">
        <f>'Combined Retirement'!$C$24</f>
        <v>3254.2644699519233</v>
      </c>
      <c r="H34" s="25">
        <f>IF(B34&lt;62,0,'Combined Retirement'!$I$14)</f>
        <v>0</v>
      </c>
      <c r="I34" s="25">
        <f>IF(C34&lt;62,0,'Combined Retirement'!$I$13)</f>
        <v>0</v>
      </c>
      <c r="J34" s="25">
        <f t="shared" si="3"/>
        <v>33246.93324439897</v>
      </c>
      <c r="K34" s="25">
        <f t="shared" si="4"/>
        <v>0</v>
      </c>
      <c r="L34" s="25"/>
      <c r="N34" s="25">
        <f>'Combined Retirement'!$C$18/12</f>
        <v>40940.569999999992</v>
      </c>
      <c r="O34" s="25">
        <f t="shared" si="5"/>
        <v>7693.6367556010218</v>
      </c>
      <c r="P34" s="25">
        <f t="shared" si="6"/>
        <v>33246.93324439897</v>
      </c>
      <c r="Q34" s="25">
        <f t="array" aca="1" ref="Q34" ca="1">INDEX('Isaac 401k'!L:L,MATCH('Retirement Calculator'!A34,'Isaac 401k'!N:N,0),0)</f>
        <v>2473178.1702028932</v>
      </c>
      <c r="R34" s="25">
        <f t="array" aca="1" ref="R34" ca="1">INDEX('Lorri 401b'!L:L,MATCH('Retirement Calculator'!A34,'Lorri 401b'!N:N,0),0)</f>
        <v>3463917.4162127282</v>
      </c>
      <c r="S34" s="25">
        <f t="shared" ca="1" si="7"/>
        <v>5937095.5864156215</v>
      </c>
    </row>
    <row r="35" spans="1:19" ht="15.75" customHeight="1" x14ac:dyDescent="0.25">
      <c r="A35" s="37">
        <v>52018</v>
      </c>
      <c r="B35" s="398">
        <f t="shared" ref="B35:C35" si="31">($A35-B$9)/365.25</f>
        <v>60.539356605065024</v>
      </c>
      <c r="C35" s="398">
        <f t="shared" si="31"/>
        <v>55.928815879534568</v>
      </c>
      <c r="E35" s="25">
        <f>IF(C35&gt;$B$7,0,'Combined Retirement'!$D$13/12)</f>
        <v>0</v>
      </c>
      <c r="F35" s="25">
        <f>IF(H35=0,'Combined Retirement'!$D$32,0)+'Combined Retirement'!$B$24</f>
        <v>4439.3722856490986</v>
      </c>
      <c r="G35" s="25">
        <f>'Combined Retirement'!$C$24</f>
        <v>3254.2644699519233</v>
      </c>
      <c r="H35" s="25">
        <f>IF(B35&lt;62,0,'Combined Retirement'!$I$14)</f>
        <v>0</v>
      </c>
      <c r="I35" s="25">
        <f>IF(C35&lt;62,0,'Combined Retirement'!$I$13)</f>
        <v>0</v>
      </c>
      <c r="J35" s="25">
        <f t="shared" si="3"/>
        <v>33246.93324439897</v>
      </c>
      <c r="K35" s="25">
        <f t="shared" si="4"/>
        <v>0</v>
      </c>
      <c r="L35" s="25"/>
      <c r="N35" s="25">
        <f>'Combined Retirement'!$C$18/12</f>
        <v>40940.569999999992</v>
      </c>
      <c r="O35" s="25">
        <f t="shared" si="5"/>
        <v>7693.6367556010218</v>
      </c>
      <c r="P35" s="25">
        <f t="shared" si="6"/>
        <v>33246.93324439897</v>
      </c>
      <c r="Q35" s="25">
        <f t="array" aca="1" ref="Q35" ca="1">INDEX('Isaac 401k'!L:L,MATCH('Retirement Calculator'!A35,'Isaac 401k'!N:N,0),0)</f>
        <v>2450097.617112488</v>
      </c>
      <c r="R35" s="25">
        <f t="array" aca="1" ref="R35" ca="1">INDEX('Lorri 401b'!L:L,MATCH('Retirement Calculator'!A35,'Lorri 401b'!N:N,0),0)</f>
        <v>3478350.405446948</v>
      </c>
      <c r="S35" s="25">
        <f t="shared" ca="1" si="7"/>
        <v>5928448.022559436</v>
      </c>
    </row>
    <row r="36" spans="1:19" ht="15.75" customHeight="1" x14ac:dyDescent="0.25">
      <c r="A36" s="37">
        <v>52048</v>
      </c>
      <c r="B36" s="398">
        <f t="shared" ref="B36:C36" si="32">($A36-B$9)/365.25</f>
        <v>60.621492128678987</v>
      </c>
      <c r="C36" s="398">
        <f t="shared" si="32"/>
        <v>56.010951403148532</v>
      </c>
      <c r="E36" s="25">
        <f>IF(C36&gt;$B$7,0,'Combined Retirement'!$D$13/12)</f>
        <v>0</v>
      </c>
      <c r="F36" s="25">
        <f>IF(H36=0,'Combined Retirement'!$D$32,0)+'Combined Retirement'!$B$24</f>
        <v>4439.3722856490986</v>
      </c>
      <c r="G36" s="25">
        <f>'Combined Retirement'!$C$24</f>
        <v>3254.2644699519233</v>
      </c>
      <c r="H36" s="25">
        <f>IF(B36&lt;62,0,'Combined Retirement'!$I$14)</f>
        <v>0</v>
      </c>
      <c r="I36" s="25">
        <f>IF(C36&lt;62,0,'Combined Retirement'!$I$13)</f>
        <v>0</v>
      </c>
      <c r="J36" s="25">
        <f t="shared" si="3"/>
        <v>33246.93324439897</v>
      </c>
      <c r="K36" s="25">
        <f t="shared" si="4"/>
        <v>0</v>
      </c>
      <c r="L36" s="25"/>
      <c r="N36" s="25">
        <f>'Combined Retirement'!$C$18/12</f>
        <v>40940.569999999992</v>
      </c>
      <c r="O36" s="25">
        <f t="shared" si="5"/>
        <v>7693.6367556010218</v>
      </c>
      <c r="P36" s="25">
        <f t="shared" si="6"/>
        <v>33246.93324439897</v>
      </c>
      <c r="Q36" s="25">
        <f t="array" aca="1" ref="Q36" ca="1">INDEX('Isaac 401k'!L:L,MATCH('Retirement Calculator'!A36,'Isaac 401k'!N:N,0),0)</f>
        <v>2426920.895050873</v>
      </c>
      <c r="R36" s="25">
        <f t="array" aca="1" ref="R36" ca="1">INDEX('Lorri 401b'!L:L,MATCH('Retirement Calculator'!A36,'Lorri 401b'!N:N,0),0)</f>
        <v>3492843.5321363104</v>
      </c>
      <c r="S36" s="25">
        <f t="shared" ca="1" si="7"/>
        <v>5919764.4271871839</v>
      </c>
    </row>
    <row r="37" spans="1:19" ht="15.75" customHeight="1" x14ac:dyDescent="0.25">
      <c r="A37" s="37">
        <v>52079</v>
      </c>
      <c r="B37" s="398">
        <f t="shared" ref="B37:C37" si="33">($A37-B$9)/365.25</f>
        <v>60.706365503080079</v>
      </c>
      <c r="C37" s="398">
        <f t="shared" si="33"/>
        <v>56.095824777549623</v>
      </c>
      <c r="E37" s="25">
        <f>IF(C37&gt;$B$7,0,'Combined Retirement'!$D$13/12)</f>
        <v>0</v>
      </c>
      <c r="F37" s="25">
        <f>IF(H37=0,'Combined Retirement'!$D$32,0)+'Combined Retirement'!$B$24</f>
        <v>4439.3722856490986</v>
      </c>
      <c r="G37" s="25">
        <f>'Combined Retirement'!$C$24</f>
        <v>3254.2644699519233</v>
      </c>
      <c r="H37" s="25">
        <f>IF(B37&lt;62,0,'Combined Retirement'!$I$14)</f>
        <v>0</v>
      </c>
      <c r="I37" s="25">
        <f>IF(C37&lt;62,0,'Combined Retirement'!$I$13)</f>
        <v>0</v>
      </c>
      <c r="J37" s="25">
        <f t="shared" si="3"/>
        <v>33246.93324439897</v>
      </c>
      <c r="K37" s="25">
        <f t="shared" si="4"/>
        <v>0</v>
      </c>
      <c r="L37" s="25"/>
      <c r="N37" s="25">
        <f>'Combined Retirement'!$C$18/12</f>
        <v>40940.569999999992</v>
      </c>
      <c r="O37" s="25">
        <f t="shared" si="5"/>
        <v>7693.6367556010218</v>
      </c>
      <c r="P37" s="25">
        <f t="shared" si="6"/>
        <v>33246.93324439897</v>
      </c>
      <c r="Q37" s="25">
        <f t="array" aca="1" ref="Q37" ca="1">INDEX('Isaac 401k'!L:L,MATCH('Retirement Calculator'!A37,'Isaac 401k'!N:N,0),0)</f>
        <v>2403647.6033140011</v>
      </c>
      <c r="R37" s="25">
        <f t="array" aca="1" ref="R37" ca="1">INDEX('Lorri 401b'!L:L,MATCH('Retirement Calculator'!A37,'Lorri 401b'!N:N,0),0)</f>
        <v>3507397.0468535451</v>
      </c>
      <c r="S37" s="25">
        <f t="shared" ca="1" si="7"/>
        <v>5911044.6501675462</v>
      </c>
    </row>
    <row r="38" spans="1:19" ht="15.75" customHeight="1" x14ac:dyDescent="0.25">
      <c r="A38" s="37">
        <v>52110</v>
      </c>
      <c r="B38" s="398">
        <f t="shared" ref="B38:C38" si="34">($A38-B$9)/365.25</f>
        <v>60.791238877481177</v>
      </c>
      <c r="C38" s="398">
        <f t="shared" si="34"/>
        <v>56.180698151950722</v>
      </c>
      <c r="E38" s="25">
        <f>IF(C38&gt;$B$7,0,'Combined Retirement'!$D$13/12)</f>
        <v>0</v>
      </c>
      <c r="F38" s="25">
        <f>IF(H38=0,'Combined Retirement'!$D$32,0)+'Combined Retirement'!$B$24</f>
        <v>4439.3722856490986</v>
      </c>
      <c r="G38" s="25">
        <f>'Combined Retirement'!$C$24</f>
        <v>3254.2644699519233</v>
      </c>
      <c r="H38" s="25">
        <f>IF(B38&lt;62,0,'Combined Retirement'!$I$14)</f>
        <v>0</v>
      </c>
      <c r="I38" s="25">
        <f>IF(C38&lt;62,0,'Combined Retirement'!$I$13)</f>
        <v>0</v>
      </c>
      <c r="J38" s="25">
        <f t="shared" si="3"/>
        <v>33246.93324439897</v>
      </c>
      <c r="K38" s="25">
        <f t="shared" si="4"/>
        <v>0</v>
      </c>
      <c r="L38" s="25"/>
      <c r="N38" s="25">
        <f>'Combined Retirement'!$C$18/12</f>
        <v>40940.569999999992</v>
      </c>
      <c r="O38" s="25">
        <f t="shared" si="5"/>
        <v>7693.6367556010218</v>
      </c>
      <c r="P38" s="25">
        <f t="shared" si="6"/>
        <v>33246.93324439897</v>
      </c>
      <c r="Q38" s="25">
        <f t="array" aca="1" ref="Q38" ca="1">INDEX('Isaac 401k'!L:L,MATCH('Retirement Calculator'!A38,'Isaac 401k'!N:N,0),0)</f>
        <v>2380277.3395282258</v>
      </c>
      <c r="R38" s="25">
        <f t="array" aca="1" ref="R38" ca="1">INDEX('Lorri 401b'!L:L,MATCH('Retirement Calculator'!A38,'Lorri 401b'!N:N,0),0)</f>
        <v>3522011.2012154348</v>
      </c>
      <c r="S38" s="25">
        <f t="shared" ca="1" si="7"/>
        <v>5902288.5407436602</v>
      </c>
    </row>
    <row r="39" spans="1:19" ht="15.75" customHeight="1" x14ac:dyDescent="0.25">
      <c r="A39" s="37">
        <v>52140</v>
      </c>
      <c r="B39" s="398">
        <f t="shared" ref="B39:C39" si="35">($A39-B$9)/365.25</f>
        <v>60.873374401095141</v>
      </c>
      <c r="C39" s="398">
        <f t="shared" si="35"/>
        <v>56.262833675564679</v>
      </c>
      <c r="E39" s="25">
        <f>IF(C39&gt;$B$7,0,'Combined Retirement'!$D$13/12)</f>
        <v>0</v>
      </c>
      <c r="F39" s="25">
        <f>IF(H39=0,'Combined Retirement'!$D$32,0)+'Combined Retirement'!$B$24</f>
        <v>4439.3722856490986</v>
      </c>
      <c r="G39" s="25">
        <f>'Combined Retirement'!$C$24</f>
        <v>3254.2644699519233</v>
      </c>
      <c r="H39" s="25">
        <f>IF(B39&lt;62,0,'Combined Retirement'!$I$14)</f>
        <v>0</v>
      </c>
      <c r="I39" s="25">
        <f>IF(C39&lt;62,0,'Combined Retirement'!$I$13)</f>
        <v>0</v>
      </c>
      <c r="J39" s="25">
        <f t="shared" si="3"/>
        <v>33246.93324439897</v>
      </c>
      <c r="K39" s="25">
        <f t="shared" si="4"/>
        <v>0</v>
      </c>
      <c r="L39" s="25"/>
      <c r="N39" s="25">
        <f>'Combined Retirement'!$C$18/12</f>
        <v>40940.569999999992</v>
      </c>
      <c r="O39" s="25">
        <f t="shared" si="5"/>
        <v>7693.6367556010218</v>
      </c>
      <c r="P39" s="25">
        <f t="shared" si="6"/>
        <v>33246.93324439897</v>
      </c>
      <c r="Q39" s="25">
        <f t="array" aca="1" ref="Q39" ca="1">INDEX('Isaac 401k'!L:L,MATCH('Retirement Calculator'!A39,'Isaac 401k'!N:N,0),0)</f>
        <v>2356809.6996433428</v>
      </c>
      <c r="R39" s="25">
        <f t="array" aca="1" ref="R39" ca="1">INDEX('Lorri 401b'!L:L,MATCH('Retirement Calculator'!A39,'Lorri 401b'!N:N,0),0)</f>
        <v>3536686.2478871658</v>
      </c>
      <c r="S39" s="25">
        <f t="shared" ca="1" si="7"/>
        <v>5893495.947530508</v>
      </c>
    </row>
    <row r="40" spans="1:19" ht="15.75" customHeight="1" x14ac:dyDescent="0.25">
      <c r="A40" s="37">
        <v>52171</v>
      </c>
      <c r="B40" s="398">
        <f t="shared" ref="B40:C40" si="36">($A40-B$9)/365.25</f>
        <v>60.958247775496233</v>
      </c>
      <c r="C40" s="398">
        <f t="shared" si="36"/>
        <v>56.347707049965777</v>
      </c>
      <c r="E40" s="25">
        <f>IF(C40&gt;$B$7,0,'Combined Retirement'!$D$13/12)</f>
        <v>0</v>
      </c>
      <c r="F40" s="25">
        <f>IF(H40=0,'Combined Retirement'!$D$32,0)+'Combined Retirement'!$B$24</f>
        <v>4439.3722856490986</v>
      </c>
      <c r="G40" s="25">
        <f>'Combined Retirement'!$C$24</f>
        <v>3254.2644699519233</v>
      </c>
      <c r="H40" s="25">
        <f>IF(B40&lt;62,0,'Combined Retirement'!$I$14)</f>
        <v>0</v>
      </c>
      <c r="I40" s="25">
        <f>IF(C40&lt;62,0,'Combined Retirement'!$I$13)</f>
        <v>0</v>
      </c>
      <c r="J40" s="25">
        <f t="shared" si="3"/>
        <v>33246.93324439897</v>
      </c>
      <c r="K40" s="25">
        <f t="shared" si="4"/>
        <v>0</v>
      </c>
      <c r="L40" s="25"/>
      <c r="N40" s="25">
        <f>'Combined Retirement'!$C$18/12</f>
        <v>40940.569999999992</v>
      </c>
      <c r="O40" s="25">
        <f t="shared" si="5"/>
        <v>7693.6367556010218</v>
      </c>
      <c r="P40" s="25">
        <f t="shared" si="6"/>
        <v>33246.93324439897</v>
      </c>
      <c r="Q40" s="25">
        <f t="array" aca="1" ref="Q40" ca="1">INDEX('Isaac 401k'!L:L,MATCH('Retirement Calculator'!A40,'Isaac 401k'!N:N,0),0)</f>
        <v>2333244.2779256064</v>
      </c>
      <c r="R40" s="25">
        <f t="array" aca="1" ref="R40" ca="1">INDEX('Lorri 401b'!L:L,MATCH('Retirement Calculator'!A40,'Lorri 401b'!N:N,0),0)</f>
        <v>3551422.4405866954</v>
      </c>
      <c r="S40" s="25">
        <f t="shared" ca="1" si="7"/>
        <v>5884666.7185123023</v>
      </c>
    </row>
    <row r="41" spans="1:19" ht="15.75" customHeight="1" x14ac:dyDescent="0.25">
      <c r="A41" s="37">
        <v>52201</v>
      </c>
      <c r="B41" s="398">
        <f t="shared" ref="B41:C41" si="37">($A41-B$9)/365.25</f>
        <v>61.040383299110196</v>
      </c>
      <c r="C41" s="398">
        <f t="shared" si="37"/>
        <v>56.429842573579741</v>
      </c>
      <c r="E41" s="25">
        <f>IF(C41&gt;$B$7,0,'Combined Retirement'!$D$13/12)</f>
        <v>0</v>
      </c>
      <c r="F41" s="25">
        <f>IF(H41=0,'Combined Retirement'!$D$32,0)+'Combined Retirement'!$B$24</f>
        <v>4439.3722856490986</v>
      </c>
      <c r="G41" s="25">
        <f>'Combined Retirement'!$C$24</f>
        <v>3254.2644699519233</v>
      </c>
      <c r="H41" s="25">
        <f>IF(B41&lt;62,0,'Combined Retirement'!$I$14)</f>
        <v>0</v>
      </c>
      <c r="I41" s="25">
        <f>IF(C41&lt;62,0,'Combined Retirement'!$I$13)</f>
        <v>0</v>
      </c>
      <c r="J41" s="25">
        <f t="shared" si="3"/>
        <v>33246.93324439897</v>
      </c>
      <c r="K41" s="25">
        <f t="shared" si="4"/>
        <v>0</v>
      </c>
      <c r="L41" s="25"/>
      <c r="N41" s="25">
        <f>'Combined Retirement'!$C$18/12</f>
        <v>40940.569999999992</v>
      </c>
      <c r="O41" s="25">
        <f t="shared" si="5"/>
        <v>7693.6367556010218</v>
      </c>
      <c r="P41" s="25">
        <f t="shared" si="6"/>
        <v>33246.93324439897</v>
      </c>
      <c r="Q41" s="25">
        <f t="array" aca="1" ref="Q41" ca="1">INDEX('Isaac 401k'!L:L,MATCH('Retirement Calculator'!A41,'Isaac 401k'!N:N,0),0)</f>
        <v>2309580.6669507124</v>
      </c>
      <c r="R41" s="25">
        <f t="array" aca="1" ref="R41" ca="1">INDEX('Lorri 401b'!L:L,MATCH('Retirement Calculator'!A41,'Lorri 401b'!N:N,0),0)</f>
        <v>3566220.0340891401</v>
      </c>
      <c r="S41" s="25">
        <f t="shared" ca="1" si="7"/>
        <v>5875800.7010398526</v>
      </c>
    </row>
    <row r="42" spans="1:19" ht="15.75" customHeight="1" x14ac:dyDescent="0.25">
      <c r="A42" s="37">
        <v>52232</v>
      </c>
      <c r="B42" s="398">
        <f t="shared" ref="B42:C42" si="38">($A42-B$9)/365.25</f>
        <v>61.125256673511295</v>
      </c>
      <c r="C42" s="398">
        <f t="shared" si="38"/>
        <v>56.514715947980832</v>
      </c>
      <c r="E42" s="25">
        <f>IF(C42&gt;$B$7,0,'Combined Retirement'!$D$13/12)</f>
        <v>0</v>
      </c>
      <c r="F42" s="25">
        <f>IF(H42=0,'Combined Retirement'!$D$32,0)+'Combined Retirement'!$B$24</f>
        <v>4439.3722856490986</v>
      </c>
      <c r="G42" s="25">
        <f>'Combined Retirement'!$C$24</f>
        <v>3254.2644699519233</v>
      </c>
      <c r="H42" s="25">
        <f>IF(B42&lt;62,0,'Combined Retirement'!$I$14)</f>
        <v>0</v>
      </c>
      <c r="I42" s="25">
        <f>IF(C42&lt;62,0,'Combined Retirement'!$I$13)</f>
        <v>0</v>
      </c>
      <c r="J42" s="25">
        <f t="shared" si="3"/>
        <v>33246.93324439897</v>
      </c>
      <c r="K42" s="25">
        <f t="shared" si="4"/>
        <v>0</v>
      </c>
      <c r="L42" s="25"/>
      <c r="N42" s="25">
        <f>'Combined Retirement'!$C$18/12</f>
        <v>40940.569999999992</v>
      </c>
      <c r="O42" s="25">
        <f t="shared" si="5"/>
        <v>7693.6367556010218</v>
      </c>
      <c r="P42" s="25">
        <f t="shared" si="6"/>
        <v>33246.93324439897</v>
      </c>
      <c r="Q42" s="25">
        <f t="array" aca="1" ref="Q42" ca="1">INDEX('Isaac 401k'!L:L,MATCH('Retirement Calculator'!A42,'Isaac 401k'!N:N,0),0)</f>
        <v>2285818.4575967565</v>
      </c>
      <c r="R42" s="25">
        <f t="array" aca="1" ref="R42" ca="1">INDEX('Lorri 401b'!L:L,MATCH('Retirement Calculator'!A42,'Lorri 401b'!N:N,0),0)</f>
        <v>3581079.284231178</v>
      </c>
      <c r="S42" s="25">
        <f t="shared" ca="1" si="7"/>
        <v>5866897.741827935</v>
      </c>
    </row>
    <row r="43" spans="1:19" ht="15.75" customHeight="1" x14ac:dyDescent="0.25">
      <c r="A43" s="37">
        <v>52263</v>
      </c>
      <c r="B43" s="398">
        <f t="shared" ref="B43:C43" si="39">($A43-B$9)/365.25</f>
        <v>61.210130047912386</v>
      </c>
      <c r="C43" s="398">
        <f t="shared" si="39"/>
        <v>56.599589322381931</v>
      </c>
      <c r="E43" s="25">
        <f>IF(C43&gt;$B$7,0,'Combined Retirement'!$D$13/12)</f>
        <v>0</v>
      </c>
      <c r="F43" s="25">
        <f>IF(H43=0,'Combined Retirement'!$D$32,0)+'Combined Retirement'!$B$24</f>
        <v>4439.3722856490986</v>
      </c>
      <c r="G43" s="25">
        <f>'Combined Retirement'!$C$24</f>
        <v>3254.2644699519233</v>
      </c>
      <c r="H43" s="25">
        <f>IF(B43&lt;62,0,'Combined Retirement'!$I$14)</f>
        <v>0</v>
      </c>
      <c r="I43" s="25">
        <f>IF(C43&lt;62,0,'Combined Retirement'!$I$13)</f>
        <v>0</v>
      </c>
      <c r="J43" s="25">
        <f t="shared" si="3"/>
        <v>33246.93324439897</v>
      </c>
      <c r="K43" s="25">
        <f t="shared" si="4"/>
        <v>0</v>
      </c>
      <c r="L43" s="25"/>
      <c r="N43" s="25">
        <f>'Combined Retirement'!$C$18/12</f>
        <v>40940.569999999992</v>
      </c>
      <c r="O43" s="25">
        <f t="shared" si="5"/>
        <v>7693.6367556010218</v>
      </c>
      <c r="P43" s="25">
        <f t="shared" si="6"/>
        <v>33246.93324439897</v>
      </c>
      <c r="Q43" s="25">
        <f t="array" aca="1" ref="Q43" ca="1">INDEX('Isaac 401k'!L:L,MATCH('Retirement Calculator'!A43,'Isaac 401k'!N:N,0),0)</f>
        <v>2261957.2390371594</v>
      </c>
      <c r="R43" s="25">
        <f t="array" aca="1" ref="R43" ca="1">INDEX('Lorri 401b'!L:L,MATCH('Retirement Calculator'!A43,'Lorri 401b'!N:N,0),0)</f>
        <v>3596000.4479154744</v>
      </c>
      <c r="S43" s="25">
        <f t="shared" ca="1" si="7"/>
        <v>5857957.6869526338</v>
      </c>
    </row>
    <row r="44" spans="1:19" ht="15.75" customHeight="1" x14ac:dyDescent="0.25">
      <c r="A44" s="37">
        <v>52291</v>
      </c>
      <c r="B44" s="398">
        <f t="shared" ref="B44:C44" si="40">($A44-B$9)/365.25</f>
        <v>61.286789869952088</v>
      </c>
      <c r="C44" s="398">
        <f t="shared" si="40"/>
        <v>56.676249144421632</v>
      </c>
      <c r="E44" s="25">
        <f>IF(C44&gt;$B$7,0,'Combined Retirement'!$D$13/12)</f>
        <v>0</v>
      </c>
      <c r="F44" s="25">
        <f>IF(H44=0,'Combined Retirement'!$D$32,0)+'Combined Retirement'!$B$24</f>
        <v>4439.3722856490986</v>
      </c>
      <c r="G44" s="25">
        <f>'Combined Retirement'!$C$24</f>
        <v>3254.2644699519233</v>
      </c>
      <c r="H44" s="25">
        <f>IF(B44&lt;62,0,'Combined Retirement'!$I$14)</f>
        <v>0</v>
      </c>
      <c r="I44" s="25">
        <f>IF(C44&lt;62,0,'Combined Retirement'!$I$13)</f>
        <v>0</v>
      </c>
      <c r="J44" s="25">
        <f t="shared" si="3"/>
        <v>33246.93324439897</v>
      </c>
      <c r="K44" s="25">
        <f t="shared" si="4"/>
        <v>0</v>
      </c>
      <c r="L44" s="25"/>
      <c r="N44" s="25">
        <f>'Combined Retirement'!$C$18/12</f>
        <v>40940.569999999992</v>
      </c>
      <c r="O44" s="25">
        <f t="shared" si="5"/>
        <v>7693.6367556010218</v>
      </c>
      <c r="P44" s="25">
        <f t="shared" si="6"/>
        <v>33246.93324439897</v>
      </c>
      <c r="Q44" s="25">
        <f t="array" aca="1" ref="Q44" ca="1">INDEX('Isaac 401k'!L:L,MATCH('Retirement Calculator'!A44,'Isaac 401k'!N:N,0),0)</f>
        <v>2237996.5987335639</v>
      </c>
      <c r="R44" s="25">
        <f t="array" aca="1" ref="R44" ca="1">INDEX('Lorri 401b'!L:L,MATCH('Retirement Calculator'!A44,'Lorri 401b'!N:N,0),0)</f>
        <v>3610983.783115122</v>
      </c>
      <c r="S44" s="25">
        <f t="shared" ca="1" si="7"/>
        <v>5848980.3818486854</v>
      </c>
    </row>
    <row r="45" spans="1:19" ht="15.75" customHeight="1" x14ac:dyDescent="0.25">
      <c r="A45" s="37">
        <v>52322</v>
      </c>
      <c r="B45" s="398">
        <f t="shared" ref="B45:C45" si="41">($A45-B$9)/365.25</f>
        <v>61.371663244353179</v>
      </c>
      <c r="C45" s="398">
        <f t="shared" si="41"/>
        <v>56.761122518822724</v>
      </c>
      <c r="E45" s="25">
        <f>IF(C45&gt;$B$7,0,'Combined Retirement'!$D$13/12)</f>
        <v>0</v>
      </c>
      <c r="F45" s="25">
        <f>IF(H45=0,'Combined Retirement'!$D$32,0)+'Combined Retirement'!$B$24</f>
        <v>4439.3722856490986</v>
      </c>
      <c r="G45" s="25">
        <f>'Combined Retirement'!$C$24</f>
        <v>3254.2644699519233</v>
      </c>
      <c r="H45" s="25">
        <f>IF(B45&lt;62,0,'Combined Retirement'!$I$14)</f>
        <v>0</v>
      </c>
      <c r="I45" s="25">
        <f>IF(C45&lt;62,0,'Combined Retirement'!$I$13)</f>
        <v>0</v>
      </c>
      <c r="J45" s="25">
        <f t="shared" si="3"/>
        <v>33246.93324439897</v>
      </c>
      <c r="K45" s="25">
        <f t="shared" si="4"/>
        <v>0</v>
      </c>
      <c r="L45" s="25"/>
      <c r="N45" s="25">
        <f>'Combined Retirement'!$C$18/12</f>
        <v>40940.569999999992</v>
      </c>
      <c r="O45" s="25">
        <f t="shared" si="5"/>
        <v>7693.6367556010218</v>
      </c>
      <c r="P45" s="25">
        <f t="shared" si="6"/>
        <v>33246.93324439897</v>
      </c>
      <c r="Q45" s="25">
        <f t="array" aca="1" ref="Q45" ca="1">INDEX('Isaac 401k'!L:L,MATCH('Retirement Calculator'!A45,'Isaac 401k'!N:N,0),0)</f>
        <v>2213936.1224287031</v>
      </c>
      <c r="R45" s="25">
        <f t="array" aca="1" ref="R45" ca="1">INDEX('Lorri 401b'!L:L,MATCH('Retirement Calculator'!A45,'Lorri 401b'!N:N,0),0)</f>
        <v>3626029.5488781016</v>
      </c>
      <c r="S45" s="25">
        <f t="shared" ca="1" si="7"/>
        <v>5839965.6713068048</v>
      </c>
    </row>
    <row r="46" spans="1:19" ht="15.75" customHeight="1" x14ac:dyDescent="0.25">
      <c r="A46" s="37">
        <v>52352</v>
      </c>
      <c r="B46" s="398">
        <f t="shared" ref="B46:C46" si="42">($A46-B$9)/365.25</f>
        <v>61.453798767967143</v>
      </c>
      <c r="C46" s="398">
        <f t="shared" si="42"/>
        <v>56.843258042436688</v>
      </c>
      <c r="E46" s="25">
        <f>IF(C46&gt;$B$7,0,'Combined Retirement'!$D$13/12)</f>
        <v>0</v>
      </c>
      <c r="F46" s="25">
        <f>IF(H46=0,'Combined Retirement'!$D$32,0)+'Combined Retirement'!$B$24</f>
        <v>4439.3722856490986</v>
      </c>
      <c r="G46" s="25">
        <f>'Combined Retirement'!$C$24</f>
        <v>3254.2644699519233</v>
      </c>
      <c r="H46" s="25">
        <f>IF(B46&lt;62,0,'Combined Retirement'!$I$14)</f>
        <v>0</v>
      </c>
      <c r="I46" s="25">
        <f>IF(C46&lt;62,0,'Combined Retirement'!$I$13)</f>
        <v>0</v>
      </c>
      <c r="J46" s="25">
        <f t="shared" si="3"/>
        <v>33246.93324439897</v>
      </c>
      <c r="K46" s="25">
        <f t="shared" si="4"/>
        <v>0</v>
      </c>
      <c r="L46" s="25"/>
      <c r="N46" s="25">
        <f>'Combined Retirement'!$C$18/12</f>
        <v>40940.569999999992</v>
      </c>
      <c r="O46" s="25">
        <f t="shared" si="5"/>
        <v>7693.6367556010218</v>
      </c>
      <c r="P46" s="25">
        <f t="shared" si="6"/>
        <v>33246.93324439897</v>
      </c>
      <c r="Q46" s="25">
        <f t="array" aca="1" ref="Q46" ca="1">INDEX('Isaac 401k'!L:L,MATCH('Retirement Calculator'!A46,'Isaac 401k'!N:N,0),0)</f>
        <v>2189775.3941392391</v>
      </c>
      <c r="R46" s="25">
        <f t="array" aca="1" ref="R46" ca="1">INDEX('Lorri 401b'!L:L,MATCH('Retirement Calculator'!A46,'Lorri 401b'!N:N,0),0)</f>
        <v>3641138.0053317603</v>
      </c>
      <c r="S46" s="25">
        <f t="shared" ca="1" si="7"/>
        <v>5830913.3994709998</v>
      </c>
    </row>
    <row r="47" spans="1:19" ht="15.75" customHeight="1" x14ac:dyDescent="0.25">
      <c r="A47" s="37">
        <v>52383</v>
      </c>
      <c r="B47" s="398">
        <f t="shared" ref="B47:C47" si="43">($A47-B$9)/365.25</f>
        <v>61.538672142368242</v>
      </c>
      <c r="C47" s="398">
        <f t="shared" si="43"/>
        <v>56.928131416837779</v>
      </c>
      <c r="E47" s="25">
        <f>IF(C47&gt;$B$7,0,'Combined Retirement'!$D$13/12)</f>
        <v>0</v>
      </c>
      <c r="F47" s="25">
        <f>IF(H47=0,'Combined Retirement'!$D$32,0)+'Combined Retirement'!$B$24</f>
        <v>4439.3722856490986</v>
      </c>
      <c r="G47" s="25">
        <f>'Combined Retirement'!$C$24</f>
        <v>3254.2644699519233</v>
      </c>
      <c r="H47" s="25">
        <f>IF(B47&lt;62,0,'Combined Retirement'!$I$14)</f>
        <v>0</v>
      </c>
      <c r="I47" s="25">
        <f>IF(C47&lt;62,0,'Combined Retirement'!$I$13)</f>
        <v>0</v>
      </c>
      <c r="J47" s="25">
        <f t="shared" si="3"/>
        <v>33246.93324439897</v>
      </c>
      <c r="K47" s="25">
        <f t="shared" si="4"/>
        <v>0</v>
      </c>
      <c r="L47" s="25"/>
      <c r="N47" s="25">
        <f>'Combined Retirement'!$C$18/12</f>
        <v>40940.569999999992</v>
      </c>
      <c r="O47" s="25">
        <f t="shared" si="5"/>
        <v>7693.6367556010218</v>
      </c>
      <c r="P47" s="25">
        <f t="shared" si="6"/>
        <v>33246.93324439897</v>
      </c>
      <c r="Q47" s="25">
        <f t="array" aca="1" ref="Q47" ca="1">INDEX('Isaac 401k'!L:L,MATCH('Retirement Calculator'!A47,'Isaac 401k'!N:N,0),0)</f>
        <v>2165513.9961485686</v>
      </c>
      <c r="R47" s="25">
        <f t="array" aca="1" ref="R47" ca="1">INDEX('Lorri 401b'!L:L,MATCH('Retirement Calculator'!A47,'Lorri 401b'!N:N,0),0)</f>
        <v>3656309.4136873093</v>
      </c>
      <c r="S47" s="25">
        <f t="shared" ca="1" si="7"/>
        <v>5821823.4098358778</v>
      </c>
    </row>
    <row r="48" spans="1:19" ht="15.75" customHeight="1" x14ac:dyDescent="0.25">
      <c r="A48" s="37">
        <v>52413</v>
      </c>
      <c r="B48" s="398">
        <f t="shared" ref="B48:C48" si="44">($A48-B$9)/365.25</f>
        <v>61.620807665982205</v>
      </c>
      <c r="C48" s="398">
        <f t="shared" si="44"/>
        <v>57.010266940451743</v>
      </c>
      <c r="E48" s="25">
        <f>IF(C48&gt;$B$7,0,'Combined Retirement'!$D$13/12)</f>
        <v>0</v>
      </c>
      <c r="F48" s="25">
        <f>IF(H48=0,'Combined Retirement'!$D$32,0)+'Combined Retirement'!$B$24</f>
        <v>4439.3722856490986</v>
      </c>
      <c r="G48" s="25">
        <f>'Combined Retirement'!$C$24</f>
        <v>3254.2644699519233</v>
      </c>
      <c r="H48" s="25">
        <f>IF(B48&lt;62,0,'Combined Retirement'!$I$14)</f>
        <v>0</v>
      </c>
      <c r="I48" s="25">
        <f>IF(C48&lt;62,0,'Combined Retirement'!$I$13)</f>
        <v>0</v>
      </c>
      <c r="J48" s="25">
        <f t="shared" si="3"/>
        <v>33246.93324439897</v>
      </c>
      <c r="K48" s="25">
        <f t="shared" si="4"/>
        <v>0</v>
      </c>
      <c r="L48" s="25"/>
      <c r="N48" s="25">
        <f>'Combined Retirement'!$C$18/12</f>
        <v>40940.569999999992</v>
      </c>
      <c r="O48" s="25">
        <f t="shared" si="5"/>
        <v>7693.6367556010218</v>
      </c>
      <c r="P48" s="25">
        <f t="shared" si="6"/>
        <v>33246.93324439897</v>
      </c>
      <c r="Q48" s="25">
        <f t="array" aca="1" ref="Q48" ca="1">INDEX('Isaac 401k'!L:L,MATCH('Retirement Calculator'!A48,'Isaac 401k'!N:N,0),0)</f>
        <v>2141151.5089996038</v>
      </c>
      <c r="R48" s="25">
        <f t="array" aca="1" ref="R48" ca="1">INDEX('Lorri 401b'!L:L,MATCH('Retirement Calculator'!A48,'Lorri 401b'!N:N,0),0)</f>
        <v>3671544.0362443398</v>
      </c>
      <c r="S48" s="25">
        <f t="shared" ca="1" si="7"/>
        <v>5812695.5452439431</v>
      </c>
    </row>
    <row r="49" spans="1:19" ht="15.75" customHeight="1" x14ac:dyDescent="0.25">
      <c r="A49" s="37">
        <v>52444</v>
      </c>
      <c r="B49" s="398">
        <f t="shared" ref="B49:C49" si="45">($A49-B$9)/365.25</f>
        <v>61.705681040383297</v>
      </c>
      <c r="C49" s="398">
        <f t="shared" si="45"/>
        <v>57.095140314852841</v>
      </c>
      <c r="E49" s="25">
        <f>IF(C49&gt;$B$7,0,'Combined Retirement'!$D$13/12)</f>
        <v>0</v>
      </c>
      <c r="F49" s="25">
        <f>IF(H49=0,'Combined Retirement'!$D$32,0)+'Combined Retirement'!$B$24</f>
        <v>4439.3722856490986</v>
      </c>
      <c r="G49" s="25">
        <f>'Combined Retirement'!$C$24</f>
        <v>3254.2644699519233</v>
      </c>
      <c r="H49" s="25">
        <f>IF(B49&lt;62,0,'Combined Retirement'!$I$14)</f>
        <v>0</v>
      </c>
      <c r="I49" s="25">
        <f>IF(C49&lt;62,0,'Combined Retirement'!$I$13)</f>
        <v>0</v>
      </c>
      <c r="J49" s="25">
        <f t="shared" si="3"/>
        <v>33246.93324439897</v>
      </c>
      <c r="K49" s="25">
        <f t="shared" si="4"/>
        <v>0</v>
      </c>
      <c r="L49" s="25"/>
      <c r="N49" s="25">
        <f>'Combined Retirement'!$C$18/12</f>
        <v>40940.569999999992</v>
      </c>
      <c r="O49" s="25">
        <f t="shared" si="5"/>
        <v>7693.6367556010218</v>
      </c>
      <c r="P49" s="25">
        <f t="shared" si="6"/>
        <v>33246.93324439897</v>
      </c>
      <c r="Q49" s="25">
        <f t="array" aca="1" ref="Q49" ca="1">INDEX('Isaac 401k'!L:L,MATCH('Retirement Calculator'!A49,'Isaac 401k'!N:N,0),0)</f>
        <v>2116687.5114875184</v>
      </c>
      <c r="R49" s="25">
        <f t="array" aca="1" ref="R49" ca="1">INDEX('Lorri 401b'!L:L,MATCH('Retirement Calculator'!A49,'Lorri 401b'!N:N,0),0)</f>
        <v>3686842.136395358</v>
      </c>
      <c r="S49" s="25">
        <f t="shared" ca="1" si="7"/>
        <v>5803529.6478828769</v>
      </c>
    </row>
    <row r="50" spans="1:19" ht="15.75" customHeight="1" x14ac:dyDescent="0.25">
      <c r="A50" s="37">
        <v>52475</v>
      </c>
      <c r="B50" s="398">
        <f t="shared" ref="B50:C50" si="46">($A50-B$9)/365.25</f>
        <v>61.790554414784395</v>
      </c>
      <c r="C50" s="398">
        <f t="shared" si="46"/>
        <v>57.180013689253933</v>
      </c>
      <c r="E50" s="25">
        <f>IF(C50&gt;$B$7,0,'Combined Retirement'!$D$13/12)</f>
        <v>0</v>
      </c>
      <c r="F50" s="25">
        <f>IF(H50=0,'Combined Retirement'!$D$32,0)+'Combined Retirement'!$B$24</f>
        <v>4439.3722856490986</v>
      </c>
      <c r="G50" s="25">
        <f>'Combined Retirement'!$C$24</f>
        <v>3254.2644699519233</v>
      </c>
      <c r="H50" s="25">
        <f>IF(B50&lt;62,0,'Combined Retirement'!$I$14)</f>
        <v>0</v>
      </c>
      <c r="I50" s="25">
        <f>IF(C50&lt;62,0,'Combined Retirement'!$I$13)</f>
        <v>0</v>
      </c>
      <c r="J50" s="25">
        <f t="shared" si="3"/>
        <v>33246.93324439897</v>
      </c>
      <c r="K50" s="25">
        <f t="shared" si="4"/>
        <v>0</v>
      </c>
      <c r="L50" s="25"/>
      <c r="N50" s="25">
        <f>'Combined Retirement'!$C$18/12</f>
        <v>40940.569999999992</v>
      </c>
      <c r="O50" s="25">
        <f t="shared" si="5"/>
        <v>7693.6367556010218</v>
      </c>
      <c r="P50" s="25">
        <f t="shared" si="6"/>
        <v>33246.93324439897</v>
      </c>
      <c r="Q50" s="25">
        <f t="array" aca="1" ref="Q50" ca="1">INDEX('Isaac 401k'!L:L,MATCH('Retirement Calculator'!A50,'Isaac 401k'!N:N,0),0)</f>
        <v>2092121.5806524658</v>
      </c>
      <c r="R50" s="25">
        <f t="array" aca="1" ref="R50" ca="1">INDEX('Lorri 401b'!L:L,MATCH('Retirement Calculator'!A50,'Lorri 401b'!N:N,0),0)</f>
        <v>3702203.9786303388</v>
      </c>
      <c r="S50" s="25">
        <f t="shared" ca="1" si="7"/>
        <v>5794325.5592828048</v>
      </c>
    </row>
    <row r="51" spans="1:19" ht="15.75" customHeight="1" x14ac:dyDescent="0.25">
      <c r="A51" s="37">
        <v>52505</v>
      </c>
      <c r="B51" s="398">
        <f t="shared" ref="B51:C51" si="47">($A51-B$9)/365.25</f>
        <v>61.872689938398359</v>
      </c>
      <c r="C51" s="398">
        <f t="shared" si="47"/>
        <v>57.262149212867897</v>
      </c>
      <c r="E51" s="25">
        <f>IF(C51&gt;$B$7,0,'Combined Retirement'!$D$13/12)</f>
        <v>0</v>
      </c>
      <c r="F51" s="25">
        <f>IF(H51=0,'Combined Retirement'!$D$32,0)+'Combined Retirement'!$B$24</f>
        <v>4439.3722856490986</v>
      </c>
      <c r="G51" s="25">
        <f>'Combined Retirement'!$C$24</f>
        <v>3254.2644699519233</v>
      </c>
      <c r="H51" s="25">
        <f>IF(B51&lt;62,0,'Combined Retirement'!$I$14)</f>
        <v>0</v>
      </c>
      <c r="I51" s="25">
        <f>IF(C51&lt;62,0,'Combined Retirement'!$I$13)</f>
        <v>0</v>
      </c>
      <c r="J51" s="25">
        <f t="shared" si="3"/>
        <v>33246.93324439897</v>
      </c>
      <c r="K51" s="25">
        <f t="shared" si="4"/>
        <v>0</v>
      </c>
      <c r="L51" s="25"/>
      <c r="N51" s="25">
        <f>'Combined Retirement'!$C$18/12</f>
        <v>40940.569999999992</v>
      </c>
      <c r="O51" s="25">
        <f t="shared" si="5"/>
        <v>7693.6367556010218</v>
      </c>
      <c r="P51" s="25">
        <f t="shared" si="6"/>
        <v>33246.93324439897</v>
      </c>
      <c r="Q51" s="25">
        <f t="array" aca="1" ref="Q51" ca="1">INDEX('Isaac 401k'!L:L,MATCH('Retirement Calculator'!A51,'Isaac 401k'!N:N,0),0)</f>
        <v>2067453.2917722671</v>
      </c>
      <c r="R51" s="25">
        <f t="array" aca="1" ref="R51" ca="1">INDEX('Lorri 401b'!L:L,MATCH('Retirement Calculator'!A51,'Lorri 401b'!N:N,0),0)</f>
        <v>3717629.8285412984</v>
      </c>
      <c r="S51" s="25">
        <f t="shared" ca="1" si="7"/>
        <v>5785083.1203135652</v>
      </c>
    </row>
    <row r="52" spans="1:19" ht="15.75" customHeight="1" x14ac:dyDescent="0.25">
      <c r="A52" s="37">
        <v>52536</v>
      </c>
      <c r="B52" s="398">
        <f t="shared" ref="B52:C52" si="48">($A52-B$9)/365.25</f>
        <v>61.957563312799451</v>
      </c>
      <c r="C52" s="398">
        <f t="shared" si="48"/>
        <v>57.347022587268995</v>
      </c>
      <c r="E52" s="25">
        <f>IF(C52&gt;$B$7,0,'Combined Retirement'!$D$13/12)</f>
        <v>0</v>
      </c>
      <c r="F52" s="25">
        <f>IF(H52=0,'Combined Retirement'!$D$32,0)+'Combined Retirement'!$B$24</f>
        <v>4439.3722856490986</v>
      </c>
      <c r="G52" s="25">
        <f>'Combined Retirement'!$C$24</f>
        <v>3254.2644699519233</v>
      </c>
      <c r="H52" s="25">
        <f>IF(B52&lt;62,0,'Combined Retirement'!$I$14)</f>
        <v>0</v>
      </c>
      <c r="I52" s="25">
        <f>IF(C52&lt;62,0,'Combined Retirement'!$I$13)</f>
        <v>0</v>
      </c>
      <c r="J52" s="25">
        <f t="shared" si="3"/>
        <v>33246.93324439897</v>
      </c>
      <c r="K52" s="25">
        <f t="shared" si="4"/>
        <v>0</v>
      </c>
      <c r="L52" s="25"/>
      <c r="N52" s="25">
        <f>'Combined Retirement'!$C$18/12</f>
        <v>40940.569999999992</v>
      </c>
      <c r="O52" s="25">
        <f t="shared" si="5"/>
        <v>7693.6367556010218</v>
      </c>
      <c r="P52" s="25">
        <f t="shared" si="6"/>
        <v>33246.93324439897</v>
      </c>
      <c r="Q52" s="25">
        <f t="array" aca="1" ref="Q52" ca="1">INDEX('Isaac 401k'!L:L,MATCH('Retirement Calculator'!A52,'Isaac 401k'!N:N,0),0)</f>
        <v>2042682.2183550675</v>
      </c>
      <c r="R52" s="25">
        <f t="array" aca="1" ref="R52" ca="1">INDEX('Lorri 401b'!L:L,MATCH('Retirement Calculator'!A52,'Lorri 401b'!N:N,0),0)</f>
        <v>3733119.9528268874</v>
      </c>
      <c r="S52" s="25">
        <f t="shared" ca="1" si="7"/>
        <v>5775802.1711819544</v>
      </c>
    </row>
    <row r="53" spans="1:19" ht="15.75" customHeight="1" x14ac:dyDescent="0.25">
      <c r="A53" s="37">
        <v>52566</v>
      </c>
      <c r="B53" s="398">
        <f t="shared" ref="B53:C53" si="49">($A53-B$9)/365.25</f>
        <v>62.039698836413415</v>
      </c>
      <c r="C53" s="398">
        <f t="shared" si="49"/>
        <v>57.429158110882959</v>
      </c>
      <c r="E53" s="25">
        <f>IF(C53&gt;$B$7,0,'Combined Retirement'!$D$13/12)</f>
        <v>0</v>
      </c>
      <c r="F53" s="25">
        <f>IF(H53=0,'Combined Retirement'!$D$32,0)+'Combined Retirement'!$B$24</f>
        <v>2870.372285649099</v>
      </c>
      <c r="G53" s="25">
        <f>'Combined Retirement'!$C$24</f>
        <v>3254.2644699519233</v>
      </c>
      <c r="H53" s="25">
        <f>IF(B53&lt;62,0,'Combined Retirement'!$I$14)</f>
        <v>2345</v>
      </c>
      <c r="I53" s="25">
        <f>IF(C53&lt;62,0,'Combined Retirement'!$I$13)</f>
        <v>0</v>
      </c>
      <c r="J53" s="25">
        <f t="shared" si="3"/>
        <v>32470.93324439897</v>
      </c>
      <c r="K53" s="25">
        <f t="shared" si="4"/>
        <v>0</v>
      </c>
      <c r="L53" s="25"/>
      <c r="N53" s="25">
        <f>'Combined Retirement'!$C$18/12</f>
        <v>40940.569999999992</v>
      </c>
      <c r="O53" s="25">
        <f t="shared" si="5"/>
        <v>8469.6367556010227</v>
      </c>
      <c r="P53" s="25">
        <f t="shared" si="6"/>
        <v>32470.93324439897</v>
      </c>
      <c r="Q53" s="25">
        <f t="array" aca="1" ref="Q53" ca="1">INDEX('Isaac 401k'!L:L,MATCH('Retirement Calculator'!A53,'Isaac 401k'!N:N,0),0)</f>
        <v>2018587.1654652962</v>
      </c>
      <c r="R53" s="25">
        <f t="array" aca="1" ref="R53" ca="1">INDEX('Lorri 401b'!L:L,MATCH('Retirement Calculator'!A53,'Lorri 401b'!N:N,0),0)</f>
        <v>3748674.6192969992</v>
      </c>
      <c r="S53" s="25">
        <f t="shared" ca="1" si="7"/>
        <v>5767261.784762295</v>
      </c>
    </row>
    <row r="54" spans="1:19" ht="15.75" customHeight="1" x14ac:dyDescent="0.25">
      <c r="A54" s="37">
        <v>52597</v>
      </c>
      <c r="B54" s="398">
        <f t="shared" ref="B54:C54" si="50">($A54-B$9)/365.25</f>
        <v>62.124572210814513</v>
      </c>
      <c r="C54" s="398">
        <f t="shared" si="50"/>
        <v>57.51403148528405</v>
      </c>
      <c r="E54" s="25">
        <f>IF(C54&gt;$B$7,0,'Combined Retirement'!$D$13/12)</f>
        <v>0</v>
      </c>
      <c r="F54" s="25">
        <f>IF(H54=0,'Combined Retirement'!$D$32,0)+'Combined Retirement'!$B$24</f>
        <v>2870.372285649099</v>
      </c>
      <c r="G54" s="25">
        <f>'Combined Retirement'!$C$24</f>
        <v>3254.2644699519233</v>
      </c>
      <c r="H54" s="25">
        <f>IF(B54&lt;62,0,'Combined Retirement'!$I$14)</f>
        <v>2345</v>
      </c>
      <c r="I54" s="25">
        <f>IF(C54&lt;62,0,'Combined Retirement'!$I$13)</f>
        <v>0</v>
      </c>
      <c r="J54" s="25">
        <f t="shared" si="3"/>
        <v>32470.93324439897</v>
      </c>
      <c r="K54" s="25">
        <f t="shared" si="4"/>
        <v>0</v>
      </c>
      <c r="L54" s="25"/>
      <c r="N54" s="25">
        <f>'Combined Retirement'!$C$18/12</f>
        <v>40940.569999999992</v>
      </c>
      <c r="O54" s="25">
        <f t="shared" si="5"/>
        <v>8469.6367556010227</v>
      </c>
      <c r="P54" s="25">
        <f t="shared" si="6"/>
        <v>32470.93324439897</v>
      </c>
      <c r="Q54" s="25">
        <f t="array" aca="1" ref="Q54" ca="1">INDEX('Isaac 401k'!L:L,MATCH('Retirement Calculator'!A54,'Isaac 401k'!N:N,0),0)</f>
        <v>1994391.7165218177</v>
      </c>
      <c r="R54" s="25">
        <f t="array" aca="1" ref="R54" ca="1">INDEX('Lorri 401b'!L:L,MATCH('Retirement Calculator'!A54,'Lorri 401b'!N:N,0),0)</f>
        <v>3764294.0968774036</v>
      </c>
      <c r="S54" s="25">
        <f t="shared" ca="1" si="7"/>
        <v>5758685.8133992217</v>
      </c>
    </row>
    <row r="55" spans="1:19" ht="15.75" customHeight="1" x14ac:dyDescent="0.25">
      <c r="A55" s="37">
        <v>52628</v>
      </c>
      <c r="B55" s="398">
        <f t="shared" ref="B55:C55" si="51">($A55-B$9)/365.25</f>
        <v>62.209445585215605</v>
      </c>
      <c r="C55" s="398">
        <f t="shared" si="51"/>
        <v>57.598904859685149</v>
      </c>
      <c r="E55" s="25">
        <f>IF(C55&gt;$B$7,0,'Combined Retirement'!$D$13/12)</f>
        <v>0</v>
      </c>
      <c r="F55" s="25">
        <f>IF(H55=0,'Combined Retirement'!$D$32,0)+'Combined Retirement'!$B$24</f>
        <v>2870.372285649099</v>
      </c>
      <c r="G55" s="25">
        <f>'Combined Retirement'!$C$24</f>
        <v>3254.2644699519233</v>
      </c>
      <c r="H55" s="25">
        <f>IF(B55&lt;62,0,'Combined Retirement'!$I$14)</f>
        <v>2345</v>
      </c>
      <c r="I55" s="25">
        <f>IF(C55&lt;62,0,'Combined Retirement'!$I$13)</f>
        <v>0</v>
      </c>
      <c r="J55" s="25">
        <f t="shared" si="3"/>
        <v>32470.93324439897</v>
      </c>
      <c r="K55" s="25">
        <f t="shared" si="4"/>
        <v>0</v>
      </c>
      <c r="L55" s="25"/>
      <c r="N55" s="25">
        <f>'Combined Retirement'!$C$18/12</f>
        <v>40940.569999999992</v>
      </c>
      <c r="O55" s="25">
        <f t="shared" si="5"/>
        <v>8469.6367556010227</v>
      </c>
      <c r="P55" s="25">
        <f t="shared" si="6"/>
        <v>32470.93324439897</v>
      </c>
      <c r="Q55" s="25">
        <f t="array" aca="1" ref="Q55" ca="1">INDEX('Isaac 401k'!L:L,MATCH('Retirement Calculator'!A55,'Isaac 401k'!N:N,0),0)</f>
        <v>1970095.4532077413</v>
      </c>
      <c r="R55" s="25">
        <f t="array" aca="1" ref="R55" ca="1">INDEX('Lorri 401b'!L:L,MATCH('Retirement Calculator'!A55,'Lorri 401b'!N:N,0),0)</f>
        <v>3779978.6556143928</v>
      </c>
      <c r="S55" s="25">
        <f t="shared" ca="1" si="7"/>
        <v>5750074.1088221343</v>
      </c>
    </row>
    <row r="56" spans="1:19" ht="15.75" customHeight="1" x14ac:dyDescent="0.25">
      <c r="A56" s="37">
        <v>52657</v>
      </c>
      <c r="B56" s="398">
        <f t="shared" ref="B56:C56" si="52">($A56-B$9)/365.25</f>
        <v>62.288843258042434</v>
      </c>
      <c r="C56" s="398">
        <f t="shared" si="52"/>
        <v>57.678302532511978</v>
      </c>
      <c r="E56" s="25">
        <f>IF(C56&gt;$B$7,0,'Combined Retirement'!$D$13/12)</f>
        <v>0</v>
      </c>
      <c r="F56" s="25">
        <f>IF(H56=0,'Combined Retirement'!$D$32,0)+'Combined Retirement'!$B$24</f>
        <v>2870.372285649099</v>
      </c>
      <c r="G56" s="25">
        <f>'Combined Retirement'!$C$24</f>
        <v>3254.2644699519233</v>
      </c>
      <c r="H56" s="25">
        <f>IF(B56&lt;62,0,'Combined Retirement'!$I$14)</f>
        <v>2345</v>
      </c>
      <c r="I56" s="25">
        <f>IF(C56&lt;62,0,'Combined Retirement'!$I$13)</f>
        <v>0</v>
      </c>
      <c r="J56" s="25">
        <f t="shared" si="3"/>
        <v>32470.93324439897</v>
      </c>
      <c r="K56" s="25">
        <f t="shared" si="4"/>
        <v>0</v>
      </c>
      <c r="L56" s="25"/>
      <c r="N56" s="25">
        <f>'Combined Retirement'!$C$18/12</f>
        <v>40940.569999999992</v>
      </c>
      <c r="O56" s="25">
        <f t="shared" si="5"/>
        <v>8469.6367556010227</v>
      </c>
      <c r="P56" s="25">
        <f t="shared" si="6"/>
        <v>32470.93324439897</v>
      </c>
      <c r="Q56" s="25">
        <f t="array" aca="1" ref="Q56" ca="1">INDEX('Isaac 401k'!L:L,MATCH('Retirement Calculator'!A56,'Isaac 401k'!N:N,0),0)</f>
        <v>1945697.9554631894</v>
      </c>
      <c r="R56" s="25">
        <f t="array" aca="1" ref="R56" ca="1">INDEX('Lorri 401b'!L:L,MATCH('Retirement Calculator'!A56,'Lorri 401b'!N:N,0),0)</f>
        <v>3795728.566679453</v>
      </c>
      <c r="S56" s="25">
        <f t="shared" ca="1" si="7"/>
        <v>5741426.5221426422</v>
      </c>
    </row>
    <row r="57" spans="1:19" ht="15.75" customHeight="1" x14ac:dyDescent="0.25">
      <c r="A57" s="37">
        <v>52688</v>
      </c>
      <c r="B57" s="398">
        <f t="shared" ref="B57:C57" si="53">($A57-B$9)/365.25</f>
        <v>62.373716632443532</v>
      </c>
      <c r="C57" s="398">
        <f t="shared" si="53"/>
        <v>57.763175906913077</v>
      </c>
      <c r="E57" s="25">
        <f>IF(C57&gt;$B$7,0,'Combined Retirement'!$D$13/12)</f>
        <v>0</v>
      </c>
      <c r="F57" s="25">
        <f>IF(H57=0,'Combined Retirement'!$D$32,0)+'Combined Retirement'!$B$24</f>
        <v>2870.372285649099</v>
      </c>
      <c r="G57" s="25">
        <f>'Combined Retirement'!$C$24</f>
        <v>3254.2644699519233</v>
      </c>
      <c r="H57" s="25">
        <f>IF(B57&lt;62,0,'Combined Retirement'!$I$14)</f>
        <v>2345</v>
      </c>
      <c r="I57" s="25">
        <f>IF(C57&lt;62,0,'Combined Retirement'!$I$13)</f>
        <v>0</v>
      </c>
      <c r="J57" s="25">
        <f t="shared" si="3"/>
        <v>32470.93324439897</v>
      </c>
      <c r="K57" s="25">
        <f t="shared" si="4"/>
        <v>0</v>
      </c>
      <c r="L57" s="25"/>
      <c r="N57" s="25">
        <f>'Combined Retirement'!$C$18/12</f>
        <v>40940.569999999992</v>
      </c>
      <c r="O57" s="25">
        <f t="shared" si="5"/>
        <v>8469.6367556010227</v>
      </c>
      <c r="P57" s="25">
        <f t="shared" si="6"/>
        <v>32470.93324439897</v>
      </c>
      <c r="Q57" s="25">
        <f t="array" aca="1" ref="Q57" ca="1">INDEX('Isaac 401k'!L:L,MATCH('Retirement Calculator'!A57,'Isaac 401k'!N:N,0),0)</f>
        <v>1921198.8014780353</v>
      </c>
      <c r="R57" s="25">
        <f t="array" aca="1" ref="R57" ca="1">INDEX('Lorri 401b'!L:L,MATCH('Retirement Calculator'!A57,'Lorri 401b'!N:N,0),0)</f>
        <v>3811544.1023739506</v>
      </c>
      <c r="S57" s="25">
        <f t="shared" ca="1" si="7"/>
        <v>5732742.9038519859</v>
      </c>
    </row>
    <row r="58" spans="1:19" ht="15.75" customHeight="1" x14ac:dyDescent="0.25">
      <c r="A58" s="37">
        <v>52718</v>
      </c>
      <c r="B58" s="398">
        <f t="shared" ref="B58:C58" si="54">($A58-B$9)/365.25</f>
        <v>62.455852156057496</v>
      </c>
      <c r="C58" s="398">
        <f t="shared" si="54"/>
        <v>57.845311430527033</v>
      </c>
      <c r="E58" s="25">
        <f>IF(C58&gt;$B$7,0,'Combined Retirement'!$D$13/12)</f>
        <v>0</v>
      </c>
      <c r="F58" s="25">
        <f>IF(H58=0,'Combined Retirement'!$D$32,0)+'Combined Retirement'!$B$24</f>
        <v>2870.372285649099</v>
      </c>
      <c r="G58" s="25">
        <f>'Combined Retirement'!$C$24</f>
        <v>3254.2644699519233</v>
      </c>
      <c r="H58" s="25">
        <f>IF(B58&lt;62,0,'Combined Retirement'!$I$14)</f>
        <v>2345</v>
      </c>
      <c r="I58" s="25">
        <f>IF(C58&lt;62,0,'Combined Retirement'!$I$13)</f>
        <v>0</v>
      </c>
      <c r="J58" s="25">
        <f t="shared" si="3"/>
        <v>32470.93324439897</v>
      </c>
      <c r="K58" s="25">
        <f t="shared" si="4"/>
        <v>0</v>
      </c>
      <c r="L58" s="25"/>
      <c r="N58" s="25">
        <f>'Combined Retirement'!$C$18/12</f>
        <v>40940.569999999992</v>
      </c>
      <c r="O58" s="25">
        <f t="shared" si="5"/>
        <v>8469.6367556010227</v>
      </c>
      <c r="P58" s="25">
        <f t="shared" si="6"/>
        <v>32470.93324439897</v>
      </c>
      <c r="Q58" s="25">
        <f t="array" aca="1" ref="Q58" ca="1">INDEX('Isaac 401k'!L:L,MATCH('Retirement Calculator'!A58,'Isaac 401k'!N:N,0),0)</f>
        <v>1896597.5676846097</v>
      </c>
      <c r="R58" s="25">
        <f t="array" aca="1" ref="R58" ca="1">INDEX('Lorri 401b'!L:L,MATCH('Retirement Calculator'!A58,'Lorri 401b'!N:N,0),0)</f>
        <v>3827425.5361338421</v>
      </c>
      <c r="S58" s="25">
        <f t="shared" ca="1" si="7"/>
        <v>5724023.103818452</v>
      </c>
    </row>
    <row r="59" spans="1:19" ht="15.75" customHeight="1" x14ac:dyDescent="0.25">
      <c r="A59" s="37">
        <v>52749</v>
      </c>
      <c r="B59" s="398">
        <f t="shared" ref="B59:C59" si="55">($A59-B$9)/365.25</f>
        <v>62.540725530458587</v>
      </c>
      <c r="C59" s="398">
        <f t="shared" si="55"/>
        <v>57.930184804928132</v>
      </c>
      <c r="E59" s="25">
        <f>IF(C59&gt;$B$7,0,'Combined Retirement'!$D$13/12)</f>
        <v>0</v>
      </c>
      <c r="F59" s="25">
        <f>IF(H59=0,'Combined Retirement'!$D$32,0)+'Combined Retirement'!$B$24</f>
        <v>2870.372285649099</v>
      </c>
      <c r="G59" s="25">
        <f>'Combined Retirement'!$C$24</f>
        <v>3254.2644699519233</v>
      </c>
      <c r="H59" s="25">
        <f>IF(B59&lt;62,0,'Combined Retirement'!$I$14)</f>
        <v>2345</v>
      </c>
      <c r="I59" s="25">
        <f>IF(C59&lt;62,0,'Combined Retirement'!$I$13)</f>
        <v>0</v>
      </c>
      <c r="J59" s="25">
        <f t="shared" si="3"/>
        <v>32470.93324439897</v>
      </c>
      <c r="K59" s="25">
        <f t="shared" si="4"/>
        <v>0</v>
      </c>
      <c r="L59" s="25"/>
      <c r="N59" s="25">
        <f>'Combined Retirement'!$C$18/12</f>
        <v>40940.569999999992</v>
      </c>
      <c r="O59" s="25">
        <f t="shared" si="5"/>
        <v>8469.6367556010227</v>
      </c>
      <c r="P59" s="25">
        <f t="shared" si="6"/>
        <v>32470.93324439897</v>
      </c>
      <c r="Q59" s="25">
        <f t="array" aca="1" ref="Q59" ca="1">INDEX('Isaac 401k'!L:L,MATCH('Retirement Calculator'!A59,'Isaac 401k'!N:N,0),0)</f>
        <v>1871893.8287503782</v>
      </c>
      <c r="R59" s="25">
        <f t="array" aca="1" ref="R59" ca="1">INDEX('Lorri 401b'!L:L,MATCH('Retirement Calculator'!A59,'Lorri 401b'!N:N,0),0)</f>
        <v>3843373.1425343999</v>
      </c>
      <c r="S59" s="25">
        <f t="shared" ca="1" si="7"/>
        <v>5715266.9712847779</v>
      </c>
    </row>
    <row r="60" spans="1:19" ht="15.75" customHeight="1" x14ac:dyDescent="0.25">
      <c r="A60" s="37">
        <v>52779</v>
      </c>
      <c r="B60" s="398">
        <f t="shared" ref="B60:C60" si="56">($A60-B$9)/365.25</f>
        <v>62.622861054072551</v>
      </c>
      <c r="C60" s="398">
        <f t="shared" si="56"/>
        <v>58.012320328542096</v>
      </c>
      <c r="E60" s="25">
        <f>IF(C60&gt;$B$7,0,'Combined Retirement'!$D$13/12)</f>
        <v>0</v>
      </c>
      <c r="F60" s="25">
        <f>IF(H60=0,'Combined Retirement'!$D$32,0)+'Combined Retirement'!$B$24</f>
        <v>2870.372285649099</v>
      </c>
      <c r="G60" s="25">
        <f>'Combined Retirement'!$C$24</f>
        <v>3254.2644699519233</v>
      </c>
      <c r="H60" s="25">
        <f>IF(B60&lt;62,0,'Combined Retirement'!$I$14)</f>
        <v>2345</v>
      </c>
      <c r="I60" s="25">
        <f>IF(C60&lt;62,0,'Combined Retirement'!$I$13)</f>
        <v>0</v>
      </c>
      <c r="J60" s="25">
        <f t="shared" si="3"/>
        <v>32470.93324439897</v>
      </c>
      <c r="K60" s="25">
        <f t="shared" si="4"/>
        <v>0</v>
      </c>
      <c r="L60" s="25"/>
      <c r="N60" s="25">
        <f>'Combined Retirement'!$C$18/12</f>
        <v>40940.569999999992</v>
      </c>
      <c r="O60" s="25">
        <f t="shared" si="5"/>
        <v>8469.6367556010227</v>
      </c>
      <c r="P60" s="25">
        <f t="shared" si="6"/>
        <v>32470.93324439897</v>
      </c>
      <c r="Q60" s="25">
        <f t="array" aca="1" ref="Q60" ca="1">INDEX('Isaac 401k'!L:L,MATCH('Retirement Calculator'!A60,'Isaac 401k'!N:N,0),0)</f>
        <v>1847087.1575705875</v>
      </c>
      <c r="R60" s="25">
        <f t="array" aca="1" ref="R60" ca="1">INDEX('Lorri 401b'!L:L,MATCH('Retirement Calculator'!A60,'Lorri 401b'!N:N,0),0)</f>
        <v>3859387.1972949598</v>
      </c>
      <c r="S60" s="25">
        <f t="shared" ca="1" si="7"/>
        <v>5706474.3548655473</v>
      </c>
    </row>
    <row r="61" spans="1:19" ht="15.75" customHeight="1" x14ac:dyDescent="0.25">
      <c r="A61" s="37">
        <v>52810</v>
      </c>
      <c r="B61" s="398">
        <f t="shared" ref="B61:C61" si="57">($A61-B$9)/365.25</f>
        <v>62.70773442847365</v>
      </c>
      <c r="C61" s="398">
        <f t="shared" si="57"/>
        <v>58.097193702943187</v>
      </c>
      <c r="E61" s="25">
        <f>IF(C61&gt;$B$7,0,'Combined Retirement'!$D$13/12)</f>
        <v>0</v>
      </c>
      <c r="F61" s="25">
        <f>IF(H61=0,'Combined Retirement'!$D$32,0)+'Combined Retirement'!$B$24</f>
        <v>2870.372285649099</v>
      </c>
      <c r="G61" s="25">
        <f>'Combined Retirement'!$C$24</f>
        <v>3254.2644699519233</v>
      </c>
      <c r="H61" s="25">
        <f>IF(B61&lt;62,0,'Combined Retirement'!$I$14)</f>
        <v>2345</v>
      </c>
      <c r="I61" s="25">
        <f>IF(C61&lt;62,0,'Combined Retirement'!$I$13)</f>
        <v>0</v>
      </c>
      <c r="J61" s="25">
        <f t="shared" si="3"/>
        <v>32470.93324439897</v>
      </c>
      <c r="K61" s="25">
        <f t="shared" si="4"/>
        <v>0</v>
      </c>
      <c r="L61" s="25"/>
      <c r="N61" s="25">
        <f>'Combined Retirement'!$C$18/12</f>
        <v>40940.569999999992</v>
      </c>
      <c r="O61" s="25">
        <f t="shared" si="5"/>
        <v>8469.6367556010227</v>
      </c>
      <c r="P61" s="25">
        <f t="shared" si="6"/>
        <v>32470.93324439897</v>
      </c>
      <c r="Q61" s="25">
        <f t="array" aca="1" ref="Q61" ca="1">INDEX('Isaac 401k'!L:L,MATCH('Retirement Calculator'!A61,'Isaac 401k'!N:N,0),0)</f>
        <v>1822177.1252608809</v>
      </c>
      <c r="R61" s="25">
        <f t="array" aca="1" ref="R61" ca="1">INDEX('Lorri 401b'!L:L,MATCH('Retirement Calculator'!A61,'Lorri 401b'!N:N,0),0)</f>
        <v>3875467.9772836887</v>
      </c>
      <c r="S61" s="25">
        <f t="shared" ca="1" si="7"/>
        <v>5697645.1025445694</v>
      </c>
    </row>
    <row r="62" spans="1:19" ht="15.75" customHeight="1" x14ac:dyDescent="0.25">
      <c r="A62" s="37">
        <v>52841</v>
      </c>
      <c r="B62" s="398">
        <f t="shared" ref="B62:C62" si="58">($A62-B$9)/365.25</f>
        <v>62.792607802874741</v>
      </c>
      <c r="C62" s="398">
        <f t="shared" si="58"/>
        <v>58.182067077344286</v>
      </c>
      <c r="E62" s="25">
        <f>IF(C62&gt;$B$7,0,'Combined Retirement'!$D$13/12)</f>
        <v>0</v>
      </c>
      <c r="F62" s="25">
        <f>IF(H62=0,'Combined Retirement'!$D$32,0)+'Combined Retirement'!$B$24</f>
        <v>2870.372285649099</v>
      </c>
      <c r="G62" s="25">
        <f>'Combined Retirement'!$C$24</f>
        <v>3254.2644699519233</v>
      </c>
      <c r="H62" s="25">
        <f>IF(B62&lt;62,0,'Combined Retirement'!$I$14)</f>
        <v>2345</v>
      </c>
      <c r="I62" s="25">
        <f>IF(C62&lt;62,0,'Combined Retirement'!$I$13)</f>
        <v>0</v>
      </c>
      <c r="J62" s="25">
        <f t="shared" si="3"/>
        <v>32470.93324439897</v>
      </c>
      <c r="K62" s="25">
        <f t="shared" si="4"/>
        <v>0</v>
      </c>
      <c r="L62" s="25"/>
      <c r="N62" s="25">
        <f>'Combined Retirement'!$C$18/12</f>
        <v>40940.569999999992</v>
      </c>
      <c r="O62" s="25">
        <f t="shared" si="5"/>
        <v>8469.6367556010227</v>
      </c>
      <c r="P62" s="25">
        <f t="shared" si="6"/>
        <v>32470.93324439897</v>
      </c>
      <c r="Q62" s="25">
        <f t="array" aca="1" ref="Q62" ca="1">INDEX('Isaac 401k'!L:L,MATCH('Retirement Calculator'!A62,'Isaac 401k'!N:N,0),0)</f>
        <v>1797163.301149884</v>
      </c>
      <c r="R62" s="25">
        <f t="array" aca="1" ref="R62" ca="1">INDEX('Lorri 401b'!L:L,MATCH('Retirement Calculator'!A62,'Lorri 401b'!N:N,0),0)</f>
        <v>3891615.7605223707</v>
      </c>
      <c r="S62" s="25">
        <f t="shared" ca="1" si="7"/>
        <v>5688779.0616722545</v>
      </c>
    </row>
    <row r="63" spans="1:19" ht="15.75" customHeight="1" x14ac:dyDescent="0.25">
      <c r="A63" s="37">
        <v>52871</v>
      </c>
      <c r="B63" s="398">
        <f t="shared" ref="B63:C63" si="59">($A63-B$9)/365.25</f>
        <v>62.874743326488705</v>
      </c>
      <c r="C63" s="398">
        <f t="shared" si="59"/>
        <v>58.264202600958249</v>
      </c>
      <c r="E63" s="25">
        <f>IF(C63&gt;$B$7,0,'Combined Retirement'!$D$13/12)</f>
        <v>0</v>
      </c>
      <c r="F63" s="25">
        <f>IF(H63=0,'Combined Retirement'!$D$32,0)+'Combined Retirement'!$B$24</f>
        <v>2870.372285649099</v>
      </c>
      <c r="G63" s="25">
        <f>'Combined Retirement'!$C$24</f>
        <v>3254.2644699519233</v>
      </c>
      <c r="H63" s="25">
        <f>IF(B63&lt;62,0,'Combined Retirement'!$I$14)</f>
        <v>2345</v>
      </c>
      <c r="I63" s="25">
        <f>IF(C63&lt;62,0,'Combined Retirement'!$I$13)</f>
        <v>0</v>
      </c>
      <c r="J63" s="25">
        <f t="shared" si="3"/>
        <v>32470.93324439897</v>
      </c>
      <c r="K63" s="25">
        <f t="shared" si="4"/>
        <v>0</v>
      </c>
      <c r="L63" s="25"/>
      <c r="N63" s="25">
        <f>'Combined Retirement'!$C$18/12</f>
        <v>40940.569999999992</v>
      </c>
      <c r="O63" s="25">
        <f t="shared" si="5"/>
        <v>8469.6367556010227</v>
      </c>
      <c r="P63" s="25">
        <f t="shared" si="6"/>
        <v>32470.93324439897</v>
      </c>
      <c r="Q63" s="25">
        <f t="array" aca="1" ref="Q63" ca="1">INDEX('Isaac 401k'!L:L,MATCH('Retirement Calculator'!A63,'Isaac 401k'!N:N,0),0)</f>
        <v>1772045.2527717578</v>
      </c>
      <c r="R63" s="25">
        <f t="array" aca="1" ref="R63" ca="1">INDEX('Lorri 401b'!L:L,MATCH('Retirement Calculator'!A63,'Lorri 401b'!N:N,0),0)</f>
        <v>3907830.8261912139</v>
      </c>
      <c r="S63" s="25">
        <f t="shared" ca="1" si="7"/>
        <v>5679876.0789629715</v>
      </c>
    </row>
    <row r="64" spans="1:19" ht="15.75" customHeight="1" x14ac:dyDescent="0.25">
      <c r="A64" s="37">
        <v>52902</v>
      </c>
      <c r="B64" s="398">
        <f t="shared" ref="B64:C64" si="60">($A64-B$9)/365.25</f>
        <v>62.959616700889804</v>
      </c>
      <c r="C64" s="398">
        <f t="shared" si="60"/>
        <v>58.349075975359341</v>
      </c>
      <c r="E64" s="25">
        <f>IF(C64&gt;$B$7,0,'Combined Retirement'!$D$13/12)</f>
        <v>0</v>
      </c>
      <c r="F64" s="25">
        <f>IF(H64=0,'Combined Retirement'!$D$32,0)+'Combined Retirement'!$B$24</f>
        <v>2870.372285649099</v>
      </c>
      <c r="G64" s="25">
        <f>'Combined Retirement'!$C$24</f>
        <v>3254.2644699519233</v>
      </c>
      <c r="H64" s="25">
        <f>IF(B64&lt;62,0,'Combined Retirement'!$I$14)</f>
        <v>2345</v>
      </c>
      <c r="I64" s="25">
        <f>IF(C64&lt;62,0,'Combined Retirement'!$I$13)</f>
        <v>0</v>
      </c>
      <c r="J64" s="25">
        <f t="shared" si="3"/>
        <v>32470.93324439897</v>
      </c>
      <c r="K64" s="25">
        <f t="shared" si="4"/>
        <v>0</v>
      </c>
      <c r="L64" s="25"/>
      <c r="N64" s="25">
        <f>'Combined Retirement'!$C$18/12</f>
        <v>40940.569999999992</v>
      </c>
      <c r="O64" s="25">
        <f t="shared" si="5"/>
        <v>8469.6367556010227</v>
      </c>
      <c r="P64" s="25">
        <f t="shared" si="6"/>
        <v>32470.93324439897</v>
      </c>
      <c r="Q64" s="25">
        <f t="array" aca="1" ref="Q64" ca="1">INDEX('Isaac 401k'!L:L,MATCH('Retirement Calculator'!A64,'Isaac 401k'!N:N,0),0)</f>
        <v>1746822.5458587226</v>
      </c>
      <c r="R64" s="25">
        <f t="array" aca="1" ref="R64" ca="1">INDEX('Lorri 401b'!L:L,MATCH('Retirement Calculator'!A64,'Lorri 401b'!N:N,0),0)</f>
        <v>3924113.4546336774</v>
      </c>
      <c r="S64" s="25">
        <f t="shared" ca="1" si="7"/>
        <v>5670936.0004923996</v>
      </c>
    </row>
    <row r="65" spans="1:19" ht="15.75" customHeight="1" x14ac:dyDescent="0.25">
      <c r="A65" s="37">
        <v>52932</v>
      </c>
      <c r="B65" s="398">
        <f t="shared" ref="B65:C65" si="61">($A65-B$9)/365.25</f>
        <v>63.041752224503767</v>
      </c>
      <c r="C65" s="398">
        <f t="shared" si="61"/>
        <v>58.431211498973305</v>
      </c>
      <c r="E65" s="25">
        <f>IF(C65&gt;$B$7,0,'Combined Retirement'!$D$13/12)</f>
        <v>0</v>
      </c>
      <c r="F65" s="25">
        <f>IF(H65=0,'Combined Retirement'!$D$32,0)+'Combined Retirement'!$B$24</f>
        <v>2870.372285649099</v>
      </c>
      <c r="G65" s="25">
        <f>'Combined Retirement'!$C$24</f>
        <v>3254.2644699519233</v>
      </c>
      <c r="H65" s="25">
        <f>IF(B65&lt;62,0,'Combined Retirement'!$I$14)</f>
        <v>2345</v>
      </c>
      <c r="I65" s="25">
        <f>IF(C65&lt;62,0,'Combined Retirement'!$I$13)</f>
        <v>0</v>
      </c>
      <c r="J65" s="25">
        <f t="shared" si="3"/>
        <v>32470.93324439897</v>
      </c>
      <c r="K65" s="25">
        <f t="shared" si="4"/>
        <v>0</v>
      </c>
      <c r="L65" s="25"/>
      <c r="N65" s="25">
        <f>'Combined Retirement'!$C$18/12</f>
        <v>40940.569999999992</v>
      </c>
      <c r="O65" s="25">
        <f t="shared" si="5"/>
        <v>8469.6367556010227</v>
      </c>
      <c r="P65" s="25">
        <f t="shared" si="6"/>
        <v>32470.93324439897</v>
      </c>
      <c r="Q65" s="25">
        <f t="array" aca="1" ref="Q65" ca="1">INDEX('Isaac 401k'!L:L,MATCH('Retirement Calculator'!A65,'Isaac 401k'!N:N,0),0)</f>
        <v>1721494.7443335499</v>
      </c>
      <c r="R65" s="25">
        <f t="array" aca="1" ref="R65" ca="1">INDEX('Lorri 401b'!L:L,MATCH('Retirement Calculator'!A65,'Lorri 401b'!N:N,0),0)</f>
        <v>3940463.9273613179</v>
      </c>
      <c r="S65" s="25">
        <f t="shared" ca="1" si="7"/>
        <v>5661958.6716948673</v>
      </c>
    </row>
    <row r="66" spans="1:19" ht="15.75" customHeight="1" x14ac:dyDescent="0.25">
      <c r="A66" s="37">
        <v>52963</v>
      </c>
      <c r="B66" s="398">
        <f t="shared" ref="B66:C66" si="62">($A66-B$9)/365.25</f>
        <v>63.126625598904859</v>
      </c>
      <c r="C66" s="398">
        <f t="shared" si="62"/>
        <v>58.516084873374403</v>
      </c>
      <c r="E66" s="25">
        <f>IF(C66&gt;$B$7,0,'Combined Retirement'!$D$13/12)</f>
        <v>0</v>
      </c>
      <c r="F66" s="25">
        <f>IF(H66=0,'Combined Retirement'!$D$32,0)+'Combined Retirement'!$B$24</f>
        <v>2870.372285649099</v>
      </c>
      <c r="G66" s="25">
        <f>'Combined Retirement'!$C$24</f>
        <v>3254.2644699519233</v>
      </c>
      <c r="H66" s="25">
        <f>IF(B66&lt;62,0,'Combined Retirement'!$I$14)</f>
        <v>2345</v>
      </c>
      <c r="I66" s="25">
        <f>IF(C66&lt;62,0,'Combined Retirement'!$I$13)</f>
        <v>0</v>
      </c>
      <c r="J66" s="25">
        <f t="shared" si="3"/>
        <v>32470.93324439897</v>
      </c>
      <c r="K66" s="25">
        <f t="shared" si="4"/>
        <v>0</v>
      </c>
      <c r="L66" s="25"/>
      <c r="N66" s="25">
        <f>'Combined Retirement'!$C$18/12</f>
        <v>40940.569999999992</v>
      </c>
      <c r="O66" s="25">
        <f t="shared" si="5"/>
        <v>8469.6367556010227</v>
      </c>
      <c r="P66" s="25">
        <f t="shared" si="6"/>
        <v>32470.93324439897</v>
      </c>
      <c r="Q66" s="25">
        <f t="array" aca="1" ref="Q66" ca="1">INDEX('Isaac 401k'!L:L,MATCH('Retirement Calculator'!A66,'Isaac 401k'!N:N,0),0)</f>
        <v>1696061.4103020222</v>
      </c>
      <c r="R66" s="25">
        <f t="array" aca="1" ref="R66" ca="1">INDEX('Lorri 401b'!L:L,MATCH('Retirement Calculator'!A66,'Lorri 401b'!N:N,0),0)</f>
        <v>3956882.5270586568</v>
      </c>
      <c r="S66" s="25">
        <f t="shared" ca="1" si="7"/>
        <v>5652943.9373606788</v>
      </c>
    </row>
    <row r="67" spans="1:19" ht="15.75" customHeight="1" x14ac:dyDescent="0.25">
      <c r="A67" s="37">
        <v>52994</v>
      </c>
      <c r="B67" s="398">
        <f t="shared" ref="B67:C67" si="63">($A67-B$9)/365.25</f>
        <v>63.211498973305957</v>
      </c>
      <c r="C67" s="398">
        <f t="shared" si="63"/>
        <v>58.600958247775495</v>
      </c>
      <c r="E67" s="25">
        <f>IF(C67&gt;$B$7,0,'Combined Retirement'!$D$13/12)</f>
        <v>0</v>
      </c>
      <c r="F67" s="25">
        <f>IF(H67=0,'Combined Retirement'!$D$32,0)+'Combined Retirement'!$B$24</f>
        <v>2870.372285649099</v>
      </c>
      <c r="G67" s="25">
        <f>'Combined Retirement'!$C$24</f>
        <v>3254.2644699519233</v>
      </c>
      <c r="H67" s="25">
        <f>IF(B67&lt;62,0,'Combined Retirement'!$I$14)</f>
        <v>2345</v>
      </c>
      <c r="I67" s="25">
        <f>IF(C67&lt;62,0,'Combined Retirement'!$I$13)</f>
        <v>0</v>
      </c>
      <c r="J67" s="25">
        <f t="shared" si="3"/>
        <v>32470.93324439897</v>
      </c>
      <c r="K67" s="25">
        <f t="shared" si="4"/>
        <v>0</v>
      </c>
      <c r="L67" s="25"/>
      <c r="N67" s="25">
        <f>'Combined Retirement'!$C$18/12</f>
        <v>40940.569999999992</v>
      </c>
      <c r="O67" s="25">
        <f t="shared" si="5"/>
        <v>8469.6367556010227</v>
      </c>
      <c r="P67" s="25">
        <f t="shared" si="6"/>
        <v>32470.93324439897</v>
      </c>
      <c r="Q67" s="25">
        <f t="array" aca="1" ref="Q67" ca="1">INDEX('Isaac 401k'!L:L,MATCH('Retirement Calculator'!A67,'Isaac 401k'!N:N,0),0)</f>
        <v>1670522.1040453634</v>
      </c>
      <c r="R67" s="25">
        <f t="array" aca="1" ref="R67" ca="1">INDEX('Lorri 401b'!L:L,MATCH('Retirement Calculator'!A67,'Lorri 401b'!N:N,0),0)</f>
        <v>3973369.5375880678</v>
      </c>
      <c r="S67" s="25">
        <f t="shared" ca="1" si="7"/>
        <v>5643891.6416334314</v>
      </c>
    </row>
    <row r="68" spans="1:19" ht="15.75" customHeight="1" x14ac:dyDescent="0.25">
      <c r="A68" s="37">
        <v>53022</v>
      </c>
      <c r="B68" s="398">
        <f t="shared" ref="B68:C68" si="64">($A68-B$9)/365.25</f>
        <v>63.288158795345652</v>
      </c>
      <c r="C68" s="398">
        <f t="shared" si="64"/>
        <v>58.677618069815196</v>
      </c>
      <c r="E68" s="25">
        <f>IF(C68&gt;$B$7,0,'Combined Retirement'!$D$13/12)</f>
        <v>0</v>
      </c>
      <c r="F68" s="25">
        <f>IF(H68=0,'Combined Retirement'!$D$32,0)+'Combined Retirement'!$B$24</f>
        <v>2870.372285649099</v>
      </c>
      <c r="G68" s="25">
        <f>'Combined Retirement'!$C$24</f>
        <v>3254.2644699519233</v>
      </c>
      <c r="H68" s="25">
        <f>IF(B68&lt;62,0,'Combined Retirement'!$I$14)</f>
        <v>2345</v>
      </c>
      <c r="I68" s="25">
        <f>IF(C68&lt;62,0,'Combined Retirement'!$I$13)</f>
        <v>0</v>
      </c>
      <c r="J68" s="25">
        <f t="shared" si="3"/>
        <v>32470.93324439897</v>
      </c>
      <c r="K68" s="25">
        <f t="shared" si="4"/>
        <v>0</v>
      </c>
      <c r="L68" s="25"/>
      <c r="N68" s="25">
        <f>'Combined Retirement'!$C$18/12</f>
        <v>40940.569999999992</v>
      </c>
      <c r="O68" s="25">
        <f t="shared" si="5"/>
        <v>8469.6367556010227</v>
      </c>
      <c r="P68" s="25">
        <f t="shared" si="6"/>
        <v>32470.93324439897</v>
      </c>
      <c r="Q68" s="25">
        <f t="array" aca="1" ref="Q68" ca="1">INDEX('Isaac 401k'!L:L,MATCH('Retirement Calculator'!A68,'Isaac 401k'!N:N,0),0)</f>
        <v>1644876.3840126351</v>
      </c>
      <c r="R68" s="25">
        <f t="array" aca="1" ref="R68" ca="1">INDEX('Lorri 401b'!L:L,MATCH('Retirement Calculator'!A68,'Lorri 401b'!N:N,0),0)</f>
        <v>3989925.2439946849</v>
      </c>
      <c r="S68" s="25">
        <f t="shared" ca="1" si="7"/>
        <v>5634801.6280073198</v>
      </c>
    </row>
    <row r="69" spans="1:19" ht="15.75" customHeight="1" x14ac:dyDescent="0.25">
      <c r="A69" s="37">
        <v>53053</v>
      </c>
      <c r="B69" s="398">
        <f t="shared" ref="B69:C69" si="65">($A69-B$9)/365.25</f>
        <v>63.37303216974675</v>
      </c>
      <c r="C69" s="398">
        <f t="shared" si="65"/>
        <v>58.762491444216288</v>
      </c>
      <c r="E69" s="25">
        <f>IF(C69&gt;$B$7,0,'Combined Retirement'!$D$13/12)</f>
        <v>0</v>
      </c>
      <c r="F69" s="25">
        <f>IF(H69=0,'Combined Retirement'!$D$32,0)+'Combined Retirement'!$B$24</f>
        <v>2870.372285649099</v>
      </c>
      <c r="G69" s="25">
        <f>'Combined Retirement'!$C$24</f>
        <v>3254.2644699519233</v>
      </c>
      <c r="H69" s="25">
        <f>IF(B69&lt;62,0,'Combined Retirement'!$I$14)</f>
        <v>2345</v>
      </c>
      <c r="I69" s="25">
        <f>IF(C69&lt;62,0,'Combined Retirement'!$I$13)</f>
        <v>0</v>
      </c>
      <c r="J69" s="25">
        <f t="shared" si="3"/>
        <v>32470.93324439897</v>
      </c>
      <c r="K69" s="25">
        <f t="shared" si="4"/>
        <v>0</v>
      </c>
      <c r="L69" s="25"/>
      <c r="N69" s="25">
        <f>'Combined Retirement'!$C$18/12</f>
        <v>40940.569999999992</v>
      </c>
      <c r="O69" s="25">
        <f t="shared" si="5"/>
        <v>8469.6367556010227</v>
      </c>
      <c r="P69" s="25">
        <f t="shared" si="6"/>
        <v>32470.93324439897</v>
      </c>
      <c r="Q69" s="25">
        <f t="array" aca="1" ref="Q69" ca="1">INDEX('Isaac 401k'!L:L,MATCH('Retirement Calculator'!A69,'Isaac 401k'!N:N,0),0)</f>
        <v>1619123.8068131036</v>
      </c>
      <c r="R69" s="25">
        <f t="array" aca="1" ref="R69" ca="1">INDEX('Lorri 401b'!L:L,MATCH('Retirement Calculator'!A69,'Lorri 401b'!N:N,0),0)</f>
        <v>4006549.9325113292</v>
      </c>
      <c r="S69" s="25">
        <f t="shared" ca="1" si="7"/>
        <v>5625673.7393244328</v>
      </c>
    </row>
    <row r="70" spans="1:19" ht="15.75" customHeight="1" x14ac:dyDescent="0.25">
      <c r="A70" s="37">
        <v>53083</v>
      </c>
      <c r="B70" s="398">
        <f t="shared" ref="B70:C70" si="66">($A70-B$9)/365.25</f>
        <v>63.455167693360714</v>
      </c>
      <c r="C70" s="398">
        <f t="shared" si="66"/>
        <v>58.844626967830251</v>
      </c>
      <c r="E70" s="25">
        <f>IF(C70&gt;$B$7,0,'Combined Retirement'!$D$13/12)</f>
        <v>0</v>
      </c>
      <c r="F70" s="25">
        <f>IF(H70=0,'Combined Retirement'!$D$32,0)+'Combined Retirement'!$B$24</f>
        <v>2870.372285649099</v>
      </c>
      <c r="G70" s="25">
        <f>'Combined Retirement'!$C$24</f>
        <v>3254.2644699519233</v>
      </c>
      <c r="H70" s="25">
        <f>IF(B70&lt;62,0,'Combined Retirement'!$I$14)</f>
        <v>2345</v>
      </c>
      <c r="I70" s="25">
        <f>IF(C70&lt;62,0,'Combined Retirement'!$I$13)</f>
        <v>0</v>
      </c>
      <c r="J70" s="25">
        <f t="shared" si="3"/>
        <v>32470.93324439897</v>
      </c>
      <c r="K70" s="25">
        <f t="shared" si="4"/>
        <v>0</v>
      </c>
      <c r="L70" s="25"/>
      <c r="N70" s="25">
        <f>'Combined Retirement'!$C$18/12</f>
        <v>40940.569999999992</v>
      </c>
      <c r="O70" s="25">
        <f t="shared" si="5"/>
        <v>8469.6367556010227</v>
      </c>
      <c r="P70" s="25">
        <f t="shared" si="6"/>
        <v>32470.93324439897</v>
      </c>
      <c r="Q70" s="25">
        <f t="array" aca="1" ref="Q70" ca="1">INDEX('Isaac 401k'!L:L,MATCH('Retirement Calculator'!A70,'Isaac 401k'!N:N,0),0)</f>
        <v>1593263.9272085743</v>
      </c>
      <c r="R70" s="25">
        <f t="array" aca="1" ref="R70" ca="1">INDEX('Lorri 401b'!L:L,MATCH('Retirement Calculator'!A70,'Lorri 401b'!N:N,0),0)</f>
        <v>4023243.8905634596</v>
      </c>
      <c r="S70" s="25">
        <f t="shared" ca="1" si="7"/>
        <v>5616507.8177720336</v>
      </c>
    </row>
    <row r="71" spans="1:19" ht="15.75" customHeight="1" x14ac:dyDescent="0.25">
      <c r="A71" s="37">
        <v>53114</v>
      </c>
      <c r="B71" s="398">
        <f t="shared" ref="B71:C71" si="67">($A71-B$9)/365.25</f>
        <v>63.540041067761805</v>
      </c>
      <c r="C71" s="398">
        <f t="shared" si="67"/>
        <v>58.92950034223135</v>
      </c>
      <c r="E71" s="25">
        <f>IF(C71&gt;$B$7,0,'Combined Retirement'!$D$13/12)</f>
        <v>0</v>
      </c>
      <c r="F71" s="25">
        <f>IF(H71=0,'Combined Retirement'!$D$32,0)+'Combined Retirement'!$B$24</f>
        <v>2870.372285649099</v>
      </c>
      <c r="G71" s="25">
        <f>'Combined Retirement'!$C$24</f>
        <v>3254.2644699519233</v>
      </c>
      <c r="H71" s="25">
        <f>IF(B71&lt;62,0,'Combined Retirement'!$I$14)</f>
        <v>2345</v>
      </c>
      <c r="I71" s="25">
        <f>IF(C71&lt;62,0,'Combined Retirement'!$I$13)</f>
        <v>0</v>
      </c>
      <c r="J71" s="25">
        <f t="shared" si="3"/>
        <v>32470.93324439897</v>
      </c>
      <c r="K71" s="25">
        <f t="shared" si="4"/>
        <v>0</v>
      </c>
      <c r="L71" s="25"/>
      <c r="N71" s="25">
        <f>'Combined Retirement'!$C$18/12</f>
        <v>40940.569999999992</v>
      </c>
      <c r="O71" s="25">
        <f t="shared" si="5"/>
        <v>8469.6367556010227</v>
      </c>
      <c r="P71" s="25">
        <f t="shared" si="6"/>
        <v>32470.93324439897</v>
      </c>
      <c r="Q71" s="25">
        <f t="array" aca="1" ref="Q71" ca="1">INDEX('Isaac 401k'!L:L,MATCH('Retirement Calculator'!A71,'Isaac 401k'!N:N,0),0)</f>
        <v>1567296.2981056927</v>
      </c>
      <c r="R71" s="25">
        <f t="array" aca="1" ref="R71" ca="1">INDEX('Lorri 401b'!L:L,MATCH('Retirement Calculator'!A71,'Lorri 401b'!N:N,0),0)</f>
        <v>4040007.4067741409</v>
      </c>
      <c r="S71" s="25">
        <f t="shared" ca="1" si="7"/>
        <v>5607303.7048798334</v>
      </c>
    </row>
    <row r="72" spans="1:19" ht="15.75" customHeight="1" x14ac:dyDescent="0.25">
      <c r="A72" s="37">
        <v>53144</v>
      </c>
      <c r="B72" s="398">
        <f t="shared" ref="B72:C72" si="68">($A72-B$9)/365.25</f>
        <v>63.622176591375769</v>
      </c>
      <c r="C72" s="398">
        <f t="shared" si="68"/>
        <v>59.011635865845314</v>
      </c>
      <c r="E72" s="25">
        <f>IF(C72&gt;$B$7,0,'Combined Retirement'!$D$13/12)</f>
        <v>0</v>
      </c>
      <c r="F72" s="25">
        <f>IF(H72=0,'Combined Retirement'!$D$32,0)+'Combined Retirement'!$B$24</f>
        <v>2870.372285649099</v>
      </c>
      <c r="G72" s="25">
        <f>'Combined Retirement'!$C$24</f>
        <v>3254.2644699519233</v>
      </c>
      <c r="H72" s="25">
        <f>IF(B72&lt;62,0,'Combined Retirement'!$I$14)</f>
        <v>2345</v>
      </c>
      <c r="I72" s="25">
        <f>IF(C72&lt;62,0,'Combined Retirement'!$I$13)</f>
        <v>0</v>
      </c>
      <c r="J72" s="25">
        <f t="shared" si="3"/>
        <v>32470.93324439897</v>
      </c>
      <c r="K72" s="25">
        <f t="shared" si="4"/>
        <v>0</v>
      </c>
      <c r="L72" s="25"/>
      <c r="N72" s="25">
        <f>'Combined Retirement'!$C$18/12</f>
        <v>40940.569999999992</v>
      </c>
      <c r="O72" s="25">
        <f t="shared" si="5"/>
        <v>8469.6367556010227</v>
      </c>
      <c r="P72" s="25">
        <f t="shared" si="6"/>
        <v>32470.93324439897</v>
      </c>
      <c r="Q72" s="25">
        <f t="array" aca="1" ref="Q72" ca="1">INDEX('Isaac 401k'!L:L,MATCH('Retirement Calculator'!A72,'Isaac 401k'!N:N,0),0)</f>
        <v>1541220.4705482158</v>
      </c>
      <c r="R72" s="25">
        <f t="array" aca="1" ref="R72" ca="1">INDEX('Lorri 401b'!L:L,MATCH('Retirement Calculator'!A72,'Lorri 401b'!N:N,0),0)</f>
        <v>4056840.7709690332</v>
      </c>
      <c r="S72" s="25">
        <f t="shared" ca="1" si="7"/>
        <v>5598061.2415172495</v>
      </c>
    </row>
    <row r="73" spans="1:19" ht="15.75" customHeight="1" x14ac:dyDescent="0.25">
      <c r="A73" s="37">
        <v>53175</v>
      </c>
      <c r="B73" s="398">
        <f t="shared" ref="B73:C73" si="69">($A73-B$9)/365.25</f>
        <v>63.707049965776868</v>
      </c>
      <c r="C73" s="398">
        <f t="shared" si="69"/>
        <v>59.096509240246405</v>
      </c>
      <c r="E73" s="25">
        <f>IF(C73&gt;$B$7,0,'Combined Retirement'!$D$13/12)</f>
        <v>0</v>
      </c>
      <c r="F73" s="25">
        <f>IF(H73=0,'Combined Retirement'!$D$32,0)+'Combined Retirement'!$B$24</f>
        <v>2870.372285649099</v>
      </c>
      <c r="G73" s="25">
        <f>'Combined Retirement'!$C$24</f>
        <v>3254.2644699519233</v>
      </c>
      <c r="H73" s="25">
        <f>IF(B73&lt;62,0,'Combined Retirement'!$I$14)</f>
        <v>2345</v>
      </c>
      <c r="I73" s="25">
        <f>IF(C73&lt;62,0,'Combined Retirement'!$I$13)</f>
        <v>0</v>
      </c>
      <c r="J73" s="25">
        <f t="shared" si="3"/>
        <v>32470.93324439897</v>
      </c>
      <c r="K73" s="25">
        <f t="shared" si="4"/>
        <v>0</v>
      </c>
      <c r="L73" s="25"/>
      <c r="N73" s="25">
        <f>'Combined Retirement'!$C$18/12</f>
        <v>40940.569999999992</v>
      </c>
      <c r="O73" s="25">
        <f t="shared" si="5"/>
        <v>8469.6367556010227</v>
      </c>
      <c r="P73" s="25">
        <f t="shared" si="6"/>
        <v>32470.93324439897</v>
      </c>
      <c r="Q73" s="25">
        <f t="array" aca="1" ref="Q73" ca="1">INDEX('Isaac 401k'!L:L,MATCH('Retirement Calculator'!A73,'Isaac 401k'!N:N,0),0)</f>
        <v>1515035.9937092494</v>
      </c>
      <c r="R73" s="25">
        <f t="array" aca="1" ref="R73" ca="1">INDEX('Lorri 401b'!L:L,MATCH('Retirement Calculator'!A73,'Lorri 401b'!N:N,0),0)</f>
        <v>4073744.2741814042</v>
      </c>
      <c r="S73" s="25">
        <f t="shared" ca="1" si="7"/>
        <v>5588780.2678906536</v>
      </c>
    </row>
    <row r="74" spans="1:19" ht="15.75" customHeight="1" x14ac:dyDescent="0.25">
      <c r="A74" s="37">
        <v>53206</v>
      </c>
      <c r="B74" s="398">
        <f t="shared" ref="B74:C74" si="70">($A74-B$9)/365.25</f>
        <v>63.791923340177959</v>
      </c>
      <c r="C74" s="398">
        <f t="shared" si="70"/>
        <v>59.181382614647504</v>
      </c>
      <c r="E74" s="25">
        <f>IF(C74&gt;$B$7,0,'Combined Retirement'!$D$13/12)</f>
        <v>0</v>
      </c>
      <c r="F74" s="25">
        <f>IF(H74=0,'Combined Retirement'!$D$32,0)+'Combined Retirement'!$B$24</f>
        <v>2870.372285649099</v>
      </c>
      <c r="G74" s="25">
        <f>'Combined Retirement'!$C$24</f>
        <v>3254.2644699519233</v>
      </c>
      <c r="H74" s="25">
        <f>IF(B74&lt;62,0,'Combined Retirement'!$I$14)</f>
        <v>2345</v>
      </c>
      <c r="I74" s="25">
        <f>IF(C74&lt;62,0,'Combined Retirement'!$I$13)</f>
        <v>0</v>
      </c>
      <c r="J74" s="25">
        <f t="shared" si="3"/>
        <v>32470.93324439897</v>
      </c>
      <c r="K74" s="25">
        <f t="shared" si="4"/>
        <v>0</v>
      </c>
      <c r="L74" s="25"/>
      <c r="N74" s="25">
        <f>'Combined Retirement'!$C$18/12</f>
        <v>40940.569999999992</v>
      </c>
      <c r="O74" s="25">
        <f t="shared" si="5"/>
        <v>8469.6367556010227</v>
      </c>
      <c r="P74" s="25">
        <f t="shared" si="6"/>
        <v>32470.93324439897</v>
      </c>
      <c r="Q74" s="25">
        <f t="array" aca="1" ref="Q74" ca="1">INDEX('Isaac 401k'!L:L,MATCH('Retirement Calculator'!A74,'Isaac 401k'!N:N,0),0)</f>
        <v>1488742.4148834539</v>
      </c>
      <c r="R74" s="25">
        <f t="array" aca="1" ref="R74" ca="1">INDEX('Lorri 401b'!L:L,MATCH('Retirement Calculator'!A74,'Lorri 401b'!N:N,0),0)</f>
        <v>4090718.2086571599</v>
      </c>
      <c r="S74" s="25">
        <f t="shared" ca="1" si="7"/>
        <v>5579460.6235406138</v>
      </c>
    </row>
    <row r="75" spans="1:19" ht="15.75" customHeight="1" x14ac:dyDescent="0.25">
      <c r="A75" s="37">
        <v>53236</v>
      </c>
      <c r="B75" s="398">
        <f t="shared" ref="B75:C75" si="71">($A75-B$9)/365.25</f>
        <v>63.874058863791923</v>
      </c>
      <c r="C75" s="398">
        <f t="shared" si="71"/>
        <v>59.263518138261468</v>
      </c>
      <c r="E75" s="25">
        <f>IF(C75&gt;$B$7,0,'Combined Retirement'!$D$13/12)</f>
        <v>0</v>
      </c>
      <c r="F75" s="25">
        <f>IF(H75=0,'Combined Retirement'!$D$32,0)+'Combined Retirement'!$B$24</f>
        <v>2870.372285649099</v>
      </c>
      <c r="G75" s="25">
        <f>'Combined Retirement'!$C$24</f>
        <v>3254.2644699519233</v>
      </c>
      <c r="H75" s="25">
        <f>IF(B75&lt;62,0,'Combined Retirement'!$I$14)</f>
        <v>2345</v>
      </c>
      <c r="I75" s="25">
        <f>IF(C75&lt;62,0,'Combined Retirement'!$I$13)</f>
        <v>0</v>
      </c>
      <c r="J75" s="25">
        <f t="shared" si="3"/>
        <v>32470.93324439897</v>
      </c>
      <c r="K75" s="25">
        <f t="shared" si="4"/>
        <v>0</v>
      </c>
      <c r="L75" s="25"/>
      <c r="N75" s="25">
        <f>'Combined Retirement'!$C$18/12</f>
        <v>40940.569999999992</v>
      </c>
      <c r="O75" s="25">
        <f t="shared" si="5"/>
        <v>8469.6367556010227</v>
      </c>
      <c r="P75" s="25">
        <f t="shared" si="6"/>
        <v>32470.93324439897</v>
      </c>
      <c r="Q75" s="25">
        <f t="array" aca="1" ref="Q75" ca="1">INDEX('Isaac 401k'!L:L,MATCH('Retirement Calculator'!A75,'Isaac 401k'!N:N,0),0)</f>
        <v>1462339.2794792175</v>
      </c>
      <c r="R75" s="25">
        <f t="array" aca="1" ref="R75" ca="1">INDEX('Lorri 401b'!L:L,MATCH('Retirement Calculator'!A75,'Lorri 401b'!N:N,0),0)</f>
        <v>4107762.8678598981</v>
      </c>
      <c r="S75" s="25">
        <f t="shared" ca="1" si="7"/>
        <v>5570102.1473391159</v>
      </c>
    </row>
    <row r="76" spans="1:19" ht="15.75" customHeight="1" x14ac:dyDescent="0.25">
      <c r="A76" s="37">
        <v>53267</v>
      </c>
      <c r="B76" s="398">
        <f t="shared" ref="B76:C76" si="72">($A76-B$9)/365.25</f>
        <v>63.958932238193022</v>
      </c>
      <c r="C76" s="398">
        <f t="shared" si="72"/>
        <v>59.348391512662559</v>
      </c>
      <c r="E76" s="25">
        <f>IF(C76&gt;$B$7,0,'Combined Retirement'!$D$13/12)</f>
        <v>0</v>
      </c>
      <c r="F76" s="25">
        <f>IF(H76=0,'Combined Retirement'!$D$32,0)+'Combined Retirement'!$B$24</f>
        <v>2870.372285649099</v>
      </c>
      <c r="G76" s="25">
        <f>'Combined Retirement'!$C$24</f>
        <v>3254.2644699519233</v>
      </c>
      <c r="H76" s="25">
        <f>IF(B76&lt;62,0,'Combined Retirement'!$I$14)</f>
        <v>2345</v>
      </c>
      <c r="I76" s="25">
        <f>IF(C76&lt;62,0,'Combined Retirement'!$I$13)</f>
        <v>0</v>
      </c>
      <c r="J76" s="25">
        <f t="shared" si="3"/>
        <v>32470.93324439897</v>
      </c>
      <c r="K76" s="25">
        <f t="shared" si="4"/>
        <v>0</v>
      </c>
      <c r="L76" s="25"/>
      <c r="N76" s="25">
        <f>'Combined Retirement'!$C$18/12</f>
        <v>40940.569999999992</v>
      </c>
      <c r="O76" s="25">
        <f t="shared" si="5"/>
        <v>8469.6367556010227</v>
      </c>
      <c r="P76" s="25">
        <f t="shared" si="6"/>
        <v>32470.93324439897</v>
      </c>
      <c r="Q76" s="25">
        <f t="array" aca="1" ref="Q76" ca="1">INDEX('Isaac 401k'!L:L,MATCH('Retirement Calculator'!A76,'Isaac 401k'!N:N,0),0)</f>
        <v>1435826.1310107969</v>
      </c>
      <c r="R76" s="25">
        <f t="array" aca="1" ref="R76" ca="1">INDEX('Lorri 401b'!L:L,MATCH('Retirement Calculator'!A76,'Lorri 401b'!N:N,0),0)</f>
        <v>4124878.5464759809</v>
      </c>
      <c r="S76" s="25">
        <f t="shared" ca="1" si="7"/>
        <v>5560704.6774867773</v>
      </c>
    </row>
    <row r="77" spans="1:19" ht="15.75" customHeight="1" x14ac:dyDescent="0.25">
      <c r="A77" s="37">
        <v>53297</v>
      </c>
      <c r="B77" s="398">
        <f t="shared" ref="B77:C77" si="73">($A77-B$9)/365.25</f>
        <v>64.041067761806985</v>
      </c>
      <c r="C77" s="398">
        <f t="shared" si="73"/>
        <v>59.430527036276523</v>
      </c>
      <c r="E77" s="25">
        <f>IF(C77&gt;$B$7,0,'Combined Retirement'!$D$13/12)</f>
        <v>0</v>
      </c>
      <c r="F77" s="25">
        <f>IF(H77=0,'Combined Retirement'!$D$32,0)+'Combined Retirement'!$B$24</f>
        <v>2870.372285649099</v>
      </c>
      <c r="G77" s="25">
        <f>'Combined Retirement'!$C$24</f>
        <v>3254.2644699519233</v>
      </c>
      <c r="H77" s="25">
        <f>IF(B77&lt;62,0,'Combined Retirement'!$I$14)</f>
        <v>2345</v>
      </c>
      <c r="I77" s="25">
        <f>IF(C77&lt;62,0,'Combined Retirement'!$I$13)</f>
        <v>0</v>
      </c>
      <c r="J77" s="25">
        <f t="shared" si="3"/>
        <v>32470.93324439897</v>
      </c>
      <c r="K77" s="25">
        <f t="shared" si="4"/>
        <v>0</v>
      </c>
      <c r="L77" s="25"/>
      <c r="N77" s="25">
        <f>'Combined Retirement'!$C$18/12</f>
        <v>40940.569999999992</v>
      </c>
      <c r="O77" s="25">
        <f t="shared" si="5"/>
        <v>8469.6367556010227</v>
      </c>
      <c r="P77" s="25">
        <f t="shared" si="6"/>
        <v>32470.93324439897</v>
      </c>
      <c r="Q77" s="25">
        <f t="array" aca="1" ref="Q77" ca="1">INDEX('Isaac 401k'!L:L,MATCH('Retirement Calculator'!A77,'Isaac 401k'!N:N,0),0)</f>
        <v>1409202.5110904246</v>
      </c>
      <c r="R77" s="25">
        <f t="array" aca="1" ref="R77" ca="1">INDEX('Lorri 401b'!L:L,MATCH('Retirement Calculator'!A77,'Lorri 401b'!N:N,0),0)</f>
        <v>4142065.5404196307</v>
      </c>
      <c r="S77" s="25">
        <f t="shared" ca="1" si="7"/>
        <v>5551268.0515100555</v>
      </c>
    </row>
    <row r="78" spans="1:19" ht="15.75" customHeight="1" x14ac:dyDescent="0.25">
      <c r="A78" s="37">
        <v>53328</v>
      </c>
      <c r="B78" s="398">
        <f t="shared" ref="B78:C78" si="74">($A78-B$9)/365.25</f>
        <v>64.12594113620807</v>
      </c>
      <c r="C78" s="398">
        <f t="shared" si="74"/>
        <v>59.515400410677621</v>
      </c>
      <c r="E78" s="25">
        <f>IF(C78&gt;$B$7,0,'Combined Retirement'!$D$13/12)</f>
        <v>0</v>
      </c>
      <c r="F78" s="25">
        <f>IF(H78=0,'Combined Retirement'!$D$32,0)+'Combined Retirement'!$B$24</f>
        <v>2870.372285649099</v>
      </c>
      <c r="G78" s="25">
        <f>'Combined Retirement'!$C$24</f>
        <v>3254.2644699519233</v>
      </c>
      <c r="H78" s="25">
        <f>IF(B78&lt;62,0,'Combined Retirement'!$I$14)</f>
        <v>2345</v>
      </c>
      <c r="I78" s="25">
        <f>IF(C78&lt;62,0,'Combined Retirement'!$I$13)</f>
        <v>0</v>
      </c>
      <c r="J78" s="25">
        <f t="shared" si="3"/>
        <v>9071.7293298201839</v>
      </c>
      <c r="K78" s="25">
        <f t="shared" si="4"/>
        <v>23399.203914578786</v>
      </c>
      <c r="L78" s="25"/>
      <c r="N78" s="25">
        <f>'Combined Retirement'!$C$18/12</f>
        <v>40940.569999999992</v>
      </c>
      <c r="O78" s="25">
        <f t="shared" si="5"/>
        <v>8469.6367556010227</v>
      </c>
      <c r="P78" s="25">
        <f t="shared" si="6"/>
        <v>32470.93324439897</v>
      </c>
      <c r="Q78" s="25">
        <f t="array" aca="1" ref="Q78" ca="1">INDEX('Isaac 401k'!L:L,MATCH('Retirement Calculator'!A78,'Isaac 401k'!N:N,0),0)</f>
        <v>1405964.6600179402</v>
      </c>
      <c r="R78" s="25">
        <f t="array" aca="1" ref="R78" ca="1">INDEX('Lorri 401b'!L:L,MATCH('Retirement Calculator'!A78,'Lorri 401b'!N:N,0),0)</f>
        <v>4135827.4462404894</v>
      </c>
      <c r="S78" s="25">
        <f t="shared" ca="1" si="7"/>
        <v>5541792.1062584296</v>
      </c>
    </row>
    <row r="79" spans="1:19" ht="15.75" customHeight="1" x14ac:dyDescent="0.25">
      <c r="A79" s="37">
        <v>53359</v>
      </c>
      <c r="B79" s="398">
        <f t="shared" ref="B79:C79" si="75">($A79-B$9)/365.25</f>
        <v>64.210814510609168</v>
      </c>
      <c r="C79" s="398">
        <f t="shared" si="75"/>
        <v>59.600273785078713</v>
      </c>
      <c r="E79" s="25">
        <f>IF(C79&gt;$B$7,0,'Combined Retirement'!$D$13/12)</f>
        <v>0</v>
      </c>
      <c r="F79" s="25">
        <f>IF(H79=0,'Combined Retirement'!$D$32,0)+'Combined Retirement'!$B$24</f>
        <v>2870.372285649099</v>
      </c>
      <c r="G79" s="25">
        <f>'Combined Retirement'!$C$24</f>
        <v>3254.2644699519233</v>
      </c>
      <c r="H79" s="25">
        <f>IF(B79&lt;62,0,'Combined Retirement'!$I$14)</f>
        <v>2345</v>
      </c>
      <c r="I79" s="25">
        <f>IF(C79&lt;62,0,'Combined Retirement'!$I$13)</f>
        <v>0</v>
      </c>
      <c r="J79" s="25">
        <f t="shared" si="3"/>
        <v>9071.7293298201839</v>
      </c>
      <c r="K79" s="25">
        <f t="shared" si="4"/>
        <v>23399.203914578786</v>
      </c>
      <c r="L79" s="25"/>
      <c r="N79" s="25">
        <f>'Combined Retirement'!$C$18/12</f>
        <v>40940.569999999992</v>
      </c>
      <c r="O79" s="25">
        <f t="shared" si="5"/>
        <v>8469.6367556010227</v>
      </c>
      <c r="P79" s="25">
        <f t="shared" si="6"/>
        <v>32470.93324439897</v>
      </c>
      <c r="Q79" s="25">
        <f t="array" aca="1" ref="Q79" ca="1">INDEX('Isaac 401k'!L:L,MATCH('Retirement Calculator'!A79,'Isaac 401k'!N:N,0),0)</f>
        <v>1402713.3178993205</v>
      </c>
      <c r="R79" s="25">
        <f t="array" aca="1" ref="R79" ca="1">INDEX('Lorri 401b'!L:L,MATCH('Retirement Calculator'!A79,'Lorri 401b'!N:N,0),0)</f>
        <v>4129563.3600022681</v>
      </c>
      <c r="S79" s="25">
        <f t="shared" ca="1" si="7"/>
        <v>5532276.6779015884</v>
      </c>
    </row>
    <row r="80" spans="1:19" ht="15.75" customHeight="1" x14ac:dyDescent="0.25">
      <c r="A80" s="37">
        <v>53387</v>
      </c>
      <c r="B80" s="398">
        <f t="shared" ref="B80:C80" si="76">($A80-B$9)/365.25</f>
        <v>64.28747433264887</v>
      </c>
      <c r="C80" s="398">
        <f t="shared" si="76"/>
        <v>59.676933607118414</v>
      </c>
      <c r="E80" s="25">
        <f>IF(C80&gt;$B$7,0,'Combined Retirement'!$D$13/12)</f>
        <v>0</v>
      </c>
      <c r="F80" s="25">
        <f>IF(H80=0,'Combined Retirement'!$D$32,0)+'Combined Retirement'!$B$24</f>
        <v>2870.372285649099</v>
      </c>
      <c r="G80" s="25">
        <f>'Combined Retirement'!$C$24</f>
        <v>3254.2644699519233</v>
      </c>
      <c r="H80" s="25">
        <f>IF(B80&lt;62,0,'Combined Retirement'!$I$14)</f>
        <v>2345</v>
      </c>
      <c r="I80" s="25">
        <f>IF(C80&lt;62,0,'Combined Retirement'!$I$13)</f>
        <v>0</v>
      </c>
      <c r="J80" s="25">
        <f t="shared" si="3"/>
        <v>9071.7293298201839</v>
      </c>
      <c r="K80" s="25">
        <f t="shared" si="4"/>
        <v>23399.203914578786</v>
      </c>
      <c r="L80" s="25"/>
      <c r="N80" s="25">
        <f>'Combined Retirement'!$C$18/12</f>
        <v>40940.569999999992</v>
      </c>
      <c r="O80" s="25">
        <f t="shared" si="5"/>
        <v>8469.6367556010227</v>
      </c>
      <c r="P80" s="25">
        <f t="shared" si="6"/>
        <v>32470.93324439897</v>
      </c>
      <c r="Q80" s="25">
        <f t="array" aca="1" ref="Q80" ca="1">INDEX('Isaac 401k'!L:L,MATCH('Retirement Calculator'!A80,'Isaac 401k'!N:N,0),0)</f>
        <v>1399448.4285218732</v>
      </c>
      <c r="R80" s="25">
        <f t="array" aca="1" ref="R80" ca="1">INDEX('Lorri 401b'!L:L,MATCH('Retirement Calculator'!A80,'Lorri 401b'!N:N,0),0)</f>
        <v>4123273.1734047211</v>
      </c>
      <c r="S80" s="25">
        <f t="shared" ca="1" si="7"/>
        <v>5522721.601926594</v>
      </c>
    </row>
    <row r="81" spans="1:19" ht="15.75" customHeight="1" x14ac:dyDescent="0.25">
      <c r="A81" s="37">
        <v>53418</v>
      </c>
      <c r="B81" s="398">
        <f t="shared" ref="B81:C81" si="77">($A81-B$9)/365.25</f>
        <v>64.372347707049968</v>
      </c>
      <c r="C81" s="398">
        <f t="shared" si="77"/>
        <v>59.761806981519506</v>
      </c>
      <c r="E81" s="25">
        <f>IF(C81&gt;$B$7,0,'Combined Retirement'!$D$13/12)</f>
        <v>0</v>
      </c>
      <c r="F81" s="25">
        <f>IF(H81=0,'Combined Retirement'!$D$32,0)+'Combined Retirement'!$B$24</f>
        <v>2870.372285649099</v>
      </c>
      <c r="G81" s="25">
        <f>'Combined Retirement'!$C$24</f>
        <v>3254.2644699519233</v>
      </c>
      <c r="H81" s="25">
        <f>IF(B81&lt;62,0,'Combined Retirement'!$I$14)</f>
        <v>2345</v>
      </c>
      <c r="I81" s="25">
        <f>IF(C81&lt;62,0,'Combined Retirement'!$I$13)</f>
        <v>0</v>
      </c>
      <c r="J81" s="25">
        <f t="shared" si="3"/>
        <v>9071.7293298201839</v>
      </c>
      <c r="K81" s="25">
        <f t="shared" si="4"/>
        <v>23399.203914578786</v>
      </c>
      <c r="L81" s="25"/>
      <c r="N81" s="25">
        <f>'Combined Retirement'!$C$18/12</f>
        <v>40940.569999999992</v>
      </c>
      <c r="O81" s="25">
        <f t="shared" si="5"/>
        <v>8469.6367556010227</v>
      </c>
      <c r="P81" s="25">
        <f t="shared" si="6"/>
        <v>32470.93324439897</v>
      </c>
      <c r="Q81" s="25">
        <f t="array" aca="1" ref="Q81" ca="1">INDEX('Isaac 401k'!L:L,MATCH('Retirement Calculator'!A81,'Isaac 401k'!N:N,0),0)</f>
        <v>1396169.9354386865</v>
      </c>
      <c r="R81" s="25">
        <f t="array" aca="1" ref="R81" ca="1">INDEX('Lorri 401b'!L:L,MATCH('Retirement Calculator'!A81,'Lorri 401b'!N:N,0),0)</f>
        <v>4116956.7776963511</v>
      </c>
      <c r="S81" s="25">
        <f t="shared" ca="1" si="7"/>
        <v>5513126.7131350376</v>
      </c>
    </row>
    <row r="82" spans="1:19" ht="15.75" customHeight="1" x14ac:dyDescent="0.25">
      <c r="A82" s="37">
        <v>53448</v>
      </c>
      <c r="B82" s="398">
        <f t="shared" ref="B82:C82" si="78">($A82-B$9)/365.25</f>
        <v>64.454483230663925</v>
      </c>
      <c r="C82" s="398">
        <f t="shared" si="78"/>
        <v>59.843942505133469</v>
      </c>
      <c r="E82" s="25">
        <f>IF(C82&gt;$B$7,0,'Combined Retirement'!$D$13/12)</f>
        <v>0</v>
      </c>
      <c r="F82" s="25">
        <f>IF(H82=0,'Combined Retirement'!$D$32,0)+'Combined Retirement'!$B$24</f>
        <v>2870.372285649099</v>
      </c>
      <c r="G82" s="25">
        <f>'Combined Retirement'!$C$24</f>
        <v>3254.2644699519233</v>
      </c>
      <c r="H82" s="25">
        <f>IF(B82&lt;62,0,'Combined Retirement'!$I$14)</f>
        <v>2345</v>
      </c>
      <c r="I82" s="25">
        <f>IF(C82&lt;62,0,'Combined Retirement'!$I$13)</f>
        <v>0</v>
      </c>
      <c r="J82" s="25">
        <f t="shared" si="3"/>
        <v>9071.7293298201839</v>
      </c>
      <c r="K82" s="25">
        <f t="shared" si="4"/>
        <v>23399.203914578786</v>
      </c>
      <c r="L82" s="25"/>
      <c r="N82" s="25">
        <f>'Combined Retirement'!$C$18/12</f>
        <v>40940.569999999992</v>
      </c>
      <c r="O82" s="25">
        <f t="shared" si="5"/>
        <v>8469.6367556010227</v>
      </c>
      <c r="P82" s="25">
        <f t="shared" si="6"/>
        <v>32470.93324439897</v>
      </c>
      <c r="Q82" s="25">
        <f t="array" aca="1" ref="Q82" ca="1">INDEX('Isaac 401k'!L:L,MATCH('Retirement Calculator'!A82,'Isaac 401k'!N:N,0),0)</f>
        <v>1392877.7819676532</v>
      </c>
      <c r="R82" s="25">
        <f t="array" aca="1" ref="R82" ca="1">INDEX('Lorri 401b'!L:L,MATCH('Retirement Calculator'!A82,'Lorri 401b'!N:N,0),0)</f>
        <v>4110614.0636725295</v>
      </c>
      <c r="S82" s="25">
        <f t="shared" ca="1" si="7"/>
        <v>5503491.8456401825</v>
      </c>
    </row>
    <row r="83" spans="1:19" ht="15.75" customHeight="1" x14ac:dyDescent="0.25">
      <c r="A83" s="37">
        <v>53479</v>
      </c>
      <c r="B83" s="398">
        <f t="shared" ref="B83:C83" si="79">($A83-B$9)/365.25</f>
        <v>64.539356605065024</v>
      </c>
      <c r="C83" s="398">
        <f t="shared" si="79"/>
        <v>59.928815879534568</v>
      </c>
      <c r="E83" s="25">
        <f>IF(C83&gt;$B$7,0,'Combined Retirement'!$D$13/12)</f>
        <v>0</v>
      </c>
      <c r="F83" s="25">
        <f>IF(H83=0,'Combined Retirement'!$D$32,0)+'Combined Retirement'!$B$24</f>
        <v>2870.372285649099</v>
      </c>
      <c r="G83" s="25">
        <f>'Combined Retirement'!$C$24</f>
        <v>3254.2644699519233</v>
      </c>
      <c r="H83" s="25">
        <f>IF(B83&lt;62,0,'Combined Retirement'!$I$14)</f>
        <v>2345</v>
      </c>
      <c r="I83" s="25">
        <f>IF(C83&lt;62,0,'Combined Retirement'!$I$13)</f>
        <v>0</v>
      </c>
      <c r="J83" s="25">
        <f t="shared" si="3"/>
        <v>9071.7293298201839</v>
      </c>
      <c r="K83" s="25">
        <f t="shared" si="4"/>
        <v>23399.203914578786</v>
      </c>
      <c r="L83" s="25"/>
      <c r="N83" s="25">
        <f>'Combined Retirement'!$C$18/12</f>
        <v>40940.569999999992</v>
      </c>
      <c r="O83" s="25">
        <f t="shared" si="5"/>
        <v>8469.6367556010227</v>
      </c>
      <c r="P83" s="25">
        <f t="shared" si="6"/>
        <v>32470.93324439897</v>
      </c>
      <c r="Q83" s="25">
        <f t="array" aca="1" ref="Q83" ca="1">INDEX('Isaac 401k'!L:L,MATCH('Retirement Calculator'!A83,'Isaac 401k'!N:N,0),0)</f>
        <v>1389571.9111904905</v>
      </c>
      <c r="R83" s="25">
        <f t="array" aca="1" ref="R83" ca="1">INDEX('Lorri 401b'!L:L,MATCH('Retirement Calculator'!A83,'Lorri 401b'!N:N,0),0)</f>
        <v>4104244.9216736085</v>
      </c>
      <c r="S83" s="25">
        <f t="shared" ca="1" si="7"/>
        <v>5493816.8328640992</v>
      </c>
    </row>
    <row r="84" spans="1:19" ht="15.75" customHeight="1" x14ac:dyDescent="0.25">
      <c r="A84" s="37">
        <v>53509</v>
      </c>
      <c r="B84" s="398">
        <f t="shared" ref="B84:C84" si="80">($A84-B$9)/365.25</f>
        <v>64.62149212867898</v>
      </c>
      <c r="C84" s="398">
        <f t="shared" si="80"/>
        <v>60.010951403148532</v>
      </c>
      <c r="E84" s="25">
        <f>IF(C84&gt;$B$7,0,'Combined Retirement'!$D$13/12)</f>
        <v>0</v>
      </c>
      <c r="F84" s="25">
        <f>IF(H84=0,'Combined Retirement'!$D$32,0)+'Combined Retirement'!$B$24</f>
        <v>2870.372285649099</v>
      </c>
      <c r="G84" s="25">
        <f>'Combined Retirement'!$C$24</f>
        <v>3254.2644699519233</v>
      </c>
      <c r="H84" s="25">
        <f>IF(B84&lt;62,0,'Combined Retirement'!$I$14)</f>
        <v>2345</v>
      </c>
      <c r="I84" s="25">
        <f>IF(C84&lt;62,0,'Combined Retirement'!$I$13)</f>
        <v>0</v>
      </c>
      <c r="J84" s="25">
        <f t="shared" si="3"/>
        <v>9071.7293298201839</v>
      </c>
      <c r="K84" s="25">
        <f t="shared" si="4"/>
        <v>23399.203914578786</v>
      </c>
      <c r="L84" s="25"/>
      <c r="N84" s="25">
        <f>'Combined Retirement'!$C$18/12</f>
        <v>40940.569999999992</v>
      </c>
      <c r="O84" s="25">
        <f t="shared" si="5"/>
        <v>8469.6367556010227</v>
      </c>
      <c r="P84" s="25">
        <f t="shared" si="6"/>
        <v>32470.93324439897</v>
      </c>
      <c r="Q84" s="25">
        <f t="array" aca="1" ref="Q84" ca="1">INDEX('Isaac 401k'!L:L,MATCH('Retirement Calculator'!A84,'Isaac 401k'!N:N,0),0)</f>
        <v>1386252.2659517564</v>
      </c>
      <c r="R84" s="25">
        <f t="array" aca="1" ref="R84" ca="1">INDEX('Lorri 401b'!L:L,MATCH('Retirement Calculator'!A84,'Lorri 401b'!N:N,0),0)</f>
        <v>4097849.2415830255</v>
      </c>
      <c r="S84" s="25">
        <f t="shared" ca="1" si="7"/>
        <v>5484101.5075347815</v>
      </c>
    </row>
    <row r="85" spans="1:19" ht="15.75" customHeight="1" x14ac:dyDescent="0.25">
      <c r="A85" s="37">
        <v>53540</v>
      </c>
      <c r="B85" s="398">
        <f t="shared" ref="B85:C85" si="81">($A85-B$9)/365.25</f>
        <v>64.706365503080079</v>
      </c>
      <c r="C85" s="398">
        <f t="shared" si="81"/>
        <v>60.095824777549623</v>
      </c>
      <c r="E85" s="25">
        <f>IF(C85&gt;$B$7,0,'Combined Retirement'!$D$13/12)</f>
        <v>0</v>
      </c>
      <c r="F85" s="25">
        <f>IF(H85=0,'Combined Retirement'!$D$32,0)+'Combined Retirement'!$B$24</f>
        <v>2870.372285649099</v>
      </c>
      <c r="G85" s="25">
        <f>'Combined Retirement'!$C$24</f>
        <v>3254.2644699519233</v>
      </c>
      <c r="H85" s="25">
        <f>IF(B85&lt;62,0,'Combined Retirement'!$I$14)</f>
        <v>2345</v>
      </c>
      <c r="I85" s="25">
        <f>IF(C85&lt;62,0,'Combined Retirement'!$I$13)</f>
        <v>0</v>
      </c>
      <c r="J85" s="25">
        <f t="shared" si="3"/>
        <v>9071.7293298201839</v>
      </c>
      <c r="K85" s="25">
        <f t="shared" si="4"/>
        <v>23399.203914578786</v>
      </c>
      <c r="L85" s="25"/>
      <c r="N85" s="25">
        <f>'Combined Retirement'!$C$18/12</f>
        <v>40940.569999999992</v>
      </c>
      <c r="O85" s="25">
        <f t="shared" si="5"/>
        <v>8469.6367556010227</v>
      </c>
      <c r="P85" s="25">
        <f t="shared" si="6"/>
        <v>32470.93324439897</v>
      </c>
      <c r="Q85" s="25">
        <f t="array" aca="1" ref="Q85" ca="1">INDEX('Isaac 401k'!L:L,MATCH('Retirement Calculator'!A85,'Isaac 401k'!N:N,0),0)</f>
        <v>1382918.788857861</v>
      </c>
      <c r="R85" s="25">
        <f t="array" aca="1" ref="R85" ca="1">INDEX('Lorri 401b'!L:L,MATCH('Retirement Calculator'!A85,'Lorri 401b'!N:N,0),0)</f>
        <v>4091426.9128253986</v>
      </c>
      <c r="S85" s="25">
        <f t="shared" ca="1" si="7"/>
        <v>5474345.7016832596</v>
      </c>
    </row>
    <row r="86" spans="1:19" ht="15.75" customHeight="1" x14ac:dyDescent="0.25">
      <c r="A86" s="37">
        <v>53571</v>
      </c>
      <c r="B86" s="398">
        <f t="shared" ref="B86:C86" si="82">($A86-B$9)/365.25</f>
        <v>64.791238877481177</v>
      </c>
      <c r="C86" s="398">
        <f t="shared" si="82"/>
        <v>60.180698151950722</v>
      </c>
      <c r="E86" s="25">
        <f>IF(C86&gt;$B$7,0,'Combined Retirement'!$D$13/12)</f>
        <v>0</v>
      </c>
      <c r="F86" s="25">
        <f>IF(H86=0,'Combined Retirement'!$D$32,0)+'Combined Retirement'!$B$24</f>
        <v>2870.372285649099</v>
      </c>
      <c r="G86" s="25">
        <f>'Combined Retirement'!$C$24</f>
        <v>3254.2644699519233</v>
      </c>
      <c r="H86" s="25">
        <f>IF(B86&lt;62,0,'Combined Retirement'!$I$14)</f>
        <v>2345</v>
      </c>
      <c r="I86" s="25">
        <f>IF(C86&lt;62,0,'Combined Retirement'!$I$13)</f>
        <v>0</v>
      </c>
      <c r="J86" s="25">
        <f t="shared" si="3"/>
        <v>9071.7293298201839</v>
      </c>
      <c r="K86" s="25">
        <f t="shared" si="4"/>
        <v>23399.203914578786</v>
      </c>
      <c r="L86" s="25"/>
      <c r="N86" s="25">
        <f>'Combined Retirement'!$C$18/12</f>
        <v>40940.569999999992</v>
      </c>
      <c r="O86" s="25">
        <f t="shared" si="5"/>
        <v>8469.6367556010227</v>
      </c>
      <c r="P86" s="25">
        <f t="shared" si="6"/>
        <v>32470.93324439897</v>
      </c>
      <c r="Q86" s="25">
        <f t="array" aca="1" ref="Q86" ca="1">INDEX('Isaac 401k'!L:L,MATCH('Retirement Calculator'!A86,'Isaac 401k'!N:N,0),0)</f>
        <v>1379571.4222760743</v>
      </c>
      <c r="R86" s="25">
        <f t="array" aca="1" ref="R86" ca="1">INDEX('Lorri 401b'!L:L,MATCH('Retirement Calculator'!A86,'Lorri 401b'!N:N,0),0)</f>
        <v>4084977.8243646147</v>
      </c>
      <c r="S86" s="25">
        <f t="shared" ca="1" si="7"/>
        <v>5464549.2466406887</v>
      </c>
    </row>
    <row r="87" spans="1:19" ht="15.75" customHeight="1" x14ac:dyDescent="0.25">
      <c r="A87" s="37">
        <v>53601</v>
      </c>
      <c r="B87" s="398">
        <f t="shared" ref="B87:C87" si="83">($A87-B$9)/365.25</f>
        <v>64.873374401095134</v>
      </c>
      <c r="C87" s="398">
        <f t="shared" si="83"/>
        <v>60.262833675564679</v>
      </c>
      <c r="E87" s="25">
        <f>IF(C87&gt;$B$7,0,'Combined Retirement'!$D$13/12)</f>
        <v>0</v>
      </c>
      <c r="F87" s="25">
        <f>IF(H87=0,'Combined Retirement'!$D$32,0)+'Combined Retirement'!$B$24</f>
        <v>2870.372285649099</v>
      </c>
      <c r="G87" s="25">
        <f>'Combined Retirement'!$C$24</f>
        <v>3254.2644699519233</v>
      </c>
      <c r="H87" s="25">
        <f>IF(B87&lt;62,0,'Combined Retirement'!$I$14)</f>
        <v>2345</v>
      </c>
      <c r="I87" s="25">
        <f>IF(C87&lt;62,0,'Combined Retirement'!$I$13)</f>
        <v>0</v>
      </c>
      <c r="J87" s="25">
        <f t="shared" si="3"/>
        <v>9071.7293298201839</v>
      </c>
      <c r="K87" s="25">
        <f t="shared" si="4"/>
        <v>23399.203914578786</v>
      </c>
      <c r="L87" s="25"/>
      <c r="N87" s="25">
        <f>'Combined Retirement'!$C$18/12</f>
        <v>40940.569999999992</v>
      </c>
      <c r="O87" s="25">
        <f t="shared" si="5"/>
        <v>8469.6367556010227</v>
      </c>
      <c r="P87" s="25">
        <f t="shared" si="6"/>
        <v>32470.93324439897</v>
      </c>
      <c r="Q87" s="25">
        <f t="array" aca="1" ref="Q87" ca="1">INDEX('Isaac 401k'!L:L,MATCH('Retirement Calculator'!A87,'Isaac 401k'!N:N,0),0)</f>
        <v>1376210.1083335301</v>
      </c>
      <c r="R87" s="25">
        <f t="array" aca="1" ref="R87" ca="1">INDEX('Lorri 401b'!L:L,MATCH('Retirement Calculator'!A87,'Lorri 401b'!N:N,0),0)</f>
        <v>4078501.8647019109</v>
      </c>
      <c r="S87" s="25">
        <f t="shared" ca="1" si="7"/>
        <v>5454711.9730354408</v>
      </c>
    </row>
    <row r="88" spans="1:19" ht="15.75" customHeight="1" x14ac:dyDescent="0.25">
      <c r="A88" s="37">
        <v>53632</v>
      </c>
      <c r="B88" s="398">
        <f t="shared" ref="B88:C88" si="84">($A88-B$9)/365.25</f>
        <v>64.958247775496233</v>
      </c>
      <c r="C88" s="398">
        <f t="shared" si="84"/>
        <v>60.347707049965777</v>
      </c>
      <c r="E88" s="25">
        <f>IF(C88&gt;$B$7,0,'Combined Retirement'!$D$13/12)</f>
        <v>0</v>
      </c>
      <c r="F88" s="25">
        <f>IF(H88=0,'Combined Retirement'!$D$32,0)+'Combined Retirement'!$B$24</f>
        <v>2870.372285649099</v>
      </c>
      <c r="G88" s="25">
        <f>'Combined Retirement'!$C$24</f>
        <v>3254.2644699519233</v>
      </c>
      <c r="H88" s="25">
        <f>IF(B88&lt;62,0,'Combined Retirement'!$I$14)</f>
        <v>2345</v>
      </c>
      <c r="I88" s="25">
        <f>IF(C88&lt;62,0,'Combined Retirement'!$I$13)</f>
        <v>0</v>
      </c>
      <c r="J88" s="25">
        <f t="shared" si="3"/>
        <v>9071.7293298201839</v>
      </c>
      <c r="K88" s="25">
        <f t="shared" si="4"/>
        <v>23399.203914578786</v>
      </c>
      <c r="L88" s="25"/>
      <c r="N88" s="25">
        <f>'Combined Retirement'!$C$18/12</f>
        <v>40940.569999999992</v>
      </c>
      <c r="O88" s="25">
        <f t="shared" si="5"/>
        <v>8469.6367556010227</v>
      </c>
      <c r="P88" s="25">
        <f t="shared" si="6"/>
        <v>32470.93324439897</v>
      </c>
      <c r="Q88" s="25">
        <f t="array" aca="1" ref="Q88" ca="1">INDEX('Isaac 401k'!L:L,MATCH('Retirement Calculator'!A88,'Isaac 401k'!N:N,0),0)</f>
        <v>1372834.7889162253</v>
      </c>
      <c r="R88" s="25">
        <f t="array" aca="1" ref="R88" ca="1">INDEX('Lorri 401b'!L:L,MATCH('Retirement Calculator'!A88,'Lorri 401b'!N:N,0),0)</f>
        <v>4071998.9218739457</v>
      </c>
      <c r="S88" s="25">
        <f t="shared" ca="1" si="7"/>
        <v>5444833.7107901713</v>
      </c>
    </row>
    <row r="89" spans="1:19" ht="15.75" customHeight="1" x14ac:dyDescent="0.25">
      <c r="A89" s="37">
        <v>53662</v>
      </c>
      <c r="B89" s="398">
        <f t="shared" ref="B89:C89" si="85">($A89-B$9)/365.25</f>
        <v>65.040383299110204</v>
      </c>
      <c r="C89" s="398">
        <f t="shared" si="85"/>
        <v>60.429842573579741</v>
      </c>
      <c r="E89" s="25">
        <f>IF(C89&gt;$B$7,0,'Combined Retirement'!$D$13/12)</f>
        <v>0</v>
      </c>
      <c r="F89" s="25">
        <f>IF(H89=0,'Combined Retirement'!$D$32,0)+'Combined Retirement'!$B$24</f>
        <v>2870.372285649099</v>
      </c>
      <c r="G89" s="25">
        <f>'Combined Retirement'!$C$24</f>
        <v>3254.2644699519233</v>
      </c>
      <c r="H89" s="25">
        <f>IF(B89&lt;62,0,'Combined Retirement'!$I$14)</f>
        <v>2345</v>
      </c>
      <c r="I89" s="25">
        <f>IF(C89&lt;62,0,'Combined Retirement'!$I$13)</f>
        <v>0</v>
      </c>
      <c r="J89" s="25">
        <f t="shared" si="3"/>
        <v>9071.7293298201839</v>
      </c>
      <c r="K89" s="25">
        <f t="shared" si="4"/>
        <v>23399.203914578786</v>
      </c>
      <c r="L89" s="25"/>
      <c r="N89" s="25">
        <f>'Combined Retirement'!$C$18/12</f>
        <v>40940.569999999992</v>
      </c>
      <c r="O89" s="25">
        <f t="shared" si="5"/>
        <v>8469.6367556010227</v>
      </c>
      <c r="P89" s="25">
        <f t="shared" si="6"/>
        <v>32470.93324439897</v>
      </c>
      <c r="Q89" s="25">
        <f t="array" aca="1" ref="Q89" ca="1">INDEX('Isaac 401k'!L:L,MATCH('Retirement Calculator'!A89,'Isaac 401k'!N:N,0),0)</f>
        <v>1369445.4056680151</v>
      </c>
      <c r="R89" s="25">
        <f t="array" aca="1" ref="R89" ca="1">INDEX('Lorri 401b'!L:L,MATCH('Retirement Calculator'!A89,'Lorri 401b'!N:N,0),0)</f>
        <v>4065468.8834508639</v>
      </c>
      <c r="S89" s="25">
        <f t="shared" ca="1" si="7"/>
        <v>5434914.2891188785</v>
      </c>
    </row>
    <row r="90" spans="1:19" ht="15.75" customHeight="1" x14ac:dyDescent="0.25">
      <c r="A90" s="37">
        <v>53693</v>
      </c>
      <c r="B90" s="398">
        <f t="shared" ref="B90:C90" si="86">($A90-B$9)/365.25</f>
        <v>65.125256673511288</v>
      </c>
      <c r="C90" s="398">
        <f t="shared" si="86"/>
        <v>60.514715947980832</v>
      </c>
      <c r="E90" s="25">
        <f>IF(C90&gt;$B$7,0,'Combined Retirement'!$D$13/12)</f>
        <v>0</v>
      </c>
      <c r="F90" s="25">
        <f>IF(H90=0,'Combined Retirement'!$D$32,0)+'Combined Retirement'!$B$24</f>
        <v>2870.372285649099</v>
      </c>
      <c r="G90" s="25">
        <f>'Combined Retirement'!$C$24</f>
        <v>3254.2644699519233</v>
      </c>
      <c r="H90" s="25">
        <f>IF(B90&lt;62,0,'Combined Retirement'!$I$14)</f>
        <v>2345</v>
      </c>
      <c r="I90" s="25">
        <f>IF(C90&lt;62,0,'Combined Retirement'!$I$13)</f>
        <v>0</v>
      </c>
      <c r="J90" s="25">
        <f t="shared" si="3"/>
        <v>9071.7293298201839</v>
      </c>
      <c r="K90" s="25">
        <f t="shared" si="4"/>
        <v>23399.203914578786</v>
      </c>
      <c r="L90" s="25"/>
      <c r="N90" s="25">
        <f>'Combined Retirement'!$C$18/12</f>
        <v>40940.569999999992</v>
      </c>
      <c r="O90" s="25">
        <f t="shared" si="5"/>
        <v>8469.6367556010227</v>
      </c>
      <c r="P90" s="25">
        <f t="shared" si="6"/>
        <v>32470.93324439897</v>
      </c>
      <c r="Q90" s="25">
        <f t="array" aca="1" ref="Q90" ca="1">INDEX('Isaac 401k'!L:L,MATCH('Retirement Calculator'!A90,'Isaac 401k'!N:N,0),0)</f>
        <v>1366041.899989604</v>
      </c>
      <c r="R90" s="25">
        <f t="array" aca="1" ref="R90" ca="1">INDEX('Lorri 401b'!L:L,MATCH('Retirement Calculator'!A90,'Lorri 401b'!N:N,0),0)</f>
        <v>4058911.6365343528</v>
      </c>
      <c r="S90" s="25">
        <f t="shared" ca="1" si="7"/>
        <v>5424953.5365239568</v>
      </c>
    </row>
    <row r="91" spans="1:19" ht="15.75" customHeight="1" x14ac:dyDescent="0.25">
      <c r="A91" s="37">
        <v>53724</v>
      </c>
      <c r="B91" s="398">
        <f t="shared" ref="B91:C91" si="87">($A91-B$9)/365.25</f>
        <v>65.210130047912386</v>
      </c>
      <c r="C91" s="398">
        <f t="shared" si="87"/>
        <v>60.599589322381931</v>
      </c>
      <c r="E91" s="25">
        <f>IF(C91&gt;$B$7,0,'Combined Retirement'!$D$13/12)</f>
        <v>0</v>
      </c>
      <c r="F91" s="25">
        <f>IF(H91=0,'Combined Retirement'!$D$32,0)+'Combined Retirement'!$B$24</f>
        <v>2870.372285649099</v>
      </c>
      <c r="G91" s="25">
        <f>'Combined Retirement'!$C$24</f>
        <v>3254.2644699519233</v>
      </c>
      <c r="H91" s="25">
        <f>IF(B91&lt;62,0,'Combined Retirement'!$I$14)</f>
        <v>2345</v>
      </c>
      <c r="I91" s="25">
        <f>IF(C91&lt;62,0,'Combined Retirement'!$I$13)</f>
        <v>0</v>
      </c>
      <c r="J91" s="25">
        <f t="shared" si="3"/>
        <v>9071.7293298201839</v>
      </c>
      <c r="K91" s="25">
        <f t="shared" si="4"/>
        <v>23399.203914578786</v>
      </c>
      <c r="L91" s="25"/>
      <c r="N91" s="25">
        <f>'Combined Retirement'!$C$18/12</f>
        <v>40940.569999999992</v>
      </c>
      <c r="O91" s="25">
        <f t="shared" si="5"/>
        <v>8469.6367556010227</v>
      </c>
      <c r="P91" s="25">
        <f t="shared" si="6"/>
        <v>32470.93324439897</v>
      </c>
      <c r="Q91" s="25">
        <f t="array" aca="1" ref="Q91" ca="1">INDEX('Isaac 401k'!L:L,MATCH('Retirement Calculator'!A91,'Isaac 401k'!N:N,0),0)</f>
        <v>1362624.2130375328</v>
      </c>
      <c r="R91" s="25">
        <f t="array" aca="1" ref="R91" ca="1">INDEX('Lorri 401b'!L:L,MATCH('Retirement Calculator'!A91,'Lorri 401b'!N:N,0),0)</f>
        <v>4052327.0677556894</v>
      </c>
      <c r="S91" s="25">
        <f t="shared" ca="1" si="7"/>
        <v>5414951.2807932217</v>
      </c>
    </row>
    <row r="92" spans="1:19" ht="15.75" customHeight="1" x14ac:dyDescent="0.25">
      <c r="A92" s="37">
        <v>53752</v>
      </c>
      <c r="B92" s="398">
        <f t="shared" ref="B92:C92" si="88">($A92-B$9)/365.25</f>
        <v>65.286789869952088</v>
      </c>
      <c r="C92" s="398">
        <f t="shared" si="88"/>
        <v>60.676249144421632</v>
      </c>
      <c r="E92" s="25">
        <f>IF(C92&gt;$B$7,0,'Combined Retirement'!$D$13/12)</f>
        <v>0</v>
      </c>
      <c r="F92" s="25">
        <f>IF(H92=0,'Combined Retirement'!$D$32,0)+'Combined Retirement'!$B$24</f>
        <v>2870.372285649099</v>
      </c>
      <c r="G92" s="25">
        <f>'Combined Retirement'!$C$24</f>
        <v>3254.2644699519233</v>
      </c>
      <c r="H92" s="25">
        <f>IF(B92&lt;62,0,'Combined Retirement'!$I$14)</f>
        <v>2345</v>
      </c>
      <c r="I92" s="25">
        <f>IF(C92&lt;62,0,'Combined Retirement'!$I$13)</f>
        <v>0</v>
      </c>
      <c r="J92" s="25">
        <f t="shared" si="3"/>
        <v>9071.7293298201839</v>
      </c>
      <c r="K92" s="25">
        <f t="shared" si="4"/>
        <v>23399.203914578786</v>
      </c>
      <c r="L92" s="25"/>
      <c r="N92" s="25">
        <f>'Combined Retirement'!$C$18/12</f>
        <v>40940.569999999992</v>
      </c>
      <c r="O92" s="25">
        <f t="shared" si="5"/>
        <v>8469.6367556010227</v>
      </c>
      <c r="P92" s="25">
        <f t="shared" si="6"/>
        <v>32470.93324439897</v>
      </c>
      <c r="Q92" s="25">
        <f t="array" aca="1" ref="Q92" ca="1">INDEX('Isaac 401k'!L:L,MATCH('Retirement Calculator'!A92,'Isaac 401k'!N:N,0),0)</f>
        <v>1359192.2857231612</v>
      </c>
      <c r="R92" s="25">
        <f t="array" aca="1" ref="R92" ca="1">INDEX('Lorri 401b'!L:L,MATCH('Retirement Calculator'!A92,'Lorri 401b'!N:N,0),0)</f>
        <v>4045715.0632737814</v>
      </c>
      <c r="S92" s="25">
        <f t="shared" ca="1" si="7"/>
        <v>5404907.3489969429</v>
      </c>
    </row>
    <row r="93" spans="1:19" ht="15.75" customHeight="1" x14ac:dyDescent="0.25">
      <c r="A93" s="37">
        <v>53783</v>
      </c>
      <c r="B93" s="398">
        <f t="shared" ref="B93:C93" si="89">($A93-B$9)/365.25</f>
        <v>65.371663244353186</v>
      </c>
      <c r="C93" s="398">
        <f t="shared" si="89"/>
        <v>60.761122518822724</v>
      </c>
      <c r="E93" s="25">
        <f>IF(C93&gt;$B$7,0,'Combined Retirement'!$D$13/12)</f>
        <v>0</v>
      </c>
      <c r="F93" s="25">
        <f>IF(H93=0,'Combined Retirement'!$D$32,0)+'Combined Retirement'!$B$24</f>
        <v>2870.372285649099</v>
      </c>
      <c r="G93" s="25">
        <f>'Combined Retirement'!$C$24</f>
        <v>3254.2644699519233</v>
      </c>
      <c r="H93" s="25">
        <f>IF(B93&lt;62,0,'Combined Retirement'!$I$14)</f>
        <v>2345</v>
      </c>
      <c r="I93" s="25">
        <f>IF(C93&lt;62,0,'Combined Retirement'!$I$13)</f>
        <v>0</v>
      </c>
      <c r="J93" s="25">
        <f t="shared" si="3"/>
        <v>9071.7293298201839</v>
      </c>
      <c r="K93" s="25">
        <f t="shared" si="4"/>
        <v>23399.203914578786</v>
      </c>
      <c r="L93" s="25"/>
      <c r="N93" s="25">
        <f>'Combined Retirement'!$C$18/12</f>
        <v>40940.569999999992</v>
      </c>
      <c r="O93" s="25">
        <f t="shared" si="5"/>
        <v>8469.6367556010227</v>
      </c>
      <c r="P93" s="25">
        <f t="shared" si="6"/>
        <v>32470.93324439897</v>
      </c>
      <c r="Q93" s="25">
        <f t="array" aca="1" ref="Q93" ca="1">INDEX('Isaac 401k'!L:L,MATCH('Retirement Calculator'!A93,'Isaac 401k'!N:N,0),0)</f>
        <v>1355746.0587116466</v>
      </c>
      <c r="R93" s="25">
        <f t="array" aca="1" ref="R93" ca="1">INDEX('Lorri 401b'!L:L,MATCH('Retirement Calculator'!A93,'Lorri 401b'!N:N,0),0)</f>
        <v>4039075.5087731993</v>
      </c>
      <c r="S93" s="25">
        <f t="shared" ca="1" si="7"/>
        <v>5394821.5674848463</v>
      </c>
    </row>
    <row r="94" spans="1:19" ht="15.75" customHeight="1" x14ac:dyDescent="0.25">
      <c r="A94" s="37">
        <v>53813</v>
      </c>
      <c r="B94" s="398">
        <f t="shared" ref="B94:C94" si="90">($A94-B$9)/365.25</f>
        <v>65.453798767967143</v>
      </c>
      <c r="C94" s="398">
        <f t="shared" si="90"/>
        <v>60.843258042436688</v>
      </c>
      <c r="E94" s="25">
        <f>IF(C94&gt;$B$7,0,'Combined Retirement'!$D$13/12)</f>
        <v>0</v>
      </c>
      <c r="F94" s="25">
        <f>IF(H94=0,'Combined Retirement'!$D$32,0)+'Combined Retirement'!$B$24</f>
        <v>2870.372285649099</v>
      </c>
      <c r="G94" s="25">
        <f>'Combined Retirement'!$C$24</f>
        <v>3254.2644699519233</v>
      </c>
      <c r="H94" s="25">
        <f>IF(B94&lt;62,0,'Combined Retirement'!$I$14)</f>
        <v>2345</v>
      </c>
      <c r="I94" s="25">
        <f>IF(C94&lt;62,0,'Combined Retirement'!$I$13)</f>
        <v>0</v>
      </c>
      <c r="J94" s="25">
        <f t="shared" si="3"/>
        <v>9071.7293298201839</v>
      </c>
      <c r="K94" s="25">
        <f t="shared" si="4"/>
        <v>23399.203914578786</v>
      </c>
      <c r="L94" s="25"/>
      <c r="N94" s="25">
        <f>'Combined Retirement'!$C$18/12</f>
        <v>40940.569999999992</v>
      </c>
      <c r="O94" s="25">
        <f t="shared" si="5"/>
        <v>8469.6367556010227</v>
      </c>
      <c r="P94" s="25">
        <f t="shared" si="6"/>
        <v>32470.93324439897</v>
      </c>
      <c r="Q94" s="25">
        <f t="array" aca="1" ref="Q94" ca="1">INDEX('Isaac 401k'!L:L,MATCH('Retirement Calculator'!A94,'Isaac 401k'!N:N,0),0)</f>
        <v>1352285.4724209174</v>
      </c>
      <c r="R94" s="25">
        <f t="array" aca="1" ref="R94" ca="1">INDEX('Lorri 401b'!L:L,MATCH('Retirement Calculator'!A94,'Lorri 401b'!N:N,0),0)</f>
        <v>4032408.289462198</v>
      </c>
      <c r="S94" s="25">
        <f t="shared" ca="1" si="7"/>
        <v>5384693.7618831154</v>
      </c>
    </row>
    <row r="95" spans="1:19" ht="15.75" customHeight="1" x14ac:dyDescent="0.25">
      <c r="A95" s="37">
        <v>53844</v>
      </c>
      <c r="B95" s="398">
        <f t="shared" ref="B95:C95" si="91">($A95-B$9)/365.25</f>
        <v>65.538672142368242</v>
      </c>
      <c r="C95" s="398">
        <f t="shared" si="91"/>
        <v>60.928131416837779</v>
      </c>
      <c r="E95" s="25">
        <f>IF(C95&gt;$B$7,0,'Combined Retirement'!$D$13/12)</f>
        <v>0</v>
      </c>
      <c r="F95" s="25">
        <f>IF(H95=0,'Combined Retirement'!$D$32,0)+'Combined Retirement'!$B$24</f>
        <v>2870.372285649099</v>
      </c>
      <c r="G95" s="25">
        <f>'Combined Retirement'!$C$24</f>
        <v>3254.2644699519233</v>
      </c>
      <c r="H95" s="25">
        <f>IF(B95&lt;62,0,'Combined Retirement'!$I$14)</f>
        <v>2345</v>
      </c>
      <c r="I95" s="25">
        <f>IF(C95&lt;62,0,'Combined Retirement'!$I$13)</f>
        <v>0</v>
      </c>
      <c r="J95" s="25">
        <f t="shared" si="3"/>
        <v>9071.7293298201839</v>
      </c>
      <c r="K95" s="25">
        <f t="shared" si="4"/>
        <v>23399.203914578786</v>
      </c>
      <c r="L95" s="25"/>
      <c r="N95" s="25">
        <f>'Combined Retirement'!$C$18/12</f>
        <v>40940.569999999992</v>
      </c>
      <c r="O95" s="25">
        <f t="shared" si="5"/>
        <v>8469.6367556010227</v>
      </c>
      <c r="P95" s="25">
        <f t="shared" si="6"/>
        <v>32470.93324439897</v>
      </c>
      <c r="Q95" s="25">
        <f t="array" aca="1" ref="Q95" ca="1">INDEX('Isaac 401k'!L:L,MATCH('Retirement Calculator'!A95,'Isaac 401k'!N:N,0),0)</f>
        <v>1348810.4670206434</v>
      </c>
      <c r="R95" s="25">
        <f t="array" aca="1" ref="R95" ca="1">INDEX('Lorri 401b'!L:L,MATCH('Retirement Calculator'!A95,'Lorri 401b'!N:N,0),0)</f>
        <v>4025713.290070734</v>
      </c>
      <c r="S95" s="25">
        <f t="shared" ca="1" si="7"/>
        <v>5374523.7570913769</v>
      </c>
    </row>
    <row r="96" spans="1:19" ht="15.75" customHeight="1" x14ac:dyDescent="0.25">
      <c r="A96" s="37">
        <v>53874</v>
      </c>
      <c r="B96" s="398">
        <f t="shared" ref="B96:C96" si="92">($A96-B$9)/365.25</f>
        <v>65.620807665982198</v>
      </c>
      <c r="C96" s="398">
        <f t="shared" si="92"/>
        <v>61.010266940451743</v>
      </c>
      <c r="E96" s="25">
        <f>IF(C96&gt;$B$7,0,'Combined Retirement'!$D$13/12)</f>
        <v>0</v>
      </c>
      <c r="F96" s="25">
        <f>IF(H96=0,'Combined Retirement'!$D$32,0)+'Combined Retirement'!$B$24</f>
        <v>2870.372285649099</v>
      </c>
      <c r="G96" s="25">
        <f>'Combined Retirement'!$C$24</f>
        <v>3254.2644699519233</v>
      </c>
      <c r="H96" s="25">
        <f>IF(B96&lt;62,0,'Combined Retirement'!$I$14)</f>
        <v>2345</v>
      </c>
      <c r="I96" s="25">
        <f>IF(C96&lt;62,0,'Combined Retirement'!$I$13)</f>
        <v>0</v>
      </c>
      <c r="J96" s="25">
        <f t="shared" si="3"/>
        <v>9071.7293298201839</v>
      </c>
      <c r="K96" s="25">
        <f t="shared" si="4"/>
        <v>23399.203914578786</v>
      </c>
      <c r="L96" s="25"/>
      <c r="N96" s="25">
        <f>'Combined Retirement'!$C$18/12</f>
        <v>40940.569999999992</v>
      </c>
      <c r="O96" s="25">
        <f t="shared" si="5"/>
        <v>8469.6367556010227</v>
      </c>
      <c r="P96" s="25">
        <f t="shared" si="6"/>
        <v>32470.93324439897</v>
      </c>
      <c r="Q96" s="25">
        <f t="array" aca="1" ref="Q96" ca="1">INDEX('Isaac 401k'!L:L,MATCH('Retirement Calculator'!A96,'Isaac 401k'!N:N,0),0)</f>
        <v>1345320.9824312015</v>
      </c>
      <c r="R96" s="25">
        <f t="array" aca="1" ref="R96" ca="1">INDEX('Lorri 401b'!L:L,MATCH('Retirement Calculator'!A96,'Lorri 401b'!N:N,0),0)</f>
        <v>4018990.3948484724</v>
      </c>
      <c r="S96" s="25">
        <f t="shared" ca="1" si="7"/>
        <v>5364311.3772796737</v>
      </c>
    </row>
    <row r="97" spans="1:19" ht="15.75" customHeight="1" x14ac:dyDescent="0.25">
      <c r="A97" s="37">
        <v>53905</v>
      </c>
      <c r="B97" s="398">
        <f t="shared" ref="B97:C97" si="93">($A97-B$9)/365.25</f>
        <v>65.705681040383297</v>
      </c>
      <c r="C97" s="398">
        <f t="shared" si="93"/>
        <v>61.095140314852841</v>
      </c>
      <c r="E97" s="25">
        <f>IF(C97&gt;$B$7,0,'Combined Retirement'!$D$13/12)</f>
        <v>0</v>
      </c>
      <c r="F97" s="25">
        <f>IF(H97=0,'Combined Retirement'!$D$32,0)+'Combined Retirement'!$B$24</f>
        <v>2870.372285649099</v>
      </c>
      <c r="G97" s="25">
        <f>'Combined Retirement'!$C$24</f>
        <v>3254.2644699519233</v>
      </c>
      <c r="H97" s="25">
        <f>IF(B97&lt;62,0,'Combined Retirement'!$I$14)</f>
        <v>2345</v>
      </c>
      <c r="I97" s="25">
        <f>IF(C97&lt;62,0,'Combined Retirement'!$I$13)</f>
        <v>0</v>
      </c>
      <c r="J97" s="25">
        <f t="shared" si="3"/>
        <v>9071.7293298201839</v>
      </c>
      <c r="K97" s="25">
        <f t="shared" si="4"/>
        <v>23399.203914578786</v>
      </c>
      <c r="L97" s="25"/>
      <c r="N97" s="25">
        <f>'Combined Retirement'!$C$18/12</f>
        <v>40940.569999999992</v>
      </c>
      <c r="O97" s="25">
        <f t="shared" si="5"/>
        <v>8469.6367556010227</v>
      </c>
      <c r="P97" s="25">
        <f t="shared" si="6"/>
        <v>32470.93324439897</v>
      </c>
      <c r="Q97" s="25">
        <f t="array" aca="1" ref="Q97" ca="1">INDEX('Isaac 401k'!L:L,MATCH('Retirement Calculator'!A97,'Isaac 401k'!N:N,0),0)</f>
        <v>1341816.958322637</v>
      </c>
      <c r="R97" s="25">
        <f t="array" aca="1" ref="R97" ca="1">INDEX('Lorri 401b'!L:L,MATCH('Retirement Calculator'!A97,'Lorri 401b'!N:N,0),0)</f>
        <v>4012239.4875627845</v>
      </c>
      <c r="S97" s="25">
        <f t="shared" ca="1" si="7"/>
        <v>5354056.4458854217</v>
      </c>
    </row>
    <row r="98" spans="1:19" ht="15.75" customHeight="1" x14ac:dyDescent="0.25">
      <c r="A98" s="37">
        <v>53936</v>
      </c>
      <c r="B98" s="398">
        <f t="shared" ref="B98:C98" si="94">($A98-B$9)/365.25</f>
        <v>65.790554414784395</v>
      </c>
      <c r="C98" s="398">
        <f t="shared" si="94"/>
        <v>61.180013689253933</v>
      </c>
      <c r="E98" s="25">
        <f>IF(C98&gt;$B$7,0,'Combined Retirement'!$D$13/12)</f>
        <v>0</v>
      </c>
      <c r="F98" s="25">
        <f>IF(H98=0,'Combined Retirement'!$D$32,0)+'Combined Retirement'!$B$24</f>
        <v>2870.372285649099</v>
      </c>
      <c r="G98" s="25">
        <f>'Combined Retirement'!$C$24</f>
        <v>3254.2644699519233</v>
      </c>
      <c r="H98" s="25">
        <f>IF(B98&lt;62,0,'Combined Retirement'!$I$14)</f>
        <v>2345</v>
      </c>
      <c r="I98" s="25">
        <f>IF(C98&lt;62,0,'Combined Retirement'!$I$13)</f>
        <v>0</v>
      </c>
      <c r="J98" s="25">
        <f t="shared" si="3"/>
        <v>9071.7293298201839</v>
      </c>
      <c r="K98" s="25">
        <f t="shared" si="4"/>
        <v>23399.203914578786</v>
      </c>
      <c r="L98" s="25"/>
      <c r="N98" s="25">
        <f>'Combined Retirement'!$C$18/12</f>
        <v>40940.569999999992</v>
      </c>
      <c r="O98" s="25">
        <f t="shared" si="5"/>
        <v>8469.6367556010227</v>
      </c>
      <c r="P98" s="25">
        <f t="shared" si="6"/>
        <v>32470.93324439897</v>
      </c>
      <c r="Q98" s="25">
        <f t="array" aca="1" ref="Q98" ca="1">INDEX('Isaac 401k'!L:L,MATCH('Retirement Calculator'!A98,'Isaac 401k'!N:N,0),0)</f>
        <v>1338298.3341136202</v>
      </c>
      <c r="R98" s="25">
        <f t="array" aca="1" ref="R98" ca="1">INDEX('Lorri 401b'!L:L,MATCH('Retirement Calculator'!A98,'Lorri 401b'!N:N,0),0)</f>
        <v>4005460.4514967399</v>
      </c>
      <c r="S98" s="25">
        <f t="shared" ca="1" si="7"/>
        <v>5343758.7856103601</v>
      </c>
    </row>
    <row r="99" spans="1:19" ht="15.75" customHeight="1" x14ac:dyDescent="0.25">
      <c r="A99" s="37">
        <v>53966</v>
      </c>
      <c r="B99" s="398">
        <f t="shared" ref="B99:C99" si="95">($A99-B$9)/365.25</f>
        <v>65.872689938398352</v>
      </c>
      <c r="C99" s="398">
        <f t="shared" si="95"/>
        <v>61.262149212867897</v>
      </c>
      <c r="E99" s="25">
        <f>IF(C99&gt;$B$7,0,'Combined Retirement'!$D$13/12)</f>
        <v>0</v>
      </c>
      <c r="F99" s="25">
        <f>IF(H99=0,'Combined Retirement'!$D$32,0)+'Combined Retirement'!$B$24</f>
        <v>2870.372285649099</v>
      </c>
      <c r="G99" s="25">
        <f>'Combined Retirement'!$C$24</f>
        <v>3254.2644699519233</v>
      </c>
      <c r="H99" s="25">
        <f>IF(B99&lt;62,0,'Combined Retirement'!$I$14)</f>
        <v>2345</v>
      </c>
      <c r="I99" s="25">
        <f>IF(C99&lt;62,0,'Combined Retirement'!$I$13)</f>
        <v>0</v>
      </c>
      <c r="J99" s="25">
        <f t="shared" si="3"/>
        <v>9071.7293298201839</v>
      </c>
      <c r="K99" s="25">
        <f t="shared" si="4"/>
        <v>23399.203914578786</v>
      </c>
      <c r="L99" s="25"/>
      <c r="N99" s="25">
        <f>'Combined Retirement'!$C$18/12</f>
        <v>40940.569999999992</v>
      </c>
      <c r="O99" s="25">
        <f t="shared" si="5"/>
        <v>8469.6367556010227</v>
      </c>
      <c r="P99" s="25">
        <f t="shared" si="6"/>
        <v>32470.93324439897</v>
      </c>
      <c r="Q99" s="25">
        <f t="array" aca="1" ref="Q99" ca="1">INDEX('Isaac 401k'!L:L,MATCH('Retirement Calculator'!A99,'Isaac 401k'!N:N,0),0)</f>
        <v>1334765.0489703992</v>
      </c>
      <c r="R99" s="25">
        <f t="array" aca="1" ref="R99" ca="1">INDEX('Lorri 401b'!L:L,MATCH('Retirement Calculator'!A99,'Lorri 401b'!N:N,0),0)</f>
        <v>3998653.1694470868</v>
      </c>
      <c r="S99" s="25">
        <f t="shared" ca="1" si="7"/>
        <v>5333418.2184174862</v>
      </c>
    </row>
    <row r="100" spans="1:19" ht="15.75" customHeight="1" x14ac:dyDescent="0.25">
      <c r="A100" s="37">
        <v>53997</v>
      </c>
      <c r="B100" s="398">
        <f t="shared" ref="B100:C100" si="96">($A100-B$9)/365.25</f>
        <v>65.957563312799451</v>
      </c>
      <c r="C100" s="398">
        <f t="shared" si="96"/>
        <v>61.347022587268995</v>
      </c>
      <c r="E100" s="25">
        <f>IF(C100&gt;$B$7,0,'Combined Retirement'!$D$13/12)</f>
        <v>0</v>
      </c>
      <c r="F100" s="25">
        <f>IF(H100=0,'Combined Retirement'!$D$32,0)+'Combined Retirement'!$B$24</f>
        <v>2870.372285649099</v>
      </c>
      <c r="G100" s="25">
        <f>'Combined Retirement'!$C$24</f>
        <v>3254.2644699519233</v>
      </c>
      <c r="H100" s="25">
        <f>IF(B100&lt;62,0,'Combined Retirement'!$I$14)</f>
        <v>2345</v>
      </c>
      <c r="I100" s="25">
        <f>IF(C100&lt;62,0,'Combined Retirement'!$I$13)</f>
        <v>0</v>
      </c>
      <c r="J100" s="25">
        <f t="shared" si="3"/>
        <v>9071.7293298201839</v>
      </c>
      <c r="K100" s="25">
        <f t="shared" si="4"/>
        <v>23399.203914578786</v>
      </c>
      <c r="L100" s="25"/>
      <c r="N100" s="25">
        <f>'Combined Retirement'!$C$18/12</f>
        <v>40940.569999999992</v>
      </c>
      <c r="O100" s="25">
        <f t="shared" si="5"/>
        <v>8469.6367556010227</v>
      </c>
      <c r="P100" s="25">
        <f t="shared" si="6"/>
        <v>32470.93324439897</v>
      </c>
      <c r="Q100" s="25">
        <f t="array" aca="1" ref="Q100" ca="1">INDEX('Isaac 401k'!L:L,MATCH('Retirement Calculator'!A100,'Isaac 401k'!N:N,0),0)</f>
        <v>1331217.0418057481</v>
      </c>
      <c r="R100" s="25">
        <f t="array" aca="1" ref="R100" ca="1">INDEX('Lorri 401b'!L:L,MATCH('Retirement Calculator'!A100,'Lorri 401b'!N:N,0),0)</f>
        <v>3991817.5237222267</v>
      </c>
      <c r="S100" s="25">
        <f t="shared" ca="1" si="7"/>
        <v>5323034.5655279746</v>
      </c>
    </row>
    <row r="101" spans="1:19" ht="15.75" customHeight="1" x14ac:dyDescent="0.25">
      <c r="A101" s="37">
        <v>54027</v>
      </c>
      <c r="B101" s="398">
        <f t="shared" ref="B101:C101" si="97">($A101-B$9)/365.25</f>
        <v>66.039698836413422</v>
      </c>
      <c r="C101" s="398">
        <f t="shared" si="97"/>
        <v>61.429158110882959</v>
      </c>
      <c r="E101" s="25">
        <f>IF(C101&gt;$B$7,0,'Combined Retirement'!$D$13/12)</f>
        <v>0</v>
      </c>
      <c r="F101" s="25">
        <f>IF(H101=0,'Combined Retirement'!$D$32,0)+'Combined Retirement'!$B$24</f>
        <v>2870.372285649099</v>
      </c>
      <c r="G101" s="25">
        <f>'Combined Retirement'!$C$24</f>
        <v>3254.2644699519233</v>
      </c>
      <c r="H101" s="25">
        <f>IF(B101&lt;62,0,'Combined Retirement'!$I$14)</f>
        <v>2345</v>
      </c>
      <c r="I101" s="25">
        <f>IF(C101&lt;62,0,'Combined Retirement'!$I$13)</f>
        <v>0</v>
      </c>
      <c r="J101" s="25">
        <f t="shared" si="3"/>
        <v>9071.7293298201839</v>
      </c>
      <c r="K101" s="25">
        <f t="shared" si="4"/>
        <v>23399.203914578786</v>
      </c>
      <c r="L101" s="25"/>
      <c r="N101" s="25">
        <f>'Combined Retirement'!$C$18/12</f>
        <v>40940.569999999992</v>
      </c>
      <c r="O101" s="25">
        <f t="shared" si="5"/>
        <v>8469.6367556010227</v>
      </c>
      <c r="P101" s="25">
        <f t="shared" si="6"/>
        <v>32470.93324439897</v>
      </c>
      <c r="Q101" s="25">
        <f t="array" aca="1" ref="Q101" ca="1">INDEX('Isaac 401k'!L:L,MATCH('Retirement Calculator'!A101,'Isaac 401k'!N:N,0),0)</f>
        <v>1327654.251277911</v>
      </c>
      <c r="R101" s="25">
        <f t="array" aca="1" ref="R101" ca="1">INDEX('Lorri 401b'!L:L,MATCH('Retirement Calculator'!A101,'Lorri 401b'!N:N,0),0)</f>
        <v>3984953.3961401796</v>
      </c>
      <c r="S101" s="25">
        <f t="shared" ca="1" si="7"/>
        <v>5312607.6474180911</v>
      </c>
    </row>
    <row r="102" spans="1:19" ht="15.75" customHeight="1" x14ac:dyDescent="0.25">
      <c r="A102" s="37">
        <v>54058</v>
      </c>
      <c r="B102" s="398">
        <f t="shared" ref="B102:C102" si="98">($A102-B$9)/365.25</f>
        <v>66.124572210814506</v>
      </c>
      <c r="C102" s="398">
        <f t="shared" si="98"/>
        <v>61.51403148528405</v>
      </c>
      <c r="E102" s="25">
        <f>IF(C102&gt;$B$7,0,'Combined Retirement'!$D$13/12)</f>
        <v>0</v>
      </c>
      <c r="F102" s="25">
        <f>IF(H102=0,'Combined Retirement'!$D$32,0)+'Combined Retirement'!$B$24</f>
        <v>2870.372285649099</v>
      </c>
      <c r="G102" s="25">
        <f>'Combined Retirement'!$C$24</f>
        <v>3254.2644699519233</v>
      </c>
      <c r="H102" s="25">
        <f>IF(B102&lt;62,0,'Combined Retirement'!$I$14)</f>
        <v>2345</v>
      </c>
      <c r="I102" s="25">
        <f>IF(C102&lt;62,0,'Combined Retirement'!$I$13)</f>
        <v>0</v>
      </c>
      <c r="J102" s="25">
        <f t="shared" si="3"/>
        <v>9071.7293298201839</v>
      </c>
      <c r="K102" s="25">
        <f t="shared" si="4"/>
        <v>23399.203914578786</v>
      </c>
      <c r="L102" s="25"/>
      <c r="N102" s="25">
        <f>'Combined Retirement'!$C$18/12</f>
        <v>40940.569999999992</v>
      </c>
      <c r="O102" s="25">
        <f t="shared" si="5"/>
        <v>8469.6367556010227</v>
      </c>
      <c r="P102" s="25">
        <f t="shared" si="6"/>
        <v>32470.93324439897</v>
      </c>
      <c r="Q102" s="25">
        <f t="array" aca="1" ref="Q102" ca="1">INDEX('Isaac 401k'!L:L,MATCH('Retirement Calculator'!A102,'Isaac 401k'!N:N,0),0)</f>
        <v>1324076.615789541</v>
      </c>
      <c r="R102" s="25">
        <f t="array" aca="1" ref="R102" ca="1">INDEX('Lorri 401b'!L:L,MATCH('Retirement Calculator'!A102,'Lorri 401b'!N:N,0),0)</f>
        <v>3978060.6680265404</v>
      </c>
      <c r="S102" s="25">
        <f t="shared" ca="1" si="7"/>
        <v>5302137.2838160815</v>
      </c>
    </row>
    <row r="103" spans="1:19" ht="15.75" customHeight="1" x14ac:dyDescent="0.25">
      <c r="A103" s="37">
        <v>54089</v>
      </c>
      <c r="B103" s="398">
        <f t="shared" ref="B103:C103" si="99">($A103-B$9)/365.25</f>
        <v>66.209445585215605</v>
      </c>
      <c r="C103" s="398">
        <f t="shared" si="99"/>
        <v>61.598904859685149</v>
      </c>
      <c r="E103" s="25">
        <f>IF(C103&gt;$B$7,0,'Combined Retirement'!$D$13/12)</f>
        <v>0</v>
      </c>
      <c r="F103" s="25">
        <f>IF(H103=0,'Combined Retirement'!$D$32,0)+'Combined Retirement'!$B$24</f>
        <v>2870.372285649099</v>
      </c>
      <c r="G103" s="25">
        <f>'Combined Retirement'!$C$24</f>
        <v>3254.2644699519233</v>
      </c>
      <c r="H103" s="25">
        <f>IF(B103&lt;62,0,'Combined Retirement'!$I$14)</f>
        <v>2345</v>
      </c>
      <c r="I103" s="25">
        <f>IF(C103&lt;62,0,'Combined Retirement'!$I$13)</f>
        <v>0</v>
      </c>
      <c r="J103" s="25">
        <f t="shared" si="3"/>
        <v>9071.7293298201839</v>
      </c>
      <c r="K103" s="25">
        <f t="shared" si="4"/>
        <v>23399.203914578786</v>
      </c>
      <c r="L103" s="25"/>
      <c r="N103" s="25">
        <f>'Combined Retirement'!$C$18/12</f>
        <v>40940.569999999992</v>
      </c>
      <c r="O103" s="25">
        <f t="shared" si="5"/>
        <v>8469.6367556010227</v>
      </c>
      <c r="P103" s="25">
        <f t="shared" si="6"/>
        <v>32470.93324439897</v>
      </c>
      <c r="Q103" s="25">
        <f t="array" aca="1" ref="Q103" ca="1">INDEX('Isaac 401k'!L:L,MATCH('Retirement Calculator'!A103,'Isaac 401k'!N:N,0),0)</f>
        <v>1320484.0734866364</v>
      </c>
      <c r="R103" s="25">
        <f t="array" aca="1" ref="R103" ca="1">INDEX('Lorri 401b'!L:L,MATCH('Retirement Calculator'!A103,'Lorri 401b'!N:N,0),0)</f>
        <v>3971139.2202124279</v>
      </c>
      <c r="S103" s="25">
        <f t="shared" ca="1" si="7"/>
        <v>5291623.2936990643</v>
      </c>
    </row>
    <row r="104" spans="1:19" ht="15.75" customHeight="1" x14ac:dyDescent="0.25">
      <c r="A104" s="37">
        <v>54118</v>
      </c>
      <c r="B104" s="398">
        <f t="shared" ref="B104:C104" si="100">($A104-B$9)/365.25</f>
        <v>66.288843258042434</v>
      </c>
      <c r="C104" s="398">
        <f t="shared" si="100"/>
        <v>61.678302532511978</v>
      </c>
      <c r="E104" s="25">
        <f>IF(C104&gt;$B$7,0,'Combined Retirement'!$D$13/12)</f>
        <v>0</v>
      </c>
      <c r="F104" s="25">
        <f>IF(H104=0,'Combined Retirement'!$D$32,0)+'Combined Retirement'!$B$24</f>
        <v>2870.372285649099</v>
      </c>
      <c r="G104" s="25">
        <f>'Combined Retirement'!$C$24</f>
        <v>3254.2644699519233</v>
      </c>
      <c r="H104" s="25">
        <f>IF(B104&lt;62,0,'Combined Retirement'!$I$14)</f>
        <v>2345</v>
      </c>
      <c r="I104" s="25">
        <f>IF(C104&lt;62,0,'Combined Retirement'!$I$13)</f>
        <v>0</v>
      </c>
      <c r="J104" s="25">
        <f t="shared" si="3"/>
        <v>9071.7293298201839</v>
      </c>
      <c r="K104" s="25">
        <f t="shared" si="4"/>
        <v>23399.203914578786</v>
      </c>
      <c r="L104" s="25"/>
      <c r="N104" s="25">
        <f>'Combined Retirement'!$C$18/12</f>
        <v>40940.569999999992</v>
      </c>
      <c r="O104" s="25">
        <f t="shared" si="5"/>
        <v>8469.6367556010227</v>
      </c>
      <c r="P104" s="25">
        <f t="shared" si="6"/>
        <v>32470.93324439897</v>
      </c>
      <c r="Q104" s="25">
        <f t="array" aca="1" ref="Q104" ca="1">INDEX('Isaac 401k'!L:L,MATCH('Retirement Calculator'!A104,'Isaac 401k'!N:N,0),0)</f>
        <v>1316876.5622574696</v>
      </c>
      <c r="R104" s="25">
        <f t="array" aca="1" ref="R104" ca="1">INDEX('Lorri 401b'!L:L,MATCH('Retirement Calculator'!A104,'Lorri 401b'!N:N,0),0)</f>
        <v>3964188.9330324233</v>
      </c>
      <c r="S104" s="25">
        <f t="shared" ca="1" si="7"/>
        <v>5281065.4952898929</v>
      </c>
    </row>
    <row r="105" spans="1:19" ht="15.75" customHeight="1" x14ac:dyDescent="0.25">
      <c r="A105" s="37">
        <v>54149</v>
      </c>
      <c r="B105" s="398">
        <f t="shared" ref="B105:C105" si="101">($A105-B$9)/365.25</f>
        <v>66.373716632443532</v>
      </c>
      <c r="C105" s="398">
        <f t="shared" si="101"/>
        <v>61.763175906913077</v>
      </c>
      <c r="E105" s="25">
        <f>IF(C105&gt;$B$7,0,'Combined Retirement'!$D$13/12)</f>
        <v>0</v>
      </c>
      <c r="F105" s="25">
        <f>IF(H105=0,'Combined Retirement'!$D$32,0)+'Combined Retirement'!$B$24</f>
        <v>2870.372285649099</v>
      </c>
      <c r="G105" s="25">
        <f>'Combined Retirement'!$C$24</f>
        <v>3254.2644699519233</v>
      </c>
      <c r="H105" s="25">
        <f>IF(B105&lt;62,0,'Combined Retirement'!$I$14)</f>
        <v>2345</v>
      </c>
      <c r="I105" s="25">
        <f>IF(C105&lt;62,0,'Combined Retirement'!$I$13)</f>
        <v>0</v>
      </c>
      <c r="J105" s="25">
        <f t="shared" si="3"/>
        <v>9071.7293298201839</v>
      </c>
      <c r="K105" s="25">
        <f t="shared" si="4"/>
        <v>23399.203914578786</v>
      </c>
      <c r="L105" s="25"/>
      <c r="N105" s="25">
        <f>'Combined Retirement'!$C$18/12</f>
        <v>40940.569999999992</v>
      </c>
      <c r="O105" s="25">
        <f t="shared" si="5"/>
        <v>8469.6367556010227</v>
      </c>
      <c r="P105" s="25">
        <f t="shared" si="6"/>
        <v>32470.93324439897</v>
      </c>
      <c r="Q105" s="25">
        <f t="array" aca="1" ref="Q105" ca="1">INDEX('Isaac 401k'!L:L,MATCH('Retirement Calculator'!A105,'Isaac 401k'!N:N,0),0)</f>
        <v>1313254.0197315146</v>
      </c>
      <c r="R105" s="25">
        <f t="array" aca="1" ref="R105" ca="1">INDEX('Lorri 401b'!L:L,MATCH('Retirement Calculator'!A105,'Lorri 401b'!N:N,0),0)</f>
        <v>3957209.6863225019</v>
      </c>
      <c r="S105" s="25">
        <f t="shared" ca="1" si="7"/>
        <v>5270463.7060540169</v>
      </c>
    </row>
    <row r="106" spans="1:19" ht="15.75" customHeight="1" x14ac:dyDescent="0.25">
      <c r="A106" s="37">
        <v>54179</v>
      </c>
      <c r="B106" s="398">
        <f t="shared" ref="B106:C106" si="102">($A106-B$9)/365.25</f>
        <v>66.455852156057489</v>
      </c>
      <c r="C106" s="398">
        <f t="shared" si="102"/>
        <v>61.845311430527033</v>
      </c>
      <c r="E106" s="25">
        <f>IF(C106&gt;$B$7,0,'Combined Retirement'!$D$13/12)</f>
        <v>0</v>
      </c>
      <c r="F106" s="25">
        <f>IF(H106=0,'Combined Retirement'!$D$32,0)+'Combined Retirement'!$B$24</f>
        <v>2870.372285649099</v>
      </c>
      <c r="G106" s="25">
        <f>'Combined Retirement'!$C$24</f>
        <v>3254.2644699519233</v>
      </c>
      <c r="H106" s="25">
        <f>IF(B106&lt;62,0,'Combined Retirement'!$I$14)</f>
        <v>2345</v>
      </c>
      <c r="I106" s="25">
        <f>IF(C106&lt;62,0,'Combined Retirement'!$I$13)</f>
        <v>0</v>
      </c>
      <c r="J106" s="25">
        <f t="shared" si="3"/>
        <v>9071.7293298201839</v>
      </c>
      <c r="K106" s="25">
        <f t="shared" si="4"/>
        <v>23399.203914578786</v>
      </c>
      <c r="L106" s="25"/>
      <c r="N106" s="25">
        <f>'Combined Retirement'!$C$18/12</f>
        <v>40940.569999999992</v>
      </c>
      <c r="O106" s="25">
        <f t="shared" si="5"/>
        <v>8469.6367556010227</v>
      </c>
      <c r="P106" s="25">
        <f t="shared" si="6"/>
        <v>32470.93324439897</v>
      </c>
      <c r="Q106" s="25">
        <f t="array" aca="1" ref="Q106" ca="1">INDEX('Isaac 401k'!L:L,MATCH('Retirement Calculator'!A106,'Isaac 401k'!N:N,0),0)</f>
        <v>1309616.383278368</v>
      </c>
      <c r="R106" s="25">
        <f t="array" aca="1" ref="R106" ca="1">INDEX('Lorri 401b'!L:L,MATCH('Retirement Calculator'!A106,'Lorri 401b'!N:N,0),0)</f>
        <v>3950201.3594179559</v>
      </c>
      <c r="S106" s="25">
        <f t="shared" ca="1" si="7"/>
        <v>5259817.7426963244</v>
      </c>
    </row>
    <row r="107" spans="1:19" ht="15.75" customHeight="1" x14ac:dyDescent="0.25">
      <c r="A107" s="37">
        <v>54210</v>
      </c>
      <c r="B107" s="398">
        <f t="shared" ref="B107:C107" si="103">($A107-B$9)/365.25</f>
        <v>66.540725530458587</v>
      </c>
      <c r="C107" s="398">
        <f t="shared" si="103"/>
        <v>61.930184804928132</v>
      </c>
      <c r="E107" s="25">
        <f>IF(C107&gt;$B$7,0,'Combined Retirement'!$D$13/12)</f>
        <v>0</v>
      </c>
      <c r="F107" s="25">
        <f>IF(H107=0,'Combined Retirement'!$D$32,0)+'Combined Retirement'!$B$24</f>
        <v>2870.372285649099</v>
      </c>
      <c r="G107" s="25">
        <f>'Combined Retirement'!$C$24</f>
        <v>3254.2644699519233</v>
      </c>
      <c r="H107" s="25">
        <f>IF(B107&lt;62,0,'Combined Retirement'!$I$14)</f>
        <v>2345</v>
      </c>
      <c r="I107" s="25">
        <f>IF(C107&lt;62,0,'Combined Retirement'!$I$13)</f>
        <v>0</v>
      </c>
      <c r="J107" s="25">
        <f t="shared" si="3"/>
        <v>9071.7293298201839</v>
      </c>
      <c r="K107" s="25">
        <f t="shared" si="4"/>
        <v>23399.203914578786</v>
      </c>
      <c r="L107" s="25"/>
      <c r="N107" s="25">
        <f>'Combined Retirement'!$C$18/12</f>
        <v>40940.569999999992</v>
      </c>
      <c r="O107" s="25">
        <f t="shared" si="5"/>
        <v>8469.6367556010227</v>
      </c>
      <c r="P107" s="25">
        <f t="shared" si="6"/>
        <v>32470.93324439897</v>
      </c>
      <c r="Q107" s="25">
        <f t="array" aca="1" ref="Q107" ca="1">INDEX('Isaac 401k'!L:L,MATCH('Retirement Calculator'!A107,'Isaac 401k'!N:N,0),0)</f>
        <v>1305963.5900066667</v>
      </c>
      <c r="R107" s="25">
        <f t="array" aca="1" ref="R107" ca="1">INDEX('Lorri 401b'!L:L,MATCH('Retirement Calculator'!A107,'Lorri 401b'!N:N,0),0)</f>
        <v>3943163.8311513076</v>
      </c>
      <c r="S107" s="25">
        <f t="shared" ca="1" si="7"/>
        <v>5249127.4211579747</v>
      </c>
    </row>
    <row r="108" spans="1:19" ht="15.75" customHeight="1" x14ac:dyDescent="0.25">
      <c r="A108" s="37">
        <v>54240</v>
      </c>
      <c r="B108" s="398">
        <f t="shared" ref="B108:C108" si="104">($A108-B$9)/365.25</f>
        <v>66.622861054072558</v>
      </c>
      <c r="C108" s="398">
        <f t="shared" si="104"/>
        <v>62.012320328542096</v>
      </c>
      <c r="E108" s="25">
        <f>IF(C108&gt;$B$7,0,'Combined Retirement'!$D$13/12)</f>
        <v>0</v>
      </c>
      <c r="F108" s="25">
        <f>IF(H108=0,'Combined Retirement'!$D$32,0)+'Combined Retirement'!$B$24</f>
        <v>2870.372285649099</v>
      </c>
      <c r="G108" s="25">
        <f>'Combined Retirement'!$C$24</f>
        <v>3254.2644699519233</v>
      </c>
      <c r="H108" s="25">
        <f>IF(B108&lt;62,0,'Combined Retirement'!$I$14)</f>
        <v>2345</v>
      </c>
      <c r="I108" s="25">
        <f>IF(C108&lt;62,0,'Combined Retirement'!$I$13)</f>
        <v>2420</v>
      </c>
      <c r="J108" s="25">
        <f t="shared" si="3"/>
        <v>8395.6297298201844</v>
      </c>
      <c r="K108" s="25">
        <f t="shared" si="4"/>
        <v>21655.303514578787</v>
      </c>
      <c r="L108" s="25"/>
      <c r="N108" s="25">
        <f>'Combined Retirement'!$C$18/12</f>
        <v>40940.569999999992</v>
      </c>
      <c r="O108" s="25">
        <f t="shared" si="5"/>
        <v>10889.636755601023</v>
      </c>
      <c r="P108" s="25">
        <f t="shared" si="6"/>
        <v>30050.93324439897</v>
      </c>
      <c r="Q108" s="25">
        <f t="array" aca="1" ref="Q108" ca="1">INDEX('Isaac 401k'!L:L,MATCH('Retirement Calculator'!A108,'Isaac 401k'!N:N,0),0)</f>
        <v>1302974.4934446667</v>
      </c>
      <c r="R108" s="25">
        <f t="array" aca="1" ref="R108" ca="1">INDEX('Lorri 401b'!L:L,MATCH('Retirement Calculator'!A108,'Lorri 401b'!N:N,0),0)</f>
        <v>3937848.1465018815</v>
      </c>
      <c r="S108" s="25">
        <f t="shared" ca="1" si="7"/>
        <v>5240822.6399465483</v>
      </c>
    </row>
    <row r="109" spans="1:19" ht="15.75" customHeight="1" x14ac:dyDescent="0.25">
      <c r="A109" s="37">
        <v>54271</v>
      </c>
      <c r="B109" s="398">
        <f t="shared" ref="B109:C109" si="105">($A109-B$9)/365.25</f>
        <v>66.707734428473643</v>
      </c>
      <c r="C109" s="398">
        <f t="shared" si="105"/>
        <v>62.097193702943187</v>
      </c>
      <c r="E109" s="25">
        <f>IF(C109&gt;$B$7,0,'Combined Retirement'!$D$13/12)</f>
        <v>0</v>
      </c>
      <c r="F109" s="25">
        <f>IF(H109=0,'Combined Retirement'!$D$32,0)+'Combined Retirement'!$B$24</f>
        <v>2870.372285649099</v>
      </c>
      <c r="G109" s="25">
        <f>'Combined Retirement'!$C$24</f>
        <v>3254.2644699519233</v>
      </c>
      <c r="H109" s="25">
        <f>IF(B109&lt;62,0,'Combined Retirement'!$I$14)</f>
        <v>2345</v>
      </c>
      <c r="I109" s="25">
        <f>IF(C109&lt;62,0,'Combined Retirement'!$I$13)</f>
        <v>2420</v>
      </c>
      <c r="J109" s="25">
        <f t="shared" si="3"/>
        <v>8395.6297298201844</v>
      </c>
      <c r="K109" s="25">
        <f t="shared" si="4"/>
        <v>21655.303514578787</v>
      </c>
      <c r="L109" s="25"/>
      <c r="N109" s="25">
        <f>'Combined Retirement'!$C$18/12</f>
        <v>40940.569999999992</v>
      </c>
      <c r="O109" s="25">
        <f t="shared" si="5"/>
        <v>10889.636755601023</v>
      </c>
      <c r="P109" s="25">
        <f t="shared" si="6"/>
        <v>30050.93324439897</v>
      </c>
      <c r="Q109" s="25">
        <f t="array" aca="1" ref="Q109" ca="1">INDEX('Isaac 401k'!L:L,MATCH('Retirement Calculator'!A109,'Isaac 401k'!N:N,0),0)</f>
        <v>1299972.9423136583</v>
      </c>
      <c r="R109" s="25">
        <f t="array" aca="1" ref="R109" ca="1">INDEX('Lorri 401b'!L:L,MATCH('Retirement Calculator'!A109,'Lorri 401b'!N:N,0),0)</f>
        <v>3932510.3131664163</v>
      </c>
      <c r="S109" s="25">
        <f t="shared" ca="1" si="7"/>
        <v>5232483.2554800743</v>
      </c>
    </row>
    <row r="110" spans="1:19" ht="15.75" customHeight="1" x14ac:dyDescent="0.25">
      <c r="A110" s="37">
        <v>54302</v>
      </c>
      <c r="B110" s="398">
        <f t="shared" ref="B110:C110" si="106">($A110-B$9)/365.25</f>
        <v>66.792607802874741</v>
      </c>
      <c r="C110" s="398">
        <f t="shared" si="106"/>
        <v>62.182067077344286</v>
      </c>
      <c r="E110" s="25">
        <f>IF(C110&gt;$B$7,0,'Combined Retirement'!$D$13/12)</f>
        <v>0</v>
      </c>
      <c r="F110" s="25">
        <f>IF(H110=0,'Combined Retirement'!$D$32,0)+'Combined Retirement'!$B$24</f>
        <v>2870.372285649099</v>
      </c>
      <c r="G110" s="25">
        <f>'Combined Retirement'!$C$24</f>
        <v>3254.2644699519233</v>
      </c>
      <c r="H110" s="25">
        <f>IF(B110&lt;62,0,'Combined Retirement'!$I$14)</f>
        <v>2345</v>
      </c>
      <c r="I110" s="25">
        <f>IF(C110&lt;62,0,'Combined Retirement'!$I$13)</f>
        <v>2420</v>
      </c>
      <c r="J110" s="25">
        <f t="shared" si="3"/>
        <v>8395.6297298201844</v>
      </c>
      <c r="K110" s="25">
        <f t="shared" si="4"/>
        <v>21655.303514578787</v>
      </c>
      <c r="L110" s="25"/>
      <c r="N110" s="25">
        <f>'Combined Retirement'!$C$18/12</f>
        <v>40940.569999999992</v>
      </c>
      <c r="O110" s="25">
        <f t="shared" si="5"/>
        <v>10889.636755601023</v>
      </c>
      <c r="P110" s="25">
        <f t="shared" si="6"/>
        <v>30050.93324439897</v>
      </c>
      <c r="Q110" s="25">
        <f t="array" aca="1" ref="Q110" ca="1">INDEX('Isaac 401k'!L:L,MATCH('Retirement Calculator'!A110,'Isaac 401k'!N:N,0),0)</f>
        <v>1296958.8847196042</v>
      </c>
      <c r="R110" s="25">
        <f t="array" aca="1" ref="R110" ca="1">INDEX('Lorri 401b'!L:L,MATCH('Retirement Calculator'!A110,'Lorri 401b'!N:N,0),0)</f>
        <v>3927150.2388587203</v>
      </c>
      <c r="S110" s="25">
        <f t="shared" ca="1" si="7"/>
        <v>5224109.1235783249</v>
      </c>
    </row>
    <row r="111" spans="1:19" ht="15.75" customHeight="1" x14ac:dyDescent="0.25">
      <c r="A111" s="37">
        <v>54332</v>
      </c>
      <c r="B111" s="398">
        <f t="shared" ref="B111:C111" si="107">($A111-B$9)/365.25</f>
        <v>66.874743326488712</v>
      </c>
      <c r="C111" s="398">
        <f t="shared" si="107"/>
        <v>62.264202600958249</v>
      </c>
      <c r="E111" s="25">
        <f>IF(C111&gt;$B$7,0,'Combined Retirement'!$D$13/12)</f>
        <v>0</v>
      </c>
      <c r="F111" s="25">
        <f>IF(H111=0,'Combined Retirement'!$D$32,0)+'Combined Retirement'!$B$24</f>
        <v>2870.372285649099</v>
      </c>
      <c r="G111" s="25">
        <f>'Combined Retirement'!$C$24</f>
        <v>3254.2644699519233</v>
      </c>
      <c r="H111" s="25">
        <f>IF(B111&lt;62,0,'Combined Retirement'!$I$14)</f>
        <v>2345</v>
      </c>
      <c r="I111" s="25">
        <f>IF(C111&lt;62,0,'Combined Retirement'!$I$13)</f>
        <v>2420</v>
      </c>
      <c r="J111" s="25">
        <f t="shared" si="3"/>
        <v>8395.6297298201844</v>
      </c>
      <c r="K111" s="25">
        <f t="shared" si="4"/>
        <v>21655.303514578787</v>
      </c>
      <c r="L111" s="25"/>
      <c r="N111" s="25">
        <f>'Combined Retirement'!$C$18/12</f>
        <v>40940.569999999992</v>
      </c>
      <c r="O111" s="25">
        <f t="shared" si="5"/>
        <v>10889.636755601023</v>
      </c>
      <c r="P111" s="25">
        <f t="shared" si="6"/>
        <v>30050.93324439897</v>
      </c>
      <c r="Q111" s="25">
        <f t="array" aca="1" ref="Q111" ca="1">INDEX('Isaac 401k'!L:L,MATCH('Retirement Calculator'!A111,'Isaac 401k'!N:N,0),0)</f>
        <v>1293932.2685522414</v>
      </c>
      <c r="R111" s="25">
        <f t="array" aca="1" ref="R111" ca="1">INDEX('Lorri 401b'!L:L,MATCH('Retirement Calculator'!A111,'Lorri 401b'!N:N,0),0)</f>
        <v>3921767.8309080754</v>
      </c>
      <c r="S111" s="25">
        <f t="shared" ca="1" si="7"/>
        <v>5215700.0994603168</v>
      </c>
    </row>
    <row r="112" spans="1:19" ht="15.75" customHeight="1" x14ac:dyDescent="0.25">
      <c r="A112" s="37">
        <v>54363</v>
      </c>
      <c r="B112" s="398">
        <f t="shared" ref="B112:C112" si="108">($A112-B$9)/365.25</f>
        <v>66.959616700889796</v>
      </c>
      <c r="C112" s="398">
        <f t="shared" si="108"/>
        <v>62.349075975359341</v>
      </c>
      <c r="E112" s="25">
        <f>IF(C112&gt;$B$7,0,'Combined Retirement'!$D$13/12)</f>
        <v>0</v>
      </c>
      <c r="F112" s="25">
        <f>IF(H112=0,'Combined Retirement'!$D$32,0)+'Combined Retirement'!$B$24</f>
        <v>2870.372285649099</v>
      </c>
      <c r="G112" s="25">
        <f>'Combined Retirement'!$C$24</f>
        <v>3254.2644699519233</v>
      </c>
      <c r="H112" s="25">
        <f>IF(B112&lt;62,0,'Combined Retirement'!$I$14)</f>
        <v>2345</v>
      </c>
      <c r="I112" s="25">
        <f>IF(C112&lt;62,0,'Combined Retirement'!$I$13)</f>
        <v>2420</v>
      </c>
      <c r="J112" s="25">
        <f t="shared" si="3"/>
        <v>8395.6297298201844</v>
      </c>
      <c r="K112" s="25">
        <f t="shared" si="4"/>
        <v>21655.303514578787</v>
      </c>
      <c r="L112" s="25"/>
      <c r="N112" s="25">
        <f>'Combined Retirement'!$C$18/12</f>
        <v>40940.569999999992</v>
      </c>
      <c r="O112" s="25">
        <f t="shared" si="5"/>
        <v>10889.636755601023</v>
      </c>
      <c r="P112" s="25">
        <f t="shared" si="6"/>
        <v>30050.93324439897</v>
      </c>
      <c r="Q112" s="25">
        <f t="array" aca="1" ref="Q112" ca="1">INDEX('Isaac 401k'!L:L,MATCH('Retirement Calculator'!A112,'Isaac 401k'!N:N,0),0)</f>
        <v>1290893.0414841813</v>
      </c>
      <c r="R112" s="25">
        <f t="array" aca="1" ref="R112" ca="1">INDEX('Lorri 401b'!L:L,MATCH('Retirement Calculator'!A112,'Lorri 401b'!N:N,0),0)</f>
        <v>3916362.9962576362</v>
      </c>
      <c r="S112" s="25">
        <f t="shared" ca="1" si="7"/>
        <v>5207256.0377418175</v>
      </c>
    </row>
    <row r="113" spans="1:19" ht="15.75" customHeight="1" x14ac:dyDescent="0.25">
      <c r="A113" s="37">
        <v>54393</v>
      </c>
      <c r="B113" s="398">
        <f t="shared" ref="B113:C113" si="109">($A113-B$9)/365.25</f>
        <v>67.041752224503767</v>
      </c>
      <c r="C113" s="398">
        <f t="shared" si="109"/>
        <v>62.431211498973305</v>
      </c>
      <c r="E113" s="25">
        <f>IF(C113&gt;$B$7,0,'Combined Retirement'!$D$13/12)</f>
        <v>0</v>
      </c>
      <c r="F113" s="25">
        <f>IF(H113=0,'Combined Retirement'!$D$32,0)+'Combined Retirement'!$B$24</f>
        <v>2870.372285649099</v>
      </c>
      <c r="G113" s="25">
        <f>'Combined Retirement'!$C$24</f>
        <v>3254.2644699519233</v>
      </c>
      <c r="H113" s="25">
        <f>IF(B113&lt;62,0,'Combined Retirement'!$I$14)</f>
        <v>2345</v>
      </c>
      <c r="I113" s="25">
        <f>IF(C113&lt;62,0,'Combined Retirement'!$I$13)</f>
        <v>2420</v>
      </c>
      <c r="J113" s="25">
        <f t="shared" si="3"/>
        <v>8395.6297298201844</v>
      </c>
      <c r="K113" s="25">
        <f t="shared" si="4"/>
        <v>21655.303514578787</v>
      </c>
      <c r="L113" s="25"/>
      <c r="N113" s="25">
        <f>'Combined Retirement'!$C$18/12</f>
        <v>40940.569999999992</v>
      </c>
      <c r="O113" s="25">
        <f t="shared" si="5"/>
        <v>10889.636755601023</v>
      </c>
      <c r="P113" s="25">
        <f t="shared" si="6"/>
        <v>30050.93324439897</v>
      </c>
      <c r="Q113" s="25">
        <f t="array" aca="1" ref="Q113" ca="1">INDEX('Isaac 401k'!L:L,MATCH('Retirement Calculator'!A113,'Isaac 401k'!N:N,0),0)</f>
        <v>1287841.1509700043</v>
      </c>
      <c r="R113" s="25">
        <f t="array" aca="1" ref="R113" ca="1">INDEX('Lorri 401b'!L:L,MATCH('Retirement Calculator'!A113,'Lorri 401b'!N:N,0),0)</f>
        <v>3910935.6414628201</v>
      </c>
      <c r="S113" s="25">
        <f t="shared" ca="1" si="7"/>
        <v>5198776.7924328241</v>
      </c>
    </row>
    <row r="114" spans="1:19" ht="15.75" customHeight="1" x14ac:dyDescent="0.25">
      <c r="A114" s="37">
        <v>54424</v>
      </c>
      <c r="B114" s="398">
        <f t="shared" ref="B114:C114" si="110">($A114-B$9)/365.25</f>
        <v>67.126625598904866</v>
      </c>
      <c r="C114" s="398">
        <f t="shared" si="110"/>
        <v>62.516084873374403</v>
      </c>
      <c r="E114" s="25">
        <f>IF(C114&gt;$B$7,0,'Combined Retirement'!$D$13/12)</f>
        <v>0</v>
      </c>
      <c r="F114" s="25">
        <f>IF(H114=0,'Combined Retirement'!$D$32,0)+'Combined Retirement'!$B$24</f>
        <v>2870.372285649099</v>
      </c>
      <c r="G114" s="25">
        <f>'Combined Retirement'!$C$24</f>
        <v>3254.2644699519233</v>
      </c>
      <c r="H114" s="25">
        <f>IF(B114&lt;62,0,'Combined Retirement'!$I$14)</f>
        <v>2345</v>
      </c>
      <c r="I114" s="25">
        <f>IF(C114&lt;62,0,'Combined Retirement'!$I$13)</f>
        <v>2420</v>
      </c>
      <c r="J114" s="25">
        <f t="shared" si="3"/>
        <v>8395.6297298201844</v>
      </c>
      <c r="K114" s="25">
        <f t="shared" si="4"/>
        <v>21655.303514578787</v>
      </c>
      <c r="L114" s="25"/>
      <c r="N114" s="25">
        <f>'Combined Retirement'!$C$18/12</f>
        <v>40940.569999999992</v>
      </c>
      <c r="O114" s="25">
        <f t="shared" si="5"/>
        <v>10889.636755601023</v>
      </c>
      <c r="P114" s="25">
        <f t="shared" si="6"/>
        <v>30050.93324439897</v>
      </c>
      <c r="Q114" s="25">
        <f t="array" aca="1" ref="Q114" ca="1">INDEX('Isaac 401k'!L:L,MATCH('Retirement Calculator'!A114,'Isaac 401k'!N:N,0),0)</f>
        <v>1284776.5442453516</v>
      </c>
      <c r="R114" s="25">
        <f t="array" aca="1" ref="R114" ca="1">INDEX('Lorri 401b'!L:L,MATCH('Retirement Calculator'!A114,'Lorri 401b'!N:N,0),0)</f>
        <v>3905485.6726896921</v>
      </c>
      <c r="S114" s="25">
        <f t="shared" ca="1" si="7"/>
        <v>5190262.2169350442</v>
      </c>
    </row>
    <row r="115" spans="1:19" ht="15.75" customHeight="1" x14ac:dyDescent="0.25">
      <c r="A115" s="37">
        <v>54455</v>
      </c>
      <c r="B115" s="398">
        <f t="shared" ref="B115:C115" si="111">($A115-B$9)/365.25</f>
        <v>67.21149897330595</v>
      </c>
      <c r="C115" s="398">
        <f t="shared" si="111"/>
        <v>62.600958247775495</v>
      </c>
      <c r="E115" s="25">
        <f>IF(C115&gt;$B$7,0,'Combined Retirement'!$D$13/12)</f>
        <v>0</v>
      </c>
      <c r="F115" s="25">
        <f>IF(H115=0,'Combined Retirement'!$D$32,0)+'Combined Retirement'!$B$24</f>
        <v>2870.372285649099</v>
      </c>
      <c r="G115" s="25">
        <f>'Combined Retirement'!$C$24</f>
        <v>3254.2644699519233</v>
      </c>
      <c r="H115" s="25">
        <f>IF(B115&lt;62,0,'Combined Retirement'!$I$14)</f>
        <v>2345</v>
      </c>
      <c r="I115" s="25">
        <f>IF(C115&lt;62,0,'Combined Retirement'!$I$13)</f>
        <v>2420</v>
      </c>
      <c r="J115" s="25">
        <f t="shared" si="3"/>
        <v>8395.6297298201844</v>
      </c>
      <c r="K115" s="25">
        <f t="shared" si="4"/>
        <v>21655.303514578787</v>
      </c>
      <c r="L115" s="25"/>
      <c r="N115" s="25">
        <f>'Combined Retirement'!$C$18/12</f>
        <v>40940.569999999992</v>
      </c>
      <c r="O115" s="25">
        <f t="shared" si="5"/>
        <v>10889.636755601023</v>
      </c>
      <c r="P115" s="25">
        <f t="shared" si="6"/>
        <v>30050.93324439897</v>
      </c>
      <c r="Q115" s="25">
        <f t="array" aca="1" ref="Q115" ca="1">INDEX('Isaac 401k'!L:L,MATCH('Retirement Calculator'!A115,'Isaac 401k'!N:N,0),0)</f>
        <v>1281699.1683260128</v>
      </c>
      <c r="R115" s="25">
        <f t="array" aca="1" ref="R115" ca="1">INDEX('Lorri 401b'!L:L,MATCH('Retirement Calculator'!A115,'Lorri 401b'!N:N,0),0)</f>
        <v>3900012.9957133429</v>
      </c>
      <c r="S115" s="25">
        <f t="shared" ca="1" si="7"/>
        <v>5181712.1640393557</v>
      </c>
    </row>
    <row r="116" spans="1:19" ht="15.75" customHeight="1" x14ac:dyDescent="0.25">
      <c r="A116" s="37">
        <v>54483</v>
      </c>
      <c r="B116" s="398">
        <f t="shared" ref="B116:C116" si="112">($A116-B$9)/365.25</f>
        <v>67.288158795345652</v>
      </c>
      <c r="C116" s="398">
        <f t="shared" si="112"/>
        <v>62.677618069815196</v>
      </c>
      <c r="E116" s="25">
        <f>IF(C116&gt;$B$7,0,'Combined Retirement'!$D$13/12)</f>
        <v>0</v>
      </c>
      <c r="F116" s="25">
        <f>IF(H116=0,'Combined Retirement'!$D$32,0)+'Combined Retirement'!$B$24</f>
        <v>2870.372285649099</v>
      </c>
      <c r="G116" s="25">
        <f>'Combined Retirement'!$C$24</f>
        <v>3254.2644699519233</v>
      </c>
      <c r="H116" s="25">
        <f>IF(B116&lt;62,0,'Combined Retirement'!$I$14)</f>
        <v>2345</v>
      </c>
      <c r="I116" s="25">
        <f>IF(C116&lt;62,0,'Combined Retirement'!$I$13)</f>
        <v>2420</v>
      </c>
      <c r="J116" s="25">
        <f t="shared" si="3"/>
        <v>8395.6297298201844</v>
      </c>
      <c r="K116" s="25">
        <f t="shared" si="4"/>
        <v>21655.303514578787</v>
      </c>
      <c r="L116" s="25"/>
      <c r="N116" s="25">
        <f>'Combined Retirement'!$C$18/12</f>
        <v>40940.569999999992</v>
      </c>
      <c r="O116" s="25">
        <f t="shared" si="5"/>
        <v>10889.636755601023</v>
      </c>
      <c r="P116" s="25">
        <f t="shared" si="6"/>
        <v>30050.93324439897</v>
      </c>
      <c r="Q116" s="25">
        <f t="array" aca="1" ref="Q116" ca="1">INDEX('Isaac 401k'!L:L,MATCH('Retirement Calculator'!A116,'Isaac 401k'!N:N,0),0)</f>
        <v>1278608.97000701</v>
      </c>
      <c r="R116" s="25">
        <f t="array" aca="1" ref="R116" ca="1">INDEX('Lorri 401b'!L:L,MATCH('Retirement Calculator'!A116,'Lorri 401b'!N:N,0),0)</f>
        <v>3894517.515916259</v>
      </c>
      <c r="S116" s="25">
        <f t="shared" ca="1" si="7"/>
        <v>5173126.4859232688</v>
      </c>
    </row>
    <row r="117" spans="1:19" ht="15.75" customHeight="1" x14ac:dyDescent="0.25">
      <c r="A117" s="37">
        <v>54514</v>
      </c>
      <c r="B117" s="398">
        <f t="shared" ref="B117:C117" si="113">($A117-B$9)/365.25</f>
        <v>67.37303216974675</v>
      </c>
      <c r="C117" s="398">
        <f t="shared" si="113"/>
        <v>62.762491444216288</v>
      </c>
      <c r="E117" s="25">
        <f>IF(C117&gt;$B$7,0,'Combined Retirement'!$D$13/12)</f>
        <v>0</v>
      </c>
      <c r="F117" s="25">
        <f>IF(H117=0,'Combined Retirement'!$D$32,0)+'Combined Retirement'!$B$24</f>
        <v>2870.372285649099</v>
      </c>
      <c r="G117" s="25">
        <f>'Combined Retirement'!$C$24</f>
        <v>3254.2644699519233</v>
      </c>
      <c r="H117" s="25">
        <f>IF(B117&lt;62,0,'Combined Retirement'!$I$14)</f>
        <v>2345</v>
      </c>
      <c r="I117" s="25">
        <f>IF(C117&lt;62,0,'Combined Retirement'!$I$13)</f>
        <v>2420</v>
      </c>
      <c r="J117" s="25">
        <f t="shared" si="3"/>
        <v>8395.6297298201844</v>
      </c>
      <c r="K117" s="25">
        <f t="shared" si="4"/>
        <v>21655.303514578787</v>
      </c>
      <c r="L117" s="25"/>
      <c r="N117" s="25">
        <f>'Combined Retirement'!$C$18/12</f>
        <v>40940.569999999992</v>
      </c>
      <c r="O117" s="25">
        <f t="shared" si="5"/>
        <v>10889.636755601023</v>
      </c>
      <c r="P117" s="25">
        <f t="shared" si="6"/>
        <v>30050.93324439897</v>
      </c>
      <c r="Q117" s="25">
        <f t="array" aca="1" ref="Q117" ca="1">INDEX('Isaac 401k'!L:L,MATCH('Retirement Calculator'!A117,'Isaac 401k'!N:N,0),0)</f>
        <v>1275505.8958616781</v>
      </c>
      <c r="R117" s="25">
        <f t="array" aca="1" ref="R117" ca="1">INDEX('Lorri 401b'!L:L,MATCH('Retirement Calculator'!A117,'Lorri 401b'!N:N,0),0)</f>
        <v>3888999.138286687</v>
      </c>
      <c r="S117" s="25">
        <f t="shared" ca="1" si="7"/>
        <v>5164505.0341483653</v>
      </c>
    </row>
    <row r="118" spans="1:19" ht="15.75" customHeight="1" x14ac:dyDescent="0.25">
      <c r="A118" s="37">
        <v>54544</v>
      </c>
      <c r="B118" s="398">
        <f t="shared" ref="B118:C118" si="114">($A118-B$9)/365.25</f>
        <v>67.455167693360707</v>
      </c>
      <c r="C118" s="398">
        <f t="shared" si="114"/>
        <v>62.844626967830251</v>
      </c>
      <c r="E118" s="25">
        <f>IF(C118&gt;$B$7,0,'Combined Retirement'!$D$13/12)</f>
        <v>0</v>
      </c>
      <c r="F118" s="25">
        <f>IF(H118=0,'Combined Retirement'!$D$32,0)+'Combined Retirement'!$B$24</f>
        <v>2870.372285649099</v>
      </c>
      <c r="G118" s="25">
        <f>'Combined Retirement'!$C$24</f>
        <v>3254.2644699519233</v>
      </c>
      <c r="H118" s="25">
        <f>IF(B118&lt;62,0,'Combined Retirement'!$I$14)</f>
        <v>2345</v>
      </c>
      <c r="I118" s="25">
        <f>IF(C118&lt;62,0,'Combined Retirement'!$I$13)</f>
        <v>2420</v>
      </c>
      <c r="J118" s="25">
        <f t="shared" si="3"/>
        <v>8395.6297298201844</v>
      </c>
      <c r="K118" s="25">
        <f t="shared" si="4"/>
        <v>21655.303514578787</v>
      </c>
      <c r="L118" s="25"/>
      <c r="N118" s="25">
        <f>'Combined Retirement'!$C$18/12</f>
        <v>40940.569999999992</v>
      </c>
      <c r="O118" s="25">
        <f t="shared" si="5"/>
        <v>10889.636755601023</v>
      </c>
      <c r="P118" s="25">
        <f t="shared" si="6"/>
        <v>30050.93324439897</v>
      </c>
      <c r="Q118" s="25">
        <f t="array" aca="1" ref="Q118" ca="1">INDEX('Isaac 401k'!L:L,MATCH('Retirement Calculator'!A118,'Isaac 401k'!N:N,0),0)</f>
        <v>1272389.8922407406</v>
      </c>
      <c r="R118" s="25">
        <f t="array" aca="1" ref="R118" ca="1">INDEX('Lorri 401b'!L:L,MATCH('Retirement Calculator'!A118,'Lorri 401b'!N:N,0),0)</f>
        <v>3883457.7674169918</v>
      </c>
      <c r="S118" s="25">
        <f t="shared" ca="1" si="7"/>
        <v>5155847.6596577326</v>
      </c>
    </row>
    <row r="119" spans="1:19" ht="15.75" customHeight="1" x14ac:dyDescent="0.25">
      <c r="A119" s="37">
        <v>54575</v>
      </c>
      <c r="B119" s="398">
        <f t="shared" ref="B119:C119" si="115">($A119-B$9)/365.25</f>
        <v>67.540041067761805</v>
      </c>
      <c r="C119" s="398">
        <f t="shared" si="115"/>
        <v>62.92950034223135</v>
      </c>
      <c r="E119" s="25">
        <f>IF(C119&gt;$B$7,0,'Combined Retirement'!$D$13/12)</f>
        <v>0</v>
      </c>
      <c r="F119" s="25">
        <f>IF(H119=0,'Combined Retirement'!$D$32,0)+'Combined Retirement'!$B$24</f>
        <v>2870.372285649099</v>
      </c>
      <c r="G119" s="25">
        <f>'Combined Retirement'!$C$24</f>
        <v>3254.2644699519233</v>
      </c>
      <c r="H119" s="25">
        <f>IF(B119&lt;62,0,'Combined Retirement'!$I$14)</f>
        <v>2345</v>
      </c>
      <c r="I119" s="25">
        <f>IF(C119&lt;62,0,'Combined Retirement'!$I$13)</f>
        <v>2420</v>
      </c>
      <c r="J119" s="25">
        <f t="shared" si="3"/>
        <v>8395.6297298201844</v>
      </c>
      <c r="K119" s="25">
        <f t="shared" si="4"/>
        <v>21655.303514578787</v>
      </c>
      <c r="L119" s="25"/>
      <c r="N119" s="25">
        <f>'Combined Retirement'!$C$18/12</f>
        <v>40940.569999999992</v>
      </c>
      <c r="O119" s="25">
        <f t="shared" si="5"/>
        <v>10889.636755601023</v>
      </c>
      <c r="P119" s="25">
        <f t="shared" si="6"/>
        <v>30050.93324439897</v>
      </c>
      <c r="Q119" s="25">
        <f t="array" aca="1" ref="Q119" ca="1">INDEX('Isaac 401k'!L:L,MATCH('Retirement Calculator'!A119,'Isaac 401k'!N:N,0),0)</f>
        <v>1269260.9052713825</v>
      </c>
      <c r="R119" s="25">
        <f t="array" aca="1" ref="R119" ca="1">INDEX('Lorri 401b'!L:L,MATCH('Retirement Calculator'!A119,'Lorri 401b'!N:N,0),0)</f>
        <v>3877893.3075020062</v>
      </c>
      <c r="S119" s="25">
        <f t="shared" ca="1" si="7"/>
        <v>5147154.2127733883</v>
      </c>
    </row>
    <row r="120" spans="1:19" ht="15.75" customHeight="1" x14ac:dyDescent="0.25">
      <c r="A120" s="37">
        <v>54605</v>
      </c>
      <c r="B120" s="398">
        <f t="shared" ref="B120:C120" si="116">($A120-B$9)/365.25</f>
        <v>67.622176591375776</v>
      </c>
      <c r="C120" s="398">
        <f t="shared" si="116"/>
        <v>63.011635865845314</v>
      </c>
      <c r="E120" s="25">
        <f>IF(C120&gt;$B$7,0,'Combined Retirement'!$D$13/12)</f>
        <v>0</v>
      </c>
      <c r="F120" s="25">
        <f>IF(H120=0,'Combined Retirement'!$D$32,0)+'Combined Retirement'!$B$24</f>
        <v>2870.372285649099</v>
      </c>
      <c r="G120" s="25">
        <f>'Combined Retirement'!$C$24</f>
        <v>3254.2644699519233</v>
      </c>
      <c r="H120" s="25">
        <f>IF(B120&lt;62,0,'Combined Retirement'!$I$14)</f>
        <v>2345</v>
      </c>
      <c r="I120" s="25">
        <f>IF(C120&lt;62,0,'Combined Retirement'!$I$13)</f>
        <v>2420</v>
      </c>
      <c r="J120" s="25">
        <f t="shared" si="3"/>
        <v>8395.6297298201844</v>
      </c>
      <c r="K120" s="25">
        <f t="shared" si="4"/>
        <v>21655.303514578787</v>
      </c>
      <c r="L120" s="25"/>
      <c r="N120" s="25">
        <f>'Combined Retirement'!$C$18/12</f>
        <v>40940.569999999992</v>
      </c>
      <c r="O120" s="25">
        <f t="shared" si="5"/>
        <v>10889.636755601023</v>
      </c>
      <c r="P120" s="25">
        <f t="shared" si="6"/>
        <v>30050.93324439897</v>
      </c>
      <c r="Q120" s="25">
        <f t="array" aca="1" ref="Q120" ca="1">INDEX('Isaac 401k'!L:L,MATCH('Retirement Calculator'!A120,'Isaac 401k'!N:N,0),0)</f>
        <v>1266118.8808563189</v>
      </c>
      <c r="R120" s="25">
        <f t="array" aca="1" ref="R120" ca="1">INDEX('Lorri 401b'!L:L,MATCH('Retirement Calculator'!A120,'Lorri 401b'!N:N,0),0)</f>
        <v>3872305.6623373749</v>
      </c>
      <c r="S120" s="25">
        <f t="shared" ca="1" si="7"/>
        <v>5138424.5431936942</v>
      </c>
    </row>
    <row r="121" spans="1:19" ht="15.75" customHeight="1" x14ac:dyDescent="0.25">
      <c r="A121" s="37">
        <v>54636</v>
      </c>
      <c r="B121" s="398">
        <f t="shared" ref="B121:C121" si="117">($A121-B$9)/365.25</f>
        <v>67.707049965776861</v>
      </c>
      <c r="C121" s="398">
        <f t="shared" si="117"/>
        <v>63.096509240246405</v>
      </c>
      <c r="E121" s="25">
        <f>IF(C121&gt;$B$7,0,'Combined Retirement'!$D$13/12)</f>
        <v>0</v>
      </c>
      <c r="F121" s="25">
        <f>IF(H121=0,'Combined Retirement'!$D$32,0)+'Combined Retirement'!$B$24</f>
        <v>2870.372285649099</v>
      </c>
      <c r="G121" s="25">
        <f>'Combined Retirement'!$C$24</f>
        <v>3254.2644699519233</v>
      </c>
      <c r="H121" s="25">
        <f>IF(B121&lt;62,0,'Combined Retirement'!$I$14)</f>
        <v>2345</v>
      </c>
      <c r="I121" s="25">
        <f>IF(C121&lt;62,0,'Combined Retirement'!$I$13)</f>
        <v>2420</v>
      </c>
      <c r="J121" s="25">
        <f t="shared" si="3"/>
        <v>8395.6297298201844</v>
      </c>
      <c r="K121" s="25">
        <f t="shared" si="4"/>
        <v>21655.303514578787</v>
      </c>
      <c r="L121" s="25"/>
      <c r="N121" s="25">
        <f>'Combined Retirement'!$C$18/12</f>
        <v>40940.569999999992</v>
      </c>
      <c r="O121" s="25">
        <f t="shared" si="5"/>
        <v>10889.636755601023</v>
      </c>
      <c r="P121" s="25">
        <f t="shared" si="6"/>
        <v>30050.93324439897</v>
      </c>
      <c r="Q121" s="25">
        <f t="array" aca="1" ref="Q121" ca="1">INDEX('Isaac 401k'!L:L,MATCH('Retirement Calculator'!A121,'Isaac 401k'!N:N,0),0)</f>
        <v>1262963.7646728591</v>
      </c>
      <c r="R121" s="25">
        <f t="array" aca="1" ref="R121" ca="1">INDEX('Lorri 401b'!L:L,MATCH('Retirement Calculator'!A121,'Lorri 401b'!N:N,0),0)</f>
        <v>3866694.735317891</v>
      </c>
      <c r="S121" s="25">
        <f t="shared" ca="1" si="7"/>
        <v>5129658.4999907501</v>
      </c>
    </row>
    <row r="122" spans="1:19" ht="15.75" customHeight="1" x14ac:dyDescent="0.25">
      <c r="A122" s="37">
        <v>54667</v>
      </c>
      <c r="B122" s="398">
        <f t="shared" ref="B122:C122" si="118">($A122-B$9)/365.25</f>
        <v>67.791923340177959</v>
      </c>
      <c r="C122" s="398">
        <f t="shared" si="118"/>
        <v>63.181382614647504</v>
      </c>
      <c r="E122" s="25">
        <f>IF(C122&gt;$B$7,0,'Combined Retirement'!$D$13/12)</f>
        <v>0</v>
      </c>
      <c r="F122" s="25">
        <f>IF(H122=0,'Combined Retirement'!$D$32,0)+'Combined Retirement'!$B$24</f>
        <v>2870.372285649099</v>
      </c>
      <c r="G122" s="25">
        <f>'Combined Retirement'!$C$24</f>
        <v>3254.2644699519233</v>
      </c>
      <c r="H122" s="25">
        <f>IF(B122&lt;62,0,'Combined Retirement'!$I$14)</f>
        <v>2345</v>
      </c>
      <c r="I122" s="25">
        <f>IF(C122&lt;62,0,'Combined Retirement'!$I$13)</f>
        <v>2420</v>
      </c>
      <c r="J122" s="25">
        <f t="shared" si="3"/>
        <v>8395.6297298201844</v>
      </c>
      <c r="K122" s="25">
        <f t="shared" si="4"/>
        <v>21655.303514578787</v>
      </c>
      <c r="L122" s="25"/>
      <c r="N122" s="25">
        <f>'Combined Retirement'!$C$18/12</f>
        <v>40940.569999999992</v>
      </c>
      <c r="O122" s="25">
        <f t="shared" si="5"/>
        <v>10889.636755601023</v>
      </c>
      <c r="P122" s="25">
        <f t="shared" si="6"/>
        <v>30050.93324439897</v>
      </c>
      <c r="Q122" s="25">
        <f t="array" aca="1" ref="Q122" ca="1">INDEX('Isaac 401k'!L:L,MATCH('Retirement Calculator'!A122,'Isaac 401k'!N:N,0),0)</f>
        <v>1259795.5021719683</v>
      </c>
      <c r="R122" s="25">
        <f t="array" aca="1" ref="R122" ca="1">INDEX('Lorri 401b'!L:L,MATCH('Retirement Calculator'!A122,'Lorri 401b'!N:N,0),0)</f>
        <v>3861060.4294358259</v>
      </c>
      <c r="S122" s="25">
        <f t="shared" ca="1" si="7"/>
        <v>5120855.931607794</v>
      </c>
    </row>
    <row r="123" spans="1:19" ht="15.75" customHeight="1" x14ac:dyDescent="0.25">
      <c r="A123" s="37">
        <v>54697</v>
      </c>
      <c r="B123" s="398">
        <f t="shared" ref="B123:C123" si="119">($A123-B$9)/365.25</f>
        <v>67.87405886379193</v>
      </c>
      <c r="C123" s="398">
        <f t="shared" si="119"/>
        <v>63.263518138261468</v>
      </c>
      <c r="E123" s="25">
        <f>IF(C123&gt;$B$7,0,'Combined Retirement'!$D$13/12)</f>
        <v>0</v>
      </c>
      <c r="F123" s="25">
        <f>IF(H123=0,'Combined Retirement'!$D$32,0)+'Combined Retirement'!$B$24</f>
        <v>2870.372285649099</v>
      </c>
      <c r="G123" s="25">
        <f>'Combined Retirement'!$C$24</f>
        <v>3254.2644699519233</v>
      </c>
      <c r="H123" s="25">
        <f>IF(B123&lt;62,0,'Combined Retirement'!$I$14)</f>
        <v>2345</v>
      </c>
      <c r="I123" s="25">
        <f>IF(C123&lt;62,0,'Combined Retirement'!$I$13)</f>
        <v>2420</v>
      </c>
      <c r="J123" s="25">
        <f t="shared" si="3"/>
        <v>8395.6297298201844</v>
      </c>
      <c r="K123" s="25">
        <f t="shared" si="4"/>
        <v>21655.303514578787</v>
      </c>
      <c r="L123" s="25"/>
      <c r="N123" s="25">
        <f>'Combined Retirement'!$C$18/12</f>
        <v>40940.569999999992</v>
      </c>
      <c r="O123" s="25">
        <f t="shared" si="5"/>
        <v>10889.636755601023</v>
      </c>
      <c r="P123" s="25">
        <f t="shared" si="6"/>
        <v>30050.93324439897</v>
      </c>
      <c r="Q123" s="25">
        <f t="array" aca="1" ref="Q123" ca="1">INDEX('Isaac 401k'!L:L,MATCH('Retirement Calculator'!A123,'Isaac 401k'!N:N,0),0)</f>
        <v>1256614.0385773238</v>
      </c>
      <c r="R123" s="25">
        <f t="array" aca="1" ref="R123" ca="1">INDEX('Lorri 401b'!L:L,MATCH('Retirement Calculator'!A123,'Lorri 401b'!N:N,0),0)</f>
        <v>3855402.6472792523</v>
      </c>
      <c r="S123" s="25">
        <f t="shared" ca="1" si="7"/>
        <v>5112016.6858565761</v>
      </c>
    </row>
    <row r="124" spans="1:19" ht="15.75" customHeight="1" x14ac:dyDescent="0.25">
      <c r="A124" s="37">
        <v>54728</v>
      </c>
      <c r="B124" s="398">
        <f t="shared" ref="B124:C124" si="120">($A124-B$9)/365.25</f>
        <v>67.958932238193015</v>
      </c>
      <c r="C124" s="398">
        <f t="shared" si="120"/>
        <v>63.348391512662559</v>
      </c>
      <c r="E124" s="25">
        <f>IF(C124&gt;$B$7,0,'Combined Retirement'!$D$13/12)</f>
        <v>0</v>
      </c>
      <c r="F124" s="25">
        <f>IF(H124=0,'Combined Retirement'!$D$32,0)+'Combined Retirement'!$B$24</f>
        <v>2870.372285649099</v>
      </c>
      <c r="G124" s="25">
        <f>'Combined Retirement'!$C$24</f>
        <v>3254.2644699519233</v>
      </c>
      <c r="H124" s="25">
        <f>IF(B124&lt;62,0,'Combined Retirement'!$I$14)</f>
        <v>2345</v>
      </c>
      <c r="I124" s="25">
        <f>IF(C124&lt;62,0,'Combined Retirement'!$I$13)</f>
        <v>2420</v>
      </c>
      <c r="J124" s="25">
        <f t="shared" si="3"/>
        <v>8395.6297298201844</v>
      </c>
      <c r="K124" s="25">
        <f t="shared" si="4"/>
        <v>21655.303514578787</v>
      </c>
      <c r="L124" s="25"/>
      <c r="N124" s="25">
        <f>'Combined Retirement'!$C$18/12</f>
        <v>40940.569999999992</v>
      </c>
      <c r="O124" s="25">
        <f t="shared" si="5"/>
        <v>10889.636755601023</v>
      </c>
      <c r="P124" s="25">
        <f t="shared" si="6"/>
        <v>30050.93324439897</v>
      </c>
      <c r="Q124" s="25">
        <f t="array" aca="1" ref="Q124" ca="1">INDEX('Isaac 401k'!L:L,MATCH('Retirement Calculator'!A124,'Isaac 401k'!N:N,0),0)</f>
        <v>1253419.3188843683</v>
      </c>
      <c r="R124" s="25">
        <f t="array" aca="1" ref="R124" ca="1">INDEX('Lorri 401b'!L:L,MATCH('Retirement Calculator'!A124,'Lorri 401b'!N:N,0),0)</f>
        <v>3849721.2910303595</v>
      </c>
      <c r="S124" s="25">
        <f t="shared" ca="1" si="7"/>
        <v>5103140.6099147275</v>
      </c>
    </row>
    <row r="125" spans="1:19" ht="15.75" customHeight="1" x14ac:dyDescent="0.25">
      <c r="A125" s="37">
        <v>54758</v>
      </c>
      <c r="B125" s="398">
        <f t="shared" ref="B125:C125" si="121">($A125-B$9)/365.25</f>
        <v>68.041067761806985</v>
      </c>
      <c r="C125" s="398">
        <f t="shared" si="121"/>
        <v>63.430527036276523</v>
      </c>
      <c r="E125" s="25">
        <f>IF(C125&gt;$B$7,0,'Combined Retirement'!$D$13/12)</f>
        <v>0</v>
      </c>
      <c r="F125" s="25">
        <f>IF(H125=0,'Combined Retirement'!$D$32,0)+'Combined Retirement'!$B$24</f>
        <v>2870.372285649099</v>
      </c>
      <c r="G125" s="25">
        <f>'Combined Retirement'!$C$24</f>
        <v>3254.2644699519233</v>
      </c>
      <c r="H125" s="25">
        <f>IF(B125&lt;62,0,'Combined Retirement'!$I$14)</f>
        <v>2345</v>
      </c>
      <c r="I125" s="25">
        <f>IF(C125&lt;62,0,'Combined Retirement'!$I$13)</f>
        <v>2420</v>
      </c>
      <c r="J125" s="25">
        <f t="shared" si="3"/>
        <v>8395.6297298201844</v>
      </c>
      <c r="K125" s="25">
        <f t="shared" si="4"/>
        <v>21655.303514578787</v>
      </c>
      <c r="L125" s="25"/>
      <c r="N125" s="25">
        <f>'Combined Retirement'!$C$18/12</f>
        <v>40940.569999999992</v>
      </c>
      <c r="O125" s="25">
        <f t="shared" si="5"/>
        <v>10889.636755601023</v>
      </c>
      <c r="P125" s="25">
        <f t="shared" si="6"/>
        <v>30050.93324439897</v>
      </c>
      <c r="Q125" s="25">
        <f t="array" aca="1" ref="Q125" ca="1">INDEX('Isaac 401k'!L:L,MATCH('Retirement Calculator'!A125,'Isaac 401k'!N:N,0),0)</f>
        <v>1250211.2878593588</v>
      </c>
      <c r="R125" s="25">
        <f t="array" aca="1" ref="R125" ca="1">INDEX('Lorri 401b'!L:L,MATCH('Retirement Calculator'!A125,'Lorri 401b'!N:N,0),0)</f>
        <v>3844016.2624637629</v>
      </c>
      <c r="S125" s="25">
        <f t="shared" ca="1" si="7"/>
        <v>5094227.5503231212</v>
      </c>
    </row>
    <row r="126" spans="1:19" ht="15.75" customHeight="1" x14ac:dyDescent="0.25">
      <c r="A126" s="37">
        <v>54789</v>
      </c>
      <c r="B126" s="398">
        <f t="shared" ref="B126:C126" si="122">($A126-B$9)/365.25</f>
        <v>68.12594113620807</v>
      </c>
      <c r="C126" s="398">
        <f t="shared" si="122"/>
        <v>63.515400410677621</v>
      </c>
      <c r="E126" s="25">
        <f>IF(C126&gt;$B$7,0,'Combined Retirement'!$D$13/12)</f>
        <v>0</v>
      </c>
      <c r="F126" s="25">
        <f>IF(H126=0,'Combined Retirement'!$D$32,0)+'Combined Retirement'!$B$24</f>
        <v>2870.372285649099</v>
      </c>
      <c r="G126" s="25">
        <f>'Combined Retirement'!$C$24</f>
        <v>3254.2644699519233</v>
      </c>
      <c r="H126" s="25">
        <f>IF(B126&lt;62,0,'Combined Retirement'!$I$14)</f>
        <v>2345</v>
      </c>
      <c r="I126" s="25">
        <f>IF(C126&lt;62,0,'Combined Retirement'!$I$13)</f>
        <v>2420</v>
      </c>
      <c r="J126" s="25">
        <f t="shared" si="3"/>
        <v>8395.6297298201844</v>
      </c>
      <c r="K126" s="25">
        <f t="shared" si="4"/>
        <v>21655.303514578787</v>
      </c>
      <c r="L126" s="25"/>
      <c r="N126" s="25">
        <f>'Combined Retirement'!$C$18/12</f>
        <v>40940.569999999992</v>
      </c>
      <c r="O126" s="25">
        <f t="shared" si="5"/>
        <v>10889.636755601023</v>
      </c>
      <c r="P126" s="25">
        <f t="shared" si="6"/>
        <v>30050.93324439897</v>
      </c>
      <c r="Q126" s="25">
        <f t="array" aca="1" ref="Q126" ca="1">INDEX('Isaac 401k'!L:L,MATCH('Retirement Calculator'!A126,'Isaac 401k'!N:N,0),0)</f>
        <v>1246989.8900384118</v>
      </c>
      <c r="R126" s="25">
        <f t="array" aca="1" ref="R126" ca="1">INDEX('Lorri 401b'!L:L,MATCH('Retirement Calculator'!A126,'Lorri 401b'!N:N,0),0)</f>
        <v>3838287.4629448056</v>
      </c>
      <c r="S126" s="25">
        <f t="shared" ca="1" si="7"/>
        <v>5085277.3529832177</v>
      </c>
    </row>
    <row r="127" spans="1:19" ht="15.75" customHeight="1" x14ac:dyDescent="0.25">
      <c r="A127" s="37">
        <v>54820</v>
      </c>
      <c r="B127" s="398">
        <f t="shared" ref="B127:C127" si="123">($A127-B$9)/365.25</f>
        <v>68.210814510609168</v>
      </c>
      <c r="C127" s="398">
        <f t="shared" si="123"/>
        <v>63.600273785078713</v>
      </c>
      <c r="E127" s="25">
        <f>IF(C127&gt;$B$7,0,'Combined Retirement'!$D$13/12)</f>
        <v>0</v>
      </c>
      <c r="F127" s="25">
        <f>IF(H127=0,'Combined Retirement'!$D$32,0)+'Combined Retirement'!$B$24</f>
        <v>2870.372285649099</v>
      </c>
      <c r="G127" s="25">
        <f>'Combined Retirement'!$C$24</f>
        <v>3254.2644699519233</v>
      </c>
      <c r="H127" s="25">
        <f>IF(B127&lt;62,0,'Combined Retirement'!$I$14)</f>
        <v>2345</v>
      </c>
      <c r="I127" s="25">
        <f>IF(C127&lt;62,0,'Combined Retirement'!$I$13)</f>
        <v>2420</v>
      </c>
      <c r="J127" s="25">
        <f t="shared" si="3"/>
        <v>8395.6297298201844</v>
      </c>
      <c r="K127" s="25">
        <f t="shared" si="4"/>
        <v>21655.303514578787</v>
      </c>
      <c r="L127" s="25"/>
      <c r="N127" s="25">
        <f>'Combined Retirement'!$C$18/12</f>
        <v>40940.569999999992</v>
      </c>
      <c r="O127" s="25">
        <f t="shared" si="5"/>
        <v>10889.636755601023</v>
      </c>
      <c r="P127" s="25">
        <f t="shared" si="6"/>
        <v>30050.93324439897</v>
      </c>
      <c r="Q127" s="25">
        <f t="array" aca="1" ref="Q127" ca="1">INDEX('Isaac 401k'!L:L,MATCH('Retirement Calculator'!A127,'Isaac 401k'!N:N,0),0)</f>
        <v>1243755.0697265442</v>
      </c>
      <c r="R127" s="25">
        <f t="array" aca="1" ref="R127" ca="1">INDEX('Lorri 401b'!L:L,MATCH('Retirement Calculator'!A127,'Lorri 401b'!N:N,0),0)</f>
        <v>3832534.7934278529</v>
      </c>
      <c r="S127" s="25">
        <f t="shared" ca="1" si="7"/>
        <v>5076289.8631543973</v>
      </c>
    </row>
    <row r="128" spans="1:19" ht="15.75" customHeight="1" x14ac:dyDescent="0.25">
      <c r="A128" s="37">
        <v>54848</v>
      </c>
      <c r="B128" s="398">
        <f t="shared" ref="B128:C128" si="124">($A128-B$9)/365.25</f>
        <v>68.28747433264887</v>
      </c>
      <c r="C128" s="398">
        <f t="shared" si="124"/>
        <v>63.676933607118414</v>
      </c>
      <c r="E128" s="25">
        <f>IF(C128&gt;$B$7,0,'Combined Retirement'!$D$13/12)</f>
        <v>0</v>
      </c>
      <c r="F128" s="25">
        <f>IF(H128=0,'Combined Retirement'!$D$32,0)+'Combined Retirement'!$B$24</f>
        <v>2870.372285649099</v>
      </c>
      <c r="G128" s="25">
        <f>'Combined Retirement'!$C$24</f>
        <v>3254.2644699519233</v>
      </c>
      <c r="H128" s="25">
        <f>IF(B128&lt;62,0,'Combined Retirement'!$I$14)</f>
        <v>2345</v>
      </c>
      <c r="I128" s="25">
        <f>IF(C128&lt;62,0,'Combined Retirement'!$I$13)</f>
        <v>2420</v>
      </c>
      <c r="J128" s="25">
        <f t="shared" si="3"/>
        <v>8395.6297298201844</v>
      </c>
      <c r="K128" s="25">
        <f t="shared" si="4"/>
        <v>21655.303514578787</v>
      </c>
      <c r="L128" s="25"/>
      <c r="N128" s="25">
        <f>'Combined Retirement'!$C$18/12</f>
        <v>40940.569999999992</v>
      </c>
      <c r="O128" s="25">
        <f t="shared" si="5"/>
        <v>10889.636755601023</v>
      </c>
      <c r="P128" s="25">
        <f t="shared" si="6"/>
        <v>30050.93324439897</v>
      </c>
      <c r="Q128" s="25">
        <f t="array" aca="1" ref="Q128" ca="1">INDEX('Isaac 401k'!L:L,MATCH('Retirement Calculator'!A128,'Isaac 401k'!N:N,0),0)</f>
        <v>1240506.7709967103</v>
      </c>
      <c r="R128" s="25">
        <f t="array" aca="1" ref="R128" ca="1">INDEX('Lorri 401b'!L:L,MATCH('Retirement Calculator'!A128,'Lorri 401b'!N:N,0),0)</f>
        <v>3826758.1544545796</v>
      </c>
      <c r="S128" s="25">
        <f t="shared" ca="1" si="7"/>
        <v>5067264.9254512899</v>
      </c>
    </row>
    <row r="129" spans="1:19" ht="15.75" customHeight="1" x14ac:dyDescent="0.25">
      <c r="A129" s="37">
        <v>54879</v>
      </c>
      <c r="B129" s="398">
        <f t="shared" ref="B129:C129" si="125">($A129-B$9)/365.25</f>
        <v>68.372347707049968</v>
      </c>
      <c r="C129" s="398">
        <f t="shared" si="125"/>
        <v>63.761806981519506</v>
      </c>
      <c r="E129" s="25">
        <f>IF(C129&gt;$B$7,0,'Combined Retirement'!$D$13/12)</f>
        <v>0</v>
      </c>
      <c r="F129" s="25">
        <f>IF(H129=0,'Combined Retirement'!$D$32,0)+'Combined Retirement'!$B$24</f>
        <v>2870.372285649099</v>
      </c>
      <c r="G129" s="25">
        <f>'Combined Retirement'!$C$24</f>
        <v>3254.2644699519233</v>
      </c>
      <c r="H129" s="25">
        <f>IF(B129&lt;62,0,'Combined Retirement'!$I$14)</f>
        <v>2345</v>
      </c>
      <c r="I129" s="25">
        <f>IF(C129&lt;62,0,'Combined Retirement'!$I$13)</f>
        <v>2420</v>
      </c>
      <c r="J129" s="25">
        <f t="shared" si="3"/>
        <v>8395.6297298201844</v>
      </c>
      <c r="K129" s="25">
        <f t="shared" si="4"/>
        <v>21655.303514578787</v>
      </c>
      <c r="L129" s="25"/>
      <c r="N129" s="25">
        <f>'Combined Retirement'!$C$18/12</f>
        <v>40940.569999999992</v>
      </c>
      <c r="O129" s="25">
        <f t="shared" si="5"/>
        <v>10889.636755601023</v>
      </c>
      <c r="P129" s="25">
        <f t="shared" si="6"/>
        <v>30050.93324439897</v>
      </c>
      <c r="Q129" s="25">
        <f t="array" aca="1" ref="Q129" ca="1">INDEX('Isaac 401k'!L:L,MATCH('Retirement Calculator'!A129,'Isaac 401k'!N:N,0),0)</f>
        <v>1237244.9376888354</v>
      </c>
      <c r="R129" s="25">
        <f t="array" aca="1" ref="R129" ca="1">INDEX('Lorri 401b'!L:L,MATCH('Retirement Calculator'!A129,'Lorri 401b'!N:N,0),0)</f>
        <v>3820957.4461522507</v>
      </c>
      <c r="S129" s="25">
        <f t="shared" ca="1" si="7"/>
        <v>5058202.3838410862</v>
      </c>
    </row>
    <row r="130" spans="1:19" ht="15.75" customHeight="1" x14ac:dyDescent="0.25">
      <c r="A130" s="37">
        <v>54909</v>
      </c>
      <c r="B130" s="398">
        <f t="shared" ref="B130:C130" si="126">($A130-B$9)/365.25</f>
        <v>68.454483230663925</v>
      </c>
      <c r="C130" s="398">
        <f t="shared" si="126"/>
        <v>63.843942505133469</v>
      </c>
      <c r="E130" s="25">
        <f>IF(C130&gt;$B$7,0,'Combined Retirement'!$D$13/12)</f>
        <v>0</v>
      </c>
      <c r="F130" s="25">
        <f>IF(H130=0,'Combined Retirement'!$D$32,0)+'Combined Retirement'!$B$24</f>
        <v>2870.372285649099</v>
      </c>
      <c r="G130" s="25">
        <f>'Combined Retirement'!$C$24</f>
        <v>3254.2644699519233</v>
      </c>
      <c r="H130" s="25">
        <f>IF(B130&lt;62,0,'Combined Retirement'!$I$14)</f>
        <v>2345</v>
      </c>
      <c r="I130" s="25">
        <f>IF(C130&lt;62,0,'Combined Retirement'!$I$13)</f>
        <v>2420</v>
      </c>
      <c r="J130" s="25">
        <f t="shared" si="3"/>
        <v>8395.6297298201844</v>
      </c>
      <c r="K130" s="25">
        <f t="shared" si="4"/>
        <v>21655.303514578787</v>
      </c>
      <c r="L130" s="25"/>
      <c r="N130" s="25">
        <f>'Combined Retirement'!$C$18/12</f>
        <v>40940.569999999992</v>
      </c>
      <c r="O130" s="25">
        <f t="shared" si="5"/>
        <v>10889.636755601023</v>
      </c>
      <c r="P130" s="25">
        <f t="shared" si="6"/>
        <v>30050.93324439897</v>
      </c>
      <c r="Q130" s="25">
        <f t="array" aca="1" ref="Q130" ca="1">INDEX('Isaac 401k'!L:L,MATCH('Retirement Calculator'!A130,'Isaac 401k'!N:N,0),0)</f>
        <v>1233969.5134088446</v>
      </c>
      <c r="R130" s="25">
        <f t="array" aca="1" ref="R130" ca="1">INDEX('Lorri 401b'!L:L,MATCH('Retirement Calculator'!A130,'Lorri 401b'!N:N,0),0)</f>
        <v>3815132.5682319957</v>
      </c>
      <c r="S130" s="25">
        <f t="shared" ca="1" si="7"/>
        <v>5049102.0816408405</v>
      </c>
    </row>
    <row r="131" spans="1:19" ht="15.75" customHeight="1" x14ac:dyDescent="0.25">
      <c r="A131" s="37">
        <v>54940</v>
      </c>
      <c r="B131" s="398">
        <f t="shared" ref="B131:C131" si="127">($A131-B$9)/365.25</f>
        <v>68.539356605065024</v>
      </c>
      <c r="C131" s="398">
        <f t="shared" si="127"/>
        <v>63.928815879534568</v>
      </c>
      <c r="E131" s="25">
        <f>IF(C131&gt;$B$7,0,'Combined Retirement'!$D$13/12)</f>
        <v>0</v>
      </c>
      <c r="F131" s="25">
        <f>IF(H131=0,'Combined Retirement'!$D$32,0)+'Combined Retirement'!$B$24</f>
        <v>2870.372285649099</v>
      </c>
      <c r="G131" s="25">
        <f>'Combined Retirement'!$C$24</f>
        <v>3254.2644699519233</v>
      </c>
      <c r="H131" s="25">
        <f>IF(B131&lt;62,0,'Combined Retirement'!$I$14)</f>
        <v>2345</v>
      </c>
      <c r="I131" s="25">
        <f>IF(C131&lt;62,0,'Combined Retirement'!$I$13)</f>
        <v>2420</v>
      </c>
      <c r="J131" s="25">
        <f t="shared" si="3"/>
        <v>8395.6297298201844</v>
      </c>
      <c r="K131" s="25">
        <f t="shared" si="4"/>
        <v>21655.303514578787</v>
      </c>
      <c r="L131" s="25"/>
      <c r="N131" s="25">
        <f>'Combined Retirement'!$C$18/12</f>
        <v>40940.569999999992</v>
      </c>
      <c r="O131" s="25">
        <f t="shared" si="5"/>
        <v>10889.636755601023</v>
      </c>
      <c r="P131" s="25">
        <f t="shared" si="6"/>
        <v>30050.93324439897</v>
      </c>
      <c r="Q131" s="25">
        <f t="array" aca="1" ref="Q131" ca="1">INDEX('Isaac 401k'!L:L,MATCH('Retirement Calculator'!A131,'Isaac 401k'!N:N,0),0)</f>
        <v>1230680.441527687</v>
      </c>
      <c r="R131" s="25">
        <f t="array" aca="1" ref="R131" ca="1">INDEX('Lorri 401b'!L:L,MATCH('Retirement Calculator'!A131,'Lorri 401b'!N:N,0),0)</f>
        <v>3809283.4199870727</v>
      </c>
      <c r="S131" s="25">
        <f t="shared" ca="1" si="7"/>
        <v>5039963.8615147602</v>
      </c>
    </row>
    <row r="132" spans="1:19" ht="15.75" customHeight="1" x14ac:dyDescent="0.25">
      <c r="A132" s="37">
        <v>54970</v>
      </c>
      <c r="B132" s="398">
        <f t="shared" ref="B132:C132" si="128">($A132-B$9)/365.25</f>
        <v>68.62149212867898</v>
      </c>
      <c r="C132" s="398">
        <f t="shared" si="128"/>
        <v>64.010951403148525</v>
      </c>
      <c r="E132" s="25">
        <f>IF(C132&gt;$B$7,0,'Combined Retirement'!$D$13/12)</f>
        <v>0</v>
      </c>
      <c r="F132" s="25">
        <f>IF(H132=0,'Combined Retirement'!$D$32,0)+'Combined Retirement'!$B$24</f>
        <v>2870.372285649099</v>
      </c>
      <c r="G132" s="25">
        <f>'Combined Retirement'!$C$24</f>
        <v>3254.2644699519233</v>
      </c>
      <c r="H132" s="25">
        <f>IF(B132&lt;62,0,'Combined Retirement'!$I$14)</f>
        <v>2345</v>
      </c>
      <c r="I132" s="25">
        <f>IF(C132&lt;62,0,'Combined Retirement'!$I$13)</f>
        <v>2420</v>
      </c>
      <c r="J132" s="25">
        <f t="shared" si="3"/>
        <v>8395.6297298201844</v>
      </c>
      <c r="K132" s="25">
        <f t="shared" si="4"/>
        <v>21655.303514578787</v>
      </c>
      <c r="L132" s="25"/>
      <c r="N132" s="25">
        <f>'Combined Retirement'!$C$18/12</f>
        <v>40940.569999999992</v>
      </c>
      <c r="O132" s="25">
        <f t="shared" si="5"/>
        <v>10889.636755601023</v>
      </c>
      <c r="P132" s="25">
        <f t="shared" si="6"/>
        <v>30050.93324439897</v>
      </c>
      <c r="Q132" s="25">
        <f t="array" aca="1" ref="Q132" ca="1">INDEX('Isaac 401k'!L:L,MATCH('Retirement Calculator'!A132,'Isaac 401k'!N:N,0),0)</f>
        <v>1227377.6651803579</v>
      </c>
      <c r="R132" s="25">
        <f t="array" aca="1" ref="R132" ca="1">INDEX('Lorri 401b'!L:L,MATCH('Retirement Calculator'!A132,'Lorri 401b'!N:N,0),0)</f>
        <v>3803409.900291129</v>
      </c>
      <c r="S132" s="25">
        <f t="shared" ca="1" si="7"/>
        <v>5030787.5654714871</v>
      </c>
    </row>
    <row r="133" spans="1:19" ht="15.75" customHeight="1" x14ac:dyDescent="0.25">
      <c r="A133" s="37">
        <v>55001</v>
      </c>
      <c r="B133" s="398">
        <f t="shared" ref="B133:C133" si="129">($A133-B$9)/365.25</f>
        <v>68.706365503080079</v>
      </c>
      <c r="C133" s="398">
        <f t="shared" si="129"/>
        <v>64.095824777549623</v>
      </c>
      <c r="E133" s="25">
        <f>IF(C133&gt;$B$7,0,'Combined Retirement'!$D$13/12)</f>
        <v>0</v>
      </c>
      <c r="F133" s="25">
        <f>IF(H133=0,'Combined Retirement'!$D$32,0)+'Combined Retirement'!$B$24</f>
        <v>2870.372285649099</v>
      </c>
      <c r="G133" s="25">
        <f>'Combined Retirement'!$C$24</f>
        <v>3254.2644699519233</v>
      </c>
      <c r="H133" s="25">
        <f>IF(B133&lt;62,0,'Combined Retirement'!$I$14)</f>
        <v>2345</v>
      </c>
      <c r="I133" s="25">
        <f>IF(C133&lt;62,0,'Combined Retirement'!$I$13)</f>
        <v>2420</v>
      </c>
      <c r="J133" s="25">
        <f t="shared" si="3"/>
        <v>8395.6297298201844</v>
      </c>
      <c r="K133" s="25">
        <f t="shared" si="4"/>
        <v>21655.303514578787</v>
      </c>
      <c r="L133" s="25"/>
      <c r="N133" s="25">
        <f>'Combined Retirement'!$C$18/12</f>
        <v>40940.569999999992</v>
      </c>
      <c r="O133" s="25">
        <f t="shared" si="5"/>
        <v>10889.636755601023</v>
      </c>
      <c r="P133" s="25">
        <f t="shared" si="6"/>
        <v>30050.93324439897</v>
      </c>
      <c r="Q133" s="25">
        <f t="array" aca="1" ref="Q133" ca="1">INDEX('Isaac 401k'!L:L,MATCH('Retirement Calculator'!A133,'Isaac 401k'!N:N,0),0)</f>
        <v>1224061.127264915</v>
      </c>
      <c r="R133" s="25">
        <f t="array" aca="1" ref="R133" ca="1">INDEX('Lorri 401b'!L:L,MATCH('Retirement Calculator'!A133,'Lorri 401b'!N:N,0),0)</f>
        <v>3797511.9075964526</v>
      </c>
      <c r="S133" s="25">
        <f t="shared" ca="1" si="7"/>
        <v>5021573.0348613672</v>
      </c>
    </row>
    <row r="134" spans="1:19" ht="15.75" customHeight="1" x14ac:dyDescent="0.25">
      <c r="A134" s="37">
        <v>55032</v>
      </c>
      <c r="B134" s="398">
        <f t="shared" ref="B134:C134" si="130">($A134-B$9)/365.25</f>
        <v>68.791238877481177</v>
      </c>
      <c r="C134" s="398">
        <f t="shared" si="130"/>
        <v>64.180698151950722</v>
      </c>
      <c r="E134" s="25">
        <f>IF(C134&gt;$B$7,0,'Combined Retirement'!$D$13/12)</f>
        <v>0</v>
      </c>
      <c r="F134" s="25">
        <f>IF(H134=0,'Combined Retirement'!$D$32,0)+'Combined Retirement'!$B$24</f>
        <v>2870.372285649099</v>
      </c>
      <c r="G134" s="25">
        <f>'Combined Retirement'!$C$24</f>
        <v>3254.2644699519233</v>
      </c>
      <c r="H134" s="25">
        <f>IF(B134&lt;62,0,'Combined Retirement'!$I$14)</f>
        <v>2345</v>
      </c>
      <c r="I134" s="25">
        <f>IF(C134&lt;62,0,'Combined Retirement'!$I$13)</f>
        <v>2420</v>
      </c>
      <c r="J134" s="25">
        <f t="shared" si="3"/>
        <v>8395.6297298201844</v>
      </c>
      <c r="K134" s="25">
        <f t="shared" si="4"/>
        <v>21655.303514578787</v>
      </c>
      <c r="L134" s="25"/>
      <c r="N134" s="25">
        <f>'Combined Retirement'!$C$18/12</f>
        <v>40940.569999999992</v>
      </c>
      <c r="O134" s="25">
        <f t="shared" si="5"/>
        <v>10889.636755601023</v>
      </c>
      <c r="P134" s="25">
        <f t="shared" si="6"/>
        <v>30050.93324439897</v>
      </c>
      <c r="Q134" s="25">
        <f t="array" aca="1" ref="Q134" ca="1">INDEX('Isaac 401k'!L:L,MATCH('Retirement Calculator'!A134,'Isaac 401k'!N:N,0),0)</f>
        <v>1220730.7704414912</v>
      </c>
      <c r="R134" s="25">
        <f t="array" aca="1" ref="R134" ca="1">INDEX('Lorri 401b'!L:L,MATCH('Retirement Calculator'!A134,'Lorri 401b'!N:N,0),0)</f>
        <v>3791589.3399322149</v>
      </c>
      <c r="S134" s="25">
        <f t="shared" ca="1" si="7"/>
        <v>5012320.1103737056</v>
      </c>
    </row>
    <row r="135" spans="1:19" ht="15.75" customHeight="1" x14ac:dyDescent="0.25">
      <c r="A135" s="37">
        <v>55062</v>
      </c>
      <c r="B135" s="398">
        <f t="shared" ref="B135:C135" si="131">($A135-B$9)/365.25</f>
        <v>68.873374401095134</v>
      </c>
      <c r="C135" s="398">
        <f t="shared" si="131"/>
        <v>64.262833675564679</v>
      </c>
      <c r="E135" s="25">
        <f>IF(C135&gt;$B$7,0,'Combined Retirement'!$D$13/12)</f>
        <v>0</v>
      </c>
      <c r="F135" s="25">
        <f>IF(H135=0,'Combined Retirement'!$D$32,0)+'Combined Retirement'!$B$24</f>
        <v>2870.372285649099</v>
      </c>
      <c r="G135" s="25">
        <f>'Combined Retirement'!$C$24</f>
        <v>3254.2644699519233</v>
      </c>
      <c r="H135" s="25">
        <f>IF(B135&lt;62,0,'Combined Retirement'!$I$14)</f>
        <v>2345</v>
      </c>
      <c r="I135" s="25">
        <f>IF(C135&lt;62,0,'Combined Retirement'!$I$13)</f>
        <v>2420</v>
      </c>
      <c r="J135" s="25">
        <f t="shared" si="3"/>
        <v>8395.6297298201844</v>
      </c>
      <c r="K135" s="25">
        <f t="shared" si="4"/>
        <v>21655.303514578787</v>
      </c>
      <c r="L135" s="25"/>
      <c r="N135" s="25">
        <f>'Combined Retirement'!$C$18/12</f>
        <v>40940.569999999992</v>
      </c>
      <c r="O135" s="25">
        <f t="shared" si="5"/>
        <v>10889.636755601023</v>
      </c>
      <c r="P135" s="25">
        <f t="shared" si="6"/>
        <v>30050.93324439897</v>
      </c>
      <c r="Q135" s="25">
        <f t="array" aca="1" ref="Q135" ca="1">INDEX('Isaac 401k'!L:L,MATCH('Retirement Calculator'!A135,'Isaac 401k'!N:N,0),0)</f>
        <v>1217386.537131303</v>
      </c>
      <c r="R135" s="25">
        <f t="array" aca="1" ref="R135" ca="1">INDEX('Lorri 401b'!L:L,MATCH('Retirement Calculator'!A135,'Lorri 401b'!N:N,0),0)</f>
        <v>3785642.0949027096</v>
      </c>
      <c r="S135" s="25">
        <f t="shared" ca="1" si="7"/>
        <v>5003028.632034013</v>
      </c>
    </row>
    <row r="136" spans="1:19" ht="15.75" customHeight="1" x14ac:dyDescent="0.25">
      <c r="A136" s="37">
        <v>55093</v>
      </c>
      <c r="B136" s="398">
        <f t="shared" ref="B136:C136" si="132">($A136-B$9)/365.25</f>
        <v>68.958247775496233</v>
      </c>
      <c r="C136" s="398">
        <f t="shared" si="132"/>
        <v>64.347707049965777</v>
      </c>
      <c r="E136" s="25">
        <f>IF(C136&gt;$B$7,0,'Combined Retirement'!$D$13/12)</f>
        <v>0</v>
      </c>
      <c r="F136" s="25">
        <f>IF(H136=0,'Combined Retirement'!$D$32,0)+'Combined Retirement'!$B$24</f>
        <v>2870.372285649099</v>
      </c>
      <c r="G136" s="25">
        <f>'Combined Retirement'!$C$24</f>
        <v>3254.2644699519233</v>
      </c>
      <c r="H136" s="25">
        <f>IF(B136&lt;62,0,'Combined Retirement'!$I$14)</f>
        <v>2345</v>
      </c>
      <c r="I136" s="25">
        <f>IF(C136&lt;62,0,'Combined Retirement'!$I$13)</f>
        <v>2420</v>
      </c>
      <c r="J136" s="25">
        <f t="shared" si="3"/>
        <v>8395.6297298201844</v>
      </c>
      <c r="K136" s="25">
        <f t="shared" si="4"/>
        <v>21655.303514578787</v>
      </c>
      <c r="L136" s="25"/>
      <c r="N136" s="25">
        <f>'Combined Retirement'!$C$18/12</f>
        <v>40940.569999999992</v>
      </c>
      <c r="O136" s="25">
        <f t="shared" si="5"/>
        <v>10889.636755601023</v>
      </c>
      <c r="P136" s="25">
        <f t="shared" si="6"/>
        <v>30050.93324439897</v>
      </c>
      <c r="Q136" s="25">
        <f t="array" aca="1" ref="Q136" ca="1">INDEX('Isaac 401k'!L:L,MATCH('Retirement Calculator'!A136,'Isaac 401k'!N:N,0),0)</f>
        <v>1214028.3695156556</v>
      </c>
      <c r="R136" s="25">
        <f t="array" aca="1" ref="R136" ca="1">INDEX('Lorri 401b'!L:L,MATCH('Retirement Calculator'!A136,'Lorri 401b'!N:N,0),0)</f>
        <v>3779670.0696855811</v>
      </c>
      <c r="S136" s="25">
        <f t="shared" ca="1" si="7"/>
        <v>4993698.4392012367</v>
      </c>
    </row>
    <row r="137" spans="1:19" ht="15.75" customHeight="1" x14ac:dyDescent="0.25">
      <c r="A137" s="37">
        <v>55123</v>
      </c>
      <c r="B137" s="398">
        <f t="shared" ref="B137:C137" si="133">($A137-B$9)/365.25</f>
        <v>69.040383299110204</v>
      </c>
      <c r="C137" s="398">
        <f t="shared" si="133"/>
        <v>64.429842573579734</v>
      </c>
      <c r="E137" s="25">
        <f>IF(C137&gt;$B$7,0,'Combined Retirement'!$D$13/12)</f>
        <v>0</v>
      </c>
      <c r="F137" s="25">
        <f>IF(H137=0,'Combined Retirement'!$D$32,0)+'Combined Retirement'!$B$24</f>
        <v>2870.372285649099</v>
      </c>
      <c r="G137" s="25">
        <f>'Combined Retirement'!$C$24</f>
        <v>3254.2644699519233</v>
      </c>
      <c r="H137" s="25">
        <f>IF(B137&lt;62,0,'Combined Retirement'!$I$14)</f>
        <v>2345</v>
      </c>
      <c r="I137" s="25">
        <f>IF(C137&lt;62,0,'Combined Retirement'!$I$13)</f>
        <v>2420</v>
      </c>
      <c r="J137" s="25">
        <f t="shared" si="3"/>
        <v>8395.6297298201844</v>
      </c>
      <c r="K137" s="25">
        <f t="shared" si="4"/>
        <v>21655.303514578787</v>
      </c>
      <c r="L137" s="25"/>
      <c r="N137" s="25">
        <f>'Combined Retirement'!$C$18/12</f>
        <v>40940.569999999992</v>
      </c>
      <c r="O137" s="25">
        <f t="shared" si="5"/>
        <v>10889.636755601023</v>
      </c>
      <c r="P137" s="25">
        <f t="shared" si="6"/>
        <v>30050.93324439897</v>
      </c>
      <c r="Q137" s="25">
        <f t="array" aca="1" ref="Q137" ca="1">INDEX('Isaac 401k'!L:L,MATCH('Retirement Calculator'!A137,'Isaac 401k'!N:N,0),0)</f>
        <v>1210656.2095349431</v>
      </c>
      <c r="R137" s="25">
        <f t="array" aca="1" ref="R137" ca="1">INDEX('Lorri 401b'!L:L,MATCH('Retirement Calculator'!A137,'Lorri 401b'!N:N,0),0)</f>
        <v>3773673.161030048</v>
      </c>
      <c r="S137" s="25">
        <f t="shared" ca="1" si="7"/>
        <v>4984329.3705649916</v>
      </c>
    </row>
    <row r="138" spans="1:19" ht="15.75" customHeight="1" x14ac:dyDescent="0.25">
      <c r="A138" s="37">
        <v>55154</v>
      </c>
      <c r="B138" s="398">
        <f t="shared" ref="B138:C138" si="134">($A138-B$9)/365.25</f>
        <v>69.125256673511288</v>
      </c>
      <c r="C138" s="398">
        <f t="shared" si="134"/>
        <v>64.514715947980832</v>
      </c>
      <c r="E138" s="25">
        <f>IF(C138&gt;$B$7,0,'Combined Retirement'!$D$13/12)</f>
        <v>0</v>
      </c>
      <c r="F138" s="25">
        <f>IF(H138=0,'Combined Retirement'!$D$32,0)+'Combined Retirement'!$B$24</f>
        <v>2870.372285649099</v>
      </c>
      <c r="G138" s="25">
        <f>'Combined Retirement'!$C$24</f>
        <v>3254.2644699519233</v>
      </c>
      <c r="H138" s="25">
        <f>IF(B138&lt;62,0,'Combined Retirement'!$I$14)</f>
        <v>2345</v>
      </c>
      <c r="I138" s="25">
        <f>IF(C138&lt;62,0,'Combined Retirement'!$I$13)</f>
        <v>2420</v>
      </c>
      <c r="J138" s="25">
        <f t="shared" si="3"/>
        <v>8395.6297298201844</v>
      </c>
      <c r="K138" s="25">
        <f t="shared" si="4"/>
        <v>21655.303514578787</v>
      </c>
      <c r="L138" s="25"/>
      <c r="N138" s="25">
        <f>'Combined Retirement'!$C$18/12</f>
        <v>40940.569999999992</v>
      </c>
      <c r="O138" s="25">
        <f t="shared" si="5"/>
        <v>10889.636755601023</v>
      </c>
      <c r="P138" s="25">
        <f t="shared" si="6"/>
        <v>30050.93324439897</v>
      </c>
      <c r="Q138" s="25">
        <f t="array" aca="1" ref="Q138" ca="1">INDEX('Isaac 401k'!L:L,MATCH('Retirement Calculator'!A138,'Isaac 401k'!N:N,0),0)</f>
        <v>1207269.9988876444</v>
      </c>
      <c r="R138" s="25">
        <f t="array" aca="1" ref="R138" ca="1">INDEX('Lorri 401b'!L:L,MATCH('Retirement Calculator'!A138,'Lorri 401b'!N:N,0),0)</f>
        <v>3767651.2652551169</v>
      </c>
      <c r="S138" s="25">
        <f t="shared" ca="1" si="7"/>
        <v>4974921.264142761</v>
      </c>
    </row>
    <row r="139" spans="1:19" ht="15.75" customHeight="1" x14ac:dyDescent="0.25">
      <c r="A139" s="37">
        <v>55185</v>
      </c>
      <c r="B139" s="398">
        <f t="shared" ref="B139:C139" si="135">($A139-B$9)/365.25</f>
        <v>69.210130047912386</v>
      </c>
      <c r="C139" s="398">
        <f t="shared" si="135"/>
        <v>64.599589322381931</v>
      </c>
      <c r="E139" s="25">
        <f>IF(C139&gt;$B$7,0,'Combined Retirement'!$D$13/12)</f>
        <v>0</v>
      </c>
      <c r="F139" s="25">
        <f>IF(H139=0,'Combined Retirement'!$D$32,0)+'Combined Retirement'!$B$24</f>
        <v>2870.372285649099</v>
      </c>
      <c r="G139" s="25">
        <f>'Combined Retirement'!$C$24</f>
        <v>3254.2644699519233</v>
      </c>
      <c r="H139" s="25">
        <f>IF(B139&lt;62,0,'Combined Retirement'!$I$14)</f>
        <v>2345</v>
      </c>
      <c r="I139" s="25">
        <f>IF(C139&lt;62,0,'Combined Retirement'!$I$13)</f>
        <v>2420</v>
      </c>
      <c r="J139" s="25">
        <f t="shared" si="3"/>
        <v>8395.6297298201844</v>
      </c>
      <c r="K139" s="25">
        <f t="shared" si="4"/>
        <v>21655.303514578787</v>
      </c>
      <c r="L139" s="25"/>
      <c r="N139" s="25">
        <f>'Combined Retirement'!$C$18/12</f>
        <v>40940.569999999992</v>
      </c>
      <c r="O139" s="25">
        <f t="shared" si="5"/>
        <v>10889.636755601023</v>
      </c>
      <c r="P139" s="25">
        <f t="shared" si="6"/>
        <v>30050.93324439897</v>
      </c>
      <c r="Q139" s="25">
        <f t="array" aca="1" ref="Q139" ca="1">INDEX('Isaac 401k'!L:L,MATCH('Retirement Calculator'!A139,'Isaac 401k'!N:N,0),0)</f>
        <v>1203869.6790293152</v>
      </c>
      <c r="R139" s="25">
        <f t="array" aca="1" ref="R139" ca="1">INDEX('Lorri 401b'!L:L,MATCH('Retirement Calculator'!A139,'Lorri 401b'!N:N,0),0)</f>
        <v>3761604.2782477904</v>
      </c>
      <c r="S139" s="25">
        <f t="shared" ca="1" si="7"/>
        <v>4965473.9572771061</v>
      </c>
    </row>
    <row r="140" spans="1:19" ht="15.75" customHeight="1" x14ac:dyDescent="0.25">
      <c r="A140" s="37">
        <v>55213</v>
      </c>
      <c r="B140" s="398">
        <f t="shared" ref="B140:C140" si="136">($A140-B$9)/365.25</f>
        <v>69.286789869952088</v>
      </c>
      <c r="C140" s="398">
        <f t="shared" si="136"/>
        <v>64.676249144421632</v>
      </c>
      <c r="E140" s="25">
        <f>IF(C140&gt;$B$7,0,'Combined Retirement'!$D$13/12)</f>
        <v>0</v>
      </c>
      <c r="F140" s="25">
        <f>IF(H140=0,'Combined Retirement'!$D$32,0)+'Combined Retirement'!$B$24</f>
        <v>2870.372285649099</v>
      </c>
      <c r="G140" s="25">
        <f>'Combined Retirement'!$C$24</f>
        <v>3254.2644699519233</v>
      </c>
      <c r="H140" s="25">
        <f>IF(B140&lt;62,0,'Combined Retirement'!$I$14)</f>
        <v>2345</v>
      </c>
      <c r="I140" s="25">
        <f>IF(C140&lt;62,0,'Combined Retirement'!$I$13)</f>
        <v>2420</v>
      </c>
      <c r="J140" s="25">
        <f t="shared" si="3"/>
        <v>8395.6297298201844</v>
      </c>
      <c r="K140" s="25">
        <f t="shared" si="4"/>
        <v>21655.303514578787</v>
      </c>
      <c r="L140" s="25"/>
      <c r="N140" s="25">
        <f>'Combined Retirement'!$C$18/12</f>
        <v>40940.569999999992</v>
      </c>
      <c r="O140" s="25">
        <f t="shared" si="5"/>
        <v>10889.636755601023</v>
      </c>
      <c r="P140" s="25">
        <f t="shared" si="6"/>
        <v>30050.93324439897</v>
      </c>
      <c r="Q140" s="25">
        <f t="array" aca="1" ref="Q140" ca="1">INDEX('Isaac 401k'!L:L,MATCH('Retirement Calculator'!A140,'Isaac 401k'!N:N,0),0)</f>
        <v>1200455.1911715763</v>
      </c>
      <c r="R140" s="25">
        <f t="array" aca="1" ref="R140" ca="1">INDEX('Lorri 401b'!L:L,MATCH('Retirement Calculator'!A140,'Lorri 401b'!N:N,0),0)</f>
        <v>3755532.0954612666</v>
      </c>
      <c r="S140" s="25">
        <f t="shared" ca="1" si="7"/>
        <v>4955987.2866328433</v>
      </c>
    </row>
    <row r="141" spans="1:19" ht="15.75" customHeight="1" x14ac:dyDescent="0.25">
      <c r="A141" s="37">
        <v>55244</v>
      </c>
      <c r="B141" s="398">
        <f t="shared" ref="B141:C141" si="137">($A141-B$9)/365.25</f>
        <v>69.371663244353186</v>
      </c>
      <c r="C141" s="398">
        <f t="shared" si="137"/>
        <v>64.761122518822731</v>
      </c>
      <c r="E141" s="25">
        <f>IF(C141&gt;$B$7,0,'Combined Retirement'!$D$13/12)</f>
        <v>0</v>
      </c>
      <c r="F141" s="25">
        <f>IF(H141=0,'Combined Retirement'!$D$32,0)+'Combined Retirement'!$B$24</f>
        <v>2870.372285649099</v>
      </c>
      <c r="G141" s="25">
        <f>'Combined Retirement'!$C$24</f>
        <v>3254.2644699519233</v>
      </c>
      <c r="H141" s="25">
        <f>IF(B141&lt;62,0,'Combined Retirement'!$I$14)</f>
        <v>2345</v>
      </c>
      <c r="I141" s="25">
        <f>IF(C141&lt;62,0,'Combined Retirement'!$I$13)</f>
        <v>2420</v>
      </c>
      <c r="J141" s="25">
        <f t="shared" si="3"/>
        <v>8395.6297298201844</v>
      </c>
      <c r="K141" s="25">
        <f t="shared" si="4"/>
        <v>21655.303514578787</v>
      </c>
      <c r="L141" s="25"/>
      <c r="N141" s="25">
        <f>'Combined Retirement'!$C$18/12</f>
        <v>40940.569999999992</v>
      </c>
      <c r="O141" s="25">
        <f t="shared" si="5"/>
        <v>10889.636755601023</v>
      </c>
      <c r="P141" s="25">
        <f t="shared" si="6"/>
        <v>30050.93324439897</v>
      </c>
      <c r="Q141" s="25">
        <f t="array" aca="1" ref="Q141" ca="1">INDEX('Isaac 401k'!L:L,MATCH('Retirement Calculator'!A141,'Isaac 401k'!N:N,0),0)</f>
        <v>1197026.4762810967</v>
      </c>
      <c r="R141" s="25">
        <f t="array" aca="1" ref="R141" ca="1">INDEX('Lorri 401b'!L:L,MATCH('Retirement Calculator'!A141,'Lorri 401b'!N:N,0),0)</f>
        <v>3749434.6119131325</v>
      </c>
      <c r="S141" s="25">
        <f t="shared" ca="1" si="7"/>
        <v>4946461.0881942287</v>
      </c>
    </row>
    <row r="142" spans="1:19" ht="15.75" customHeight="1" x14ac:dyDescent="0.25">
      <c r="A142" s="37">
        <v>55274</v>
      </c>
      <c r="B142" s="398">
        <f t="shared" ref="B142:C142" si="138">($A142-B$9)/365.25</f>
        <v>69.453798767967143</v>
      </c>
      <c r="C142" s="398">
        <f t="shared" si="138"/>
        <v>64.843258042436688</v>
      </c>
      <c r="E142" s="25">
        <f>IF(C142&gt;$B$7,0,'Combined Retirement'!$D$13/12)</f>
        <v>0</v>
      </c>
      <c r="F142" s="25">
        <f>IF(H142=0,'Combined Retirement'!$D$32,0)+'Combined Retirement'!$B$24</f>
        <v>2870.372285649099</v>
      </c>
      <c r="G142" s="25">
        <f>'Combined Retirement'!$C$24</f>
        <v>3254.2644699519233</v>
      </c>
      <c r="H142" s="25">
        <f>IF(B142&lt;62,0,'Combined Retirement'!$I$14)</f>
        <v>2345</v>
      </c>
      <c r="I142" s="25">
        <f>IF(C142&lt;62,0,'Combined Retirement'!$I$13)</f>
        <v>2420</v>
      </c>
      <c r="J142" s="25">
        <f t="shared" si="3"/>
        <v>8395.6297298201844</v>
      </c>
      <c r="K142" s="25">
        <f t="shared" si="4"/>
        <v>21655.303514578787</v>
      </c>
      <c r="L142" s="25"/>
      <c r="N142" s="25">
        <f>'Combined Retirement'!$C$18/12</f>
        <v>40940.569999999992</v>
      </c>
      <c r="O142" s="25">
        <f t="shared" si="5"/>
        <v>10889.636755601023</v>
      </c>
      <c r="P142" s="25">
        <f t="shared" si="6"/>
        <v>30050.93324439897</v>
      </c>
      <c r="Q142" s="25">
        <f t="array" aca="1" ref="Q142" ca="1">INDEX('Isaac 401k'!L:L,MATCH('Retirement Calculator'!A142,'Isaac 401k'!N:N,0),0)</f>
        <v>1193583.4750785735</v>
      </c>
      <c r="R142" s="25">
        <f t="array" aca="1" ref="R142" ca="1">INDEX('Lorri 401b'!L:L,MATCH('Retirement Calculator'!A142,'Lorri 401b'!N:N,0),0)</f>
        <v>3743311.7221835474</v>
      </c>
      <c r="S142" s="25">
        <f t="shared" ca="1" si="7"/>
        <v>4936895.1972621214</v>
      </c>
    </row>
    <row r="143" spans="1:19" ht="15.75" customHeight="1" x14ac:dyDescent="0.25">
      <c r="A143" s="37">
        <v>55305</v>
      </c>
      <c r="B143" s="398">
        <f t="shared" ref="B143:C143" si="139">($A143-B$9)/365.25</f>
        <v>69.538672142368242</v>
      </c>
      <c r="C143" s="398">
        <f t="shared" si="139"/>
        <v>64.928131416837786</v>
      </c>
      <c r="E143" s="25">
        <f>IF(C143&gt;$B$7,0,'Combined Retirement'!$D$13/12)</f>
        <v>0</v>
      </c>
      <c r="F143" s="25">
        <f>IF(H143=0,'Combined Retirement'!$D$32,0)+'Combined Retirement'!$B$24</f>
        <v>2870.372285649099</v>
      </c>
      <c r="G143" s="25">
        <f>'Combined Retirement'!$C$24</f>
        <v>3254.2644699519233</v>
      </c>
      <c r="H143" s="25">
        <f>IF(B143&lt;62,0,'Combined Retirement'!$I$14)</f>
        <v>2345</v>
      </c>
      <c r="I143" s="25">
        <f>IF(C143&lt;62,0,'Combined Retirement'!$I$13)</f>
        <v>2420</v>
      </c>
      <c r="J143" s="25">
        <f t="shared" si="3"/>
        <v>8395.6297298201844</v>
      </c>
      <c r="K143" s="25">
        <f t="shared" si="4"/>
        <v>21655.303514578787</v>
      </c>
      <c r="L143" s="25"/>
      <c r="N143" s="25">
        <f>'Combined Retirement'!$C$18/12</f>
        <v>40940.569999999992</v>
      </c>
      <c r="O143" s="25">
        <f t="shared" si="5"/>
        <v>10889.636755601023</v>
      </c>
      <c r="P143" s="25">
        <f t="shared" si="6"/>
        <v>30050.93324439897</v>
      </c>
      <c r="Q143" s="25">
        <f t="array" aca="1" ref="Q143" ca="1">INDEX('Isaac 401k'!L:L,MATCH('Retirement Calculator'!A143,'Isaac 401k'!N:N,0),0)</f>
        <v>1190126.1280377065</v>
      </c>
      <c r="R143" s="25">
        <f t="array" aca="1" ref="R143" ca="1">INDEX('Lorri 401b'!L:L,MATCH('Retirement Calculator'!A143,'Lorri 401b'!N:N,0),0)</f>
        <v>3737163.3204134228</v>
      </c>
      <c r="S143" s="25">
        <f t="shared" ca="1" si="7"/>
        <v>4927289.4484511297</v>
      </c>
    </row>
    <row r="144" spans="1:19" ht="15.75" customHeight="1" x14ac:dyDescent="0.25">
      <c r="A144" s="37">
        <v>55335</v>
      </c>
      <c r="B144" s="398">
        <f t="shared" ref="B144:C144" si="140">($A144-B$9)/365.25</f>
        <v>69.620807665982198</v>
      </c>
      <c r="C144" s="398">
        <f t="shared" si="140"/>
        <v>65.010266940451743</v>
      </c>
      <c r="E144" s="25">
        <f>IF(C144&gt;$B$7,0,'Combined Retirement'!$D$13/12)</f>
        <v>0</v>
      </c>
      <c r="F144" s="25">
        <f>IF(H144=0,'Combined Retirement'!$D$32,0)+'Combined Retirement'!$B$24</f>
        <v>2870.372285649099</v>
      </c>
      <c r="G144" s="25">
        <f>'Combined Retirement'!$C$24</f>
        <v>3254.2644699519233</v>
      </c>
      <c r="H144" s="25">
        <f>IF(B144&lt;62,0,'Combined Retirement'!$I$14)</f>
        <v>2345</v>
      </c>
      <c r="I144" s="25">
        <f>IF(C144&lt;62,0,'Combined Retirement'!$I$13)</f>
        <v>2420</v>
      </c>
      <c r="J144" s="25">
        <f t="shared" si="3"/>
        <v>8395.6297298201844</v>
      </c>
      <c r="K144" s="25">
        <f t="shared" si="4"/>
        <v>21655.303514578787</v>
      </c>
      <c r="L144" s="25"/>
      <c r="N144" s="25">
        <f>'Combined Retirement'!$C$18/12</f>
        <v>40940.569999999992</v>
      </c>
      <c r="O144" s="25">
        <f t="shared" si="5"/>
        <v>10889.636755601023</v>
      </c>
      <c r="P144" s="25">
        <f t="shared" si="6"/>
        <v>30050.93324439897</v>
      </c>
      <c r="Q144" s="25">
        <f t="array" aca="1" ref="Q144" ca="1">INDEX('Isaac 401k'!L:L,MATCH('Retirement Calculator'!A144,'Isaac 401k'!N:N,0),0)</f>
        <v>1186654.3753841692</v>
      </c>
      <c r="R144" s="25">
        <f t="array" aca="1" ref="R144" ca="1">INDEX('Lorri 401b'!L:L,MATCH('Retirement Calculator'!A144,'Lorri 401b'!N:N,0),0)</f>
        <v>3730989.3003025893</v>
      </c>
      <c r="S144" s="25">
        <f t="shared" ca="1" si="7"/>
        <v>4917643.675686758</v>
      </c>
    </row>
    <row r="145" spans="1:19" ht="15.75" customHeight="1" x14ac:dyDescent="0.25">
      <c r="A145" s="37">
        <v>55366</v>
      </c>
      <c r="B145" s="398">
        <f t="shared" ref="B145:C145" si="141">($A145-B$9)/365.25</f>
        <v>69.705681040383297</v>
      </c>
      <c r="C145" s="398">
        <f t="shared" si="141"/>
        <v>65.095140314852841</v>
      </c>
      <c r="E145" s="25">
        <f>IF(C145&gt;$B$7,0,'Combined Retirement'!$D$13/12)</f>
        <v>0</v>
      </c>
      <c r="F145" s="25">
        <f>IF(H145=0,'Combined Retirement'!$D$32,0)+'Combined Retirement'!$B$24</f>
        <v>2870.372285649099</v>
      </c>
      <c r="G145" s="25">
        <f>'Combined Retirement'!$C$24</f>
        <v>3254.2644699519233</v>
      </c>
      <c r="H145" s="25">
        <f>IF(B145&lt;62,0,'Combined Retirement'!$I$14)</f>
        <v>2345</v>
      </c>
      <c r="I145" s="25">
        <f>IF(C145&lt;62,0,'Combined Retirement'!$I$13)</f>
        <v>2420</v>
      </c>
      <c r="J145" s="25">
        <f t="shared" si="3"/>
        <v>8395.6297298201844</v>
      </c>
      <c r="K145" s="25">
        <f t="shared" si="4"/>
        <v>21655.303514578787</v>
      </c>
      <c r="L145" s="25"/>
      <c r="N145" s="25">
        <f>'Combined Retirement'!$C$18/12</f>
        <v>40940.569999999992</v>
      </c>
      <c r="O145" s="25">
        <f t="shared" si="5"/>
        <v>10889.636755601023</v>
      </c>
      <c r="P145" s="25">
        <f t="shared" si="6"/>
        <v>30050.93324439897</v>
      </c>
      <c r="Q145" s="25">
        <f t="array" aca="1" ref="Q145" ca="1">INDEX('Isaac 401k'!L:L,MATCH('Retirement Calculator'!A145,'Isaac 401k'!N:N,0),0)</f>
        <v>1183168.1570945755</v>
      </c>
      <c r="R145" s="25">
        <f t="array" aca="1" ref="R145" ca="1">INDEX('Lorri 401b'!L:L,MATCH('Retirement Calculator'!A145,'Lorri 401b'!N:N,0),0)</f>
        <v>3724789.5551079605</v>
      </c>
      <c r="S145" s="25">
        <f t="shared" ca="1" si="7"/>
        <v>4907957.7122025359</v>
      </c>
    </row>
    <row r="146" spans="1:19" ht="15.75" customHeight="1" x14ac:dyDescent="0.25">
      <c r="A146" s="37">
        <v>55397</v>
      </c>
      <c r="B146" s="398">
        <f t="shared" ref="B146:C146" si="142">($A146-B$9)/365.25</f>
        <v>69.790554414784395</v>
      </c>
      <c r="C146" s="398">
        <f t="shared" si="142"/>
        <v>65.18001368925394</v>
      </c>
      <c r="E146" s="25">
        <f>IF(C146&gt;$B$7,0,'Combined Retirement'!$D$13/12)</f>
        <v>0</v>
      </c>
      <c r="F146" s="25">
        <f>IF(H146=0,'Combined Retirement'!$D$32,0)+'Combined Retirement'!$B$24</f>
        <v>2870.372285649099</v>
      </c>
      <c r="G146" s="25">
        <f>'Combined Retirement'!$C$24</f>
        <v>3254.2644699519233</v>
      </c>
      <c r="H146" s="25">
        <f>IF(B146&lt;62,0,'Combined Retirement'!$I$14)</f>
        <v>2345</v>
      </c>
      <c r="I146" s="25">
        <f>IF(C146&lt;62,0,'Combined Retirement'!$I$13)</f>
        <v>2420</v>
      </c>
      <c r="J146" s="25">
        <f t="shared" si="3"/>
        <v>8395.6297298201844</v>
      </c>
      <c r="K146" s="25">
        <f t="shared" si="4"/>
        <v>21655.303514578787</v>
      </c>
      <c r="L146" s="25"/>
      <c r="N146" s="25">
        <f>'Combined Retirement'!$C$18/12</f>
        <v>40940.569999999992</v>
      </c>
      <c r="O146" s="25">
        <f t="shared" si="5"/>
        <v>10889.636755601023</v>
      </c>
      <c r="P146" s="25">
        <f t="shared" si="6"/>
        <v>30050.93324439897</v>
      </c>
      <c r="Q146" s="25">
        <f t="array" aca="1" ref="Q146" ca="1">INDEX('Isaac 401k'!L:L,MATCH('Retirement Calculator'!A146,'Isaac 401k'!N:N,0),0)</f>
        <v>1179667.4128954418</v>
      </c>
      <c r="R146" s="25">
        <f t="array" aca="1" ref="R146" ca="1">INDEX('Lorri 401b'!L:L,MATCH('Retirement Calculator'!A146,'Lorri 401b'!N:N,0),0)</f>
        <v>3718563.9776416873</v>
      </c>
      <c r="S146" s="25">
        <f t="shared" ca="1" si="7"/>
        <v>4898231.3905371288</v>
      </c>
    </row>
    <row r="147" spans="1:19" ht="15.75" customHeight="1" x14ac:dyDescent="0.25">
      <c r="A147" s="37">
        <v>55427</v>
      </c>
      <c r="B147" s="398">
        <f t="shared" ref="B147:C147" si="143">($A147-B$9)/365.25</f>
        <v>69.872689938398352</v>
      </c>
      <c r="C147" s="398">
        <f t="shared" si="143"/>
        <v>65.262149212867897</v>
      </c>
      <c r="E147" s="25">
        <f>IF(C147&gt;$B$7,0,'Combined Retirement'!$D$13/12)</f>
        <v>0</v>
      </c>
      <c r="F147" s="25">
        <f>IF(H147=0,'Combined Retirement'!$D$32,0)+'Combined Retirement'!$B$24</f>
        <v>2870.372285649099</v>
      </c>
      <c r="G147" s="25">
        <f>'Combined Retirement'!$C$24</f>
        <v>3254.2644699519233</v>
      </c>
      <c r="H147" s="25">
        <f>IF(B147&lt;62,0,'Combined Retirement'!$I$14)</f>
        <v>2345</v>
      </c>
      <c r="I147" s="25">
        <f>IF(C147&lt;62,0,'Combined Retirement'!$I$13)</f>
        <v>2420</v>
      </c>
      <c r="J147" s="25">
        <f t="shared" si="3"/>
        <v>8395.6297298201844</v>
      </c>
      <c r="K147" s="25">
        <f t="shared" si="4"/>
        <v>21655.303514578787</v>
      </c>
      <c r="L147" s="25"/>
      <c r="N147" s="25">
        <f>'Combined Retirement'!$C$18/12</f>
        <v>40940.569999999992</v>
      </c>
      <c r="O147" s="25">
        <f t="shared" si="5"/>
        <v>10889.636755601023</v>
      </c>
      <c r="P147" s="25">
        <f t="shared" si="6"/>
        <v>30050.93324439897</v>
      </c>
      <c r="Q147" s="25">
        <f t="array" aca="1" ref="Q147" ca="1">INDEX('Isaac 401k'!L:L,MATCH('Retirement Calculator'!A147,'Isaac 401k'!N:N,0),0)</f>
        <v>1176152.0822621449</v>
      </c>
      <c r="R147" s="25">
        <f t="array" aca="1" ref="R147" ca="1">INDEX('Lorri 401b'!L:L,MATCH('Retirement Calculator'!A147,'Lorri 401b'!N:N,0),0)</f>
        <v>3712312.4602693049</v>
      </c>
      <c r="S147" s="25">
        <f t="shared" ca="1" si="7"/>
        <v>4888464.5425314493</v>
      </c>
    </row>
    <row r="148" spans="1:19" ht="15.75" customHeight="1" x14ac:dyDescent="0.25">
      <c r="A148" s="37">
        <v>55458</v>
      </c>
      <c r="B148" s="398">
        <f t="shared" ref="B148:C148" si="144">($A148-B$9)/365.25</f>
        <v>69.957563312799451</v>
      </c>
      <c r="C148" s="398">
        <f t="shared" si="144"/>
        <v>65.347022587268995</v>
      </c>
      <c r="E148" s="25">
        <f>IF(C148&gt;$B$7,0,'Combined Retirement'!$D$13/12)</f>
        <v>0</v>
      </c>
      <c r="F148" s="25">
        <f>IF(H148=0,'Combined Retirement'!$D$32,0)+'Combined Retirement'!$B$24</f>
        <v>2870.372285649099</v>
      </c>
      <c r="G148" s="25">
        <f>'Combined Retirement'!$C$24</f>
        <v>3254.2644699519233</v>
      </c>
      <c r="H148" s="25">
        <f>IF(B148&lt;62,0,'Combined Retirement'!$I$14)</f>
        <v>2345</v>
      </c>
      <c r="I148" s="25">
        <f>IF(C148&lt;62,0,'Combined Retirement'!$I$13)</f>
        <v>2420</v>
      </c>
      <c r="J148" s="25">
        <f t="shared" si="3"/>
        <v>8395.6297298201844</v>
      </c>
      <c r="K148" s="25">
        <f t="shared" si="4"/>
        <v>21655.303514578787</v>
      </c>
      <c r="L148" s="25"/>
      <c r="N148" s="25">
        <f>'Combined Retirement'!$C$18/12</f>
        <v>40940.569999999992</v>
      </c>
      <c r="O148" s="25">
        <f t="shared" si="5"/>
        <v>10889.636755601023</v>
      </c>
      <c r="P148" s="25">
        <f t="shared" si="6"/>
        <v>30050.93324439897</v>
      </c>
      <c r="Q148" s="25">
        <f t="array" aca="1" ref="Q148" ca="1">INDEX('Isaac 401k'!L:L,MATCH('Retirement Calculator'!A148,'Isaac 401k'!N:N,0),0)</f>
        <v>1172622.1044178761</v>
      </c>
      <c r="R148" s="25">
        <f t="array" aca="1" ref="R148" ca="1">INDEX('Lorri 401b'!L:L,MATCH('Retirement Calculator'!A148,'Lorri 401b'!N:N,0),0)</f>
        <v>3706034.8949078708</v>
      </c>
      <c r="S148" s="25">
        <f t="shared" ca="1" si="7"/>
        <v>4878656.9993257467</v>
      </c>
    </row>
    <row r="149" spans="1:19" ht="15.75" customHeight="1" x14ac:dyDescent="0.25">
      <c r="A149" s="37">
        <v>55488</v>
      </c>
      <c r="B149" s="398">
        <f t="shared" ref="B149:C149" si="145">($A149-B$9)/365.25</f>
        <v>70.039698836413422</v>
      </c>
      <c r="C149" s="398">
        <f t="shared" si="145"/>
        <v>65.429158110882952</v>
      </c>
      <c r="E149" s="25">
        <f>IF(C149&gt;$B$7,0,'Combined Retirement'!$D$13/12)</f>
        <v>0</v>
      </c>
      <c r="F149" s="25">
        <f>IF(H149=0,'Combined Retirement'!$D$32,0)+'Combined Retirement'!$B$24</f>
        <v>2870.372285649099</v>
      </c>
      <c r="G149" s="25">
        <f>'Combined Retirement'!$C$24</f>
        <v>3254.2644699519233</v>
      </c>
      <c r="H149" s="25">
        <f>IF(B149&lt;62,0,'Combined Retirement'!$I$14)</f>
        <v>2345</v>
      </c>
      <c r="I149" s="25">
        <f>IF(C149&lt;62,0,'Combined Retirement'!$I$13)</f>
        <v>2420</v>
      </c>
      <c r="J149" s="25">
        <f t="shared" si="3"/>
        <v>8395.6297298201844</v>
      </c>
      <c r="K149" s="25">
        <f t="shared" si="4"/>
        <v>21655.303514578787</v>
      </c>
      <c r="L149" s="25"/>
      <c r="N149" s="25">
        <f>'Combined Retirement'!$C$18/12</f>
        <v>40940.569999999992</v>
      </c>
      <c r="O149" s="25">
        <f t="shared" si="5"/>
        <v>10889.636755601023</v>
      </c>
      <c r="P149" s="25">
        <f t="shared" si="6"/>
        <v>30050.93324439897</v>
      </c>
      <c r="Q149" s="25">
        <f t="array" aca="1" ref="Q149" ca="1">INDEX('Isaac 401k'!L:L,MATCH('Retirement Calculator'!A149,'Isaac 401k'!N:N,0),0)</f>
        <v>1169077.4183325896</v>
      </c>
      <c r="R149" s="25">
        <f t="array" aca="1" ref="R149" ca="1">INDEX('Lorri 401b'!L:L,MATCH('Retirement Calculator'!A149,'Lorri 401b'!N:N,0),0)</f>
        <v>3699731.1730240975</v>
      </c>
      <c r="S149" s="25">
        <f t="shared" ca="1" si="7"/>
        <v>4868808.5913566872</v>
      </c>
    </row>
    <row r="150" spans="1:19" ht="15.75" customHeight="1" x14ac:dyDescent="0.25">
      <c r="A150" s="37">
        <v>55519</v>
      </c>
      <c r="B150" s="398">
        <f t="shared" ref="B150:C150" si="146">($A150-B$9)/365.25</f>
        <v>70.124572210814506</v>
      </c>
      <c r="C150" s="398">
        <f t="shared" si="146"/>
        <v>65.51403148528405</v>
      </c>
      <c r="E150" s="25">
        <f>IF(C150&gt;$B$7,0,'Combined Retirement'!$D$13/12)</f>
        <v>0</v>
      </c>
      <c r="F150" s="25">
        <f>IF(H150=0,'Combined Retirement'!$D$32,0)+'Combined Retirement'!$B$24</f>
        <v>2870.372285649099</v>
      </c>
      <c r="G150" s="25">
        <f>'Combined Retirement'!$C$24</f>
        <v>3254.2644699519233</v>
      </c>
      <c r="H150" s="25">
        <f>IF(B150&lt;62,0,'Combined Retirement'!$I$14)</f>
        <v>2345</v>
      </c>
      <c r="I150" s="25">
        <f>IF(C150&lt;62,0,'Combined Retirement'!$I$13)</f>
        <v>2420</v>
      </c>
      <c r="J150" s="25">
        <f t="shared" si="3"/>
        <v>8395.6297298201844</v>
      </c>
      <c r="K150" s="25">
        <f t="shared" si="4"/>
        <v>21655.303514578787</v>
      </c>
      <c r="L150" s="25"/>
      <c r="N150" s="25">
        <f>'Combined Retirement'!$C$18/12</f>
        <v>40940.569999999992</v>
      </c>
      <c r="O150" s="25">
        <f t="shared" si="5"/>
        <v>10889.636755601023</v>
      </c>
      <c r="P150" s="25">
        <f t="shared" si="6"/>
        <v>30050.93324439897</v>
      </c>
      <c r="Q150" s="25">
        <f t="array" aca="1" ref="Q150" ca="1">INDEX('Isaac 401k'!L:L,MATCH('Retirement Calculator'!A150,'Isaac 401k'!N:N,0),0)</f>
        <v>1165517.9627219476</v>
      </c>
      <c r="R150" s="25">
        <f t="array" aca="1" ref="R150" ca="1">INDEX('Lorri 401b'!L:L,MATCH('Retirement Calculator'!A150,'Lorri 401b'!N:N,0),0)</f>
        <v>3693401.1856324747</v>
      </c>
      <c r="S150" s="25">
        <f t="shared" ca="1" si="7"/>
        <v>4858919.1483544223</v>
      </c>
    </row>
    <row r="151" spans="1:19" ht="15.75" customHeight="1" x14ac:dyDescent="0.25">
      <c r="A151" s="37">
        <v>55550</v>
      </c>
      <c r="B151" s="398">
        <f t="shared" ref="B151:C151" si="147">($A151-B$9)/365.25</f>
        <v>70.209445585215605</v>
      </c>
      <c r="C151" s="398">
        <f t="shared" si="147"/>
        <v>65.598904859685149</v>
      </c>
      <c r="E151" s="25">
        <f>IF(C151&gt;$B$7,0,'Combined Retirement'!$D$13/12)</f>
        <v>0</v>
      </c>
      <c r="F151" s="25">
        <f>IF(H151=0,'Combined Retirement'!$D$32,0)+'Combined Retirement'!$B$24</f>
        <v>2870.372285649099</v>
      </c>
      <c r="G151" s="25">
        <f>'Combined Retirement'!$C$24</f>
        <v>3254.2644699519233</v>
      </c>
      <c r="H151" s="25">
        <f>IF(B151&lt;62,0,'Combined Retirement'!$I$14)</f>
        <v>2345</v>
      </c>
      <c r="I151" s="25">
        <f>IF(C151&lt;62,0,'Combined Retirement'!$I$13)</f>
        <v>2420</v>
      </c>
      <c r="J151" s="25">
        <f t="shared" si="3"/>
        <v>8395.6297298201844</v>
      </c>
      <c r="K151" s="25">
        <f t="shared" si="4"/>
        <v>21655.303514578787</v>
      </c>
      <c r="L151" s="25"/>
      <c r="N151" s="25">
        <f>'Combined Retirement'!$C$18/12</f>
        <v>40940.569999999992</v>
      </c>
      <c r="O151" s="25">
        <f t="shared" si="5"/>
        <v>10889.636755601023</v>
      </c>
      <c r="P151" s="25">
        <f t="shared" si="6"/>
        <v>30050.93324439897</v>
      </c>
      <c r="Q151" s="25">
        <f t="array" aca="1" ref="Q151" ca="1">INDEX('Isaac 401k'!L:L,MATCH('Retirement Calculator'!A151,'Isaac 401k'!N:N,0),0)</f>
        <v>1161943.6760462613</v>
      </c>
      <c r="R151" s="25">
        <f t="array" aca="1" ref="R151" ca="1">INDEX('Lorri 401b'!L:L,MATCH('Retirement Calculator'!A151,'Lorri 401b'!N:N,0),0)</f>
        <v>3687044.823293387</v>
      </c>
      <c r="S151" s="25">
        <f t="shared" ca="1" si="7"/>
        <v>4848988.4993396485</v>
      </c>
    </row>
    <row r="152" spans="1:19" ht="15.75" customHeight="1" x14ac:dyDescent="0.25">
      <c r="A152" s="37">
        <v>55579</v>
      </c>
      <c r="B152" s="398">
        <f t="shared" ref="B152:C152" si="148">($A152-B$9)/365.25</f>
        <v>70.288843258042434</v>
      </c>
      <c r="C152" s="398">
        <f t="shared" si="148"/>
        <v>65.678302532511978</v>
      </c>
      <c r="E152" s="25">
        <f>IF(C152&gt;$B$7,0,'Combined Retirement'!$D$13/12)</f>
        <v>0</v>
      </c>
      <c r="F152" s="25">
        <f>IF(H152=0,'Combined Retirement'!$D$32,0)+'Combined Retirement'!$B$24</f>
        <v>2870.372285649099</v>
      </c>
      <c r="G152" s="25">
        <f>'Combined Retirement'!$C$24</f>
        <v>3254.2644699519233</v>
      </c>
      <c r="H152" s="25">
        <f>IF(B152&lt;62,0,'Combined Retirement'!$I$14)</f>
        <v>2345</v>
      </c>
      <c r="I152" s="25">
        <f>IF(C152&lt;62,0,'Combined Retirement'!$I$13)</f>
        <v>2420</v>
      </c>
      <c r="J152" s="25">
        <f t="shared" si="3"/>
        <v>8395.6297298201844</v>
      </c>
      <c r="K152" s="25">
        <f t="shared" si="4"/>
        <v>21655.303514578787</v>
      </c>
      <c r="L152" s="25"/>
      <c r="N152" s="25">
        <f>'Combined Retirement'!$C$18/12</f>
        <v>40940.569999999992</v>
      </c>
      <c r="O152" s="25">
        <f t="shared" si="5"/>
        <v>10889.636755601023</v>
      </c>
      <c r="P152" s="25">
        <f t="shared" si="6"/>
        <v>30050.93324439897</v>
      </c>
      <c r="Q152" s="25">
        <f t="array" aca="1" ref="Q152" ca="1">INDEX('Isaac 401k'!L:L,MATCH('Retirement Calculator'!A152,'Isaac 401k'!N:N,0),0)</f>
        <v>1158354.4965094263</v>
      </c>
      <c r="R152" s="25">
        <f t="array" aca="1" ref="R152" ca="1">INDEX('Lorri 401b'!L:L,MATCH('Retirement Calculator'!A152,'Lorri 401b'!N:N,0),0)</f>
        <v>3680661.9761112197</v>
      </c>
      <c r="S152" s="25">
        <f t="shared" ca="1" si="7"/>
        <v>4839016.4726206455</v>
      </c>
    </row>
    <row r="153" spans="1:19" ht="15.75" customHeight="1" x14ac:dyDescent="0.25">
      <c r="A153" s="37">
        <v>55610</v>
      </c>
      <c r="B153" s="398">
        <f t="shared" ref="B153:C153" si="149">($A153-B$9)/365.25</f>
        <v>70.373716632443532</v>
      </c>
      <c r="C153" s="398">
        <f t="shared" si="149"/>
        <v>65.763175906913077</v>
      </c>
      <c r="E153" s="25">
        <f>IF(C153&gt;$B$7,0,'Combined Retirement'!$D$13/12)</f>
        <v>0</v>
      </c>
      <c r="F153" s="25">
        <f>IF(H153=0,'Combined Retirement'!$D$32,0)+'Combined Retirement'!$B$24</f>
        <v>2870.372285649099</v>
      </c>
      <c r="G153" s="25">
        <f>'Combined Retirement'!$C$24</f>
        <v>3254.2644699519233</v>
      </c>
      <c r="H153" s="25">
        <f>IF(B153&lt;62,0,'Combined Retirement'!$I$14)</f>
        <v>2345</v>
      </c>
      <c r="I153" s="25">
        <f>IF(C153&lt;62,0,'Combined Retirement'!$I$13)</f>
        <v>2420</v>
      </c>
      <c r="J153" s="25">
        <f t="shared" si="3"/>
        <v>8395.6297298201844</v>
      </c>
      <c r="K153" s="25">
        <f t="shared" si="4"/>
        <v>21655.303514578787</v>
      </c>
      <c r="L153" s="25"/>
      <c r="N153" s="25">
        <f>'Combined Retirement'!$C$18/12</f>
        <v>40940.569999999992</v>
      </c>
      <c r="O153" s="25">
        <f t="shared" si="5"/>
        <v>10889.636755601023</v>
      </c>
      <c r="P153" s="25">
        <f t="shared" si="6"/>
        <v>30050.93324439897</v>
      </c>
      <c r="Q153" s="25">
        <f t="array" aca="1" ref="Q153" ca="1">INDEX('Isaac 401k'!L:L,MATCH('Retirement Calculator'!A153,'Isaac 401k'!N:N,0),0)</f>
        <v>1154750.3620578544</v>
      </c>
      <c r="R153" s="25">
        <f t="array" aca="1" ref="R153" ca="1">INDEX('Lorri 401b'!L:L,MATCH('Retirement Calculator'!A153,'Lorri 401b'!N:N,0),0)</f>
        <v>3674252.5337324603</v>
      </c>
      <c r="S153" s="25">
        <f t="shared" ca="1" si="7"/>
        <v>4829002.8957903143</v>
      </c>
    </row>
    <row r="154" spans="1:19" ht="15.75" customHeight="1" x14ac:dyDescent="0.25">
      <c r="A154" s="37">
        <v>55640</v>
      </c>
      <c r="B154" s="398">
        <f t="shared" ref="B154:C154" si="150">($A154-B$9)/365.25</f>
        <v>70.455852156057489</v>
      </c>
      <c r="C154" s="398">
        <f t="shared" si="150"/>
        <v>65.845311430527033</v>
      </c>
      <c r="E154" s="25">
        <f>IF(C154&gt;$B$7,0,'Combined Retirement'!$D$13/12)</f>
        <v>0</v>
      </c>
      <c r="F154" s="25">
        <f>IF(H154=0,'Combined Retirement'!$D$32,0)+'Combined Retirement'!$B$24</f>
        <v>2870.372285649099</v>
      </c>
      <c r="G154" s="25">
        <f>'Combined Retirement'!$C$24</f>
        <v>3254.2644699519233</v>
      </c>
      <c r="H154" s="25">
        <f>IF(B154&lt;62,0,'Combined Retirement'!$I$14)</f>
        <v>2345</v>
      </c>
      <c r="I154" s="25">
        <f>IF(C154&lt;62,0,'Combined Retirement'!$I$13)</f>
        <v>2420</v>
      </c>
      <c r="J154" s="25">
        <f t="shared" si="3"/>
        <v>8395.6297298201844</v>
      </c>
      <c r="K154" s="25">
        <f t="shared" si="4"/>
        <v>21655.303514578787</v>
      </c>
      <c r="L154" s="25"/>
      <c r="N154" s="25">
        <f>'Combined Retirement'!$C$18/12</f>
        <v>40940.569999999992</v>
      </c>
      <c r="O154" s="25">
        <f t="shared" si="5"/>
        <v>10889.636755601023</v>
      </c>
      <c r="P154" s="25">
        <f t="shared" si="6"/>
        <v>30050.93324439897</v>
      </c>
      <c r="Q154" s="25">
        <f t="array" aca="1" ref="Q154" ca="1">INDEX('Isaac 401k'!L:L,MATCH('Retirement Calculator'!A154,'Isaac 401k'!N:N,0),0)</f>
        <v>1151131.210379401</v>
      </c>
      <c r="R154" s="25">
        <f t="array" aca="1" ref="R154" ca="1">INDEX('Lorri 401b'!L:L,MATCH('Retirement Calculator'!A154,'Lorri 401b'!N:N,0),0)</f>
        <v>3667816.3853437891</v>
      </c>
      <c r="S154" s="25">
        <f t="shared" ca="1" si="7"/>
        <v>4818947.5957231903</v>
      </c>
    </row>
    <row r="155" spans="1:19" ht="15.75" customHeight="1" x14ac:dyDescent="0.25">
      <c r="A155" s="37">
        <v>55671</v>
      </c>
      <c r="B155" s="398">
        <f t="shared" ref="B155:C155" si="151">($A155-B$9)/365.25</f>
        <v>70.540725530458587</v>
      </c>
      <c r="C155" s="398">
        <f t="shared" si="151"/>
        <v>65.930184804928132</v>
      </c>
      <c r="E155" s="25">
        <f>IF(C155&gt;$B$7,0,'Combined Retirement'!$D$13/12)</f>
        <v>0</v>
      </c>
      <c r="F155" s="25">
        <f>IF(H155=0,'Combined Retirement'!$D$32,0)+'Combined Retirement'!$B$24</f>
        <v>2870.372285649099</v>
      </c>
      <c r="G155" s="25">
        <f>'Combined Retirement'!$C$24</f>
        <v>3254.2644699519233</v>
      </c>
      <c r="H155" s="25">
        <f>IF(B155&lt;62,0,'Combined Retirement'!$I$14)</f>
        <v>2345</v>
      </c>
      <c r="I155" s="25">
        <f>IF(C155&lt;62,0,'Combined Retirement'!$I$13)</f>
        <v>2420</v>
      </c>
      <c r="J155" s="25">
        <f t="shared" si="3"/>
        <v>8395.6297298201844</v>
      </c>
      <c r="K155" s="25">
        <f t="shared" si="4"/>
        <v>21655.303514578787</v>
      </c>
      <c r="L155" s="25"/>
      <c r="N155" s="25">
        <f>'Combined Retirement'!$C$18/12</f>
        <v>40940.569999999992</v>
      </c>
      <c r="O155" s="25">
        <f t="shared" si="5"/>
        <v>10889.636755601023</v>
      </c>
      <c r="P155" s="25">
        <f t="shared" si="6"/>
        <v>30050.93324439897</v>
      </c>
      <c r="Q155" s="25">
        <f t="array" aca="1" ref="Q155" ca="1">INDEX('Isaac 401k'!L:L,MATCH('Retirement Calculator'!A155,'Isaac 401k'!N:N,0),0)</f>
        <v>1147496.9789022873</v>
      </c>
      <c r="R155" s="25">
        <f t="array" aca="1" ref="R155" ca="1">INDEX('Lorri 401b'!L:L,MATCH('Retirement Calculator'!A155,'Lorri 401b'!N:N,0),0)</f>
        <v>3661353.4196701655</v>
      </c>
      <c r="S155" s="25">
        <f t="shared" ca="1" si="7"/>
        <v>4808850.3985724524</v>
      </c>
    </row>
    <row r="156" spans="1:19" ht="15.75" customHeight="1" x14ac:dyDescent="0.25">
      <c r="A156" s="37">
        <v>55701</v>
      </c>
      <c r="B156" s="398">
        <f t="shared" ref="B156:C156" si="152">($A156-B$9)/365.25</f>
        <v>70.622861054072558</v>
      </c>
      <c r="C156" s="398">
        <f t="shared" si="152"/>
        <v>66.012320328542089</v>
      </c>
      <c r="E156" s="25">
        <f>IF(C156&gt;$B$7,0,'Combined Retirement'!$D$13/12)</f>
        <v>0</v>
      </c>
      <c r="F156" s="25">
        <f>IF(H156=0,'Combined Retirement'!$D$32,0)+'Combined Retirement'!$B$24</f>
        <v>2870.372285649099</v>
      </c>
      <c r="G156" s="25">
        <f>'Combined Retirement'!$C$24</f>
        <v>3254.2644699519233</v>
      </c>
      <c r="H156" s="25">
        <f>IF(B156&lt;62,0,'Combined Retirement'!$I$14)</f>
        <v>2345</v>
      </c>
      <c r="I156" s="25">
        <f>IF(C156&lt;62,0,'Combined Retirement'!$I$13)</f>
        <v>2420</v>
      </c>
      <c r="J156" s="25">
        <f t="shared" si="3"/>
        <v>8395.6297298201844</v>
      </c>
      <c r="K156" s="25">
        <f t="shared" si="4"/>
        <v>21655.303514578787</v>
      </c>
      <c r="L156" s="25"/>
      <c r="N156" s="25">
        <f>'Combined Retirement'!$C$18/12</f>
        <v>40940.569999999992</v>
      </c>
      <c r="O156" s="25">
        <f t="shared" si="5"/>
        <v>10889.636755601023</v>
      </c>
      <c r="P156" s="25">
        <f t="shared" si="6"/>
        <v>30050.93324439897</v>
      </c>
      <c r="Q156" s="25">
        <f t="array" aca="1" ref="Q156" ca="1">INDEX('Isaac 401k'!L:L,MATCH('Retirement Calculator'!A156,'Isaac 401k'!N:N,0),0)</f>
        <v>1143847.6047940191</v>
      </c>
      <c r="R156" s="25">
        <f t="array" aca="1" ref="R156" ca="1">INDEX('Lorri 401b'!L:L,MATCH('Retirement Calculator'!A156,'Lorri 401b'!N:N,0),0)</f>
        <v>3654863.5249729017</v>
      </c>
      <c r="S156" s="25">
        <f t="shared" ca="1" si="7"/>
        <v>4798711.1297669206</v>
      </c>
    </row>
    <row r="157" spans="1:19" ht="15.75" customHeight="1" x14ac:dyDescent="0.25">
      <c r="A157" s="37">
        <v>55732</v>
      </c>
      <c r="B157" s="398">
        <f t="shared" ref="B157:C157" si="153">($A157-B$9)/365.25</f>
        <v>70.707734428473643</v>
      </c>
      <c r="C157" s="398">
        <f t="shared" si="153"/>
        <v>66.097193702943187</v>
      </c>
      <c r="E157" s="25">
        <f>IF(C157&gt;$B$7,0,'Combined Retirement'!$D$13/12)</f>
        <v>0</v>
      </c>
      <c r="F157" s="25">
        <f>IF(H157=0,'Combined Retirement'!$D$32,0)+'Combined Retirement'!$B$24</f>
        <v>2870.372285649099</v>
      </c>
      <c r="G157" s="25">
        <f>'Combined Retirement'!$C$24</f>
        <v>3254.2644699519233</v>
      </c>
      <c r="H157" s="25">
        <f>IF(B157&lt;62,0,'Combined Retirement'!$I$14)</f>
        <v>2345</v>
      </c>
      <c r="I157" s="25">
        <f>IF(C157&lt;62,0,'Combined Retirement'!$I$13)</f>
        <v>2420</v>
      </c>
      <c r="J157" s="25">
        <f t="shared" si="3"/>
        <v>8395.6297298201844</v>
      </c>
      <c r="K157" s="25">
        <f t="shared" si="4"/>
        <v>21655.303514578787</v>
      </c>
      <c r="L157" s="25"/>
      <c r="N157" s="25">
        <f>'Combined Retirement'!$C$18/12</f>
        <v>40940.569999999992</v>
      </c>
      <c r="O157" s="25">
        <f t="shared" si="5"/>
        <v>10889.636755601023</v>
      </c>
      <c r="P157" s="25">
        <f t="shared" si="6"/>
        <v>30050.93324439897</v>
      </c>
      <c r="Q157" s="25">
        <f t="array" aca="1" ref="Q157" ca="1">INDEX('Isaac 401k'!L:L,MATCH('Retirement Calculator'!A157,'Isaac 401k'!N:N,0),0)</f>
        <v>1140183.0249602997</v>
      </c>
      <c r="R157" s="25">
        <f t="array" aca="1" ref="R157" ca="1">INDEX('Lorri 401b'!L:L,MATCH('Retirement Calculator'!A157,'Lorri 401b'!N:N,0),0)</f>
        <v>3648346.5890477323</v>
      </c>
      <c r="S157" s="25">
        <f t="shared" ca="1" si="7"/>
        <v>4788529.6140080318</v>
      </c>
    </row>
    <row r="158" spans="1:19" ht="15.75" customHeight="1" x14ac:dyDescent="0.25">
      <c r="A158" s="37">
        <v>55763</v>
      </c>
      <c r="B158" s="398">
        <f t="shared" ref="B158:C158" si="154">($A158-B$9)/365.25</f>
        <v>70.792607802874741</v>
      </c>
      <c r="C158" s="398">
        <f t="shared" si="154"/>
        <v>66.182067077344286</v>
      </c>
      <c r="E158" s="25">
        <f>IF(C158&gt;$B$7,0,'Combined Retirement'!$D$13/12)</f>
        <v>0</v>
      </c>
      <c r="F158" s="25">
        <f>IF(H158=0,'Combined Retirement'!$D$32,0)+'Combined Retirement'!$B$24</f>
        <v>2870.372285649099</v>
      </c>
      <c r="G158" s="25">
        <f>'Combined Retirement'!$C$24</f>
        <v>3254.2644699519233</v>
      </c>
      <c r="H158" s="25">
        <f>IF(B158&lt;62,0,'Combined Retirement'!$I$14)</f>
        <v>2345</v>
      </c>
      <c r="I158" s="25">
        <f>IF(C158&lt;62,0,'Combined Retirement'!$I$13)</f>
        <v>2420</v>
      </c>
      <c r="J158" s="25">
        <f t="shared" si="3"/>
        <v>8395.6297298201844</v>
      </c>
      <c r="K158" s="25">
        <f t="shared" si="4"/>
        <v>21655.303514578787</v>
      </c>
      <c r="L158" s="25"/>
      <c r="N158" s="25">
        <f>'Combined Retirement'!$C$18/12</f>
        <v>40940.569999999992</v>
      </c>
      <c r="O158" s="25">
        <f t="shared" si="5"/>
        <v>10889.636755601023</v>
      </c>
      <c r="P158" s="25">
        <f t="shared" si="6"/>
        <v>30050.93324439897</v>
      </c>
      <c r="Q158" s="25">
        <f t="array" aca="1" ref="Q158" ca="1">INDEX('Isaac 401k'!L:L,MATCH('Retirement Calculator'!A158,'Isaac 401k'!N:N,0),0)</f>
        <v>1136503.1760439398</v>
      </c>
      <c r="R158" s="25">
        <f t="array" aca="1" ref="R158" ca="1">INDEX('Lorri 401b'!L:L,MATCH('Retirement Calculator'!A158,'Lorri 401b'!N:N,0),0)</f>
        <v>3641802.4992228751</v>
      </c>
      <c r="S158" s="25">
        <f t="shared" ca="1" si="7"/>
        <v>4778305.6752668153</v>
      </c>
    </row>
    <row r="159" spans="1:19" ht="15.75" customHeight="1" x14ac:dyDescent="0.25">
      <c r="A159" s="37">
        <v>55793</v>
      </c>
      <c r="B159" s="398">
        <f t="shared" ref="B159:C159" si="155">($A159-B$9)/365.25</f>
        <v>70.874743326488712</v>
      </c>
      <c r="C159" s="398">
        <f t="shared" si="155"/>
        <v>66.264202600958242</v>
      </c>
      <c r="E159" s="25">
        <f>IF(C159&gt;$B$7,0,'Combined Retirement'!$D$13/12)</f>
        <v>0</v>
      </c>
      <c r="F159" s="25">
        <f>IF(H159=0,'Combined Retirement'!$D$32,0)+'Combined Retirement'!$B$24</f>
        <v>2870.372285649099</v>
      </c>
      <c r="G159" s="25">
        <f>'Combined Retirement'!$C$24</f>
        <v>3254.2644699519233</v>
      </c>
      <c r="H159" s="25">
        <f>IF(B159&lt;62,0,'Combined Retirement'!$I$14)</f>
        <v>2345</v>
      </c>
      <c r="I159" s="25">
        <f>IF(C159&lt;62,0,'Combined Retirement'!$I$13)</f>
        <v>2420</v>
      </c>
      <c r="J159" s="25">
        <f t="shared" si="3"/>
        <v>8395.6297298201844</v>
      </c>
      <c r="K159" s="25">
        <f t="shared" si="4"/>
        <v>21655.303514578787</v>
      </c>
      <c r="L159" s="25"/>
      <c r="N159" s="25">
        <f>'Combined Retirement'!$C$18/12</f>
        <v>40940.569999999992</v>
      </c>
      <c r="O159" s="25">
        <f t="shared" si="5"/>
        <v>10889.636755601023</v>
      </c>
      <c r="P159" s="25">
        <f t="shared" si="6"/>
        <v>30050.93324439897</v>
      </c>
      <c r="Q159" s="25">
        <f t="array" aca="1" ref="Q159" ca="1">INDEX('Isaac 401k'!L:L,MATCH('Retirement Calculator'!A159,'Isaac 401k'!N:N,0),0)</f>
        <v>1132807.9944237617</v>
      </c>
      <c r="R159" s="25">
        <f t="array" aca="1" ref="R159" ca="1">INDEX('Lorri 401b'!L:L,MATCH('Retirement Calculator'!A159,'Lorri 401b'!N:N,0),0)</f>
        <v>3635231.1423570807</v>
      </c>
      <c r="S159" s="25">
        <f t="shared" ca="1" si="7"/>
        <v>4768039.1367808422</v>
      </c>
    </row>
    <row r="160" spans="1:19" ht="15.75" customHeight="1" x14ac:dyDescent="0.25">
      <c r="A160" s="37">
        <v>55824</v>
      </c>
      <c r="B160" s="398">
        <f t="shared" ref="B160:C160" si="156">($A160-B$9)/365.25</f>
        <v>70.959616700889796</v>
      </c>
      <c r="C160" s="398">
        <f t="shared" si="156"/>
        <v>66.349075975359341</v>
      </c>
      <c r="E160" s="25">
        <f>IF(C160&gt;$B$7,0,'Combined Retirement'!$D$13/12)</f>
        <v>0</v>
      </c>
      <c r="F160" s="25">
        <f>IF(H160=0,'Combined Retirement'!$D$32,0)+'Combined Retirement'!$B$24</f>
        <v>2870.372285649099</v>
      </c>
      <c r="G160" s="25">
        <f>'Combined Retirement'!$C$24</f>
        <v>3254.2644699519233</v>
      </c>
      <c r="H160" s="25">
        <f>IF(B160&lt;62,0,'Combined Retirement'!$I$14)</f>
        <v>2345</v>
      </c>
      <c r="I160" s="25">
        <f>IF(C160&lt;62,0,'Combined Retirement'!$I$13)</f>
        <v>2420</v>
      </c>
      <c r="J160" s="25">
        <f t="shared" si="3"/>
        <v>8395.6297298201844</v>
      </c>
      <c r="K160" s="25">
        <f t="shared" si="4"/>
        <v>21655.303514578787</v>
      </c>
      <c r="L160" s="25"/>
      <c r="N160" s="25">
        <f>'Combined Retirement'!$C$18/12</f>
        <v>40940.569999999992</v>
      </c>
      <c r="O160" s="25">
        <f t="shared" si="5"/>
        <v>10889.636755601023</v>
      </c>
      <c r="P160" s="25">
        <f t="shared" si="6"/>
        <v>30050.93324439897</v>
      </c>
      <c r="Q160" s="25">
        <f t="array" aca="1" ref="Q160" ca="1">INDEX('Isaac 401k'!L:L,MATCH('Retirement Calculator'!A160,'Isaac 401k'!N:N,0),0)</f>
        <v>1129097.4162134996</v>
      </c>
      <c r="R160" s="25">
        <f t="array" aca="1" ref="R160" ca="1">INDEX('Lorri 401b'!L:L,MATCH('Retirement Calculator'!A160,'Lorri 401b'!N:N,0),0)</f>
        <v>3628632.4048376791</v>
      </c>
      <c r="S160" s="25">
        <f t="shared" ca="1" si="7"/>
        <v>4757729.8210511785</v>
      </c>
    </row>
    <row r="161" spans="1:19" ht="15.75" customHeight="1" x14ac:dyDescent="0.25">
      <c r="A161" s="37">
        <v>55854</v>
      </c>
      <c r="B161" s="398">
        <f t="shared" ref="B161:C161" si="157">($A161-B$9)/365.25</f>
        <v>71.041752224503767</v>
      </c>
      <c r="C161" s="398">
        <f t="shared" si="157"/>
        <v>66.431211498973312</v>
      </c>
      <c r="E161" s="25">
        <f>IF(C161&gt;$B$7,0,'Combined Retirement'!$D$13/12)</f>
        <v>0</v>
      </c>
      <c r="F161" s="25">
        <f>IF(H161=0,'Combined Retirement'!$D$32,0)+'Combined Retirement'!$B$24</f>
        <v>2870.372285649099</v>
      </c>
      <c r="G161" s="25">
        <f>'Combined Retirement'!$C$24</f>
        <v>3254.2644699519233</v>
      </c>
      <c r="H161" s="25">
        <f>IF(B161&lt;62,0,'Combined Retirement'!$I$14)</f>
        <v>2345</v>
      </c>
      <c r="I161" s="25">
        <f>IF(C161&lt;62,0,'Combined Retirement'!$I$13)</f>
        <v>2420</v>
      </c>
      <c r="J161" s="25">
        <f t="shared" si="3"/>
        <v>8395.6297298201844</v>
      </c>
      <c r="K161" s="25">
        <f t="shared" si="4"/>
        <v>21655.303514578787</v>
      </c>
      <c r="L161" s="25"/>
      <c r="N161" s="25">
        <f>'Combined Retirement'!$C$18/12</f>
        <v>40940.569999999992</v>
      </c>
      <c r="O161" s="25">
        <f t="shared" si="5"/>
        <v>10889.636755601023</v>
      </c>
      <c r="P161" s="25">
        <f t="shared" si="6"/>
        <v>30050.93324439897</v>
      </c>
      <c r="Q161" s="25">
        <f t="array" aca="1" ref="Q161" ca="1">INDEX('Isaac 401k'!L:L,MATCH('Retirement Calculator'!A161,'Isaac 401k'!N:N,0),0)</f>
        <v>1125371.3772606947</v>
      </c>
      <c r="R161" s="25">
        <f t="array" aca="1" ref="R161" ca="1">INDEX('Lorri 401b'!L:L,MATCH('Retirement Calculator'!A161,'Lorri 401b'!N:N,0),0)</f>
        <v>3622006.1725786133</v>
      </c>
      <c r="S161" s="25">
        <f t="shared" ca="1" si="7"/>
        <v>4747377.5498393085</v>
      </c>
    </row>
    <row r="162" spans="1:19" ht="15.75" customHeight="1" x14ac:dyDescent="0.25">
      <c r="A162" s="37">
        <v>55885</v>
      </c>
      <c r="B162" s="398">
        <f t="shared" ref="B162:C162" si="158">($A162-B$9)/365.25</f>
        <v>71.126625598904866</v>
      </c>
      <c r="C162" s="398">
        <f t="shared" si="158"/>
        <v>66.516084873374396</v>
      </c>
      <c r="E162" s="25">
        <f>IF(C162&gt;$B$7,0,'Combined Retirement'!$D$13/12)</f>
        <v>0</v>
      </c>
      <c r="F162" s="25">
        <f>IF(H162=0,'Combined Retirement'!$D$32,0)+'Combined Retirement'!$B$24</f>
        <v>2870.372285649099</v>
      </c>
      <c r="G162" s="25">
        <f>'Combined Retirement'!$C$24</f>
        <v>3254.2644699519233</v>
      </c>
      <c r="H162" s="25">
        <f>IF(B162&lt;62,0,'Combined Retirement'!$I$14)</f>
        <v>2345</v>
      </c>
      <c r="I162" s="25">
        <f>IF(C162&lt;62,0,'Combined Retirement'!$I$13)</f>
        <v>2420</v>
      </c>
      <c r="J162" s="25">
        <f t="shared" si="3"/>
        <v>8395.6297298201844</v>
      </c>
      <c r="K162" s="25">
        <f t="shared" si="4"/>
        <v>21655.303514578787</v>
      </c>
      <c r="L162" s="25"/>
      <c r="N162" s="25">
        <f>'Combined Retirement'!$C$18/12</f>
        <v>40940.569999999992</v>
      </c>
      <c r="O162" s="25">
        <f t="shared" si="5"/>
        <v>10889.636755601023</v>
      </c>
      <c r="P162" s="25">
        <f t="shared" si="6"/>
        <v>30050.93324439897</v>
      </c>
      <c r="Q162" s="25">
        <f t="array" aca="1" ref="Q162" ca="1">INDEX('Isaac 401k'!L:L,MATCH('Retirement Calculator'!A162,'Isaac 401k'!N:N,0),0)</f>
        <v>1121629.8131455865</v>
      </c>
      <c r="R162" s="25">
        <f t="array" aca="1" ref="R162" ca="1">INDEX('Lorri 401b'!L:L,MATCH('Retirement Calculator'!A162,'Lorri 401b'!N:N,0),0)</f>
        <v>3615352.3310184679</v>
      </c>
      <c r="S162" s="25">
        <f t="shared" ca="1" si="7"/>
        <v>4736982.1441640547</v>
      </c>
    </row>
    <row r="163" spans="1:19" ht="15.75" customHeight="1" x14ac:dyDescent="0.25">
      <c r="A163" s="37">
        <v>55916</v>
      </c>
      <c r="B163" s="398">
        <f t="shared" ref="B163:C163" si="159">($A163-B$9)/365.25</f>
        <v>71.21149897330595</v>
      </c>
      <c r="C163" s="398">
        <f t="shared" si="159"/>
        <v>66.600958247775495</v>
      </c>
      <c r="E163" s="25">
        <f>IF(C163&gt;$B$7,0,'Combined Retirement'!$D$13/12)</f>
        <v>0</v>
      </c>
      <c r="F163" s="25">
        <f>IF(H163=0,'Combined Retirement'!$D$32,0)+'Combined Retirement'!$B$24</f>
        <v>2870.372285649099</v>
      </c>
      <c r="G163" s="25">
        <f>'Combined Retirement'!$C$24</f>
        <v>3254.2644699519233</v>
      </c>
      <c r="H163" s="25">
        <f>IF(B163&lt;62,0,'Combined Retirement'!$I$14)</f>
        <v>2345</v>
      </c>
      <c r="I163" s="25">
        <f>IF(C163&lt;62,0,'Combined Retirement'!$I$13)</f>
        <v>2420</v>
      </c>
      <c r="J163" s="25">
        <f t="shared" si="3"/>
        <v>8395.6297298201844</v>
      </c>
      <c r="K163" s="25">
        <f t="shared" si="4"/>
        <v>21655.303514578787</v>
      </c>
      <c r="L163" s="25"/>
      <c r="N163" s="25">
        <f>'Combined Retirement'!$C$18/12</f>
        <v>40940.569999999992</v>
      </c>
      <c r="O163" s="25">
        <f t="shared" si="5"/>
        <v>10889.636755601023</v>
      </c>
      <c r="P163" s="25">
        <f t="shared" si="6"/>
        <v>30050.93324439897</v>
      </c>
      <c r="Q163" s="25">
        <f t="array" aca="1" ref="Q163" ca="1">INDEX('Isaac 401k'!L:L,MATCH('Retirement Calculator'!A163,'Isaac 401k'!N:N,0),0)</f>
        <v>1117872.6591799988</v>
      </c>
      <c r="R163" s="25">
        <f t="array" aca="1" ref="R163" ca="1">INDEX('Lorri 401b'!L:L,MATCH('Retirement Calculator'!A163,'Lorri 401b'!N:N,0),0)</f>
        <v>3608670.7651184886</v>
      </c>
      <c r="S163" s="25">
        <f t="shared" ca="1" si="7"/>
        <v>4726543.4242984876</v>
      </c>
    </row>
    <row r="164" spans="1:19" ht="15.75" customHeight="1" x14ac:dyDescent="0.25">
      <c r="A164" s="37">
        <v>55944</v>
      </c>
      <c r="B164" s="398">
        <f t="shared" ref="B164:C164" si="160">($A164-B$9)/365.25</f>
        <v>71.288158795345652</v>
      </c>
      <c r="C164" s="398">
        <f t="shared" si="160"/>
        <v>66.677618069815196</v>
      </c>
      <c r="E164" s="25">
        <f>IF(C164&gt;$B$7,0,'Combined Retirement'!$D$13/12)</f>
        <v>0</v>
      </c>
      <c r="F164" s="25">
        <f>IF(H164=0,'Combined Retirement'!$D$32,0)+'Combined Retirement'!$B$24</f>
        <v>2870.372285649099</v>
      </c>
      <c r="G164" s="25">
        <f>'Combined Retirement'!$C$24</f>
        <v>3254.2644699519233</v>
      </c>
      <c r="H164" s="25">
        <f>IF(B164&lt;62,0,'Combined Retirement'!$I$14)</f>
        <v>2345</v>
      </c>
      <c r="I164" s="25">
        <f>IF(C164&lt;62,0,'Combined Retirement'!$I$13)</f>
        <v>2420</v>
      </c>
      <c r="J164" s="25">
        <f t="shared" si="3"/>
        <v>8395.6297298201844</v>
      </c>
      <c r="K164" s="25">
        <f t="shared" si="4"/>
        <v>21655.303514578787</v>
      </c>
      <c r="L164" s="25"/>
      <c r="N164" s="25">
        <f>'Combined Retirement'!$C$18/12</f>
        <v>40940.569999999992</v>
      </c>
      <c r="O164" s="25">
        <f t="shared" si="5"/>
        <v>10889.636755601023</v>
      </c>
      <c r="P164" s="25">
        <f t="shared" si="6"/>
        <v>30050.93324439897</v>
      </c>
      <c r="Q164" s="25">
        <f t="array" aca="1" ref="Q164" ca="1">INDEX('Isaac 401k'!L:L,MATCH('Retirement Calculator'!A164,'Isaac 401k'!N:N,0),0)</f>
        <v>1114099.8504062211</v>
      </c>
      <c r="R164" s="25">
        <f t="array" aca="1" ref="R164" ca="1">INDEX('Lorri 401b'!L:L,MATCH('Retirement Calculator'!A164,'Lorri 401b'!N:N,0),0)</f>
        <v>3601961.3593605929</v>
      </c>
      <c r="S164" s="25">
        <f t="shared" ca="1" si="7"/>
        <v>4716061.2097668145</v>
      </c>
    </row>
    <row r="165" spans="1:19" ht="15.75" customHeight="1" x14ac:dyDescent="0.25">
      <c r="A165" s="37">
        <v>55975</v>
      </c>
      <c r="B165" s="398">
        <f t="shared" ref="B165:C165" si="161">($A165-B$9)/365.25</f>
        <v>71.37303216974675</v>
      </c>
      <c r="C165" s="398">
        <f t="shared" si="161"/>
        <v>66.762491444216295</v>
      </c>
      <c r="E165" s="25">
        <f>IF(C165&gt;$B$7,0,'Combined Retirement'!$D$13/12)</f>
        <v>0</v>
      </c>
      <c r="F165" s="25">
        <f>IF(H165=0,'Combined Retirement'!$D$32,0)+'Combined Retirement'!$B$24</f>
        <v>2870.372285649099</v>
      </c>
      <c r="G165" s="25">
        <f>'Combined Retirement'!$C$24</f>
        <v>3254.2644699519233</v>
      </c>
      <c r="H165" s="25">
        <f>IF(B165&lt;62,0,'Combined Retirement'!$I$14)</f>
        <v>2345</v>
      </c>
      <c r="I165" s="25">
        <f>IF(C165&lt;62,0,'Combined Retirement'!$I$13)</f>
        <v>2420</v>
      </c>
      <c r="J165" s="25">
        <f t="shared" si="3"/>
        <v>8395.6297298201844</v>
      </c>
      <c r="K165" s="25">
        <f t="shared" si="4"/>
        <v>21655.303514578787</v>
      </c>
      <c r="L165" s="25"/>
      <c r="N165" s="25">
        <f>'Combined Retirement'!$C$18/12</f>
        <v>40940.569999999992</v>
      </c>
      <c r="O165" s="25">
        <f t="shared" si="5"/>
        <v>10889.636755601023</v>
      </c>
      <c r="P165" s="25">
        <f t="shared" si="6"/>
        <v>30050.93324439897</v>
      </c>
      <c r="Q165" s="25">
        <f t="array" aca="1" ref="Q165" ca="1">INDEX('Isaac 401k'!L:L,MATCH('Retirement Calculator'!A165,'Isaac 401k'!N:N,0),0)</f>
        <v>1110311.321595886</v>
      </c>
      <c r="R165" s="25">
        <f t="array" aca="1" ref="R165" ca="1">INDEX('Lorri 401b'!L:L,MATCH('Retirement Calculator'!A165,'Lorri 401b'!N:N,0),0)</f>
        <v>3595223.9977453724</v>
      </c>
      <c r="S165" s="25">
        <f t="shared" ca="1" si="7"/>
        <v>4705535.3193412581</v>
      </c>
    </row>
    <row r="166" spans="1:19" ht="15.75" customHeight="1" x14ac:dyDescent="0.25">
      <c r="A166" s="37">
        <v>56005</v>
      </c>
      <c r="B166" s="398">
        <f t="shared" ref="B166:C166" si="162">($A166-B$9)/365.25</f>
        <v>71.455167693360707</v>
      </c>
      <c r="C166" s="398">
        <f t="shared" si="162"/>
        <v>66.844626967830251</v>
      </c>
      <c r="E166" s="25">
        <f>IF(C166&gt;$B$7,0,'Combined Retirement'!$D$13/12)</f>
        <v>0</v>
      </c>
      <c r="F166" s="25">
        <f>IF(H166=0,'Combined Retirement'!$D$32,0)+'Combined Retirement'!$B$24</f>
        <v>2870.372285649099</v>
      </c>
      <c r="G166" s="25">
        <f>'Combined Retirement'!$C$24</f>
        <v>3254.2644699519233</v>
      </c>
      <c r="H166" s="25">
        <f>IF(B166&lt;62,0,'Combined Retirement'!$I$14)</f>
        <v>2345</v>
      </c>
      <c r="I166" s="25">
        <f>IF(C166&lt;62,0,'Combined Retirement'!$I$13)</f>
        <v>2420</v>
      </c>
      <c r="J166" s="25">
        <f t="shared" si="3"/>
        <v>8395.6297298201844</v>
      </c>
      <c r="K166" s="25">
        <f t="shared" si="4"/>
        <v>21655.303514578787</v>
      </c>
      <c r="L166" s="25"/>
      <c r="N166" s="25">
        <f>'Combined Retirement'!$C$18/12</f>
        <v>40940.569999999992</v>
      </c>
      <c r="O166" s="25">
        <f t="shared" si="5"/>
        <v>10889.636755601023</v>
      </c>
      <c r="P166" s="25">
        <f t="shared" si="6"/>
        <v>30050.93324439897</v>
      </c>
      <c r="Q166" s="25">
        <f t="array" aca="1" ref="Q166" ca="1">INDEX('Isaac 401k'!L:L,MATCH('Retirement Calculator'!A166,'Isaac 401k'!N:N,0),0)</f>
        <v>1106507.0072488412</v>
      </c>
      <c r="R166" s="25">
        <f t="array" aca="1" ref="R166" ca="1">INDEX('Lorri 401b'!L:L,MATCH('Retirement Calculator'!A166,'Lorri 401b'!N:N,0),0)</f>
        <v>3588458.5637900885</v>
      </c>
      <c r="S166" s="25">
        <f t="shared" ca="1" si="7"/>
        <v>4694965.5710389297</v>
      </c>
    </row>
    <row r="167" spans="1:19" ht="15.75" customHeight="1" x14ac:dyDescent="0.25">
      <c r="A167" s="37">
        <v>56036</v>
      </c>
      <c r="B167" s="398">
        <f t="shared" ref="B167:C167" si="163">($A167-B$9)/365.25</f>
        <v>71.540041067761805</v>
      </c>
      <c r="C167" s="398">
        <f t="shared" si="163"/>
        <v>66.92950034223135</v>
      </c>
      <c r="E167" s="25">
        <f>IF(C167&gt;$B$7,0,'Combined Retirement'!$D$13/12)</f>
        <v>0</v>
      </c>
      <c r="F167" s="25">
        <f>IF(H167=0,'Combined Retirement'!$D$32,0)+'Combined Retirement'!$B$24</f>
        <v>2870.372285649099</v>
      </c>
      <c r="G167" s="25">
        <f>'Combined Retirement'!$C$24</f>
        <v>3254.2644699519233</v>
      </c>
      <c r="H167" s="25">
        <f>IF(B167&lt;62,0,'Combined Retirement'!$I$14)</f>
        <v>2345</v>
      </c>
      <c r="I167" s="25">
        <f>IF(C167&lt;62,0,'Combined Retirement'!$I$13)</f>
        <v>2420</v>
      </c>
      <c r="J167" s="25">
        <f t="shared" si="3"/>
        <v>8395.6297298201844</v>
      </c>
      <c r="K167" s="25">
        <f t="shared" si="4"/>
        <v>21655.303514578787</v>
      </c>
      <c r="L167" s="25"/>
      <c r="N167" s="25">
        <f>'Combined Retirement'!$C$18/12</f>
        <v>40940.569999999992</v>
      </c>
      <c r="O167" s="25">
        <f t="shared" si="5"/>
        <v>10889.636755601023</v>
      </c>
      <c r="P167" s="25">
        <f t="shared" si="6"/>
        <v>30050.93324439897</v>
      </c>
      <c r="Q167" s="25">
        <f t="array" aca="1" ref="Q167" ca="1">INDEX('Isaac 401k'!L:L,MATCH('Retirement Calculator'!A167,'Isaac 401k'!N:N,0),0)</f>
        <v>1102686.8415920169</v>
      </c>
      <c r="R167" s="25">
        <f t="array" aca="1" ref="R167" ca="1">INDEX('Lorri 401b'!L:L,MATCH('Retirement Calculator'!A167,'Lorri 401b'!N:N,0),0)</f>
        <v>3581664.9405266577</v>
      </c>
      <c r="S167" s="25">
        <f t="shared" ca="1" si="7"/>
        <v>4684351.7821186744</v>
      </c>
    </row>
    <row r="168" spans="1:19" ht="15.75" customHeight="1" x14ac:dyDescent="0.25">
      <c r="A168" s="37">
        <v>56066</v>
      </c>
      <c r="B168" s="398">
        <f t="shared" ref="B168:C168" si="164">($A168-B$9)/365.25</f>
        <v>71.622176591375776</v>
      </c>
      <c r="C168" s="398">
        <f t="shared" si="164"/>
        <v>67.011635865845307</v>
      </c>
      <c r="E168" s="25">
        <f>IF(C168&gt;$B$7,0,'Combined Retirement'!$D$13/12)</f>
        <v>0</v>
      </c>
      <c r="F168" s="25">
        <f>IF(H168=0,'Combined Retirement'!$D$32,0)+'Combined Retirement'!$B$24</f>
        <v>2870.372285649099</v>
      </c>
      <c r="G168" s="25">
        <f>'Combined Retirement'!$C$24</f>
        <v>3254.2644699519233</v>
      </c>
      <c r="H168" s="25">
        <f>IF(B168&lt;62,0,'Combined Retirement'!$I$14)</f>
        <v>2345</v>
      </c>
      <c r="I168" s="25">
        <f>IF(C168&lt;62,0,'Combined Retirement'!$I$13)</f>
        <v>2420</v>
      </c>
      <c r="J168" s="25">
        <f t="shared" si="3"/>
        <v>8395.6297298201844</v>
      </c>
      <c r="K168" s="25">
        <f t="shared" si="4"/>
        <v>21655.303514578787</v>
      </c>
      <c r="L168" s="25"/>
      <c r="N168" s="25">
        <f>'Combined Retirement'!$C$18/12</f>
        <v>40940.569999999992</v>
      </c>
      <c r="O168" s="25">
        <f t="shared" si="5"/>
        <v>10889.636755601023</v>
      </c>
      <c r="P168" s="25">
        <f t="shared" si="6"/>
        <v>30050.93324439897</v>
      </c>
      <c r="Q168" s="25">
        <f t="array" aca="1" ref="Q168" ca="1">INDEX('Isaac 401k'!L:L,MATCH('Retirement Calculator'!A168,'Isaac 401k'!N:N,0),0)</f>
        <v>1098850.7585782891</v>
      </c>
      <c r="R168" s="25">
        <f t="array" aca="1" ref="R168" ca="1">INDEX('Lorri 401b'!L:L,MATCH('Retirement Calculator'!A168,'Lorri 401b'!N:N,0),0)</f>
        <v>3574843.0104996292</v>
      </c>
      <c r="S168" s="25">
        <f t="shared" ca="1" si="7"/>
        <v>4673693.7690779185</v>
      </c>
    </row>
    <row r="169" spans="1:19" ht="15.75" customHeight="1" x14ac:dyDescent="0.25">
      <c r="A169" s="37">
        <v>56097</v>
      </c>
      <c r="B169" s="398">
        <f t="shared" ref="B169:C169" si="165">($A169-B$9)/365.25</f>
        <v>71.707049965776861</v>
      </c>
      <c r="C169" s="398">
        <f t="shared" si="165"/>
        <v>67.096509240246405</v>
      </c>
      <c r="E169" s="25">
        <f>IF(C169&gt;$B$7,0,'Combined Retirement'!$D$13/12)</f>
        <v>0</v>
      </c>
      <c r="F169" s="25">
        <f>IF(H169=0,'Combined Retirement'!$D$32,0)+'Combined Retirement'!$B$24</f>
        <v>2870.372285649099</v>
      </c>
      <c r="G169" s="25">
        <f>'Combined Retirement'!$C$24</f>
        <v>3254.2644699519233</v>
      </c>
      <c r="H169" s="25">
        <f>IF(B169&lt;62,0,'Combined Retirement'!$I$14)</f>
        <v>2345</v>
      </c>
      <c r="I169" s="25">
        <f>IF(C169&lt;62,0,'Combined Retirement'!$I$13)</f>
        <v>2420</v>
      </c>
      <c r="J169" s="25">
        <f t="shared" si="3"/>
        <v>8395.6297298201844</v>
      </c>
      <c r="K169" s="25">
        <f t="shared" si="4"/>
        <v>21655.303514578787</v>
      </c>
      <c r="L169" s="25"/>
      <c r="N169" s="25">
        <f>'Combined Retirement'!$C$18/12</f>
        <v>40940.569999999992</v>
      </c>
      <c r="O169" s="25">
        <f t="shared" si="5"/>
        <v>10889.636755601023</v>
      </c>
      <c r="P169" s="25">
        <f t="shared" si="6"/>
        <v>30050.93324439897</v>
      </c>
      <c r="Q169" s="25">
        <f t="array" aca="1" ref="Q169" ca="1">INDEX('Isaac 401k'!L:L,MATCH('Retirement Calculator'!A169,'Isaac 401k'!N:N,0),0)</f>
        <v>1094998.6918853375</v>
      </c>
      <c r="R169" s="25">
        <f t="array" aca="1" ref="R169" ca="1">INDEX('Lorri 401b'!L:L,MATCH('Retirement Calculator'!A169,'Lorri 401b'!N:N,0),0)</f>
        <v>3567992.6557641546</v>
      </c>
      <c r="S169" s="25">
        <f t="shared" ca="1" si="7"/>
        <v>4662991.3476494923</v>
      </c>
    </row>
    <row r="170" spans="1:19" ht="15.75" customHeight="1" x14ac:dyDescent="0.25">
      <c r="A170" s="37">
        <v>56128</v>
      </c>
      <c r="B170" s="398">
        <f t="shared" ref="B170:C170" si="166">($A170-B$9)/365.25</f>
        <v>71.791923340177959</v>
      </c>
      <c r="C170" s="398">
        <f t="shared" si="166"/>
        <v>67.181382614647504</v>
      </c>
      <c r="E170" s="25">
        <f>IF(C170&gt;$B$7,0,'Combined Retirement'!$D$13/12)</f>
        <v>0</v>
      </c>
      <c r="F170" s="25">
        <f>IF(H170=0,'Combined Retirement'!$D$32,0)+'Combined Retirement'!$B$24</f>
        <v>2870.372285649099</v>
      </c>
      <c r="G170" s="25">
        <f>'Combined Retirement'!$C$24</f>
        <v>3254.2644699519233</v>
      </c>
      <c r="H170" s="25">
        <f>IF(B170&lt;62,0,'Combined Retirement'!$I$14)</f>
        <v>2345</v>
      </c>
      <c r="I170" s="25">
        <f>IF(C170&lt;62,0,'Combined Retirement'!$I$13)</f>
        <v>2420</v>
      </c>
      <c r="J170" s="25">
        <f t="shared" si="3"/>
        <v>8395.6297298201844</v>
      </c>
      <c r="K170" s="25">
        <f t="shared" si="4"/>
        <v>21655.303514578787</v>
      </c>
      <c r="L170" s="25"/>
      <c r="N170" s="25">
        <f>'Combined Retirement'!$C$18/12</f>
        <v>40940.569999999992</v>
      </c>
      <c r="O170" s="25">
        <f t="shared" si="5"/>
        <v>10889.636755601023</v>
      </c>
      <c r="P170" s="25">
        <f t="shared" si="6"/>
        <v>30050.93324439897</v>
      </c>
      <c r="Q170" s="25">
        <f t="array" aca="1" ref="Q170" ca="1">INDEX('Isaac 401k'!L:L,MATCH('Retirement Calculator'!A170,'Isaac 401k'!N:N,0),0)</f>
        <v>1091130.5749144987</v>
      </c>
      <c r="R170" s="25">
        <f t="array" aca="1" ref="R170" ca="1">INDEX('Lorri 401b'!L:L,MATCH('Retirement Calculator'!A170,'Lorri 401b'!N:N,0),0)</f>
        <v>3561113.7578839492</v>
      </c>
      <c r="S170" s="25">
        <f t="shared" ca="1" si="7"/>
        <v>4652244.3327984475</v>
      </c>
    </row>
    <row r="171" spans="1:19" ht="15.75" customHeight="1" x14ac:dyDescent="0.25">
      <c r="A171" s="37">
        <v>56158</v>
      </c>
      <c r="B171" s="398">
        <f t="shared" ref="B171:C171" si="167">($A171-B$9)/365.25</f>
        <v>71.87405886379193</v>
      </c>
      <c r="C171" s="398">
        <f t="shared" si="167"/>
        <v>67.26351813826146</v>
      </c>
      <c r="E171" s="25">
        <f>IF(C171&gt;$B$7,0,'Combined Retirement'!$D$13/12)</f>
        <v>0</v>
      </c>
      <c r="F171" s="25">
        <f>IF(H171=0,'Combined Retirement'!$D$32,0)+'Combined Retirement'!$B$24</f>
        <v>2870.372285649099</v>
      </c>
      <c r="G171" s="25">
        <f>'Combined Retirement'!$C$24</f>
        <v>3254.2644699519233</v>
      </c>
      <c r="H171" s="25">
        <f>IF(B171&lt;62,0,'Combined Retirement'!$I$14)</f>
        <v>2345</v>
      </c>
      <c r="I171" s="25">
        <f>IF(C171&lt;62,0,'Combined Retirement'!$I$13)</f>
        <v>2420</v>
      </c>
      <c r="J171" s="25">
        <f t="shared" si="3"/>
        <v>8395.6297298201844</v>
      </c>
      <c r="K171" s="25">
        <f t="shared" si="4"/>
        <v>21655.303514578787</v>
      </c>
      <c r="L171" s="25"/>
      <c r="N171" s="25">
        <f>'Combined Retirement'!$C$18/12</f>
        <v>40940.569999999992</v>
      </c>
      <c r="O171" s="25">
        <f t="shared" si="5"/>
        <v>10889.636755601023</v>
      </c>
      <c r="P171" s="25">
        <f t="shared" si="6"/>
        <v>30050.93324439897</v>
      </c>
      <c r="Q171" s="25">
        <f t="array" aca="1" ref="Q171" ca="1">INDEX('Isaac 401k'!L:L,MATCH('Retirement Calculator'!A171,'Isaac 401k'!N:N,0),0)</f>
        <v>1087246.3407896147</v>
      </c>
      <c r="R171" s="25">
        <f t="array" aca="1" ref="R171" ca="1">INDEX('Lorri 401b'!L:L,MATCH('Retirement Calculator'!A171,'Lorri 401b'!N:N,0),0)</f>
        <v>3554206.1979292426</v>
      </c>
      <c r="S171" s="25">
        <f t="shared" ca="1" si="7"/>
        <v>4641452.5387188569</v>
      </c>
    </row>
    <row r="172" spans="1:19" ht="15.75" customHeight="1" x14ac:dyDescent="0.25">
      <c r="A172" s="37">
        <v>56189</v>
      </c>
      <c r="B172" s="398">
        <f t="shared" ref="B172:C172" si="168">($A172-B$9)/365.25</f>
        <v>71.958932238193015</v>
      </c>
      <c r="C172" s="398">
        <f t="shared" si="168"/>
        <v>67.348391512662559</v>
      </c>
      <c r="E172" s="25">
        <f>IF(C172&gt;$B$7,0,'Combined Retirement'!$D$13/12)</f>
        <v>0</v>
      </c>
      <c r="F172" s="25">
        <f>IF(H172=0,'Combined Retirement'!$D$32,0)+'Combined Retirement'!$B$24</f>
        <v>2870.372285649099</v>
      </c>
      <c r="G172" s="25">
        <f>'Combined Retirement'!$C$24</f>
        <v>3254.2644699519233</v>
      </c>
      <c r="H172" s="25">
        <f>IF(B172&lt;62,0,'Combined Retirement'!$I$14)</f>
        <v>2345</v>
      </c>
      <c r="I172" s="25">
        <f>IF(C172&lt;62,0,'Combined Retirement'!$I$13)</f>
        <v>2420</v>
      </c>
      <c r="J172" s="25">
        <f t="shared" si="3"/>
        <v>8395.6297298201844</v>
      </c>
      <c r="K172" s="25">
        <f t="shared" si="4"/>
        <v>21655.303514578787</v>
      </c>
      <c r="L172" s="25"/>
      <c r="N172" s="25">
        <f>'Combined Retirement'!$C$18/12</f>
        <v>40940.569999999992</v>
      </c>
      <c r="O172" s="25">
        <f t="shared" si="5"/>
        <v>10889.636755601023</v>
      </c>
      <c r="P172" s="25">
        <f t="shared" si="6"/>
        <v>30050.93324439897</v>
      </c>
      <c r="Q172" s="25">
        <f t="array" aca="1" ref="Q172" ca="1">INDEX('Isaac 401k'!L:L,MATCH('Retirement Calculator'!A172,'Isaac 401k'!N:N,0),0)</f>
        <v>1083345.922355877</v>
      </c>
      <c r="R172" s="25">
        <f t="array" aca="1" ref="R172" ca="1">INDEX('Lorri 401b'!L:L,MATCH('Retirement Calculator'!A172,'Lorri 401b'!N:N,0),0)</f>
        <v>3547269.8564747251</v>
      </c>
      <c r="S172" s="25">
        <f t="shared" ca="1" si="7"/>
        <v>4630615.7788306018</v>
      </c>
    </row>
    <row r="173" spans="1:19" ht="15.75" customHeight="1" x14ac:dyDescent="0.25">
      <c r="A173" s="37">
        <v>56219</v>
      </c>
      <c r="B173" s="398">
        <f t="shared" ref="B173:C173" si="169">($A173-B$9)/365.25</f>
        <v>72.041067761806985</v>
      </c>
      <c r="C173" s="398">
        <f t="shared" si="169"/>
        <v>67.43052703627653</v>
      </c>
      <c r="E173" s="25">
        <f>IF(C173&gt;$B$7,0,'Combined Retirement'!$D$13/12)</f>
        <v>0</v>
      </c>
      <c r="F173" s="25">
        <f>IF(H173=0,'Combined Retirement'!$D$32,0)+'Combined Retirement'!$B$24</f>
        <v>2870.372285649099</v>
      </c>
      <c r="G173" s="25">
        <f>'Combined Retirement'!$C$24</f>
        <v>3254.2644699519233</v>
      </c>
      <c r="H173" s="25">
        <f>IF(B173&lt;62,0,'Combined Retirement'!$I$14)</f>
        <v>2345</v>
      </c>
      <c r="I173" s="25">
        <f>IF(C173&lt;62,0,'Combined Retirement'!$I$13)</f>
        <v>2420</v>
      </c>
      <c r="J173" s="25">
        <f t="shared" si="3"/>
        <v>8395.6297298201844</v>
      </c>
      <c r="K173" s="25">
        <f t="shared" si="4"/>
        <v>21655.303514578787</v>
      </c>
      <c r="L173" s="25"/>
      <c r="N173" s="25">
        <f>'Combined Retirement'!$C$18/12</f>
        <v>40940.569999999992</v>
      </c>
      <c r="O173" s="25">
        <f t="shared" si="5"/>
        <v>10889.636755601023</v>
      </c>
      <c r="P173" s="25">
        <f t="shared" si="6"/>
        <v>30050.93324439897</v>
      </c>
      <c r="Q173" s="25">
        <f t="array" aca="1" ref="Q173" ca="1">INDEX('Isaac 401k'!L:L,MATCH('Retirement Calculator'!A173,'Isaac 401k'!N:N,0),0)</f>
        <v>1079429.2521786655</v>
      </c>
      <c r="R173" s="25">
        <f t="array" aca="1" ref="R173" ca="1">INDEX('Lorri 401b'!L:L,MATCH('Retirement Calculator'!A173,'Lorri 401b'!N:N,0),0)</f>
        <v>3540304.6135974801</v>
      </c>
      <c r="S173" s="25">
        <f t="shared" ca="1" si="7"/>
        <v>4619733.8657761458</v>
      </c>
    </row>
    <row r="174" spans="1:19" ht="15.75" customHeight="1" x14ac:dyDescent="0.25">
      <c r="A174" s="37">
        <v>56250</v>
      </c>
      <c r="B174" s="398">
        <f t="shared" ref="B174:C174" si="170">($A174-B$9)/365.25</f>
        <v>72.12594113620807</v>
      </c>
      <c r="C174" s="398">
        <f t="shared" si="170"/>
        <v>67.515400410677614</v>
      </c>
      <c r="E174" s="25">
        <f>IF(C174&gt;$B$7,0,'Combined Retirement'!$D$13/12)</f>
        <v>0</v>
      </c>
      <c r="F174" s="25">
        <f>IF(H174=0,'Combined Retirement'!$D$32,0)+'Combined Retirement'!$B$24</f>
        <v>2870.372285649099</v>
      </c>
      <c r="G174" s="25">
        <f>'Combined Retirement'!$C$24</f>
        <v>3254.2644699519233</v>
      </c>
      <c r="H174" s="25">
        <f>IF(B174&lt;62,0,'Combined Retirement'!$I$14)</f>
        <v>2345</v>
      </c>
      <c r="I174" s="25">
        <f>IF(C174&lt;62,0,'Combined Retirement'!$I$13)</f>
        <v>2420</v>
      </c>
      <c r="J174" s="25">
        <f t="shared" si="3"/>
        <v>8395.6297298201844</v>
      </c>
      <c r="K174" s="25">
        <f t="shared" si="4"/>
        <v>21655.303514578787</v>
      </c>
      <c r="L174" s="25"/>
      <c r="N174" s="25">
        <f>'Combined Retirement'!$C$18/12</f>
        <v>40940.569999999992</v>
      </c>
      <c r="O174" s="25">
        <f t="shared" si="5"/>
        <v>10889.636755601023</v>
      </c>
      <c r="P174" s="25">
        <f t="shared" si="6"/>
        <v>30050.93324439897</v>
      </c>
      <c r="Q174" s="25">
        <f t="array" aca="1" ref="Q174" ca="1">INDEX('Isaac 401k'!L:L,MATCH('Retirement Calculator'!A174,'Isaac 401k'!N:N,0),0)</f>
        <v>1075496.2625423821</v>
      </c>
      <c r="R174" s="25">
        <f t="array" aca="1" ref="R174" ca="1">INDEX('Lorri 401b'!L:L,MATCH('Retirement Calculator'!A174,'Lorri 401b'!N:N,0),0)</f>
        <v>3533310.3488749135</v>
      </c>
      <c r="S174" s="25">
        <f t="shared" ca="1" si="7"/>
        <v>4608806.6114172954</v>
      </c>
    </row>
    <row r="175" spans="1:19" ht="15.75" customHeight="1" x14ac:dyDescent="0.25">
      <c r="A175" s="37">
        <v>56281</v>
      </c>
      <c r="B175" s="398">
        <f t="shared" ref="B175:C175" si="171">($A175-B$9)/365.25</f>
        <v>72.210814510609168</v>
      </c>
      <c r="C175" s="398">
        <f t="shared" si="171"/>
        <v>67.600273785078713</v>
      </c>
      <c r="E175" s="25">
        <f>IF(C175&gt;$B$7,0,'Combined Retirement'!$D$13/12)</f>
        <v>0</v>
      </c>
      <c r="F175" s="25">
        <f>IF(H175=0,'Combined Retirement'!$D$32,0)+'Combined Retirement'!$B$24</f>
        <v>2870.372285649099</v>
      </c>
      <c r="G175" s="25">
        <f>'Combined Retirement'!$C$24</f>
        <v>3254.2644699519233</v>
      </c>
      <c r="H175" s="25">
        <f>IF(B175&lt;62,0,'Combined Retirement'!$I$14)</f>
        <v>2345</v>
      </c>
      <c r="I175" s="25">
        <f>IF(C175&lt;62,0,'Combined Retirement'!$I$13)</f>
        <v>2420</v>
      </c>
      <c r="J175" s="25">
        <f t="shared" si="3"/>
        <v>8395.6297298201844</v>
      </c>
      <c r="K175" s="25">
        <f t="shared" si="4"/>
        <v>21655.303514578787</v>
      </c>
      <c r="L175" s="25"/>
      <c r="N175" s="25">
        <f>'Combined Retirement'!$C$18/12</f>
        <v>40940.569999999992</v>
      </c>
      <c r="O175" s="25">
        <f t="shared" si="5"/>
        <v>10889.636755601023</v>
      </c>
      <c r="P175" s="25">
        <f t="shared" si="6"/>
        <v>30050.93324439897</v>
      </c>
      <c r="Q175" s="25">
        <f t="array" aca="1" ref="Q175" ca="1">INDEX('Isaac 401k'!L:L,MATCH('Retirement Calculator'!A175,'Isaac 401k'!N:N,0),0)</f>
        <v>1071546.885449281</v>
      </c>
      <c r="R175" s="25">
        <f t="array" aca="1" ref="R175" ca="1">INDEX('Lorri 401b'!L:L,MATCH('Retirement Calculator'!A175,'Lorri 401b'!N:N,0),0)</f>
        <v>3526286.9413826694</v>
      </c>
      <c r="S175" s="25">
        <f t="shared" ca="1" si="7"/>
        <v>4597833.8268319499</v>
      </c>
    </row>
    <row r="176" spans="1:19" ht="15.75" customHeight="1" x14ac:dyDescent="0.25">
      <c r="A176" s="37">
        <v>56309</v>
      </c>
      <c r="B176" s="398">
        <f t="shared" ref="B176:C176" si="172">($A176-B$9)/365.25</f>
        <v>72.28747433264887</v>
      </c>
      <c r="C176" s="398">
        <f t="shared" si="172"/>
        <v>67.676933607118414</v>
      </c>
      <c r="E176" s="25">
        <f>IF(C176&gt;$B$7,0,'Combined Retirement'!$D$13/12)</f>
        <v>0</v>
      </c>
      <c r="F176" s="25">
        <f>IF(H176=0,'Combined Retirement'!$D$32,0)+'Combined Retirement'!$B$24</f>
        <v>2870.372285649099</v>
      </c>
      <c r="G176" s="25">
        <f>'Combined Retirement'!$C$24</f>
        <v>3254.2644699519233</v>
      </c>
      <c r="H176" s="25">
        <f>IF(B176&lt;62,0,'Combined Retirement'!$I$14)</f>
        <v>2345</v>
      </c>
      <c r="I176" s="25">
        <f>IF(C176&lt;62,0,'Combined Retirement'!$I$13)</f>
        <v>2420</v>
      </c>
      <c r="J176" s="25">
        <f t="shared" si="3"/>
        <v>8395.6297298201844</v>
      </c>
      <c r="K176" s="25">
        <f t="shared" si="4"/>
        <v>21655.303514578787</v>
      </c>
      <c r="L176" s="25"/>
      <c r="N176" s="25">
        <f>'Combined Retirement'!$C$18/12</f>
        <v>40940.569999999992</v>
      </c>
      <c r="O176" s="25">
        <f t="shared" si="5"/>
        <v>10889.636755601023</v>
      </c>
      <c r="P176" s="25">
        <f t="shared" si="6"/>
        <v>30050.93324439897</v>
      </c>
      <c r="Q176" s="25">
        <f t="array" aca="1" ref="Q176" ca="1">INDEX('Isaac 401k'!L:L,MATCH('Retirement Calculator'!A176,'Isaac 401k'!N:N,0),0)</f>
        <v>1067581.0526182919</v>
      </c>
      <c r="R176" s="25">
        <f t="array" aca="1" ref="R176" ca="1">INDEX('Lorri 401b'!L:L,MATCH('Retirement Calculator'!A176,'Lorri 401b'!N:N,0),0)</f>
        <v>3519234.2696925411</v>
      </c>
      <c r="S176" s="25">
        <f t="shared" ca="1" si="7"/>
        <v>4586815.3223108333</v>
      </c>
    </row>
    <row r="177" spans="1:19" ht="15.75" customHeight="1" x14ac:dyDescent="0.25">
      <c r="A177" s="37">
        <v>56340</v>
      </c>
      <c r="B177" s="398">
        <f t="shared" ref="B177:C177" si="173">($A177-B$9)/365.25</f>
        <v>72.372347707049968</v>
      </c>
      <c r="C177" s="398">
        <f t="shared" si="173"/>
        <v>67.761806981519513</v>
      </c>
      <c r="E177" s="25">
        <f>IF(C177&gt;$B$7,0,'Combined Retirement'!$D$13/12)</f>
        <v>0</v>
      </c>
      <c r="F177" s="25">
        <f>IF(H177=0,'Combined Retirement'!$D$32,0)+'Combined Retirement'!$B$24</f>
        <v>2870.372285649099</v>
      </c>
      <c r="G177" s="25">
        <f>'Combined Retirement'!$C$24</f>
        <v>3254.2644699519233</v>
      </c>
      <c r="H177" s="25">
        <f>IF(B177&lt;62,0,'Combined Retirement'!$I$14)</f>
        <v>2345</v>
      </c>
      <c r="I177" s="25">
        <f>IF(C177&lt;62,0,'Combined Retirement'!$I$13)</f>
        <v>2420</v>
      </c>
      <c r="J177" s="25">
        <f t="shared" si="3"/>
        <v>8395.6297298201844</v>
      </c>
      <c r="K177" s="25">
        <f t="shared" si="4"/>
        <v>21655.303514578787</v>
      </c>
      <c r="L177" s="25"/>
      <c r="N177" s="25">
        <f>'Combined Retirement'!$C$18/12</f>
        <v>40940.569999999992</v>
      </c>
      <c r="O177" s="25">
        <f t="shared" si="5"/>
        <v>10889.636755601023</v>
      </c>
      <c r="P177" s="25">
        <f t="shared" si="6"/>
        <v>30050.93324439897</v>
      </c>
      <c r="Q177" s="25">
        <f t="array" aca="1" ref="Q177" ca="1">INDEX('Isaac 401k'!L:L,MATCH('Retirement Calculator'!A177,'Isaac 401k'!N:N,0),0)</f>
        <v>1063598.6954838403</v>
      </c>
      <c r="R177" s="25">
        <f t="array" aca="1" ref="R177" ca="1">INDEX('Lorri 401b'!L:L,MATCH('Retirement Calculator'!A177,'Lorri 401b'!N:N,0),0)</f>
        <v>3512152.2118703704</v>
      </c>
      <c r="S177" s="25">
        <f t="shared" ca="1" si="7"/>
        <v>4575750.9073542105</v>
      </c>
    </row>
    <row r="178" spans="1:19" ht="15.75" customHeight="1" x14ac:dyDescent="0.25">
      <c r="A178" s="37">
        <v>56370</v>
      </c>
      <c r="B178" s="398">
        <f t="shared" ref="B178:C178" si="174">($A178-B$9)/365.25</f>
        <v>72.454483230663925</v>
      </c>
      <c r="C178" s="398">
        <f t="shared" si="174"/>
        <v>67.843942505133469</v>
      </c>
      <c r="E178" s="25">
        <f>IF(C178&gt;$B$7,0,'Combined Retirement'!$D$13/12)</f>
        <v>0</v>
      </c>
      <c r="F178" s="25">
        <f>IF(H178=0,'Combined Retirement'!$D$32,0)+'Combined Retirement'!$B$24</f>
        <v>2870.372285649099</v>
      </c>
      <c r="G178" s="25">
        <f>'Combined Retirement'!$C$24</f>
        <v>3254.2644699519233</v>
      </c>
      <c r="H178" s="25">
        <f>IF(B178&lt;62,0,'Combined Retirement'!$I$14)</f>
        <v>2345</v>
      </c>
      <c r="I178" s="25">
        <f>IF(C178&lt;62,0,'Combined Retirement'!$I$13)</f>
        <v>2420</v>
      </c>
      <c r="J178" s="25">
        <f t="shared" si="3"/>
        <v>8395.6297298201844</v>
      </c>
      <c r="K178" s="25">
        <f t="shared" si="4"/>
        <v>21655.303514578787</v>
      </c>
      <c r="L178" s="25"/>
      <c r="N178" s="25">
        <f>'Combined Retirement'!$C$18/12</f>
        <v>40940.569999999992</v>
      </c>
      <c r="O178" s="25">
        <f t="shared" si="5"/>
        <v>10889.636755601023</v>
      </c>
      <c r="P178" s="25">
        <f t="shared" si="6"/>
        <v>30050.93324439897</v>
      </c>
      <c r="Q178" s="25">
        <f t="array" aca="1" ref="Q178" ca="1">INDEX('Isaac 401k'!L:L,MATCH('Retirement Calculator'!A178,'Isaac 401k'!N:N,0),0)</f>
        <v>1059599.7451946619</v>
      </c>
      <c r="R178" s="25">
        <f t="array" aca="1" ref="R178" ca="1">INDEX('Lorri 401b'!L:L,MATCH('Retirement Calculator'!A178,'Lorri 401b'!N:N,0),0)</f>
        <v>3505040.6454739408</v>
      </c>
      <c r="S178" s="25">
        <f t="shared" ca="1" si="7"/>
        <v>4564640.3906686027</v>
      </c>
    </row>
    <row r="179" spans="1:19" ht="15.75" customHeight="1" x14ac:dyDescent="0.25">
      <c r="A179" s="37">
        <v>56401</v>
      </c>
      <c r="B179" s="398">
        <f t="shared" ref="B179:C179" si="175">($A179-B$9)/365.25</f>
        <v>72.539356605065024</v>
      </c>
      <c r="C179" s="398">
        <f t="shared" si="175"/>
        <v>67.928815879534568</v>
      </c>
      <c r="E179" s="25">
        <f>IF(C179&gt;$B$7,0,'Combined Retirement'!$D$13/12)</f>
        <v>0</v>
      </c>
      <c r="F179" s="25">
        <f>IF(H179=0,'Combined Retirement'!$D$32,0)+'Combined Retirement'!$B$24</f>
        <v>2870.372285649099</v>
      </c>
      <c r="G179" s="25">
        <f>'Combined Retirement'!$C$24</f>
        <v>3254.2644699519233</v>
      </c>
      <c r="H179" s="25">
        <f>IF(B179&lt;62,0,'Combined Retirement'!$I$14)</f>
        <v>2345</v>
      </c>
      <c r="I179" s="25">
        <f>IF(C179&lt;62,0,'Combined Retirement'!$I$13)</f>
        <v>2420</v>
      </c>
      <c r="J179" s="25">
        <f t="shared" si="3"/>
        <v>8395.6297298201844</v>
      </c>
      <c r="K179" s="25">
        <f t="shared" si="4"/>
        <v>21655.303514578787</v>
      </c>
      <c r="L179" s="25"/>
      <c r="N179" s="25">
        <f>'Combined Retirement'!$C$18/12</f>
        <v>40940.569999999992</v>
      </c>
      <c r="O179" s="25">
        <f t="shared" si="5"/>
        <v>10889.636755601023</v>
      </c>
      <c r="P179" s="25">
        <f t="shared" si="6"/>
        <v>30050.93324439897</v>
      </c>
      <c r="Q179" s="25">
        <f t="array" aca="1" ref="Q179" ca="1">INDEX('Isaac 401k'!L:L,MATCH('Retirement Calculator'!A179,'Isaac 401k'!N:N,0),0)</f>
        <v>1055584.1326126119</v>
      </c>
      <c r="R179" s="25">
        <f t="array" aca="1" ref="R179" ca="1">INDEX('Lorri 401b'!L:L,MATCH('Retirement Calculator'!A179,'Lorri 401b'!N:N,0),0)</f>
        <v>3497899.4475508593</v>
      </c>
      <c r="S179" s="25">
        <f t="shared" ca="1" si="7"/>
        <v>4553483.5801634714</v>
      </c>
    </row>
    <row r="180" spans="1:19" ht="15.75" customHeight="1" x14ac:dyDescent="0.25">
      <c r="A180" s="37">
        <v>56431</v>
      </c>
      <c r="B180" s="398">
        <f t="shared" ref="B180:C180" si="176">($A180-B$9)/365.25</f>
        <v>72.62149212867898</v>
      </c>
      <c r="C180" s="398">
        <f t="shared" si="176"/>
        <v>68.010951403148525</v>
      </c>
      <c r="E180" s="25">
        <f>IF(C180&gt;$B$7,0,'Combined Retirement'!$D$13/12)</f>
        <v>0</v>
      </c>
      <c r="F180" s="25">
        <f>IF(H180=0,'Combined Retirement'!$D$32,0)+'Combined Retirement'!$B$24</f>
        <v>2870.372285649099</v>
      </c>
      <c r="G180" s="25">
        <f>'Combined Retirement'!$C$24</f>
        <v>3254.2644699519233</v>
      </c>
      <c r="H180" s="25">
        <f>IF(B180&lt;62,0,'Combined Retirement'!$I$14)</f>
        <v>2345</v>
      </c>
      <c r="I180" s="25">
        <f>IF(C180&lt;62,0,'Combined Retirement'!$I$13)</f>
        <v>2420</v>
      </c>
      <c r="J180" s="25">
        <f t="shared" si="3"/>
        <v>8395.6297298201844</v>
      </c>
      <c r="K180" s="25">
        <f t="shared" si="4"/>
        <v>21655.303514578787</v>
      </c>
      <c r="L180" s="25"/>
      <c r="N180" s="25">
        <f>'Combined Retirement'!$C$18/12</f>
        <v>40940.569999999992</v>
      </c>
      <c r="O180" s="25">
        <f t="shared" si="5"/>
        <v>10889.636755601023</v>
      </c>
      <c r="P180" s="25">
        <f t="shared" si="6"/>
        <v>30050.93324439897</v>
      </c>
      <c r="Q180" s="25">
        <f t="array" aca="1" ref="Q180" ca="1">INDEX('Isaac 401k'!L:L,MATCH('Retirement Calculator'!A180,'Isaac 401k'!N:N,0),0)</f>
        <v>1051551.7883114701</v>
      </c>
      <c r="R180" s="25">
        <f t="array" aca="1" ref="R180" ca="1">INDEX('Lorri 401b'!L:L,MATCH('Retirement Calculator'!A180,'Lorri 401b'!N:N,0),0)</f>
        <v>3490728.4946364318</v>
      </c>
      <c r="S180" s="25">
        <f t="shared" ca="1" si="7"/>
        <v>4542280.2829479016</v>
      </c>
    </row>
    <row r="181" spans="1:19" ht="15.75" customHeight="1" x14ac:dyDescent="0.25">
      <c r="A181" s="37">
        <v>56462</v>
      </c>
      <c r="B181" s="398">
        <f t="shared" ref="B181:C181" si="177">($A181-B$9)/365.25</f>
        <v>72.706365503080079</v>
      </c>
      <c r="C181" s="398">
        <f t="shared" si="177"/>
        <v>68.095824777549623</v>
      </c>
      <c r="E181" s="25">
        <f>IF(C181&gt;$B$7,0,'Combined Retirement'!$D$13/12)</f>
        <v>0</v>
      </c>
      <c r="F181" s="25">
        <f>IF(H181=0,'Combined Retirement'!$D$32,0)+'Combined Retirement'!$B$24</f>
        <v>2870.372285649099</v>
      </c>
      <c r="G181" s="25">
        <f>'Combined Retirement'!$C$24</f>
        <v>3254.2644699519233</v>
      </c>
      <c r="H181" s="25">
        <f>IF(B181&lt;62,0,'Combined Retirement'!$I$14)</f>
        <v>2345</v>
      </c>
      <c r="I181" s="25">
        <f>IF(C181&lt;62,0,'Combined Retirement'!$I$13)</f>
        <v>2420</v>
      </c>
      <c r="J181" s="25">
        <f t="shared" si="3"/>
        <v>8395.6297298201844</v>
      </c>
      <c r="K181" s="25">
        <f t="shared" si="4"/>
        <v>21655.303514578787</v>
      </c>
      <c r="L181" s="25"/>
      <c r="N181" s="25">
        <f>'Combined Retirement'!$C$18/12</f>
        <v>40940.569999999992</v>
      </c>
      <c r="O181" s="25">
        <f t="shared" si="5"/>
        <v>10889.636755601023</v>
      </c>
      <c r="P181" s="25">
        <f t="shared" si="6"/>
        <v>30050.93324439897</v>
      </c>
      <c r="Q181" s="25">
        <f t="array" aca="1" ref="Q181" ca="1">INDEX('Isaac 401k'!L:L,MATCH('Retirement Calculator'!A181,'Isaac 401k'!N:N,0),0)</f>
        <v>1047502.6425757401</v>
      </c>
      <c r="R181" s="25">
        <f t="array" aca="1" ref="R181" ca="1">INDEX('Lorri 401b'!L:L,MATCH('Retirement Calculator'!A181,'Lorri 401b'!N:N,0),0)</f>
        <v>3483527.6627515275</v>
      </c>
      <c r="S181" s="25">
        <f t="shared" ca="1" si="7"/>
        <v>4531030.3053272674</v>
      </c>
    </row>
    <row r="182" spans="1:19" ht="15.75" customHeight="1" x14ac:dyDescent="0.25">
      <c r="A182" s="37">
        <v>56493</v>
      </c>
      <c r="B182" s="398">
        <f t="shared" ref="B182:C182" si="178">($A182-B$9)/365.25</f>
        <v>72.791238877481177</v>
      </c>
      <c r="C182" s="398">
        <f t="shared" si="178"/>
        <v>68.180698151950722</v>
      </c>
      <c r="E182" s="25">
        <f>IF(C182&gt;$B$7,0,'Combined Retirement'!$D$13/12)</f>
        <v>0</v>
      </c>
      <c r="F182" s="25">
        <f>IF(H182=0,'Combined Retirement'!$D$32,0)+'Combined Retirement'!$B$24</f>
        <v>2870.372285649099</v>
      </c>
      <c r="G182" s="25">
        <f>'Combined Retirement'!$C$24</f>
        <v>3254.2644699519233</v>
      </c>
      <c r="H182" s="25">
        <f>IF(B182&lt;62,0,'Combined Retirement'!$I$14)</f>
        <v>2345</v>
      </c>
      <c r="I182" s="25">
        <f>IF(C182&lt;62,0,'Combined Retirement'!$I$13)</f>
        <v>2420</v>
      </c>
      <c r="J182" s="25">
        <f t="shared" si="3"/>
        <v>8395.6297298201844</v>
      </c>
      <c r="K182" s="25">
        <f t="shared" si="4"/>
        <v>21655.303514578787</v>
      </c>
      <c r="L182" s="25"/>
      <c r="N182" s="25">
        <f>'Combined Retirement'!$C$18/12</f>
        <v>40940.569999999992</v>
      </c>
      <c r="O182" s="25">
        <f t="shared" si="5"/>
        <v>10889.636755601023</v>
      </c>
      <c r="P182" s="25">
        <f t="shared" si="6"/>
        <v>30050.93324439897</v>
      </c>
      <c r="Q182" s="25">
        <f t="array" aca="1" ref="Q182" ca="1">INDEX('Isaac 401k'!L:L,MATCH('Retirement Calculator'!A182,'Isaac 401k'!N:N,0),0)</f>
        <v>1043436.6253994446</v>
      </c>
      <c r="R182" s="25">
        <f t="array" aca="1" ref="R182" ca="1">INDEX('Lorri 401b'!L:L,MATCH('Retirement Calculator'!A182,'Lorri 401b'!N:N,0),0)</f>
        <v>3476296.8274004362</v>
      </c>
      <c r="S182" s="25">
        <f t="shared" ca="1" si="7"/>
        <v>4519733.4527998809</v>
      </c>
    </row>
    <row r="183" spans="1:19" ht="15.75" customHeight="1" x14ac:dyDescent="0.25">
      <c r="A183" s="37">
        <v>56523</v>
      </c>
      <c r="B183" s="398">
        <f t="shared" ref="B183:C183" si="179">($A183-B$9)/365.25</f>
        <v>72.873374401095134</v>
      </c>
      <c r="C183" s="398">
        <f t="shared" si="179"/>
        <v>68.262833675564679</v>
      </c>
      <c r="E183" s="25">
        <f>IF(C183&gt;$B$7,0,'Combined Retirement'!$D$13/12)</f>
        <v>0</v>
      </c>
      <c r="F183" s="25">
        <f>IF(H183=0,'Combined Retirement'!$D$32,0)+'Combined Retirement'!$B$24</f>
        <v>2870.372285649099</v>
      </c>
      <c r="G183" s="25">
        <f>'Combined Retirement'!$C$24</f>
        <v>3254.2644699519233</v>
      </c>
      <c r="H183" s="25">
        <f>IF(B183&lt;62,0,'Combined Retirement'!$I$14)</f>
        <v>2345</v>
      </c>
      <c r="I183" s="25">
        <f>IF(C183&lt;62,0,'Combined Retirement'!$I$13)</f>
        <v>2420</v>
      </c>
      <c r="J183" s="25">
        <f t="shared" si="3"/>
        <v>8395.6297298201844</v>
      </c>
      <c r="K183" s="25">
        <f t="shared" si="4"/>
        <v>21655.303514578787</v>
      </c>
      <c r="L183" s="25"/>
      <c r="N183" s="25">
        <f>'Combined Retirement'!$C$18/12</f>
        <v>40940.569999999992</v>
      </c>
      <c r="O183" s="25">
        <f t="shared" si="5"/>
        <v>10889.636755601023</v>
      </c>
      <c r="P183" s="25">
        <f t="shared" si="6"/>
        <v>30050.93324439897</v>
      </c>
      <c r="Q183" s="25">
        <f t="array" aca="1" ref="Q183" ca="1">INDEX('Isaac 401k'!L:L,MATCH('Retirement Calculator'!A183,'Isaac 401k'!N:N,0),0)</f>
        <v>1039353.6664849145</v>
      </c>
      <c r="R183" s="25">
        <f t="array" aca="1" ref="R183" ca="1">INDEX('Lorri 401b'!L:L,MATCH('Retirement Calculator'!A183,'Lorri 401b'!N:N,0),0)</f>
        <v>3469035.8635687148</v>
      </c>
      <c r="S183" s="25">
        <f t="shared" ca="1" si="7"/>
        <v>4508389.5300536295</v>
      </c>
    </row>
    <row r="184" spans="1:19" ht="15.75" customHeight="1" x14ac:dyDescent="0.25">
      <c r="A184" s="37">
        <v>56554</v>
      </c>
      <c r="B184" s="398">
        <f t="shared" ref="B184:C184" si="180">($A184-B$9)/365.25</f>
        <v>72.958247775496233</v>
      </c>
      <c r="C184" s="398">
        <f t="shared" si="180"/>
        <v>68.347707049965777</v>
      </c>
      <c r="E184" s="25">
        <f>IF(C184&gt;$B$7,0,'Combined Retirement'!$D$13/12)</f>
        <v>0</v>
      </c>
      <c r="F184" s="25">
        <f>IF(H184=0,'Combined Retirement'!$D$32,0)+'Combined Retirement'!$B$24</f>
        <v>2870.372285649099</v>
      </c>
      <c r="G184" s="25">
        <f>'Combined Retirement'!$C$24</f>
        <v>3254.2644699519233</v>
      </c>
      <c r="H184" s="25">
        <f>IF(B184&lt;62,0,'Combined Retirement'!$I$14)</f>
        <v>2345</v>
      </c>
      <c r="I184" s="25">
        <f>IF(C184&lt;62,0,'Combined Retirement'!$I$13)</f>
        <v>2420</v>
      </c>
      <c r="J184" s="25">
        <f t="shared" si="3"/>
        <v>8395.6297298201844</v>
      </c>
      <c r="K184" s="25">
        <f t="shared" si="4"/>
        <v>21655.303514578787</v>
      </c>
      <c r="L184" s="25"/>
      <c r="N184" s="25">
        <f>'Combined Retirement'!$C$18/12</f>
        <v>40940.569999999992</v>
      </c>
      <c r="O184" s="25">
        <f t="shared" si="5"/>
        <v>10889.636755601023</v>
      </c>
      <c r="P184" s="25">
        <f t="shared" si="6"/>
        <v>30050.93324439897</v>
      </c>
      <c r="Q184" s="25">
        <f t="array" aca="1" ref="Q184" ca="1">INDEX('Isaac 401k'!L:L,MATCH('Retirement Calculator'!A184,'Isaac 401k'!N:N,0),0)</f>
        <v>1035253.6952415738</v>
      </c>
      <c r="R184" s="25">
        <f t="array" aca="1" ref="R184" ca="1">INDEX('Lorri 401b'!L:L,MATCH('Retirement Calculator'!A184,'Lorri 401b'!N:N,0),0)</f>
        <v>3461744.6457210281</v>
      </c>
      <c r="S184" s="25">
        <f t="shared" ca="1" si="7"/>
        <v>4496998.3409626018</v>
      </c>
    </row>
    <row r="185" spans="1:19" ht="15.75" customHeight="1" x14ac:dyDescent="0.25">
      <c r="A185" s="37">
        <v>56584</v>
      </c>
      <c r="B185" s="398">
        <f t="shared" ref="B185:C185" si="181">($A185-B$9)/365.25</f>
        <v>73.040383299110204</v>
      </c>
      <c r="C185" s="398">
        <f t="shared" si="181"/>
        <v>68.429842573579734</v>
      </c>
      <c r="E185" s="25">
        <f>IF(C185&gt;$B$7,0,'Combined Retirement'!$D$13/12)</f>
        <v>0</v>
      </c>
      <c r="F185" s="25">
        <f>IF(H185=0,'Combined Retirement'!$D$32,0)+'Combined Retirement'!$B$24</f>
        <v>2870.372285649099</v>
      </c>
      <c r="G185" s="25">
        <f>'Combined Retirement'!$C$24</f>
        <v>3254.2644699519233</v>
      </c>
      <c r="H185" s="25">
        <f>IF(B185&lt;62,0,'Combined Retirement'!$I$14)</f>
        <v>2345</v>
      </c>
      <c r="I185" s="25">
        <f>IF(C185&lt;62,0,'Combined Retirement'!$I$13)</f>
        <v>2420</v>
      </c>
      <c r="J185" s="25">
        <f t="shared" si="3"/>
        <v>8395.6297298201844</v>
      </c>
      <c r="K185" s="25">
        <f t="shared" si="4"/>
        <v>21655.303514578787</v>
      </c>
      <c r="L185" s="25"/>
      <c r="N185" s="25">
        <f>'Combined Retirement'!$C$18/12</f>
        <v>40940.569999999992</v>
      </c>
      <c r="O185" s="25">
        <f t="shared" si="5"/>
        <v>10889.636755601023</v>
      </c>
      <c r="P185" s="25">
        <f t="shared" si="6"/>
        <v>30050.93324439897</v>
      </c>
      <c r="Q185" s="25">
        <f t="array" aca="1" ref="Q185" ca="1">INDEX('Isaac 401k'!L:L,MATCH('Retirement Calculator'!A185,'Isaac 401k'!N:N,0),0)</f>
        <v>1031136.6407847193</v>
      </c>
      <c r="R185" s="25">
        <f t="array" aca="1" ref="R185" ca="1">INDEX('Lorri 401b'!L:L,MATCH('Retirement Calculator'!A185,'Lorri 401b'!N:N,0),0)</f>
        <v>3454423.0477989763</v>
      </c>
      <c r="S185" s="25">
        <f t="shared" ca="1" si="7"/>
        <v>4485559.6885836953</v>
      </c>
    </row>
    <row r="186" spans="1:19" ht="15.75" customHeight="1" x14ac:dyDescent="0.25">
      <c r="A186" s="37">
        <v>56615</v>
      </c>
      <c r="B186" s="398">
        <f t="shared" ref="B186:C186" si="182">($A186-B$9)/365.25</f>
        <v>73.125256673511288</v>
      </c>
      <c r="C186" s="398">
        <f t="shared" si="182"/>
        <v>68.514715947980832</v>
      </c>
      <c r="E186" s="25">
        <f>IF(C186&gt;$B$7,0,'Combined Retirement'!$D$13/12)</f>
        <v>0</v>
      </c>
      <c r="F186" s="25">
        <f>IF(H186=0,'Combined Retirement'!$D$32,0)+'Combined Retirement'!$B$24</f>
        <v>2870.372285649099</v>
      </c>
      <c r="G186" s="25">
        <f>'Combined Retirement'!$C$24</f>
        <v>3254.2644699519233</v>
      </c>
      <c r="H186" s="25">
        <f>IF(B186&lt;62,0,'Combined Retirement'!$I$14)</f>
        <v>2345</v>
      </c>
      <c r="I186" s="25">
        <f>IF(C186&lt;62,0,'Combined Retirement'!$I$13)</f>
        <v>2420</v>
      </c>
      <c r="J186" s="25">
        <f t="shared" si="3"/>
        <v>8395.6297298201844</v>
      </c>
      <c r="K186" s="25">
        <f t="shared" si="4"/>
        <v>21655.303514578787</v>
      </c>
      <c r="L186" s="25"/>
      <c r="N186" s="25">
        <f>'Combined Retirement'!$C$18/12</f>
        <v>40940.569999999992</v>
      </c>
      <c r="O186" s="25">
        <f t="shared" si="5"/>
        <v>10889.636755601023</v>
      </c>
      <c r="P186" s="25">
        <f t="shared" si="6"/>
        <v>30050.93324439897</v>
      </c>
      <c r="Q186" s="25">
        <f t="array" aca="1" ref="Q186" ca="1">INDEX('Isaac 401k'!L:L,MATCH('Retirement Calculator'!A186,'Isaac 401k'!N:N,0),0)</f>
        <v>1027002.4319342945</v>
      </c>
      <c r="R186" s="25">
        <f t="array" aca="1" ref="R186" ca="1">INDEX('Lorri 401b'!L:L,MATCH('Retirement Calculator'!A186,'Lorri 401b'!N:N,0),0)</f>
        <v>3447070.9432189157</v>
      </c>
      <c r="S186" s="25">
        <f t="shared" ca="1" si="7"/>
        <v>4474073.37515321</v>
      </c>
    </row>
    <row r="187" spans="1:19" ht="15.75" customHeight="1" x14ac:dyDescent="0.25">
      <c r="A187" s="37">
        <v>56646</v>
      </c>
      <c r="B187" s="398">
        <f t="shared" ref="B187:C187" si="183">($A187-B$9)/365.25</f>
        <v>73.210130047912386</v>
      </c>
      <c r="C187" s="398">
        <f t="shared" si="183"/>
        <v>68.599589322381931</v>
      </c>
      <c r="E187" s="25">
        <f>IF(C187&gt;$B$7,0,'Combined Retirement'!$D$13/12)</f>
        <v>0</v>
      </c>
      <c r="F187" s="25">
        <f>IF(H187=0,'Combined Retirement'!$D$32,0)+'Combined Retirement'!$B$24</f>
        <v>2870.372285649099</v>
      </c>
      <c r="G187" s="25">
        <f>'Combined Retirement'!$C$24</f>
        <v>3254.2644699519233</v>
      </c>
      <c r="H187" s="25">
        <f>IF(B187&lt;62,0,'Combined Retirement'!$I$14)</f>
        <v>2345</v>
      </c>
      <c r="I187" s="25">
        <f>IF(C187&lt;62,0,'Combined Retirement'!$I$13)</f>
        <v>2420</v>
      </c>
      <c r="J187" s="25">
        <f t="shared" si="3"/>
        <v>8395.6297298201844</v>
      </c>
      <c r="K187" s="25">
        <f t="shared" si="4"/>
        <v>21655.303514578787</v>
      </c>
      <c r="L187" s="25"/>
      <c r="N187" s="25">
        <f>'Combined Retirement'!$C$18/12</f>
        <v>40940.569999999992</v>
      </c>
      <c r="O187" s="25">
        <f t="shared" si="5"/>
        <v>10889.636755601023</v>
      </c>
      <c r="P187" s="25">
        <f t="shared" si="6"/>
        <v>30050.93324439897</v>
      </c>
      <c r="Q187" s="25">
        <f t="array" aca="1" ref="Q187" ca="1">INDEX('Isaac 401k'!L:L,MATCH('Retirement Calculator'!A187,'Isaac 401k'!N:N,0),0)</f>
        <v>1022850.9972136597</v>
      </c>
      <c r="R187" s="25">
        <f t="array" aca="1" ref="R187" ca="1">INDEX('Lorri 401b'!L:L,MATCH('Retirement Calculator'!A187,'Lorri 401b'!N:N,0),0)</f>
        <v>3439688.2048697718</v>
      </c>
      <c r="S187" s="25">
        <f t="shared" ca="1" si="7"/>
        <v>4462539.2020834312</v>
      </c>
    </row>
    <row r="188" spans="1:19" ht="15.75" customHeight="1" x14ac:dyDescent="0.25">
      <c r="A188" s="37">
        <v>56674</v>
      </c>
      <c r="B188" s="398">
        <f t="shared" ref="B188:C188" si="184">($A188-B$9)/365.25</f>
        <v>73.286789869952088</v>
      </c>
      <c r="C188" s="398">
        <f t="shared" si="184"/>
        <v>68.676249144421632</v>
      </c>
      <c r="E188" s="25">
        <f>IF(C188&gt;$B$7,0,'Combined Retirement'!$D$13/12)</f>
        <v>0</v>
      </c>
      <c r="F188" s="25">
        <f>IF(H188=0,'Combined Retirement'!$D$32,0)+'Combined Retirement'!$B$24</f>
        <v>2870.372285649099</v>
      </c>
      <c r="G188" s="25">
        <f>'Combined Retirement'!$C$24</f>
        <v>3254.2644699519233</v>
      </c>
      <c r="H188" s="25">
        <f>IF(B188&lt;62,0,'Combined Retirement'!$I$14)</f>
        <v>2345</v>
      </c>
      <c r="I188" s="25">
        <f>IF(C188&lt;62,0,'Combined Retirement'!$I$13)</f>
        <v>2420</v>
      </c>
      <c r="J188" s="25">
        <f t="shared" si="3"/>
        <v>8395.6297298201844</v>
      </c>
      <c r="K188" s="25">
        <f t="shared" si="4"/>
        <v>21655.303514578787</v>
      </c>
      <c r="L188" s="25"/>
      <c r="N188" s="25">
        <f>'Combined Retirement'!$C$18/12</f>
        <v>40940.569999999992</v>
      </c>
      <c r="O188" s="25">
        <f t="shared" si="5"/>
        <v>10889.636755601023</v>
      </c>
      <c r="P188" s="25">
        <f t="shared" si="6"/>
        <v>30050.93324439897</v>
      </c>
      <c r="Q188" s="25">
        <f t="array" aca="1" ref="Q188" ca="1">INDEX('Isaac 401k'!L:L,MATCH('Retirement Calculator'!A188,'Isaac 401k'!N:N,0),0)</f>
        <v>1018682.2648483556</v>
      </c>
      <c r="R188" s="25">
        <f t="array" aca="1" ref="R188" ca="1">INDEX('Lorri 401b'!L:L,MATCH('Retirement Calculator'!A188,'Lorri 401b'!N:N,0),0)</f>
        <v>3432274.7051108396</v>
      </c>
      <c r="S188" s="25">
        <f t="shared" ca="1" si="7"/>
        <v>4450956.9699591948</v>
      </c>
    </row>
    <row r="189" spans="1:19" ht="15.75" customHeight="1" x14ac:dyDescent="0.25">
      <c r="A189" s="37">
        <v>56705</v>
      </c>
      <c r="B189" s="398">
        <f t="shared" ref="B189:C189" si="185">($A189-B$9)/365.25</f>
        <v>73.371663244353186</v>
      </c>
      <c r="C189" s="398">
        <f t="shared" si="185"/>
        <v>68.761122518822731</v>
      </c>
      <c r="E189" s="25">
        <f>IF(C189&gt;$B$7,0,'Combined Retirement'!$D$13/12)</f>
        <v>0</v>
      </c>
      <c r="F189" s="25">
        <f>IF(H189=0,'Combined Retirement'!$D$32,0)+'Combined Retirement'!$B$24</f>
        <v>2870.372285649099</v>
      </c>
      <c r="G189" s="25">
        <f>'Combined Retirement'!$C$24</f>
        <v>3254.2644699519233</v>
      </c>
      <c r="H189" s="25">
        <f>IF(B189&lt;62,0,'Combined Retirement'!$I$14)</f>
        <v>2345</v>
      </c>
      <c r="I189" s="25">
        <f>IF(C189&lt;62,0,'Combined Retirement'!$I$13)</f>
        <v>2420</v>
      </c>
      <c r="J189" s="25">
        <f t="shared" si="3"/>
        <v>8395.6297298201844</v>
      </c>
      <c r="K189" s="25">
        <f t="shared" si="4"/>
        <v>21655.303514578787</v>
      </c>
      <c r="L189" s="25"/>
      <c r="N189" s="25">
        <f>'Combined Retirement'!$C$18/12</f>
        <v>40940.569999999992</v>
      </c>
      <c r="O189" s="25">
        <f t="shared" si="5"/>
        <v>10889.636755601023</v>
      </c>
      <c r="P189" s="25">
        <f t="shared" si="6"/>
        <v>30050.93324439897</v>
      </c>
      <c r="Q189" s="25">
        <f t="array" aca="1" ref="Q189" ca="1">INDEX('Isaac 401k'!L:L,MATCH('Retirement Calculator'!A189,'Isaac 401k'!N:N,0),0)</f>
        <v>1014496.1627648626</v>
      </c>
      <c r="R189" s="25">
        <f t="array" aca="1" ref="R189" ca="1">INDEX('Lorri 401b'!L:L,MATCH('Retirement Calculator'!A189,'Lorri 401b'!N:N,0),0)</f>
        <v>3424830.3157695783</v>
      </c>
      <c r="S189" s="25">
        <f t="shared" ca="1" si="7"/>
        <v>4439326.4785344414</v>
      </c>
    </row>
    <row r="190" spans="1:19" ht="15.75" customHeight="1" x14ac:dyDescent="0.25">
      <c r="A190" s="37">
        <v>56735</v>
      </c>
      <c r="B190" s="398">
        <f t="shared" ref="B190:C190" si="186">($A190-B$9)/365.25</f>
        <v>73.453798767967143</v>
      </c>
      <c r="C190" s="398">
        <f t="shared" si="186"/>
        <v>68.843258042436688</v>
      </c>
      <c r="E190" s="25">
        <f>IF(C190&gt;$B$7,0,'Combined Retirement'!$D$13/12)</f>
        <v>0</v>
      </c>
      <c r="F190" s="25">
        <f>IF(H190=0,'Combined Retirement'!$D$32,0)+'Combined Retirement'!$B$24</f>
        <v>2870.372285649099</v>
      </c>
      <c r="G190" s="25">
        <f>'Combined Retirement'!$C$24</f>
        <v>3254.2644699519233</v>
      </c>
      <c r="H190" s="25">
        <f>IF(B190&lt;62,0,'Combined Retirement'!$I$14)</f>
        <v>2345</v>
      </c>
      <c r="I190" s="25">
        <f>IF(C190&lt;62,0,'Combined Retirement'!$I$13)</f>
        <v>2420</v>
      </c>
      <c r="J190" s="25">
        <f t="shared" si="3"/>
        <v>8395.6297298201844</v>
      </c>
      <c r="K190" s="25">
        <f t="shared" si="4"/>
        <v>21655.303514578787</v>
      </c>
      <c r="L190" s="25"/>
      <c r="N190" s="25">
        <f>'Combined Retirement'!$C$18/12</f>
        <v>40940.569999999992</v>
      </c>
      <c r="O190" s="25">
        <f t="shared" si="5"/>
        <v>10889.636755601023</v>
      </c>
      <c r="P190" s="25">
        <f t="shared" si="6"/>
        <v>30050.93324439897</v>
      </c>
      <c r="Q190" s="25">
        <f t="array" aca="1" ref="Q190" ca="1">INDEX('Isaac 401k'!L:L,MATCH('Retirement Calculator'!A190,'Isaac 401k'!N:N,0),0)</f>
        <v>1010292.6185893551</v>
      </c>
      <c r="R190" s="25">
        <f t="array" aca="1" ref="R190" ca="1">INDEX('Lorri 401b'!L:L,MATCH('Retirement Calculator'!A190,'Lorri 401b'!N:N,0),0)</f>
        <v>3417354.9081393955</v>
      </c>
      <c r="S190" s="25">
        <f t="shared" ca="1" si="7"/>
        <v>4427647.5267287511</v>
      </c>
    </row>
    <row r="191" spans="1:19" ht="15.75" customHeight="1" x14ac:dyDescent="0.25">
      <c r="A191" s="37">
        <v>56766</v>
      </c>
      <c r="B191" s="398">
        <f t="shared" ref="B191:C191" si="187">($A191-B$9)/365.25</f>
        <v>73.538672142368242</v>
      </c>
      <c r="C191" s="398">
        <f t="shared" si="187"/>
        <v>68.928131416837786</v>
      </c>
      <c r="E191" s="25">
        <f>IF(C191&gt;$B$7,0,'Combined Retirement'!$D$13/12)</f>
        <v>0</v>
      </c>
      <c r="F191" s="25">
        <f>IF(H191=0,'Combined Retirement'!$D$32,0)+'Combined Retirement'!$B$24</f>
        <v>2870.372285649099</v>
      </c>
      <c r="G191" s="25">
        <f>'Combined Retirement'!$C$24</f>
        <v>3254.2644699519233</v>
      </c>
      <c r="H191" s="25">
        <f>IF(B191&lt;62,0,'Combined Retirement'!$I$14)</f>
        <v>2345</v>
      </c>
      <c r="I191" s="25">
        <f>IF(C191&lt;62,0,'Combined Retirement'!$I$13)</f>
        <v>2420</v>
      </c>
      <c r="J191" s="25">
        <f t="shared" si="3"/>
        <v>8395.6297298201844</v>
      </c>
      <c r="K191" s="25">
        <f t="shared" si="4"/>
        <v>21655.303514578787</v>
      </c>
      <c r="L191" s="25"/>
      <c r="N191" s="25">
        <f>'Combined Retirement'!$C$18/12</f>
        <v>40940.569999999992</v>
      </c>
      <c r="O191" s="25">
        <f t="shared" si="5"/>
        <v>10889.636755601023</v>
      </c>
      <c r="P191" s="25">
        <f t="shared" si="6"/>
        <v>30050.93324439897</v>
      </c>
      <c r="Q191" s="25">
        <f t="array" aca="1" ref="Q191" ca="1">INDEX('Isaac 401k'!L:L,MATCH('Retirement Calculator'!A191,'Isaac 401k'!N:N,0),0)</f>
        <v>1006071.5596464496</v>
      </c>
      <c r="R191" s="25">
        <f t="array" aca="1" ref="R191" ca="1">INDEX('Lorri 401b'!L:L,MATCH('Retirement Calculator'!A191,'Lorri 401b'!N:N,0),0)</f>
        <v>3409848.3529774202</v>
      </c>
      <c r="S191" s="25">
        <f t="shared" ca="1" si="7"/>
        <v>4415919.9126238702</v>
      </c>
    </row>
    <row r="192" spans="1:19" ht="15.75" customHeight="1" x14ac:dyDescent="0.25">
      <c r="A192" s="37">
        <v>56796</v>
      </c>
      <c r="B192" s="398">
        <f t="shared" ref="B192:C192" si="188">($A192-B$9)/365.25</f>
        <v>73.620807665982198</v>
      </c>
      <c r="C192" s="398">
        <f t="shared" si="188"/>
        <v>69.010266940451743</v>
      </c>
      <c r="E192" s="25">
        <f>IF(C192&gt;$B$7,0,'Combined Retirement'!$D$13/12)</f>
        <v>0</v>
      </c>
      <c r="F192" s="25">
        <f>IF(H192=0,'Combined Retirement'!$D$32,0)+'Combined Retirement'!$B$24</f>
        <v>2870.372285649099</v>
      </c>
      <c r="G192" s="25">
        <f>'Combined Retirement'!$C$24</f>
        <v>3254.2644699519233</v>
      </c>
      <c r="H192" s="25">
        <f>IF(B192&lt;62,0,'Combined Retirement'!$I$14)</f>
        <v>2345</v>
      </c>
      <c r="I192" s="25">
        <f>IF(C192&lt;62,0,'Combined Retirement'!$I$13)</f>
        <v>2420</v>
      </c>
      <c r="J192" s="25">
        <f t="shared" si="3"/>
        <v>8395.6297298201844</v>
      </c>
      <c r="K192" s="25">
        <f t="shared" si="4"/>
        <v>21655.303514578787</v>
      </c>
      <c r="L192" s="25"/>
      <c r="N192" s="25">
        <f>'Combined Retirement'!$C$18/12</f>
        <v>40940.569999999992</v>
      </c>
      <c r="O192" s="25">
        <f t="shared" si="5"/>
        <v>10889.636755601023</v>
      </c>
      <c r="P192" s="25">
        <f t="shared" si="6"/>
        <v>30050.93324439897</v>
      </c>
      <c r="Q192" s="25">
        <f t="array" aca="1" ref="Q192" ca="1">INDEX('Isaac 401k'!L:L,MATCH('Retirement Calculator'!A192,'Isaac 401k'!N:N,0),0)</f>
        <v>1001832.9129579487</v>
      </c>
      <c r="R192" s="25">
        <f t="array" aca="1" ref="R192" ca="1">INDEX('Lorri 401b'!L:L,MATCH('Retirement Calculator'!A192,'Lorri 401b'!N:N,0),0)</f>
        <v>3402310.5205022697</v>
      </c>
      <c r="S192" s="25">
        <f t="shared" ca="1" si="7"/>
        <v>4404143.4334602188</v>
      </c>
    </row>
    <row r="193" spans="1:19" ht="15.75" customHeight="1" x14ac:dyDescent="0.25">
      <c r="A193" s="37">
        <v>56827</v>
      </c>
      <c r="B193" s="398">
        <f t="shared" ref="B193:C193" si="189">($A193-B$9)/365.25</f>
        <v>73.705681040383297</v>
      </c>
      <c r="C193" s="398">
        <f t="shared" si="189"/>
        <v>69.095140314852841</v>
      </c>
      <c r="E193" s="25">
        <f>IF(C193&gt;$B$7,0,'Combined Retirement'!$D$13/12)</f>
        <v>0</v>
      </c>
      <c r="F193" s="25">
        <f>IF(H193=0,'Combined Retirement'!$D$32,0)+'Combined Retirement'!$B$24</f>
        <v>2870.372285649099</v>
      </c>
      <c r="G193" s="25">
        <f>'Combined Retirement'!$C$24</f>
        <v>3254.2644699519233</v>
      </c>
      <c r="H193" s="25">
        <f>IF(B193&lt;62,0,'Combined Retirement'!$I$14)</f>
        <v>2345</v>
      </c>
      <c r="I193" s="25">
        <f>IF(C193&lt;62,0,'Combined Retirement'!$I$13)</f>
        <v>2420</v>
      </c>
      <c r="J193" s="25">
        <f t="shared" si="3"/>
        <v>8395.6297298201844</v>
      </c>
      <c r="K193" s="25">
        <f t="shared" si="4"/>
        <v>21655.303514578787</v>
      </c>
      <c r="L193" s="25"/>
      <c r="N193" s="25">
        <f>'Combined Retirement'!$C$18/12</f>
        <v>40940.569999999992</v>
      </c>
      <c r="O193" s="25">
        <f t="shared" si="5"/>
        <v>10889.636755601023</v>
      </c>
      <c r="P193" s="25">
        <f t="shared" si="6"/>
        <v>30050.93324439897</v>
      </c>
      <c r="Q193" s="25">
        <f t="array" aca="1" ref="Q193" ca="1">INDEX('Isaac 401k'!L:L,MATCH('Retirement Calculator'!A193,'Isaac 401k'!N:N,0),0)</f>
        <v>997576.60524157912</v>
      </c>
      <c r="R193" s="25">
        <f t="array" aca="1" ref="R193" ca="1">INDEX('Lorri 401b'!L:L,MATCH('Retirement Calculator'!A193,'Lorri 401b'!N:N,0),0)</f>
        <v>3394741.2803918063</v>
      </c>
      <c r="S193" s="25">
        <f t="shared" ca="1" si="7"/>
        <v>4392317.8856333857</v>
      </c>
    </row>
    <row r="194" spans="1:19" ht="15.75" customHeight="1" x14ac:dyDescent="0.25">
      <c r="A194" s="37">
        <v>56858</v>
      </c>
      <c r="B194" s="398">
        <f t="shared" ref="B194:C194" si="190">($A194-B$9)/365.25</f>
        <v>73.790554414784395</v>
      </c>
      <c r="C194" s="398">
        <f t="shared" si="190"/>
        <v>69.18001368925394</v>
      </c>
      <c r="E194" s="25">
        <f>IF(C194&gt;$B$7,0,'Combined Retirement'!$D$13/12)</f>
        <v>0</v>
      </c>
      <c r="F194" s="25">
        <f>IF(H194=0,'Combined Retirement'!$D$32,0)+'Combined Retirement'!$B$24</f>
        <v>2870.372285649099</v>
      </c>
      <c r="G194" s="25">
        <f>'Combined Retirement'!$C$24</f>
        <v>3254.2644699519233</v>
      </c>
      <c r="H194" s="25">
        <f>IF(B194&lt;62,0,'Combined Retirement'!$I$14)</f>
        <v>2345</v>
      </c>
      <c r="I194" s="25">
        <f>IF(C194&lt;62,0,'Combined Retirement'!$I$13)</f>
        <v>2420</v>
      </c>
      <c r="J194" s="25">
        <f t="shared" si="3"/>
        <v>8395.6297298201844</v>
      </c>
      <c r="K194" s="25">
        <f t="shared" si="4"/>
        <v>21655.303514578787</v>
      </c>
      <c r="L194" s="25"/>
      <c r="N194" s="25">
        <f>'Combined Retirement'!$C$18/12</f>
        <v>40940.569999999992</v>
      </c>
      <c r="O194" s="25">
        <f t="shared" si="5"/>
        <v>10889.636755601023</v>
      </c>
      <c r="P194" s="25">
        <f t="shared" si="6"/>
        <v>30050.93324439897</v>
      </c>
      <c r="Q194" s="25">
        <f t="array" aca="1" ref="Q194" ca="1">INDEX('Isaac 401k'!L:L,MATCH('Retirement Calculator'!A194,'Isaac 401k'!N:N,0),0)</f>
        <v>993302.56290972466</v>
      </c>
      <c r="R194" s="25">
        <f t="array" aca="1" ref="R194" ca="1">INDEX('Lorri 401b'!L:L,MATCH('Retirement Calculator'!A194,'Lorri 401b'!N:N,0),0)</f>
        <v>3387140.5017808825</v>
      </c>
      <c r="S194" s="25">
        <f t="shared" ca="1" si="7"/>
        <v>4380443.0646906067</v>
      </c>
    </row>
    <row r="195" spans="1:19" ht="15.75" customHeight="1" x14ac:dyDescent="0.25">
      <c r="A195" s="37">
        <v>56888</v>
      </c>
      <c r="B195" s="398">
        <f t="shared" ref="B195:C195" si="191">($A195-B$9)/365.25</f>
        <v>73.872689938398352</v>
      </c>
      <c r="C195" s="398">
        <f t="shared" si="191"/>
        <v>69.262149212867897</v>
      </c>
      <c r="E195" s="25">
        <f>IF(C195&gt;$B$7,0,'Combined Retirement'!$D$13/12)</f>
        <v>0</v>
      </c>
      <c r="F195" s="25">
        <f>IF(H195=0,'Combined Retirement'!$D$32,0)+'Combined Retirement'!$B$24</f>
        <v>2870.372285649099</v>
      </c>
      <c r="G195" s="25">
        <f>'Combined Retirement'!$C$24</f>
        <v>3254.2644699519233</v>
      </c>
      <c r="H195" s="25">
        <f>IF(B195&lt;62,0,'Combined Retirement'!$I$14)</f>
        <v>2345</v>
      </c>
      <c r="I195" s="25">
        <f>IF(C195&lt;62,0,'Combined Retirement'!$I$13)</f>
        <v>2420</v>
      </c>
      <c r="J195" s="25">
        <f t="shared" si="3"/>
        <v>8395.6297298201844</v>
      </c>
      <c r="K195" s="25">
        <f t="shared" si="4"/>
        <v>21655.303514578787</v>
      </c>
      <c r="L195" s="25"/>
      <c r="N195" s="25">
        <f>'Combined Retirement'!$C$18/12</f>
        <v>40940.569999999992</v>
      </c>
      <c r="O195" s="25">
        <f t="shared" si="5"/>
        <v>10889.636755601023</v>
      </c>
      <c r="P195" s="25">
        <f t="shared" si="6"/>
        <v>30050.93324439897</v>
      </c>
      <c r="Q195" s="25">
        <f t="array" aca="1" ref="Q195" ca="1">INDEX('Isaac 401k'!L:L,MATCH('Retirement Calculator'!A195,'Isaac 401k'!N:N,0),0)</f>
        <v>989010.71206815413</v>
      </c>
      <c r="R195" s="25">
        <f t="array" aca="1" ref="R195" ca="1">INDEX('Lorri 401b'!L:L,MATCH('Retirement Calculator'!A195,'Lorri 401b'!N:N,0),0)</f>
        <v>3379508.0532590798</v>
      </c>
      <c r="S195" s="25">
        <f t="shared" ca="1" si="7"/>
        <v>4368518.7653272338</v>
      </c>
    </row>
    <row r="196" spans="1:19" ht="15.75" customHeight="1" x14ac:dyDescent="0.25">
      <c r="A196" s="37">
        <v>56919</v>
      </c>
      <c r="B196" s="398">
        <f t="shared" ref="B196:C196" si="192">($A196-B$9)/365.25</f>
        <v>73.957563312799451</v>
      </c>
      <c r="C196" s="398">
        <f t="shared" si="192"/>
        <v>69.347022587268995</v>
      </c>
      <c r="E196" s="25">
        <f>IF(C196&gt;$B$7,0,'Combined Retirement'!$D$13/12)</f>
        <v>0</v>
      </c>
      <c r="F196" s="25">
        <f>IF(H196=0,'Combined Retirement'!$D$32,0)+'Combined Retirement'!$B$24</f>
        <v>2870.372285649099</v>
      </c>
      <c r="G196" s="25">
        <f>'Combined Retirement'!$C$24</f>
        <v>3254.2644699519233</v>
      </c>
      <c r="H196" s="25">
        <f>IF(B196&lt;62,0,'Combined Retirement'!$I$14)</f>
        <v>2345</v>
      </c>
      <c r="I196" s="25">
        <f>IF(C196&lt;62,0,'Combined Retirement'!$I$13)</f>
        <v>2420</v>
      </c>
      <c r="J196" s="25">
        <f t="shared" si="3"/>
        <v>8395.6297298201844</v>
      </c>
      <c r="K196" s="25">
        <f t="shared" si="4"/>
        <v>21655.303514578787</v>
      </c>
      <c r="L196" s="25"/>
      <c r="N196" s="25">
        <f>'Combined Retirement'!$C$18/12</f>
        <v>40940.569999999992</v>
      </c>
      <c r="O196" s="25">
        <f t="shared" si="5"/>
        <v>10889.636755601023</v>
      </c>
      <c r="P196" s="25">
        <f t="shared" si="6"/>
        <v>30050.93324439897</v>
      </c>
      <c r="Q196" s="25">
        <f t="array" aca="1" ref="Q196" ca="1">INDEX('Isaac 401k'!L:L,MATCH('Retirement Calculator'!A196,'Isaac 401k'!N:N,0),0)</f>
        <v>984700.97851474362</v>
      </c>
      <c r="R196" s="25">
        <f t="array" aca="1" ref="R196" ca="1">INDEX('Lorri 401b'!L:L,MATCH('Retirement Calculator'!A196,'Lorri 401b'!N:N,0),0)</f>
        <v>3371843.8028684366</v>
      </c>
      <c r="S196" s="25">
        <f t="shared" ca="1" si="7"/>
        <v>4356544.7813831801</v>
      </c>
    </row>
    <row r="197" spans="1:19" ht="15.75" customHeight="1" x14ac:dyDescent="0.25">
      <c r="A197" s="37">
        <v>56949</v>
      </c>
      <c r="B197" s="398">
        <f t="shared" ref="B197:C197" si="193">($A197-B$9)/365.25</f>
        <v>74.039698836413422</v>
      </c>
      <c r="C197" s="398">
        <f t="shared" si="193"/>
        <v>69.429158110882952</v>
      </c>
      <c r="E197" s="25">
        <f>IF(C197&gt;$B$7,0,'Combined Retirement'!$D$13/12)</f>
        <v>0</v>
      </c>
      <c r="F197" s="25">
        <f>IF(H197=0,'Combined Retirement'!$D$32,0)+'Combined Retirement'!$B$24</f>
        <v>2870.372285649099</v>
      </c>
      <c r="G197" s="25">
        <f>'Combined Retirement'!$C$24</f>
        <v>3254.2644699519233</v>
      </c>
      <c r="H197" s="25">
        <f>IF(B197&lt;62,0,'Combined Retirement'!$I$14)</f>
        <v>2345</v>
      </c>
      <c r="I197" s="25">
        <f>IF(C197&lt;62,0,'Combined Retirement'!$I$13)</f>
        <v>2420</v>
      </c>
      <c r="J197" s="25">
        <f t="shared" si="3"/>
        <v>8395.6297298201844</v>
      </c>
      <c r="K197" s="25">
        <f t="shared" si="4"/>
        <v>21655.303514578787</v>
      </c>
      <c r="L197" s="25"/>
      <c r="N197" s="25">
        <f>'Combined Retirement'!$C$18/12</f>
        <v>40940.569999999992</v>
      </c>
      <c r="O197" s="25">
        <f t="shared" si="5"/>
        <v>10889.636755601023</v>
      </c>
      <c r="P197" s="25">
        <f t="shared" si="6"/>
        <v>30050.93324439897</v>
      </c>
      <c r="Q197" s="25">
        <f t="array" aca="1" ref="Q197" ca="1">INDEX('Isaac 401k'!L:L,MATCH('Retirement Calculator'!A197,'Isaac 401k'!N:N,0),0)</f>
        <v>980373.28773819399</v>
      </c>
      <c r="R197" s="25">
        <f t="array" aca="1" ref="R197" ca="1">INDEX('Lorri 401b'!L:L,MATCH('Retirement Calculator'!A197,'Lorri 401b'!N:N,0),0)</f>
        <v>3364147.6181011656</v>
      </c>
      <c r="S197" s="25">
        <f t="shared" ca="1" si="7"/>
        <v>4344520.9058393594</v>
      </c>
    </row>
    <row r="198" spans="1:19" ht="15.75" customHeight="1" x14ac:dyDescent="0.25">
      <c r="A198" s="37">
        <v>56980</v>
      </c>
      <c r="B198" s="398">
        <f t="shared" ref="B198:C198" si="194">($A198-B$9)/365.25</f>
        <v>74.124572210814506</v>
      </c>
      <c r="C198" s="398">
        <f t="shared" si="194"/>
        <v>69.51403148528405</v>
      </c>
      <c r="E198" s="25">
        <f>IF(C198&gt;$B$7,0,'Combined Retirement'!$D$13/12)</f>
        <v>0</v>
      </c>
      <c r="F198" s="25">
        <f>IF(H198=0,'Combined Retirement'!$D$32,0)+'Combined Retirement'!$B$24</f>
        <v>2870.372285649099</v>
      </c>
      <c r="G198" s="25">
        <f>'Combined Retirement'!$C$24</f>
        <v>3254.2644699519233</v>
      </c>
      <c r="H198" s="25">
        <f>IF(B198&lt;62,0,'Combined Retirement'!$I$14)</f>
        <v>2345</v>
      </c>
      <c r="I198" s="25">
        <f>IF(C198&lt;62,0,'Combined Retirement'!$I$13)</f>
        <v>2420</v>
      </c>
      <c r="J198" s="25">
        <f t="shared" si="3"/>
        <v>8395.6297298201844</v>
      </c>
      <c r="K198" s="25">
        <f t="shared" si="4"/>
        <v>21655.303514578787</v>
      </c>
      <c r="L198" s="25"/>
      <c r="N198" s="25">
        <f>'Combined Retirement'!$C$18/12</f>
        <v>40940.569999999992</v>
      </c>
      <c r="O198" s="25">
        <f t="shared" si="5"/>
        <v>10889.636755601023</v>
      </c>
      <c r="P198" s="25">
        <f t="shared" si="6"/>
        <v>30050.93324439897</v>
      </c>
      <c r="Q198" s="25">
        <f t="array" aca="1" ref="Q198" ca="1">INDEX('Isaac 401k'!L:L,MATCH('Retirement Calculator'!A198,'Isaac 401k'!N:N,0),0)</f>
        <v>976027.56491674203</v>
      </c>
      <c r="R198" s="25">
        <f t="array" aca="1" ref="R198" ca="1">INDEX('Lorri 401b'!L:L,MATCH('Retirement Calculator'!A198,'Lorri 401b'!N:N,0),0)</f>
        <v>3356419.3658973644</v>
      </c>
      <c r="S198" s="25">
        <f t="shared" ca="1" si="7"/>
        <v>4332446.930814106</v>
      </c>
    </row>
    <row r="199" spans="1:19" ht="15.75" customHeight="1" x14ac:dyDescent="0.25">
      <c r="A199" s="37">
        <v>57011</v>
      </c>
      <c r="B199" s="398">
        <f t="shared" ref="B199:C199" si="195">($A199-B$9)/365.25</f>
        <v>74.209445585215605</v>
      </c>
      <c r="C199" s="398">
        <f t="shared" si="195"/>
        <v>69.598904859685149</v>
      </c>
      <c r="E199" s="25">
        <f>IF(C199&gt;$B$7,0,'Combined Retirement'!$D$13/12)</f>
        <v>0</v>
      </c>
      <c r="F199" s="25">
        <f>IF(H199=0,'Combined Retirement'!$D$32,0)+'Combined Retirement'!$B$24</f>
        <v>2870.372285649099</v>
      </c>
      <c r="G199" s="25">
        <f>'Combined Retirement'!$C$24</f>
        <v>3254.2644699519233</v>
      </c>
      <c r="H199" s="25">
        <f>IF(B199&lt;62,0,'Combined Retirement'!$I$14)</f>
        <v>2345</v>
      </c>
      <c r="I199" s="25">
        <f>IF(C199&lt;62,0,'Combined Retirement'!$I$13)</f>
        <v>2420</v>
      </c>
      <c r="J199" s="25">
        <f t="shared" si="3"/>
        <v>8395.6297298201844</v>
      </c>
      <c r="K199" s="25">
        <f t="shared" si="4"/>
        <v>21655.303514578787</v>
      </c>
      <c r="L199" s="25"/>
      <c r="N199" s="25">
        <f>'Combined Retirement'!$C$18/12</f>
        <v>40940.569999999992</v>
      </c>
      <c r="O199" s="25">
        <f t="shared" si="5"/>
        <v>10889.636755601023</v>
      </c>
      <c r="P199" s="25">
        <f t="shared" si="6"/>
        <v>30050.93324439897</v>
      </c>
      <c r="Q199" s="25">
        <f t="array" aca="1" ref="Q199" ca="1">INDEX('Isaac 401k'!L:L,MATCH('Retirement Calculator'!A199,'Isaac 401k'!N:N,0),0)</f>
        <v>971663.73491686734</v>
      </c>
      <c r="R199" s="25">
        <f t="array" aca="1" ref="R199" ca="1">INDEX('Lorri 401b'!L:L,MATCH('Retirement Calculator'!A199,'Lorri 401b'!N:N,0),0)</f>
        <v>3348658.9126427141</v>
      </c>
      <c r="S199" s="25">
        <f t="shared" ca="1" si="7"/>
        <v>4320322.6475595813</v>
      </c>
    </row>
    <row r="200" spans="1:19" ht="15.75" customHeight="1" x14ac:dyDescent="0.25">
      <c r="A200" s="37">
        <v>57040</v>
      </c>
      <c r="B200" s="398">
        <f t="shared" ref="B200:C200" si="196">($A200-B$9)/365.25</f>
        <v>74.288843258042434</v>
      </c>
      <c r="C200" s="398">
        <f t="shared" si="196"/>
        <v>69.678302532511978</v>
      </c>
      <c r="E200" s="25">
        <f>IF(C200&gt;$B$7,0,'Combined Retirement'!$D$13/12)</f>
        <v>0</v>
      </c>
      <c r="F200" s="25">
        <f>IF(H200=0,'Combined Retirement'!$D$32,0)+'Combined Retirement'!$B$24</f>
        <v>2870.372285649099</v>
      </c>
      <c r="G200" s="25">
        <f>'Combined Retirement'!$C$24</f>
        <v>3254.2644699519233</v>
      </c>
      <c r="H200" s="25">
        <f>IF(B200&lt;62,0,'Combined Retirement'!$I$14)</f>
        <v>2345</v>
      </c>
      <c r="I200" s="25">
        <f>IF(C200&lt;62,0,'Combined Retirement'!$I$13)</f>
        <v>2420</v>
      </c>
      <c r="J200" s="25">
        <f t="shared" si="3"/>
        <v>8395.6297298201844</v>
      </c>
      <c r="K200" s="25">
        <f t="shared" si="4"/>
        <v>21655.303514578787</v>
      </c>
      <c r="L200" s="25"/>
      <c r="N200" s="25">
        <f>'Combined Retirement'!$C$18/12</f>
        <v>40940.569999999992</v>
      </c>
      <c r="O200" s="25">
        <f t="shared" si="5"/>
        <v>10889.636755601023</v>
      </c>
      <c r="P200" s="25">
        <f t="shared" si="6"/>
        <v>30050.93324439897</v>
      </c>
      <c r="Q200" s="25">
        <f t="array" aca="1" ref="Q200" ca="1">INDEX('Isaac 401k'!L:L,MATCH('Retirement Calculator'!A200,'Isaac 401k'!N:N,0),0)</f>
        <v>967281.72229199321</v>
      </c>
      <c r="R200" s="25">
        <f t="array" aca="1" ref="R200" ca="1">INDEX('Lorri 401b'!L:L,MATCH('Retirement Calculator'!A200,'Lorri 401b'!N:N,0),0)</f>
        <v>3340866.1241661692</v>
      </c>
      <c r="S200" s="25">
        <f t="shared" ca="1" si="7"/>
        <v>4308147.8464581622</v>
      </c>
    </row>
    <row r="201" spans="1:19" ht="15.75" customHeight="1" x14ac:dyDescent="0.25">
      <c r="A201" s="37">
        <v>57071</v>
      </c>
      <c r="B201" s="398">
        <f t="shared" ref="B201:C201" si="197">($A201-B$9)/365.25</f>
        <v>74.373716632443532</v>
      </c>
      <c r="C201" s="398">
        <f t="shared" si="197"/>
        <v>69.763175906913077</v>
      </c>
      <c r="E201" s="25">
        <f>IF(C201&gt;$B$7,0,'Combined Retirement'!$D$13/12)</f>
        <v>0</v>
      </c>
      <c r="F201" s="25">
        <f>IF(H201=0,'Combined Retirement'!$D$32,0)+'Combined Retirement'!$B$24</f>
        <v>2870.372285649099</v>
      </c>
      <c r="G201" s="25">
        <f>'Combined Retirement'!$C$24</f>
        <v>3254.2644699519233</v>
      </c>
      <c r="H201" s="25">
        <f>IF(B201&lt;62,0,'Combined Retirement'!$I$14)</f>
        <v>2345</v>
      </c>
      <c r="I201" s="25">
        <f>IF(C201&lt;62,0,'Combined Retirement'!$I$13)</f>
        <v>2420</v>
      </c>
      <c r="J201" s="25">
        <f t="shared" si="3"/>
        <v>8395.6297298201844</v>
      </c>
      <c r="K201" s="25">
        <f t="shared" si="4"/>
        <v>21655.303514578787</v>
      </c>
      <c r="L201" s="25"/>
      <c r="N201" s="25">
        <f>'Combined Retirement'!$C$18/12</f>
        <v>40940.569999999992</v>
      </c>
      <c r="O201" s="25">
        <f t="shared" si="5"/>
        <v>10889.636755601023</v>
      </c>
      <c r="P201" s="25">
        <f t="shared" si="6"/>
        <v>30050.93324439897</v>
      </c>
      <c r="Q201" s="25">
        <f t="array" aca="1" ref="Q201" ca="1">INDEX('Isaac 401k'!L:L,MATCH('Retirement Calculator'!A201,'Isaac 401k'!N:N,0),0)</f>
        <v>962881.45128118212</v>
      </c>
      <c r="R201" s="25">
        <f t="array" aca="1" ref="R201" ca="1">INDEX('Lorri 401b'!L:L,MATCH('Retirement Calculator'!A201,'Lorri 401b'!N:N,0),0)</f>
        <v>3333040.8657376384</v>
      </c>
      <c r="S201" s="25">
        <f t="shared" ca="1" si="7"/>
        <v>4295922.3170188209</v>
      </c>
    </row>
    <row r="202" spans="1:19" ht="15.75" customHeight="1" x14ac:dyDescent="0.25">
      <c r="A202" s="37">
        <v>57101</v>
      </c>
      <c r="B202" s="398">
        <f t="shared" ref="B202:C202" si="198">($A202-B$9)/365.25</f>
        <v>74.455852156057489</v>
      </c>
      <c r="C202" s="398">
        <f t="shared" si="198"/>
        <v>69.845311430527033</v>
      </c>
      <c r="E202" s="25">
        <f>IF(C202&gt;$B$7,0,'Combined Retirement'!$D$13/12)</f>
        <v>0</v>
      </c>
      <c r="F202" s="25">
        <f>IF(H202=0,'Combined Retirement'!$D$32,0)+'Combined Retirement'!$B$24</f>
        <v>2870.372285649099</v>
      </c>
      <c r="G202" s="25">
        <f>'Combined Retirement'!$C$24</f>
        <v>3254.2644699519233</v>
      </c>
      <c r="H202" s="25">
        <f>IF(B202&lt;62,0,'Combined Retirement'!$I$14)</f>
        <v>2345</v>
      </c>
      <c r="I202" s="25">
        <f>IF(C202&lt;62,0,'Combined Retirement'!$I$13)</f>
        <v>2420</v>
      </c>
      <c r="J202" s="25">
        <f t="shared" si="3"/>
        <v>8395.6297298201844</v>
      </c>
      <c r="K202" s="25">
        <f t="shared" si="4"/>
        <v>21655.303514578787</v>
      </c>
      <c r="L202" s="25"/>
      <c r="N202" s="25">
        <f>'Combined Retirement'!$C$18/12</f>
        <v>40940.569999999992</v>
      </c>
      <c r="O202" s="25">
        <f t="shared" si="5"/>
        <v>10889.636755601023</v>
      </c>
      <c r="P202" s="25">
        <f t="shared" si="6"/>
        <v>30050.93324439897</v>
      </c>
      <c r="Q202" s="25">
        <f t="array" aca="1" ref="Q202" ca="1">INDEX('Isaac 401k'!L:L,MATCH('Retirement Calculator'!A202,'Isaac 401k'!N:N,0),0)</f>
        <v>958462.84580782591</v>
      </c>
      <c r="R202" s="25">
        <f t="array" aca="1" ref="R202" ca="1">INDEX('Lorri 401b'!L:L,MATCH('Retirement Calculator'!A202,'Lorri 401b'!N:N,0),0)</f>
        <v>3325183.0020656558</v>
      </c>
      <c r="S202" s="25">
        <f t="shared" ca="1" si="7"/>
        <v>4283645.8478734819</v>
      </c>
    </row>
    <row r="203" spans="1:19" ht="15.75" customHeight="1" x14ac:dyDescent="0.25">
      <c r="A203" s="37">
        <v>57132</v>
      </c>
      <c r="B203" s="398">
        <f t="shared" ref="B203:C203" si="199">($A203-B$9)/365.25</f>
        <v>74.540725530458587</v>
      </c>
      <c r="C203" s="398">
        <f t="shared" si="199"/>
        <v>69.930184804928132</v>
      </c>
      <c r="E203" s="25">
        <f>IF(C203&gt;$B$7,0,'Combined Retirement'!$D$13/12)</f>
        <v>0</v>
      </c>
      <c r="F203" s="25">
        <f>IF(H203=0,'Combined Retirement'!$D$32,0)+'Combined Retirement'!$B$24</f>
        <v>2870.372285649099</v>
      </c>
      <c r="G203" s="25">
        <f>'Combined Retirement'!$C$24</f>
        <v>3254.2644699519233</v>
      </c>
      <c r="H203" s="25">
        <f>IF(B203&lt;62,0,'Combined Retirement'!$I$14)</f>
        <v>2345</v>
      </c>
      <c r="I203" s="25">
        <f>IF(C203&lt;62,0,'Combined Retirement'!$I$13)</f>
        <v>2420</v>
      </c>
      <c r="J203" s="25">
        <f t="shared" si="3"/>
        <v>8395.6297298201844</v>
      </c>
      <c r="K203" s="25">
        <f t="shared" si="4"/>
        <v>21655.303514578787</v>
      </c>
      <c r="L203" s="25"/>
      <c r="N203" s="25">
        <f>'Combined Retirement'!$C$18/12</f>
        <v>40940.569999999992</v>
      </c>
      <c r="O203" s="25">
        <f t="shared" si="5"/>
        <v>10889.636755601023</v>
      </c>
      <c r="P203" s="25">
        <f t="shared" si="6"/>
        <v>30050.93324439897</v>
      </c>
      <c r="Q203" s="25">
        <f t="array" aca="1" ref="Q203" ca="1">INDEX('Isaac 401k'!L:L,MATCH('Retirement Calculator'!A203,'Isaac 401k'!N:N,0),0)</f>
        <v>954025.82947833079</v>
      </c>
      <c r="R203" s="25">
        <f t="array" aca="1" ref="R203" ca="1">INDEX('Lorri 401b'!L:L,MATCH('Retirement Calculator'!A203,'Lorri 401b'!N:N,0),0)</f>
        <v>3317292.3972950396</v>
      </c>
      <c r="S203" s="25">
        <f t="shared" ca="1" si="7"/>
        <v>4271318.2267733701</v>
      </c>
    </row>
    <row r="204" spans="1:19" ht="15.75" customHeight="1" x14ac:dyDescent="0.25">
      <c r="A204" s="37">
        <v>57162</v>
      </c>
      <c r="B204" s="398">
        <f t="shared" ref="B204:C204" si="200">($A204-B$9)/365.25</f>
        <v>74.622861054072558</v>
      </c>
      <c r="C204" s="398">
        <f t="shared" si="200"/>
        <v>70.012320328542089</v>
      </c>
      <c r="E204" s="25">
        <f>IF(C204&gt;$B$7,0,'Combined Retirement'!$D$13/12)</f>
        <v>0</v>
      </c>
      <c r="F204" s="25">
        <f>IF(H204=0,'Combined Retirement'!$D$32,0)+'Combined Retirement'!$B$24</f>
        <v>2870.372285649099</v>
      </c>
      <c r="G204" s="25">
        <f>'Combined Retirement'!$C$24</f>
        <v>3254.2644699519233</v>
      </c>
      <c r="H204" s="25">
        <f>IF(B204&lt;62,0,'Combined Retirement'!$I$14)</f>
        <v>2345</v>
      </c>
      <c r="I204" s="25">
        <f>IF(C204&lt;62,0,'Combined Retirement'!$I$13)</f>
        <v>2420</v>
      </c>
      <c r="J204" s="25">
        <f t="shared" si="3"/>
        <v>8395.6297298201844</v>
      </c>
      <c r="K204" s="25">
        <f t="shared" si="4"/>
        <v>21655.303514578787</v>
      </c>
      <c r="L204" s="25"/>
      <c r="N204" s="25">
        <f>'Combined Retirement'!$C$18/12</f>
        <v>40940.569999999992</v>
      </c>
      <c r="O204" s="25">
        <f t="shared" si="5"/>
        <v>10889.636755601023</v>
      </c>
      <c r="P204" s="25">
        <f t="shared" si="6"/>
        <v>30050.93324439897</v>
      </c>
      <c r="Q204" s="25">
        <f t="array" aca="1" ref="Q204" ca="1">INDEX('Isaac 401k'!L:L,MATCH('Retirement Calculator'!A204,'Isaac 401k'!N:N,0),0)</f>
        <v>949570.32558079611</v>
      </c>
      <c r="R204" s="25">
        <f t="array" aca="1" ref="R204" ca="1">INDEX('Lorri 401b'!L:L,MATCH('Retirement Calculator'!A204,'Lorri 401b'!N:N,0),0)</f>
        <v>3309368.9150045458</v>
      </c>
      <c r="S204" s="25">
        <f t="shared" ca="1" si="7"/>
        <v>4258939.240585342</v>
      </c>
    </row>
    <row r="205" spans="1:19" ht="15.75" customHeight="1" x14ac:dyDescent="0.25">
      <c r="A205" s="37">
        <v>57193</v>
      </c>
      <c r="B205" s="398">
        <f t="shared" ref="B205:C205" si="201">($A205-B$9)/365.25</f>
        <v>74.707734428473643</v>
      </c>
      <c r="C205" s="398">
        <f t="shared" si="201"/>
        <v>70.097193702943187</v>
      </c>
      <c r="E205" s="25">
        <f>IF(C205&gt;$B$7,0,'Combined Retirement'!$D$13/12)</f>
        <v>0</v>
      </c>
      <c r="F205" s="25">
        <f>IF(H205=0,'Combined Retirement'!$D$32,0)+'Combined Retirement'!$B$24</f>
        <v>2870.372285649099</v>
      </c>
      <c r="G205" s="25">
        <f>'Combined Retirement'!$C$24</f>
        <v>3254.2644699519233</v>
      </c>
      <c r="H205" s="25">
        <f>IF(B205&lt;62,0,'Combined Retirement'!$I$14)</f>
        <v>2345</v>
      </c>
      <c r="I205" s="25">
        <f>IF(C205&lt;62,0,'Combined Retirement'!$I$13)</f>
        <v>2420</v>
      </c>
      <c r="J205" s="25">
        <f t="shared" si="3"/>
        <v>8395.6297298201844</v>
      </c>
      <c r="K205" s="25">
        <f t="shared" si="4"/>
        <v>21655.303514578787</v>
      </c>
      <c r="L205" s="25"/>
      <c r="N205" s="25">
        <f>'Combined Retirement'!$C$18/12</f>
        <v>40940.569999999992</v>
      </c>
      <c r="O205" s="25">
        <f t="shared" si="5"/>
        <v>10889.636755601023</v>
      </c>
      <c r="P205" s="25">
        <f t="shared" si="6"/>
        <v>30050.93324439897</v>
      </c>
      <c r="Q205" s="25">
        <f t="array" aca="1" ref="Q205" ca="1">INDEX('Isaac 401k'!L:L,MATCH('Retirement Calculator'!A205,'Isaac 401k'!N:N,0),0)</f>
        <v>945096.25708368828</v>
      </c>
      <c r="R205" s="25">
        <f t="array" aca="1" ref="R205" ca="1">INDEX('Lorri 401b'!L:L,MATCH('Retirement Calculator'!A205,'Lorri 401b'!N:N,0),0)</f>
        <v>3301412.4182045087</v>
      </c>
      <c r="S205" s="25">
        <f t="shared" ca="1" si="7"/>
        <v>4246508.6752881967</v>
      </c>
    </row>
    <row r="206" spans="1:19" ht="15.75" customHeight="1" x14ac:dyDescent="0.25">
      <c r="A206" s="37">
        <v>57224</v>
      </c>
      <c r="B206" s="398">
        <f t="shared" ref="B206:C206" si="202">($A206-B$9)/365.25</f>
        <v>74.792607802874741</v>
      </c>
      <c r="C206" s="398">
        <f t="shared" si="202"/>
        <v>70.182067077344286</v>
      </c>
      <c r="E206" s="25">
        <f>IF(C206&gt;$B$7,0,'Combined Retirement'!$D$13/12)</f>
        <v>0</v>
      </c>
      <c r="F206" s="25">
        <f>IF(H206=0,'Combined Retirement'!$D$32,0)+'Combined Retirement'!$B$24</f>
        <v>2870.372285649099</v>
      </c>
      <c r="G206" s="25">
        <f>'Combined Retirement'!$C$24</f>
        <v>3254.2644699519233</v>
      </c>
      <c r="H206" s="25">
        <f>IF(B206&lt;62,0,'Combined Retirement'!$I$14)</f>
        <v>2345</v>
      </c>
      <c r="I206" s="25">
        <f>IF(C206&lt;62,0,'Combined Retirement'!$I$13)</f>
        <v>2420</v>
      </c>
      <c r="J206" s="25">
        <f t="shared" si="3"/>
        <v>8395.6297298201844</v>
      </c>
      <c r="K206" s="25">
        <f t="shared" si="4"/>
        <v>21655.303514578787</v>
      </c>
      <c r="L206" s="25"/>
      <c r="N206" s="25">
        <f>'Combined Retirement'!$C$18/12</f>
        <v>40940.569999999992</v>
      </c>
      <c r="O206" s="25">
        <f t="shared" si="5"/>
        <v>10889.636755601023</v>
      </c>
      <c r="P206" s="25">
        <f t="shared" si="6"/>
        <v>30050.93324439897</v>
      </c>
      <c r="Q206" s="25">
        <f t="array" aca="1" ref="Q206" ca="1">INDEX('Isaac 401k'!L:L,MATCH('Retirement Calculator'!A206,'Isaac 401k'!N:N,0),0)</f>
        <v>940603.54663450923</v>
      </c>
      <c r="R206" s="25">
        <f t="array" aca="1" ref="R206" ca="1">INDEX('Lorri 401b'!L:L,MATCH('Retirement Calculator'!A206,'Lorri 401b'!N:N,0),0)</f>
        <v>3293422.7693344713</v>
      </c>
      <c r="S206" s="25">
        <f t="shared" ca="1" si="7"/>
        <v>4234026.315968981</v>
      </c>
    </row>
    <row r="207" spans="1:19" ht="15.75" customHeight="1" x14ac:dyDescent="0.25">
      <c r="A207" s="37">
        <v>57254</v>
      </c>
      <c r="B207" s="398">
        <f t="shared" ref="B207:C207" si="203">($A207-B$9)/365.25</f>
        <v>74.874743326488712</v>
      </c>
      <c r="C207" s="398">
        <f t="shared" si="203"/>
        <v>70.264202600958242</v>
      </c>
      <c r="E207" s="25">
        <f>IF(C207&gt;$B$7,0,'Combined Retirement'!$D$13/12)</f>
        <v>0</v>
      </c>
      <c r="F207" s="25">
        <f>IF(H207=0,'Combined Retirement'!$D$32,0)+'Combined Retirement'!$B$24</f>
        <v>2870.372285649099</v>
      </c>
      <c r="G207" s="25">
        <f>'Combined Retirement'!$C$24</f>
        <v>3254.2644699519233</v>
      </c>
      <c r="H207" s="25">
        <f>IF(B207&lt;62,0,'Combined Retirement'!$I$14)</f>
        <v>2345</v>
      </c>
      <c r="I207" s="25">
        <f>IF(C207&lt;62,0,'Combined Retirement'!$I$13)</f>
        <v>2420</v>
      </c>
      <c r="J207" s="25">
        <f t="shared" si="3"/>
        <v>8395.6297298201844</v>
      </c>
      <c r="K207" s="25">
        <f t="shared" si="4"/>
        <v>21655.303514578787</v>
      </c>
      <c r="L207" s="25"/>
      <c r="N207" s="25">
        <f>'Combined Retirement'!$C$18/12</f>
        <v>40940.569999999992</v>
      </c>
      <c r="O207" s="25">
        <f t="shared" si="5"/>
        <v>10889.636755601023</v>
      </c>
      <c r="P207" s="25">
        <f t="shared" si="6"/>
        <v>30050.93324439897</v>
      </c>
      <c r="Q207" s="25">
        <f t="array" aca="1" ref="Q207" ca="1">INDEX('Isaac 401k'!L:L,MATCH('Retirement Calculator'!A207,'Isaac 401k'!N:N,0),0)</f>
        <v>936092.11655845854</v>
      </c>
      <c r="R207" s="25">
        <f t="array" aca="1" ref="R207" ca="1">INDEX('Lorri 401b'!L:L,MATCH('Retirement Calculator'!A207,'Lorri 401b'!N:N,0),0)</f>
        <v>3285399.8302608086</v>
      </c>
      <c r="S207" s="25">
        <f t="shared" ca="1" si="7"/>
        <v>4221491.9468192672</v>
      </c>
    </row>
    <row r="208" spans="1:19" ht="15.75" customHeight="1" x14ac:dyDescent="0.25">
      <c r="A208" s="37">
        <v>57285</v>
      </c>
      <c r="B208" s="398">
        <f t="shared" ref="B208:C208" si="204">($A208-B$9)/365.25</f>
        <v>74.959616700889796</v>
      </c>
      <c r="C208" s="398">
        <f t="shared" si="204"/>
        <v>70.349075975359341</v>
      </c>
      <c r="E208" s="25">
        <f>IF(C208&gt;$B$7,0,'Combined Retirement'!$D$13/12)</f>
        <v>0</v>
      </c>
      <c r="F208" s="25">
        <f>IF(H208=0,'Combined Retirement'!$D$32,0)+'Combined Retirement'!$B$24</f>
        <v>2870.372285649099</v>
      </c>
      <c r="G208" s="25">
        <f>'Combined Retirement'!$C$24</f>
        <v>3254.2644699519233</v>
      </c>
      <c r="H208" s="25">
        <f>IF(B208&lt;62,0,'Combined Retirement'!$I$14)</f>
        <v>2345</v>
      </c>
      <c r="I208" s="25">
        <f>IF(C208&lt;62,0,'Combined Retirement'!$I$13)</f>
        <v>2420</v>
      </c>
      <c r="J208" s="25">
        <f t="shared" si="3"/>
        <v>8395.6297298201844</v>
      </c>
      <c r="K208" s="25">
        <f t="shared" si="4"/>
        <v>21655.303514578787</v>
      </c>
      <c r="L208" s="25"/>
      <c r="N208" s="25">
        <f>'Combined Retirement'!$C$18/12</f>
        <v>40940.569999999992</v>
      </c>
      <c r="O208" s="25">
        <f t="shared" si="5"/>
        <v>10889.636755601023</v>
      </c>
      <c r="P208" s="25">
        <f t="shared" si="6"/>
        <v>30050.93324439897</v>
      </c>
      <c r="Q208" s="25">
        <f t="array" aca="1" ref="Q208" ca="1">INDEX('Isaac 401k'!L:L,MATCH('Retirement Calculator'!A208,'Isaac 401k'!N:N,0),0)</f>
        <v>931561.88885709096</v>
      </c>
      <c r="R208" s="25">
        <f t="array" aca="1" ref="R208" ca="1">INDEX('Lorri 401b'!L:L,MATCH('Retirement Calculator'!A208,'Lorri 401b'!N:N,0),0)</f>
        <v>3277343.4622743391</v>
      </c>
      <c r="S208" s="25">
        <f t="shared" ca="1" si="7"/>
        <v>4208905.3511314299</v>
      </c>
    </row>
    <row r="209" spans="1:19" ht="15.75" customHeight="1" x14ac:dyDescent="0.25">
      <c r="A209" s="37">
        <v>57315</v>
      </c>
      <c r="B209" s="398">
        <f t="shared" ref="B209:C209" si="205">($A209-B$9)/365.25</f>
        <v>75.041752224503767</v>
      </c>
      <c r="C209" s="398">
        <f t="shared" si="205"/>
        <v>70.431211498973312</v>
      </c>
      <c r="E209" s="25">
        <f>IF(C209&gt;$B$7,0,'Combined Retirement'!$D$13/12)</f>
        <v>0</v>
      </c>
      <c r="F209" s="25">
        <f>IF(H209=0,'Combined Retirement'!$D$32,0)+'Combined Retirement'!$B$24</f>
        <v>2870.372285649099</v>
      </c>
      <c r="G209" s="25">
        <f>'Combined Retirement'!$C$24</f>
        <v>3254.2644699519233</v>
      </c>
      <c r="H209" s="25">
        <f>IF(B209&lt;62,0,'Combined Retirement'!$I$14)</f>
        <v>2345</v>
      </c>
      <c r="I209" s="25">
        <f>IF(C209&lt;62,0,'Combined Retirement'!$I$13)</f>
        <v>2420</v>
      </c>
      <c r="J209" s="25">
        <f t="shared" si="3"/>
        <v>8395.6297298201844</v>
      </c>
      <c r="K209" s="25">
        <f t="shared" si="4"/>
        <v>21655.303514578787</v>
      </c>
      <c r="L209" s="25"/>
      <c r="N209" s="25">
        <f>'Combined Retirement'!$C$18/12</f>
        <v>40940.569999999992</v>
      </c>
      <c r="O209" s="25">
        <f t="shared" si="5"/>
        <v>10889.636755601023</v>
      </c>
      <c r="P209" s="25">
        <f t="shared" si="6"/>
        <v>30050.93324439897</v>
      </c>
      <c r="Q209" s="25">
        <f t="array" aca="1" ref="Q209" ca="1">INDEX('Isaac 401k'!L:L,MATCH('Retirement Calculator'!A209,'Isaac 401k'!N:N,0),0)</f>
        <v>927012.78520696773</v>
      </c>
      <c r="R209" s="25">
        <f t="array" aca="1" ref="R209" ca="1">INDEX('Lorri 401b'!L:L,MATCH('Retirement Calculator'!A209,'Lorri 401b'!N:N,0),0)</f>
        <v>3269253.5260879258</v>
      </c>
      <c r="S209" s="25">
        <f t="shared" ca="1" si="7"/>
        <v>4196266.3112948937</v>
      </c>
    </row>
    <row r="210" spans="1:19" ht="15.75" customHeight="1" x14ac:dyDescent="0.25">
      <c r="A210" s="37">
        <v>57346</v>
      </c>
      <c r="B210" s="398">
        <f t="shared" ref="B210:C210" si="206">($A210-B$9)/365.25</f>
        <v>75.126625598904866</v>
      </c>
      <c r="C210" s="398">
        <f t="shared" si="206"/>
        <v>70.516084873374396</v>
      </c>
      <c r="E210" s="25">
        <f>IF(C210&gt;$B$7,0,'Combined Retirement'!$D$13/12)</f>
        <v>0</v>
      </c>
      <c r="F210" s="25">
        <f>IF(H210=0,'Combined Retirement'!$D$32,0)+'Combined Retirement'!$B$24</f>
        <v>2870.372285649099</v>
      </c>
      <c r="G210" s="25">
        <f>'Combined Retirement'!$C$24</f>
        <v>3254.2644699519233</v>
      </c>
      <c r="H210" s="25">
        <f>IF(B210&lt;62,0,'Combined Retirement'!$I$14)</f>
        <v>2345</v>
      </c>
      <c r="I210" s="25">
        <f>IF(C210&lt;62,0,'Combined Retirement'!$I$13)</f>
        <v>2420</v>
      </c>
      <c r="J210" s="25">
        <f t="shared" si="3"/>
        <v>8395.6297298201844</v>
      </c>
      <c r="K210" s="25">
        <f t="shared" si="4"/>
        <v>21655.303514578787</v>
      </c>
      <c r="L210" s="25"/>
      <c r="N210" s="25">
        <f>'Combined Retirement'!$C$18/12</f>
        <v>40940.569999999992</v>
      </c>
      <c r="O210" s="25">
        <f t="shared" si="5"/>
        <v>10889.636755601023</v>
      </c>
      <c r="P210" s="25">
        <f t="shared" si="6"/>
        <v>30050.93324439897</v>
      </c>
      <c r="Q210" s="25">
        <f t="array" aca="1" ref="Q210" ca="1">INDEX('Isaac 401k'!L:L,MATCH('Retirement Calculator'!A210,'Isaac 401k'!N:N,0),0)</f>
        <v>922444.72695830232</v>
      </c>
      <c r="R210" s="25">
        <f t="array" aca="1" ref="R210" ca="1">INDEX('Lorri 401b'!L:L,MATCH('Retirement Calculator'!A210,'Lorri 401b'!N:N,0),0)</f>
        <v>3261129.8818340693</v>
      </c>
      <c r="S210" s="25">
        <f t="shared" ca="1" si="7"/>
        <v>4183574.6087923716</v>
      </c>
    </row>
    <row r="211" spans="1:19" ht="15.75" customHeight="1" x14ac:dyDescent="0.25">
      <c r="A211" s="37">
        <v>57377</v>
      </c>
      <c r="B211" s="398">
        <f t="shared" ref="B211:C211" si="207">($A211-B$9)/365.25</f>
        <v>75.21149897330595</v>
      </c>
      <c r="C211" s="398">
        <f t="shared" si="207"/>
        <v>70.600958247775495</v>
      </c>
      <c r="E211" s="25">
        <f>IF(C211&gt;$B$7,0,'Combined Retirement'!$D$13/12)</f>
        <v>0</v>
      </c>
      <c r="F211" s="25">
        <f>IF(H211=0,'Combined Retirement'!$D$32,0)+'Combined Retirement'!$B$24</f>
        <v>2870.372285649099</v>
      </c>
      <c r="G211" s="25">
        <f>'Combined Retirement'!$C$24</f>
        <v>3254.2644699519233</v>
      </c>
      <c r="H211" s="25">
        <f>IF(B211&lt;62,0,'Combined Retirement'!$I$14)</f>
        <v>2345</v>
      </c>
      <c r="I211" s="25">
        <f>IF(C211&lt;62,0,'Combined Retirement'!$I$13)</f>
        <v>2420</v>
      </c>
      <c r="J211" s="25">
        <f t="shared" si="3"/>
        <v>8395.6297298201844</v>
      </c>
      <c r="K211" s="25">
        <f t="shared" si="4"/>
        <v>21655.303514578787</v>
      </c>
      <c r="L211" s="25"/>
      <c r="N211" s="25">
        <f>'Combined Retirement'!$C$18/12</f>
        <v>40940.569999999992</v>
      </c>
      <c r="O211" s="25">
        <f t="shared" si="5"/>
        <v>10889.636755601023</v>
      </c>
      <c r="P211" s="25">
        <f t="shared" si="6"/>
        <v>30050.93324439897</v>
      </c>
      <c r="Q211" s="25">
        <f t="array" aca="1" ref="Q211" ca="1">INDEX('Isaac 401k'!L:L,MATCH('Retirement Calculator'!A211,'Isaac 401k'!N:N,0),0)</f>
        <v>917857.63513360079</v>
      </c>
      <c r="R211" s="25">
        <f t="array" aca="1" ref="R211" ca="1">INDEX('Lorri 401b'!L:L,MATCH('Retirement Calculator'!A211,'Lorri 401b'!N:N,0),0)</f>
        <v>3252972.3890624885</v>
      </c>
      <c r="S211" s="25">
        <f t="shared" ca="1" si="7"/>
        <v>4170830.0241960892</v>
      </c>
    </row>
    <row r="212" spans="1:19" ht="15.75" customHeight="1" x14ac:dyDescent="0.25">
      <c r="A212" s="37">
        <v>57405</v>
      </c>
      <c r="B212" s="398">
        <f t="shared" ref="B212:C212" si="208">($A212-B$9)/365.25</f>
        <v>75.288158795345652</v>
      </c>
      <c r="C212" s="398">
        <f t="shared" si="208"/>
        <v>70.677618069815196</v>
      </c>
      <c r="E212" s="25">
        <f>IF(C212&gt;$B$7,0,'Combined Retirement'!$D$13/12)</f>
        <v>0</v>
      </c>
      <c r="F212" s="25">
        <f>IF(H212=0,'Combined Retirement'!$D$32,0)+'Combined Retirement'!$B$24</f>
        <v>2870.372285649099</v>
      </c>
      <c r="G212" s="25">
        <f>'Combined Retirement'!$C$24</f>
        <v>3254.2644699519233</v>
      </c>
      <c r="H212" s="25">
        <f>IF(B212&lt;62,0,'Combined Retirement'!$I$14)</f>
        <v>2345</v>
      </c>
      <c r="I212" s="25">
        <f>IF(C212&lt;62,0,'Combined Retirement'!$I$13)</f>
        <v>2420</v>
      </c>
      <c r="J212" s="25">
        <f t="shared" si="3"/>
        <v>8395.6297298201844</v>
      </c>
      <c r="K212" s="25">
        <f t="shared" si="4"/>
        <v>21655.303514578787</v>
      </c>
      <c r="L212" s="25"/>
      <c r="N212" s="25">
        <f>'Combined Retirement'!$C$18/12</f>
        <v>40940.569999999992</v>
      </c>
      <c r="O212" s="25">
        <f t="shared" si="5"/>
        <v>10889.636755601023</v>
      </c>
      <c r="P212" s="25">
        <f t="shared" si="6"/>
        <v>30050.93324439897</v>
      </c>
      <c r="Q212" s="25">
        <f t="array" aca="1" ref="Q212" ca="1">INDEX('Isaac 401k'!L:L,MATCH('Retirement Calculator'!A212,'Isaac 401k'!N:N,0),0)</f>
        <v>913251.43042629631</v>
      </c>
      <c r="R212" s="25">
        <f t="array" aca="1" ref="R212" ca="1">INDEX('Lorri 401b'!L:L,MATCH('Retirement Calculator'!A212,'Lorri 401b'!N:N,0),0)</f>
        <v>3244780.9067376927</v>
      </c>
      <c r="S212" s="25">
        <f t="shared" ca="1" si="7"/>
        <v>4158032.337163989</v>
      </c>
    </row>
    <row r="213" spans="1:19" ht="15.75" customHeight="1" x14ac:dyDescent="0.25">
      <c r="A213" s="37">
        <v>57436</v>
      </c>
      <c r="B213" s="398">
        <f t="shared" ref="B213:C213" si="209">($A213-B$9)/365.25</f>
        <v>75.37303216974675</v>
      </c>
      <c r="C213" s="398">
        <f t="shared" si="209"/>
        <v>70.762491444216295</v>
      </c>
      <c r="E213" s="25">
        <f>IF(C213&gt;$B$7,0,'Combined Retirement'!$D$13/12)</f>
        <v>0</v>
      </c>
      <c r="F213" s="25">
        <f>IF(H213=0,'Combined Retirement'!$D$32,0)+'Combined Retirement'!$B$24</f>
        <v>2870.372285649099</v>
      </c>
      <c r="G213" s="25">
        <f>'Combined Retirement'!$C$24</f>
        <v>3254.2644699519233</v>
      </c>
      <c r="H213" s="25">
        <f>IF(B213&lt;62,0,'Combined Retirement'!$I$14)</f>
        <v>2345</v>
      </c>
      <c r="I213" s="25">
        <f>IF(C213&lt;62,0,'Combined Retirement'!$I$13)</f>
        <v>2420</v>
      </c>
      <c r="J213" s="25">
        <f t="shared" si="3"/>
        <v>8395.6297298201844</v>
      </c>
      <c r="K213" s="25">
        <f t="shared" si="4"/>
        <v>21655.303514578787</v>
      </c>
      <c r="L213" s="25"/>
      <c r="N213" s="25">
        <f>'Combined Retirement'!$C$18/12</f>
        <v>40940.569999999992</v>
      </c>
      <c r="O213" s="25">
        <f t="shared" si="5"/>
        <v>10889.636755601023</v>
      </c>
      <c r="P213" s="25">
        <f t="shared" si="6"/>
        <v>30050.93324439897</v>
      </c>
      <c r="Q213" s="25">
        <f t="array" aca="1" ref="Q213" ca="1">INDEX('Isaac 401k'!L:L,MATCH('Retirement Calculator'!A213,'Isaac 401k'!N:N,0),0)</f>
        <v>908626.03319937806</v>
      </c>
      <c r="R213" s="25">
        <f t="array" aca="1" ref="R213" ca="1">INDEX('Lorri 401b'!L:L,MATCH('Retirement Calculator'!A213,'Lorri 401b'!N:N,0),0)</f>
        <v>3236555.2932365434</v>
      </c>
      <c r="S213" s="25">
        <f t="shared" ca="1" si="7"/>
        <v>4145181.3264359217</v>
      </c>
    </row>
    <row r="214" spans="1:19" ht="15.75" customHeight="1" x14ac:dyDescent="0.25">
      <c r="A214" s="37">
        <v>57466</v>
      </c>
      <c r="B214" s="398">
        <f t="shared" ref="B214:C214" si="210">($A214-B$9)/365.25</f>
        <v>75.455167693360707</v>
      </c>
      <c r="C214" s="398">
        <f t="shared" si="210"/>
        <v>70.844626967830251</v>
      </c>
      <c r="E214" s="25">
        <f>IF(C214&gt;$B$7,0,'Combined Retirement'!$D$13/12)</f>
        <v>0</v>
      </c>
      <c r="F214" s="25">
        <f>IF(H214=0,'Combined Retirement'!$D$32,0)+'Combined Retirement'!$B$24</f>
        <v>2870.372285649099</v>
      </c>
      <c r="G214" s="25">
        <f>'Combined Retirement'!$C$24</f>
        <v>3254.2644699519233</v>
      </c>
      <c r="H214" s="25">
        <f>IF(B214&lt;62,0,'Combined Retirement'!$I$14)</f>
        <v>2345</v>
      </c>
      <c r="I214" s="25">
        <f>IF(C214&lt;62,0,'Combined Retirement'!$I$13)</f>
        <v>2420</v>
      </c>
      <c r="J214" s="25">
        <f t="shared" si="3"/>
        <v>8395.6297298201844</v>
      </c>
      <c r="K214" s="25">
        <f t="shared" si="4"/>
        <v>21655.303514578787</v>
      </c>
      <c r="L214" s="25"/>
      <c r="N214" s="25">
        <f>'Combined Retirement'!$C$18/12</f>
        <v>40940.569999999992</v>
      </c>
      <c r="O214" s="25">
        <f t="shared" si="5"/>
        <v>10889.636755601023</v>
      </c>
      <c r="P214" s="25">
        <f t="shared" si="6"/>
        <v>30050.93324439897</v>
      </c>
      <c r="Q214" s="25">
        <f t="array" aca="1" ref="Q214" ca="1">INDEX('Isaac 401k'!L:L,MATCH('Retirement Calculator'!A214,'Isaac 401k'!N:N,0),0)</f>
        <v>903981.36348401441</v>
      </c>
      <c r="R214" s="25">
        <f t="array" aca="1" ref="R214" ca="1">INDEX('Lorri 401b'!L:L,MATCH('Retirement Calculator'!A214,'Lorri 401b'!N:N,0),0)</f>
        <v>3228295.4063458061</v>
      </c>
      <c r="S214" s="25">
        <f t="shared" ca="1" si="7"/>
        <v>4132276.7698298204</v>
      </c>
    </row>
    <row r="215" spans="1:19" ht="15.75" customHeight="1" x14ac:dyDescent="0.25">
      <c r="A215" s="37">
        <v>57497</v>
      </c>
      <c r="B215" s="398">
        <f t="shared" ref="B215:C215" si="211">($A215-B$9)/365.25</f>
        <v>75.540041067761805</v>
      </c>
      <c r="C215" s="398">
        <f t="shared" si="211"/>
        <v>70.92950034223135</v>
      </c>
      <c r="E215" s="25">
        <f>IF(C215&gt;$B$7,0,'Combined Retirement'!$D$13/12)</f>
        <v>0</v>
      </c>
      <c r="F215" s="25">
        <f>IF(H215=0,'Combined Retirement'!$D$32,0)+'Combined Retirement'!$B$24</f>
        <v>2870.372285649099</v>
      </c>
      <c r="G215" s="25">
        <f>'Combined Retirement'!$C$24</f>
        <v>3254.2644699519233</v>
      </c>
      <c r="H215" s="25">
        <f>IF(B215&lt;62,0,'Combined Retirement'!$I$14)</f>
        <v>2345</v>
      </c>
      <c r="I215" s="25">
        <f>IF(C215&lt;62,0,'Combined Retirement'!$I$13)</f>
        <v>2420</v>
      </c>
      <c r="J215" s="25">
        <f t="shared" si="3"/>
        <v>8395.6297298201844</v>
      </c>
      <c r="K215" s="25">
        <f t="shared" si="4"/>
        <v>21655.303514578787</v>
      </c>
      <c r="L215" s="25"/>
      <c r="N215" s="25">
        <f>'Combined Retirement'!$C$18/12</f>
        <v>40940.569999999992</v>
      </c>
      <c r="O215" s="25">
        <f t="shared" si="5"/>
        <v>10889.636755601023</v>
      </c>
      <c r="P215" s="25">
        <f t="shared" si="6"/>
        <v>30050.93324439897</v>
      </c>
      <c r="Q215" s="25">
        <f t="array" aca="1" ref="Q215" ca="1">INDEX('Isaac 401k'!L:L,MATCH('Retirement Calculator'!A215,'Isaac 401k'!N:N,0),0)</f>
        <v>899317.34097817005</v>
      </c>
      <c r="R215" s="25">
        <f t="array" aca="1" ref="R215" ca="1">INDEX('Lorri 401b'!L:L,MATCH('Retirement Calculator'!A215,'Lorri 401b'!N:N,0),0)</f>
        <v>3220001.1032596906</v>
      </c>
      <c r="S215" s="25">
        <f t="shared" ca="1" si="7"/>
        <v>4119318.4442378609</v>
      </c>
    </row>
    <row r="216" spans="1:19" ht="15.75" customHeight="1" x14ac:dyDescent="0.25">
      <c r="A216" s="37">
        <v>57527</v>
      </c>
      <c r="B216" s="398">
        <f t="shared" ref="B216:C216" si="212">($A216-B$9)/365.25</f>
        <v>75.622176591375776</v>
      </c>
      <c r="C216" s="398">
        <f t="shared" si="212"/>
        <v>71.011635865845307</v>
      </c>
      <c r="E216" s="25">
        <f>IF(C216&gt;$B$7,0,'Combined Retirement'!$D$13/12)</f>
        <v>0</v>
      </c>
      <c r="F216" s="25">
        <f>IF(H216=0,'Combined Retirement'!$D$32,0)+'Combined Retirement'!$B$24</f>
        <v>2870.372285649099</v>
      </c>
      <c r="G216" s="25">
        <f>'Combined Retirement'!$C$24</f>
        <v>3254.2644699519233</v>
      </c>
      <c r="H216" s="25">
        <f>IF(B216&lt;62,0,'Combined Retirement'!$I$14)</f>
        <v>2345</v>
      </c>
      <c r="I216" s="25">
        <f>IF(C216&lt;62,0,'Combined Retirement'!$I$13)</f>
        <v>2420</v>
      </c>
      <c r="J216" s="25">
        <f t="shared" si="3"/>
        <v>8395.6297298201844</v>
      </c>
      <c r="K216" s="25">
        <f t="shared" si="4"/>
        <v>21655.303514578787</v>
      </c>
      <c r="L216" s="25"/>
      <c r="N216" s="25">
        <f>'Combined Retirement'!$C$18/12</f>
        <v>40940.569999999992</v>
      </c>
      <c r="O216" s="25">
        <f t="shared" si="5"/>
        <v>10889.636755601023</v>
      </c>
      <c r="P216" s="25">
        <f t="shared" si="6"/>
        <v>30050.93324439897</v>
      </c>
      <c r="Q216" s="25">
        <f t="array" aca="1" ref="Q216" ca="1">INDEX('Isaac 401k'!L:L,MATCH('Retirement Calculator'!A216,'Isaac 401k'!N:N,0),0)</f>
        <v>894633.88504521793</v>
      </c>
      <c r="R216" s="25">
        <f t="array" aca="1" ref="R216" ca="1">INDEX('Lorri 401b'!L:L,MATCH('Retirement Calculator'!A216,'Lorri 401b'!N:N,0),0)</f>
        <v>3211672.240577383</v>
      </c>
      <c r="S216" s="25">
        <f t="shared" ca="1" si="7"/>
        <v>4106306.1256226008</v>
      </c>
    </row>
    <row r="217" spans="1:19" ht="15.75" customHeight="1" x14ac:dyDescent="0.25">
      <c r="A217" s="37">
        <v>57558</v>
      </c>
      <c r="B217" s="398">
        <f t="shared" ref="B217:C217" si="213">($A217-B$9)/365.25</f>
        <v>75.707049965776861</v>
      </c>
      <c r="C217" s="398">
        <f t="shared" si="213"/>
        <v>71.096509240246405</v>
      </c>
      <c r="E217" s="25">
        <f>IF(C217&gt;$B$7,0,'Combined Retirement'!$D$13/12)</f>
        <v>0</v>
      </c>
      <c r="F217" s="25">
        <f>IF(H217=0,'Combined Retirement'!$D$32,0)+'Combined Retirement'!$B$24</f>
        <v>2870.372285649099</v>
      </c>
      <c r="G217" s="25">
        <f>'Combined Retirement'!$C$24</f>
        <v>3254.2644699519233</v>
      </c>
      <c r="H217" s="25">
        <f>IF(B217&lt;62,0,'Combined Retirement'!$I$14)</f>
        <v>2345</v>
      </c>
      <c r="I217" s="25">
        <f>IF(C217&lt;62,0,'Combined Retirement'!$I$13)</f>
        <v>2420</v>
      </c>
      <c r="J217" s="25">
        <f t="shared" si="3"/>
        <v>8395.6297298201844</v>
      </c>
      <c r="K217" s="25">
        <f t="shared" si="4"/>
        <v>21655.303514578787</v>
      </c>
      <c r="L217" s="25"/>
      <c r="N217" s="25">
        <f>'Combined Retirement'!$C$18/12</f>
        <v>40940.569999999992</v>
      </c>
      <c r="O217" s="25">
        <f t="shared" si="5"/>
        <v>10889.636755601023</v>
      </c>
      <c r="P217" s="25">
        <f t="shared" si="6"/>
        <v>30050.93324439897</v>
      </c>
      <c r="Q217" s="25">
        <f t="array" aca="1" ref="Q217" ca="1">INDEX('Isaac 401k'!L:L,MATCH('Retirement Calculator'!A217,'Isaac 401k'!N:N,0),0)</f>
        <v>889930.91471254523</v>
      </c>
      <c r="R217" s="25">
        <f t="array" aca="1" ref="R217" ca="1">INDEX('Lorri 401b'!L:L,MATCH('Retirement Calculator'!A217,'Lorri 401b'!N:N,0),0)</f>
        <v>3203308.6743005658</v>
      </c>
      <c r="S217" s="25">
        <f t="shared" ca="1" si="7"/>
        <v>4093239.5890131108</v>
      </c>
    </row>
    <row r="218" spans="1:19" ht="15.75" customHeight="1" x14ac:dyDescent="0.25">
      <c r="A218" s="37">
        <v>57589</v>
      </c>
      <c r="B218" s="398">
        <f t="shared" ref="B218:C218" si="214">($A218-B$9)/365.25</f>
        <v>75.791923340177959</v>
      </c>
      <c r="C218" s="398">
        <f t="shared" si="214"/>
        <v>71.181382614647504</v>
      </c>
      <c r="E218" s="25">
        <f>IF(C218&gt;$B$7,0,'Combined Retirement'!$D$13/12)</f>
        <v>0</v>
      </c>
      <c r="F218" s="25">
        <f>IF(H218=0,'Combined Retirement'!$D$32,0)+'Combined Retirement'!$B$24</f>
        <v>2870.372285649099</v>
      </c>
      <c r="G218" s="25">
        <f>'Combined Retirement'!$C$24</f>
        <v>3254.2644699519233</v>
      </c>
      <c r="H218" s="25">
        <f>IF(B218&lt;62,0,'Combined Retirement'!$I$14)</f>
        <v>2345</v>
      </c>
      <c r="I218" s="25">
        <f>IF(C218&lt;62,0,'Combined Retirement'!$I$13)</f>
        <v>2420</v>
      </c>
      <c r="J218" s="25">
        <f t="shared" si="3"/>
        <v>8395.6297298201844</v>
      </c>
      <c r="K218" s="25">
        <f t="shared" si="4"/>
        <v>21655.303514578787</v>
      </c>
      <c r="L218" s="25"/>
      <c r="N218" s="25">
        <f>'Combined Retirement'!$C$18/12</f>
        <v>40940.569999999992</v>
      </c>
      <c r="O218" s="25">
        <f t="shared" si="5"/>
        <v>10889.636755601023</v>
      </c>
      <c r="P218" s="25">
        <f t="shared" si="6"/>
        <v>30050.93324439897</v>
      </c>
      <c r="Q218" s="25">
        <f t="array" aca="1" ref="Q218" ca="1">INDEX('Isaac 401k'!L:L,MATCH('Retirement Calculator'!A218,'Isaac 401k'!N:N,0),0)</f>
        <v>885208.34867015306</v>
      </c>
      <c r="R218" s="25">
        <f t="array" aca="1" ref="R218" ca="1">INDEX('Lorri 401b'!L:L,MATCH('Retirement Calculator'!A218,'Lorri 401b'!N:N,0),0)</f>
        <v>3194910.2598309284</v>
      </c>
      <c r="S218" s="25">
        <f t="shared" ca="1" si="7"/>
        <v>4080118.6085010814</v>
      </c>
    </row>
    <row r="219" spans="1:19" ht="15.75" customHeight="1" x14ac:dyDescent="0.25">
      <c r="A219" s="37">
        <v>57619</v>
      </c>
      <c r="B219" s="398">
        <f t="shared" ref="B219:C219" si="215">($A219-B$9)/365.25</f>
        <v>75.87405886379193</v>
      </c>
      <c r="C219" s="398">
        <f t="shared" si="215"/>
        <v>71.26351813826146</v>
      </c>
      <c r="E219" s="25">
        <f>IF(C219&gt;$B$7,0,'Combined Retirement'!$D$13/12)</f>
        <v>0</v>
      </c>
      <c r="F219" s="25">
        <f>IF(H219=0,'Combined Retirement'!$D$32,0)+'Combined Retirement'!$B$24</f>
        <v>2870.372285649099</v>
      </c>
      <c r="G219" s="25">
        <f>'Combined Retirement'!$C$24</f>
        <v>3254.2644699519233</v>
      </c>
      <c r="H219" s="25">
        <f>IF(B219&lt;62,0,'Combined Retirement'!$I$14)</f>
        <v>2345</v>
      </c>
      <c r="I219" s="25">
        <f>IF(C219&lt;62,0,'Combined Retirement'!$I$13)</f>
        <v>2420</v>
      </c>
      <c r="J219" s="25">
        <f t="shared" si="3"/>
        <v>8395.6297298201844</v>
      </c>
      <c r="K219" s="25">
        <f t="shared" si="4"/>
        <v>21655.303514578787</v>
      </c>
      <c r="L219" s="25"/>
      <c r="N219" s="25">
        <f>'Combined Retirement'!$C$18/12</f>
        <v>40940.569999999992</v>
      </c>
      <c r="O219" s="25">
        <f t="shared" si="5"/>
        <v>10889.636755601023</v>
      </c>
      <c r="P219" s="25">
        <f t="shared" si="6"/>
        <v>30050.93324439897</v>
      </c>
      <c r="Q219" s="25">
        <f t="array" aca="1" ref="Q219" ca="1">INDEX('Isaac 401k'!L:L,MATCH('Retirement Calculator'!A219,'Isaac 401k'!N:N,0),0)</f>
        <v>880466.10526925093</v>
      </c>
      <c r="R219" s="25">
        <f t="array" aca="1" ref="R219" ca="1">INDEX('Lorri 401b'!L:L,MATCH('Retirement Calculator'!A219,'Lorri 401b'!N:N,0),0)</f>
        <v>3186476.8519676677</v>
      </c>
      <c r="S219" s="25">
        <f t="shared" ca="1" si="7"/>
        <v>4066942.9572369186</v>
      </c>
    </row>
    <row r="220" spans="1:19" ht="15.75" customHeight="1" x14ac:dyDescent="0.25">
      <c r="A220" s="37">
        <v>57650</v>
      </c>
      <c r="B220" s="398">
        <f t="shared" ref="B220:C220" si="216">($A220-B$9)/365.25</f>
        <v>75.958932238193015</v>
      </c>
      <c r="C220" s="398">
        <f t="shared" si="216"/>
        <v>71.348391512662559</v>
      </c>
      <c r="E220" s="25">
        <f>IF(C220&gt;$B$7,0,'Combined Retirement'!$D$13/12)</f>
        <v>0</v>
      </c>
      <c r="F220" s="25">
        <f>IF(H220=0,'Combined Retirement'!$D$32,0)+'Combined Retirement'!$B$24</f>
        <v>2870.372285649099</v>
      </c>
      <c r="G220" s="25">
        <f>'Combined Retirement'!$C$24</f>
        <v>3254.2644699519233</v>
      </c>
      <c r="H220" s="25">
        <f>IF(B220&lt;62,0,'Combined Retirement'!$I$14)</f>
        <v>2345</v>
      </c>
      <c r="I220" s="25">
        <f>IF(C220&lt;62,0,'Combined Retirement'!$I$13)</f>
        <v>2420</v>
      </c>
      <c r="J220" s="25">
        <f t="shared" si="3"/>
        <v>8395.6297298201844</v>
      </c>
      <c r="K220" s="25">
        <f t="shared" si="4"/>
        <v>21655.303514578787</v>
      </c>
      <c r="L220" s="25"/>
      <c r="N220" s="25">
        <f>'Combined Retirement'!$C$18/12</f>
        <v>40940.569999999992</v>
      </c>
      <c r="O220" s="25">
        <f t="shared" si="5"/>
        <v>10889.636755601023</v>
      </c>
      <c r="P220" s="25">
        <f t="shared" si="6"/>
        <v>30050.93324439897</v>
      </c>
      <c r="Q220" s="25">
        <f t="array" aca="1" ref="Q220" ca="1">INDEX('Isaac 401k'!L:L,MATCH('Retirement Calculator'!A220,'Isaac 401k'!N:N,0),0)</f>
        <v>875704.10252084502</v>
      </c>
      <c r="R220" s="25">
        <f t="array" aca="1" ref="R220" ca="1">INDEX('Lorri 401b'!L:L,MATCH('Retirement Calculator'!A220,'Lorri 401b'!N:N,0),0)</f>
        <v>3178008.3049049769</v>
      </c>
      <c r="S220" s="25">
        <f t="shared" ca="1" si="7"/>
        <v>4053712.4074258218</v>
      </c>
    </row>
    <row r="221" spans="1:19" ht="15.75" customHeight="1" x14ac:dyDescent="0.25">
      <c r="A221" s="37">
        <v>57680</v>
      </c>
      <c r="B221" s="398">
        <f t="shared" ref="B221:C221" si="217">($A221-B$9)/365.25</f>
        <v>76.041067761806985</v>
      </c>
      <c r="C221" s="398">
        <f t="shared" si="217"/>
        <v>71.43052703627653</v>
      </c>
      <c r="E221" s="25">
        <f>IF(C221&gt;$B$7,0,'Combined Retirement'!$D$13/12)</f>
        <v>0</v>
      </c>
      <c r="F221" s="25">
        <f>IF(H221=0,'Combined Retirement'!$D$32,0)+'Combined Retirement'!$B$24</f>
        <v>2870.372285649099</v>
      </c>
      <c r="G221" s="25">
        <f>'Combined Retirement'!$C$24</f>
        <v>3254.2644699519233</v>
      </c>
      <c r="H221" s="25">
        <f>IF(B221&lt;62,0,'Combined Retirement'!$I$14)</f>
        <v>2345</v>
      </c>
      <c r="I221" s="25">
        <f>IF(C221&lt;62,0,'Combined Retirement'!$I$13)</f>
        <v>2420</v>
      </c>
      <c r="J221" s="25">
        <f t="shared" si="3"/>
        <v>8395.6297298201844</v>
      </c>
      <c r="K221" s="25">
        <f t="shared" si="4"/>
        <v>21655.303514578787</v>
      </c>
      <c r="L221" s="25"/>
      <c r="N221" s="25">
        <f>'Combined Retirement'!$C$18/12</f>
        <v>40940.569999999992</v>
      </c>
      <c r="O221" s="25">
        <f t="shared" si="5"/>
        <v>10889.636755601023</v>
      </c>
      <c r="P221" s="25">
        <f t="shared" si="6"/>
        <v>30050.93324439897</v>
      </c>
      <c r="Q221" s="25">
        <f t="array" aca="1" ref="Q221" ca="1">INDEX('Isaac 401k'!L:L,MATCH('Retirement Calculator'!A221,'Isaac 401k'!N:N,0),0)</f>
        <v>870922.25809432077</v>
      </c>
      <c r="R221" s="25">
        <f t="array" aca="1" ref="R221" ca="1">INDEX('Lorri 401b'!L:L,MATCH('Retirement Calculator'!A221,'Lorri 401b'!N:N,0),0)</f>
        <v>3169504.4722295245</v>
      </c>
      <c r="S221" s="25">
        <f t="shared" ca="1" si="7"/>
        <v>4040426.7303238455</v>
      </c>
    </row>
    <row r="222" spans="1:19" ht="15.75" customHeight="1" x14ac:dyDescent="0.25">
      <c r="A222" s="37">
        <v>57711</v>
      </c>
      <c r="B222" s="398">
        <f t="shared" ref="B222:C222" si="218">($A222-B$9)/365.25</f>
        <v>76.12594113620807</v>
      </c>
      <c r="C222" s="398">
        <f t="shared" si="218"/>
        <v>71.515400410677614</v>
      </c>
      <c r="E222" s="25">
        <f>IF(C222&gt;$B$7,0,'Combined Retirement'!$D$13/12)</f>
        <v>0</v>
      </c>
      <c r="F222" s="25">
        <f>IF(H222=0,'Combined Retirement'!$D$32,0)+'Combined Retirement'!$B$24</f>
        <v>2870.372285649099</v>
      </c>
      <c r="G222" s="25">
        <f>'Combined Retirement'!$C$24</f>
        <v>3254.2644699519233</v>
      </c>
      <c r="H222" s="25">
        <f>IF(B222&lt;62,0,'Combined Retirement'!$I$14)</f>
        <v>2345</v>
      </c>
      <c r="I222" s="25">
        <f>IF(C222&lt;62,0,'Combined Retirement'!$I$13)</f>
        <v>2420</v>
      </c>
      <c r="J222" s="25">
        <f t="shared" si="3"/>
        <v>8395.6297298201844</v>
      </c>
      <c r="K222" s="25">
        <f t="shared" si="4"/>
        <v>21655.303514578787</v>
      </c>
      <c r="L222" s="25"/>
      <c r="N222" s="25">
        <f>'Combined Retirement'!$C$18/12</f>
        <v>40940.569999999992</v>
      </c>
      <c r="O222" s="25">
        <f t="shared" si="5"/>
        <v>10889.636755601023</v>
      </c>
      <c r="P222" s="25">
        <f t="shared" si="6"/>
        <v>30050.93324439897</v>
      </c>
      <c r="Q222" s="25">
        <f t="array" aca="1" ref="Q222" ca="1">INDEX('Isaac 401k'!L:L,MATCH('Retirement Calculator'!A222,'Isaac 401k'!N:N,0),0)</f>
        <v>866120.48931601935</v>
      </c>
      <c r="R222" s="25">
        <f t="array" aca="1" ref="R222" ca="1">INDEX('Lorri 401b'!L:L,MATCH('Retirement Calculator'!A222,'Lorri 401b'!N:N,0),0)</f>
        <v>3160965.2069179248</v>
      </c>
      <c r="S222" s="25">
        <f t="shared" ca="1" si="7"/>
        <v>4027085.696233944</v>
      </c>
    </row>
    <row r="223" spans="1:19" ht="15.75" customHeight="1" x14ac:dyDescent="0.25">
      <c r="A223" s="37">
        <v>57742</v>
      </c>
      <c r="B223" s="398">
        <f t="shared" ref="B223:C223" si="219">($A223-B$9)/365.25</f>
        <v>76.210814510609168</v>
      </c>
      <c r="C223" s="398">
        <f t="shared" si="219"/>
        <v>71.600273785078713</v>
      </c>
      <c r="E223" s="25">
        <f>IF(C223&gt;$B$7,0,'Combined Retirement'!$D$13/12)</f>
        <v>0</v>
      </c>
      <c r="F223" s="25">
        <f>IF(H223=0,'Combined Retirement'!$D$32,0)+'Combined Retirement'!$B$24</f>
        <v>2870.372285649099</v>
      </c>
      <c r="G223" s="25">
        <f>'Combined Retirement'!$C$24</f>
        <v>3254.2644699519233</v>
      </c>
      <c r="H223" s="25">
        <f>IF(B223&lt;62,0,'Combined Retirement'!$I$14)</f>
        <v>2345</v>
      </c>
      <c r="I223" s="25">
        <f>IF(C223&lt;62,0,'Combined Retirement'!$I$13)</f>
        <v>2420</v>
      </c>
      <c r="J223" s="25">
        <f t="shared" si="3"/>
        <v>8395.6297298201844</v>
      </c>
      <c r="K223" s="25">
        <f t="shared" si="4"/>
        <v>21655.303514578787</v>
      </c>
      <c r="L223" s="25"/>
      <c r="N223" s="25">
        <f>'Combined Retirement'!$C$18/12</f>
        <v>40940.569999999992</v>
      </c>
      <c r="O223" s="25">
        <f t="shared" si="5"/>
        <v>10889.636755601023</v>
      </c>
      <c r="P223" s="25">
        <f t="shared" si="6"/>
        <v>30050.93324439897</v>
      </c>
      <c r="Q223" s="25">
        <f t="array" aca="1" ref="Q223" ca="1">INDEX('Isaac 401k'!L:L,MATCH('Retirement Calculator'!A223,'Isaac 401k'!N:N,0),0)</f>
        <v>861298.71316780837</v>
      </c>
      <c r="R223" s="25">
        <f t="array" aca="1" ref="R223" ca="1">INDEX('Lorri 401b'!L:L,MATCH('Retirement Calculator'!A223,'Lorri 401b'!N:N,0),0)</f>
        <v>3152390.361334193</v>
      </c>
      <c r="S223" s="25">
        <f t="shared" ca="1" si="7"/>
        <v>4013689.0745020015</v>
      </c>
    </row>
    <row r="224" spans="1:19" ht="15.75" customHeight="1" x14ac:dyDescent="0.25">
      <c r="A224" s="37">
        <v>57770</v>
      </c>
      <c r="B224" s="398">
        <f t="shared" ref="B224:C224" si="220">($A224-B$9)/365.25</f>
        <v>76.28747433264887</v>
      </c>
      <c r="C224" s="398">
        <f t="shared" si="220"/>
        <v>71.676933607118414</v>
      </c>
      <c r="E224" s="25">
        <f>IF(C224&gt;$B$7,0,'Combined Retirement'!$D$13/12)</f>
        <v>0</v>
      </c>
      <c r="F224" s="25">
        <f>IF(H224=0,'Combined Retirement'!$D$32,0)+'Combined Retirement'!$B$24</f>
        <v>2870.372285649099</v>
      </c>
      <c r="G224" s="25">
        <f>'Combined Retirement'!$C$24</f>
        <v>3254.2644699519233</v>
      </c>
      <c r="H224" s="25">
        <f>IF(B224&lt;62,0,'Combined Retirement'!$I$14)</f>
        <v>2345</v>
      </c>
      <c r="I224" s="25">
        <f>IF(C224&lt;62,0,'Combined Retirement'!$I$13)</f>
        <v>2420</v>
      </c>
      <c r="J224" s="25">
        <f t="shared" si="3"/>
        <v>8395.6297298201844</v>
      </c>
      <c r="K224" s="25">
        <f t="shared" si="4"/>
        <v>21655.303514578787</v>
      </c>
      <c r="L224" s="25"/>
      <c r="N224" s="25">
        <f>'Combined Retirement'!$C$18/12</f>
        <v>40940.569999999992</v>
      </c>
      <c r="O224" s="25">
        <f t="shared" si="5"/>
        <v>10889.636755601023</v>
      </c>
      <c r="P224" s="25">
        <f t="shared" si="6"/>
        <v>30050.93324439897</v>
      </c>
      <c r="Q224" s="25">
        <f t="array" aca="1" ref="Q224" ca="1">INDEX('Isaac 401k'!L:L,MATCH('Retirement Calculator'!A224,'Isaac 401k'!N:N,0),0)</f>
        <v>856456.84628564643</v>
      </c>
      <c r="R224" s="25">
        <f t="array" aca="1" ref="R224" ca="1">INDEX('Lorri 401b'!L:L,MATCH('Retirement Calculator'!A224,'Lorri 401b'!N:N,0),0)</f>
        <v>3143779.7872271957</v>
      </c>
      <c r="S224" s="25">
        <f t="shared" ca="1" si="7"/>
        <v>4000236.633512842</v>
      </c>
    </row>
    <row r="225" spans="1:19" ht="15.75" customHeight="1" x14ac:dyDescent="0.25">
      <c r="A225" s="37">
        <v>57801</v>
      </c>
      <c r="B225" s="398">
        <f t="shared" ref="B225:C225" si="221">($A225-B$9)/365.25</f>
        <v>76.372347707049968</v>
      </c>
      <c r="C225" s="398">
        <f t="shared" si="221"/>
        <v>71.761806981519513</v>
      </c>
      <c r="E225" s="25">
        <f>IF(C225&gt;$B$7,0,'Combined Retirement'!$D$13/12)</f>
        <v>0</v>
      </c>
      <c r="F225" s="25">
        <f>IF(H225=0,'Combined Retirement'!$D$32,0)+'Combined Retirement'!$B$24</f>
        <v>2870.372285649099</v>
      </c>
      <c r="G225" s="25">
        <f>'Combined Retirement'!$C$24</f>
        <v>3254.2644699519233</v>
      </c>
      <c r="H225" s="25">
        <f>IF(B225&lt;62,0,'Combined Retirement'!$I$14)</f>
        <v>2345</v>
      </c>
      <c r="I225" s="25">
        <f>IF(C225&lt;62,0,'Combined Retirement'!$I$13)</f>
        <v>2420</v>
      </c>
      <c r="J225" s="25">
        <f t="shared" si="3"/>
        <v>8395.6297298201844</v>
      </c>
      <c r="K225" s="25">
        <f t="shared" si="4"/>
        <v>21655.303514578787</v>
      </c>
      <c r="L225" s="25"/>
      <c r="N225" s="25">
        <f>'Combined Retirement'!$C$18/12</f>
        <v>40940.569999999992</v>
      </c>
      <c r="O225" s="25">
        <f t="shared" si="5"/>
        <v>10889.636755601023</v>
      </c>
      <c r="P225" s="25">
        <f t="shared" si="6"/>
        <v>30050.93324439897</v>
      </c>
      <c r="Q225" s="25">
        <f t="array" aca="1" ref="Q225" ca="1">INDEX('Isaac 401k'!L:L,MATCH('Retirement Calculator'!A225,'Isaac 401k'!N:N,0),0)</f>
        <v>851594.80495814222</v>
      </c>
      <c r="R225" s="25">
        <f t="array" aca="1" ref="R225" ca="1">INDEX('Lorri 401b'!L:L,MATCH('Retirement Calculator'!A225,'Lorri 401b'!N:N,0),0)</f>
        <v>3135133.3357280861</v>
      </c>
      <c r="S225" s="25">
        <f t="shared" ca="1" si="7"/>
        <v>3986728.1406862284</v>
      </c>
    </row>
    <row r="226" spans="1:19" ht="15.75" customHeight="1" x14ac:dyDescent="0.25">
      <c r="A226" s="37">
        <v>57831</v>
      </c>
      <c r="B226" s="398">
        <f t="shared" ref="B226:C226" si="222">($A226-B$9)/365.25</f>
        <v>76.454483230663925</v>
      </c>
      <c r="C226" s="398">
        <f t="shared" si="222"/>
        <v>71.843942505133469</v>
      </c>
      <c r="E226" s="25">
        <f>IF(C226&gt;$B$7,0,'Combined Retirement'!$D$13/12)</f>
        <v>0</v>
      </c>
      <c r="F226" s="25">
        <f>IF(H226=0,'Combined Retirement'!$D$32,0)+'Combined Retirement'!$B$24</f>
        <v>2870.372285649099</v>
      </c>
      <c r="G226" s="25">
        <f>'Combined Retirement'!$C$24</f>
        <v>3254.2644699519233</v>
      </c>
      <c r="H226" s="25">
        <f>IF(B226&lt;62,0,'Combined Retirement'!$I$14)</f>
        <v>2345</v>
      </c>
      <c r="I226" s="25">
        <f>IF(C226&lt;62,0,'Combined Retirement'!$I$13)</f>
        <v>2420</v>
      </c>
      <c r="J226" s="25">
        <f t="shared" si="3"/>
        <v>8395.6297298201844</v>
      </c>
      <c r="K226" s="25">
        <f t="shared" si="4"/>
        <v>21655.303514578787</v>
      </c>
      <c r="L226" s="25"/>
      <c r="N226" s="25">
        <f>'Combined Retirement'!$C$18/12</f>
        <v>40940.569999999992</v>
      </c>
      <c r="O226" s="25">
        <f t="shared" si="5"/>
        <v>10889.636755601023</v>
      </c>
      <c r="P226" s="25">
        <f t="shared" si="6"/>
        <v>30050.93324439897</v>
      </c>
      <c r="Q226" s="25">
        <f t="array" aca="1" ref="Q226" ca="1">INDEX('Isaac 401k'!L:L,MATCH('Retirement Calculator'!A226,'Isaac 401k'!N:N,0),0)</f>
        <v>846712.50512510666</v>
      </c>
      <c r="R226" s="25">
        <f t="array" aca="1" ref="R226" ca="1">INDEX('Lorri 401b'!L:L,MATCH('Retirement Calculator'!A226,'Lorri 401b'!N:N,0),0)</f>
        <v>3126450.8573477301</v>
      </c>
      <c r="S226" s="25">
        <f t="shared" ca="1" si="7"/>
        <v>3973163.3624728369</v>
      </c>
    </row>
    <row r="227" spans="1:19" ht="15.75" customHeight="1" x14ac:dyDescent="0.25">
      <c r="A227" s="37">
        <v>57862</v>
      </c>
      <c r="B227" s="398">
        <f t="shared" ref="B227:C227" si="223">($A227-B$9)/365.25</f>
        <v>76.539356605065024</v>
      </c>
      <c r="C227" s="398">
        <f t="shared" si="223"/>
        <v>71.928815879534568</v>
      </c>
      <c r="E227" s="25">
        <f>IF(C227&gt;$B$7,0,'Combined Retirement'!$D$13/12)</f>
        <v>0</v>
      </c>
      <c r="F227" s="25">
        <f>IF(H227=0,'Combined Retirement'!$D$32,0)+'Combined Retirement'!$B$24</f>
        <v>2870.372285649099</v>
      </c>
      <c r="G227" s="25">
        <f>'Combined Retirement'!$C$24</f>
        <v>3254.2644699519233</v>
      </c>
      <c r="H227" s="25">
        <f>IF(B227&lt;62,0,'Combined Retirement'!$I$14)</f>
        <v>2345</v>
      </c>
      <c r="I227" s="25">
        <f>IF(C227&lt;62,0,'Combined Retirement'!$I$13)</f>
        <v>2420</v>
      </c>
      <c r="J227" s="25">
        <f t="shared" si="3"/>
        <v>8395.6297298201844</v>
      </c>
      <c r="K227" s="25">
        <f t="shared" si="4"/>
        <v>21655.303514578787</v>
      </c>
      <c r="L227" s="25"/>
      <c r="N227" s="25">
        <f>'Combined Retirement'!$C$18/12</f>
        <v>40940.569999999992</v>
      </c>
      <c r="O227" s="25">
        <f t="shared" si="5"/>
        <v>10889.636755601023</v>
      </c>
      <c r="P227" s="25">
        <f t="shared" si="6"/>
        <v>30050.93324439897</v>
      </c>
      <c r="Q227" s="25">
        <f t="array" aca="1" ref="Q227" ca="1">INDEX('Isaac 401k'!L:L,MATCH('Retirement Calculator'!A227,'Isaac 401k'!N:N,0),0)</f>
        <v>841809.86237610015</v>
      </c>
      <c r="R227" s="25">
        <f t="array" aca="1" ref="R227" ca="1">INDEX('Lorri 401b'!L:L,MATCH('Retirement Calculator'!A227,'Lorri 401b'!N:N,0),0)</f>
        <v>3117732.2019741228</v>
      </c>
      <c r="S227" s="25">
        <f t="shared" ca="1" si="7"/>
        <v>3959542.0643502232</v>
      </c>
    </row>
    <row r="228" spans="1:19" ht="15.75" customHeight="1" x14ac:dyDescent="0.25">
      <c r="A228" s="37">
        <v>57892</v>
      </c>
      <c r="B228" s="398">
        <f t="shared" ref="B228:C228" si="224">($A228-B$9)/365.25</f>
        <v>76.62149212867898</v>
      </c>
      <c r="C228" s="398">
        <f t="shared" si="224"/>
        <v>72.010951403148525</v>
      </c>
      <c r="E228" s="25">
        <f>IF(C228&gt;$B$7,0,'Combined Retirement'!$D$13/12)</f>
        <v>0</v>
      </c>
      <c r="F228" s="25">
        <f>IF(H228=0,'Combined Retirement'!$D$32,0)+'Combined Retirement'!$B$24</f>
        <v>2870.372285649099</v>
      </c>
      <c r="G228" s="25">
        <f>'Combined Retirement'!$C$24</f>
        <v>3254.2644699519233</v>
      </c>
      <c r="H228" s="25">
        <f>IF(B228&lt;62,0,'Combined Retirement'!$I$14)</f>
        <v>2345</v>
      </c>
      <c r="I228" s="25">
        <f>IF(C228&lt;62,0,'Combined Retirement'!$I$13)</f>
        <v>2420</v>
      </c>
      <c r="J228" s="25">
        <f t="shared" si="3"/>
        <v>8395.6297298201844</v>
      </c>
      <c r="K228" s="25">
        <f t="shared" si="4"/>
        <v>21655.303514578787</v>
      </c>
      <c r="L228" s="25"/>
      <c r="N228" s="25">
        <f>'Combined Retirement'!$C$18/12</f>
        <v>40940.569999999992</v>
      </c>
      <c r="O228" s="25">
        <f t="shared" si="5"/>
        <v>10889.636755601023</v>
      </c>
      <c r="P228" s="25">
        <f t="shared" si="6"/>
        <v>30050.93324439897</v>
      </c>
      <c r="Q228" s="25">
        <f t="array" aca="1" ref="Q228" ca="1">INDEX('Isaac 401k'!L:L,MATCH('Retirement Calculator'!A228,'Isaac 401k'!N:N,0),0)</f>
        <v>836886.79194897285</v>
      </c>
      <c r="R228" s="25">
        <f t="array" aca="1" ref="R228" ca="1">INDEX('Lorri 401b'!L:L,MATCH('Retirement Calculator'!A228,'Lorri 401b'!N:N,0),0)</f>
        <v>3108977.2188697918</v>
      </c>
      <c r="S228" s="25">
        <f t="shared" ca="1" si="7"/>
        <v>3945864.0108187646</v>
      </c>
    </row>
    <row r="229" spans="1:19" ht="15.75" customHeight="1" x14ac:dyDescent="0.25">
      <c r="A229" s="37">
        <v>57923</v>
      </c>
      <c r="B229" s="398">
        <f t="shared" ref="B229:C229" si="225">($A229-B$9)/365.25</f>
        <v>76.706365503080079</v>
      </c>
      <c r="C229" s="398">
        <f t="shared" si="225"/>
        <v>72.095824777549623</v>
      </c>
      <c r="E229" s="25">
        <f>IF(C229&gt;$B$7,0,'Combined Retirement'!$D$13/12)</f>
        <v>0</v>
      </c>
      <c r="F229" s="25">
        <f>IF(H229=0,'Combined Retirement'!$D$32,0)+'Combined Retirement'!$B$24</f>
        <v>2870.372285649099</v>
      </c>
      <c r="G229" s="25">
        <f>'Combined Retirement'!$C$24</f>
        <v>3254.2644699519233</v>
      </c>
      <c r="H229" s="25">
        <f>IF(B229&lt;62,0,'Combined Retirement'!$I$14)</f>
        <v>2345</v>
      </c>
      <c r="I229" s="25">
        <f>IF(C229&lt;62,0,'Combined Retirement'!$I$13)</f>
        <v>2420</v>
      </c>
      <c r="J229" s="25">
        <f t="shared" si="3"/>
        <v>8395.6297298201844</v>
      </c>
      <c r="K229" s="25">
        <f t="shared" si="4"/>
        <v>21655.303514578787</v>
      </c>
      <c r="L229" s="25"/>
      <c r="N229" s="25">
        <f>'Combined Retirement'!$C$18/12</f>
        <v>40940.569999999992</v>
      </c>
      <c r="O229" s="25">
        <f t="shared" si="5"/>
        <v>10889.636755601023</v>
      </c>
      <c r="P229" s="25">
        <f t="shared" si="6"/>
        <v>30050.93324439897</v>
      </c>
      <c r="Q229" s="25">
        <f t="array" aca="1" ref="Q229" ca="1">INDEX('Isaac 401k'!L:L,MATCH('Retirement Calculator'!A229,'Isaac 401k'!N:N,0),0)</f>
        <v>831943.20872839913</v>
      </c>
      <c r="R229" s="25">
        <f t="array" aca="1" ref="R229" ca="1">INDEX('Lorri 401b'!L:L,MATCH('Retirement Calculator'!A229,'Lorri 401b'!N:N,0),0)</f>
        <v>3100185.756669193</v>
      </c>
      <c r="S229" s="25">
        <f t="shared" ca="1" si="7"/>
        <v>3932128.9653975922</v>
      </c>
    </row>
    <row r="230" spans="1:19" ht="15.75" customHeight="1" x14ac:dyDescent="0.25">
      <c r="A230" s="37">
        <v>57954</v>
      </c>
      <c r="B230" s="398">
        <f t="shared" ref="B230:C230" si="226">($A230-B$9)/365.25</f>
        <v>76.791238877481177</v>
      </c>
      <c r="C230" s="398">
        <f t="shared" si="226"/>
        <v>72.180698151950722</v>
      </c>
      <c r="E230" s="25">
        <f>IF(C230&gt;$B$7,0,'Combined Retirement'!$D$13/12)</f>
        <v>0</v>
      </c>
      <c r="F230" s="25">
        <f>IF(H230=0,'Combined Retirement'!$D$32,0)+'Combined Retirement'!$B$24</f>
        <v>2870.372285649099</v>
      </c>
      <c r="G230" s="25">
        <f>'Combined Retirement'!$C$24</f>
        <v>3254.2644699519233</v>
      </c>
      <c r="H230" s="25">
        <f>IF(B230&lt;62,0,'Combined Retirement'!$I$14)</f>
        <v>2345</v>
      </c>
      <c r="I230" s="25">
        <f>IF(C230&lt;62,0,'Combined Retirement'!$I$13)</f>
        <v>2420</v>
      </c>
      <c r="J230" s="25">
        <f t="shared" si="3"/>
        <v>8395.6297298201844</v>
      </c>
      <c r="K230" s="25">
        <f t="shared" si="4"/>
        <v>21655.303514578787</v>
      </c>
      <c r="L230" s="25"/>
      <c r="N230" s="25">
        <f>'Combined Retirement'!$C$18/12</f>
        <v>40940.569999999992</v>
      </c>
      <c r="O230" s="25">
        <f t="shared" si="5"/>
        <v>10889.636755601023</v>
      </c>
      <c r="P230" s="25">
        <f t="shared" si="6"/>
        <v>30050.93324439897</v>
      </c>
      <c r="Q230" s="25">
        <f t="array" aca="1" ref="Q230" ca="1">INDEX('Isaac 401k'!L:L,MATCH('Retirement Calculator'!A230,'Isaac 401k'!N:N,0),0)</f>
        <v>826979.0272444064</v>
      </c>
      <c r="R230" s="25">
        <f t="array" aca="1" ref="R230" ca="1">INDEX('Lorri 401b'!L:L,MATCH('Retirement Calculator'!A230,'Lorri 401b'!N:N,0),0)</f>
        <v>3091357.663376092</v>
      </c>
      <c r="S230" s="25">
        <f t="shared" ca="1" si="7"/>
        <v>3918336.6906204983</v>
      </c>
    </row>
    <row r="231" spans="1:19" ht="15.75" customHeight="1" x14ac:dyDescent="0.25">
      <c r="A231" s="37">
        <v>57984</v>
      </c>
      <c r="B231" s="398">
        <f t="shared" ref="B231:C231" si="227">($A231-B$9)/365.25</f>
        <v>76.873374401095134</v>
      </c>
      <c r="C231" s="398">
        <f t="shared" si="227"/>
        <v>72.262833675564679</v>
      </c>
      <c r="E231" s="25">
        <f>IF(C231&gt;$B$7,0,'Combined Retirement'!$D$13/12)</f>
        <v>0</v>
      </c>
      <c r="F231" s="25">
        <f>IF(H231=0,'Combined Retirement'!$D$32,0)+'Combined Retirement'!$B$24</f>
        <v>2870.372285649099</v>
      </c>
      <c r="G231" s="25">
        <f>'Combined Retirement'!$C$24</f>
        <v>3254.2644699519233</v>
      </c>
      <c r="H231" s="25">
        <f>IF(B231&lt;62,0,'Combined Retirement'!$I$14)</f>
        <v>2345</v>
      </c>
      <c r="I231" s="25">
        <f>IF(C231&lt;62,0,'Combined Retirement'!$I$13)</f>
        <v>2420</v>
      </c>
      <c r="J231" s="25">
        <f t="shared" si="3"/>
        <v>8395.6297298201844</v>
      </c>
      <c r="K231" s="25">
        <f t="shared" si="4"/>
        <v>21655.303514578787</v>
      </c>
      <c r="L231" s="25"/>
      <c r="N231" s="25">
        <f>'Combined Retirement'!$C$18/12</f>
        <v>40940.569999999992</v>
      </c>
      <c r="O231" s="25">
        <f t="shared" si="5"/>
        <v>10889.636755601023</v>
      </c>
      <c r="P231" s="25">
        <f t="shared" si="6"/>
        <v>30050.93324439897</v>
      </c>
      <c r="Q231" s="25">
        <f t="array" aca="1" ref="Q231" ca="1">INDEX('Isaac 401k'!L:L,MATCH('Retirement Calculator'!A231,'Isaac 401k'!N:N,0),0)</f>
        <v>821994.16167089704</v>
      </c>
      <c r="R231" s="25">
        <f t="array" aca="1" ref="R231" ca="1">INDEX('Lorri 401b'!L:L,MATCH('Retirement Calculator'!A231,'Lorri 401b'!N:N,0),0)</f>
        <v>3082492.7863609362</v>
      </c>
      <c r="S231" s="25">
        <f t="shared" ca="1" si="7"/>
        <v>3904486.9480318334</v>
      </c>
    </row>
    <row r="232" spans="1:19" ht="15.75" customHeight="1" x14ac:dyDescent="0.25">
      <c r="A232" s="37">
        <v>58015</v>
      </c>
      <c r="B232" s="398">
        <f t="shared" ref="B232:C232" si="228">($A232-B$9)/365.25</f>
        <v>76.958247775496233</v>
      </c>
      <c r="C232" s="398">
        <f t="shared" si="228"/>
        <v>72.347707049965777</v>
      </c>
      <c r="E232" s="25">
        <f>IF(C232&gt;$B$7,0,'Combined Retirement'!$D$13/12)</f>
        <v>0</v>
      </c>
      <c r="F232" s="25">
        <f>IF(H232=0,'Combined Retirement'!$D$32,0)+'Combined Retirement'!$B$24</f>
        <v>2870.372285649099</v>
      </c>
      <c r="G232" s="25">
        <f>'Combined Retirement'!$C$24</f>
        <v>3254.2644699519233</v>
      </c>
      <c r="H232" s="25">
        <f>IF(B232&lt;62,0,'Combined Retirement'!$I$14)</f>
        <v>2345</v>
      </c>
      <c r="I232" s="25">
        <f>IF(C232&lt;62,0,'Combined Retirement'!$I$13)</f>
        <v>2420</v>
      </c>
      <c r="J232" s="25">
        <f t="shared" si="3"/>
        <v>8395.6297298201844</v>
      </c>
      <c r="K232" s="25">
        <f t="shared" si="4"/>
        <v>21655.303514578787</v>
      </c>
      <c r="L232" s="25"/>
      <c r="N232" s="25">
        <f>'Combined Retirement'!$C$18/12</f>
        <v>40940.569999999992</v>
      </c>
      <c r="O232" s="25">
        <f t="shared" si="5"/>
        <v>10889.636755601023</v>
      </c>
      <c r="P232" s="25">
        <f t="shared" si="6"/>
        <v>30050.93324439897</v>
      </c>
      <c r="Q232" s="25">
        <f t="array" aca="1" ref="Q232" ca="1">INDEX('Isaac 401k'!L:L,MATCH('Retirement Calculator'!A232,'Isaac 401k'!N:N,0),0)</f>
        <v>816988.52582416462</v>
      </c>
      <c r="R232" s="25">
        <f t="array" aca="1" ref="R232" ca="1">INDEX('Lorri 401b'!L:L,MATCH('Retirement Calculator'!A232,'Lorri 401b'!N:N,0),0)</f>
        <v>3073590.972358217</v>
      </c>
      <c r="S232" s="25">
        <f t="shared" ca="1" si="7"/>
        <v>3890579.4981823815</v>
      </c>
    </row>
    <row r="233" spans="1:19" ht="15.75" customHeight="1" x14ac:dyDescent="0.25">
      <c r="A233" s="37">
        <v>58045</v>
      </c>
      <c r="B233" s="398">
        <f t="shared" ref="B233:C233" si="229">($A233-B$9)/365.25</f>
        <v>77.040383299110204</v>
      </c>
      <c r="C233" s="398">
        <f t="shared" si="229"/>
        <v>72.429842573579734</v>
      </c>
      <c r="E233" s="25">
        <f>IF(C233&gt;$B$7,0,'Combined Retirement'!$D$13/12)</f>
        <v>0</v>
      </c>
      <c r="F233" s="25">
        <f>IF(H233=0,'Combined Retirement'!$D$32,0)+'Combined Retirement'!$B$24</f>
        <v>2870.372285649099</v>
      </c>
      <c r="G233" s="25">
        <f>'Combined Retirement'!$C$24</f>
        <v>3254.2644699519233</v>
      </c>
      <c r="H233" s="25">
        <f>IF(B233&lt;62,0,'Combined Retirement'!$I$14)</f>
        <v>2345</v>
      </c>
      <c r="I233" s="25">
        <f>IF(C233&lt;62,0,'Combined Retirement'!$I$13)</f>
        <v>2420</v>
      </c>
      <c r="J233" s="25">
        <f t="shared" si="3"/>
        <v>8395.6297298201844</v>
      </c>
      <c r="K233" s="25">
        <f t="shared" si="4"/>
        <v>21655.303514578787</v>
      </c>
      <c r="L233" s="25"/>
      <c r="N233" s="25">
        <f>'Combined Retirement'!$C$18/12</f>
        <v>40940.569999999992</v>
      </c>
      <c r="O233" s="25">
        <f t="shared" si="5"/>
        <v>10889.636755601023</v>
      </c>
      <c r="P233" s="25">
        <f t="shared" si="6"/>
        <v>30050.93324439897</v>
      </c>
      <c r="Q233" s="25">
        <f t="array" aca="1" ref="Q233" ca="1">INDEX('Isaac 401k'!L:L,MATCH('Retirement Calculator'!A233,'Isaac 401k'!N:N,0),0)</f>
        <v>811962.03316140419</v>
      </c>
      <c r="R233" s="25">
        <f t="array" aca="1" ref="R233" ca="1">INDEX('Lorri 401b'!L:L,MATCH('Retirement Calculator'!A233,'Lorri 401b'!N:N,0),0)</f>
        <v>3064652.0674638199</v>
      </c>
      <c r="S233" s="25">
        <f t="shared" ca="1" si="7"/>
        <v>3876614.1006252239</v>
      </c>
    </row>
    <row r="234" spans="1:19" ht="15.75" customHeight="1" x14ac:dyDescent="0.25">
      <c r="A234" s="37">
        <v>58076</v>
      </c>
      <c r="B234" s="398">
        <f t="shared" ref="B234:C234" si="230">($A234-B$9)/365.25</f>
        <v>77.125256673511288</v>
      </c>
      <c r="C234" s="398">
        <f t="shared" si="230"/>
        <v>72.514715947980832</v>
      </c>
      <c r="E234" s="25">
        <f>IF(C234&gt;$B$7,0,'Combined Retirement'!$D$13/12)</f>
        <v>0</v>
      </c>
      <c r="F234" s="25">
        <f>IF(H234=0,'Combined Retirement'!$D$32,0)+'Combined Retirement'!$B$24</f>
        <v>2870.372285649099</v>
      </c>
      <c r="G234" s="25">
        <f>'Combined Retirement'!$C$24</f>
        <v>3254.2644699519233</v>
      </c>
      <c r="H234" s="25">
        <f>IF(B234&lt;62,0,'Combined Retirement'!$I$14)</f>
        <v>2345</v>
      </c>
      <c r="I234" s="25">
        <f>IF(C234&lt;62,0,'Combined Retirement'!$I$13)</f>
        <v>2420</v>
      </c>
      <c r="J234" s="25">
        <f t="shared" si="3"/>
        <v>8395.6297298201844</v>
      </c>
      <c r="K234" s="25">
        <f t="shared" si="4"/>
        <v>21655.303514578787</v>
      </c>
      <c r="L234" s="25"/>
      <c r="N234" s="25">
        <f>'Combined Retirement'!$C$18/12</f>
        <v>40940.569999999992</v>
      </c>
      <c r="O234" s="25">
        <f t="shared" si="5"/>
        <v>10889.636755601023</v>
      </c>
      <c r="P234" s="25">
        <f t="shared" si="6"/>
        <v>30050.93324439897</v>
      </c>
      <c r="Q234" s="25">
        <f t="array" aca="1" ref="Q234" ca="1">INDEX('Isaac 401k'!L:L,MATCH('Retirement Calculator'!A234,'Isaac 401k'!N:N,0),0)</f>
        <v>806914.59677921562</v>
      </c>
      <c r="R234" s="25">
        <f t="array" aca="1" ref="R234" ca="1">INDEX('Lorri 401b'!L:L,MATCH('Retirement Calculator'!A234,'Lorri 401b'!N:N,0),0)</f>
        <v>3055675.9171323627</v>
      </c>
      <c r="S234" s="25">
        <f t="shared" ca="1" si="7"/>
        <v>3862590.5139115783</v>
      </c>
    </row>
    <row r="235" spans="1:19" ht="15.75" customHeight="1" x14ac:dyDescent="0.25">
      <c r="A235" s="37">
        <v>58107</v>
      </c>
      <c r="B235" s="398">
        <f t="shared" ref="B235:C235" si="231">($A235-B$9)/365.25</f>
        <v>77.210130047912386</v>
      </c>
      <c r="C235" s="398">
        <f t="shared" si="231"/>
        <v>72.599589322381931</v>
      </c>
      <c r="E235" s="25">
        <f>IF(C235&gt;$B$7,0,'Combined Retirement'!$D$13/12)</f>
        <v>0</v>
      </c>
      <c r="F235" s="25">
        <f>IF(H235=0,'Combined Retirement'!$D$32,0)+'Combined Retirement'!$B$24</f>
        <v>2870.372285649099</v>
      </c>
      <c r="G235" s="25">
        <f>'Combined Retirement'!$C$24</f>
        <v>3254.2644699519233</v>
      </c>
      <c r="H235" s="25">
        <f>IF(B235&lt;62,0,'Combined Retirement'!$I$14)</f>
        <v>2345</v>
      </c>
      <c r="I235" s="25">
        <f>IF(C235&lt;62,0,'Combined Retirement'!$I$13)</f>
        <v>2420</v>
      </c>
      <c r="J235" s="25">
        <f t="shared" si="3"/>
        <v>8395.6297298201844</v>
      </c>
      <c r="K235" s="25">
        <f t="shared" si="4"/>
        <v>21655.303514578787</v>
      </c>
      <c r="L235" s="25"/>
      <c r="N235" s="25">
        <f>'Combined Retirement'!$C$18/12</f>
        <v>40940.569999999992</v>
      </c>
      <c r="O235" s="25">
        <f t="shared" si="5"/>
        <v>10889.636755601023</v>
      </c>
      <c r="P235" s="25">
        <f t="shared" si="6"/>
        <v>30050.93324439897</v>
      </c>
      <c r="Q235" s="25">
        <f t="array" aca="1" ref="Q235" ca="1">INDEX('Isaac 401k'!L:L,MATCH('Retirement Calculator'!A235,'Isaac 401k'!N:N,0),0)</f>
        <v>801846.12941210123</v>
      </c>
      <c r="R235" s="25">
        <f t="array" aca="1" ref="R235" ca="1">INDEX('Lorri 401b'!L:L,MATCH('Retirement Calculator'!A235,'Lorri 401b'!N:N,0),0)</f>
        <v>3046662.3661745246</v>
      </c>
      <c r="S235" s="25">
        <f t="shared" ca="1" si="7"/>
        <v>3848508.4955866258</v>
      </c>
    </row>
    <row r="236" spans="1:19" ht="15.75" customHeight="1" x14ac:dyDescent="0.25">
      <c r="A236" s="37">
        <v>58135</v>
      </c>
      <c r="B236" s="398">
        <f t="shared" ref="B236:C236" si="232">($A236-B$9)/365.25</f>
        <v>77.286789869952088</v>
      </c>
      <c r="C236" s="398">
        <f t="shared" si="232"/>
        <v>72.676249144421632</v>
      </c>
      <c r="E236" s="25">
        <f>IF(C236&gt;$B$7,0,'Combined Retirement'!$D$13/12)</f>
        <v>0</v>
      </c>
      <c r="F236" s="25">
        <f>IF(H236=0,'Combined Retirement'!$D$32,0)+'Combined Retirement'!$B$24</f>
        <v>2870.372285649099</v>
      </c>
      <c r="G236" s="25">
        <f>'Combined Retirement'!$C$24</f>
        <v>3254.2644699519233</v>
      </c>
      <c r="H236" s="25">
        <f>IF(B236&lt;62,0,'Combined Retirement'!$I$14)</f>
        <v>2345</v>
      </c>
      <c r="I236" s="25">
        <f>IF(C236&lt;62,0,'Combined Retirement'!$I$13)</f>
        <v>2420</v>
      </c>
      <c r="J236" s="25">
        <f t="shared" si="3"/>
        <v>8395.6297298201844</v>
      </c>
      <c r="K236" s="25">
        <f t="shared" si="4"/>
        <v>21655.303514578787</v>
      </c>
      <c r="L236" s="25"/>
      <c r="N236" s="25">
        <f>'Combined Retirement'!$C$18/12</f>
        <v>40940.569999999992</v>
      </c>
      <c r="O236" s="25">
        <f t="shared" si="5"/>
        <v>10889.636755601023</v>
      </c>
      <c r="P236" s="25">
        <f t="shared" si="6"/>
        <v>30050.93324439897</v>
      </c>
      <c r="Q236" s="25">
        <f t="array" aca="1" ref="Q236" ca="1">INDEX('Isaac 401k'!L:L,MATCH('Retirement Calculator'!A236,'Isaac 401k'!N:N,0),0)</f>
        <v>796756.54343095724</v>
      </c>
      <c r="R236" s="25">
        <f t="array" aca="1" ref="R236" ca="1">INDEX('Lorri 401b'!L:L,MATCH('Retirement Calculator'!A236,'Lorri 401b'!N:N,0),0)</f>
        <v>3037611.2587543624</v>
      </c>
      <c r="S236" s="25">
        <f t="shared" ca="1" si="7"/>
        <v>3834367.8021853194</v>
      </c>
    </row>
    <row r="237" spans="1:19" ht="15.75" customHeight="1" x14ac:dyDescent="0.25">
      <c r="A237" s="37">
        <v>58166</v>
      </c>
      <c r="B237" s="398">
        <f t="shared" ref="B237:C237" si="233">($A237-B$9)/365.25</f>
        <v>77.371663244353186</v>
      </c>
      <c r="C237" s="398">
        <f t="shared" si="233"/>
        <v>72.761122518822731</v>
      </c>
      <c r="E237" s="25">
        <f>IF(C237&gt;$B$7,0,'Combined Retirement'!$D$13/12)</f>
        <v>0</v>
      </c>
      <c r="F237" s="25">
        <f>IF(H237=0,'Combined Retirement'!$D$32,0)+'Combined Retirement'!$B$24</f>
        <v>2870.372285649099</v>
      </c>
      <c r="G237" s="25">
        <f>'Combined Retirement'!$C$24</f>
        <v>3254.2644699519233</v>
      </c>
      <c r="H237" s="25">
        <f>IF(B237&lt;62,0,'Combined Retirement'!$I$14)</f>
        <v>2345</v>
      </c>
      <c r="I237" s="25">
        <f>IF(C237&lt;62,0,'Combined Retirement'!$I$13)</f>
        <v>2420</v>
      </c>
      <c r="J237" s="25">
        <f t="shared" si="3"/>
        <v>8395.6297298201844</v>
      </c>
      <c r="K237" s="25">
        <f t="shared" si="4"/>
        <v>21655.303514578787</v>
      </c>
      <c r="L237" s="25"/>
      <c r="N237" s="25">
        <f>'Combined Retirement'!$C$18/12</f>
        <v>40940.569999999992</v>
      </c>
      <c r="O237" s="25">
        <f t="shared" si="5"/>
        <v>10889.636755601023</v>
      </c>
      <c r="P237" s="25">
        <f t="shared" si="6"/>
        <v>30050.93324439897</v>
      </c>
      <c r="Q237" s="25">
        <f t="array" aca="1" ref="Q237" ca="1">INDEX('Isaac 401k'!L:L,MATCH('Retirement Calculator'!A237,'Isaac 401k'!N:N,0),0)</f>
        <v>791645.75084155845</v>
      </c>
      <c r="R237" s="25">
        <f t="array" aca="1" ref="R237" ca="1">INDEX('Lorri 401b'!L:L,MATCH('Retirement Calculator'!A237,'Lorri 401b'!N:N,0),0)</f>
        <v>3028522.4383866158</v>
      </c>
      <c r="S237" s="25">
        <f t="shared" ca="1" si="7"/>
        <v>3820168.1892281743</v>
      </c>
    </row>
    <row r="238" spans="1:19" ht="15.75" customHeight="1" x14ac:dyDescent="0.25">
      <c r="A238" s="37">
        <v>58196</v>
      </c>
      <c r="B238" s="398">
        <f t="shared" ref="B238:C238" si="234">($A238-B$9)/365.25</f>
        <v>77.453798767967143</v>
      </c>
      <c r="C238" s="398">
        <f t="shared" si="234"/>
        <v>72.843258042436688</v>
      </c>
      <c r="E238" s="25">
        <f>IF(C238&gt;$B$7,0,'Combined Retirement'!$D$13/12)</f>
        <v>0</v>
      </c>
      <c r="F238" s="25">
        <f>IF(H238=0,'Combined Retirement'!$D$32,0)+'Combined Retirement'!$B$24</f>
        <v>2870.372285649099</v>
      </c>
      <c r="G238" s="25">
        <f>'Combined Retirement'!$C$24</f>
        <v>3254.2644699519233</v>
      </c>
      <c r="H238" s="25">
        <f>IF(B238&lt;62,0,'Combined Retirement'!$I$14)</f>
        <v>2345</v>
      </c>
      <c r="I238" s="25">
        <f>IF(C238&lt;62,0,'Combined Retirement'!$I$13)</f>
        <v>2420</v>
      </c>
      <c r="J238" s="25">
        <f t="shared" si="3"/>
        <v>8395.6297298201844</v>
      </c>
      <c r="K238" s="25">
        <f t="shared" si="4"/>
        <v>21655.303514578787</v>
      </c>
      <c r="L238" s="25"/>
      <c r="N238" s="25">
        <f>'Combined Retirement'!$C$18/12</f>
        <v>40940.569999999992</v>
      </c>
      <c r="O238" s="25">
        <f t="shared" si="5"/>
        <v>10889.636755601023</v>
      </c>
      <c r="P238" s="25">
        <f t="shared" si="6"/>
        <v>30050.93324439897</v>
      </c>
      <c r="Q238" s="25">
        <f t="array" aca="1" ref="Q238" ca="1">INDEX('Isaac 401k'!L:L,MATCH('Retirement Calculator'!A238,'Isaac 401k'!N:N,0),0)</f>
        <v>786513.66328303714</v>
      </c>
      <c r="R238" s="25">
        <f t="array" aca="1" ref="R238" ca="1">INDEX('Lorri 401b'!L:L,MATCH('Retirement Calculator'!A238,'Lorri 401b'!N:N,0),0)</f>
        <v>3019395.7479340038</v>
      </c>
      <c r="S238" s="25">
        <f t="shared" ca="1" si="7"/>
        <v>3805909.4112170408</v>
      </c>
    </row>
    <row r="239" spans="1:19" ht="15.75" customHeight="1" x14ac:dyDescent="0.25">
      <c r="A239" s="37">
        <v>58227</v>
      </c>
      <c r="B239" s="398">
        <f t="shared" ref="B239:C239" si="235">($A239-B$9)/365.25</f>
        <v>77.538672142368242</v>
      </c>
      <c r="C239" s="398">
        <f t="shared" si="235"/>
        <v>72.928131416837786</v>
      </c>
      <c r="E239" s="25">
        <f>IF(C239&gt;$B$7,0,'Combined Retirement'!$D$13/12)</f>
        <v>0</v>
      </c>
      <c r="F239" s="25">
        <f>IF(H239=0,'Combined Retirement'!$D$32,0)+'Combined Retirement'!$B$24</f>
        <v>2870.372285649099</v>
      </c>
      <c r="G239" s="25">
        <f>'Combined Retirement'!$C$24</f>
        <v>3254.2644699519233</v>
      </c>
      <c r="H239" s="25">
        <f>IF(B239&lt;62,0,'Combined Retirement'!$I$14)</f>
        <v>2345</v>
      </c>
      <c r="I239" s="25">
        <f>IF(C239&lt;62,0,'Combined Retirement'!$I$13)</f>
        <v>2420</v>
      </c>
      <c r="J239" s="25">
        <f t="shared" si="3"/>
        <v>8395.6297298201844</v>
      </c>
      <c r="K239" s="25">
        <f t="shared" si="4"/>
        <v>21655.303514578787</v>
      </c>
      <c r="L239" s="25"/>
      <c r="N239" s="25">
        <f>'Combined Retirement'!$C$18/12</f>
        <v>40940.569999999992</v>
      </c>
      <c r="O239" s="25">
        <f t="shared" si="5"/>
        <v>10889.636755601023</v>
      </c>
      <c r="P239" s="25">
        <f t="shared" si="6"/>
        <v>30050.93324439897</v>
      </c>
      <c r="Q239" s="25">
        <f t="array" aca="1" ref="Q239" ca="1">INDEX('Isaac 401k'!L:L,MATCH('Retirement Calculator'!A239,'Isaac 401k'!N:N,0),0)</f>
        <v>781360.1920263553</v>
      </c>
      <c r="R239" s="25">
        <f t="array" aca="1" ref="R239" ca="1">INDEX('Lorri 401b'!L:L,MATCH('Retirement Calculator'!A239,'Lorri 401b'!N:N,0),0)</f>
        <v>3010231.0296045057</v>
      </c>
      <c r="S239" s="25">
        <f t="shared" ca="1" si="7"/>
        <v>3791591.2216308611</v>
      </c>
    </row>
    <row r="240" spans="1:19" ht="15.75" customHeight="1" x14ac:dyDescent="0.25">
      <c r="A240" s="37">
        <v>58257</v>
      </c>
      <c r="B240" s="398">
        <f t="shared" ref="B240:C240" si="236">($A240-B$9)/365.25</f>
        <v>77.620807665982198</v>
      </c>
      <c r="C240" s="398">
        <f t="shared" si="236"/>
        <v>73.010266940451743</v>
      </c>
      <c r="E240" s="25">
        <f>IF(C240&gt;$B$7,0,'Combined Retirement'!$D$13/12)</f>
        <v>0</v>
      </c>
      <c r="F240" s="25">
        <f>IF(H240=0,'Combined Retirement'!$D$32,0)+'Combined Retirement'!$B$24</f>
        <v>2870.372285649099</v>
      </c>
      <c r="G240" s="25">
        <f>'Combined Retirement'!$C$24</f>
        <v>3254.2644699519233</v>
      </c>
      <c r="H240" s="25">
        <f>IF(B240&lt;62,0,'Combined Retirement'!$I$14)</f>
        <v>2345</v>
      </c>
      <c r="I240" s="25">
        <f>IF(C240&lt;62,0,'Combined Retirement'!$I$13)</f>
        <v>2420</v>
      </c>
      <c r="J240" s="25">
        <f t="shared" si="3"/>
        <v>8395.6297298201844</v>
      </c>
      <c r="K240" s="25">
        <f t="shared" si="4"/>
        <v>21655.303514578787</v>
      </c>
      <c r="L240" s="25"/>
      <c r="N240" s="25">
        <f>'Combined Retirement'!$C$18/12</f>
        <v>40940.569999999992</v>
      </c>
      <c r="O240" s="25">
        <f t="shared" si="5"/>
        <v>10889.636755601023</v>
      </c>
      <c r="P240" s="25">
        <f t="shared" si="6"/>
        <v>30050.93324439897</v>
      </c>
      <c r="Q240" s="25">
        <f t="array" aca="1" ref="Q240" ca="1">INDEX('Isaac 401k'!L:L,MATCH('Retirement Calculator'!A240,'Isaac 401k'!N:N,0),0)</f>
        <v>776185.24797277071</v>
      </c>
      <c r="R240" s="25">
        <f t="array" aca="1" ref="R240" ca="1">INDEX('Lorri 401b'!L:L,MATCH('Retirement Calculator'!A240,'Lorri 401b'!N:N,0),0)</f>
        <v>3001028.1249486348</v>
      </c>
      <c r="S240" s="25">
        <f t="shared" ca="1" si="7"/>
        <v>3777213.3729214054</v>
      </c>
    </row>
    <row r="241" spans="1:19" ht="15.75" customHeight="1" x14ac:dyDescent="0.25">
      <c r="A241" s="37">
        <v>58288</v>
      </c>
      <c r="B241" s="398">
        <f t="shared" ref="B241:C241" si="237">($A241-B$9)/365.25</f>
        <v>77.705681040383297</v>
      </c>
      <c r="C241" s="398">
        <f t="shared" si="237"/>
        <v>73.095140314852841</v>
      </c>
      <c r="E241" s="25">
        <f>IF(C241&gt;$B$7,0,'Combined Retirement'!$D$13/12)</f>
        <v>0</v>
      </c>
      <c r="F241" s="25">
        <f>IF(H241=0,'Combined Retirement'!$D$32,0)+'Combined Retirement'!$B$24</f>
        <v>2870.372285649099</v>
      </c>
      <c r="G241" s="25">
        <f>'Combined Retirement'!$C$24</f>
        <v>3254.2644699519233</v>
      </c>
      <c r="H241" s="25">
        <f>IF(B241&lt;62,0,'Combined Retirement'!$I$14)</f>
        <v>2345</v>
      </c>
      <c r="I241" s="25">
        <f>IF(C241&lt;62,0,'Combined Retirement'!$I$13)</f>
        <v>2420</v>
      </c>
      <c r="J241" s="25">
        <f t="shared" si="3"/>
        <v>8395.6297298201844</v>
      </c>
      <c r="K241" s="25">
        <f t="shared" si="4"/>
        <v>21655.303514578787</v>
      </c>
      <c r="L241" s="25"/>
      <c r="N241" s="25">
        <f>'Combined Retirement'!$C$18/12</f>
        <v>40940.569999999992</v>
      </c>
      <c r="O241" s="25">
        <f t="shared" si="5"/>
        <v>10889.636755601023</v>
      </c>
      <c r="P241" s="25">
        <f t="shared" si="6"/>
        <v>30050.93324439897</v>
      </c>
      <c r="Q241" s="25">
        <f t="array" aca="1" ref="Q241" ca="1">INDEX('Isaac 401k'!L:L,MATCH('Retirement Calculator'!A241,'Isaac 401k'!N:N,0),0)</f>
        <v>770988.74165229616</v>
      </c>
      <c r="R241" s="25">
        <f t="array" aca="1" ref="R241" ca="1">INDEX('Lorri 401b'!L:L,MATCH('Retirement Calculator'!A241,'Lorri 401b'!N:N,0),0)</f>
        <v>2991786.8748566979</v>
      </c>
      <c r="S241" s="25">
        <f t="shared" ca="1" si="7"/>
        <v>3762775.6165089943</v>
      </c>
    </row>
    <row r="242" spans="1:19" ht="15.75" customHeight="1" x14ac:dyDescent="0.25">
      <c r="A242" s="37">
        <v>58319</v>
      </c>
      <c r="B242" s="398">
        <f t="shared" ref="B242:C242" si="238">($A242-B$9)/365.25</f>
        <v>77.790554414784395</v>
      </c>
      <c r="C242" s="398">
        <f t="shared" si="238"/>
        <v>73.18001368925394</v>
      </c>
      <c r="E242" s="25">
        <f>IF(C242&gt;$B$7,0,'Combined Retirement'!$D$13/12)</f>
        <v>0</v>
      </c>
      <c r="F242" s="25">
        <f>IF(H242=0,'Combined Retirement'!$D$32,0)+'Combined Retirement'!$B$24</f>
        <v>2870.372285649099</v>
      </c>
      <c r="G242" s="25">
        <f>'Combined Retirement'!$C$24</f>
        <v>3254.2644699519233</v>
      </c>
      <c r="H242" s="25">
        <f>IF(B242&lt;62,0,'Combined Retirement'!$I$14)</f>
        <v>2345</v>
      </c>
      <c r="I242" s="25">
        <f>IF(C242&lt;62,0,'Combined Retirement'!$I$13)</f>
        <v>2420</v>
      </c>
      <c r="J242" s="25">
        <f t="shared" si="3"/>
        <v>8395.6297298201844</v>
      </c>
      <c r="K242" s="25">
        <f t="shared" si="4"/>
        <v>21655.303514578787</v>
      </c>
      <c r="L242" s="25"/>
      <c r="N242" s="25">
        <f>'Combined Retirement'!$C$18/12</f>
        <v>40940.569999999992</v>
      </c>
      <c r="O242" s="25">
        <f t="shared" si="5"/>
        <v>10889.636755601023</v>
      </c>
      <c r="P242" s="25">
        <f t="shared" si="6"/>
        <v>30050.93324439897</v>
      </c>
      <c r="Q242" s="25">
        <f t="array" aca="1" ref="Q242" ca="1">INDEX('Isaac 401k'!L:L,MATCH('Retirement Calculator'!A242,'Isaac 401k'!N:N,0),0)</f>
        <v>765770.58322215301</v>
      </c>
      <c r="R242" s="25">
        <f t="array" aca="1" ref="R242" ca="1">INDEX('Lorri 401b'!L:L,MATCH('Retirement Calculator'!A242,'Lorri 401b'!N:N,0),0)</f>
        <v>2982507.1195560447</v>
      </c>
      <c r="S242" s="25">
        <f t="shared" ca="1" si="7"/>
        <v>3748277.7027781978</v>
      </c>
    </row>
    <row r="243" spans="1:19" ht="15.75" customHeight="1" x14ac:dyDescent="0.25">
      <c r="A243" s="37">
        <v>58349</v>
      </c>
      <c r="B243" s="398">
        <f t="shared" ref="B243:C243" si="239">($A243-B$9)/365.25</f>
        <v>77.872689938398352</v>
      </c>
      <c r="C243" s="398">
        <f t="shared" si="239"/>
        <v>73.262149212867897</v>
      </c>
      <c r="E243" s="25">
        <f>IF(C243&gt;$B$7,0,'Combined Retirement'!$D$13/12)</f>
        <v>0</v>
      </c>
      <c r="F243" s="25">
        <f>IF(H243=0,'Combined Retirement'!$D$32,0)+'Combined Retirement'!$B$24</f>
        <v>2870.372285649099</v>
      </c>
      <c r="G243" s="25">
        <f>'Combined Retirement'!$C$24</f>
        <v>3254.2644699519233</v>
      </c>
      <c r="H243" s="25">
        <f>IF(B243&lt;62,0,'Combined Retirement'!$I$14)</f>
        <v>2345</v>
      </c>
      <c r="I243" s="25">
        <f>IF(C243&lt;62,0,'Combined Retirement'!$I$13)</f>
        <v>2420</v>
      </c>
      <c r="J243" s="25">
        <f t="shared" si="3"/>
        <v>8395.6297298201844</v>
      </c>
      <c r="K243" s="25">
        <f t="shared" si="4"/>
        <v>21655.303514578787</v>
      </c>
      <c r="L243" s="25"/>
      <c r="N243" s="25">
        <f>'Combined Retirement'!$C$18/12</f>
        <v>40940.569999999992</v>
      </c>
      <c r="O243" s="25">
        <f t="shared" si="5"/>
        <v>10889.636755601023</v>
      </c>
      <c r="P243" s="25">
        <f t="shared" si="6"/>
        <v>30050.93324439897</v>
      </c>
      <c r="Q243" s="25">
        <f t="array" aca="1" ref="Q243" ca="1">INDEX('Isaac 401k'!L:L,MATCH('Retirement Calculator'!A243,'Isaac 401k'!N:N,0),0)</f>
        <v>760530.68246521754</v>
      </c>
      <c r="R243" s="25">
        <f t="array" aca="1" ref="R243" ca="1">INDEX('Lorri 401b'!L:L,MATCH('Retirement Calculator'!A243,'Lorri 401b'!N:N,0),0)</f>
        <v>2973188.6986083053</v>
      </c>
      <c r="S243" s="25">
        <f t="shared" ca="1" si="7"/>
        <v>3733719.3810735228</v>
      </c>
    </row>
    <row r="244" spans="1:19" ht="15.75" customHeight="1" x14ac:dyDescent="0.25">
      <c r="A244" s="37">
        <v>58380</v>
      </c>
      <c r="B244" s="398">
        <f t="shared" ref="B244:C244" si="240">($A244-B$9)/365.25</f>
        <v>77.957563312799451</v>
      </c>
      <c r="C244" s="398">
        <f t="shared" si="240"/>
        <v>73.347022587268995</v>
      </c>
      <c r="E244" s="25">
        <f>IF(C244&gt;$B$7,0,'Combined Retirement'!$D$13/12)</f>
        <v>0</v>
      </c>
      <c r="F244" s="25">
        <f>IF(H244=0,'Combined Retirement'!$D$32,0)+'Combined Retirement'!$B$24</f>
        <v>2870.372285649099</v>
      </c>
      <c r="G244" s="25">
        <f>'Combined Retirement'!$C$24</f>
        <v>3254.2644699519233</v>
      </c>
      <c r="H244" s="25">
        <f>IF(B244&lt;62,0,'Combined Retirement'!$I$14)</f>
        <v>2345</v>
      </c>
      <c r="I244" s="25">
        <f>IF(C244&lt;62,0,'Combined Retirement'!$I$13)</f>
        <v>2420</v>
      </c>
      <c r="J244" s="25">
        <f t="shared" si="3"/>
        <v>8395.6297298201844</v>
      </c>
      <c r="K244" s="25">
        <f t="shared" si="4"/>
        <v>21655.303514578787</v>
      </c>
      <c r="L244" s="25"/>
      <c r="N244" s="25">
        <f>'Combined Retirement'!$C$18/12</f>
        <v>40940.569999999992</v>
      </c>
      <c r="O244" s="25">
        <f t="shared" si="5"/>
        <v>10889.636755601023</v>
      </c>
      <c r="P244" s="25">
        <f t="shared" si="6"/>
        <v>30050.93324439897</v>
      </c>
      <c r="Q244" s="25">
        <f t="array" aca="1" ref="Q244" ca="1">INDEX('Isaac 401k'!L:L,MATCH('Retirement Calculator'!A244,'Isaac 401k'!N:N,0),0)</f>
        <v>755268.94878846151</v>
      </c>
      <c r="R244" s="25">
        <f t="array" aca="1" ref="R244" ca="1">INDEX('Lorri 401b'!L:L,MATCH('Retirement Calculator'!A244,'Lorri 401b'!N:N,0),0)</f>
        <v>2963831.4509066171</v>
      </c>
      <c r="S244" s="25">
        <f t="shared" ca="1" si="7"/>
        <v>3719100.3996950788</v>
      </c>
    </row>
    <row r="245" spans="1:19" ht="15.75" customHeight="1" x14ac:dyDescent="0.25">
      <c r="A245" s="37">
        <v>58410</v>
      </c>
      <c r="B245" s="398">
        <f t="shared" ref="B245:C245" si="241">($A245-B$9)/365.25</f>
        <v>78.039698836413422</v>
      </c>
      <c r="C245" s="398">
        <f t="shared" si="241"/>
        <v>73.429158110882952</v>
      </c>
      <c r="E245" s="25">
        <f>IF(C245&gt;$B$7,0,'Combined Retirement'!$D$13/12)</f>
        <v>0</v>
      </c>
      <c r="F245" s="25">
        <f>IF(H245=0,'Combined Retirement'!$D$32,0)+'Combined Retirement'!$B$24</f>
        <v>2870.372285649099</v>
      </c>
      <c r="G245" s="25">
        <f>'Combined Retirement'!$C$24</f>
        <v>3254.2644699519233</v>
      </c>
      <c r="H245" s="25">
        <f>IF(B245&lt;62,0,'Combined Retirement'!$I$14)</f>
        <v>2345</v>
      </c>
      <c r="I245" s="25">
        <f>IF(C245&lt;62,0,'Combined Retirement'!$I$13)</f>
        <v>2420</v>
      </c>
      <c r="J245" s="25">
        <f t="shared" si="3"/>
        <v>8395.6297298201844</v>
      </c>
      <c r="K245" s="25">
        <f t="shared" si="4"/>
        <v>21655.303514578787</v>
      </c>
      <c r="L245" s="25"/>
      <c r="N245" s="25">
        <f>'Combined Retirement'!$C$18/12</f>
        <v>40940.569999999992</v>
      </c>
      <c r="O245" s="25">
        <f t="shared" si="5"/>
        <v>10889.636755601023</v>
      </c>
      <c r="P245" s="25">
        <f t="shared" si="6"/>
        <v>30050.93324439897</v>
      </c>
      <c r="Q245" s="25">
        <f t="array" aca="1" ref="Q245" ca="1">INDEX('Isaac 401k'!L:L,MATCH('Retirement Calculator'!A245,'Isaac 401k'!N:N,0),0)</f>
        <v>749985.29122138571</v>
      </c>
      <c r="R245" s="25">
        <f t="array" aca="1" ref="R245" ca="1">INDEX('Lorri 401b'!L:L,MATCH('Retirement Calculator'!A245,'Lorri 401b'!N:N,0),0)</f>
        <v>2954435.2146728383</v>
      </c>
      <c r="S245" s="25">
        <f t="shared" ca="1" si="7"/>
        <v>3704420.5058942242</v>
      </c>
    </row>
    <row r="246" spans="1:19" ht="15.75" customHeight="1" x14ac:dyDescent="0.25">
      <c r="A246" s="37">
        <v>58441</v>
      </c>
      <c r="B246" s="398">
        <f t="shared" ref="B246:C246" si="242">($A246-B$9)/365.25</f>
        <v>78.124572210814506</v>
      </c>
      <c r="C246" s="398">
        <f t="shared" si="242"/>
        <v>73.51403148528405</v>
      </c>
      <c r="E246" s="25">
        <f>IF(C246&gt;$B$7,0,'Combined Retirement'!$D$13/12)</f>
        <v>0</v>
      </c>
      <c r="F246" s="25">
        <f>IF(H246=0,'Combined Retirement'!$D$32,0)+'Combined Retirement'!$B$24</f>
        <v>2870.372285649099</v>
      </c>
      <c r="G246" s="25">
        <f>'Combined Retirement'!$C$24</f>
        <v>3254.2644699519233</v>
      </c>
      <c r="H246" s="25">
        <f>IF(B246&lt;62,0,'Combined Retirement'!$I$14)</f>
        <v>2345</v>
      </c>
      <c r="I246" s="25">
        <f>IF(C246&lt;62,0,'Combined Retirement'!$I$13)</f>
        <v>2420</v>
      </c>
      <c r="J246" s="25">
        <f t="shared" si="3"/>
        <v>8395.6297298201844</v>
      </c>
      <c r="K246" s="25">
        <f t="shared" si="4"/>
        <v>21655.303514578787</v>
      </c>
      <c r="L246" s="25"/>
      <c r="N246" s="25">
        <f>'Combined Retirement'!$C$18/12</f>
        <v>40940.569999999992</v>
      </c>
      <c r="O246" s="25">
        <f t="shared" si="5"/>
        <v>10889.636755601023</v>
      </c>
      <c r="P246" s="25">
        <f t="shared" si="6"/>
        <v>30050.93324439897</v>
      </c>
      <c r="Q246" s="25">
        <f t="array" aca="1" ref="Q246" ca="1">INDEX('Isaac 401k'!L:L,MATCH('Retirement Calculator'!A246,'Isaac 401k'!N:N,0),0)</f>
        <v>744679.61841444706</v>
      </c>
      <c r="R246" s="25">
        <f t="array" aca="1" ref="R246" ca="1">INDEX('Lorri 401b'!L:L,MATCH('Retirement Calculator'!A246,'Lorri 401b'!N:N,0),0)</f>
        <v>2944999.8274547523</v>
      </c>
      <c r="S246" s="25">
        <f t="shared" ca="1" si="7"/>
        <v>3689679.4458691995</v>
      </c>
    </row>
    <row r="247" spans="1:19" ht="15.75" customHeight="1" x14ac:dyDescent="0.25">
      <c r="A247" s="37">
        <v>58472</v>
      </c>
      <c r="B247" s="398">
        <f t="shared" ref="B247:C247" si="243">($A247-B$9)/365.25</f>
        <v>78.209445585215605</v>
      </c>
      <c r="C247" s="398">
        <f t="shared" si="243"/>
        <v>73.598904859685149</v>
      </c>
      <c r="E247" s="25">
        <f>IF(C247&gt;$B$7,0,'Combined Retirement'!$D$13/12)</f>
        <v>0</v>
      </c>
      <c r="F247" s="25">
        <f>IF(H247=0,'Combined Retirement'!$D$32,0)+'Combined Retirement'!$B$24</f>
        <v>2870.372285649099</v>
      </c>
      <c r="G247" s="25">
        <f>'Combined Retirement'!$C$24</f>
        <v>3254.2644699519233</v>
      </c>
      <c r="H247" s="25">
        <f>IF(B247&lt;62,0,'Combined Retirement'!$I$14)</f>
        <v>2345</v>
      </c>
      <c r="I247" s="25">
        <f>IF(C247&lt;62,0,'Combined Retirement'!$I$13)</f>
        <v>2420</v>
      </c>
      <c r="J247" s="25">
        <f t="shared" si="3"/>
        <v>8395.6297298201844</v>
      </c>
      <c r="K247" s="25">
        <f t="shared" si="4"/>
        <v>21655.303514578787</v>
      </c>
      <c r="L247" s="25"/>
      <c r="N247" s="25">
        <f>'Combined Retirement'!$C$18/12</f>
        <v>40940.569999999992</v>
      </c>
      <c r="O247" s="25">
        <f t="shared" si="5"/>
        <v>10889.636755601023</v>
      </c>
      <c r="P247" s="25">
        <f t="shared" si="6"/>
        <v>30050.93324439897</v>
      </c>
      <c r="Q247" s="25">
        <f t="array" aca="1" ref="Q247" ca="1">INDEX('Isaac 401k'!L:L,MATCH('Retirement Calculator'!A247,'Isaac 401k'!N:N,0),0)</f>
        <v>739351.83863747946</v>
      </c>
      <c r="R247" s="25">
        <f t="array" aca="1" ref="R247" ca="1">INDEX('Lorri 401b'!L:L,MATCH('Retirement Calculator'!A247,'Lorri 401b'!N:N,0),0)</f>
        <v>2935525.1261232574</v>
      </c>
      <c r="S247" s="25">
        <f t="shared" ca="1" si="7"/>
        <v>3674876.964760737</v>
      </c>
    </row>
    <row r="248" spans="1:19" ht="15.75" customHeight="1" x14ac:dyDescent="0.25">
      <c r="A248" s="37">
        <v>58501</v>
      </c>
      <c r="B248" s="398">
        <f t="shared" ref="B248:C248" si="244">($A248-B$9)/365.25</f>
        <v>78.288843258042434</v>
      </c>
      <c r="C248" s="398">
        <f t="shared" si="244"/>
        <v>73.678302532511978</v>
      </c>
      <c r="E248" s="25">
        <f>IF(C248&gt;$B$7,0,'Combined Retirement'!$D$13/12)</f>
        <v>0</v>
      </c>
      <c r="F248" s="25">
        <f>IF(H248=0,'Combined Retirement'!$D$32,0)+'Combined Retirement'!$B$24</f>
        <v>2870.372285649099</v>
      </c>
      <c r="G248" s="25">
        <f>'Combined Retirement'!$C$24</f>
        <v>3254.2644699519233</v>
      </c>
      <c r="H248" s="25">
        <f>IF(B248&lt;62,0,'Combined Retirement'!$I$14)</f>
        <v>2345</v>
      </c>
      <c r="I248" s="25">
        <f>IF(C248&lt;62,0,'Combined Retirement'!$I$13)</f>
        <v>2420</v>
      </c>
      <c r="J248" s="25">
        <f t="shared" si="3"/>
        <v>8395.6297298201844</v>
      </c>
      <c r="K248" s="25">
        <f t="shared" si="4"/>
        <v>21655.303514578787</v>
      </c>
      <c r="L248" s="25"/>
      <c r="N248" s="25">
        <f>'Combined Retirement'!$C$18/12</f>
        <v>40940.569999999992</v>
      </c>
      <c r="O248" s="25">
        <f t="shared" si="5"/>
        <v>10889.636755601023</v>
      </c>
      <c r="P248" s="25">
        <f t="shared" si="6"/>
        <v>30050.93324439897</v>
      </c>
      <c r="Q248" s="25">
        <f t="array" aca="1" ref="Q248" ca="1">INDEX('Isaac 401k'!L:L,MATCH('Retirement Calculator'!A248,'Isaac 401k'!N:N,0),0)</f>
        <v>734001.85977810784</v>
      </c>
      <c r="R248" s="25">
        <f t="array" aca="1" ref="R248" ca="1">INDEX('Lorri 401b'!L:L,MATCH('Retirement Calculator'!A248,'Lorri 401b'!N:N,0),0)</f>
        <v>2926010.9468695479</v>
      </c>
      <c r="S248" s="25">
        <f t="shared" ca="1" si="7"/>
        <v>3660012.8066476556</v>
      </c>
    </row>
    <row r="249" spans="1:19" ht="15.75" customHeight="1" x14ac:dyDescent="0.25">
      <c r="A249" s="37">
        <v>58532</v>
      </c>
      <c r="B249" s="398">
        <f t="shared" ref="B249:C249" si="245">($A249-B$9)/365.25</f>
        <v>78.373716632443532</v>
      </c>
      <c r="C249" s="398">
        <f t="shared" si="245"/>
        <v>73.763175906913077</v>
      </c>
      <c r="E249" s="25">
        <f>IF(C249&gt;$B$7,0,'Combined Retirement'!$D$13/12)</f>
        <v>0</v>
      </c>
      <c r="F249" s="25">
        <f>IF(H249=0,'Combined Retirement'!$D$32,0)+'Combined Retirement'!$B$24</f>
        <v>2870.372285649099</v>
      </c>
      <c r="G249" s="25">
        <f>'Combined Retirement'!$C$24</f>
        <v>3254.2644699519233</v>
      </c>
      <c r="H249" s="25">
        <f>IF(B249&lt;62,0,'Combined Retirement'!$I$14)</f>
        <v>2345</v>
      </c>
      <c r="I249" s="25">
        <f>IF(C249&lt;62,0,'Combined Retirement'!$I$13)</f>
        <v>2420</v>
      </c>
      <c r="J249" s="25">
        <f t="shared" si="3"/>
        <v>8395.6297298201844</v>
      </c>
      <c r="K249" s="25">
        <f t="shared" si="4"/>
        <v>21655.303514578787</v>
      </c>
      <c r="L249" s="25"/>
      <c r="N249" s="25">
        <f>'Combined Retirement'!$C$18/12</f>
        <v>40940.569999999992</v>
      </c>
      <c r="O249" s="25">
        <f t="shared" si="5"/>
        <v>10889.636755601023</v>
      </c>
      <c r="P249" s="25">
        <f t="shared" si="6"/>
        <v>30050.93324439897</v>
      </c>
      <c r="Q249" s="25">
        <f t="array" aca="1" ref="Q249" ca="1">INDEX('Isaac 401k'!L:L,MATCH('Retirement Calculator'!A249,'Isaac 401k'!N:N,0),0)</f>
        <v>728629.58934015548</v>
      </c>
      <c r="R249" s="25">
        <f t="array" aca="1" ref="R249" ca="1">INDEX('Lorri 401b'!L:L,MATCH('Retirement Calculator'!A249,'Lorri 401b'!N:N,0),0)</f>
        <v>2916457.1252022814</v>
      </c>
      <c r="S249" s="25">
        <f t="shared" ca="1" si="7"/>
        <v>3645086.7145424369</v>
      </c>
    </row>
    <row r="250" spans="1:19" ht="15.75" customHeight="1" x14ac:dyDescent="0.25">
      <c r="A250" s="37">
        <v>58562</v>
      </c>
      <c r="B250" s="398">
        <f t="shared" ref="B250:C250" si="246">($A250-B$9)/365.25</f>
        <v>78.455852156057489</v>
      </c>
      <c r="C250" s="398">
        <f t="shared" si="246"/>
        <v>73.845311430527033</v>
      </c>
      <c r="E250" s="25">
        <f>IF(C250&gt;$B$7,0,'Combined Retirement'!$D$13/12)</f>
        <v>0</v>
      </c>
      <c r="F250" s="25">
        <f>IF(H250=0,'Combined Retirement'!$D$32,0)+'Combined Retirement'!$B$24</f>
        <v>2870.372285649099</v>
      </c>
      <c r="G250" s="25">
        <f>'Combined Retirement'!$C$24</f>
        <v>3254.2644699519233</v>
      </c>
      <c r="H250" s="25">
        <f>IF(B250&lt;62,0,'Combined Retirement'!$I$14)</f>
        <v>2345</v>
      </c>
      <c r="I250" s="25">
        <f>IF(C250&lt;62,0,'Combined Retirement'!$I$13)</f>
        <v>2420</v>
      </c>
      <c r="J250" s="25">
        <f t="shared" si="3"/>
        <v>8395.6297298201844</v>
      </c>
      <c r="K250" s="25">
        <f t="shared" si="4"/>
        <v>21655.303514578787</v>
      </c>
      <c r="L250" s="25"/>
      <c r="N250" s="25">
        <f>'Combined Retirement'!$C$18/12</f>
        <v>40940.569999999992</v>
      </c>
      <c r="O250" s="25">
        <f t="shared" si="5"/>
        <v>10889.636755601023</v>
      </c>
      <c r="P250" s="25">
        <f t="shared" si="6"/>
        <v>30050.93324439897</v>
      </c>
      <c r="Q250" s="25">
        <f t="array" aca="1" ref="Q250" ca="1">INDEX('Isaac 401k'!L:L,MATCH('Retirement Calculator'!A250,'Isaac 401k'!N:N,0),0)</f>
        <v>723234.93444204505</v>
      </c>
      <c r="R250" s="25">
        <f t="array" aca="1" ref="R250" ca="1">INDEX('Lorri 401b'!L:L,MATCH('Retirement Calculator'!A250,'Lorri 401b'!N:N,0),0)</f>
        <v>2906863.4959447347</v>
      </c>
      <c r="S250" s="25">
        <f t="shared" ca="1" si="7"/>
        <v>3630098.4303867798</v>
      </c>
    </row>
    <row r="251" spans="1:19" ht="15.75" customHeight="1" x14ac:dyDescent="0.25">
      <c r="A251" s="37">
        <v>58593</v>
      </c>
      <c r="B251" s="398">
        <f t="shared" ref="B251:C251" si="247">($A251-B$9)/365.25</f>
        <v>78.540725530458587</v>
      </c>
      <c r="C251" s="398">
        <f t="shared" si="247"/>
        <v>73.930184804928132</v>
      </c>
      <c r="E251" s="25">
        <f>IF(C251&gt;$B$7,0,'Combined Retirement'!$D$13/12)</f>
        <v>0</v>
      </c>
      <c r="F251" s="25">
        <f>IF(H251=0,'Combined Retirement'!$D$32,0)+'Combined Retirement'!$B$24</f>
        <v>2870.372285649099</v>
      </c>
      <c r="G251" s="25">
        <f>'Combined Retirement'!$C$24</f>
        <v>3254.2644699519233</v>
      </c>
      <c r="H251" s="25">
        <f>IF(B251&lt;62,0,'Combined Retirement'!$I$14)</f>
        <v>2345</v>
      </c>
      <c r="I251" s="25">
        <f>IF(C251&lt;62,0,'Combined Retirement'!$I$13)</f>
        <v>2420</v>
      </c>
      <c r="J251" s="25">
        <f t="shared" si="3"/>
        <v>8395.6297298201844</v>
      </c>
      <c r="K251" s="25">
        <f t="shared" si="4"/>
        <v>21655.303514578787</v>
      </c>
      <c r="L251" s="25"/>
      <c r="N251" s="25">
        <f>'Combined Retirement'!$C$18/12</f>
        <v>40940.569999999992</v>
      </c>
      <c r="O251" s="25">
        <f t="shared" si="5"/>
        <v>10889.636755601023</v>
      </c>
      <c r="P251" s="25">
        <f t="shared" si="6"/>
        <v>30050.93324439897</v>
      </c>
      <c r="Q251" s="25">
        <f t="array" aca="1" ref="Q251" ca="1">INDEX('Isaac 401k'!L:L,MATCH('Retirement Calculator'!A251,'Isaac 401k'!N:N,0),0)</f>
        <v>717817.80181519245</v>
      </c>
      <c r="R251" s="25">
        <f t="array" aca="1" ref="R251" ca="1">INDEX('Lorri 401b'!L:L,MATCH('Retirement Calculator'!A251,'Lorri 401b'!N:N,0),0)</f>
        <v>2897229.8932319479</v>
      </c>
      <c r="S251" s="25">
        <f t="shared" ca="1" si="7"/>
        <v>3615047.6950471401</v>
      </c>
    </row>
    <row r="252" spans="1:19" ht="15.75" customHeight="1" x14ac:dyDescent="0.25">
      <c r="A252" s="37">
        <v>58623</v>
      </c>
      <c r="B252" s="398">
        <f t="shared" ref="B252:C252" si="248">($A252-B$9)/365.25</f>
        <v>78.622861054072558</v>
      </c>
      <c r="C252" s="398">
        <f t="shared" si="248"/>
        <v>74.012320328542089</v>
      </c>
      <c r="E252" s="25">
        <f>IF(C252&gt;$B$7,0,'Combined Retirement'!$D$13/12)</f>
        <v>0</v>
      </c>
      <c r="F252" s="25">
        <f>IF(H252=0,'Combined Retirement'!$D$32,0)+'Combined Retirement'!$B$24</f>
        <v>2870.372285649099</v>
      </c>
      <c r="G252" s="25">
        <f>'Combined Retirement'!$C$24</f>
        <v>3254.2644699519233</v>
      </c>
      <c r="H252" s="25">
        <f>IF(B252&lt;62,0,'Combined Retirement'!$I$14)</f>
        <v>2345</v>
      </c>
      <c r="I252" s="25">
        <f>IF(C252&lt;62,0,'Combined Retirement'!$I$13)</f>
        <v>2420</v>
      </c>
      <c r="J252" s="25">
        <f t="shared" si="3"/>
        <v>8395.6297298201844</v>
      </c>
      <c r="K252" s="25">
        <f t="shared" si="4"/>
        <v>21655.303514578787</v>
      </c>
      <c r="L252" s="25"/>
      <c r="N252" s="25">
        <f>'Combined Retirement'!$C$18/12</f>
        <v>40940.569999999992</v>
      </c>
      <c r="O252" s="25">
        <f t="shared" si="5"/>
        <v>10889.636755601023</v>
      </c>
      <c r="P252" s="25">
        <f t="shared" si="6"/>
        <v>30050.93324439897</v>
      </c>
      <c r="Q252" s="25">
        <f t="array" aca="1" ref="Q252" ca="1">INDEX('Isaac 401k'!L:L,MATCH('Retirement Calculator'!A252,'Isaac 401k'!N:N,0),0)</f>
        <v>712378.09780239465</v>
      </c>
      <c r="R252" s="25">
        <f t="array" aca="1" ref="R252" ca="1">INDEX('Lorri 401b'!L:L,MATCH('Retirement Calculator'!A252,'Lorri 401b'!N:N,0),0)</f>
        <v>2887556.150507858</v>
      </c>
      <c r="S252" s="25">
        <f t="shared" ca="1" si="7"/>
        <v>3599934.2483102526</v>
      </c>
    </row>
    <row r="253" spans="1:19" ht="15.75" customHeight="1" x14ac:dyDescent="0.25">
      <c r="A253" s="37">
        <v>58654</v>
      </c>
      <c r="B253" s="398">
        <f t="shared" ref="B253:C253" si="249">($A253-B$9)/365.25</f>
        <v>78.707734428473643</v>
      </c>
      <c r="C253" s="398">
        <f t="shared" si="249"/>
        <v>74.097193702943187</v>
      </c>
      <c r="E253" s="25">
        <f>IF(C253&gt;$B$7,0,'Combined Retirement'!$D$13/12)</f>
        <v>0</v>
      </c>
      <c r="F253" s="25">
        <f>IF(H253=0,'Combined Retirement'!$D$32,0)+'Combined Retirement'!$B$24</f>
        <v>2870.372285649099</v>
      </c>
      <c r="G253" s="25">
        <f>'Combined Retirement'!$C$24</f>
        <v>3254.2644699519233</v>
      </c>
      <c r="H253" s="25">
        <f>IF(B253&lt;62,0,'Combined Retirement'!$I$14)</f>
        <v>2345</v>
      </c>
      <c r="I253" s="25">
        <f>IF(C253&lt;62,0,'Combined Retirement'!$I$13)</f>
        <v>2420</v>
      </c>
      <c r="J253" s="25">
        <f t="shared" si="3"/>
        <v>8395.6297298201844</v>
      </c>
      <c r="K253" s="25">
        <f t="shared" si="4"/>
        <v>21655.303514578787</v>
      </c>
      <c r="L253" s="25"/>
      <c r="N253" s="25">
        <f>'Combined Retirement'!$C$18/12</f>
        <v>40940.569999999992</v>
      </c>
      <c r="O253" s="25">
        <f t="shared" si="5"/>
        <v>10889.636755601023</v>
      </c>
      <c r="P253" s="25">
        <f t="shared" si="6"/>
        <v>30050.93324439897</v>
      </c>
      <c r="Q253" s="25">
        <f t="array" aca="1" ref="Q253" ca="1">INDEX('Isaac 401k'!L:L,MATCH('Retirement Calculator'!A253,'Isaac 401k'!N:N,0),0)</f>
        <v>706915.72835621017</v>
      </c>
      <c r="R253" s="25">
        <f t="array" aca="1" ref="R253" ca="1">INDEX('Lorri 401b'!L:L,MATCH('Retirement Calculator'!A253,'Lorri 401b'!N:N,0),0)</f>
        <v>2877842.100522418</v>
      </c>
      <c r="S253" s="25">
        <f t="shared" ca="1" si="7"/>
        <v>3584757.8288786281</v>
      </c>
    </row>
    <row r="254" spans="1:19" ht="15.75" customHeight="1" x14ac:dyDescent="0.25">
      <c r="A254" s="37">
        <v>58685</v>
      </c>
      <c r="B254" s="398">
        <f t="shared" ref="B254:C254" si="250">($A254-B$9)/365.25</f>
        <v>78.792607802874741</v>
      </c>
      <c r="C254" s="398">
        <f t="shared" si="250"/>
        <v>74.182067077344286</v>
      </c>
      <c r="E254" s="25">
        <f>IF(C254&gt;$B$7,0,'Combined Retirement'!$D$13/12)</f>
        <v>0</v>
      </c>
      <c r="F254" s="25">
        <f>IF(H254=0,'Combined Retirement'!$D$32,0)+'Combined Retirement'!$B$24</f>
        <v>2870.372285649099</v>
      </c>
      <c r="G254" s="25">
        <f>'Combined Retirement'!$C$24</f>
        <v>3254.2644699519233</v>
      </c>
      <c r="H254" s="25">
        <f>IF(B254&lt;62,0,'Combined Retirement'!$I$14)</f>
        <v>2345</v>
      </c>
      <c r="I254" s="25">
        <f>IF(C254&lt;62,0,'Combined Retirement'!$I$13)</f>
        <v>2420</v>
      </c>
      <c r="J254" s="25">
        <f t="shared" si="3"/>
        <v>8395.6297298201844</v>
      </c>
      <c r="K254" s="25">
        <f t="shared" si="4"/>
        <v>21655.303514578787</v>
      </c>
      <c r="L254" s="25"/>
      <c r="N254" s="25">
        <f>'Combined Retirement'!$C$18/12</f>
        <v>40940.569999999992</v>
      </c>
      <c r="O254" s="25">
        <f t="shared" si="5"/>
        <v>10889.636755601023</v>
      </c>
      <c r="P254" s="25">
        <f t="shared" si="6"/>
        <v>30050.93324439897</v>
      </c>
      <c r="Q254" s="25">
        <f t="array" aca="1" ref="Q254" ca="1">INDEX('Isaac 401k'!L:L,MATCH('Retirement Calculator'!A254,'Isaac 401k'!N:N,0),0)</f>
        <v>701430.59903733328</v>
      </c>
      <c r="R254" s="25">
        <f t="array" aca="1" ref="R254" ca="1">INDEX('Lorri 401b'!L:L,MATCH('Retirement Calculator'!A254,'Lorri 401b'!N:N,0),0)</f>
        <v>2868087.5753287054</v>
      </c>
      <c r="S254" s="25">
        <f t="shared" ca="1" si="7"/>
        <v>3569518.1743660388</v>
      </c>
    </row>
    <row r="255" spans="1:19" ht="15.75" customHeight="1" x14ac:dyDescent="0.25">
      <c r="A255" s="37">
        <v>58715</v>
      </c>
      <c r="B255" s="398">
        <f t="shared" ref="B255:C255" si="251">($A255-B$9)/365.25</f>
        <v>78.874743326488712</v>
      </c>
      <c r="C255" s="398">
        <f t="shared" si="251"/>
        <v>74.264202600958242</v>
      </c>
      <c r="E255" s="25">
        <f>IF(C255&gt;$B$7,0,'Combined Retirement'!$D$13/12)</f>
        <v>0</v>
      </c>
      <c r="F255" s="25">
        <f>IF(H255=0,'Combined Retirement'!$D$32,0)+'Combined Retirement'!$B$24</f>
        <v>2870.372285649099</v>
      </c>
      <c r="G255" s="25">
        <f>'Combined Retirement'!$C$24</f>
        <v>3254.2644699519233</v>
      </c>
      <c r="H255" s="25">
        <f>IF(B255&lt;62,0,'Combined Retirement'!$I$14)</f>
        <v>2345</v>
      </c>
      <c r="I255" s="25">
        <f>IF(C255&lt;62,0,'Combined Retirement'!$I$13)</f>
        <v>2420</v>
      </c>
      <c r="J255" s="25">
        <f t="shared" si="3"/>
        <v>8395.6297298201844</v>
      </c>
      <c r="K255" s="25">
        <f t="shared" si="4"/>
        <v>21655.303514578787</v>
      </c>
      <c r="L255" s="25"/>
      <c r="N255" s="25">
        <f>'Combined Retirement'!$C$18/12</f>
        <v>40940.569999999992</v>
      </c>
      <c r="O255" s="25">
        <f t="shared" si="5"/>
        <v>10889.636755601023</v>
      </c>
      <c r="P255" s="25">
        <f t="shared" si="6"/>
        <v>30050.93324439897</v>
      </c>
      <c r="Q255" s="25">
        <f t="array" aca="1" ref="Q255" ca="1">INDEX('Isaac 401k'!L:L,MATCH('Retirement Calculator'!A255,'Isaac 401k'!N:N,0),0)</f>
        <v>695922.61501296109</v>
      </c>
      <c r="R255" s="25">
        <f t="array" aca="1" ref="R255" ca="1">INDEX('Lorri 401b'!L:L,MATCH('Retirement Calculator'!A255,'Lorri 401b'!N:N,0),0)</f>
        <v>2858292.4062800189</v>
      </c>
      <c r="S255" s="25">
        <f t="shared" ca="1" si="7"/>
        <v>3554215.0212929798</v>
      </c>
    </row>
    <row r="256" spans="1:19" ht="15.75" customHeight="1" x14ac:dyDescent="0.25">
      <c r="A256" s="37">
        <v>58746</v>
      </c>
      <c r="B256" s="398">
        <f t="shared" ref="B256:C256" si="252">($A256-B$9)/365.25</f>
        <v>78.959616700889796</v>
      </c>
      <c r="C256" s="398">
        <f t="shared" si="252"/>
        <v>74.349075975359341</v>
      </c>
      <c r="E256" s="25">
        <f>IF(C256&gt;$B$7,0,'Combined Retirement'!$D$13/12)</f>
        <v>0</v>
      </c>
      <c r="F256" s="25">
        <f>IF(H256=0,'Combined Retirement'!$D$32,0)+'Combined Retirement'!$B$24</f>
        <v>2870.372285649099</v>
      </c>
      <c r="G256" s="25">
        <f>'Combined Retirement'!$C$24</f>
        <v>3254.2644699519233</v>
      </c>
      <c r="H256" s="25">
        <f>IF(B256&lt;62,0,'Combined Retirement'!$I$14)</f>
        <v>2345</v>
      </c>
      <c r="I256" s="25">
        <f>IF(C256&lt;62,0,'Combined Retirement'!$I$13)</f>
        <v>2420</v>
      </c>
      <c r="J256" s="25">
        <f t="shared" si="3"/>
        <v>8395.6297298201844</v>
      </c>
      <c r="K256" s="25">
        <f t="shared" si="4"/>
        <v>21655.303514578787</v>
      </c>
      <c r="L256" s="25"/>
      <c r="N256" s="25">
        <f>'Combined Retirement'!$C$18/12</f>
        <v>40940.569999999992</v>
      </c>
      <c r="O256" s="25">
        <f t="shared" si="5"/>
        <v>10889.636755601023</v>
      </c>
      <c r="P256" s="25">
        <f t="shared" si="6"/>
        <v>30050.93324439897</v>
      </c>
      <c r="Q256" s="25">
        <f t="array" aca="1" ref="Q256" ca="1">INDEX('Isaac 401k'!L:L,MATCH('Retirement Calculator'!A256,'Isaac 401k'!N:N,0),0)</f>
        <v>690391.68105515395</v>
      </c>
      <c r="R256" s="25">
        <f t="array" aca="1" ref="R256" ca="1">INDEX('Lorri 401b'!L:L,MATCH('Retirement Calculator'!A256,'Lorri 401b'!N:N,0),0)</f>
        <v>2848456.4240269628</v>
      </c>
      <c r="S256" s="25">
        <f t="shared" ca="1" si="7"/>
        <v>3538848.105082117</v>
      </c>
    </row>
    <row r="257" spans="1:19" ht="15.75" customHeight="1" x14ac:dyDescent="0.25">
      <c r="A257" s="37">
        <v>58776</v>
      </c>
      <c r="B257" s="398">
        <f t="shared" ref="B257:C257" si="253">($A257-B$9)/365.25</f>
        <v>79.041752224503767</v>
      </c>
      <c r="C257" s="398">
        <f t="shared" si="253"/>
        <v>74.431211498973312</v>
      </c>
      <c r="E257" s="25">
        <f>IF(C257&gt;$B$7,0,'Combined Retirement'!$D$13/12)</f>
        <v>0</v>
      </c>
      <c r="F257" s="25">
        <f>IF(H257=0,'Combined Retirement'!$D$32,0)+'Combined Retirement'!$B$24</f>
        <v>2870.372285649099</v>
      </c>
      <c r="G257" s="25">
        <f>'Combined Retirement'!$C$24</f>
        <v>3254.2644699519233</v>
      </c>
      <c r="H257" s="25">
        <f>IF(B257&lt;62,0,'Combined Retirement'!$I$14)</f>
        <v>2345</v>
      </c>
      <c r="I257" s="25">
        <f>IF(C257&lt;62,0,'Combined Retirement'!$I$13)</f>
        <v>2420</v>
      </c>
      <c r="J257" s="25">
        <f t="shared" si="3"/>
        <v>8395.6297298201844</v>
      </c>
      <c r="K257" s="25">
        <f t="shared" si="4"/>
        <v>21655.303514578787</v>
      </c>
      <c r="L257" s="25"/>
      <c r="N257" s="25">
        <f>'Combined Retirement'!$C$18/12</f>
        <v>40940.569999999992</v>
      </c>
      <c r="O257" s="25">
        <f t="shared" si="5"/>
        <v>10889.636755601023</v>
      </c>
      <c r="P257" s="25">
        <f t="shared" si="6"/>
        <v>30050.93324439897</v>
      </c>
      <c r="Q257" s="25">
        <f t="array" aca="1" ref="Q257" ca="1">INDEX('Isaac 401k'!L:L,MATCH('Retirement Calculator'!A257,'Isaac 401k'!N:N,0),0)</f>
        <v>684837.70153918932</v>
      </c>
      <c r="R257" s="25">
        <f t="array" aca="1" ref="R257" ca="1">INDEX('Lorri 401b'!L:L,MATCH('Retirement Calculator'!A257,'Lorri 401b'!N:N,0),0)</f>
        <v>2838579.458514519</v>
      </c>
      <c r="S257" s="25">
        <f t="shared" ca="1" si="7"/>
        <v>3523417.1600537086</v>
      </c>
    </row>
    <row r="258" spans="1:19" ht="15.75" customHeight="1" x14ac:dyDescent="0.25">
      <c r="A258" s="37">
        <v>58807</v>
      </c>
      <c r="B258" s="398">
        <f t="shared" ref="B258:C258" si="254">($A258-B$9)/365.25</f>
        <v>79.126625598904866</v>
      </c>
      <c r="C258" s="398">
        <f t="shared" si="254"/>
        <v>74.516084873374396</v>
      </c>
      <c r="E258" s="25">
        <f>IF(C258&gt;$B$7,0,'Combined Retirement'!$D$13/12)</f>
        <v>0</v>
      </c>
      <c r="F258" s="25">
        <f>IF(H258=0,'Combined Retirement'!$D$32,0)+'Combined Retirement'!$B$24</f>
        <v>2870.372285649099</v>
      </c>
      <c r="G258" s="25">
        <f>'Combined Retirement'!$C$24</f>
        <v>3254.2644699519233</v>
      </c>
      <c r="H258" s="25">
        <f>IF(B258&lt;62,0,'Combined Retirement'!$I$14)</f>
        <v>2345</v>
      </c>
      <c r="I258" s="25">
        <f>IF(C258&lt;62,0,'Combined Retirement'!$I$13)</f>
        <v>2420</v>
      </c>
      <c r="J258" s="25">
        <f t="shared" si="3"/>
        <v>8395.6297298201844</v>
      </c>
      <c r="K258" s="25">
        <f t="shared" si="4"/>
        <v>21655.303514578787</v>
      </c>
      <c r="L258" s="25"/>
      <c r="N258" s="25">
        <f>'Combined Retirement'!$C$18/12</f>
        <v>40940.569999999992</v>
      </c>
      <c r="O258" s="25">
        <f t="shared" si="5"/>
        <v>10889.636755601023</v>
      </c>
      <c r="P258" s="25">
        <f t="shared" si="6"/>
        <v>30050.93324439897</v>
      </c>
      <c r="Q258" s="25">
        <f t="array" aca="1" ref="Q258" ca="1">INDEX('Isaac 401k'!L:L,MATCH('Retirement Calculator'!A258,'Isaac 401k'!N:N,0),0)</f>
        <v>679260.58044190821</v>
      </c>
      <c r="R258" s="25">
        <f t="array" aca="1" ref="R258" ca="1">INDEX('Lorri 401b'!L:L,MATCH('Retirement Calculator'!A258,'Lorri 401b'!N:N,0),0)</f>
        <v>2828661.3389791064</v>
      </c>
      <c r="S258" s="25">
        <f t="shared" ca="1" si="7"/>
        <v>3507921.9194210144</v>
      </c>
    </row>
    <row r="259" spans="1:19" ht="15.75" customHeight="1" x14ac:dyDescent="0.25">
      <c r="A259" s="37">
        <v>58838</v>
      </c>
      <c r="B259" s="398">
        <f t="shared" ref="B259:C259" si="255">($A259-B$9)/365.25</f>
        <v>79.21149897330595</v>
      </c>
      <c r="C259" s="398">
        <f t="shared" si="255"/>
        <v>74.600958247775495</v>
      </c>
      <c r="E259" s="25">
        <f>IF(C259&gt;$B$7,0,'Combined Retirement'!$D$13/12)</f>
        <v>0</v>
      </c>
      <c r="F259" s="25">
        <f>IF(H259=0,'Combined Retirement'!$D$32,0)+'Combined Retirement'!$B$24</f>
        <v>2870.372285649099</v>
      </c>
      <c r="G259" s="25">
        <f>'Combined Retirement'!$C$24</f>
        <v>3254.2644699519233</v>
      </c>
      <c r="H259" s="25">
        <f>IF(B259&lt;62,0,'Combined Retirement'!$I$14)</f>
        <v>2345</v>
      </c>
      <c r="I259" s="25">
        <f>IF(C259&lt;62,0,'Combined Retirement'!$I$13)</f>
        <v>2420</v>
      </c>
      <c r="J259" s="25">
        <f t="shared" si="3"/>
        <v>8395.6297298201844</v>
      </c>
      <c r="K259" s="25">
        <f t="shared" si="4"/>
        <v>21655.303514578787</v>
      </c>
      <c r="L259" s="25"/>
      <c r="N259" s="25">
        <f>'Combined Retirement'!$C$18/12</f>
        <v>40940.569999999992</v>
      </c>
      <c r="O259" s="25">
        <f t="shared" si="5"/>
        <v>10889.636755601023</v>
      </c>
      <c r="P259" s="25">
        <f t="shared" si="6"/>
        <v>30050.93324439897</v>
      </c>
      <c r="Q259" s="25">
        <f t="array" aca="1" ref="Q259" ca="1">INDEX('Isaac 401k'!L:L,MATCH('Retirement Calculator'!A259,'Isaac 401k'!N:N,0),0)</f>
        <v>673660.22134005511</v>
      </c>
      <c r="R259" s="25">
        <f t="array" aca="1" ref="R259" ca="1">INDEX('Lorri 401b'!L:L,MATCH('Retirement Calculator'!A259,'Lorri 401b'!N:N,0),0)</f>
        <v>2818701.8939456297</v>
      </c>
      <c r="S259" s="25">
        <f t="shared" ca="1" si="7"/>
        <v>3492362.1152856848</v>
      </c>
    </row>
    <row r="260" spans="1:19" ht="15.75" customHeight="1" x14ac:dyDescent="0.25">
      <c r="A260" s="37">
        <v>58866</v>
      </c>
      <c r="B260" s="398">
        <f t="shared" ref="B260:C260" si="256">($A260-B$9)/365.25</f>
        <v>79.288158795345652</v>
      </c>
      <c r="C260" s="398">
        <f t="shared" si="256"/>
        <v>74.677618069815196</v>
      </c>
      <c r="E260" s="25">
        <f>IF(C260&gt;$B$7,0,'Combined Retirement'!$D$13/12)</f>
        <v>0</v>
      </c>
      <c r="F260" s="25">
        <f>IF(H260=0,'Combined Retirement'!$D$32,0)+'Combined Retirement'!$B$24</f>
        <v>2870.372285649099</v>
      </c>
      <c r="G260" s="25">
        <f>'Combined Retirement'!$C$24</f>
        <v>3254.2644699519233</v>
      </c>
      <c r="H260" s="25">
        <f>IF(B260&lt;62,0,'Combined Retirement'!$I$14)</f>
        <v>2345</v>
      </c>
      <c r="I260" s="25">
        <f>IF(C260&lt;62,0,'Combined Retirement'!$I$13)</f>
        <v>2420</v>
      </c>
      <c r="J260" s="25">
        <f t="shared" si="3"/>
        <v>8395.6297298201844</v>
      </c>
      <c r="K260" s="25">
        <f t="shared" si="4"/>
        <v>21655.303514578787</v>
      </c>
      <c r="L260" s="25"/>
      <c r="N260" s="25">
        <f>'Combined Retirement'!$C$18/12</f>
        <v>40940.569999999992</v>
      </c>
      <c r="O260" s="25">
        <f t="shared" si="5"/>
        <v>10889.636755601023</v>
      </c>
      <c r="P260" s="25">
        <f t="shared" si="6"/>
        <v>30050.93324439897</v>
      </c>
      <c r="Q260" s="25">
        <f t="array" aca="1" ref="Q260" ca="1">INDEX('Isaac 401k'!L:L,MATCH('Retirement Calculator'!A260,'Isaac 401k'!N:N,0),0)</f>
        <v>668036.52740861091</v>
      </c>
      <c r="R260" s="25">
        <f t="array" aca="1" ref="R260" ca="1">INDEX('Lorri 401b'!L:L,MATCH('Retirement Calculator'!A260,'Lorri 401b'!N:N,0),0)</f>
        <v>2808700.9512245134</v>
      </c>
      <c r="S260" s="25">
        <f t="shared" ca="1" si="7"/>
        <v>3476737.4786331244</v>
      </c>
    </row>
    <row r="261" spans="1:19" ht="15.75" customHeight="1" x14ac:dyDescent="0.25">
      <c r="A261" s="37">
        <v>58897</v>
      </c>
      <c r="B261" s="398">
        <f t="shared" ref="B261:C261" si="257">($A261-B$9)/365.25</f>
        <v>79.37303216974675</v>
      </c>
      <c r="C261" s="398">
        <f t="shared" si="257"/>
        <v>74.762491444216295</v>
      </c>
      <c r="E261" s="25">
        <f>IF(C261&gt;$B$7,0,'Combined Retirement'!$D$13/12)</f>
        <v>0</v>
      </c>
      <c r="F261" s="25">
        <f>IF(H261=0,'Combined Retirement'!$D$32,0)+'Combined Retirement'!$B$24</f>
        <v>2870.372285649099</v>
      </c>
      <c r="G261" s="25">
        <f>'Combined Retirement'!$C$24</f>
        <v>3254.2644699519233</v>
      </c>
      <c r="H261" s="25">
        <f>IF(B261&lt;62,0,'Combined Retirement'!$I$14)</f>
        <v>2345</v>
      </c>
      <c r="I261" s="25">
        <f>IF(C261&lt;62,0,'Combined Retirement'!$I$13)</f>
        <v>2420</v>
      </c>
      <c r="J261" s="25">
        <f t="shared" si="3"/>
        <v>8395.6297298201844</v>
      </c>
      <c r="K261" s="25">
        <f t="shared" si="4"/>
        <v>21655.303514578787</v>
      </c>
      <c r="L261" s="25"/>
      <c r="N261" s="25">
        <f>'Combined Retirement'!$C$18/12</f>
        <v>40940.569999999992</v>
      </c>
      <c r="O261" s="25">
        <f t="shared" si="5"/>
        <v>10889.636755601023</v>
      </c>
      <c r="P261" s="25">
        <f t="shared" si="6"/>
        <v>30050.93324439897</v>
      </c>
      <c r="Q261" s="25">
        <f t="array" aca="1" ref="Q261" ca="1">INDEX('Isaac 401k'!L:L,MATCH('Retirement Calculator'!A261,'Isaac 401k'!N:N,0),0)</f>
        <v>662389.40141911898</v>
      </c>
      <c r="R261" s="25">
        <f t="array" aca="1" ref="R261" ca="1">INDEX('Lorri 401b'!L:L,MATCH('Retirement Calculator'!A261,'Lorri 401b'!N:N,0),0)</f>
        <v>2798658.3379087257</v>
      </c>
      <c r="S261" s="25">
        <f t="shared" ca="1" si="7"/>
        <v>3461047.7393278447</v>
      </c>
    </row>
    <row r="262" spans="1:19" ht="15.75" customHeight="1" x14ac:dyDescent="0.25">
      <c r="A262" s="37">
        <v>58927</v>
      </c>
      <c r="B262" s="398">
        <f t="shared" ref="B262:C262" si="258">($A262-B$9)/365.25</f>
        <v>79.455167693360707</v>
      </c>
      <c r="C262" s="398">
        <f t="shared" si="258"/>
        <v>74.844626967830251</v>
      </c>
      <c r="E262" s="25">
        <f>IF(C262&gt;$B$7,0,'Combined Retirement'!$D$13/12)</f>
        <v>0</v>
      </c>
      <c r="F262" s="25">
        <f>IF(H262=0,'Combined Retirement'!$D$32,0)+'Combined Retirement'!$B$24</f>
        <v>2870.372285649099</v>
      </c>
      <c r="G262" s="25">
        <f>'Combined Retirement'!$C$24</f>
        <v>3254.2644699519233</v>
      </c>
      <c r="H262" s="25">
        <f>IF(B262&lt;62,0,'Combined Retirement'!$I$14)</f>
        <v>2345</v>
      </c>
      <c r="I262" s="25">
        <f>IF(C262&lt;62,0,'Combined Retirement'!$I$13)</f>
        <v>2420</v>
      </c>
      <c r="J262" s="25">
        <f t="shared" si="3"/>
        <v>8395.6297298201844</v>
      </c>
      <c r="K262" s="25">
        <f t="shared" si="4"/>
        <v>21655.303514578787</v>
      </c>
      <c r="L262" s="25"/>
      <c r="N262" s="25">
        <f>'Combined Retirement'!$C$18/12</f>
        <v>40940.569999999992</v>
      </c>
      <c r="O262" s="25">
        <f t="shared" si="5"/>
        <v>10889.636755601023</v>
      </c>
      <c r="P262" s="25">
        <f t="shared" si="6"/>
        <v>30050.93324439897</v>
      </c>
      <c r="Q262" s="25">
        <f t="array" aca="1" ref="Q262" ca="1">INDEX('Isaac 401k'!L:L,MATCH('Retirement Calculator'!A262,'Isaac 401k'!N:N,0),0)</f>
        <v>656718.74573800422</v>
      </c>
      <c r="R262" s="25">
        <f t="array" aca="1" ref="R262" ca="1">INDEX('Lorri 401b'!L:L,MATCH('Retirement Calculator'!A262,'Lorri 401b'!N:N,0),0)</f>
        <v>2788573.8803707892</v>
      </c>
      <c r="S262" s="25">
        <f t="shared" ca="1" si="7"/>
        <v>3445292.6261087935</v>
      </c>
    </row>
    <row r="263" spans="1:19" ht="15.75" customHeight="1" x14ac:dyDescent="0.25">
      <c r="A263" s="37">
        <v>58958</v>
      </c>
      <c r="B263" s="398">
        <f t="shared" ref="B263:C263" si="259">($A263-B$9)/365.25</f>
        <v>79.540041067761805</v>
      </c>
      <c r="C263" s="398">
        <f t="shared" si="259"/>
        <v>74.92950034223135</v>
      </c>
      <c r="E263" s="25">
        <f>IF(C263&gt;$B$7,0,'Combined Retirement'!$D$13/12)</f>
        <v>0</v>
      </c>
      <c r="F263" s="25">
        <f>IF(H263=0,'Combined Retirement'!$D$32,0)+'Combined Retirement'!$B$24</f>
        <v>2870.372285649099</v>
      </c>
      <c r="G263" s="25">
        <f>'Combined Retirement'!$C$24</f>
        <v>3254.2644699519233</v>
      </c>
      <c r="H263" s="25">
        <f>IF(B263&lt;62,0,'Combined Retirement'!$I$14)</f>
        <v>2345</v>
      </c>
      <c r="I263" s="25">
        <f>IF(C263&lt;62,0,'Combined Retirement'!$I$13)</f>
        <v>2420</v>
      </c>
      <c r="J263" s="25">
        <f t="shared" si="3"/>
        <v>8395.6297298201844</v>
      </c>
      <c r="K263" s="25">
        <f t="shared" si="4"/>
        <v>21655.303514578787</v>
      </c>
      <c r="L263" s="25"/>
      <c r="N263" s="25">
        <f>'Combined Retirement'!$C$18/12</f>
        <v>40940.569999999992</v>
      </c>
      <c r="O263" s="25">
        <f t="shared" si="5"/>
        <v>10889.636755601023</v>
      </c>
      <c r="P263" s="25">
        <f t="shared" si="6"/>
        <v>30050.93324439897</v>
      </c>
      <c r="Q263" s="25">
        <f t="array" aca="1" ref="Q263" ca="1">INDEX('Isaac 401k'!L:L,MATCH('Retirement Calculator'!A263,'Isaac 401k'!N:N,0),0)</f>
        <v>651024.46232488484</v>
      </c>
      <c r="R263" s="25">
        <f t="array" aca="1" ref="R263" ca="1">INDEX('Lorri 401b'!L:L,MATCH('Retirement Calculator'!A263,'Lorri 401b'!N:N,0),0)</f>
        <v>2778447.4042597781</v>
      </c>
      <c r="S263" s="25">
        <f t="shared" ca="1" si="7"/>
        <v>3429471.8665846628</v>
      </c>
    </row>
    <row r="264" spans="1:19" ht="15.75" customHeight="1" x14ac:dyDescent="0.25">
      <c r="A264" s="37">
        <v>58988</v>
      </c>
      <c r="B264" s="398">
        <f t="shared" ref="B264:C264" si="260">($A264-B$9)/365.25</f>
        <v>79.622176591375776</v>
      </c>
      <c r="C264" s="398">
        <f t="shared" si="260"/>
        <v>75.011635865845307</v>
      </c>
      <c r="E264" s="25">
        <f>IF(C264&gt;$B$7,0,'Combined Retirement'!$D$13/12)</f>
        <v>0</v>
      </c>
      <c r="F264" s="25">
        <f>IF(H264=0,'Combined Retirement'!$D$32,0)+'Combined Retirement'!$B$24</f>
        <v>2870.372285649099</v>
      </c>
      <c r="G264" s="25">
        <f>'Combined Retirement'!$C$24</f>
        <v>3254.2644699519233</v>
      </c>
      <c r="H264" s="25">
        <f>IF(B264&lt;62,0,'Combined Retirement'!$I$14)</f>
        <v>2345</v>
      </c>
      <c r="I264" s="25">
        <f>IF(C264&lt;62,0,'Combined Retirement'!$I$13)</f>
        <v>2420</v>
      </c>
      <c r="J264" s="25">
        <f t="shared" si="3"/>
        <v>8395.6297298201844</v>
      </c>
      <c r="K264" s="25">
        <f t="shared" si="4"/>
        <v>21655.303514578787</v>
      </c>
      <c r="L264" s="25"/>
      <c r="N264" s="25">
        <f>'Combined Retirement'!$C$18/12</f>
        <v>40940.569999999992</v>
      </c>
      <c r="O264" s="25">
        <f t="shared" si="5"/>
        <v>10889.636755601023</v>
      </c>
      <c r="P264" s="25">
        <f t="shared" si="6"/>
        <v>30050.93324439897</v>
      </c>
      <c r="Q264" s="25">
        <f t="array" aca="1" ref="Q264" ca="1">INDEX('Isaac 401k'!L:L,MATCH('Retirement Calculator'!A264,'Isaac 401k'!N:N,0),0)</f>
        <v>645306.45273087744</v>
      </c>
      <c r="R264" s="25">
        <f t="array" aca="1" ref="R264" ca="1">INDEX('Lorri 401b'!L:L,MATCH('Retirement Calculator'!A264,'Lorri 401b'!N:N,0),0)</f>
        <v>2768278.7344983043</v>
      </c>
      <c r="S264" s="25">
        <f t="shared" ca="1" si="7"/>
        <v>3413585.1872291816</v>
      </c>
    </row>
    <row r="265" spans="1:19" ht="15.75" customHeight="1" x14ac:dyDescent="0.25">
      <c r="A265" s="37">
        <v>59019</v>
      </c>
      <c r="B265" s="398">
        <f t="shared" ref="B265:C265" si="261">($A265-B$9)/365.25</f>
        <v>79.707049965776861</v>
      </c>
      <c r="C265" s="398">
        <f t="shared" si="261"/>
        <v>75.096509240246405</v>
      </c>
      <c r="E265" s="25">
        <f>IF(C265&gt;$B$7,0,'Combined Retirement'!$D$13/12)</f>
        <v>0</v>
      </c>
      <c r="F265" s="25">
        <f>IF(H265=0,'Combined Retirement'!$D$32,0)+'Combined Retirement'!$B$24</f>
        <v>2870.372285649099</v>
      </c>
      <c r="G265" s="25">
        <f>'Combined Retirement'!$C$24</f>
        <v>3254.2644699519233</v>
      </c>
      <c r="H265" s="25">
        <f>IF(B265&lt;62,0,'Combined Retirement'!$I$14)</f>
        <v>2345</v>
      </c>
      <c r="I265" s="25">
        <f>IF(C265&lt;62,0,'Combined Retirement'!$I$13)</f>
        <v>2420</v>
      </c>
      <c r="J265" s="25">
        <f t="shared" si="3"/>
        <v>8395.6297298201844</v>
      </c>
      <c r="K265" s="25">
        <f t="shared" si="4"/>
        <v>21655.303514578787</v>
      </c>
      <c r="L265" s="25"/>
      <c r="N265" s="25">
        <f>'Combined Retirement'!$C$18/12</f>
        <v>40940.569999999992</v>
      </c>
      <c r="O265" s="25">
        <f t="shared" si="5"/>
        <v>10889.636755601023</v>
      </c>
      <c r="P265" s="25">
        <f t="shared" si="6"/>
        <v>30050.93324439897</v>
      </c>
      <c r="Q265" s="25">
        <f t="array" aca="1" ref="Q265" ca="1">INDEX('Isaac 401k'!L:L,MATCH('Retirement Calculator'!A265,'Isaac 401k'!N:N,0),0)</f>
        <v>639564.61809689505</v>
      </c>
      <c r="R265" s="25">
        <f t="array" aca="1" ref="R265" ca="1">INDEX('Lorri 401b'!L:L,MATCH('Retirement Calculator'!A265,'Lorri 401b'!N:N,0),0)</f>
        <v>2758067.6952794911</v>
      </c>
      <c r="S265" s="25">
        <f t="shared" ca="1" si="7"/>
        <v>3397632.3133763862</v>
      </c>
    </row>
    <row r="266" spans="1:19" ht="15.75" customHeight="1" x14ac:dyDescent="0.25">
      <c r="A266" s="37">
        <v>59050</v>
      </c>
      <c r="B266" s="398">
        <f t="shared" ref="B266:C266" si="262">($A266-B$9)/365.25</f>
        <v>79.791923340177959</v>
      </c>
      <c r="C266" s="398">
        <f t="shared" si="262"/>
        <v>75.181382614647504</v>
      </c>
      <c r="E266" s="25">
        <f>IF(C266&gt;$B$7,0,'Combined Retirement'!$D$13/12)</f>
        <v>0</v>
      </c>
      <c r="F266" s="25">
        <f>IF(H266=0,'Combined Retirement'!$D$32,0)+'Combined Retirement'!$B$24</f>
        <v>2870.372285649099</v>
      </c>
      <c r="G266" s="25">
        <f>'Combined Retirement'!$C$24</f>
        <v>3254.2644699519233</v>
      </c>
      <c r="H266" s="25">
        <f>IF(B266&lt;62,0,'Combined Retirement'!$I$14)</f>
        <v>2345</v>
      </c>
      <c r="I266" s="25">
        <f>IF(C266&lt;62,0,'Combined Retirement'!$I$13)</f>
        <v>2420</v>
      </c>
      <c r="J266" s="25">
        <f t="shared" ref="J266:J520" si="263">IF(C266&lt;59.5,P266,P266*$J$7)</f>
        <v>8395.6297298201844</v>
      </c>
      <c r="K266" s="25">
        <f t="shared" ref="K266:K520" si="264">IF(C266&lt;59.5,0,IF(C266&lt;$B$7,0,P266*$K$7))</f>
        <v>21655.303514578787</v>
      </c>
      <c r="L266" s="25"/>
      <c r="N266" s="25">
        <f>'Combined Retirement'!$C$18/12</f>
        <v>40940.569999999992</v>
      </c>
      <c r="O266" s="25">
        <f t="shared" ref="O266:O520" si="265">SUM(E266:I266)</f>
        <v>10889.636755601023</v>
      </c>
      <c r="P266" s="25">
        <f t="shared" ref="P266:P520" si="266">N266-O266</f>
        <v>30050.93324439897</v>
      </c>
      <c r="Q266" s="25">
        <f t="array" aca="1" ref="Q266" ca="1">INDEX('Isaac 401k'!L:L,MATCH('Retirement Calculator'!A266,'Isaac 401k'!N:N,0),0)</f>
        <v>633798.85915193765</v>
      </c>
      <c r="R266" s="25">
        <f t="array" aca="1" ref="R266" ca="1">INDEX('Lorri 401b'!L:L,MATCH('Retirement Calculator'!A266,'Lorri 401b'!N:N,0),0)</f>
        <v>2747814.1100639328</v>
      </c>
      <c r="S266" s="25">
        <f t="shared" ref="S266:S520" ca="1" si="267">SUM(Q266:R266)</f>
        <v>3381612.9692158704</v>
      </c>
    </row>
    <row r="267" spans="1:19" ht="15.75" customHeight="1" x14ac:dyDescent="0.25">
      <c r="A267" s="37">
        <v>59080</v>
      </c>
      <c r="B267" s="398">
        <f t="shared" ref="B267:C267" si="268">($A267-B$9)/365.25</f>
        <v>79.87405886379193</v>
      </c>
      <c r="C267" s="398">
        <f t="shared" si="268"/>
        <v>75.26351813826146</v>
      </c>
      <c r="E267" s="25">
        <f>IF(C267&gt;$B$7,0,'Combined Retirement'!$D$13/12)</f>
        <v>0</v>
      </c>
      <c r="F267" s="25">
        <f>IF(H267=0,'Combined Retirement'!$D$32,0)+'Combined Retirement'!$B$24</f>
        <v>2870.372285649099</v>
      </c>
      <c r="G267" s="25">
        <f>'Combined Retirement'!$C$24</f>
        <v>3254.2644699519233</v>
      </c>
      <c r="H267" s="25">
        <f>IF(B267&lt;62,0,'Combined Retirement'!$I$14)</f>
        <v>2345</v>
      </c>
      <c r="I267" s="25">
        <f>IF(C267&lt;62,0,'Combined Retirement'!$I$13)</f>
        <v>2420</v>
      </c>
      <c r="J267" s="25">
        <f t="shared" si="263"/>
        <v>8395.6297298201844</v>
      </c>
      <c r="K267" s="25">
        <f t="shared" si="264"/>
        <v>21655.303514578787</v>
      </c>
      <c r="L267" s="25"/>
      <c r="N267" s="25">
        <f>'Combined Retirement'!$C$18/12</f>
        <v>40940.569999999992</v>
      </c>
      <c r="O267" s="25">
        <f t="shared" si="265"/>
        <v>10889.636755601023</v>
      </c>
      <c r="P267" s="25">
        <f t="shared" si="266"/>
        <v>30050.93324439897</v>
      </c>
      <c r="Q267" s="25">
        <f t="array" aca="1" ref="Q267" ca="1">INDEX('Isaac 401k'!L:L,MATCH('Retirement Calculator'!A267,'Isaac 401k'!N:N,0),0)</f>
        <v>628009.07621137623</v>
      </c>
      <c r="R267" s="25">
        <f t="array" aca="1" ref="R267" ca="1">INDEX('Lorri 401b'!L:L,MATCH('Retirement Calculator'!A267,'Lorri 401b'!N:N,0),0)</f>
        <v>2737517.8015766428</v>
      </c>
      <c r="S267" s="25">
        <f t="shared" ca="1" si="267"/>
        <v>3365526.8777880189</v>
      </c>
    </row>
    <row r="268" spans="1:19" ht="15.75" customHeight="1" x14ac:dyDescent="0.25">
      <c r="A268" s="37">
        <v>59111</v>
      </c>
      <c r="B268" s="398">
        <f t="shared" ref="B268:C268" si="269">($A268-B$9)/365.25</f>
        <v>79.958932238193015</v>
      </c>
      <c r="C268" s="398">
        <f t="shared" si="269"/>
        <v>75.348391512662559</v>
      </c>
      <c r="E268" s="25">
        <f>IF(C268&gt;$B$7,0,'Combined Retirement'!$D$13/12)</f>
        <v>0</v>
      </c>
      <c r="F268" s="25">
        <f>IF(H268=0,'Combined Retirement'!$D$32,0)+'Combined Retirement'!$B$24</f>
        <v>2870.372285649099</v>
      </c>
      <c r="G268" s="25">
        <f>'Combined Retirement'!$C$24</f>
        <v>3254.2644699519233</v>
      </c>
      <c r="H268" s="25">
        <f>IF(B268&lt;62,0,'Combined Retirement'!$I$14)</f>
        <v>2345</v>
      </c>
      <c r="I268" s="25">
        <f>IF(C268&lt;62,0,'Combined Retirement'!$I$13)</f>
        <v>2420</v>
      </c>
      <c r="J268" s="25">
        <f t="shared" si="263"/>
        <v>8395.6297298201844</v>
      </c>
      <c r="K268" s="25">
        <f t="shared" si="264"/>
        <v>21655.303514578787</v>
      </c>
      <c r="L268" s="25"/>
      <c r="N268" s="25">
        <f>'Combined Retirement'!$C$18/12</f>
        <v>40940.569999999992</v>
      </c>
      <c r="O268" s="25">
        <f t="shared" si="265"/>
        <v>10889.636755601023</v>
      </c>
      <c r="P268" s="25">
        <f t="shared" si="266"/>
        <v>30050.93324439897</v>
      </c>
      <c r="Q268" s="25">
        <f t="array" aca="1" ref="Q268" ca="1">INDEX('Isaac 401k'!L:L,MATCH('Retirement Calculator'!A268,'Isaac 401k'!N:N,0),0)</f>
        <v>622195.16917522915</v>
      </c>
      <c r="R268" s="25">
        <f t="array" aca="1" ref="R268" ca="1">INDEX('Lorri 401b'!L:L,MATCH('Retirement Calculator'!A268,'Lorri 401b'!N:N,0),0)</f>
        <v>2727178.5918039894</v>
      </c>
      <c r="S268" s="25">
        <f t="shared" ca="1" si="267"/>
        <v>3349373.7609792184</v>
      </c>
    </row>
    <row r="269" spans="1:19" ht="15.75" customHeight="1" x14ac:dyDescent="0.25">
      <c r="A269" s="37">
        <v>59141</v>
      </c>
      <c r="B269" s="398">
        <f t="shared" ref="B269:C269" si="270">($A269-B$9)/365.25</f>
        <v>80.041067761806985</v>
      </c>
      <c r="C269" s="398">
        <f t="shared" si="270"/>
        <v>75.43052703627653</v>
      </c>
      <c r="E269" s="25">
        <f>IF(C269&gt;$B$7,0,'Combined Retirement'!$D$13/12)</f>
        <v>0</v>
      </c>
      <c r="F269" s="25">
        <f>IF(H269=0,'Combined Retirement'!$D$32,0)+'Combined Retirement'!$B$24</f>
        <v>2870.372285649099</v>
      </c>
      <c r="G269" s="25">
        <f>'Combined Retirement'!$C$24</f>
        <v>3254.2644699519233</v>
      </c>
      <c r="H269" s="25">
        <f>IF(B269&lt;62,0,'Combined Retirement'!$I$14)</f>
        <v>2345</v>
      </c>
      <c r="I269" s="25">
        <f>IF(C269&lt;62,0,'Combined Retirement'!$I$13)</f>
        <v>2420</v>
      </c>
      <c r="J269" s="25">
        <f t="shared" si="263"/>
        <v>8395.6297298201844</v>
      </c>
      <c r="K269" s="25">
        <f t="shared" si="264"/>
        <v>21655.303514578787</v>
      </c>
      <c r="L269" s="25"/>
      <c r="N269" s="25">
        <f>'Combined Retirement'!$C$18/12</f>
        <v>40940.569999999992</v>
      </c>
      <c r="O269" s="25">
        <f t="shared" si="265"/>
        <v>10889.636755601023</v>
      </c>
      <c r="P269" s="25">
        <f t="shared" si="266"/>
        <v>30050.93324439897</v>
      </c>
      <c r="Q269" s="25">
        <f t="array" aca="1" ref="Q269" ca="1">INDEX('Isaac 401k'!L:L,MATCH('Retirement Calculator'!A269,'Isaac 401k'!N:N,0),0)</f>
        <v>616357.03752643149</v>
      </c>
      <c r="R269" s="25">
        <f t="array" aca="1" ref="R269" ca="1">INDEX('Lorri 401b'!L:L,MATCH('Retirement Calculator'!A269,'Lorri 401b'!N:N,0),0)</f>
        <v>2716796.3019906166</v>
      </c>
      <c r="S269" s="25">
        <f t="shared" ca="1" si="267"/>
        <v>3333153.3395170481</v>
      </c>
    </row>
    <row r="270" spans="1:19" ht="15.75" customHeight="1" x14ac:dyDescent="0.25">
      <c r="A270" s="37">
        <v>59172</v>
      </c>
      <c r="B270" s="398">
        <f t="shared" ref="B270:C270" si="271">($A270-B$9)/365.25</f>
        <v>80.12594113620807</v>
      </c>
      <c r="C270" s="398">
        <f t="shared" si="271"/>
        <v>75.515400410677614</v>
      </c>
      <c r="E270" s="25">
        <f>IF(C270&gt;$B$7,0,'Combined Retirement'!$D$13/12)</f>
        <v>0</v>
      </c>
      <c r="F270" s="25">
        <f>IF(H270=0,'Combined Retirement'!$D$32,0)+'Combined Retirement'!$B$24</f>
        <v>2870.372285649099</v>
      </c>
      <c r="G270" s="25">
        <f>'Combined Retirement'!$C$24</f>
        <v>3254.2644699519233</v>
      </c>
      <c r="H270" s="25">
        <f>IF(B270&lt;62,0,'Combined Retirement'!$I$14)</f>
        <v>2345</v>
      </c>
      <c r="I270" s="25">
        <f>IF(C270&lt;62,0,'Combined Retirement'!$I$13)</f>
        <v>2420</v>
      </c>
      <c r="J270" s="25">
        <f t="shared" si="263"/>
        <v>8395.6297298201844</v>
      </c>
      <c r="K270" s="25">
        <f t="shared" si="264"/>
        <v>21655.303514578787</v>
      </c>
      <c r="L270" s="25"/>
      <c r="N270" s="25">
        <f>'Combined Retirement'!$C$18/12</f>
        <v>40940.569999999992</v>
      </c>
      <c r="O270" s="25">
        <f t="shared" si="265"/>
        <v>10889.636755601023</v>
      </c>
      <c r="P270" s="25">
        <f t="shared" si="266"/>
        <v>30050.93324439897</v>
      </c>
      <c r="Q270" s="25">
        <f t="array" aca="1" ref="Q270" ca="1">INDEX('Isaac 401k'!L:L,MATCH('Retirement Calculator'!A270,'Isaac 401k'!N:N,0),0)</f>
        <v>610494.58032909723</v>
      </c>
      <c r="R270" s="25">
        <f t="array" aca="1" ref="R270" ca="1">INDEX('Lorri 401b'!L:L,MATCH('Retirement Calculator'!A270,'Lorri 401b'!N:N,0),0)</f>
        <v>2706370.7526363544</v>
      </c>
      <c r="S270" s="25">
        <f t="shared" ca="1" si="267"/>
        <v>3316865.3329654518</v>
      </c>
    </row>
    <row r="271" spans="1:19" ht="15.75" customHeight="1" x14ac:dyDescent="0.25">
      <c r="A271" s="37">
        <v>59203</v>
      </c>
      <c r="B271" s="398">
        <f t="shared" ref="B271:C271" si="272">($A271-B$9)/365.25</f>
        <v>80.210814510609168</v>
      </c>
      <c r="C271" s="398">
        <f t="shared" si="272"/>
        <v>75.600273785078713</v>
      </c>
      <c r="E271" s="25">
        <f>IF(C271&gt;$B$7,0,'Combined Retirement'!$D$13/12)</f>
        <v>0</v>
      </c>
      <c r="F271" s="25">
        <f>IF(H271=0,'Combined Retirement'!$D$32,0)+'Combined Retirement'!$B$24</f>
        <v>2870.372285649099</v>
      </c>
      <c r="G271" s="25">
        <f>'Combined Retirement'!$C$24</f>
        <v>3254.2644699519233</v>
      </c>
      <c r="H271" s="25">
        <f>IF(B271&lt;62,0,'Combined Retirement'!$I$14)</f>
        <v>2345</v>
      </c>
      <c r="I271" s="25">
        <f>IF(C271&lt;62,0,'Combined Retirement'!$I$13)</f>
        <v>2420</v>
      </c>
      <c r="J271" s="25">
        <f t="shared" si="263"/>
        <v>8395.6297298201844</v>
      </c>
      <c r="K271" s="25">
        <f t="shared" si="264"/>
        <v>21655.303514578787</v>
      </c>
      <c r="L271" s="25"/>
      <c r="N271" s="25">
        <f>'Combined Retirement'!$C$18/12</f>
        <v>40940.569999999992</v>
      </c>
      <c r="O271" s="25">
        <f t="shared" si="265"/>
        <v>10889.636755601023</v>
      </c>
      <c r="P271" s="25">
        <f t="shared" si="266"/>
        <v>30050.93324439897</v>
      </c>
      <c r="Q271" s="25">
        <f t="array" aca="1" ref="Q271" ca="1">INDEX('Isaac 401k'!L:L,MATCH('Retirement Calculator'!A271,'Isaac 401k'!N:N,0),0)</f>
        <v>604607.69622677402</v>
      </c>
      <c r="R271" s="25">
        <f t="array" aca="1" ref="R271" ca="1">INDEX('Lorri 401b'!L:L,MATCH('Retirement Calculator'!A271,'Lorri 401b'!N:N,0),0)</f>
        <v>2695901.7634931165</v>
      </c>
      <c r="S271" s="25">
        <f t="shared" ca="1" si="267"/>
        <v>3300509.4597198907</v>
      </c>
    </row>
    <row r="272" spans="1:19" ht="15.75" customHeight="1" x14ac:dyDescent="0.25">
      <c r="A272" s="37">
        <v>59231</v>
      </c>
      <c r="B272" s="398">
        <f t="shared" ref="B272:C272" si="273">($A272-B$9)/365.25</f>
        <v>80.28747433264887</v>
      </c>
      <c r="C272" s="398">
        <f t="shared" si="273"/>
        <v>75.676933607118414</v>
      </c>
      <c r="E272" s="25">
        <f>IF(C272&gt;$B$7,0,'Combined Retirement'!$D$13/12)</f>
        <v>0</v>
      </c>
      <c r="F272" s="25">
        <f>IF(H272=0,'Combined Retirement'!$D$32,0)+'Combined Retirement'!$B$24</f>
        <v>2870.372285649099</v>
      </c>
      <c r="G272" s="25">
        <f>'Combined Retirement'!$C$24</f>
        <v>3254.2644699519233</v>
      </c>
      <c r="H272" s="25">
        <f>IF(B272&lt;62,0,'Combined Retirement'!$I$14)</f>
        <v>2345</v>
      </c>
      <c r="I272" s="25">
        <f>IF(C272&lt;62,0,'Combined Retirement'!$I$13)</f>
        <v>2420</v>
      </c>
      <c r="J272" s="25">
        <f t="shared" si="263"/>
        <v>8395.6297298201844</v>
      </c>
      <c r="K272" s="25">
        <f t="shared" si="264"/>
        <v>21655.303514578787</v>
      </c>
      <c r="L272" s="25"/>
      <c r="N272" s="25">
        <f>'Combined Retirement'!$C$18/12</f>
        <v>40940.569999999992</v>
      </c>
      <c r="O272" s="25">
        <f t="shared" si="265"/>
        <v>10889.636755601023</v>
      </c>
      <c r="P272" s="25">
        <f t="shared" si="266"/>
        <v>30050.93324439897</v>
      </c>
      <c r="Q272" s="25">
        <f t="array" aca="1" ref="Q272" ca="1">INDEX('Isaac 401k'!L:L,MATCH('Retirement Calculator'!A272,'Isaac 401k'!N:N,0),0)</f>
        <v>598696.28344069119</v>
      </c>
      <c r="R272" s="25">
        <f t="array" aca="1" ref="R272" ca="1">INDEX('Lorri 401b'!L:L,MATCH('Retirement Calculator'!A272,'Lorri 401b'!N:N,0),0)</f>
        <v>2685389.1535617816</v>
      </c>
      <c r="S272" s="25">
        <f t="shared" ca="1" si="267"/>
        <v>3284085.4370024726</v>
      </c>
    </row>
    <row r="273" spans="1:19" ht="15.75" customHeight="1" x14ac:dyDescent="0.25">
      <c r="A273" s="37">
        <v>59262</v>
      </c>
      <c r="B273" s="398">
        <f t="shared" ref="B273:C273" si="274">($A273-B$9)/365.25</f>
        <v>80.372347707049968</v>
      </c>
      <c r="C273" s="398">
        <f t="shared" si="274"/>
        <v>75.761806981519513</v>
      </c>
      <c r="E273" s="25">
        <f>IF(C273&gt;$B$7,0,'Combined Retirement'!$D$13/12)</f>
        <v>0</v>
      </c>
      <c r="F273" s="25">
        <f>IF(H273=0,'Combined Retirement'!$D$32,0)+'Combined Retirement'!$B$24</f>
        <v>2870.372285649099</v>
      </c>
      <c r="G273" s="25">
        <f>'Combined Retirement'!$C$24</f>
        <v>3254.2644699519233</v>
      </c>
      <c r="H273" s="25">
        <f>IF(B273&lt;62,0,'Combined Retirement'!$I$14)</f>
        <v>2345</v>
      </c>
      <c r="I273" s="25">
        <f>IF(C273&lt;62,0,'Combined Retirement'!$I$13)</f>
        <v>2420</v>
      </c>
      <c r="J273" s="25">
        <f t="shared" si="263"/>
        <v>8395.6297298201844</v>
      </c>
      <c r="K273" s="25">
        <f t="shared" si="264"/>
        <v>21655.303514578787</v>
      </c>
      <c r="L273" s="25"/>
      <c r="N273" s="25">
        <f>'Combined Retirement'!$C$18/12</f>
        <v>40940.569999999992</v>
      </c>
      <c r="O273" s="25">
        <f t="shared" si="265"/>
        <v>10889.636755601023</v>
      </c>
      <c r="P273" s="25">
        <f t="shared" si="266"/>
        <v>30050.93324439897</v>
      </c>
      <c r="Q273" s="25">
        <f t="array" aca="1" ref="Q273" ca="1">INDEX('Isaac 401k'!L:L,MATCH('Retirement Calculator'!A273,'Isaac 401k'!N:N,0),0)</f>
        <v>592760.23976799962</v>
      </c>
      <c r="R273" s="25">
        <f t="array" aca="1" ref="R273" ca="1">INDEX('Lorri 401b'!L:L,MATCH('Retirement Calculator'!A273,'Lorri 401b'!N:N,0),0)</f>
        <v>2674832.741089066</v>
      </c>
      <c r="S273" s="25">
        <f t="shared" ca="1" si="267"/>
        <v>3267592.9808570659</v>
      </c>
    </row>
    <row r="274" spans="1:19" ht="15.75" customHeight="1" x14ac:dyDescent="0.25">
      <c r="A274" s="37">
        <v>59292</v>
      </c>
      <c r="B274" s="398">
        <f t="shared" ref="B274:C274" si="275">($A274-B$9)/365.25</f>
        <v>80.454483230663925</v>
      </c>
      <c r="C274" s="398">
        <f t="shared" si="275"/>
        <v>75.843942505133469</v>
      </c>
      <c r="E274" s="25">
        <f>IF(C274&gt;$B$7,0,'Combined Retirement'!$D$13/12)</f>
        <v>0</v>
      </c>
      <c r="F274" s="25">
        <f>IF(H274=0,'Combined Retirement'!$D$32,0)+'Combined Retirement'!$B$24</f>
        <v>2870.372285649099</v>
      </c>
      <c r="G274" s="25">
        <f>'Combined Retirement'!$C$24</f>
        <v>3254.2644699519233</v>
      </c>
      <c r="H274" s="25">
        <f>IF(B274&lt;62,0,'Combined Retirement'!$I$14)</f>
        <v>2345</v>
      </c>
      <c r="I274" s="25">
        <f>IF(C274&lt;62,0,'Combined Retirement'!$I$13)</f>
        <v>2420</v>
      </c>
      <c r="J274" s="25">
        <f t="shared" si="263"/>
        <v>8395.6297298201844</v>
      </c>
      <c r="K274" s="25">
        <f t="shared" si="264"/>
        <v>21655.303514578787</v>
      </c>
      <c r="L274" s="25"/>
      <c r="N274" s="25">
        <f>'Combined Retirement'!$C$18/12</f>
        <v>40940.569999999992</v>
      </c>
      <c r="O274" s="25">
        <f t="shared" si="265"/>
        <v>10889.636755601023</v>
      </c>
      <c r="P274" s="25">
        <f t="shared" si="266"/>
        <v>30050.93324439897</v>
      </c>
      <c r="Q274" s="25">
        <f t="array" aca="1" ref="Q274" ca="1">INDEX('Isaac 401k'!L:L,MATCH('Retirement Calculator'!A274,'Isaac 401k'!N:N,0),0)</f>
        <v>586799.46258000517</v>
      </c>
      <c r="R274" s="25">
        <f t="array" aca="1" ref="R274" ca="1">INDEX('Lorri 401b'!L:L,MATCH('Retirement Calculator'!A274,'Lorri 401b'!N:N,0),0)</f>
        <v>2664232.3435643809</v>
      </c>
      <c r="S274" s="25">
        <f t="shared" ca="1" si="267"/>
        <v>3251031.8061443861</v>
      </c>
    </row>
    <row r="275" spans="1:19" ht="15.75" customHeight="1" x14ac:dyDescent="0.25">
      <c r="A275" s="37">
        <v>59323</v>
      </c>
      <c r="B275" s="398">
        <f t="shared" ref="B275:C275" si="276">($A275-B$9)/365.25</f>
        <v>80.539356605065024</v>
      </c>
      <c r="C275" s="398">
        <f t="shared" si="276"/>
        <v>75.928815879534568</v>
      </c>
      <c r="E275" s="25">
        <f>IF(C275&gt;$B$7,0,'Combined Retirement'!$D$13/12)</f>
        <v>0</v>
      </c>
      <c r="F275" s="25">
        <f>IF(H275=0,'Combined Retirement'!$D$32,0)+'Combined Retirement'!$B$24</f>
        <v>2870.372285649099</v>
      </c>
      <c r="G275" s="25">
        <f>'Combined Retirement'!$C$24</f>
        <v>3254.2644699519233</v>
      </c>
      <c r="H275" s="25">
        <f>IF(B275&lt;62,0,'Combined Retirement'!$I$14)</f>
        <v>2345</v>
      </c>
      <c r="I275" s="25">
        <f>IF(C275&lt;62,0,'Combined Retirement'!$I$13)</f>
        <v>2420</v>
      </c>
      <c r="J275" s="25">
        <f t="shared" si="263"/>
        <v>8395.6297298201844</v>
      </c>
      <c r="K275" s="25">
        <f t="shared" si="264"/>
        <v>21655.303514578787</v>
      </c>
      <c r="L275" s="25"/>
      <c r="N275" s="25">
        <f>'Combined Retirement'!$C$18/12</f>
        <v>40940.569999999992</v>
      </c>
      <c r="O275" s="25">
        <f t="shared" si="265"/>
        <v>10889.636755601023</v>
      </c>
      <c r="P275" s="25">
        <f t="shared" si="266"/>
        <v>30050.93324439897</v>
      </c>
      <c r="Q275" s="25">
        <f t="array" aca="1" ref="Q275" ca="1">INDEX('Isaac 401k'!L:L,MATCH('Retirement Calculator'!A275,'Isaac 401k'!N:N,0),0)</f>
        <v>580813.84882039414</v>
      </c>
      <c r="R275" s="25">
        <f t="array" aca="1" ref="R275" ca="1">INDEX('Lorri 401b'!L:L,MATCH('Retirement Calculator'!A275,'Lorri 401b'!N:N,0),0)</f>
        <v>2653587.7777166762</v>
      </c>
      <c r="S275" s="25">
        <f t="shared" ca="1" si="267"/>
        <v>3234401.6265370706</v>
      </c>
    </row>
    <row r="276" spans="1:19" ht="15.75" customHeight="1" x14ac:dyDescent="0.25">
      <c r="A276" s="37">
        <v>59353</v>
      </c>
      <c r="B276" s="398">
        <f t="shared" ref="B276:C276" si="277">($A276-B$9)/365.25</f>
        <v>80.62149212867898</v>
      </c>
      <c r="C276" s="398">
        <f t="shared" si="277"/>
        <v>76.010951403148525</v>
      </c>
      <c r="E276" s="25">
        <f>IF(C276&gt;$B$7,0,'Combined Retirement'!$D$13/12)</f>
        <v>0</v>
      </c>
      <c r="F276" s="25">
        <f>IF(H276=0,'Combined Retirement'!$D$32,0)+'Combined Retirement'!$B$24</f>
        <v>2870.372285649099</v>
      </c>
      <c r="G276" s="25">
        <f>'Combined Retirement'!$C$24</f>
        <v>3254.2644699519233</v>
      </c>
      <c r="H276" s="25">
        <f>IF(B276&lt;62,0,'Combined Retirement'!$I$14)</f>
        <v>2345</v>
      </c>
      <c r="I276" s="25">
        <f>IF(C276&lt;62,0,'Combined Retirement'!$I$13)</f>
        <v>2420</v>
      </c>
      <c r="J276" s="25">
        <f t="shared" si="263"/>
        <v>8395.6297298201844</v>
      </c>
      <c r="K276" s="25">
        <f t="shared" si="264"/>
        <v>21655.303514578787</v>
      </c>
      <c r="L276" s="25"/>
      <c r="N276" s="25">
        <f>'Combined Retirement'!$C$18/12</f>
        <v>40940.569999999992</v>
      </c>
      <c r="O276" s="25">
        <f t="shared" si="265"/>
        <v>10889.636755601023</v>
      </c>
      <c r="P276" s="25">
        <f t="shared" si="266"/>
        <v>30050.93324439897</v>
      </c>
      <c r="Q276" s="25">
        <f t="array" aca="1" ref="Q276" ca="1">INDEX('Isaac 401k'!L:L,MATCH('Retirement Calculator'!A276,'Isaac 401k'!N:N,0),0)</f>
        <v>574803.29500345129</v>
      </c>
      <c r="R276" s="25">
        <f t="array" aca="1" ref="R276" ca="1">INDEX('Lorri 401b'!L:L,MATCH('Retirement Calculator'!A276,'Lorri 401b'!N:N,0),0)</f>
        <v>2642898.859511273</v>
      </c>
      <c r="S276" s="25">
        <f t="shared" ca="1" si="267"/>
        <v>3217702.1545147244</v>
      </c>
    </row>
    <row r="277" spans="1:19" ht="15.75" customHeight="1" x14ac:dyDescent="0.25">
      <c r="A277" s="37">
        <v>59384</v>
      </c>
      <c r="B277" s="398">
        <f t="shared" ref="B277:C277" si="278">($A277-B$9)/365.25</f>
        <v>80.706365503080079</v>
      </c>
      <c r="C277" s="398">
        <f t="shared" si="278"/>
        <v>76.095824777549623</v>
      </c>
      <c r="E277" s="25">
        <f>IF(C277&gt;$B$7,0,'Combined Retirement'!$D$13/12)</f>
        <v>0</v>
      </c>
      <c r="F277" s="25">
        <f>IF(H277=0,'Combined Retirement'!$D$32,0)+'Combined Retirement'!$B$24</f>
        <v>2870.372285649099</v>
      </c>
      <c r="G277" s="25">
        <f>'Combined Retirement'!$C$24</f>
        <v>3254.2644699519233</v>
      </c>
      <c r="H277" s="25">
        <f>IF(B277&lt;62,0,'Combined Retirement'!$I$14)</f>
        <v>2345</v>
      </c>
      <c r="I277" s="25">
        <f>IF(C277&lt;62,0,'Combined Retirement'!$I$13)</f>
        <v>2420</v>
      </c>
      <c r="J277" s="25">
        <f t="shared" si="263"/>
        <v>8395.6297298201844</v>
      </c>
      <c r="K277" s="25">
        <f t="shared" si="264"/>
        <v>21655.303514578787</v>
      </c>
      <c r="L277" s="25"/>
      <c r="N277" s="25">
        <f>'Combined Retirement'!$C$18/12</f>
        <v>40940.569999999992</v>
      </c>
      <c r="O277" s="25">
        <f t="shared" si="265"/>
        <v>10889.636755601023</v>
      </c>
      <c r="P277" s="25">
        <f t="shared" si="266"/>
        <v>30050.93324439897</v>
      </c>
      <c r="Q277" s="25">
        <f t="array" aca="1" ref="Q277" ca="1">INDEX('Isaac 401k'!L:L,MATCH('Retirement Calculator'!A277,'Isaac 401k'!N:N,0),0)</f>
        <v>568767.69721227128</v>
      </c>
      <c r="R277" s="25">
        <f t="array" aca="1" ref="R277" ca="1">INDEX('Lorri 401b'!L:L,MATCH('Retirement Calculator'!A277,'Lorri 401b'!N:N,0),0)</f>
        <v>2632165.4041466801</v>
      </c>
      <c r="S277" s="25">
        <f t="shared" ca="1" si="267"/>
        <v>3200933.1013589515</v>
      </c>
    </row>
    <row r="278" spans="1:19" ht="15.75" customHeight="1" x14ac:dyDescent="0.25">
      <c r="A278" s="37">
        <v>59415</v>
      </c>
      <c r="B278" s="398">
        <f t="shared" ref="B278:C278" si="279">($A278-B$9)/365.25</f>
        <v>80.791238877481177</v>
      </c>
      <c r="C278" s="398">
        <f t="shared" si="279"/>
        <v>76.180698151950722</v>
      </c>
      <c r="E278" s="25">
        <f>IF(C278&gt;$B$7,0,'Combined Retirement'!$D$13/12)</f>
        <v>0</v>
      </c>
      <c r="F278" s="25">
        <f>IF(H278=0,'Combined Retirement'!$D$32,0)+'Combined Retirement'!$B$24</f>
        <v>2870.372285649099</v>
      </c>
      <c r="G278" s="25">
        <f>'Combined Retirement'!$C$24</f>
        <v>3254.2644699519233</v>
      </c>
      <c r="H278" s="25">
        <f>IF(B278&lt;62,0,'Combined Retirement'!$I$14)</f>
        <v>2345</v>
      </c>
      <c r="I278" s="25">
        <f>IF(C278&lt;62,0,'Combined Retirement'!$I$13)</f>
        <v>2420</v>
      </c>
      <c r="J278" s="25">
        <f t="shared" si="263"/>
        <v>8395.6297298201844</v>
      </c>
      <c r="K278" s="25">
        <f t="shared" si="264"/>
        <v>21655.303514578787</v>
      </c>
      <c r="L278" s="25"/>
      <c r="N278" s="25">
        <f>'Combined Retirement'!$C$18/12</f>
        <v>40940.569999999992</v>
      </c>
      <c r="O278" s="25">
        <f t="shared" si="265"/>
        <v>10889.636755601023</v>
      </c>
      <c r="P278" s="25">
        <f t="shared" si="266"/>
        <v>30050.93324439897</v>
      </c>
      <c r="Q278" s="25">
        <f t="array" aca="1" ref="Q278" ca="1">INDEX('Isaac 401k'!L:L,MATCH('Retirement Calculator'!A278,'Isaac 401k'!N:N,0),0)</f>
        <v>562706.95109696127</v>
      </c>
      <c r="R278" s="25">
        <f t="array" aca="1" ref="R278" ca="1">INDEX('Lorri 401b'!L:L,MATCH('Retirement Calculator'!A278,'Lorri 401b'!N:N,0),0)</f>
        <v>2621387.2260514018</v>
      </c>
      <c r="S278" s="25">
        <f t="shared" ca="1" si="267"/>
        <v>3184094.1771483631</v>
      </c>
    </row>
    <row r="279" spans="1:19" ht="15.75" customHeight="1" x14ac:dyDescent="0.25">
      <c r="A279" s="37">
        <v>59445</v>
      </c>
      <c r="B279" s="398">
        <f t="shared" ref="B279:C279" si="280">($A279-B$9)/365.25</f>
        <v>80.873374401095134</v>
      </c>
      <c r="C279" s="398">
        <f t="shared" si="280"/>
        <v>76.262833675564679</v>
      </c>
      <c r="E279" s="25">
        <f>IF(C279&gt;$B$7,0,'Combined Retirement'!$D$13/12)</f>
        <v>0</v>
      </c>
      <c r="F279" s="25">
        <f>IF(H279=0,'Combined Retirement'!$D$32,0)+'Combined Retirement'!$B$24</f>
        <v>2870.372285649099</v>
      </c>
      <c r="G279" s="25">
        <f>'Combined Retirement'!$C$24</f>
        <v>3254.2644699519233</v>
      </c>
      <c r="H279" s="25">
        <f>IF(B279&lt;62,0,'Combined Retirement'!$I$14)</f>
        <v>2345</v>
      </c>
      <c r="I279" s="25">
        <f>IF(C279&lt;62,0,'Combined Retirement'!$I$13)</f>
        <v>2420</v>
      </c>
      <c r="J279" s="25">
        <f t="shared" si="263"/>
        <v>8395.6297298201844</v>
      </c>
      <c r="K279" s="25">
        <f t="shared" si="264"/>
        <v>21655.303514578787</v>
      </c>
      <c r="L279" s="25"/>
      <c r="N279" s="25">
        <f>'Combined Retirement'!$C$18/12</f>
        <v>40940.569999999992</v>
      </c>
      <c r="O279" s="25">
        <f t="shared" si="265"/>
        <v>10889.636755601023</v>
      </c>
      <c r="P279" s="25">
        <f t="shared" si="266"/>
        <v>30050.93324439897</v>
      </c>
      <c r="Q279" s="25">
        <f t="array" aca="1" ref="Q279" ca="1">INDEX('Isaac 401k'!L:L,MATCH('Retirement Calculator'!A279,'Isaac 401k'!N:N,0),0)</f>
        <v>556620.9518728375</v>
      </c>
      <c r="R279" s="25">
        <f t="array" aca="1" ref="R279" ca="1">INDEX('Lorri 401b'!L:L,MATCH('Retirement Calculator'!A279,'Lorri 401b'!N:N,0),0)</f>
        <v>2610564.1388807264</v>
      </c>
      <c r="S279" s="25">
        <f t="shared" ca="1" si="267"/>
        <v>3167185.0907535637</v>
      </c>
    </row>
    <row r="280" spans="1:19" ht="15.75" customHeight="1" x14ac:dyDescent="0.25">
      <c r="A280" s="37">
        <v>59476</v>
      </c>
      <c r="B280" s="398">
        <f t="shared" ref="B280:C280" si="281">($A280-B$9)/365.25</f>
        <v>80.958247775496233</v>
      </c>
      <c r="C280" s="398">
        <f t="shared" si="281"/>
        <v>76.347707049965777</v>
      </c>
      <c r="E280" s="25">
        <f>IF(C280&gt;$B$7,0,'Combined Retirement'!$D$13/12)</f>
        <v>0</v>
      </c>
      <c r="F280" s="25">
        <f>IF(H280=0,'Combined Retirement'!$D$32,0)+'Combined Retirement'!$B$24</f>
        <v>2870.372285649099</v>
      </c>
      <c r="G280" s="25">
        <f>'Combined Retirement'!$C$24</f>
        <v>3254.2644699519233</v>
      </c>
      <c r="H280" s="25">
        <f>IF(B280&lt;62,0,'Combined Retirement'!$I$14)</f>
        <v>2345</v>
      </c>
      <c r="I280" s="25">
        <f>IF(C280&lt;62,0,'Combined Retirement'!$I$13)</f>
        <v>2420</v>
      </c>
      <c r="J280" s="25">
        <f t="shared" si="263"/>
        <v>8395.6297298201844</v>
      </c>
      <c r="K280" s="25">
        <f t="shared" si="264"/>
        <v>21655.303514578787</v>
      </c>
      <c r="L280" s="25"/>
      <c r="N280" s="25">
        <f>'Combined Retirement'!$C$18/12</f>
        <v>40940.569999999992</v>
      </c>
      <c r="O280" s="25">
        <f t="shared" si="265"/>
        <v>10889.636755601023</v>
      </c>
      <c r="P280" s="25">
        <f t="shared" si="266"/>
        <v>30050.93324439897</v>
      </c>
      <c r="Q280" s="25">
        <f t="array" aca="1" ref="Q280" ca="1">INDEX('Isaac 401k'!L:L,MATCH('Retirement Calculator'!A280,'Isaac 401k'!N:N,0),0)</f>
        <v>550509.59431861318</v>
      </c>
      <c r="R280" s="25">
        <f t="array" aca="1" ref="R280" ca="1">INDEX('Lorri 401b'!L:L,MATCH('Retirement Calculator'!A280,'Lorri 401b'!N:N,0),0)</f>
        <v>2599695.9555135067</v>
      </c>
      <c r="S280" s="25">
        <f t="shared" ca="1" si="267"/>
        <v>3150205.5498321196</v>
      </c>
    </row>
    <row r="281" spans="1:19" ht="15.75" customHeight="1" x14ac:dyDescent="0.25">
      <c r="A281" s="37">
        <v>59506</v>
      </c>
      <c r="B281" s="398">
        <f t="shared" ref="B281:C281" si="282">($A281-B$9)/365.25</f>
        <v>81.040383299110204</v>
      </c>
      <c r="C281" s="398">
        <f t="shared" si="282"/>
        <v>76.429842573579734</v>
      </c>
      <c r="E281" s="25">
        <f>IF(C281&gt;$B$7,0,'Combined Retirement'!$D$13/12)</f>
        <v>0</v>
      </c>
      <c r="F281" s="25">
        <f>IF(H281=0,'Combined Retirement'!$D$32,0)+'Combined Retirement'!$B$24</f>
        <v>2870.372285649099</v>
      </c>
      <c r="G281" s="25">
        <f>'Combined Retirement'!$C$24</f>
        <v>3254.2644699519233</v>
      </c>
      <c r="H281" s="25">
        <f>IF(B281&lt;62,0,'Combined Retirement'!$I$14)</f>
        <v>2345</v>
      </c>
      <c r="I281" s="25">
        <f>IF(C281&lt;62,0,'Combined Retirement'!$I$13)</f>
        <v>2420</v>
      </c>
      <c r="J281" s="25">
        <f t="shared" si="263"/>
        <v>8395.6297298201844</v>
      </c>
      <c r="K281" s="25">
        <f t="shared" si="264"/>
        <v>21655.303514578787</v>
      </c>
      <c r="L281" s="25"/>
      <c r="N281" s="25">
        <f>'Combined Retirement'!$C$18/12</f>
        <v>40940.569999999992</v>
      </c>
      <c r="O281" s="25">
        <f t="shared" si="265"/>
        <v>10889.636755601023</v>
      </c>
      <c r="P281" s="25">
        <f t="shared" si="266"/>
        <v>30050.93324439897</v>
      </c>
      <c r="Q281" s="25">
        <f t="array" aca="1" ref="Q281" ca="1">INDEX('Isaac 401k'!L:L,MATCH('Retirement Calculator'!A281,'Isaac 401k'!N:N,0),0)</f>
        <v>544372.77277457959</v>
      </c>
      <c r="R281" s="25">
        <f t="array" aca="1" ref="R281" ca="1">INDEX('Lorri 401b'!L:L,MATCH('Retirement Calculator'!A281,'Lorri 401b'!N:N,0),0)</f>
        <v>2588782.4880489232</v>
      </c>
      <c r="S281" s="25">
        <f t="shared" ca="1" si="267"/>
        <v>3133155.2608235027</v>
      </c>
    </row>
    <row r="282" spans="1:19" ht="15.75" customHeight="1" x14ac:dyDescent="0.25">
      <c r="A282" s="37">
        <v>59537</v>
      </c>
      <c r="B282" s="398">
        <f t="shared" ref="B282:C282" si="283">($A282-B$9)/365.25</f>
        <v>81.125256673511288</v>
      </c>
      <c r="C282" s="398">
        <f t="shared" si="283"/>
        <v>76.514715947980832</v>
      </c>
      <c r="E282" s="25">
        <f>IF(C282&gt;$B$7,0,'Combined Retirement'!$D$13/12)</f>
        <v>0</v>
      </c>
      <c r="F282" s="25">
        <f>IF(H282=0,'Combined Retirement'!$D$32,0)+'Combined Retirement'!$B$24</f>
        <v>2870.372285649099</v>
      </c>
      <c r="G282" s="25">
        <f>'Combined Retirement'!$C$24</f>
        <v>3254.2644699519233</v>
      </c>
      <c r="H282" s="25">
        <f>IF(B282&lt;62,0,'Combined Retirement'!$I$14)</f>
        <v>2345</v>
      </c>
      <c r="I282" s="25">
        <f>IF(C282&lt;62,0,'Combined Retirement'!$I$13)</f>
        <v>2420</v>
      </c>
      <c r="J282" s="25">
        <f t="shared" si="263"/>
        <v>8395.6297298201844</v>
      </c>
      <c r="K282" s="25">
        <f t="shared" si="264"/>
        <v>21655.303514578787</v>
      </c>
      <c r="L282" s="25"/>
      <c r="N282" s="25">
        <f>'Combined Retirement'!$C$18/12</f>
        <v>40940.569999999992</v>
      </c>
      <c r="O282" s="25">
        <f t="shared" si="265"/>
        <v>10889.636755601023</v>
      </c>
      <c r="P282" s="25">
        <f t="shared" si="266"/>
        <v>30050.93324439897</v>
      </c>
      <c r="Q282" s="25">
        <f t="array" aca="1" ref="Q282" ca="1">INDEX('Isaac 401k'!L:L,MATCH('Retirement Calculator'!A282,'Isaac 401k'!N:N,0),0)</f>
        <v>538210.38114077924</v>
      </c>
      <c r="R282" s="25">
        <f t="array" aca="1" ref="R282" ca="1">INDEX('Lorri 401b'!L:L,MATCH('Retirement Calculator'!A282,'Lorri 401b'!N:N,0),0)</f>
        <v>2577823.5478032376</v>
      </c>
      <c r="S282" s="25">
        <f t="shared" ca="1" si="267"/>
        <v>3116033.9289440168</v>
      </c>
    </row>
    <row r="283" spans="1:19" ht="15.75" customHeight="1" x14ac:dyDescent="0.25">
      <c r="A283" s="37">
        <v>59568</v>
      </c>
      <c r="B283" s="398">
        <f t="shared" ref="B283:C283" si="284">($A283-B$9)/365.25</f>
        <v>81.210130047912386</v>
      </c>
      <c r="C283" s="398">
        <f t="shared" si="284"/>
        <v>76.599589322381931</v>
      </c>
      <c r="E283" s="25">
        <f>IF(C283&gt;$B$7,0,'Combined Retirement'!$D$13/12)</f>
        <v>0</v>
      </c>
      <c r="F283" s="25">
        <f>IF(H283=0,'Combined Retirement'!$D$32,0)+'Combined Retirement'!$B$24</f>
        <v>2870.372285649099</v>
      </c>
      <c r="G283" s="25">
        <f>'Combined Retirement'!$C$24</f>
        <v>3254.2644699519233</v>
      </c>
      <c r="H283" s="25">
        <f>IF(B283&lt;62,0,'Combined Retirement'!$I$14)</f>
        <v>2345</v>
      </c>
      <c r="I283" s="25">
        <f>IF(C283&lt;62,0,'Combined Retirement'!$I$13)</f>
        <v>2420</v>
      </c>
      <c r="J283" s="25">
        <f t="shared" si="263"/>
        <v>8395.6297298201844</v>
      </c>
      <c r="K283" s="25">
        <f t="shared" si="264"/>
        <v>21655.303514578787</v>
      </c>
      <c r="L283" s="25"/>
      <c r="N283" s="25">
        <f>'Combined Retirement'!$C$18/12</f>
        <v>40940.569999999992</v>
      </c>
      <c r="O283" s="25">
        <f t="shared" si="265"/>
        <v>10889.636755601023</v>
      </c>
      <c r="P283" s="25">
        <f t="shared" si="266"/>
        <v>30050.93324439897</v>
      </c>
      <c r="Q283" s="25">
        <f t="array" aca="1" ref="Q283" ca="1">INDEX('Isaac 401k'!L:L,MATCH('Retirement Calculator'!A283,'Isaac 401k'!N:N,0),0)</f>
        <v>532022.31287517142</v>
      </c>
      <c r="R283" s="25">
        <f t="array" aca="1" ref="R283" ca="1">INDEX('Lorri 401b'!L:L,MATCH('Retirement Calculator'!A283,'Lorri 401b'!N:N,0),0)</f>
        <v>2566818.9453065284</v>
      </c>
      <c r="S283" s="25">
        <f t="shared" ca="1" si="267"/>
        <v>3098841.2581816996</v>
      </c>
    </row>
    <row r="284" spans="1:19" ht="15.75" customHeight="1" x14ac:dyDescent="0.25">
      <c r="A284" s="37">
        <v>59596</v>
      </c>
      <c r="B284" s="398">
        <f t="shared" ref="B284:C284" si="285">($A284-B$9)/365.25</f>
        <v>81.286789869952088</v>
      </c>
      <c r="C284" s="398">
        <f t="shared" si="285"/>
        <v>76.676249144421632</v>
      </c>
      <c r="E284" s="25">
        <f>IF(C284&gt;$B$7,0,'Combined Retirement'!$D$13/12)</f>
        <v>0</v>
      </c>
      <c r="F284" s="25">
        <f>IF(H284=0,'Combined Retirement'!$D$32,0)+'Combined Retirement'!$B$24</f>
        <v>2870.372285649099</v>
      </c>
      <c r="G284" s="25">
        <f>'Combined Retirement'!$C$24</f>
        <v>3254.2644699519233</v>
      </c>
      <c r="H284" s="25">
        <f>IF(B284&lt;62,0,'Combined Retirement'!$I$14)</f>
        <v>2345</v>
      </c>
      <c r="I284" s="25">
        <f>IF(C284&lt;62,0,'Combined Retirement'!$I$13)</f>
        <v>2420</v>
      </c>
      <c r="J284" s="25">
        <f t="shared" si="263"/>
        <v>8395.6297298201844</v>
      </c>
      <c r="K284" s="25">
        <f t="shared" si="264"/>
        <v>21655.303514578787</v>
      </c>
      <c r="L284" s="25"/>
      <c r="N284" s="25">
        <f>'Combined Retirement'!$C$18/12</f>
        <v>40940.569999999992</v>
      </c>
      <c r="O284" s="25">
        <f t="shared" si="265"/>
        <v>10889.636755601023</v>
      </c>
      <c r="P284" s="25">
        <f t="shared" si="266"/>
        <v>30050.93324439897</v>
      </c>
      <c r="Q284" s="25">
        <f t="array" aca="1" ref="Q284" ca="1">INDEX('Isaac 401k'!L:L,MATCH('Retirement Calculator'!A284,'Isaac 401k'!N:N,0),0)</f>
        <v>525808.46099179017</v>
      </c>
      <c r="R284" s="25">
        <f t="array" aca="1" ref="R284" ca="1">INDEX('Lorri 401b'!L:L,MATCH('Retirement Calculator'!A284,'Lorri 401b'!N:N,0),0)</f>
        <v>2555768.4902994158</v>
      </c>
      <c r="S284" s="25">
        <f t="shared" ca="1" si="267"/>
        <v>3081576.9512912058</v>
      </c>
    </row>
    <row r="285" spans="1:19" ht="15.75" customHeight="1" x14ac:dyDescent="0.25">
      <c r="A285" s="37">
        <v>59627</v>
      </c>
      <c r="B285" s="398">
        <f t="shared" ref="B285:C285" si="286">($A285-B$9)/365.25</f>
        <v>81.371663244353186</v>
      </c>
      <c r="C285" s="398">
        <f t="shared" si="286"/>
        <v>76.761122518822731</v>
      </c>
      <c r="E285" s="25">
        <f>IF(C285&gt;$B$7,0,'Combined Retirement'!$D$13/12)</f>
        <v>0</v>
      </c>
      <c r="F285" s="25">
        <f>IF(H285=0,'Combined Retirement'!$D$32,0)+'Combined Retirement'!$B$24</f>
        <v>2870.372285649099</v>
      </c>
      <c r="G285" s="25">
        <f>'Combined Retirement'!$C$24</f>
        <v>3254.2644699519233</v>
      </c>
      <c r="H285" s="25">
        <f>IF(B285&lt;62,0,'Combined Retirement'!$I$14)</f>
        <v>2345</v>
      </c>
      <c r="I285" s="25">
        <f>IF(C285&lt;62,0,'Combined Retirement'!$I$13)</f>
        <v>2420</v>
      </c>
      <c r="J285" s="25">
        <f t="shared" si="263"/>
        <v>8395.6297298201844</v>
      </c>
      <c r="K285" s="25">
        <f t="shared" si="264"/>
        <v>21655.303514578787</v>
      </c>
      <c r="L285" s="25"/>
      <c r="N285" s="25">
        <f>'Combined Retirement'!$C$18/12</f>
        <v>40940.569999999992</v>
      </c>
      <c r="O285" s="25">
        <f t="shared" si="265"/>
        <v>10889.636755601023</v>
      </c>
      <c r="P285" s="25">
        <f t="shared" si="266"/>
        <v>30050.93324439897</v>
      </c>
      <c r="Q285" s="25">
        <f t="array" aca="1" ref="Q285" ca="1">INDEX('Isaac 401k'!L:L,MATCH('Retirement Calculator'!A285,'Isaac 401k'!N:N,0),0)</f>
        <v>519568.71805889485</v>
      </c>
      <c r="R285" s="25">
        <f t="array" aca="1" ref="R285" ca="1">INDEX('Lorri 401b'!L:L,MATCH('Retirement Calculator'!A285,'Lorri 401b'!N:N,0),0)</f>
        <v>2544671.9917297736</v>
      </c>
      <c r="S285" s="25">
        <f t="shared" ca="1" si="267"/>
        <v>3064240.7097886684</v>
      </c>
    </row>
    <row r="286" spans="1:19" ht="15.75" customHeight="1" x14ac:dyDescent="0.25">
      <c r="A286" s="37">
        <v>59657</v>
      </c>
      <c r="B286" s="398">
        <f t="shared" ref="B286:C286" si="287">($A286-B$9)/365.25</f>
        <v>81.453798767967143</v>
      </c>
      <c r="C286" s="398">
        <f t="shared" si="287"/>
        <v>76.843258042436688</v>
      </c>
      <c r="E286" s="25">
        <f>IF(C286&gt;$B$7,0,'Combined Retirement'!$D$13/12)</f>
        <v>0</v>
      </c>
      <c r="F286" s="25">
        <f>IF(H286=0,'Combined Retirement'!$D$32,0)+'Combined Retirement'!$B$24</f>
        <v>2870.372285649099</v>
      </c>
      <c r="G286" s="25">
        <f>'Combined Retirement'!$C$24</f>
        <v>3254.2644699519233</v>
      </c>
      <c r="H286" s="25">
        <f>IF(B286&lt;62,0,'Combined Retirement'!$I$14)</f>
        <v>2345</v>
      </c>
      <c r="I286" s="25">
        <f>IF(C286&lt;62,0,'Combined Retirement'!$I$13)</f>
        <v>2420</v>
      </c>
      <c r="J286" s="25">
        <f t="shared" si="263"/>
        <v>8395.6297298201844</v>
      </c>
      <c r="K286" s="25">
        <f t="shared" si="264"/>
        <v>21655.303514578787</v>
      </c>
      <c r="L286" s="25"/>
      <c r="N286" s="25">
        <f>'Combined Retirement'!$C$18/12</f>
        <v>40940.569999999992</v>
      </c>
      <c r="O286" s="25">
        <f t="shared" si="265"/>
        <v>10889.636755601023</v>
      </c>
      <c r="P286" s="25">
        <f t="shared" si="266"/>
        <v>30050.93324439897</v>
      </c>
      <c r="Q286" s="25">
        <f t="array" aca="1" ref="Q286" ca="1">INDEX('Isaac 401k'!L:L,MATCH('Retirement Calculator'!A286,'Isaac 401k'!N:N,0),0)</f>
        <v>513302.97619711247</v>
      </c>
      <c r="R286" s="25">
        <f t="array" aca="1" ref="R286" ca="1">INDEX('Lorri 401b'!L:L,MATCH('Retirement Calculator'!A286,'Lorri 401b'!N:N,0),0)</f>
        <v>2533529.2577494248</v>
      </c>
      <c r="S286" s="25">
        <f t="shared" ca="1" si="267"/>
        <v>3046832.2339465371</v>
      </c>
    </row>
    <row r="287" spans="1:19" ht="15.75" customHeight="1" x14ac:dyDescent="0.25">
      <c r="A287" s="37">
        <v>59688</v>
      </c>
      <c r="B287" s="398">
        <f t="shared" ref="B287:C287" si="288">($A287-B$9)/365.25</f>
        <v>81.538672142368242</v>
      </c>
      <c r="C287" s="398">
        <f t="shared" si="288"/>
        <v>76.928131416837786</v>
      </c>
      <c r="E287" s="25">
        <f>IF(C287&gt;$B$7,0,'Combined Retirement'!$D$13/12)</f>
        <v>0</v>
      </c>
      <c r="F287" s="25">
        <f>IF(H287=0,'Combined Retirement'!$D$32,0)+'Combined Retirement'!$B$24</f>
        <v>2870.372285649099</v>
      </c>
      <c r="G287" s="25">
        <f>'Combined Retirement'!$C$24</f>
        <v>3254.2644699519233</v>
      </c>
      <c r="H287" s="25">
        <f>IF(B287&lt;62,0,'Combined Retirement'!$I$14)</f>
        <v>2345</v>
      </c>
      <c r="I287" s="25">
        <f>IF(C287&lt;62,0,'Combined Retirement'!$I$13)</f>
        <v>2420</v>
      </c>
      <c r="J287" s="25">
        <f t="shared" si="263"/>
        <v>8395.6297298201844</v>
      </c>
      <c r="K287" s="25">
        <f t="shared" si="264"/>
        <v>21655.303514578787</v>
      </c>
      <c r="L287" s="25"/>
      <c r="N287" s="25">
        <f>'Combined Retirement'!$C$18/12</f>
        <v>40940.569999999992</v>
      </c>
      <c r="O287" s="25">
        <f t="shared" si="265"/>
        <v>10889.636755601023</v>
      </c>
      <c r="P287" s="25">
        <f t="shared" si="266"/>
        <v>30050.93324439897</v>
      </c>
      <c r="Q287" s="25">
        <f t="array" aca="1" ref="Q287" ca="1">INDEX('Isaac 401k'!L:L,MATCH('Retirement Calculator'!A287,'Isaac 401k'!N:N,0),0)</f>
        <v>507011.12707757269</v>
      </c>
      <c r="R287" s="25">
        <f t="array" aca="1" ref="R287" ca="1">INDEX('Lorri 401b'!L:L,MATCH('Retirement Calculator'!A287,'Lorri 401b'!N:N,0),0)</f>
        <v>2522340.0957108242</v>
      </c>
      <c r="S287" s="25">
        <f t="shared" ca="1" si="267"/>
        <v>3029351.2227883968</v>
      </c>
    </row>
    <row r="288" spans="1:19" ht="15.75" customHeight="1" x14ac:dyDescent="0.25">
      <c r="A288" s="37">
        <v>59718</v>
      </c>
      <c r="B288" s="398">
        <f t="shared" ref="B288:C288" si="289">($A288-B$9)/365.25</f>
        <v>81.620807665982198</v>
      </c>
      <c r="C288" s="398">
        <f t="shared" si="289"/>
        <v>77.010266940451743</v>
      </c>
      <c r="E288" s="25">
        <f>IF(C288&gt;$B$7,0,'Combined Retirement'!$D$13/12)</f>
        <v>0</v>
      </c>
      <c r="F288" s="25">
        <f>IF(H288=0,'Combined Retirement'!$D$32,0)+'Combined Retirement'!$B$24</f>
        <v>2870.372285649099</v>
      </c>
      <c r="G288" s="25">
        <f>'Combined Retirement'!$C$24</f>
        <v>3254.2644699519233</v>
      </c>
      <c r="H288" s="25">
        <f>IF(B288&lt;62,0,'Combined Retirement'!$I$14)</f>
        <v>2345</v>
      </c>
      <c r="I288" s="25">
        <f>IF(C288&lt;62,0,'Combined Retirement'!$I$13)</f>
        <v>2420</v>
      </c>
      <c r="J288" s="25">
        <f t="shared" si="263"/>
        <v>8395.6297298201844</v>
      </c>
      <c r="K288" s="25">
        <f t="shared" si="264"/>
        <v>21655.303514578787</v>
      </c>
      <c r="L288" s="25"/>
      <c r="N288" s="25">
        <f>'Combined Retirement'!$C$18/12</f>
        <v>40940.569999999992</v>
      </c>
      <c r="O288" s="25">
        <f t="shared" si="265"/>
        <v>10889.636755601023</v>
      </c>
      <c r="P288" s="25">
        <f t="shared" si="266"/>
        <v>30050.93324439897</v>
      </c>
      <c r="Q288" s="25">
        <f t="array" aca="1" ref="Q288" ca="1">INDEX('Isaac 401k'!L:L,MATCH('Retirement Calculator'!A288,'Isaac 401k'!N:N,0),0)</f>
        <v>500693.06192003482</v>
      </c>
      <c r="R288" s="25">
        <f t="array" aca="1" ref="R288" ca="1">INDEX('Lorri 401b'!L:L,MATCH('Retirement Calculator'!A288,'Lorri 401b'!N:N,0),0)</f>
        <v>2511104.3121637297</v>
      </c>
      <c r="S288" s="25">
        <f t="shared" ca="1" si="267"/>
        <v>3011797.3740837644</v>
      </c>
    </row>
    <row r="289" spans="1:19" ht="15.75" customHeight="1" x14ac:dyDescent="0.25">
      <c r="A289" s="37">
        <v>59749</v>
      </c>
      <c r="B289" s="398">
        <f t="shared" ref="B289:C289" si="290">($A289-B$9)/365.25</f>
        <v>81.705681040383297</v>
      </c>
      <c r="C289" s="398">
        <f t="shared" si="290"/>
        <v>77.095140314852841</v>
      </c>
      <c r="E289" s="25">
        <f>IF(C289&gt;$B$7,0,'Combined Retirement'!$D$13/12)</f>
        <v>0</v>
      </c>
      <c r="F289" s="25">
        <f>IF(H289=0,'Combined Retirement'!$D$32,0)+'Combined Retirement'!$B$24</f>
        <v>2870.372285649099</v>
      </c>
      <c r="G289" s="25">
        <f>'Combined Retirement'!$C$24</f>
        <v>3254.2644699519233</v>
      </c>
      <c r="H289" s="25">
        <f>IF(B289&lt;62,0,'Combined Retirement'!$I$14)</f>
        <v>2345</v>
      </c>
      <c r="I289" s="25">
        <f>IF(C289&lt;62,0,'Combined Retirement'!$I$13)</f>
        <v>2420</v>
      </c>
      <c r="J289" s="25">
        <f t="shared" si="263"/>
        <v>8395.6297298201844</v>
      </c>
      <c r="K289" s="25">
        <f t="shared" si="264"/>
        <v>21655.303514578787</v>
      </c>
      <c r="L289" s="25"/>
      <c r="N289" s="25">
        <f>'Combined Retirement'!$C$18/12</f>
        <v>40940.569999999992</v>
      </c>
      <c r="O289" s="25">
        <f t="shared" si="265"/>
        <v>10889.636755601023</v>
      </c>
      <c r="P289" s="25">
        <f t="shared" si="266"/>
        <v>30050.93324439897</v>
      </c>
      <c r="Q289" s="25">
        <f t="array" aca="1" ref="Q289" ca="1">INDEX('Isaac 401k'!L:L,MATCH('Retirement Calculator'!A289,'Isaac 401k'!N:N,0),0)</f>
        <v>494348.6714910072</v>
      </c>
      <c r="R289" s="25">
        <f t="array" aca="1" ref="R289" ca="1">INDEX('Lorri 401b'!L:L,MATCH('Retirement Calculator'!A289,'Lorri 401b'!N:N,0),0)</f>
        <v>2499821.7128518554</v>
      </c>
      <c r="S289" s="25">
        <f t="shared" ca="1" si="267"/>
        <v>2994170.3843428628</v>
      </c>
    </row>
    <row r="290" spans="1:19" ht="15.75" customHeight="1" x14ac:dyDescent="0.25">
      <c r="A290" s="37">
        <v>59780</v>
      </c>
      <c r="B290" s="398">
        <f t="shared" ref="B290:C290" si="291">($A290-B$9)/365.25</f>
        <v>81.790554414784395</v>
      </c>
      <c r="C290" s="398">
        <f t="shared" si="291"/>
        <v>77.18001368925394</v>
      </c>
      <c r="E290" s="25">
        <f>IF(C290&gt;$B$7,0,'Combined Retirement'!$D$13/12)</f>
        <v>0</v>
      </c>
      <c r="F290" s="25">
        <f>IF(H290=0,'Combined Retirement'!$D$32,0)+'Combined Retirement'!$B$24</f>
        <v>2870.372285649099</v>
      </c>
      <c r="G290" s="25">
        <f>'Combined Retirement'!$C$24</f>
        <v>3254.2644699519233</v>
      </c>
      <c r="H290" s="25">
        <f>IF(B290&lt;62,0,'Combined Retirement'!$I$14)</f>
        <v>2345</v>
      </c>
      <c r="I290" s="25">
        <f>IF(C290&lt;62,0,'Combined Retirement'!$I$13)</f>
        <v>2420</v>
      </c>
      <c r="J290" s="25">
        <f t="shared" si="263"/>
        <v>8395.6297298201844</v>
      </c>
      <c r="K290" s="25">
        <f t="shared" si="264"/>
        <v>21655.303514578787</v>
      </c>
      <c r="L290" s="25"/>
      <c r="N290" s="25">
        <f>'Combined Retirement'!$C$18/12</f>
        <v>40940.569999999992</v>
      </c>
      <c r="O290" s="25">
        <f t="shared" si="265"/>
        <v>10889.636755601023</v>
      </c>
      <c r="P290" s="25">
        <f t="shared" si="266"/>
        <v>30050.93324439897</v>
      </c>
      <c r="Q290" s="25">
        <f t="array" aca="1" ref="Q290" ca="1">INDEX('Isaac 401k'!L:L,MATCH('Retirement Calculator'!A290,'Isaac 401k'!N:N,0),0)</f>
        <v>487977.84610185865</v>
      </c>
      <c r="R290" s="25">
        <f t="array" aca="1" ref="R290" ca="1">INDEX('Lorri 401b'!L:L,MATCH('Retirement Calculator'!A290,'Lorri 401b'!N:N,0),0)</f>
        <v>2488492.102709515</v>
      </c>
      <c r="S290" s="25">
        <f t="shared" ca="1" si="267"/>
        <v>2976469.9488113737</v>
      </c>
    </row>
    <row r="291" spans="1:19" ht="15.75" customHeight="1" x14ac:dyDescent="0.25">
      <c r="A291" s="37">
        <v>59810</v>
      </c>
      <c r="B291" s="398">
        <f t="shared" ref="B291:C291" si="292">($A291-B$9)/365.25</f>
        <v>81.872689938398352</v>
      </c>
      <c r="C291" s="398">
        <f t="shared" si="292"/>
        <v>77.262149212867897</v>
      </c>
      <c r="E291" s="25">
        <f>IF(C291&gt;$B$7,0,'Combined Retirement'!$D$13/12)</f>
        <v>0</v>
      </c>
      <c r="F291" s="25">
        <f>IF(H291=0,'Combined Retirement'!$D$32,0)+'Combined Retirement'!$B$24</f>
        <v>2870.372285649099</v>
      </c>
      <c r="G291" s="25">
        <f>'Combined Retirement'!$C$24</f>
        <v>3254.2644699519233</v>
      </c>
      <c r="H291" s="25">
        <f>IF(B291&lt;62,0,'Combined Retirement'!$I$14)</f>
        <v>2345</v>
      </c>
      <c r="I291" s="25">
        <f>IF(C291&lt;62,0,'Combined Retirement'!$I$13)</f>
        <v>2420</v>
      </c>
      <c r="J291" s="25">
        <f t="shared" si="263"/>
        <v>8395.6297298201844</v>
      </c>
      <c r="K291" s="25">
        <f t="shared" si="264"/>
        <v>21655.303514578787</v>
      </c>
      <c r="L291" s="25"/>
      <c r="N291" s="25">
        <f>'Combined Retirement'!$C$18/12</f>
        <v>40940.569999999992</v>
      </c>
      <c r="O291" s="25">
        <f t="shared" si="265"/>
        <v>10889.636755601023</v>
      </c>
      <c r="P291" s="25">
        <f t="shared" si="266"/>
        <v>30050.93324439897</v>
      </c>
      <c r="Q291" s="25">
        <f t="array" aca="1" ref="Q291" ca="1">INDEX('Isaac 401k'!L:L,MATCH('Retirement Calculator'!A291,'Isaac 401k'!N:N,0),0)</f>
        <v>481580.47560692194</v>
      </c>
      <c r="R291" s="25">
        <f t="array" aca="1" ref="R291" ca="1">INDEX('Lorri 401b'!L:L,MATCH('Retirement Calculator'!A291,'Lorri 401b'!N:N,0),0)</f>
        <v>2477115.2858582484</v>
      </c>
      <c r="S291" s="25">
        <f t="shared" ca="1" si="267"/>
        <v>2958695.7614651704</v>
      </c>
    </row>
    <row r="292" spans="1:19" ht="15.75" customHeight="1" x14ac:dyDescent="0.25">
      <c r="A292" s="37">
        <v>59841</v>
      </c>
      <c r="B292" s="398">
        <f t="shared" ref="B292:C292" si="293">($A292-B$9)/365.25</f>
        <v>81.957563312799451</v>
      </c>
      <c r="C292" s="398">
        <f t="shared" si="293"/>
        <v>77.347022587268995</v>
      </c>
      <c r="E292" s="25">
        <f>IF(C292&gt;$B$7,0,'Combined Retirement'!$D$13/12)</f>
        <v>0</v>
      </c>
      <c r="F292" s="25">
        <f>IF(H292=0,'Combined Retirement'!$D$32,0)+'Combined Retirement'!$B$24</f>
        <v>2870.372285649099</v>
      </c>
      <c r="G292" s="25">
        <f>'Combined Retirement'!$C$24</f>
        <v>3254.2644699519233</v>
      </c>
      <c r="H292" s="25">
        <f>IF(B292&lt;62,0,'Combined Retirement'!$I$14)</f>
        <v>2345</v>
      </c>
      <c r="I292" s="25">
        <f>IF(C292&lt;62,0,'Combined Retirement'!$I$13)</f>
        <v>2420</v>
      </c>
      <c r="J292" s="25">
        <f t="shared" si="263"/>
        <v>8395.6297298201844</v>
      </c>
      <c r="K292" s="25">
        <f t="shared" si="264"/>
        <v>21655.303514578787</v>
      </c>
      <c r="L292" s="25"/>
      <c r="N292" s="25">
        <f>'Combined Retirement'!$C$18/12</f>
        <v>40940.569999999992</v>
      </c>
      <c r="O292" s="25">
        <f t="shared" si="265"/>
        <v>10889.636755601023</v>
      </c>
      <c r="P292" s="25">
        <f t="shared" si="266"/>
        <v>30050.93324439897</v>
      </c>
      <c r="Q292" s="25">
        <f t="array" aca="1" ref="Q292" ca="1">INDEX('Isaac 401k'!L:L,MATCH('Retirement Calculator'!A292,'Isaac 401k'!N:N,0),0)</f>
        <v>475156.44940158969</v>
      </c>
      <c r="R292" s="25">
        <f t="array" aca="1" ref="R292" ca="1">INDEX('Lorri 401b'!L:L,MATCH('Retirement Calculator'!A292,'Lorri 401b'!N:N,0),0)</f>
        <v>2465691.0656034346</v>
      </c>
      <c r="S292" s="25">
        <f t="shared" ca="1" si="267"/>
        <v>2940847.5150050242</v>
      </c>
    </row>
    <row r="293" spans="1:19" ht="15.75" customHeight="1" x14ac:dyDescent="0.25">
      <c r="A293" s="37">
        <v>59871</v>
      </c>
      <c r="B293" s="398">
        <f t="shared" ref="B293:C293" si="294">($A293-B$9)/365.25</f>
        <v>82.039698836413422</v>
      </c>
      <c r="C293" s="398">
        <f t="shared" si="294"/>
        <v>77.429158110882952</v>
      </c>
      <c r="E293" s="25">
        <f>IF(C293&gt;$B$7,0,'Combined Retirement'!$D$13/12)</f>
        <v>0</v>
      </c>
      <c r="F293" s="25">
        <f>IF(H293=0,'Combined Retirement'!$D$32,0)+'Combined Retirement'!$B$24</f>
        <v>2870.372285649099</v>
      </c>
      <c r="G293" s="25">
        <f>'Combined Retirement'!$C$24</f>
        <v>3254.2644699519233</v>
      </c>
      <c r="H293" s="25">
        <f>IF(B293&lt;62,0,'Combined Retirement'!$I$14)</f>
        <v>2345</v>
      </c>
      <c r="I293" s="25">
        <f>IF(C293&lt;62,0,'Combined Retirement'!$I$13)</f>
        <v>2420</v>
      </c>
      <c r="J293" s="25">
        <f t="shared" si="263"/>
        <v>8395.6297298201844</v>
      </c>
      <c r="K293" s="25">
        <f t="shared" si="264"/>
        <v>21655.303514578787</v>
      </c>
      <c r="L293" s="25"/>
      <c r="N293" s="25">
        <f>'Combined Retirement'!$C$18/12</f>
        <v>40940.569999999992</v>
      </c>
      <c r="O293" s="25">
        <f t="shared" si="265"/>
        <v>10889.636755601023</v>
      </c>
      <c r="P293" s="25">
        <f t="shared" si="266"/>
        <v>30050.93324439897</v>
      </c>
      <c r="Q293" s="25">
        <f t="array" aca="1" ref="Q293" ca="1">INDEX('Isaac 401k'!L:L,MATCH('Retirement Calculator'!A293,'Isaac 401k'!N:N,0),0)</f>
        <v>468705.65642040188</v>
      </c>
      <c r="R293" s="25">
        <f t="array" aca="1" ref="R293" ca="1">INDEX('Lorri 401b'!L:L,MATCH('Retirement Calculator'!A293,'Lorri 401b'!N:N,0),0)</f>
        <v>2454219.2444308926</v>
      </c>
      <c r="S293" s="25">
        <f t="shared" ca="1" si="267"/>
        <v>2922924.9008512944</v>
      </c>
    </row>
    <row r="294" spans="1:19" ht="15.75" customHeight="1" x14ac:dyDescent="0.25">
      <c r="A294" s="37">
        <v>59902</v>
      </c>
      <c r="B294" s="398">
        <f t="shared" ref="B294:C294" si="295">($A294-B$9)/365.25</f>
        <v>82.124572210814506</v>
      </c>
      <c r="C294" s="398">
        <f t="shared" si="295"/>
        <v>77.51403148528405</v>
      </c>
      <c r="E294" s="25">
        <f>IF(C294&gt;$B$7,0,'Combined Retirement'!$D$13/12)</f>
        <v>0</v>
      </c>
      <c r="F294" s="25">
        <f>IF(H294=0,'Combined Retirement'!$D$32,0)+'Combined Retirement'!$B$24</f>
        <v>2870.372285649099</v>
      </c>
      <c r="G294" s="25">
        <f>'Combined Retirement'!$C$24</f>
        <v>3254.2644699519233</v>
      </c>
      <c r="H294" s="25">
        <f>IF(B294&lt;62,0,'Combined Retirement'!$I$14)</f>
        <v>2345</v>
      </c>
      <c r="I294" s="25">
        <f>IF(C294&lt;62,0,'Combined Retirement'!$I$13)</f>
        <v>2420</v>
      </c>
      <c r="J294" s="25">
        <f t="shared" si="263"/>
        <v>8395.6297298201844</v>
      </c>
      <c r="K294" s="25">
        <f t="shared" si="264"/>
        <v>21655.303514578787</v>
      </c>
      <c r="L294" s="25"/>
      <c r="N294" s="25">
        <f>'Combined Retirement'!$C$18/12</f>
        <v>40940.569999999992</v>
      </c>
      <c r="O294" s="25">
        <f t="shared" si="265"/>
        <v>10889.636755601023</v>
      </c>
      <c r="P294" s="25">
        <f t="shared" si="266"/>
        <v>30050.93324439897</v>
      </c>
      <c r="Q294" s="25">
        <f t="array" aca="1" ref="Q294" ca="1">INDEX('Isaac 401k'!L:L,MATCH('Retirement Calculator'!A294,'Isaac 401k'!N:N,0),0)</f>
        <v>462227.98513512581</v>
      </c>
      <c r="R294" s="25">
        <f t="array" aca="1" ref="R294" ca="1">INDEX('Lorri 401b'!L:L,MATCH('Retirement Calculator'!A294,'Lorri 401b'!N:N,0),0)</f>
        <v>2442699.6240034653</v>
      </c>
      <c r="S294" s="25">
        <f t="shared" ca="1" si="267"/>
        <v>2904927.6091385912</v>
      </c>
    </row>
    <row r="295" spans="1:19" ht="15.75" customHeight="1" x14ac:dyDescent="0.25">
      <c r="A295" s="37">
        <v>59933</v>
      </c>
      <c r="B295" s="398">
        <f t="shared" ref="B295:C295" si="296">($A295-B$9)/365.25</f>
        <v>82.209445585215605</v>
      </c>
      <c r="C295" s="398">
        <f t="shared" si="296"/>
        <v>77.598904859685149</v>
      </c>
      <c r="E295" s="25">
        <f>IF(C295&gt;$B$7,0,'Combined Retirement'!$D$13/12)</f>
        <v>0</v>
      </c>
      <c r="F295" s="25">
        <f>IF(H295=0,'Combined Retirement'!$D$32,0)+'Combined Retirement'!$B$24</f>
        <v>2870.372285649099</v>
      </c>
      <c r="G295" s="25">
        <f>'Combined Retirement'!$C$24</f>
        <v>3254.2644699519233</v>
      </c>
      <c r="H295" s="25">
        <f>IF(B295&lt;62,0,'Combined Retirement'!$I$14)</f>
        <v>2345</v>
      </c>
      <c r="I295" s="25">
        <f>IF(C295&lt;62,0,'Combined Retirement'!$I$13)</f>
        <v>2420</v>
      </c>
      <c r="J295" s="25">
        <f t="shared" si="263"/>
        <v>8395.6297298201844</v>
      </c>
      <c r="K295" s="25">
        <f t="shared" si="264"/>
        <v>21655.303514578787</v>
      </c>
      <c r="L295" s="25"/>
      <c r="N295" s="25">
        <f>'Combined Retirement'!$C$18/12</f>
        <v>40940.569999999992</v>
      </c>
      <c r="O295" s="25">
        <f t="shared" si="265"/>
        <v>10889.636755601023</v>
      </c>
      <c r="P295" s="25">
        <f t="shared" si="266"/>
        <v>30050.93324439897</v>
      </c>
      <c r="Q295" s="25">
        <f t="array" aca="1" ref="Q295" ca="1">INDEX('Isaac 401k'!L:L,MATCH('Retirement Calculator'!A295,'Isaac 401k'!N:N,0),0)</f>
        <v>455723.32355282776</v>
      </c>
      <c r="R295" s="25">
        <f t="array" aca="1" ref="R295" ca="1">INDEX('Lorri 401b'!L:L,MATCH('Retirement Calculator'!A295,'Lorri 401b'!N:N,0),0)</f>
        <v>2431132.0051575899</v>
      </c>
      <c r="S295" s="25">
        <f t="shared" ca="1" si="267"/>
        <v>2886855.3287104177</v>
      </c>
    </row>
    <row r="296" spans="1:19" ht="15.75" customHeight="1" x14ac:dyDescent="0.25">
      <c r="A296" s="37">
        <v>59962</v>
      </c>
      <c r="B296" s="398">
        <f t="shared" ref="B296:C296" si="297">($A296-B$9)/365.25</f>
        <v>82.288843258042434</v>
      </c>
      <c r="C296" s="398">
        <f t="shared" si="297"/>
        <v>77.678302532511978</v>
      </c>
      <c r="E296" s="25">
        <f>IF(C296&gt;$B$7,0,'Combined Retirement'!$D$13/12)</f>
        <v>0</v>
      </c>
      <c r="F296" s="25">
        <f>IF(H296=0,'Combined Retirement'!$D$32,0)+'Combined Retirement'!$B$24</f>
        <v>2870.372285649099</v>
      </c>
      <c r="G296" s="25">
        <f>'Combined Retirement'!$C$24</f>
        <v>3254.2644699519233</v>
      </c>
      <c r="H296" s="25">
        <f>IF(B296&lt;62,0,'Combined Retirement'!$I$14)</f>
        <v>2345</v>
      </c>
      <c r="I296" s="25">
        <f>IF(C296&lt;62,0,'Combined Retirement'!$I$13)</f>
        <v>2420</v>
      </c>
      <c r="J296" s="25">
        <f t="shared" si="263"/>
        <v>8395.6297298201844</v>
      </c>
      <c r="K296" s="25">
        <f t="shared" si="264"/>
        <v>21655.303514578787</v>
      </c>
      <c r="L296" s="25"/>
      <c r="N296" s="25">
        <f>'Combined Retirement'!$C$18/12</f>
        <v>40940.569999999992</v>
      </c>
      <c r="O296" s="25">
        <f t="shared" si="265"/>
        <v>10889.636755601023</v>
      </c>
      <c r="P296" s="25">
        <f t="shared" si="266"/>
        <v>30050.93324439897</v>
      </c>
      <c r="Q296" s="25">
        <f t="array" aca="1" ref="Q296" ca="1">INDEX('Isaac 401k'!L:L,MATCH('Retirement Calculator'!A296,'Isaac 401k'!N:N,0),0)</f>
        <v>449191.55921393679</v>
      </c>
      <c r="R296" s="25">
        <f t="array" aca="1" ref="R296" ca="1">INDEX('Lorri 401b'!L:L,MATCH('Retirement Calculator'!A296,'Lorri 401b'!N:N,0),0)</f>
        <v>2419516.1878998568</v>
      </c>
      <c r="S296" s="25">
        <f t="shared" ca="1" si="267"/>
        <v>2868707.7471137936</v>
      </c>
    </row>
    <row r="297" spans="1:19" ht="15.75" customHeight="1" x14ac:dyDescent="0.25">
      <c r="A297" s="37">
        <v>59993</v>
      </c>
      <c r="B297" s="398">
        <f t="shared" ref="B297:C297" si="298">($A297-B$9)/365.25</f>
        <v>82.373716632443532</v>
      </c>
      <c r="C297" s="398">
        <f t="shared" si="298"/>
        <v>77.763175906913077</v>
      </c>
      <c r="E297" s="25">
        <f>IF(C297&gt;$B$7,0,'Combined Retirement'!$D$13/12)</f>
        <v>0</v>
      </c>
      <c r="F297" s="25">
        <f>IF(H297=0,'Combined Retirement'!$D$32,0)+'Combined Retirement'!$B$24</f>
        <v>2870.372285649099</v>
      </c>
      <c r="G297" s="25">
        <f>'Combined Retirement'!$C$24</f>
        <v>3254.2644699519233</v>
      </c>
      <c r="H297" s="25">
        <f>IF(B297&lt;62,0,'Combined Retirement'!$I$14)</f>
        <v>2345</v>
      </c>
      <c r="I297" s="25">
        <f>IF(C297&lt;62,0,'Combined Retirement'!$I$13)</f>
        <v>2420</v>
      </c>
      <c r="J297" s="25">
        <f t="shared" si="263"/>
        <v>8395.6297298201844</v>
      </c>
      <c r="K297" s="25">
        <f t="shared" si="264"/>
        <v>21655.303514578787</v>
      </c>
      <c r="L297" s="25"/>
      <c r="N297" s="25">
        <f>'Combined Retirement'!$C$18/12</f>
        <v>40940.569999999992</v>
      </c>
      <c r="O297" s="25">
        <f t="shared" si="265"/>
        <v>10889.636755601023</v>
      </c>
      <c r="P297" s="25">
        <f t="shared" si="266"/>
        <v>30050.93324439897</v>
      </c>
      <c r="Q297" s="25">
        <f t="array" aca="1" ref="Q297" ca="1">INDEX('Isaac 401k'!L:L,MATCH('Retirement Calculator'!A297,'Isaac 401k'!N:N,0),0)</f>
        <v>442632.57919030043</v>
      </c>
      <c r="R297" s="25">
        <f t="array" aca="1" ref="R297" ca="1">INDEX('Lorri 401b'!L:L,MATCH('Retirement Calculator'!A297,'Lorri 401b'!N:N,0),0)</f>
        <v>2407851.9714035499</v>
      </c>
      <c r="S297" s="25">
        <f t="shared" ca="1" si="267"/>
        <v>2850484.5505938502</v>
      </c>
    </row>
    <row r="298" spans="1:19" ht="15.75" customHeight="1" x14ac:dyDescent="0.25">
      <c r="A298" s="37">
        <v>60023</v>
      </c>
      <c r="B298" s="398">
        <f t="shared" ref="B298:C298" si="299">($A298-B$9)/365.25</f>
        <v>82.455852156057489</v>
      </c>
      <c r="C298" s="398">
        <f t="shared" si="299"/>
        <v>77.845311430527033</v>
      </c>
      <c r="E298" s="25">
        <f>IF(C298&gt;$B$7,0,'Combined Retirement'!$D$13/12)</f>
        <v>0</v>
      </c>
      <c r="F298" s="25">
        <f>IF(H298=0,'Combined Retirement'!$D$32,0)+'Combined Retirement'!$B$24</f>
        <v>2870.372285649099</v>
      </c>
      <c r="G298" s="25">
        <f>'Combined Retirement'!$C$24</f>
        <v>3254.2644699519233</v>
      </c>
      <c r="H298" s="25">
        <f>IF(B298&lt;62,0,'Combined Retirement'!$I$14)</f>
        <v>2345</v>
      </c>
      <c r="I298" s="25">
        <f>IF(C298&lt;62,0,'Combined Retirement'!$I$13)</f>
        <v>2420</v>
      </c>
      <c r="J298" s="25">
        <f t="shared" si="263"/>
        <v>8395.6297298201844</v>
      </c>
      <c r="K298" s="25">
        <f t="shared" si="264"/>
        <v>21655.303514578787</v>
      </c>
      <c r="L298" s="25"/>
      <c r="N298" s="25">
        <f>'Combined Retirement'!$C$18/12</f>
        <v>40940.569999999992</v>
      </c>
      <c r="O298" s="25">
        <f t="shared" si="265"/>
        <v>10889.636755601023</v>
      </c>
      <c r="P298" s="25">
        <f t="shared" si="266"/>
        <v>30050.93324439897</v>
      </c>
      <c r="Q298" s="25">
        <f t="array" aca="1" ref="Q298" ca="1">INDEX('Isaac 401k'!L:L,MATCH('Retirement Calculator'!A298,'Isaac 401k'!N:N,0),0)</f>
        <v>436046.27008323226</v>
      </c>
      <c r="R298" s="25">
        <f t="array" aca="1" ref="R298" ca="1">INDEX('Lorri 401b'!L:L,MATCH('Retirement Calculator'!A298,'Lorri 401b'!N:N,0),0)</f>
        <v>2396139.154005175</v>
      </c>
      <c r="S298" s="25">
        <f t="shared" ca="1" si="267"/>
        <v>2832185.4240884073</v>
      </c>
    </row>
    <row r="299" spans="1:19" ht="15.75" customHeight="1" x14ac:dyDescent="0.25">
      <c r="A299" s="37">
        <v>60054</v>
      </c>
      <c r="B299" s="398">
        <f t="shared" ref="B299:C299" si="300">($A299-B$9)/365.25</f>
        <v>82.540725530458587</v>
      </c>
      <c r="C299" s="398">
        <f t="shared" si="300"/>
        <v>77.930184804928132</v>
      </c>
      <c r="E299" s="25">
        <f>IF(C299&gt;$B$7,0,'Combined Retirement'!$D$13/12)</f>
        <v>0</v>
      </c>
      <c r="F299" s="25">
        <f>IF(H299=0,'Combined Retirement'!$D$32,0)+'Combined Retirement'!$B$24</f>
        <v>2870.372285649099</v>
      </c>
      <c r="G299" s="25">
        <f>'Combined Retirement'!$C$24</f>
        <v>3254.2644699519233</v>
      </c>
      <c r="H299" s="25">
        <f>IF(B299&lt;62,0,'Combined Retirement'!$I$14)</f>
        <v>2345</v>
      </c>
      <c r="I299" s="25">
        <f>IF(C299&lt;62,0,'Combined Retirement'!$I$13)</f>
        <v>2420</v>
      </c>
      <c r="J299" s="25">
        <f t="shared" si="263"/>
        <v>8395.6297298201844</v>
      </c>
      <c r="K299" s="25">
        <f t="shared" si="264"/>
        <v>21655.303514578787</v>
      </c>
      <c r="L299" s="25"/>
      <c r="N299" s="25">
        <f>'Combined Retirement'!$C$18/12</f>
        <v>40940.569999999992</v>
      </c>
      <c r="O299" s="25">
        <f t="shared" si="265"/>
        <v>10889.636755601023</v>
      </c>
      <c r="P299" s="25">
        <f t="shared" si="266"/>
        <v>30050.93324439897</v>
      </c>
      <c r="Q299" s="25">
        <f t="array" aca="1" ref="Q299" ca="1">INDEX('Isaac 401k'!L:L,MATCH('Retirement Calculator'!A299,'Isaac 401k'!N:N,0),0)</f>
        <v>429432.51802155131</v>
      </c>
      <c r="R299" s="25">
        <f t="array" aca="1" ref="R299" ca="1">INDEX('Lorri 401b'!L:L,MATCH('Retirement Calculator'!A299,'Lorri 401b'!N:N,0),0)</f>
        <v>2384377.5332009736</v>
      </c>
      <c r="S299" s="25">
        <f t="shared" ca="1" si="267"/>
        <v>2813810.0512225251</v>
      </c>
    </row>
    <row r="300" spans="1:19" ht="15.75" customHeight="1" x14ac:dyDescent="0.25">
      <c r="A300" s="37">
        <v>60084</v>
      </c>
      <c r="B300" s="398">
        <f t="shared" ref="B300:C300" si="301">($A300-B$9)/365.25</f>
        <v>82.622861054072558</v>
      </c>
      <c r="C300" s="398">
        <f t="shared" si="301"/>
        <v>78.012320328542089</v>
      </c>
      <c r="E300" s="25">
        <f>IF(C300&gt;$B$7,0,'Combined Retirement'!$D$13/12)</f>
        <v>0</v>
      </c>
      <c r="F300" s="25">
        <f>IF(H300=0,'Combined Retirement'!$D$32,0)+'Combined Retirement'!$B$24</f>
        <v>2870.372285649099</v>
      </c>
      <c r="G300" s="25">
        <f>'Combined Retirement'!$C$24</f>
        <v>3254.2644699519233</v>
      </c>
      <c r="H300" s="25">
        <f>IF(B300&lt;62,0,'Combined Retirement'!$I$14)</f>
        <v>2345</v>
      </c>
      <c r="I300" s="25">
        <f>IF(C300&lt;62,0,'Combined Retirement'!$I$13)</f>
        <v>2420</v>
      </c>
      <c r="J300" s="25">
        <f t="shared" si="263"/>
        <v>8395.6297298201844</v>
      </c>
      <c r="K300" s="25">
        <f t="shared" si="264"/>
        <v>21655.303514578787</v>
      </c>
      <c r="L300" s="25"/>
      <c r="N300" s="25">
        <f>'Combined Retirement'!$C$18/12</f>
        <v>40940.569999999992</v>
      </c>
      <c r="O300" s="25">
        <f t="shared" si="265"/>
        <v>10889.636755601023</v>
      </c>
      <c r="P300" s="25">
        <f t="shared" si="266"/>
        <v>30050.93324439897</v>
      </c>
      <c r="Q300" s="25">
        <f t="array" aca="1" ref="Q300" ca="1">INDEX('Isaac 401k'!L:L,MATCH('Retirement Calculator'!A300,'Isaac 401k'!N:N,0),0)</f>
        <v>422791.20865961333</v>
      </c>
      <c r="R300" s="25">
        <f t="array" aca="1" ref="R300" ca="1">INDEX('Lorri 401b'!L:L,MATCH('Retirement Calculator'!A300,'Lorri 401b'!N:N,0),0)</f>
        <v>2372566.9056434212</v>
      </c>
      <c r="S300" s="25">
        <f t="shared" ca="1" si="267"/>
        <v>2795358.1143030347</v>
      </c>
    </row>
    <row r="301" spans="1:19" ht="15.75" customHeight="1" x14ac:dyDescent="0.25">
      <c r="A301" s="37">
        <v>60115</v>
      </c>
      <c r="B301" s="398">
        <f t="shared" ref="B301:C301" si="302">($A301-B$9)/365.25</f>
        <v>82.707734428473643</v>
      </c>
      <c r="C301" s="398">
        <f t="shared" si="302"/>
        <v>78.097193702943187</v>
      </c>
      <c r="E301" s="25">
        <f>IF(C301&gt;$B$7,0,'Combined Retirement'!$D$13/12)</f>
        <v>0</v>
      </c>
      <c r="F301" s="25">
        <f>IF(H301=0,'Combined Retirement'!$D$32,0)+'Combined Retirement'!$B$24</f>
        <v>2870.372285649099</v>
      </c>
      <c r="G301" s="25">
        <f>'Combined Retirement'!$C$24</f>
        <v>3254.2644699519233</v>
      </c>
      <c r="H301" s="25">
        <f>IF(B301&lt;62,0,'Combined Retirement'!$I$14)</f>
        <v>2345</v>
      </c>
      <c r="I301" s="25">
        <f>IF(C301&lt;62,0,'Combined Retirement'!$I$13)</f>
        <v>2420</v>
      </c>
      <c r="J301" s="25">
        <f t="shared" si="263"/>
        <v>8395.6297298201844</v>
      </c>
      <c r="K301" s="25">
        <f t="shared" si="264"/>
        <v>21655.303514578787</v>
      </c>
      <c r="L301" s="25"/>
      <c r="N301" s="25">
        <f>'Combined Retirement'!$C$18/12</f>
        <v>40940.569999999992</v>
      </c>
      <c r="O301" s="25">
        <f t="shared" si="265"/>
        <v>10889.636755601023</v>
      </c>
      <c r="P301" s="25">
        <f t="shared" si="266"/>
        <v>30050.93324439897</v>
      </c>
      <c r="Q301" s="25">
        <f t="array" aca="1" ref="Q301" ca="1">INDEX('Isaac 401k'!L:L,MATCH('Retirement Calculator'!A301,'Isaac 401k'!N:N,0),0)</f>
        <v>416122.22717533394</v>
      </c>
      <c r="R301" s="25">
        <f t="array" aca="1" ref="R301" ca="1">INDEX('Lorri 401b'!L:L,MATCH('Retirement Calculator'!A301,'Lorri 401b'!N:N,0),0)</f>
        <v>2360707.0671377126</v>
      </c>
      <c r="S301" s="25">
        <f t="shared" ca="1" si="267"/>
        <v>2776829.2943130466</v>
      </c>
    </row>
    <row r="302" spans="1:19" ht="15.75" customHeight="1" x14ac:dyDescent="0.25">
      <c r="A302" s="37">
        <v>60146</v>
      </c>
      <c r="B302" s="398">
        <f t="shared" ref="B302:C302" si="303">($A302-B$9)/365.25</f>
        <v>82.792607802874741</v>
      </c>
      <c r="C302" s="398">
        <f t="shared" si="303"/>
        <v>78.182067077344286</v>
      </c>
      <c r="E302" s="25">
        <f>IF(C302&gt;$B$7,0,'Combined Retirement'!$D$13/12)</f>
        <v>0</v>
      </c>
      <c r="F302" s="25">
        <f>IF(H302=0,'Combined Retirement'!$D$32,0)+'Combined Retirement'!$B$24</f>
        <v>2870.372285649099</v>
      </c>
      <c r="G302" s="25">
        <f>'Combined Retirement'!$C$24</f>
        <v>3254.2644699519233</v>
      </c>
      <c r="H302" s="25">
        <f>IF(B302&lt;62,0,'Combined Retirement'!$I$14)</f>
        <v>2345</v>
      </c>
      <c r="I302" s="25">
        <f>IF(C302&lt;62,0,'Combined Retirement'!$I$13)</f>
        <v>2420</v>
      </c>
      <c r="J302" s="25">
        <f t="shared" si="263"/>
        <v>8395.6297298201844</v>
      </c>
      <c r="K302" s="25">
        <f t="shared" si="264"/>
        <v>21655.303514578787</v>
      </c>
      <c r="L302" s="25"/>
      <c r="N302" s="25">
        <f>'Combined Retirement'!$C$18/12</f>
        <v>40940.569999999992</v>
      </c>
      <c r="O302" s="25">
        <f t="shared" si="265"/>
        <v>10889.636755601023</v>
      </c>
      <c r="P302" s="25">
        <f t="shared" si="266"/>
        <v>30050.93324439897</v>
      </c>
      <c r="Q302" s="25">
        <f t="array" aca="1" ref="Q302" ca="1">INDEX('Isaac 401k'!L:L,MATCH('Retirement Calculator'!A302,'Isaac 401k'!N:N,0),0)</f>
        <v>409425.45826820342</v>
      </c>
      <c r="R302" s="25">
        <f t="array" aca="1" ref="R302" ca="1">INDEX('Lorri 401b'!L:L,MATCH('Retirement Calculator'!A302,'Lorri 401b'!N:N,0),0)</f>
        <v>2348797.8126382302</v>
      </c>
      <c r="S302" s="25">
        <f t="shared" ca="1" si="267"/>
        <v>2758223.2709064335</v>
      </c>
    </row>
    <row r="303" spans="1:19" ht="15.75" customHeight="1" x14ac:dyDescent="0.25">
      <c r="A303" s="37">
        <v>60176</v>
      </c>
      <c r="B303" s="398">
        <f t="shared" ref="B303:C303" si="304">($A303-B$9)/365.25</f>
        <v>82.874743326488712</v>
      </c>
      <c r="C303" s="398">
        <f t="shared" si="304"/>
        <v>78.264202600958242</v>
      </c>
      <c r="E303" s="25">
        <f>IF(C303&gt;$B$7,0,'Combined Retirement'!$D$13/12)</f>
        <v>0</v>
      </c>
      <c r="F303" s="25">
        <f>IF(H303=0,'Combined Retirement'!$D$32,0)+'Combined Retirement'!$B$24</f>
        <v>2870.372285649099</v>
      </c>
      <c r="G303" s="25">
        <f>'Combined Retirement'!$C$24</f>
        <v>3254.2644699519233</v>
      </c>
      <c r="H303" s="25">
        <f>IF(B303&lt;62,0,'Combined Retirement'!$I$14)</f>
        <v>2345</v>
      </c>
      <c r="I303" s="25">
        <f>IF(C303&lt;62,0,'Combined Retirement'!$I$13)</f>
        <v>2420</v>
      </c>
      <c r="J303" s="25">
        <f t="shared" si="263"/>
        <v>8395.6297298201844</v>
      </c>
      <c r="K303" s="25">
        <f t="shared" si="264"/>
        <v>21655.303514578787</v>
      </c>
      <c r="L303" s="25"/>
      <c r="N303" s="25">
        <f>'Combined Retirement'!$C$18/12</f>
        <v>40940.569999999992</v>
      </c>
      <c r="O303" s="25">
        <f t="shared" si="265"/>
        <v>10889.636755601023</v>
      </c>
      <c r="P303" s="25">
        <f t="shared" si="266"/>
        <v>30050.93324439897</v>
      </c>
      <c r="Q303" s="25">
        <f t="array" aca="1" ref="Q303" ca="1">INDEX('Isaac 401k'!L:L,MATCH('Retirement Calculator'!A303,'Isaac 401k'!N:N,0),0)</f>
        <v>402700.78615729319</v>
      </c>
      <c r="R303" s="25">
        <f t="array" aca="1" ref="R303" ca="1">INDEX('Lorri 401b'!L:L,MATCH('Retirement Calculator'!A303,'Lorri 401b'!N:N,0),0)</f>
        <v>2336838.936245</v>
      </c>
      <c r="S303" s="25">
        <f t="shared" ca="1" si="267"/>
        <v>2739539.7224022932</v>
      </c>
    </row>
    <row r="304" spans="1:19" ht="15.75" customHeight="1" x14ac:dyDescent="0.25">
      <c r="A304" s="37">
        <v>60207</v>
      </c>
      <c r="B304" s="398">
        <f t="shared" ref="B304:C304" si="305">($A304-B$9)/365.25</f>
        <v>82.959616700889796</v>
      </c>
      <c r="C304" s="398">
        <f t="shared" si="305"/>
        <v>78.349075975359341</v>
      </c>
      <c r="E304" s="25">
        <f>IF(C304&gt;$B$7,0,'Combined Retirement'!$D$13/12)</f>
        <v>0</v>
      </c>
      <c r="F304" s="25">
        <f>IF(H304=0,'Combined Retirement'!$D$32,0)+'Combined Retirement'!$B$24</f>
        <v>2870.372285649099</v>
      </c>
      <c r="G304" s="25">
        <f>'Combined Retirement'!$C$24</f>
        <v>3254.2644699519233</v>
      </c>
      <c r="H304" s="25">
        <f>IF(B304&lt;62,0,'Combined Retirement'!$I$14)</f>
        <v>2345</v>
      </c>
      <c r="I304" s="25">
        <f>IF(C304&lt;62,0,'Combined Retirement'!$I$13)</f>
        <v>2420</v>
      </c>
      <c r="J304" s="25">
        <f t="shared" si="263"/>
        <v>8395.6297298201844</v>
      </c>
      <c r="K304" s="25">
        <f t="shared" si="264"/>
        <v>21655.303514578787</v>
      </c>
      <c r="L304" s="25"/>
      <c r="N304" s="25">
        <f>'Combined Retirement'!$C$18/12</f>
        <v>40940.569999999992</v>
      </c>
      <c r="O304" s="25">
        <f t="shared" si="265"/>
        <v>10889.636755601023</v>
      </c>
      <c r="P304" s="25">
        <f t="shared" si="266"/>
        <v>30050.93324439897</v>
      </c>
      <c r="Q304" s="25">
        <f t="array" aca="1" ref="Q304" ca="1">INDEX('Isaac 401k'!L:L,MATCH('Retirement Calculator'!A304,'Isaac 401k'!N:N,0),0)</f>
        <v>395948.09457925416</v>
      </c>
      <c r="R304" s="25">
        <f t="array" aca="1" ref="R304" ca="1">INDEX('Lorri 401b'!L:L,MATCH('Retirement Calculator'!A304,'Lorri 401b'!N:N,0),0)</f>
        <v>2324830.2312001311</v>
      </c>
      <c r="S304" s="25">
        <f t="shared" ca="1" si="267"/>
        <v>2720778.3257793854</v>
      </c>
    </row>
    <row r="305" spans="1:19" ht="15.75" customHeight="1" x14ac:dyDescent="0.25">
      <c r="A305" s="37">
        <v>60237</v>
      </c>
      <c r="B305" s="398">
        <f t="shared" ref="B305:C305" si="306">($A305-B$9)/365.25</f>
        <v>83.041752224503767</v>
      </c>
      <c r="C305" s="398">
        <f t="shared" si="306"/>
        <v>78.431211498973312</v>
      </c>
      <c r="E305" s="25">
        <f>IF(C305&gt;$B$7,0,'Combined Retirement'!$D$13/12)</f>
        <v>0</v>
      </c>
      <c r="F305" s="25">
        <f>IF(H305=0,'Combined Retirement'!$D$32,0)+'Combined Retirement'!$B$24</f>
        <v>2870.372285649099</v>
      </c>
      <c r="G305" s="25">
        <f>'Combined Retirement'!$C$24</f>
        <v>3254.2644699519233</v>
      </c>
      <c r="H305" s="25">
        <f>IF(B305&lt;62,0,'Combined Retirement'!$I$14)</f>
        <v>2345</v>
      </c>
      <c r="I305" s="25">
        <f>IF(C305&lt;62,0,'Combined Retirement'!$I$13)</f>
        <v>2420</v>
      </c>
      <c r="J305" s="25">
        <f t="shared" si="263"/>
        <v>8395.6297298201844</v>
      </c>
      <c r="K305" s="25">
        <f t="shared" si="264"/>
        <v>21655.303514578787</v>
      </c>
      <c r="L305" s="25"/>
      <c r="N305" s="25">
        <f>'Combined Retirement'!$C$18/12</f>
        <v>40940.569999999992</v>
      </c>
      <c r="O305" s="25">
        <f t="shared" si="265"/>
        <v>10889.636755601023</v>
      </c>
      <c r="P305" s="25">
        <f t="shared" si="266"/>
        <v>30050.93324439897</v>
      </c>
      <c r="Q305" s="25">
        <f t="array" aca="1" ref="Q305" ca="1">INDEX('Isaac 401k'!L:L,MATCH('Retirement Calculator'!A305,'Isaac 401k'!N:N,0),0)</f>
        <v>389167.26678630663</v>
      </c>
      <c r="R305" s="25">
        <f t="array" aca="1" ref="R305" ca="1">INDEX('Lorri 401b'!L:L,MATCH('Retirement Calculator'!A305,'Lorri 401b'!N:N,0),0)</f>
        <v>2312771.4898842419</v>
      </c>
      <c r="S305" s="25">
        <f t="shared" ca="1" si="267"/>
        <v>2701938.7566705486</v>
      </c>
    </row>
    <row r="306" spans="1:19" ht="15.75" customHeight="1" x14ac:dyDescent="0.25">
      <c r="A306" s="37">
        <v>60268</v>
      </c>
      <c r="B306" s="398">
        <f t="shared" ref="B306:C306" si="307">($A306-B$9)/365.25</f>
        <v>83.126625598904866</v>
      </c>
      <c r="C306" s="398">
        <f t="shared" si="307"/>
        <v>78.516084873374396</v>
      </c>
      <c r="E306" s="25">
        <f>IF(C306&gt;$B$7,0,'Combined Retirement'!$D$13/12)</f>
        <v>0</v>
      </c>
      <c r="F306" s="25">
        <f>IF(H306=0,'Combined Retirement'!$D$32,0)+'Combined Retirement'!$B$24</f>
        <v>2870.372285649099</v>
      </c>
      <c r="G306" s="25">
        <f>'Combined Retirement'!$C$24</f>
        <v>3254.2644699519233</v>
      </c>
      <c r="H306" s="25">
        <f>IF(B306&lt;62,0,'Combined Retirement'!$I$14)</f>
        <v>2345</v>
      </c>
      <c r="I306" s="25">
        <f>IF(C306&lt;62,0,'Combined Retirement'!$I$13)</f>
        <v>2420</v>
      </c>
      <c r="J306" s="25">
        <f t="shared" si="263"/>
        <v>8395.6297298201844</v>
      </c>
      <c r="K306" s="25">
        <f t="shared" si="264"/>
        <v>21655.303514578787</v>
      </c>
      <c r="L306" s="25"/>
      <c r="N306" s="25">
        <f>'Combined Retirement'!$C$18/12</f>
        <v>40940.569999999992</v>
      </c>
      <c r="O306" s="25">
        <f t="shared" si="265"/>
        <v>10889.636755601023</v>
      </c>
      <c r="P306" s="25">
        <f t="shared" si="266"/>
        <v>30050.93324439897</v>
      </c>
      <c r="Q306" s="25">
        <f t="array" aca="1" ref="Q306" ca="1">INDEX('Isaac 401k'!L:L,MATCH('Retirement Calculator'!A306,'Isaac 401k'!N:N,0),0)</f>
        <v>382358.18554422184</v>
      </c>
      <c r="R306" s="25">
        <f t="array" aca="1" ref="R306" ca="1">INDEX('Lorri 401b'!L:L,MATCH('Retirement Calculator'!A306,'Lorri 401b'!N:N,0),0)</f>
        <v>2300662.50381287</v>
      </c>
      <c r="S306" s="25">
        <f t="shared" ca="1" si="267"/>
        <v>2683020.6893570917</v>
      </c>
    </row>
    <row r="307" spans="1:19" ht="15.75" customHeight="1" x14ac:dyDescent="0.25">
      <c r="A307" s="37">
        <v>60299</v>
      </c>
      <c r="B307" s="398">
        <f t="shared" ref="B307:C307" si="308">($A307-B$9)/365.25</f>
        <v>83.21149897330595</v>
      </c>
      <c r="C307" s="398">
        <f t="shared" si="308"/>
        <v>78.600958247775495</v>
      </c>
      <c r="E307" s="25">
        <f>IF(C307&gt;$B$7,0,'Combined Retirement'!$D$13/12)</f>
        <v>0</v>
      </c>
      <c r="F307" s="25">
        <f>IF(H307=0,'Combined Retirement'!$D$32,0)+'Combined Retirement'!$B$24</f>
        <v>2870.372285649099</v>
      </c>
      <c r="G307" s="25">
        <f>'Combined Retirement'!$C$24</f>
        <v>3254.2644699519233</v>
      </c>
      <c r="H307" s="25">
        <f>IF(B307&lt;62,0,'Combined Retirement'!$I$14)</f>
        <v>2345</v>
      </c>
      <c r="I307" s="25">
        <f>IF(C307&lt;62,0,'Combined Retirement'!$I$13)</f>
        <v>2420</v>
      </c>
      <c r="J307" s="25">
        <f t="shared" si="263"/>
        <v>8395.6297298201844</v>
      </c>
      <c r="K307" s="25">
        <f t="shared" si="264"/>
        <v>21655.303514578787</v>
      </c>
      <c r="L307" s="25"/>
      <c r="N307" s="25">
        <f>'Combined Retirement'!$C$18/12</f>
        <v>40940.569999999992</v>
      </c>
      <c r="O307" s="25">
        <f t="shared" si="265"/>
        <v>10889.636755601023</v>
      </c>
      <c r="P307" s="25">
        <f t="shared" si="266"/>
        <v>30050.93324439897</v>
      </c>
      <c r="Q307" s="25">
        <f t="array" aca="1" ref="Q307" ca="1">INDEX('Isaac 401k'!L:L,MATCH('Retirement Calculator'!A307,'Isaac 401k'!N:N,0),0)</f>
        <v>375520.733130295</v>
      </c>
      <c r="R307" s="25">
        <f t="array" aca="1" ref="R307" ca="1">INDEX('Lorri 401b'!L:L,MATCH('Retirement Calculator'!A307,'Lorri 401b'!N:N,0),0)</f>
        <v>2288503.0636328673</v>
      </c>
      <c r="S307" s="25">
        <f t="shared" ca="1" si="267"/>
        <v>2664023.7967631621</v>
      </c>
    </row>
    <row r="308" spans="1:19" ht="15.75" customHeight="1" x14ac:dyDescent="0.25">
      <c r="A308" s="37">
        <v>60327</v>
      </c>
      <c r="B308" s="398">
        <f t="shared" ref="B308:C308" si="309">($A308-B$9)/365.25</f>
        <v>83.288158795345652</v>
      </c>
      <c r="C308" s="398">
        <f t="shared" si="309"/>
        <v>78.677618069815196</v>
      </c>
      <c r="E308" s="25">
        <f>IF(C308&gt;$B$7,0,'Combined Retirement'!$D$13/12)</f>
        <v>0</v>
      </c>
      <c r="F308" s="25">
        <f>IF(H308=0,'Combined Retirement'!$D$32,0)+'Combined Retirement'!$B$24</f>
        <v>2870.372285649099</v>
      </c>
      <c r="G308" s="25">
        <f>'Combined Retirement'!$C$24</f>
        <v>3254.2644699519233</v>
      </c>
      <c r="H308" s="25">
        <f>IF(B308&lt;62,0,'Combined Retirement'!$I$14)</f>
        <v>2345</v>
      </c>
      <c r="I308" s="25">
        <f>IF(C308&lt;62,0,'Combined Retirement'!$I$13)</f>
        <v>2420</v>
      </c>
      <c r="J308" s="25">
        <f t="shared" si="263"/>
        <v>8395.6297298201844</v>
      </c>
      <c r="K308" s="25">
        <f t="shared" si="264"/>
        <v>21655.303514578787</v>
      </c>
      <c r="L308" s="25"/>
      <c r="N308" s="25">
        <f>'Combined Retirement'!$C$18/12</f>
        <v>40940.569999999992</v>
      </c>
      <c r="O308" s="25">
        <f t="shared" si="265"/>
        <v>10889.636755601023</v>
      </c>
      <c r="P308" s="25">
        <f t="shared" si="266"/>
        <v>30050.93324439897</v>
      </c>
      <c r="Q308" s="25">
        <f t="array" aca="1" ref="Q308" ca="1">INDEX('Isaac 401k'!L:L,MATCH('Retirement Calculator'!A308,'Isaac 401k'!N:N,0),0)</f>
        <v>368654.79133131012</v>
      </c>
      <c r="R308" s="25">
        <f t="array" aca="1" ref="R308" ca="1">INDEX('Lorri 401b'!L:L,MATCH('Retirement Calculator'!A308,'Lorri 401b'!N:N,0),0)</f>
        <v>2276292.9591187811</v>
      </c>
      <c r="S308" s="25">
        <f t="shared" ca="1" si="267"/>
        <v>2644947.7504500914</v>
      </c>
    </row>
    <row r="309" spans="1:19" ht="15.75" customHeight="1" x14ac:dyDescent="0.25">
      <c r="A309" s="37">
        <v>60358</v>
      </c>
      <c r="B309" s="398">
        <f t="shared" ref="B309:C309" si="310">($A309-B$9)/365.25</f>
        <v>83.37303216974675</v>
      </c>
      <c r="C309" s="398">
        <f t="shared" si="310"/>
        <v>78.762491444216295</v>
      </c>
      <c r="E309" s="25">
        <f>IF(C309&gt;$B$7,0,'Combined Retirement'!$D$13/12)</f>
        <v>0</v>
      </c>
      <c r="F309" s="25">
        <f>IF(H309=0,'Combined Retirement'!$D$32,0)+'Combined Retirement'!$B$24</f>
        <v>2870.372285649099</v>
      </c>
      <c r="G309" s="25">
        <f>'Combined Retirement'!$C$24</f>
        <v>3254.2644699519233</v>
      </c>
      <c r="H309" s="25">
        <f>IF(B309&lt;62,0,'Combined Retirement'!$I$14)</f>
        <v>2345</v>
      </c>
      <c r="I309" s="25">
        <f>IF(C309&lt;62,0,'Combined Retirement'!$I$13)</f>
        <v>2420</v>
      </c>
      <c r="J309" s="25">
        <f t="shared" si="263"/>
        <v>8395.6297298201844</v>
      </c>
      <c r="K309" s="25">
        <f t="shared" si="264"/>
        <v>21655.303514578787</v>
      </c>
      <c r="L309" s="25"/>
      <c r="N309" s="25">
        <f>'Combined Retirement'!$C$18/12</f>
        <v>40940.569999999992</v>
      </c>
      <c r="O309" s="25">
        <f t="shared" si="265"/>
        <v>10889.636755601023</v>
      </c>
      <c r="P309" s="25">
        <f t="shared" si="266"/>
        <v>30050.93324439897</v>
      </c>
      <c r="Q309" s="25">
        <f t="array" aca="1" ref="Q309" ca="1">INDEX('Isaac 401k'!L:L,MATCH('Retirement Calculator'!A309,'Isaac 401k'!N:N,0),0)</f>
        <v>361760.24144149612</v>
      </c>
      <c r="R309" s="25">
        <f t="array" aca="1" ref="R309" ca="1">INDEX('Lorri 401b'!L:L,MATCH('Retirement Calculator'!A309,'Lorri 401b'!N:N,0),0)</f>
        <v>2264031.9791692197</v>
      </c>
      <c r="S309" s="25">
        <f t="shared" ca="1" si="267"/>
        <v>2625792.2206107159</v>
      </c>
    </row>
    <row r="310" spans="1:19" ht="15.75" customHeight="1" x14ac:dyDescent="0.25">
      <c r="A310" s="37">
        <v>60388</v>
      </c>
      <c r="B310" s="398">
        <f t="shared" ref="B310:C310" si="311">($A310-B$9)/365.25</f>
        <v>83.455167693360707</v>
      </c>
      <c r="C310" s="398">
        <f t="shared" si="311"/>
        <v>78.844626967830251</v>
      </c>
      <c r="E310" s="25">
        <f>IF(C310&gt;$B$7,0,'Combined Retirement'!$D$13/12)</f>
        <v>0</v>
      </c>
      <c r="F310" s="25">
        <f>IF(H310=0,'Combined Retirement'!$D$32,0)+'Combined Retirement'!$B$24</f>
        <v>2870.372285649099</v>
      </c>
      <c r="G310" s="25">
        <f>'Combined Retirement'!$C$24</f>
        <v>3254.2644699519233</v>
      </c>
      <c r="H310" s="25">
        <f>IF(B310&lt;62,0,'Combined Retirement'!$I$14)</f>
        <v>2345</v>
      </c>
      <c r="I310" s="25">
        <f>IF(C310&lt;62,0,'Combined Retirement'!$I$13)</f>
        <v>2420</v>
      </c>
      <c r="J310" s="25">
        <f t="shared" si="263"/>
        <v>8395.6297298201844</v>
      </c>
      <c r="K310" s="25">
        <f t="shared" si="264"/>
        <v>21655.303514578787</v>
      </c>
      <c r="L310" s="25"/>
      <c r="N310" s="25">
        <f>'Combined Retirement'!$C$18/12</f>
        <v>40940.569999999992</v>
      </c>
      <c r="O310" s="25">
        <f t="shared" si="265"/>
        <v>10889.636755601023</v>
      </c>
      <c r="P310" s="25">
        <f t="shared" si="266"/>
        <v>30050.93324439897</v>
      </c>
      <c r="Q310" s="25">
        <f t="array" aca="1" ref="Q310" ca="1">INDEX('Isaac 401k'!L:L,MATCH('Retirement Calculator'!A310,'Isaac 401k'!N:N,0),0)</f>
        <v>354836.9642604746</v>
      </c>
      <c r="R310" s="25">
        <f t="array" aca="1" ref="R310" ca="1">INDEX('Lorri 401b'!L:L,MATCH('Retirement Calculator'!A310,'Lorri 401b'!N:N,0),0)</f>
        <v>2251719.9118032018</v>
      </c>
      <c r="S310" s="25">
        <f t="shared" ca="1" si="267"/>
        <v>2606556.8760636766</v>
      </c>
    </row>
    <row r="311" spans="1:19" ht="15.75" customHeight="1" x14ac:dyDescent="0.25">
      <c r="A311" s="37">
        <v>60419</v>
      </c>
      <c r="B311" s="398">
        <f t="shared" ref="B311:C311" si="312">($A311-B$9)/365.25</f>
        <v>83.540041067761805</v>
      </c>
      <c r="C311" s="398">
        <f t="shared" si="312"/>
        <v>78.92950034223135</v>
      </c>
      <c r="E311" s="25">
        <f>IF(C311&gt;$B$7,0,'Combined Retirement'!$D$13/12)</f>
        <v>0</v>
      </c>
      <c r="F311" s="25">
        <f>IF(H311=0,'Combined Retirement'!$D$32,0)+'Combined Retirement'!$B$24</f>
        <v>2870.372285649099</v>
      </c>
      <c r="G311" s="25">
        <f>'Combined Retirement'!$C$24</f>
        <v>3254.2644699519233</v>
      </c>
      <c r="H311" s="25">
        <f>IF(B311&lt;62,0,'Combined Retirement'!$I$14)</f>
        <v>2345</v>
      </c>
      <c r="I311" s="25">
        <f>IF(C311&lt;62,0,'Combined Retirement'!$I$13)</f>
        <v>2420</v>
      </c>
      <c r="J311" s="25">
        <f t="shared" si="263"/>
        <v>8395.6297298201844</v>
      </c>
      <c r="K311" s="25">
        <f t="shared" si="264"/>
        <v>21655.303514578787</v>
      </c>
      <c r="L311" s="25"/>
      <c r="N311" s="25">
        <f>'Combined Retirement'!$C$18/12</f>
        <v>40940.569999999992</v>
      </c>
      <c r="O311" s="25">
        <f t="shared" si="265"/>
        <v>10889.636755601023</v>
      </c>
      <c r="P311" s="25">
        <f t="shared" si="266"/>
        <v>30050.93324439897</v>
      </c>
      <c r="Q311" s="25">
        <f t="array" aca="1" ref="Q311" ca="1">INDEX('Isaac 401k'!L:L,MATCH('Retirement Calculator'!A311,'Isaac 401k'!N:N,0),0)</f>
        <v>347884.8400911988</v>
      </c>
      <c r="R311" s="25">
        <f t="array" aca="1" ref="R311" ca="1">INDEX('Lorri 401b'!L:L,MATCH('Retirement Calculator'!A311,'Lorri 401b'!N:N,0),0)</f>
        <v>2239356.5441564922</v>
      </c>
      <c r="S311" s="25">
        <f t="shared" ca="1" si="267"/>
        <v>2587241.3842476909</v>
      </c>
    </row>
    <row r="312" spans="1:19" ht="15.75" customHeight="1" x14ac:dyDescent="0.25">
      <c r="A312" s="37">
        <v>60449</v>
      </c>
      <c r="B312" s="398">
        <f t="shared" ref="B312:C312" si="313">($A312-B$9)/365.25</f>
        <v>83.622176591375776</v>
      </c>
      <c r="C312" s="398">
        <f t="shared" si="313"/>
        <v>79.011635865845307</v>
      </c>
      <c r="E312" s="25">
        <f>IF(C312&gt;$B$7,0,'Combined Retirement'!$D$13/12)</f>
        <v>0</v>
      </c>
      <c r="F312" s="25">
        <f>IF(H312=0,'Combined Retirement'!$D$32,0)+'Combined Retirement'!$B$24</f>
        <v>2870.372285649099</v>
      </c>
      <c r="G312" s="25">
        <f>'Combined Retirement'!$C$24</f>
        <v>3254.2644699519233</v>
      </c>
      <c r="H312" s="25">
        <f>IF(B312&lt;62,0,'Combined Retirement'!$I$14)</f>
        <v>2345</v>
      </c>
      <c r="I312" s="25">
        <f>IF(C312&lt;62,0,'Combined Retirement'!$I$13)</f>
        <v>2420</v>
      </c>
      <c r="J312" s="25">
        <f t="shared" si="263"/>
        <v>8395.6297298201844</v>
      </c>
      <c r="K312" s="25">
        <f t="shared" si="264"/>
        <v>21655.303514578787</v>
      </c>
      <c r="L312" s="25"/>
      <c r="N312" s="25">
        <f>'Combined Retirement'!$C$18/12</f>
        <v>40940.569999999992</v>
      </c>
      <c r="O312" s="25">
        <f t="shared" si="265"/>
        <v>10889.636755601023</v>
      </c>
      <c r="P312" s="25">
        <f t="shared" si="266"/>
        <v>30050.93324439897</v>
      </c>
      <c r="Q312" s="25">
        <f t="array" aca="1" ref="Q312" ca="1">INDEX('Isaac 401k'!L:L,MATCH('Retirement Calculator'!A312,'Isaac 401k'!N:N,0),0)</f>
        <v>340903.74873788434</v>
      </c>
      <c r="R312" s="25">
        <f t="array" aca="1" ref="R312" ca="1">INDEX('Lorri 401b'!L:L,MATCH('Retirement Calculator'!A312,'Lorri 401b'!N:N,0),0)</f>
        <v>2226941.6624779212</v>
      </c>
      <c r="S312" s="25">
        <f t="shared" ca="1" si="267"/>
        <v>2567845.4112158054</v>
      </c>
    </row>
    <row r="313" spans="1:19" ht="15.75" customHeight="1" x14ac:dyDescent="0.25">
      <c r="A313" s="37">
        <v>60480</v>
      </c>
      <c r="B313" s="398">
        <f t="shared" ref="B313:C313" si="314">($A313-B$9)/365.25</f>
        <v>83.707049965776861</v>
      </c>
      <c r="C313" s="398">
        <f t="shared" si="314"/>
        <v>79.096509240246405</v>
      </c>
      <c r="E313" s="25">
        <f>IF(C313&gt;$B$7,0,'Combined Retirement'!$D$13/12)</f>
        <v>0</v>
      </c>
      <c r="F313" s="25">
        <f>IF(H313=0,'Combined Retirement'!$D$32,0)+'Combined Retirement'!$B$24</f>
        <v>2870.372285649099</v>
      </c>
      <c r="G313" s="25">
        <f>'Combined Retirement'!$C$24</f>
        <v>3254.2644699519233</v>
      </c>
      <c r="H313" s="25">
        <f>IF(B313&lt;62,0,'Combined Retirement'!$I$14)</f>
        <v>2345</v>
      </c>
      <c r="I313" s="25">
        <f>IF(C313&lt;62,0,'Combined Retirement'!$I$13)</f>
        <v>2420</v>
      </c>
      <c r="J313" s="25">
        <f t="shared" si="263"/>
        <v>8395.6297298201844</v>
      </c>
      <c r="K313" s="25">
        <f t="shared" si="264"/>
        <v>21655.303514578787</v>
      </c>
      <c r="L313" s="25"/>
      <c r="N313" s="25">
        <f>'Combined Retirement'!$C$18/12</f>
        <v>40940.569999999992</v>
      </c>
      <c r="O313" s="25">
        <f t="shared" si="265"/>
        <v>10889.636755601023</v>
      </c>
      <c r="P313" s="25">
        <f t="shared" si="266"/>
        <v>30050.93324439897</v>
      </c>
      <c r="Q313" s="25">
        <f t="array" aca="1" ref="Q313" ca="1">INDEX('Isaac 401k'!L:L,MATCH('Retirement Calculator'!A313,'Isaac 401k'!N:N,0),0)</f>
        <v>333893.5695039311</v>
      </c>
      <c r="R313" s="25">
        <f t="array" aca="1" ref="R313" ca="1">INDEX('Lorri 401b'!L:L,MATCH('Retirement Calculator'!A313,'Lorri 401b'!N:N,0),0)</f>
        <v>2214475.0521256896</v>
      </c>
      <c r="S313" s="25">
        <f t="shared" ca="1" si="267"/>
        <v>2548368.6216296209</v>
      </c>
    </row>
    <row r="314" spans="1:19" ht="15.75" customHeight="1" x14ac:dyDescent="0.25">
      <c r="A314" s="37">
        <v>60511</v>
      </c>
      <c r="B314" s="398">
        <f t="shared" ref="B314:C314" si="315">($A314-B$9)/365.25</f>
        <v>83.791923340177959</v>
      </c>
      <c r="C314" s="398">
        <f t="shared" si="315"/>
        <v>79.181382614647504</v>
      </c>
      <c r="E314" s="25">
        <f>IF(C314&gt;$B$7,0,'Combined Retirement'!$D$13/12)</f>
        <v>0</v>
      </c>
      <c r="F314" s="25">
        <f>IF(H314=0,'Combined Retirement'!$D$32,0)+'Combined Retirement'!$B$24</f>
        <v>2870.372285649099</v>
      </c>
      <c r="G314" s="25">
        <f>'Combined Retirement'!$C$24</f>
        <v>3254.2644699519233</v>
      </c>
      <c r="H314" s="25">
        <f>IF(B314&lt;62,0,'Combined Retirement'!$I$14)</f>
        <v>2345</v>
      </c>
      <c r="I314" s="25">
        <f>IF(C314&lt;62,0,'Combined Retirement'!$I$13)</f>
        <v>2420</v>
      </c>
      <c r="J314" s="25">
        <f t="shared" si="263"/>
        <v>8395.6297298201844</v>
      </c>
      <c r="K314" s="25">
        <f t="shared" si="264"/>
        <v>21655.303514578787</v>
      </c>
      <c r="L314" s="25"/>
      <c r="N314" s="25">
        <f>'Combined Retirement'!$C$18/12</f>
        <v>40940.569999999992</v>
      </c>
      <c r="O314" s="25">
        <f t="shared" si="265"/>
        <v>10889.636755601023</v>
      </c>
      <c r="P314" s="25">
        <f t="shared" si="266"/>
        <v>30050.93324439897</v>
      </c>
      <c r="Q314" s="25">
        <f t="array" aca="1" ref="Q314" ca="1">INDEX('Isaac 401k'!L:L,MATCH('Retirement Calculator'!A314,'Isaac 401k'!N:N,0),0)</f>
        <v>326854.18118983635</v>
      </c>
      <c r="R314" s="25">
        <f t="array" aca="1" ref="R314" ca="1">INDEX('Lorri 401b'!L:L,MATCH('Retirement Calculator'!A314,'Lorri 401b'!N:N,0),0)</f>
        <v>2201956.4975636569</v>
      </c>
      <c r="S314" s="25">
        <f t="shared" ca="1" si="267"/>
        <v>2528810.6787534934</v>
      </c>
    </row>
    <row r="315" spans="1:19" ht="15.75" customHeight="1" x14ac:dyDescent="0.25">
      <c r="A315" s="37">
        <v>60541</v>
      </c>
      <c r="B315" s="398">
        <f t="shared" ref="B315:C315" si="316">($A315-B$9)/365.25</f>
        <v>83.87405886379193</v>
      </c>
      <c r="C315" s="398">
        <f t="shared" si="316"/>
        <v>79.26351813826146</v>
      </c>
      <c r="E315" s="25">
        <f>IF(C315&gt;$B$7,0,'Combined Retirement'!$D$13/12)</f>
        <v>0</v>
      </c>
      <c r="F315" s="25">
        <f>IF(H315=0,'Combined Retirement'!$D$32,0)+'Combined Retirement'!$B$24</f>
        <v>2870.372285649099</v>
      </c>
      <c r="G315" s="25">
        <f>'Combined Retirement'!$C$24</f>
        <v>3254.2644699519233</v>
      </c>
      <c r="H315" s="25">
        <f>IF(B315&lt;62,0,'Combined Retirement'!$I$14)</f>
        <v>2345</v>
      </c>
      <c r="I315" s="25">
        <f>IF(C315&lt;62,0,'Combined Retirement'!$I$13)</f>
        <v>2420</v>
      </c>
      <c r="J315" s="25">
        <f t="shared" si="263"/>
        <v>8395.6297298201844</v>
      </c>
      <c r="K315" s="25">
        <f t="shared" si="264"/>
        <v>21655.303514578787</v>
      </c>
      <c r="L315" s="25"/>
      <c r="N315" s="25">
        <f>'Combined Retirement'!$C$18/12</f>
        <v>40940.569999999992</v>
      </c>
      <c r="O315" s="25">
        <f t="shared" si="265"/>
        <v>10889.636755601023</v>
      </c>
      <c r="P315" s="25">
        <f t="shared" si="266"/>
        <v>30050.93324439897</v>
      </c>
      <c r="Q315" s="25">
        <f t="array" aca="1" ref="Q315" ca="1">INDEX('Isaac 401k'!L:L,MATCH('Retirement Calculator'!A315,'Isaac 401k'!N:N,0),0)</f>
        <v>319785.46209109959</v>
      </c>
      <c r="R315" s="25">
        <f t="array" aca="1" ref="R315" ca="1">INDEX('Lorri 401b'!L:L,MATCH('Retirement Calculator'!A315,'Lorri 401b'!N:N,0),0)</f>
        <v>2189385.7823576159</v>
      </c>
      <c r="S315" s="25">
        <f t="shared" ca="1" si="267"/>
        <v>2509171.2444487154</v>
      </c>
    </row>
    <row r="316" spans="1:19" ht="15.75" customHeight="1" x14ac:dyDescent="0.25">
      <c r="A316" s="37">
        <v>60572</v>
      </c>
      <c r="B316" s="398">
        <f t="shared" ref="B316:C316" si="317">($A316-B$9)/365.25</f>
        <v>83.958932238193015</v>
      </c>
      <c r="C316" s="398">
        <f t="shared" si="317"/>
        <v>79.348391512662559</v>
      </c>
      <c r="E316" s="25">
        <f>IF(C316&gt;$B$7,0,'Combined Retirement'!$D$13/12)</f>
        <v>0</v>
      </c>
      <c r="F316" s="25">
        <f>IF(H316=0,'Combined Retirement'!$D$32,0)+'Combined Retirement'!$B$24</f>
        <v>2870.372285649099</v>
      </c>
      <c r="G316" s="25">
        <f>'Combined Retirement'!$C$24</f>
        <v>3254.2644699519233</v>
      </c>
      <c r="H316" s="25">
        <f>IF(B316&lt;62,0,'Combined Retirement'!$I$14)</f>
        <v>2345</v>
      </c>
      <c r="I316" s="25">
        <f>IF(C316&lt;62,0,'Combined Retirement'!$I$13)</f>
        <v>2420</v>
      </c>
      <c r="J316" s="25">
        <f t="shared" si="263"/>
        <v>8395.6297298201844</v>
      </c>
      <c r="K316" s="25">
        <f t="shared" si="264"/>
        <v>21655.303514578787</v>
      </c>
      <c r="L316" s="25"/>
      <c r="N316" s="25">
        <f>'Combined Retirement'!$C$18/12</f>
        <v>40940.569999999992</v>
      </c>
      <c r="O316" s="25">
        <f t="shared" si="265"/>
        <v>10889.636755601023</v>
      </c>
      <c r="P316" s="25">
        <f t="shared" si="266"/>
        <v>30050.93324439897</v>
      </c>
      <c r="Q316" s="25">
        <f t="array" aca="1" ref="Q316" ca="1">INDEX('Isaac 401k'!L:L,MATCH('Retirement Calculator'!A316,'Isaac 401k'!N:N,0),0)</f>
        <v>312687.28999611805</v>
      </c>
      <c r="R316" s="25">
        <f t="array" aca="1" ref="R316" ca="1">INDEX('Lorri 401b'!L:L,MATCH('Retirement Calculator'!A316,'Lorri 401b'!N:N,0),0)</f>
        <v>2176762.6891715499</v>
      </c>
      <c r="S316" s="25">
        <f t="shared" ca="1" si="267"/>
        <v>2489449.9791676681</v>
      </c>
    </row>
    <row r="317" spans="1:19" ht="15.75" customHeight="1" x14ac:dyDescent="0.25">
      <c r="A317" s="37">
        <v>60602</v>
      </c>
      <c r="B317" s="398">
        <f t="shared" ref="B317:C317" si="318">($A317-B$9)/365.25</f>
        <v>84.041067761806985</v>
      </c>
      <c r="C317" s="398">
        <f t="shared" si="318"/>
        <v>79.43052703627653</v>
      </c>
      <c r="E317" s="25">
        <f>IF(C317&gt;$B$7,0,'Combined Retirement'!$D$13/12)</f>
        <v>0</v>
      </c>
      <c r="F317" s="25">
        <f>IF(H317=0,'Combined Retirement'!$D$32,0)+'Combined Retirement'!$B$24</f>
        <v>2870.372285649099</v>
      </c>
      <c r="G317" s="25">
        <f>'Combined Retirement'!$C$24</f>
        <v>3254.2644699519233</v>
      </c>
      <c r="H317" s="25">
        <f>IF(B317&lt;62,0,'Combined Retirement'!$I$14)</f>
        <v>2345</v>
      </c>
      <c r="I317" s="25">
        <f>IF(C317&lt;62,0,'Combined Retirement'!$I$13)</f>
        <v>2420</v>
      </c>
      <c r="J317" s="25">
        <f t="shared" si="263"/>
        <v>8395.6297298201844</v>
      </c>
      <c r="K317" s="25">
        <f t="shared" si="264"/>
        <v>21655.303514578787</v>
      </c>
      <c r="L317" s="25"/>
      <c r="N317" s="25">
        <f>'Combined Retirement'!$C$18/12</f>
        <v>40940.569999999992</v>
      </c>
      <c r="O317" s="25">
        <f t="shared" si="265"/>
        <v>10889.636755601023</v>
      </c>
      <c r="P317" s="25">
        <f t="shared" si="266"/>
        <v>30050.93324439897</v>
      </c>
      <c r="Q317" s="25">
        <f t="array" aca="1" ref="Q317" ca="1">INDEX('Isaac 401k'!L:L,MATCH('Retirement Calculator'!A317,'Isaac 401k'!N:N,0),0)</f>
        <v>305559.54218407412</v>
      </c>
      <c r="R317" s="25">
        <f t="array" aca="1" ref="R317" ca="1">INDEX('Lorri 401b'!L:L,MATCH('Retirement Calculator'!A317,'Lorri 401b'!N:N,0),0)</f>
        <v>2164086.9997638753</v>
      </c>
      <c r="S317" s="25">
        <f t="shared" ca="1" si="267"/>
        <v>2469646.5419479492</v>
      </c>
    </row>
    <row r="318" spans="1:19" ht="15.75" customHeight="1" x14ac:dyDescent="0.25">
      <c r="A318" s="37">
        <v>60633</v>
      </c>
      <c r="B318" s="398">
        <f t="shared" ref="B318:C318" si="319">($A318-B$9)/365.25</f>
        <v>84.12594113620807</v>
      </c>
      <c r="C318" s="398">
        <f t="shared" si="319"/>
        <v>79.515400410677614</v>
      </c>
      <c r="E318" s="25">
        <f>IF(C318&gt;$B$7,0,'Combined Retirement'!$D$13/12)</f>
        <v>0</v>
      </c>
      <c r="F318" s="25">
        <f>IF(H318=0,'Combined Retirement'!$D$32,0)+'Combined Retirement'!$B$24</f>
        <v>2870.372285649099</v>
      </c>
      <c r="G318" s="25">
        <f>'Combined Retirement'!$C$24</f>
        <v>3254.2644699519233</v>
      </c>
      <c r="H318" s="25">
        <f>IF(B318&lt;62,0,'Combined Retirement'!$I$14)</f>
        <v>2345</v>
      </c>
      <c r="I318" s="25">
        <f>IF(C318&lt;62,0,'Combined Retirement'!$I$13)</f>
        <v>2420</v>
      </c>
      <c r="J318" s="25">
        <f t="shared" si="263"/>
        <v>8395.6297298201844</v>
      </c>
      <c r="K318" s="25">
        <f t="shared" si="264"/>
        <v>21655.303514578787</v>
      </c>
      <c r="L318" s="25"/>
      <c r="N318" s="25">
        <f>'Combined Retirement'!$C$18/12</f>
        <v>40940.569999999992</v>
      </c>
      <c r="O318" s="25">
        <f t="shared" si="265"/>
        <v>10889.636755601023</v>
      </c>
      <c r="P318" s="25">
        <f t="shared" si="266"/>
        <v>30050.93324439897</v>
      </c>
      <c r="Q318" s="25">
        <f t="array" aca="1" ref="Q318" ca="1">INDEX('Isaac 401k'!L:L,MATCH('Retirement Calculator'!A318,'Isaac 401k'!N:N,0),0)</f>
        <v>298402.09542281332</v>
      </c>
      <c r="R318" s="25">
        <f t="array" aca="1" ref="R318" ca="1">INDEX('Lorri 401b'!L:L,MATCH('Retirement Calculator'!A318,'Lorri 401b'!N:N,0),0)</f>
        <v>2151358.4949836684</v>
      </c>
      <c r="S318" s="25">
        <f t="shared" ca="1" si="267"/>
        <v>2449760.5904064816</v>
      </c>
    </row>
    <row r="319" spans="1:19" ht="15.75" customHeight="1" x14ac:dyDescent="0.25">
      <c r="A319" s="37">
        <v>60664</v>
      </c>
      <c r="B319" s="398">
        <f t="shared" ref="B319:C319" si="320">($A319-B$9)/365.25</f>
        <v>84.210814510609168</v>
      </c>
      <c r="C319" s="398">
        <f t="shared" si="320"/>
        <v>79.600273785078713</v>
      </c>
      <c r="E319" s="25">
        <f>IF(C319&gt;$B$7,0,'Combined Retirement'!$D$13/12)</f>
        <v>0</v>
      </c>
      <c r="F319" s="25">
        <f>IF(H319=0,'Combined Retirement'!$D$32,0)+'Combined Retirement'!$B$24</f>
        <v>2870.372285649099</v>
      </c>
      <c r="G319" s="25">
        <f>'Combined Retirement'!$C$24</f>
        <v>3254.2644699519233</v>
      </c>
      <c r="H319" s="25">
        <f>IF(B319&lt;62,0,'Combined Retirement'!$I$14)</f>
        <v>2345</v>
      </c>
      <c r="I319" s="25">
        <f>IF(C319&lt;62,0,'Combined Retirement'!$I$13)</f>
        <v>2420</v>
      </c>
      <c r="J319" s="25">
        <f t="shared" si="263"/>
        <v>8395.6297298201844</v>
      </c>
      <c r="K319" s="25">
        <f t="shared" si="264"/>
        <v>21655.303514578787</v>
      </c>
      <c r="L319" s="25"/>
      <c r="N319" s="25">
        <f>'Combined Retirement'!$C$18/12</f>
        <v>40940.569999999992</v>
      </c>
      <c r="O319" s="25">
        <f t="shared" si="265"/>
        <v>10889.636755601023</v>
      </c>
      <c r="P319" s="25">
        <f t="shared" si="266"/>
        <v>30050.93324439897</v>
      </c>
      <c r="Q319" s="25">
        <f t="array" aca="1" ref="Q319" ca="1">INDEX('Isaac 401k'!L:L,MATCH('Retirement Calculator'!A319,'Isaac 401k'!N:N,0),0)</f>
        <v>291214.82596671395</v>
      </c>
      <c r="R319" s="25">
        <f t="array" aca="1" ref="R319" ca="1">INDEX('Lorri 401b'!L:L,MATCH('Retirement Calculator'!A319,'Lorri 401b'!N:N,0),0)</f>
        <v>2138576.9547668775</v>
      </c>
      <c r="S319" s="25">
        <f t="shared" ca="1" si="267"/>
        <v>2429791.7807335914</v>
      </c>
    </row>
    <row r="320" spans="1:19" ht="15.75" customHeight="1" x14ac:dyDescent="0.25">
      <c r="A320" s="37">
        <v>60692</v>
      </c>
      <c r="B320" s="398">
        <f t="shared" ref="B320:C320" si="321">($A320-B$9)/365.25</f>
        <v>84.28747433264887</v>
      </c>
      <c r="C320" s="398">
        <f t="shared" si="321"/>
        <v>79.676933607118414</v>
      </c>
      <c r="E320" s="25">
        <f>IF(C320&gt;$B$7,0,'Combined Retirement'!$D$13/12)</f>
        <v>0</v>
      </c>
      <c r="F320" s="25">
        <f>IF(H320=0,'Combined Retirement'!$D$32,0)+'Combined Retirement'!$B$24</f>
        <v>2870.372285649099</v>
      </c>
      <c r="G320" s="25">
        <f>'Combined Retirement'!$C$24</f>
        <v>3254.2644699519233</v>
      </c>
      <c r="H320" s="25">
        <f>IF(B320&lt;62,0,'Combined Retirement'!$I$14)</f>
        <v>2345</v>
      </c>
      <c r="I320" s="25">
        <f>IF(C320&lt;62,0,'Combined Retirement'!$I$13)</f>
        <v>2420</v>
      </c>
      <c r="J320" s="25">
        <f t="shared" si="263"/>
        <v>8395.6297298201844</v>
      </c>
      <c r="K320" s="25">
        <f t="shared" si="264"/>
        <v>21655.303514578787</v>
      </c>
      <c r="L320" s="25"/>
      <c r="N320" s="25">
        <f>'Combined Retirement'!$C$18/12</f>
        <v>40940.569999999992</v>
      </c>
      <c r="O320" s="25">
        <f t="shared" si="265"/>
        <v>10889.636755601023</v>
      </c>
      <c r="P320" s="25">
        <f t="shared" si="266"/>
        <v>30050.93324439897</v>
      </c>
      <c r="Q320" s="25">
        <f t="array" aca="1" ref="Q320" ca="1">INDEX('Isaac 401k'!L:L,MATCH('Retirement Calculator'!A320,'Isaac 401k'!N:N,0),0)</f>
        <v>283997.60955454747</v>
      </c>
      <c r="R320" s="25">
        <f t="array" aca="1" ref="R320" ca="1">INDEX('Lorri 401b'!L:L,MATCH('Retirement Calculator'!A320,'Lorri 401b'!N:N,0),0)</f>
        <v>2125742.1581325163</v>
      </c>
      <c r="S320" s="25">
        <f t="shared" ca="1" si="267"/>
        <v>2409739.7676870637</v>
      </c>
    </row>
    <row r="321" spans="1:19" ht="15.75" customHeight="1" x14ac:dyDescent="0.25">
      <c r="A321" s="37">
        <v>60723</v>
      </c>
      <c r="B321" s="398">
        <f t="shared" ref="B321:C321" si="322">($A321-B$9)/365.25</f>
        <v>84.372347707049968</v>
      </c>
      <c r="C321" s="398">
        <f t="shared" si="322"/>
        <v>79.761806981519513</v>
      </c>
      <c r="E321" s="25">
        <f>IF(C321&gt;$B$7,0,'Combined Retirement'!$D$13/12)</f>
        <v>0</v>
      </c>
      <c r="F321" s="25">
        <f>IF(H321=0,'Combined Retirement'!$D$32,0)+'Combined Retirement'!$B$24</f>
        <v>2870.372285649099</v>
      </c>
      <c r="G321" s="25">
        <f>'Combined Retirement'!$C$24</f>
        <v>3254.2644699519233</v>
      </c>
      <c r="H321" s="25">
        <f>IF(B321&lt;62,0,'Combined Retirement'!$I$14)</f>
        <v>2345</v>
      </c>
      <c r="I321" s="25">
        <f>IF(C321&lt;62,0,'Combined Retirement'!$I$13)</f>
        <v>2420</v>
      </c>
      <c r="J321" s="25">
        <f t="shared" si="263"/>
        <v>8395.6297298201844</v>
      </c>
      <c r="K321" s="25">
        <f t="shared" si="264"/>
        <v>21655.303514578787</v>
      </c>
      <c r="L321" s="25"/>
      <c r="N321" s="25">
        <f>'Combined Retirement'!$C$18/12</f>
        <v>40940.569999999992</v>
      </c>
      <c r="O321" s="25">
        <f t="shared" si="265"/>
        <v>10889.636755601023</v>
      </c>
      <c r="P321" s="25">
        <f t="shared" si="266"/>
        <v>30050.93324439897</v>
      </c>
      <c r="Q321" s="25">
        <f t="array" aca="1" ref="Q321" ca="1">INDEX('Isaac 401k'!L:L,MATCH('Retirement Calculator'!A321,'Isaac 401k'!N:N,0),0)</f>
        <v>276750.32140733034</v>
      </c>
      <c r="R321" s="25">
        <f t="array" aca="1" ref="R321" ca="1">INDEX('Lorri 401b'!L:L,MATCH('Retirement Calculator'!A321,'Lorri 401b'!N:N,0),0)</f>
        <v>2112853.8831788455</v>
      </c>
      <c r="S321" s="25">
        <f t="shared" ca="1" si="267"/>
        <v>2389604.2045861757</v>
      </c>
    </row>
    <row r="322" spans="1:19" ht="15.75" customHeight="1" x14ac:dyDescent="0.25">
      <c r="A322" s="37">
        <v>60753</v>
      </c>
      <c r="B322" s="398">
        <f t="shared" ref="B322:C322" si="323">($A322-B$9)/365.25</f>
        <v>84.454483230663925</v>
      </c>
      <c r="C322" s="398">
        <f t="shared" si="323"/>
        <v>79.843942505133469</v>
      </c>
      <c r="E322" s="25">
        <f>IF(C322&gt;$B$7,0,'Combined Retirement'!$D$13/12)</f>
        <v>0</v>
      </c>
      <c r="F322" s="25">
        <f>IF(H322=0,'Combined Retirement'!$D$32,0)+'Combined Retirement'!$B$24</f>
        <v>2870.372285649099</v>
      </c>
      <c r="G322" s="25">
        <f>'Combined Retirement'!$C$24</f>
        <v>3254.2644699519233</v>
      </c>
      <c r="H322" s="25">
        <f>IF(B322&lt;62,0,'Combined Retirement'!$I$14)</f>
        <v>2345</v>
      </c>
      <c r="I322" s="25">
        <f>IF(C322&lt;62,0,'Combined Retirement'!$I$13)</f>
        <v>2420</v>
      </c>
      <c r="J322" s="25">
        <f t="shared" si="263"/>
        <v>8395.6297298201844</v>
      </c>
      <c r="K322" s="25">
        <f t="shared" si="264"/>
        <v>21655.303514578787</v>
      </c>
      <c r="L322" s="25"/>
      <c r="N322" s="25">
        <f>'Combined Retirement'!$C$18/12</f>
        <v>40940.569999999992</v>
      </c>
      <c r="O322" s="25">
        <f t="shared" si="265"/>
        <v>10889.636755601023</v>
      </c>
      <c r="P322" s="25">
        <f t="shared" si="266"/>
        <v>30050.93324439897</v>
      </c>
      <c r="Q322" s="25">
        <f t="array" aca="1" ref="Q322" ca="1">INDEX('Isaac 401k'!L:L,MATCH('Retirement Calculator'!A322,'Isaac 401k'!N:N,0),0)</f>
        <v>269472.83622616646</v>
      </c>
      <c r="R322" s="25">
        <f t="array" aca="1" ref="R322" ca="1">INDEX('Lorri 401b'!L:L,MATCH('Retirement Calculator'!A322,'Lorri 401b'!N:N,0),0)</f>
        <v>2099911.9070795346</v>
      </c>
      <c r="S322" s="25">
        <f t="shared" ca="1" si="267"/>
        <v>2369384.7433057008</v>
      </c>
    </row>
    <row r="323" spans="1:19" ht="15.75" customHeight="1" x14ac:dyDescent="0.25">
      <c r="A323" s="37">
        <v>60784</v>
      </c>
      <c r="B323" s="398">
        <f t="shared" ref="B323:C323" si="324">($A323-B$9)/365.25</f>
        <v>84.539356605065024</v>
      </c>
      <c r="C323" s="398">
        <f t="shared" si="324"/>
        <v>79.928815879534568</v>
      </c>
      <c r="E323" s="25">
        <f>IF(C323&gt;$B$7,0,'Combined Retirement'!$D$13/12)</f>
        <v>0</v>
      </c>
      <c r="F323" s="25">
        <f>IF(H323=0,'Combined Retirement'!$D$32,0)+'Combined Retirement'!$B$24</f>
        <v>2870.372285649099</v>
      </c>
      <c r="G323" s="25">
        <f>'Combined Retirement'!$C$24</f>
        <v>3254.2644699519233</v>
      </c>
      <c r="H323" s="25">
        <f>IF(B323&lt;62,0,'Combined Retirement'!$I$14)</f>
        <v>2345</v>
      </c>
      <c r="I323" s="25">
        <f>IF(C323&lt;62,0,'Combined Retirement'!$I$13)</f>
        <v>2420</v>
      </c>
      <c r="J323" s="25">
        <f t="shared" si="263"/>
        <v>8395.6297298201844</v>
      </c>
      <c r="K323" s="25">
        <f t="shared" si="264"/>
        <v>21655.303514578787</v>
      </c>
      <c r="L323" s="25"/>
      <c r="N323" s="25">
        <f>'Combined Retirement'!$C$18/12</f>
        <v>40940.569999999992</v>
      </c>
      <c r="O323" s="25">
        <f t="shared" si="265"/>
        <v>10889.636755601023</v>
      </c>
      <c r="P323" s="25">
        <f t="shared" si="266"/>
        <v>30050.93324439897</v>
      </c>
      <c r="Q323" s="25">
        <f t="array" aca="1" ref="Q323" ca="1">INDEX('Isaac 401k'!L:L,MATCH('Retirement Calculator'!A323,'Isaac 401k'!N:N,0),0)</f>
        <v>262165.02819008107</v>
      </c>
      <c r="R323" s="25">
        <f t="array" aca="1" ref="R323" ca="1">INDEX('Lorri 401b'!L:L,MATCH('Retirement Calculator'!A323,'Lorri 401b'!N:N,0),0)</f>
        <v>2086916.0060798097</v>
      </c>
      <c r="S323" s="25">
        <f t="shared" ca="1" si="267"/>
        <v>2349081.0342698907</v>
      </c>
    </row>
    <row r="324" spans="1:19" ht="15.75" customHeight="1" x14ac:dyDescent="0.25">
      <c r="A324" s="37">
        <v>60814</v>
      </c>
      <c r="B324" s="398">
        <f t="shared" ref="B324:C324" si="325">($A324-B$9)/365.25</f>
        <v>84.62149212867898</v>
      </c>
      <c r="C324" s="398">
        <f t="shared" si="325"/>
        <v>80.010951403148525</v>
      </c>
      <c r="E324" s="25">
        <f>IF(C324&gt;$B$7,0,'Combined Retirement'!$D$13/12)</f>
        <v>0</v>
      </c>
      <c r="F324" s="25">
        <f>IF(H324=0,'Combined Retirement'!$D$32,0)+'Combined Retirement'!$B$24</f>
        <v>2870.372285649099</v>
      </c>
      <c r="G324" s="25">
        <f>'Combined Retirement'!$C$24</f>
        <v>3254.2644699519233</v>
      </c>
      <c r="H324" s="25">
        <f>IF(B324&lt;62,0,'Combined Retirement'!$I$14)</f>
        <v>2345</v>
      </c>
      <c r="I324" s="25">
        <f>IF(C324&lt;62,0,'Combined Retirement'!$I$13)</f>
        <v>2420</v>
      </c>
      <c r="J324" s="25">
        <f t="shared" si="263"/>
        <v>8395.6297298201844</v>
      </c>
      <c r="K324" s="25">
        <f t="shared" si="264"/>
        <v>21655.303514578787</v>
      </c>
      <c r="L324" s="25"/>
      <c r="N324" s="25">
        <f>'Combined Retirement'!$C$18/12</f>
        <v>40940.569999999992</v>
      </c>
      <c r="O324" s="25">
        <f t="shared" si="265"/>
        <v>10889.636755601023</v>
      </c>
      <c r="P324" s="25">
        <f t="shared" si="266"/>
        <v>30050.93324439897</v>
      </c>
      <c r="Q324" s="25">
        <f t="array" aca="1" ref="Q324" ca="1">INDEX('Isaac 401k'!L:L,MATCH('Retirement Calculator'!A324,'Isaac 401k'!N:N,0),0)</f>
        <v>254826.77095384529</v>
      </c>
      <c r="R324" s="25">
        <f t="array" aca="1" ref="R324" ca="1">INDEX('Lorri 401b'!L:L,MATCH('Retirement Calculator'!A324,'Lorri 401b'!N:N,0),0)</f>
        <v>2073865.9554925861</v>
      </c>
      <c r="S324" s="25">
        <f t="shared" ca="1" si="267"/>
        <v>2328692.7264464316</v>
      </c>
    </row>
    <row r="325" spans="1:19" ht="15.75" customHeight="1" x14ac:dyDescent="0.25">
      <c r="A325" s="37">
        <v>60845</v>
      </c>
      <c r="B325" s="398">
        <f t="shared" ref="B325:C325" si="326">($A325-B$9)/365.25</f>
        <v>84.706365503080079</v>
      </c>
      <c r="C325" s="398">
        <f t="shared" si="326"/>
        <v>80.095824777549623</v>
      </c>
      <c r="E325" s="25">
        <f>IF(C325&gt;$B$7,0,'Combined Retirement'!$D$13/12)</f>
        <v>0</v>
      </c>
      <c r="F325" s="25">
        <f>IF(H325=0,'Combined Retirement'!$D$32,0)+'Combined Retirement'!$B$24</f>
        <v>2870.372285649099</v>
      </c>
      <c r="G325" s="25">
        <f>'Combined Retirement'!$C$24</f>
        <v>3254.2644699519233</v>
      </c>
      <c r="H325" s="25">
        <f>IF(B325&lt;62,0,'Combined Retirement'!$I$14)</f>
        <v>2345</v>
      </c>
      <c r="I325" s="25">
        <f>IF(C325&lt;62,0,'Combined Retirement'!$I$13)</f>
        <v>2420</v>
      </c>
      <c r="J325" s="25">
        <f t="shared" si="263"/>
        <v>8395.6297298201844</v>
      </c>
      <c r="K325" s="25">
        <f t="shared" si="264"/>
        <v>21655.303514578787</v>
      </c>
      <c r="L325" s="25"/>
      <c r="N325" s="25">
        <f>'Combined Retirement'!$C$18/12</f>
        <v>40940.569999999992</v>
      </c>
      <c r="O325" s="25">
        <f t="shared" si="265"/>
        <v>10889.636755601023</v>
      </c>
      <c r="P325" s="25">
        <f t="shared" si="266"/>
        <v>30050.93324439897</v>
      </c>
      <c r="Q325" s="25">
        <f t="array" aca="1" ref="Q325" ca="1">INDEX('Isaac 401k'!L:L,MATCH('Retirement Calculator'!A325,'Isaac 401k'!N:N,0),0)</f>
        <v>247457.93764579188</v>
      </c>
      <c r="R325" s="25">
        <f t="array" aca="1" ref="R325" ca="1">INDEX('Lorri 401b'!L:L,MATCH('Retirement Calculator'!A325,'Lorri 401b'!N:N,0),0)</f>
        <v>2060761.5296945823</v>
      </c>
      <c r="S325" s="25">
        <f t="shared" ca="1" si="267"/>
        <v>2308219.4673403744</v>
      </c>
    </row>
    <row r="326" spans="1:19" ht="15.75" customHeight="1" x14ac:dyDescent="0.25">
      <c r="A326" s="37">
        <v>60876</v>
      </c>
      <c r="B326" s="398">
        <f t="shared" ref="B326:C326" si="327">($A326-B$9)/365.25</f>
        <v>84.791238877481177</v>
      </c>
      <c r="C326" s="398">
        <f t="shared" si="327"/>
        <v>80.180698151950722</v>
      </c>
      <c r="E326" s="25">
        <f>IF(C326&gt;$B$7,0,'Combined Retirement'!$D$13/12)</f>
        <v>0</v>
      </c>
      <c r="F326" s="25">
        <f>IF(H326=0,'Combined Retirement'!$D$32,0)+'Combined Retirement'!$B$24</f>
        <v>2870.372285649099</v>
      </c>
      <c r="G326" s="25">
        <f>'Combined Retirement'!$C$24</f>
        <v>3254.2644699519233</v>
      </c>
      <c r="H326" s="25">
        <f>IF(B326&lt;62,0,'Combined Retirement'!$I$14)</f>
        <v>2345</v>
      </c>
      <c r="I326" s="25">
        <f>IF(C326&lt;62,0,'Combined Retirement'!$I$13)</f>
        <v>2420</v>
      </c>
      <c r="J326" s="25">
        <f t="shared" si="263"/>
        <v>8395.6297298201844</v>
      </c>
      <c r="K326" s="25">
        <f t="shared" si="264"/>
        <v>21655.303514578787</v>
      </c>
      <c r="L326" s="25"/>
      <c r="N326" s="25">
        <f>'Combined Retirement'!$C$18/12</f>
        <v>40940.569999999992</v>
      </c>
      <c r="O326" s="25">
        <f t="shared" si="265"/>
        <v>10889.636755601023</v>
      </c>
      <c r="P326" s="25">
        <f t="shared" si="266"/>
        <v>30050.93324439897</v>
      </c>
      <c r="Q326" s="25">
        <f t="array" aca="1" ref="Q326" ca="1">INDEX('Isaac 401k'!L:L,MATCH('Retirement Calculator'!A326,'Isaac 401k'!N:N,0),0)</f>
        <v>240058.40086562157</v>
      </c>
      <c r="R326" s="25">
        <f t="array" aca="1" ref="R326" ca="1">INDEX('Lorri 401b'!L:L,MATCH('Retirement Calculator'!A326,'Lorri 401b'!N:N,0),0)</f>
        <v>2047602.5021224201</v>
      </c>
      <c r="S326" s="25">
        <f t="shared" ca="1" si="267"/>
        <v>2287660.9029880418</v>
      </c>
    </row>
    <row r="327" spans="1:19" ht="15.75" customHeight="1" x14ac:dyDescent="0.25">
      <c r="A327" s="37">
        <v>60906</v>
      </c>
      <c r="B327" s="398">
        <f t="shared" ref="B327:C327" si="328">($A327-B$9)/365.25</f>
        <v>84.873374401095134</v>
      </c>
      <c r="C327" s="398">
        <f t="shared" si="328"/>
        <v>80.262833675564679</v>
      </c>
      <c r="E327" s="25">
        <f>IF(C327&gt;$B$7,0,'Combined Retirement'!$D$13/12)</f>
        <v>0</v>
      </c>
      <c r="F327" s="25">
        <f>IF(H327=0,'Combined Retirement'!$D$32,0)+'Combined Retirement'!$B$24</f>
        <v>2870.372285649099</v>
      </c>
      <c r="G327" s="25">
        <f>'Combined Retirement'!$C$24</f>
        <v>3254.2644699519233</v>
      </c>
      <c r="H327" s="25">
        <f>IF(B327&lt;62,0,'Combined Retirement'!$I$14)</f>
        <v>2345</v>
      </c>
      <c r="I327" s="25">
        <f>IF(C327&lt;62,0,'Combined Retirement'!$I$13)</f>
        <v>2420</v>
      </c>
      <c r="J327" s="25">
        <f t="shared" si="263"/>
        <v>8395.6297298201844</v>
      </c>
      <c r="K327" s="25">
        <f t="shared" si="264"/>
        <v>21655.303514578787</v>
      </c>
      <c r="L327" s="25"/>
      <c r="N327" s="25">
        <f>'Combined Retirement'!$C$18/12</f>
        <v>40940.569999999992</v>
      </c>
      <c r="O327" s="25">
        <f t="shared" si="265"/>
        <v>10889.636755601023</v>
      </c>
      <c r="P327" s="25">
        <f t="shared" si="266"/>
        <v>30050.93324439897</v>
      </c>
      <c r="Q327" s="25">
        <f t="array" aca="1" ref="Q327" ca="1">INDEX('Isaac 401k'!L:L,MATCH('Retirement Calculator'!A327,'Isaac 401k'!N:N,0),0)</f>
        <v>232628.03268220057</v>
      </c>
      <c r="R327" s="25">
        <f t="array" aca="1" ref="R327" ca="1">INDEX('Lorri 401b'!L:L,MATCH('Retirement Calculator'!A327,'Lorri 401b'!N:N,0),0)</f>
        <v>2034388.6452687073</v>
      </c>
      <c r="S327" s="25">
        <f t="shared" ca="1" si="267"/>
        <v>2267016.677950908</v>
      </c>
    </row>
    <row r="328" spans="1:19" ht="15.75" customHeight="1" x14ac:dyDescent="0.25">
      <c r="A328" s="37">
        <v>60937</v>
      </c>
      <c r="B328" s="398">
        <f t="shared" ref="B328:C328" si="329">($A328-B$9)/365.25</f>
        <v>84.958247775496233</v>
      </c>
      <c r="C328" s="398">
        <f t="shared" si="329"/>
        <v>80.347707049965777</v>
      </c>
      <c r="E328" s="25">
        <f>IF(C328&gt;$B$7,0,'Combined Retirement'!$D$13/12)</f>
        <v>0</v>
      </c>
      <c r="F328" s="25">
        <f>IF(H328=0,'Combined Retirement'!$D$32,0)+'Combined Retirement'!$B$24</f>
        <v>2870.372285649099</v>
      </c>
      <c r="G328" s="25">
        <f>'Combined Retirement'!$C$24</f>
        <v>3254.2644699519233</v>
      </c>
      <c r="H328" s="25">
        <f>IF(B328&lt;62,0,'Combined Retirement'!$I$14)</f>
        <v>2345</v>
      </c>
      <c r="I328" s="25">
        <f>IF(C328&lt;62,0,'Combined Retirement'!$I$13)</f>
        <v>2420</v>
      </c>
      <c r="J328" s="25">
        <f t="shared" si="263"/>
        <v>8395.6297298201844</v>
      </c>
      <c r="K328" s="25">
        <f t="shared" si="264"/>
        <v>21655.303514578787</v>
      </c>
      <c r="L328" s="25"/>
      <c r="N328" s="25">
        <f>'Combined Retirement'!$C$18/12</f>
        <v>40940.569999999992</v>
      </c>
      <c r="O328" s="25">
        <f t="shared" si="265"/>
        <v>10889.636755601023</v>
      </c>
      <c r="P328" s="25">
        <f t="shared" si="266"/>
        <v>30050.93324439897</v>
      </c>
      <c r="Q328" s="25">
        <f t="array" aca="1" ref="Q328" ca="1">INDEX('Isaac 401k'!L:L,MATCH('Retirement Calculator'!A328,'Isaac 401k'!N:N,0),0)</f>
        <v>225166.70463134864</v>
      </c>
      <c r="R328" s="25">
        <f t="array" aca="1" ref="R328" ca="1">INDEX('Lorri 401b'!L:L,MATCH('Retirement Calculator'!A328,'Lorri 401b'!N:N,0),0)</f>
        <v>2021119.7306781041</v>
      </c>
      <c r="S328" s="25">
        <f t="shared" ca="1" si="267"/>
        <v>2246286.4353094529</v>
      </c>
    </row>
    <row r="329" spans="1:19" ht="15.75" customHeight="1" x14ac:dyDescent="0.25">
      <c r="A329" s="37">
        <v>60967</v>
      </c>
      <c r="B329" s="398">
        <f t="shared" ref="B329:C329" si="330">($A329-B$9)/365.25</f>
        <v>85.040383299110204</v>
      </c>
      <c r="C329" s="398">
        <f t="shared" si="330"/>
        <v>80.429842573579734</v>
      </c>
      <c r="E329" s="25">
        <f>IF(C329&gt;$B$7,0,'Combined Retirement'!$D$13/12)</f>
        <v>0</v>
      </c>
      <c r="F329" s="25">
        <f>IF(H329=0,'Combined Retirement'!$D$32,0)+'Combined Retirement'!$B$24</f>
        <v>2870.372285649099</v>
      </c>
      <c r="G329" s="25">
        <f>'Combined Retirement'!$C$24</f>
        <v>3254.2644699519233</v>
      </c>
      <c r="H329" s="25">
        <f>IF(B329&lt;62,0,'Combined Retirement'!$I$14)</f>
        <v>2345</v>
      </c>
      <c r="I329" s="25">
        <f>IF(C329&lt;62,0,'Combined Retirement'!$I$13)</f>
        <v>2420</v>
      </c>
      <c r="J329" s="25">
        <f t="shared" si="263"/>
        <v>8395.6297298201844</v>
      </c>
      <c r="K329" s="25">
        <f t="shared" si="264"/>
        <v>21655.303514578787</v>
      </c>
      <c r="L329" s="25"/>
      <c r="N329" s="25">
        <f>'Combined Retirement'!$C$18/12</f>
        <v>40940.569999999992</v>
      </c>
      <c r="O329" s="25">
        <f t="shared" si="265"/>
        <v>10889.636755601023</v>
      </c>
      <c r="P329" s="25">
        <f t="shared" si="266"/>
        <v>30050.93324439897</v>
      </c>
      <c r="Q329" s="25">
        <f t="array" aca="1" ref="Q329" ca="1">INDEX('Isaac 401k'!L:L,MATCH('Retirement Calculator'!A329,'Isaac 401k'!N:N,0),0)</f>
        <v>217674.28771361816</v>
      </c>
      <c r="R329" s="25">
        <f t="array" aca="1" ref="R329" ca="1">INDEX('Lorri 401b'!L:L,MATCH('Retirement Calculator'!A329,'Lorri 401b'!N:N,0),0)</f>
        <v>2007795.5289433734</v>
      </c>
      <c r="S329" s="25">
        <f t="shared" ca="1" si="267"/>
        <v>2225469.8166569914</v>
      </c>
    </row>
    <row r="330" spans="1:19" ht="15.75" customHeight="1" x14ac:dyDescent="0.25">
      <c r="A330" s="37">
        <v>60998</v>
      </c>
      <c r="B330" s="398">
        <f t="shared" ref="B330:C330" si="331">($A330-B$9)/365.25</f>
        <v>85.125256673511288</v>
      </c>
      <c r="C330" s="398">
        <f t="shared" si="331"/>
        <v>80.514715947980832</v>
      </c>
      <c r="E330" s="25">
        <f>IF(C330&gt;$B$7,0,'Combined Retirement'!$D$13/12)</f>
        <v>0</v>
      </c>
      <c r="F330" s="25">
        <f>IF(H330=0,'Combined Retirement'!$D$32,0)+'Combined Retirement'!$B$24</f>
        <v>2870.372285649099</v>
      </c>
      <c r="G330" s="25">
        <f>'Combined Retirement'!$C$24</f>
        <v>3254.2644699519233</v>
      </c>
      <c r="H330" s="25">
        <f>IF(B330&lt;62,0,'Combined Retirement'!$I$14)</f>
        <v>2345</v>
      </c>
      <c r="I330" s="25">
        <f>IF(C330&lt;62,0,'Combined Retirement'!$I$13)</f>
        <v>2420</v>
      </c>
      <c r="J330" s="25">
        <f t="shared" si="263"/>
        <v>8395.6297298201844</v>
      </c>
      <c r="K330" s="25">
        <f t="shared" si="264"/>
        <v>21655.303514578787</v>
      </c>
      <c r="L330" s="25"/>
      <c r="N330" s="25">
        <f>'Combined Retirement'!$C$18/12</f>
        <v>40940.569999999992</v>
      </c>
      <c r="O330" s="25">
        <f t="shared" si="265"/>
        <v>10889.636755601023</v>
      </c>
      <c r="P330" s="25">
        <f t="shared" si="266"/>
        <v>30050.93324439897</v>
      </c>
      <c r="Q330" s="25">
        <f t="array" aca="1" ref="Q330" ca="1">INDEX('Isaac 401k'!L:L,MATCH('Retirement Calculator'!A330,'Isaac 401k'!N:N,0),0)</f>
        <v>210150.65239206381</v>
      </c>
      <c r="R330" s="25">
        <f t="array" aca="1" ref="R330" ca="1">INDEX('Lorri 401b'!L:L,MATCH('Retirement Calculator'!A330,'Lorri 401b'!N:N,0),0)</f>
        <v>1994415.8097014145</v>
      </c>
      <c r="S330" s="25">
        <f t="shared" ca="1" si="267"/>
        <v>2204566.4620934785</v>
      </c>
    </row>
    <row r="331" spans="1:19" ht="15.75" customHeight="1" x14ac:dyDescent="0.25">
      <c r="A331" s="37">
        <v>61029</v>
      </c>
      <c r="B331" s="398">
        <f t="shared" ref="B331:C331" si="332">($A331-B$9)/365.25</f>
        <v>85.210130047912386</v>
      </c>
      <c r="C331" s="398">
        <f t="shared" si="332"/>
        <v>80.599589322381931</v>
      </c>
      <c r="E331" s="25">
        <f>IF(C331&gt;$B$7,0,'Combined Retirement'!$D$13/12)</f>
        <v>0</v>
      </c>
      <c r="F331" s="25">
        <f>IF(H331=0,'Combined Retirement'!$D$32,0)+'Combined Retirement'!$B$24</f>
        <v>2870.372285649099</v>
      </c>
      <c r="G331" s="25">
        <f>'Combined Retirement'!$C$24</f>
        <v>3254.2644699519233</v>
      </c>
      <c r="H331" s="25">
        <f>IF(B331&lt;62,0,'Combined Retirement'!$I$14)</f>
        <v>2345</v>
      </c>
      <c r="I331" s="25">
        <f>IF(C331&lt;62,0,'Combined Retirement'!$I$13)</f>
        <v>2420</v>
      </c>
      <c r="J331" s="25">
        <f t="shared" si="263"/>
        <v>8395.6297298201844</v>
      </c>
      <c r="K331" s="25">
        <f t="shared" si="264"/>
        <v>21655.303514578787</v>
      </c>
      <c r="L331" s="25"/>
      <c r="N331" s="25">
        <f>'Combined Retirement'!$C$18/12</f>
        <v>40940.569999999992</v>
      </c>
      <c r="O331" s="25">
        <f t="shared" si="265"/>
        <v>10889.636755601023</v>
      </c>
      <c r="P331" s="25">
        <f t="shared" si="266"/>
        <v>30050.93324439897</v>
      </c>
      <c r="Q331" s="25">
        <f t="array" aca="1" ref="Q331" ca="1">INDEX('Isaac 401k'!L:L,MATCH('Retirement Calculator'!A331,'Isaac 401k'!N:N,0),0)</f>
        <v>202595.66859000298</v>
      </c>
      <c r="R331" s="25">
        <f t="array" aca="1" ref="R331" ca="1">INDEX('Lorri 401b'!L:L,MATCH('Retirement Calculator'!A331,'Lorri 401b'!N:N,0),0)</f>
        <v>1980980.3416292809</v>
      </c>
      <c r="S331" s="25">
        <f t="shared" ca="1" si="267"/>
        <v>2183576.0102192839</v>
      </c>
    </row>
    <row r="332" spans="1:19" ht="15.75" customHeight="1" x14ac:dyDescent="0.25">
      <c r="A332" s="37">
        <v>61057</v>
      </c>
      <c r="B332" s="398">
        <f t="shared" ref="B332:C332" si="333">($A332-B$9)/365.25</f>
        <v>85.286789869952088</v>
      </c>
      <c r="C332" s="398">
        <f t="shared" si="333"/>
        <v>80.676249144421632</v>
      </c>
      <c r="E332" s="25">
        <f>IF(C332&gt;$B$7,0,'Combined Retirement'!$D$13/12)</f>
        <v>0</v>
      </c>
      <c r="F332" s="25">
        <f>IF(H332=0,'Combined Retirement'!$D$32,0)+'Combined Retirement'!$B$24</f>
        <v>2870.372285649099</v>
      </c>
      <c r="G332" s="25">
        <f>'Combined Retirement'!$C$24</f>
        <v>3254.2644699519233</v>
      </c>
      <c r="H332" s="25">
        <f>IF(B332&lt;62,0,'Combined Retirement'!$I$14)</f>
        <v>2345</v>
      </c>
      <c r="I332" s="25">
        <f>IF(C332&lt;62,0,'Combined Retirement'!$I$13)</f>
        <v>2420</v>
      </c>
      <c r="J332" s="25">
        <f t="shared" si="263"/>
        <v>8395.6297298201844</v>
      </c>
      <c r="K332" s="25">
        <f t="shared" si="264"/>
        <v>21655.303514578787</v>
      </c>
      <c r="L332" s="25"/>
      <c r="N332" s="25">
        <f>'Combined Retirement'!$C$18/12</f>
        <v>40940.569999999992</v>
      </c>
      <c r="O332" s="25">
        <f t="shared" si="265"/>
        <v>10889.636755601023</v>
      </c>
      <c r="P332" s="25">
        <f t="shared" si="266"/>
        <v>30050.93324439897</v>
      </c>
      <c r="Q332" s="25">
        <f t="array" aca="1" ref="Q332" ca="1">INDEX('Isaac 401k'!L:L,MATCH('Retirement Calculator'!A332,'Isaac 401k'!N:N,0),0)</f>
        <v>195009.2056887669</v>
      </c>
      <c r="R332" s="25">
        <f t="array" aca="1" ref="R332" ca="1">INDEX('Lorri 401b'!L:L,MATCH('Retirement Calculator'!A332,'Lorri 401b'!N:N,0),0)</f>
        <v>1967488.8924401801</v>
      </c>
      <c r="S332" s="25">
        <f t="shared" ca="1" si="267"/>
        <v>2162498.098128947</v>
      </c>
    </row>
    <row r="333" spans="1:19" ht="15.75" customHeight="1" x14ac:dyDescent="0.25">
      <c r="A333" s="37">
        <v>61088</v>
      </c>
      <c r="B333" s="398">
        <f t="shared" ref="B333:C333" si="334">($A333-B$9)/365.25</f>
        <v>85.371663244353186</v>
      </c>
      <c r="C333" s="398">
        <f t="shared" si="334"/>
        <v>80.761122518822731</v>
      </c>
      <c r="E333" s="25">
        <f>IF(C333&gt;$B$7,0,'Combined Retirement'!$D$13/12)</f>
        <v>0</v>
      </c>
      <c r="F333" s="25">
        <f>IF(H333=0,'Combined Retirement'!$D$32,0)+'Combined Retirement'!$B$24</f>
        <v>2870.372285649099</v>
      </c>
      <c r="G333" s="25">
        <f>'Combined Retirement'!$C$24</f>
        <v>3254.2644699519233</v>
      </c>
      <c r="H333" s="25">
        <f>IF(B333&lt;62,0,'Combined Retirement'!$I$14)</f>
        <v>2345</v>
      </c>
      <c r="I333" s="25">
        <f>IF(C333&lt;62,0,'Combined Retirement'!$I$13)</f>
        <v>2420</v>
      </c>
      <c r="J333" s="25">
        <f t="shared" si="263"/>
        <v>8395.6297298201844</v>
      </c>
      <c r="K333" s="25">
        <f t="shared" si="264"/>
        <v>21655.303514578787</v>
      </c>
      <c r="L333" s="25"/>
      <c r="N333" s="25">
        <f>'Combined Retirement'!$C$18/12</f>
        <v>40940.569999999992</v>
      </c>
      <c r="O333" s="25">
        <f t="shared" si="265"/>
        <v>10889.636755601023</v>
      </c>
      <c r="P333" s="25">
        <f t="shared" si="266"/>
        <v>30050.93324439897</v>
      </c>
      <c r="Q333" s="25">
        <f t="array" aca="1" ref="Q333" ca="1">INDEX('Isaac 401k'!L:L,MATCH('Retirement Calculator'!A333,'Isaac 401k'!N:N,0),0)</f>
        <v>187391.13252544234</v>
      </c>
      <c r="R333" s="25">
        <f t="array" aca="1" ref="R333" ca="1">INDEX('Lorri 401b'!L:L,MATCH('Retirement Calculator'!A333,'Lorri 401b'!N:N,0),0)</f>
        <v>1953941.2288794578</v>
      </c>
      <c r="S333" s="25">
        <f t="shared" ca="1" si="267"/>
        <v>2141332.3614049</v>
      </c>
    </row>
    <row r="334" spans="1:19" ht="15.75" customHeight="1" x14ac:dyDescent="0.25">
      <c r="A334" s="37">
        <v>61118</v>
      </c>
      <c r="B334" s="398">
        <f t="shared" ref="B334:C334" si="335">($A334-B$9)/365.25</f>
        <v>85.453798767967143</v>
      </c>
      <c r="C334" s="398">
        <f t="shared" si="335"/>
        <v>80.843258042436688</v>
      </c>
      <c r="E334" s="25">
        <f>IF(C334&gt;$B$7,0,'Combined Retirement'!$D$13/12)</f>
        <v>0</v>
      </c>
      <c r="F334" s="25">
        <f>IF(H334=0,'Combined Retirement'!$D$32,0)+'Combined Retirement'!$B$24</f>
        <v>2870.372285649099</v>
      </c>
      <c r="G334" s="25">
        <f>'Combined Retirement'!$C$24</f>
        <v>3254.2644699519233</v>
      </c>
      <c r="H334" s="25">
        <f>IF(B334&lt;62,0,'Combined Retirement'!$I$14)</f>
        <v>2345</v>
      </c>
      <c r="I334" s="25">
        <f>IF(C334&lt;62,0,'Combined Retirement'!$I$13)</f>
        <v>2420</v>
      </c>
      <c r="J334" s="25">
        <f t="shared" si="263"/>
        <v>8395.6297298201844</v>
      </c>
      <c r="K334" s="25">
        <f t="shared" si="264"/>
        <v>21655.303514578787</v>
      </c>
      <c r="L334" s="25"/>
      <c r="N334" s="25">
        <f>'Combined Retirement'!$C$18/12</f>
        <v>40940.569999999992</v>
      </c>
      <c r="O334" s="25">
        <f t="shared" si="265"/>
        <v>10889.636755601023</v>
      </c>
      <c r="P334" s="25">
        <f t="shared" si="266"/>
        <v>30050.93324439897</v>
      </c>
      <c r="Q334" s="25">
        <f t="array" aca="1" ref="Q334" ca="1">INDEX('Isaac 401k'!L:L,MATCH('Retirement Calculator'!A334,'Isaac 401k'!N:N,0),0)</f>
        <v>179741.31739060392</v>
      </c>
      <c r="R334" s="25">
        <f t="array" aca="1" ref="R334" ca="1">INDEX('Lorri 401b'!L:L,MATCH('Retirement Calculator'!A334,'Lorri 401b'!N:N,0),0)</f>
        <v>1940337.1167205661</v>
      </c>
      <c r="S334" s="25">
        <f t="shared" ca="1" si="267"/>
        <v>2120078.43411117</v>
      </c>
    </row>
    <row r="335" spans="1:19" ht="15.75" customHeight="1" x14ac:dyDescent="0.25">
      <c r="A335" s="37">
        <v>61149</v>
      </c>
      <c r="B335" s="398">
        <f t="shared" ref="B335:C335" si="336">($A335-B$9)/365.25</f>
        <v>85.538672142368242</v>
      </c>
      <c r="C335" s="398">
        <f t="shared" si="336"/>
        <v>80.928131416837786</v>
      </c>
      <c r="E335" s="25">
        <f>IF(C335&gt;$B$7,0,'Combined Retirement'!$D$13/12)</f>
        <v>0</v>
      </c>
      <c r="F335" s="25">
        <f>IF(H335=0,'Combined Retirement'!$D$32,0)+'Combined Retirement'!$B$24</f>
        <v>2870.372285649099</v>
      </c>
      <c r="G335" s="25">
        <f>'Combined Retirement'!$C$24</f>
        <v>3254.2644699519233</v>
      </c>
      <c r="H335" s="25">
        <f>IF(B335&lt;62,0,'Combined Retirement'!$I$14)</f>
        <v>2345</v>
      </c>
      <c r="I335" s="25">
        <f>IF(C335&lt;62,0,'Combined Retirement'!$I$13)</f>
        <v>2420</v>
      </c>
      <c r="J335" s="25">
        <f t="shared" si="263"/>
        <v>8395.6297298201844</v>
      </c>
      <c r="K335" s="25">
        <f t="shared" si="264"/>
        <v>21655.303514578787</v>
      </c>
      <c r="L335" s="25"/>
      <c r="N335" s="25">
        <f>'Combined Retirement'!$C$18/12</f>
        <v>40940.569999999992</v>
      </c>
      <c r="O335" s="25">
        <f t="shared" si="265"/>
        <v>10889.636755601023</v>
      </c>
      <c r="P335" s="25">
        <f t="shared" si="266"/>
        <v>30050.93324439897</v>
      </c>
      <c r="Q335" s="25">
        <f t="array" aca="1" ref="Q335" ca="1">INDEX('Isaac 401k'!L:L,MATCH('Retirement Calculator'!A335,'Isaac 401k'!N:N,0),0)</f>
        <v>172059.62802603701</v>
      </c>
      <c r="R335" s="25">
        <f t="array" aca="1" ref="R335" ca="1">INDEX('Lorri 401b'!L:L,MATCH('Retirement Calculator'!A335,'Lorri 401b'!N:N,0),0)</f>
        <v>1926676.3207610121</v>
      </c>
      <c r="S335" s="25">
        <f t="shared" ca="1" si="267"/>
        <v>2098735.9487870494</v>
      </c>
    </row>
    <row r="336" spans="1:19" ht="15.75" customHeight="1" x14ac:dyDescent="0.25">
      <c r="A336" s="37">
        <v>61179</v>
      </c>
      <c r="B336" s="398">
        <f t="shared" ref="B336:C336" si="337">($A336-B$9)/365.25</f>
        <v>85.620807665982198</v>
      </c>
      <c r="C336" s="398">
        <f t="shared" si="337"/>
        <v>81.010266940451743</v>
      </c>
      <c r="E336" s="25">
        <f>IF(C336&gt;$B$7,0,'Combined Retirement'!$D$13/12)</f>
        <v>0</v>
      </c>
      <c r="F336" s="25">
        <f>IF(H336=0,'Combined Retirement'!$D$32,0)+'Combined Retirement'!$B$24</f>
        <v>2870.372285649099</v>
      </c>
      <c r="G336" s="25">
        <f>'Combined Retirement'!$C$24</f>
        <v>3254.2644699519233</v>
      </c>
      <c r="H336" s="25">
        <f>IF(B336&lt;62,0,'Combined Retirement'!$I$14)</f>
        <v>2345</v>
      </c>
      <c r="I336" s="25">
        <f>IF(C336&lt;62,0,'Combined Retirement'!$I$13)</f>
        <v>2420</v>
      </c>
      <c r="J336" s="25">
        <f t="shared" si="263"/>
        <v>8395.6297298201844</v>
      </c>
      <c r="K336" s="25">
        <f t="shared" si="264"/>
        <v>21655.303514578787</v>
      </c>
      <c r="L336" s="25"/>
      <c r="N336" s="25">
        <f>'Combined Retirement'!$C$18/12</f>
        <v>40940.569999999992</v>
      </c>
      <c r="O336" s="25">
        <f t="shared" si="265"/>
        <v>10889.636755601023</v>
      </c>
      <c r="P336" s="25">
        <f t="shared" si="266"/>
        <v>30050.93324439897</v>
      </c>
      <c r="Q336" s="25">
        <f t="array" aca="1" ref="Q336" ca="1">INDEX('Isaac 401k'!L:L,MATCH('Retirement Calculator'!A336,'Isaac 401k'!N:N,0),0)</f>
        <v>164345.93162245105</v>
      </c>
      <c r="R336" s="25">
        <f t="array" aca="1" ref="R336" ca="1">INDEX('Lorri 401b'!L:L,MATCH('Retirement Calculator'!A336,'Lorri 401b'!N:N,0),0)</f>
        <v>1912958.6048182934</v>
      </c>
      <c r="S336" s="25">
        <f t="shared" ca="1" si="267"/>
        <v>2077304.5364407445</v>
      </c>
    </row>
    <row r="337" spans="1:19" ht="15.75" customHeight="1" x14ac:dyDescent="0.25">
      <c r="A337" s="37">
        <v>61210</v>
      </c>
      <c r="B337" s="398">
        <f t="shared" ref="B337:C337" si="338">($A337-B$9)/365.25</f>
        <v>85.705681040383297</v>
      </c>
      <c r="C337" s="398">
        <f t="shared" si="338"/>
        <v>81.095140314852841</v>
      </c>
      <c r="E337" s="25">
        <f>IF(C337&gt;$B$7,0,'Combined Retirement'!$D$13/12)</f>
        <v>0</v>
      </c>
      <c r="F337" s="25">
        <f>IF(H337=0,'Combined Retirement'!$D$32,0)+'Combined Retirement'!$B$24</f>
        <v>2870.372285649099</v>
      </c>
      <c r="G337" s="25">
        <f>'Combined Retirement'!$C$24</f>
        <v>3254.2644699519233</v>
      </c>
      <c r="H337" s="25">
        <f>IF(B337&lt;62,0,'Combined Retirement'!$I$14)</f>
        <v>2345</v>
      </c>
      <c r="I337" s="25">
        <f>IF(C337&lt;62,0,'Combined Retirement'!$I$13)</f>
        <v>2420</v>
      </c>
      <c r="J337" s="25">
        <f t="shared" si="263"/>
        <v>8395.6297298201844</v>
      </c>
      <c r="K337" s="25">
        <f t="shared" si="264"/>
        <v>21655.303514578787</v>
      </c>
      <c r="L337" s="25"/>
      <c r="N337" s="25">
        <f>'Combined Retirement'!$C$18/12</f>
        <v>40940.569999999992</v>
      </c>
      <c r="O337" s="25">
        <f t="shared" si="265"/>
        <v>10889.636755601023</v>
      </c>
      <c r="P337" s="25">
        <f t="shared" si="266"/>
        <v>30050.93324439897</v>
      </c>
      <c r="Q337" s="25">
        <f t="array" aca="1" ref="Q337" ca="1">INDEX('Isaac 401k'!L:L,MATCH('Retirement Calculator'!A337,'Isaac 401k'!N:N,0),0)</f>
        <v>156600.0948171835</v>
      </c>
      <c r="R337" s="25">
        <f t="array" aca="1" ref="R337" ca="1">INDEX('Lorri 401b'!L:L,MATCH('Retirement Calculator'!A337,'Lorri 401b'!N:N,0),0)</f>
        <v>1899183.7317258134</v>
      </c>
      <c r="S337" s="25">
        <f t="shared" ca="1" si="267"/>
        <v>2055783.8265429968</v>
      </c>
    </row>
    <row r="338" spans="1:19" ht="15.75" customHeight="1" x14ac:dyDescent="0.25">
      <c r="A338" s="37">
        <v>61241</v>
      </c>
      <c r="B338" s="398">
        <f t="shared" ref="B338:C338" si="339">($A338-B$9)/365.25</f>
        <v>85.790554414784395</v>
      </c>
      <c r="C338" s="398">
        <f t="shared" si="339"/>
        <v>81.18001368925394</v>
      </c>
      <c r="E338" s="25">
        <f>IF(C338&gt;$B$7,0,'Combined Retirement'!$D$13/12)</f>
        <v>0</v>
      </c>
      <c r="F338" s="25">
        <f>IF(H338=0,'Combined Retirement'!$D$32,0)+'Combined Retirement'!$B$24</f>
        <v>2870.372285649099</v>
      </c>
      <c r="G338" s="25">
        <f>'Combined Retirement'!$C$24</f>
        <v>3254.2644699519233</v>
      </c>
      <c r="H338" s="25">
        <f>IF(B338&lt;62,0,'Combined Retirement'!$I$14)</f>
        <v>2345</v>
      </c>
      <c r="I338" s="25">
        <f>IF(C338&lt;62,0,'Combined Retirement'!$I$13)</f>
        <v>2420</v>
      </c>
      <c r="J338" s="25">
        <f t="shared" si="263"/>
        <v>8395.6297298201844</v>
      </c>
      <c r="K338" s="25">
        <f t="shared" si="264"/>
        <v>21655.303514578787</v>
      </c>
      <c r="L338" s="25"/>
      <c r="N338" s="25">
        <f>'Combined Retirement'!$C$18/12</f>
        <v>40940.569999999992</v>
      </c>
      <c r="O338" s="25">
        <f t="shared" si="265"/>
        <v>10889.636755601023</v>
      </c>
      <c r="P338" s="25">
        <f t="shared" si="266"/>
        <v>30050.93324439897</v>
      </c>
      <c r="Q338" s="25">
        <f t="array" aca="1" ref="Q338" ca="1">INDEX('Isaac 401k'!L:L,MATCH('Retirement Calculator'!A338,'Isaac 401k'!N:N,0),0)</f>
        <v>148821.98369189401</v>
      </c>
      <c r="R338" s="25">
        <f t="array" aca="1" ref="R338" ca="1">INDEX('Lorri 401b'!L:L,MATCH('Retirement Calculator'!A338,'Lorri 401b'!N:N,0),0)</f>
        <v>1885351.4633287813</v>
      </c>
      <c r="S338" s="25">
        <f t="shared" ca="1" si="267"/>
        <v>2034173.4470206753</v>
      </c>
    </row>
    <row r="339" spans="1:19" ht="15.75" customHeight="1" x14ac:dyDescent="0.25">
      <c r="A339" s="37">
        <v>61271</v>
      </c>
      <c r="B339" s="398">
        <f t="shared" ref="B339:C339" si="340">($A339-B$9)/365.25</f>
        <v>85.872689938398352</v>
      </c>
      <c r="C339" s="398">
        <f t="shared" si="340"/>
        <v>81.262149212867897</v>
      </c>
      <c r="E339" s="25">
        <f>IF(C339&gt;$B$7,0,'Combined Retirement'!$D$13/12)</f>
        <v>0</v>
      </c>
      <c r="F339" s="25">
        <f>IF(H339=0,'Combined Retirement'!$D$32,0)+'Combined Retirement'!$B$24</f>
        <v>2870.372285649099</v>
      </c>
      <c r="G339" s="25">
        <f>'Combined Retirement'!$C$24</f>
        <v>3254.2644699519233</v>
      </c>
      <c r="H339" s="25">
        <f>IF(B339&lt;62,0,'Combined Retirement'!$I$14)</f>
        <v>2345</v>
      </c>
      <c r="I339" s="25">
        <f>IF(C339&lt;62,0,'Combined Retirement'!$I$13)</f>
        <v>2420</v>
      </c>
      <c r="J339" s="25">
        <f t="shared" si="263"/>
        <v>8395.6297298201844</v>
      </c>
      <c r="K339" s="25">
        <f t="shared" si="264"/>
        <v>21655.303514578787</v>
      </c>
      <c r="L339" s="25"/>
      <c r="N339" s="25">
        <f>'Combined Retirement'!$C$18/12</f>
        <v>40940.569999999992</v>
      </c>
      <c r="O339" s="25">
        <f t="shared" si="265"/>
        <v>10889.636755601023</v>
      </c>
      <c r="P339" s="25">
        <f t="shared" si="266"/>
        <v>30050.93324439897</v>
      </c>
      <c r="Q339" s="25">
        <f t="array" aca="1" ref="Q339" ca="1">INDEX('Isaac 401k'!L:L,MATCH('Retirement Calculator'!A339,'Isaac 401k'!N:N,0),0)</f>
        <v>141011.46377024913</v>
      </c>
      <c r="R339" s="25">
        <f t="array" aca="1" ref="R339" ca="1">INDEX('Lorri 401b'!L:L,MATCH('Retirement Calculator'!A339,'Lorri 401b'!N:N,0),0)</f>
        <v>1871461.560480095</v>
      </c>
      <c r="S339" s="25">
        <f t="shared" ca="1" si="267"/>
        <v>2012473.0242503441</v>
      </c>
    </row>
    <row r="340" spans="1:19" ht="15.75" customHeight="1" x14ac:dyDescent="0.25">
      <c r="A340" s="37">
        <v>61302</v>
      </c>
      <c r="B340" s="398">
        <f t="shared" ref="B340:C340" si="341">($A340-B$9)/365.25</f>
        <v>85.957563312799451</v>
      </c>
      <c r="C340" s="398">
        <f t="shared" si="341"/>
        <v>81.347022587268995</v>
      </c>
      <c r="E340" s="25">
        <f>IF(C340&gt;$B$7,0,'Combined Retirement'!$D$13/12)</f>
        <v>0</v>
      </c>
      <c r="F340" s="25">
        <f>IF(H340=0,'Combined Retirement'!$D$32,0)+'Combined Retirement'!$B$24</f>
        <v>2870.372285649099</v>
      </c>
      <c r="G340" s="25">
        <f>'Combined Retirement'!$C$24</f>
        <v>3254.2644699519233</v>
      </c>
      <c r="H340" s="25">
        <f>IF(B340&lt;62,0,'Combined Retirement'!$I$14)</f>
        <v>2345</v>
      </c>
      <c r="I340" s="25">
        <f>IF(C340&lt;62,0,'Combined Retirement'!$I$13)</f>
        <v>2420</v>
      </c>
      <c r="J340" s="25">
        <f t="shared" si="263"/>
        <v>8395.6297298201844</v>
      </c>
      <c r="K340" s="25">
        <f t="shared" si="264"/>
        <v>21655.303514578787</v>
      </c>
      <c r="L340" s="25"/>
      <c r="N340" s="25">
        <f>'Combined Retirement'!$C$18/12</f>
        <v>40940.569999999992</v>
      </c>
      <c r="O340" s="25">
        <f t="shared" si="265"/>
        <v>10889.636755601023</v>
      </c>
      <c r="P340" s="25">
        <f t="shared" si="266"/>
        <v>30050.93324439897</v>
      </c>
      <c r="Q340" s="25">
        <f t="array" aca="1" ref="Q340" ca="1">INDEX('Isaac 401k'!L:L,MATCH('Retirement Calculator'!A340,'Isaac 401k'!N:N,0),0)</f>
        <v>133168.40001559741</v>
      </c>
      <c r="R340" s="25">
        <f t="array" aca="1" ref="R340" ca="1">INDEX('Lorri 401b'!L:L,MATCH('Retirement Calculator'!A340,'Lorri 401b'!N:N,0),0)</f>
        <v>1857513.7830362057</v>
      </c>
      <c r="S340" s="25">
        <f t="shared" ca="1" si="267"/>
        <v>1990682.1830518031</v>
      </c>
    </row>
    <row r="341" spans="1:19" ht="15.75" customHeight="1" x14ac:dyDescent="0.25">
      <c r="A341" s="37">
        <v>61332</v>
      </c>
      <c r="B341" s="398">
        <f t="shared" ref="B341:C341" si="342">($A341-B$9)/365.25</f>
        <v>86.039698836413422</v>
      </c>
      <c r="C341" s="398">
        <f t="shared" si="342"/>
        <v>81.429158110882952</v>
      </c>
      <c r="E341" s="25">
        <f>IF(C341&gt;$B$7,0,'Combined Retirement'!$D$13/12)</f>
        <v>0</v>
      </c>
      <c r="F341" s="25">
        <f>IF(H341=0,'Combined Retirement'!$D$32,0)+'Combined Retirement'!$B$24</f>
        <v>2870.372285649099</v>
      </c>
      <c r="G341" s="25">
        <f>'Combined Retirement'!$C$24</f>
        <v>3254.2644699519233</v>
      </c>
      <c r="H341" s="25">
        <f>IF(B341&lt;62,0,'Combined Retirement'!$I$14)</f>
        <v>2345</v>
      </c>
      <c r="I341" s="25">
        <f>IF(C341&lt;62,0,'Combined Retirement'!$I$13)</f>
        <v>2420</v>
      </c>
      <c r="J341" s="25">
        <f t="shared" si="263"/>
        <v>8395.6297298201844</v>
      </c>
      <c r="K341" s="25">
        <f t="shared" si="264"/>
        <v>21655.303514578787</v>
      </c>
      <c r="L341" s="25"/>
      <c r="N341" s="25">
        <f>'Combined Retirement'!$C$18/12</f>
        <v>40940.569999999992</v>
      </c>
      <c r="O341" s="25">
        <f t="shared" si="265"/>
        <v>10889.636755601023</v>
      </c>
      <c r="P341" s="25">
        <f t="shared" si="266"/>
        <v>30050.93324439897</v>
      </c>
      <c r="Q341" s="25">
        <f t="array" aca="1" ref="Q341" ca="1">INDEX('Isaac 401k'!L:L,MATCH('Retirement Calculator'!A341,'Isaac 401k'!N:N,0),0)</f>
        <v>125292.65682863463</v>
      </c>
      <c r="R341" s="25">
        <f t="array" aca="1" ref="R341" ca="1">INDEX('Lorri 401b'!L:L,MATCH('Retirement Calculator'!A341,'Lorri 401b'!N:N,0),0)</f>
        <v>1843507.8898529669</v>
      </c>
      <c r="S341" s="25">
        <f t="shared" ca="1" si="267"/>
        <v>1968800.5466816016</v>
      </c>
    </row>
    <row r="342" spans="1:19" ht="15.75" customHeight="1" x14ac:dyDescent="0.25">
      <c r="A342" s="37">
        <v>61363</v>
      </c>
      <c r="B342" s="398">
        <f t="shared" ref="B342:C342" si="343">($A342-B$9)/365.25</f>
        <v>86.124572210814506</v>
      </c>
      <c r="C342" s="398">
        <f t="shared" si="343"/>
        <v>81.51403148528405</v>
      </c>
      <c r="E342" s="25">
        <f>IF(C342&gt;$B$7,0,'Combined Retirement'!$D$13/12)</f>
        <v>0</v>
      </c>
      <c r="F342" s="25">
        <f>IF(H342=0,'Combined Retirement'!$D$32,0)+'Combined Retirement'!$B$24</f>
        <v>2870.372285649099</v>
      </c>
      <c r="G342" s="25">
        <f>'Combined Retirement'!$C$24</f>
        <v>3254.2644699519233</v>
      </c>
      <c r="H342" s="25">
        <f>IF(B342&lt;62,0,'Combined Retirement'!$I$14)</f>
        <v>2345</v>
      </c>
      <c r="I342" s="25">
        <f>IF(C342&lt;62,0,'Combined Retirement'!$I$13)</f>
        <v>2420</v>
      </c>
      <c r="J342" s="25">
        <f t="shared" si="263"/>
        <v>8395.6297298201844</v>
      </c>
      <c r="K342" s="25">
        <f t="shared" si="264"/>
        <v>21655.303514578787</v>
      </c>
      <c r="L342" s="25"/>
      <c r="N342" s="25">
        <f>'Combined Retirement'!$C$18/12</f>
        <v>40940.569999999992</v>
      </c>
      <c r="O342" s="25">
        <f t="shared" si="265"/>
        <v>10889.636755601023</v>
      </c>
      <c r="P342" s="25">
        <f t="shared" si="266"/>
        <v>30050.93324439897</v>
      </c>
      <c r="Q342" s="25">
        <f t="array" aca="1" ref="Q342" ca="1">INDEX('Isaac 401k'!L:L,MATCH('Retirement Calculator'!A342,'Isaac 401k'!N:N,0),0)</f>
        <v>117384.09804505951</v>
      </c>
      <c r="R342" s="25">
        <f t="array" aca="1" ref="R342" ca="1">INDEX('Lorri 401b'!L:L,MATCH('Retirement Calculator'!A342,'Lorri 401b'!N:N,0),0)</f>
        <v>1829443.6387814647</v>
      </c>
      <c r="S342" s="25">
        <f t="shared" ca="1" si="267"/>
        <v>1946827.7368265241</v>
      </c>
    </row>
    <row r="343" spans="1:19" ht="15.75" customHeight="1" x14ac:dyDescent="0.25">
      <c r="A343" s="37">
        <v>61394</v>
      </c>
      <c r="B343" s="398">
        <f t="shared" ref="B343:C343" si="344">($A343-B$9)/365.25</f>
        <v>86.209445585215605</v>
      </c>
      <c r="C343" s="398">
        <f t="shared" si="344"/>
        <v>81.598904859685149</v>
      </c>
      <c r="E343" s="25">
        <f>IF(C343&gt;$B$7,0,'Combined Retirement'!$D$13/12)</f>
        <v>0</v>
      </c>
      <c r="F343" s="25">
        <f>IF(H343=0,'Combined Retirement'!$D$32,0)+'Combined Retirement'!$B$24</f>
        <v>2870.372285649099</v>
      </c>
      <c r="G343" s="25">
        <f>'Combined Retirement'!$C$24</f>
        <v>3254.2644699519233</v>
      </c>
      <c r="H343" s="25">
        <f>IF(B343&lt;62,0,'Combined Retirement'!$I$14)</f>
        <v>2345</v>
      </c>
      <c r="I343" s="25">
        <f>IF(C343&lt;62,0,'Combined Retirement'!$I$13)</f>
        <v>2420</v>
      </c>
      <c r="J343" s="25">
        <f t="shared" si="263"/>
        <v>8395.6297298201844</v>
      </c>
      <c r="K343" s="25">
        <f t="shared" si="264"/>
        <v>21655.303514578787</v>
      </c>
      <c r="L343" s="25"/>
      <c r="N343" s="25">
        <f>'Combined Retirement'!$C$18/12</f>
        <v>40940.569999999992</v>
      </c>
      <c r="O343" s="25">
        <f t="shared" si="265"/>
        <v>10889.636755601023</v>
      </c>
      <c r="P343" s="25">
        <f t="shared" si="266"/>
        <v>30050.93324439897</v>
      </c>
      <c r="Q343" s="25">
        <f t="array" aca="1" ref="Q343" ca="1">INDEX('Isaac 401k'!L:L,MATCH('Retirement Calculator'!A343,'Isaac 401k'!N:N,0),0)</f>
        <v>109442.58693321949</v>
      </c>
      <c r="R343" s="25">
        <f t="array" aca="1" ref="R343" ca="1">INDEX('Lorri 401b'!L:L,MATCH('Retirement Calculator'!A343,'Lorri 401b'!N:N,0),0)</f>
        <v>1815320.7866638312</v>
      </c>
      <c r="S343" s="25">
        <f t="shared" ca="1" si="267"/>
        <v>1924763.3735970508</v>
      </c>
    </row>
    <row r="344" spans="1:19" ht="15.75" customHeight="1" x14ac:dyDescent="0.25">
      <c r="A344" s="37">
        <v>61423</v>
      </c>
      <c r="B344" s="398">
        <f t="shared" ref="B344:C344" si="345">($A344-B$9)/365.25</f>
        <v>86.288843258042434</v>
      </c>
      <c r="C344" s="398">
        <f t="shared" si="345"/>
        <v>81.678302532511978</v>
      </c>
      <c r="E344" s="25">
        <f>IF(C344&gt;$B$7,0,'Combined Retirement'!$D$13/12)</f>
        <v>0</v>
      </c>
      <c r="F344" s="25">
        <f>IF(H344=0,'Combined Retirement'!$D$32,0)+'Combined Retirement'!$B$24</f>
        <v>2870.372285649099</v>
      </c>
      <c r="G344" s="25">
        <f>'Combined Retirement'!$C$24</f>
        <v>3254.2644699519233</v>
      </c>
      <c r="H344" s="25">
        <f>IF(B344&lt;62,0,'Combined Retirement'!$I$14)</f>
        <v>2345</v>
      </c>
      <c r="I344" s="25">
        <f>IF(C344&lt;62,0,'Combined Retirement'!$I$13)</f>
        <v>2420</v>
      </c>
      <c r="J344" s="25">
        <f t="shared" si="263"/>
        <v>8395.6297298201844</v>
      </c>
      <c r="K344" s="25">
        <f t="shared" si="264"/>
        <v>21655.303514578787</v>
      </c>
      <c r="L344" s="25"/>
      <c r="N344" s="25">
        <f>'Combined Retirement'!$C$18/12</f>
        <v>40940.569999999992</v>
      </c>
      <c r="O344" s="25">
        <f t="shared" si="265"/>
        <v>10889.636755601023</v>
      </c>
      <c r="P344" s="25">
        <f t="shared" si="266"/>
        <v>30050.93324439897</v>
      </c>
      <c r="Q344" s="25">
        <f t="array" aca="1" ref="Q344" ca="1">INDEX('Isaac 401k'!L:L,MATCH('Retirement Calculator'!A344,'Isaac 401k'!N:N,0),0)</f>
        <v>101467.98619174679</v>
      </c>
      <c r="R344" s="25">
        <f t="array" aca="1" ref="R344" ca="1">INDEX('Lorri 401b'!L:L,MATCH('Retirement Calculator'!A344,'Lorri 401b'!N:N,0),0)</f>
        <v>1801139.0893290408</v>
      </c>
      <c r="S344" s="25">
        <f t="shared" ca="1" si="267"/>
        <v>1902607.0755207876</v>
      </c>
    </row>
    <row r="345" spans="1:19" ht="15.75" customHeight="1" x14ac:dyDescent="0.25">
      <c r="A345" s="37">
        <v>61454</v>
      </c>
      <c r="B345" s="398">
        <f t="shared" ref="B345:C345" si="346">($A345-B$9)/365.25</f>
        <v>86.373716632443532</v>
      </c>
      <c r="C345" s="398">
        <f t="shared" si="346"/>
        <v>81.763175906913077</v>
      </c>
      <c r="E345" s="25">
        <f>IF(C345&gt;$B$7,0,'Combined Retirement'!$D$13/12)</f>
        <v>0</v>
      </c>
      <c r="F345" s="25">
        <f>IF(H345=0,'Combined Retirement'!$D$32,0)+'Combined Retirement'!$B$24</f>
        <v>2870.372285649099</v>
      </c>
      <c r="G345" s="25">
        <f>'Combined Retirement'!$C$24</f>
        <v>3254.2644699519233</v>
      </c>
      <c r="H345" s="25">
        <f>IF(B345&lt;62,0,'Combined Retirement'!$I$14)</f>
        <v>2345</v>
      </c>
      <c r="I345" s="25">
        <f>IF(C345&lt;62,0,'Combined Retirement'!$I$13)</f>
        <v>2420</v>
      </c>
      <c r="J345" s="25">
        <f t="shared" si="263"/>
        <v>8395.6297298201844</v>
      </c>
      <c r="K345" s="25">
        <f t="shared" si="264"/>
        <v>21655.303514578787</v>
      </c>
      <c r="L345" s="25"/>
      <c r="N345" s="25">
        <f>'Combined Retirement'!$C$18/12</f>
        <v>40940.569999999992</v>
      </c>
      <c r="O345" s="25">
        <f t="shared" si="265"/>
        <v>10889.636755601023</v>
      </c>
      <c r="P345" s="25">
        <f t="shared" si="266"/>
        <v>30050.93324439897</v>
      </c>
      <c r="Q345" s="25">
        <f t="array" aca="1" ref="Q345" ca="1">INDEX('Isaac 401k'!L:L,MATCH('Retirement Calculator'!A345,'Isaac 401k'!N:N,0),0)</f>
        <v>93460.157947184634</v>
      </c>
      <c r="R345" s="25">
        <f t="array" aca="1" ref="R345" ca="1">INDEX('Lorri 401b'!L:L,MATCH('Retirement Calculator'!A345,'Lorri 401b'!N:N,0),0)</f>
        <v>1786898.301588689</v>
      </c>
      <c r="S345" s="25">
        <f t="shared" ca="1" si="267"/>
        <v>1880358.4595358735</v>
      </c>
    </row>
    <row r="346" spans="1:19" ht="15.75" customHeight="1" x14ac:dyDescent="0.25">
      <c r="A346" s="37">
        <v>61484</v>
      </c>
      <c r="B346" s="398">
        <f t="shared" ref="B346:C346" si="347">($A346-B$9)/365.25</f>
        <v>86.455852156057489</v>
      </c>
      <c r="C346" s="398">
        <f t="shared" si="347"/>
        <v>81.845311430527033</v>
      </c>
      <c r="E346" s="25">
        <f>IF(C346&gt;$B$7,0,'Combined Retirement'!$D$13/12)</f>
        <v>0</v>
      </c>
      <c r="F346" s="25">
        <f>IF(H346=0,'Combined Retirement'!$D$32,0)+'Combined Retirement'!$B$24</f>
        <v>2870.372285649099</v>
      </c>
      <c r="G346" s="25">
        <f>'Combined Retirement'!$C$24</f>
        <v>3254.2644699519233</v>
      </c>
      <c r="H346" s="25">
        <f>IF(B346&lt;62,0,'Combined Retirement'!$I$14)</f>
        <v>2345</v>
      </c>
      <c r="I346" s="25">
        <f>IF(C346&lt;62,0,'Combined Retirement'!$I$13)</f>
        <v>2420</v>
      </c>
      <c r="J346" s="25">
        <f t="shared" si="263"/>
        <v>8395.6297298201844</v>
      </c>
      <c r="K346" s="25">
        <f t="shared" si="264"/>
        <v>21655.303514578787</v>
      </c>
      <c r="L346" s="25"/>
      <c r="N346" s="25">
        <f>'Combined Retirement'!$C$18/12</f>
        <v>40940.569999999992</v>
      </c>
      <c r="O346" s="25">
        <f t="shared" si="265"/>
        <v>10889.636755601023</v>
      </c>
      <c r="P346" s="25">
        <f t="shared" si="266"/>
        <v>30050.93324439897</v>
      </c>
      <c r="Q346" s="25">
        <f t="array" aca="1" ref="Q346" ca="1">INDEX('Isaac 401k'!L:L,MATCH('Retirement Calculator'!A346,'Isaac 401k'!N:N,0),0)</f>
        <v>85418.963751603471</v>
      </c>
      <c r="R346" s="25">
        <f t="array" aca="1" ref="R346" ca="1">INDEX('Lorri 401b'!L:L,MATCH('Retirement Calculator'!A346,'Lorri 401b'!N:N,0),0)</f>
        <v>1772598.1772327523</v>
      </c>
      <c r="S346" s="25">
        <f t="shared" ca="1" si="267"/>
        <v>1858017.1409843557</v>
      </c>
    </row>
    <row r="347" spans="1:19" ht="15.75" customHeight="1" x14ac:dyDescent="0.25">
      <c r="A347" s="37">
        <v>61515</v>
      </c>
      <c r="B347" s="398">
        <f t="shared" ref="B347:C347" si="348">($A347-B$9)/365.25</f>
        <v>86.540725530458587</v>
      </c>
      <c r="C347" s="398">
        <f t="shared" si="348"/>
        <v>81.930184804928132</v>
      </c>
      <c r="E347" s="25">
        <f>IF(C347&gt;$B$7,0,'Combined Retirement'!$D$13/12)</f>
        <v>0</v>
      </c>
      <c r="F347" s="25">
        <f>IF(H347=0,'Combined Retirement'!$D$32,0)+'Combined Retirement'!$B$24</f>
        <v>2870.372285649099</v>
      </c>
      <c r="G347" s="25">
        <f>'Combined Retirement'!$C$24</f>
        <v>3254.2644699519233</v>
      </c>
      <c r="H347" s="25">
        <f>IF(B347&lt;62,0,'Combined Retirement'!$I$14)</f>
        <v>2345</v>
      </c>
      <c r="I347" s="25">
        <f>IF(C347&lt;62,0,'Combined Retirement'!$I$13)</f>
        <v>2420</v>
      </c>
      <c r="J347" s="25">
        <f t="shared" si="263"/>
        <v>8395.6297298201844</v>
      </c>
      <c r="K347" s="25">
        <f t="shared" si="264"/>
        <v>21655.303514578787</v>
      </c>
      <c r="L347" s="25"/>
      <c r="N347" s="25">
        <f>'Combined Retirement'!$C$18/12</f>
        <v>40940.569999999992</v>
      </c>
      <c r="O347" s="25">
        <f t="shared" si="265"/>
        <v>10889.636755601023</v>
      </c>
      <c r="P347" s="25">
        <f t="shared" si="266"/>
        <v>30050.93324439897</v>
      </c>
      <c r="Q347" s="25">
        <f t="array" aca="1" ref="Q347" ca="1">INDEX('Isaac 401k'!L:L,MATCH('Retirement Calculator'!A347,'Isaac 401k'!N:N,0),0)</f>
        <v>77344.264580207382</v>
      </c>
      <c r="R347" s="25">
        <f t="array" aca="1" ref="R347" ca="1">INDEX('Lorri 401b'!L:L,MATCH('Retirement Calculator'!A347,'Lorri 401b'!N:N,0),0)</f>
        <v>1758238.4690253325</v>
      </c>
      <c r="S347" s="25">
        <f t="shared" ca="1" si="267"/>
        <v>1835582.7336055399</v>
      </c>
    </row>
    <row r="348" spans="1:19" ht="15.75" customHeight="1" x14ac:dyDescent="0.25">
      <c r="A348" s="37">
        <v>61545</v>
      </c>
      <c r="B348" s="398">
        <f t="shared" ref="B348:C348" si="349">($A348-B$9)/365.25</f>
        <v>86.622861054072558</v>
      </c>
      <c r="C348" s="398">
        <f t="shared" si="349"/>
        <v>82.012320328542089</v>
      </c>
      <c r="E348" s="25">
        <f>IF(C348&gt;$B$7,0,'Combined Retirement'!$D$13/12)</f>
        <v>0</v>
      </c>
      <c r="F348" s="25">
        <f>IF(H348=0,'Combined Retirement'!$D$32,0)+'Combined Retirement'!$B$24</f>
        <v>2870.372285649099</v>
      </c>
      <c r="G348" s="25">
        <f>'Combined Retirement'!$C$24</f>
        <v>3254.2644699519233</v>
      </c>
      <c r="H348" s="25">
        <f>IF(B348&lt;62,0,'Combined Retirement'!$I$14)</f>
        <v>2345</v>
      </c>
      <c r="I348" s="25">
        <f>IF(C348&lt;62,0,'Combined Retirement'!$I$13)</f>
        <v>2420</v>
      </c>
      <c r="J348" s="25">
        <f t="shared" si="263"/>
        <v>8395.6297298201844</v>
      </c>
      <c r="K348" s="25">
        <f t="shared" si="264"/>
        <v>21655.303514578787</v>
      </c>
      <c r="L348" s="25"/>
      <c r="N348" s="25">
        <f>'Combined Retirement'!$C$18/12</f>
        <v>40940.569999999992</v>
      </c>
      <c r="O348" s="25">
        <f t="shared" si="265"/>
        <v>10889.636755601023</v>
      </c>
      <c r="P348" s="25">
        <f t="shared" si="266"/>
        <v>30050.93324439897</v>
      </c>
      <c r="Q348" s="25">
        <f t="array" aca="1" ref="Q348" ca="1">INDEX('Isaac 401k'!L:L,MATCH('Retirement Calculator'!A348,'Isaac 401k'!N:N,0),0)</f>
        <v>69235.920828930481</v>
      </c>
      <c r="R348" s="25">
        <f t="array" aca="1" ref="R348" ca="1">INDEX('Lorri 401b'!L:L,MATCH('Retirement Calculator'!A348,'Lorri 401b'!N:N,0),0)</f>
        <v>1743818.9287003819</v>
      </c>
      <c r="S348" s="25">
        <f t="shared" ca="1" si="267"/>
        <v>1813054.8495293125</v>
      </c>
    </row>
    <row r="349" spans="1:19" ht="15.75" customHeight="1" x14ac:dyDescent="0.25">
      <c r="A349" s="37">
        <v>61576</v>
      </c>
      <c r="B349" s="398">
        <f t="shared" ref="B349:C349" si="350">($A349-B$9)/365.25</f>
        <v>86.707734428473643</v>
      </c>
      <c r="C349" s="398">
        <f t="shared" si="350"/>
        <v>82.097193702943187</v>
      </c>
      <c r="E349" s="25">
        <f>IF(C349&gt;$B$7,0,'Combined Retirement'!$D$13/12)</f>
        <v>0</v>
      </c>
      <c r="F349" s="25">
        <f>IF(H349=0,'Combined Retirement'!$D$32,0)+'Combined Retirement'!$B$24</f>
        <v>2870.372285649099</v>
      </c>
      <c r="G349" s="25">
        <f>'Combined Retirement'!$C$24</f>
        <v>3254.2644699519233</v>
      </c>
      <c r="H349" s="25">
        <f>IF(B349&lt;62,0,'Combined Retirement'!$I$14)</f>
        <v>2345</v>
      </c>
      <c r="I349" s="25">
        <f>IF(C349&lt;62,0,'Combined Retirement'!$I$13)</f>
        <v>2420</v>
      </c>
      <c r="J349" s="25">
        <f t="shared" si="263"/>
        <v>8395.6297298201844</v>
      </c>
      <c r="K349" s="25">
        <f t="shared" si="264"/>
        <v>21655.303514578787</v>
      </c>
      <c r="L349" s="25"/>
      <c r="N349" s="25">
        <f>'Combined Retirement'!$C$18/12</f>
        <v>40940.569999999992</v>
      </c>
      <c r="O349" s="25">
        <f t="shared" si="265"/>
        <v>10889.636755601023</v>
      </c>
      <c r="P349" s="25">
        <f t="shared" si="266"/>
        <v>30050.93324439897</v>
      </c>
      <c r="Q349" s="25">
        <f t="array" aca="1" ref="Q349" ca="1">INDEX('Isaac 401k'!L:L,MATCH('Retirement Calculator'!A349,'Isaac 401k'!N:N,0),0)</f>
        <v>61093.792312023259</v>
      </c>
      <c r="R349" s="25">
        <f t="array" aca="1" ref="R349" ca="1">INDEX('Lorri 401b'!L:L,MATCH('Retirement Calculator'!A349,'Lorri 401b'!N:N,0),0)</f>
        <v>1729339.3069574106</v>
      </c>
      <c r="S349" s="25">
        <f t="shared" ca="1" si="267"/>
        <v>1790433.0992694339</v>
      </c>
    </row>
    <row r="350" spans="1:19" ht="15.75" customHeight="1" x14ac:dyDescent="0.25">
      <c r="A350" s="37">
        <v>61607</v>
      </c>
      <c r="B350" s="398">
        <f t="shared" ref="B350:C350" si="351">($A350-B$9)/365.25</f>
        <v>86.792607802874741</v>
      </c>
      <c r="C350" s="398">
        <f t="shared" si="351"/>
        <v>82.182067077344286</v>
      </c>
      <c r="E350" s="25">
        <f>IF(C350&gt;$B$7,0,'Combined Retirement'!$D$13/12)</f>
        <v>0</v>
      </c>
      <c r="F350" s="25">
        <f>IF(H350=0,'Combined Retirement'!$D$32,0)+'Combined Retirement'!$B$24</f>
        <v>2870.372285649099</v>
      </c>
      <c r="G350" s="25">
        <f>'Combined Retirement'!$C$24</f>
        <v>3254.2644699519233</v>
      </c>
      <c r="H350" s="25">
        <f>IF(B350&lt;62,0,'Combined Retirement'!$I$14)</f>
        <v>2345</v>
      </c>
      <c r="I350" s="25">
        <f>IF(C350&lt;62,0,'Combined Retirement'!$I$13)</f>
        <v>2420</v>
      </c>
      <c r="J350" s="25">
        <f t="shared" si="263"/>
        <v>8395.6297298201844</v>
      </c>
      <c r="K350" s="25">
        <f t="shared" si="264"/>
        <v>21655.303514578787</v>
      </c>
      <c r="L350" s="25"/>
      <c r="N350" s="25">
        <f>'Combined Retirement'!$C$18/12</f>
        <v>40940.569999999992</v>
      </c>
      <c r="O350" s="25">
        <f t="shared" si="265"/>
        <v>10889.636755601023</v>
      </c>
      <c r="P350" s="25">
        <f t="shared" si="266"/>
        <v>30050.93324439897</v>
      </c>
      <c r="Q350" s="25">
        <f t="array" aca="1" ref="Q350" ca="1">INDEX('Isaac 401k'!L:L,MATCH('Retirement Calculator'!A350,'Isaac 401k'!N:N,0),0)</f>
        <v>52917.738259628924</v>
      </c>
      <c r="R350" s="25">
        <f t="array" aca="1" ref="R350" ca="1">INDEX('Lorri 401b'!L:L,MATCH('Retirement Calculator'!A350,'Lorri 401b'!N:N,0),0)</f>
        <v>1714799.3534571768</v>
      </c>
      <c r="S350" s="25">
        <f t="shared" ca="1" si="267"/>
        <v>1767717.0917168057</v>
      </c>
    </row>
    <row r="351" spans="1:19" ht="15.75" customHeight="1" x14ac:dyDescent="0.25">
      <c r="A351" s="37">
        <v>61637</v>
      </c>
      <c r="B351" s="398">
        <f t="shared" ref="B351:C351" si="352">($A351-B$9)/365.25</f>
        <v>86.874743326488712</v>
      </c>
      <c r="C351" s="398">
        <f t="shared" si="352"/>
        <v>82.264202600958242</v>
      </c>
      <c r="E351" s="25">
        <f>IF(C351&gt;$B$7,0,'Combined Retirement'!$D$13/12)</f>
        <v>0</v>
      </c>
      <c r="F351" s="25">
        <f>IF(H351=0,'Combined Retirement'!$D$32,0)+'Combined Retirement'!$B$24</f>
        <v>2870.372285649099</v>
      </c>
      <c r="G351" s="25">
        <f>'Combined Retirement'!$C$24</f>
        <v>3254.2644699519233</v>
      </c>
      <c r="H351" s="25">
        <f>IF(B351&lt;62,0,'Combined Retirement'!$I$14)</f>
        <v>2345</v>
      </c>
      <c r="I351" s="25">
        <f>IF(C351&lt;62,0,'Combined Retirement'!$I$13)</f>
        <v>2420</v>
      </c>
      <c r="J351" s="25">
        <f t="shared" si="263"/>
        <v>8395.6297298201844</v>
      </c>
      <c r="K351" s="25">
        <f t="shared" si="264"/>
        <v>21655.303514578787</v>
      </c>
      <c r="L351" s="25"/>
      <c r="N351" s="25">
        <f>'Combined Retirement'!$C$18/12</f>
        <v>40940.569999999992</v>
      </c>
      <c r="O351" s="25">
        <f t="shared" si="265"/>
        <v>10889.636755601023</v>
      </c>
      <c r="P351" s="25">
        <f t="shared" si="266"/>
        <v>30050.93324439897</v>
      </c>
      <c r="Q351" s="25">
        <f t="array" aca="1" ref="Q351" ca="1">INDEX('Isaac 401k'!L:L,MATCH('Retirement Calculator'!A351,'Isaac 401k'!N:N,0),0)</f>
        <v>44707.617315349613</v>
      </c>
      <c r="R351" s="25">
        <f t="array" aca="1" ref="R351" ca="1">INDEX('Lorri 401b'!L:L,MATCH('Retirement Calculator'!A351,'Lorri 401b'!N:N,0),0)</f>
        <v>1700198.8168173588</v>
      </c>
      <c r="S351" s="25">
        <f t="shared" ca="1" si="267"/>
        <v>1744906.4341327085</v>
      </c>
    </row>
    <row r="352" spans="1:19" ht="15.75" customHeight="1" x14ac:dyDescent="0.25">
      <c r="A352" s="37">
        <v>61668</v>
      </c>
      <c r="B352" s="398">
        <f t="shared" ref="B352:C352" si="353">($A352-B$9)/365.25</f>
        <v>86.959616700889796</v>
      </c>
      <c r="C352" s="398">
        <f t="shared" si="353"/>
        <v>82.349075975359341</v>
      </c>
      <c r="E352" s="25">
        <f>IF(C352&gt;$B$7,0,'Combined Retirement'!$D$13/12)</f>
        <v>0</v>
      </c>
      <c r="F352" s="25">
        <f>IF(H352=0,'Combined Retirement'!$D$32,0)+'Combined Retirement'!$B$24</f>
        <v>2870.372285649099</v>
      </c>
      <c r="G352" s="25">
        <f>'Combined Retirement'!$C$24</f>
        <v>3254.2644699519233</v>
      </c>
      <c r="H352" s="25">
        <f>IF(B352&lt;62,0,'Combined Retirement'!$I$14)</f>
        <v>2345</v>
      </c>
      <c r="I352" s="25">
        <f>IF(C352&lt;62,0,'Combined Retirement'!$I$13)</f>
        <v>2420</v>
      </c>
      <c r="J352" s="25">
        <f t="shared" si="263"/>
        <v>8395.6297298201844</v>
      </c>
      <c r="K352" s="25">
        <f t="shared" si="264"/>
        <v>21655.303514578787</v>
      </c>
      <c r="L352" s="25"/>
      <c r="N352" s="25">
        <f>'Combined Retirement'!$C$18/12</f>
        <v>40940.569999999992</v>
      </c>
      <c r="O352" s="25">
        <f t="shared" si="265"/>
        <v>10889.636755601023</v>
      </c>
      <c r="P352" s="25">
        <f t="shared" si="266"/>
        <v>30050.93324439897</v>
      </c>
      <c r="Q352" s="25">
        <f t="array" aca="1" ref="Q352" ca="1">INDEX('Isaac 401k'!L:L,MATCH('Retirement Calculator'!A352,'Isaac 401k'!N:N,0),0)</f>
        <v>36463.287533802468</v>
      </c>
      <c r="R352" s="25">
        <f t="array" aca="1" ref="R352" ca="1">INDEX('Lorri 401b'!L:L,MATCH('Retirement Calculator'!A352,'Lorri 401b'!N:N,0),0)</f>
        <v>1685537.4446082083</v>
      </c>
      <c r="S352" s="25">
        <f t="shared" ca="1" si="267"/>
        <v>1722000.7321420107</v>
      </c>
    </row>
    <row r="353" spans="1:19" ht="15.75" customHeight="1" x14ac:dyDescent="0.25">
      <c r="A353" s="37">
        <v>61698</v>
      </c>
      <c r="B353" s="398">
        <f t="shared" ref="B353:C353" si="354">($A353-B$9)/365.25</f>
        <v>87.041752224503767</v>
      </c>
      <c r="C353" s="398">
        <f t="shared" si="354"/>
        <v>82.431211498973312</v>
      </c>
      <c r="E353" s="25">
        <f>IF(C353&gt;$B$7,0,'Combined Retirement'!$D$13/12)</f>
        <v>0</v>
      </c>
      <c r="F353" s="25">
        <f>IF(H353=0,'Combined Retirement'!$D$32,0)+'Combined Retirement'!$B$24</f>
        <v>2870.372285649099</v>
      </c>
      <c r="G353" s="25">
        <f>'Combined Retirement'!$C$24</f>
        <v>3254.2644699519233</v>
      </c>
      <c r="H353" s="25">
        <f>IF(B353&lt;62,0,'Combined Retirement'!$I$14)</f>
        <v>2345</v>
      </c>
      <c r="I353" s="25">
        <f>IF(C353&lt;62,0,'Combined Retirement'!$I$13)</f>
        <v>2420</v>
      </c>
      <c r="J353" s="25">
        <f t="shared" si="263"/>
        <v>8395.6297298201844</v>
      </c>
      <c r="K353" s="25">
        <f t="shared" si="264"/>
        <v>21655.303514578787</v>
      </c>
      <c r="L353" s="25"/>
      <c r="N353" s="25">
        <f>'Combined Retirement'!$C$18/12</f>
        <v>40940.569999999992</v>
      </c>
      <c r="O353" s="25">
        <f t="shared" si="265"/>
        <v>10889.636755601023</v>
      </c>
      <c r="P353" s="25">
        <f t="shared" si="266"/>
        <v>30050.93324439897</v>
      </c>
      <c r="Q353" s="25">
        <f t="array" aca="1" ref="Q353" ca="1">INDEX('Isaac 401k'!L:L,MATCH('Retirement Calculator'!A353,'Isaac 401k'!N:N,0),0)</f>
        <v>28184.606378165543</v>
      </c>
      <c r="R353" s="25">
        <f t="array" aca="1" ref="R353" ca="1">INDEX('Lorri 401b'!L:L,MATCH('Retirement Calculator'!A353,'Lorri 401b'!N:N,0),0)</f>
        <v>1670814.9833481861</v>
      </c>
      <c r="S353" s="25">
        <f t="shared" ca="1" si="267"/>
        <v>1698999.5897263517</v>
      </c>
    </row>
    <row r="354" spans="1:19" ht="15.75" customHeight="1" x14ac:dyDescent="0.25">
      <c r="A354" s="37">
        <v>61729</v>
      </c>
      <c r="B354" s="398">
        <f t="shared" ref="B354:C354" si="355">($A354-B$9)/365.25</f>
        <v>87.126625598904866</v>
      </c>
      <c r="C354" s="398">
        <f t="shared" si="355"/>
        <v>82.516084873374396</v>
      </c>
      <c r="E354" s="25">
        <f>IF(C354&gt;$B$7,0,'Combined Retirement'!$D$13/12)</f>
        <v>0</v>
      </c>
      <c r="F354" s="25">
        <f>IF(H354=0,'Combined Retirement'!$D$32,0)+'Combined Retirement'!$B$24</f>
        <v>2870.372285649099</v>
      </c>
      <c r="G354" s="25">
        <f>'Combined Retirement'!$C$24</f>
        <v>3254.2644699519233</v>
      </c>
      <c r="H354" s="25">
        <f>IF(B354&lt;62,0,'Combined Retirement'!$I$14)</f>
        <v>2345</v>
      </c>
      <c r="I354" s="25">
        <f>IF(C354&lt;62,0,'Combined Retirement'!$I$13)</f>
        <v>2420</v>
      </c>
      <c r="J354" s="25">
        <f t="shared" si="263"/>
        <v>8395.6297298201844</v>
      </c>
      <c r="K354" s="25">
        <f t="shared" si="264"/>
        <v>21655.303514578787</v>
      </c>
      <c r="L354" s="25"/>
      <c r="N354" s="25">
        <f>'Combined Retirement'!$C$18/12</f>
        <v>40940.569999999992</v>
      </c>
      <c r="O354" s="25">
        <f t="shared" si="265"/>
        <v>10889.636755601023</v>
      </c>
      <c r="P354" s="25">
        <f t="shared" si="266"/>
        <v>30050.93324439897</v>
      </c>
      <c r="Q354" s="25">
        <f t="array" aca="1" ref="Q354" ca="1">INDEX('Isaac 401k'!L:L,MATCH('Retirement Calculator'!A354,'Isaac 401k'!N:N,0),0)</f>
        <v>19871.430717713461</v>
      </c>
      <c r="R354" s="25">
        <f t="array" aca="1" ref="R354" ca="1">INDEX('Lorri 401b'!L:L,MATCH('Retirement Calculator'!A354,'Lorri 401b'!N:N,0),0)</f>
        <v>1656031.1784995806</v>
      </c>
      <c r="S354" s="25">
        <f t="shared" ca="1" si="267"/>
        <v>1675902.609217294</v>
      </c>
    </row>
    <row r="355" spans="1:19" ht="15.75" customHeight="1" x14ac:dyDescent="0.25">
      <c r="A355" s="37">
        <v>61760</v>
      </c>
      <c r="B355" s="398">
        <f t="shared" ref="B355:C355" si="356">($A355-B$9)/365.25</f>
        <v>87.21149897330595</v>
      </c>
      <c r="C355" s="398">
        <f t="shared" si="356"/>
        <v>82.600958247775495</v>
      </c>
      <c r="E355" s="25">
        <f>IF(C355&gt;$B$7,0,'Combined Retirement'!$D$13/12)</f>
        <v>0</v>
      </c>
      <c r="F355" s="25">
        <f>IF(H355=0,'Combined Retirement'!$D$32,0)+'Combined Retirement'!$B$24</f>
        <v>2870.372285649099</v>
      </c>
      <c r="G355" s="25">
        <f>'Combined Retirement'!$C$24</f>
        <v>3254.2644699519233</v>
      </c>
      <c r="H355" s="25">
        <f>IF(B355&lt;62,0,'Combined Retirement'!$I$14)</f>
        <v>2345</v>
      </c>
      <c r="I355" s="25">
        <f>IF(C355&lt;62,0,'Combined Retirement'!$I$13)</f>
        <v>2420</v>
      </c>
      <c r="J355" s="25">
        <f t="shared" si="263"/>
        <v>8395.6297298201844</v>
      </c>
      <c r="K355" s="25">
        <f t="shared" si="264"/>
        <v>21655.303514578787</v>
      </c>
      <c r="L355" s="25"/>
      <c r="N355" s="25">
        <f>'Combined Retirement'!$C$18/12</f>
        <v>40940.569999999992</v>
      </c>
      <c r="O355" s="25">
        <f t="shared" si="265"/>
        <v>10889.636755601023</v>
      </c>
      <c r="P355" s="25">
        <f t="shared" si="266"/>
        <v>30050.93324439897</v>
      </c>
      <c r="Q355" s="25">
        <f t="array" aca="1" ref="Q355" ca="1">INDEX('Isaac 401k'!L:L,MATCH('Retirement Calculator'!A355,'Isaac 401k'!N:N,0),0)</f>
        <v>11523.616825342833</v>
      </c>
      <c r="R355" s="25">
        <f t="array" aca="1" ref="R355" ca="1">INDEX('Lorri 401b'!L:L,MATCH('Retirement Calculator'!A355,'Lorri 401b'!N:N,0),0)</f>
        <v>1641185.774464106</v>
      </c>
      <c r="S355" s="25">
        <f t="shared" ca="1" si="267"/>
        <v>1652709.3912894488</v>
      </c>
    </row>
    <row r="356" spans="1:19" ht="15.75" customHeight="1" x14ac:dyDescent="0.25">
      <c r="A356" s="37">
        <v>61788</v>
      </c>
      <c r="B356" s="398">
        <f t="shared" ref="B356:C356" si="357">($A356-B$9)/365.25</f>
        <v>87.288158795345652</v>
      </c>
      <c r="C356" s="398">
        <f t="shared" si="357"/>
        <v>82.677618069815196</v>
      </c>
      <c r="E356" s="25">
        <f>IF(C356&gt;$B$7,0,'Combined Retirement'!$D$13/12)</f>
        <v>0</v>
      </c>
      <c r="F356" s="25">
        <f>IF(H356=0,'Combined Retirement'!$D$32,0)+'Combined Retirement'!$B$24</f>
        <v>2870.372285649099</v>
      </c>
      <c r="G356" s="25">
        <f>'Combined Retirement'!$C$24</f>
        <v>3254.2644699519233</v>
      </c>
      <c r="H356" s="25">
        <f>IF(B356&lt;62,0,'Combined Retirement'!$I$14)</f>
        <v>2345</v>
      </c>
      <c r="I356" s="25">
        <f>IF(C356&lt;62,0,'Combined Retirement'!$I$13)</f>
        <v>2420</v>
      </c>
      <c r="J356" s="25">
        <f t="shared" si="263"/>
        <v>8395.6297298201844</v>
      </c>
      <c r="K356" s="25">
        <f t="shared" si="264"/>
        <v>21655.303514578787</v>
      </c>
      <c r="L356" s="25"/>
      <c r="N356" s="25">
        <f>'Combined Retirement'!$C$18/12</f>
        <v>40940.569999999992</v>
      </c>
      <c r="O356" s="25">
        <f t="shared" si="265"/>
        <v>10889.636755601023</v>
      </c>
      <c r="P356" s="25">
        <f t="shared" si="266"/>
        <v>30050.93324439897</v>
      </c>
      <c r="Q356" s="25">
        <f t="array" aca="1" ref="Q356" ca="1">INDEX('Isaac 401k'!L:L,MATCH('Retirement Calculator'!A356,'Isaac 401k'!N:N,0),0)</f>
        <v>3141.0203750873266</v>
      </c>
      <c r="R356" s="25">
        <f t="array" aca="1" ref="R356" ca="1">INDEX('Lorri 401b'!L:L,MATCH('Retirement Calculator'!A356,'Lorri 401b'!N:N,0),0)</f>
        <v>1626278.5145784835</v>
      </c>
      <c r="S356" s="25">
        <f t="shared" ca="1" si="267"/>
        <v>1629419.5349535709</v>
      </c>
    </row>
    <row r="357" spans="1:19" ht="15.75" customHeight="1" x14ac:dyDescent="0.25">
      <c r="A357" s="37">
        <v>61819</v>
      </c>
      <c r="B357" s="398">
        <f t="shared" ref="B357:C357" si="358">($A357-B$9)/365.25</f>
        <v>87.37303216974675</v>
      </c>
      <c r="C357" s="398">
        <f t="shared" si="358"/>
        <v>82.762491444216295</v>
      </c>
      <c r="E357" s="25">
        <f>IF(C357&gt;$B$7,0,'Combined Retirement'!$D$13/12)</f>
        <v>0</v>
      </c>
      <c r="F357" s="25">
        <f>IF(H357=0,'Combined Retirement'!$D$32,0)+'Combined Retirement'!$B$24</f>
        <v>2870.372285649099</v>
      </c>
      <c r="G357" s="25">
        <f>'Combined Retirement'!$C$24</f>
        <v>3254.2644699519233</v>
      </c>
      <c r="H357" s="25">
        <f>IF(B357&lt;62,0,'Combined Retirement'!$I$14)</f>
        <v>2345</v>
      </c>
      <c r="I357" s="25">
        <f>IF(C357&lt;62,0,'Combined Retirement'!$I$13)</f>
        <v>2420</v>
      </c>
      <c r="J357" s="25">
        <f t="shared" si="263"/>
        <v>8395.6297298201844</v>
      </c>
      <c r="K357" s="25">
        <f t="shared" si="264"/>
        <v>21655.303514578787</v>
      </c>
      <c r="L357" s="25"/>
      <c r="N357" s="25">
        <f>'Combined Retirement'!$C$18/12</f>
        <v>40940.569999999992</v>
      </c>
      <c r="O357" s="25">
        <f t="shared" si="265"/>
        <v>10889.636755601023</v>
      </c>
      <c r="P357" s="25">
        <f t="shared" si="266"/>
        <v>30050.93324439897</v>
      </c>
      <c r="Q357" s="25">
        <f t="array" aca="1" ref="Q357" ca="1">INDEX('Isaac 401k'!L:L,MATCH('Retirement Calculator'!A357,'Isaac 401k'!N:N,0),0)</f>
        <v>-5276.5035603775787</v>
      </c>
      <c r="R357" s="25">
        <f t="array" aca="1" ref="R357" ca="1">INDEX('Lorri 401b'!L:L,MATCH('Retirement Calculator'!A357,'Lorri 401b'!N:N,0),0)</f>
        <v>1611309.1411100044</v>
      </c>
      <c r="S357" s="25">
        <f t="shared" ca="1" si="267"/>
        <v>1606032.6375496269</v>
      </c>
    </row>
    <row r="358" spans="1:19" ht="15.75" customHeight="1" x14ac:dyDescent="0.25">
      <c r="A358" s="37">
        <v>61849</v>
      </c>
      <c r="B358" s="398">
        <f t="shared" ref="B358:C358" si="359">($A358-B$9)/365.25</f>
        <v>87.455167693360707</v>
      </c>
      <c r="C358" s="398">
        <f t="shared" si="359"/>
        <v>82.844626967830251</v>
      </c>
      <c r="E358" s="25">
        <f>IF(C358&gt;$B$7,0,'Combined Retirement'!$D$13/12)</f>
        <v>0</v>
      </c>
      <c r="F358" s="25">
        <f>IF(H358=0,'Combined Retirement'!$D$32,0)+'Combined Retirement'!$B$24</f>
        <v>2870.372285649099</v>
      </c>
      <c r="G358" s="25">
        <f>'Combined Retirement'!$C$24</f>
        <v>3254.2644699519233</v>
      </c>
      <c r="H358" s="25">
        <f>IF(B358&lt;62,0,'Combined Retirement'!$I$14)</f>
        <v>2345</v>
      </c>
      <c r="I358" s="25">
        <f>IF(C358&lt;62,0,'Combined Retirement'!$I$13)</f>
        <v>2420</v>
      </c>
      <c r="J358" s="25">
        <f t="shared" si="263"/>
        <v>8395.6297298201844</v>
      </c>
      <c r="K358" s="25">
        <f t="shared" si="264"/>
        <v>21655.303514578787</v>
      </c>
      <c r="L358" s="25"/>
      <c r="N358" s="25">
        <f>'Combined Retirement'!$C$18/12</f>
        <v>40940.569999999992</v>
      </c>
      <c r="O358" s="25">
        <f t="shared" si="265"/>
        <v>10889.636755601023</v>
      </c>
      <c r="P358" s="25">
        <f t="shared" si="266"/>
        <v>30050.93324439897</v>
      </c>
      <c r="Q358" s="25">
        <f t="array" aca="1" ref="Q358" ca="1">INDEX('Isaac 401k'!L:L,MATCH('Retirement Calculator'!A358,'Isaac 401k'!N:N,0),0)</f>
        <v>-13729.100512240253</v>
      </c>
      <c r="R358" s="25">
        <f t="array" aca="1" ref="R358" ca="1">INDEX('Lorri 401b'!L:L,MATCH('Retirement Calculator'!A358,'Lorri 401b'!N:N,0),0)</f>
        <v>1596277.3952520732</v>
      </c>
      <c r="S358" s="25">
        <f t="shared" ca="1" si="267"/>
        <v>1582548.2947398329</v>
      </c>
    </row>
    <row r="359" spans="1:19" ht="15.75" customHeight="1" x14ac:dyDescent="0.25">
      <c r="A359" s="37">
        <v>61880</v>
      </c>
      <c r="B359" s="398">
        <f t="shared" ref="B359:C359" si="360">($A359-B$9)/365.25</f>
        <v>87.540041067761805</v>
      </c>
      <c r="C359" s="398">
        <f t="shared" si="360"/>
        <v>82.92950034223135</v>
      </c>
      <c r="E359" s="25">
        <f>IF(C359&gt;$B$7,0,'Combined Retirement'!$D$13/12)</f>
        <v>0</v>
      </c>
      <c r="F359" s="25">
        <f>IF(H359=0,'Combined Retirement'!$D$32,0)+'Combined Retirement'!$B$24</f>
        <v>2870.372285649099</v>
      </c>
      <c r="G359" s="25">
        <f>'Combined Retirement'!$C$24</f>
        <v>3254.2644699519233</v>
      </c>
      <c r="H359" s="25">
        <f>IF(B359&lt;62,0,'Combined Retirement'!$I$14)</f>
        <v>2345</v>
      </c>
      <c r="I359" s="25">
        <f>IF(C359&lt;62,0,'Combined Retirement'!$I$13)</f>
        <v>2420</v>
      </c>
      <c r="J359" s="25">
        <f t="shared" si="263"/>
        <v>8395.6297298201844</v>
      </c>
      <c r="K359" s="25">
        <f t="shared" si="264"/>
        <v>21655.303514578787</v>
      </c>
      <c r="L359" s="25"/>
      <c r="N359" s="25">
        <f>'Combined Retirement'!$C$18/12</f>
        <v>40940.569999999992</v>
      </c>
      <c r="O359" s="25">
        <f t="shared" si="265"/>
        <v>10889.636755601023</v>
      </c>
      <c r="P359" s="25">
        <f t="shared" si="266"/>
        <v>30050.93324439897</v>
      </c>
      <c r="Q359" s="25">
        <f t="array" aca="1" ref="Q359" ca="1">INDEX('Isaac 401k'!L:L,MATCH('Retirement Calculator'!A359,'Isaac 401k'!N:N,0),0)</f>
        <v>-22216.916618069023</v>
      </c>
      <c r="R359" s="25">
        <f t="array" aca="1" ref="R359" ca="1">INDEX('Lorri 401b'!L:L,MATCH('Retirement Calculator'!A359,'Lorri 401b'!N:N,0),0)</f>
        <v>1581183.0171197338</v>
      </c>
      <c r="S359" s="25">
        <f t="shared" ca="1" si="267"/>
        <v>1558966.1005016649</v>
      </c>
    </row>
    <row r="360" spans="1:19" ht="15.75" customHeight="1" x14ac:dyDescent="0.25">
      <c r="A360" s="37">
        <v>61910</v>
      </c>
      <c r="B360" s="398">
        <f t="shared" ref="B360:C360" si="361">($A360-B$9)/365.25</f>
        <v>87.622176591375776</v>
      </c>
      <c r="C360" s="398">
        <f t="shared" si="361"/>
        <v>83.011635865845307</v>
      </c>
      <c r="E360" s="25">
        <f>IF(C360&gt;$B$7,0,'Combined Retirement'!$D$13/12)</f>
        <v>0</v>
      </c>
      <c r="F360" s="25">
        <f>IF(H360=0,'Combined Retirement'!$D$32,0)+'Combined Retirement'!$B$24</f>
        <v>2870.372285649099</v>
      </c>
      <c r="G360" s="25">
        <f>'Combined Retirement'!$C$24</f>
        <v>3254.2644699519233</v>
      </c>
      <c r="H360" s="25">
        <f>IF(B360&lt;62,0,'Combined Retirement'!$I$14)</f>
        <v>2345</v>
      </c>
      <c r="I360" s="25">
        <f>IF(C360&lt;62,0,'Combined Retirement'!$I$13)</f>
        <v>2420</v>
      </c>
      <c r="J360" s="25">
        <f t="shared" si="263"/>
        <v>8395.6297298201844</v>
      </c>
      <c r="K360" s="25">
        <f t="shared" si="264"/>
        <v>21655.303514578787</v>
      </c>
      <c r="L360" s="25"/>
      <c r="N360" s="25">
        <f>'Combined Retirement'!$C$18/12</f>
        <v>40940.569999999992</v>
      </c>
      <c r="O360" s="25">
        <f t="shared" si="265"/>
        <v>10889.636755601023</v>
      </c>
      <c r="P360" s="25">
        <f t="shared" si="266"/>
        <v>30050.93324439897</v>
      </c>
      <c r="Q360" s="25">
        <f t="array" aca="1" ref="Q360" ca="1">INDEX('Isaac 401k'!L:L,MATCH('Retirement Calculator'!A360,'Isaac 401k'!N:N,0),0)</f>
        <v>-30740.098624338745</v>
      </c>
      <c r="R360" s="25">
        <f t="array" aca="1" ref="R360" ca="1">INDEX('Lorri 401b'!L:L,MATCH('Retirement Calculator'!A360,'Lorri 401b'!N:N,0),0)</f>
        <v>1566025.7457451764</v>
      </c>
      <c r="S360" s="25">
        <f t="shared" ca="1" si="267"/>
        <v>1535285.6471208376</v>
      </c>
    </row>
    <row r="361" spans="1:19" ht="15.75" customHeight="1" x14ac:dyDescent="0.25">
      <c r="A361" s="37">
        <v>61941</v>
      </c>
      <c r="B361" s="398">
        <f t="shared" ref="B361:C361" si="362">($A361-B$9)/365.25</f>
        <v>87.707049965776861</v>
      </c>
      <c r="C361" s="398">
        <f t="shared" si="362"/>
        <v>83.096509240246405</v>
      </c>
      <c r="E361" s="25">
        <f>IF(C361&gt;$B$7,0,'Combined Retirement'!$D$13/12)</f>
        <v>0</v>
      </c>
      <c r="F361" s="25">
        <f>IF(H361=0,'Combined Retirement'!$D$32,0)+'Combined Retirement'!$B$24</f>
        <v>2870.372285649099</v>
      </c>
      <c r="G361" s="25">
        <f>'Combined Retirement'!$C$24</f>
        <v>3254.2644699519233</v>
      </c>
      <c r="H361" s="25">
        <f>IF(B361&lt;62,0,'Combined Retirement'!$I$14)</f>
        <v>2345</v>
      </c>
      <c r="I361" s="25">
        <f>IF(C361&lt;62,0,'Combined Retirement'!$I$13)</f>
        <v>2420</v>
      </c>
      <c r="J361" s="25">
        <f t="shared" si="263"/>
        <v>8395.6297298201844</v>
      </c>
      <c r="K361" s="25">
        <f t="shared" si="264"/>
        <v>21655.303514578787</v>
      </c>
      <c r="L361" s="25"/>
      <c r="N361" s="25">
        <f>'Combined Retirement'!$C$18/12</f>
        <v>40940.569999999992</v>
      </c>
      <c r="O361" s="25">
        <f t="shared" si="265"/>
        <v>10889.636755601023</v>
      </c>
      <c r="P361" s="25">
        <f t="shared" si="266"/>
        <v>30050.93324439897</v>
      </c>
      <c r="Q361" s="25">
        <f t="array" aca="1" ref="Q361" ca="1">INDEX('Isaac 401k'!L:L,MATCH('Retirement Calculator'!A361,'Isaac 401k'!N:N,0),0)</f>
        <v>-39298.793888967921</v>
      </c>
      <c r="R361" s="25">
        <f t="array" aca="1" ref="R361" ca="1">INDEX('Lorri 401b'!L:L,MATCH('Retirement Calculator'!A361,'Lorri 401b'!N:N,0),0)</f>
        <v>1550805.3190732251</v>
      </c>
      <c r="S361" s="25">
        <f t="shared" ca="1" si="267"/>
        <v>1511506.5251842572</v>
      </c>
    </row>
    <row r="362" spans="1:19" ht="15.75" customHeight="1" x14ac:dyDescent="0.25">
      <c r="A362" s="37">
        <v>61972</v>
      </c>
      <c r="B362" s="398">
        <f t="shared" ref="B362:C362" si="363">($A362-B$9)/365.25</f>
        <v>87.791923340177959</v>
      </c>
      <c r="C362" s="398">
        <f t="shared" si="363"/>
        <v>83.181382614647504</v>
      </c>
      <c r="E362" s="25">
        <f>IF(C362&gt;$B$7,0,'Combined Retirement'!$D$13/12)</f>
        <v>0</v>
      </c>
      <c r="F362" s="25">
        <f>IF(H362=0,'Combined Retirement'!$D$32,0)+'Combined Retirement'!$B$24</f>
        <v>2870.372285649099</v>
      </c>
      <c r="G362" s="25">
        <f>'Combined Retirement'!$C$24</f>
        <v>3254.2644699519233</v>
      </c>
      <c r="H362" s="25">
        <f>IF(B362&lt;62,0,'Combined Retirement'!$I$14)</f>
        <v>2345</v>
      </c>
      <c r="I362" s="25">
        <f>IF(C362&lt;62,0,'Combined Retirement'!$I$13)</f>
        <v>2420</v>
      </c>
      <c r="J362" s="25">
        <f t="shared" si="263"/>
        <v>8395.6297298201844</v>
      </c>
      <c r="K362" s="25">
        <f t="shared" si="264"/>
        <v>21655.303514578787</v>
      </c>
      <c r="L362" s="25"/>
      <c r="N362" s="25">
        <f>'Combined Retirement'!$C$18/12</f>
        <v>40940.569999999992</v>
      </c>
      <c r="O362" s="25">
        <f t="shared" si="265"/>
        <v>10889.636755601023</v>
      </c>
      <c r="P362" s="25">
        <f t="shared" si="266"/>
        <v>30050.93324439897</v>
      </c>
      <c r="Q362" s="25">
        <f t="array" aca="1" ref="Q362" ca="1">INDEX('Isaac 401k'!L:L,MATCH('Retirement Calculator'!A362,'Isaac 401k'!N:N,0),0)</f>
        <v>-47893.150383866385</v>
      </c>
      <c r="R362" s="25">
        <f t="array" aca="1" ref="R362" ca="1">INDEX('Lorri 401b'!L:L,MATCH('Retirement Calculator'!A362,'Lorri 401b'!N:N,0),0)</f>
        <v>1535521.4739568073</v>
      </c>
      <c r="S362" s="25">
        <f t="shared" ca="1" si="267"/>
        <v>1487628.3235729409</v>
      </c>
    </row>
    <row r="363" spans="1:19" ht="15.75" customHeight="1" x14ac:dyDescent="0.25">
      <c r="A363" s="37">
        <v>62002</v>
      </c>
      <c r="B363" s="398">
        <f t="shared" ref="B363:C363" si="364">($A363-B$9)/365.25</f>
        <v>87.87405886379193</v>
      </c>
      <c r="C363" s="398">
        <f t="shared" si="364"/>
        <v>83.26351813826146</v>
      </c>
      <c r="E363" s="25">
        <f>IF(C363&gt;$B$7,0,'Combined Retirement'!$D$13/12)</f>
        <v>0</v>
      </c>
      <c r="F363" s="25">
        <f>IF(H363=0,'Combined Retirement'!$D$32,0)+'Combined Retirement'!$B$24</f>
        <v>2870.372285649099</v>
      </c>
      <c r="G363" s="25">
        <f>'Combined Retirement'!$C$24</f>
        <v>3254.2644699519233</v>
      </c>
      <c r="H363" s="25">
        <f>IF(B363&lt;62,0,'Combined Retirement'!$I$14)</f>
        <v>2345</v>
      </c>
      <c r="I363" s="25">
        <f>IF(C363&lt;62,0,'Combined Retirement'!$I$13)</f>
        <v>2420</v>
      </c>
      <c r="J363" s="25">
        <f t="shared" si="263"/>
        <v>8395.6297298201844</v>
      </c>
      <c r="K363" s="25">
        <f t="shared" si="264"/>
        <v>21655.303514578787</v>
      </c>
      <c r="L363" s="25"/>
      <c r="N363" s="25">
        <f>'Combined Retirement'!$C$18/12</f>
        <v>40940.569999999992</v>
      </c>
      <c r="O363" s="25">
        <f t="shared" si="265"/>
        <v>10889.636755601023</v>
      </c>
      <c r="P363" s="25">
        <f t="shared" si="266"/>
        <v>30050.93324439897</v>
      </c>
      <c r="Q363" s="25">
        <f t="array" aca="1" ref="Q363" ca="1">INDEX('Isaac 401k'!L:L,MATCH('Retirement Calculator'!A363,'Isaac 401k'!N:N,0),0)</f>
        <v>-56523.316697493596</v>
      </c>
      <c r="R363" s="25">
        <f t="array" aca="1" ref="R363" ca="1">INDEX('Lorri 401b'!L:L,MATCH('Retirement Calculator'!A363,'Lorri 401b'!N:N,0),0)</f>
        <v>1520173.9461524044</v>
      </c>
      <c r="S363" s="25">
        <f t="shared" ca="1" si="267"/>
        <v>1463650.6294549108</v>
      </c>
    </row>
    <row r="364" spans="1:19" ht="15.75" customHeight="1" x14ac:dyDescent="0.25">
      <c r="A364" s="37">
        <v>62033</v>
      </c>
      <c r="B364" s="398">
        <f t="shared" ref="B364:C364" si="365">($A364-B$9)/365.25</f>
        <v>87.958932238193015</v>
      </c>
      <c r="C364" s="398">
        <f t="shared" si="365"/>
        <v>83.348391512662559</v>
      </c>
      <c r="E364" s="25">
        <f>IF(C364&gt;$B$7,0,'Combined Retirement'!$D$13/12)</f>
        <v>0</v>
      </c>
      <c r="F364" s="25">
        <f>IF(H364=0,'Combined Retirement'!$D$32,0)+'Combined Retirement'!$B$24</f>
        <v>2870.372285649099</v>
      </c>
      <c r="G364" s="25">
        <f>'Combined Retirement'!$C$24</f>
        <v>3254.2644699519233</v>
      </c>
      <c r="H364" s="25">
        <f>IF(B364&lt;62,0,'Combined Retirement'!$I$14)</f>
        <v>2345</v>
      </c>
      <c r="I364" s="25">
        <f>IF(C364&lt;62,0,'Combined Retirement'!$I$13)</f>
        <v>2420</v>
      </c>
      <c r="J364" s="25">
        <f t="shared" si="263"/>
        <v>8395.6297298201844</v>
      </c>
      <c r="K364" s="25">
        <f t="shared" si="264"/>
        <v>21655.303514578787</v>
      </c>
      <c r="L364" s="25"/>
      <c r="N364" s="25">
        <f>'Combined Retirement'!$C$18/12</f>
        <v>40940.569999999992</v>
      </c>
      <c r="O364" s="25">
        <f t="shared" si="265"/>
        <v>10889.636755601023</v>
      </c>
      <c r="P364" s="25">
        <f t="shared" si="266"/>
        <v>30050.93324439897</v>
      </c>
      <c r="Q364" s="25">
        <f t="array" aca="1" ref="Q364" ca="1">INDEX('Isaac 401k'!L:L,MATCH('Retirement Calculator'!A364,'Isaac 401k'!N:N,0),0)</f>
        <v>-65189.442037427587</v>
      </c>
      <c r="R364" s="25">
        <f t="array" aca="1" ref="R364" ca="1">INDEX('Lorri 401b'!L:L,MATCH('Retirement Calculator'!A364,'Lorri 401b'!N:N,0),0)</f>
        <v>1504762.4703154832</v>
      </c>
      <c r="S364" s="25">
        <f t="shared" ca="1" si="267"/>
        <v>1439573.0282780556</v>
      </c>
    </row>
    <row r="365" spans="1:19" ht="15.75" customHeight="1" x14ac:dyDescent="0.25">
      <c r="A365" s="37">
        <v>62063</v>
      </c>
      <c r="B365" s="398">
        <f t="shared" ref="B365:C365" si="366">($A365-B$9)/365.25</f>
        <v>88.041067761806985</v>
      </c>
      <c r="C365" s="398">
        <f t="shared" si="366"/>
        <v>83.43052703627653</v>
      </c>
      <c r="E365" s="25">
        <f>IF(C365&gt;$B$7,0,'Combined Retirement'!$D$13/12)</f>
        <v>0</v>
      </c>
      <c r="F365" s="25">
        <f>IF(H365=0,'Combined Retirement'!$D$32,0)+'Combined Retirement'!$B$24</f>
        <v>2870.372285649099</v>
      </c>
      <c r="G365" s="25">
        <f>'Combined Retirement'!$C$24</f>
        <v>3254.2644699519233</v>
      </c>
      <c r="H365" s="25">
        <f>IF(B365&lt;62,0,'Combined Retirement'!$I$14)</f>
        <v>2345</v>
      </c>
      <c r="I365" s="25">
        <f>IF(C365&lt;62,0,'Combined Retirement'!$I$13)</f>
        <v>2420</v>
      </c>
      <c r="J365" s="25">
        <f t="shared" si="263"/>
        <v>8395.6297298201844</v>
      </c>
      <c r="K365" s="25">
        <f t="shared" si="264"/>
        <v>21655.303514578787</v>
      </c>
      <c r="L365" s="25"/>
      <c r="N365" s="25">
        <f>'Combined Retirement'!$C$18/12</f>
        <v>40940.569999999992</v>
      </c>
      <c r="O365" s="25">
        <f t="shared" si="265"/>
        <v>10889.636755601023</v>
      </c>
      <c r="P365" s="25">
        <f t="shared" si="266"/>
        <v>30050.93324439897</v>
      </c>
      <c r="Q365" s="25">
        <f t="array" aca="1" ref="Q365" ca="1">INDEX('Isaac 401k'!L:L,MATCH('Retirement Calculator'!A365,'Isaac 401k'!N:N,0),0)</f>
        <v>-73891.676232944636</v>
      </c>
      <c r="R365" s="25">
        <f t="array" aca="1" ref="R365" ca="1">INDEX('Lorri 401b'!L:L,MATCH('Retirement Calculator'!A365,'Lorri 401b'!N:N,0),0)</f>
        <v>1489286.779995908</v>
      </c>
      <c r="S365" s="25">
        <f t="shared" ca="1" si="267"/>
        <v>1415395.1037629633</v>
      </c>
    </row>
    <row r="366" spans="1:19" ht="15.75" customHeight="1" x14ac:dyDescent="0.25">
      <c r="A366" s="37">
        <v>62094</v>
      </c>
      <c r="B366" s="398">
        <f t="shared" ref="B366:C366" si="367">($A366-B$9)/365.25</f>
        <v>88.12594113620807</v>
      </c>
      <c r="C366" s="398">
        <f t="shared" si="367"/>
        <v>83.515400410677614</v>
      </c>
      <c r="E366" s="25">
        <f>IF(C366&gt;$B$7,0,'Combined Retirement'!$D$13/12)</f>
        <v>0</v>
      </c>
      <c r="F366" s="25">
        <f>IF(H366=0,'Combined Retirement'!$D$32,0)+'Combined Retirement'!$B$24</f>
        <v>2870.372285649099</v>
      </c>
      <c r="G366" s="25">
        <f>'Combined Retirement'!$C$24</f>
        <v>3254.2644699519233</v>
      </c>
      <c r="H366" s="25">
        <f>IF(B366&lt;62,0,'Combined Retirement'!$I$14)</f>
        <v>2345</v>
      </c>
      <c r="I366" s="25">
        <f>IF(C366&lt;62,0,'Combined Retirement'!$I$13)</f>
        <v>2420</v>
      </c>
      <c r="J366" s="25">
        <f t="shared" si="263"/>
        <v>8395.6297298201844</v>
      </c>
      <c r="K366" s="25">
        <f t="shared" si="264"/>
        <v>21655.303514578787</v>
      </c>
      <c r="L366" s="25"/>
      <c r="N366" s="25">
        <f>'Combined Retirement'!$C$18/12</f>
        <v>40940.569999999992</v>
      </c>
      <c r="O366" s="25">
        <f t="shared" si="265"/>
        <v>10889.636755601023</v>
      </c>
      <c r="P366" s="25">
        <f t="shared" si="266"/>
        <v>30050.93324439897</v>
      </c>
      <c r="Q366" s="25">
        <f t="array" aca="1" ref="Q366" ca="1">INDEX('Isaac 401k'!L:L,MATCH('Retirement Calculator'!A366,'Isaac 401k'!N:N,0),0)</f>
        <v>-82630.169737609671</v>
      </c>
      <c r="R366" s="25">
        <f t="array" aca="1" ref="R366" ca="1">INDEX('Lorri 401b'!L:L,MATCH('Retirement Calculator'!A366,'Lorri 401b'!N:N,0),0)</f>
        <v>1473746.6076333348</v>
      </c>
      <c r="S366" s="25">
        <f t="shared" ca="1" si="267"/>
        <v>1391116.4378957252</v>
      </c>
    </row>
    <row r="367" spans="1:19" ht="15.75" customHeight="1" x14ac:dyDescent="0.25">
      <c r="A367" s="37">
        <v>62125</v>
      </c>
      <c r="B367" s="398">
        <f t="shared" ref="B367:C367" si="368">($A367-B$9)/365.25</f>
        <v>88.210814510609168</v>
      </c>
      <c r="C367" s="398">
        <f t="shared" si="368"/>
        <v>83.600273785078713</v>
      </c>
      <c r="E367" s="25">
        <f>IF(C367&gt;$B$7,0,'Combined Retirement'!$D$13/12)</f>
        <v>0</v>
      </c>
      <c r="F367" s="25">
        <f>IF(H367=0,'Combined Retirement'!$D$32,0)+'Combined Retirement'!$B$24</f>
        <v>2870.372285649099</v>
      </c>
      <c r="G367" s="25">
        <f>'Combined Retirement'!$C$24</f>
        <v>3254.2644699519233</v>
      </c>
      <c r="H367" s="25">
        <f>IF(B367&lt;62,0,'Combined Retirement'!$I$14)</f>
        <v>2345</v>
      </c>
      <c r="I367" s="25">
        <f>IF(C367&lt;62,0,'Combined Retirement'!$I$13)</f>
        <v>2420</v>
      </c>
      <c r="J367" s="25">
        <f t="shared" si="263"/>
        <v>8395.6297298201844</v>
      </c>
      <c r="K367" s="25">
        <f t="shared" si="264"/>
        <v>21655.303514578787</v>
      </c>
      <c r="L367" s="25"/>
      <c r="N367" s="25">
        <f>'Combined Retirement'!$C$18/12</f>
        <v>40940.569999999992</v>
      </c>
      <c r="O367" s="25">
        <f t="shared" si="265"/>
        <v>10889.636755601023</v>
      </c>
      <c r="P367" s="25">
        <f t="shared" si="266"/>
        <v>30050.93324439897</v>
      </c>
      <c r="Q367" s="25">
        <f t="array" aca="1" ref="Q367" ca="1">INDEX('Isaac 401k'!L:L,MATCH('Retirement Calculator'!A367,'Isaac 401k'!N:N,0),0)</f>
        <v>-91405.073631877473</v>
      </c>
      <c r="R367" s="25">
        <f t="array" aca="1" ref="R367" ca="1">INDEX('Lorri 401b'!L:L,MATCH('Retirement Calculator'!A367,'Lorri 401b'!N:N,0),0)</f>
        <v>1458141.6845525841</v>
      </c>
      <c r="S367" s="25">
        <f t="shared" ca="1" si="267"/>
        <v>1366736.6109207065</v>
      </c>
    </row>
    <row r="368" spans="1:19" ht="15.75" customHeight="1" x14ac:dyDescent="0.25">
      <c r="A368" s="37">
        <v>62153</v>
      </c>
      <c r="B368" s="398">
        <f t="shared" ref="B368:C368" si="369">($A368-B$9)/365.25</f>
        <v>88.28747433264887</v>
      </c>
      <c r="C368" s="398">
        <f t="shared" si="369"/>
        <v>83.676933607118414</v>
      </c>
      <c r="E368" s="25">
        <f>IF(C368&gt;$B$7,0,'Combined Retirement'!$D$13/12)</f>
        <v>0</v>
      </c>
      <c r="F368" s="25">
        <f>IF(H368=0,'Combined Retirement'!$D$32,0)+'Combined Retirement'!$B$24</f>
        <v>2870.372285649099</v>
      </c>
      <c r="G368" s="25">
        <f>'Combined Retirement'!$C$24</f>
        <v>3254.2644699519233</v>
      </c>
      <c r="H368" s="25">
        <f>IF(B368&lt;62,0,'Combined Retirement'!$I$14)</f>
        <v>2345</v>
      </c>
      <c r="I368" s="25">
        <f>IF(C368&lt;62,0,'Combined Retirement'!$I$13)</f>
        <v>2420</v>
      </c>
      <c r="J368" s="25">
        <f t="shared" si="263"/>
        <v>8395.6297298201844</v>
      </c>
      <c r="K368" s="25">
        <f t="shared" si="264"/>
        <v>21655.303514578787</v>
      </c>
      <c r="L368" s="25"/>
      <c r="N368" s="25">
        <f>'Combined Retirement'!$C$18/12</f>
        <v>40940.569999999992</v>
      </c>
      <c r="O368" s="25">
        <f t="shared" si="265"/>
        <v>10889.636755601023</v>
      </c>
      <c r="P368" s="25">
        <f t="shared" si="266"/>
        <v>30050.93324439897</v>
      </c>
      <c r="Q368" s="25">
        <f t="array" aca="1" ref="Q368" ca="1">INDEX('Isaac 401k'!L:L,MATCH('Retirement Calculator'!A368,'Isaac 401k'!N:N,0),0)</f>
        <v>-100216.53962570473</v>
      </c>
      <c r="R368" s="25">
        <f t="array" aca="1" ref="R368" ca="1">INDEX('Lorri 401b'!L:L,MATCH('Retirement Calculator'!A368,'Lorri 401b'!N:N,0),0)</f>
        <v>1442471.7409589968</v>
      </c>
      <c r="S368" s="25">
        <f t="shared" ca="1" si="267"/>
        <v>1342255.2013332921</v>
      </c>
    </row>
    <row r="369" spans="1:19" ht="15.75" customHeight="1" x14ac:dyDescent="0.25">
      <c r="A369" s="37">
        <v>62184</v>
      </c>
      <c r="B369" s="398">
        <f t="shared" ref="B369:C369" si="370">($A369-B$9)/365.25</f>
        <v>88.372347707049968</v>
      </c>
      <c r="C369" s="398">
        <f t="shared" si="370"/>
        <v>83.761806981519513</v>
      </c>
      <c r="E369" s="25">
        <f>IF(C369&gt;$B$7,0,'Combined Retirement'!$D$13/12)</f>
        <v>0</v>
      </c>
      <c r="F369" s="25">
        <f>IF(H369=0,'Combined Retirement'!$D$32,0)+'Combined Retirement'!$B$24</f>
        <v>2870.372285649099</v>
      </c>
      <c r="G369" s="25">
        <f>'Combined Retirement'!$C$24</f>
        <v>3254.2644699519233</v>
      </c>
      <c r="H369" s="25">
        <f>IF(B369&lt;62,0,'Combined Retirement'!$I$14)</f>
        <v>2345</v>
      </c>
      <c r="I369" s="25">
        <f>IF(C369&lt;62,0,'Combined Retirement'!$I$13)</f>
        <v>2420</v>
      </c>
      <c r="J369" s="25">
        <f t="shared" si="263"/>
        <v>8395.6297298201844</v>
      </c>
      <c r="K369" s="25">
        <f t="shared" si="264"/>
        <v>21655.303514578787</v>
      </c>
      <c r="L369" s="25"/>
      <c r="N369" s="25">
        <f>'Combined Retirement'!$C$18/12</f>
        <v>40940.569999999992</v>
      </c>
      <c r="O369" s="25">
        <f t="shared" si="265"/>
        <v>10889.636755601023</v>
      </c>
      <c r="P369" s="25">
        <f t="shared" si="266"/>
        <v>30050.93324439897</v>
      </c>
      <c r="Q369" s="25">
        <f t="array" aca="1" ref="Q369" ca="1">INDEX('Isaac 401k'!L:L,MATCH('Retirement Calculator'!A369,'Isaac 401k'!N:N,0),0)</f>
        <v>-109064.72006117293</v>
      </c>
      <c r="R369" s="25">
        <f t="array" aca="1" ref="R369" ca="1">INDEX('Lorri 401b'!L:L,MATCH('Retirement Calculator'!A369,'Lorri 401b'!N:N,0),0)</f>
        <v>1426736.5059337697</v>
      </c>
      <c r="S369" s="25">
        <f t="shared" ca="1" si="267"/>
        <v>1317671.7858725968</v>
      </c>
    </row>
    <row r="370" spans="1:19" ht="15.75" customHeight="1" x14ac:dyDescent="0.25">
      <c r="A370" s="37">
        <v>62214</v>
      </c>
      <c r="B370" s="398">
        <f t="shared" ref="B370:C370" si="371">($A370-B$9)/365.25</f>
        <v>88.454483230663925</v>
      </c>
      <c r="C370" s="398">
        <f t="shared" si="371"/>
        <v>83.843942505133469</v>
      </c>
      <c r="E370" s="25">
        <f>IF(C370&gt;$B$7,0,'Combined Retirement'!$D$13/12)</f>
        <v>0</v>
      </c>
      <c r="F370" s="25">
        <f>IF(H370=0,'Combined Retirement'!$D$32,0)+'Combined Retirement'!$B$24</f>
        <v>2870.372285649099</v>
      </c>
      <c r="G370" s="25">
        <f>'Combined Retirement'!$C$24</f>
        <v>3254.2644699519233</v>
      </c>
      <c r="H370" s="25">
        <f>IF(B370&lt;62,0,'Combined Retirement'!$I$14)</f>
        <v>2345</v>
      </c>
      <c r="I370" s="25">
        <f>IF(C370&lt;62,0,'Combined Retirement'!$I$13)</f>
        <v>2420</v>
      </c>
      <c r="J370" s="25">
        <f t="shared" si="263"/>
        <v>8395.6297298201844</v>
      </c>
      <c r="K370" s="25">
        <f t="shared" si="264"/>
        <v>21655.303514578787</v>
      </c>
      <c r="L370" s="25"/>
      <c r="N370" s="25">
        <f>'Combined Retirement'!$C$18/12</f>
        <v>40940.569999999992</v>
      </c>
      <c r="O370" s="25">
        <f t="shared" si="265"/>
        <v>10889.636755601023</v>
      </c>
      <c r="P370" s="25">
        <f t="shared" si="266"/>
        <v>30050.93324439897</v>
      </c>
      <c r="Q370" s="25">
        <f t="array" aca="1" ref="Q370" ca="1">INDEX('Isaac 401k'!L:L,MATCH('Retirement Calculator'!A370,'Isaac 401k'!N:N,0),0)</f>
        <v>-117949.76791512225</v>
      </c>
      <c r="R370" s="25">
        <f t="array" aca="1" ref="R370" ca="1">INDEX('Lorri 401b'!L:L,MATCH('Retirement Calculator'!A370,'Lorri 401b'!N:N,0),0)</f>
        <v>1410935.707429271</v>
      </c>
      <c r="S370" s="25">
        <f t="shared" ca="1" si="267"/>
        <v>1292985.9395141487</v>
      </c>
    </row>
    <row r="371" spans="1:19" ht="15.75" customHeight="1" x14ac:dyDescent="0.25">
      <c r="A371" s="37">
        <v>62245</v>
      </c>
      <c r="B371" s="398">
        <f t="shared" ref="B371:C371" si="372">($A371-B$9)/365.25</f>
        <v>88.539356605065024</v>
      </c>
      <c r="C371" s="398">
        <f t="shared" si="372"/>
        <v>83.928815879534568</v>
      </c>
      <c r="E371" s="25">
        <f>IF(C371&gt;$B$7,0,'Combined Retirement'!$D$13/12)</f>
        <v>0</v>
      </c>
      <c r="F371" s="25">
        <f>IF(H371=0,'Combined Retirement'!$D$32,0)+'Combined Retirement'!$B$24</f>
        <v>2870.372285649099</v>
      </c>
      <c r="G371" s="25">
        <f>'Combined Retirement'!$C$24</f>
        <v>3254.2644699519233</v>
      </c>
      <c r="H371" s="25">
        <f>IF(B371&lt;62,0,'Combined Retirement'!$I$14)</f>
        <v>2345</v>
      </c>
      <c r="I371" s="25">
        <f>IF(C371&lt;62,0,'Combined Retirement'!$I$13)</f>
        <v>2420</v>
      </c>
      <c r="J371" s="25">
        <f t="shared" si="263"/>
        <v>8395.6297298201844</v>
      </c>
      <c r="K371" s="25">
        <f t="shared" si="264"/>
        <v>21655.303514578787</v>
      </c>
      <c r="L371" s="25"/>
      <c r="N371" s="25">
        <f>'Combined Retirement'!$C$18/12</f>
        <v>40940.569999999992</v>
      </c>
      <c r="O371" s="25">
        <f t="shared" si="265"/>
        <v>10889.636755601023</v>
      </c>
      <c r="P371" s="25">
        <f t="shared" si="266"/>
        <v>30050.93324439897</v>
      </c>
      <c r="Q371" s="25">
        <f t="array" aca="1" ref="Q371" ca="1">INDEX('Isaac 401k'!L:L,MATCH('Retirement Calculator'!A371,'Isaac 401k'!N:N,0),0)</f>
        <v>-126871.83680179637</v>
      </c>
      <c r="R371" s="25">
        <f t="array" aca="1" ref="R371" ca="1">INDEX('Lorri 401b'!L:L,MATCH('Retirement Calculator'!A371,'Lorri 401b'!N:N,0),0)</f>
        <v>1395069.0722643367</v>
      </c>
      <c r="S371" s="25">
        <f t="shared" ca="1" si="267"/>
        <v>1268197.2354625403</v>
      </c>
    </row>
    <row r="372" spans="1:19" ht="15.75" customHeight="1" x14ac:dyDescent="0.25">
      <c r="A372" s="37">
        <v>62275</v>
      </c>
      <c r="B372" s="398">
        <f t="shared" ref="B372:C372" si="373">($A372-B$9)/365.25</f>
        <v>88.62149212867898</v>
      </c>
      <c r="C372" s="398">
        <f t="shared" si="373"/>
        <v>84.010951403148525</v>
      </c>
      <c r="E372" s="25">
        <f>IF(C372&gt;$B$7,0,'Combined Retirement'!$D$13/12)</f>
        <v>0</v>
      </c>
      <c r="F372" s="25">
        <f>IF(H372=0,'Combined Retirement'!$D$32,0)+'Combined Retirement'!$B$24</f>
        <v>2870.372285649099</v>
      </c>
      <c r="G372" s="25">
        <f>'Combined Retirement'!$C$24</f>
        <v>3254.2644699519233</v>
      </c>
      <c r="H372" s="25">
        <f>IF(B372&lt;62,0,'Combined Retirement'!$I$14)</f>
        <v>2345</v>
      </c>
      <c r="I372" s="25">
        <f>IF(C372&lt;62,0,'Combined Retirement'!$I$13)</f>
        <v>2420</v>
      </c>
      <c r="J372" s="25">
        <f t="shared" si="263"/>
        <v>8395.6297298201844</v>
      </c>
      <c r="K372" s="25">
        <f t="shared" si="264"/>
        <v>21655.303514578787</v>
      </c>
      <c r="L372" s="25"/>
      <c r="N372" s="25">
        <f>'Combined Retirement'!$C$18/12</f>
        <v>40940.569999999992</v>
      </c>
      <c r="O372" s="25">
        <f t="shared" si="265"/>
        <v>10889.636755601023</v>
      </c>
      <c r="P372" s="25">
        <f t="shared" si="266"/>
        <v>30050.93324439897</v>
      </c>
      <c r="Q372" s="25">
        <f t="array" aca="1" ref="Q372" ca="1">INDEX('Isaac 401k'!L:L,MATCH('Retirement Calculator'!A372,'Isaac 401k'!N:N,0),0)</f>
        <v>-135831.08097549828</v>
      </c>
      <c r="R372" s="25">
        <f t="array" aca="1" ref="R372" ca="1">INDEX('Lorri 401b'!L:L,MATCH('Retirement Calculator'!A372,'Lorri 401b'!N:N,0),0)</f>
        <v>1379136.3261195486</v>
      </c>
      <c r="S372" s="25">
        <f t="shared" ca="1" si="267"/>
        <v>1243305.2451440503</v>
      </c>
    </row>
    <row r="373" spans="1:19" ht="15.75" customHeight="1" x14ac:dyDescent="0.25">
      <c r="A373" s="37">
        <v>62306</v>
      </c>
      <c r="B373" s="398">
        <f t="shared" ref="B373:C373" si="374">($A373-B$9)/365.25</f>
        <v>88.706365503080079</v>
      </c>
      <c r="C373" s="398">
        <f t="shared" si="374"/>
        <v>84.095824777549623</v>
      </c>
      <c r="E373" s="25">
        <f>IF(C373&gt;$B$7,0,'Combined Retirement'!$D$13/12)</f>
        <v>0</v>
      </c>
      <c r="F373" s="25">
        <f>IF(H373=0,'Combined Retirement'!$D$32,0)+'Combined Retirement'!$B$24</f>
        <v>2870.372285649099</v>
      </c>
      <c r="G373" s="25">
        <f>'Combined Retirement'!$C$24</f>
        <v>3254.2644699519233</v>
      </c>
      <c r="H373" s="25">
        <f>IF(B373&lt;62,0,'Combined Retirement'!$I$14)</f>
        <v>2345</v>
      </c>
      <c r="I373" s="25">
        <f>IF(C373&lt;62,0,'Combined Retirement'!$I$13)</f>
        <v>2420</v>
      </c>
      <c r="J373" s="25">
        <f t="shared" si="263"/>
        <v>8395.6297298201844</v>
      </c>
      <c r="K373" s="25">
        <f t="shared" si="264"/>
        <v>21655.303514578787</v>
      </c>
      <c r="L373" s="25"/>
      <c r="N373" s="25">
        <f>'Combined Retirement'!$C$18/12</f>
        <v>40940.569999999992</v>
      </c>
      <c r="O373" s="25">
        <f t="shared" si="265"/>
        <v>10889.636755601023</v>
      </c>
      <c r="P373" s="25">
        <f t="shared" si="266"/>
        <v>30050.93324439897</v>
      </c>
      <c r="Q373" s="25">
        <f t="array" aca="1" ref="Q373" ca="1">INDEX('Isaac 401k'!L:L,MATCH('Retirement Calculator'!A373,'Isaac 401k'!N:N,0),0)</f>
        <v>-144827.65533325728</v>
      </c>
      <c r="R373" s="25">
        <f t="array" aca="1" ref="R373" ca="1">INDEX('Lorri 401b'!L:L,MATCH('Retirement Calculator'!A373,'Lorri 401b'!N:N,0),0)</f>
        <v>1363137.1935324904</v>
      </c>
      <c r="S373" s="25">
        <f t="shared" ca="1" si="267"/>
        <v>1218309.5381992331</v>
      </c>
    </row>
    <row r="374" spans="1:19" ht="15.75" customHeight="1" x14ac:dyDescent="0.25">
      <c r="A374" s="37">
        <v>62337</v>
      </c>
      <c r="B374" s="398">
        <f t="shared" ref="B374:C374" si="375">($A374-B$9)/365.25</f>
        <v>88.791238877481177</v>
      </c>
      <c r="C374" s="398">
        <f t="shared" si="375"/>
        <v>84.180698151950722</v>
      </c>
      <c r="E374" s="25">
        <f>IF(C374&gt;$B$7,0,'Combined Retirement'!$D$13/12)</f>
        <v>0</v>
      </c>
      <c r="F374" s="25">
        <f>IF(H374=0,'Combined Retirement'!$D$32,0)+'Combined Retirement'!$B$24</f>
        <v>2870.372285649099</v>
      </c>
      <c r="G374" s="25">
        <f>'Combined Retirement'!$C$24</f>
        <v>3254.2644699519233</v>
      </c>
      <c r="H374" s="25">
        <f>IF(B374&lt;62,0,'Combined Retirement'!$I$14)</f>
        <v>2345</v>
      </c>
      <c r="I374" s="25">
        <f>IF(C374&lt;62,0,'Combined Retirement'!$I$13)</f>
        <v>2420</v>
      </c>
      <c r="J374" s="25">
        <f t="shared" si="263"/>
        <v>8395.6297298201844</v>
      </c>
      <c r="K374" s="25">
        <f t="shared" si="264"/>
        <v>21655.303514578787</v>
      </c>
      <c r="L374" s="25"/>
      <c r="N374" s="25">
        <f>'Combined Retirement'!$C$18/12</f>
        <v>40940.569999999992</v>
      </c>
      <c r="O374" s="25">
        <f t="shared" si="265"/>
        <v>10889.636755601023</v>
      </c>
      <c r="P374" s="25">
        <f t="shared" si="266"/>
        <v>30050.93324439897</v>
      </c>
      <c r="Q374" s="25">
        <f t="array" aca="1" ref="Q374" ca="1">INDEX('Isaac 401k'!L:L,MATCH('Retirement Calculator'!A374,'Isaac 401k'!N:N,0),0)</f>
        <v>-153861.71541750696</v>
      </c>
      <c r="R374" s="25">
        <f t="array" aca="1" ref="R374" ca="1">INDEX('Lorri 401b'!L:L,MATCH('Retirement Calculator'!A374,'Lorri 401b'!N:N,0),0)</f>
        <v>1347071.3978929862</v>
      </c>
      <c r="S374" s="25">
        <f t="shared" ca="1" si="267"/>
        <v>1193209.6824754793</v>
      </c>
    </row>
    <row r="375" spans="1:19" ht="15.75" customHeight="1" x14ac:dyDescent="0.25">
      <c r="A375" s="37">
        <v>62367</v>
      </c>
      <c r="B375" s="398">
        <f t="shared" ref="B375:C375" si="376">($A375-B$9)/365.25</f>
        <v>88.873374401095134</v>
      </c>
      <c r="C375" s="398">
        <f t="shared" si="376"/>
        <v>84.262833675564679</v>
      </c>
      <c r="E375" s="25">
        <f>IF(C375&gt;$B$7,0,'Combined Retirement'!$D$13/12)</f>
        <v>0</v>
      </c>
      <c r="F375" s="25">
        <f>IF(H375=0,'Combined Retirement'!$D$32,0)+'Combined Retirement'!$B$24</f>
        <v>2870.372285649099</v>
      </c>
      <c r="G375" s="25">
        <f>'Combined Retirement'!$C$24</f>
        <v>3254.2644699519233</v>
      </c>
      <c r="H375" s="25">
        <f>IF(B375&lt;62,0,'Combined Retirement'!$I$14)</f>
        <v>2345</v>
      </c>
      <c r="I375" s="25">
        <f>IF(C375&lt;62,0,'Combined Retirement'!$I$13)</f>
        <v>2420</v>
      </c>
      <c r="J375" s="25">
        <f t="shared" si="263"/>
        <v>8395.6297298201844</v>
      </c>
      <c r="K375" s="25">
        <f t="shared" si="264"/>
        <v>21655.303514578787</v>
      </c>
      <c r="L375" s="25"/>
      <c r="N375" s="25">
        <f>'Combined Retirement'!$C$18/12</f>
        <v>40940.569999999992</v>
      </c>
      <c r="O375" s="25">
        <f t="shared" si="265"/>
        <v>10889.636755601023</v>
      </c>
      <c r="P375" s="25">
        <f t="shared" si="266"/>
        <v>30050.93324439897</v>
      </c>
      <c r="Q375" s="25">
        <f t="array" aca="1" ref="Q375" ca="1">INDEX('Isaac 401k'!L:L,MATCH('Retirement Calculator'!A375,'Isaac 401k'!N:N,0),0)</f>
        <v>-162933.41741877433</v>
      </c>
      <c r="R375" s="25">
        <f t="array" aca="1" ref="R375" ca="1">INDEX('Lorri 401b'!L:L,MATCH('Retirement Calculator'!A375,'Lorri 401b'!N:N,0),0)</f>
        <v>1330938.6614383173</v>
      </c>
      <c r="S375" s="25">
        <f t="shared" ca="1" si="267"/>
        <v>1168005.2440195428</v>
      </c>
    </row>
    <row r="376" spans="1:19" ht="15.75" customHeight="1" x14ac:dyDescent="0.25">
      <c r="A376" s="37">
        <v>62398</v>
      </c>
      <c r="B376" s="398">
        <f t="shared" ref="B376:C376" si="377">($A376-B$9)/365.25</f>
        <v>88.958247775496233</v>
      </c>
      <c r="C376" s="398">
        <f t="shared" si="377"/>
        <v>84.347707049965777</v>
      </c>
      <c r="E376" s="25">
        <f>IF(C376&gt;$B$7,0,'Combined Retirement'!$D$13/12)</f>
        <v>0</v>
      </c>
      <c r="F376" s="25">
        <f>IF(H376=0,'Combined Retirement'!$D$32,0)+'Combined Retirement'!$B$24</f>
        <v>2870.372285649099</v>
      </c>
      <c r="G376" s="25">
        <f>'Combined Retirement'!$C$24</f>
        <v>3254.2644699519233</v>
      </c>
      <c r="H376" s="25">
        <f>IF(B376&lt;62,0,'Combined Retirement'!$I$14)</f>
        <v>2345</v>
      </c>
      <c r="I376" s="25">
        <f>IF(C376&lt;62,0,'Combined Retirement'!$I$13)</f>
        <v>2420</v>
      </c>
      <c r="J376" s="25">
        <f t="shared" si="263"/>
        <v>8395.6297298201844</v>
      </c>
      <c r="K376" s="25">
        <f t="shared" si="264"/>
        <v>21655.303514578787</v>
      </c>
      <c r="L376" s="25"/>
      <c r="N376" s="25">
        <f>'Combined Retirement'!$C$18/12</f>
        <v>40940.569999999992</v>
      </c>
      <c r="O376" s="25">
        <f t="shared" si="265"/>
        <v>10889.636755601023</v>
      </c>
      <c r="P376" s="25">
        <f t="shared" si="266"/>
        <v>30050.93324439897</v>
      </c>
      <c r="Q376" s="25">
        <f t="array" aca="1" ref="Q376" ca="1">INDEX('Isaac 401k'!L:L,MATCH('Retirement Calculator'!A376,'Isaac 401k'!N:N,0),0)</f>
        <v>-172042.91817838032</v>
      </c>
      <c r="R376" s="25">
        <f t="array" aca="1" ref="R376" ca="1">INDEX('Lorri 401b'!L:L,MATCH('Retirement Calculator'!A376,'Lorri 401b'!N:N,0),0)</f>
        <v>1314738.7052484206</v>
      </c>
      <c r="S376" s="25">
        <f t="shared" ca="1" si="267"/>
        <v>1142695.7870700404</v>
      </c>
    </row>
    <row r="377" spans="1:19" ht="15.75" customHeight="1" x14ac:dyDescent="0.25">
      <c r="A377" s="37">
        <v>62428</v>
      </c>
      <c r="B377" s="398">
        <f t="shared" ref="B377:C377" si="378">($A377-B$9)/365.25</f>
        <v>89.040383299110204</v>
      </c>
      <c r="C377" s="398">
        <f t="shared" si="378"/>
        <v>84.429842573579734</v>
      </c>
      <c r="E377" s="25">
        <f>IF(C377&gt;$B$7,0,'Combined Retirement'!$D$13/12)</f>
        <v>0</v>
      </c>
      <c r="F377" s="25">
        <f>IF(H377=0,'Combined Retirement'!$D$32,0)+'Combined Retirement'!$B$24</f>
        <v>2870.372285649099</v>
      </c>
      <c r="G377" s="25">
        <f>'Combined Retirement'!$C$24</f>
        <v>3254.2644699519233</v>
      </c>
      <c r="H377" s="25">
        <f>IF(B377&lt;62,0,'Combined Retirement'!$I$14)</f>
        <v>2345</v>
      </c>
      <c r="I377" s="25">
        <f>IF(C377&lt;62,0,'Combined Retirement'!$I$13)</f>
        <v>2420</v>
      </c>
      <c r="J377" s="25">
        <f t="shared" si="263"/>
        <v>8395.6297298201844</v>
      </c>
      <c r="K377" s="25">
        <f t="shared" si="264"/>
        <v>21655.303514578787</v>
      </c>
      <c r="L377" s="25"/>
      <c r="N377" s="25">
        <f>'Combined Retirement'!$C$18/12</f>
        <v>40940.569999999992</v>
      </c>
      <c r="O377" s="25">
        <f t="shared" si="265"/>
        <v>10889.636755601023</v>
      </c>
      <c r="P377" s="25">
        <f t="shared" si="266"/>
        <v>30050.93324439897</v>
      </c>
      <c r="Q377" s="25">
        <f t="array" aca="1" ref="Q377" ca="1">INDEX('Isaac 401k'!L:L,MATCH('Retirement Calculator'!A377,'Isaac 401k'!N:N,0),0)</f>
        <v>-181190.37519115134</v>
      </c>
      <c r="R377" s="25">
        <f t="array" aca="1" ref="R377" ca="1">INDEX('Lorri 401b'!L:L,MATCH('Retirement Calculator'!A377,'Lorri 401b'!N:N,0),0)</f>
        <v>1298471.2492410662</v>
      </c>
      <c r="S377" s="25">
        <f t="shared" ca="1" si="267"/>
        <v>1117280.8740499148</v>
      </c>
    </row>
    <row r="378" spans="1:19" ht="15.75" customHeight="1" x14ac:dyDescent="0.25">
      <c r="A378" s="37">
        <v>62459</v>
      </c>
      <c r="B378" s="398">
        <f t="shared" ref="B378:C378" si="379">($A378-B$9)/365.25</f>
        <v>89.125256673511288</v>
      </c>
      <c r="C378" s="398">
        <f t="shared" si="379"/>
        <v>84.514715947980832</v>
      </c>
      <c r="E378" s="25">
        <f>IF(C378&gt;$B$7,0,'Combined Retirement'!$D$13/12)</f>
        <v>0</v>
      </c>
      <c r="F378" s="25">
        <f>IF(H378=0,'Combined Retirement'!$D$32,0)+'Combined Retirement'!$B$24</f>
        <v>2870.372285649099</v>
      </c>
      <c r="G378" s="25">
        <f>'Combined Retirement'!$C$24</f>
        <v>3254.2644699519233</v>
      </c>
      <c r="H378" s="25">
        <f>IF(B378&lt;62,0,'Combined Retirement'!$I$14)</f>
        <v>2345</v>
      </c>
      <c r="I378" s="25">
        <f>IF(C378&lt;62,0,'Combined Retirement'!$I$13)</f>
        <v>2420</v>
      </c>
      <c r="J378" s="25">
        <f t="shared" si="263"/>
        <v>8395.6297298201844</v>
      </c>
      <c r="K378" s="25">
        <f t="shared" si="264"/>
        <v>21655.303514578787</v>
      </c>
      <c r="L378" s="25"/>
      <c r="N378" s="25">
        <f>'Combined Retirement'!$C$18/12</f>
        <v>40940.569999999992</v>
      </c>
      <c r="O378" s="25">
        <f t="shared" si="265"/>
        <v>10889.636755601023</v>
      </c>
      <c r="P378" s="25">
        <f t="shared" si="266"/>
        <v>30050.93324439897</v>
      </c>
      <c r="Q378" s="25">
        <f t="array" aca="1" ref="Q378" ca="1">INDEX('Isaac 401k'!L:L,MATCH('Retirement Calculator'!A378,'Isaac 401k'!N:N,0),0)</f>
        <v>-190375.94660814223</v>
      </c>
      <c r="R378" s="25">
        <f t="array" aca="1" ref="R378" ca="1">INDEX('Lorri 401b'!L:L,MATCH('Retirement Calculator'!A378,'Lorri 401b'!N:N,0),0)</f>
        <v>1282136.0121670144</v>
      </c>
      <c r="S378" s="25">
        <f t="shared" ca="1" si="267"/>
        <v>1091760.0655588722</v>
      </c>
    </row>
    <row r="379" spans="1:19" ht="15.75" customHeight="1" x14ac:dyDescent="0.25">
      <c r="A379" s="37">
        <v>62490</v>
      </c>
      <c r="B379" s="398">
        <f t="shared" ref="B379:C379" si="380">($A379-B$9)/365.25</f>
        <v>89.210130047912386</v>
      </c>
      <c r="C379" s="398">
        <f t="shared" si="380"/>
        <v>84.599589322381931</v>
      </c>
      <c r="E379" s="25">
        <f>IF(C379&gt;$B$7,0,'Combined Retirement'!$D$13/12)</f>
        <v>0</v>
      </c>
      <c r="F379" s="25">
        <f>IF(H379=0,'Combined Retirement'!$D$32,0)+'Combined Retirement'!$B$24</f>
        <v>2870.372285649099</v>
      </c>
      <c r="G379" s="25">
        <f>'Combined Retirement'!$C$24</f>
        <v>3254.2644699519233</v>
      </c>
      <c r="H379" s="25">
        <f>IF(B379&lt;62,0,'Combined Retirement'!$I$14)</f>
        <v>2345</v>
      </c>
      <c r="I379" s="25">
        <f>IF(C379&lt;62,0,'Combined Retirement'!$I$13)</f>
        <v>2420</v>
      </c>
      <c r="J379" s="25">
        <f t="shared" si="263"/>
        <v>8395.6297298201844</v>
      </c>
      <c r="K379" s="25">
        <f t="shared" si="264"/>
        <v>21655.303514578787</v>
      </c>
      <c r="L379" s="25"/>
      <c r="N379" s="25">
        <f>'Combined Retirement'!$C$18/12</f>
        <v>40940.569999999992</v>
      </c>
      <c r="O379" s="25">
        <f t="shared" si="265"/>
        <v>10889.636755601023</v>
      </c>
      <c r="P379" s="25">
        <f t="shared" si="266"/>
        <v>30050.93324439897</v>
      </c>
      <c r="Q379" s="25">
        <f t="array" aca="1" ref="Q379" ca="1">INDEX('Isaac 401k'!L:L,MATCH('Retirement Calculator'!A379,'Isaac 401k'!N:N,0),0)</f>
        <v>-199599.79123937059</v>
      </c>
      <c r="R379" s="25">
        <f t="array" aca="1" ref="R379" ca="1">INDEX('Lorri 401b'!L:L,MATCH('Retirement Calculator'!A379,'Lorri 401b'!N:N,0),0)</f>
        <v>1265732.711605154</v>
      </c>
      <c r="S379" s="25">
        <f t="shared" ca="1" si="267"/>
        <v>1066132.9203657834</v>
      </c>
    </row>
    <row r="380" spans="1:19" ht="15.75" customHeight="1" x14ac:dyDescent="0.25">
      <c r="A380" s="37">
        <v>62518</v>
      </c>
      <c r="B380" s="398">
        <f t="shared" ref="B380:C380" si="381">($A380-B$9)/365.25</f>
        <v>89.286789869952088</v>
      </c>
      <c r="C380" s="398">
        <f t="shared" si="381"/>
        <v>84.676249144421632</v>
      </c>
      <c r="E380" s="25">
        <f>IF(C380&gt;$B$7,0,'Combined Retirement'!$D$13/12)</f>
        <v>0</v>
      </c>
      <c r="F380" s="25">
        <f>IF(H380=0,'Combined Retirement'!$D$32,0)+'Combined Retirement'!$B$24</f>
        <v>2870.372285649099</v>
      </c>
      <c r="G380" s="25">
        <f>'Combined Retirement'!$C$24</f>
        <v>3254.2644699519233</v>
      </c>
      <c r="H380" s="25">
        <f>IF(B380&lt;62,0,'Combined Retirement'!$I$14)</f>
        <v>2345</v>
      </c>
      <c r="I380" s="25">
        <f>IF(C380&lt;62,0,'Combined Retirement'!$I$13)</f>
        <v>2420</v>
      </c>
      <c r="J380" s="25">
        <f t="shared" si="263"/>
        <v>8395.6297298201844</v>
      </c>
      <c r="K380" s="25">
        <f t="shared" si="264"/>
        <v>21655.303514578787</v>
      </c>
      <c r="L380" s="25"/>
      <c r="N380" s="25">
        <f>'Combined Retirement'!$C$18/12</f>
        <v>40940.569999999992</v>
      </c>
      <c r="O380" s="25">
        <f t="shared" si="265"/>
        <v>10889.636755601023</v>
      </c>
      <c r="P380" s="25">
        <f t="shared" si="266"/>
        <v>30050.93324439897</v>
      </c>
      <c r="Q380" s="25">
        <f t="array" aca="1" ref="Q380" ca="1">INDEX('Isaac 401k'!L:L,MATCH('Retirement Calculator'!A380,'Isaac 401k'!N:N,0),0)</f>
        <v>-208862.06855656242</v>
      </c>
      <c r="R380" s="25">
        <f t="array" aca="1" ref="R380" ca="1">INDEX('Lorri 401b'!L:L,MATCH('Retirement Calculator'!A380,'Lorri 401b'!N:N,0),0)</f>
        <v>1249261.0639576192</v>
      </c>
      <c r="S380" s="25">
        <f t="shared" ca="1" si="267"/>
        <v>1040398.9954010568</v>
      </c>
    </row>
    <row r="381" spans="1:19" ht="15.75" customHeight="1" x14ac:dyDescent="0.25">
      <c r="A381" s="37">
        <v>62549</v>
      </c>
      <c r="B381" s="398">
        <f t="shared" ref="B381:C381" si="382">($A381-B$9)/365.25</f>
        <v>89.371663244353186</v>
      </c>
      <c r="C381" s="398">
        <f t="shared" si="382"/>
        <v>84.761122518822731</v>
      </c>
      <c r="E381" s="25">
        <f>IF(C381&gt;$B$7,0,'Combined Retirement'!$D$13/12)</f>
        <v>0</v>
      </c>
      <c r="F381" s="25">
        <f>IF(H381=0,'Combined Retirement'!$D$32,0)+'Combined Retirement'!$B$24</f>
        <v>2870.372285649099</v>
      </c>
      <c r="G381" s="25">
        <f>'Combined Retirement'!$C$24</f>
        <v>3254.2644699519233</v>
      </c>
      <c r="H381" s="25">
        <f>IF(B381&lt;62,0,'Combined Retirement'!$I$14)</f>
        <v>2345</v>
      </c>
      <c r="I381" s="25">
        <f>IF(C381&lt;62,0,'Combined Retirement'!$I$13)</f>
        <v>2420</v>
      </c>
      <c r="J381" s="25">
        <f t="shared" si="263"/>
        <v>8395.6297298201844</v>
      </c>
      <c r="K381" s="25">
        <f t="shared" si="264"/>
        <v>21655.303514578787</v>
      </c>
      <c r="L381" s="25"/>
      <c r="N381" s="25">
        <f>'Combined Retirement'!$C$18/12</f>
        <v>40940.569999999992</v>
      </c>
      <c r="O381" s="25">
        <f t="shared" si="265"/>
        <v>10889.636755601023</v>
      </c>
      <c r="P381" s="25">
        <f t="shared" si="266"/>
        <v>30050.93324439897</v>
      </c>
      <c r="Q381" s="25">
        <f t="array" aca="1" ref="Q381" ca="1">INDEX('Isaac 401k'!L:L,MATCH('Retirement Calculator'!A381,'Isaac 401k'!N:N,0),0)</f>
        <v>-218162.93869590919</v>
      </c>
      <c r="R381" s="25">
        <f t="array" aca="1" ref="R381" ca="1">INDEX('Lorri 401b'!L:L,MATCH('Retirement Calculator'!A381,'Lorri 401b'!N:N,0),0)</f>
        <v>1232720.7844448865</v>
      </c>
      <c r="S381" s="25">
        <f t="shared" ca="1" si="267"/>
        <v>1014557.8457489773</v>
      </c>
    </row>
    <row r="382" spans="1:19" ht="15.75" customHeight="1" x14ac:dyDescent="0.25">
      <c r="A382" s="37">
        <v>62579</v>
      </c>
      <c r="B382" s="398">
        <f t="shared" ref="B382:C382" si="383">($A382-B$9)/365.25</f>
        <v>89.453798767967143</v>
      </c>
      <c r="C382" s="398">
        <f t="shared" si="383"/>
        <v>84.843258042436688</v>
      </c>
      <c r="E382" s="25">
        <f>IF(C382&gt;$B$7,0,'Combined Retirement'!$D$13/12)</f>
        <v>0</v>
      </c>
      <c r="F382" s="25">
        <f>IF(H382=0,'Combined Retirement'!$D$32,0)+'Combined Retirement'!$B$24</f>
        <v>2870.372285649099</v>
      </c>
      <c r="G382" s="25">
        <f>'Combined Retirement'!$C$24</f>
        <v>3254.2644699519233</v>
      </c>
      <c r="H382" s="25">
        <f>IF(B382&lt;62,0,'Combined Retirement'!$I$14)</f>
        <v>2345</v>
      </c>
      <c r="I382" s="25">
        <f>IF(C382&lt;62,0,'Combined Retirement'!$I$13)</f>
        <v>2420</v>
      </c>
      <c r="J382" s="25">
        <f t="shared" si="263"/>
        <v>8395.6297298201844</v>
      </c>
      <c r="K382" s="25">
        <f t="shared" si="264"/>
        <v>21655.303514578787</v>
      </c>
      <c r="L382" s="25"/>
      <c r="N382" s="25">
        <f>'Combined Retirement'!$C$18/12</f>
        <v>40940.569999999992</v>
      </c>
      <c r="O382" s="25">
        <f t="shared" si="265"/>
        <v>10889.636755601023</v>
      </c>
      <c r="P382" s="25">
        <f t="shared" si="266"/>
        <v>30050.93324439897</v>
      </c>
      <c r="Q382" s="25">
        <f t="array" aca="1" ref="Q382" ca="1">INDEX('Isaac 401k'!L:L,MATCH('Retirement Calculator'!A382,'Isaac 401k'!N:N,0),0)</f>
        <v>-227502.56246083658</v>
      </c>
      <c r="R382" s="25">
        <f t="array" aca="1" ref="R382" ca="1">INDEX('Lorri 401b'!L:L,MATCH('Retirement Calculator'!A382,'Lorri 401b'!N:N,0),0)</f>
        <v>1216111.5871008507</v>
      </c>
      <c r="S382" s="25">
        <f t="shared" ca="1" si="267"/>
        <v>988609.02464001405</v>
      </c>
    </row>
    <row r="383" spans="1:19" ht="15.75" customHeight="1" x14ac:dyDescent="0.25">
      <c r="A383" s="37">
        <v>62610</v>
      </c>
      <c r="B383" s="398">
        <f t="shared" ref="B383:C383" si="384">($A383-B$9)/365.25</f>
        <v>89.538672142368242</v>
      </c>
      <c r="C383" s="398">
        <f t="shared" si="384"/>
        <v>84.928131416837786</v>
      </c>
      <c r="E383" s="25">
        <f>IF(C383&gt;$B$7,0,'Combined Retirement'!$D$13/12)</f>
        <v>0</v>
      </c>
      <c r="F383" s="25">
        <f>IF(H383=0,'Combined Retirement'!$D$32,0)+'Combined Retirement'!$B$24</f>
        <v>2870.372285649099</v>
      </c>
      <c r="G383" s="25">
        <f>'Combined Retirement'!$C$24</f>
        <v>3254.2644699519233</v>
      </c>
      <c r="H383" s="25">
        <f>IF(B383&lt;62,0,'Combined Retirement'!$I$14)</f>
        <v>2345</v>
      </c>
      <c r="I383" s="25">
        <f>IF(C383&lt;62,0,'Combined Retirement'!$I$13)</f>
        <v>2420</v>
      </c>
      <c r="J383" s="25">
        <f t="shared" si="263"/>
        <v>8395.6297298201844</v>
      </c>
      <c r="K383" s="25">
        <f t="shared" si="264"/>
        <v>21655.303514578787</v>
      </c>
      <c r="L383" s="25"/>
      <c r="N383" s="25">
        <f>'Combined Retirement'!$C$18/12</f>
        <v>40940.569999999992</v>
      </c>
      <c r="O383" s="25">
        <f t="shared" si="265"/>
        <v>10889.636755601023</v>
      </c>
      <c r="P383" s="25">
        <f t="shared" si="266"/>
        <v>30050.93324439897</v>
      </c>
      <c r="Q383" s="25">
        <f t="array" aca="1" ref="Q383" ca="1">INDEX('Isaac 401k'!L:L,MATCH('Retirement Calculator'!A383,'Isaac 401k'!N:N,0),0)</f>
        <v>-236881.10132478448</v>
      </c>
      <c r="R383" s="25">
        <f t="array" aca="1" ref="R383" ca="1">INDEX('Lorri 401b'!L:L,MATCH('Retirement Calculator'!A383,'Lorri 401b'!N:N,0),0)</f>
        <v>1199433.1847678812</v>
      </c>
      <c r="S383" s="25">
        <f t="shared" ca="1" si="267"/>
        <v>962552.08344309672</v>
      </c>
    </row>
    <row r="384" spans="1:19" ht="15.75" customHeight="1" x14ac:dyDescent="0.25">
      <c r="A384" s="37">
        <v>62640</v>
      </c>
      <c r="B384" s="398">
        <f t="shared" ref="B384:C384" si="385">($A384-B$9)/365.25</f>
        <v>89.620807665982198</v>
      </c>
      <c r="C384" s="398">
        <f t="shared" si="385"/>
        <v>85.010266940451743</v>
      </c>
      <c r="E384" s="25">
        <f>IF(C384&gt;$B$7,0,'Combined Retirement'!$D$13/12)</f>
        <v>0</v>
      </c>
      <c r="F384" s="25">
        <f>IF(H384=0,'Combined Retirement'!$D$32,0)+'Combined Retirement'!$B$24</f>
        <v>2870.372285649099</v>
      </c>
      <c r="G384" s="25">
        <f>'Combined Retirement'!$C$24</f>
        <v>3254.2644699519233</v>
      </c>
      <c r="H384" s="25">
        <f>IF(B384&lt;62,0,'Combined Retirement'!$I$14)</f>
        <v>2345</v>
      </c>
      <c r="I384" s="25">
        <f>IF(C384&lt;62,0,'Combined Retirement'!$I$13)</f>
        <v>2420</v>
      </c>
      <c r="J384" s="25">
        <f t="shared" si="263"/>
        <v>8395.6297298201844</v>
      </c>
      <c r="K384" s="25">
        <f t="shared" si="264"/>
        <v>21655.303514578787</v>
      </c>
      <c r="L384" s="25"/>
      <c r="N384" s="25">
        <f>'Combined Retirement'!$C$18/12</f>
        <v>40940.569999999992</v>
      </c>
      <c r="O384" s="25">
        <f t="shared" si="265"/>
        <v>10889.636755601023</v>
      </c>
      <c r="P384" s="25">
        <f t="shared" si="266"/>
        <v>30050.93324439897</v>
      </c>
      <c r="Q384" s="25">
        <f t="array" aca="1" ref="Q384" ca="1">INDEX('Isaac 401k'!L:L,MATCH('Retirement Calculator'!A384,'Isaac 401k'!N:N,0),0)</f>
        <v>-246298.71743399886</v>
      </c>
      <c r="R384" s="25">
        <f t="array" aca="1" ref="R384" ca="1">INDEX('Lorri 401b'!L:L,MATCH('Retirement Calculator'!A384,'Lorri 401b'!N:N,0),0)</f>
        <v>1182685.2890918578</v>
      </c>
      <c r="S384" s="25">
        <f t="shared" ca="1" si="267"/>
        <v>936386.57165785902</v>
      </c>
    </row>
    <row r="385" spans="1:19" ht="15.75" customHeight="1" x14ac:dyDescent="0.25">
      <c r="A385" s="37">
        <v>62671</v>
      </c>
      <c r="B385" s="398">
        <f t="shared" ref="B385:C385" si="386">($A385-B$9)/365.25</f>
        <v>89.705681040383297</v>
      </c>
      <c r="C385" s="398">
        <f t="shared" si="386"/>
        <v>85.095140314852841</v>
      </c>
      <c r="E385" s="25">
        <f>IF(C385&gt;$B$7,0,'Combined Retirement'!$D$13/12)</f>
        <v>0</v>
      </c>
      <c r="F385" s="25">
        <f>IF(H385=0,'Combined Retirement'!$D$32,0)+'Combined Retirement'!$B$24</f>
        <v>2870.372285649099</v>
      </c>
      <c r="G385" s="25">
        <f>'Combined Retirement'!$C$24</f>
        <v>3254.2644699519233</v>
      </c>
      <c r="H385" s="25">
        <f>IF(B385&lt;62,0,'Combined Retirement'!$I$14)</f>
        <v>2345</v>
      </c>
      <c r="I385" s="25">
        <f>IF(C385&lt;62,0,'Combined Retirement'!$I$13)</f>
        <v>2420</v>
      </c>
      <c r="J385" s="25">
        <f t="shared" si="263"/>
        <v>8395.6297298201844</v>
      </c>
      <c r="K385" s="25">
        <f t="shared" si="264"/>
        <v>21655.303514578787</v>
      </c>
      <c r="L385" s="25"/>
      <c r="N385" s="25">
        <f>'Combined Retirement'!$C$18/12</f>
        <v>40940.569999999992</v>
      </c>
      <c r="O385" s="25">
        <f t="shared" si="265"/>
        <v>10889.636755601023</v>
      </c>
      <c r="P385" s="25">
        <f t="shared" si="266"/>
        <v>30050.93324439897</v>
      </c>
      <c r="Q385" s="25">
        <f t="array" aca="1" ref="Q385" ca="1">INDEX('Isaac 401k'!L:L,MATCH('Retirement Calculator'!A385,'Isaac 401k'!N:N,0),0)</f>
        <v>-255755.57361033495</v>
      </c>
      <c r="R385" s="25">
        <f t="array" aca="1" ref="R385" ca="1">INDEX('Lorri 401b'!L:L,MATCH('Retirement Calculator'!A385,'Lorri 401b'!N:N,0),0)</f>
        <v>1165867.6105171843</v>
      </c>
      <c r="S385" s="25">
        <f t="shared" ca="1" si="267"/>
        <v>910112.03690684936</v>
      </c>
    </row>
    <row r="386" spans="1:19" ht="15.75" customHeight="1" x14ac:dyDescent="0.25">
      <c r="A386" s="37">
        <v>62702</v>
      </c>
      <c r="B386" s="398">
        <f t="shared" ref="B386:C386" si="387">($A386-B$9)/365.25</f>
        <v>89.790554414784395</v>
      </c>
      <c r="C386" s="398">
        <f t="shared" si="387"/>
        <v>85.18001368925394</v>
      </c>
      <c r="E386" s="25">
        <f>IF(C386&gt;$B$7,0,'Combined Retirement'!$D$13/12)</f>
        <v>0</v>
      </c>
      <c r="F386" s="25">
        <f>IF(H386=0,'Combined Retirement'!$D$32,0)+'Combined Retirement'!$B$24</f>
        <v>2870.372285649099</v>
      </c>
      <c r="G386" s="25">
        <f>'Combined Retirement'!$C$24</f>
        <v>3254.2644699519233</v>
      </c>
      <c r="H386" s="25">
        <f>IF(B386&lt;62,0,'Combined Retirement'!$I$14)</f>
        <v>2345</v>
      </c>
      <c r="I386" s="25">
        <f>IF(C386&lt;62,0,'Combined Retirement'!$I$13)</f>
        <v>2420</v>
      </c>
      <c r="J386" s="25">
        <f t="shared" si="263"/>
        <v>8395.6297298201844</v>
      </c>
      <c r="K386" s="25">
        <f t="shared" si="264"/>
        <v>21655.303514578787</v>
      </c>
      <c r="L386" s="25"/>
      <c r="N386" s="25">
        <f>'Combined Retirement'!$C$18/12</f>
        <v>40940.569999999992</v>
      </c>
      <c r="O386" s="25">
        <f t="shared" si="265"/>
        <v>10889.636755601023</v>
      </c>
      <c r="P386" s="25">
        <f t="shared" si="266"/>
        <v>30050.93324439897</v>
      </c>
      <c r="Q386" s="25">
        <f t="array" aca="1" ref="Q386" ca="1">INDEX('Isaac 401k'!L:L,MATCH('Retirement Calculator'!A386,'Isaac 401k'!N:N,0),0)</f>
        <v>-265251.83335407247</v>
      </c>
      <c r="R386" s="25">
        <f t="array" aca="1" ref="R386" ca="1">INDEX('Lorri 401b'!L:L,MATCH('Retirement Calculator'!A386,'Lorri 401b'!N:N,0),0)</f>
        <v>1148979.8582817828</v>
      </c>
      <c r="S386" s="25">
        <f t="shared" ca="1" si="267"/>
        <v>883728.02492771042</v>
      </c>
    </row>
    <row r="387" spans="1:19" ht="15.75" customHeight="1" x14ac:dyDescent="0.25">
      <c r="A387" s="37">
        <v>62732</v>
      </c>
      <c r="B387" s="398">
        <f t="shared" ref="B387:C387" si="388">($A387-B$9)/365.25</f>
        <v>89.872689938398352</v>
      </c>
      <c r="C387" s="398">
        <f t="shared" si="388"/>
        <v>85.262149212867897</v>
      </c>
      <c r="E387" s="25">
        <f>IF(C387&gt;$B$7,0,'Combined Retirement'!$D$13/12)</f>
        <v>0</v>
      </c>
      <c r="F387" s="25">
        <f>IF(H387=0,'Combined Retirement'!$D$32,0)+'Combined Retirement'!$B$24</f>
        <v>2870.372285649099</v>
      </c>
      <c r="G387" s="25">
        <f>'Combined Retirement'!$C$24</f>
        <v>3254.2644699519233</v>
      </c>
      <c r="H387" s="25">
        <f>IF(B387&lt;62,0,'Combined Retirement'!$I$14)</f>
        <v>2345</v>
      </c>
      <c r="I387" s="25">
        <f>IF(C387&lt;62,0,'Combined Retirement'!$I$13)</f>
        <v>2420</v>
      </c>
      <c r="J387" s="25">
        <f t="shared" si="263"/>
        <v>8395.6297298201844</v>
      </c>
      <c r="K387" s="25">
        <f t="shared" si="264"/>
        <v>21655.303514578787</v>
      </c>
      <c r="L387" s="25"/>
      <c r="N387" s="25">
        <f>'Combined Retirement'!$C$18/12</f>
        <v>40940.569999999992</v>
      </c>
      <c r="O387" s="25">
        <f t="shared" si="265"/>
        <v>10889.636755601023</v>
      </c>
      <c r="P387" s="25">
        <f t="shared" si="266"/>
        <v>30050.93324439897</v>
      </c>
      <c r="Q387" s="25">
        <f t="array" aca="1" ref="Q387" ca="1">INDEX('Isaac 401k'!L:L,MATCH('Retirement Calculator'!A387,'Isaac 401k'!N:N,0),0)</f>
        <v>-274787.66084674222</v>
      </c>
      <c r="R387" s="25">
        <f t="array" aca="1" ref="R387" ca="1">INDEX('Lorri 401b'!L:L,MATCH('Retirement Calculator'!A387,'Lorri 401b'!N:N,0),0)</f>
        <v>1132021.7404120674</v>
      </c>
      <c r="S387" s="25">
        <f t="shared" ca="1" si="267"/>
        <v>857234.07956532517</v>
      </c>
    </row>
    <row r="388" spans="1:19" ht="15.75" customHeight="1" x14ac:dyDescent="0.25">
      <c r="A388" s="37">
        <v>62763</v>
      </c>
      <c r="B388" s="398">
        <f t="shared" ref="B388:C388" si="389">($A388-B$9)/365.25</f>
        <v>89.957563312799451</v>
      </c>
      <c r="C388" s="398">
        <f t="shared" si="389"/>
        <v>85.347022587268995</v>
      </c>
      <c r="E388" s="25">
        <f>IF(C388&gt;$B$7,0,'Combined Retirement'!$D$13/12)</f>
        <v>0</v>
      </c>
      <c r="F388" s="25">
        <f>IF(H388=0,'Combined Retirement'!$D$32,0)+'Combined Retirement'!$B$24</f>
        <v>2870.372285649099</v>
      </c>
      <c r="G388" s="25">
        <f>'Combined Retirement'!$C$24</f>
        <v>3254.2644699519233</v>
      </c>
      <c r="H388" s="25">
        <f>IF(B388&lt;62,0,'Combined Retirement'!$I$14)</f>
        <v>2345</v>
      </c>
      <c r="I388" s="25">
        <f>IF(C388&lt;62,0,'Combined Retirement'!$I$13)</f>
        <v>2420</v>
      </c>
      <c r="J388" s="25">
        <f t="shared" si="263"/>
        <v>8395.6297298201844</v>
      </c>
      <c r="K388" s="25">
        <f t="shared" si="264"/>
        <v>21655.303514578787</v>
      </c>
      <c r="L388" s="25"/>
      <c r="N388" s="25">
        <f>'Combined Retirement'!$C$18/12</f>
        <v>40940.569999999992</v>
      </c>
      <c r="O388" s="25">
        <f t="shared" si="265"/>
        <v>10889.636755601023</v>
      </c>
      <c r="P388" s="25">
        <f t="shared" si="266"/>
        <v>30050.93324439897</v>
      </c>
      <c r="Q388" s="25">
        <f t="array" aca="1" ref="Q388" ca="1">INDEX('Isaac 401k'!L:L,MATCH('Retirement Calculator'!A388,'Isaac 401k'!N:N,0),0)</f>
        <v>-284363.22095396474</v>
      </c>
      <c r="R388" s="25">
        <f t="array" aca="1" ref="R388" ca="1">INDEX('Lorri 401b'!L:L,MATCH('Retirement Calculator'!A388,'Lorri 401b'!N:N,0),0)</f>
        <v>1114992.9637178949</v>
      </c>
      <c r="S388" s="25">
        <f t="shared" ca="1" si="267"/>
        <v>830629.74276393012</v>
      </c>
    </row>
    <row r="389" spans="1:19" ht="15.75" customHeight="1" x14ac:dyDescent="0.25">
      <c r="A389" s="37">
        <v>62793</v>
      </c>
      <c r="B389" s="398">
        <f t="shared" ref="B389:C389" si="390">($A389-B$9)/365.25</f>
        <v>90.039698836413422</v>
      </c>
      <c r="C389" s="398">
        <f t="shared" si="390"/>
        <v>85.429158110882952</v>
      </c>
      <c r="E389" s="25">
        <f>IF(C389&gt;$B$7,0,'Combined Retirement'!$D$13/12)</f>
        <v>0</v>
      </c>
      <c r="F389" s="25">
        <f>IF(H389=0,'Combined Retirement'!$D$32,0)+'Combined Retirement'!$B$24</f>
        <v>2870.372285649099</v>
      </c>
      <c r="G389" s="25">
        <f>'Combined Retirement'!$C$24</f>
        <v>3254.2644699519233</v>
      </c>
      <c r="H389" s="25">
        <f>IF(B389&lt;62,0,'Combined Retirement'!$I$14)</f>
        <v>2345</v>
      </c>
      <c r="I389" s="25">
        <f>IF(C389&lt;62,0,'Combined Retirement'!$I$13)</f>
        <v>2420</v>
      </c>
      <c r="J389" s="25">
        <f t="shared" si="263"/>
        <v>8395.6297298201844</v>
      </c>
      <c r="K389" s="25">
        <f t="shared" si="264"/>
        <v>21655.303514578787</v>
      </c>
      <c r="L389" s="25"/>
      <c r="N389" s="25">
        <f>'Combined Retirement'!$C$18/12</f>
        <v>40940.569999999992</v>
      </c>
      <c r="O389" s="25">
        <f t="shared" si="265"/>
        <v>10889.636755601023</v>
      </c>
      <c r="P389" s="25">
        <f t="shared" si="266"/>
        <v>30050.93324439897</v>
      </c>
      <c r="Q389" s="25">
        <f t="array" aca="1" ref="Q389" ca="1">INDEX('Isaac 401k'!L:L,MATCH('Retirement Calculator'!A389,'Isaac 401k'!N:N,0),0)</f>
        <v>-293978.67922830069</v>
      </c>
      <c r="R389" s="25">
        <f t="array" aca="1" ref="R389" ca="1">INDEX('Lorri 401b'!L:L,MATCH('Retirement Calculator'!A389,'Lorri 401b'!N:N,0),0)</f>
        <v>1097893.2337874966</v>
      </c>
      <c r="S389" s="25">
        <f t="shared" ca="1" si="267"/>
        <v>803914.55455919588</v>
      </c>
    </row>
    <row r="390" spans="1:19" ht="15.75" customHeight="1" x14ac:dyDescent="0.25">
      <c r="A390" s="37">
        <v>62824</v>
      </c>
      <c r="B390" s="398">
        <f t="shared" ref="B390:C390" si="391">($A390-B$9)/365.25</f>
        <v>90.124572210814506</v>
      </c>
      <c r="C390" s="398">
        <f t="shared" si="391"/>
        <v>85.51403148528405</v>
      </c>
      <c r="E390" s="25">
        <f>IF(C390&gt;$B$7,0,'Combined Retirement'!$D$13/12)</f>
        <v>0</v>
      </c>
      <c r="F390" s="25">
        <f>IF(H390=0,'Combined Retirement'!$D$32,0)+'Combined Retirement'!$B$24</f>
        <v>2870.372285649099</v>
      </c>
      <c r="G390" s="25">
        <f>'Combined Retirement'!$C$24</f>
        <v>3254.2644699519233</v>
      </c>
      <c r="H390" s="25">
        <f>IF(B390&lt;62,0,'Combined Retirement'!$I$14)</f>
        <v>2345</v>
      </c>
      <c r="I390" s="25">
        <f>IF(C390&lt;62,0,'Combined Retirement'!$I$13)</f>
        <v>2420</v>
      </c>
      <c r="J390" s="25">
        <f t="shared" si="263"/>
        <v>8395.6297298201844</v>
      </c>
      <c r="K390" s="25">
        <f t="shared" si="264"/>
        <v>21655.303514578787</v>
      </c>
      <c r="L390" s="25"/>
      <c r="N390" s="25">
        <f>'Combined Retirement'!$C$18/12</f>
        <v>40940.569999999992</v>
      </c>
      <c r="O390" s="25">
        <f t="shared" si="265"/>
        <v>10889.636755601023</v>
      </c>
      <c r="P390" s="25">
        <f t="shared" si="266"/>
        <v>30050.93324439897</v>
      </c>
      <c r="Q390" s="25">
        <f t="array" aca="1" ref="Q390" ca="1">INDEX('Isaac 401k'!L:L,MATCH('Retirement Calculator'!A390,'Isaac 401k'!N:N,0),0)</f>
        <v>-303634.20191211306</v>
      </c>
      <c r="R390" s="25">
        <f t="array" aca="1" ref="R390" ca="1">INDEX('Lorri 401b'!L:L,MATCH('Retirement Calculator'!A390,'Lorri 401b'!N:N,0),0)</f>
        <v>1080722.2549823881</v>
      </c>
      <c r="S390" s="25">
        <f t="shared" ca="1" si="267"/>
        <v>777088.05307027511</v>
      </c>
    </row>
    <row r="391" spans="1:19" ht="15.75" customHeight="1" x14ac:dyDescent="0.25">
      <c r="A391" s="37">
        <v>62855</v>
      </c>
      <c r="B391" s="398">
        <f t="shared" ref="B391:C391" si="392">($A391-B$9)/365.25</f>
        <v>90.209445585215605</v>
      </c>
      <c r="C391" s="398">
        <f t="shared" si="392"/>
        <v>85.598904859685149</v>
      </c>
      <c r="E391" s="25">
        <f>IF(C391&gt;$B$7,0,'Combined Retirement'!$D$13/12)</f>
        <v>0</v>
      </c>
      <c r="F391" s="25">
        <f>IF(H391=0,'Combined Retirement'!$D$32,0)+'Combined Retirement'!$B$24</f>
        <v>2870.372285649099</v>
      </c>
      <c r="G391" s="25">
        <f>'Combined Retirement'!$C$24</f>
        <v>3254.2644699519233</v>
      </c>
      <c r="H391" s="25">
        <f>IF(B391&lt;62,0,'Combined Retirement'!$I$14)</f>
        <v>2345</v>
      </c>
      <c r="I391" s="25">
        <f>IF(C391&lt;62,0,'Combined Retirement'!$I$13)</f>
        <v>2420</v>
      </c>
      <c r="J391" s="25">
        <f t="shared" si="263"/>
        <v>8395.6297298201844</v>
      </c>
      <c r="K391" s="25">
        <f t="shared" si="264"/>
        <v>21655.303514578787</v>
      </c>
      <c r="L391" s="25"/>
      <c r="N391" s="25">
        <f>'Combined Retirement'!$C$18/12</f>
        <v>40940.569999999992</v>
      </c>
      <c r="O391" s="25">
        <f t="shared" si="265"/>
        <v>10889.636755601023</v>
      </c>
      <c r="P391" s="25">
        <f t="shared" si="266"/>
        <v>30050.93324439897</v>
      </c>
      <c r="Q391" s="25">
        <f t="array" aca="1" ref="Q391" ca="1">INDEX('Isaac 401k'!L:L,MATCH('Retirement Calculator'!A391,'Isaac 401k'!N:N,0),0)</f>
        <v>-313329.95594044129</v>
      </c>
      <c r="R391" s="25">
        <f t="array" aca="1" ref="R391" ca="1">INDEX('Lorri 401b'!L:L,MATCH('Retirement Calculator'!A391,'Lorri 401b'!N:N,0),0)</f>
        <v>1063479.7304322585</v>
      </c>
      <c r="S391" s="25">
        <f t="shared" ca="1" si="267"/>
        <v>750149.77449181722</v>
      </c>
    </row>
    <row r="392" spans="1:19" ht="15.75" customHeight="1" x14ac:dyDescent="0.25">
      <c r="A392" s="37">
        <v>62884</v>
      </c>
      <c r="B392" s="398">
        <f t="shared" ref="B392:C392" si="393">($A392-B$9)/365.25</f>
        <v>90.288843258042434</v>
      </c>
      <c r="C392" s="398">
        <f t="shared" si="393"/>
        <v>85.678302532511978</v>
      </c>
      <c r="E392" s="25">
        <f>IF(C392&gt;$B$7,0,'Combined Retirement'!$D$13/12)</f>
        <v>0</v>
      </c>
      <c r="F392" s="25">
        <f>IF(H392=0,'Combined Retirement'!$D$32,0)+'Combined Retirement'!$B$24</f>
        <v>2870.372285649099</v>
      </c>
      <c r="G392" s="25">
        <f>'Combined Retirement'!$C$24</f>
        <v>3254.2644699519233</v>
      </c>
      <c r="H392" s="25">
        <f>IF(B392&lt;62,0,'Combined Retirement'!$I$14)</f>
        <v>2345</v>
      </c>
      <c r="I392" s="25">
        <f>IF(C392&lt;62,0,'Combined Retirement'!$I$13)</f>
        <v>2420</v>
      </c>
      <c r="J392" s="25">
        <f t="shared" si="263"/>
        <v>8395.6297298201844</v>
      </c>
      <c r="K392" s="25">
        <f t="shared" si="264"/>
        <v>21655.303514578787</v>
      </c>
      <c r="L392" s="25"/>
      <c r="N392" s="25">
        <f>'Combined Retirement'!$C$18/12</f>
        <v>40940.569999999992</v>
      </c>
      <c r="O392" s="25">
        <f t="shared" si="265"/>
        <v>10889.636755601023</v>
      </c>
      <c r="P392" s="25">
        <f t="shared" si="266"/>
        <v>30050.93324439897</v>
      </c>
      <c r="Q392" s="25">
        <f t="array" aca="1" ref="Q392" ca="1">INDEX('Isaac 401k'!L:L,MATCH('Retirement Calculator'!A392,'Isaac 401k'!N:N,0),0)</f>
        <v>-323066.10894388758</v>
      </c>
      <c r="R392" s="25">
        <f t="array" aca="1" ref="R392" ca="1">INDEX('Lorri 401b'!L:L,MATCH('Retirement Calculator'!A392,'Lorri 401b'!N:N,0),0)</f>
        <v>1046165.3620298366</v>
      </c>
      <c r="S392" s="25">
        <f t="shared" ca="1" si="267"/>
        <v>723099.25308594899</v>
      </c>
    </row>
    <row r="393" spans="1:19" ht="15.75" customHeight="1" x14ac:dyDescent="0.25">
      <c r="A393" s="37">
        <v>62915</v>
      </c>
      <c r="B393" s="398">
        <f t="shared" ref="B393:C393" si="394">($A393-B$9)/365.25</f>
        <v>90.373716632443532</v>
      </c>
      <c r="C393" s="398">
        <f t="shared" si="394"/>
        <v>85.763175906913077</v>
      </c>
      <c r="E393" s="25">
        <f>IF(C393&gt;$B$7,0,'Combined Retirement'!$D$13/12)</f>
        <v>0</v>
      </c>
      <c r="F393" s="25">
        <f>IF(H393=0,'Combined Retirement'!$D$32,0)+'Combined Retirement'!$B$24</f>
        <v>2870.372285649099</v>
      </c>
      <c r="G393" s="25">
        <f>'Combined Retirement'!$C$24</f>
        <v>3254.2644699519233</v>
      </c>
      <c r="H393" s="25">
        <f>IF(B393&lt;62,0,'Combined Retirement'!$I$14)</f>
        <v>2345</v>
      </c>
      <c r="I393" s="25">
        <f>IF(C393&lt;62,0,'Combined Retirement'!$I$13)</f>
        <v>2420</v>
      </c>
      <c r="J393" s="25">
        <f t="shared" si="263"/>
        <v>8395.6297298201844</v>
      </c>
      <c r="K393" s="25">
        <f t="shared" si="264"/>
        <v>21655.303514578787</v>
      </c>
      <c r="L393" s="25"/>
      <c r="N393" s="25">
        <f>'Combined Retirement'!$C$18/12</f>
        <v>40940.569999999992</v>
      </c>
      <c r="O393" s="25">
        <f t="shared" si="265"/>
        <v>10889.636755601023</v>
      </c>
      <c r="P393" s="25">
        <f t="shared" si="266"/>
        <v>30050.93324439897</v>
      </c>
      <c r="Q393" s="25">
        <f t="array" aca="1" ref="Q393" ca="1">INDEX('Isaac 401k'!L:L,MATCH('Retirement Calculator'!A393,'Isaac 401k'!N:N,0),0)</f>
        <v>-332842.82925151486</v>
      </c>
      <c r="R393" s="25">
        <f t="array" aca="1" ref="R393" ca="1">INDEX('Lorri 401b'!L:L,MATCH('Retirement Calculator'!A393,'Lorri 401b'!N:N,0),0)</f>
        <v>1028778.8504257381</v>
      </c>
      <c r="S393" s="25">
        <f t="shared" ca="1" si="267"/>
        <v>695936.02117422328</v>
      </c>
    </row>
    <row r="394" spans="1:19" ht="15.75" customHeight="1" x14ac:dyDescent="0.25">
      <c r="A394" s="37">
        <v>62945</v>
      </c>
      <c r="B394" s="398">
        <f t="shared" ref="B394:C394" si="395">($A394-B$9)/365.25</f>
        <v>90.455852156057489</v>
      </c>
      <c r="C394" s="398">
        <f t="shared" si="395"/>
        <v>85.845311430527033</v>
      </c>
      <c r="E394" s="25">
        <f>IF(C394&gt;$B$7,0,'Combined Retirement'!$D$13/12)</f>
        <v>0</v>
      </c>
      <c r="F394" s="25">
        <f>IF(H394=0,'Combined Retirement'!$D$32,0)+'Combined Retirement'!$B$24</f>
        <v>2870.372285649099</v>
      </c>
      <c r="G394" s="25">
        <f>'Combined Retirement'!$C$24</f>
        <v>3254.2644699519233</v>
      </c>
      <c r="H394" s="25">
        <f>IF(B394&lt;62,0,'Combined Retirement'!$I$14)</f>
        <v>2345</v>
      </c>
      <c r="I394" s="25">
        <f>IF(C394&lt;62,0,'Combined Retirement'!$I$13)</f>
        <v>2420</v>
      </c>
      <c r="J394" s="25">
        <f t="shared" si="263"/>
        <v>8395.6297298201844</v>
      </c>
      <c r="K394" s="25">
        <f t="shared" si="264"/>
        <v>21655.303514578787</v>
      </c>
      <c r="L394" s="25"/>
      <c r="N394" s="25">
        <f>'Combined Retirement'!$C$18/12</f>
        <v>40940.569999999992</v>
      </c>
      <c r="O394" s="25">
        <f t="shared" si="265"/>
        <v>10889.636755601023</v>
      </c>
      <c r="P394" s="25">
        <f t="shared" si="266"/>
        <v>30050.93324439897</v>
      </c>
      <c r="Q394" s="25">
        <f t="array" aca="1" ref="Q394" ca="1">INDEX('Isaac 401k'!L:L,MATCH('Retirement Calculator'!A394,'Isaac 401k'!N:N,0),0)</f>
        <v>-342660.2858937573</v>
      </c>
      <c r="R394" s="25">
        <f t="array" aca="1" ref="R394" ca="1">INDEX('Lorri 401b'!L:L,MATCH('Retirement Calculator'!A394,'Lorri 401b'!N:N,0),0)</f>
        <v>1011319.8950232891</v>
      </c>
      <c r="S394" s="25">
        <f t="shared" ca="1" si="267"/>
        <v>668659.60912953177</v>
      </c>
    </row>
    <row r="395" spans="1:19" ht="15.75" customHeight="1" x14ac:dyDescent="0.25">
      <c r="A395" s="37">
        <v>62976</v>
      </c>
      <c r="B395" s="398">
        <f t="shared" ref="B395:C395" si="396">($A395-B$9)/365.25</f>
        <v>90.540725530458587</v>
      </c>
      <c r="C395" s="398">
        <f t="shared" si="396"/>
        <v>85.930184804928132</v>
      </c>
      <c r="E395" s="25">
        <f>IF(C395&gt;$B$7,0,'Combined Retirement'!$D$13/12)</f>
        <v>0</v>
      </c>
      <c r="F395" s="25">
        <f>IF(H395=0,'Combined Retirement'!$D$32,0)+'Combined Retirement'!$B$24</f>
        <v>2870.372285649099</v>
      </c>
      <c r="G395" s="25">
        <f>'Combined Retirement'!$C$24</f>
        <v>3254.2644699519233</v>
      </c>
      <c r="H395" s="25">
        <f>IF(B395&lt;62,0,'Combined Retirement'!$I$14)</f>
        <v>2345</v>
      </c>
      <c r="I395" s="25">
        <f>IF(C395&lt;62,0,'Combined Retirement'!$I$13)</f>
        <v>2420</v>
      </c>
      <c r="J395" s="25">
        <f t="shared" si="263"/>
        <v>8395.6297298201844</v>
      </c>
      <c r="K395" s="25">
        <f t="shared" si="264"/>
        <v>21655.303514578787</v>
      </c>
      <c r="L395" s="25"/>
      <c r="N395" s="25">
        <f>'Combined Retirement'!$C$18/12</f>
        <v>40940.569999999992</v>
      </c>
      <c r="O395" s="25">
        <f t="shared" si="265"/>
        <v>10889.636755601023</v>
      </c>
      <c r="P395" s="25">
        <f t="shared" si="266"/>
        <v>30050.93324439897</v>
      </c>
      <c r="Q395" s="25">
        <f t="array" aca="1" ref="Q395" ca="1">INDEX('Isaac 401k'!L:L,MATCH('Retirement Calculator'!A395,'Isaac 401k'!N:N,0),0)</f>
        <v>-352518.64860534237</v>
      </c>
      <c r="R395" s="25">
        <f t="array" aca="1" ref="R395" ca="1">INDEX('Lorri 401b'!L:L,MATCH('Retirement Calculator'!A395,'Lorri 401b'!N:N,0),0)</f>
        <v>993788.19397332997</v>
      </c>
      <c r="S395" s="25">
        <f t="shared" ca="1" si="267"/>
        <v>641269.54536798759</v>
      </c>
    </row>
    <row r="396" spans="1:19" ht="15.75" customHeight="1" x14ac:dyDescent="0.25">
      <c r="A396" s="37">
        <v>63006</v>
      </c>
      <c r="B396" s="398">
        <f t="shared" ref="B396:C396" si="397">($A396-B$9)/365.25</f>
        <v>90.622861054072558</v>
      </c>
      <c r="C396" s="398">
        <f t="shared" si="397"/>
        <v>86.012320328542089</v>
      </c>
      <c r="E396" s="25">
        <f>IF(C396&gt;$B$7,0,'Combined Retirement'!$D$13/12)</f>
        <v>0</v>
      </c>
      <c r="F396" s="25">
        <f>IF(H396=0,'Combined Retirement'!$D$32,0)+'Combined Retirement'!$B$24</f>
        <v>2870.372285649099</v>
      </c>
      <c r="G396" s="25">
        <f>'Combined Retirement'!$C$24</f>
        <v>3254.2644699519233</v>
      </c>
      <c r="H396" s="25">
        <f>IF(B396&lt;62,0,'Combined Retirement'!$I$14)</f>
        <v>2345</v>
      </c>
      <c r="I396" s="25">
        <f>IF(C396&lt;62,0,'Combined Retirement'!$I$13)</f>
        <v>2420</v>
      </c>
      <c r="J396" s="25">
        <f t="shared" si="263"/>
        <v>8395.6297298201844</v>
      </c>
      <c r="K396" s="25">
        <f t="shared" si="264"/>
        <v>21655.303514578787</v>
      </c>
      <c r="L396" s="25"/>
      <c r="N396" s="25">
        <f>'Combined Retirement'!$C$18/12</f>
        <v>40940.569999999992</v>
      </c>
      <c r="O396" s="25">
        <f t="shared" si="265"/>
        <v>10889.636755601023</v>
      </c>
      <c r="P396" s="25">
        <f t="shared" si="266"/>
        <v>30050.93324439897</v>
      </c>
      <c r="Q396" s="25">
        <f t="array" aca="1" ref="Q396" ca="1">INDEX('Isaac 401k'!L:L,MATCH('Retirement Calculator'!A396,'Isaac 401k'!N:N,0),0)</f>
        <v>-362418.08782822575</v>
      </c>
      <c r="R396" s="25">
        <f t="array" aca="1" ref="R396" ca="1">INDEX('Lorri 401b'!L:L,MATCH('Retirement Calculator'!A396,'Lorri 401b'!N:N,0),0)</f>
        <v>976183.44416899607</v>
      </c>
      <c r="S396" s="25">
        <f t="shared" ca="1" si="267"/>
        <v>613765.35634077038</v>
      </c>
    </row>
    <row r="397" spans="1:19" ht="15.75" customHeight="1" x14ac:dyDescent="0.25">
      <c r="A397" s="37">
        <v>63037</v>
      </c>
      <c r="B397" s="398">
        <f t="shared" ref="B397:C397" si="398">($A397-B$9)/365.25</f>
        <v>90.707734428473643</v>
      </c>
      <c r="C397" s="398">
        <f t="shared" si="398"/>
        <v>86.097193702943187</v>
      </c>
      <c r="E397" s="25">
        <f>IF(C397&gt;$B$7,0,'Combined Retirement'!$D$13/12)</f>
        <v>0</v>
      </c>
      <c r="F397" s="25">
        <f>IF(H397=0,'Combined Retirement'!$D$32,0)+'Combined Retirement'!$B$24</f>
        <v>2870.372285649099</v>
      </c>
      <c r="G397" s="25">
        <f>'Combined Retirement'!$C$24</f>
        <v>3254.2644699519233</v>
      </c>
      <c r="H397" s="25">
        <f>IF(B397&lt;62,0,'Combined Retirement'!$I$14)</f>
        <v>2345</v>
      </c>
      <c r="I397" s="25">
        <f>IF(C397&lt;62,0,'Combined Retirement'!$I$13)</f>
        <v>2420</v>
      </c>
      <c r="J397" s="25">
        <f t="shared" si="263"/>
        <v>8395.6297298201844</v>
      </c>
      <c r="K397" s="25">
        <f t="shared" si="264"/>
        <v>21655.303514578787</v>
      </c>
      <c r="L397" s="25"/>
      <c r="N397" s="25">
        <f>'Combined Retirement'!$C$18/12</f>
        <v>40940.569999999992</v>
      </c>
      <c r="O397" s="25">
        <f t="shared" si="265"/>
        <v>10889.636755601023</v>
      </c>
      <c r="P397" s="25">
        <f t="shared" si="266"/>
        <v>30050.93324439897</v>
      </c>
      <c r="Q397" s="25">
        <f t="array" aca="1" ref="Q397" ca="1">INDEX('Isaac 401k'!L:L,MATCH('Retirement Calculator'!A397,'Isaac 401k'!N:N,0),0)</f>
        <v>-372358.77471453778</v>
      </c>
      <c r="R397" s="25">
        <f t="array" aca="1" ref="R397" ca="1">INDEX('Lorri 401b'!L:L,MATCH('Retirement Calculator'!A397,'Lorri 401b'!N:N,0),0)</f>
        <v>958505.34124047728</v>
      </c>
      <c r="S397" s="25">
        <f t="shared" ca="1" si="267"/>
        <v>586146.5665259395</v>
      </c>
    </row>
    <row r="398" spans="1:19" ht="15.75" customHeight="1" x14ac:dyDescent="0.25">
      <c r="A398" s="37">
        <v>63068</v>
      </c>
      <c r="B398" s="398">
        <f t="shared" ref="B398:C398" si="399">($A398-B$9)/365.25</f>
        <v>90.792607802874741</v>
      </c>
      <c r="C398" s="398">
        <f t="shared" si="399"/>
        <v>86.182067077344286</v>
      </c>
      <c r="E398" s="25">
        <f>IF(C398&gt;$B$7,0,'Combined Retirement'!$D$13/12)</f>
        <v>0</v>
      </c>
      <c r="F398" s="25">
        <f>IF(H398=0,'Combined Retirement'!$D$32,0)+'Combined Retirement'!$B$24</f>
        <v>2870.372285649099</v>
      </c>
      <c r="G398" s="25">
        <f>'Combined Retirement'!$C$24</f>
        <v>3254.2644699519233</v>
      </c>
      <c r="H398" s="25">
        <f>IF(B398&lt;62,0,'Combined Retirement'!$I$14)</f>
        <v>2345</v>
      </c>
      <c r="I398" s="25">
        <f>IF(C398&lt;62,0,'Combined Retirement'!$I$13)</f>
        <v>2420</v>
      </c>
      <c r="J398" s="25">
        <f t="shared" si="263"/>
        <v>8395.6297298201844</v>
      </c>
      <c r="K398" s="25">
        <f t="shared" si="264"/>
        <v>21655.303514578787</v>
      </c>
      <c r="L398" s="25"/>
      <c r="N398" s="25">
        <f>'Combined Retirement'!$C$18/12</f>
        <v>40940.569999999992</v>
      </c>
      <c r="O398" s="25">
        <f t="shared" si="265"/>
        <v>10889.636755601023</v>
      </c>
      <c r="P398" s="25">
        <f t="shared" si="266"/>
        <v>30050.93324439897</v>
      </c>
      <c r="Q398" s="25">
        <f t="array" aca="1" ref="Q398" ca="1">INDEX('Isaac 401k'!L:L,MATCH('Retirement Calculator'!A398,'Isaac 401k'!N:N,0),0)</f>
        <v>-382340.88112954277</v>
      </c>
      <c r="R398" s="25">
        <f t="array" aca="1" ref="R398" ca="1">INDEX('Lorri 401b'!L:L,MATCH('Retirement Calculator'!A398,'Lorri 401b'!N:N,0),0)</f>
        <v>940753.57954975637</v>
      </c>
      <c r="S398" s="25">
        <f t="shared" ca="1" si="267"/>
        <v>558412.69842021354</v>
      </c>
    </row>
    <row r="399" spans="1:19" ht="15.75" customHeight="1" x14ac:dyDescent="0.25">
      <c r="A399" s="37">
        <v>63098</v>
      </c>
      <c r="B399" s="398">
        <f t="shared" ref="B399:C399" si="400">($A399-B$9)/365.25</f>
        <v>90.874743326488712</v>
      </c>
      <c r="C399" s="398">
        <f t="shared" si="400"/>
        <v>86.264202600958242</v>
      </c>
      <c r="E399" s="25">
        <f>IF(C399&gt;$B$7,0,'Combined Retirement'!$D$13/12)</f>
        <v>0</v>
      </c>
      <c r="F399" s="25">
        <f>IF(H399=0,'Combined Retirement'!$D$32,0)+'Combined Retirement'!$B$24</f>
        <v>2870.372285649099</v>
      </c>
      <c r="G399" s="25">
        <f>'Combined Retirement'!$C$24</f>
        <v>3254.2644699519233</v>
      </c>
      <c r="H399" s="25">
        <f>IF(B399&lt;62,0,'Combined Retirement'!$I$14)</f>
        <v>2345</v>
      </c>
      <c r="I399" s="25">
        <f>IF(C399&lt;62,0,'Combined Retirement'!$I$13)</f>
        <v>2420</v>
      </c>
      <c r="J399" s="25">
        <f t="shared" si="263"/>
        <v>8395.6297298201844</v>
      </c>
      <c r="K399" s="25">
        <f t="shared" si="264"/>
        <v>21655.303514578787</v>
      </c>
      <c r="L399" s="25"/>
      <c r="N399" s="25">
        <f>'Combined Retirement'!$C$18/12</f>
        <v>40940.569999999992</v>
      </c>
      <c r="O399" s="25">
        <f t="shared" si="265"/>
        <v>10889.636755601023</v>
      </c>
      <c r="P399" s="25">
        <f t="shared" si="266"/>
        <v>30050.93324439897</v>
      </c>
      <c r="Q399" s="25">
        <f t="array" aca="1" ref="Q399" ca="1">INDEX('Isaac 401k'!L:L,MATCH('Retirement Calculator'!A399,'Isaac 401k'!N:N,0),0)</f>
        <v>-392364.57965461031</v>
      </c>
      <c r="R399" s="25">
        <f t="array" aca="1" ref="R399" ca="1">INDEX('Lorri 401b'!L:L,MATCH('Retirement Calculator'!A399,'Lorri 401b'!N:N,0),0)</f>
        <v>922927.85218532407</v>
      </c>
      <c r="S399" s="25">
        <f t="shared" ca="1" si="267"/>
        <v>530563.27253071382</v>
      </c>
    </row>
    <row r="400" spans="1:19" ht="15.75" customHeight="1" x14ac:dyDescent="0.25">
      <c r="A400" s="37">
        <v>63129</v>
      </c>
      <c r="B400" s="398">
        <f t="shared" ref="B400:C400" si="401">($A400-B$9)/365.25</f>
        <v>90.959616700889796</v>
      </c>
      <c r="C400" s="398">
        <f t="shared" si="401"/>
        <v>86.349075975359341</v>
      </c>
      <c r="E400" s="25">
        <f>IF(C400&gt;$B$7,0,'Combined Retirement'!$D$13/12)</f>
        <v>0</v>
      </c>
      <c r="F400" s="25">
        <f>IF(H400=0,'Combined Retirement'!$D$32,0)+'Combined Retirement'!$B$24</f>
        <v>2870.372285649099</v>
      </c>
      <c r="G400" s="25">
        <f>'Combined Retirement'!$C$24</f>
        <v>3254.2644699519233</v>
      </c>
      <c r="H400" s="25">
        <f>IF(B400&lt;62,0,'Combined Retirement'!$I$14)</f>
        <v>2345</v>
      </c>
      <c r="I400" s="25">
        <f>IF(C400&lt;62,0,'Combined Retirement'!$I$13)</f>
        <v>2420</v>
      </c>
      <c r="J400" s="25">
        <f t="shared" si="263"/>
        <v>8395.6297298201844</v>
      </c>
      <c r="K400" s="25">
        <f t="shared" si="264"/>
        <v>21655.303514578787</v>
      </c>
      <c r="L400" s="25"/>
      <c r="N400" s="25">
        <f>'Combined Retirement'!$C$18/12</f>
        <v>40940.569999999992</v>
      </c>
      <c r="O400" s="25">
        <f t="shared" si="265"/>
        <v>10889.636755601023</v>
      </c>
      <c r="P400" s="25">
        <f t="shared" si="266"/>
        <v>30050.93324439897</v>
      </c>
      <c r="Q400" s="25">
        <f t="array" aca="1" ref="Q400" ca="1">INDEX('Isaac 401k'!L:L,MATCH('Retirement Calculator'!A400,'Isaac 401k'!N:N,0),0)</f>
        <v>-402430.04359019897</v>
      </c>
      <c r="R400" s="25">
        <f t="array" aca="1" ref="R400" ca="1">INDEX('Lorri 401b'!L:L,MATCH('Retirement Calculator'!A400,'Lorri 401b'!N:N,0),0)</f>
        <v>905027.85095687327</v>
      </c>
      <c r="S400" s="25">
        <f t="shared" ca="1" si="267"/>
        <v>502597.8073666743</v>
      </c>
    </row>
    <row r="401" spans="1:19" ht="15.75" customHeight="1" x14ac:dyDescent="0.25">
      <c r="A401" s="37">
        <v>63159</v>
      </c>
      <c r="B401" s="398">
        <f t="shared" ref="B401:C401" si="402">($A401-B$9)/365.25</f>
        <v>91.041752224503767</v>
      </c>
      <c r="C401" s="398">
        <f t="shared" si="402"/>
        <v>86.431211498973312</v>
      </c>
      <c r="E401" s="25">
        <f>IF(C401&gt;$B$7,0,'Combined Retirement'!$D$13/12)</f>
        <v>0</v>
      </c>
      <c r="F401" s="25">
        <f>IF(H401=0,'Combined Retirement'!$D$32,0)+'Combined Retirement'!$B$24</f>
        <v>2870.372285649099</v>
      </c>
      <c r="G401" s="25">
        <f>'Combined Retirement'!$C$24</f>
        <v>3254.2644699519233</v>
      </c>
      <c r="H401" s="25">
        <f>IF(B401&lt;62,0,'Combined Retirement'!$I$14)</f>
        <v>2345</v>
      </c>
      <c r="I401" s="25">
        <f>IF(C401&lt;62,0,'Combined Retirement'!$I$13)</f>
        <v>2420</v>
      </c>
      <c r="J401" s="25">
        <f t="shared" si="263"/>
        <v>8395.6297298201844</v>
      </c>
      <c r="K401" s="25">
        <f t="shared" si="264"/>
        <v>21655.303514578787</v>
      </c>
      <c r="L401" s="25"/>
      <c r="N401" s="25">
        <f>'Combined Retirement'!$C$18/12</f>
        <v>40940.569999999992</v>
      </c>
      <c r="O401" s="25">
        <f t="shared" si="265"/>
        <v>10889.636755601023</v>
      </c>
      <c r="P401" s="25">
        <f t="shared" si="266"/>
        <v>30050.93324439897</v>
      </c>
      <c r="Q401" s="25">
        <f t="array" aca="1" ref="Q401" ca="1">INDEX('Isaac 401k'!L:L,MATCH('Retirement Calculator'!A401,'Isaac 401k'!N:N,0),0)</f>
        <v>-412537.44695885258</v>
      </c>
      <c r="R401" s="25">
        <f t="array" aca="1" ref="R401" ca="1">INDEX('Lorri 401b'!L:L,MATCH('Retirement Calculator'!A401,'Lorri 401b'!N:N,0),0)</f>
        <v>887053.26638997067</v>
      </c>
      <c r="S401" s="25">
        <f t="shared" ca="1" si="267"/>
        <v>474515.81943111809</v>
      </c>
    </row>
    <row r="402" spans="1:19" ht="15.75" customHeight="1" x14ac:dyDescent="0.25">
      <c r="A402" s="37">
        <v>63190</v>
      </c>
      <c r="B402" s="398">
        <f t="shared" ref="B402:C402" si="403">($A402-B$9)/365.25</f>
        <v>91.126625598904866</v>
      </c>
      <c r="C402" s="398">
        <f t="shared" si="403"/>
        <v>86.516084873374396</v>
      </c>
      <c r="E402" s="25">
        <f>IF(C402&gt;$B$7,0,'Combined Retirement'!$D$13/12)</f>
        <v>0</v>
      </c>
      <c r="F402" s="25">
        <f>IF(H402=0,'Combined Retirement'!$D$32,0)+'Combined Retirement'!$B$24</f>
        <v>2870.372285649099</v>
      </c>
      <c r="G402" s="25">
        <f>'Combined Retirement'!$C$24</f>
        <v>3254.2644699519233</v>
      </c>
      <c r="H402" s="25">
        <f>IF(B402&lt;62,0,'Combined Retirement'!$I$14)</f>
        <v>2345</v>
      </c>
      <c r="I402" s="25">
        <f>IF(C402&lt;62,0,'Combined Retirement'!$I$13)</f>
        <v>2420</v>
      </c>
      <c r="J402" s="25">
        <f t="shared" si="263"/>
        <v>8395.6297298201844</v>
      </c>
      <c r="K402" s="25">
        <f t="shared" si="264"/>
        <v>21655.303514578787</v>
      </c>
      <c r="L402" s="25"/>
      <c r="N402" s="25">
        <f>'Combined Retirement'!$C$18/12</f>
        <v>40940.569999999992</v>
      </c>
      <c r="O402" s="25">
        <f t="shared" si="265"/>
        <v>10889.636755601023</v>
      </c>
      <c r="P402" s="25">
        <f t="shared" si="266"/>
        <v>30050.93324439897</v>
      </c>
      <c r="Q402" s="25">
        <f t="array" aca="1" ref="Q402" ca="1">INDEX('Isaac 401k'!L:L,MATCH('Retirement Calculator'!A402,'Isaac 401k'!N:N,0),0)</f>
        <v>-422686.96450820891</v>
      </c>
      <c r="R402" s="25">
        <f t="array" aca="1" ref="R402" ca="1">INDEX('Lorri 401b'!L:L,MATCH('Retirement Calculator'!A402,'Lorri 401b'!N:N,0),0)</f>
        <v>869003.78772070596</v>
      </c>
      <c r="S402" s="25">
        <f t="shared" ca="1" si="267"/>
        <v>446316.82321249705</v>
      </c>
    </row>
    <row r="403" spans="1:19" ht="15.75" customHeight="1" x14ac:dyDescent="0.25">
      <c r="A403" s="37">
        <v>63221</v>
      </c>
      <c r="B403" s="398">
        <f t="shared" ref="B403:C403" si="404">($A403-B$9)/365.25</f>
        <v>91.21149897330595</v>
      </c>
      <c r="C403" s="398">
        <f t="shared" si="404"/>
        <v>86.600958247775495</v>
      </c>
      <c r="E403" s="25">
        <f>IF(C403&gt;$B$7,0,'Combined Retirement'!$D$13/12)</f>
        <v>0</v>
      </c>
      <c r="F403" s="25">
        <f>IF(H403=0,'Combined Retirement'!$D$32,0)+'Combined Retirement'!$B$24</f>
        <v>2870.372285649099</v>
      </c>
      <c r="G403" s="25">
        <f>'Combined Retirement'!$C$24</f>
        <v>3254.2644699519233</v>
      </c>
      <c r="H403" s="25">
        <f>IF(B403&lt;62,0,'Combined Retirement'!$I$14)</f>
        <v>2345</v>
      </c>
      <c r="I403" s="25">
        <f>IF(C403&lt;62,0,'Combined Retirement'!$I$13)</f>
        <v>2420</v>
      </c>
      <c r="J403" s="25">
        <f t="shared" si="263"/>
        <v>8395.6297298201844</v>
      </c>
      <c r="K403" s="25">
        <f t="shared" si="264"/>
        <v>21655.303514578787</v>
      </c>
      <c r="L403" s="25"/>
      <c r="N403" s="25">
        <f>'Combined Retirement'!$C$18/12</f>
        <v>40940.569999999992</v>
      </c>
      <c r="O403" s="25">
        <f t="shared" si="265"/>
        <v>10889.636755601023</v>
      </c>
      <c r="P403" s="25">
        <f t="shared" si="266"/>
        <v>30050.93324439897</v>
      </c>
      <c r="Q403" s="25">
        <f t="array" aca="1" ref="Q403" ca="1">INDEX('Isaac 401k'!L:L,MATCH('Retirement Calculator'!A403,'Isaac 401k'!N:N,0),0)</f>
        <v>-432878.77171402087</v>
      </c>
      <c r="R403" s="25">
        <f t="array" aca="1" ref="R403" ca="1">INDEX('Lorri 401b'!L:L,MATCH('Retirement Calculator'!A403,'Lorri 401b'!N:N,0),0)</f>
        <v>850879.10289031942</v>
      </c>
      <c r="S403" s="25">
        <f t="shared" ca="1" si="267"/>
        <v>418000.33117629855</v>
      </c>
    </row>
    <row r="404" spans="1:19" ht="15.75" customHeight="1" x14ac:dyDescent="0.25">
      <c r="A404" s="37">
        <v>63249</v>
      </c>
      <c r="B404" s="398">
        <f t="shared" ref="B404:C404" si="405">($A404-B$9)/365.25</f>
        <v>91.288158795345652</v>
      </c>
      <c r="C404" s="398">
        <f t="shared" si="405"/>
        <v>86.677618069815196</v>
      </c>
      <c r="E404" s="25">
        <f>IF(C404&gt;$B$7,0,'Combined Retirement'!$D$13/12)</f>
        <v>0</v>
      </c>
      <c r="F404" s="25">
        <f>IF(H404=0,'Combined Retirement'!$D$32,0)+'Combined Retirement'!$B$24</f>
        <v>2870.372285649099</v>
      </c>
      <c r="G404" s="25">
        <f>'Combined Retirement'!$C$24</f>
        <v>3254.2644699519233</v>
      </c>
      <c r="H404" s="25">
        <f>IF(B404&lt;62,0,'Combined Retirement'!$I$14)</f>
        <v>2345</v>
      </c>
      <c r="I404" s="25">
        <f>IF(C404&lt;62,0,'Combined Retirement'!$I$13)</f>
        <v>2420</v>
      </c>
      <c r="J404" s="25">
        <f t="shared" si="263"/>
        <v>8395.6297298201844</v>
      </c>
      <c r="K404" s="25">
        <f t="shared" si="264"/>
        <v>21655.303514578787</v>
      </c>
      <c r="L404" s="25"/>
      <c r="N404" s="25">
        <f>'Combined Retirement'!$C$18/12</f>
        <v>40940.569999999992</v>
      </c>
      <c r="O404" s="25">
        <f t="shared" si="265"/>
        <v>10889.636755601023</v>
      </c>
      <c r="P404" s="25">
        <f t="shared" si="266"/>
        <v>30050.93324439897</v>
      </c>
      <c r="Q404" s="25">
        <f t="array" aca="1" ref="Q404" ca="1">INDEX('Isaac 401k'!L:L,MATCH('Retirement Calculator'!A404,'Isaac 401k'!N:N,0),0)</f>
        <v>-443113.04478319042</v>
      </c>
      <c r="R404" s="25">
        <f t="array" aca="1" ref="R404" ca="1">INDEX('Lorri 401b'!L:L,MATCH('Retirement Calculator'!A404,'Lorri 401b'!N:N,0),0)</f>
        <v>832678.89853980613</v>
      </c>
      <c r="S404" s="25">
        <f t="shared" ca="1" si="267"/>
        <v>389565.85375661572</v>
      </c>
    </row>
    <row r="405" spans="1:19" ht="15.75" customHeight="1" x14ac:dyDescent="0.25">
      <c r="A405" s="37">
        <v>63280</v>
      </c>
      <c r="B405" s="398">
        <f t="shared" ref="B405:C405" si="406">($A405-B$9)/365.25</f>
        <v>91.37303216974675</v>
      </c>
      <c r="C405" s="398">
        <f t="shared" si="406"/>
        <v>86.762491444216295</v>
      </c>
      <c r="E405" s="25">
        <f>IF(C405&gt;$B$7,0,'Combined Retirement'!$D$13/12)</f>
        <v>0</v>
      </c>
      <c r="F405" s="25">
        <f>IF(H405=0,'Combined Retirement'!$D$32,0)+'Combined Retirement'!$B$24</f>
        <v>2870.372285649099</v>
      </c>
      <c r="G405" s="25">
        <f>'Combined Retirement'!$C$24</f>
        <v>3254.2644699519233</v>
      </c>
      <c r="H405" s="25">
        <f>IF(B405&lt;62,0,'Combined Retirement'!$I$14)</f>
        <v>2345</v>
      </c>
      <c r="I405" s="25">
        <f>IF(C405&lt;62,0,'Combined Retirement'!$I$13)</f>
        <v>2420</v>
      </c>
      <c r="J405" s="25">
        <f t="shared" si="263"/>
        <v>8395.6297298201844</v>
      </c>
      <c r="K405" s="25">
        <f t="shared" si="264"/>
        <v>21655.303514578787</v>
      </c>
      <c r="L405" s="25"/>
      <c r="N405" s="25">
        <f>'Combined Retirement'!$C$18/12</f>
        <v>40940.569999999992</v>
      </c>
      <c r="O405" s="25">
        <f t="shared" si="265"/>
        <v>10889.636755601023</v>
      </c>
      <c r="P405" s="25">
        <f t="shared" si="266"/>
        <v>30050.93324439897</v>
      </c>
      <c r="Q405" s="25">
        <f t="array" aca="1" ref="Q405" ca="1">INDEX('Isaac 401k'!L:L,MATCH('Retirement Calculator'!A405,'Isaac 401k'!N:N,0),0)</f>
        <v>-453389.9606568148</v>
      </c>
      <c r="R405" s="25">
        <f t="array" aca="1" ref="R405" ca="1">INDEX('Lorri 401b'!L:L,MATCH('Retirement Calculator'!A405,'Lorri 401b'!N:N,0),0)</f>
        <v>814402.86000449921</v>
      </c>
      <c r="S405" s="25">
        <f t="shared" ca="1" si="267"/>
        <v>361012.8993476844</v>
      </c>
    </row>
    <row r="406" spans="1:19" ht="15.75" customHeight="1" x14ac:dyDescent="0.25">
      <c r="A406" s="37">
        <v>63310</v>
      </c>
      <c r="B406" s="398">
        <f t="shared" ref="B406:C406" si="407">($A406-B$9)/365.25</f>
        <v>91.455167693360707</v>
      </c>
      <c r="C406" s="398">
        <f t="shared" si="407"/>
        <v>86.844626967830251</v>
      </c>
      <c r="E406" s="25">
        <f>IF(C406&gt;$B$7,0,'Combined Retirement'!$D$13/12)</f>
        <v>0</v>
      </c>
      <c r="F406" s="25">
        <f>IF(H406=0,'Combined Retirement'!$D$32,0)+'Combined Retirement'!$B$24</f>
        <v>2870.372285649099</v>
      </c>
      <c r="G406" s="25">
        <f>'Combined Retirement'!$C$24</f>
        <v>3254.2644699519233</v>
      </c>
      <c r="H406" s="25">
        <f>IF(B406&lt;62,0,'Combined Retirement'!$I$14)</f>
        <v>2345</v>
      </c>
      <c r="I406" s="25">
        <f>IF(C406&lt;62,0,'Combined Retirement'!$I$13)</f>
        <v>2420</v>
      </c>
      <c r="J406" s="25">
        <f t="shared" si="263"/>
        <v>8395.6297298201844</v>
      </c>
      <c r="K406" s="25">
        <f t="shared" si="264"/>
        <v>21655.303514578787</v>
      </c>
      <c r="L406" s="25"/>
      <c r="N406" s="25">
        <f>'Combined Retirement'!$C$18/12</f>
        <v>40940.569999999992</v>
      </c>
      <c r="O406" s="25">
        <f t="shared" si="265"/>
        <v>10889.636755601023</v>
      </c>
      <c r="P406" s="25">
        <f t="shared" si="266"/>
        <v>30050.93324439897</v>
      </c>
      <c r="Q406" s="25">
        <f t="array" aca="1" ref="Q406" ca="1">INDEX('Isaac 401k'!L:L,MATCH('Retirement Calculator'!A406,'Isaac 401k'!N:N,0),0)</f>
        <v>-463709.69701324595</v>
      </c>
      <c r="R406" s="25">
        <f t="array" aca="1" ref="R406" ca="1">INDEX('Lorri 401b'!L:L,MATCH('Retirement Calculator'!A406,'Lorri 401b'!N:N,0),0)</f>
        <v>796050.67130862852</v>
      </c>
      <c r="S406" s="25">
        <f t="shared" ca="1" si="267"/>
        <v>332340.97429538256</v>
      </c>
    </row>
    <row r="407" spans="1:19" ht="15.75" customHeight="1" x14ac:dyDescent="0.25">
      <c r="A407" s="37">
        <v>63341</v>
      </c>
      <c r="B407" s="398">
        <f t="shared" ref="B407:C407" si="408">($A407-B$9)/365.25</f>
        <v>91.540041067761805</v>
      </c>
      <c r="C407" s="398">
        <f t="shared" si="408"/>
        <v>86.92950034223135</v>
      </c>
      <c r="E407" s="25">
        <f>IF(C407&gt;$B$7,0,'Combined Retirement'!$D$13/12)</f>
        <v>0</v>
      </c>
      <c r="F407" s="25">
        <f>IF(H407=0,'Combined Retirement'!$D$32,0)+'Combined Retirement'!$B$24</f>
        <v>2870.372285649099</v>
      </c>
      <c r="G407" s="25">
        <f>'Combined Retirement'!$C$24</f>
        <v>3254.2644699519233</v>
      </c>
      <c r="H407" s="25">
        <f>IF(B407&lt;62,0,'Combined Retirement'!$I$14)</f>
        <v>2345</v>
      </c>
      <c r="I407" s="25">
        <f>IF(C407&lt;62,0,'Combined Retirement'!$I$13)</f>
        <v>2420</v>
      </c>
      <c r="J407" s="25">
        <f t="shared" si="263"/>
        <v>8395.6297298201844</v>
      </c>
      <c r="K407" s="25">
        <f t="shared" si="264"/>
        <v>21655.303514578787</v>
      </c>
      <c r="L407" s="25"/>
      <c r="N407" s="25">
        <f>'Combined Retirement'!$C$18/12</f>
        <v>40940.569999999992</v>
      </c>
      <c r="O407" s="25">
        <f t="shared" si="265"/>
        <v>10889.636755601023</v>
      </c>
      <c r="P407" s="25">
        <f t="shared" si="266"/>
        <v>30050.93324439897</v>
      </c>
      <c r="Q407" s="25">
        <f t="array" aca="1" ref="Q407" ca="1">INDEX('Isaac 401k'!L:L,MATCH('Retirement Calculator'!A407,'Isaac 401k'!N:N,0),0)</f>
        <v>-474072.43227116222</v>
      </c>
      <c r="R407" s="25">
        <f t="array" aca="1" ref="R407" ca="1">INDEX('Lorri 401b'!L:L,MATCH('Retirement Calculator'!A407,'Lorri 401b'!N:N,0),0)</f>
        <v>777622.01515985816</v>
      </c>
      <c r="S407" s="25">
        <f t="shared" ca="1" si="267"/>
        <v>303549.58288869594</v>
      </c>
    </row>
    <row r="408" spans="1:19" ht="15.75" customHeight="1" x14ac:dyDescent="0.25">
      <c r="A408" s="37">
        <v>63371</v>
      </c>
      <c r="B408" s="398">
        <f t="shared" ref="B408:C408" si="409">($A408-B$9)/365.25</f>
        <v>91.622176591375776</v>
      </c>
      <c r="C408" s="398">
        <f t="shared" si="409"/>
        <v>87.011635865845307</v>
      </c>
      <c r="E408" s="25">
        <f>IF(C408&gt;$B$7,0,'Combined Retirement'!$D$13/12)</f>
        <v>0</v>
      </c>
      <c r="F408" s="25">
        <f>IF(H408=0,'Combined Retirement'!$D$32,0)+'Combined Retirement'!$B$24</f>
        <v>2870.372285649099</v>
      </c>
      <c r="G408" s="25">
        <f>'Combined Retirement'!$C$24</f>
        <v>3254.2644699519233</v>
      </c>
      <c r="H408" s="25">
        <f>IF(B408&lt;62,0,'Combined Retirement'!$I$14)</f>
        <v>2345</v>
      </c>
      <c r="I408" s="25">
        <f>IF(C408&lt;62,0,'Combined Retirement'!$I$13)</f>
        <v>2420</v>
      </c>
      <c r="J408" s="25">
        <f t="shared" si="263"/>
        <v>8395.6297298201844</v>
      </c>
      <c r="K408" s="25">
        <f t="shared" si="264"/>
        <v>21655.303514578787</v>
      </c>
      <c r="L408" s="25"/>
      <c r="N408" s="25">
        <f>'Combined Retirement'!$C$18/12</f>
        <v>40940.569999999992</v>
      </c>
      <c r="O408" s="25">
        <f t="shared" si="265"/>
        <v>10889.636755601023</v>
      </c>
      <c r="P408" s="25">
        <f t="shared" si="266"/>
        <v>30050.93324439897</v>
      </c>
      <c r="Q408" s="25">
        <f t="array" aca="1" ref="Q408" ca="1">INDEX('Isaac 401k'!L:L,MATCH('Retirement Calculator'!A408,'Isaac 401k'!N:N,0),0)</f>
        <v>-484478.34559265315</v>
      </c>
      <c r="R408" s="25">
        <f t="array" aca="1" ref="R408" ca="1">INDEX('Lorri 401b'!L:L,MATCH('Retirement Calculator'!A408,'Lorri 401b'!N:N,0),0)</f>
        <v>759116.57294380129</v>
      </c>
      <c r="S408" s="25">
        <f t="shared" ca="1" si="267"/>
        <v>274638.22735114815</v>
      </c>
    </row>
    <row r="409" spans="1:19" ht="15.75" customHeight="1" x14ac:dyDescent="0.25">
      <c r="A409" s="37">
        <v>63402</v>
      </c>
      <c r="B409" s="398">
        <f t="shared" ref="B409:C409" si="410">($A409-B$9)/365.25</f>
        <v>91.707049965776861</v>
      </c>
      <c r="C409" s="398">
        <f t="shared" si="410"/>
        <v>87.096509240246405</v>
      </c>
      <c r="E409" s="25">
        <f>IF(C409&gt;$B$7,0,'Combined Retirement'!$D$13/12)</f>
        <v>0</v>
      </c>
      <c r="F409" s="25">
        <f>IF(H409=0,'Combined Retirement'!$D$32,0)+'Combined Retirement'!$B$24</f>
        <v>2870.372285649099</v>
      </c>
      <c r="G409" s="25">
        <f>'Combined Retirement'!$C$24</f>
        <v>3254.2644699519233</v>
      </c>
      <c r="H409" s="25">
        <f>IF(B409&lt;62,0,'Combined Retirement'!$I$14)</f>
        <v>2345</v>
      </c>
      <c r="I409" s="25">
        <f>IF(C409&lt;62,0,'Combined Retirement'!$I$13)</f>
        <v>2420</v>
      </c>
      <c r="J409" s="25">
        <f t="shared" si="263"/>
        <v>8395.6297298201844</v>
      </c>
      <c r="K409" s="25">
        <f t="shared" si="264"/>
        <v>21655.303514578787</v>
      </c>
      <c r="L409" s="25"/>
      <c r="N409" s="25">
        <f>'Combined Retirement'!$C$18/12</f>
        <v>40940.569999999992</v>
      </c>
      <c r="O409" s="25">
        <f t="shared" si="265"/>
        <v>10889.636755601023</v>
      </c>
      <c r="P409" s="25">
        <f t="shared" si="266"/>
        <v>30050.93324439897</v>
      </c>
      <c r="Q409" s="25">
        <f t="array" aca="1" ref="Q409" ca="1">INDEX('Isaac 401k'!L:L,MATCH('Retirement Calculator'!A409,'Isaac 401k'!N:N,0),0)</f>
        <v>-494927.61688631697</v>
      </c>
      <c r="R409" s="25">
        <f t="array" aca="1" ref="R409" ca="1">INDEX('Lorri 401b'!L:L,MATCH('Retirement Calculator'!A409,'Lorri 401b'!N:N,0),0)</f>
        <v>740534.02471851092</v>
      </c>
      <c r="S409" s="25">
        <f t="shared" ca="1" si="267"/>
        <v>245606.40783219395</v>
      </c>
    </row>
    <row r="410" spans="1:19" ht="15.75" customHeight="1" x14ac:dyDescent="0.25">
      <c r="A410" s="37">
        <v>63433</v>
      </c>
      <c r="B410" s="398">
        <f t="shared" ref="B410:C410" si="411">($A410-B$9)/365.25</f>
        <v>91.791923340177959</v>
      </c>
      <c r="C410" s="398">
        <f t="shared" si="411"/>
        <v>87.181382614647504</v>
      </c>
      <c r="E410" s="25">
        <f>IF(C410&gt;$B$7,0,'Combined Retirement'!$D$13/12)</f>
        <v>0</v>
      </c>
      <c r="F410" s="25">
        <f>IF(H410=0,'Combined Retirement'!$D$32,0)+'Combined Retirement'!$B$24</f>
        <v>2870.372285649099</v>
      </c>
      <c r="G410" s="25">
        <f>'Combined Retirement'!$C$24</f>
        <v>3254.2644699519233</v>
      </c>
      <c r="H410" s="25">
        <f>IF(B410&lt;62,0,'Combined Retirement'!$I$14)</f>
        <v>2345</v>
      </c>
      <c r="I410" s="25">
        <f>IF(C410&lt;62,0,'Combined Retirement'!$I$13)</f>
        <v>2420</v>
      </c>
      <c r="J410" s="25">
        <f t="shared" si="263"/>
        <v>8395.6297298201844</v>
      </c>
      <c r="K410" s="25">
        <f t="shared" si="264"/>
        <v>21655.303514578787</v>
      </c>
      <c r="L410" s="25"/>
      <c r="N410" s="25">
        <f>'Combined Retirement'!$C$18/12</f>
        <v>40940.569999999992</v>
      </c>
      <c r="O410" s="25">
        <f t="shared" si="265"/>
        <v>10889.636755601023</v>
      </c>
      <c r="P410" s="25">
        <f t="shared" si="266"/>
        <v>30050.93324439897</v>
      </c>
      <c r="Q410" s="25">
        <f t="array" aca="1" ref="Q410" ca="1">INDEX('Isaac 401k'!L:L,MATCH('Retirement Calculator'!A410,'Isaac 401k'!N:N,0),0)</f>
        <v>-505420.42681037105</v>
      </c>
      <c r="R410" s="25">
        <f t="array" aca="1" ref="R410" ca="1">INDEX('Lorri 401b'!L:L,MATCH('Retirement Calculator'!A410,'Lorri 401b'!N:N,0),0)</f>
        <v>721874.04920894851</v>
      </c>
      <c r="S410" s="25">
        <f t="shared" ca="1" si="267"/>
        <v>216453.62239857746</v>
      </c>
    </row>
    <row r="411" spans="1:19" ht="15.75" customHeight="1" x14ac:dyDescent="0.25">
      <c r="A411" s="37">
        <v>63463</v>
      </c>
      <c r="B411" s="398">
        <f t="shared" ref="B411:C411" si="412">($A411-B$9)/365.25</f>
        <v>91.87405886379193</v>
      </c>
      <c r="C411" s="398">
        <f t="shared" si="412"/>
        <v>87.26351813826146</v>
      </c>
      <c r="E411" s="25">
        <f>IF(C411&gt;$B$7,0,'Combined Retirement'!$D$13/12)</f>
        <v>0</v>
      </c>
      <c r="F411" s="25">
        <f>IF(H411=0,'Combined Retirement'!$D$32,0)+'Combined Retirement'!$B$24</f>
        <v>2870.372285649099</v>
      </c>
      <c r="G411" s="25">
        <f>'Combined Retirement'!$C$24</f>
        <v>3254.2644699519233</v>
      </c>
      <c r="H411" s="25">
        <f>IF(B411&lt;62,0,'Combined Retirement'!$I$14)</f>
        <v>2345</v>
      </c>
      <c r="I411" s="25">
        <f>IF(C411&lt;62,0,'Combined Retirement'!$I$13)</f>
        <v>2420</v>
      </c>
      <c r="J411" s="25">
        <f t="shared" si="263"/>
        <v>8395.6297298201844</v>
      </c>
      <c r="K411" s="25">
        <f t="shared" si="264"/>
        <v>21655.303514578787</v>
      </c>
      <c r="L411" s="25"/>
      <c r="N411" s="25">
        <f>'Combined Retirement'!$C$18/12</f>
        <v>40940.569999999992</v>
      </c>
      <c r="O411" s="25">
        <f t="shared" si="265"/>
        <v>10889.636755601023</v>
      </c>
      <c r="P411" s="25">
        <f t="shared" si="266"/>
        <v>30050.93324439897</v>
      </c>
      <c r="Q411" s="25">
        <f t="array" aca="1" ref="Q411" ca="1">INDEX('Isaac 401k'!L:L,MATCH('Retirement Calculator'!A411,'Isaac 401k'!N:N,0),0)</f>
        <v>-515956.95677577535</v>
      </c>
      <c r="R411" s="25">
        <f t="array" aca="1" ref="R411" ca="1">INDEX('Lorri 401b'!L:L,MATCH('Retirement Calculator'!A411,'Lorri 401b'!N:N,0),0)</f>
        <v>703136.32380142959</v>
      </c>
      <c r="S411" s="25">
        <f t="shared" ca="1" si="267"/>
        <v>187179.36702565424</v>
      </c>
    </row>
    <row r="412" spans="1:19" ht="15.75" customHeight="1" x14ac:dyDescent="0.25">
      <c r="A412" s="37">
        <v>63494</v>
      </c>
      <c r="B412" s="398">
        <f t="shared" ref="B412:C412" si="413">($A412-B$9)/365.25</f>
        <v>91.958932238193015</v>
      </c>
      <c r="C412" s="398">
        <f t="shared" si="413"/>
        <v>87.348391512662559</v>
      </c>
      <c r="E412" s="25">
        <f>IF(C412&gt;$B$7,0,'Combined Retirement'!$D$13/12)</f>
        <v>0</v>
      </c>
      <c r="F412" s="25">
        <f>IF(H412=0,'Combined Retirement'!$D$32,0)+'Combined Retirement'!$B$24</f>
        <v>2870.372285649099</v>
      </c>
      <c r="G412" s="25">
        <f>'Combined Retirement'!$C$24</f>
        <v>3254.2644699519233</v>
      </c>
      <c r="H412" s="25">
        <f>IF(B412&lt;62,0,'Combined Retirement'!$I$14)</f>
        <v>2345</v>
      </c>
      <c r="I412" s="25">
        <f>IF(C412&lt;62,0,'Combined Retirement'!$I$13)</f>
        <v>2420</v>
      </c>
      <c r="J412" s="25">
        <f t="shared" si="263"/>
        <v>8395.6297298201844</v>
      </c>
      <c r="K412" s="25">
        <f t="shared" si="264"/>
        <v>21655.303514578787</v>
      </c>
      <c r="L412" s="25"/>
      <c r="N412" s="25">
        <f>'Combined Retirement'!$C$18/12</f>
        <v>40940.569999999992</v>
      </c>
      <c r="O412" s="25">
        <f t="shared" si="265"/>
        <v>10889.636755601023</v>
      </c>
      <c r="P412" s="25">
        <f t="shared" si="266"/>
        <v>30050.93324439897</v>
      </c>
      <c r="Q412" s="25">
        <f t="array" aca="1" ref="Q412" ca="1">INDEX('Isaac 401k'!L:L,MATCH('Retirement Calculator'!A412,'Isaac 401k'!N:N,0),0)</f>
        <v>-526537.38894936896</v>
      </c>
      <c r="R412" s="25">
        <f t="array" aca="1" ref="R412" ca="1">INDEX('Lorri 401b'!L:L,MATCH('Retirement Calculator'!A412,'Lorri 401b'!N:N,0),0)</f>
        <v>684320.5245380461</v>
      </c>
      <c r="S412" s="25">
        <f t="shared" ca="1" si="267"/>
        <v>157783.13558867713</v>
      </c>
    </row>
    <row r="413" spans="1:19" ht="15.75" customHeight="1" x14ac:dyDescent="0.25">
      <c r="A413" s="37">
        <v>63524</v>
      </c>
      <c r="B413" s="398">
        <f t="shared" ref="B413:C413" si="414">($A413-B$9)/365.25</f>
        <v>92.041067761806985</v>
      </c>
      <c r="C413" s="398">
        <f t="shared" si="414"/>
        <v>87.43052703627653</v>
      </c>
      <c r="E413" s="25">
        <f>IF(C413&gt;$B$7,0,'Combined Retirement'!$D$13/12)</f>
        <v>0</v>
      </c>
      <c r="F413" s="25">
        <f>IF(H413=0,'Combined Retirement'!$D$32,0)+'Combined Retirement'!$B$24</f>
        <v>2870.372285649099</v>
      </c>
      <c r="G413" s="25">
        <f>'Combined Retirement'!$C$24</f>
        <v>3254.2644699519233</v>
      </c>
      <c r="H413" s="25">
        <f>IF(B413&lt;62,0,'Combined Retirement'!$I$14)</f>
        <v>2345</v>
      </c>
      <c r="I413" s="25">
        <f>IF(C413&lt;62,0,'Combined Retirement'!$I$13)</f>
        <v>2420</v>
      </c>
      <c r="J413" s="25">
        <f t="shared" si="263"/>
        <v>8395.6297298201844</v>
      </c>
      <c r="K413" s="25">
        <f t="shared" si="264"/>
        <v>21655.303514578787</v>
      </c>
      <c r="L413" s="25"/>
      <c r="N413" s="25">
        <f>'Combined Retirement'!$C$18/12</f>
        <v>40940.569999999992</v>
      </c>
      <c r="O413" s="25">
        <f t="shared" si="265"/>
        <v>10889.636755601023</v>
      </c>
      <c r="P413" s="25">
        <f t="shared" si="266"/>
        <v>30050.93324439897</v>
      </c>
      <c r="Q413" s="25">
        <f t="array" aca="1" ref="Q413" ca="1">INDEX('Isaac 401k'!L:L,MATCH('Retirement Calculator'!A413,'Isaac 401k'!N:N,0),0)</f>
        <v>-537161.90625701915</v>
      </c>
      <c r="R413" s="25">
        <f t="array" aca="1" ref="R413" ca="1">INDEX('Lorri 401b'!L:L,MATCH('Retirement Calculator'!A413,'Lorri 401b'!N:N,0),0)</f>
        <v>665426.32611106511</v>
      </c>
      <c r="S413" s="25">
        <f t="shared" ca="1" si="267"/>
        <v>128264.41985404596</v>
      </c>
    </row>
    <row r="414" spans="1:19" ht="15.75" customHeight="1" x14ac:dyDescent="0.25">
      <c r="A414" s="37">
        <v>63555</v>
      </c>
      <c r="B414" s="398">
        <f t="shared" ref="B414:C414" si="415">($A414-B$9)/365.25</f>
        <v>92.12594113620807</v>
      </c>
      <c r="C414" s="398">
        <f t="shared" si="415"/>
        <v>87.515400410677614</v>
      </c>
      <c r="E414" s="25">
        <f>IF(C414&gt;$B$7,0,'Combined Retirement'!$D$13/12)</f>
        <v>0</v>
      </c>
      <c r="F414" s="25">
        <f>IF(H414=0,'Combined Retirement'!$D$32,0)+'Combined Retirement'!$B$24</f>
        <v>2870.372285649099</v>
      </c>
      <c r="G414" s="25">
        <f>'Combined Retirement'!$C$24</f>
        <v>3254.2644699519233</v>
      </c>
      <c r="H414" s="25">
        <f>IF(B414&lt;62,0,'Combined Retirement'!$I$14)</f>
        <v>2345</v>
      </c>
      <c r="I414" s="25">
        <f>IF(C414&lt;62,0,'Combined Retirement'!$I$13)</f>
        <v>2420</v>
      </c>
      <c r="J414" s="25">
        <f t="shared" si="263"/>
        <v>8395.6297298201844</v>
      </c>
      <c r="K414" s="25">
        <f t="shared" si="264"/>
        <v>21655.303514578787</v>
      </c>
      <c r="L414" s="25"/>
      <c r="N414" s="25">
        <f>'Combined Retirement'!$C$18/12</f>
        <v>40940.569999999992</v>
      </c>
      <c r="O414" s="25">
        <f t="shared" si="265"/>
        <v>10889.636755601023</v>
      </c>
      <c r="P414" s="25">
        <f t="shared" si="266"/>
        <v>30050.93324439897</v>
      </c>
      <c r="Q414" s="25">
        <f t="array" aca="1" ref="Q414" ca="1">INDEX('Isaac 401k'!L:L,MATCH('Retirement Calculator'!A414,'Isaac 401k'!N:N,0),0)</f>
        <v>-547830.69238678447</v>
      </c>
      <c r="R414" s="25">
        <f t="array" aca="1" ref="R414" ca="1">INDEX('Lorri 401b'!L:L,MATCH('Retirement Calculator'!A414,'Lorri 401b'!N:N,0),0)</f>
        <v>646453.40185730509</v>
      </c>
      <c r="S414" s="25">
        <f t="shared" ca="1" si="267"/>
        <v>98622.709470520611</v>
      </c>
    </row>
    <row r="415" spans="1:19" ht="15.75" customHeight="1" x14ac:dyDescent="0.25">
      <c r="A415" s="37">
        <v>63586</v>
      </c>
      <c r="B415" s="398">
        <f t="shared" ref="B415:C415" si="416">($A415-B$9)/365.25</f>
        <v>92.210814510609168</v>
      </c>
      <c r="C415" s="398">
        <f t="shared" si="416"/>
        <v>87.600273785078713</v>
      </c>
      <c r="E415" s="25">
        <f>IF(C415&gt;$B$7,0,'Combined Retirement'!$D$13/12)</f>
        <v>0</v>
      </c>
      <c r="F415" s="25">
        <f>IF(H415=0,'Combined Retirement'!$D$32,0)+'Combined Retirement'!$B$24</f>
        <v>2870.372285649099</v>
      </c>
      <c r="G415" s="25">
        <f>'Combined Retirement'!$C$24</f>
        <v>3254.2644699519233</v>
      </c>
      <c r="H415" s="25">
        <f>IF(B415&lt;62,0,'Combined Retirement'!$I$14)</f>
        <v>2345</v>
      </c>
      <c r="I415" s="25">
        <f>IF(C415&lt;62,0,'Combined Retirement'!$I$13)</f>
        <v>2420</v>
      </c>
      <c r="J415" s="25">
        <f t="shared" si="263"/>
        <v>8395.6297298201844</v>
      </c>
      <c r="K415" s="25">
        <f t="shared" si="264"/>
        <v>21655.303514578787</v>
      </c>
      <c r="L415" s="25"/>
      <c r="N415" s="25">
        <f>'Combined Retirement'!$C$18/12</f>
        <v>40940.569999999992</v>
      </c>
      <c r="O415" s="25">
        <f t="shared" si="265"/>
        <v>10889.636755601023</v>
      </c>
      <c r="P415" s="25">
        <f t="shared" si="266"/>
        <v>30050.93324439897</v>
      </c>
      <c r="Q415" s="25">
        <f t="array" aca="1" ref="Q415" ca="1">INDEX('Isaac 401k'!L:L,MATCH('Retirement Calculator'!A415,'Isaac 401k'!N:N,0),0)</f>
        <v>-558543.93179209053</v>
      </c>
      <c r="R415" s="25">
        <f t="array" aca="1" ref="R415" ca="1">INDEX('Lorri 401b'!L:L,MATCH('Retirement Calculator'!A415,'Lorri 401b'!N:N,0),0)</f>
        <v>627401.42375248764</v>
      </c>
      <c r="S415" s="25">
        <f t="shared" ca="1" si="267"/>
        <v>68857.491960397107</v>
      </c>
    </row>
    <row r="416" spans="1:19" ht="15.75" customHeight="1" x14ac:dyDescent="0.25">
      <c r="A416" s="37">
        <v>63614</v>
      </c>
      <c r="B416" s="398">
        <f t="shared" ref="B416:C416" si="417">($A416-B$9)/365.25</f>
        <v>92.28747433264887</v>
      </c>
      <c r="C416" s="398">
        <f t="shared" si="417"/>
        <v>87.676933607118414</v>
      </c>
      <c r="E416" s="25">
        <f>IF(C416&gt;$B$7,0,'Combined Retirement'!$D$13/12)</f>
        <v>0</v>
      </c>
      <c r="F416" s="25">
        <f>IF(H416=0,'Combined Retirement'!$D$32,0)+'Combined Retirement'!$B$24</f>
        <v>2870.372285649099</v>
      </c>
      <c r="G416" s="25">
        <f>'Combined Retirement'!$C$24</f>
        <v>3254.2644699519233</v>
      </c>
      <c r="H416" s="25">
        <f>IF(B416&lt;62,0,'Combined Retirement'!$I$14)</f>
        <v>2345</v>
      </c>
      <c r="I416" s="25">
        <f>IF(C416&lt;62,0,'Combined Retirement'!$I$13)</f>
        <v>2420</v>
      </c>
      <c r="J416" s="25">
        <f t="shared" si="263"/>
        <v>8395.6297298201844</v>
      </c>
      <c r="K416" s="25">
        <f t="shared" si="264"/>
        <v>21655.303514578787</v>
      </c>
      <c r="L416" s="25"/>
      <c r="N416" s="25">
        <f>'Combined Retirement'!$C$18/12</f>
        <v>40940.569999999992</v>
      </c>
      <c r="O416" s="25">
        <f t="shared" si="265"/>
        <v>10889.636755601023</v>
      </c>
      <c r="P416" s="25">
        <f t="shared" si="266"/>
        <v>30050.93324439897</v>
      </c>
      <c r="Q416" s="25">
        <f t="array" aca="1" ref="Q416" ca="1">INDEX('Isaac 401k'!L:L,MATCH('Retirement Calculator'!A416,'Isaac 401k'!N:N,0),0)</f>
        <v>-569301.80969491869</v>
      </c>
      <c r="R416" s="25">
        <f t="array" aca="1" ref="R416" ca="1">INDEX('Lorri 401b'!L:L,MATCH('Retirement Calculator'!A416,'Lorri 401b'!N:N,0),0)</f>
        <v>608270.0624055668</v>
      </c>
      <c r="S416" s="25">
        <f t="shared" ca="1" si="267"/>
        <v>38968.252710648114</v>
      </c>
    </row>
    <row r="417" spans="1:19" ht="15.75" customHeight="1" x14ac:dyDescent="0.25">
      <c r="A417" s="37">
        <v>63645</v>
      </c>
      <c r="B417" s="398">
        <f t="shared" ref="B417:C417" si="418">($A417-B$9)/365.25</f>
        <v>92.372347707049968</v>
      </c>
      <c r="C417" s="398">
        <f t="shared" si="418"/>
        <v>87.761806981519513</v>
      </c>
      <c r="E417" s="25">
        <f>IF(C417&gt;$B$7,0,'Combined Retirement'!$D$13/12)</f>
        <v>0</v>
      </c>
      <c r="F417" s="25">
        <f>IF(H417=0,'Combined Retirement'!$D$32,0)+'Combined Retirement'!$B$24</f>
        <v>2870.372285649099</v>
      </c>
      <c r="G417" s="25">
        <f>'Combined Retirement'!$C$24</f>
        <v>3254.2644699519233</v>
      </c>
      <c r="H417" s="25">
        <f>IF(B417&lt;62,0,'Combined Retirement'!$I$14)</f>
        <v>2345</v>
      </c>
      <c r="I417" s="25">
        <f>IF(C417&lt;62,0,'Combined Retirement'!$I$13)</f>
        <v>2420</v>
      </c>
      <c r="J417" s="25">
        <f t="shared" si="263"/>
        <v>8395.6297298201844</v>
      </c>
      <c r="K417" s="25">
        <f t="shared" si="264"/>
        <v>21655.303514578787</v>
      </c>
      <c r="L417" s="25"/>
      <c r="N417" s="25">
        <f>'Combined Retirement'!$C$18/12</f>
        <v>40940.569999999992</v>
      </c>
      <c r="O417" s="25">
        <f t="shared" si="265"/>
        <v>10889.636755601023</v>
      </c>
      <c r="P417" s="25">
        <f t="shared" si="266"/>
        <v>30050.93324439897</v>
      </c>
      <c r="Q417" s="25">
        <f t="array" aca="1" ref="Q417" ca="1">INDEX('Isaac 401k'!L:L,MATCH('Retirement Calculator'!A417,'Isaac 401k'!N:N,0),0)</f>
        <v>-580104.51208900858</v>
      </c>
      <c r="R417" s="25">
        <f t="array" aca="1" ref="R417" ca="1">INDEX('Lorri 401b'!L:L,MATCH('Retirement Calculator'!A417,'Lorri 401b'!N:N,0),0)</f>
        <v>589058.9870530339</v>
      </c>
      <c r="S417" s="25">
        <f t="shared" ca="1" si="267"/>
        <v>8954.474964025314</v>
      </c>
    </row>
    <row r="418" spans="1:19" ht="15.75" customHeight="1" x14ac:dyDescent="0.25">
      <c r="A418" s="37">
        <v>63675</v>
      </c>
      <c r="B418" s="398">
        <f t="shared" ref="B418:C418" si="419">($A418-B$9)/365.25</f>
        <v>92.454483230663925</v>
      </c>
      <c r="C418" s="398">
        <f t="shared" si="419"/>
        <v>87.843942505133469</v>
      </c>
      <c r="E418" s="25">
        <f>IF(C418&gt;$B$7,0,'Combined Retirement'!$D$13/12)</f>
        <v>0</v>
      </c>
      <c r="F418" s="25">
        <f>IF(H418=0,'Combined Retirement'!$D$32,0)+'Combined Retirement'!$B$24</f>
        <v>2870.372285649099</v>
      </c>
      <c r="G418" s="25">
        <f>'Combined Retirement'!$C$24</f>
        <v>3254.2644699519233</v>
      </c>
      <c r="H418" s="25">
        <f>IF(B418&lt;62,0,'Combined Retirement'!$I$14)</f>
        <v>2345</v>
      </c>
      <c r="I418" s="25">
        <f>IF(C418&lt;62,0,'Combined Retirement'!$I$13)</f>
        <v>2420</v>
      </c>
      <c r="J418" s="25">
        <f t="shared" si="263"/>
        <v>8395.6297298201844</v>
      </c>
      <c r="K418" s="25">
        <f t="shared" si="264"/>
        <v>21655.303514578787</v>
      </c>
      <c r="L418" s="25"/>
      <c r="N418" s="25">
        <f>'Combined Retirement'!$C$18/12</f>
        <v>40940.569999999992</v>
      </c>
      <c r="O418" s="25">
        <f t="shared" si="265"/>
        <v>10889.636755601023</v>
      </c>
      <c r="P418" s="25">
        <f t="shared" si="266"/>
        <v>30050.93324439897</v>
      </c>
      <c r="Q418" s="25">
        <f t="array" aca="1" ref="Q418" ca="1">INDEX('Isaac 401k'!L:L,MATCH('Retirement Calculator'!A418,'Isaac 401k'!N:N,0),0)</f>
        <v>-590952.22574307385</v>
      </c>
      <c r="R418" s="25">
        <f t="array" aca="1" ref="R418" ca="1">INDEX('Lorri 401b'!L:L,MATCH('Retirement Calculator'!A418,'Lorri 401b'!N:N,0),0)</f>
        <v>569767.86555319862</v>
      </c>
      <c r="S418" s="25">
        <f t="shared" ca="1" si="267"/>
        <v>-21184.360189875239</v>
      </c>
    </row>
    <row r="419" spans="1:19" ht="15.75" customHeight="1" x14ac:dyDescent="0.25">
      <c r="A419" s="37">
        <v>63706</v>
      </c>
      <c r="B419" s="398">
        <f t="shared" ref="B419:C419" si="420">($A419-B$9)/365.25</f>
        <v>92.539356605065024</v>
      </c>
      <c r="C419" s="398">
        <f t="shared" si="420"/>
        <v>87.928815879534568</v>
      </c>
      <c r="E419" s="25">
        <f>IF(C419&gt;$B$7,0,'Combined Retirement'!$D$13/12)</f>
        <v>0</v>
      </c>
      <c r="F419" s="25">
        <f>IF(H419=0,'Combined Retirement'!$D$32,0)+'Combined Retirement'!$B$24</f>
        <v>2870.372285649099</v>
      </c>
      <c r="G419" s="25">
        <f>'Combined Retirement'!$C$24</f>
        <v>3254.2644699519233</v>
      </c>
      <c r="H419" s="25">
        <f>IF(B419&lt;62,0,'Combined Retirement'!$I$14)</f>
        <v>2345</v>
      </c>
      <c r="I419" s="25">
        <f>IF(C419&lt;62,0,'Combined Retirement'!$I$13)</f>
        <v>2420</v>
      </c>
      <c r="J419" s="25">
        <f t="shared" si="263"/>
        <v>8395.6297298201844</v>
      </c>
      <c r="K419" s="25">
        <f t="shared" si="264"/>
        <v>21655.303514578787</v>
      </c>
      <c r="L419" s="25"/>
      <c r="N419" s="25">
        <f>'Combined Retirement'!$C$18/12</f>
        <v>40940.569999999992</v>
      </c>
      <c r="O419" s="25">
        <f t="shared" si="265"/>
        <v>10889.636755601023</v>
      </c>
      <c r="P419" s="25">
        <f t="shared" si="266"/>
        <v>30050.93324439897</v>
      </c>
      <c r="Q419" s="25">
        <f t="array" aca="1" ref="Q419" ca="1">INDEX('Isaac 401k'!L:L,MATCH('Retirement Calculator'!A419,'Isaac 401k'!N:N,0),0)</f>
        <v>-601845.13820403104</v>
      </c>
      <c r="R419" s="25">
        <f t="array" aca="1" ref="R419" ca="1">INDEX('Lorri 401b'!L:L,MATCH('Retirement Calculator'!A419,'Lorri 401b'!N:N,0),0)</f>
        <v>550396.36438044731</v>
      </c>
      <c r="S419" s="25">
        <f t="shared" ca="1" si="267"/>
        <v>-51448.773823583731</v>
      </c>
    </row>
    <row r="420" spans="1:19" ht="15.75" customHeight="1" x14ac:dyDescent="0.25">
      <c r="A420" s="37">
        <v>63736</v>
      </c>
      <c r="B420" s="398">
        <f t="shared" ref="B420:C420" si="421">($A420-B$9)/365.25</f>
        <v>92.62149212867898</v>
      </c>
      <c r="C420" s="398">
        <f t="shared" si="421"/>
        <v>88.010951403148525</v>
      </c>
      <c r="E420" s="25">
        <f>IF(C420&gt;$B$7,0,'Combined Retirement'!$D$13/12)</f>
        <v>0</v>
      </c>
      <c r="F420" s="25">
        <f>IF(H420=0,'Combined Retirement'!$D$32,0)+'Combined Retirement'!$B$24</f>
        <v>2870.372285649099</v>
      </c>
      <c r="G420" s="25">
        <f>'Combined Retirement'!$C$24</f>
        <v>3254.2644699519233</v>
      </c>
      <c r="H420" s="25">
        <f>IF(B420&lt;62,0,'Combined Retirement'!$I$14)</f>
        <v>2345</v>
      </c>
      <c r="I420" s="25">
        <f>IF(C420&lt;62,0,'Combined Retirement'!$I$13)</f>
        <v>2420</v>
      </c>
      <c r="J420" s="25">
        <f t="shared" si="263"/>
        <v>8395.6297298201844</v>
      </c>
      <c r="K420" s="25">
        <f t="shared" si="264"/>
        <v>21655.303514578787</v>
      </c>
      <c r="L420" s="25"/>
      <c r="N420" s="25">
        <f>'Combined Retirement'!$C$18/12</f>
        <v>40940.569999999992</v>
      </c>
      <c r="O420" s="25">
        <f t="shared" si="265"/>
        <v>10889.636755601023</v>
      </c>
      <c r="P420" s="25">
        <f t="shared" si="266"/>
        <v>30050.93324439897</v>
      </c>
      <c r="Q420" s="25">
        <f t="array" aca="1" ref="Q420" ca="1">INDEX('Isaac 401k'!L:L,MATCH('Retirement Calculator'!A420,'Isaac 401k'!N:N,0),0)</f>
        <v>-612783.43780024222</v>
      </c>
      <c r="R420" s="25">
        <f t="array" aca="1" ref="R420" ca="1">INDEX('Lorri 401b'!L:L,MATCH('Retirement Calculator'!A420,'Lorri 401b'!N:N,0),0)</f>
        <v>530944.14861947636</v>
      </c>
      <c r="S420" s="25">
        <f t="shared" ca="1" si="267"/>
        <v>-81839.28918076586</v>
      </c>
    </row>
    <row r="421" spans="1:19" ht="15.75" customHeight="1" x14ac:dyDescent="0.25">
      <c r="A421" s="37">
        <v>63767</v>
      </c>
      <c r="B421" s="398">
        <f t="shared" ref="B421:C421" si="422">($A421-B$9)/365.25</f>
        <v>92.706365503080079</v>
      </c>
      <c r="C421" s="398">
        <f t="shared" si="422"/>
        <v>88.095824777549623</v>
      </c>
      <c r="E421" s="25">
        <f>IF(C421&gt;$B$7,0,'Combined Retirement'!$D$13/12)</f>
        <v>0</v>
      </c>
      <c r="F421" s="25">
        <f>IF(H421=0,'Combined Retirement'!$D$32,0)+'Combined Retirement'!$B$24</f>
        <v>2870.372285649099</v>
      </c>
      <c r="G421" s="25">
        <f>'Combined Retirement'!$C$24</f>
        <v>3254.2644699519233</v>
      </c>
      <c r="H421" s="25">
        <f>IF(B421&lt;62,0,'Combined Retirement'!$I$14)</f>
        <v>2345</v>
      </c>
      <c r="I421" s="25">
        <f>IF(C421&lt;62,0,'Combined Retirement'!$I$13)</f>
        <v>2420</v>
      </c>
      <c r="J421" s="25">
        <f t="shared" si="263"/>
        <v>8395.6297298201844</v>
      </c>
      <c r="K421" s="25">
        <f t="shared" si="264"/>
        <v>21655.303514578787</v>
      </c>
      <c r="L421" s="25"/>
      <c r="N421" s="25">
        <f>'Combined Retirement'!$C$18/12</f>
        <v>40940.569999999992</v>
      </c>
      <c r="O421" s="25">
        <f t="shared" si="265"/>
        <v>10889.636755601023</v>
      </c>
      <c r="P421" s="25">
        <f t="shared" si="266"/>
        <v>30050.93324439897</v>
      </c>
      <c r="Q421" s="25">
        <f t="array" aca="1" ref="Q421" ca="1">INDEX('Isaac 401k'!L:L,MATCH('Retirement Calculator'!A421,'Isaac 401k'!N:N,0),0)</f>
        <v>-623767.313644771</v>
      </c>
      <c r="R421" s="25">
        <f t="array" aca="1" ref="R421" ca="1">INDEX('Lorri 401b'!L:L,MATCH('Retirement Calculator'!A421,'Lorri 401b'!N:N,0),0)</f>
        <v>511410.8819595013</v>
      </c>
      <c r="S421" s="25">
        <f t="shared" ca="1" si="267"/>
        <v>-112356.43168526969</v>
      </c>
    </row>
    <row r="422" spans="1:19" ht="15.75" customHeight="1" x14ac:dyDescent="0.25">
      <c r="A422" s="37">
        <v>63798</v>
      </c>
      <c r="B422" s="398">
        <f t="shared" ref="B422:C422" si="423">($A422-B$9)/365.25</f>
        <v>92.791238877481177</v>
      </c>
      <c r="C422" s="398">
        <f t="shared" si="423"/>
        <v>88.180698151950722</v>
      </c>
      <c r="E422" s="25">
        <f>IF(C422&gt;$B$7,0,'Combined Retirement'!$D$13/12)</f>
        <v>0</v>
      </c>
      <c r="F422" s="25">
        <f>IF(H422=0,'Combined Retirement'!$D$32,0)+'Combined Retirement'!$B$24</f>
        <v>2870.372285649099</v>
      </c>
      <c r="G422" s="25">
        <f>'Combined Retirement'!$C$24</f>
        <v>3254.2644699519233</v>
      </c>
      <c r="H422" s="25">
        <f>IF(B422&lt;62,0,'Combined Retirement'!$I$14)</f>
        <v>2345</v>
      </c>
      <c r="I422" s="25">
        <f>IF(C422&lt;62,0,'Combined Retirement'!$I$13)</f>
        <v>2420</v>
      </c>
      <c r="J422" s="25">
        <f t="shared" si="263"/>
        <v>8395.6297298201844</v>
      </c>
      <c r="K422" s="25">
        <f t="shared" si="264"/>
        <v>21655.303514578787</v>
      </c>
      <c r="L422" s="25"/>
      <c r="N422" s="25">
        <f>'Combined Retirement'!$C$18/12</f>
        <v>40940.569999999992</v>
      </c>
      <c r="O422" s="25">
        <f t="shared" si="265"/>
        <v>10889.636755601023</v>
      </c>
      <c r="P422" s="25">
        <f t="shared" si="266"/>
        <v>30050.93324439897</v>
      </c>
      <c r="Q422" s="25">
        <f t="array" aca="1" ref="Q422" ca="1">INDEX('Isaac 401k'!L:L,MATCH('Retirement Calculator'!A422,'Isaac 401k'!N:N,0),0)</f>
        <v>-634796.95563865197</v>
      </c>
      <c r="R422" s="25">
        <f t="array" aca="1" ref="R422" ca="1">INDEX('Lorri 401b'!L:L,MATCH('Retirement Calculator'!A422,'Lorri 401b'!N:N,0),0)</f>
        <v>491796.22668844304</v>
      </c>
      <c r="S422" s="25">
        <f t="shared" ca="1" si="267"/>
        <v>-143000.72895020893</v>
      </c>
    </row>
    <row r="423" spans="1:19" ht="15.75" customHeight="1" x14ac:dyDescent="0.25">
      <c r="A423" s="37">
        <v>63828</v>
      </c>
      <c r="B423" s="398">
        <f t="shared" ref="B423:C423" si="424">($A423-B$9)/365.25</f>
        <v>92.873374401095134</v>
      </c>
      <c r="C423" s="398">
        <f t="shared" si="424"/>
        <v>88.262833675564679</v>
      </c>
      <c r="E423" s="25">
        <f>IF(C423&gt;$B$7,0,'Combined Retirement'!$D$13/12)</f>
        <v>0</v>
      </c>
      <c r="F423" s="25">
        <f>IF(H423=0,'Combined Retirement'!$D$32,0)+'Combined Retirement'!$B$24</f>
        <v>2870.372285649099</v>
      </c>
      <c r="G423" s="25">
        <f>'Combined Retirement'!$C$24</f>
        <v>3254.2644699519233</v>
      </c>
      <c r="H423" s="25">
        <f>IF(B423&lt;62,0,'Combined Retirement'!$I$14)</f>
        <v>2345</v>
      </c>
      <c r="I423" s="25">
        <f>IF(C423&lt;62,0,'Combined Retirement'!$I$13)</f>
        <v>2420</v>
      </c>
      <c r="J423" s="25">
        <f t="shared" si="263"/>
        <v>8395.6297298201844</v>
      </c>
      <c r="K423" s="25">
        <f t="shared" si="264"/>
        <v>21655.303514578787</v>
      </c>
      <c r="L423" s="25"/>
      <c r="N423" s="25">
        <f>'Combined Retirement'!$C$18/12</f>
        <v>40940.569999999992</v>
      </c>
      <c r="O423" s="25">
        <f t="shared" si="265"/>
        <v>10889.636755601023</v>
      </c>
      <c r="P423" s="25">
        <f t="shared" si="266"/>
        <v>30050.93324439897</v>
      </c>
      <c r="Q423" s="25">
        <f t="array" aca="1" ref="Q423" ca="1">INDEX('Isaac 401k'!L:L,MATCH('Retirement Calculator'!A423,'Isaac 401k'!N:N,0),0)</f>
        <v>-645872.55447417416</v>
      </c>
      <c r="R423" s="25">
        <f t="array" aca="1" ref="R423" ca="1">INDEX('Lorri 401b'!L:L,MATCH('Retirement Calculator'!A423,'Lorri 401b'!N:N,0),0)</f>
        <v>472099.84368708869</v>
      </c>
      <c r="S423" s="25">
        <f t="shared" ca="1" si="267"/>
        <v>-173772.71078708547</v>
      </c>
    </row>
    <row r="424" spans="1:19" ht="15.75" customHeight="1" x14ac:dyDescent="0.25">
      <c r="A424" s="37">
        <v>63859</v>
      </c>
      <c r="B424" s="398">
        <f t="shared" ref="B424:C424" si="425">($A424-B$9)/365.25</f>
        <v>92.958247775496233</v>
      </c>
      <c r="C424" s="398">
        <f t="shared" si="425"/>
        <v>88.347707049965777</v>
      </c>
      <c r="E424" s="25">
        <f>IF(C424&gt;$B$7,0,'Combined Retirement'!$D$13/12)</f>
        <v>0</v>
      </c>
      <c r="F424" s="25">
        <f>IF(H424=0,'Combined Retirement'!$D$32,0)+'Combined Retirement'!$B$24</f>
        <v>2870.372285649099</v>
      </c>
      <c r="G424" s="25">
        <f>'Combined Retirement'!$C$24</f>
        <v>3254.2644699519233</v>
      </c>
      <c r="H424" s="25">
        <f>IF(B424&lt;62,0,'Combined Retirement'!$I$14)</f>
        <v>2345</v>
      </c>
      <c r="I424" s="25">
        <f>IF(C424&lt;62,0,'Combined Retirement'!$I$13)</f>
        <v>2420</v>
      </c>
      <c r="J424" s="25">
        <f t="shared" si="263"/>
        <v>8395.6297298201844</v>
      </c>
      <c r="K424" s="25">
        <f t="shared" si="264"/>
        <v>21655.303514578787</v>
      </c>
      <c r="L424" s="25"/>
      <c r="N424" s="25">
        <f>'Combined Retirement'!$C$18/12</f>
        <v>40940.569999999992</v>
      </c>
      <c r="O424" s="25">
        <f t="shared" si="265"/>
        <v>10889.636755601023</v>
      </c>
      <c r="P424" s="25">
        <f t="shared" si="266"/>
        <v>30050.93324439897</v>
      </c>
      <c r="Q424" s="25">
        <f t="array" aca="1" ref="Q424" ca="1">INDEX('Isaac 401k'!L:L,MATCH('Retirement Calculator'!A424,'Isaac 401k'!N:N,0),0)</f>
        <v>-656994.3016381776</v>
      </c>
      <c r="R424" s="25">
        <f t="array" aca="1" ref="R424" ca="1">INDEX('Lorri 401b'!L:L,MATCH('Retirement Calculator'!A424,'Lorri 401b'!N:N,0),0)</f>
        <v>452321.39242322871</v>
      </c>
      <c r="S424" s="25">
        <f t="shared" ca="1" si="267"/>
        <v>-204672.90921494889</v>
      </c>
    </row>
    <row r="425" spans="1:19" ht="15.75" customHeight="1" x14ac:dyDescent="0.25">
      <c r="A425" s="37">
        <v>63889</v>
      </c>
      <c r="B425" s="398">
        <f t="shared" ref="B425:C425" si="426">($A425-B$9)/365.25</f>
        <v>93.040383299110204</v>
      </c>
      <c r="C425" s="398">
        <f t="shared" si="426"/>
        <v>88.429842573579734</v>
      </c>
      <c r="E425" s="25">
        <f>IF(C425&gt;$B$7,0,'Combined Retirement'!$D$13/12)</f>
        <v>0</v>
      </c>
      <c r="F425" s="25">
        <f>IF(H425=0,'Combined Retirement'!$D$32,0)+'Combined Retirement'!$B$24</f>
        <v>2870.372285649099</v>
      </c>
      <c r="G425" s="25">
        <f>'Combined Retirement'!$C$24</f>
        <v>3254.2644699519233</v>
      </c>
      <c r="H425" s="25">
        <f>IF(B425&lt;62,0,'Combined Retirement'!$I$14)</f>
        <v>2345</v>
      </c>
      <c r="I425" s="25">
        <f>IF(C425&lt;62,0,'Combined Retirement'!$I$13)</f>
        <v>2420</v>
      </c>
      <c r="J425" s="25">
        <f t="shared" si="263"/>
        <v>8395.6297298201844</v>
      </c>
      <c r="K425" s="25">
        <f t="shared" si="264"/>
        <v>21655.303514578787</v>
      </c>
      <c r="L425" s="25"/>
      <c r="N425" s="25">
        <f>'Combined Retirement'!$C$18/12</f>
        <v>40940.569999999992</v>
      </c>
      <c r="O425" s="25">
        <f t="shared" si="265"/>
        <v>10889.636755601023</v>
      </c>
      <c r="P425" s="25">
        <f t="shared" si="266"/>
        <v>30050.93324439897</v>
      </c>
      <c r="Q425" s="25">
        <f t="array" aca="1" ref="Q425" ca="1">INDEX('Isaac 401k'!L:L,MATCH('Retirement Calculator'!A425,'Isaac 401k'!N:N,0),0)</f>
        <v>-668162.38941536448</v>
      </c>
      <c r="R425" s="25">
        <f t="array" aca="1" ref="R425" ca="1">INDEX('Lorri 401b'!L:L,MATCH('Retirement Calculator'!A425,'Lorri 401b'!N:N,0),0)</f>
        <v>432460.53094576928</v>
      </c>
      <c r="S425" s="25">
        <f t="shared" ca="1" si="267"/>
        <v>-235701.8584695952</v>
      </c>
    </row>
    <row r="426" spans="1:19" ht="15.75" customHeight="1" x14ac:dyDescent="0.25">
      <c r="A426" s="37">
        <v>63920</v>
      </c>
      <c r="B426" s="398">
        <f t="shared" ref="B426:C426" si="427">($A426-B$9)/365.25</f>
        <v>93.125256673511288</v>
      </c>
      <c r="C426" s="398">
        <f t="shared" si="427"/>
        <v>88.514715947980832</v>
      </c>
      <c r="E426" s="25">
        <f>IF(C426&gt;$B$7,0,'Combined Retirement'!$D$13/12)</f>
        <v>0</v>
      </c>
      <c r="F426" s="25">
        <f>IF(H426=0,'Combined Retirement'!$D$32,0)+'Combined Retirement'!$B$24</f>
        <v>2870.372285649099</v>
      </c>
      <c r="G426" s="25">
        <f>'Combined Retirement'!$C$24</f>
        <v>3254.2644699519233</v>
      </c>
      <c r="H426" s="25">
        <f>IF(B426&lt;62,0,'Combined Retirement'!$I$14)</f>
        <v>2345</v>
      </c>
      <c r="I426" s="25">
        <f>IF(C426&lt;62,0,'Combined Retirement'!$I$13)</f>
        <v>2420</v>
      </c>
      <c r="J426" s="25">
        <f t="shared" si="263"/>
        <v>8395.6297298201844</v>
      </c>
      <c r="K426" s="25">
        <f t="shared" si="264"/>
        <v>21655.303514578787</v>
      </c>
      <c r="L426" s="25"/>
      <c r="N426" s="25">
        <f>'Combined Retirement'!$C$18/12</f>
        <v>40940.569999999992</v>
      </c>
      <c r="O426" s="25">
        <f t="shared" si="265"/>
        <v>10889.636755601023</v>
      </c>
      <c r="P426" s="25">
        <f t="shared" si="266"/>
        <v>30050.93324439897</v>
      </c>
      <c r="Q426" s="25">
        <f t="array" aca="1" ref="Q426" ca="1">INDEX('Isaac 401k'!L:L,MATCH('Retirement Calculator'!A426,'Isaac 401k'!N:N,0),0)</f>
        <v>-679377.01089162298</v>
      </c>
      <c r="R426" s="25">
        <f t="array" aca="1" ref="R426" ca="1">INDEX('Lorri 401b'!L:L,MATCH('Retirement Calculator'!A426,'Lorri 401b'!N:N,0),0)</f>
        <v>412516.91587882047</v>
      </c>
      <c r="S426" s="25">
        <f t="shared" ca="1" si="267"/>
        <v>-266860.09501280251</v>
      </c>
    </row>
    <row r="427" spans="1:19" ht="15.75" customHeight="1" x14ac:dyDescent="0.25">
      <c r="A427" s="37">
        <v>63951</v>
      </c>
      <c r="B427" s="398">
        <f t="shared" ref="B427:C427" si="428">($A427-B$9)/365.25</f>
        <v>93.210130047912386</v>
      </c>
      <c r="C427" s="398">
        <f t="shared" si="428"/>
        <v>88.599589322381931</v>
      </c>
      <c r="E427" s="25">
        <f>IF(C427&gt;$B$7,0,'Combined Retirement'!$D$13/12)</f>
        <v>0</v>
      </c>
      <c r="F427" s="25">
        <f>IF(H427=0,'Combined Retirement'!$D$32,0)+'Combined Retirement'!$B$24</f>
        <v>2870.372285649099</v>
      </c>
      <c r="G427" s="25">
        <f>'Combined Retirement'!$C$24</f>
        <v>3254.2644699519233</v>
      </c>
      <c r="H427" s="25">
        <f>IF(B427&lt;62,0,'Combined Retirement'!$I$14)</f>
        <v>2345</v>
      </c>
      <c r="I427" s="25">
        <f>IF(C427&lt;62,0,'Combined Retirement'!$I$13)</f>
        <v>2420</v>
      </c>
      <c r="J427" s="25">
        <f t="shared" si="263"/>
        <v>8395.6297298201844</v>
      </c>
      <c r="K427" s="25">
        <f t="shared" si="264"/>
        <v>21655.303514578787</v>
      </c>
      <c r="L427" s="25"/>
      <c r="N427" s="25">
        <f>'Combined Retirement'!$C$18/12</f>
        <v>40940.569999999992</v>
      </c>
      <c r="O427" s="25">
        <f t="shared" si="265"/>
        <v>10889.636755601023</v>
      </c>
      <c r="P427" s="25">
        <f t="shared" si="266"/>
        <v>30050.93324439897</v>
      </c>
      <c r="Q427" s="25">
        <f t="array" aca="1" ref="Q427" ca="1">INDEX('Isaac 401k'!L:L,MATCH('Retirement Calculator'!A427,'Isaac 401k'!N:N,0),0)</f>
        <v>-690638.35995736578</v>
      </c>
      <c r="R427" s="25">
        <f t="array" aca="1" ref="R427" ca="1">INDEX('Lorri 401b'!L:L,MATCH('Retirement Calculator'!A427,'Lorri 401b'!N:N,0),0)</f>
        <v>392490.20241575933</v>
      </c>
      <c r="S427" s="25">
        <f t="shared" ca="1" si="267"/>
        <v>-298148.15754160646</v>
      </c>
    </row>
    <row r="428" spans="1:19" ht="15.75" customHeight="1" x14ac:dyDescent="0.25">
      <c r="A428" s="37">
        <v>63979</v>
      </c>
      <c r="B428" s="398">
        <f t="shared" ref="B428:C428" si="429">($A428-B$9)/365.25</f>
        <v>93.286789869952088</v>
      </c>
      <c r="C428" s="398">
        <f t="shared" si="429"/>
        <v>88.676249144421632</v>
      </c>
      <c r="E428" s="25">
        <f>IF(C428&gt;$B$7,0,'Combined Retirement'!$D$13/12)</f>
        <v>0</v>
      </c>
      <c r="F428" s="25">
        <f>IF(H428=0,'Combined Retirement'!$D$32,0)+'Combined Retirement'!$B$24</f>
        <v>2870.372285649099</v>
      </c>
      <c r="G428" s="25">
        <f>'Combined Retirement'!$C$24</f>
        <v>3254.2644699519233</v>
      </c>
      <c r="H428" s="25">
        <f>IF(B428&lt;62,0,'Combined Retirement'!$I$14)</f>
        <v>2345</v>
      </c>
      <c r="I428" s="25">
        <f>IF(C428&lt;62,0,'Combined Retirement'!$I$13)</f>
        <v>2420</v>
      </c>
      <c r="J428" s="25">
        <f t="shared" si="263"/>
        <v>8395.6297298201844</v>
      </c>
      <c r="K428" s="25">
        <f t="shared" si="264"/>
        <v>21655.303514578787</v>
      </c>
      <c r="L428" s="25"/>
      <c r="N428" s="25">
        <f>'Combined Retirement'!$C$18/12</f>
        <v>40940.569999999992</v>
      </c>
      <c r="O428" s="25">
        <f t="shared" si="265"/>
        <v>10889.636755601023</v>
      </c>
      <c r="P428" s="25">
        <f t="shared" si="266"/>
        <v>30050.93324439897</v>
      </c>
      <c r="Q428" s="25">
        <f t="array" aca="1" ref="Q428" ca="1">INDEX('Isaac 401k'!L:L,MATCH('Retirement Calculator'!A428,'Isaac 401k'!N:N,0),0)</f>
        <v>-701946.63131088263</v>
      </c>
      <c r="R428" s="25">
        <f t="array" aca="1" ref="R428" ca="1">INDEX('Lorri 401b'!L:L,MATCH('Retirement Calculator'!A428,'Lorri 401b'!N:N,0),0)</f>
        <v>372380.04431326879</v>
      </c>
      <c r="S428" s="25">
        <f t="shared" ca="1" si="267"/>
        <v>-329566.58699761383</v>
      </c>
    </row>
    <row r="429" spans="1:19" ht="15.75" customHeight="1" x14ac:dyDescent="0.25">
      <c r="A429" s="37">
        <v>64010</v>
      </c>
      <c r="B429" s="398">
        <f t="shared" ref="B429:C429" si="430">($A429-B$9)/365.25</f>
        <v>93.371663244353186</v>
      </c>
      <c r="C429" s="398">
        <f t="shared" si="430"/>
        <v>88.761122518822731</v>
      </c>
      <c r="E429" s="25">
        <f>IF(C429&gt;$B$7,0,'Combined Retirement'!$D$13/12)</f>
        <v>0</v>
      </c>
      <c r="F429" s="25">
        <f>IF(H429=0,'Combined Retirement'!$D$32,0)+'Combined Retirement'!$B$24</f>
        <v>2870.372285649099</v>
      </c>
      <c r="G429" s="25">
        <f>'Combined Retirement'!$C$24</f>
        <v>3254.2644699519233</v>
      </c>
      <c r="H429" s="25">
        <f>IF(B429&lt;62,0,'Combined Retirement'!$I$14)</f>
        <v>2345</v>
      </c>
      <c r="I429" s="25">
        <f>IF(C429&lt;62,0,'Combined Retirement'!$I$13)</f>
        <v>2420</v>
      </c>
      <c r="J429" s="25">
        <f t="shared" si="263"/>
        <v>8395.6297298201844</v>
      </c>
      <c r="K429" s="25">
        <f t="shared" si="264"/>
        <v>21655.303514578787</v>
      </c>
      <c r="L429" s="25"/>
      <c r="N429" s="25">
        <f>'Combined Retirement'!$C$18/12</f>
        <v>40940.569999999992</v>
      </c>
      <c r="O429" s="25">
        <f t="shared" si="265"/>
        <v>10889.636755601023</v>
      </c>
      <c r="P429" s="25">
        <f t="shared" si="266"/>
        <v>30050.93324439897</v>
      </c>
      <c r="Q429" s="25">
        <f t="array" aca="1" ref="Q429" ca="1">INDEX('Isaac 401k'!L:L,MATCH('Retirement Calculator'!A429,'Isaac 401k'!N:N,0),0)</f>
        <v>-713302.02046170575</v>
      </c>
      <c r="R429" s="25">
        <f t="array" aca="1" ref="R429" ca="1">INDEX('Lorri 401b'!L:L,MATCH('Retirement Calculator'!A429,'Lorri 401b'!N:N,0),0)</f>
        <v>352186.09388535121</v>
      </c>
      <c r="S429" s="25">
        <f t="shared" ca="1" si="267"/>
        <v>-361115.92657635454</v>
      </c>
    </row>
    <row r="430" spans="1:19" ht="15.75" customHeight="1" x14ac:dyDescent="0.25">
      <c r="A430" s="37">
        <v>64040</v>
      </c>
      <c r="B430" s="398">
        <f t="shared" ref="B430:C430" si="431">($A430-B$9)/365.25</f>
        <v>93.453798767967143</v>
      </c>
      <c r="C430" s="398">
        <f t="shared" si="431"/>
        <v>88.843258042436688</v>
      </c>
      <c r="E430" s="25">
        <f>IF(C430&gt;$B$7,0,'Combined Retirement'!$D$13/12)</f>
        <v>0</v>
      </c>
      <c r="F430" s="25">
        <f>IF(H430=0,'Combined Retirement'!$D$32,0)+'Combined Retirement'!$B$24</f>
        <v>2870.372285649099</v>
      </c>
      <c r="G430" s="25">
        <f>'Combined Retirement'!$C$24</f>
        <v>3254.2644699519233</v>
      </c>
      <c r="H430" s="25">
        <f>IF(B430&lt;62,0,'Combined Retirement'!$I$14)</f>
        <v>2345</v>
      </c>
      <c r="I430" s="25">
        <f>IF(C430&lt;62,0,'Combined Retirement'!$I$13)</f>
        <v>2420</v>
      </c>
      <c r="J430" s="25">
        <f t="shared" si="263"/>
        <v>8395.6297298201844</v>
      </c>
      <c r="K430" s="25">
        <f t="shared" si="264"/>
        <v>21655.303514578787</v>
      </c>
      <c r="L430" s="25"/>
      <c r="N430" s="25">
        <f>'Combined Retirement'!$C$18/12</f>
        <v>40940.569999999992</v>
      </c>
      <c r="O430" s="25">
        <f t="shared" si="265"/>
        <v>10889.636755601023</v>
      </c>
      <c r="P430" s="25">
        <f t="shared" si="266"/>
        <v>30050.93324439897</v>
      </c>
      <c r="Q430" s="25">
        <f t="array" aca="1" ref="Q430" ca="1">INDEX('Isaac 401k'!L:L,MATCH('Retirement Calculator'!A430,'Isaac 401k'!N:N,0),0)</f>
        <v>-724704.72373399057</v>
      </c>
      <c r="R430" s="25">
        <f t="array" aca="1" ref="R430" ca="1">INDEX('Lorri 401b'!L:L,MATCH('Retirement Calculator'!A430,'Lorri 401b'!N:N,0),0)</f>
        <v>331908.0019973173</v>
      </c>
      <c r="S430" s="25">
        <f t="shared" ca="1" si="267"/>
        <v>-392796.72173667327</v>
      </c>
    </row>
    <row r="431" spans="1:19" ht="15.75" customHeight="1" x14ac:dyDescent="0.25">
      <c r="A431" s="37">
        <v>64071</v>
      </c>
      <c r="B431" s="398">
        <f t="shared" ref="B431:C431" si="432">($A431-B$9)/365.25</f>
        <v>93.538672142368242</v>
      </c>
      <c r="C431" s="398">
        <f t="shared" si="432"/>
        <v>88.928131416837786</v>
      </c>
      <c r="E431" s="25">
        <f>IF(C431&gt;$B$7,0,'Combined Retirement'!$D$13/12)</f>
        <v>0</v>
      </c>
      <c r="F431" s="25">
        <f>IF(H431=0,'Combined Retirement'!$D$32,0)+'Combined Retirement'!$B$24</f>
        <v>2870.372285649099</v>
      </c>
      <c r="G431" s="25">
        <f>'Combined Retirement'!$C$24</f>
        <v>3254.2644699519233</v>
      </c>
      <c r="H431" s="25">
        <f>IF(B431&lt;62,0,'Combined Retirement'!$I$14)</f>
        <v>2345</v>
      </c>
      <c r="I431" s="25">
        <f>IF(C431&lt;62,0,'Combined Retirement'!$I$13)</f>
        <v>2420</v>
      </c>
      <c r="J431" s="25">
        <f t="shared" si="263"/>
        <v>8395.6297298201844</v>
      </c>
      <c r="K431" s="25">
        <f t="shared" si="264"/>
        <v>21655.303514578787</v>
      </c>
      <c r="L431" s="25"/>
      <c r="N431" s="25">
        <f>'Combined Retirement'!$C$18/12</f>
        <v>40940.569999999992</v>
      </c>
      <c r="O431" s="25">
        <f t="shared" si="265"/>
        <v>10889.636755601023</v>
      </c>
      <c r="P431" s="25">
        <f t="shared" si="266"/>
        <v>30050.93324439897</v>
      </c>
      <c r="Q431" s="25">
        <f t="array" aca="1" ref="Q431" ca="1">INDEX('Isaac 401k'!L:L,MATCH('Retirement Calculator'!A431,'Isaac 401k'!N:N,0),0)</f>
        <v>-736154.93826990994</v>
      </c>
      <c r="R431" s="25">
        <f t="array" aca="1" ref="R431" ca="1">INDEX('Lorri 401b'!L:L,MATCH('Retirement Calculator'!A431,'Lorri 401b'!N:N,0),0)</f>
        <v>311545.41805974994</v>
      </c>
      <c r="S431" s="25">
        <f t="shared" ca="1" si="267"/>
        <v>-424609.52021016</v>
      </c>
    </row>
    <row r="432" spans="1:19" ht="15.75" customHeight="1" x14ac:dyDescent="0.25">
      <c r="A432" s="37">
        <v>64101</v>
      </c>
      <c r="B432" s="398">
        <f t="shared" ref="B432:C432" si="433">($A432-B$9)/365.25</f>
        <v>93.620807665982198</v>
      </c>
      <c r="C432" s="398">
        <f t="shared" si="433"/>
        <v>89.010266940451743</v>
      </c>
      <c r="E432" s="25">
        <f>IF(C432&gt;$B$7,0,'Combined Retirement'!$D$13/12)</f>
        <v>0</v>
      </c>
      <c r="F432" s="25">
        <f>IF(H432=0,'Combined Retirement'!$D$32,0)+'Combined Retirement'!$B$24</f>
        <v>2870.372285649099</v>
      </c>
      <c r="G432" s="25">
        <f>'Combined Retirement'!$C$24</f>
        <v>3254.2644699519233</v>
      </c>
      <c r="H432" s="25">
        <f>IF(B432&lt;62,0,'Combined Retirement'!$I$14)</f>
        <v>2345</v>
      </c>
      <c r="I432" s="25">
        <f>IF(C432&lt;62,0,'Combined Retirement'!$I$13)</f>
        <v>2420</v>
      </c>
      <c r="J432" s="25">
        <f t="shared" si="263"/>
        <v>8395.6297298201844</v>
      </c>
      <c r="K432" s="25">
        <f t="shared" si="264"/>
        <v>21655.303514578787</v>
      </c>
      <c r="L432" s="25"/>
      <c r="N432" s="25">
        <f>'Combined Retirement'!$C$18/12</f>
        <v>40940.569999999992</v>
      </c>
      <c r="O432" s="25">
        <f t="shared" si="265"/>
        <v>10889.636755601023</v>
      </c>
      <c r="P432" s="25">
        <f t="shared" si="266"/>
        <v>30050.93324439897</v>
      </c>
      <c r="Q432" s="25">
        <f t="array" aca="1" ref="Q432" ca="1">INDEX('Isaac 401k'!L:L,MATCH('Retirement Calculator'!A432,'Isaac 401k'!N:N,0),0)</f>
        <v>-747652.86203306238</v>
      </c>
      <c r="R432" s="25">
        <f t="array" aca="1" ref="R432" ca="1">INDEX('Lorri 401b'!L:L,MATCH('Retirement Calculator'!A432,'Lorri 401b'!N:N,0),0)</f>
        <v>291097.99002244271</v>
      </c>
      <c r="S432" s="25">
        <f t="shared" ca="1" si="267"/>
        <v>-456554.87201061967</v>
      </c>
    </row>
    <row r="433" spans="1:19" ht="15.75" customHeight="1" x14ac:dyDescent="0.25">
      <c r="A433" s="37">
        <v>64132</v>
      </c>
      <c r="B433" s="398">
        <f t="shared" ref="B433:C433" si="434">($A433-B$9)/365.25</f>
        <v>93.705681040383297</v>
      </c>
      <c r="C433" s="398">
        <f t="shared" si="434"/>
        <v>89.095140314852841</v>
      </c>
      <c r="E433" s="25">
        <f>IF(C433&gt;$B$7,0,'Combined Retirement'!$D$13/12)</f>
        <v>0</v>
      </c>
      <c r="F433" s="25">
        <f>IF(H433=0,'Combined Retirement'!$D$32,0)+'Combined Retirement'!$B$24</f>
        <v>2870.372285649099</v>
      </c>
      <c r="G433" s="25">
        <f>'Combined Retirement'!$C$24</f>
        <v>3254.2644699519233</v>
      </c>
      <c r="H433" s="25">
        <f>IF(B433&lt;62,0,'Combined Retirement'!$I$14)</f>
        <v>2345</v>
      </c>
      <c r="I433" s="25">
        <f>IF(C433&lt;62,0,'Combined Retirement'!$I$13)</f>
        <v>2420</v>
      </c>
      <c r="J433" s="25">
        <f t="shared" si="263"/>
        <v>8395.6297298201844</v>
      </c>
      <c r="K433" s="25">
        <f t="shared" si="264"/>
        <v>21655.303514578787</v>
      </c>
      <c r="L433" s="25"/>
      <c r="N433" s="25">
        <f>'Combined Retirement'!$C$18/12</f>
        <v>40940.569999999992</v>
      </c>
      <c r="O433" s="25">
        <f t="shared" si="265"/>
        <v>10889.636755601023</v>
      </c>
      <c r="P433" s="25">
        <f t="shared" si="266"/>
        <v>30050.93324439897</v>
      </c>
      <c r="Q433" s="25">
        <f t="array" aca="1" ref="Q433" ca="1">INDEX('Isaac 401k'!L:L,MATCH('Retirement Calculator'!A433,'Isaac 401k'!N:N,0),0)</f>
        <v>-759198.69381189463</v>
      </c>
      <c r="R433" s="25">
        <f t="array" aca="1" ref="R433" ca="1">INDEX('Lorri 401b'!L:L,MATCH('Retirement Calculator'!A433,'Lorri 401b'!N:N,0),0)</f>
        <v>270565.36436831334</v>
      </c>
      <c r="S433" s="25">
        <f t="shared" ca="1" si="267"/>
        <v>-488633.32944358129</v>
      </c>
    </row>
    <row r="434" spans="1:19" ht="15.75" customHeight="1" x14ac:dyDescent="0.25">
      <c r="A434" s="37">
        <v>64163</v>
      </c>
      <c r="B434" s="398">
        <f t="shared" ref="B434:C434" si="435">($A434-B$9)/365.25</f>
        <v>93.790554414784395</v>
      </c>
      <c r="C434" s="398">
        <f t="shared" si="435"/>
        <v>89.18001368925394</v>
      </c>
      <c r="E434" s="25">
        <f>IF(C434&gt;$B$7,0,'Combined Retirement'!$D$13/12)</f>
        <v>0</v>
      </c>
      <c r="F434" s="25">
        <f>IF(H434=0,'Combined Retirement'!$D$32,0)+'Combined Retirement'!$B$24</f>
        <v>2870.372285649099</v>
      </c>
      <c r="G434" s="25">
        <f>'Combined Retirement'!$C$24</f>
        <v>3254.2644699519233</v>
      </c>
      <c r="H434" s="25">
        <f>IF(B434&lt;62,0,'Combined Retirement'!$I$14)</f>
        <v>2345</v>
      </c>
      <c r="I434" s="25">
        <f>IF(C434&lt;62,0,'Combined Retirement'!$I$13)</f>
        <v>2420</v>
      </c>
      <c r="J434" s="25">
        <f t="shared" si="263"/>
        <v>8395.6297298201844</v>
      </c>
      <c r="K434" s="25">
        <f t="shared" si="264"/>
        <v>21655.303514578787</v>
      </c>
      <c r="L434" s="25"/>
      <c r="N434" s="25">
        <f>'Combined Retirement'!$C$18/12</f>
        <v>40940.569999999992</v>
      </c>
      <c r="O434" s="25">
        <f t="shared" si="265"/>
        <v>10889.636755601023</v>
      </c>
      <c r="P434" s="25">
        <f t="shared" si="266"/>
        <v>30050.93324439897</v>
      </c>
      <c r="Q434" s="25">
        <f t="array" aca="1" ref="Q434" ca="1">INDEX('Isaac 401k'!L:L,MATCH('Retirement Calculator'!A434,'Isaac 401k'!N:N,0),0)</f>
        <v>-770792.63322313863</v>
      </c>
      <c r="R434" s="25">
        <f t="array" aca="1" ref="R434" ca="1">INDEX('Lorri 401b'!L:L,MATCH('Retirement Calculator'!A434,'Lorri 401b'!N:N,0),0)</f>
        <v>249947.18610729178</v>
      </c>
      <c r="S434" s="25">
        <f t="shared" ca="1" si="267"/>
        <v>-520845.44711584685</v>
      </c>
    </row>
    <row r="435" spans="1:19" ht="15.75" customHeight="1" x14ac:dyDescent="0.25">
      <c r="A435" s="37">
        <v>64193</v>
      </c>
      <c r="B435" s="398">
        <f t="shared" ref="B435:C435" si="436">($A435-B$9)/365.25</f>
        <v>93.872689938398352</v>
      </c>
      <c r="C435" s="398">
        <f t="shared" si="436"/>
        <v>89.262149212867897</v>
      </c>
      <c r="E435" s="25">
        <f>IF(C435&gt;$B$7,0,'Combined Retirement'!$D$13/12)</f>
        <v>0</v>
      </c>
      <c r="F435" s="25">
        <f>IF(H435=0,'Combined Retirement'!$D$32,0)+'Combined Retirement'!$B$24</f>
        <v>2870.372285649099</v>
      </c>
      <c r="G435" s="25">
        <f>'Combined Retirement'!$C$24</f>
        <v>3254.2644699519233</v>
      </c>
      <c r="H435" s="25">
        <f>IF(B435&lt;62,0,'Combined Retirement'!$I$14)</f>
        <v>2345</v>
      </c>
      <c r="I435" s="25">
        <f>IF(C435&lt;62,0,'Combined Retirement'!$I$13)</f>
        <v>2420</v>
      </c>
      <c r="J435" s="25">
        <f t="shared" si="263"/>
        <v>8395.6297298201844</v>
      </c>
      <c r="K435" s="25">
        <f t="shared" si="264"/>
        <v>21655.303514578787</v>
      </c>
      <c r="L435" s="25"/>
      <c r="N435" s="25">
        <f>'Combined Retirement'!$C$18/12</f>
        <v>40940.569999999992</v>
      </c>
      <c r="O435" s="25">
        <f t="shared" si="265"/>
        <v>10889.636755601023</v>
      </c>
      <c r="P435" s="25">
        <f t="shared" si="266"/>
        <v>30050.93324439897</v>
      </c>
      <c r="Q435" s="25">
        <f t="array" aca="1" ref="Q435" ca="1">INDEX('Isaac 401k'!L:L,MATCH('Retirement Calculator'!A435,'Isaac 401k'!N:N,0),0)</f>
        <v>-782434.88071526284</v>
      </c>
      <c r="R435" s="25">
        <f t="array" aca="1" ref="R435" ca="1">INDEX('Lorri 401b'!L:L,MATCH('Retirement Calculator'!A435,'Lorri 401b'!N:N,0),0)</f>
        <v>229243.09877018264</v>
      </c>
      <c r="S435" s="25">
        <f t="shared" ca="1" si="267"/>
        <v>-553191.78194508026</v>
      </c>
    </row>
    <row r="436" spans="1:19" ht="15.75" customHeight="1" x14ac:dyDescent="0.25">
      <c r="A436" s="37">
        <v>64224</v>
      </c>
      <c r="B436" s="398">
        <f t="shared" ref="B436:C436" si="437">($A436-B$9)/365.25</f>
        <v>93.957563312799451</v>
      </c>
      <c r="C436" s="398">
        <f t="shared" si="437"/>
        <v>89.347022587268995</v>
      </c>
      <c r="E436" s="25">
        <f>IF(C436&gt;$B$7,0,'Combined Retirement'!$D$13/12)</f>
        <v>0</v>
      </c>
      <c r="F436" s="25">
        <f>IF(H436=0,'Combined Retirement'!$D$32,0)+'Combined Retirement'!$B$24</f>
        <v>2870.372285649099</v>
      </c>
      <c r="G436" s="25">
        <f>'Combined Retirement'!$C$24</f>
        <v>3254.2644699519233</v>
      </c>
      <c r="H436" s="25">
        <f>IF(B436&lt;62,0,'Combined Retirement'!$I$14)</f>
        <v>2345</v>
      </c>
      <c r="I436" s="25">
        <f>IF(C436&lt;62,0,'Combined Retirement'!$I$13)</f>
        <v>2420</v>
      </c>
      <c r="J436" s="25">
        <f t="shared" si="263"/>
        <v>8395.6297298201844</v>
      </c>
      <c r="K436" s="25">
        <f t="shared" si="264"/>
        <v>21655.303514578787</v>
      </c>
      <c r="L436" s="25"/>
      <c r="N436" s="25">
        <f>'Combined Retirement'!$C$18/12</f>
        <v>40940.569999999992</v>
      </c>
      <c r="O436" s="25">
        <f t="shared" si="265"/>
        <v>10889.636755601023</v>
      </c>
      <c r="P436" s="25">
        <f t="shared" si="266"/>
        <v>30050.93324439897</v>
      </c>
      <c r="Q436" s="25">
        <f t="array" aca="1" ref="Q436" ca="1">INDEX('Isaac 401k'!L:L,MATCH('Retirement Calculator'!A436,'Isaac 401k'!N:N,0),0)</f>
        <v>-794125.63757193752</v>
      </c>
      <c r="R436" s="25">
        <f t="array" aca="1" ref="R436" ca="1">INDEX('Lorri 401b'!L:L,MATCH('Retirement Calculator'!A436,'Lorri 401b'!N:N,0),0)</f>
        <v>208452.7444025022</v>
      </c>
      <c r="S436" s="25">
        <f t="shared" ca="1" si="267"/>
        <v>-585672.89316943532</v>
      </c>
    </row>
    <row r="437" spans="1:19" ht="15.75" customHeight="1" x14ac:dyDescent="0.25">
      <c r="A437" s="37">
        <v>64254</v>
      </c>
      <c r="B437" s="398">
        <f t="shared" ref="B437:C437" si="438">($A437-B$9)/365.25</f>
        <v>94.039698836413422</v>
      </c>
      <c r="C437" s="398">
        <f t="shared" si="438"/>
        <v>89.429158110882952</v>
      </c>
      <c r="E437" s="25">
        <f>IF(C437&gt;$B$7,0,'Combined Retirement'!$D$13/12)</f>
        <v>0</v>
      </c>
      <c r="F437" s="25">
        <f>IF(H437=0,'Combined Retirement'!$D$32,0)+'Combined Retirement'!$B$24</f>
        <v>2870.372285649099</v>
      </c>
      <c r="G437" s="25">
        <f>'Combined Retirement'!$C$24</f>
        <v>3254.2644699519233</v>
      </c>
      <c r="H437" s="25">
        <f>IF(B437&lt;62,0,'Combined Retirement'!$I$14)</f>
        <v>2345</v>
      </c>
      <c r="I437" s="25">
        <f>IF(C437&lt;62,0,'Combined Retirement'!$I$13)</f>
        <v>2420</v>
      </c>
      <c r="J437" s="25">
        <f t="shared" si="263"/>
        <v>8395.6297298201844</v>
      </c>
      <c r="K437" s="25">
        <f t="shared" si="264"/>
        <v>21655.303514578787</v>
      </c>
      <c r="L437" s="25"/>
      <c r="N437" s="25">
        <f>'Combined Retirement'!$C$18/12</f>
        <v>40940.569999999992</v>
      </c>
      <c r="O437" s="25">
        <f t="shared" si="265"/>
        <v>10889.636755601023</v>
      </c>
      <c r="P437" s="25">
        <f t="shared" si="266"/>
        <v>30050.93324439897</v>
      </c>
      <c r="Q437" s="25">
        <f t="array" aca="1" ref="Q437" ca="1">INDEX('Isaac 401k'!L:L,MATCH('Retirement Calculator'!A437,'Isaac 401k'!N:N,0),0)</f>
        <v>-805865.10591551499</v>
      </c>
      <c r="R437" s="25">
        <f t="array" aca="1" ref="R437" ca="1">INDEX('Lorri 401b'!L:L,MATCH('Retirement Calculator'!A437,'Lorri 401b'!N:N,0),0)</f>
        <v>187575.76355828976</v>
      </c>
      <c r="S437" s="25">
        <f t="shared" ca="1" si="267"/>
        <v>-618289.34235722525</v>
      </c>
    </row>
    <row r="438" spans="1:19" ht="15.75" customHeight="1" x14ac:dyDescent="0.25">
      <c r="A438" s="37">
        <v>64285</v>
      </c>
      <c r="B438" s="398">
        <f t="shared" ref="B438:C438" si="439">($A438-B$9)/365.25</f>
        <v>94.124572210814506</v>
      </c>
      <c r="C438" s="398">
        <f t="shared" si="439"/>
        <v>89.51403148528405</v>
      </c>
      <c r="E438" s="25">
        <f>IF(C438&gt;$B$7,0,'Combined Retirement'!$D$13/12)</f>
        <v>0</v>
      </c>
      <c r="F438" s="25">
        <f>IF(H438=0,'Combined Retirement'!$D$32,0)+'Combined Retirement'!$B$24</f>
        <v>2870.372285649099</v>
      </c>
      <c r="G438" s="25">
        <f>'Combined Retirement'!$C$24</f>
        <v>3254.2644699519233</v>
      </c>
      <c r="H438" s="25">
        <f>IF(B438&lt;62,0,'Combined Retirement'!$I$14)</f>
        <v>2345</v>
      </c>
      <c r="I438" s="25">
        <f>IF(C438&lt;62,0,'Combined Retirement'!$I$13)</f>
        <v>2420</v>
      </c>
      <c r="J438" s="25">
        <f t="shared" si="263"/>
        <v>8395.6297298201844</v>
      </c>
      <c r="K438" s="25">
        <f t="shared" si="264"/>
        <v>21655.303514578787</v>
      </c>
      <c r="L438" s="25"/>
      <c r="N438" s="25">
        <f>'Combined Retirement'!$C$18/12</f>
        <v>40940.569999999992</v>
      </c>
      <c r="O438" s="25">
        <f t="shared" si="265"/>
        <v>10889.636755601023</v>
      </c>
      <c r="P438" s="25">
        <f t="shared" si="266"/>
        <v>30050.93324439897</v>
      </c>
      <c r="Q438" s="25">
        <f t="array" aca="1" ref="Q438" ca="1">INDEX('Isaac 401k'!L:L,MATCH('Retirement Calculator'!A438,'Isaac 401k'!N:N,0),0)</f>
        <v>-817653.48871052405</v>
      </c>
      <c r="R438" s="25">
        <f t="array" aca="1" ref="R438" ca="1">INDEX('Lorri 401b'!L:L,MATCH('Retirement Calculator'!A438,'Lorri 401b'!N:N,0),0)</f>
        <v>166611.79529389311</v>
      </c>
      <c r="S438" s="25">
        <f t="shared" ca="1" si="267"/>
        <v>-651041.69341663097</v>
      </c>
    </row>
    <row r="439" spans="1:19" ht="15.75" customHeight="1" x14ac:dyDescent="0.25">
      <c r="A439" s="37">
        <v>64316</v>
      </c>
      <c r="B439" s="398">
        <f t="shared" ref="B439:C439" si="440">($A439-B$9)/365.25</f>
        <v>94.209445585215605</v>
      </c>
      <c r="C439" s="398">
        <f t="shared" si="440"/>
        <v>89.598904859685149</v>
      </c>
      <c r="E439" s="25">
        <f>IF(C439&gt;$B$7,0,'Combined Retirement'!$D$13/12)</f>
        <v>0</v>
      </c>
      <c r="F439" s="25">
        <f>IF(H439=0,'Combined Retirement'!$D$32,0)+'Combined Retirement'!$B$24</f>
        <v>2870.372285649099</v>
      </c>
      <c r="G439" s="25">
        <f>'Combined Retirement'!$C$24</f>
        <v>3254.2644699519233</v>
      </c>
      <c r="H439" s="25">
        <f>IF(B439&lt;62,0,'Combined Retirement'!$I$14)</f>
        <v>2345</v>
      </c>
      <c r="I439" s="25">
        <f>IF(C439&lt;62,0,'Combined Retirement'!$I$13)</f>
        <v>2420</v>
      </c>
      <c r="J439" s="25">
        <f t="shared" si="263"/>
        <v>8395.6297298201844</v>
      </c>
      <c r="K439" s="25">
        <f t="shared" si="264"/>
        <v>21655.303514578787</v>
      </c>
      <c r="L439" s="25"/>
      <c r="N439" s="25">
        <f>'Combined Retirement'!$C$18/12</f>
        <v>40940.569999999992</v>
      </c>
      <c r="O439" s="25">
        <f t="shared" si="265"/>
        <v>10889.636755601023</v>
      </c>
      <c r="P439" s="25">
        <f t="shared" si="266"/>
        <v>30050.93324439897</v>
      </c>
      <c r="Q439" s="25">
        <f t="array" aca="1" ref="Q439" ca="1">INDEX('Isaac 401k'!L:L,MATCH('Retirement Calculator'!A439,'Isaac 401k'!N:N,0),0)</f>
        <v>-829490.98976717901</v>
      </c>
      <c r="R439" s="25">
        <f t="array" aca="1" ref="R439" ca="1">INDEX('Lorri 401b'!L:L,MATCH('Retirement Calculator'!A439,'Lorri 401b'!N:N,0),0)</f>
        <v>145560.47716172814</v>
      </c>
      <c r="S439" s="25">
        <f t="shared" ca="1" si="267"/>
        <v>-683930.51260545081</v>
      </c>
    </row>
    <row r="440" spans="1:19" ht="15.75" customHeight="1" x14ac:dyDescent="0.25">
      <c r="A440" s="37">
        <v>64345</v>
      </c>
      <c r="B440" s="398">
        <f t="shared" ref="B440:C440" si="441">($A440-B$9)/365.25</f>
        <v>94.288843258042434</v>
      </c>
      <c r="C440" s="398">
        <f t="shared" si="441"/>
        <v>89.678302532511978</v>
      </c>
      <c r="E440" s="25">
        <f>IF(C440&gt;$B$7,0,'Combined Retirement'!$D$13/12)</f>
        <v>0</v>
      </c>
      <c r="F440" s="25">
        <f>IF(H440=0,'Combined Retirement'!$D$32,0)+'Combined Retirement'!$B$24</f>
        <v>2870.372285649099</v>
      </c>
      <c r="G440" s="25">
        <f>'Combined Retirement'!$C$24</f>
        <v>3254.2644699519233</v>
      </c>
      <c r="H440" s="25">
        <f>IF(B440&lt;62,0,'Combined Retirement'!$I$14)</f>
        <v>2345</v>
      </c>
      <c r="I440" s="25">
        <f>IF(C440&lt;62,0,'Combined Retirement'!$I$13)</f>
        <v>2420</v>
      </c>
      <c r="J440" s="25">
        <f t="shared" si="263"/>
        <v>8395.6297298201844</v>
      </c>
      <c r="K440" s="25">
        <f t="shared" si="264"/>
        <v>21655.303514578787</v>
      </c>
      <c r="L440" s="25"/>
      <c r="N440" s="25">
        <f>'Combined Retirement'!$C$18/12</f>
        <v>40940.569999999992</v>
      </c>
      <c r="O440" s="25">
        <f t="shared" si="265"/>
        <v>10889.636755601023</v>
      </c>
      <c r="P440" s="25">
        <f t="shared" si="266"/>
        <v>30050.93324439897</v>
      </c>
      <c r="Q440" s="25">
        <f t="array" aca="1" ref="Q440" ca="1">INDEX('Isaac 401k'!L:L,MATCH('Retirement Calculator'!A440,'Isaac 401k'!N:N,0),0)</f>
        <v>-841377.81374490331</v>
      </c>
      <c r="R440" s="25">
        <f t="array" aca="1" ref="R440" ca="1">INDEX('Lorri 401b'!L:L,MATCH('Retirement Calculator'!A440,'Lorri 401b'!N:N,0),0)</f>
        <v>124421.44520401247</v>
      </c>
      <c r="S440" s="25">
        <f t="shared" ca="1" si="267"/>
        <v>-716956.36854089086</v>
      </c>
    </row>
    <row r="441" spans="1:19" ht="15.75" customHeight="1" x14ac:dyDescent="0.25">
      <c r="A441" s="37">
        <v>64376</v>
      </c>
      <c r="B441" s="398">
        <f t="shared" ref="B441:C441" si="442">($A441-B$9)/365.25</f>
        <v>94.373716632443532</v>
      </c>
      <c r="C441" s="398">
        <f t="shared" si="442"/>
        <v>89.763175906913077</v>
      </c>
      <c r="E441" s="25">
        <f>IF(C441&gt;$B$7,0,'Combined Retirement'!$D$13/12)</f>
        <v>0</v>
      </c>
      <c r="F441" s="25">
        <f>IF(H441=0,'Combined Retirement'!$D$32,0)+'Combined Retirement'!$B$24</f>
        <v>2870.372285649099</v>
      </c>
      <c r="G441" s="25">
        <f>'Combined Retirement'!$C$24</f>
        <v>3254.2644699519233</v>
      </c>
      <c r="H441" s="25">
        <f>IF(B441&lt;62,0,'Combined Retirement'!$I$14)</f>
        <v>2345</v>
      </c>
      <c r="I441" s="25">
        <f>IF(C441&lt;62,0,'Combined Retirement'!$I$13)</f>
        <v>2420</v>
      </c>
      <c r="J441" s="25">
        <f t="shared" si="263"/>
        <v>8395.6297298201844</v>
      </c>
      <c r="K441" s="25">
        <f t="shared" si="264"/>
        <v>21655.303514578787</v>
      </c>
      <c r="L441" s="25"/>
      <c r="N441" s="25">
        <f>'Combined Retirement'!$C$18/12</f>
        <v>40940.569999999992</v>
      </c>
      <c r="O441" s="25">
        <f t="shared" si="265"/>
        <v>10889.636755601023</v>
      </c>
      <c r="P441" s="25">
        <f t="shared" si="266"/>
        <v>30050.93324439897</v>
      </c>
      <c r="Q441" s="25">
        <f t="array" aca="1" ref="Q441" ca="1">INDEX('Isaac 401k'!L:L,MATCH('Retirement Calculator'!A441,'Isaac 401k'!N:N,0),0)</f>
        <v>-853314.16615586821</v>
      </c>
      <c r="R441" s="25">
        <f t="array" aca="1" ref="R441" ca="1">INDEX('Lorri 401b'!L:L,MATCH('Retirement Calculator'!A441,'Lorri 401b'!N:N,0),0)</f>
        <v>103194.33394647299</v>
      </c>
      <c r="S441" s="25">
        <f t="shared" ca="1" si="267"/>
        <v>-750119.83220939524</v>
      </c>
    </row>
    <row r="442" spans="1:19" ht="15.75" customHeight="1" x14ac:dyDescent="0.25">
      <c r="A442" s="37">
        <v>64406</v>
      </c>
      <c r="B442" s="398">
        <f t="shared" ref="B442:C442" si="443">($A442-B$9)/365.25</f>
        <v>94.455852156057489</v>
      </c>
      <c r="C442" s="398">
        <f t="shared" si="443"/>
        <v>89.845311430527033</v>
      </c>
      <c r="E442" s="25">
        <f>IF(C442&gt;$B$7,0,'Combined Retirement'!$D$13/12)</f>
        <v>0</v>
      </c>
      <c r="F442" s="25">
        <f>IF(H442=0,'Combined Retirement'!$D$32,0)+'Combined Retirement'!$B$24</f>
        <v>2870.372285649099</v>
      </c>
      <c r="G442" s="25">
        <f>'Combined Retirement'!$C$24</f>
        <v>3254.2644699519233</v>
      </c>
      <c r="H442" s="25">
        <f>IF(B442&lt;62,0,'Combined Retirement'!$I$14)</f>
        <v>2345</v>
      </c>
      <c r="I442" s="25">
        <f>IF(C442&lt;62,0,'Combined Retirement'!$I$13)</f>
        <v>2420</v>
      </c>
      <c r="J442" s="25">
        <f t="shared" si="263"/>
        <v>8395.6297298201844</v>
      </c>
      <c r="K442" s="25">
        <f t="shared" si="264"/>
        <v>21655.303514578787</v>
      </c>
      <c r="L442" s="25"/>
      <c r="N442" s="25">
        <f>'Combined Retirement'!$C$18/12</f>
        <v>40940.569999999992</v>
      </c>
      <c r="O442" s="25">
        <f t="shared" si="265"/>
        <v>10889.636755601023</v>
      </c>
      <c r="P442" s="25">
        <f t="shared" si="266"/>
        <v>30050.93324439897</v>
      </c>
      <c r="Q442" s="25">
        <f t="array" aca="1" ref="Q442" ca="1">INDEX('Isaac 401k'!L:L,MATCH('Retirement Calculator'!A442,'Isaac 401k'!N:N,0),0)</f>
        <v>-865300.25336854544</v>
      </c>
      <c r="R442" s="25">
        <f t="array" aca="1" ref="R442" ca="1">INDEX('Lorri 401b'!L:L,MATCH('Retirement Calculator'!A442,'Lorri 401b'!N:N,0),0)</f>
        <v>81878.776392027095</v>
      </c>
      <c r="S442" s="25">
        <f t="shared" ca="1" si="267"/>
        <v>-783421.47697651829</v>
      </c>
    </row>
    <row r="443" spans="1:19" ht="15.75" customHeight="1" x14ac:dyDescent="0.25">
      <c r="A443" s="37">
        <v>64437</v>
      </c>
      <c r="B443" s="398">
        <f t="shared" ref="B443:C443" si="444">($A443-B$9)/365.25</f>
        <v>94.540725530458587</v>
      </c>
      <c r="C443" s="398">
        <f t="shared" si="444"/>
        <v>89.930184804928132</v>
      </c>
      <c r="E443" s="25">
        <f>IF(C443&gt;$B$7,0,'Combined Retirement'!$D$13/12)</f>
        <v>0</v>
      </c>
      <c r="F443" s="25">
        <f>IF(H443=0,'Combined Retirement'!$D$32,0)+'Combined Retirement'!$B$24</f>
        <v>2870.372285649099</v>
      </c>
      <c r="G443" s="25">
        <f>'Combined Retirement'!$C$24</f>
        <v>3254.2644699519233</v>
      </c>
      <c r="H443" s="25">
        <f>IF(B443&lt;62,0,'Combined Retirement'!$I$14)</f>
        <v>2345</v>
      </c>
      <c r="I443" s="25">
        <f>IF(C443&lt;62,0,'Combined Retirement'!$I$13)</f>
        <v>2420</v>
      </c>
      <c r="J443" s="25">
        <f t="shared" si="263"/>
        <v>8395.6297298201844</v>
      </c>
      <c r="K443" s="25">
        <f t="shared" si="264"/>
        <v>21655.303514578787</v>
      </c>
      <c r="L443" s="25"/>
      <c r="N443" s="25">
        <f>'Combined Retirement'!$C$18/12</f>
        <v>40940.569999999992</v>
      </c>
      <c r="O443" s="25">
        <f t="shared" si="265"/>
        <v>10889.636755601023</v>
      </c>
      <c r="P443" s="25">
        <f t="shared" si="266"/>
        <v>30050.93324439897</v>
      </c>
      <c r="Q443" s="25">
        <f t="array" aca="1" ref="Q443" ca="1">INDEX('Isaac 401k'!L:L,MATCH('Retirement Calculator'!A443,'Isaac 401k'!N:N,0),0)</f>
        <v>-877336.28261127544</v>
      </c>
      <c r="R443" s="25">
        <f t="array" aca="1" ref="R443" ca="1">INDEX('Lorri 401b'!L:L,MATCH('Retirement Calculator'!A443,'Lorri 401b'!N:N,0),0)</f>
        <v>60474.404014437678</v>
      </c>
      <c r="S443" s="25">
        <f t="shared" ca="1" si="267"/>
        <v>-816861.87859683775</v>
      </c>
    </row>
    <row r="444" spans="1:19" ht="15.75" customHeight="1" x14ac:dyDescent="0.25">
      <c r="A444" s="37">
        <v>64467</v>
      </c>
      <c r="B444" s="398">
        <f t="shared" ref="B444:C444" si="445">($A444-B$9)/365.25</f>
        <v>94.622861054072558</v>
      </c>
      <c r="C444" s="398">
        <f t="shared" si="445"/>
        <v>90.012320328542089</v>
      </c>
      <c r="E444" s="25">
        <f>IF(C444&gt;$B$7,0,'Combined Retirement'!$D$13/12)</f>
        <v>0</v>
      </c>
      <c r="F444" s="25">
        <f>IF(H444=0,'Combined Retirement'!$D$32,0)+'Combined Retirement'!$B$24</f>
        <v>2870.372285649099</v>
      </c>
      <c r="G444" s="25">
        <f>'Combined Retirement'!$C$24</f>
        <v>3254.2644699519233</v>
      </c>
      <c r="H444" s="25">
        <f>IF(B444&lt;62,0,'Combined Retirement'!$I$14)</f>
        <v>2345</v>
      </c>
      <c r="I444" s="25">
        <f>IF(C444&lt;62,0,'Combined Retirement'!$I$13)</f>
        <v>2420</v>
      </c>
      <c r="J444" s="25">
        <f t="shared" si="263"/>
        <v>8395.6297298201844</v>
      </c>
      <c r="K444" s="25">
        <f t="shared" si="264"/>
        <v>21655.303514578787</v>
      </c>
      <c r="L444" s="25"/>
      <c r="N444" s="25">
        <f>'Combined Retirement'!$C$18/12</f>
        <v>40940.569999999992</v>
      </c>
      <c r="O444" s="25">
        <f t="shared" si="265"/>
        <v>10889.636755601023</v>
      </c>
      <c r="P444" s="25">
        <f t="shared" si="266"/>
        <v>30050.93324439897</v>
      </c>
      <c r="Q444" s="25">
        <f t="array" aca="1" ref="Q444" ca="1">INDEX('Isaac 401k'!L:L,MATCH('Retirement Calculator'!A444,'Isaac 401k'!N:N,0),0)</f>
        <v>-889422.46197585016</v>
      </c>
      <c r="R444" s="25">
        <f t="array" aca="1" ref="R444" ca="1">INDEX('Lorri 401b'!L:L,MATCH('Retirement Calculator'!A444,'Lorri 401b'!N:N,0),0)</f>
        <v>38980.846751941637</v>
      </c>
      <c r="S444" s="25">
        <f t="shared" ca="1" si="267"/>
        <v>-850441.61522390856</v>
      </c>
    </row>
    <row r="445" spans="1:19" ht="15.75" customHeight="1" x14ac:dyDescent="0.25">
      <c r="A445" s="37">
        <v>64498</v>
      </c>
      <c r="B445" s="398">
        <f t="shared" ref="B445:C445" si="446">($A445-B$9)/365.25</f>
        <v>94.707734428473643</v>
      </c>
      <c r="C445" s="398">
        <f t="shared" si="446"/>
        <v>90.097193702943187</v>
      </c>
      <c r="E445" s="25">
        <f>IF(C445&gt;$B$7,0,'Combined Retirement'!$D$13/12)</f>
        <v>0</v>
      </c>
      <c r="F445" s="25">
        <f>IF(H445=0,'Combined Retirement'!$D$32,0)+'Combined Retirement'!$B$24</f>
        <v>2870.372285649099</v>
      </c>
      <c r="G445" s="25">
        <f>'Combined Retirement'!$C$24</f>
        <v>3254.2644699519233</v>
      </c>
      <c r="H445" s="25">
        <f>IF(B445&lt;62,0,'Combined Retirement'!$I$14)</f>
        <v>2345</v>
      </c>
      <c r="I445" s="25">
        <f>IF(C445&lt;62,0,'Combined Retirement'!$I$13)</f>
        <v>2420</v>
      </c>
      <c r="J445" s="25">
        <f t="shared" si="263"/>
        <v>8395.6297298201844</v>
      </c>
      <c r="K445" s="25">
        <f t="shared" si="264"/>
        <v>21655.303514578787</v>
      </c>
      <c r="L445" s="25"/>
      <c r="N445" s="25">
        <f>'Combined Retirement'!$C$18/12</f>
        <v>40940.569999999992</v>
      </c>
      <c r="O445" s="25">
        <f t="shared" si="265"/>
        <v>10889.636755601023</v>
      </c>
      <c r="P445" s="25">
        <f t="shared" si="266"/>
        <v>30050.93324439897</v>
      </c>
      <c r="Q445" s="25">
        <f t="array" aca="1" ref="Q445" ca="1">INDEX('Isaac 401k'!L:L,MATCH('Retirement Calculator'!A445,'Isaac 401k'!N:N,0),0)</f>
        <v>-901559.00042111066</v>
      </c>
      <c r="R445" s="25">
        <f t="array" aca="1" ref="R445" ca="1">INDEX('Lorri 401b'!L:L,MATCH('Retirement Calculator'!A445,'Lorri 401b'!N:N,0),0)</f>
        <v>17397.733000851862</v>
      </c>
      <c r="S445" s="25">
        <f t="shared" ca="1" si="267"/>
        <v>-884161.26742025884</v>
      </c>
    </row>
    <row r="446" spans="1:19" ht="15.75" customHeight="1" x14ac:dyDescent="0.25">
      <c r="A446" s="37">
        <v>64529</v>
      </c>
      <c r="B446" s="398">
        <f t="shared" ref="B446:C446" si="447">($A446-B$9)/365.25</f>
        <v>94.792607802874741</v>
      </c>
      <c r="C446" s="398">
        <f t="shared" si="447"/>
        <v>90.182067077344286</v>
      </c>
      <c r="E446" s="25">
        <f>IF(C446&gt;$B$7,0,'Combined Retirement'!$D$13/12)</f>
        <v>0</v>
      </c>
      <c r="F446" s="25">
        <f>IF(H446=0,'Combined Retirement'!$D$32,0)+'Combined Retirement'!$B$24</f>
        <v>2870.372285649099</v>
      </c>
      <c r="G446" s="25">
        <f>'Combined Retirement'!$C$24</f>
        <v>3254.2644699519233</v>
      </c>
      <c r="H446" s="25">
        <f>IF(B446&lt;62,0,'Combined Retirement'!$I$14)</f>
        <v>2345</v>
      </c>
      <c r="I446" s="25">
        <f>IF(C446&lt;62,0,'Combined Retirement'!$I$13)</f>
        <v>2420</v>
      </c>
      <c r="J446" s="25">
        <f t="shared" si="263"/>
        <v>8395.6297298201844</v>
      </c>
      <c r="K446" s="25">
        <f t="shared" si="264"/>
        <v>21655.303514578787</v>
      </c>
      <c r="L446" s="25"/>
      <c r="N446" s="25">
        <f>'Combined Retirement'!$C$18/12</f>
        <v>40940.569999999992</v>
      </c>
      <c r="O446" s="25">
        <f t="shared" si="265"/>
        <v>10889.636755601023</v>
      </c>
      <c r="P446" s="25">
        <f t="shared" si="266"/>
        <v>30050.93324439897</v>
      </c>
      <c r="Q446" s="25">
        <f t="array" aca="1" ref="Q446" ca="1">INDEX('Isaac 401k'!L:L,MATCH('Retirement Calculator'!A446,'Isaac 401k'!N:N,0),0)</f>
        <v>-913746.10777655977</v>
      </c>
      <c r="R446" s="25">
        <f t="array" aca="1" ref="R446" ca="1">INDEX('Lorri 401b'!L:L,MATCH('Retirement Calculator'!A446,'Lorri 401b'!N:N,0),0)</f>
        <v>-4275.3103908674539</v>
      </c>
      <c r="S446" s="25">
        <f t="shared" ca="1" si="267"/>
        <v>-918021.41816742718</v>
      </c>
    </row>
    <row r="447" spans="1:19" ht="15.75" customHeight="1" x14ac:dyDescent="0.25">
      <c r="A447" s="37">
        <v>64559</v>
      </c>
      <c r="B447" s="398">
        <f t="shared" ref="B447:C447" si="448">($A447-B$9)/365.25</f>
        <v>94.874743326488712</v>
      </c>
      <c r="C447" s="398">
        <f t="shared" si="448"/>
        <v>90.264202600958242</v>
      </c>
      <c r="E447" s="25">
        <f>IF(C447&gt;$B$7,0,'Combined Retirement'!$D$13/12)</f>
        <v>0</v>
      </c>
      <c r="F447" s="25">
        <f>IF(H447=0,'Combined Retirement'!$D$32,0)+'Combined Retirement'!$B$24</f>
        <v>2870.372285649099</v>
      </c>
      <c r="G447" s="25">
        <f>'Combined Retirement'!$C$24</f>
        <v>3254.2644699519233</v>
      </c>
      <c r="H447" s="25">
        <f>IF(B447&lt;62,0,'Combined Retirement'!$I$14)</f>
        <v>2345</v>
      </c>
      <c r="I447" s="25">
        <f>IF(C447&lt;62,0,'Combined Retirement'!$I$13)</f>
        <v>2420</v>
      </c>
      <c r="J447" s="25">
        <f t="shared" si="263"/>
        <v>8395.6297298201844</v>
      </c>
      <c r="K447" s="25">
        <f t="shared" si="264"/>
        <v>21655.303514578787</v>
      </c>
      <c r="L447" s="25"/>
      <c r="N447" s="25">
        <f>'Combined Retirement'!$C$18/12</f>
        <v>40940.569999999992</v>
      </c>
      <c r="O447" s="25">
        <f t="shared" si="265"/>
        <v>10889.636755601023</v>
      </c>
      <c r="P447" s="25">
        <f t="shared" si="266"/>
        <v>30050.93324439897</v>
      </c>
      <c r="Q447" s="25">
        <f t="array" aca="1" ref="Q447" ca="1">INDEX('Isaac 401k'!L:L,MATCH('Retirement Calculator'!A447,'Isaac 401k'!N:N,0),0)</f>
        <v>-925983.99474598991</v>
      </c>
      <c r="R447" s="25">
        <f t="array" aca="1" ref="R447" ca="1">INDEX('Lorri 401b'!L:L,MATCH('Retirement Calculator'!A447,'Lorri 401b'!N:N,0),0)</f>
        <v>-26038.658130052267</v>
      </c>
      <c r="S447" s="25">
        <f t="shared" ca="1" si="267"/>
        <v>-952022.65287604218</v>
      </c>
    </row>
    <row r="448" spans="1:19" ht="15.75" customHeight="1" x14ac:dyDescent="0.25">
      <c r="A448" s="37">
        <v>64590</v>
      </c>
      <c r="B448" s="398">
        <f t="shared" ref="B448:C448" si="449">($A448-B$9)/365.25</f>
        <v>94.959616700889796</v>
      </c>
      <c r="C448" s="398">
        <f t="shared" si="449"/>
        <v>90.349075975359341</v>
      </c>
      <c r="E448" s="25">
        <f>IF(C448&gt;$B$7,0,'Combined Retirement'!$D$13/12)</f>
        <v>0</v>
      </c>
      <c r="F448" s="25">
        <f>IF(H448=0,'Combined Retirement'!$D$32,0)+'Combined Retirement'!$B$24</f>
        <v>2870.372285649099</v>
      </c>
      <c r="G448" s="25">
        <f>'Combined Retirement'!$C$24</f>
        <v>3254.2644699519233</v>
      </c>
      <c r="H448" s="25">
        <f>IF(B448&lt;62,0,'Combined Retirement'!$I$14)</f>
        <v>2345</v>
      </c>
      <c r="I448" s="25">
        <f>IF(C448&lt;62,0,'Combined Retirement'!$I$13)</f>
        <v>2420</v>
      </c>
      <c r="J448" s="25">
        <f t="shared" si="263"/>
        <v>8395.6297298201844</v>
      </c>
      <c r="K448" s="25">
        <f t="shared" si="264"/>
        <v>21655.303514578787</v>
      </c>
      <c r="L448" s="25"/>
      <c r="N448" s="25">
        <f>'Combined Retirement'!$C$18/12</f>
        <v>40940.569999999992</v>
      </c>
      <c r="O448" s="25">
        <f t="shared" si="265"/>
        <v>10889.636755601023</v>
      </c>
      <c r="P448" s="25">
        <f t="shared" si="266"/>
        <v>30050.93324439897</v>
      </c>
      <c r="Q448" s="25">
        <f t="array" aca="1" ref="Q448" ca="1">INDEX('Isaac 401k'!L:L,MATCH('Retirement Calculator'!A448,'Isaac 401k'!N:N,0),0)</f>
        <v>-938272.872911126</v>
      </c>
      <c r="R448" s="25">
        <f t="array" aca="1" ref="R448" ca="1">INDEX('Lorri 401b'!L:L,MATCH('Retirement Calculator'!A448,'Lorri 401b'!N:N,0),0)</f>
        <v>-47892.686484817015</v>
      </c>
      <c r="S448" s="25">
        <f t="shared" ca="1" si="267"/>
        <v>-986165.55939594307</v>
      </c>
    </row>
    <row r="449" spans="1:19" ht="15.75" customHeight="1" x14ac:dyDescent="0.25">
      <c r="A449" s="37">
        <v>64620</v>
      </c>
      <c r="B449" s="398">
        <f t="shared" ref="B449:C449" si="450">($A449-B$9)/365.25</f>
        <v>95.041752224503767</v>
      </c>
      <c r="C449" s="398">
        <f t="shared" si="450"/>
        <v>90.431211498973312</v>
      </c>
      <c r="E449" s="25">
        <f>IF(C449&gt;$B$7,0,'Combined Retirement'!$D$13/12)</f>
        <v>0</v>
      </c>
      <c r="F449" s="25">
        <f>IF(H449=0,'Combined Retirement'!$D$32,0)+'Combined Retirement'!$B$24</f>
        <v>2870.372285649099</v>
      </c>
      <c r="G449" s="25">
        <f>'Combined Retirement'!$C$24</f>
        <v>3254.2644699519233</v>
      </c>
      <c r="H449" s="25">
        <f>IF(B449&lt;62,0,'Combined Retirement'!$I$14)</f>
        <v>2345</v>
      </c>
      <c r="I449" s="25">
        <f>IF(C449&lt;62,0,'Combined Retirement'!$I$13)</f>
        <v>2420</v>
      </c>
      <c r="J449" s="25">
        <f t="shared" si="263"/>
        <v>8395.6297298201844</v>
      </c>
      <c r="K449" s="25">
        <f t="shared" si="264"/>
        <v>21655.303514578787</v>
      </c>
      <c r="L449" s="25"/>
      <c r="N449" s="25">
        <f>'Combined Retirement'!$C$18/12</f>
        <v>40940.569999999992</v>
      </c>
      <c r="O449" s="25">
        <f t="shared" si="265"/>
        <v>10889.636755601023</v>
      </c>
      <c r="P449" s="25">
        <f t="shared" si="266"/>
        <v>30050.93324439897</v>
      </c>
      <c r="Q449" s="25">
        <f t="array" aca="1" ref="Q449" ca="1">INDEX('Isaac 401k'!L:L,MATCH('Retirement Calculator'!A449,'Isaac 401k'!N:N,0),0)</f>
        <v>-950612.95473528351</v>
      </c>
      <c r="R449" s="25">
        <f t="array" aca="1" ref="R449" ca="1">INDEX('Lorri 401b'!L:L,MATCH('Retirement Calculator'!A449,'Lorri 401b'!N:N,0),0)</f>
        <v>-69837.773291059944</v>
      </c>
      <c r="S449" s="25">
        <f t="shared" ca="1" si="267"/>
        <v>-1020450.7280263435</v>
      </c>
    </row>
    <row r="450" spans="1:19" ht="15.75" customHeight="1" x14ac:dyDescent="0.25">
      <c r="A450" s="37">
        <v>64651</v>
      </c>
      <c r="B450" s="398">
        <f t="shared" ref="B450:C450" si="451">($A450-B$9)/365.25</f>
        <v>95.126625598904866</v>
      </c>
      <c r="C450" s="398">
        <f t="shared" si="451"/>
        <v>90.516084873374396</v>
      </c>
      <c r="E450" s="25">
        <f>IF(C450&gt;$B$7,0,'Combined Retirement'!$D$13/12)</f>
        <v>0</v>
      </c>
      <c r="F450" s="25">
        <f>IF(H450=0,'Combined Retirement'!$D$32,0)+'Combined Retirement'!$B$24</f>
        <v>2870.372285649099</v>
      </c>
      <c r="G450" s="25">
        <f>'Combined Retirement'!$C$24</f>
        <v>3254.2644699519233</v>
      </c>
      <c r="H450" s="25">
        <f>IF(B450&lt;62,0,'Combined Retirement'!$I$14)</f>
        <v>2345</v>
      </c>
      <c r="I450" s="25">
        <f>IF(C450&lt;62,0,'Combined Retirement'!$I$13)</f>
        <v>2420</v>
      </c>
      <c r="J450" s="25">
        <f t="shared" si="263"/>
        <v>8395.6297298201844</v>
      </c>
      <c r="K450" s="25">
        <f t="shared" si="264"/>
        <v>21655.303514578787</v>
      </c>
      <c r="L450" s="25"/>
      <c r="N450" s="25">
        <f>'Combined Retirement'!$C$18/12</f>
        <v>40940.569999999992</v>
      </c>
      <c r="O450" s="25">
        <f t="shared" si="265"/>
        <v>10889.636755601023</v>
      </c>
      <c r="P450" s="25">
        <f t="shared" si="266"/>
        <v>30050.93324439897</v>
      </c>
      <c r="Q450" s="25">
        <f t="array" aca="1" ref="Q450" ca="1">INDEX('Isaac 401k'!L:L,MATCH('Retirement Calculator'!A450,'Isaac 401k'!N:N,0),0)</f>
        <v>-963004.45356704167</v>
      </c>
      <c r="R450" s="25">
        <f t="array" aca="1" ref="R450" ca="1">INDEX('Lorri 401b'!L:L,MATCH('Retirement Calculator'!A450,'Lorri 401b'!N:N,0),0)</f>
        <v>-91874.297958995565</v>
      </c>
      <c r="S450" s="25">
        <f t="shared" ca="1" si="267"/>
        <v>-1054878.7515260372</v>
      </c>
    </row>
    <row r="451" spans="1:19" ht="15.75" customHeight="1" x14ac:dyDescent="0.25">
      <c r="A451" s="37">
        <v>64682</v>
      </c>
      <c r="B451" s="398">
        <f t="shared" ref="B451:C451" si="452">($A451-B$9)/365.25</f>
        <v>95.21149897330595</v>
      </c>
      <c r="C451" s="398">
        <f t="shared" si="452"/>
        <v>90.600958247775495</v>
      </c>
      <c r="E451" s="25">
        <f>IF(C451&gt;$B$7,0,'Combined Retirement'!$D$13/12)</f>
        <v>0</v>
      </c>
      <c r="F451" s="25">
        <f>IF(H451=0,'Combined Retirement'!$D$32,0)+'Combined Retirement'!$B$24</f>
        <v>2870.372285649099</v>
      </c>
      <c r="G451" s="25">
        <f>'Combined Retirement'!$C$24</f>
        <v>3254.2644699519233</v>
      </c>
      <c r="H451" s="25">
        <f>IF(B451&lt;62,0,'Combined Retirement'!$I$14)</f>
        <v>2345</v>
      </c>
      <c r="I451" s="25">
        <f>IF(C451&lt;62,0,'Combined Retirement'!$I$13)</f>
        <v>2420</v>
      </c>
      <c r="J451" s="25">
        <f t="shared" si="263"/>
        <v>8395.6297298201844</v>
      </c>
      <c r="K451" s="25">
        <f t="shared" si="264"/>
        <v>21655.303514578787</v>
      </c>
      <c r="L451" s="25"/>
      <c r="N451" s="25">
        <f>'Combined Retirement'!$C$18/12</f>
        <v>40940.569999999992</v>
      </c>
      <c r="O451" s="25">
        <f t="shared" si="265"/>
        <v>10889.636755601023</v>
      </c>
      <c r="P451" s="25">
        <f t="shared" si="266"/>
        <v>30050.93324439897</v>
      </c>
      <c r="Q451" s="25">
        <f t="array" aca="1" ref="Q451" ca="1">INDEX('Isaac 401k'!L:L,MATCH('Retirement Calculator'!A451,'Isaac 401k'!N:N,0),0)</f>
        <v>-975447.58364393213</v>
      </c>
      <c r="R451" s="25">
        <f t="array" aca="1" ref="R451" ca="1">INDEX('Lorri 401b'!L:L,MATCH('Retirement Calculator'!A451,'Lorri 401b'!N:N,0),0)</f>
        <v>-114002.64147971425</v>
      </c>
      <c r="S451" s="25">
        <f t="shared" ca="1" si="267"/>
        <v>-1089450.2251236464</v>
      </c>
    </row>
    <row r="452" spans="1:19" ht="15.75" customHeight="1" x14ac:dyDescent="0.25">
      <c r="A452" s="37">
        <v>64710</v>
      </c>
      <c r="B452" s="398">
        <f t="shared" ref="B452:C452" si="453">($A452-B$9)/365.25</f>
        <v>95.288158795345652</v>
      </c>
      <c r="C452" s="398">
        <f t="shared" si="453"/>
        <v>90.677618069815196</v>
      </c>
      <c r="E452" s="25">
        <f>IF(C452&gt;$B$7,0,'Combined Retirement'!$D$13/12)</f>
        <v>0</v>
      </c>
      <c r="F452" s="25">
        <f>IF(H452=0,'Combined Retirement'!$D$32,0)+'Combined Retirement'!$B$24</f>
        <v>2870.372285649099</v>
      </c>
      <c r="G452" s="25">
        <f>'Combined Retirement'!$C$24</f>
        <v>3254.2644699519233</v>
      </c>
      <c r="H452" s="25">
        <f>IF(B452&lt;62,0,'Combined Retirement'!$I$14)</f>
        <v>2345</v>
      </c>
      <c r="I452" s="25">
        <f>IF(C452&lt;62,0,'Combined Retirement'!$I$13)</f>
        <v>2420</v>
      </c>
      <c r="J452" s="25">
        <f t="shared" si="263"/>
        <v>8395.6297298201844</v>
      </c>
      <c r="K452" s="25">
        <f t="shared" si="264"/>
        <v>21655.303514578787</v>
      </c>
      <c r="L452" s="25"/>
      <c r="N452" s="25">
        <f>'Combined Retirement'!$C$18/12</f>
        <v>40940.569999999992</v>
      </c>
      <c r="O452" s="25">
        <f t="shared" si="265"/>
        <v>10889.636755601023</v>
      </c>
      <c r="P452" s="25">
        <f t="shared" si="266"/>
        <v>30050.93324439897</v>
      </c>
      <c r="Q452" s="25">
        <f t="array" aca="1" ref="Q452" ca="1">INDEX('Isaac 401k'!L:L,MATCH('Retirement Calculator'!A452,'Isaac 401k'!N:N,0),0)</f>
        <v>-987942.56009614293</v>
      </c>
      <c r="R452" s="25">
        <f t="array" aca="1" ref="R452" ca="1">INDEX('Lorri 401b'!L:L,MATCH('Retirement Calculator'!A452,'Lorri 401b'!N:N,0),0)</f>
        <v>-136223.18643176925</v>
      </c>
      <c r="S452" s="25">
        <f t="shared" ca="1" si="267"/>
        <v>-1124165.7465279121</v>
      </c>
    </row>
    <row r="453" spans="1:19" ht="15.75" customHeight="1" x14ac:dyDescent="0.25">
      <c r="A453" s="37">
        <v>64741</v>
      </c>
      <c r="B453" s="398">
        <f t="shared" ref="B453:C453" si="454">($A453-B$9)/365.25</f>
        <v>95.37303216974675</v>
      </c>
      <c r="C453" s="398">
        <f t="shared" si="454"/>
        <v>90.762491444216295</v>
      </c>
      <c r="E453" s="25">
        <f>IF(C453&gt;$B$7,0,'Combined Retirement'!$D$13/12)</f>
        <v>0</v>
      </c>
      <c r="F453" s="25">
        <f>IF(H453=0,'Combined Retirement'!$D$32,0)+'Combined Retirement'!$B$24</f>
        <v>2870.372285649099</v>
      </c>
      <c r="G453" s="25">
        <f>'Combined Retirement'!$C$24</f>
        <v>3254.2644699519233</v>
      </c>
      <c r="H453" s="25">
        <f>IF(B453&lt;62,0,'Combined Retirement'!$I$14)</f>
        <v>2345</v>
      </c>
      <c r="I453" s="25">
        <f>IF(C453&lt;62,0,'Combined Retirement'!$I$13)</f>
        <v>2420</v>
      </c>
      <c r="J453" s="25">
        <f t="shared" si="263"/>
        <v>8395.6297298201844</v>
      </c>
      <c r="K453" s="25">
        <f t="shared" si="264"/>
        <v>21655.303514578787</v>
      </c>
      <c r="L453" s="25"/>
      <c r="N453" s="25">
        <f>'Combined Retirement'!$C$18/12</f>
        <v>40940.569999999992</v>
      </c>
      <c r="O453" s="25">
        <f t="shared" si="265"/>
        <v>10889.636755601023</v>
      </c>
      <c r="P453" s="25">
        <f t="shared" si="266"/>
        <v>30050.93324439897</v>
      </c>
      <c r="Q453" s="25">
        <f t="array" aca="1" ref="Q453" ca="1">INDEX('Isaac 401k'!L:L,MATCH('Retirement Calculator'!A453,'Isaac 401k'!N:N,0),0)</f>
        <v>-1000489.598950238</v>
      </c>
      <c r="R453" s="25">
        <f t="array" aca="1" ref="R453" ca="1">INDEX('Lorri 401b'!L:L,MATCH('Retirement Calculator'!A453,'Lorri 401b'!N:N,0),0)</f>
        <v>-158536.31698779116</v>
      </c>
      <c r="S453" s="25">
        <f t="shared" ca="1" si="267"/>
        <v>-1159025.9159380291</v>
      </c>
    </row>
    <row r="454" spans="1:19" ht="15.75" customHeight="1" x14ac:dyDescent="0.25">
      <c r="A454" s="37">
        <v>64771</v>
      </c>
      <c r="B454" s="398">
        <f t="shared" ref="B454:C454" si="455">($A454-B$9)/365.25</f>
        <v>95.455167693360707</v>
      </c>
      <c r="C454" s="398">
        <f t="shared" si="455"/>
        <v>90.844626967830251</v>
      </c>
      <c r="E454" s="25">
        <f>IF(C454&gt;$B$7,0,'Combined Retirement'!$D$13/12)</f>
        <v>0</v>
      </c>
      <c r="F454" s="25">
        <f>IF(H454=0,'Combined Retirement'!$D$32,0)+'Combined Retirement'!$B$24</f>
        <v>2870.372285649099</v>
      </c>
      <c r="G454" s="25">
        <f>'Combined Retirement'!$C$24</f>
        <v>3254.2644699519233</v>
      </c>
      <c r="H454" s="25">
        <f>IF(B454&lt;62,0,'Combined Retirement'!$I$14)</f>
        <v>2345</v>
      </c>
      <c r="I454" s="25">
        <f>IF(C454&lt;62,0,'Combined Retirement'!$I$13)</f>
        <v>2420</v>
      </c>
      <c r="J454" s="25">
        <f t="shared" si="263"/>
        <v>8395.6297298201844</v>
      </c>
      <c r="K454" s="25">
        <f t="shared" si="264"/>
        <v>21655.303514578787</v>
      </c>
      <c r="L454" s="25"/>
      <c r="N454" s="25">
        <f>'Combined Retirement'!$C$18/12</f>
        <v>40940.569999999992</v>
      </c>
      <c r="O454" s="25">
        <f t="shared" si="265"/>
        <v>10889.636755601023</v>
      </c>
      <c r="P454" s="25">
        <f t="shared" si="266"/>
        <v>30050.93324439897</v>
      </c>
      <c r="Q454" s="25">
        <f t="array" aca="1" ref="Q454" ca="1">INDEX('Isaac 401k'!L:L,MATCH('Retirement Calculator'!A454,'Isaac 401k'!N:N,0),0)</f>
        <v>-1013088.9171328917</v>
      </c>
      <c r="R454" s="25">
        <f t="array" aca="1" ref="R454" ca="1">INDEX('Lorri 401b'!L:L,MATCH('Retirement Calculator'!A454,'Lorri 401b'!N:N,0),0)</f>
        <v>-180942.41892112981</v>
      </c>
      <c r="S454" s="25">
        <f t="shared" ca="1" si="267"/>
        <v>-1194031.3360540215</v>
      </c>
    </row>
    <row r="455" spans="1:19" ht="15.75" customHeight="1" x14ac:dyDescent="0.25">
      <c r="A455" s="37">
        <v>64802</v>
      </c>
      <c r="B455" s="398">
        <f t="shared" ref="B455:C455" si="456">($A455-B$9)/365.25</f>
        <v>95.540041067761805</v>
      </c>
      <c r="C455" s="398">
        <f t="shared" si="456"/>
        <v>90.92950034223135</v>
      </c>
      <c r="E455" s="25">
        <f>IF(C455&gt;$B$7,0,'Combined Retirement'!$D$13/12)</f>
        <v>0</v>
      </c>
      <c r="F455" s="25">
        <f>IF(H455=0,'Combined Retirement'!$D$32,0)+'Combined Retirement'!$B$24</f>
        <v>2870.372285649099</v>
      </c>
      <c r="G455" s="25">
        <f>'Combined Retirement'!$C$24</f>
        <v>3254.2644699519233</v>
      </c>
      <c r="H455" s="25">
        <f>IF(B455&lt;62,0,'Combined Retirement'!$I$14)</f>
        <v>2345</v>
      </c>
      <c r="I455" s="25">
        <f>IF(C455&lt;62,0,'Combined Retirement'!$I$13)</f>
        <v>2420</v>
      </c>
      <c r="J455" s="25">
        <f t="shared" si="263"/>
        <v>8395.6297298201844</v>
      </c>
      <c r="K455" s="25">
        <f t="shared" si="264"/>
        <v>21655.303514578787</v>
      </c>
      <c r="L455" s="25"/>
      <c r="N455" s="25">
        <f>'Combined Retirement'!$C$18/12</f>
        <v>40940.569999999992</v>
      </c>
      <c r="O455" s="25">
        <f t="shared" si="265"/>
        <v>10889.636755601023</v>
      </c>
      <c r="P455" s="25">
        <f t="shared" si="266"/>
        <v>30050.93324439897</v>
      </c>
      <c r="Q455" s="25">
        <f t="array" aca="1" ref="Q455" ca="1">INDEX('Isaac 401k'!L:L,MATCH('Retirement Calculator'!A455,'Isaac 401k'!N:N,0),0)</f>
        <v>-1025740.7324746399</v>
      </c>
      <c r="R455" s="25">
        <f t="array" aca="1" ref="R455" ca="1">INDEX('Lorri 401b'!L:L,MATCH('Retirement Calculator'!A455,'Lorri 401b'!N:N,0),0)</f>
        <v>-203441.87961252403</v>
      </c>
      <c r="S455" s="25">
        <f t="shared" ca="1" si="267"/>
        <v>-1229182.6120871638</v>
      </c>
    </row>
    <row r="456" spans="1:19" ht="15.75" customHeight="1" x14ac:dyDescent="0.25">
      <c r="A456" s="37">
        <v>64832</v>
      </c>
      <c r="B456" s="398">
        <f t="shared" ref="B456:C456" si="457">($A456-B$9)/365.25</f>
        <v>95.622176591375776</v>
      </c>
      <c r="C456" s="398">
        <f t="shared" si="457"/>
        <v>91.011635865845307</v>
      </c>
      <c r="E456" s="25">
        <f>IF(C456&gt;$B$7,0,'Combined Retirement'!$D$13/12)</f>
        <v>0</v>
      </c>
      <c r="F456" s="25">
        <f>IF(H456=0,'Combined Retirement'!$D$32,0)+'Combined Retirement'!$B$24</f>
        <v>2870.372285649099</v>
      </c>
      <c r="G456" s="25">
        <f>'Combined Retirement'!$C$24</f>
        <v>3254.2644699519233</v>
      </c>
      <c r="H456" s="25">
        <f>IF(B456&lt;62,0,'Combined Retirement'!$I$14)</f>
        <v>2345</v>
      </c>
      <c r="I456" s="25">
        <f>IF(C456&lt;62,0,'Combined Retirement'!$I$13)</f>
        <v>2420</v>
      </c>
      <c r="J456" s="25">
        <f t="shared" si="263"/>
        <v>8395.6297298201844</v>
      </c>
      <c r="K456" s="25">
        <f t="shared" si="264"/>
        <v>21655.303514578787</v>
      </c>
      <c r="L456" s="25"/>
      <c r="N456" s="25">
        <f>'Combined Retirement'!$C$18/12</f>
        <v>40940.569999999992</v>
      </c>
      <c r="O456" s="25">
        <f t="shared" si="265"/>
        <v>10889.636755601023</v>
      </c>
      <c r="P456" s="25">
        <f t="shared" si="266"/>
        <v>30050.93324439897</v>
      </c>
      <c r="Q456" s="25">
        <f t="array" aca="1" ref="Q456" ca="1">INDEX('Isaac 401k'!L:L,MATCH('Retirement Calculator'!A456,'Isaac 401k'!N:N,0),0)</f>
        <v>-1038445.2637136453</v>
      </c>
      <c r="R456" s="25">
        <f t="array" aca="1" ref="R456" ca="1">INDEX('Lorri 401b'!L:L,MATCH('Retirement Calculator'!A456,'Lorri 401b'!N:N,0),0)</f>
        <v>-226035.08805679908</v>
      </c>
      <c r="S456" s="25">
        <f t="shared" ca="1" si="267"/>
        <v>-1264480.3517704443</v>
      </c>
    </row>
    <row r="457" spans="1:19" ht="15.75" customHeight="1" x14ac:dyDescent="0.25">
      <c r="A457" s="37">
        <v>64863</v>
      </c>
      <c r="B457" s="398">
        <f t="shared" ref="B457:C457" si="458">($A457-B$9)/365.25</f>
        <v>95.707049965776861</v>
      </c>
      <c r="C457" s="398">
        <f t="shared" si="458"/>
        <v>91.096509240246405</v>
      </c>
      <c r="E457" s="25">
        <f>IF(C457&gt;$B$7,0,'Combined Retirement'!$D$13/12)</f>
        <v>0</v>
      </c>
      <c r="F457" s="25">
        <f>IF(H457=0,'Combined Retirement'!$D$32,0)+'Combined Retirement'!$B$24</f>
        <v>2870.372285649099</v>
      </c>
      <c r="G457" s="25">
        <f>'Combined Retirement'!$C$24</f>
        <v>3254.2644699519233</v>
      </c>
      <c r="H457" s="25">
        <f>IF(B457&lt;62,0,'Combined Retirement'!$I$14)</f>
        <v>2345</v>
      </c>
      <c r="I457" s="25">
        <f>IF(C457&lt;62,0,'Combined Retirement'!$I$13)</f>
        <v>2420</v>
      </c>
      <c r="J457" s="25">
        <f t="shared" si="263"/>
        <v>8395.6297298201844</v>
      </c>
      <c r="K457" s="25">
        <f t="shared" si="264"/>
        <v>21655.303514578787</v>
      </c>
      <c r="L457" s="25"/>
      <c r="N457" s="25">
        <f>'Combined Retirement'!$C$18/12</f>
        <v>40940.569999999992</v>
      </c>
      <c r="O457" s="25">
        <f t="shared" si="265"/>
        <v>10889.636755601023</v>
      </c>
      <c r="P457" s="25">
        <f t="shared" si="266"/>
        <v>30050.93324439897</v>
      </c>
      <c r="Q457" s="25">
        <f t="array" aca="1" ref="Q457" ca="1">INDEX('Isaac 401k'!L:L,MATCH('Retirement Calculator'!A457,'Isaac 401k'!N:N,0),0)</f>
        <v>-1051202.7304994799</v>
      </c>
      <c r="R457" s="25">
        <f t="array" aca="1" ref="R457" ca="1">INDEX('Lorri 401b'!L:L,MATCH('Retirement Calculator'!A457,'Lorri 401b'!N:N,0),0)</f>
        <v>-248722.43486959193</v>
      </c>
      <c r="S457" s="25">
        <f t="shared" ca="1" si="267"/>
        <v>-1299925.1653690718</v>
      </c>
    </row>
    <row r="458" spans="1:19" ht="15.75" customHeight="1" x14ac:dyDescent="0.25">
      <c r="A458" s="37">
        <v>64894</v>
      </c>
      <c r="B458" s="398">
        <f t="shared" ref="B458:C458" si="459">($A458-B$9)/365.25</f>
        <v>95.791923340177959</v>
      </c>
      <c r="C458" s="398">
        <f t="shared" si="459"/>
        <v>91.181382614647504</v>
      </c>
      <c r="E458" s="25">
        <f>IF(C458&gt;$B$7,0,'Combined Retirement'!$D$13/12)</f>
        <v>0</v>
      </c>
      <c r="F458" s="25">
        <f>IF(H458=0,'Combined Retirement'!$D$32,0)+'Combined Retirement'!$B$24</f>
        <v>2870.372285649099</v>
      </c>
      <c r="G458" s="25">
        <f>'Combined Retirement'!$C$24</f>
        <v>3254.2644699519233</v>
      </c>
      <c r="H458" s="25">
        <f>IF(B458&lt;62,0,'Combined Retirement'!$I$14)</f>
        <v>2345</v>
      </c>
      <c r="I458" s="25">
        <f>IF(C458&lt;62,0,'Combined Retirement'!$I$13)</f>
        <v>2420</v>
      </c>
      <c r="J458" s="25">
        <f t="shared" si="263"/>
        <v>8395.6297298201844</v>
      </c>
      <c r="K458" s="25">
        <f t="shared" si="264"/>
        <v>21655.303514578787</v>
      </c>
      <c r="L458" s="25"/>
      <c r="N458" s="25">
        <f>'Combined Retirement'!$C$18/12</f>
        <v>40940.569999999992</v>
      </c>
      <c r="O458" s="25">
        <f t="shared" si="265"/>
        <v>10889.636755601023</v>
      </c>
      <c r="P458" s="25">
        <f t="shared" si="266"/>
        <v>30050.93324439897</v>
      </c>
      <c r="Q458" s="25">
        <f t="array" aca="1" ref="Q458" ca="1">INDEX('Isaac 401k'!L:L,MATCH('Retirement Calculator'!A458,'Isaac 401k'!N:N,0),0)</f>
        <v>-1064013.3533969221</v>
      </c>
      <c r="R458" s="25">
        <f t="array" aca="1" ref="R458" ca="1">INDEX('Lorri 401b'!L:L,MATCH('Retirement Calculator'!A458,'Lorri 401b'!N:N,0),0)</f>
        <v>-271504.31229410472</v>
      </c>
      <c r="S458" s="25">
        <f t="shared" ca="1" si="267"/>
        <v>-1335517.665691027</v>
      </c>
    </row>
    <row r="459" spans="1:19" ht="15.75" customHeight="1" x14ac:dyDescent="0.25">
      <c r="A459" s="37">
        <v>64924</v>
      </c>
      <c r="B459" s="398">
        <f t="shared" ref="B459:C459" si="460">($A459-B$9)/365.25</f>
        <v>95.87405886379193</v>
      </c>
      <c r="C459" s="398">
        <f t="shared" si="460"/>
        <v>91.26351813826146</v>
      </c>
      <c r="E459" s="25">
        <f>IF(C459&gt;$B$7,0,'Combined Retirement'!$D$13/12)</f>
        <v>0</v>
      </c>
      <c r="F459" s="25">
        <f>IF(H459=0,'Combined Retirement'!$D$32,0)+'Combined Retirement'!$B$24</f>
        <v>2870.372285649099</v>
      </c>
      <c r="G459" s="25">
        <f>'Combined Retirement'!$C$24</f>
        <v>3254.2644699519233</v>
      </c>
      <c r="H459" s="25">
        <f>IF(B459&lt;62,0,'Combined Retirement'!$I$14)</f>
        <v>2345</v>
      </c>
      <c r="I459" s="25">
        <f>IF(C459&lt;62,0,'Combined Retirement'!$I$13)</f>
        <v>2420</v>
      </c>
      <c r="J459" s="25">
        <f t="shared" si="263"/>
        <v>8395.6297298201844</v>
      </c>
      <c r="K459" s="25">
        <f t="shared" si="264"/>
        <v>21655.303514578787</v>
      </c>
      <c r="L459" s="25"/>
      <c r="N459" s="25">
        <f>'Combined Retirement'!$C$18/12</f>
        <v>40940.569999999992</v>
      </c>
      <c r="O459" s="25">
        <f t="shared" si="265"/>
        <v>10889.636755601023</v>
      </c>
      <c r="P459" s="25">
        <f t="shared" si="266"/>
        <v>30050.93324439897</v>
      </c>
      <c r="Q459" s="25">
        <f t="array" aca="1" ref="Q459" ca="1">INDEX('Isaac 401k'!L:L,MATCH('Retirement Calculator'!A459,'Isaac 401k'!N:N,0),0)</f>
        <v>-1076877.3538897703</v>
      </c>
      <c r="R459" s="25">
        <f t="array" aca="1" ref="R459" ca="1">INDEX('Lorri 401b'!L:L,MATCH('Retirement Calculator'!A459,'Lorri 401b'!N:N,0),0)</f>
        <v>-294381.11420788633</v>
      </c>
      <c r="S459" s="25">
        <f t="shared" ca="1" si="267"/>
        <v>-1371258.4680976567</v>
      </c>
    </row>
    <row r="460" spans="1:19" ht="15.75" customHeight="1" x14ac:dyDescent="0.25">
      <c r="A460" s="37">
        <v>64955</v>
      </c>
      <c r="B460" s="398">
        <f t="shared" ref="B460:C460" si="461">($A460-B$9)/365.25</f>
        <v>95.958932238193015</v>
      </c>
      <c r="C460" s="398">
        <f t="shared" si="461"/>
        <v>91.348391512662559</v>
      </c>
      <c r="E460" s="25">
        <f>IF(C460&gt;$B$7,0,'Combined Retirement'!$D$13/12)</f>
        <v>0</v>
      </c>
      <c r="F460" s="25">
        <f>IF(H460=0,'Combined Retirement'!$D$32,0)+'Combined Retirement'!$B$24</f>
        <v>2870.372285649099</v>
      </c>
      <c r="G460" s="25">
        <f>'Combined Retirement'!$C$24</f>
        <v>3254.2644699519233</v>
      </c>
      <c r="H460" s="25">
        <f>IF(B460&lt;62,0,'Combined Retirement'!$I$14)</f>
        <v>2345</v>
      </c>
      <c r="I460" s="25">
        <f>IF(C460&lt;62,0,'Combined Retirement'!$I$13)</f>
        <v>2420</v>
      </c>
      <c r="J460" s="25">
        <f t="shared" si="263"/>
        <v>8395.6297298201844</v>
      </c>
      <c r="K460" s="25">
        <f t="shared" si="264"/>
        <v>21655.303514578787</v>
      </c>
      <c r="L460" s="25"/>
      <c r="N460" s="25">
        <f>'Combined Retirement'!$C$18/12</f>
        <v>40940.569999999992</v>
      </c>
      <c r="O460" s="25">
        <f t="shared" si="265"/>
        <v>10889.636755601023</v>
      </c>
      <c r="P460" s="25">
        <f t="shared" si="266"/>
        <v>30050.93324439897</v>
      </c>
      <c r="Q460" s="25">
        <f t="array" aca="1" ref="Q460" ca="1">INDEX('Isaac 401k'!L:L,MATCH('Retirement Calculator'!A460,'Isaac 401k'!N:N,0),0)</f>
        <v>-1089794.9543846722</v>
      </c>
      <c r="R460" s="25">
        <f t="array" aca="1" ref="R460" ca="1">INDEX('Lorri 401b'!L:L,MATCH('Retirement Calculator'!A460,'Lorri 401b'!N:N,0),0)</f>
        <v>-317353.23612964206</v>
      </c>
      <c r="S460" s="25">
        <f t="shared" ca="1" si="267"/>
        <v>-1407148.1905143142</v>
      </c>
    </row>
    <row r="461" spans="1:19" ht="15.75" customHeight="1" x14ac:dyDescent="0.25">
      <c r="A461" s="37">
        <v>64985</v>
      </c>
      <c r="B461" s="398">
        <f t="shared" ref="B461:C461" si="462">($A461-B$9)/365.25</f>
        <v>96.041067761806985</v>
      </c>
      <c r="C461" s="398">
        <f t="shared" si="462"/>
        <v>91.43052703627653</v>
      </c>
      <c r="E461" s="25">
        <f>IF(C461&gt;$B$7,0,'Combined Retirement'!$D$13/12)</f>
        <v>0</v>
      </c>
      <c r="F461" s="25">
        <f>IF(H461=0,'Combined Retirement'!$D$32,0)+'Combined Retirement'!$B$24</f>
        <v>2870.372285649099</v>
      </c>
      <c r="G461" s="25">
        <f>'Combined Retirement'!$C$24</f>
        <v>3254.2644699519233</v>
      </c>
      <c r="H461" s="25">
        <f>IF(B461&lt;62,0,'Combined Retirement'!$I$14)</f>
        <v>2345</v>
      </c>
      <c r="I461" s="25">
        <f>IF(C461&lt;62,0,'Combined Retirement'!$I$13)</f>
        <v>2420</v>
      </c>
      <c r="J461" s="25">
        <f t="shared" si="263"/>
        <v>8395.6297298201844</v>
      </c>
      <c r="K461" s="25">
        <f t="shared" si="264"/>
        <v>21655.303514578787</v>
      </c>
      <c r="L461" s="25"/>
      <c r="N461" s="25">
        <f>'Combined Retirement'!$C$18/12</f>
        <v>40940.569999999992</v>
      </c>
      <c r="O461" s="25">
        <f t="shared" si="265"/>
        <v>10889.636755601023</v>
      </c>
      <c r="P461" s="25">
        <f t="shared" si="266"/>
        <v>30050.93324439897</v>
      </c>
      <c r="Q461" s="25">
        <f t="array" aca="1" ref="Q461" ca="1">INDEX('Isaac 401k'!L:L,MATCH('Retirement Calculator'!A461,'Isaac 401k'!N:N,0),0)</f>
        <v>-1102766.3782149695</v>
      </c>
      <c r="R461" s="25">
        <f t="array" aca="1" ref="R461" ca="1">INDEX('Lorri 401b'!L:L,MATCH('Retirement Calculator'!A461,'Lorri 401b'!N:N,0),0)</f>
        <v>-340421.07522607176</v>
      </c>
      <c r="S461" s="25">
        <f t="shared" ca="1" si="267"/>
        <v>-1443187.4534410413</v>
      </c>
    </row>
    <row r="462" spans="1:19" ht="15.75" customHeight="1" x14ac:dyDescent="0.25">
      <c r="A462" s="37">
        <v>65016</v>
      </c>
      <c r="B462" s="398">
        <f t="shared" ref="B462:C462" si="463">($A462-B$9)/365.25</f>
        <v>96.12594113620807</v>
      </c>
      <c r="C462" s="398">
        <f t="shared" si="463"/>
        <v>91.515400410677614</v>
      </c>
      <c r="E462" s="25">
        <f>IF(C462&gt;$B$7,0,'Combined Retirement'!$D$13/12)</f>
        <v>0</v>
      </c>
      <c r="F462" s="25">
        <f>IF(H462=0,'Combined Retirement'!$D$32,0)+'Combined Retirement'!$B$24</f>
        <v>2870.372285649099</v>
      </c>
      <c r="G462" s="25">
        <f>'Combined Retirement'!$C$24</f>
        <v>3254.2644699519233</v>
      </c>
      <c r="H462" s="25">
        <f>IF(B462&lt;62,0,'Combined Retirement'!$I$14)</f>
        <v>2345</v>
      </c>
      <c r="I462" s="25">
        <f>IF(C462&lt;62,0,'Combined Retirement'!$I$13)</f>
        <v>2420</v>
      </c>
      <c r="J462" s="25">
        <f t="shared" si="263"/>
        <v>8395.6297298201844</v>
      </c>
      <c r="K462" s="25">
        <f t="shared" si="264"/>
        <v>21655.303514578787</v>
      </c>
      <c r="L462" s="25"/>
      <c r="N462" s="25">
        <f>'Combined Retirement'!$C$18/12</f>
        <v>40940.569999999992</v>
      </c>
      <c r="O462" s="25">
        <f t="shared" si="265"/>
        <v>10889.636755601023</v>
      </c>
      <c r="P462" s="25">
        <f t="shared" si="266"/>
        <v>30050.93324439897</v>
      </c>
      <c r="Q462" s="25">
        <f t="array" aca="1" ref="Q462" ca="1">INDEX('Isaac 401k'!L:L,MATCH('Retirement Calculator'!A462,'Isaac 401k'!N:N,0),0)</f>
        <v>-1115791.8496445597</v>
      </c>
      <c r="R462" s="25">
        <f t="array" aca="1" ref="R462" ca="1">INDEX('Lorri 401b'!L:L,MATCH('Retirement Calculator'!A462,'Lorri 401b'!N:N,0),0)</f>
        <v>-363585.03031873656</v>
      </c>
      <c r="S462" s="25">
        <f t="shared" ca="1" si="267"/>
        <v>-1479376.8799632962</v>
      </c>
    </row>
    <row r="463" spans="1:19" ht="15.75" customHeight="1" x14ac:dyDescent="0.25">
      <c r="A463" s="37">
        <v>65047</v>
      </c>
      <c r="B463" s="398">
        <f t="shared" ref="B463:C463" si="464">($A463-B$9)/365.25</f>
        <v>96.210814510609168</v>
      </c>
      <c r="C463" s="398">
        <f t="shared" si="464"/>
        <v>91.600273785078713</v>
      </c>
      <c r="E463" s="25">
        <f>IF(C463&gt;$B$7,0,'Combined Retirement'!$D$13/12)</f>
        <v>0</v>
      </c>
      <c r="F463" s="25">
        <f>IF(H463=0,'Combined Retirement'!$D$32,0)+'Combined Retirement'!$B$24</f>
        <v>2870.372285649099</v>
      </c>
      <c r="G463" s="25">
        <f>'Combined Retirement'!$C$24</f>
        <v>3254.2644699519233</v>
      </c>
      <c r="H463" s="25">
        <f>IF(B463&lt;62,0,'Combined Retirement'!$I$14)</f>
        <v>2345</v>
      </c>
      <c r="I463" s="25">
        <f>IF(C463&lt;62,0,'Combined Retirement'!$I$13)</f>
        <v>2420</v>
      </c>
      <c r="J463" s="25">
        <f t="shared" si="263"/>
        <v>8395.6297298201844</v>
      </c>
      <c r="K463" s="25">
        <f t="shared" si="264"/>
        <v>21655.303514578787</v>
      </c>
      <c r="L463" s="25"/>
      <c r="N463" s="25">
        <f>'Combined Retirement'!$C$18/12</f>
        <v>40940.569999999992</v>
      </c>
      <c r="O463" s="25">
        <f t="shared" si="265"/>
        <v>10889.636755601023</v>
      </c>
      <c r="P463" s="25">
        <f t="shared" si="266"/>
        <v>30050.93324439897</v>
      </c>
      <c r="Q463" s="25">
        <f t="array" aca="1" ref="Q463" ca="1">INDEX('Isaac 401k'!L:L,MATCH('Retirement Calculator'!A463,'Isaac 401k'!N:N,0),0)</f>
        <v>-1128871.593871773</v>
      </c>
      <c r="R463" s="25">
        <f t="array" aca="1" ref="R463" ca="1">INDEX('Lorri 401b'!L:L,MATCH('Retirement Calculator'!A463,'Lorri 401b'!N:N,0),0)</f>
        <v>-386845.50189095415</v>
      </c>
      <c r="S463" s="25">
        <f t="shared" ca="1" si="267"/>
        <v>-1515717.0957627271</v>
      </c>
    </row>
    <row r="464" spans="1:19" ht="15.75" customHeight="1" x14ac:dyDescent="0.25">
      <c r="A464" s="37">
        <v>65075</v>
      </c>
      <c r="B464" s="398">
        <f t="shared" ref="B464:C464" si="465">($A464-B$9)/365.25</f>
        <v>96.28747433264887</v>
      </c>
      <c r="C464" s="398">
        <f t="shared" si="465"/>
        <v>91.676933607118414</v>
      </c>
      <c r="E464" s="25">
        <f>IF(C464&gt;$B$7,0,'Combined Retirement'!$D$13/12)</f>
        <v>0</v>
      </c>
      <c r="F464" s="25">
        <f>IF(H464=0,'Combined Retirement'!$D$32,0)+'Combined Retirement'!$B$24</f>
        <v>2870.372285649099</v>
      </c>
      <c r="G464" s="25">
        <f>'Combined Retirement'!$C$24</f>
        <v>3254.2644699519233</v>
      </c>
      <c r="H464" s="25">
        <f>IF(B464&lt;62,0,'Combined Retirement'!$I$14)</f>
        <v>2345</v>
      </c>
      <c r="I464" s="25">
        <f>IF(C464&lt;62,0,'Combined Retirement'!$I$13)</f>
        <v>2420</v>
      </c>
      <c r="J464" s="25">
        <f t="shared" si="263"/>
        <v>8395.6297298201844</v>
      </c>
      <c r="K464" s="25">
        <f t="shared" si="264"/>
        <v>21655.303514578787</v>
      </c>
      <c r="L464" s="25"/>
      <c r="N464" s="25">
        <f>'Combined Retirement'!$C$18/12</f>
        <v>40940.569999999992</v>
      </c>
      <c r="O464" s="25">
        <f t="shared" si="265"/>
        <v>10889.636755601023</v>
      </c>
      <c r="P464" s="25">
        <f t="shared" si="266"/>
        <v>30050.93324439897</v>
      </c>
      <c r="Q464" s="25">
        <f t="array" aca="1" ref="Q464" ca="1">INDEX('Isaac 401k'!L:L,MATCH('Retirement Calculator'!A464,'Isaac 401k'!N:N,0),0)</f>
        <v>-1142005.8370332664</v>
      </c>
      <c r="R464" s="25">
        <f t="array" aca="1" ref="R464" ca="1">INDEX('Lorri 401b'!L:L,MATCH('Retirement Calculator'!A464,'Lorri 401b'!N:N,0),0)</f>
        <v>-410202.89209472266</v>
      </c>
      <c r="S464" s="25">
        <f t="shared" ca="1" si="267"/>
        <v>-1552208.7291279892</v>
      </c>
    </row>
    <row r="465" spans="1:19" ht="15.75" customHeight="1" x14ac:dyDescent="0.25">
      <c r="A465" s="37">
        <v>65106</v>
      </c>
      <c r="B465" s="398">
        <f t="shared" ref="B465:C465" si="466">($A465-B$9)/365.25</f>
        <v>96.372347707049968</v>
      </c>
      <c r="C465" s="398">
        <f t="shared" si="466"/>
        <v>91.761806981519513</v>
      </c>
      <c r="E465" s="25">
        <f>IF(C465&gt;$B$7,0,'Combined Retirement'!$D$13/12)</f>
        <v>0</v>
      </c>
      <c r="F465" s="25">
        <f>IF(H465=0,'Combined Retirement'!$D$32,0)+'Combined Retirement'!$B$24</f>
        <v>2870.372285649099</v>
      </c>
      <c r="G465" s="25">
        <f>'Combined Retirement'!$C$24</f>
        <v>3254.2644699519233</v>
      </c>
      <c r="H465" s="25">
        <f>IF(B465&lt;62,0,'Combined Retirement'!$I$14)</f>
        <v>2345</v>
      </c>
      <c r="I465" s="25">
        <f>IF(C465&lt;62,0,'Combined Retirement'!$I$13)</f>
        <v>2420</v>
      </c>
      <c r="J465" s="25">
        <f t="shared" si="263"/>
        <v>8395.6297298201844</v>
      </c>
      <c r="K465" s="25">
        <f t="shared" si="264"/>
        <v>21655.303514578787</v>
      </c>
      <c r="L465" s="25"/>
      <c r="N465" s="25">
        <f>'Combined Retirement'!$C$18/12</f>
        <v>40940.569999999992</v>
      </c>
      <c r="O465" s="25">
        <f t="shared" si="265"/>
        <v>10889.636755601023</v>
      </c>
      <c r="P465" s="25">
        <f t="shared" si="266"/>
        <v>30050.93324439897</v>
      </c>
      <c r="Q465" s="25">
        <f t="array" aca="1" ref="Q465" ca="1">INDEX('Isaac 401k'!L:L,MATCH('Retirement Calculator'!A465,'Isaac 401k'!N:N,0),0)</f>
        <v>-1155194.8062079328</v>
      </c>
      <c r="R465" s="25">
        <f t="array" aca="1" ref="R465" ca="1">INDEX('Lorri 401b'!L:L,MATCH('Retirement Calculator'!A465,'Lorri 401b'!N:N,0),0)</f>
        <v>-433657.60475767351</v>
      </c>
      <c r="S465" s="25">
        <f t="shared" ca="1" si="267"/>
        <v>-1588852.4109656063</v>
      </c>
    </row>
    <row r="466" spans="1:19" ht="15.75" customHeight="1" x14ac:dyDescent="0.25">
      <c r="A466" s="37">
        <v>65136</v>
      </c>
      <c r="B466" s="398">
        <f t="shared" ref="B466:C466" si="467">($A466-B$9)/365.25</f>
        <v>96.454483230663925</v>
      </c>
      <c r="C466" s="398">
        <f t="shared" si="467"/>
        <v>91.843942505133469</v>
      </c>
      <c r="E466" s="25">
        <f>IF(C466&gt;$B$7,0,'Combined Retirement'!$D$13/12)</f>
        <v>0</v>
      </c>
      <c r="F466" s="25">
        <f>IF(H466=0,'Combined Retirement'!$D$32,0)+'Combined Retirement'!$B$24</f>
        <v>2870.372285649099</v>
      </c>
      <c r="G466" s="25">
        <f>'Combined Retirement'!$C$24</f>
        <v>3254.2644699519233</v>
      </c>
      <c r="H466" s="25">
        <f>IF(B466&lt;62,0,'Combined Retirement'!$I$14)</f>
        <v>2345</v>
      </c>
      <c r="I466" s="25">
        <f>IF(C466&lt;62,0,'Combined Retirement'!$I$13)</f>
        <v>2420</v>
      </c>
      <c r="J466" s="25">
        <f t="shared" si="263"/>
        <v>8395.6297298201844</v>
      </c>
      <c r="K466" s="25">
        <f t="shared" si="264"/>
        <v>21655.303514578787</v>
      </c>
      <c r="L466" s="25"/>
      <c r="N466" s="25">
        <f>'Combined Retirement'!$C$18/12</f>
        <v>40940.569999999992</v>
      </c>
      <c r="O466" s="25">
        <f t="shared" si="265"/>
        <v>10889.636755601023</v>
      </c>
      <c r="P466" s="25">
        <f t="shared" si="266"/>
        <v>30050.93324439897</v>
      </c>
      <c r="Q466" s="25">
        <f t="array" aca="1" ref="Q466" ca="1">INDEX('Isaac 401k'!L:L,MATCH('Retirement Calculator'!A466,'Isaac 401k'!N:N,0),0)</f>
        <v>-1168438.729420827</v>
      </c>
      <c r="R466" s="25">
        <f t="array" aca="1" ref="R466" ca="1">INDEX('Lorri 401b'!L:L,MATCH('Retirement Calculator'!A466,'Lorri 401b'!N:N,0),0)</f>
        <v>-457210.04539005336</v>
      </c>
      <c r="S466" s="25">
        <f t="shared" ca="1" si="267"/>
        <v>-1625648.7748108804</v>
      </c>
    </row>
    <row r="467" spans="1:19" ht="15.75" customHeight="1" x14ac:dyDescent="0.25">
      <c r="A467" s="37">
        <v>65167</v>
      </c>
      <c r="B467" s="398">
        <f t="shared" ref="B467:C467" si="468">($A467-B$9)/365.25</f>
        <v>96.539356605065024</v>
      </c>
      <c r="C467" s="398">
        <f t="shared" si="468"/>
        <v>91.928815879534568</v>
      </c>
      <c r="E467" s="25">
        <f>IF(C467&gt;$B$7,0,'Combined Retirement'!$D$13/12)</f>
        <v>0</v>
      </c>
      <c r="F467" s="25">
        <f>IF(H467=0,'Combined Retirement'!$D$32,0)+'Combined Retirement'!$B$24</f>
        <v>2870.372285649099</v>
      </c>
      <c r="G467" s="25">
        <f>'Combined Retirement'!$C$24</f>
        <v>3254.2644699519233</v>
      </c>
      <c r="H467" s="25">
        <f>IF(B467&lt;62,0,'Combined Retirement'!$I$14)</f>
        <v>2345</v>
      </c>
      <c r="I467" s="25">
        <f>IF(C467&lt;62,0,'Combined Retirement'!$I$13)</f>
        <v>2420</v>
      </c>
      <c r="J467" s="25">
        <f t="shared" si="263"/>
        <v>8395.6297298201844</v>
      </c>
      <c r="K467" s="25">
        <f t="shared" si="264"/>
        <v>21655.303514578787</v>
      </c>
      <c r="L467" s="25"/>
      <c r="N467" s="25">
        <f>'Combined Retirement'!$C$18/12</f>
        <v>40940.569999999992</v>
      </c>
      <c r="O467" s="25">
        <f t="shared" si="265"/>
        <v>10889.636755601023</v>
      </c>
      <c r="P467" s="25">
        <f t="shared" si="266"/>
        <v>30050.93324439897</v>
      </c>
      <c r="Q467" s="25">
        <f t="array" aca="1" ref="Q467" ca="1">INDEX('Isaac 401k'!L:L,MATCH('Retirement Calculator'!A467,'Isaac 401k'!N:N,0),0)</f>
        <v>-1181737.8356471083</v>
      </c>
      <c r="R467" s="25">
        <f t="array" aca="1" ref="R467" ca="1">INDEX('Lorri 401b'!L:L,MATCH('Retirement Calculator'!A467,'Lorri 401b'!N:N,0),0)</f>
        <v>-480860.6211917348</v>
      </c>
      <c r="S467" s="25">
        <f t="shared" ca="1" si="267"/>
        <v>-1662598.4568388429</v>
      </c>
    </row>
    <row r="468" spans="1:19" ht="15.75" customHeight="1" x14ac:dyDescent="0.25">
      <c r="A468" s="37">
        <v>65197</v>
      </c>
      <c r="B468" s="398">
        <f t="shared" ref="B468:C468" si="469">($A468-B$9)/365.25</f>
        <v>96.62149212867898</v>
      </c>
      <c r="C468" s="398">
        <f t="shared" si="469"/>
        <v>92.010951403148525</v>
      </c>
      <c r="E468" s="25">
        <f>IF(C468&gt;$B$7,0,'Combined Retirement'!$D$13/12)</f>
        <v>0</v>
      </c>
      <c r="F468" s="25">
        <f>IF(H468=0,'Combined Retirement'!$D$32,0)+'Combined Retirement'!$B$24</f>
        <v>2870.372285649099</v>
      </c>
      <c r="G468" s="25">
        <f>'Combined Retirement'!$C$24</f>
        <v>3254.2644699519233</v>
      </c>
      <c r="H468" s="25">
        <f>IF(B468&lt;62,0,'Combined Retirement'!$I$14)</f>
        <v>2345</v>
      </c>
      <c r="I468" s="25">
        <f>IF(C468&lt;62,0,'Combined Retirement'!$I$13)</f>
        <v>2420</v>
      </c>
      <c r="J468" s="25">
        <f t="shared" si="263"/>
        <v>8395.6297298201844</v>
      </c>
      <c r="K468" s="25">
        <f t="shared" si="264"/>
        <v>21655.303514578787</v>
      </c>
      <c r="L468" s="25"/>
      <c r="N468" s="25">
        <f>'Combined Retirement'!$C$18/12</f>
        <v>40940.569999999992</v>
      </c>
      <c r="O468" s="25">
        <f t="shared" si="265"/>
        <v>10889.636755601023</v>
      </c>
      <c r="P468" s="25">
        <f t="shared" si="266"/>
        <v>30050.93324439897</v>
      </c>
      <c r="Q468" s="25">
        <f t="array" aca="1" ref="Q468" ca="1">INDEX('Isaac 401k'!L:L,MATCH('Retirement Calculator'!A468,'Isaac 401k'!N:N,0),0)</f>
        <v>-1195092.354815999</v>
      </c>
      <c r="R468" s="25">
        <f t="array" aca="1" ref="R468" ca="1">INDEX('Lorri 401b'!L:L,MATCH('Retirement Calculator'!A468,'Lorri 401b'!N:N,0),0)</f>
        <v>-504609.74105925654</v>
      </c>
      <c r="S468" s="25">
        <f t="shared" ca="1" si="267"/>
        <v>-1699702.0958752555</v>
      </c>
    </row>
    <row r="469" spans="1:19" ht="15.75" customHeight="1" x14ac:dyDescent="0.25">
      <c r="A469" s="37">
        <v>65228</v>
      </c>
      <c r="B469" s="398">
        <f t="shared" ref="B469:C469" si="470">($A469-B$9)/365.25</f>
        <v>96.706365503080079</v>
      </c>
      <c r="C469" s="398">
        <f t="shared" si="470"/>
        <v>92.095824777549623</v>
      </c>
      <c r="E469" s="25">
        <f>IF(C469&gt;$B$7,0,'Combined Retirement'!$D$13/12)</f>
        <v>0</v>
      </c>
      <c r="F469" s="25">
        <f>IF(H469=0,'Combined Retirement'!$D$32,0)+'Combined Retirement'!$B$24</f>
        <v>2870.372285649099</v>
      </c>
      <c r="G469" s="25">
        <f>'Combined Retirement'!$C$24</f>
        <v>3254.2644699519233</v>
      </c>
      <c r="H469" s="25">
        <f>IF(B469&lt;62,0,'Combined Retirement'!$I$14)</f>
        <v>2345</v>
      </c>
      <c r="I469" s="25">
        <f>IF(C469&lt;62,0,'Combined Retirement'!$I$13)</f>
        <v>2420</v>
      </c>
      <c r="J469" s="25">
        <f t="shared" si="263"/>
        <v>8395.6297298201844</v>
      </c>
      <c r="K469" s="25">
        <f t="shared" si="264"/>
        <v>21655.303514578787</v>
      </c>
      <c r="L469" s="25"/>
      <c r="N469" s="25">
        <f>'Combined Retirement'!$C$18/12</f>
        <v>40940.569999999992</v>
      </c>
      <c r="O469" s="25">
        <f t="shared" si="265"/>
        <v>10889.636755601023</v>
      </c>
      <c r="P469" s="25">
        <f t="shared" si="266"/>
        <v>30050.93324439897</v>
      </c>
      <c r="Q469" s="25">
        <f t="array" aca="1" ref="Q469" ca="1">INDEX('Isaac 401k'!L:L,MATCH('Retirement Calculator'!A469,'Isaac 401k'!N:N,0),0)</f>
        <v>-1208502.5178147601</v>
      </c>
      <c r="R469" s="25">
        <f t="array" aca="1" ref="R469" ca="1">INDEX('Lorri 401b'!L:L,MATCH('Retirement Calculator'!A469,'Lorri 401b'!N:N,0),0)</f>
        <v>-528457.81559289293</v>
      </c>
      <c r="S469" s="25">
        <f t="shared" ca="1" si="267"/>
        <v>-1736960.333407653</v>
      </c>
    </row>
    <row r="470" spans="1:19" ht="15.75" customHeight="1" x14ac:dyDescent="0.25">
      <c r="A470" s="37">
        <v>65259</v>
      </c>
      <c r="B470" s="398">
        <f t="shared" ref="B470:C470" si="471">($A470-B$9)/365.25</f>
        <v>96.791238877481177</v>
      </c>
      <c r="C470" s="398">
        <f t="shared" si="471"/>
        <v>92.180698151950722</v>
      </c>
      <c r="E470" s="25">
        <f>IF(C470&gt;$B$7,0,'Combined Retirement'!$D$13/12)</f>
        <v>0</v>
      </c>
      <c r="F470" s="25">
        <f>IF(H470=0,'Combined Retirement'!$D$32,0)+'Combined Retirement'!$B$24</f>
        <v>2870.372285649099</v>
      </c>
      <c r="G470" s="25">
        <f>'Combined Retirement'!$C$24</f>
        <v>3254.2644699519233</v>
      </c>
      <c r="H470" s="25">
        <f>IF(B470&lt;62,0,'Combined Retirement'!$I$14)</f>
        <v>2345</v>
      </c>
      <c r="I470" s="25">
        <f>IF(C470&lt;62,0,'Combined Retirement'!$I$13)</f>
        <v>2420</v>
      </c>
      <c r="J470" s="25">
        <f t="shared" si="263"/>
        <v>8395.6297298201844</v>
      </c>
      <c r="K470" s="25">
        <f t="shared" si="264"/>
        <v>21655.303514578787</v>
      </c>
      <c r="L470" s="25"/>
      <c r="N470" s="25">
        <f>'Combined Retirement'!$C$18/12</f>
        <v>40940.569999999992</v>
      </c>
      <c r="O470" s="25">
        <f t="shared" si="265"/>
        <v>10889.636755601023</v>
      </c>
      <c r="P470" s="25">
        <f t="shared" si="266"/>
        <v>30050.93324439897</v>
      </c>
      <c r="Q470" s="25">
        <f t="array" aca="1" ref="Q470" ca="1">INDEX('Isaac 401k'!L:L,MATCH('Retirement Calculator'!A470,'Isaac 401k'!N:N,0),0)</f>
        <v>-1221968.5564926828</v>
      </c>
      <c r="R470" s="25">
        <f t="array" aca="1" ref="R470" ca="1">INDEX('Lorri 401b'!L:L,MATCH('Retirement Calculator'!A470,'Lorri 401b'!N:N,0),0)</f>
        <v>-552405.25710375293</v>
      </c>
      <c r="S470" s="25">
        <f t="shared" ca="1" si="267"/>
        <v>-1774373.8135964358</v>
      </c>
    </row>
    <row r="471" spans="1:19" ht="15.75" customHeight="1" x14ac:dyDescent="0.25">
      <c r="A471" s="37">
        <v>65289</v>
      </c>
      <c r="B471" s="398">
        <f t="shared" ref="B471:C471" si="472">($A471-B$9)/365.25</f>
        <v>96.873374401095134</v>
      </c>
      <c r="C471" s="398">
        <f t="shared" si="472"/>
        <v>92.262833675564679</v>
      </c>
      <c r="E471" s="25">
        <f>IF(C471&gt;$B$7,0,'Combined Retirement'!$D$13/12)</f>
        <v>0</v>
      </c>
      <c r="F471" s="25">
        <f>IF(H471=0,'Combined Retirement'!$D$32,0)+'Combined Retirement'!$B$24</f>
        <v>2870.372285649099</v>
      </c>
      <c r="G471" s="25">
        <f>'Combined Retirement'!$C$24</f>
        <v>3254.2644699519233</v>
      </c>
      <c r="H471" s="25">
        <f>IF(B471&lt;62,0,'Combined Retirement'!$I$14)</f>
        <v>2345</v>
      </c>
      <c r="I471" s="25">
        <f>IF(C471&lt;62,0,'Combined Retirement'!$I$13)</f>
        <v>2420</v>
      </c>
      <c r="J471" s="25">
        <f t="shared" si="263"/>
        <v>8395.6297298201844</v>
      </c>
      <c r="K471" s="25">
        <f t="shared" si="264"/>
        <v>21655.303514578787</v>
      </c>
      <c r="L471" s="25"/>
      <c r="N471" s="25">
        <f>'Combined Retirement'!$C$18/12</f>
        <v>40940.569999999992</v>
      </c>
      <c r="O471" s="25">
        <f t="shared" si="265"/>
        <v>10889.636755601023</v>
      </c>
      <c r="P471" s="25">
        <f t="shared" si="266"/>
        <v>30050.93324439897</v>
      </c>
      <c r="Q471" s="25">
        <f t="array" aca="1" ref="Q471" ca="1">INDEX('Isaac 401k'!L:L,MATCH('Retirement Calculator'!A471,'Isaac 401k'!N:N,0),0)</f>
        <v>-1235490.7036650968</v>
      </c>
      <c r="R471" s="25">
        <f t="array" aca="1" ref="R471" ca="1">INDEX('Lorri 401b'!L:L,MATCH('Retirement Calculator'!A471,'Lorri 401b'!N:N,0),0)</f>
        <v>-576452.47962090804</v>
      </c>
      <c r="S471" s="25">
        <f t="shared" ca="1" si="267"/>
        <v>-1811943.1832860047</v>
      </c>
    </row>
    <row r="472" spans="1:19" ht="15.75" customHeight="1" x14ac:dyDescent="0.25">
      <c r="A472" s="37">
        <v>65320</v>
      </c>
      <c r="B472" s="398">
        <f t="shared" ref="B472:C472" si="473">($A472-B$9)/365.25</f>
        <v>96.958247775496233</v>
      </c>
      <c r="C472" s="398">
        <f t="shared" si="473"/>
        <v>92.347707049965777</v>
      </c>
      <c r="E472" s="25">
        <f>IF(C472&gt;$B$7,0,'Combined Retirement'!$D$13/12)</f>
        <v>0</v>
      </c>
      <c r="F472" s="25">
        <f>IF(H472=0,'Combined Retirement'!$D$32,0)+'Combined Retirement'!$B$24</f>
        <v>2870.372285649099</v>
      </c>
      <c r="G472" s="25">
        <f>'Combined Retirement'!$C$24</f>
        <v>3254.2644699519233</v>
      </c>
      <c r="H472" s="25">
        <f>IF(B472&lt;62,0,'Combined Retirement'!$I$14)</f>
        <v>2345</v>
      </c>
      <c r="I472" s="25">
        <f>IF(C472&lt;62,0,'Combined Retirement'!$I$13)</f>
        <v>2420</v>
      </c>
      <c r="J472" s="25">
        <f t="shared" si="263"/>
        <v>8395.6297298201844</v>
      </c>
      <c r="K472" s="25">
        <f t="shared" si="264"/>
        <v>21655.303514578787</v>
      </c>
      <c r="L472" s="25"/>
      <c r="N472" s="25">
        <f>'Combined Retirement'!$C$18/12</f>
        <v>40940.569999999992</v>
      </c>
      <c r="O472" s="25">
        <f t="shared" si="265"/>
        <v>10889.636755601023</v>
      </c>
      <c r="P472" s="25">
        <f t="shared" si="266"/>
        <v>30050.93324439897</v>
      </c>
      <c r="Q472" s="25">
        <f t="array" aca="1" ref="Q472" ca="1">INDEX('Isaac 401k'!L:L,MATCH('Retirement Calculator'!A472,'Isaac 401k'!N:N,0),0)</f>
        <v>-1249069.1931173957</v>
      </c>
      <c r="R472" s="25">
        <f t="array" aca="1" ref="R472" ca="1">INDEX('Lorri 401b'!L:L,MATCH('Retirement Calculator'!A472,'Lorri 401b'!N:N,0),0)</f>
        <v>-600599.89889855124</v>
      </c>
      <c r="S472" s="25">
        <f t="shared" ca="1" si="267"/>
        <v>-1849669.092015947</v>
      </c>
    </row>
    <row r="473" spans="1:19" ht="15.75" customHeight="1" x14ac:dyDescent="0.25">
      <c r="A473" s="37">
        <v>65350</v>
      </c>
      <c r="B473" s="398">
        <f t="shared" ref="B473:C473" si="474">($A473-B$9)/365.25</f>
        <v>97.040383299110204</v>
      </c>
      <c r="C473" s="398">
        <f t="shared" si="474"/>
        <v>92.429842573579734</v>
      </c>
      <c r="E473" s="25">
        <f>IF(C473&gt;$B$7,0,'Combined Retirement'!$D$13/12)</f>
        <v>0</v>
      </c>
      <c r="F473" s="25">
        <f>IF(H473=0,'Combined Retirement'!$D$32,0)+'Combined Retirement'!$B$24</f>
        <v>2870.372285649099</v>
      </c>
      <c r="G473" s="25">
        <f>'Combined Retirement'!$C$24</f>
        <v>3254.2644699519233</v>
      </c>
      <c r="H473" s="25">
        <f>IF(B473&lt;62,0,'Combined Retirement'!$I$14)</f>
        <v>2345</v>
      </c>
      <c r="I473" s="25">
        <f>IF(C473&lt;62,0,'Combined Retirement'!$I$13)</f>
        <v>2420</v>
      </c>
      <c r="J473" s="25">
        <f t="shared" si="263"/>
        <v>8395.6297298201844</v>
      </c>
      <c r="K473" s="25">
        <f t="shared" si="264"/>
        <v>21655.303514578787</v>
      </c>
      <c r="L473" s="25"/>
      <c r="N473" s="25">
        <f>'Combined Retirement'!$C$18/12</f>
        <v>40940.569999999992</v>
      </c>
      <c r="O473" s="25">
        <f t="shared" si="265"/>
        <v>10889.636755601023</v>
      </c>
      <c r="P473" s="25">
        <f t="shared" si="266"/>
        <v>30050.93324439897</v>
      </c>
      <c r="Q473" s="25">
        <f t="array" aca="1" ref="Q473" ca="1">INDEX('Isaac 401k'!L:L,MATCH('Retirement Calculator'!A473,'Isaac 401k'!N:N,0),0)</f>
        <v>-1262704.2596090792</v>
      </c>
      <c r="R473" s="25">
        <f t="array" aca="1" ref="R473" ca="1">INDEX('Lorri 401b'!L:L,MATCH('Retirement Calculator'!A473,'Lorri 401b'!N:N,0),0)</f>
        <v>-624847.93242318474</v>
      </c>
      <c r="S473" s="25">
        <f t="shared" ca="1" si="267"/>
        <v>-1887552.1920322641</v>
      </c>
    </row>
    <row r="474" spans="1:19" ht="15.75" customHeight="1" x14ac:dyDescent="0.25">
      <c r="A474" s="37">
        <v>65381</v>
      </c>
      <c r="B474" s="398">
        <f t="shared" ref="B474:C474" si="475">($A474-B$9)/365.25</f>
        <v>97.125256673511288</v>
      </c>
      <c r="C474" s="398">
        <f t="shared" si="475"/>
        <v>92.514715947980832</v>
      </c>
      <c r="E474" s="25">
        <f>IF(C474&gt;$B$7,0,'Combined Retirement'!$D$13/12)</f>
        <v>0</v>
      </c>
      <c r="F474" s="25">
        <f>IF(H474=0,'Combined Retirement'!$D$32,0)+'Combined Retirement'!$B$24</f>
        <v>2870.372285649099</v>
      </c>
      <c r="G474" s="25">
        <f>'Combined Retirement'!$C$24</f>
        <v>3254.2644699519233</v>
      </c>
      <c r="H474" s="25">
        <f>IF(B474&lt;62,0,'Combined Retirement'!$I$14)</f>
        <v>2345</v>
      </c>
      <c r="I474" s="25">
        <f>IF(C474&lt;62,0,'Combined Retirement'!$I$13)</f>
        <v>2420</v>
      </c>
      <c r="J474" s="25">
        <f t="shared" si="263"/>
        <v>8395.6297298201844</v>
      </c>
      <c r="K474" s="25">
        <f t="shared" si="264"/>
        <v>21655.303514578787</v>
      </c>
      <c r="L474" s="25"/>
      <c r="N474" s="25">
        <f>'Combined Retirement'!$C$18/12</f>
        <v>40940.569999999992</v>
      </c>
      <c r="O474" s="25">
        <f t="shared" si="265"/>
        <v>10889.636755601023</v>
      </c>
      <c r="P474" s="25">
        <f t="shared" si="266"/>
        <v>30050.93324439897</v>
      </c>
      <c r="Q474" s="25">
        <f t="array" aca="1" ref="Q474" ca="1">INDEX('Isaac 401k'!L:L,MATCH('Retirement Calculator'!A474,'Isaac 401k'!N:N,0),0)</f>
        <v>-1276396.1388778114</v>
      </c>
      <c r="R474" s="25">
        <f t="array" aca="1" ref="R474" ca="1">INDEX('Lorri 401b'!L:L,MATCH('Retirement Calculator'!A474,'Lorri 401b'!N:N,0),0)</f>
        <v>-649196.9994208375</v>
      </c>
      <c r="S474" s="25">
        <f t="shared" ca="1" si="267"/>
        <v>-1925593.1382986489</v>
      </c>
    </row>
    <row r="475" spans="1:19" ht="15.75" customHeight="1" x14ac:dyDescent="0.25">
      <c r="A475" s="37">
        <v>65412</v>
      </c>
      <c r="B475" s="398">
        <f t="shared" ref="B475:C475" si="476">($A475-B$9)/365.25</f>
        <v>97.210130047912386</v>
      </c>
      <c r="C475" s="398">
        <f t="shared" si="476"/>
        <v>92.599589322381931</v>
      </c>
      <c r="E475" s="25">
        <f>IF(C475&gt;$B$7,0,'Combined Retirement'!$D$13/12)</f>
        <v>0</v>
      </c>
      <c r="F475" s="25">
        <f>IF(H475=0,'Combined Retirement'!$D$32,0)+'Combined Retirement'!$B$24</f>
        <v>2870.372285649099</v>
      </c>
      <c r="G475" s="25">
        <f>'Combined Retirement'!$C$24</f>
        <v>3254.2644699519233</v>
      </c>
      <c r="H475" s="25">
        <f>IF(B475&lt;62,0,'Combined Retirement'!$I$14)</f>
        <v>2345</v>
      </c>
      <c r="I475" s="25">
        <f>IF(C475&lt;62,0,'Combined Retirement'!$I$13)</f>
        <v>2420</v>
      </c>
      <c r="J475" s="25">
        <f t="shared" si="263"/>
        <v>8395.6297298201844</v>
      </c>
      <c r="K475" s="25">
        <f t="shared" si="264"/>
        <v>21655.303514578787</v>
      </c>
      <c r="L475" s="25"/>
      <c r="N475" s="25">
        <f>'Combined Retirement'!$C$18/12</f>
        <v>40940.569999999992</v>
      </c>
      <c r="O475" s="25">
        <f t="shared" si="265"/>
        <v>10889.636755601023</v>
      </c>
      <c r="P475" s="25">
        <f t="shared" si="266"/>
        <v>30050.93324439897</v>
      </c>
      <c r="Q475" s="25">
        <f t="array" aca="1" ref="Q475" ca="1">INDEX('Isaac 401k'!L:L,MATCH('Retirement Calculator'!A475,'Isaac 401k'!N:N,0),0)</f>
        <v>-1290145.0676434967</v>
      </c>
      <c r="R475" s="25">
        <f t="array" aca="1" ref="R475" ca="1">INDEX('Lorri 401b'!L:L,MATCH('Retirement Calculator'!A475,'Lorri 401b'!N:N,0),0)</f>
        <v>-673647.52086431393</v>
      </c>
      <c r="S475" s="25">
        <f t="shared" ca="1" si="267"/>
        <v>-1963792.5885078106</v>
      </c>
    </row>
    <row r="476" spans="1:19" ht="15.75" customHeight="1" x14ac:dyDescent="0.25">
      <c r="A476" s="37">
        <v>65440</v>
      </c>
      <c r="B476" s="398">
        <f t="shared" ref="B476:C476" si="477">($A476-B$9)/365.25</f>
        <v>97.286789869952088</v>
      </c>
      <c r="C476" s="398">
        <f t="shared" si="477"/>
        <v>92.676249144421632</v>
      </c>
      <c r="E476" s="25">
        <f>IF(C476&gt;$B$7,0,'Combined Retirement'!$D$13/12)</f>
        <v>0</v>
      </c>
      <c r="F476" s="25">
        <f>IF(H476=0,'Combined Retirement'!$D$32,0)+'Combined Retirement'!$B$24</f>
        <v>2870.372285649099</v>
      </c>
      <c r="G476" s="25">
        <f>'Combined Retirement'!$C$24</f>
        <v>3254.2644699519233</v>
      </c>
      <c r="H476" s="25">
        <f>IF(B476&lt;62,0,'Combined Retirement'!$I$14)</f>
        <v>2345</v>
      </c>
      <c r="I476" s="25">
        <f>IF(C476&lt;62,0,'Combined Retirement'!$I$13)</f>
        <v>2420</v>
      </c>
      <c r="J476" s="25">
        <f t="shared" si="263"/>
        <v>8395.6297298201844</v>
      </c>
      <c r="K476" s="25">
        <f t="shared" si="264"/>
        <v>21655.303514578787</v>
      </c>
      <c r="L476" s="25"/>
      <c r="N476" s="25">
        <f>'Combined Retirement'!$C$18/12</f>
        <v>40940.569999999992</v>
      </c>
      <c r="O476" s="25">
        <f t="shared" si="265"/>
        <v>10889.636755601023</v>
      </c>
      <c r="P476" s="25">
        <f t="shared" si="266"/>
        <v>30050.93324439897</v>
      </c>
      <c r="Q476" s="25">
        <f t="array" aca="1" ref="Q476" ca="1">INDEX('Isaac 401k'!L:L,MATCH('Retirement Calculator'!A476,'Isaac 401k'!N:N,0),0)</f>
        <v>-1303951.2836123724</v>
      </c>
      <c r="R476" s="25">
        <f t="array" aca="1" ref="R476" ca="1">INDEX('Lorri 401b'!L:L,MATCH('Retirement Calculator'!A476,'Lorri 401b'!N:N,0),0)</f>
        <v>-698199.91948047152</v>
      </c>
      <c r="S476" s="25">
        <f t="shared" ca="1" si="267"/>
        <v>-2002151.2030928438</v>
      </c>
    </row>
    <row r="477" spans="1:19" ht="15.75" customHeight="1" x14ac:dyDescent="0.25">
      <c r="A477" s="37">
        <v>65471</v>
      </c>
      <c r="B477" s="398">
        <f t="shared" ref="B477:C477" si="478">($A477-B$9)/365.25</f>
        <v>97.371663244353186</v>
      </c>
      <c r="C477" s="398">
        <f t="shared" si="478"/>
        <v>92.761122518822731</v>
      </c>
      <c r="E477" s="25">
        <f>IF(C477&gt;$B$7,0,'Combined Retirement'!$D$13/12)</f>
        <v>0</v>
      </c>
      <c r="F477" s="25">
        <f>IF(H477=0,'Combined Retirement'!$D$32,0)+'Combined Retirement'!$B$24</f>
        <v>2870.372285649099</v>
      </c>
      <c r="G477" s="25">
        <f>'Combined Retirement'!$C$24</f>
        <v>3254.2644699519233</v>
      </c>
      <c r="H477" s="25">
        <f>IF(B477&lt;62,0,'Combined Retirement'!$I$14)</f>
        <v>2345</v>
      </c>
      <c r="I477" s="25">
        <f>IF(C477&lt;62,0,'Combined Retirement'!$I$13)</f>
        <v>2420</v>
      </c>
      <c r="J477" s="25">
        <f t="shared" si="263"/>
        <v>8395.6297298201844</v>
      </c>
      <c r="K477" s="25">
        <f t="shared" si="264"/>
        <v>21655.303514578787</v>
      </c>
      <c r="L477" s="25"/>
      <c r="N477" s="25">
        <f>'Combined Retirement'!$C$18/12</f>
        <v>40940.569999999992</v>
      </c>
      <c r="O477" s="25">
        <f t="shared" si="265"/>
        <v>10889.636755601023</v>
      </c>
      <c r="P477" s="25">
        <f t="shared" si="266"/>
        <v>30050.93324439897</v>
      </c>
      <c r="Q477" s="25">
        <f t="array" aca="1" ref="Q477" ca="1">INDEX('Isaac 401k'!L:L,MATCH('Retirement Calculator'!A477,'Isaac 401k'!N:N,0),0)</f>
        <v>-1317815.0254811184</v>
      </c>
      <c r="R477" s="25">
        <f t="array" aca="1" ref="R477" ca="1">INDEX('Lorri 401b'!L:L,MATCH('Retirement Calculator'!A477,'Lorri 401b'!N:N,0),0)</f>
        <v>-722854.61975752958</v>
      </c>
      <c r="S477" s="25">
        <f t="shared" ca="1" si="267"/>
        <v>-2040669.6452386479</v>
      </c>
    </row>
    <row r="478" spans="1:19" ht="15.75" customHeight="1" x14ac:dyDescent="0.25">
      <c r="A478" s="37">
        <v>65501</v>
      </c>
      <c r="B478" s="398">
        <f t="shared" ref="B478:C478" si="479">($A478-B$9)/365.25</f>
        <v>97.453798767967143</v>
      </c>
      <c r="C478" s="398">
        <f t="shared" si="479"/>
        <v>92.843258042436688</v>
      </c>
      <c r="E478" s="25">
        <f>IF(C478&gt;$B$7,0,'Combined Retirement'!$D$13/12)</f>
        <v>0</v>
      </c>
      <c r="F478" s="25">
        <f>IF(H478=0,'Combined Retirement'!$D$32,0)+'Combined Retirement'!$B$24</f>
        <v>2870.372285649099</v>
      </c>
      <c r="G478" s="25">
        <f>'Combined Retirement'!$C$24</f>
        <v>3254.2644699519233</v>
      </c>
      <c r="H478" s="25">
        <f>IF(B478&lt;62,0,'Combined Retirement'!$I$14)</f>
        <v>2345</v>
      </c>
      <c r="I478" s="25">
        <f>IF(C478&lt;62,0,'Combined Retirement'!$I$13)</f>
        <v>2420</v>
      </c>
      <c r="J478" s="25">
        <f t="shared" si="263"/>
        <v>8395.6297298201844</v>
      </c>
      <c r="K478" s="25">
        <f t="shared" si="264"/>
        <v>21655.303514578787</v>
      </c>
      <c r="L478" s="25"/>
      <c r="N478" s="25">
        <f>'Combined Retirement'!$C$18/12</f>
        <v>40940.569999999992</v>
      </c>
      <c r="O478" s="25">
        <f t="shared" si="265"/>
        <v>10889.636755601023</v>
      </c>
      <c r="P478" s="25">
        <f t="shared" si="266"/>
        <v>30050.93324439897</v>
      </c>
      <c r="Q478" s="25">
        <f t="array" aca="1" ref="Q478" ca="1">INDEX('Isaac 401k'!L:L,MATCH('Retirement Calculator'!A478,'Isaac 401k'!N:N,0),0)</f>
        <v>-1331736.532940984</v>
      </c>
      <c r="R478" s="25">
        <f t="array" aca="1" ref="R478" ca="1">INDEX('Lorri 401b'!L:L,MATCH('Retirement Calculator'!A478,'Lorri 401b'!N:N,0),0)</f>
        <v>-747612.0479524089</v>
      </c>
      <c r="S478" s="25">
        <f t="shared" ca="1" si="267"/>
        <v>-2079348.5808933929</v>
      </c>
    </row>
    <row r="479" spans="1:19" ht="15.75" customHeight="1" x14ac:dyDescent="0.25">
      <c r="A479" s="37">
        <v>65532</v>
      </c>
      <c r="B479" s="398">
        <f t="shared" ref="B479:C479" si="480">($A479-B$9)/365.25</f>
        <v>97.538672142368242</v>
      </c>
      <c r="C479" s="398">
        <f t="shared" si="480"/>
        <v>92.928131416837786</v>
      </c>
      <c r="E479" s="25">
        <f>IF(C479&gt;$B$7,0,'Combined Retirement'!$D$13/12)</f>
        <v>0</v>
      </c>
      <c r="F479" s="25">
        <f>IF(H479=0,'Combined Retirement'!$D$32,0)+'Combined Retirement'!$B$24</f>
        <v>2870.372285649099</v>
      </c>
      <c r="G479" s="25">
        <f>'Combined Retirement'!$C$24</f>
        <v>3254.2644699519233</v>
      </c>
      <c r="H479" s="25">
        <f>IF(B479&lt;62,0,'Combined Retirement'!$I$14)</f>
        <v>2345</v>
      </c>
      <c r="I479" s="25">
        <f>IF(C479&lt;62,0,'Combined Retirement'!$I$13)</f>
        <v>2420</v>
      </c>
      <c r="J479" s="25">
        <f t="shared" si="263"/>
        <v>8395.6297298201844</v>
      </c>
      <c r="K479" s="25">
        <f t="shared" si="264"/>
        <v>21655.303514578787</v>
      </c>
      <c r="L479" s="25"/>
      <c r="N479" s="25">
        <f>'Combined Retirement'!$C$18/12</f>
        <v>40940.569999999992</v>
      </c>
      <c r="O479" s="25">
        <f t="shared" si="265"/>
        <v>10889.636755601023</v>
      </c>
      <c r="P479" s="25">
        <f t="shared" si="266"/>
        <v>30050.93324439897</v>
      </c>
      <c r="Q479" s="25">
        <f t="array" aca="1" ref="Q479" ca="1">INDEX('Isaac 401k'!L:L,MATCH('Retirement Calculator'!A479,'Isaac 401k'!N:N,0),0)</f>
        <v>-1345716.0466819326</v>
      </c>
      <c r="R479" s="25">
        <f t="array" aca="1" ref="R479" ca="1">INDEX('Lorri 401b'!L:L,MATCH('Retirement Calculator'!A479,'Lorri 401b'!N:N,0),0)</f>
        <v>-772472.63209810015</v>
      </c>
      <c r="S479" s="25">
        <f t="shared" ca="1" si="267"/>
        <v>-2118188.6787800328</v>
      </c>
    </row>
    <row r="480" spans="1:19" ht="15.75" customHeight="1" x14ac:dyDescent="0.25">
      <c r="A480" s="37">
        <v>65562</v>
      </c>
      <c r="B480" s="398">
        <f t="shared" ref="B480:C480" si="481">($A480-B$9)/365.25</f>
        <v>97.620807665982198</v>
      </c>
      <c r="C480" s="398">
        <f t="shared" si="481"/>
        <v>93.010266940451743</v>
      </c>
      <c r="E480" s="25">
        <f>IF(C480&gt;$B$7,0,'Combined Retirement'!$D$13/12)</f>
        <v>0</v>
      </c>
      <c r="F480" s="25">
        <f>IF(H480=0,'Combined Retirement'!$D$32,0)+'Combined Retirement'!$B$24</f>
        <v>2870.372285649099</v>
      </c>
      <c r="G480" s="25">
        <f>'Combined Retirement'!$C$24</f>
        <v>3254.2644699519233</v>
      </c>
      <c r="H480" s="25">
        <f>IF(B480&lt;62,0,'Combined Retirement'!$I$14)</f>
        <v>2345</v>
      </c>
      <c r="I480" s="25">
        <f>IF(C480&lt;62,0,'Combined Retirement'!$I$13)</f>
        <v>2420</v>
      </c>
      <c r="J480" s="25">
        <f t="shared" si="263"/>
        <v>8395.6297298201844</v>
      </c>
      <c r="K480" s="25">
        <f t="shared" si="264"/>
        <v>21655.303514578787</v>
      </c>
      <c r="L480" s="25"/>
      <c r="N480" s="25">
        <f>'Combined Retirement'!$C$18/12</f>
        <v>40940.569999999992</v>
      </c>
      <c r="O480" s="25">
        <f t="shared" si="265"/>
        <v>10889.636755601023</v>
      </c>
      <c r="P480" s="25">
        <f t="shared" si="266"/>
        <v>30050.93324439897</v>
      </c>
      <c r="Q480" s="25">
        <f t="array" aca="1" ref="Q480" ca="1">INDEX('Isaac 401k'!L:L,MATCH('Retirement Calculator'!A480,'Isaac 401k'!N:N,0),0)</f>
        <v>-1359753.8083968018</v>
      </c>
      <c r="R480" s="25">
        <f t="array" aca="1" ref="R480" ca="1">INDEX('Lorri 401b'!L:L,MATCH('Retirement Calculator'!A480,'Lorri 401b'!N:N,0),0)</f>
        <v>-797436.80201106519</v>
      </c>
      <c r="S480" s="25">
        <f t="shared" ca="1" si="267"/>
        <v>-2157190.610407867</v>
      </c>
    </row>
    <row r="481" spans="1:19" ht="15.75" customHeight="1" x14ac:dyDescent="0.25">
      <c r="A481" s="37">
        <v>65593</v>
      </c>
      <c r="B481" s="398">
        <f t="shared" ref="B481:C481" si="482">($A481-B$9)/365.25</f>
        <v>97.705681040383297</v>
      </c>
      <c r="C481" s="398">
        <f t="shared" si="482"/>
        <v>93.095140314852841</v>
      </c>
      <c r="E481" s="25">
        <f>IF(C481&gt;$B$7,0,'Combined Retirement'!$D$13/12)</f>
        <v>0</v>
      </c>
      <c r="F481" s="25">
        <f>IF(H481=0,'Combined Retirement'!$D$32,0)+'Combined Retirement'!$B$24</f>
        <v>2870.372285649099</v>
      </c>
      <c r="G481" s="25">
        <f>'Combined Retirement'!$C$24</f>
        <v>3254.2644699519233</v>
      </c>
      <c r="H481" s="25">
        <f>IF(B481&lt;62,0,'Combined Retirement'!$I$14)</f>
        <v>2345</v>
      </c>
      <c r="I481" s="25">
        <f>IF(C481&lt;62,0,'Combined Retirement'!$I$13)</f>
        <v>2420</v>
      </c>
      <c r="J481" s="25">
        <f t="shared" si="263"/>
        <v>8395.6297298201844</v>
      </c>
      <c r="K481" s="25">
        <f t="shared" si="264"/>
        <v>21655.303514578787</v>
      </c>
      <c r="L481" s="25"/>
      <c r="N481" s="25">
        <f>'Combined Retirement'!$C$18/12</f>
        <v>40940.569999999992</v>
      </c>
      <c r="O481" s="25">
        <f t="shared" si="265"/>
        <v>10889.636755601023</v>
      </c>
      <c r="P481" s="25">
        <f t="shared" si="266"/>
        <v>30050.93324439897</v>
      </c>
      <c r="Q481" s="25">
        <f t="array" aca="1" ref="Q481" ca="1">INDEX('Isaac 401k'!L:L,MATCH('Retirement Calculator'!A481,'Isaac 401k'!N:N,0),0)</f>
        <v>-1373850.0607854829</v>
      </c>
      <c r="R481" s="25">
        <f t="array" aca="1" ref="R481" ca="1">INDEX('Lorri 401b'!L:L,MATCH('Retirement Calculator'!A481,'Lorri 401b'!N:N,0),0)</f>
        <v>-822504.98929866753</v>
      </c>
      <c r="S481" s="25">
        <f t="shared" ca="1" si="267"/>
        <v>-2196355.0500841504</v>
      </c>
    </row>
    <row r="482" spans="1:19" ht="15.75" customHeight="1" x14ac:dyDescent="0.25">
      <c r="A482" s="37">
        <v>65624</v>
      </c>
      <c r="B482" s="398">
        <f t="shared" ref="B482:C482" si="483">($A482-B$9)/365.25</f>
        <v>97.790554414784395</v>
      </c>
      <c r="C482" s="398">
        <f t="shared" si="483"/>
        <v>93.18001368925394</v>
      </c>
      <c r="E482" s="25">
        <f>IF(C482&gt;$B$7,0,'Combined Retirement'!$D$13/12)</f>
        <v>0</v>
      </c>
      <c r="F482" s="25">
        <f>IF(H482=0,'Combined Retirement'!$D$32,0)+'Combined Retirement'!$B$24</f>
        <v>2870.372285649099</v>
      </c>
      <c r="G482" s="25">
        <f>'Combined Retirement'!$C$24</f>
        <v>3254.2644699519233</v>
      </c>
      <c r="H482" s="25">
        <f>IF(B482&lt;62,0,'Combined Retirement'!$I$14)</f>
        <v>2345</v>
      </c>
      <c r="I482" s="25">
        <f>IF(C482&lt;62,0,'Combined Retirement'!$I$13)</f>
        <v>2420</v>
      </c>
      <c r="J482" s="25">
        <f t="shared" si="263"/>
        <v>8395.6297298201844</v>
      </c>
      <c r="K482" s="25">
        <f t="shared" si="264"/>
        <v>21655.303514578787</v>
      </c>
      <c r="L482" s="25"/>
      <c r="N482" s="25">
        <f>'Combined Retirement'!$C$18/12</f>
        <v>40940.569999999992</v>
      </c>
      <c r="O482" s="25">
        <f t="shared" si="265"/>
        <v>10889.636755601023</v>
      </c>
      <c r="P482" s="25">
        <f t="shared" si="266"/>
        <v>30050.93324439897</v>
      </c>
      <c r="Q482" s="25">
        <f t="array" aca="1" ref="Q482" ca="1">INDEX('Isaac 401k'!L:L,MATCH('Retirement Calculator'!A482,'Isaac 401k'!N:N,0),0)</f>
        <v>-1388005.0475591167</v>
      </c>
      <c r="R482" s="25">
        <f t="array" aca="1" ref="R482" ca="1">INDEX('Lorri 401b'!L:L,MATCH('Retirement Calculator'!A482,'Lorri 401b'!N:N,0),0)</f>
        <v>-847677.6273666349</v>
      </c>
      <c r="S482" s="25">
        <f t="shared" ca="1" si="267"/>
        <v>-2235682.6749257515</v>
      </c>
    </row>
    <row r="483" spans="1:19" ht="15.75" customHeight="1" x14ac:dyDescent="0.25">
      <c r="A483" s="37">
        <v>65654</v>
      </c>
      <c r="B483" s="398">
        <f t="shared" ref="B483:C483" si="484">($A483-B$9)/365.25</f>
        <v>97.872689938398352</v>
      </c>
      <c r="C483" s="398">
        <f t="shared" si="484"/>
        <v>93.262149212867897</v>
      </c>
      <c r="E483" s="25">
        <f>IF(C483&gt;$B$7,0,'Combined Retirement'!$D$13/12)</f>
        <v>0</v>
      </c>
      <c r="F483" s="25">
        <f>IF(H483=0,'Combined Retirement'!$D$32,0)+'Combined Retirement'!$B$24</f>
        <v>2870.372285649099</v>
      </c>
      <c r="G483" s="25">
        <f>'Combined Retirement'!$C$24</f>
        <v>3254.2644699519233</v>
      </c>
      <c r="H483" s="25">
        <f>IF(B483&lt;62,0,'Combined Retirement'!$I$14)</f>
        <v>2345</v>
      </c>
      <c r="I483" s="25">
        <f>IF(C483&lt;62,0,'Combined Retirement'!$I$13)</f>
        <v>2420</v>
      </c>
      <c r="J483" s="25">
        <f t="shared" si="263"/>
        <v>8395.6297298201844</v>
      </c>
      <c r="K483" s="25">
        <f t="shared" si="264"/>
        <v>21655.303514578787</v>
      </c>
      <c r="L483" s="25"/>
      <c r="N483" s="25">
        <f>'Combined Retirement'!$C$18/12</f>
        <v>40940.569999999992</v>
      </c>
      <c r="O483" s="25">
        <f t="shared" si="265"/>
        <v>10889.636755601023</v>
      </c>
      <c r="P483" s="25">
        <f t="shared" si="266"/>
        <v>30050.93324439897</v>
      </c>
      <c r="Q483" s="25">
        <f t="array" aca="1" ref="Q483" ca="1">INDEX('Isaac 401k'!L:L,MATCH('Retirement Calculator'!A483,'Isaac 401k'!N:N,0),0)</f>
        <v>-1402219.0134443075</v>
      </c>
      <c r="R483" s="25">
        <f t="array" aca="1" ref="R483" ca="1">INDEX('Lorri 401b'!L:L,MATCH('Retirement Calculator'!A483,'Lorri 401b'!N:N,0),0)</f>
        <v>-872955.15142655198</v>
      </c>
      <c r="S483" s="25">
        <f t="shared" ca="1" si="267"/>
        <v>-2275174.1648708596</v>
      </c>
    </row>
    <row r="484" spans="1:19" ht="15.75" customHeight="1" x14ac:dyDescent="0.25">
      <c r="A484" s="37">
        <v>65685</v>
      </c>
      <c r="B484" s="398">
        <f t="shared" ref="B484:C484" si="485">($A484-B$9)/365.25</f>
        <v>97.957563312799451</v>
      </c>
      <c r="C484" s="398">
        <f t="shared" si="485"/>
        <v>93.347022587268995</v>
      </c>
      <c r="E484" s="25">
        <f>IF(C484&gt;$B$7,0,'Combined Retirement'!$D$13/12)</f>
        <v>0</v>
      </c>
      <c r="F484" s="25">
        <f>IF(H484=0,'Combined Retirement'!$D$32,0)+'Combined Retirement'!$B$24</f>
        <v>2870.372285649099</v>
      </c>
      <c r="G484" s="25">
        <f>'Combined Retirement'!$C$24</f>
        <v>3254.2644699519233</v>
      </c>
      <c r="H484" s="25">
        <f>IF(B484&lt;62,0,'Combined Retirement'!$I$14)</f>
        <v>2345</v>
      </c>
      <c r="I484" s="25">
        <f>IF(C484&lt;62,0,'Combined Retirement'!$I$13)</f>
        <v>2420</v>
      </c>
      <c r="J484" s="25">
        <f t="shared" si="263"/>
        <v>8395.6297298201844</v>
      </c>
      <c r="K484" s="25">
        <f t="shared" si="264"/>
        <v>21655.303514578787</v>
      </c>
      <c r="L484" s="25"/>
      <c r="N484" s="25">
        <f>'Combined Retirement'!$C$18/12</f>
        <v>40940.569999999992</v>
      </c>
      <c r="O484" s="25">
        <f t="shared" si="265"/>
        <v>10889.636755601023</v>
      </c>
      <c r="P484" s="25">
        <f t="shared" si="266"/>
        <v>30050.93324439897</v>
      </c>
      <c r="Q484" s="25">
        <f t="array" aca="1" ref="Q484" ca="1">INDEX('Isaac 401k'!L:L,MATCH('Retirement Calculator'!A484,'Isaac 401k'!N:N,0),0)</f>
        <v>-1416492.2041873531</v>
      </c>
      <c r="R484" s="25">
        <f t="array" aca="1" ref="R484" ca="1">INDEX('Lorri 401b'!L:L,MATCH('Retirement Calculator'!A484,'Lorri 401b'!N:N,0),0)</f>
        <v>-898337.99850338546</v>
      </c>
      <c r="S484" s="25">
        <f t="shared" ca="1" si="267"/>
        <v>-2314830.2026907387</v>
      </c>
    </row>
    <row r="485" spans="1:19" ht="15.75" customHeight="1" x14ac:dyDescent="0.25">
      <c r="A485" s="37">
        <v>65715</v>
      </c>
      <c r="B485" s="398">
        <f t="shared" ref="B485:C485" si="486">($A485-B$9)/365.25</f>
        <v>98.039698836413422</v>
      </c>
      <c r="C485" s="398">
        <f t="shared" si="486"/>
        <v>93.429158110882952</v>
      </c>
      <c r="E485" s="25">
        <f>IF(C485&gt;$B$7,0,'Combined Retirement'!$D$13/12)</f>
        <v>0</v>
      </c>
      <c r="F485" s="25">
        <f>IF(H485=0,'Combined Retirement'!$D$32,0)+'Combined Retirement'!$B$24</f>
        <v>2870.372285649099</v>
      </c>
      <c r="G485" s="25">
        <f>'Combined Retirement'!$C$24</f>
        <v>3254.2644699519233</v>
      </c>
      <c r="H485" s="25">
        <f>IF(B485&lt;62,0,'Combined Retirement'!$I$14)</f>
        <v>2345</v>
      </c>
      <c r="I485" s="25">
        <f>IF(C485&lt;62,0,'Combined Retirement'!$I$13)</f>
        <v>2420</v>
      </c>
      <c r="J485" s="25">
        <f t="shared" si="263"/>
        <v>8395.6297298201844</v>
      </c>
      <c r="K485" s="25">
        <f t="shared" si="264"/>
        <v>21655.303514578787</v>
      </c>
      <c r="L485" s="25"/>
      <c r="N485" s="25">
        <f>'Combined Retirement'!$C$18/12</f>
        <v>40940.569999999992</v>
      </c>
      <c r="O485" s="25">
        <f t="shared" si="265"/>
        <v>10889.636755601023</v>
      </c>
      <c r="P485" s="25">
        <f t="shared" si="266"/>
        <v>30050.93324439897</v>
      </c>
      <c r="Q485" s="25">
        <f t="array" aca="1" ref="Q485" ca="1">INDEX('Isaac 401k'!L:L,MATCH('Retirement Calculator'!A485,'Isaac 401k'!N:N,0),0)</f>
        <v>-1430824.866558495</v>
      </c>
      <c r="R485" s="25">
        <f t="array" aca="1" ref="R485" ca="1">INDEX('Lorri 401b'!L:L,MATCH('Retirement Calculator'!A485,'Lorri 401b'!N:N,0),0)</f>
        <v>-923826.60744303907</v>
      </c>
      <c r="S485" s="25">
        <f t="shared" ca="1" si="267"/>
        <v>-2354651.4740015343</v>
      </c>
    </row>
    <row r="486" spans="1:19" ht="15.75" customHeight="1" x14ac:dyDescent="0.25">
      <c r="A486" s="37">
        <v>65746</v>
      </c>
      <c r="B486" s="398">
        <f t="shared" ref="B486:C486" si="487">($A486-B$9)/365.25</f>
        <v>98.124572210814506</v>
      </c>
      <c r="C486" s="398">
        <f t="shared" si="487"/>
        <v>93.51403148528405</v>
      </c>
      <c r="E486" s="25">
        <f>IF(C486&gt;$B$7,0,'Combined Retirement'!$D$13/12)</f>
        <v>0</v>
      </c>
      <c r="F486" s="25">
        <f>IF(H486=0,'Combined Retirement'!$D$32,0)+'Combined Retirement'!$B$24</f>
        <v>2870.372285649099</v>
      </c>
      <c r="G486" s="25">
        <f>'Combined Retirement'!$C$24</f>
        <v>3254.2644699519233</v>
      </c>
      <c r="H486" s="25">
        <f>IF(B486&lt;62,0,'Combined Retirement'!$I$14)</f>
        <v>2345</v>
      </c>
      <c r="I486" s="25">
        <f>IF(C486&lt;62,0,'Combined Retirement'!$I$13)</f>
        <v>2420</v>
      </c>
      <c r="J486" s="25">
        <f t="shared" si="263"/>
        <v>8395.6297298201844</v>
      </c>
      <c r="K486" s="25">
        <f t="shared" si="264"/>
        <v>21655.303514578787</v>
      </c>
      <c r="L486" s="25"/>
      <c r="N486" s="25">
        <f>'Combined Retirement'!$C$18/12</f>
        <v>40940.569999999992</v>
      </c>
      <c r="O486" s="25">
        <f t="shared" si="265"/>
        <v>10889.636755601023</v>
      </c>
      <c r="P486" s="25">
        <f t="shared" si="266"/>
        <v>30050.93324439897</v>
      </c>
      <c r="Q486" s="25">
        <f t="array" aca="1" ref="Q486" ca="1">INDEX('Isaac 401k'!L:L,MATCH('Retirement Calculator'!A486,'Isaac 401k'!N:N,0),0)</f>
        <v>-1445217.2483561831</v>
      </c>
      <c r="R486" s="25">
        <f t="array" aca="1" ref="R486" ca="1">INDEX('Lorri 401b'!L:L,MATCH('Retirement Calculator'!A486,'Lorri 401b'!N:N,0),0)</f>
        <v>-949421.41891994129</v>
      </c>
      <c r="S486" s="25">
        <f t="shared" ca="1" si="267"/>
        <v>-2394638.6672761245</v>
      </c>
    </row>
    <row r="487" spans="1:19" ht="15.75" customHeight="1" x14ac:dyDescent="0.25">
      <c r="A487" s="37">
        <v>65777</v>
      </c>
      <c r="B487" s="398">
        <f t="shared" ref="B487:C487" si="488">($A487-B$9)/365.25</f>
        <v>98.209445585215605</v>
      </c>
      <c r="C487" s="398">
        <f t="shared" si="488"/>
        <v>93.598904859685149</v>
      </c>
      <c r="E487" s="25">
        <f>IF(C487&gt;$B$7,0,'Combined Retirement'!$D$13/12)</f>
        <v>0</v>
      </c>
      <c r="F487" s="25">
        <f>IF(H487=0,'Combined Retirement'!$D$32,0)+'Combined Retirement'!$B$24</f>
        <v>2870.372285649099</v>
      </c>
      <c r="G487" s="25">
        <f>'Combined Retirement'!$C$24</f>
        <v>3254.2644699519233</v>
      </c>
      <c r="H487" s="25">
        <f>IF(B487&lt;62,0,'Combined Retirement'!$I$14)</f>
        <v>2345</v>
      </c>
      <c r="I487" s="25">
        <f>IF(C487&lt;62,0,'Combined Retirement'!$I$13)</f>
        <v>2420</v>
      </c>
      <c r="J487" s="25">
        <f t="shared" si="263"/>
        <v>8395.6297298201844</v>
      </c>
      <c r="K487" s="25">
        <f t="shared" si="264"/>
        <v>21655.303514578787</v>
      </c>
      <c r="L487" s="25"/>
      <c r="N487" s="25">
        <f>'Combined Retirement'!$C$18/12</f>
        <v>40940.569999999992</v>
      </c>
      <c r="O487" s="25">
        <f t="shared" si="265"/>
        <v>10889.636755601023</v>
      </c>
      <c r="P487" s="25">
        <f t="shared" si="266"/>
        <v>30050.93324439897</v>
      </c>
      <c r="Q487" s="25">
        <f t="array" aca="1" ref="Q487" ca="1">INDEX('Isaac 401k'!L:L,MATCH('Retirement Calculator'!A487,'Isaac 401k'!N:N,0),0)</f>
        <v>-1459669.5984113617</v>
      </c>
      <c r="R487" s="25">
        <f t="array" aca="1" ref="R487" ca="1">INDEX('Lorri 401b'!L:L,MATCH('Retirement Calculator'!A487,'Lorri 401b'!N:N,0),0)</f>
        <v>-975122.8754446638</v>
      </c>
      <c r="S487" s="25">
        <f t="shared" ca="1" si="267"/>
        <v>-2434792.4738560254</v>
      </c>
    </row>
    <row r="488" spans="1:19" ht="15.75" customHeight="1" x14ac:dyDescent="0.25">
      <c r="A488" s="37">
        <v>65806</v>
      </c>
      <c r="B488" s="398">
        <f t="shared" ref="B488:C488" si="489">($A488-B$9)/365.25</f>
        <v>98.288843258042434</v>
      </c>
      <c r="C488" s="398">
        <f t="shared" si="489"/>
        <v>93.678302532511978</v>
      </c>
      <c r="E488" s="25">
        <f>IF(C488&gt;$B$7,0,'Combined Retirement'!$D$13/12)</f>
        <v>0</v>
      </c>
      <c r="F488" s="25">
        <f>IF(H488=0,'Combined Retirement'!$D$32,0)+'Combined Retirement'!$B$24</f>
        <v>2870.372285649099</v>
      </c>
      <c r="G488" s="25">
        <f>'Combined Retirement'!$C$24</f>
        <v>3254.2644699519233</v>
      </c>
      <c r="H488" s="25">
        <f>IF(B488&lt;62,0,'Combined Retirement'!$I$14)</f>
        <v>2345</v>
      </c>
      <c r="I488" s="25">
        <f>IF(C488&lt;62,0,'Combined Retirement'!$I$13)</f>
        <v>2420</v>
      </c>
      <c r="J488" s="25">
        <f t="shared" si="263"/>
        <v>8395.6297298201844</v>
      </c>
      <c r="K488" s="25">
        <f t="shared" si="264"/>
        <v>21655.303514578787</v>
      </c>
      <c r="L488" s="25"/>
      <c r="N488" s="25">
        <f>'Combined Retirement'!$C$18/12</f>
        <v>40940.569999999992</v>
      </c>
      <c r="O488" s="25">
        <f t="shared" si="265"/>
        <v>10889.636755601023</v>
      </c>
      <c r="P488" s="25">
        <f t="shared" si="266"/>
        <v>30050.93324439897</v>
      </c>
      <c r="Q488" s="25">
        <f t="array" aca="1" ref="Q488" ca="1">INDEX('Isaac 401k'!L:L,MATCH('Retirement Calculator'!A488,'Isaac 401k'!N:N,0),0)</f>
        <v>-1474182.16659177</v>
      </c>
      <c r="R488" s="25">
        <f t="array" aca="1" ref="R488" ca="1">INDEX('Lorri 401b'!L:L,MATCH('Retirement Calculator'!A488,'Lorri 401b'!N:N,0),0)</f>
        <v>-1000931.4213715728</v>
      </c>
      <c r="S488" s="25">
        <f t="shared" ca="1" si="267"/>
        <v>-2475113.5879633427</v>
      </c>
    </row>
    <row r="489" spans="1:19" ht="15.75" customHeight="1" x14ac:dyDescent="0.25">
      <c r="A489" s="37">
        <v>65837</v>
      </c>
      <c r="B489" s="398">
        <f t="shared" ref="B489:C489" si="490">($A489-B$9)/365.25</f>
        <v>98.373716632443532</v>
      </c>
      <c r="C489" s="398">
        <f t="shared" si="490"/>
        <v>93.763175906913077</v>
      </c>
      <c r="E489" s="25">
        <f>IF(C489&gt;$B$7,0,'Combined Retirement'!$D$13/12)</f>
        <v>0</v>
      </c>
      <c r="F489" s="25">
        <f>IF(H489=0,'Combined Retirement'!$D$32,0)+'Combined Retirement'!$B$24</f>
        <v>2870.372285649099</v>
      </c>
      <c r="G489" s="25">
        <f>'Combined Retirement'!$C$24</f>
        <v>3254.2644699519233</v>
      </c>
      <c r="H489" s="25">
        <f>IF(B489&lt;62,0,'Combined Retirement'!$I$14)</f>
        <v>2345</v>
      </c>
      <c r="I489" s="25">
        <f>IF(C489&lt;62,0,'Combined Retirement'!$I$13)</f>
        <v>2420</v>
      </c>
      <c r="J489" s="25">
        <f t="shared" si="263"/>
        <v>8395.6297298201844</v>
      </c>
      <c r="K489" s="25">
        <f t="shared" si="264"/>
        <v>21655.303514578787</v>
      </c>
      <c r="L489" s="25"/>
      <c r="N489" s="25">
        <f>'Combined Retirement'!$C$18/12</f>
        <v>40940.569999999992</v>
      </c>
      <c r="O489" s="25">
        <f t="shared" si="265"/>
        <v>10889.636755601023</v>
      </c>
      <c r="P489" s="25">
        <f t="shared" si="266"/>
        <v>30050.93324439897</v>
      </c>
      <c r="Q489" s="25">
        <f t="array" aca="1" ref="Q489" ca="1">INDEX('Isaac 401k'!L:L,MATCH('Retirement Calculator'!A489,'Isaac 401k'!N:N,0),0)</f>
        <v>-1488755.2038062634</v>
      </c>
      <c r="R489" s="25">
        <f t="array" aca="1" ref="R489" ca="1">INDEX('Lorri 401b'!L:L,MATCH('Retirement Calculator'!A489,'Lorri 401b'!N:N,0),0)</f>
        <v>-1026847.5029065105</v>
      </c>
      <c r="S489" s="25">
        <f t="shared" ca="1" si="267"/>
        <v>-2515602.706712774</v>
      </c>
    </row>
    <row r="490" spans="1:19" ht="15.75" customHeight="1" x14ac:dyDescent="0.25">
      <c r="A490" s="37">
        <v>65867</v>
      </c>
      <c r="B490" s="398">
        <f t="shared" ref="B490:C490" si="491">($A490-B$9)/365.25</f>
        <v>98.455852156057489</v>
      </c>
      <c r="C490" s="398">
        <f t="shared" si="491"/>
        <v>93.845311430527033</v>
      </c>
      <c r="E490" s="25">
        <f>IF(C490&gt;$B$7,0,'Combined Retirement'!$D$13/12)</f>
        <v>0</v>
      </c>
      <c r="F490" s="25">
        <f>IF(H490=0,'Combined Retirement'!$D$32,0)+'Combined Retirement'!$B$24</f>
        <v>2870.372285649099</v>
      </c>
      <c r="G490" s="25">
        <f>'Combined Retirement'!$C$24</f>
        <v>3254.2644699519233</v>
      </c>
      <c r="H490" s="25">
        <f>IF(B490&lt;62,0,'Combined Retirement'!$I$14)</f>
        <v>2345</v>
      </c>
      <c r="I490" s="25">
        <f>IF(C490&lt;62,0,'Combined Retirement'!$I$13)</f>
        <v>2420</v>
      </c>
      <c r="J490" s="25">
        <f t="shared" si="263"/>
        <v>8395.6297298201844</v>
      </c>
      <c r="K490" s="25">
        <f t="shared" si="264"/>
        <v>21655.303514578787</v>
      </c>
      <c r="L490" s="25"/>
      <c r="N490" s="25">
        <f>'Combined Retirement'!$C$18/12</f>
        <v>40940.569999999992</v>
      </c>
      <c r="O490" s="25">
        <f t="shared" si="265"/>
        <v>10889.636755601023</v>
      </c>
      <c r="P490" s="25">
        <f t="shared" si="266"/>
        <v>30050.93324439897</v>
      </c>
      <c r="Q490" s="25">
        <f t="array" aca="1" ref="Q490" ca="1">INDEX('Isaac 401k'!L:L,MATCH('Retirement Calculator'!A490,'Isaac 401k'!N:N,0),0)</f>
        <v>-1503388.9620091505</v>
      </c>
      <c r="R490" s="25">
        <f t="array" aca="1" ref="R490" ca="1">INDEX('Lorri 401b'!L:L,MATCH('Retirement Calculator'!A490,'Lorri 401b'!N:N,0),0)</f>
        <v>-1052871.5681145105</v>
      </c>
      <c r="S490" s="25">
        <f t="shared" ca="1" si="267"/>
        <v>-2556260.5301236613</v>
      </c>
    </row>
    <row r="491" spans="1:19" ht="15.75" customHeight="1" x14ac:dyDescent="0.25">
      <c r="A491" s="37">
        <v>65898</v>
      </c>
      <c r="B491" s="398">
        <f t="shared" ref="B491:C491" si="492">($A491-B$9)/365.25</f>
        <v>98.540725530458587</v>
      </c>
      <c r="C491" s="398">
        <f t="shared" si="492"/>
        <v>93.930184804928132</v>
      </c>
      <c r="E491" s="25">
        <f>IF(C491&gt;$B$7,0,'Combined Retirement'!$D$13/12)</f>
        <v>0</v>
      </c>
      <c r="F491" s="25">
        <f>IF(H491=0,'Combined Retirement'!$D$32,0)+'Combined Retirement'!$B$24</f>
        <v>2870.372285649099</v>
      </c>
      <c r="G491" s="25">
        <f>'Combined Retirement'!$C$24</f>
        <v>3254.2644699519233</v>
      </c>
      <c r="H491" s="25">
        <f>IF(B491&lt;62,0,'Combined Retirement'!$I$14)</f>
        <v>2345</v>
      </c>
      <c r="I491" s="25">
        <f>IF(C491&lt;62,0,'Combined Retirement'!$I$13)</f>
        <v>2420</v>
      </c>
      <c r="J491" s="25">
        <f t="shared" si="263"/>
        <v>8395.6297298201844</v>
      </c>
      <c r="K491" s="25">
        <f t="shared" si="264"/>
        <v>21655.303514578787</v>
      </c>
      <c r="L491" s="25"/>
      <c r="N491" s="25">
        <f>'Combined Retirement'!$C$18/12</f>
        <v>40940.569999999992</v>
      </c>
      <c r="O491" s="25">
        <f t="shared" si="265"/>
        <v>10889.636755601023</v>
      </c>
      <c r="P491" s="25">
        <f t="shared" si="266"/>
        <v>30050.93324439897</v>
      </c>
      <c r="Q491" s="25">
        <f t="array" aca="1" ref="Q491" ca="1">INDEX('Isaac 401k'!L:L,MATCH('Retirement Calculator'!A491,'Isaac 401k'!N:N,0),0)</f>
        <v>-1518083.6942045498</v>
      </c>
      <c r="R491" s="25">
        <f t="array" aca="1" ref="R491" ca="1">INDEX('Lorri 401b'!L:L,MATCH('Retirement Calculator'!A491,'Lorri 401b'!N:N,0),0)</f>
        <v>-1079004.0669275438</v>
      </c>
      <c r="S491" s="25">
        <f t="shared" ca="1" si="267"/>
        <v>-2597087.7611320936</v>
      </c>
    </row>
    <row r="492" spans="1:19" ht="15.75" customHeight="1" x14ac:dyDescent="0.25">
      <c r="A492" s="37">
        <v>65928</v>
      </c>
      <c r="B492" s="398">
        <f t="shared" ref="B492:C492" si="493">($A492-B$9)/365.25</f>
        <v>98.622861054072558</v>
      </c>
      <c r="C492" s="398">
        <f t="shared" si="493"/>
        <v>94.012320328542089</v>
      </c>
      <c r="E492" s="25">
        <f>IF(C492&gt;$B$7,0,'Combined Retirement'!$D$13/12)</f>
        <v>0</v>
      </c>
      <c r="F492" s="25">
        <f>IF(H492=0,'Combined Retirement'!$D$32,0)+'Combined Retirement'!$B$24</f>
        <v>2870.372285649099</v>
      </c>
      <c r="G492" s="25">
        <f>'Combined Retirement'!$C$24</f>
        <v>3254.2644699519233</v>
      </c>
      <c r="H492" s="25">
        <f>IF(B492&lt;62,0,'Combined Retirement'!$I$14)</f>
        <v>2345</v>
      </c>
      <c r="I492" s="25">
        <f>IF(C492&lt;62,0,'Combined Retirement'!$I$13)</f>
        <v>2420</v>
      </c>
      <c r="J492" s="25">
        <f t="shared" si="263"/>
        <v>8395.6297298201844</v>
      </c>
      <c r="K492" s="25">
        <f t="shared" si="264"/>
        <v>21655.303514578787</v>
      </c>
      <c r="L492" s="25"/>
      <c r="N492" s="25">
        <f>'Combined Retirement'!$C$18/12</f>
        <v>40940.569999999992</v>
      </c>
      <c r="O492" s="25">
        <f t="shared" si="265"/>
        <v>10889.636755601023</v>
      </c>
      <c r="P492" s="25">
        <f t="shared" si="266"/>
        <v>30050.93324439897</v>
      </c>
      <c r="Q492" s="25">
        <f t="array" aca="1" ref="Q492" ca="1">INDEX('Isaac 401k'!L:L,MATCH('Retirement Calculator'!A492,'Isaac 401k'!N:N,0),0)</f>
        <v>-1532839.6544507632</v>
      </c>
      <c r="R492" s="25">
        <f t="array" aca="1" ref="R492" ca="1">INDEX('Lorri 401b'!L:L,MATCH('Retirement Calculator'!A492,'Lorri 401b'!N:N,0),0)</f>
        <v>-1105245.4511522981</v>
      </c>
      <c r="S492" s="25">
        <f t="shared" ca="1" si="267"/>
        <v>-2638085.1056030616</v>
      </c>
    </row>
    <row r="493" spans="1:19" ht="15.75" customHeight="1" x14ac:dyDescent="0.25">
      <c r="A493" s="37">
        <v>65959</v>
      </c>
      <c r="B493" s="398">
        <f t="shared" ref="B493:C493" si="494">($A493-B$9)/365.25</f>
        <v>98.707734428473643</v>
      </c>
      <c r="C493" s="398">
        <f t="shared" si="494"/>
        <v>94.097193702943187</v>
      </c>
      <c r="E493" s="25">
        <f>IF(C493&gt;$B$7,0,'Combined Retirement'!$D$13/12)</f>
        <v>0</v>
      </c>
      <c r="F493" s="25">
        <f>IF(H493=0,'Combined Retirement'!$D$32,0)+'Combined Retirement'!$B$24</f>
        <v>2870.372285649099</v>
      </c>
      <c r="G493" s="25">
        <f>'Combined Retirement'!$C$24</f>
        <v>3254.2644699519233</v>
      </c>
      <c r="H493" s="25">
        <f>IF(B493&lt;62,0,'Combined Retirement'!$I$14)</f>
        <v>2345</v>
      </c>
      <c r="I493" s="25">
        <f>IF(C493&lt;62,0,'Combined Retirement'!$I$13)</f>
        <v>2420</v>
      </c>
      <c r="J493" s="25">
        <f t="shared" si="263"/>
        <v>8395.6297298201844</v>
      </c>
      <c r="K493" s="25">
        <f t="shared" si="264"/>
        <v>21655.303514578787</v>
      </c>
      <c r="L493" s="25"/>
      <c r="N493" s="25">
        <f>'Combined Retirement'!$C$18/12</f>
        <v>40940.569999999992</v>
      </c>
      <c r="O493" s="25">
        <f t="shared" si="265"/>
        <v>10889.636755601023</v>
      </c>
      <c r="P493" s="25">
        <f t="shared" si="266"/>
        <v>30050.93324439897</v>
      </c>
      <c r="Q493" s="25">
        <f t="array" aca="1" ref="Q493" ca="1">INDEX('Isaac 401k'!L:L,MATCH('Retirement Calculator'!A493,'Isaac 401k'!N:N,0),0)</f>
        <v>-1547657.0978646693</v>
      </c>
      <c r="R493" s="25">
        <f t="array" aca="1" ref="R493" ca="1">INDEX('Lorri 401b'!L:L,MATCH('Retirement Calculator'!A493,'Lorri 401b'!N:N,0),0)</f>
        <v>-1131596.1744779889</v>
      </c>
      <c r="S493" s="25">
        <f t="shared" ca="1" si="267"/>
        <v>-2679253.2723426581</v>
      </c>
    </row>
    <row r="494" spans="1:19" ht="15.75" customHeight="1" x14ac:dyDescent="0.25">
      <c r="A494" s="37">
        <v>65990</v>
      </c>
      <c r="B494" s="398">
        <f t="shared" ref="B494:C494" si="495">($A494-B$9)/365.25</f>
        <v>98.792607802874741</v>
      </c>
      <c r="C494" s="398">
        <f t="shared" si="495"/>
        <v>94.182067077344286</v>
      </c>
      <c r="E494" s="25">
        <f>IF(C494&gt;$B$7,0,'Combined Retirement'!$D$13/12)</f>
        <v>0</v>
      </c>
      <c r="F494" s="25">
        <f>IF(H494=0,'Combined Retirement'!$D$32,0)+'Combined Retirement'!$B$24</f>
        <v>2870.372285649099</v>
      </c>
      <c r="G494" s="25">
        <f>'Combined Retirement'!$C$24</f>
        <v>3254.2644699519233</v>
      </c>
      <c r="H494" s="25">
        <f>IF(B494&lt;62,0,'Combined Retirement'!$I$14)</f>
        <v>2345</v>
      </c>
      <c r="I494" s="25">
        <f>IF(C494&lt;62,0,'Combined Retirement'!$I$13)</f>
        <v>2420</v>
      </c>
      <c r="J494" s="25">
        <f t="shared" si="263"/>
        <v>8395.6297298201844</v>
      </c>
      <c r="K494" s="25">
        <f t="shared" si="264"/>
        <v>21655.303514578787</v>
      </c>
      <c r="L494" s="25"/>
      <c r="N494" s="25">
        <f>'Combined Retirement'!$C$18/12</f>
        <v>40940.569999999992</v>
      </c>
      <c r="O494" s="25">
        <f t="shared" si="265"/>
        <v>10889.636755601023</v>
      </c>
      <c r="P494" s="25">
        <f t="shared" si="266"/>
        <v>30050.93324439897</v>
      </c>
      <c r="Q494" s="25">
        <f t="array" aca="1" ref="Q494" ca="1">INDEX('Isaac 401k'!L:L,MATCH('Retirement Calculator'!A494,'Isaac 401k'!N:N,0),0)</f>
        <v>-1562536.2806261331</v>
      </c>
      <c r="R494" s="25">
        <f t="array" aca="1" ref="R494" ca="1">INDEX('Lorri 401b'!L:L,MATCH('Retirement Calculator'!A494,'Lorri 401b'!N:N,0),0)</f>
        <v>-1158056.6924842035</v>
      </c>
      <c r="S494" s="25">
        <f t="shared" ca="1" si="267"/>
        <v>-2720592.9731103368</v>
      </c>
    </row>
    <row r="495" spans="1:19" ht="15.75" customHeight="1" x14ac:dyDescent="0.25">
      <c r="A495" s="37">
        <v>66020</v>
      </c>
      <c r="B495" s="398">
        <f t="shared" ref="B495:C495" si="496">($A495-B$9)/365.25</f>
        <v>98.874743326488712</v>
      </c>
      <c r="C495" s="398">
        <f t="shared" si="496"/>
        <v>94.264202600958242</v>
      </c>
      <c r="E495" s="25">
        <f>IF(C495&gt;$B$7,0,'Combined Retirement'!$D$13/12)</f>
        <v>0</v>
      </c>
      <c r="F495" s="25">
        <f>IF(H495=0,'Combined Retirement'!$D$32,0)+'Combined Retirement'!$B$24</f>
        <v>2870.372285649099</v>
      </c>
      <c r="G495" s="25">
        <f>'Combined Retirement'!$C$24</f>
        <v>3254.2644699519233</v>
      </c>
      <c r="H495" s="25">
        <f>IF(B495&lt;62,0,'Combined Retirement'!$I$14)</f>
        <v>2345</v>
      </c>
      <c r="I495" s="25">
        <f>IF(C495&lt;62,0,'Combined Retirement'!$I$13)</f>
        <v>2420</v>
      </c>
      <c r="J495" s="25">
        <f t="shared" si="263"/>
        <v>8395.6297298201844</v>
      </c>
      <c r="K495" s="25">
        <f t="shared" si="264"/>
        <v>21655.303514578787</v>
      </c>
      <c r="L495" s="25"/>
      <c r="N495" s="25">
        <f>'Combined Retirement'!$C$18/12</f>
        <v>40940.569999999992</v>
      </c>
      <c r="O495" s="25">
        <f t="shared" si="265"/>
        <v>10889.636755601023</v>
      </c>
      <c r="P495" s="25">
        <f t="shared" si="266"/>
        <v>30050.93324439897</v>
      </c>
      <c r="Q495" s="25">
        <f t="array" aca="1" ref="Q495" ca="1">INDEX('Isaac 401k'!L:L,MATCH('Retirement Calculator'!A495,'Isaac 401k'!N:N,0),0)</f>
        <v>-1577477.4599824364</v>
      </c>
      <c r="R495" s="25">
        <f t="array" aca="1" ref="R495" ca="1">INDEX('Lorri 401b'!L:L,MATCH('Retirement Calculator'!A495,'Lorri 401b'!N:N,0),0)</f>
        <v>-1184627.4626487773</v>
      </c>
      <c r="S495" s="25">
        <f t="shared" ca="1" si="267"/>
        <v>-2762104.9226312134</v>
      </c>
    </row>
    <row r="496" spans="1:19" ht="15.75" customHeight="1" x14ac:dyDescent="0.25">
      <c r="A496" s="37">
        <v>66051</v>
      </c>
      <c r="B496" s="398">
        <f t="shared" ref="B496:C496" si="497">($A496-B$9)/365.25</f>
        <v>98.959616700889796</v>
      </c>
      <c r="C496" s="398">
        <f t="shared" si="497"/>
        <v>94.349075975359341</v>
      </c>
      <c r="E496" s="25">
        <f>IF(C496&gt;$B$7,0,'Combined Retirement'!$D$13/12)</f>
        <v>0</v>
      </c>
      <c r="F496" s="25">
        <f>IF(H496=0,'Combined Retirement'!$D$32,0)+'Combined Retirement'!$B$24</f>
        <v>2870.372285649099</v>
      </c>
      <c r="G496" s="25">
        <f>'Combined Retirement'!$C$24</f>
        <v>3254.2644699519233</v>
      </c>
      <c r="H496" s="25">
        <f>IF(B496&lt;62,0,'Combined Retirement'!$I$14)</f>
        <v>2345</v>
      </c>
      <c r="I496" s="25">
        <f>IF(C496&lt;62,0,'Combined Retirement'!$I$13)</f>
        <v>2420</v>
      </c>
      <c r="J496" s="25">
        <f t="shared" si="263"/>
        <v>8395.6297298201844</v>
      </c>
      <c r="K496" s="25">
        <f t="shared" si="264"/>
        <v>21655.303514578787</v>
      </c>
      <c r="L496" s="25"/>
      <c r="N496" s="25">
        <f>'Combined Retirement'!$C$18/12</f>
        <v>40940.569999999992</v>
      </c>
      <c r="O496" s="25">
        <f t="shared" si="265"/>
        <v>10889.636755601023</v>
      </c>
      <c r="P496" s="25">
        <f t="shared" si="266"/>
        <v>30050.93324439897</v>
      </c>
      <c r="Q496" s="25">
        <f t="array" aca="1" ref="Q496" ca="1">INDEX('Isaac 401k'!L:L,MATCH('Retirement Calculator'!A496,'Isaac 401k'!N:N,0),0)</f>
        <v>-1592480.8942527242</v>
      </c>
      <c r="R496" s="25">
        <f t="array" aca="1" ref="R496" ca="1">INDEX('Lorri 401b'!L:L,MATCH('Retirement Calculator'!A496,'Lorri 401b'!N:N,0),0)</f>
        <v>-1211308.9443557034</v>
      </c>
      <c r="S496" s="25">
        <f t="shared" ca="1" si="267"/>
        <v>-2803789.8386084279</v>
      </c>
    </row>
    <row r="497" spans="1:19" ht="15.75" customHeight="1" x14ac:dyDescent="0.25">
      <c r="A497" s="37">
        <v>66081</v>
      </c>
      <c r="B497" s="398">
        <f t="shared" ref="B497:C497" si="498">($A497-B$9)/365.25</f>
        <v>99.041752224503767</v>
      </c>
      <c r="C497" s="398">
        <f t="shared" si="498"/>
        <v>94.431211498973312</v>
      </c>
      <c r="E497" s="25">
        <f>IF(C497&gt;$B$7,0,'Combined Retirement'!$D$13/12)</f>
        <v>0</v>
      </c>
      <c r="F497" s="25">
        <f>IF(H497=0,'Combined Retirement'!$D$32,0)+'Combined Retirement'!$B$24</f>
        <v>2870.372285649099</v>
      </c>
      <c r="G497" s="25">
        <f>'Combined Retirement'!$C$24</f>
        <v>3254.2644699519233</v>
      </c>
      <c r="H497" s="25">
        <f>IF(B497&lt;62,0,'Combined Retirement'!$I$14)</f>
        <v>2345</v>
      </c>
      <c r="I497" s="25">
        <f>IF(C497&lt;62,0,'Combined Retirement'!$I$13)</f>
        <v>2420</v>
      </c>
      <c r="J497" s="25">
        <f t="shared" si="263"/>
        <v>8395.6297298201844</v>
      </c>
      <c r="K497" s="25">
        <f t="shared" si="264"/>
        <v>21655.303514578787</v>
      </c>
      <c r="L497" s="25"/>
      <c r="N497" s="25">
        <f>'Combined Retirement'!$C$18/12</f>
        <v>40940.569999999992</v>
      </c>
      <c r="O497" s="25">
        <f t="shared" si="265"/>
        <v>10889.636755601023</v>
      </c>
      <c r="P497" s="25">
        <f t="shared" si="266"/>
        <v>30050.93324439897</v>
      </c>
      <c r="Q497" s="25">
        <f t="array" aca="1" ref="Q497" ca="1">INDEX('Isaac 401k'!L:L,MATCH('Retirement Calculator'!A497,'Isaac 401k'!N:N,0),0)</f>
        <v>-1607546.8428324717</v>
      </c>
      <c r="R497" s="25">
        <f t="array" aca="1" ref="R497" ca="1">INDEX('Lorri 401b'!L:L,MATCH('Retirement Calculator'!A497,'Lorri 401b'!N:N,0),0)</f>
        <v>-1238101.5989030751</v>
      </c>
      <c r="S497" s="25">
        <f t="shared" ca="1" si="267"/>
        <v>-2845648.441735547</v>
      </c>
    </row>
    <row r="498" spans="1:19" ht="15.75" customHeight="1" x14ac:dyDescent="0.25">
      <c r="A498" s="37">
        <v>66112</v>
      </c>
      <c r="B498" s="398">
        <f t="shared" ref="B498:C498" si="499">($A498-B$9)/365.25</f>
        <v>99.126625598904866</v>
      </c>
      <c r="C498" s="398">
        <f t="shared" si="499"/>
        <v>94.516084873374396</v>
      </c>
      <c r="E498" s="25">
        <f>IF(C498&gt;$B$7,0,'Combined Retirement'!$D$13/12)</f>
        <v>0</v>
      </c>
      <c r="F498" s="25">
        <f>IF(H498=0,'Combined Retirement'!$D$32,0)+'Combined Retirement'!$B$24</f>
        <v>2870.372285649099</v>
      </c>
      <c r="G498" s="25">
        <f>'Combined Retirement'!$C$24</f>
        <v>3254.2644699519233</v>
      </c>
      <c r="H498" s="25">
        <f>IF(B498&lt;62,0,'Combined Retirement'!$I$14)</f>
        <v>2345</v>
      </c>
      <c r="I498" s="25">
        <f>IF(C498&lt;62,0,'Combined Retirement'!$I$13)</f>
        <v>2420</v>
      </c>
      <c r="J498" s="25">
        <f t="shared" si="263"/>
        <v>8395.6297298201844</v>
      </c>
      <c r="K498" s="25">
        <f t="shared" si="264"/>
        <v>21655.303514578787</v>
      </c>
      <c r="L498" s="25"/>
      <c r="N498" s="25">
        <f>'Combined Retirement'!$C$18/12</f>
        <v>40940.569999999992</v>
      </c>
      <c r="O498" s="25">
        <f t="shared" si="265"/>
        <v>10889.636755601023</v>
      </c>
      <c r="P498" s="25">
        <f t="shared" si="266"/>
        <v>30050.93324439897</v>
      </c>
      <c r="Q498" s="25">
        <f t="array" aca="1" ref="Q498" ca="1">INDEX('Isaac 401k'!L:L,MATCH('Retirement Calculator'!A498,'Isaac 401k'!N:N,0),0)</f>
        <v>-1622675.5661979681</v>
      </c>
      <c r="R498" s="25">
        <f t="array" aca="1" ref="R498" ca="1">INDEX('Lorri 401b'!L:L,MATCH('Retirement Calculator'!A498,'Lorri 401b'!N:N,0),0)</f>
        <v>-1265005.8895110609</v>
      </c>
      <c r="S498" s="25">
        <f t="shared" ca="1" si="267"/>
        <v>-2887681.455709029</v>
      </c>
    </row>
    <row r="499" spans="1:19" ht="15.75" customHeight="1" x14ac:dyDescent="0.25">
      <c r="A499" s="37">
        <v>66143</v>
      </c>
      <c r="B499" s="398">
        <f t="shared" ref="B499:C499" si="500">($A499-B$9)/365.25</f>
        <v>99.21149897330595</v>
      </c>
      <c r="C499" s="398">
        <f t="shared" si="500"/>
        <v>94.600958247775495</v>
      </c>
      <c r="E499" s="25">
        <f>IF(C499&gt;$B$7,0,'Combined Retirement'!$D$13/12)</f>
        <v>0</v>
      </c>
      <c r="F499" s="25">
        <f>IF(H499=0,'Combined Retirement'!$D$32,0)+'Combined Retirement'!$B$24</f>
        <v>2870.372285649099</v>
      </c>
      <c r="G499" s="25">
        <f>'Combined Retirement'!$C$24</f>
        <v>3254.2644699519233</v>
      </c>
      <c r="H499" s="25">
        <f>IF(B499&lt;62,0,'Combined Retirement'!$I$14)</f>
        <v>2345</v>
      </c>
      <c r="I499" s="25">
        <f>IF(C499&lt;62,0,'Combined Retirement'!$I$13)</f>
        <v>2420</v>
      </c>
      <c r="J499" s="25">
        <f t="shared" si="263"/>
        <v>8395.6297298201844</v>
      </c>
      <c r="K499" s="25">
        <f t="shared" si="264"/>
        <v>21655.303514578787</v>
      </c>
      <c r="L499" s="25"/>
      <c r="N499" s="25">
        <f>'Combined Retirement'!$C$18/12</f>
        <v>40940.569999999992</v>
      </c>
      <c r="O499" s="25">
        <f t="shared" si="265"/>
        <v>10889.636755601023</v>
      </c>
      <c r="P499" s="25">
        <f t="shared" si="266"/>
        <v>30050.93324439897</v>
      </c>
      <c r="Q499" s="25">
        <f t="array" aca="1" ref="Q499" ca="1">INDEX('Isaac 401k'!L:L,MATCH('Retirement Calculator'!A499,'Isaac 401k'!N:N,0),0)</f>
        <v>-1637867.3259108206</v>
      </c>
      <c r="R499" s="25">
        <f t="array" aca="1" ref="R499" ca="1">INDEX('Lorri 401b'!L:L,MATCH('Retirement Calculator'!A499,'Lorri 401b'!N:N,0),0)</f>
        <v>-1292022.2813299133</v>
      </c>
      <c r="S499" s="25">
        <f t="shared" ca="1" si="267"/>
        <v>-2929889.6072407337</v>
      </c>
    </row>
    <row r="500" spans="1:19" ht="15.75" customHeight="1" x14ac:dyDescent="0.25">
      <c r="A500" s="37">
        <v>66171</v>
      </c>
      <c r="B500" s="398">
        <f t="shared" ref="B500:C500" si="501">($A500-B$9)/365.25</f>
        <v>99.288158795345652</v>
      </c>
      <c r="C500" s="398">
        <f t="shared" si="501"/>
        <v>94.677618069815196</v>
      </c>
      <c r="E500" s="25">
        <f>IF(C500&gt;$B$7,0,'Combined Retirement'!$D$13/12)</f>
        <v>0</v>
      </c>
      <c r="F500" s="25">
        <f>IF(H500=0,'Combined Retirement'!$D$32,0)+'Combined Retirement'!$B$24</f>
        <v>2870.372285649099</v>
      </c>
      <c r="G500" s="25">
        <f>'Combined Retirement'!$C$24</f>
        <v>3254.2644699519233</v>
      </c>
      <c r="H500" s="25">
        <f>IF(B500&lt;62,0,'Combined Retirement'!$I$14)</f>
        <v>2345</v>
      </c>
      <c r="I500" s="25">
        <f>IF(C500&lt;62,0,'Combined Retirement'!$I$13)</f>
        <v>2420</v>
      </c>
      <c r="J500" s="25">
        <f t="shared" si="263"/>
        <v>8395.6297298201844</v>
      </c>
      <c r="K500" s="25">
        <f t="shared" si="264"/>
        <v>21655.303514578787</v>
      </c>
      <c r="L500" s="25"/>
      <c r="N500" s="25">
        <f>'Combined Retirement'!$C$18/12</f>
        <v>40940.569999999992</v>
      </c>
      <c r="O500" s="25">
        <f t="shared" si="265"/>
        <v>10889.636755601023</v>
      </c>
      <c r="P500" s="25">
        <f t="shared" si="266"/>
        <v>30050.93324439897</v>
      </c>
      <c r="Q500" s="25">
        <f t="array" aca="1" ref="Q500" ca="1">INDEX('Isaac 401k'!L:L,MATCH('Retirement Calculator'!A500,'Isaac 401k'!N:N,0),0)</f>
        <v>-1653122.3846224768</v>
      </c>
      <c r="R500" s="25">
        <f t="array" aca="1" ref="R500" ca="1">INDEX('Lorri 401b'!L:L,MATCH('Retirement Calculator'!A500,'Lorri 401b'!N:N,0),0)</f>
        <v>-1319151.2414480108</v>
      </c>
      <c r="S500" s="25">
        <f t="shared" ca="1" si="267"/>
        <v>-2972273.6260704873</v>
      </c>
    </row>
    <row r="501" spans="1:19" ht="15.75" customHeight="1" x14ac:dyDescent="0.25">
      <c r="A501" s="37">
        <v>66202</v>
      </c>
      <c r="B501" s="398">
        <f t="shared" ref="B501:C501" si="502">($A501-B$9)/365.25</f>
        <v>99.37303216974675</v>
      </c>
      <c r="C501" s="398">
        <f t="shared" si="502"/>
        <v>94.762491444216295</v>
      </c>
      <c r="E501" s="25">
        <f>IF(C501&gt;$B$7,0,'Combined Retirement'!$D$13/12)</f>
        <v>0</v>
      </c>
      <c r="F501" s="25">
        <f>IF(H501=0,'Combined Retirement'!$D$32,0)+'Combined Retirement'!$B$24</f>
        <v>2870.372285649099</v>
      </c>
      <c r="G501" s="25">
        <f>'Combined Retirement'!$C$24</f>
        <v>3254.2644699519233</v>
      </c>
      <c r="H501" s="25">
        <f>IF(B501&lt;62,0,'Combined Retirement'!$I$14)</f>
        <v>2345</v>
      </c>
      <c r="I501" s="25">
        <f>IF(C501&lt;62,0,'Combined Retirement'!$I$13)</f>
        <v>2420</v>
      </c>
      <c r="J501" s="25">
        <f t="shared" si="263"/>
        <v>8395.6297298201844</v>
      </c>
      <c r="K501" s="25">
        <f t="shared" si="264"/>
        <v>21655.303514578787</v>
      </c>
      <c r="L501" s="25"/>
      <c r="N501" s="25">
        <f>'Combined Retirement'!$C$18/12</f>
        <v>40940.569999999992</v>
      </c>
      <c r="O501" s="25">
        <f t="shared" si="265"/>
        <v>10889.636755601023</v>
      </c>
      <c r="P501" s="25">
        <f t="shared" si="266"/>
        <v>30050.93324439897</v>
      </c>
      <c r="Q501" s="25">
        <f t="array" aca="1" ref="Q501" ca="1">INDEX('Isaac 401k'!L:L,MATCH('Retirement Calculator'!A501,'Isaac 401k'!N:N,0),0)</f>
        <v>-1668441.0060787648</v>
      </c>
      <c r="R501" s="25">
        <f t="array" aca="1" ref="R501" ca="1">INDEX('Lorri 401b'!L:L,MATCH('Retirement Calculator'!A501,'Lorri 401b'!N:N,0),0)</f>
        <v>-1346393.2388999336</v>
      </c>
      <c r="S501" s="25">
        <f t="shared" ca="1" si="267"/>
        <v>-3014834.2449786984</v>
      </c>
    </row>
    <row r="502" spans="1:19" ht="15.75" customHeight="1" x14ac:dyDescent="0.25">
      <c r="A502" s="37">
        <v>66232</v>
      </c>
      <c r="B502" s="398">
        <f t="shared" ref="B502:C502" si="503">($A502-B$9)/365.25</f>
        <v>99.455167693360707</v>
      </c>
      <c r="C502" s="398">
        <f t="shared" si="503"/>
        <v>94.844626967830251</v>
      </c>
      <c r="E502" s="25">
        <f>IF(C502&gt;$B$7,0,'Combined Retirement'!$D$13/12)</f>
        <v>0</v>
      </c>
      <c r="F502" s="25">
        <f>IF(H502=0,'Combined Retirement'!$D$32,0)+'Combined Retirement'!$B$24</f>
        <v>2870.372285649099</v>
      </c>
      <c r="G502" s="25">
        <f>'Combined Retirement'!$C$24</f>
        <v>3254.2644699519233</v>
      </c>
      <c r="H502" s="25">
        <f>IF(B502&lt;62,0,'Combined Retirement'!$I$14)</f>
        <v>2345</v>
      </c>
      <c r="I502" s="25">
        <f>IF(C502&lt;62,0,'Combined Retirement'!$I$13)</f>
        <v>2420</v>
      </c>
      <c r="J502" s="25">
        <f t="shared" si="263"/>
        <v>8395.6297298201844</v>
      </c>
      <c r="K502" s="25">
        <f t="shared" si="264"/>
        <v>21655.303514578787</v>
      </c>
      <c r="L502" s="25"/>
      <c r="N502" s="25">
        <f>'Combined Retirement'!$C$18/12</f>
        <v>40940.569999999992</v>
      </c>
      <c r="O502" s="25">
        <f t="shared" si="265"/>
        <v>10889.636755601023</v>
      </c>
      <c r="P502" s="25">
        <f t="shared" si="266"/>
        <v>30050.93324439897</v>
      </c>
      <c r="Q502" s="25">
        <f t="array" aca="1" ref="Q502" ca="1">INDEX('Isaac 401k'!L:L,MATCH('Retirement Calculator'!A502,'Isaac 401k'!N:N,0),0)</f>
        <v>-1683823.4551244541</v>
      </c>
      <c r="R502" s="25">
        <f t="array" aca="1" ref="R502" ca="1">INDEX('Lorri 401b'!L:L,MATCH('Retirement Calculator'!A502,'Lorri 401b'!N:N,0),0)</f>
        <v>-1373748.744674573</v>
      </c>
      <c r="S502" s="25">
        <f t="shared" ca="1" si="267"/>
        <v>-3057572.1997990273</v>
      </c>
    </row>
    <row r="503" spans="1:19" ht="15.75" customHeight="1" x14ac:dyDescent="0.25">
      <c r="A503" s="37">
        <v>66263</v>
      </c>
      <c r="B503" s="398">
        <f t="shared" ref="B503:C503" si="504">($A503-B$9)/365.25</f>
        <v>99.540041067761805</v>
      </c>
      <c r="C503" s="398">
        <f t="shared" si="504"/>
        <v>94.92950034223135</v>
      </c>
      <c r="E503" s="25">
        <f>IF(C503&gt;$B$7,0,'Combined Retirement'!$D$13/12)</f>
        <v>0</v>
      </c>
      <c r="F503" s="25">
        <f>IF(H503=0,'Combined Retirement'!$D$32,0)+'Combined Retirement'!$B$24</f>
        <v>2870.372285649099</v>
      </c>
      <c r="G503" s="25">
        <f>'Combined Retirement'!$C$24</f>
        <v>3254.2644699519233</v>
      </c>
      <c r="H503" s="25">
        <f>IF(B503&lt;62,0,'Combined Retirement'!$I$14)</f>
        <v>2345</v>
      </c>
      <c r="I503" s="25">
        <f>IF(C503&lt;62,0,'Combined Retirement'!$I$13)</f>
        <v>2420</v>
      </c>
      <c r="J503" s="25">
        <f t="shared" si="263"/>
        <v>8395.6297298201844</v>
      </c>
      <c r="K503" s="25">
        <f t="shared" si="264"/>
        <v>21655.303514578787</v>
      </c>
      <c r="L503" s="25"/>
      <c r="N503" s="25">
        <f>'Combined Retirement'!$C$18/12</f>
        <v>40940.569999999992</v>
      </c>
      <c r="O503" s="25">
        <f t="shared" si="265"/>
        <v>10889.636755601023</v>
      </c>
      <c r="P503" s="25">
        <f t="shared" si="266"/>
        <v>30050.93324439897</v>
      </c>
      <c r="Q503" s="25">
        <f t="array" aca="1" ref="Q503" ca="1">INDEX('Isaac 401k'!L:L,MATCH('Retirement Calculator'!A503,'Isaac 401k'!N:N,0),0)</f>
        <v>-1699269.9977078338</v>
      </c>
      <c r="R503" s="25">
        <f t="array" aca="1" ref="R503" ca="1">INDEX('Lorri 401b'!L:L,MATCH('Retirement Calculator'!A503,'Lorri 401b'!N:N,0),0)</f>
        <v>-1401218.2317232732</v>
      </c>
      <c r="S503" s="25">
        <f t="shared" ca="1" si="267"/>
        <v>-3100488.2294311067</v>
      </c>
    </row>
    <row r="504" spans="1:19" ht="15.75" customHeight="1" x14ac:dyDescent="0.25">
      <c r="A504" s="37">
        <v>66293</v>
      </c>
      <c r="B504" s="398">
        <f t="shared" ref="B504:C504" si="505">($A504-B$9)/365.25</f>
        <v>99.622176591375776</v>
      </c>
      <c r="C504" s="398">
        <f t="shared" si="505"/>
        <v>95.011635865845307</v>
      </c>
      <c r="E504" s="25">
        <f>IF(C504&gt;$B$7,0,'Combined Retirement'!$D$13/12)</f>
        <v>0</v>
      </c>
      <c r="F504" s="25">
        <f>IF(H504=0,'Combined Retirement'!$D$32,0)+'Combined Retirement'!$B$24</f>
        <v>2870.372285649099</v>
      </c>
      <c r="G504" s="25">
        <f>'Combined Retirement'!$C$24</f>
        <v>3254.2644699519233</v>
      </c>
      <c r="H504" s="25">
        <f>IF(B504&lt;62,0,'Combined Retirement'!$I$14)</f>
        <v>2345</v>
      </c>
      <c r="I504" s="25">
        <f>IF(C504&lt;62,0,'Combined Retirement'!$I$13)</f>
        <v>2420</v>
      </c>
      <c r="J504" s="25">
        <f t="shared" si="263"/>
        <v>8395.6297298201844</v>
      </c>
      <c r="K504" s="25">
        <f t="shared" si="264"/>
        <v>21655.303514578787</v>
      </c>
      <c r="L504" s="25"/>
      <c r="N504" s="25">
        <f>'Combined Retirement'!$C$18/12</f>
        <v>40940.569999999992</v>
      </c>
      <c r="O504" s="25">
        <f t="shared" si="265"/>
        <v>10889.636755601023</v>
      </c>
      <c r="P504" s="25">
        <f t="shared" si="266"/>
        <v>30050.93324439897</v>
      </c>
      <c r="Q504" s="25">
        <f t="array" aca="1" ref="Q504" ca="1">INDEX('Isaac 401k'!L:L,MATCH('Retirement Calculator'!A504,'Isaac 401k'!N:N,0),0)</f>
        <v>-1714780.900885311</v>
      </c>
      <c r="R504" s="25">
        <f t="array" aca="1" ref="R504" ca="1">INDEX('Lorri 401b'!L:L,MATCH('Retirement Calculator'!A504,'Lorri 401b'!N:N,0),0)</f>
        <v>-1428802.1749680098</v>
      </c>
      <c r="S504" s="25">
        <f t="shared" ca="1" si="267"/>
        <v>-3143583.0758533208</v>
      </c>
    </row>
    <row r="505" spans="1:19" ht="15.75" customHeight="1" x14ac:dyDescent="0.25">
      <c r="A505" s="37">
        <v>66324</v>
      </c>
      <c r="B505" s="398">
        <f t="shared" ref="B505:C505" si="506">($A505-B$9)/365.25</f>
        <v>99.707049965776861</v>
      </c>
      <c r="C505" s="398">
        <f t="shared" si="506"/>
        <v>95.096509240246405</v>
      </c>
      <c r="E505" s="25">
        <f>IF(C505&gt;$B$7,0,'Combined Retirement'!$D$13/12)</f>
        <v>0</v>
      </c>
      <c r="F505" s="25">
        <f>IF(H505=0,'Combined Retirement'!$D$32,0)+'Combined Retirement'!$B$24</f>
        <v>2870.372285649099</v>
      </c>
      <c r="G505" s="25">
        <f>'Combined Retirement'!$C$24</f>
        <v>3254.2644699519233</v>
      </c>
      <c r="H505" s="25">
        <f>IF(B505&lt;62,0,'Combined Retirement'!$I$14)</f>
        <v>2345</v>
      </c>
      <c r="I505" s="25">
        <f>IF(C505&lt;62,0,'Combined Retirement'!$I$13)</f>
        <v>2420</v>
      </c>
      <c r="J505" s="25">
        <f t="shared" si="263"/>
        <v>8395.6297298201844</v>
      </c>
      <c r="K505" s="25">
        <f t="shared" si="264"/>
        <v>21655.303514578787</v>
      </c>
      <c r="L505" s="25"/>
      <c r="N505" s="25">
        <f>'Combined Retirement'!$C$18/12</f>
        <v>40940.569999999992</v>
      </c>
      <c r="O505" s="25">
        <f t="shared" si="265"/>
        <v>10889.636755601023</v>
      </c>
      <c r="P505" s="25">
        <f t="shared" si="266"/>
        <v>30050.93324439897</v>
      </c>
      <c r="Q505" s="25">
        <f t="array" aca="1" ref="Q505" ca="1">INDEX('Isaac 401k'!L:L,MATCH('Retirement Calculator'!A505,'Isaac 401k'!N:N,0),0)</f>
        <v>-1730356.4328260275</v>
      </c>
      <c r="R505" s="25">
        <f t="array" aca="1" ref="R505" ca="1">INDEX('Lorri 401b'!L:L,MATCH('Retirement Calculator'!A505,'Lorri 401b'!N:N,0),0)</f>
        <v>-1456501.0513095995</v>
      </c>
      <c r="S505" s="25">
        <f t="shared" ca="1" si="267"/>
        <v>-3186857.4841356268</v>
      </c>
    </row>
    <row r="506" spans="1:19" ht="15.75" customHeight="1" x14ac:dyDescent="0.25">
      <c r="A506" s="37">
        <v>66355</v>
      </c>
      <c r="B506" s="398">
        <f t="shared" ref="B506:C506" si="507">($A506-B$9)/365.25</f>
        <v>99.791923340177959</v>
      </c>
      <c r="C506" s="398">
        <f t="shared" si="507"/>
        <v>95.181382614647504</v>
      </c>
      <c r="E506" s="25">
        <f>IF(C506&gt;$B$7,0,'Combined Retirement'!$D$13/12)</f>
        <v>0</v>
      </c>
      <c r="F506" s="25">
        <f>IF(H506=0,'Combined Retirement'!$D$32,0)+'Combined Retirement'!$B$24</f>
        <v>2870.372285649099</v>
      </c>
      <c r="G506" s="25">
        <f>'Combined Retirement'!$C$24</f>
        <v>3254.2644699519233</v>
      </c>
      <c r="H506" s="25">
        <f>IF(B506&lt;62,0,'Combined Retirement'!$I$14)</f>
        <v>2345</v>
      </c>
      <c r="I506" s="25">
        <f>IF(C506&lt;62,0,'Combined Retirement'!$I$13)</f>
        <v>2420</v>
      </c>
      <c r="J506" s="25">
        <f t="shared" si="263"/>
        <v>8395.6297298201844</v>
      </c>
      <c r="K506" s="25">
        <f t="shared" si="264"/>
        <v>21655.303514578787</v>
      </c>
      <c r="L506" s="25"/>
      <c r="N506" s="25">
        <f>'Combined Retirement'!$C$18/12</f>
        <v>40940.569999999992</v>
      </c>
      <c r="O506" s="25">
        <f t="shared" si="265"/>
        <v>10889.636755601023</v>
      </c>
      <c r="P506" s="25">
        <f t="shared" si="266"/>
        <v>30050.93324439897</v>
      </c>
      <c r="Q506" s="25">
        <f t="array" aca="1" ref="Q506" ca="1">INDEX('Isaac 401k'!L:L,MATCH('Retirement Calculator'!A506,'Isaac 401k'!N:N,0),0)</f>
        <v>-1745996.862816497</v>
      </c>
      <c r="R506" s="25">
        <f t="array" aca="1" ref="R506" ca="1">INDEX('Lorri 401b'!L:L,MATCH('Retirement Calculator'!A506,'Lorri 401b'!N:N,0),0)</f>
        <v>-1484315.3396359459</v>
      </c>
      <c r="S506" s="25">
        <f t="shared" ca="1" si="267"/>
        <v>-3230312.2024524426</v>
      </c>
    </row>
    <row r="507" spans="1:19" ht="15.75" customHeight="1" x14ac:dyDescent="0.25">
      <c r="A507" s="37">
        <v>66385</v>
      </c>
      <c r="B507" s="398">
        <f t="shared" ref="B507:C507" si="508">($A507-B$9)/365.25</f>
        <v>99.87405886379193</v>
      </c>
      <c r="C507" s="398">
        <f t="shared" si="508"/>
        <v>95.26351813826146</v>
      </c>
      <c r="E507" s="25">
        <f>IF(C507&gt;$B$7,0,'Combined Retirement'!$D$13/12)</f>
        <v>0</v>
      </c>
      <c r="F507" s="25">
        <f>IF(H507=0,'Combined Retirement'!$D$32,0)+'Combined Retirement'!$B$24</f>
        <v>2870.372285649099</v>
      </c>
      <c r="G507" s="25">
        <f>'Combined Retirement'!$C$24</f>
        <v>3254.2644699519233</v>
      </c>
      <c r="H507" s="25">
        <f>IF(B507&lt;62,0,'Combined Retirement'!$I$14)</f>
        <v>2345</v>
      </c>
      <c r="I507" s="25">
        <f>IF(C507&lt;62,0,'Combined Retirement'!$I$13)</f>
        <v>2420</v>
      </c>
      <c r="J507" s="25">
        <f t="shared" si="263"/>
        <v>8395.6297298201844</v>
      </c>
      <c r="K507" s="25">
        <f t="shared" si="264"/>
        <v>21655.303514578787</v>
      </c>
      <c r="L507" s="25"/>
      <c r="N507" s="25">
        <f>'Combined Retirement'!$C$18/12</f>
        <v>40940.569999999992</v>
      </c>
      <c r="O507" s="25">
        <f t="shared" si="265"/>
        <v>10889.636755601023</v>
      </c>
      <c r="P507" s="25">
        <f t="shared" si="266"/>
        <v>30050.93324439897</v>
      </c>
      <c r="Q507" s="25">
        <f t="array" aca="1" ref="Q507" ca="1">INDEX('Isaac 401k'!L:L,MATCH('Retirement Calculator'!A507,'Isaac 401k'!N:N,0),0)</f>
        <v>-1761702.4612652601</v>
      </c>
      <c r="R507" s="25">
        <f t="array" aca="1" ref="R507" ca="1">INDEX('Lorri 401b'!L:L,MATCH('Retirement Calculator'!A507,'Lorri 401b'!N:N,0),0)</f>
        <v>-1512245.5208303186</v>
      </c>
      <c r="S507" s="25">
        <f t="shared" ca="1" si="267"/>
        <v>-3273947.9820955787</v>
      </c>
    </row>
    <row r="508" spans="1:19" ht="15.75" customHeight="1" x14ac:dyDescent="0.25">
      <c r="A508" s="37">
        <v>66416</v>
      </c>
      <c r="B508" s="398">
        <f t="shared" ref="B508:C508" si="509">($A508-B$9)/365.25</f>
        <v>99.958932238193015</v>
      </c>
      <c r="C508" s="398">
        <f t="shared" si="509"/>
        <v>95.348391512662559</v>
      </c>
      <c r="E508" s="25">
        <f>IF(C508&gt;$B$7,0,'Combined Retirement'!$D$13/12)</f>
        <v>0</v>
      </c>
      <c r="F508" s="25">
        <f>IF(H508=0,'Combined Retirement'!$D$32,0)+'Combined Retirement'!$B$24</f>
        <v>2870.372285649099</v>
      </c>
      <c r="G508" s="25">
        <f>'Combined Retirement'!$C$24</f>
        <v>3254.2644699519233</v>
      </c>
      <c r="H508" s="25">
        <f>IF(B508&lt;62,0,'Combined Retirement'!$I$14)</f>
        <v>2345</v>
      </c>
      <c r="I508" s="25">
        <f>IF(C508&lt;62,0,'Combined Retirement'!$I$13)</f>
        <v>2420</v>
      </c>
      <c r="J508" s="25">
        <f t="shared" si="263"/>
        <v>8395.6297298201844</v>
      </c>
      <c r="K508" s="25">
        <f t="shared" si="264"/>
        <v>21655.303514578787</v>
      </c>
      <c r="L508" s="25"/>
      <c r="N508" s="25">
        <f>'Combined Retirement'!$C$18/12</f>
        <v>40940.569999999992</v>
      </c>
      <c r="O508" s="25">
        <f t="shared" si="265"/>
        <v>10889.636755601023</v>
      </c>
      <c r="P508" s="25">
        <f t="shared" si="266"/>
        <v>30050.93324439897</v>
      </c>
      <c r="Q508" s="25">
        <f t="array" aca="1" ref="Q508" ca="1">INDEX('Isaac 401k'!L:L,MATCH('Retirement Calculator'!A508,'Isaac 401k'!N:N,0),0)</f>
        <v>-1777473.4997075598</v>
      </c>
      <c r="R508" s="25">
        <f t="array" aca="1" ref="R508" ca="1">INDEX('Lorri 401b'!L:L,MATCH('Retirement Calculator'!A508,'Lorri 401b'!N:N,0),0)</f>
        <v>-1540292.0777796679</v>
      </c>
      <c r="S508" s="25">
        <f t="shared" ca="1" si="267"/>
        <v>-3317765.5774872275</v>
      </c>
    </row>
    <row r="509" spans="1:19" ht="15.75" customHeight="1" x14ac:dyDescent="0.25">
      <c r="A509" s="37">
        <v>66446</v>
      </c>
      <c r="B509" s="398">
        <f t="shared" ref="B509:C509" si="510">($A509-B$9)/365.25</f>
        <v>100.04106776180699</v>
      </c>
      <c r="C509" s="398">
        <f t="shared" si="510"/>
        <v>95.43052703627653</v>
      </c>
      <c r="E509" s="25">
        <f>IF(C509&gt;$B$7,0,'Combined Retirement'!$D$13/12)</f>
        <v>0</v>
      </c>
      <c r="F509" s="25">
        <f>IF(H509=0,'Combined Retirement'!$D$32,0)+'Combined Retirement'!$B$24</f>
        <v>2870.372285649099</v>
      </c>
      <c r="G509" s="25">
        <f>'Combined Retirement'!$C$24</f>
        <v>3254.2644699519233</v>
      </c>
      <c r="H509" s="25">
        <f>IF(B509&lt;62,0,'Combined Retirement'!$I$14)</f>
        <v>2345</v>
      </c>
      <c r="I509" s="25">
        <f>IF(C509&lt;62,0,'Combined Retirement'!$I$13)</f>
        <v>2420</v>
      </c>
      <c r="J509" s="25">
        <f t="shared" si="263"/>
        <v>8395.6297298201844</v>
      </c>
      <c r="K509" s="25">
        <f t="shared" si="264"/>
        <v>21655.303514578787</v>
      </c>
      <c r="L509" s="25"/>
      <c r="N509" s="25">
        <f>'Combined Retirement'!$C$18/12</f>
        <v>40940.569999999992</v>
      </c>
      <c r="O509" s="25">
        <f t="shared" si="265"/>
        <v>10889.636755601023</v>
      </c>
      <c r="P509" s="25">
        <f t="shared" si="266"/>
        <v>30050.93324439897</v>
      </c>
      <c r="Q509" s="25">
        <f t="array" aca="1" ref="Q509" ca="1">INDEX('Isaac 401k'!L:L,MATCH('Retirement Calculator'!A509,'Isaac 401k'!N:N,0),0)</f>
        <v>-1793310.2508100357</v>
      </c>
      <c r="R509" s="25">
        <f t="array" aca="1" ref="R509" ca="1">INDEX('Lorri 401b'!L:L,MATCH('Retirement Calculator'!A509,'Lorri 401b'!N:N,0),0)</f>
        <v>-1568455.4953829728</v>
      </c>
      <c r="S509" s="25">
        <f t="shared" ca="1" si="267"/>
        <v>-3361765.7461930085</v>
      </c>
    </row>
    <row r="510" spans="1:19" ht="15.75" customHeight="1" x14ac:dyDescent="0.25">
      <c r="A510" s="37">
        <v>66477</v>
      </c>
      <c r="B510" s="398">
        <f t="shared" ref="B510:C510" si="511">($A510-B$9)/365.25</f>
        <v>100.12594113620807</v>
      </c>
      <c r="C510" s="398">
        <f t="shared" si="511"/>
        <v>95.515400410677614</v>
      </c>
      <c r="E510" s="25">
        <f>IF(C510&gt;$B$7,0,'Combined Retirement'!$D$13/12)</f>
        <v>0</v>
      </c>
      <c r="F510" s="25">
        <f>IF(H510=0,'Combined Retirement'!$D$32,0)+'Combined Retirement'!$B$24</f>
        <v>2870.372285649099</v>
      </c>
      <c r="G510" s="25">
        <f>'Combined Retirement'!$C$24</f>
        <v>3254.2644699519233</v>
      </c>
      <c r="H510" s="25">
        <f>IF(B510&lt;62,0,'Combined Retirement'!$I$14)</f>
        <v>2345</v>
      </c>
      <c r="I510" s="25">
        <f>IF(C510&lt;62,0,'Combined Retirement'!$I$13)</f>
        <v>2420</v>
      </c>
      <c r="J510" s="25">
        <f t="shared" si="263"/>
        <v>8395.6297298201844</v>
      </c>
      <c r="K510" s="25">
        <f t="shared" si="264"/>
        <v>21655.303514578787</v>
      </c>
      <c r="L510" s="25"/>
      <c r="N510" s="25">
        <f>'Combined Retirement'!$C$18/12</f>
        <v>40940.569999999992</v>
      </c>
      <c r="O510" s="25">
        <f t="shared" si="265"/>
        <v>10889.636755601023</v>
      </c>
      <c r="P510" s="25">
        <f t="shared" si="266"/>
        <v>30050.93324439897</v>
      </c>
      <c r="Q510" s="25">
        <f t="array" aca="1" ref="Q510" ca="1">INDEX('Isaac 401k'!L:L,MATCH('Retirement Calculator'!A510,'Isaac 401k'!N:N,0),0)</f>
        <v>-1809212.9883754386</v>
      </c>
      <c r="R510" s="25">
        <f t="array" aca="1" ref="R510" ca="1">INDEX('Lorri 401b'!L:L,MATCH('Retirement Calculator'!A510,'Lorri 401b'!N:N,0),0)</f>
        <v>-1596736.2605596248</v>
      </c>
      <c r="S510" s="25">
        <f t="shared" ca="1" si="267"/>
        <v>-3405949.2489350634</v>
      </c>
    </row>
    <row r="511" spans="1:19" ht="15.75" customHeight="1" x14ac:dyDescent="0.25">
      <c r="A511" s="37">
        <v>66508</v>
      </c>
      <c r="B511" s="398">
        <f t="shared" ref="B511:C511" si="512">($A511-B$9)/365.25</f>
        <v>100.21081451060917</v>
      </c>
      <c r="C511" s="398">
        <f t="shared" si="512"/>
        <v>95.600273785078713</v>
      </c>
      <c r="E511" s="25">
        <f>IF(C511&gt;$B$7,0,'Combined Retirement'!$D$13/12)</f>
        <v>0</v>
      </c>
      <c r="F511" s="25">
        <f>IF(H511=0,'Combined Retirement'!$D$32,0)+'Combined Retirement'!$B$24</f>
        <v>2870.372285649099</v>
      </c>
      <c r="G511" s="25">
        <f>'Combined Retirement'!$C$24</f>
        <v>3254.2644699519233</v>
      </c>
      <c r="H511" s="25">
        <f>IF(B511&lt;62,0,'Combined Retirement'!$I$14)</f>
        <v>2345</v>
      </c>
      <c r="I511" s="25">
        <f>IF(C511&lt;62,0,'Combined Retirement'!$I$13)</f>
        <v>2420</v>
      </c>
      <c r="J511" s="25">
        <f t="shared" si="263"/>
        <v>8395.6297298201844</v>
      </c>
      <c r="K511" s="25">
        <f t="shared" si="264"/>
        <v>21655.303514578787</v>
      </c>
      <c r="L511" s="25"/>
      <c r="N511" s="25">
        <f>'Combined Retirement'!$C$18/12</f>
        <v>40940.569999999992</v>
      </c>
      <c r="O511" s="25">
        <f t="shared" si="265"/>
        <v>10889.636755601023</v>
      </c>
      <c r="P511" s="25">
        <f t="shared" si="266"/>
        <v>30050.93324439897</v>
      </c>
      <c r="Q511" s="25">
        <f t="array" aca="1" ref="Q511" ca="1">INDEX('Isaac 401k'!L:L,MATCH('Retirement Calculator'!A511,'Isaac 401k'!N:N,0),0)</f>
        <v>-1825181.987347364</v>
      </c>
      <c r="R511" s="25">
        <f t="array" aca="1" ref="R511" ca="1">INDEX('Lorri 401b'!L:L,MATCH('Retirement Calculator'!A511,'Lorri 401b'!N:N,0),0)</f>
        <v>-1625134.8622578462</v>
      </c>
      <c r="S511" s="25">
        <f t="shared" ca="1" si="267"/>
        <v>-3450316.8496052101</v>
      </c>
    </row>
    <row r="512" spans="1:19" ht="15.75" customHeight="1" x14ac:dyDescent="0.25">
      <c r="A512" s="37">
        <v>66536</v>
      </c>
      <c r="B512" s="398">
        <f t="shared" ref="B512:C512" si="513">($A512-B$9)/365.25</f>
        <v>100.28747433264887</v>
      </c>
      <c r="C512" s="398">
        <f t="shared" si="513"/>
        <v>95.676933607118414</v>
      </c>
      <c r="E512" s="25">
        <f>IF(C512&gt;$B$7,0,'Combined Retirement'!$D$13/12)</f>
        <v>0</v>
      </c>
      <c r="F512" s="25">
        <f>IF(H512=0,'Combined Retirement'!$D$32,0)+'Combined Retirement'!$B$24</f>
        <v>2870.372285649099</v>
      </c>
      <c r="G512" s="25">
        <f>'Combined Retirement'!$C$24</f>
        <v>3254.2644699519233</v>
      </c>
      <c r="H512" s="25">
        <f>IF(B512&lt;62,0,'Combined Retirement'!$I$14)</f>
        <v>2345</v>
      </c>
      <c r="I512" s="25">
        <f>IF(C512&lt;62,0,'Combined Retirement'!$I$13)</f>
        <v>2420</v>
      </c>
      <c r="J512" s="25">
        <f t="shared" si="263"/>
        <v>8395.6297298201844</v>
      </c>
      <c r="K512" s="25">
        <f t="shared" si="264"/>
        <v>21655.303514578787</v>
      </c>
      <c r="L512" s="25"/>
      <c r="N512" s="25">
        <f>'Combined Retirement'!$C$18/12</f>
        <v>40940.569999999992</v>
      </c>
      <c r="O512" s="25">
        <f t="shared" si="265"/>
        <v>10889.636755601023</v>
      </c>
      <c r="P512" s="25">
        <f t="shared" si="266"/>
        <v>30050.93324439897</v>
      </c>
      <c r="Q512" s="25">
        <f t="array" aca="1" ref="Q512" ca="1">INDEX('Isaac 401k'!L:L,MATCH('Retirement Calculator'!A512,'Isaac 401k'!N:N,0),0)</f>
        <v>-1841217.5238150058</v>
      </c>
      <c r="R512" s="25">
        <f t="array" aca="1" ref="R512" ca="1">INDEX('Lorri 401b'!L:L,MATCH('Retirement Calculator'!A512,'Lorri 401b'!N:N,0),0)</f>
        <v>-1653651.7914631434</v>
      </c>
      <c r="S512" s="25">
        <f t="shared" ca="1" si="267"/>
        <v>-3494869.3152781492</v>
      </c>
    </row>
    <row r="513" spans="1:19" ht="15.75" customHeight="1" x14ac:dyDescent="0.25">
      <c r="A513" s="37">
        <v>66567</v>
      </c>
      <c r="B513" s="398">
        <f t="shared" ref="B513:C513" si="514">($A513-B$9)/365.25</f>
        <v>100.37234770704997</v>
      </c>
      <c r="C513" s="398">
        <f t="shared" si="514"/>
        <v>95.761806981519513</v>
      </c>
      <c r="E513" s="25">
        <f>IF(C513&gt;$B$7,0,'Combined Retirement'!$D$13/12)</f>
        <v>0</v>
      </c>
      <c r="F513" s="25">
        <f>IF(H513=0,'Combined Retirement'!$D$32,0)+'Combined Retirement'!$B$24</f>
        <v>2870.372285649099</v>
      </c>
      <c r="G513" s="25">
        <f>'Combined Retirement'!$C$24</f>
        <v>3254.2644699519233</v>
      </c>
      <c r="H513" s="25">
        <f>IF(B513&lt;62,0,'Combined Retirement'!$I$14)</f>
        <v>2345</v>
      </c>
      <c r="I513" s="25">
        <f>IF(C513&lt;62,0,'Combined Retirement'!$I$13)</f>
        <v>2420</v>
      </c>
      <c r="J513" s="25">
        <f t="shared" si="263"/>
        <v>8395.6297298201844</v>
      </c>
      <c r="K513" s="25">
        <f t="shared" si="264"/>
        <v>21655.303514578787</v>
      </c>
      <c r="L513" s="25"/>
      <c r="N513" s="25">
        <f>'Combined Retirement'!$C$18/12</f>
        <v>40940.569999999992</v>
      </c>
      <c r="O513" s="25">
        <f t="shared" si="265"/>
        <v>10889.636755601023</v>
      </c>
      <c r="P513" s="25">
        <f t="shared" si="266"/>
        <v>30050.93324439897</v>
      </c>
      <c r="Q513" s="25">
        <f t="array" aca="1" ref="Q513" ca="1">INDEX('Isaac 401k'!L:L,MATCH('Retirement Calculator'!A513,'Isaac 401k'!N:N,0),0)</f>
        <v>-1857319.8750179294</v>
      </c>
      <c r="R513" s="25">
        <f t="array" aca="1" ref="R513" ca="1">INDEX('Lorri 401b'!L:L,MATCH('Retirement Calculator'!A513,'Lorri 401b'!N:N,0),0)</f>
        <v>-1682287.5412067962</v>
      </c>
      <c r="S513" s="25">
        <f t="shared" ca="1" si="267"/>
        <v>-3539607.4162247255</v>
      </c>
    </row>
    <row r="514" spans="1:19" ht="15.75" customHeight="1" x14ac:dyDescent="0.25">
      <c r="A514" s="37">
        <v>66597</v>
      </c>
      <c r="B514" s="398">
        <f t="shared" ref="B514:C514" si="515">($A514-B$9)/365.25</f>
        <v>100.45448323066393</v>
      </c>
      <c r="C514" s="398">
        <f t="shared" si="515"/>
        <v>95.843942505133469</v>
      </c>
      <c r="E514" s="25">
        <f>IF(C514&gt;$B$7,0,'Combined Retirement'!$D$13/12)</f>
        <v>0</v>
      </c>
      <c r="F514" s="25">
        <f>IF(H514=0,'Combined Retirement'!$D$32,0)+'Combined Retirement'!$B$24</f>
        <v>2870.372285649099</v>
      </c>
      <c r="G514" s="25">
        <f>'Combined Retirement'!$C$24</f>
        <v>3254.2644699519233</v>
      </c>
      <c r="H514" s="25">
        <f>IF(B514&lt;62,0,'Combined Retirement'!$I$14)</f>
        <v>2345</v>
      </c>
      <c r="I514" s="25">
        <f>IF(C514&lt;62,0,'Combined Retirement'!$I$13)</f>
        <v>2420</v>
      </c>
      <c r="J514" s="25">
        <f t="shared" si="263"/>
        <v>8395.6297298201844</v>
      </c>
      <c r="K514" s="25">
        <f t="shared" si="264"/>
        <v>21655.303514578787</v>
      </c>
      <c r="L514" s="25"/>
      <c r="N514" s="25">
        <f>'Combined Retirement'!$C$18/12</f>
        <v>40940.569999999992</v>
      </c>
      <c r="O514" s="25">
        <f t="shared" si="265"/>
        <v>10889.636755601023</v>
      </c>
      <c r="P514" s="25">
        <f t="shared" si="266"/>
        <v>30050.93324439897</v>
      </c>
      <c r="Q514" s="25">
        <f t="array" aca="1" ref="Q514" ca="1">INDEX('Isaac 401k'!L:L,MATCH('Retirement Calculator'!A514,'Isaac 401k'!N:N,0),0)</f>
        <v>-1873489.3193508652</v>
      </c>
      <c r="R514" s="25">
        <f t="array" aca="1" ref="R514" ca="1">INDEX('Lorri 401b'!L:L,MATCH('Retirement Calculator'!A514,'Lorri 401b'!N:N,0),0)</f>
        <v>-1711042.6065743808</v>
      </c>
      <c r="S514" s="25">
        <f t="shared" ca="1" si="267"/>
        <v>-3584531.925925246</v>
      </c>
    </row>
    <row r="515" spans="1:19" ht="15.75" customHeight="1" x14ac:dyDescent="0.25">
      <c r="A515" s="37">
        <v>66628</v>
      </c>
      <c r="B515" s="398">
        <f t="shared" ref="B515:C515" si="516">($A515-B$9)/365.25</f>
        <v>100.53935660506502</v>
      </c>
      <c r="C515" s="398">
        <f t="shared" si="516"/>
        <v>95.928815879534568</v>
      </c>
      <c r="E515" s="25">
        <f>IF(C515&gt;$B$7,0,'Combined Retirement'!$D$13/12)</f>
        <v>0</v>
      </c>
      <c r="F515" s="25">
        <f>IF(H515=0,'Combined Retirement'!$D$32,0)+'Combined Retirement'!$B$24</f>
        <v>2870.372285649099</v>
      </c>
      <c r="G515" s="25">
        <f>'Combined Retirement'!$C$24</f>
        <v>3254.2644699519233</v>
      </c>
      <c r="H515" s="25">
        <f>IF(B515&lt;62,0,'Combined Retirement'!$I$14)</f>
        <v>2345</v>
      </c>
      <c r="I515" s="25">
        <f>IF(C515&lt;62,0,'Combined Retirement'!$I$13)</f>
        <v>2420</v>
      </c>
      <c r="J515" s="25">
        <f t="shared" si="263"/>
        <v>8395.6297298201844</v>
      </c>
      <c r="K515" s="25">
        <f t="shared" si="264"/>
        <v>21655.303514578787</v>
      </c>
      <c r="L515" s="25"/>
      <c r="N515" s="25">
        <f>'Combined Retirement'!$C$18/12</f>
        <v>40940.569999999992</v>
      </c>
      <c r="O515" s="25">
        <f t="shared" si="265"/>
        <v>10889.636755601023</v>
      </c>
      <c r="P515" s="25">
        <f t="shared" si="266"/>
        <v>30050.93324439897</v>
      </c>
      <c r="Q515" s="25">
        <f t="array" aca="1" ref="Q515" ca="1">INDEX('Isaac 401k'!L:L,MATCH('Retirement Calculator'!A515,'Isaac 401k'!N:N,0),0)</f>
        <v>-1889726.1363685215</v>
      </c>
      <c r="R515" s="25">
        <f t="array" aca="1" ref="R515" ca="1">INDEX('Lorri 401b'!L:L,MATCH('Retirement Calculator'!A515,'Lorri 401b'!N:N,0),0)</f>
        <v>-1739917.4847143302</v>
      </c>
      <c r="S515" s="25">
        <f t="shared" ca="1" si="267"/>
        <v>-3629643.6210828517</v>
      </c>
    </row>
    <row r="516" spans="1:19" ht="15.75" customHeight="1" x14ac:dyDescent="0.25">
      <c r="A516" s="37">
        <v>66658</v>
      </c>
      <c r="B516" s="398">
        <f t="shared" ref="B516:C516" si="517">($A516-B$9)/365.25</f>
        <v>100.62149212867898</v>
      </c>
      <c r="C516" s="398">
        <f t="shared" si="517"/>
        <v>96.010951403148525</v>
      </c>
      <c r="E516" s="25">
        <f>IF(C516&gt;$B$7,0,'Combined Retirement'!$D$13/12)</f>
        <v>0</v>
      </c>
      <c r="F516" s="25">
        <f>IF(H516=0,'Combined Retirement'!$D$32,0)+'Combined Retirement'!$B$24</f>
        <v>2870.372285649099</v>
      </c>
      <c r="G516" s="25">
        <f>'Combined Retirement'!$C$24</f>
        <v>3254.2644699519233</v>
      </c>
      <c r="H516" s="25">
        <f>IF(B516&lt;62,0,'Combined Retirement'!$I$14)</f>
        <v>2345</v>
      </c>
      <c r="I516" s="25">
        <f>IF(C516&lt;62,0,'Combined Retirement'!$I$13)</f>
        <v>2420</v>
      </c>
      <c r="J516" s="25">
        <f t="shared" si="263"/>
        <v>8395.6297298201844</v>
      </c>
      <c r="K516" s="25">
        <f t="shared" si="264"/>
        <v>21655.303514578787</v>
      </c>
      <c r="L516" s="25"/>
      <c r="N516" s="25">
        <f>'Combined Retirement'!$C$18/12</f>
        <v>40940.569999999992</v>
      </c>
      <c r="O516" s="25">
        <f t="shared" si="265"/>
        <v>10889.636755601023</v>
      </c>
      <c r="P516" s="25">
        <f t="shared" si="266"/>
        <v>30050.93324439897</v>
      </c>
      <c r="Q516" s="25">
        <f t="array" aca="1" ref="Q516" ca="1">INDEX('Isaac 401k'!L:L,MATCH('Retirement Calculator'!A516,'Isaac 401k'!N:N,0),0)</f>
        <v>-1906030.606790418</v>
      </c>
      <c r="R516" s="25">
        <f t="array" aca="1" ref="R516" ca="1">INDEX('Lorri 401b'!L:L,MATCH('Retirement Calculator'!A516,'Lorri 401b'!N:N,0),0)</f>
        <v>-1768912.6748465295</v>
      </c>
      <c r="S516" s="25">
        <f t="shared" ca="1" si="267"/>
        <v>-3674943.2816369478</v>
      </c>
    </row>
    <row r="517" spans="1:19" ht="15.75" customHeight="1" x14ac:dyDescent="0.25">
      <c r="A517" s="37">
        <v>66689</v>
      </c>
      <c r="B517" s="398">
        <f t="shared" ref="B517:C517" si="518">($A517-B$9)/365.25</f>
        <v>100.70636550308008</v>
      </c>
      <c r="C517" s="398">
        <f t="shared" si="518"/>
        <v>96.095824777549623</v>
      </c>
      <c r="E517" s="25">
        <f>IF(C517&gt;$B$7,0,'Combined Retirement'!$D$13/12)</f>
        <v>0</v>
      </c>
      <c r="F517" s="25">
        <f>IF(H517=0,'Combined Retirement'!$D$32,0)+'Combined Retirement'!$B$24</f>
        <v>2870.372285649099</v>
      </c>
      <c r="G517" s="25">
        <f>'Combined Retirement'!$C$24</f>
        <v>3254.2644699519233</v>
      </c>
      <c r="H517" s="25">
        <f>IF(B517&lt;62,0,'Combined Retirement'!$I$14)</f>
        <v>2345</v>
      </c>
      <c r="I517" s="25">
        <f>IF(C517&lt;62,0,'Combined Retirement'!$I$13)</f>
        <v>2420</v>
      </c>
      <c r="J517" s="25">
        <f t="shared" si="263"/>
        <v>8395.6297298201844</v>
      </c>
      <c r="K517" s="25">
        <f t="shared" si="264"/>
        <v>21655.303514578787</v>
      </c>
      <c r="L517" s="25"/>
      <c r="N517" s="25">
        <f>'Combined Retirement'!$C$18/12</f>
        <v>40940.569999999992</v>
      </c>
      <c r="O517" s="25">
        <f t="shared" si="265"/>
        <v>10889.636755601023</v>
      </c>
      <c r="P517" s="25">
        <f t="shared" si="266"/>
        <v>30050.93324439897</v>
      </c>
      <c r="Q517" s="25">
        <f t="array" aca="1" ref="Q517" ca="1">INDEX('Isaac 401k'!L:L,MATCH('Retirement Calculator'!A517,'Isaac 401k'!N:N,0),0)</f>
        <v>-1922403.0125057392</v>
      </c>
      <c r="R517" s="25">
        <f t="array" aca="1" ref="R517" ca="1">INDEX('Lorri 401b'!L:L,MATCH('Retirement Calculator'!A517,'Lorri 401b'!N:N,0),0)</f>
        <v>-1798028.6782709463</v>
      </c>
      <c r="S517" s="25">
        <f t="shared" ca="1" si="267"/>
        <v>-3720431.6907766853</v>
      </c>
    </row>
    <row r="518" spans="1:19" ht="15.75" customHeight="1" x14ac:dyDescent="0.25">
      <c r="A518" s="37">
        <v>66720</v>
      </c>
      <c r="B518" s="398">
        <f t="shared" ref="B518:C518" si="519">($A518-B$9)/365.25</f>
        <v>100.79123887748118</v>
      </c>
      <c r="C518" s="398">
        <f t="shared" si="519"/>
        <v>96.180698151950722</v>
      </c>
      <c r="E518" s="25">
        <f>IF(C518&gt;$B$7,0,'Combined Retirement'!$D$13/12)</f>
        <v>0</v>
      </c>
      <c r="F518" s="25">
        <f>IF(H518=0,'Combined Retirement'!$D$32,0)+'Combined Retirement'!$B$24</f>
        <v>2870.372285649099</v>
      </c>
      <c r="G518" s="25">
        <f>'Combined Retirement'!$C$24</f>
        <v>3254.2644699519233</v>
      </c>
      <c r="H518" s="25">
        <f>IF(B518&lt;62,0,'Combined Retirement'!$I$14)</f>
        <v>2345</v>
      </c>
      <c r="I518" s="25">
        <f>IF(C518&lt;62,0,'Combined Retirement'!$I$13)</f>
        <v>2420</v>
      </c>
      <c r="J518" s="25">
        <f t="shared" si="263"/>
        <v>8395.6297298201844</v>
      </c>
      <c r="K518" s="25">
        <f t="shared" si="264"/>
        <v>21655.303514578787</v>
      </c>
      <c r="L518" s="25"/>
      <c r="N518" s="25">
        <f>'Combined Retirement'!$C$18/12</f>
        <v>40940.569999999992</v>
      </c>
      <c r="O518" s="25">
        <f t="shared" si="265"/>
        <v>10889.636755601023</v>
      </c>
      <c r="P518" s="25">
        <f t="shared" si="266"/>
        <v>30050.93324439897</v>
      </c>
      <c r="Q518" s="25">
        <f t="array" aca="1" ref="Q518" ca="1">INDEX('Isaac 401k'!L:L,MATCH('Retirement Calculator'!A518,'Isaac 401k'!N:N,0),0)</f>
        <v>-1938843.6365782076</v>
      </c>
      <c r="R518" s="25">
        <f t="array" aca="1" ref="R518" ca="1">INDEX('Lorri 401b'!L:L,MATCH('Retirement Calculator'!A518,'Lorri 401b'!N:N,0),0)</f>
        <v>-1827265.9983762982</v>
      </c>
      <c r="S518" s="25">
        <f t="shared" ca="1" si="267"/>
        <v>-3766109.6349545056</v>
      </c>
    </row>
    <row r="519" spans="1:19" ht="15.75" customHeight="1" x14ac:dyDescent="0.25">
      <c r="A519" s="37">
        <v>66750</v>
      </c>
      <c r="B519" s="398">
        <f t="shared" ref="B519:C519" si="520">($A519-B$9)/365.25</f>
        <v>100.87337440109513</v>
      </c>
      <c r="C519" s="398">
        <f t="shared" si="520"/>
        <v>96.262833675564679</v>
      </c>
      <c r="E519" s="25">
        <f>IF(C519&gt;$B$7,0,'Combined Retirement'!$D$13/12)</f>
        <v>0</v>
      </c>
      <c r="F519" s="25">
        <f>IF(H519=0,'Combined Retirement'!$D$32,0)+'Combined Retirement'!$B$24</f>
        <v>2870.372285649099</v>
      </c>
      <c r="G519" s="25">
        <f>'Combined Retirement'!$C$24</f>
        <v>3254.2644699519233</v>
      </c>
      <c r="H519" s="25">
        <f>IF(B519&lt;62,0,'Combined Retirement'!$I$14)</f>
        <v>2345</v>
      </c>
      <c r="I519" s="25">
        <f>IF(C519&lt;62,0,'Combined Retirement'!$I$13)</f>
        <v>2420</v>
      </c>
      <c r="J519" s="25">
        <f t="shared" si="263"/>
        <v>8395.6297298201844</v>
      </c>
      <c r="K519" s="25">
        <f t="shared" si="264"/>
        <v>21655.303514578787</v>
      </c>
      <c r="L519" s="25"/>
      <c r="N519" s="25">
        <f>'Combined Retirement'!$C$18/12</f>
        <v>40940.569999999992</v>
      </c>
      <c r="O519" s="25">
        <f t="shared" si="265"/>
        <v>10889.636755601023</v>
      </c>
      <c r="P519" s="25">
        <f t="shared" si="266"/>
        <v>30050.93324439897</v>
      </c>
      <c r="Q519" s="25">
        <f t="array" aca="1" ref="Q519" ca="1">INDEX('Isaac 401k'!L:L,MATCH('Retirement Calculator'!A519,'Isaac 401k'!N:N,0),0)</f>
        <v>-1955352.763250978</v>
      </c>
      <c r="R519" s="25">
        <f t="array" aca="1" ref="R519" ca="1">INDEX('Lorri 401b'!L:L,MATCH('Retirement Calculator'!A519,'Lorri 401b'!N:N,0),0)</f>
        <v>-1856625.1406487557</v>
      </c>
      <c r="S519" s="25">
        <f t="shared" ca="1" si="267"/>
        <v>-3811977.9038997339</v>
      </c>
    </row>
    <row r="520" spans="1:19" ht="15.75" customHeight="1" x14ac:dyDescent="0.25">
      <c r="A520" s="37">
        <v>66781</v>
      </c>
      <c r="B520" s="398">
        <f t="shared" ref="B520:C520" si="521">($A520-B$9)/365.25</f>
        <v>100.95824777549623</v>
      </c>
      <c r="C520" s="398">
        <f t="shared" si="521"/>
        <v>96.347707049965777</v>
      </c>
      <c r="E520" s="25">
        <f>IF(C520&gt;$B$7,0,'Combined Retirement'!$D$13/12)</f>
        <v>0</v>
      </c>
      <c r="F520" s="25">
        <f>IF(H520=0,'Combined Retirement'!$D$32,0)+'Combined Retirement'!$B$24</f>
        <v>2870.372285649099</v>
      </c>
      <c r="G520" s="25">
        <f>'Combined Retirement'!$C$24</f>
        <v>3254.2644699519233</v>
      </c>
      <c r="H520" s="25">
        <f>IF(B520&lt;62,0,'Combined Retirement'!$I$14)</f>
        <v>2345</v>
      </c>
      <c r="I520" s="25">
        <f>IF(C520&lt;62,0,'Combined Retirement'!$I$13)</f>
        <v>2420</v>
      </c>
      <c r="J520" s="25">
        <f t="shared" si="263"/>
        <v>8395.6297298201844</v>
      </c>
      <c r="K520" s="25">
        <f t="shared" si="264"/>
        <v>21655.303514578787</v>
      </c>
      <c r="L520" s="25"/>
      <c r="N520" s="25">
        <f>'Combined Retirement'!$C$18/12</f>
        <v>40940.569999999992</v>
      </c>
      <c r="O520" s="25">
        <f t="shared" si="265"/>
        <v>10889.636755601023</v>
      </c>
      <c r="P520" s="25">
        <f t="shared" si="266"/>
        <v>30050.93324439897</v>
      </c>
      <c r="Q520" s="25">
        <f t="array" aca="1" ref="Q520" ca="1">INDEX('Isaac 401k'!L:L,MATCH('Retirement Calculator'!A520,'Isaac 401k'!N:N,0),0)</f>
        <v>-1971930.6779515515</v>
      </c>
      <c r="R520" s="25">
        <f t="array" aca="1" ref="R520" ca="1">INDEX('Lorri 401b'!L:L,MATCH('Retirement Calculator'!A520,'Lorri 401b'!N:N,0),0)</f>
        <v>-1886106.6126806817</v>
      </c>
      <c r="S520" s="25">
        <f t="shared" ca="1" si="267"/>
        <v>-3858037.290632233</v>
      </c>
    </row>
    <row r="521" spans="1:19" ht="15.75" customHeight="1" x14ac:dyDescent="0.25">
      <c r="A521" s="37">
        <v>66811</v>
      </c>
      <c r="B521" s="398">
        <f t="shared" ref="B521:C521" si="522">($A521-B$9)/365.25</f>
        <v>101.0403832991102</v>
      </c>
      <c r="C521" s="398">
        <f t="shared" si="522"/>
        <v>96.429842573579734</v>
      </c>
      <c r="E521" s="25">
        <f>IF(C521&gt;$B$7,0,'Combined Retirement'!$D$13/12)</f>
        <v>0</v>
      </c>
      <c r="F521" s="25">
        <f>IF(H521=0,'Combined Retirement'!$D$32,0)+'Combined Retirement'!$B$24</f>
        <v>2870.372285649099</v>
      </c>
      <c r="G521" s="25">
        <f>'Combined Retirement'!$C$24</f>
        <v>3254.2644699519233</v>
      </c>
      <c r="H521" s="25">
        <f>IF(B521&lt;62,0,'Combined Retirement'!$I$14)</f>
        <v>2345</v>
      </c>
      <c r="I521" s="25">
        <f>IF(C521&lt;62,0,'Combined Retirement'!$I$13)</f>
        <v>2420</v>
      </c>
      <c r="J521" s="25">
        <f t="shared" ref="J521:J775" si="523">IF(C521&lt;59.5,P521,P521*$J$7)</f>
        <v>8395.6297298201844</v>
      </c>
      <c r="K521" s="25">
        <f t="shared" ref="K521:K775" si="524">IF(C521&lt;59.5,0,IF(C521&lt;$B$7,0,P521*$K$7))</f>
        <v>21655.303514578787</v>
      </c>
      <c r="L521" s="25"/>
      <c r="N521" s="25">
        <f>'Combined Retirement'!$C$18/12</f>
        <v>40940.569999999992</v>
      </c>
      <c r="O521" s="25">
        <f t="shared" ref="O521:O775" si="525">SUM(E521:I521)</f>
        <v>10889.636755601023</v>
      </c>
      <c r="P521" s="25">
        <f t="shared" ref="P521:P775" si="526">N521-O521</f>
        <v>30050.93324439897</v>
      </c>
      <c r="Q521" s="25">
        <f t="array" aca="1" ref="Q521" ca="1">INDEX('Isaac 401k'!L:L,MATCH('Retirement Calculator'!A521,'Isaac 401k'!N:N,0),0)</f>
        <v>-1988577.6672967107</v>
      </c>
      <c r="R521" s="25">
        <f t="array" aca="1" ref="R521" ca="1">INDEX('Lorri 401b'!L:L,MATCH('Retirement Calculator'!A521,'Lorri 401b'!N:N,0),0)</f>
        <v>-1915710.9241794075</v>
      </c>
      <c r="S521" s="25">
        <f t="shared" ref="S521:S775" ca="1" si="527">SUM(Q521:R521)</f>
        <v>-3904288.5914761182</v>
      </c>
    </row>
    <row r="522" spans="1:19" ht="15.75" customHeight="1" x14ac:dyDescent="0.25">
      <c r="A522" s="37">
        <v>66842</v>
      </c>
      <c r="B522" s="398">
        <f t="shared" ref="B522:C522" si="528">($A522-B$9)/365.25</f>
        <v>101.12525667351129</v>
      </c>
      <c r="C522" s="398">
        <f t="shared" si="528"/>
        <v>96.514715947980832</v>
      </c>
      <c r="E522" s="25">
        <f>IF(C522&gt;$B$7,0,'Combined Retirement'!$D$13/12)</f>
        <v>0</v>
      </c>
      <c r="F522" s="25">
        <f>IF(H522=0,'Combined Retirement'!$D$32,0)+'Combined Retirement'!$B$24</f>
        <v>2870.372285649099</v>
      </c>
      <c r="G522" s="25">
        <f>'Combined Retirement'!$C$24</f>
        <v>3254.2644699519233</v>
      </c>
      <c r="H522" s="25">
        <f>IF(B522&lt;62,0,'Combined Retirement'!$I$14)</f>
        <v>2345</v>
      </c>
      <c r="I522" s="25">
        <f>IF(C522&lt;62,0,'Combined Retirement'!$I$13)</f>
        <v>2420</v>
      </c>
      <c r="J522" s="25">
        <f t="shared" si="523"/>
        <v>8395.6297298201844</v>
      </c>
      <c r="K522" s="25">
        <f t="shared" si="524"/>
        <v>21655.303514578787</v>
      </c>
      <c r="L522" s="25"/>
      <c r="N522" s="25">
        <f>'Combined Retirement'!$C$18/12</f>
        <v>40940.569999999992</v>
      </c>
      <c r="O522" s="25">
        <f t="shared" si="525"/>
        <v>10889.636755601023</v>
      </c>
      <c r="P522" s="25">
        <f t="shared" si="526"/>
        <v>30050.93324439897</v>
      </c>
      <c r="Q522" s="25">
        <f t="array" aca="1" ref="Q522" ca="1">INDEX('Isaac 401k'!L:L,MATCH('Retirement Calculator'!A522,'Isaac 401k'!N:N,0),0)</f>
        <v>-2005294.0190974746</v>
      </c>
      <c r="R522" s="25">
        <f t="array" aca="1" ref="R522" ca="1">INDEX('Lorri 401b'!L:L,MATCH('Retirement Calculator'!A522,'Lorri 401b'!N:N,0),0)</f>
        <v>-1945438.5869760446</v>
      </c>
      <c r="S522" s="25">
        <f t="shared" ca="1" si="527"/>
        <v>-3950732.6060735192</v>
      </c>
    </row>
    <row r="523" spans="1:19" ht="15.75" customHeight="1" x14ac:dyDescent="0.25">
      <c r="A523" s="37">
        <v>66873</v>
      </c>
      <c r="B523" s="398">
        <f t="shared" ref="B523:C523" si="529">($A523-B$9)/365.25</f>
        <v>101.21013004791239</v>
      </c>
      <c r="C523" s="398">
        <f t="shared" si="529"/>
        <v>96.599589322381931</v>
      </c>
      <c r="E523" s="25">
        <f>IF(C523&gt;$B$7,0,'Combined Retirement'!$D$13/12)</f>
        <v>0</v>
      </c>
      <c r="F523" s="25">
        <f>IF(H523=0,'Combined Retirement'!$D$32,0)+'Combined Retirement'!$B$24</f>
        <v>2870.372285649099</v>
      </c>
      <c r="G523" s="25">
        <f>'Combined Retirement'!$C$24</f>
        <v>3254.2644699519233</v>
      </c>
      <c r="H523" s="25">
        <f>IF(B523&lt;62,0,'Combined Retirement'!$I$14)</f>
        <v>2345</v>
      </c>
      <c r="I523" s="25">
        <f>IF(C523&lt;62,0,'Combined Retirement'!$I$13)</f>
        <v>2420</v>
      </c>
      <c r="J523" s="25">
        <f t="shared" si="523"/>
        <v>8395.6297298201844</v>
      </c>
      <c r="K523" s="25">
        <f t="shared" si="524"/>
        <v>21655.303514578787</v>
      </c>
      <c r="L523" s="25"/>
      <c r="N523" s="25">
        <f>'Combined Retirement'!$C$18/12</f>
        <v>40940.569999999992</v>
      </c>
      <c r="O523" s="25">
        <f t="shared" si="525"/>
        <v>10889.636755601023</v>
      </c>
      <c r="P523" s="25">
        <f t="shared" si="526"/>
        <v>30050.93324439897</v>
      </c>
      <c r="Q523" s="25">
        <f t="array" aca="1" ref="Q523" ca="1">INDEX('Isaac 401k'!L:L,MATCH('Retirement Calculator'!A523,'Isaac 401k'!N:N,0),0)</f>
        <v>-2022080.0223640753</v>
      </c>
      <c r="R523" s="25">
        <f t="array" aca="1" ref="R523" ca="1">INDEX('Lorri 401b'!L:L,MATCH('Retirement Calculator'!A523,'Lorri 401b'!N:N,0),0)</f>
        <v>-1975290.1150343344</v>
      </c>
      <c r="S523" s="25">
        <f t="shared" ca="1" si="527"/>
        <v>-3997370.1373984097</v>
      </c>
    </row>
    <row r="524" spans="1:19" ht="15.75" customHeight="1" x14ac:dyDescent="0.25">
      <c r="A524" s="37">
        <v>66901</v>
      </c>
      <c r="B524" s="398">
        <f t="shared" ref="B524:C524" si="530">($A524-B$9)/365.25</f>
        <v>101.28678986995209</v>
      </c>
      <c r="C524" s="398">
        <f t="shared" si="530"/>
        <v>96.676249144421632</v>
      </c>
      <c r="E524" s="25">
        <f>IF(C524&gt;$B$7,0,'Combined Retirement'!$D$13/12)</f>
        <v>0</v>
      </c>
      <c r="F524" s="25">
        <f>IF(H524=0,'Combined Retirement'!$D$32,0)+'Combined Retirement'!$B$24</f>
        <v>2870.372285649099</v>
      </c>
      <c r="G524" s="25">
        <f>'Combined Retirement'!$C$24</f>
        <v>3254.2644699519233</v>
      </c>
      <c r="H524" s="25">
        <f>IF(B524&lt;62,0,'Combined Retirement'!$I$14)</f>
        <v>2345</v>
      </c>
      <c r="I524" s="25">
        <f>IF(C524&lt;62,0,'Combined Retirement'!$I$13)</f>
        <v>2420</v>
      </c>
      <c r="J524" s="25">
        <f t="shared" si="523"/>
        <v>8395.6297298201844</v>
      </c>
      <c r="K524" s="25">
        <f t="shared" si="524"/>
        <v>21655.303514578787</v>
      </c>
      <c r="L524" s="25"/>
      <c r="N524" s="25">
        <f>'Combined Retirement'!$C$18/12</f>
        <v>40940.569999999992</v>
      </c>
      <c r="O524" s="25">
        <f t="shared" si="525"/>
        <v>10889.636755601023</v>
      </c>
      <c r="P524" s="25">
        <f t="shared" si="526"/>
        <v>30050.93324439897</v>
      </c>
      <c r="Q524" s="25">
        <f t="array" aca="1" ref="Q524" ca="1">INDEX('Isaac 401k'!L:L,MATCH('Retirement Calculator'!A524,'Isaac 401k'!N:N,0),0)</f>
        <v>-2038935.9673109534</v>
      </c>
      <c r="R524" s="25">
        <f t="array" aca="1" ref="R524" ca="1">INDEX('Lorri 401b'!L:L,MATCH('Retirement Calculator'!A524,'Lorri 401b'!N:N,0),0)</f>
        <v>-2005266.0244595336</v>
      </c>
      <c r="S524" s="25">
        <f t="shared" ca="1" si="527"/>
        <v>-4044201.9917704873</v>
      </c>
    </row>
    <row r="525" spans="1:19" ht="15.75" customHeight="1" x14ac:dyDescent="0.25">
      <c r="A525" s="37">
        <v>66932</v>
      </c>
      <c r="B525" s="398">
        <f t="shared" ref="B525:C525" si="531">($A525-B$9)/365.25</f>
        <v>101.37166324435319</v>
      </c>
      <c r="C525" s="398">
        <f t="shared" si="531"/>
        <v>96.761122518822731</v>
      </c>
      <c r="E525" s="25">
        <f>IF(C525&gt;$B$7,0,'Combined Retirement'!$D$13/12)</f>
        <v>0</v>
      </c>
      <c r="F525" s="25">
        <f>IF(H525=0,'Combined Retirement'!$D$32,0)+'Combined Retirement'!$B$24</f>
        <v>2870.372285649099</v>
      </c>
      <c r="G525" s="25">
        <f>'Combined Retirement'!$C$24</f>
        <v>3254.2644699519233</v>
      </c>
      <c r="H525" s="25">
        <f>IF(B525&lt;62,0,'Combined Retirement'!$I$14)</f>
        <v>2345</v>
      </c>
      <c r="I525" s="25">
        <f>IF(C525&lt;62,0,'Combined Retirement'!$I$13)</f>
        <v>2420</v>
      </c>
      <c r="J525" s="25">
        <f t="shared" si="523"/>
        <v>8395.6297298201844</v>
      </c>
      <c r="K525" s="25">
        <f t="shared" si="524"/>
        <v>21655.303514578787</v>
      </c>
      <c r="L525" s="25"/>
      <c r="N525" s="25">
        <f>'Combined Retirement'!$C$18/12</f>
        <v>40940.569999999992</v>
      </c>
      <c r="O525" s="25">
        <f t="shared" si="525"/>
        <v>10889.636755601023</v>
      </c>
      <c r="P525" s="25">
        <f t="shared" si="526"/>
        <v>30050.93324439897</v>
      </c>
      <c r="Q525" s="25">
        <f t="array" aca="1" ref="Q525" ca="1">INDEX('Isaac 401k'!L:L,MATCH('Retirement Calculator'!A525,'Isaac 401k'!N:N,0),0)</f>
        <v>-2055862.1453617769</v>
      </c>
      <c r="R525" s="25">
        <f t="array" aca="1" ref="R525" ca="1">INDEX('Lorri 401b'!L:L,MATCH('Retirement Calculator'!A525,'Lorri 401b'!N:N,0),0)</f>
        <v>-2035366.8335073378</v>
      </c>
      <c r="S525" s="25">
        <f t="shared" ca="1" si="527"/>
        <v>-4091228.978869115</v>
      </c>
    </row>
    <row r="526" spans="1:19" ht="15.75" customHeight="1" x14ac:dyDescent="0.25">
      <c r="A526" s="37">
        <v>66962</v>
      </c>
      <c r="B526" s="398">
        <f t="shared" ref="B526:C526" si="532">($A526-B$9)/365.25</f>
        <v>101.45379876796714</v>
      </c>
      <c r="C526" s="398">
        <f t="shared" si="532"/>
        <v>96.843258042436688</v>
      </c>
      <c r="E526" s="25">
        <f>IF(C526&gt;$B$7,0,'Combined Retirement'!$D$13/12)</f>
        <v>0</v>
      </c>
      <c r="F526" s="25">
        <f>IF(H526=0,'Combined Retirement'!$D$32,0)+'Combined Retirement'!$B$24</f>
        <v>2870.372285649099</v>
      </c>
      <c r="G526" s="25">
        <f>'Combined Retirement'!$C$24</f>
        <v>3254.2644699519233</v>
      </c>
      <c r="H526" s="25">
        <f>IF(B526&lt;62,0,'Combined Retirement'!$I$14)</f>
        <v>2345</v>
      </c>
      <c r="I526" s="25">
        <f>IF(C526&lt;62,0,'Combined Retirement'!$I$13)</f>
        <v>2420</v>
      </c>
      <c r="J526" s="25">
        <f t="shared" si="523"/>
        <v>8395.6297298201844</v>
      </c>
      <c r="K526" s="25">
        <f t="shared" si="524"/>
        <v>21655.303514578787</v>
      </c>
      <c r="L526" s="25"/>
      <c r="N526" s="25">
        <f>'Combined Retirement'!$C$18/12</f>
        <v>40940.569999999992</v>
      </c>
      <c r="O526" s="25">
        <f t="shared" si="525"/>
        <v>10889.636755601023</v>
      </c>
      <c r="P526" s="25">
        <f t="shared" si="526"/>
        <v>30050.93324439897</v>
      </c>
      <c r="Q526" s="25">
        <f t="array" aca="1" ref="Q526" ca="1">INDEX('Isaac 401k'!L:L,MATCH('Retirement Calculator'!A526,'Isaac 401k'!N:N,0),0)</f>
        <v>-2072858.8491544789</v>
      </c>
      <c r="R526" s="25">
        <f t="array" aca="1" ref="R526" ca="1">INDEX('Lorri 401b'!L:L,MATCH('Retirement Calculator'!A526,'Lorri 401b'!N:N,0),0)</f>
        <v>-2065593.0625928415</v>
      </c>
      <c r="S526" s="25">
        <f t="shared" ca="1" si="527"/>
        <v>-4138451.9117473206</v>
      </c>
    </row>
    <row r="527" spans="1:19" ht="15.75" customHeight="1" x14ac:dyDescent="0.25">
      <c r="A527" s="37">
        <v>66993</v>
      </c>
      <c r="B527" s="398">
        <f t="shared" ref="B527:C527" si="533">($A527-B$9)/365.25</f>
        <v>101.53867214236824</v>
      </c>
      <c r="C527" s="398">
        <f t="shared" si="533"/>
        <v>96.928131416837786</v>
      </c>
      <c r="E527" s="25">
        <f>IF(C527&gt;$B$7,0,'Combined Retirement'!$D$13/12)</f>
        <v>0</v>
      </c>
      <c r="F527" s="25">
        <f>IF(H527=0,'Combined Retirement'!$D$32,0)+'Combined Retirement'!$B$24</f>
        <v>2870.372285649099</v>
      </c>
      <c r="G527" s="25">
        <f>'Combined Retirement'!$C$24</f>
        <v>3254.2644699519233</v>
      </c>
      <c r="H527" s="25">
        <f>IF(B527&lt;62,0,'Combined Retirement'!$I$14)</f>
        <v>2345</v>
      </c>
      <c r="I527" s="25">
        <f>IF(C527&lt;62,0,'Combined Retirement'!$I$13)</f>
        <v>2420</v>
      </c>
      <c r="J527" s="25">
        <f t="shared" si="523"/>
        <v>8395.6297298201844</v>
      </c>
      <c r="K527" s="25">
        <f t="shared" si="524"/>
        <v>21655.303514578787</v>
      </c>
      <c r="L527" s="25"/>
      <c r="N527" s="25">
        <f>'Combined Retirement'!$C$18/12</f>
        <v>40940.569999999992</v>
      </c>
      <c r="O527" s="25">
        <f t="shared" si="525"/>
        <v>10889.636755601023</v>
      </c>
      <c r="P527" s="25">
        <f t="shared" si="526"/>
        <v>30050.93324439897</v>
      </c>
      <c r="Q527" s="25">
        <f t="array" aca="1" ref="Q527" ca="1">INDEX('Isaac 401k'!L:L,MATCH('Retirement Calculator'!A527,'Isaac 401k'!N:N,0),0)</f>
        <v>-2089926.3725463171</v>
      </c>
      <c r="R527" s="25">
        <f t="array" aca="1" ref="R527" ca="1">INDEX('Lorri 401b'!L:L,MATCH('Retirement Calculator'!A527,'Lorri 401b'!N:N,0),0)</f>
        <v>-2095945.2342995345</v>
      </c>
      <c r="S527" s="25">
        <f t="shared" ca="1" si="527"/>
        <v>-4185871.6068458515</v>
      </c>
    </row>
    <row r="528" spans="1:19" ht="15.75" customHeight="1" x14ac:dyDescent="0.25">
      <c r="A528" s="37">
        <v>67023</v>
      </c>
      <c r="B528" s="398">
        <f t="shared" ref="B528:C528" si="534">($A528-B$9)/365.25</f>
        <v>101.6208076659822</v>
      </c>
      <c r="C528" s="398">
        <f t="shared" si="534"/>
        <v>97.010266940451743</v>
      </c>
      <c r="E528" s="25">
        <f>IF(C528&gt;$B$7,0,'Combined Retirement'!$D$13/12)</f>
        <v>0</v>
      </c>
      <c r="F528" s="25">
        <f>IF(H528=0,'Combined Retirement'!$D$32,0)+'Combined Retirement'!$B$24</f>
        <v>2870.372285649099</v>
      </c>
      <c r="G528" s="25">
        <f>'Combined Retirement'!$C$24</f>
        <v>3254.2644699519233</v>
      </c>
      <c r="H528" s="25">
        <f>IF(B528&lt;62,0,'Combined Retirement'!$I$14)</f>
        <v>2345</v>
      </c>
      <c r="I528" s="25">
        <f>IF(C528&lt;62,0,'Combined Retirement'!$I$13)</f>
        <v>2420</v>
      </c>
      <c r="J528" s="25">
        <f t="shared" si="523"/>
        <v>8395.6297298201844</v>
      </c>
      <c r="K528" s="25">
        <f t="shared" si="524"/>
        <v>21655.303514578787</v>
      </c>
      <c r="L528" s="25"/>
      <c r="N528" s="25">
        <f>'Combined Retirement'!$C$18/12</f>
        <v>40940.569999999992</v>
      </c>
      <c r="O528" s="25">
        <f t="shared" si="525"/>
        <v>10889.636755601023</v>
      </c>
      <c r="P528" s="25">
        <f t="shared" si="526"/>
        <v>30050.93324439897</v>
      </c>
      <c r="Q528" s="25">
        <f t="array" aca="1" ref="Q528" ca="1">INDEX('Isaac 401k'!L:L,MATCH('Retirement Calculator'!A528,'Isaac 401k'!N:N,0),0)</f>
        <v>-2107065.0106189549</v>
      </c>
      <c r="R528" s="25">
        <f t="array" aca="1" ref="R528" ca="1">INDEX('Lorri 401b'!L:L,MATCH('Retirement Calculator'!A528,'Lorri 401b'!N:N,0),0)</f>
        <v>-2126423.8733883388</v>
      </c>
      <c r="S528" s="25">
        <f t="shared" ca="1" si="527"/>
        <v>-4233488.8840072937</v>
      </c>
    </row>
    <row r="529" spans="1:19" ht="15.75" customHeight="1" x14ac:dyDescent="0.25">
      <c r="A529" s="37">
        <v>67054</v>
      </c>
      <c r="B529" s="398">
        <f t="shared" ref="B529:C529" si="535">($A529-B$9)/365.25</f>
        <v>101.7056810403833</v>
      </c>
      <c r="C529" s="398">
        <f t="shared" si="535"/>
        <v>97.095140314852841</v>
      </c>
      <c r="E529" s="25">
        <f>IF(C529&gt;$B$7,0,'Combined Retirement'!$D$13/12)</f>
        <v>0</v>
      </c>
      <c r="F529" s="25">
        <f>IF(H529=0,'Combined Retirement'!$D$32,0)+'Combined Retirement'!$B$24</f>
        <v>2870.372285649099</v>
      </c>
      <c r="G529" s="25">
        <f>'Combined Retirement'!$C$24</f>
        <v>3254.2644699519233</v>
      </c>
      <c r="H529" s="25">
        <f>IF(B529&lt;62,0,'Combined Retirement'!$I$14)</f>
        <v>2345</v>
      </c>
      <c r="I529" s="25">
        <f>IF(C529&lt;62,0,'Combined Retirement'!$I$13)</f>
        <v>2420</v>
      </c>
      <c r="J529" s="25">
        <f t="shared" si="523"/>
        <v>8395.6297298201844</v>
      </c>
      <c r="K529" s="25">
        <f t="shared" si="524"/>
        <v>21655.303514578787</v>
      </c>
      <c r="L529" s="25"/>
      <c r="N529" s="25">
        <f>'Combined Retirement'!$C$18/12</f>
        <v>40940.569999999992</v>
      </c>
      <c r="O529" s="25">
        <f t="shared" si="525"/>
        <v>10889.636755601023</v>
      </c>
      <c r="P529" s="25">
        <f t="shared" si="526"/>
        <v>30050.93324439897</v>
      </c>
      <c r="Q529" s="25">
        <f t="array" aca="1" ref="Q529" ca="1">INDEX('Isaac 401k'!L:L,MATCH('Retirement Calculator'!A529,'Isaac 401k'!N:N,0),0)</f>
        <v>-2124275.0596835618</v>
      </c>
      <c r="R529" s="25">
        <f t="array" aca="1" ref="R529" ca="1">INDEX('Lorri 401b'!L:L,MATCH('Retirement Calculator'!A529,'Lorri 401b'!N:N,0),0)</f>
        <v>-2157029.50680668</v>
      </c>
      <c r="S529" s="25">
        <f t="shared" ca="1" si="527"/>
        <v>-4281304.5664902423</v>
      </c>
    </row>
    <row r="530" spans="1:19" ht="15.75" customHeight="1" x14ac:dyDescent="0.25">
      <c r="A530" s="37">
        <v>67085</v>
      </c>
      <c r="B530" s="398">
        <f t="shared" ref="B530:C530" si="536">($A530-B$9)/365.25</f>
        <v>101.7905544147844</v>
      </c>
      <c r="C530" s="398">
        <f t="shared" si="536"/>
        <v>97.18001368925394</v>
      </c>
      <c r="E530" s="25">
        <f>IF(C530&gt;$B$7,0,'Combined Retirement'!$D$13/12)</f>
        <v>0</v>
      </c>
      <c r="F530" s="25">
        <f>IF(H530=0,'Combined Retirement'!$D$32,0)+'Combined Retirement'!$B$24</f>
        <v>2870.372285649099</v>
      </c>
      <c r="G530" s="25">
        <f>'Combined Retirement'!$C$24</f>
        <v>3254.2644699519233</v>
      </c>
      <c r="H530" s="25">
        <f>IF(B530&lt;62,0,'Combined Retirement'!$I$14)</f>
        <v>2345</v>
      </c>
      <c r="I530" s="25">
        <f>IF(C530&lt;62,0,'Combined Retirement'!$I$13)</f>
        <v>2420</v>
      </c>
      <c r="J530" s="25">
        <f t="shared" si="523"/>
        <v>8395.6297298201844</v>
      </c>
      <c r="K530" s="25">
        <f t="shared" si="524"/>
        <v>21655.303514578787</v>
      </c>
      <c r="L530" s="25"/>
      <c r="N530" s="25">
        <f>'Combined Retirement'!$C$18/12</f>
        <v>40940.569999999992</v>
      </c>
      <c r="O530" s="25">
        <f t="shared" si="525"/>
        <v>10889.636755601023</v>
      </c>
      <c r="P530" s="25">
        <f t="shared" si="526"/>
        <v>30050.93324439897</v>
      </c>
      <c r="Q530" s="25">
        <f t="array" aca="1" ref="Q530" ca="1">INDEX('Isaac 401k'!L:L,MATCH('Retirement Calculator'!A530,'Isaac 401k'!N:N,0),0)</f>
        <v>-2141556.8172859382</v>
      </c>
      <c r="R530" s="25">
        <f t="array" aca="1" ref="R530" ca="1">INDEX('Lorri 401b'!L:L,MATCH('Retirement Calculator'!A530,'Lorri 401b'!N:N,0),0)</f>
        <v>-2187762.6636975976</v>
      </c>
      <c r="S530" s="25">
        <f t="shared" ca="1" si="527"/>
        <v>-4329319.4809835358</v>
      </c>
    </row>
    <row r="531" spans="1:19" ht="15.75" customHeight="1" x14ac:dyDescent="0.25">
      <c r="A531" s="37">
        <v>67115</v>
      </c>
      <c r="B531" s="398">
        <f t="shared" ref="B531:C531" si="537">($A531-B$9)/365.25</f>
        <v>101.87268993839835</v>
      </c>
      <c r="C531" s="398">
        <f t="shared" si="537"/>
        <v>97.262149212867897</v>
      </c>
      <c r="E531" s="25">
        <f>IF(C531&gt;$B$7,0,'Combined Retirement'!$D$13/12)</f>
        <v>0</v>
      </c>
      <c r="F531" s="25">
        <f>IF(H531=0,'Combined Retirement'!$D$32,0)+'Combined Retirement'!$B$24</f>
        <v>2870.372285649099</v>
      </c>
      <c r="G531" s="25">
        <f>'Combined Retirement'!$C$24</f>
        <v>3254.2644699519233</v>
      </c>
      <c r="H531" s="25">
        <f>IF(B531&lt;62,0,'Combined Retirement'!$I$14)</f>
        <v>2345</v>
      </c>
      <c r="I531" s="25">
        <f>IF(C531&lt;62,0,'Combined Retirement'!$I$13)</f>
        <v>2420</v>
      </c>
      <c r="J531" s="25">
        <f t="shared" si="523"/>
        <v>8395.6297298201844</v>
      </c>
      <c r="K531" s="25">
        <f t="shared" si="524"/>
        <v>21655.303514578787</v>
      </c>
      <c r="L531" s="25"/>
      <c r="N531" s="25">
        <f>'Combined Retirement'!$C$18/12</f>
        <v>40940.569999999992</v>
      </c>
      <c r="O531" s="25">
        <f t="shared" si="525"/>
        <v>10889.636755601023</v>
      </c>
      <c r="P531" s="25">
        <f t="shared" si="526"/>
        <v>30050.93324439897</v>
      </c>
      <c r="Q531" s="25">
        <f t="array" aca="1" ref="Q531" ca="1">INDEX('Isaac 401k'!L:L,MATCH('Retirement Calculator'!A531,'Isaac 401k'!N:N,0),0)</f>
        <v>-2158910.5822116574</v>
      </c>
      <c r="R531" s="25">
        <f t="array" aca="1" ref="R531" ca="1">INDEX('Lorri 401b'!L:L,MATCH('Retirement Calculator'!A531,'Lorri 401b'!N:N,0),0)</f>
        <v>-2218623.8754088939</v>
      </c>
      <c r="S531" s="25">
        <f t="shared" ca="1" si="527"/>
        <v>-4377534.4576205518</v>
      </c>
    </row>
    <row r="532" spans="1:19" ht="15.75" customHeight="1" x14ac:dyDescent="0.25">
      <c r="A532" s="37">
        <v>67146</v>
      </c>
      <c r="B532" s="398">
        <f t="shared" ref="B532:C532" si="538">($A532-B$9)/365.25</f>
        <v>101.95756331279945</v>
      </c>
      <c r="C532" s="398">
        <f t="shared" si="538"/>
        <v>97.347022587268995</v>
      </c>
      <c r="E532" s="25">
        <f>IF(C532&gt;$B$7,0,'Combined Retirement'!$D$13/12)</f>
        <v>0</v>
      </c>
      <c r="F532" s="25">
        <f>IF(H532=0,'Combined Retirement'!$D$32,0)+'Combined Retirement'!$B$24</f>
        <v>2870.372285649099</v>
      </c>
      <c r="G532" s="25">
        <f>'Combined Retirement'!$C$24</f>
        <v>3254.2644699519233</v>
      </c>
      <c r="H532" s="25">
        <f>IF(B532&lt;62,0,'Combined Retirement'!$I$14)</f>
        <v>2345</v>
      </c>
      <c r="I532" s="25">
        <f>IF(C532&lt;62,0,'Combined Retirement'!$I$13)</f>
        <v>2420</v>
      </c>
      <c r="J532" s="25">
        <f t="shared" si="523"/>
        <v>8395.6297298201844</v>
      </c>
      <c r="K532" s="25">
        <f t="shared" si="524"/>
        <v>21655.303514578787</v>
      </c>
      <c r="L532" s="25"/>
      <c r="N532" s="25">
        <f>'Combined Retirement'!$C$18/12</f>
        <v>40940.569999999992</v>
      </c>
      <c r="O532" s="25">
        <f t="shared" si="525"/>
        <v>10889.636755601023</v>
      </c>
      <c r="P532" s="25">
        <f t="shared" si="526"/>
        <v>30050.93324439897</v>
      </c>
      <c r="Q532" s="25">
        <f t="array" aca="1" ref="Q532" ca="1">INDEX('Isaac 401k'!L:L,MATCH('Retirement Calculator'!A532,'Isaac 401k'!N:N,0),0)</f>
        <v>-2176336.6544912341</v>
      </c>
      <c r="R532" s="25">
        <f t="array" aca="1" ref="R532" ca="1">INDEX('Lorri 401b'!L:L,MATCH('Retirement Calculator'!A532,'Lorri 401b'!N:N,0),0)</f>
        <v>-2249613.6755023208</v>
      </c>
      <c r="S532" s="25">
        <f t="shared" ca="1" si="527"/>
        <v>-4425950.3299935553</v>
      </c>
    </row>
    <row r="533" spans="1:19" ht="15.75" customHeight="1" x14ac:dyDescent="0.25">
      <c r="A533" s="37">
        <v>67176</v>
      </c>
      <c r="B533" s="398">
        <f t="shared" ref="B533:C533" si="539">($A533-B$9)/365.25</f>
        <v>102.03969883641342</v>
      </c>
      <c r="C533" s="398">
        <f t="shared" si="539"/>
        <v>97.429158110882952</v>
      </c>
      <c r="E533" s="25">
        <f>IF(C533&gt;$B$7,0,'Combined Retirement'!$D$13/12)</f>
        <v>0</v>
      </c>
      <c r="F533" s="25">
        <f>IF(H533=0,'Combined Retirement'!$D$32,0)+'Combined Retirement'!$B$24</f>
        <v>2870.372285649099</v>
      </c>
      <c r="G533" s="25">
        <f>'Combined Retirement'!$C$24</f>
        <v>3254.2644699519233</v>
      </c>
      <c r="H533" s="25">
        <f>IF(B533&lt;62,0,'Combined Retirement'!$I$14)</f>
        <v>2345</v>
      </c>
      <c r="I533" s="25">
        <f>IF(C533&lt;62,0,'Combined Retirement'!$I$13)</f>
        <v>2420</v>
      </c>
      <c r="J533" s="25">
        <f t="shared" si="523"/>
        <v>8395.6297298201844</v>
      </c>
      <c r="K533" s="25">
        <f t="shared" si="524"/>
        <v>21655.303514578787</v>
      </c>
      <c r="L533" s="25"/>
      <c r="N533" s="25">
        <f>'Combined Retirement'!$C$18/12</f>
        <v>40940.569999999992</v>
      </c>
      <c r="O533" s="25">
        <f t="shared" si="525"/>
        <v>10889.636755601023</v>
      </c>
      <c r="P533" s="25">
        <f t="shared" si="526"/>
        <v>30050.93324439897</v>
      </c>
      <c r="Q533" s="25">
        <f t="array" aca="1" ref="Q533" ca="1">INDEX('Isaac 401k'!L:L,MATCH('Retirement Calculator'!A533,'Isaac 401k'!N:N,0),0)</f>
        <v>-2193835.3354053088</v>
      </c>
      <c r="R533" s="25">
        <f t="array" aca="1" ref="R533" ca="1">INDEX('Lorri 401b'!L:L,MATCH('Retirement Calculator'!A533,'Lorri 401b'!N:N,0),0)</f>
        <v>-2280732.5997628034</v>
      </c>
      <c r="S533" s="25">
        <f t="shared" ca="1" si="527"/>
        <v>-4474567.9351681117</v>
      </c>
    </row>
    <row r="534" spans="1:19" ht="15.75" customHeight="1" x14ac:dyDescent="0.25">
      <c r="A534" s="37">
        <v>67207</v>
      </c>
      <c r="B534" s="398">
        <f t="shared" ref="B534:C534" si="540">($A534-B$9)/365.25</f>
        <v>102.12457221081451</v>
      </c>
      <c r="C534" s="398">
        <f t="shared" si="540"/>
        <v>97.51403148528405</v>
      </c>
      <c r="E534" s="25">
        <f>IF(C534&gt;$B$7,0,'Combined Retirement'!$D$13/12)</f>
        <v>0</v>
      </c>
      <c r="F534" s="25">
        <f>IF(H534=0,'Combined Retirement'!$D$32,0)+'Combined Retirement'!$B$24</f>
        <v>2870.372285649099</v>
      </c>
      <c r="G534" s="25">
        <f>'Combined Retirement'!$C$24</f>
        <v>3254.2644699519233</v>
      </c>
      <c r="H534" s="25">
        <f>IF(B534&lt;62,0,'Combined Retirement'!$I$14)</f>
        <v>2345</v>
      </c>
      <c r="I534" s="25">
        <f>IF(C534&lt;62,0,'Combined Retirement'!$I$13)</f>
        <v>2420</v>
      </c>
      <c r="J534" s="25">
        <f t="shared" si="523"/>
        <v>8395.6297298201844</v>
      </c>
      <c r="K534" s="25">
        <f t="shared" si="524"/>
        <v>21655.303514578787</v>
      </c>
      <c r="L534" s="25"/>
      <c r="N534" s="25">
        <f>'Combined Retirement'!$C$18/12</f>
        <v>40940.569999999992</v>
      </c>
      <c r="O534" s="25">
        <f t="shared" si="525"/>
        <v>10889.636755601023</v>
      </c>
      <c r="P534" s="25">
        <f t="shared" si="526"/>
        <v>30050.93324439897</v>
      </c>
      <c r="Q534" s="25">
        <f t="array" aca="1" ref="Q534" ca="1">INDEX('Isaac 401k'!L:L,MATCH('Retirement Calculator'!A534,'Isaac 401k'!N:N,0),0)</f>
        <v>-2211406.9274898591</v>
      </c>
      <c r="R534" s="25">
        <f t="array" aca="1" ref="R534" ca="1">INDEX('Lorri 401b'!L:L,MATCH('Retirement Calculator'!A534,'Lorri 401b'!N:N,0),0)</f>
        <v>-2311981.1862077047</v>
      </c>
      <c r="S534" s="25">
        <f t="shared" ca="1" si="527"/>
        <v>-4523388.1136975642</v>
      </c>
    </row>
    <row r="535" spans="1:19" ht="15.75" customHeight="1" x14ac:dyDescent="0.25">
      <c r="A535" s="37">
        <v>67238</v>
      </c>
      <c r="B535" s="398">
        <f t="shared" ref="B535:C535" si="541">($A535-B$9)/365.25</f>
        <v>102.2094455852156</v>
      </c>
      <c r="C535" s="398">
        <f t="shared" si="541"/>
        <v>97.598904859685149</v>
      </c>
      <c r="E535" s="25">
        <f>IF(C535&gt;$B$7,0,'Combined Retirement'!$D$13/12)</f>
        <v>0</v>
      </c>
      <c r="F535" s="25">
        <f>IF(H535=0,'Combined Retirement'!$D$32,0)+'Combined Retirement'!$B$24</f>
        <v>2870.372285649099</v>
      </c>
      <c r="G535" s="25">
        <f>'Combined Retirement'!$C$24</f>
        <v>3254.2644699519233</v>
      </c>
      <c r="H535" s="25">
        <f>IF(B535&lt;62,0,'Combined Retirement'!$I$14)</f>
        <v>2345</v>
      </c>
      <c r="I535" s="25">
        <f>IF(C535&lt;62,0,'Combined Retirement'!$I$13)</f>
        <v>2420</v>
      </c>
      <c r="J535" s="25">
        <f t="shared" si="523"/>
        <v>8395.6297298201844</v>
      </c>
      <c r="K535" s="25">
        <f t="shared" si="524"/>
        <v>21655.303514578787</v>
      </c>
      <c r="L535" s="25"/>
      <c r="N535" s="25">
        <f>'Combined Retirement'!$C$18/12</f>
        <v>40940.569999999992</v>
      </c>
      <c r="O535" s="25">
        <f t="shared" si="525"/>
        <v>10889.636755601023</v>
      </c>
      <c r="P535" s="25">
        <f t="shared" si="526"/>
        <v>30050.93324439897</v>
      </c>
      <c r="Q535" s="25">
        <f t="array" aca="1" ref="Q535" ca="1">INDEX('Isaac 401k'!L:L,MATCH('Retirement Calculator'!A535,'Isaac 401k'!N:N,0),0)</f>
        <v>-2229051.7345414283</v>
      </c>
      <c r="R535" s="25">
        <f t="array" aca="1" ref="R535" ca="1">INDEX('Lorri 401b'!L:L,MATCH('Retirement Calculator'!A535,'Lorri 401b'!N:N,0),0)</f>
        <v>-2343359.9750961266</v>
      </c>
      <c r="S535" s="25">
        <f t="shared" ca="1" si="527"/>
        <v>-4572411.7096375544</v>
      </c>
    </row>
    <row r="536" spans="1:19" ht="15.75" customHeight="1" x14ac:dyDescent="0.25">
      <c r="A536" s="37">
        <v>67267</v>
      </c>
      <c r="B536" s="398">
        <f t="shared" ref="B536:C536" si="542">($A536-B$9)/365.25</f>
        <v>102.28884325804243</v>
      </c>
      <c r="C536" s="398">
        <f t="shared" si="542"/>
        <v>97.678302532511978</v>
      </c>
      <c r="E536" s="25">
        <f>IF(C536&gt;$B$7,0,'Combined Retirement'!$D$13/12)</f>
        <v>0</v>
      </c>
      <c r="F536" s="25">
        <f>IF(H536=0,'Combined Retirement'!$D$32,0)+'Combined Retirement'!$B$24</f>
        <v>2870.372285649099</v>
      </c>
      <c r="G536" s="25">
        <f>'Combined Retirement'!$C$24</f>
        <v>3254.2644699519233</v>
      </c>
      <c r="H536" s="25">
        <f>IF(B536&lt;62,0,'Combined Retirement'!$I$14)</f>
        <v>2345</v>
      </c>
      <c r="I536" s="25">
        <f>IF(C536&lt;62,0,'Combined Retirement'!$I$13)</f>
        <v>2420</v>
      </c>
      <c r="J536" s="25">
        <f t="shared" si="523"/>
        <v>8395.6297298201844</v>
      </c>
      <c r="K536" s="25">
        <f t="shared" si="524"/>
        <v>21655.303514578787</v>
      </c>
      <c r="L536" s="25"/>
      <c r="N536" s="25">
        <f>'Combined Retirement'!$C$18/12</f>
        <v>40940.569999999992</v>
      </c>
      <c r="O536" s="25">
        <f t="shared" si="525"/>
        <v>10889.636755601023</v>
      </c>
      <c r="P536" s="25">
        <f t="shared" si="526"/>
        <v>30050.93324439897</v>
      </c>
      <c r="Q536" s="25">
        <f t="array" aca="1" ref="Q536" ca="1">INDEX('Isaac 401k'!L:L,MATCH('Retirement Calculator'!A536,'Isaac 401k'!N:N,0),0)</f>
        <v>-2246770.0616223789</v>
      </c>
      <c r="R536" s="25">
        <f t="array" aca="1" ref="R536" ca="1">INDEX('Lorri 401b'!L:L,MATCH('Retirement Calculator'!A536,'Lorri 401b'!N:N,0),0)</f>
        <v>-2374869.5089382501</v>
      </c>
      <c r="S536" s="25">
        <f t="shared" ca="1" si="527"/>
        <v>-4621639.5705606285</v>
      </c>
    </row>
    <row r="537" spans="1:19" ht="15.75" customHeight="1" x14ac:dyDescent="0.25">
      <c r="A537" s="37">
        <v>67298</v>
      </c>
      <c r="B537" s="398">
        <f t="shared" ref="B537:C537" si="543">($A537-B$9)/365.25</f>
        <v>102.37371663244353</v>
      </c>
      <c r="C537" s="398">
        <f t="shared" si="543"/>
        <v>97.763175906913077</v>
      </c>
      <c r="E537" s="25">
        <f>IF(C537&gt;$B$7,0,'Combined Retirement'!$D$13/12)</f>
        <v>0</v>
      </c>
      <c r="F537" s="25">
        <f>IF(H537=0,'Combined Retirement'!$D$32,0)+'Combined Retirement'!$B$24</f>
        <v>2870.372285649099</v>
      </c>
      <c r="G537" s="25">
        <f>'Combined Retirement'!$C$24</f>
        <v>3254.2644699519233</v>
      </c>
      <c r="H537" s="25">
        <f>IF(B537&lt;62,0,'Combined Retirement'!$I$14)</f>
        <v>2345</v>
      </c>
      <c r="I537" s="25">
        <f>IF(C537&lt;62,0,'Combined Retirement'!$I$13)</f>
        <v>2420</v>
      </c>
      <c r="J537" s="25">
        <f t="shared" si="523"/>
        <v>8395.6297298201844</v>
      </c>
      <c r="K537" s="25">
        <f t="shared" si="524"/>
        <v>21655.303514578787</v>
      </c>
      <c r="L537" s="25"/>
      <c r="N537" s="25">
        <f>'Combined Retirement'!$C$18/12</f>
        <v>40940.569999999992</v>
      </c>
      <c r="O537" s="25">
        <f t="shared" si="525"/>
        <v>10889.636755601023</v>
      </c>
      <c r="P537" s="25">
        <f t="shared" si="526"/>
        <v>30050.93324439897</v>
      </c>
      <c r="Q537" s="25">
        <f t="array" aca="1" ref="Q537" ca="1">INDEX('Isaac 401k'!L:L,MATCH('Retirement Calculator'!A537,'Isaac 401k'!N:N,0),0)</f>
        <v>-2264562.2150661666</v>
      </c>
      <c r="R537" s="25">
        <f t="array" aca="1" ref="R537" ca="1">INDEX('Lorri 401b'!L:L,MATCH('Retirement Calculator'!A537,'Lorri 401b'!N:N,0),0)</f>
        <v>-2406510.3325047158</v>
      </c>
      <c r="S537" s="25">
        <f t="shared" ca="1" si="527"/>
        <v>-4671072.5475708824</v>
      </c>
    </row>
    <row r="538" spans="1:19" ht="15.75" customHeight="1" x14ac:dyDescent="0.25">
      <c r="A538" s="37">
        <v>67328</v>
      </c>
      <c r="B538" s="398">
        <f t="shared" ref="B538:C538" si="544">($A538-B$9)/365.25</f>
        <v>102.45585215605749</v>
      </c>
      <c r="C538" s="398">
        <f t="shared" si="544"/>
        <v>97.845311430527033</v>
      </c>
      <c r="E538" s="25">
        <f>IF(C538&gt;$B$7,0,'Combined Retirement'!$D$13/12)</f>
        <v>0</v>
      </c>
      <c r="F538" s="25">
        <f>IF(H538=0,'Combined Retirement'!$D$32,0)+'Combined Retirement'!$B$24</f>
        <v>2870.372285649099</v>
      </c>
      <c r="G538" s="25">
        <f>'Combined Retirement'!$C$24</f>
        <v>3254.2644699519233</v>
      </c>
      <c r="H538" s="25">
        <f>IF(B538&lt;62,0,'Combined Retirement'!$I$14)</f>
        <v>2345</v>
      </c>
      <c r="I538" s="25">
        <f>IF(C538&lt;62,0,'Combined Retirement'!$I$13)</f>
        <v>2420</v>
      </c>
      <c r="J538" s="25">
        <f t="shared" si="523"/>
        <v>8395.6297298201844</v>
      </c>
      <c r="K538" s="25">
        <f t="shared" si="524"/>
        <v>21655.303514578787</v>
      </c>
      <c r="L538" s="25"/>
      <c r="N538" s="25">
        <f>'Combined Retirement'!$C$18/12</f>
        <v>40940.569999999992</v>
      </c>
      <c r="O538" s="25">
        <f t="shared" si="525"/>
        <v>10889.636755601023</v>
      </c>
      <c r="P538" s="25">
        <f t="shared" si="526"/>
        <v>30050.93324439897</v>
      </c>
      <c r="Q538" s="25">
        <f t="array" aca="1" ref="Q538" ca="1">INDEX('Isaac 401k'!L:L,MATCH('Retirement Calculator'!A538,'Isaac 401k'!N:N,0),0)</f>
        <v>-2282428.5024826368</v>
      </c>
      <c r="R538" s="25">
        <f t="array" aca="1" ref="R538" ca="1">INDEX('Lorri 401b'!L:L,MATCH('Retirement Calculator'!A538,'Lorri 401b'!N:N,0),0)</f>
        <v>-2438282.9928360418</v>
      </c>
      <c r="S538" s="25">
        <f t="shared" ca="1" si="527"/>
        <v>-4720711.4953186791</v>
      </c>
    </row>
    <row r="539" spans="1:19" ht="15.75" customHeight="1" x14ac:dyDescent="0.25">
      <c r="A539" s="37">
        <v>67359</v>
      </c>
      <c r="B539" s="398">
        <f t="shared" ref="B539:C539" si="545">($A539-B$9)/365.25</f>
        <v>102.54072553045859</v>
      </c>
      <c r="C539" s="398">
        <f t="shared" si="545"/>
        <v>97.930184804928132</v>
      </c>
      <c r="E539" s="25">
        <f>IF(C539&gt;$B$7,0,'Combined Retirement'!$D$13/12)</f>
        <v>0</v>
      </c>
      <c r="F539" s="25">
        <f>IF(H539=0,'Combined Retirement'!$D$32,0)+'Combined Retirement'!$B$24</f>
        <v>2870.372285649099</v>
      </c>
      <c r="G539" s="25">
        <f>'Combined Retirement'!$C$24</f>
        <v>3254.2644699519233</v>
      </c>
      <c r="H539" s="25">
        <f>IF(B539&lt;62,0,'Combined Retirement'!$I$14)</f>
        <v>2345</v>
      </c>
      <c r="I539" s="25">
        <f>IF(C539&lt;62,0,'Combined Retirement'!$I$13)</f>
        <v>2420</v>
      </c>
      <c r="J539" s="25">
        <f t="shared" si="523"/>
        <v>8395.6297298201844</v>
      </c>
      <c r="K539" s="25">
        <f t="shared" si="524"/>
        <v>21655.303514578787</v>
      </c>
      <c r="L539" s="25"/>
      <c r="N539" s="25">
        <f>'Combined Retirement'!$C$18/12</f>
        <v>40940.569999999992</v>
      </c>
      <c r="O539" s="25">
        <f t="shared" si="525"/>
        <v>10889.636755601023</v>
      </c>
      <c r="P539" s="25">
        <f t="shared" si="526"/>
        <v>30050.93324439897</v>
      </c>
      <c r="Q539" s="25">
        <f t="array" aca="1" ref="Q539" ca="1">INDEX('Isaac 401k'!L:L,MATCH('Retirement Calculator'!A539,'Isaac 401k'!N:N,0),0)</f>
        <v>-2300369.2327633426</v>
      </c>
      <c r="R539" s="25">
        <f t="array" aca="1" ref="R539" ca="1">INDEX('Lorri 401b'!L:L,MATCH('Retirement Calculator'!A539,'Lorri 401b'!N:N,0),0)</f>
        <v>-2470188.0392520814</v>
      </c>
      <c r="S539" s="25">
        <f t="shared" ca="1" si="527"/>
        <v>-4770557.2720154244</v>
      </c>
    </row>
    <row r="540" spans="1:19" ht="15.75" customHeight="1" x14ac:dyDescent="0.25">
      <c r="A540" s="37">
        <v>67389</v>
      </c>
      <c r="B540" s="398">
        <f t="shared" ref="B540:C540" si="546">($A540-B$9)/365.25</f>
        <v>102.62286105407256</v>
      </c>
      <c r="C540" s="398">
        <f t="shared" si="546"/>
        <v>98.012320328542089</v>
      </c>
      <c r="E540" s="25">
        <f>IF(C540&gt;$B$7,0,'Combined Retirement'!$D$13/12)</f>
        <v>0</v>
      </c>
      <c r="F540" s="25">
        <f>IF(H540=0,'Combined Retirement'!$D$32,0)+'Combined Retirement'!$B$24</f>
        <v>2870.372285649099</v>
      </c>
      <c r="G540" s="25">
        <f>'Combined Retirement'!$C$24</f>
        <v>3254.2644699519233</v>
      </c>
      <c r="H540" s="25">
        <f>IF(B540&lt;62,0,'Combined Retirement'!$I$14)</f>
        <v>2345</v>
      </c>
      <c r="I540" s="25">
        <f>IF(C540&lt;62,0,'Combined Retirement'!$I$13)</f>
        <v>2420</v>
      </c>
      <c r="J540" s="25">
        <f t="shared" si="523"/>
        <v>8395.6297298201844</v>
      </c>
      <c r="K540" s="25">
        <f t="shared" si="524"/>
        <v>21655.303514578787</v>
      </c>
      <c r="L540" s="25"/>
      <c r="N540" s="25">
        <f>'Combined Retirement'!$C$18/12</f>
        <v>40940.569999999992</v>
      </c>
      <c r="O540" s="25">
        <f t="shared" si="525"/>
        <v>10889.636755601023</v>
      </c>
      <c r="P540" s="25">
        <f t="shared" si="526"/>
        <v>30050.93324439897</v>
      </c>
      <c r="Q540" s="25">
        <f t="array" aca="1" ref="Q540" ca="1">INDEX('Isaac 401k'!L:L,MATCH('Retirement Calculator'!A540,'Isaac 401k'!N:N,0),0)</f>
        <v>-2318384.7160868845</v>
      </c>
      <c r="R540" s="25">
        <f t="array" aca="1" ref="R540" ca="1">INDEX('Lorri 401b'!L:L,MATCH('Retirement Calculator'!A540,'Lorri 401b'!N:N,0),0)</f>
        <v>-2502226.0233615213</v>
      </c>
      <c r="S540" s="25">
        <f t="shared" ca="1" si="527"/>
        <v>-4820610.7394484058</v>
      </c>
    </row>
    <row r="541" spans="1:19" ht="15.75" customHeight="1" x14ac:dyDescent="0.25">
      <c r="A541" s="37">
        <v>67420</v>
      </c>
      <c r="B541" s="398">
        <f t="shared" ref="B541:C541" si="547">($A541-B$9)/365.25</f>
        <v>102.70773442847364</v>
      </c>
      <c r="C541" s="398">
        <f t="shared" si="547"/>
        <v>98.097193702943187</v>
      </c>
      <c r="E541" s="25">
        <f>IF(C541&gt;$B$7,0,'Combined Retirement'!$D$13/12)</f>
        <v>0</v>
      </c>
      <c r="F541" s="25">
        <f>IF(H541=0,'Combined Retirement'!$D$32,0)+'Combined Retirement'!$B$24</f>
        <v>2870.372285649099</v>
      </c>
      <c r="G541" s="25">
        <f>'Combined Retirement'!$C$24</f>
        <v>3254.2644699519233</v>
      </c>
      <c r="H541" s="25">
        <f>IF(B541&lt;62,0,'Combined Retirement'!$I$14)</f>
        <v>2345</v>
      </c>
      <c r="I541" s="25">
        <f>IF(C541&lt;62,0,'Combined Retirement'!$I$13)</f>
        <v>2420</v>
      </c>
      <c r="J541" s="25">
        <f t="shared" si="523"/>
        <v>8395.6297298201844</v>
      </c>
      <c r="K541" s="25">
        <f t="shared" si="524"/>
        <v>21655.303514578787</v>
      </c>
      <c r="L541" s="25"/>
      <c r="N541" s="25">
        <f>'Combined Retirement'!$C$18/12</f>
        <v>40940.569999999992</v>
      </c>
      <c r="O541" s="25">
        <f t="shared" si="525"/>
        <v>10889.636755601023</v>
      </c>
      <c r="P541" s="25">
        <f t="shared" si="526"/>
        <v>30050.93324439897</v>
      </c>
      <c r="Q541" s="25">
        <f t="array" aca="1" ref="Q541" ca="1">INDEX('Isaac 401k'!L:L,MATCH('Retirement Calculator'!A541,'Isaac 401k'!N:N,0),0)</f>
        <v>-2336475.2639242746</v>
      </c>
      <c r="R541" s="25">
        <f t="array" aca="1" ref="R541" ca="1">INDEX('Lorri 401b'!L:L,MATCH('Retirement Calculator'!A541,'Lorri 401b'!N:N,0),0)</f>
        <v>-2534397.4990714174</v>
      </c>
      <c r="S541" s="25">
        <f t="shared" ca="1" si="527"/>
        <v>-4870872.762995692</v>
      </c>
    </row>
    <row r="542" spans="1:19" ht="15.75" customHeight="1" x14ac:dyDescent="0.25">
      <c r="A542" s="37">
        <v>67451</v>
      </c>
      <c r="B542" s="398">
        <f t="shared" ref="B542:C542" si="548">($A542-B$9)/365.25</f>
        <v>102.79260780287474</v>
      </c>
      <c r="C542" s="398">
        <f t="shared" si="548"/>
        <v>98.182067077344286</v>
      </c>
      <c r="E542" s="25">
        <f>IF(C542&gt;$B$7,0,'Combined Retirement'!$D$13/12)</f>
        <v>0</v>
      </c>
      <c r="F542" s="25">
        <f>IF(H542=0,'Combined Retirement'!$D$32,0)+'Combined Retirement'!$B$24</f>
        <v>2870.372285649099</v>
      </c>
      <c r="G542" s="25">
        <f>'Combined Retirement'!$C$24</f>
        <v>3254.2644699519233</v>
      </c>
      <c r="H542" s="25">
        <f>IF(B542&lt;62,0,'Combined Retirement'!$I$14)</f>
        <v>2345</v>
      </c>
      <c r="I542" s="25">
        <f>IF(C542&lt;62,0,'Combined Retirement'!$I$13)</f>
        <v>2420</v>
      </c>
      <c r="J542" s="25">
        <f t="shared" si="523"/>
        <v>8395.6297298201844</v>
      </c>
      <c r="K542" s="25">
        <f t="shared" si="524"/>
        <v>21655.303514578787</v>
      </c>
      <c r="L542" s="25"/>
      <c r="N542" s="25">
        <f>'Combined Retirement'!$C$18/12</f>
        <v>40940.569999999992</v>
      </c>
      <c r="O542" s="25">
        <f t="shared" si="525"/>
        <v>10889.636755601023</v>
      </c>
      <c r="P542" s="25">
        <f t="shared" si="526"/>
        <v>30050.93324439897</v>
      </c>
      <c r="Q542" s="25">
        <f t="array" aca="1" ref="Q542" ca="1">INDEX('Isaac 401k'!L:L,MATCH('Retirement Calculator'!A542,'Isaac 401k'!N:N,0),0)</f>
        <v>-2354641.1890443205</v>
      </c>
      <c r="R542" s="25">
        <f t="array" aca="1" ref="R542" ca="1">INDEX('Lorri 401b'!L:L,MATCH('Retirement Calculator'!A542,'Lorri 401b'!N:N,0),0)</f>
        <v>-2566703.0225967714</v>
      </c>
      <c r="S542" s="25">
        <f t="shared" ca="1" si="527"/>
        <v>-4921344.2116410919</v>
      </c>
    </row>
    <row r="543" spans="1:19" ht="15.75" customHeight="1" x14ac:dyDescent="0.25">
      <c r="A543" s="37">
        <v>67481</v>
      </c>
      <c r="B543" s="398">
        <f t="shared" ref="B543:C543" si="549">($A543-B$9)/365.25</f>
        <v>102.87474332648871</v>
      </c>
      <c r="C543" s="398">
        <f t="shared" si="549"/>
        <v>98.264202600958242</v>
      </c>
      <c r="E543" s="25">
        <f>IF(C543&gt;$B$7,0,'Combined Retirement'!$D$13/12)</f>
        <v>0</v>
      </c>
      <c r="F543" s="25">
        <f>IF(H543=0,'Combined Retirement'!$D$32,0)+'Combined Retirement'!$B$24</f>
        <v>2870.372285649099</v>
      </c>
      <c r="G543" s="25">
        <f>'Combined Retirement'!$C$24</f>
        <v>3254.2644699519233</v>
      </c>
      <c r="H543" s="25">
        <f>IF(B543&lt;62,0,'Combined Retirement'!$I$14)</f>
        <v>2345</v>
      </c>
      <c r="I543" s="25">
        <f>IF(C543&lt;62,0,'Combined Retirement'!$I$13)</f>
        <v>2420</v>
      </c>
      <c r="J543" s="25">
        <f t="shared" si="523"/>
        <v>8395.6297298201844</v>
      </c>
      <c r="K543" s="25">
        <f t="shared" si="524"/>
        <v>21655.303514578787</v>
      </c>
      <c r="L543" s="25"/>
      <c r="N543" s="25">
        <f>'Combined Retirement'!$C$18/12</f>
        <v>40940.569999999992</v>
      </c>
      <c r="O543" s="25">
        <f t="shared" si="525"/>
        <v>10889.636755601023</v>
      </c>
      <c r="P543" s="25">
        <f t="shared" si="526"/>
        <v>30050.93324439897</v>
      </c>
      <c r="Q543" s="25">
        <f t="array" aca="1" ref="Q543" ca="1">INDEX('Isaac 401k'!L:L,MATCH('Retirement Calculator'!A543,'Isaac 401k'!N:N,0),0)</f>
        <v>-2372882.8055190332</v>
      </c>
      <c r="R543" s="25">
        <f t="array" aca="1" ref="R543" ca="1">INDEX('Lorri 401b'!L:L,MATCH('Retirement Calculator'!A543,'Lorri 401b'!N:N,0),0)</f>
        <v>-2599143.1524701477</v>
      </c>
      <c r="S543" s="25">
        <f t="shared" ca="1" si="527"/>
        <v>-4972025.9579891805</v>
      </c>
    </row>
    <row r="544" spans="1:19" ht="15.75" customHeight="1" x14ac:dyDescent="0.25">
      <c r="A544" s="37">
        <v>67512</v>
      </c>
      <c r="B544" s="398">
        <f t="shared" ref="B544:C544" si="550">($A544-B$9)/365.25</f>
        <v>102.9596167008898</v>
      </c>
      <c r="C544" s="398">
        <f t="shared" si="550"/>
        <v>98.349075975359341</v>
      </c>
      <c r="E544" s="25">
        <f>IF(C544&gt;$B$7,0,'Combined Retirement'!$D$13/12)</f>
        <v>0</v>
      </c>
      <c r="F544" s="25">
        <f>IF(H544=0,'Combined Retirement'!$D$32,0)+'Combined Retirement'!$B$24</f>
        <v>2870.372285649099</v>
      </c>
      <c r="G544" s="25">
        <f>'Combined Retirement'!$C$24</f>
        <v>3254.2644699519233</v>
      </c>
      <c r="H544" s="25">
        <f>IF(B544&lt;62,0,'Combined Retirement'!$I$14)</f>
        <v>2345</v>
      </c>
      <c r="I544" s="25">
        <f>IF(C544&lt;62,0,'Combined Retirement'!$I$13)</f>
        <v>2420</v>
      </c>
      <c r="J544" s="25">
        <f t="shared" si="523"/>
        <v>8395.6297298201844</v>
      </c>
      <c r="K544" s="25">
        <f t="shared" si="524"/>
        <v>21655.303514578787</v>
      </c>
      <c r="L544" s="25"/>
      <c r="N544" s="25">
        <f>'Combined Retirement'!$C$18/12</f>
        <v>40940.569999999992</v>
      </c>
      <c r="O544" s="25">
        <f t="shared" si="525"/>
        <v>10889.636755601023</v>
      </c>
      <c r="P544" s="25">
        <f t="shared" si="526"/>
        <v>30050.93324439897</v>
      </c>
      <c r="Q544" s="25">
        <f t="array" aca="1" ref="Q544" ca="1">INDEX('Isaac 401k'!L:L,MATCH('Retirement Calculator'!A544,'Isaac 401k'!N:N,0),0)</f>
        <v>-2391200.4287290573</v>
      </c>
      <c r="R544" s="25">
        <f t="array" aca="1" ref="R544" ca="1">INDEX('Lorri 401b'!L:L,MATCH('Retirement Calculator'!A544,'Lorri 401b'!N:N,0),0)</f>
        <v>-2631718.4495513295</v>
      </c>
      <c r="S544" s="25">
        <f t="shared" ca="1" si="527"/>
        <v>-5022918.8782803863</v>
      </c>
    </row>
    <row r="545" spans="1:19" ht="15.75" customHeight="1" x14ac:dyDescent="0.25">
      <c r="A545" s="37">
        <v>67542</v>
      </c>
      <c r="B545" s="398">
        <f t="shared" ref="B545:C545" si="551">($A545-B$9)/365.25</f>
        <v>103.04175222450377</v>
      </c>
      <c r="C545" s="398">
        <f t="shared" si="551"/>
        <v>98.431211498973312</v>
      </c>
      <c r="E545" s="25">
        <f>IF(C545&gt;$B$7,0,'Combined Retirement'!$D$13/12)</f>
        <v>0</v>
      </c>
      <c r="F545" s="25">
        <f>IF(H545=0,'Combined Retirement'!$D$32,0)+'Combined Retirement'!$B$24</f>
        <v>2870.372285649099</v>
      </c>
      <c r="G545" s="25">
        <f>'Combined Retirement'!$C$24</f>
        <v>3254.2644699519233</v>
      </c>
      <c r="H545" s="25">
        <f>IF(B545&lt;62,0,'Combined Retirement'!$I$14)</f>
        <v>2345</v>
      </c>
      <c r="I545" s="25">
        <f>IF(C545&lt;62,0,'Combined Retirement'!$I$13)</f>
        <v>2420</v>
      </c>
      <c r="J545" s="25">
        <f t="shared" si="523"/>
        <v>8395.6297298201844</v>
      </c>
      <c r="K545" s="25">
        <f t="shared" si="524"/>
        <v>21655.303514578787</v>
      </c>
      <c r="L545" s="25"/>
      <c r="N545" s="25">
        <f>'Combined Retirement'!$C$18/12</f>
        <v>40940.569999999992</v>
      </c>
      <c r="O545" s="25">
        <f t="shared" si="525"/>
        <v>10889.636755601023</v>
      </c>
      <c r="P545" s="25">
        <f t="shared" si="526"/>
        <v>30050.93324439897</v>
      </c>
      <c r="Q545" s="25">
        <f t="array" aca="1" ref="Q545" ca="1">INDEX('Isaac 401k'!L:L,MATCH('Retirement Calculator'!A545,'Isaac 401k'!N:N,0),0)</f>
        <v>-2409594.3753691232</v>
      </c>
      <c r="R545" s="25">
        <f t="array" aca="1" ref="R545" ca="1">INDEX('Lorri 401b'!L:L,MATCH('Retirement Calculator'!A545,'Lorri 401b'!N:N,0),0)</f>
        <v>-2664429.4770370163</v>
      </c>
      <c r="S545" s="25">
        <f t="shared" ca="1" si="527"/>
        <v>-5074023.8524061395</v>
      </c>
    </row>
    <row r="546" spans="1:19" ht="15.75" customHeight="1" x14ac:dyDescent="0.25">
      <c r="A546" s="37">
        <v>67573</v>
      </c>
      <c r="B546" s="398">
        <f t="shared" ref="B546:C546" si="552">($A546-B$9)/365.25</f>
        <v>103.12662559890487</v>
      </c>
      <c r="C546" s="398">
        <f t="shared" si="552"/>
        <v>98.516084873374396</v>
      </c>
      <c r="E546" s="25">
        <f>IF(C546&gt;$B$7,0,'Combined Retirement'!$D$13/12)</f>
        <v>0</v>
      </c>
      <c r="F546" s="25">
        <f>IF(H546=0,'Combined Retirement'!$D$32,0)+'Combined Retirement'!$B$24</f>
        <v>2870.372285649099</v>
      </c>
      <c r="G546" s="25">
        <f>'Combined Retirement'!$C$24</f>
        <v>3254.2644699519233</v>
      </c>
      <c r="H546" s="25">
        <f>IF(B546&lt;62,0,'Combined Retirement'!$I$14)</f>
        <v>2345</v>
      </c>
      <c r="I546" s="25">
        <f>IF(C546&lt;62,0,'Combined Retirement'!$I$13)</f>
        <v>2420</v>
      </c>
      <c r="J546" s="25">
        <f t="shared" si="523"/>
        <v>8395.6297298201844</v>
      </c>
      <c r="K546" s="25">
        <f t="shared" si="524"/>
        <v>21655.303514578787</v>
      </c>
      <c r="L546" s="25"/>
      <c r="N546" s="25">
        <f>'Combined Retirement'!$C$18/12</f>
        <v>40940.569999999992</v>
      </c>
      <c r="O546" s="25">
        <f t="shared" si="525"/>
        <v>10889.636755601023</v>
      </c>
      <c r="P546" s="25">
        <f t="shared" si="526"/>
        <v>30050.93324439897</v>
      </c>
      <c r="Q546" s="25">
        <f t="array" aca="1" ref="Q546" ca="1">INDEX('Isaac 401k'!L:L,MATCH('Retirement Calculator'!A546,'Isaac 401k'!N:N,0),0)</f>
        <v>-2428064.9634535224</v>
      </c>
      <c r="R546" s="25">
        <f t="array" aca="1" ref="R546" ca="1">INDEX('Lorri 401b'!L:L,MATCH('Retirement Calculator'!A546,'Lorri 401b'!N:N,0),0)</f>
        <v>-2697276.8004705603</v>
      </c>
      <c r="S546" s="25">
        <f t="shared" ca="1" si="527"/>
        <v>-5125341.7639240827</v>
      </c>
    </row>
    <row r="547" spans="1:19" ht="15.75" customHeight="1" x14ac:dyDescent="0.25">
      <c r="A547" s="37">
        <v>67604</v>
      </c>
      <c r="B547" s="398">
        <f t="shared" ref="B547:C547" si="553">($A547-B$9)/365.25</f>
        <v>103.21149897330595</v>
      </c>
      <c r="C547" s="398">
        <f t="shared" si="553"/>
        <v>98.600958247775495</v>
      </c>
      <c r="E547" s="25">
        <f>IF(C547&gt;$B$7,0,'Combined Retirement'!$D$13/12)</f>
        <v>0</v>
      </c>
      <c r="F547" s="25">
        <f>IF(H547=0,'Combined Retirement'!$D$32,0)+'Combined Retirement'!$B$24</f>
        <v>2870.372285649099</v>
      </c>
      <c r="G547" s="25">
        <f>'Combined Retirement'!$C$24</f>
        <v>3254.2644699519233</v>
      </c>
      <c r="H547" s="25">
        <f>IF(B547&lt;62,0,'Combined Retirement'!$I$14)</f>
        <v>2345</v>
      </c>
      <c r="I547" s="25">
        <f>IF(C547&lt;62,0,'Combined Retirement'!$I$13)</f>
        <v>2420</v>
      </c>
      <c r="J547" s="25">
        <f t="shared" si="523"/>
        <v>8395.6297298201844</v>
      </c>
      <c r="K547" s="25">
        <f t="shared" si="524"/>
        <v>21655.303514578787</v>
      </c>
      <c r="L547" s="25"/>
      <c r="N547" s="25">
        <f>'Combined Retirement'!$C$18/12</f>
        <v>40940.569999999992</v>
      </c>
      <c r="O547" s="25">
        <f t="shared" si="525"/>
        <v>10889.636755601023</v>
      </c>
      <c r="P547" s="25">
        <f t="shared" si="526"/>
        <v>30050.93324439897</v>
      </c>
      <c r="Q547" s="25">
        <f t="array" aca="1" ref="Q547" ca="1">INDEX('Isaac 401k'!L:L,MATCH('Retirement Calculator'!A547,'Isaac 401k'!N:N,0),0)</f>
        <v>-2446612.5123216067</v>
      </c>
      <c r="R547" s="25">
        <f t="array" aca="1" ref="R547" ca="1">INDEX('Lorri 401b'!L:L,MATCH('Retirement Calculator'!A547,'Lorri 401b'!N:N,0),0)</f>
        <v>-2730260.9877517438</v>
      </c>
      <c r="S547" s="25">
        <f t="shared" ca="1" si="527"/>
        <v>-5176873.500073351</v>
      </c>
    </row>
    <row r="548" spans="1:19" ht="15.75" customHeight="1" x14ac:dyDescent="0.25">
      <c r="A548" s="37">
        <v>67632</v>
      </c>
      <c r="B548" s="398">
        <f t="shared" ref="B548:C548" si="554">($A548-B$9)/365.25</f>
        <v>103.28815879534565</v>
      </c>
      <c r="C548" s="398">
        <f t="shared" si="554"/>
        <v>98.677618069815196</v>
      </c>
      <c r="E548" s="25">
        <f>IF(C548&gt;$B$7,0,'Combined Retirement'!$D$13/12)</f>
        <v>0</v>
      </c>
      <c r="F548" s="25">
        <f>IF(H548=0,'Combined Retirement'!$D$32,0)+'Combined Retirement'!$B$24</f>
        <v>2870.372285649099</v>
      </c>
      <c r="G548" s="25">
        <f>'Combined Retirement'!$C$24</f>
        <v>3254.2644699519233</v>
      </c>
      <c r="H548" s="25">
        <f>IF(B548&lt;62,0,'Combined Retirement'!$I$14)</f>
        <v>2345</v>
      </c>
      <c r="I548" s="25">
        <f>IF(C548&lt;62,0,'Combined Retirement'!$I$13)</f>
        <v>2420</v>
      </c>
      <c r="J548" s="25">
        <f t="shared" si="523"/>
        <v>8395.6297298201844</v>
      </c>
      <c r="K548" s="25">
        <f t="shared" si="524"/>
        <v>21655.303514578787</v>
      </c>
      <c r="L548" s="25"/>
      <c r="N548" s="25">
        <f>'Combined Retirement'!$C$18/12</f>
        <v>40940.569999999992</v>
      </c>
      <c r="O548" s="25">
        <f t="shared" si="525"/>
        <v>10889.636755601023</v>
      </c>
      <c r="P548" s="25">
        <f t="shared" si="526"/>
        <v>30050.93324439897</v>
      </c>
      <c r="Q548" s="25">
        <f t="array" aca="1" ref="Q548" ca="1">INDEX('Isaac 401k'!L:L,MATCH('Retirement Calculator'!A548,'Isaac 401k'!N:N,0),0)</f>
        <v>-2465237.342643308</v>
      </c>
      <c r="R548" s="25">
        <f t="array" aca="1" ref="R548" ca="1">INDEX('Lorri 401b'!L:L,MATCH('Retirement Calculator'!A548,'Lorri 401b'!N:N,0),0)</f>
        <v>-2763382.6091465987</v>
      </c>
      <c r="S548" s="25">
        <f t="shared" ca="1" si="527"/>
        <v>-5228619.9517899062</v>
      </c>
    </row>
    <row r="549" spans="1:19" ht="15.75" customHeight="1" x14ac:dyDescent="0.25">
      <c r="A549" s="37">
        <v>67663</v>
      </c>
      <c r="B549" s="398">
        <f t="shared" ref="B549:C549" si="555">($A549-B$9)/365.25</f>
        <v>103.37303216974675</v>
      </c>
      <c r="C549" s="398">
        <f t="shared" si="555"/>
        <v>98.762491444216295</v>
      </c>
      <c r="E549" s="25">
        <f>IF(C549&gt;$B$7,0,'Combined Retirement'!$D$13/12)</f>
        <v>0</v>
      </c>
      <c r="F549" s="25">
        <f>IF(H549=0,'Combined Retirement'!$D$32,0)+'Combined Retirement'!$B$24</f>
        <v>2870.372285649099</v>
      </c>
      <c r="G549" s="25">
        <f>'Combined Retirement'!$C$24</f>
        <v>3254.2644699519233</v>
      </c>
      <c r="H549" s="25">
        <f>IF(B549&lt;62,0,'Combined Retirement'!$I$14)</f>
        <v>2345</v>
      </c>
      <c r="I549" s="25">
        <f>IF(C549&lt;62,0,'Combined Retirement'!$I$13)</f>
        <v>2420</v>
      </c>
      <c r="J549" s="25">
        <f t="shared" si="523"/>
        <v>8395.6297298201844</v>
      </c>
      <c r="K549" s="25">
        <f t="shared" si="524"/>
        <v>21655.303514578787</v>
      </c>
      <c r="L549" s="25"/>
      <c r="N549" s="25">
        <f>'Combined Retirement'!$C$18/12</f>
        <v>40940.569999999992</v>
      </c>
      <c r="O549" s="25">
        <f t="shared" si="525"/>
        <v>10889.636755601023</v>
      </c>
      <c r="P549" s="25">
        <f t="shared" si="526"/>
        <v>30050.93324439897</v>
      </c>
      <c r="Q549" s="25">
        <f t="array" aca="1" ref="Q549" ca="1">INDEX('Isaac 401k'!L:L,MATCH('Retirement Calculator'!A549,'Isaac 401k'!N:N,0),0)</f>
        <v>-2483939.7764246832</v>
      </c>
      <c r="R549" s="25">
        <f t="array" aca="1" ref="R549" ca="1">INDEX('Lorri 401b'!L:L,MATCH('Retirement Calculator'!A549,'Lorri 401b'!N:N,0),0)</f>
        <v>-2796642.2372972658</v>
      </c>
      <c r="S549" s="25">
        <f t="shared" ca="1" si="527"/>
        <v>-5280582.0137219485</v>
      </c>
    </row>
    <row r="550" spans="1:19" ht="15.75" customHeight="1" x14ac:dyDescent="0.25">
      <c r="A550" s="37">
        <v>67693</v>
      </c>
      <c r="B550" s="398">
        <f t="shared" ref="B550:C550" si="556">($A550-B$9)/365.25</f>
        <v>103.45516769336071</v>
      </c>
      <c r="C550" s="398">
        <f t="shared" si="556"/>
        <v>98.844626967830251</v>
      </c>
      <c r="E550" s="25">
        <f>IF(C550&gt;$B$7,0,'Combined Retirement'!$D$13/12)</f>
        <v>0</v>
      </c>
      <c r="F550" s="25">
        <f>IF(H550=0,'Combined Retirement'!$D$32,0)+'Combined Retirement'!$B$24</f>
        <v>2870.372285649099</v>
      </c>
      <c r="G550" s="25">
        <f>'Combined Retirement'!$C$24</f>
        <v>3254.2644699519233</v>
      </c>
      <c r="H550" s="25">
        <f>IF(B550&lt;62,0,'Combined Retirement'!$I$14)</f>
        <v>2345</v>
      </c>
      <c r="I550" s="25">
        <f>IF(C550&lt;62,0,'Combined Retirement'!$I$13)</f>
        <v>2420</v>
      </c>
      <c r="J550" s="25">
        <f t="shared" si="523"/>
        <v>8395.6297298201844</v>
      </c>
      <c r="K550" s="25">
        <f t="shared" si="524"/>
        <v>21655.303514578787</v>
      </c>
      <c r="L550" s="25"/>
      <c r="N550" s="25">
        <f>'Combined Retirement'!$C$18/12</f>
        <v>40940.569999999992</v>
      </c>
      <c r="O550" s="25">
        <f t="shared" si="525"/>
        <v>10889.636755601023</v>
      </c>
      <c r="P550" s="25">
        <f t="shared" si="526"/>
        <v>30050.93324439897</v>
      </c>
      <c r="Q550" s="25">
        <f t="array" aca="1" ref="Q550" ca="1">INDEX('Isaac 401k'!L:L,MATCH('Retirement Calculator'!A550,'Isaac 401k'!N:N,0),0)</f>
        <v>-2502720.1370134805</v>
      </c>
      <c r="R550" s="25">
        <f t="array" aca="1" ref="R550" ca="1">INDEX('Lorri 401b'!L:L,MATCH('Retirement Calculator'!A550,'Lorri 401b'!N:N,0),0)</f>
        <v>-2830040.4472318939</v>
      </c>
      <c r="S550" s="25">
        <f t="shared" ca="1" si="527"/>
        <v>-5332760.5842453744</v>
      </c>
    </row>
    <row r="551" spans="1:19" ht="15.75" customHeight="1" x14ac:dyDescent="0.25">
      <c r="A551" s="37">
        <v>67724</v>
      </c>
      <c r="B551" s="398">
        <f t="shared" ref="B551:C551" si="557">($A551-B$9)/365.25</f>
        <v>103.54004106776181</v>
      </c>
      <c r="C551" s="398">
        <f t="shared" si="557"/>
        <v>98.92950034223135</v>
      </c>
      <c r="E551" s="25">
        <f>IF(C551&gt;$B$7,0,'Combined Retirement'!$D$13/12)</f>
        <v>0</v>
      </c>
      <c r="F551" s="25">
        <f>IF(H551=0,'Combined Retirement'!$D$32,0)+'Combined Retirement'!$B$24</f>
        <v>2870.372285649099</v>
      </c>
      <c r="G551" s="25">
        <f>'Combined Retirement'!$C$24</f>
        <v>3254.2644699519233</v>
      </c>
      <c r="H551" s="25">
        <f>IF(B551&lt;62,0,'Combined Retirement'!$I$14)</f>
        <v>2345</v>
      </c>
      <c r="I551" s="25">
        <f>IF(C551&lt;62,0,'Combined Retirement'!$I$13)</f>
        <v>2420</v>
      </c>
      <c r="J551" s="25">
        <f t="shared" si="523"/>
        <v>8395.6297298201844</v>
      </c>
      <c r="K551" s="25">
        <f t="shared" si="524"/>
        <v>21655.303514578787</v>
      </c>
      <c r="L551" s="25"/>
      <c r="N551" s="25">
        <f>'Combined Retirement'!$C$18/12</f>
        <v>40940.569999999992</v>
      </c>
      <c r="O551" s="25">
        <f t="shared" si="525"/>
        <v>10889.636755601023</v>
      </c>
      <c r="P551" s="25">
        <f t="shared" si="526"/>
        <v>30050.93324439897</v>
      </c>
      <c r="Q551" s="25">
        <f t="array" aca="1" ref="Q551" ca="1">INDEX('Isaac 401k'!L:L,MATCH('Retirement Calculator'!A551,'Isaac 401k'!N:N,0),0)</f>
        <v>-2521578.7491047313</v>
      </c>
      <c r="R551" s="25">
        <f t="array" aca="1" ref="R551" ca="1">INDEX('Lorri 401b'!L:L,MATCH('Retirement Calculator'!A551,'Lorri 401b'!N:N,0),0)</f>
        <v>-2863577.8163745832</v>
      </c>
      <c r="S551" s="25">
        <f t="shared" ca="1" si="527"/>
        <v>-5385156.565479314</v>
      </c>
    </row>
    <row r="552" spans="1:19" ht="15.75" customHeight="1" x14ac:dyDescent="0.25">
      <c r="A552" s="37">
        <v>67754</v>
      </c>
      <c r="B552" s="398">
        <f t="shared" ref="B552:C552" si="558">($A552-B$9)/365.25</f>
        <v>103.62217659137578</v>
      </c>
      <c r="C552" s="398">
        <f t="shared" si="558"/>
        <v>99.011635865845307</v>
      </c>
      <c r="E552" s="25">
        <f>IF(C552&gt;$B$7,0,'Combined Retirement'!$D$13/12)</f>
        <v>0</v>
      </c>
      <c r="F552" s="25">
        <f>IF(H552=0,'Combined Retirement'!$D$32,0)+'Combined Retirement'!$B$24</f>
        <v>2870.372285649099</v>
      </c>
      <c r="G552" s="25">
        <f>'Combined Retirement'!$C$24</f>
        <v>3254.2644699519233</v>
      </c>
      <c r="H552" s="25">
        <f>IF(B552&lt;62,0,'Combined Retirement'!$I$14)</f>
        <v>2345</v>
      </c>
      <c r="I552" s="25">
        <f>IF(C552&lt;62,0,'Combined Retirement'!$I$13)</f>
        <v>2420</v>
      </c>
      <c r="J552" s="25">
        <f t="shared" si="523"/>
        <v>8395.6297298201844</v>
      </c>
      <c r="K552" s="25">
        <f t="shared" si="524"/>
        <v>21655.303514578787</v>
      </c>
      <c r="L552" s="25"/>
      <c r="N552" s="25">
        <f>'Combined Retirement'!$C$18/12</f>
        <v>40940.569999999992</v>
      </c>
      <c r="O552" s="25">
        <f t="shared" si="525"/>
        <v>10889.636755601023</v>
      </c>
      <c r="P552" s="25">
        <f t="shared" si="526"/>
        <v>30050.93324439897</v>
      </c>
      <c r="Q552" s="25">
        <f t="array" aca="1" ref="Q552" ca="1">INDEX('Isaac 401k'!L:L,MATCH('Retirement Calculator'!A552,'Isaac 401k'!N:N,0),0)</f>
        <v>-2540515.9387463625</v>
      </c>
      <c r="R552" s="25">
        <f t="array" aca="1" ref="R552" ca="1">INDEX('Lorri 401b'!L:L,MATCH('Retirement Calculator'!A552,'Lorri 401b'!N:N,0),0)</f>
        <v>-2897254.9245553669</v>
      </c>
      <c r="S552" s="25">
        <f t="shared" ca="1" si="527"/>
        <v>-5437770.8633017298</v>
      </c>
    </row>
    <row r="553" spans="1:19" ht="15.75" customHeight="1" x14ac:dyDescent="0.25">
      <c r="A553" s="37">
        <v>67785</v>
      </c>
      <c r="B553" s="398">
        <f t="shared" ref="B553:C553" si="559">($A553-B$9)/365.25</f>
        <v>103.70704996577686</v>
      </c>
      <c r="C553" s="398">
        <f t="shared" si="559"/>
        <v>99.096509240246405</v>
      </c>
      <c r="E553" s="25">
        <f>IF(C553&gt;$B$7,0,'Combined Retirement'!$D$13/12)</f>
        <v>0</v>
      </c>
      <c r="F553" s="25">
        <f>IF(H553=0,'Combined Retirement'!$D$32,0)+'Combined Retirement'!$B$24</f>
        <v>2870.372285649099</v>
      </c>
      <c r="G553" s="25">
        <f>'Combined Retirement'!$C$24</f>
        <v>3254.2644699519233</v>
      </c>
      <c r="H553" s="25">
        <f>IF(B553&lt;62,0,'Combined Retirement'!$I$14)</f>
        <v>2345</v>
      </c>
      <c r="I553" s="25">
        <f>IF(C553&lt;62,0,'Combined Retirement'!$I$13)</f>
        <v>2420</v>
      </c>
      <c r="J553" s="25">
        <f t="shared" si="523"/>
        <v>8395.6297298201844</v>
      </c>
      <c r="K553" s="25">
        <f t="shared" si="524"/>
        <v>21655.303514578787</v>
      </c>
      <c r="L553" s="25"/>
      <c r="N553" s="25">
        <f>'Combined Retirement'!$C$18/12</f>
        <v>40940.569999999992</v>
      </c>
      <c r="O553" s="25">
        <f t="shared" si="525"/>
        <v>10889.636755601023</v>
      </c>
      <c r="P553" s="25">
        <f t="shared" si="526"/>
        <v>30050.93324439897</v>
      </c>
      <c r="Q553" s="25">
        <f t="array" aca="1" ref="Q553" ca="1">INDEX('Isaac 401k'!L:L,MATCH('Retirement Calculator'!A553,'Isaac 401k'!N:N,0),0)</f>
        <v>-2559532.0333448336</v>
      </c>
      <c r="R553" s="25">
        <f t="array" aca="1" ref="R553" ca="1">INDEX('Lorri 401b'!L:L,MATCH('Retirement Calculator'!A553,'Lorri 401b'!N:N,0),0)</f>
        <v>-2931072.354020237</v>
      </c>
      <c r="S553" s="25">
        <f t="shared" ca="1" si="527"/>
        <v>-5490604.3873650711</v>
      </c>
    </row>
    <row r="554" spans="1:19" ht="15.75" customHeight="1" x14ac:dyDescent="0.25">
      <c r="A554" s="37">
        <v>67816</v>
      </c>
      <c r="B554" s="398">
        <f t="shared" ref="B554:C554" si="560">($A554-B$9)/365.25</f>
        <v>103.79192334017796</v>
      </c>
      <c r="C554" s="398">
        <f t="shared" si="560"/>
        <v>99.181382614647504</v>
      </c>
      <c r="E554" s="25">
        <f>IF(C554&gt;$B$7,0,'Combined Retirement'!$D$13/12)</f>
        <v>0</v>
      </c>
      <c r="F554" s="25">
        <f>IF(H554=0,'Combined Retirement'!$D$32,0)+'Combined Retirement'!$B$24</f>
        <v>2870.372285649099</v>
      </c>
      <c r="G554" s="25">
        <f>'Combined Retirement'!$C$24</f>
        <v>3254.2644699519233</v>
      </c>
      <c r="H554" s="25">
        <f>IF(B554&lt;62,0,'Combined Retirement'!$I$14)</f>
        <v>2345</v>
      </c>
      <c r="I554" s="25">
        <f>IF(C554&lt;62,0,'Combined Retirement'!$I$13)</f>
        <v>2420</v>
      </c>
      <c r="J554" s="25">
        <f t="shared" si="523"/>
        <v>8395.6297298201844</v>
      </c>
      <c r="K554" s="25">
        <f t="shared" si="524"/>
        <v>21655.303514578787</v>
      </c>
      <c r="L554" s="25"/>
      <c r="N554" s="25">
        <f>'Combined Retirement'!$C$18/12</f>
        <v>40940.569999999992</v>
      </c>
      <c r="O554" s="25">
        <f t="shared" si="525"/>
        <v>10889.636755601023</v>
      </c>
      <c r="P554" s="25">
        <f t="shared" si="526"/>
        <v>30050.93324439897</v>
      </c>
      <c r="Q554" s="25">
        <f t="array" aca="1" ref="Q554" ca="1">INDEX('Isaac 401k'!L:L,MATCH('Retirement Calculator'!A554,'Isaac 401k'!N:N,0),0)</f>
        <v>-2578627.3616707986</v>
      </c>
      <c r="R554" s="25">
        <f t="array" aca="1" ref="R554" ca="1">INDEX('Lorri 401b'!L:L,MATCH('Retirement Calculator'!A554,'Lorri 401b'!N:N,0),0)</f>
        <v>-2965030.6894412111</v>
      </c>
      <c r="S554" s="25">
        <f t="shared" ca="1" si="527"/>
        <v>-5543658.0511120092</v>
      </c>
    </row>
    <row r="555" spans="1:19" ht="15.75" customHeight="1" x14ac:dyDescent="0.25">
      <c r="A555" s="37">
        <v>67846</v>
      </c>
      <c r="B555" s="398">
        <f t="shared" ref="B555:C555" si="561">($A555-B$9)/365.25</f>
        <v>103.87405886379193</v>
      </c>
      <c r="C555" s="398">
        <f t="shared" si="561"/>
        <v>99.26351813826146</v>
      </c>
      <c r="E555" s="25">
        <f>IF(C555&gt;$B$7,0,'Combined Retirement'!$D$13/12)</f>
        <v>0</v>
      </c>
      <c r="F555" s="25">
        <f>IF(H555=0,'Combined Retirement'!$D$32,0)+'Combined Retirement'!$B$24</f>
        <v>2870.372285649099</v>
      </c>
      <c r="G555" s="25">
        <f>'Combined Retirement'!$C$24</f>
        <v>3254.2644699519233</v>
      </c>
      <c r="H555" s="25">
        <f>IF(B555&lt;62,0,'Combined Retirement'!$I$14)</f>
        <v>2345</v>
      </c>
      <c r="I555" s="25">
        <f>IF(C555&lt;62,0,'Combined Retirement'!$I$13)</f>
        <v>2420</v>
      </c>
      <c r="J555" s="25">
        <f t="shared" si="523"/>
        <v>8395.6297298201844</v>
      </c>
      <c r="K555" s="25">
        <f t="shared" si="524"/>
        <v>21655.303514578787</v>
      </c>
      <c r="L555" s="25"/>
      <c r="N555" s="25">
        <f>'Combined Retirement'!$C$18/12</f>
        <v>40940.569999999992</v>
      </c>
      <c r="O555" s="25">
        <f t="shared" si="525"/>
        <v>10889.636755601023</v>
      </c>
      <c r="P555" s="25">
        <f t="shared" si="526"/>
        <v>30050.93324439897</v>
      </c>
      <c r="Q555" s="25">
        <f t="array" aca="1" ref="Q555" ca="1">INDEX('Isaac 401k'!L:L,MATCH('Retirement Calculator'!A555,'Isaac 401k'!N:N,0),0)</f>
        <v>-2597802.2538647885</v>
      </c>
      <c r="R555" s="25">
        <f t="array" aca="1" ref="R555" ca="1">INDEX('Lorri 401b'!L:L,MATCH('Retirement Calculator'!A555,'Lorri 401b'!N:N,0),0)</f>
        <v>-2999130.5179264392</v>
      </c>
      <c r="S555" s="25">
        <f t="shared" ca="1" si="527"/>
        <v>-5596932.7717912272</v>
      </c>
    </row>
    <row r="556" spans="1:19" ht="15.75" customHeight="1" x14ac:dyDescent="0.25">
      <c r="A556" s="37">
        <v>67877</v>
      </c>
      <c r="B556" s="398">
        <f t="shared" ref="B556:C556" si="562">($A556-B$9)/365.25</f>
        <v>103.95893223819301</v>
      </c>
      <c r="C556" s="398">
        <f t="shared" si="562"/>
        <v>99.348391512662559</v>
      </c>
      <c r="E556" s="25">
        <f>IF(C556&gt;$B$7,0,'Combined Retirement'!$D$13/12)</f>
        <v>0</v>
      </c>
      <c r="F556" s="25">
        <f>IF(H556=0,'Combined Retirement'!$D$32,0)+'Combined Retirement'!$B$24</f>
        <v>2870.372285649099</v>
      </c>
      <c r="G556" s="25">
        <f>'Combined Retirement'!$C$24</f>
        <v>3254.2644699519233</v>
      </c>
      <c r="H556" s="25">
        <f>IF(B556&lt;62,0,'Combined Retirement'!$I$14)</f>
        <v>2345</v>
      </c>
      <c r="I556" s="25">
        <f>IF(C556&lt;62,0,'Combined Retirement'!$I$13)</f>
        <v>2420</v>
      </c>
      <c r="J556" s="25">
        <f t="shared" si="523"/>
        <v>8395.6297298201844</v>
      </c>
      <c r="K556" s="25">
        <f t="shared" si="524"/>
        <v>21655.303514578787</v>
      </c>
      <c r="L556" s="25"/>
      <c r="N556" s="25">
        <f>'Combined Retirement'!$C$18/12</f>
        <v>40940.569999999992</v>
      </c>
      <c r="O556" s="25">
        <f t="shared" si="525"/>
        <v>10889.636755601023</v>
      </c>
      <c r="P556" s="25">
        <f t="shared" si="526"/>
        <v>30050.93324439897</v>
      </c>
      <c r="Q556" s="25">
        <f t="array" aca="1" ref="Q556" ca="1">INDEX('Isaac 401k'!L:L,MATCH('Retirement Calculator'!A556,'Isaac 401k'!N:N,0),0)</f>
        <v>-2617057.0414429195</v>
      </c>
      <c r="R556" s="25">
        <f t="array" aca="1" ref="R556" ca="1">INDEX('Lorri 401b'!L:L,MATCH('Retirement Calculator'!A556,'Lorri 401b'!N:N,0),0)</f>
        <v>-3033372.4290303555</v>
      </c>
      <c r="S556" s="25">
        <f t="shared" ca="1" si="527"/>
        <v>-5650429.4704732746</v>
      </c>
    </row>
    <row r="557" spans="1:19" ht="15.75" customHeight="1" x14ac:dyDescent="0.25">
      <c r="A557" s="37">
        <v>67907</v>
      </c>
      <c r="B557" s="398">
        <f t="shared" ref="B557:C557" si="563">($A557-B$9)/365.25</f>
        <v>104.04106776180699</v>
      </c>
      <c r="C557" s="398">
        <f t="shared" si="563"/>
        <v>99.43052703627653</v>
      </c>
      <c r="E557" s="25">
        <f>IF(C557&gt;$B$7,0,'Combined Retirement'!$D$13/12)</f>
        <v>0</v>
      </c>
      <c r="F557" s="25">
        <f>IF(H557=0,'Combined Retirement'!$D$32,0)+'Combined Retirement'!$B$24</f>
        <v>2870.372285649099</v>
      </c>
      <c r="G557" s="25">
        <f>'Combined Retirement'!$C$24</f>
        <v>3254.2644699519233</v>
      </c>
      <c r="H557" s="25">
        <f>IF(B557&lt;62,0,'Combined Retirement'!$I$14)</f>
        <v>2345</v>
      </c>
      <c r="I557" s="25">
        <f>IF(C557&lt;62,0,'Combined Retirement'!$I$13)</f>
        <v>2420</v>
      </c>
      <c r="J557" s="25">
        <f t="shared" si="523"/>
        <v>8395.6297298201844</v>
      </c>
      <c r="K557" s="25">
        <f t="shared" si="524"/>
        <v>21655.303514578787</v>
      </c>
      <c r="L557" s="25"/>
      <c r="N557" s="25">
        <f>'Combined Retirement'!$C$18/12</f>
        <v>40940.569999999992</v>
      </c>
      <c r="O557" s="25">
        <f t="shared" si="525"/>
        <v>10889.636755601023</v>
      </c>
      <c r="P557" s="25">
        <f t="shared" si="526"/>
        <v>30050.93324439897</v>
      </c>
      <c r="Q557" s="25">
        <f t="array" aca="1" ref="Q557" ca="1">INDEX('Isaac 401k'!L:L,MATCH('Retirement Calculator'!A557,'Isaac 401k'!N:N,0),0)</f>
        <v>-2636392.0573026263</v>
      </c>
      <c r="R557" s="25">
        <f t="array" aca="1" ref="R557" ca="1">INDEX('Lorri 401b'!L:L,MATCH('Retirement Calculator'!A557,'Lorri 401b'!N:N,0),0)</f>
        <v>-3067757.0147638717</v>
      </c>
      <c r="S557" s="25">
        <f t="shared" ca="1" si="527"/>
        <v>-5704149.072066498</v>
      </c>
    </row>
    <row r="558" spans="1:19" ht="15.75" customHeight="1" x14ac:dyDescent="0.25">
      <c r="A558" s="37">
        <v>67938</v>
      </c>
      <c r="B558" s="398">
        <f t="shared" ref="B558:C558" si="564">($A558-B$9)/365.25</f>
        <v>104.12594113620807</v>
      </c>
      <c r="C558" s="398">
        <f t="shared" si="564"/>
        <v>99.515400410677614</v>
      </c>
      <c r="E558" s="25">
        <f>IF(C558&gt;$B$7,0,'Combined Retirement'!$D$13/12)</f>
        <v>0</v>
      </c>
      <c r="F558" s="25">
        <f>IF(H558=0,'Combined Retirement'!$D$32,0)+'Combined Retirement'!$B$24</f>
        <v>2870.372285649099</v>
      </c>
      <c r="G558" s="25">
        <f>'Combined Retirement'!$C$24</f>
        <v>3254.2644699519233</v>
      </c>
      <c r="H558" s="25">
        <f>IF(B558&lt;62,0,'Combined Retirement'!$I$14)</f>
        <v>2345</v>
      </c>
      <c r="I558" s="25">
        <f>IF(C558&lt;62,0,'Combined Retirement'!$I$13)</f>
        <v>2420</v>
      </c>
      <c r="J558" s="25">
        <f t="shared" si="523"/>
        <v>8395.6297298201844</v>
      </c>
      <c r="K558" s="25">
        <f t="shared" si="524"/>
        <v>21655.303514578787</v>
      </c>
      <c r="L558" s="25"/>
      <c r="N558" s="25">
        <f>'Combined Retirement'!$C$18/12</f>
        <v>40940.569999999992</v>
      </c>
      <c r="O558" s="25">
        <f t="shared" si="525"/>
        <v>10889.636755601023</v>
      </c>
      <c r="P558" s="25">
        <f t="shared" si="526"/>
        <v>30050.93324439897</v>
      </c>
      <c r="Q558" s="25">
        <f t="array" aca="1" ref="Q558" ca="1">INDEX('Isaac 401k'!L:L,MATCH('Retirement Calculator'!A558,'Isaac 401k'!N:N,0),0)</f>
        <v>-2655807.6357284151</v>
      </c>
      <c r="R558" s="25">
        <f t="array" aca="1" ref="R558" ca="1">INDEX('Lorri 401b'!L:L,MATCH('Retirement Calculator'!A558,'Lorri 401b'!N:N,0),0)</f>
        <v>-3102284.8696046108</v>
      </c>
      <c r="S558" s="25">
        <f t="shared" ca="1" si="527"/>
        <v>-5758092.5053330259</v>
      </c>
    </row>
    <row r="559" spans="1:19" ht="15.75" customHeight="1" x14ac:dyDescent="0.25">
      <c r="A559" s="37">
        <v>67969</v>
      </c>
      <c r="B559" s="398">
        <f t="shared" ref="B559:C559" si="565">($A559-B$9)/365.25</f>
        <v>104.21081451060917</v>
      </c>
      <c r="C559" s="398">
        <f t="shared" si="565"/>
        <v>99.600273785078713</v>
      </c>
      <c r="E559" s="25">
        <f>IF(C559&gt;$B$7,0,'Combined Retirement'!$D$13/12)</f>
        <v>0</v>
      </c>
      <c r="F559" s="25">
        <f>IF(H559=0,'Combined Retirement'!$D$32,0)+'Combined Retirement'!$B$24</f>
        <v>2870.372285649099</v>
      </c>
      <c r="G559" s="25">
        <f>'Combined Retirement'!$C$24</f>
        <v>3254.2644699519233</v>
      </c>
      <c r="H559" s="25">
        <f>IF(B559&lt;62,0,'Combined Retirement'!$I$14)</f>
        <v>2345</v>
      </c>
      <c r="I559" s="25">
        <f>IF(C559&lt;62,0,'Combined Retirement'!$I$13)</f>
        <v>2420</v>
      </c>
      <c r="J559" s="25">
        <f t="shared" si="523"/>
        <v>8395.6297298201844</v>
      </c>
      <c r="K559" s="25">
        <f t="shared" si="524"/>
        <v>21655.303514578787</v>
      </c>
      <c r="L559" s="25"/>
      <c r="N559" s="25">
        <f>'Combined Retirement'!$C$18/12</f>
        <v>40940.569999999992</v>
      </c>
      <c r="O559" s="25">
        <f t="shared" si="525"/>
        <v>10889.636755601023</v>
      </c>
      <c r="P559" s="25">
        <f t="shared" si="526"/>
        <v>30050.93324439897</v>
      </c>
      <c r="Q559" s="25">
        <f t="array" aca="1" ref="Q559" ca="1">INDEX('Isaac 401k'!L:L,MATCH('Retirement Calculator'!A559,'Isaac 401k'!N:N,0),0)</f>
        <v>-2675304.1123976447</v>
      </c>
      <c r="R559" s="25">
        <f t="array" aca="1" ref="R559" ca="1">INDEX('Lorri 401b'!L:L,MATCH('Retirement Calculator'!A559,'Lorri 401b'!N:N,0),0)</f>
        <v>-3136956.5905071865</v>
      </c>
      <c r="S559" s="25">
        <f t="shared" ca="1" si="527"/>
        <v>-5812260.7029048316</v>
      </c>
    </row>
    <row r="560" spans="1:19" ht="15.75" customHeight="1" x14ac:dyDescent="0.25">
      <c r="A560" s="37">
        <v>67997</v>
      </c>
      <c r="B560" s="398">
        <f t="shared" ref="B560:C560" si="566">($A560-B$9)/365.25</f>
        <v>104.28747433264887</v>
      </c>
      <c r="C560" s="398">
        <f t="shared" si="566"/>
        <v>99.676933607118414</v>
      </c>
      <c r="E560" s="25">
        <f>IF(C560&gt;$B$7,0,'Combined Retirement'!$D$13/12)</f>
        <v>0</v>
      </c>
      <c r="F560" s="25">
        <f>IF(H560=0,'Combined Retirement'!$D$32,0)+'Combined Retirement'!$B$24</f>
        <v>2870.372285649099</v>
      </c>
      <c r="G560" s="25">
        <f>'Combined Retirement'!$C$24</f>
        <v>3254.2644699519233</v>
      </c>
      <c r="H560" s="25">
        <f>IF(B560&lt;62,0,'Combined Retirement'!$I$14)</f>
        <v>2345</v>
      </c>
      <c r="I560" s="25">
        <f>IF(C560&lt;62,0,'Combined Retirement'!$I$13)</f>
        <v>2420</v>
      </c>
      <c r="J560" s="25">
        <f t="shared" si="523"/>
        <v>8395.6297298201844</v>
      </c>
      <c r="K560" s="25">
        <f t="shared" si="524"/>
        <v>21655.303514578787</v>
      </c>
      <c r="L560" s="25"/>
      <c r="N560" s="25">
        <f>'Combined Retirement'!$C$18/12</f>
        <v>40940.569999999992</v>
      </c>
      <c r="O560" s="25">
        <f t="shared" si="525"/>
        <v>10889.636755601023</v>
      </c>
      <c r="P560" s="25">
        <f t="shared" si="526"/>
        <v>30050.93324439897</v>
      </c>
      <c r="Q560" s="25">
        <f t="array" aca="1" ref="Q560" ca="1">INDEX('Isaac 401k'!L:L,MATCH('Retirement Calculator'!A560,'Isaac 401k'!N:N,0),0)</f>
        <v>-2694881.8243863294</v>
      </c>
      <c r="R560" s="25">
        <f t="array" aca="1" ref="R560" ca="1">INDEX('Lorri 401b'!L:L,MATCH('Retirement Calculator'!A560,'Lorri 401b'!N:N,0),0)</f>
        <v>-3171772.7769135227</v>
      </c>
      <c r="S560" s="25">
        <f t="shared" ca="1" si="527"/>
        <v>-5866654.6012998521</v>
      </c>
    </row>
    <row r="561" spans="1:19" ht="15.75" customHeight="1" x14ac:dyDescent="0.25">
      <c r="A561" s="37">
        <v>68028</v>
      </c>
      <c r="B561" s="398">
        <f t="shared" ref="B561:C561" si="567">($A561-B$9)/365.25</f>
        <v>104.37234770704997</v>
      </c>
      <c r="C561" s="398">
        <f t="shared" si="567"/>
        <v>99.761806981519513</v>
      </c>
      <c r="E561" s="25">
        <f>IF(C561&gt;$B$7,0,'Combined Retirement'!$D$13/12)</f>
        <v>0</v>
      </c>
      <c r="F561" s="25">
        <f>IF(H561=0,'Combined Retirement'!$D$32,0)+'Combined Retirement'!$B$24</f>
        <v>2870.372285649099</v>
      </c>
      <c r="G561" s="25">
        <f>'Combined Retirement'!$C$24</f>
        <v>3254.2644699519233</v>
      </c>
      <c r="H561" s="25">
        <f>IF(B561&lt;62,0,'Combined Retirement'!$I$14)</f>
        <v>2345</v>
      </c>
      <c r="I561" s="25">
        <f>IF(C561&lt;62,0,'Combined Retirement'!$I$13)</f>
        <v>2420</v>
      </c>
      <c r="J561" s="25">
        <f t="shared" si="523"/>
        <v>8395.6297298201844</v>
      </c>
      <c r="K561" s="25">
        <f t="shared" si="524"/>
        <v>21655.303514578787</v>
      </c>
      <c r="L561" s="25"/>
      <c r="N561" s="25">
        <f>'Combined Retirement'!$C$18/12</f>
        <v>40940.569999999992</v>
      </c>
      <c r="O561" s="25">
        <f t="shared" si="525"/>
        <v>10889.636755601023</v>
      </c>
      <c r="P561" s="25">
        <f t="shared" si="526"/>
        <v>30050.93324439897</v>
      </c>
      <c r="Q561" s="25">
        <f t="array" aca="1" ref="Q561" ca="1">INDEX('Isaac 401k'!L:L,MATCH('Retirement Calculator'!A561,'Isaac 401k'!N:N,0),0)</f>
        <v>-2714541.110174967</v>
      </c>
      <c r="R561" s="25">
        <f t="array" aca="1" ref="R561" ca="1">INDEX('Lorri 401b'!L:L,MATCH('Retirement Calculator'!A561,'Lorri 401b'!N:N,0),0)</f>
        <v>-3206734.0307632186</v>
      </c>
      <c r="S561" s="25">
        <f t="shared" ca="1" si="527"/>
        <v>-5921275.1409381852</v>
      </c>
    </row>
    <row r="562" spans="1:19" ht="15.75" customHeight="1" x14ac:dyDescent="0.25">
      <c r="A562" s="37">
        <v>68058</v>
      </c>
      <c r="B562" s="398">
        <f t="shared" ref="B562:C562" si="568">($A562-B$9)/365.25</f>
        <v>104.45448323066393</v>
      </c>
      <c r="C562" s="398">
        <f t="shared" si="568"/>
        <v>99.843942505133469</v>
      </c>
      <c r="E562" s="25">
        <f>IF(C562&gt;$B$7,0,'Combined Retirement'!$D$13/12)</f>
        <v>0</v>
      </c>
      <c r="F562" s="25">
        <f>IF(H562=0,'Combined Retirement'!$D$32,0)+'Combined Retirement'!$B$24</f>
        <v>2870.372285649099</v>
      </c>
      <c r="G562" s="25">
        <f>'Combined Retirement'!$C$24</f>
        <v>3254.2644699519233</v>
      </c>
      <c r="H562" s="25">
        <f>IF(B562&lt;62,0,'Combined Retirement'!$I$14)</f>
        <v>2345</v>
      </c>
      <c r="I562" s="25">
        <f>IF(C562&lt;62,0,'Combined Retirement'!$I$13)</f>
        <v>2420</v>
      </c>
      <c r="J562" s="25">
        <f t="shared" si="523"/>
        <v>8395.6297298201844</v>
      </c>
      <c r="K562" s="25">
        <f t="shared" si="524"/>
        <v>21655.303514578787</v>
      </c>
      <c r="L562" s="25"/>
      <c r="N562" s="25">
        <f>'Combined Retirement'!$C$18/12</f>
        <v>40940.569999999992</v>
      </c>
      <c r="O562" s="25">
        <f t="shared" si="525"/>
        <v>10889.636755601023</v>
      </c>
      <c r="P562" s="25">
        <f t="shared" si="526"/>
        <v>30050.93324439897</v>
      </c>
      <c r="Q562" s="25">
        <f t="array" aca="1" ref="Q562" ca="1">INDEX('Isaac 401k'!L:L,MATCH('Retirement Calculator'!A562,'Isaac 401k'!N:N,0),0)</f>
        <v>-2734282.3096543904</v>
      </c>
      <c r="R562" s="25">
        <f t="array" aca="1" ref="R562" ca="1">INDEX('Lorri 401b'!L:L,MATCH('Retirement Calculator'!A562,'Lorri 401b'!N:N,0),0)</f>
        <v>-3241840.9565039552</v>
      </c>
      <c r="S562" s="25">
        <f t="shared" ca="1" si="527"/>
        <v>-5976123.2661583461</v>
      </c>
    </row>
    <row r="563" spans="1:19" ht="15.75" customHeight="1" x14ac:dyDescent="0.25">
      <c r="A563" s="37">
        <v>68089</v>
      </c>
      <c r="B563" s="398">
        <f t="shared" ref="B563:C563" si="569">($A563-B$9)/365.25</f>
        <v>104.53935660506502</v>
      </c>
      <c r="C563" s="398">
        <f t="shared" si="569"/>
        <v>99.928815879534568</v>
      </c>
      <c r="E563" s="25">
        <f>IF(C563&gt;$B$7,0,'Combined Retirement'!$D$13/12)</f>
        <v>0</v>
      </c>
      <c r="F563" s="25">
        <f>IF(H563=0,'Combined Retirement'!$D$32,0)+'Combined Retirement'!$B$24</f>
        <v>2870.372285649099</v>
      </c>
      <c r="G563" s="25">
        <f>'Combined Retirement'!$C$24</f>
        <v>3254.2644699519233</v>
      </c>
      <c r="H563" s="25">
        <f>IF(B563&lt;62,0,'Combined Retirement'!$I$14)</f>
        <v>2345</v>
      </c>
      <c r="I563" s="25">
        <f>IF(C563&lt;62,0,'Combined Retirement'!$I$13)</f>
        <v>2420</v>
      </c>
      <c r="J563" s="25">
        <f t="shared" si="523"/>
        <v>8395.6297298201844</v>
      </c>
      <c r="K563" s="25">
        <f t="shared" si="524"/>
        <v>21655.303514578787</v>
      </c>
      <c r="L563" s="25"/>
      <c r="N563" s="25">
        <f>'Combined Retirement'!$C$18/12</f>
        <v>40940.569999999992</v>
      </c>
      <c r="O563" s="25">
        <f t="shared" si="525"/>
        <v>10889.636755601023</v>
      </c>
      <c r="P563" s="25">
        <f t="shared" si="526"/>
        <v>30050.93324439897</v>
      </c>
      <c r="Q563" s="25">
        <f t="array" aca="1" ref="Q563" ca="1">INDEX('Isaac 401k'!L:L,MATCH('Retirement Calculator'!A563,'Isaac 401k'!N:N,0),0)</f>
        <v>-2754105.7641316452</v>
      </c>
      <c r="R563" s="25">
        <f t="array" aca="1" ref="R563" ca="1">INDEX('Lorri 401b'!L:L,MATCH('Retirement Calculator'!A563,'Lorri 401b'!N:N,0),0)</f>
        <v>-3277094.1611019447</v>
      </c>
      <c r="S563" s="25">
        <f t="shared" ca="1" si="527"/>
        <v>-6031199.9252335895</v>
      </c>
    </row>
    <row r="564" spans="1:19" ht="15.75" customHeight="1" x14ac:dyDescent="0.25">
      <c r="A564" s="37">
        <v>68119</v>
      </c>
      <c r="B564" s="398">
        <f t="shared" ref="B564:C564" si="570">($A564-B$9)/365.25</f>
        <v>104.62149212867898</v>
      </c>
      <c r="C564" s="398">
        <f t="shared" si="570"/>
        <v>100.01095140314852</v>
      </c>
      <c r="E564" s="25">
        <f>IF(C564&gt;$B$7,0,'Combined Retirement'!$D$13/12)</f>
        <v>0</v>
      </c>
      <c r="F564" s="25">
        <f>IF(H564=0,'Combined Retirement'!$D$32,0)+'Combined Retirement'!$B$24</f>
        <v>2870.372285649099</v>
      </c>
      <c r="G564" s="25">
        <f>'Combined Retirement'!$C$24</f>
        <v>3254.2644699519233</v>
      </c>
      <c r="H564" s="25">
        <f>IF(B564&lt;62,0,'Combined Retirement'!$I$14)</f>
        <v>2345</v>
      </c>
      <c r="I564" s="25">
        <f>IF(C564&lt;62,0,'Combined Retirement'!$I$13)</f>
        <v>2420</v>
      </c>
      <c r="J564" s="25">
        <f t="shared" si="523"/>
        <v>8395.6297298201844</v>
      </c>
      <c r="K564" s="25">
        <f t="shared" si="524"/>
        <v>21655.303514578787</v>
      </c>
      <c r="L564" s="25"/>
      <c r="N564" s="25">
        <f>'Combined Retirement'!$C$18/12</f>
        <v>40940.569999999992</v>
      </c>
      <c r="O564" s="25">
        <f t="shared" si="525"/>
        <v>10889.636755601023</v>
      </c>
      <c r="P564" s="25">
        <f t="shared" si="526"/>
        <v>30050.93324439897</v>
      </c>
      <c r="Q564" s="25">
        <f t="array" aca="1" ref="Q564" ca="1">INDEX('Isaac 401k'!L:L,MATCH('Retirement Calculator'!A564,'Isaac 401k'!N:N,0),0)</f>
        <v>-2774011.8163358886</v>
      </c>
      <c r="R564" s="25">
        <f t="array" aca="1" ref="R564" ca="1">INDEX('Lorri 401b'!L:L,MATCH('Retirement Calculator'!A564,'Lorri 401b'!N:N,0),0)</f>
        <v>-3312494.2540524257</v>
      </c>
      <c r="S564" s="25">
        <f t="shared" ca="1" si="527"/>
        <v>-6086506.0703883143</v>
      </c>
    </row>
    <row r="565" spans="1:19" ht="15.75" customHeight="1" x14ac:dyDescent="0.25">
      <c r="A565" s="37">
        <v>68150</v>
      </c>
      <c r="B565" s="398">
        <f t="shared" ref="B565:C565" si="571">($A565-B$9)/365.25</f>
        <v>104.70636550308008</v>
      </c>
      <c r="C565" s="398">
        <f t="shared" si="571"/>
        <v>100.09582477754962</v>
      </c>
      <c r="E565" s="25">
        <f>IF(C565&gt;$B$7,0,'Combined Retirement'!$D$13/12)</f>
        <v>0</v>
      </c>
      <c r="F565" s="25">
        <f>IF(H565=0,'Combined Retirement'!$D$32,0)+'Combined Retirement'!$B$24</f>
        <v>2870.372285649099</v>
      </c>
      <c r="G565" s="25">
        <f>'Combined Retirement'!$C$24</f>
        <v>3254.2644699519233</v>
      </c>
      <c r="H565" s="25">
        <f>IF(B565&lt;62,0,'Combined Retirement'!$I$14)</f>
        <v>2345</v>
      </c>
      <c r="I565" s="25">
        <f>IF(C565&lt;62,0,'Combined Retirement'!$I$13)</f>
        <v>2420</v>
      </c>
      <c r="J565" s="25">
        <f t="shared" si="523"/>
        <v>8395.6297298201844</v>
      </c>
      <c r="K565" s="25">
        <f t="shared" si="524"/>
        <v>21655.303514578787</v>
      </c>
      <c r="L565" s="25"/>
      <c r="N565" s="25">
        <f>'Combined Retirement'!$C$18/12</f>
        <v>40940.569999999992</v>
      </c>
      <c r="O565" s="25">
        <f t="shared" si="525"/>
        <v>10889.636755601023</v>
      </c>
      <c r="P565" s="25">
        <f t="shared" si="526"/>
        <v>30050.93324439897</v>
      </c>
      <c r="Q565" s="25">
        <f t="array" aca="1" ref="Q565" ca="1">INDEX('Isaac 401k'!L:L,MATCH('Retirement Calculator'!A565,'Isaac 401k'!N:N,0),0)</f>
        <v>-2794000.8104243162</v>
      </c>
      <c r="R565" s="25">
        <f t="array" aca="1" ref="R565" ca="1">INDEX('Lorri 401b'!L:L,MATCH('Retirement Calculator'!A565,'Lorri 401b'!N:N,0),0)</f>
        <v>-3348041.8473902005</v>
      </c>
      <c r="S565" s="25">
        <f t="shared" ca="1" si="527"/>
        <v>-6142042.6578145167</v>
      </c>
    </row>
    <row r="566" spans="1:19" ht="15.75" customHeight="1" x14ac:dyDescent="0.25">
      <c r="A566" s="37">
        <v>68181</v>
      </c>
      <c r="B566" s="398">
        <f t="shared" ref="B566:C566" si="572">($A566-B$9)/365.25</f>
        <v>104.79123887748118</v>
      </c>
      <c r="C566" s="398">
        <f t="shared" si="572"/>
        <v>100.18069815195072</v>
      </c>
      <c r="E566" s="25">
        <f>IF(C566&gt;$B$7,0,'Combined Retirement'!$D$13/12)</f>
        <v>0</v>
      </c>
      <c r="F566" s="25">
        <f>IF(H566=0,'Combined Retirement'!$D$32,0)+'Combined Retirement'!$B$24</f>
        <v>2870.372285649099</v>
      </c>
      <c r="G566" s="25">
        <f>'Combined Retirement'!$C$24</f>
        <v>3254.2644699519233</v>
      </c>
      <c r="H566" s="25">
        <f>IF(B566&lt;62,0,'Combined Retirement'!$I$14)</f>
        <v>2345</v>
      </c>
      <c r="I566" s="25">
        <f>IF(C566&lt;62,0,'Combined Retirement'!$I$13)</f>
        <v>2420</v>
      </c>
      <c r="J566" s="25">
        <f t="shared" si="523"/>
        <v>8395.6297298201844</v>
      </c>
      <c r="K566" s="25">
        <f t="shared" si="524"/>
        <v>21655.303514578787</v>
      </c>
      <c r="L566" s="25"/>
      <c r="N566" s="25">
        <f>'Combined Retirement'!$C$18/12</f>
        <v>40940.569999999992</v>
      </c>
      <c r="O566" s="25">
        <f t="shared" si="525"/>
        <v>10889.636755601023</v>
      </c>
      <c r="P566" s="25">
        <f t="shared" si="526"/>
        <v>30050.93324439897</v>
      </c>
      <c r="Q566" s="25">
        <f t="array" aca="1" ref="Q566" ca="1">INDEX('Isaac 401k'!L:L,MATCH('Retirement Calculator'!A566,'Isaac 401k'!N:N,0),0)</f>
        <v>-2814073.0919881123</v>
      </c>
      <c r="R566" s="25">
        <f t="array" aca="1" ref="R566" ca="1">INDEX('Lorri 401b'!L:L,MATCH('Retirement Calculator'!A566,'Lorri 401b'!N:N,0),0)</f>
        <v>-3383737.555700216</v>
      </c>
      <c r="S566" s="25">
        <f t="shared" ca="1" si="527"/>
        <v>-6197810.6476883283</v>
      </c>
    </row>
    <row r="567" spans="1:19" ht="15.75" customHeight="1" x14ac:dyDescent="0.25">
      <c r="A567" s="37">
        <v>68211</v>
      </c>
      <c r="B567" s="398">
        <f t="shared" ref="B567:C567" si="573">($A567-B$9)/365.25</f>
        <v>104.87337440109513</v>
      </c>
      <c r="C567" s="398">
        <f t="shared" si="573"/>
        <v>100.26283367556468</v>
      </c>
      <c r="E567" s="25">
        <f>IF(C567&gt;$B$7,0,'Combined Retirement'!$D$13/12)</f>
        <v>0</v>
      </c>
      <c r="F567" s="25">
        <f>IF(H567=0,'Combined Retirement'!$D$32,0)+'Combined Retirement'!$B$24</f>
        <v>2870.372285649099</v>
      </c>
      <c r="G567" s="25">
        <f>'Combined Retirement'!$C$24</f>
        <v>3254.2644699519233</v>
      </c>
      <c r="H567" s="25">
        <f>IF(B567&lt;62,0,'Combined Retirement'!$I$14)</f>
        <v>2345</v>
      </c>
      <c r="I567" s="25">
        <f>IF(C567&lt;62,0,'Combined Retirement'!$I$13)</f>
        <v>2420</v>
      </c>
      <c r="J567" s="25">
        <f t="shared" si="523"/>
        <v>8395.6297298201844</v>
      </c>
      <c r="K567" s="25">
        <f t="shared" si="524"/>
        <v>21655.303514578787</v>
      </c>
      <c r="L567" s="25"/>
      <c r="N567" s="25">
        <f>'Combined Retirement'!$C$18/12</f>
        <v>40940.569999999992</v>
      </c>
      <c r="O567" s="25">
        <f t="shared" si="525"/>
        <v>10889.636755601023</v>
      </c>
      <c r="P567" s="25">
        <f t="shared" si="526"/>
        <v>30050.93324439897</v>
      </c>
      <c r="Q567" s="25">
        <f t="array" aca="1" ref="Q567" ca="1">INDEX('Isaac 401k'!L:L,MATCH('Retirement Calculator'!A567,'Isaac 401k'!N:N,0),0)</f>
        <v>-2834229.0080584241</v>
      </c>
      <c r="R567" s="25">
        <f t="array" aca="1" ref="R567" ca="1">INDEX('Lorri 401b'!L:L,MATCH('Retirement Calculator'!A567,'Lorri 401b'!N:N,0),0)</f>
        <v>-3419581.9961281898</v>
      </c>
      <c r="S567" s="25">
        <f t="shared" ca="1" si="527"/>
        <v>-6253811.0041866135</v>
      </c>
    </row>
    <row r="568" spans="1:19" ht="15.75" customHeight="1" x14ac:dyDescent="0.25">
      <c r="A568" s="37">
        <v>68242</v>
      </c>
      <c r="B568" s="398">
        <f t="shared" ref="B568:C568" si="574">($A568-B$9)/365.25</f>
        <v>104.95824777549623</v>
      </c>
      <c r="C568" s="398">
        <f t="shared" si="574"/>
        <v>100.34770704996578</v>
      </c>
      <c r="E568" s="25">
        <f>IF(C568&gt;$B$7,0,'Combined Retirement'!$D$13/12)</f>
        <v>0</v>
      </c>
      <c r="F568" s="25">
        <f>IF(H568=0,'Combined Retirement'!$D$32,0)+'Combined Retirement'!$B$24</f>
        <v>2870.372285649099</v>
      </c>
      <c r="G568" s="25">
        <f>'Combined Retirement'!$C$24</f>
        <v>3254.2644699519233</v>
      </c>
      <c r="H568" s="25">
        <f>IF(B568&lt;62,0,'Combined Retirement'!$I$14)</f>
        <v>2345</v>
      </c>
      <c r="I568" s="25">
        <f>IF(C568&lt;62,0,'Combined Retirement'!$I$13)</f>
        <v>2420</v>
      </c>
      <c r="J568" s="25">
        <f t="shared" si="523"/>
        <v>8395.6297298201844</v>
      </c>
      <c r="K568" s="25">
        <f t="shared" si="524"/>
        <v>21655.303514578787</v>
      </c>
      <c r="L568" s="25"/>
      <c r="N568" s="25">
        <f>'Combined Retirement'!$C$18/12</f>
        <v>40940.569999999992</v>
      </c>
      <c r="O568" s="25">
        <f t="shared" si="525"/>
        <v>10889.636755601023</v>
      </c>
      <c r="P568" s="25">
        <f t="shared" si="526"/>
        <v>30050.93324439897</v>
      </c>
      <c r="Q568" s="25">
        <f t="array" aca="1" ref="Q568" ca="1">INDEX('Isaac 401k'!L:L,MATCH('Retirement Calculator'!A568,'Isaac 401k'!N:N,0),0)</f>
        <v>-2854468.9071123623</v>
      </c>
      <c r="R568" s="25">
        <f t="array" aca="1" ref="R568" ca="1">INDEX('Lorri 401b'!L:L,MATCH('Retirement Calculator'!A568,'Lorri 401b'!N:N,0),0)</f>
        <v>-3455575.7883912805</v>
      </c>
      <c r="S568" s="25">
        <f t="shared" ca="1" si="527"/>
        <v>-6310044.6955036428</v>
      </c>
    </row>
    <row r="569" spans="1:19" ht="15.75" customHeight="1" x14ac:dyDescent="0.25">
      <c r="A569" s="37">
        <v>68272</v>
      </c>
      <c r="B569" s="398">
        <f t="shared" ref="B569:C569" si="575">($A569-B$9)/365.25</f>
        <v>105.0403832991102</v>
      </c>
      <c r="C569" s="398">
        <f t="shared" si="575"/>
        <v>100.42984257357973</v>
      </c>
      <c r="E569" s="25">
        <f>IF(C569&gt;$B$7,0,'Combined Retirement'!$D$13/12)</f>
        <v>0</v>
      </c>
      <c r="F569" s="25">
        <f>IF(H569=0,'Combined Retirement'!$D$32,0)+'Combined Retirement'!$B$24</f>
        <v>2870.372285649099</v>
      </c>
      <c r="G569" s="25">
        <f>'Combined Retirement'!$C$24</f>
        <v>3254.2644699519233</v>
      </c>
      <c r="H569" s="25">
        <f>IF(B569&lt;62,0,'Combined Retirement'!$I$14)</f>
        <v>2345</v>
      </c>
      <c r="I569" s="25">
        <f>IF(C569&lt;62,0,'Combined Retirement'!$I$13)</f>
        <v>2420</v>
      </c>
      <c r="J569" s="25">
        <f t="shared" si="523"/>
        <v>8395.6297298201844</v>
      </c>
      <c r="K569" s="25">
        <f t="shared" si="524"/>
        <v>21655.303514578787</v>
      </c>
      <c r="L569" s="25"/>
      <c r="N569" s="25">
        <f>'Combined Retirement'!$C$18/12</f>
        <v>40940.569999999992</v>
      </c>
      <c r="O569" s="25">
        <f t="shared" si="525"/>
        <v>10889.636755601023</v>
      </c>
      <c r="P569" s="25">
        <f t="shared" si="526"/>
        <v>30050.93324439897</v>
      </c>
      <c r="Q569" s="25">
        <f t="array" aca="1" ref="Q569" ca="1">INDEX('Isaac 401k'!L:L,MATCH('Retirement Calculator'!A569,'Isaac 401k'!N:N,0),0)</f>
        <v>-2874793.139079025</v>
      </c>
      <c r="R569" s="25">
        <f t="array" aca="1" ref="R569" ca="1">INDEX('Lorri 401b'!L:L,MATCH('Retirement Calculator'!A569,'Lorri 401b'!N:N,0),0)</f>
        <v>-3491719.5547888004</v>
      </c>
      <c r="S569" s="25">
        <f t="shared" ca="1" si="527"/>
        <v>-6366512.693867825</v>
      </c>
    </row>
    <row r="570" spans="1:19" ht="15.75" customHeight="1" x14ac:dyDescent="0.25">
      <c r="A570" s="37">
        <v>68303</v>
      </c>
      <c r="B570" s="398">
        <f t="shared" ref="B570:C570" si="576">($A570-B$9)/365.25</f>
        <v>105.12525667351129</v>
      </c>
      <c r="C570" s="398">
        <f t="shared" si="576"/>
        <v>100.51471594798083</v>
      </c>
      <c r="E570" s="25">
        <f>IF(C570&gt;$B$7,0,'Combined Retirement'!$D$13/12)</f>
        <v>0</v>
      </c>
      <c r="F570" s="25">
        <f>IF(H570=0,'Combined Retirement'!$D$32,0)+'Combined Retirement'!$B$24</f>
        <v>2870.372285649099</v>
      </c>
      <c r="G570" s="25">
        <f>'Combined Retirement'!$C$24</f>
        <v>3254.2644699519233</v>
      </c>
      <c r="H570" s="25">
        <f>IF(B570&lt;62,0,'Combined Retirement'!$I$14)</f>
        <v>2345</v>
      </c>
      <c r="I570" s="25">
        <f>IF(C570&lt;62,0,'Combined Retirement'!$I$13)</f>
        <v>2420</v>
      </c>
      <c r="J570" s="25">
        <f t="shared" si="523"/>
        <v>8395.6297298201844</v>
      </c>
      <c r="K570" s="25">
        <f t="shared" si="524"/>
        <v>21655.303514578787</v>
      </c>
      <c r="L570" s="25"/>
      <c r="N570" s="25">
        <f>'Combined Retirement'!$C$18/12</f>
        <v>40940.569999999992</v>
      </c>
      <c r="O570" s="25">
        <f t="shared" si="525"/>
        <v>10889.636755601023</v>
      </c>
      <c r="P570" s="25">
        <f t="shared" si="526"/>
        <v>30050.93324439897</v>
      </c>
      <c r="Q570" s="25">
        <f t="array" aca="1" ref="Q570" ca="1">INDEX('Isaac 401k'!L:L,MATCH('Retirement Calculator'!A570,'Isaac 401k'!N:N,0),0)</f>
        <v>-2895202.0553455488</v>
      </c>
      <c r="R570" s="25">
        <f t="array" aca="1" ref="R570" ca="1">INDEX('Lorri 401b'!L:L,MATCH('Retirement Calculator'!A570,'Lorri 401b'!N:N,0),0)</f>
        <v>-3528013.9202129766</v>
      </c>
      <c r="S570" s="25">
        <f t="shared" ca="1" si="527"/>
        <v>-6423215.975558525</v>
      </c>
    </row>
    <row r="571" spans="1:19" ht="15.75" customHeight="1" x14ac:dyDescent="0.25">
      <c r="A571" s="37">
        <v>68334</v>
      </c>
      <c r="B571" s="398">
        <f t="shared" ref="B571:C571" si="577">($A571-B$9)/365.25</f>
        <v>105.21013004791239</v>
      </c>
      <c r="C571" s="398">
        <f t="shared" si="577"/>
        <v>100.59958932238193</v>
      </c>
      <c r="E571" s="25">
        <f>IF(C571&gt;$B$7,0,'Combined Retirement'!$D$13/12)</f>
        <v>0</v>
      </c>
      <c r="F571" s="25">
        <f>IF(H571=0,'Combined Retirement'!$D$32,0)+'Combined Retirement'!$B$24</f>
        <v>2870.372285649099</v>
      </c>
      <c r="G571" s="25">
        <f>'Combined Retirement'!$C$24</f>
        <v>3254.2644699519233</v>
      </c>
      <c r="H571" s="25">
        <f>IF(B571&lt;62,0,'Combined Retirement'!$I$14)</f>
        <v>2345</v>
      </c>
      <c r="I571" s="25">
        <f>IF(C571&lt;62,0,'Combined Retirement'!$I$13)</f>
        <v>2420</v>
      </c>
      <c r="J571" s="25">
        <f t="shared" si="523"/>
        <v>8395.6297298201844</v>
      </c>
      <c r="K571" s="25">
        <f t="shared" si="524"/>
        <v>21655.303514578787</v>
      </c>
      <c r="L571" s="25"/>
      <c r="N571" s="25">
        <f>'Combined Retirement'!$C$18/12</f>
        <v>40940.569999999992</v>
      </c>
      <c r="O571" s="25">
        <f t="shared" si="525"/>
        <v>10889.636755601023</v>
      </c>
      <c r="P571" s="25">
        <f t="shared" si="526"/>
        <v>30050.93324439897</v>
      </c>
      <c r="Q571" s="25">
        <f t="array" aca="1" ref="Q571" ca="1">INDEX('Isaac 401k'!L:L,MATCH('Retirement Calculator'!A571,'Isaac 401k'!N:N,0),0)</f>
        <v>-2915696.0087631834</v>
      </c>
      <c r="R571" s="25">
        <f t="array" aca="1" ref="R571" ca="1">INDEX('Lorri 401b'!L:L,MATCH('Retirement Calculator'!A571,'Lorri 401b'!N:N,0),0)</f>
        <v>-3564459.5121597536</v>
      </c>
      <c r="S571" s="25">
        <f t="shared" ca="1" si="527"/>
        <v>-6480155.5209229365</v>
      </c>
    </row>
    <row r="572" spans="1:19" ht="15.75" customHeight="1" x14ac:dyDescent="0.25">
      <c r="A572" s="37">
        <v>68362</v>
      </c>
      <c r="B572" s="398">
        <f t="shared" ref="B572:C572" si="578">($A572-B$9)/365.25</f>
        <v>105.28678986995209</v>
      </c>
      <c r="C572" s="398">
        <f t="shared" si="578"/>
        <v>100.67624914442163</v>
      </c>
      <c r="E572" s="25">
        <f>IF(C572&gt;$B$7,0,'Combined Retirement'!$D$13/12)</f>
        <v>0</v>
      </c>
      <c r="F572" s="25">
        <f>IF(H572=0,'Combined Retirement'!$D$32,0)+'Combined Retirement'!$B$24</f>
        <v>2870.372285649099</v>
      </c>
      <c r="G572" s="25">
        <f>'Combined Retirement'!$C$24</f>
        <v>3254.2644699519233</v>
      </c>
      <c r="H572" s="25">
        <f>IF(B572&lt;62,0,'Combined Retirement'!$I$14)</f>
        <v>2345</v>
      </c>
      <c r="I572" s="25">
        <f>IF(C572&lt;62,0,'Combined Retirement'!$I$13)</f>
        <v>2420</v>
      </c>
      <c r="J572" s="25">
        <f t="shared" si="523"/>
        <v>8395.6297298201844</v>
      </c>
      <c r="K572" s="25">
        <f t="shared" si="524"/>
        <v>21655.303514578787</v>
      </c>
      <c r="L572" s="25"/>
      <c r="N572" s="25">
        <f>'Combined Retirement'!$C$18/12</f>
        <v>40940.569999999992</v>
      </c>
      <c r="O572" s="25">
        <f t="shared" si="525"/>
        <v>10889.636755601023</v>
      </c>
      <c r="P572" s="25">
        <f t="shared" si="526"/>
        <v>30050.93324439897</v>
      </c>
      <c r="Q572" s="25">
        <f t="array" aca="1" ref="Q572" ca="1">INDEX('Isaac 401k'!L:L,MATCH('Retirement Calculator'!A572,'Isaac 401k'!N:N,0),0)</f>
        <v>-2936275.3536533914</v>
      </c>
      <c r="R572" s="25">
        <f t="array" aca="1" ref="R572" ca="1">INDEX('Lorri 401b'!L:L,MATCH('Retirement Calculator'!A572,'Lorri 401b'!N:N,0),0)</f>
        <v>-3601056.9607396424</v>
      </c>
      <c r="S572" s="25">
        <f t="shared" ca="1" si="527"/>
        <v>-6537332.3143930342</v>
      </c>
    </row>
    <row r="573" spans="1:19" ht="15.75" customHeight="1" x14ac:dyDescent="0.25">
      <c r="A573" s="37">
        <v>68393</v>
      </c>
      <c r="B573" s="398">
        <f t="shared" ref="B573:C573" si="579">($A573-B$9)/365.25</f>
        <v>105.37166324435319</v>
      </c>
      <c r="C573" s="398">
        <f t="shared" si="579"/>
        <v>100.76112251882273</v>
      </c>
      <c r="E573" s="25">
        <f>IF(C573&gt;$B$7,0,'Combined Retirement'!$D$13/12)</f>
        <v>0</v>
      </c>
      <c r="F573" s="25">
        <f>IF(H573=0,'Combined Retirement'!$D$32,0)+'Combined Retirement'!$B$24</f>
        <v>2870.372285649099</v>
      </c>
      <c r="G573" s="25">
        <f>'Combined Retirement'!$C$24</f>
        <v>3254.2644699519233</v>
      </c>
      <c r="H573" s="25">
        <f>IF(B573&lt;62,0,'Combined Retirement'!$I$14)</f>
        <v>2345</v>
      </c>
      <c r="I573" s="25">
        <f>IF(C573&lt;62,0,'Combined Retirement'!$I$13)</f>
        <v>2420</v>
      </c>
      <c r="J573" s="25">
        <f t="shared" si="523"/>
        <v>8395.6297298201844</v>
      </c>
      <c r="K573" s="25">
        <f t="shared" si="524"/>
        <v>21655.303514578787</v>
      </c>
      <c r="L573" s="25"/>
      <c r="N573" s="25">
        <f>'Combined Retirement'!$C$18/12</f>
        <v>40940.569999999992</v>
      </c>
      <c r="O573" s="25">
        <f t="shared" si="525"/>
        <v>10889.636755601023</v>
      </c>
      <c r="P573" s="25">
        <f t="shared" si="526"/>
        <v>30050.93324439897</v>
      </c>
      <c r="Q573" s="25">
        <f t="array" aca="1" ref="Q573" ca="1">INDEX('Isaac 401k'!L:L,MATCH('Retirement Calculator'!A573,'Isaac 401k'!N:N,0),0)</f>
        <v>-2956940.4458139753</v>
      </c>
      <c r="R573" s="25">
        <f t="array" aca="1" ref="R573" ca="1">INDEX('Lorri 401b'!L:L,MATCH('Retirement Calculator'!A573,'Lorri 401b'!N:N,0),0)</f>
        <v>-3637806.8986886139</v>
      </c>
      <c r="S573" s="25">
        <f t="shared" ca="1" si="527"/>
        <v>-6594747.3445025887</v>
      </c>
    </row>
    <row r="574" spans="1:19" ht="15.75" customHeight="1" x14ac:dyDescent="0.25">
      <c r="A574" s="37">
        <v>68423</v>
      </c>
      <c r="B574" s="398">
        <f t="shared" ref="B574:C574" si="580">($A574-B$9)/365.25</f>
        <v>105.45379876796714</v>
      </c>
      <c r="C574" s="398">
        <f t="shared" si="580"/>
        <v>100.84325804243669</v>
      </c>
      <c r="E574" s="25">
        <f>IF(C574&gt;$B$7,0,'Combined Retirement'!$D$13/12)</f>
        <v>0</v>
      </c>
      <c r="F574" s="25">
        <f>IF(H574=0,'Combined Retirement'!$D$32,0)+'Combined Retirement'!$B$24</f>
        <v>2870.372285649099</v>
      </c>
      <c r="G574" s="25">
        <f>'Combined Retirement'!$C$24</f>
        <v>3254.2644699519233</v>
      </c>
      <c r="H574" s="25">
        <f>IF(B574&lt;62,0,'Combined Retirement'!$I$14)</f>
        <v>2345</v>
      </c>
      <c r="I574" s="25">
        <f>IF(C574&lt;62,0,'Combined Retirement'!$I$13)</f>
        <v>2420</v>
      </c>
      <c r="J574" s="25">
        <f t="shared" si="523"/>
        <v>8395.6297298201844</v>
      </c>
      <c r="K574" s="25">
        <f t="shared" si="524"/>
        <v>21655.303514578787</v>
      </c>
      <c r="L574" s="25"/>
      <c r="N574" s="25">
        <f>'Combined Retirement'!$C$18/12</f>
        <v>40940.569999999992</v>
      </c>
      <c r="O574" s="25">
        <f t="shared" si="525"/>
        <v>10889.636755601023</v>
      </c>
      <c r="P574" s="25">
        <f t="shared" si="526"/>
        <v>30050.93324439897</v>
      </c>
      <c r="Q574" s="25">
        <f t="array" aca="1" ref="Q574" ca="1">INDEX('Isaac 401k'!L:L,MATCH('Retirement Calculator'!A574,'Isaac 401k'!N:N,0),0)</f>
        <v>-2977691.6425252282</v>
      </c>
      <c r="R574" s="25">
        <f t="array" aca="1" ref="R574" ca="1">INDEX('Lorri 401b'!L:L,MATCH('Retirement Calculator'!A574,'Lorri 401b'!N:N,0),0)</f>
        <v>-3674709.9613790396</v>
      </c>
      <c r="S574" s="25">
        <f t="shared" ca="1" si="527"/>
        <v>-6652401.6039042678</v>
      </c>
    </row>
    <row r="575" spans="1:19" ht="15.75" customHeight="1" x14ac:dyDescent="0.25">
      <c r="A575" s="37">
        <v>68454</v>
      </c>
      <c r="B575" s="398">
        <f t="shared" ref="B575:C575" si="581">($A575-B$9)/365.25</f>
        <v>105.53867214236824</v>
      </c>
      <c r="C575" s="398">
        <f t="shared" si="581"/>
        <v>100.92813141683779</v>
      </c>
      <c r="E575" s="25">
        <f>IF(C575&gt;$B$7,0,'Combined Retirement'!$D$13/12)</f>
        <v>0</v>
      </c>
      <c r="F575" s="25">
        <f>IF(H575=0,'Combined Retirement'!$D$32,0)+'Combined Retirement'!$B$24</f>
        <v>2870.372285649099</v>
      </c>
      <c r="G575" s="25">
        <f>'Combined Retirement'!$C$24</f>
        <v>3254.2644699519233</v>
      </c>
      <c r="H575" s="25">
        <f>IF(B575&lt;62,0,'Combined Retirement'!$I$14)</f>
        <v>2345</v>
      </c>
      <c r="I575" s="25">
        <f>IF(C575&lt;62,0,'Combined Retirement'!$I$13)</f>
        <v>2420</v>
      </c>
      <c r="J575" s="25">
        <f t="shared" si="523"/>
        <v>8395.6297298201844</v>
      </c>
      <c r="K575" s="25">
        <f t="shared" si="524"/>
        <v>21655.303514578787</v>
      </c>
      <c r="L575" s="25"/>
      <c r="N575" s="25">
        <f>'Combined Retirement'!$C$18/12</f>
        <v>40940.569999999992</v>
      </c>
      <c r="O575" s="25">
        <f t="shared" si="525"/>
        <v>10889.636755601023</v>
      </c>
      <c r="P575" s="25">
        <f t="shared" si="526"/>
        <v>30050.93324439897</v>
      </c>
      <c r="Q575" s="25">
        <f t="array" aca="1" ref="Q575" ca="1">INDEX('Isaac 401k'!L:L,MATCH('Retirement Calculator'!A575,'Isaac 401k'!N:N,0),0)</f>
        <v>-2998529.3025561115</v>
      </c>
      <c r="R575" s="25">
        <f t="array" aca="1" ref="R575" ca="1">INDEX('Lorri 401b'!L:L,MATCH('Retirement Calculator'!A575,'Lorri 401b'!N:N,0),0)</f>
        <v>-3711766.7868306753</v>
      </c>
      <c r="S575" s="25">
        <f t="shared" ca="1" si="527"/>
        <v>-6710296.0893867873</v>
      </c>
    </row>
    <row r="576" spans="1:19" ht="15.75" customHeight="1" x14ac:dyDescent="0.25">
      <c r="A576" s="37">
        <v>68484</v>
      </c>
      <c r="B576" s="398">
        <f t="shared" ref="B576:C576" si="582">($A576-B$9)/365.25</f>
        <v>105.6208076659822</v>
      </c>
      <c r="C576" s="398">
        <f t="shared" si="582"/>
        <v>101.01026694045174</v>
      </c>
      <c r="E576" s="25">
        <f>IF(C576&gt;$B$7,0,'Combined Retirement'!$D$13/12)</f>
        <v>0</v>
      </c>
      <c r="F576" s="25">
        <f>IF(H576=0,'Combined Retirement'!$D$32,0)+'Combined Retirement'!$B$24</f>
        <v>2870.372285649099</v>
      </c>
      <c r="G576" s="25">
        <f>'Combined Retirement'!$C$24</f>
        <v>3254.2644699519233</v>
      </c>
      <c r="H576" s="25">
        <f>IF(B576&lt;62,0,'Combined Retirement'!$I$14)</f>
        <v>2345</v>
      </c>
      <c r="I576" s="25">
        <f>IF(C576&lt;62,0,'Combined Retirement'!$I$13)</f>
        <v>2420</v>
      </c>
      <c r="J576" s="25">
        <f t="shared" si="523"/>
        <v>8395.6297298201844</v>
      </c>
      <c r="K576" s="25">
        <f t="shared" si="524"/>
        <v>21655.303514578787</v>
      </c>
      <c r="L576" s="25"/>
      <c r="N576" s="25">
        <f>'Combined Retirement'!$C$18/12</f>
        <v>40940.569999999992</v>
      </c>
      <c r="O576" s="25">
        <f t="shared" si="525"/>
        <v>10889.636755601023</v>
      </c>
      <c r="P576" s="25">
        <f t="shared" si="526"/>
        <v>30050.93324439897</v>
      </c>
      <c r="Q576" s="25">
        <f t="array" aca="1" ref="Q576" ca="1">INDEX('Isaac 401k'!L:L,MATCH('Retirement Calculator'!A576,'Isaac 401k'!N:N,0),0)</f>
        <v>-3019453.7861704566</v>
      </c>
      <c r="R576" s="25">
        <f t="array" aca="1" ref="R576" ca="1">INDEX('Lorri 401b'!L:L,MATCH('Retirement Calculator'!A576,'Lorri 401b'!N:N,0),0)</f>
        <v>-3748978.0157216927</v>
      </c>
      <c r="S576" s="25">
        <f t="shared" ca="1" si="527"/>
        <v>-6768431.8018921493</v>
      </c>
    </row>
    <row r="577" spans="1:19" ht="15.75" customHeight="1" x14ac:dyDescent="0.25">
      <c r="A577" s="37">
        <v>68515</v>
      </c>
      <c r="B577" s="398">
        <f t="shared" ref="B577:C577" si="583">($A577-B$9)/365.25</f>
        <v>105.7056810403833</v>
      </c>
      <c r="C577" s="398">
        <f t="shared" si="583"/>
        <v>101.09514031485284</v>
      </c>
      <c r="E577" s="25">
        <f>IF(C577&gt;$B$7,0,'Combined Retirement'!$D$13/12)</f>
        <v>0</v>
      </c>
      <c r="F577" s="25">
        <f>IF(H577=0,'Combined Retirement'!$D$32,0)+'Combined Retirement'!$B$24</f>
        <v>2870.372285649099</v>
      </c>
      <c r="G577" s="25">
        <f>'Combined Retirement'!$C$24</f>
        <v>3254.2644699519233</v>
      </c>
      <c r="H577" s="25">
        <f>IF(B577&lt;62,0,'Combined Retirement'!$I$14)</f>
        <v>2345</v>
      </c>
      <c r="I577" s="25">
        <f>IF(C577&lt;62,0,'Combined Retirement'!$I$13)</f>
        <v>2420</v>
      </c>
      <c r="J577" s="25">
        <f t="shared" si="523"/>
        <v>8395.6297298201844</v>
      </c>
      <c r="K577" s="25">
        <f t="shared" si="524"/>
        <v>21655.303514578787</v>
      </c>
      <c r="L577" s="25"/>
      <c r="N577" s="25">
        <f>'Combined Retirement'!$C$18/12</f>
        <v>40940.569999999992</v>
      </c>
      <c r="O577" s="25">
        <f t="shared" si="525"/>
        <v>10889.636755601023</v>
      </c>
      <c r="P577" s="25">
        <f t="shared" si="526"/>
        <v>30050.93324439897</v>
      </c>
      <c r="Q577" s="25">
        <f t="array" aca="1" ref="Q577" ca="1">INDEX('Isaac 401k'!L:L,MATCH('Retirement Calculator'!A577,'Isaac 401k'!N:N,0),0)</f>
        <v>-3040465.4551331946</v>
      </c>
      <c r="R577" s="25">
        <f t="array" aca="1" ref="R577" ca="1">INDEX('Lorri 401b'!L:L,MATCH('Retirement Calculator'!A577,'Lorri 401b'!N:N,0),0)</f>
        <v>-3786344.291399756</v>
      </c>
      <c r="S577" s="25">
        <f t="shared" ca="1" si="527"/>
        <v>-6826809.7465329506</v>
      </c>
    </row>
    <row r="578" spans="1:19" ht="15.75" customHeight="1" x14ac:dyDescent="0.25">
      <c r="A578" s="37">
        <v>68546</v>
      </c>
      <c r="B578" s="398">
        <f t="shared" ref="B578:C578" si="584">($A578-B$9)/365.25</f>
        <v>105.7905544147844</v>
      </c>
      <c r="C578" s="398">
        <f t="shared" si="584"/>
        <v>101.18001368925394</v>
      </c>
      <c r="E578" s="25">
        <f>IF(C578&gt;$B$7,0,'Combined Retirement'!$D$13/12)</f>
        <v>0</v>
      </c>
      <c r="F578" s="25">
        <f>IF(H578=0,'Combined Retirement'!$D$32,0)+'Combined Retirement'!$B$24</f>
        <v>2870.372285649099</v>
      </c>
      <c r="G578" s="25">
        <f>'Combined Retirement'!$C$24</f>
        <v>3254.2644699519233</v>
      </c>
      <c r="H578" s="25">
        <f>IF(B578&lt;62,0,'Combined Retirement'!$I$14)</f>
        <v>2345</v>
      </c>
      <c r="I578" s="25">
        <f>IF(C578&lt;62,0,'Combined Retirement'!$I$13)</f>
        <v>2420</v>
      </c>
      <c r="J578" s="25">
        <f t="shared" si="523"/>
        <v>8395.6297298201844</v>
      </c>
      <c r="K578" s="25">
        <f t="shared" si="524"/>
        <v>21655.303514578787</v>
      </c>
      <c r="L578" s="25"/>
      <c r="N578" s="25">
        <f>'Combined Retirement'!$C$18/12</f>
        <v>40940.569999999992</v>
      </c>
      <c r="O578" s="25">
        <f t="shared" si="525"/>
        <v>10889.636755601023</v>
      </c>
      <c r="P578" s="25">
        <f t="shared" si="526"/>
        <v>30050.93324439897</v>
      </c>
      <c r="Q578" s="25">
        <f t="array" aca="1" ref="Q578" ca="1">INDEX('Isaac 401k'!L:L,MATCH('Retirement Calculator'!A578,'Isaac 401k'!N:N,0),0)</f>
        <v>-3061564.6727166111</v>
      </c>
      <c r="R578" s="25">
        <f t="array" aca="1" ref="R578" ca="1">INDEX('Lorri 401b'!L:L,MATCH('Retirement Calculator'!A578,'Lorri 401b'!N:N,0),0)</f>
        <v>-3823866.2598931445</v>
      </c>
      <c r="S578" s="25">
        <f t="shared" ca="1" si="527"/>
        <v>-6885430.9326097555</v>
      </c>
    </row>
    <row r="579" spans="1:19" ht="15.75" customHeight="1" x14ac:dyDescent="0.25">
      <c r="A579" s="37">
        <v>68576</v>
      </c>
      <c r="B579" s="398">
        <f t="shared" ref="B579:C579" si="585">($A579-B$9)/365.25</f>
        <v>105.87268993839835</v>
      </c>
      <c r="C579" s="398">
        <f t="shared" si="585"/>
        <v>101.2621492128679</v>
      </c>
      <c r="E579" s="25">
        <f>IF(C579&gt;$B$7,0,'Combined Retirement'!$D$13/12)</f>
        <v>0</v>
      </c>
      <c r="F579" s="25">
        <f>IF(H579=0,'Combined Retirement'!$D$32,0)+'Combined Retirement'!$B$24</f>
        <v>2870.372285649099</v>
      </c>
      <c r="G579" s="25">
        <f>'Combined Retirement'!$C$24</f>
        <v>3254.2644699519233</v>
      </c>
      <c r="H579" s="25">
        <f>IF(B579&lt;62,0,'Combined Retirement'!$I$14)</f>
        <v>2345</v>
      </c>
      <c r="I579" s="25">
        <f>IF(C579&lt;62,0,'Combined Retirement'!$I$13)</f>
        <v>2420</v>
      </c>
      <c r="J579" s="25">
        <f t="shared" si="523"/>
        <v>8395.6297298201844</v>
      </c>
      <c r="K579" s="25">
        <f t="shared" si="524"/>
        <v>21655.303514578787</v>
      </c>
      <c r="L579" s="25"/>
      <c r="N579" s="25">
        <f>'Combined Retirement'!$C$18/12</f>
        <v>40940.569999999992</v>
      </c>
      <c r="O579" s="25">
        <f t="shared" si="525"/>
        <v>10889.636755601023</v>
      </c>
      <c r="P579" s="25">
        <f t="shared" si="526"/>
        <v>30050.93324439897</v>
      </c>
      <c r="Q579" s="25">
        <f t="array" aca="1" ref="Q579" ca="1">INDEX('Isaac 401k'!L:L,MATCH('Retirement Calculator'!A579,'Isaac 401k'!N:N,0),0)</f>
        <v>-3082751.803706625</v>
      </c>
      <c r="R579" s="25">
        <f t="array" aca="1" ref="R579" ca="1">INDEX('Lorri 401b'!L:L,MATCH('Retirement Calculator'!A579,'Lorri 401b'!N:N,0),0)</f>
        <v>-3861544.5699219219</v>
      </c>
      <c r="S579" s="25">
        <f t="shared" ca="1" si="527"/>
        <v>-6944296.3736285474</v>
      </c>
    </row>
    <row r="580" spans="1:19" ht="15.75" customHeight="1" x14ac:dyDescent="0.25">
      <c r="A580" s="37">
        <v>68607</v>
      </c>
      <c r="B580" s="398">
        <f t="shared" ref="B580:C580" si="586">($A580-B$9)/365.25</f>
        <v>105.95756331279945</v>
      </c>
      <c r="C580" s="398">
        <f t="shared" si="586"/>
        <v>101.347022587269</v>
      </c>
      <c r="E580" s="25">
        <f>IF(C580&gt;$B$7,0,'Combined Retirement'!$D$13/12)</f>
        <v>0</v>
      </c>
      <c r="F580" s="25">
        <f>IF(H580=0,'Combined Retirement'!$D$32,0)+'Combined Retirement'!$B$24</f>
        <v>2870.372285649099</v>
      </c>
      <c r="G580" s="25">
        <f>'Combined Retirement'!$C$24</f>
        <v>3254.2644699519233</v>
      </c>
      <c r="H580" s="25">
        <f>IF(B580&lt;62,0,'Combined Retirement'!$I$14)</f>
        <v>2345</v>
      </c>
      <c r="I580" s="25">
        <f>IF(C580&lt;62,0,'Combined Retirement'!$I$13)</f>
        <v>2420</v>
      </c>
      <c r="J580" s="25">
        <f t="shared" si="523"/>
        <v>8395.6297298201844</v>
      </c>
      <c r="K580" s="25">
        <f t="shared" si="524"/>
        <v>21655.303514578787</v>
      </c>
      <c r="L580" s="25"/>
      <c r="N580" s="25">
        <f>'Combined Retirement'!$C$18/12</f>
        <v>40940.569999999992</v>
      </c>
      <c r="O580" s="25">
        <f t="shared" si="525"/>
        <v>10889.636755601023</v>
      </c>
      <c r="P580" s="25">
        <f t="shared" si="526"/>
        <v>30050.93324439897</v>
      </c>
      <c r="Q580" s="25">
        <f t="array" aca="1" ref="Q580" ca="1">INDEX('Isaac 401k'!L:L,MATCH('Retirement Calculator'!A580,'Isaac 401k'!N:N,0),0)</f>
        <v>-3104027.2144090971</v>
      </c>
      <c r="R580" s="25">
        <f t="array" aca="1" ref="R580" ca="1">INDEX('Lorri 401b'!L:L,MATCH('Retirement Calculator'!A580,'Lorri 401b'!N:N,0),0)</f>
        <v>-3899379.8729091529</v>
      </c>
      <c r="S580" s="25">
        <f t="shared" ca="1" si="527"/>
        <v>-7003407.08731825</v>
      </c>
    </row>
    <row r="581" spans="1:19" ht="15.75" customHeight="1" x14ac:dyDescent="0.25">
      <c r="A581" s="37">
        <v>68637</v>
      </c>
      <c r="B581" s="398">
        <f t="shared" ref="B581:C581" si="587">($A581-B$9)/365.25</f>
        <v>106.03969883641342</v>
      </c>
      <c r="C581" s="398">
        <f t="shared" si="587"/>
        <v>101.42915811088295</v>
      </c>
      <c r="E581" s="25">
        <f>IF(C581&gt;$B$7,0,'Combined Retirement'!$D$13/12)</f>
        <v>0</v>
      </c>
      <c r="F581" s="25">
        <f>IF(H581=0,'Combined Retirement'!$D$32,0)+'Combined Retirement'!$B$24</f>
        <v>2870.372285649099</v>
      </c>
      <c r="G581" s="25">
        <f>'Combined Retirement'!$C$24</f>
        <v>3254.2644699519233</v>
      </c>
      <c r="H581" s="25">
        <f>IF(B581&lt;62,0,'Combined Retirement'!$I$14)</f>
        <v>2345</v>
      </c>
      <c r="I581" s="25">
        <f>IF(C581&lt;62,0,'Combined Retirement'!$I$13)</f>
        <v>2420</v>
      </c>
      <c r="J581" s="25">
        <f t="shared" si="523"/>
        <v>8395.6297298201844</v>
      </c>
      <c r="K581" s="25">
        <f t="shared" si="524"/>
        <v>21655.303514578787</v>
      </c>
      <c r="L581" s="25"/>
      <c r="N581" s="25">
        <f>'Combined Retirement'!$C$18/12</f>
        <v>40940.569999999992</v>
      </c>
      <c r="O581" s="25">
        <f t="shared" si="525"/>
        <v>10889.636755601023</v>
      </c>
      <c r="P581" s="25">
        <f t="shared" si="526"/>
        <v>30050.93324439897</v>
      </c>
      <c r="Q581" s="25">
        <f t="array" aca="1" ref="Q581" ca="1">INDEX('Isaac 401k'!L:L,MATCH('Retirement Calculator'!A581,'Isaac 401k'!N:N,0),0)</f>
        <v>-3125391.2726561632</v>
      </c>
      <c r="R581" s="25">
        <f t="array" aca="1" ref="R581" ca="1">INDEX('Lorri 401b'!L:L,MATCH('Retirement Calculator'!A581,'Lorri 401b'!N:N,0),0)</f>
        <v>-3937372.8229921637</v>
      </c>
      <c r="S581" s="25">
        <f t="shared" ca="1" si="527"/>
        <v>-7062764.0956483269</v>
      </c>
    </row>
    <row r="582" spans="1:19" ht="15.75" customHeight="1" x14ac:dyDescent="0.25">
      <c r="A582" s="37">
        <v>68668</v>
      </c>
      <c r="B582" s="398">
        <f t="shared" ref="B582:C582" si="588">($A582-B$9)/365.25</f>
        <v>106.12457221081451</v>
      </c>
      <c r="C582" s="398">
        <f t="shared" si="588"/>
        <v>101.51403148528405</v>
      </c>
      <c r="E582" s="25">
        <f>IF(C582&gt;$B$7,0,'Combined Retirement'!$D$13/12)</f>
        <v>0</v>
      </c>
      <c r="F582" s="25">
        <f>IF(H582=0,'Combined Retirement'!$D$32,0)+'Combined Retirement'!$B$24</f>
        <v>2870.372285649099</v>
      </c>
      <c r="G582" s="25">
        <f>'Combined Retirement'!$C$24</f>
        <v>3254.2644699519233</v>
      </c>
      <c r="H582" s="25">
        <f>IF(B582&lt;62,0,'Combined Retirement'!$I$14)</f>
        <v>2345</v>
      </c>
      <c r="I582" s="25">
        <f>IF(C582&lt;62,0,'Combined Retirement'!$I$13)</f>
        <v>2420</v>
      </c>
      <c r="J582" s="25">
        <f t="shared" si="523"/>
        <v>8395.6297298201844</v>
      </c>
      <c r="K582" s="25">
        <f t="shared" si="524"/>
        <v>21655.303514578787</v>
      </c>
      <c r="L582" s="25"/>
      <c r="N582" s="25">
        <f>'Combined Retirement'!$C$18/12</f>
        <v>40940.569999999992</v>
      </c>
      <c r="O582" s="25">
        <f t="shared" si="525"/>
        <v>10889.636755601023</v>
      </c>
      <c r="P582" s="25">
        <f t="shared" si="526"/>
        <v>30050.93324439897</v>
      </c>
      <c r="Q582" s="25">
        <f t="array" aca="1" ref="Q582" ca="1">INDEX('Isaac 401k'!L:L,MATCH('Retirement Calculator'!A582,'Isaac 401k'!N:N,0),0)</f>
        <v>-3146844.3478125921</v>
      </c>
      <c r="R582" s="25">
        <f t="array" aca="1" ref="R582" ca="1">INDEX('Lorri 401b'!L:L,MATCH('Retirement Calculator'!A582,'Lorri 401b'!N:N,0),0)</f>
        <v>-3975524.0770338541</v>
      </c>
      <c r="S582" s="25">
        <f t="shared" ca="1" si="527"/>
        <v>-7122368.4248464461</v>
      </c>
    </row>
    <row r="583" spans="1:19" ht="15.75" customHeight="1" x14ac:dyDescent="0.25">
      <c r="A583" s="37">
        <v>68699</v>
      </c>
      <c r="B583" s="398">
        <f t="shared" ref="B583:C583" si="589">($A583-B$9)/365.25</f>
        <v>106.2094455852156</v>
      </c>
      <c r="C583" s="398">
        <f t="shared" si="589"/>
        <v>101.59890485968515</v>
      </c>
      <c r="E583" s="25">
        <f>IF(C583&gt;$B$7,0,'Combined Retirement'!$D$13/12)</f>
        <v>0</v>
      </c>
      <c r="F583" s="25">
        <f>IF(H583=0,'Combined Retirement'!$D$32,0)+'Combined Retirement'!$B$24</f>
        <v>2870.372285649099</v>
      </c>
      <c r="G583" s="25">
        <f>'Combined Retirement'!$C$24</f>
        <v>3254.2644699519233</v>
      </c>
      <c r="H583" s="25">
        <f>IF(B583&lt;62,0,'Combined Retirement'!$I$14)</f>
        <v>2345</v>
      </c>
      <c r="I583" s="25">
        <f>IF(C583&lt;62,0,'Combined Retirement'!$I$13)</f>
        <v>2420</v>
      </c>
      <c r="J583" s="25">
        <f t="shared" si="523"/>
        <v>8395.6297298201844</v>
      </c>
      <c r="K583" s="25">
        <f t="shared" si="524"/>
        <v>21655.303514578787</v>
      </c>
      <c r="L583" s="25"/>
      <c r="N583" s="25">
        <f>'Combined Retirement'!$C$18/12</f>
        <v>40940.569999999992</v>
      </c>
      <c r="O583" s="25">
        <f t="shared" si="525"/>
        <v>10889.636755601023</v>
      </c>
      <c r="P583" s="25">
        <f t="shared" si="526"/>
        <v>30050.93324439897</v>
      </c>
      <c r="Q583" s="25">
        <f t="array" aca="1" ref="Q583" ca="1">INDEX('Isaac 401k'!L:L,MATCH('Retirement Calculator'!A583,'Isaac 401k'!N:N,0),0)</f>
        <v>-3168386.8107821727</v>
      </c>
      <c r="R583" s="25">
        <f t="array" aca="1" ref="R583" ca="1">INDEX('Lorri 401b'!L:L,MATCH('Retirement Calculator'!A583,'Lorri 401b'!N:N,0),0)</f>
        <v>-4013834.2946340516</v>
      </c>
      <c r="S583" s="25">
        <f t="shared" ca="1" si="527"/>
        <v>-7182221.1054162243</v>
      </c>
    </row>
    <row r="584" spans="1:19" ht="15.75" customHeight="1" x14ac:dyDescent="0.25">
      <c r="A584" s="37">
        <v>68728</v>
      </c>
      <c r="B584" s="398">
        <f t="shared" ref="B584:C584" si="590">($A584-B$9)/365.25</f>
        <v>106.28884325804243</v>
      </c>
      <c r="C584" s="398">
        <f t="shared" si="590"/>
        <v>101.67830253251198</v>
      </c>
      <c r="E584" s="25">
        <f>IF(C584&gt;$B$7,0,'Combined Retirement'!$D$13/12)</f>
        <v>0</v>
      </c>
      <c r="F584" s="25">
        <f>IF(H584=0,'Combined Retirement'!$D$32,0)+'Combined Retirement'!$B$24</f>
        <v>2870.372285649099</v>
      </c>
      <c r="G584" s="25">
        <f>'Combined Retirement'!$C$24</f>
        <v>3254.2644699519233</v>
      </c>
      <c r="H584" s="25">
        <f>IF(B584&lt;62,0,'Combined Retirement'!$I$14)</f>
        <v>2345</v>
      </c>
      <c r="I584" s="25">
        <f>IF(C584&lt;62,0,'Combined Retirement'!$I$13)</f>
        <v>2420</v>
      </c>
      <c r="J584" s="25">
        <f t="shared" si="523"/>
        <v>8395.6297298201844</v>
      </c>
      <c r="K584" s="25">
        <f t="shared" si="524"/>
        <v>21655.303514578787</v>
      </c>
      <c r="L584" s="25"/>
      <c r="N584" s="25">
        <f>'Combined Retirement'!$C$18/12</f>
        <v>40940.569999999992</v>
      </c>
      <c r="O584" s="25">
        <f t="shared" si="525"/>
        <v>10889.636755601023</v>
      </c>
      <c r="P584" s="25">
        <f t="shared" si="526"/>
        <v>30050.93324439897</v>
      </c>
      <c r="Q584" s="25">
        <f t="array" aca="1" ref="Q584" ca="1">INDEX('Isaac 401k'!L:L,MATCH('Retirement Calculator'!A584,'Isaac 401k'!N:N,0),0)</f>
        <v>-3190019.0340141263</v>
      </c>
      <c r="R584" s="25">
        <f t="array" aca="1" ref="R584" ca="1">INDEX('Lorri 401b'!L:L,MATCH('Retirement Calculator'!A584,'Lorri 401b'!N:N,0),0)</f>
        <v>-4052304.1381409164</v>
      </c>
      <c r="S584" s="25">
        <f t="shared" ca="1" si="527"/>
        <v>-7242323.1721550431</v>
      </c>
    </row>
    <row r="585" spans="1:19" ht="15.75" customHeight="1" x14ac:dyDescent="0.25">
      <c r="A585" s="37">
        <v>68759</v>
      </c>
      <c r="B585" s="398">
        <f t="shared" ref="B585:C585" si="591">($A585-B$9)/365.25</f>
        <v>106.37371663244353</v>
      </c>
      <c r="C585" s="398">
        <f t="shared" si="591"/>
        <v>101.76317590691308</v>
      </c>
      <c r="E585" s="25">
        <f>IF(C585&gt;$B$7,0,'Combined Retirement'!$D$13/12)</f>
        <v>0</v>
      </c>
      <c r="F585" s="25">
        <f>IF(H585=0,'Combined Retirement'!$D$32,0)+'Combined Retirement'!$B$24</f>
        <v>2870.372285649099</v>
      </c>
      <c r="G585" s="25">
        <f>'Combined Retirement'!$C$24</f>
        <v>3254.2644699519233</v>
      </c>
      <c r="H585" s="25">
        <f>IF(B585&lt;62,0,'Combined Retirement'!$I$14)</f>
        <v>2345</v>
      </c>
      <c r="I585" s="25">
        <f>IF(C585&lt;62,0,'Combined Retirement'!$I$13)</f>
        <v>2420</v>
      </c>
      <c r="J585" s="25">
        <f t="shared" si="523"/>
        <v>8395.6297298201844</v>
      </c>
      <c r="K585" s="25">
        <f t="shared" si="524"/>
        <v>21655.303514578787</v>
      </c>
      <c r="L585" s="25"/>
      <c r="N585" s="25">
        <f>'Combined Retirement'!$C$18/12</f>
        <v>40940.569999999992</v>
      </c>
      <c r="O585" s="25">
        <f t="shared" si="525"/>
        <v>10889.636755601023</v>
      </c>
      <c r="P585" s="25">
        <f t="shared" si="526"/>
        <v>30050.93324439897</v>
      </c>
      <c r="Q585" s="25">
        <f t="array" aca="1" ref="Q585" ca="1">INDEX('Isaac 401k'!L:L,MATCH('Retirement Calculator'!A585,'Isaac 401k'!N:N,0),0)</f>
        <v>-3211741.3915095464</v>
      </c>
      <c r="R585" s="25">
        <f t="array" aca="1" ref="R585" ca="1">INDEX('Lorri 401b'!L:L,MATCH('Retirement Calculator'!A585,'Lorri 401b'!N:N,0),0)</f>
        <v>-4090934.2726623933</v>
      </c>
      <c r="S585" s="25">
        <f t="shared" ca="1" si="527"/>
        <v>-7302675.6641719397</v>
      </c>
    </row>
    <row r="586" spans="1:19" ht="15.75" customHeight="1" x14ac:dyDescent="0.25">
      <c r="A586" s="37">
        <v>68789</v>
      </c>
      <c r="B586" s="398">
        <f t="shared" ref="B586:C586" si="592">($A586-B$9)/365.25</f>
        <v>106.45585215605749</v>
      </c>
      <c r="C586" s="398">
        <f t="shared" si="592"/>
        <v>101.84531143052703</v>
      </c>
      <c r="E586" s="25">
        <f>IF(C586&gt;$B$7,0,'Combined Retirement'!$D$13/12)</f>
        <v>0</v>
      </c>
      <c r="F586" s="25">
        <f>IF(H586=0,'Combined Retirement'!$D$32,0)+'Combined Retirement'!$B$24</f>
        <v>2870.372285649099</v>
      </c>
      <c r="G586" s="25">
        <f>'Combined Retirement'!$C$24</f>
        <v>3254.2644699519233</v>
      </c>
      <c r="H586" s="25">
        <f>IF(B586&lt;62,0,'Combined Retirement'!$I$14)</f>
        <v>2345</v>
      </c>
      <c r="I586" s="25">
        <f>IF(C586&lt;62,0,'Combined Retirement'!$I$13)</f>
        <v>2420</v>
      </c>
      <c r="J586" s="25">
        <f t="shared" si="523"/>
        <v>8395.6297298201844</v>
      </c>
      <c r="K586" s="25">
        <f t="shared" si="524"/>
        <v>21655.303514578787</v>
      </c>
      <c r="L586" s="25"/>
      <c r="N586" s="25">
        <f>'Combined Retirement'!$C$18/12</f>
        <v>40940.569999999992</v>
      </c>
      <c r="O586" s="25">
        <f t="shared" si="525"/>
        <v>10889.636755601023</v>
      </c>
      <c r="P586" s="25">
        <f t="shared" si="526"/>
        <v>30050.93324439897</v>
      </c>
      <c r="Q586" s="25">
        <f t="array" aca="1" ref="Q586" ca="1">INDEX('Isaac 401k'!L:L,MATCH('Retirement Calculator'!A586,'Isaac 401k'!N:N,0),0)</f>
        <v>-3233554.2588278642</v>
      </c>
      <c r="R586" s="25">
        <f t="array" aca="1" ref="R586" ca="1">INDEX('Lorri 401b'!L:L,MATCH('Retirement Calculator'!A586,'Lorri 401b'!N:N,0),0)</f>
        <v>-4129725.3660777095</v>
      </c>
      <c r="S586" s="25">
        <f t="shared" ca="1" si="527"/>
        <v>-7363279.6249055732</v>
      </c>
    </row>
    <row r="587" spans="1:19" ht="15.75" customHeight="1" x14ac:dyDescent="0.25">
      <c r="A587" s="37">
        <v>68820</v>
      </c>
      <c r="B587" s="398">
        <f t="shared" ref="B587:C587" si="593">($A587-B$9)/365.25</f>
        <v>106.54072553045859</v>
      </c>
      <c r="C587" s="398">
        <f t="shared" si="593"/>
        <v>101.93018480492813</v>
      </c>
      <c r="E587" s="25">
        <f>IF(C587&gt;$B$7,0,'Combined Retirement'!$D$13/12)</f>
        <v>0</v>
      </c>
      <c r="F587" s="25">
        <f>IF(H587=0,'Combined Retirement'!$D$32,0)+'Combined Retirement'!$B$24</f>
        <v>2870.372285649099</v>
      </c>
      <c r="G587" s="25">
        <f>'Combined Retirement'!$C$24</f>
        <v>3254.2644699519233</v>
      </c>
      <c r="H587" s="25">
        <f>IF(B587&lt;62,0,'Combined Retirement'!$I$14)</f>
        <v>2345</v>
      </c>
      <c r="I587" s="25">
        <f>IF(C587&lt;62,0,'Combined Retirement'!$I$13)</f>
        <v>2420</v>
      </c>
      <c r="J587" s="25">
        <f t="shared" si="523"/>
        <v>8395.6297298201844</v>
      </c>
      <c r="K587" s="25">
        <f t="shared" si="524"/>
        <v>21655.303514578787</v>
      </c>
      <c r="L587" s="25"/>
      <c r="N587" s="25">
        <f>'Combined Retirement'!$C$18/12</f>
        <v>40940.569999999992</v>
      </c>
      <c r="O587" s="25">
        <f t="shared" si="525"/>
        <v>10889.636755601023</v>
      </c>
      <c r="P587" s="25">
        <f t="shared" si="526"/>
        <v>30050.93324439897</v>
      </c>
      <c r="Q587" s="25">
        <f t="array" aca="1" ref="Q587" ca="1">INDEX('Isaac 401k'!L:L,MATCH('Retirement Calculator'!A587,'Isaac 401k'!N:N,0),0)</f>
        <v>-3255458.0130933416</v>
      </c>
      <c r="R587" s="25">
        <f t="array" aca="1" ref="R587" ca="1">INDEX('Lorri 401b'!L:L,MATCH('Retirement Calculator'!A587,'Lorri 401b'!N:N,0),0)</f>
        <v>-4168678.089048923</v>
      </c>
      <c r="S587" s="25">
        <f t="shared" ca="1" si="527"/>
        <v>-7424136.1021422651</v>
      </c>
    </row>
    <row r="588" spans="1:19" ht="15.75" customHeight="1" x14ac:dyDescent="0.25">
      <c r="A588" s="37">
        <v>68850</v>
      </c>
      <c r="B588" s="398">
        <f t="shared" ref="B588:C588" si="594">($A588-B$9)/365.25</f>
        <v>106.62286105407256</v>
      </c>
      <c r="C588" s="398">
        <f t="shared" si="594"/>
        <v>102.01232032854209</v>
      </c>
      <c r="E588" s="25">
        <f>IF(C588&gt;$B$7,0,'Combined Retirement'!$D$13/12)</f>
        <v>0</v>
      </c>
      <c r="F588" s="25">
        <f>IF(H588=0,'Combined Retirement'!$D$32,0)+'Combined Retirement'!$B$24</f>
        <v>2870.372285649099</v>
      </c>
      <c r="G588" s="25">
        <f>'Combined Retirement'!$C$24</f>
        <v>3254.2644699519233</v>
      </c>
      <c r="H588" s="25">
        <f>IF(B588&lt;62,0,'Combined Retirement'!$I$14)</f>
        <v>2345</v>
      </c>
      <c r="I588" s="25">
        <f>IF(C588&lt;62,0,'Combined Retirement'!$I$13)</f>
        <v>2420</v>
      </c>
      <c r="J588" s="25">
        <f t="shared" si="523"/>
        <v>8395.6297298201844</v>
      </c>
      <c r="K588" s="25">
        <f t="shared" si="524"/>
        <v>21655.303514578787</v>
      </c>
      <c r="L588" s="25"/>
      <c r="N588" s="25">
        <f>'Combined Retirement'!$C$18/12</f>
        <v>40940.569999999992</v>
      </c>
      <c r="O588" s="25">
        <f t="shared" si="525"/>
        <v>10889.636755601023</v>
      </c>
      <c r="P588" s="25">
        <f t="shared" si="526"/>
        <v>30050.93324439897</v>
      </c>
      <c r="Q588" s="25">
        <f t="array" aca="1" ref="Q588" ca="1">INDEX('Isaac 401k'!L:L,MATCH('Retirement Calculator'!A588,'Isaac 401k'!N:N,0),0)</f>
        <v>-3277453.0330015919</v>
      </c>
      <c r="R588" s="25">
        <f t="array" aca="1" ref="R588" ca="1">INDEX('Lorri 401b'!L:L,MATCH('Retirement Calculator'!A588,'Lorri 401b'!N:N,0),0)</f>
        <v>-4207793.1150325164</v>
      </c>
      <c r="S588" s="25">
        <f t="shared" ca="1" si="527"/>
        <v>-7485246.1480341088</v>
      </c>
    </row>
    <row r="589" spans="1:19" ht="15.75" customHeight="1" x14ac:dyDescent="0.25">
      <c r="A589" s="37">
        <v>68881</v>
      </c>
      <c r="B589" s="398">
        <f t="shared" ref="B589:C589" si="595">($A589-B$9)/365.25</f>
        <v>106.70773442847364</v>
      </c>
      <c r="C589" s="398">
        <f t="shared" si="595"/>
        <v>102.09719370294319</v>
      </c>
      <c r="E589" s="25">
        <f>IF(C589&gt;$B$7,0,'Combined Retirement'!$D$13/12)</f>
        <v>0</v>
      </c>
      <c r="F589" s="25">
        <f>IF(H589=0,'Combined Retirement'!$D$32,0)+'Combined Retirement'!$B$24</f>
        <v>2870.372285649099</v>
      </c>
      <c r="G589" s="25">
        <f>'Combined Retirement'!$C$24</f>
        <v>3254.2644699519233</v>
      </c>
      <c r="H589" s="25">
        <f>IF(B589&lt;62,0,'Combined Retirement'!$I$14)</f>
        <v>2345</v>
      </c>
      <c r="I589" s="25">
        <f>IF(C589&lt;62,0,'Combined Retirement'!$I$13)</f>
        <v>2420</v>
      </c>
      <c r="J589" s="25">
        <f t="shared" si="523"/>
        <v>8395.6297298201844</v>
      </c>
      <c r="K589" s="25">
        <f t="shared" si="524"/>
        <v>21655.303514578787</v>
      </c>
      <c r="L589" s="25"/>
      <c r="N589" s="25">
        <f>'Combined Retirement'!$C$18/12</f>
        <v>40940.569999999992</v>
      </c>
      <c r="O589" s="25">
        <f t="shared" si="525"/>
        <v>10889.636755601023</v>
      </c>
      <c r="P589" s="25">
        <f t="shared" si="526"/>
        <v>30050.93324439897</v>
      </c>
      <c r="Q589" s="25">
        <f t="array" aca="1" ref="Q589" ca="1">INDEX('Isaac 401k'!L:L,MATCH('Retirement Calculator'!A589,'Isaac 401k'!N:N,0),0)</f>
        <v>-3299539.6988261268</v>
      </c>
      <c r="R589" s="25">
        <f t="array" aca="1" ref="R589" ca="1">INDEX('Lorri 401b'!L:L,MATCH('Retirement Calculator'!A589,'Lorri 401b'!N:N,0),0)</f>
        <v>-4247071.1202910412</v>
      </c>
      <c r="S589" s="25">
        <f t="shared" ca="1" si="527"/>
        <v>-7546610.819117168</v>
      </c>
    </row>
    <row r="590" spans="1:19" ht="15.75" customHeight="1" x14ac:dyDescent="0.25">
      <c r="A590" s="37">
        <v>68912</v>
      </c>
      <c r="B590" s="398">
        <f t="shared" ref="B590:C590" si="596">($A590-B$9)/365.25</f>
        <v>106.79260780287474</v>
      </c>
      <c r="C590" s="398">
        <f t="shared" si="596"/>
        <v>102.18206707734429</v>
      </c>
      <c r="E590" s="25">
        <f>IF(C590&gt;$B$7,0,'Combined Retirement'!$D$13/12)</f>
        <v>0</v>
      </c>
      <c r="F590" s="25">
        <f>IF(H590=0,'Combined Retirement'!$D$32,0)+'Combined Retirement'!$B$24</f>
        <v>2870.372285649099</v>
      </c>
      <c r="G590" s="25">
        <f>'Combined Retirement'!$C$24</f>
        <v>3254.2644699519233</v>
      </c>
      <c r="H590" s="25">
        <f>IF(B590&lt;62,0,'Combined Retirement'!$I$14)</f>
        <v>2345</v>
      </c>
      <c r="I590" s="25">
        <f>IF(C590&lt;62,0,'Combined Retirement'!$I$13)</f>
        <v>2420</v>
      </c>
      <c r="J590" s="25">
        <f t="shared" si="523"/>
        <v>8395.6297298201844</v>
      </c>
      <c r="K590" s="25">
        <f t="shared" si="524"/>
        <v>21655.303514578787</v>
      </c>
      <c r="L590" s="25"/>
      <c r="N590" s="25">
        <f>'Combined Retirement'!$C$18/12</f>
        <v>40940.569999999992</v>
      </c>
      <c r="O590" s="25">
        <f t="shared" si="525"/>
        <v>10889.636755601023</v>
      </c>
      <c r="P590" s="25">
        <f t="shared" si="526"/>
        <v>30050.93324439897</v>
      </c>
      <c r="Q590" s="25">
        <f t="array" aca="1" ref="Q590" ca="1">INDEX('Isaac 401k'!L:L,MATCH('Retirement Calculator'!A590,'Isaac 401k'!N:N,0),0)</f>
        <v>-3321718.3924249304</v>
      </c>
      <c r="R590" s="25">
        <f t="array" aca="1" ref="R590" ca="1">INDEX('Lorri 401b'!L:L,MATCH('Retirement Calculator'!A590,'Lorri 401b'!N:N,0),0)</f>
        <v>-4286512.7839048095</v>
      </c>
      <c r="S590" s="25">
        <f t="shared" ca="1" si="527"/>
        <v>-7608231.1763297394</v>
      </c>
    </row>
    <row r="591" spans="1:19" ht="15.75" customHeight="1" x14ac:dyDescent="0.25">
      <c r="A591" s="37">
        <v>68942</v>
      </c>
      <c r="B591" s="398">
        <f t="shared" ref="B591:C591" si="597">($A591-B$9)/365.25</f>
        <v>106.87474332648871</v>
      </c>
      <c r="C591" s="398">
        <f t="shared" si="597"/>
        <v>102.26420260095824</v>
      </c>
      <c r="E591" s="25">
        <f>IF(C591&gt;$B$7,0,'Combined Retirement'!$D$13/12)</f>
        <v>0</v>
      </c>
      <c r="F591" s="25">
        <f>IF(H591=0,'Combined Retirement'!$D$32,0)+'Combined Retirement'!$B$24</f>
        <v>2870.372285649099</v>
      </c>
      <c r="G591" s="25">
        <f>'Combined Retirement'!$C$24</f>
        <v>3254.2644699519233</v>
      </c>
      <c r="H591" s="25">
        <f>IF(B591&lt;62,0,'Combined Retirement'!$I$14)</f>
        <v>2345</v>
      </c>
      <c r="I591" s="25">
        <f>IF(C591&lt;62,0,'Combined Retirement'!$I$13)</f>
        <v>2420</v>
      </c>
      <c r="J591" s="25">
        <f t="shared" si="523"/>
        <v>8395.6297298201844</v>
      </c>
      <c r="K591" s="25">
        <f t="shared" si="524"/>
        <v>21655.303514578787</v>
      </c>
      <c r="L591" s="25"/>
      <c r="N591" s="25">
        <f>'Combined Retirement'!$C$18/12</f>
        <v>40940.569999999992</v>
      </c>
      <c r="O591" s="25">
        <f t="shared" si="525"/>
        <v>10889.636755601023</v>
      </c>
      <c r="P591" s="25">
        <f t="shared" si="526"/>
        <v>30050.93324439897</v>
      </c>
      <c r="Q591" s="25">
        <f t="array" aca="1" ref="Q591" ca="1">INDEX('Isaac 401k'!L:L,MATCH('Retirement Calculator'!A591,'Isaac 401k'!N:N,0),0)</f>
        <v>-3343989.4972470622</v>
      </c>
      <c r="R591" s="25">
        <f t="array" aca="1" ref="R591" ca="1">INDEX('Lorri 401b'!L:L,MATCH('Retirement Calculator'!A591,'Lorri 401b'!N:N,0),0)</f>
        <v>-4326118.7877836358</v>
      </c>
      <c r="S591" s="25">
        <f t="shared" ca="1" si="527"/>
        <v>-7670108.2850306984</v>
      </c>
    </row>
    <row r="592" spans="1:19" ht="15.75" customHeight="1" x14ac:dyDescent="0.25">
      <c r="A592" s="37">
        <v>68973</v>
      </c>
      <c r="B592" s="398">
        <f t="shared" ref="B592:C592" si="598">($A592-B$9)/365.25</f>
        <v>106.9596167008898</v>
      </c>
      <c r="C592" s="398">
        <f t="shared" si="598"/>
        <v>102.34907597535934</v>
      </c>
      <c r="E592" s="25">
        <f>IF(C592&gt;$B$7,0,'Combined Retirement'!$D$13/12)</f>
        <v>0</v>
      </c>
      <c r="F592" s="25">
        <f>IF(H592=0,'Combined Retirement'!$D$32,0)+'Combined Retirement'!$B$24</f>
        <v>2870.372285649099</v>
      </c>
      <c r="G592" s="25">
        <f>'Combined Retirement'!$C$24</f>
        <v>3254.2644699519233</v>
      </c>
      <c r="H592" s="25">
        <f>IF(B592&lt;62,0,'Combined Retirement'!$I$14)</f>
        <v>2345</v>
      </c>
      <c r="I592" s="25">
        <f>IF(C592&lt;62,0,'Combined Retirement'!$I$13)</f>
        <v>2420</v>
      </c>
      <c r="J592" s="25">
        <f t="shared" si="523"/>
        <v>8395.6297298201844</v>
      </c>
      <c r="K592" s="25">
        <f t="shared" si="524"/>
        <v>21655.303514578787</v>
      </c>
      <c r="L592" s="25"/>
      <c r="N592" s="25">
        <f>'Combined Retirement'!$C$18/12</f>
        <v>40940.569999999992</v>
      </c>
      <c r="O592" s="25">
        <f t="shared" si="525"/>
        <v>10889.636755601023</v>
      </c>
      <c r="P592" s="25">
        <f t="shared" si="526"/>
        <v>30050.93324439897</v>
      </c>
      <c r="Q592" s="25">
        <f t="array" aca="1" ref="Q592" ca="1">INDEX('Isaac 401k'!L:L,MATCH('Retirement Calculator'!A592,'Isaac 401k'!N:N,0),0)</f>
        <v>-3366353.3983392864</v>
      </c>
      <c r="R592" s="25">
        <f t="array" aca="1" ref="R592" ca="1">INDEX('Lorri 401b'!L:L,MATCH('Retirement Calculator'!A592,'Lorri 401b'!N:N,0),0)</f>
        <v>-4365889.8166786237</v>
      </c>
      <c r="S592" s="25">
        <f t="shared" ca="1" si="527"/>
        <v>-7732243.2150179101</v>
      </c>
    </row>
    <row r="593" spans="1:19" ht="15.75" customHeight="1" x14ac:dyDescent="0.25">
      <c r="A593" s="37">
        <v>69003</v>
      </c>
      <c r="B593" s="398">
        <f t="shared" ref="B593:C593" si="599">($A593-B$9)/365.25</f>
        <v>107.04175222450377</v>
      </c>
      <c r="C593" s="398">
        <f t="shared" si="599"/>
        <v>102.43121149897331</v>
      </c>
      <c r="E593" s="25">
        <f>IF(C593&gt;$B$7,0,'Combined Retirement'!$D$13/12)</f>
        <v>0</v>
      </c>
      <c r="F593" s="25">
        <f>IF(H593=0,'Combined Retirement'!$D$32,0)+'Combined Retirement'!$B$24</f>
        <v>2870.372285649099</v>
      </c>
      <c r="G593" s="25">
        <f>'Combined Retirement'!$C$24</f>
        <v>3254.2644699519233</v>
      </c>
      <c r="H593" s="25">
        <f>IF(B593&lt;62,0,'Combined Retirement'!$I$14)</f>
        <v>2345</v>
      </c>
      <c r="I593" s="25">
        <f>IF(C593&lt;62,0,'Combined Retirement'!$I$13)</f>
        <v>2420</v>
      </c>
      <c r="J593" s="25">
        <f t="shared" si="523"/>
        <v>8395.6297298201844</v>
      </c>
      <c r="K593" s="25">
        <f t="shared" si="524"/>
        <v>21655.303514578787</v>
      </c>
      <c r="L593" s="25"/>
      <c r="N593" s="25">
        <f>'Combined Retirement'!$C$18/12</f>
        <v>40940.569999999992</v>
      </c>
      <c r="O593" s="25">
        <f t="shared" si="525"/>
        <v>10889.636755601023</v>
      </c>
      <c r="P593" s="25">
        <f t="shared" si="526"/>
        <v>30050.93324439897</v>
      </c>
      <c r="Q593" s="25">
        <f t="array" aca="1" ref="Q593" ca="1">INDEX('Isaac 401k'!L:L,MATCH('Retirement Calculator'!A593,'Isaac 401k'!N:N,0),0)</f>
        <v>-3388810.482352728</v>
      </c>
      <c r="R593" s="25">
        <f t="array" aca="1" ref="R593" ca="1">INDEX('Lorri 401b'!L:L,MATCH('Retirement Calculator'!A593,'Lorri 401b'!N:N,0),0)</f>
        <v>-4405826.5581940068</v>
      </c>
      <c r="S593" s="25">
        <f t="shared" ca="1" si="527"/>
        <v>-7794637.0405467348</v>
      </c>
    </row>
    <row r="594" spans="1:19" ht="15.75" customHeight="1" x14ac:dyDescent="0.25">
      <c r="A594" s="37">
        <v>69034</v>
      </c>
      <c r="B594" s="398">
        <f t="shared" ref="B594:C594" si="600">($A594-B$9)/365.25</f>
        <v>107.12662559890487</v>
      </c>
      <c r="C594" s="398">
        <f t="shared" si="600"/>
        <v>102.5160848733744</v>
      </c>
      <c r="E594" s="25">
        <f>IF(C594&gt;$B$7,0,'Combined Retirement'!$D$13/12)</f>
        <v>0</v>
      </c>
      <c r="F594" s="25">
        <f>IF(H594=0,'Combined Retirement'!$D$32,0)+'Combined Retirement'!$B$24</f>
        <v>2870.372285649099</v>
      </c>
      <c r="G594" s="25">
        <f>'Combined Retirement'!$C$24</f>
        <v>3254.2644699519233</v>
      </c>
      <c r="H594" s="25">
        <f>IF(B594&lt;62,0,'Combined Retirement'!$I$14)</f>
        <v>2345</v>
      </c>
      <c r="I594" s="25">
        <f>IF(C594&lt;62,0,'Combined Retirement'!$I$13)</f>
        <v>2420</v>
      </c>
      <c r="J594" s="25">
        <f t="shared" si="523"/>
        <v>8395.6297298201844</v>
      </c>
      <c r="K594" s="25">
        <f t="shared" si="524"/>
        <v>21655.303514578787</v>
      </c>
      <c r="L594" s="25"/>
      <c r="N594" s="25">
        <f>'Combined Retirement'!$C$18/12</f>
        <v>40940.569999999992</v>
      </c>
      <c r="O594" s="25">
        <f t="shared" si="525"/>
        <v>10889.636755601023</v>
      </c>
      <c r="P594" s="25">
        <f t="shared" si="526"/>
        <v>30050.93324439897</v>
      </c>
      <c r="Q594" s="25">
        <f t="array" aca="1" ref="Q594" ca="1">INDEX('Isaac 401k'!L:L,MATCH('Retirement Calculator'!A594,'Isaac 401k'!N:N,0),0)</f>
        <v>-3411361.1375495591</v>
      </c>
      <c r="R594" s="25">
        <f t="array" aca="1" ref="R594" ca="1">INDEX('Lorri 401b'!L:L,MATCH('Retirement Calculator'!A594,'Lorri 401b'!N:N,0),0)</f>
        <v>-4445929.702799038</v>
      </c>
      <c r="S594" s="25">
        <f t="shared" ca="1" si="527"/>
        <v>-7857290.8403485976</v>
      </c>
    </row>
    <row r="595" spans="1:19" ht="15.75" customHeight="1" x14ac:dyDescent="0.25">
      <c r="A595" s="37">
        <v>69065</v>
      </c>
      <c r="B595" s="398">
        <f t="shared" ref="B595:C595" si="601">($A595-B$9)/365.25</f>
        <v>107.21149897330595</v>
      </c>
      <c r="C595" s="398">
        <f t="shared" si="601"/>
        <v>102.60095824777549</v>
      </c>
      <c r="E595" s="25">
        <f>IF(C595&gt;$B$7,0,'Combined Retirement'!$D$13/12)</f>
        <v>0</v>
      </c>
      <c r="F595" s="25">
        <f>IF(H595=0,'Combined Retirement'!$D$32,0)+'Combined Retirement'!$B$24</f>
        <v>2870.372285649099</v>
      </c>
      <c r="G595" s="25">
        <f>'Combined Retirement'!$C$24</f>
        <v>3254.2644699519233</v>
      </c>
      <c r="H595" s="25">
        <f>IF(B595&lt;62,0,'Combined Retirement'!$I$14)</f>
        <v>2345</v>
      </c>
      <c r="I595" s="25">
        <f>IF(C595&lt;62,0,'Combined Retirement'!$I$13)</f>
        <v>2420</v>
      </c>
      <c r="J595" s="25">
        <f t="shared" si="523"/>
        <v>8395.6297298201844</v>
      </c>
      <c r="K595" s="25">
        <f t="shared" si="524"/>
        <v>21655.303514578787</v>
      </c>
      <c r="L595" s="25"/>
      <c r="N595" s="25">
        <f>'Combined Retirement'!$C$18/12</f>
        <v>40940.569999999992</v>
      </c>
      <c r="O595" s="25">
        <f t="shared" si="525"/>
        <v>10889.636755601023</v>
      </c>
      <c r="P595" s="25">
        <f t="shared" si="526"/>
        <v>30050.93324439897</v>
      </c>
      <c r="Q595" s="25">
        <f t="array" aca="1" ref="Q595" ca="1">INDEX('Isaac 401k'!L:L,MATCH('Retirement Calculator'!A595,'Isaac 401k'!N:N,0),0)</f>
        <v>-3434005.7538097105</v>
      </c>
      <c r="R595" s="25">
        <f t="array" aca="1" ref="R595" ca="1">INDEX('Lorri 401b'!L:L,MATCH('Retirement Calculator'!A595,'Lorri 401b'!N:N,0),0)</f>
        <v>-4486199.9438399235</v>
      </c>
      <c r="S595" s="25">
        <f t="shared" ca="1" si="527"/>
        <v>-7920205.6976496335</v>
      </c>
    </row>
    <row r="596" spans="1:19" ht="15.75" customHeight="1" x14ac:dyDescent="0.25">
      <c r="A596" s="37">
        <v>69093</v>
      </c>
      <c r="B596" s="398">
        <f t="shared" ref="B596:C596" si="602">($A596-B$9)/365.25</f>
        <v>107.28815879534565</v>
      </c>
      <c r="C596" s="398">
        <f t="shared" si="602"/>
        <v>102.6776180698152</v>
      </c>
      <c r="E596" s="25">
        <f>IF(C596&gt;$B$7,0,'Combined Retirement'!$D$13/12)</f>
        <v>0</v>
      </c>
      <c r="F596" s="25">
        <f>IF(H596=0,'Combined Retirement'!$D$32,0)+'Combined Retirement'!$B$24</f>
        <v>2870.372285649099</v>
      </c>
      <c r="G596" s="25">
        <f>'Combined Retirement'!$C$24</f>
        <v>3254.2644699519233</v>
      </c>
      <c r="H596" s="25">
        <f>IF(B596&lt;62,0,'Combined Retirement'!$I$14)</f>
        <v>2345</v>
      </c>
      <c r="I596" s="25">
        <f>IF(C596&lt;62,0,'Combined Retirement'!$I$13)</f>
        <v>2420</v>
      </c>
      <c r="J596" s="25">
        <f t="shared" si="523"/>
        <v>8395.6297298201844</v>
      </c>
      <c r="K596" s="25">
        <f t="shared" si="524"/>
        <v>21655.303514578787</v>
      </c>
      <c r="L596" s="25"/>
      <c r="N596" s="25">
        <f>'Combined Retirement'!$C$18/12</f>
        <v>40940.569999999992</v>
      </c>
      <c r="O596" s="25">
        <f t="shared" si="525"/>
        <v>10889.636755601023</v>
      </c>
      <c r="P596" s="25">
        <f t="shared" si="526"/>
        <v>30050.93324439897</v>
      </c>
      <c r="Q596" s="25">
        <f t="array" aca="1" ref="Q596" ca="1">INDEX('Isaac 401k'!L:L,MATCH('Retirement Calculator'!A596,'Isaac 401k'!N:N,0),0)</f>
        <v>-3456744.7226376124</v>
      </c>
      <c r="R596" s="25">
        <f t="array" aca="1" ref="R596" ca="1">INDEX('Lorri 401b'!L:L,MATCH('Retirement Calculator'!A596,'Lorri 401b'!N:N,0),0)</f>
        <v>-4526637.9775518123</v>
      </c>
      <c r="S596" s="25">
        <f t="shared" ca="1" si="527"/>
        <v>-7983382.7001894247</v>
      </c>
    </row>
    <row r="597" spans="1:19" ht="15.75" customHeight="1" x14ac:dyDescent="0.25">
      <c r="A597" s="37">
        <v>69124</v>
      </c>
      <c r="B597" s="398">
        <f t="shared" ref="B597:C597" si="603">($A597-B$9)/365.25</f>
        <v>107.37303216974675</v>
      </c>
      <c r="C597" s="398">
        <f t="shared" si="603"/>
        <v>102.76249144421629</v>
      </c>
      <c r="E597" s="25">
        <f>IF(C597&gt;$B$7,0,'Combined Retirement'!$D$13/12)</f>
        <v>0</v>
      </c>
      <c r="F597" s="25">
        <f>IF(H597=0,'Combined Retirement'!$D$32,0)+'Combined Retirement'!$B$24</f>
        <v>2870.372285649099</v>
      </c>
      <c r="G597" s="25">
        <f>'Combined Retirement'!$C$24</f>
        <v>3254.2644699519233</v>
      </c>
      <c r="H597" s="25">
        <f>IF(B597&lt;62,0,'Combined Retirement'!$I$14)</f>
        <v>2345</v>
      </c>
      <c r="I597" s="25">
        <f>IF(C597&lt;62,0,'Combined Retirement'!$I$13)</f>
        <v>2420</v>
      </c>
      <c r="J597" s="25">
        <f t="shared" si="523"/>
        <v>8395.6297298201844</v>
      </c>
      <c r="K597" s="25">
        <f t="shared" si="524"/>
        <v>21655.303514578787</v>
      </c>
      <c r="L597" s="25"/>
      <c r="N597" s="25">
        <f>'Combined Retirement'!$C$18/12</f>
        <v>40940.569999999992</v>
      </c>
      <c r="O597" s="25">
        <f t="shared" si="525"/>
        <v>10889.636755601023</v>
      </c>
      <c r="P597" s="25">
        <f t="shared" si="526"/>
        <v>30050.93324439897</v>
      </c>
      <c r="Q597" s="25">
        <f t="array" aca="1" ref="Q597" ca="1">INDEX('Isaac 401k'!L:L,MATCH('Retirement Calculator'!A597,'Isaac 401k'!N:N,0),0)</f>
        <v>-3479578.4371689637</v>
      </c>
      <c r="R597" s="25">
        <f t="array" aca="1" ref="R597" ca="1">INDEX('Lorri 401b'!L:L,MATCH('Retirement Calculator'!A597,'Lorri 401b'!N:N,0),0)</f>
        <v>-4567244.5030708341</v>
      </c>
      <c r="S597" s="25">
        <f t="shared" ca="1" si="527"/>
        <v>-8046822.9402397983</v>
      </c>
    </row>
    <row r="598" spans="1:19" ht="15.75" customHeight="1" x14ac:dyDescent="0.25">
      <c r="A598" s="37">
        <v>69154</v>
      </c>
      <c r="B598" s="398">
        <f t="shared" ref="B598:C598" si="604">($A598-B$9)/365.25</f>
        <v>107.45516769336071</v>
      </c>
      <c r="C598" s="398">
        <f t="shared" si="604"/>
        <v>102.84462696783025</v>
      </c>
      <c r="E598" s="25">
        <f>IF(C598&gt;$B$7,0,'Combined Retirement'!$D$13/12)</f>
        <v>0</v>
      </c>
      <c r="F598" s="25">
        <f>IF(H598=0,'Combined Retirement'!$D$32,0)+'Combined Retirement'!$B$24</f>
        <v>2870.372285649099</v>
      </c>
      <c r="G598" s="25">
        <f>'Combined Retirement'!$C$24</f>
        <v>3254.2644699519233</v>
      </c>
      <c r="H598" s="25">
        <f>IF(B598&lt;62,0,'Combined Retirement'!$I$14)</f>
        <v>2345</v>
      </c>
      <c r="I598" s="25">
        <f>IF(C598&lt;62,0,'Combined Retirement'!$I$13)</f>
        <v>2420</v>
      </c>
      <c r="J598" s="25">
        <f t="shared" si="523"/>
        <v>8395.6297298201844</v>
      </c>
      <c r="K598" s="25">
        <f t="shared" si="524"/>
        <v>21655.303514578787</v>
      </c>
      <c r="L598" s="25"/>
      <c r="N598" s="25">
        <f>'Combined Retirement'!$C$18/12</f>
        <v>40940.569999999992</v>
      </c>
      <c r="O598" s="25">
        <f t="shared" si="525"/>
        <v>10889.636755601023</v>
      </c>
      <c r="P598" s="25">
        <f t="shared" si="526"/>
        <v>30050.93324439897</v>
      </c>
      <c r="Q598" s="25">
        <f t="array" aca="1" ref="Q598" ca="1">INDEX('Isaac 401k'!L:L,MATCH('Retirement Calculator'!A598,'Isaac 401k'!N:N,0),0)</f>
        <v>-3502507.2921775291</v>
      </c>
      <c r="R598" s="25">
        <f t="array" aca="1" ref="R598" ca="1">INDEX('Lorri 401b'!L:L,MATCH('Retirement Calculator'!A598,'Lorri 401b'!N:N,0),0)</f>
        <v>-4608020.2224461846</v>
      </c>
      <c r="S598" s="25">
        <f t="shared" ca="1" si="527"/>
        <v>-8110527.5146237137</v>
      </c>
    </row>
    <row r="599" spans="1:19" ht="15.75" customHeight="1" x14ac:dyDescent="0.25">
      <c r="A599" s="37">
        <v>69185</v>
      </c>
      <c r="B599" s="398">
        <f t="shared" ref="B599:C599" si="605">($A599-B$9)/365.25</f>
        <v>107.54004106776181</v>
      </c>
      <c r="C599" s="398">
        <f t="shared" si="605"/>
        <v>102.92950034223135</v>
      </c>
      <c r="E599" s="25">
        <f>IF(C599&gt;$B$7,0,'Combined Retirement'!$D$13/12)</f>
        <v>0</v>
      </c>
      <c r="F599" s="25">
        <f>IF(H599=0,'Combined Retirement'!$D$32,0)+'Combined Retirement'!$B$24</f>
        <v>2870.372285649099</v>
      </c>
      <c r="G599" s="25">
        <f>'Combined Retirement'!$C$24</f>
        <v>3254.2644699519233</v>
      </c>
      <c r="H599" s="25">
        <f>IF(B599&lt;62,0,'Combined Retirement'!$I$14)</f>
        <v>2345</v>
      </c>
      <c r="I599" s="25">
        <f>IF(C599&lt;62,0,'Combined Retirement'!$I$13)</f>
        <v>2420</v>
      </c>
      <c r="J599" s="25">
        <f t="shared" si="523"/>
        <v>8395.6297298201844</v>
      </c>
      <c r="K599" s="25">
        <f t="shared" si="524"/>
        <v>21655.303514578787</v>
      </c>
      <c r="L599" s="25"/>
      <c r="N599" s="25">
        <f>'Combined Retirement'!$C$18/12</f>
        <v>40940.569999999992</v>
      </c>
      <c r="O599" s="25">
        <f t="shared" si="525"/>
        <v>10889.636755601023</v>
      </c>
      <c r="P599" s="25">
        <f t="shared" si="526"/>
        <v>30050.93324439897</v>
      </c>
      <c r="Q599" s="25">
        <f t="array" aca="1" ref="Q599" ca="1">INDEX('Isaac 401k'!L:L,MATCH('Retirement Calculator'!A599,'Isaac 401k'!N:N,0),0)</f>
        <v>-3525531.6840819633</v>
      </c>
      <c r="R599" s="25">
        <f t="array" aca="1" ref="R599" ca="1">INDEX('Lorri 401b'!L:L,MATCH('Retirement Calculator'!A599,'Lorri 401b'!N:N,0),0)</f>
        <v>-4648965.8406522665</v>
      </c>
      <c r="S599" s="25">
        <f t="shared" ca="1" si="527"/>
        <v>-8174497.5247342298</v>
      </c>
    </row>
    <row r="600" spans="1:19" ht="15.75" customHeight="1" x14ac:dyDescent="0.25">
      <c r="A600" s="37">
        <v>69215</v>
      </c>
      <c r="B600" s="398">
        <f t="shared" ref="B600:C600" si="606">($A600-B$9)/365.25</f>
        <v>107.62217659137578</v>
      </c>
      <c r="C600" s="398">
        <f t="shared" si="606"/>
        <v>103.01163586584531</v>
      </c>
      <c r="E600" s="25">
        <f>IF(C600&gt;$B$7,0,'Combined Retirement'!$D$13/12)</f>
        <v>0</v>
      </c>
      <c r="F600" s="25">
        <f>IF(H600=0,'Combined Retirement'!$D$32,0)+'Combined Retirement'!$B$24</f>
        <v>2870.372285649099</v>
      </c>
      <c r="G600" s="25">
        <f>'Combined Retirement'!$C$24</f>
        <v>3254.2644699519233</v>
      </c>
      <c r="H600" s="25">
        <f>IF(B600&lt;62,0,'Combined Retirement'!$I$14)</f>
        <v>2345</v>
      </c>
      <c r="I600" s="25">
        <f>IF(C600&lt;62,0,'Combined Retirement'!$I$13)</f>
        <v>2420</v>
      </c>
      <c r="J600" s="25">
        <f t="shared" si="523"/>
        <v>8395.6297298201844</v>
      </c>
      <c r="K600" s="25">
        <f t="shared" si="524"/>
        <v>21655.303514578787</v>
      </c>
      <c r="L600" s="25"/>
      <c r="N600" s="25">
        <f>'Combined Retirement'!$C$18/12</f>
        <v>40940.569999999992</v>
      </c>
      <c r="O600" s="25">
        <f t="shared" si="525"/>
        <v>10889.636755601023</v>
      </c>
      <c r="P600" s="25">
        <f t="shared" si="526"/>
        <v>30050.93324439897</v>
      </c>
      <c r="Q600" s="25">
        <f t="array" aca="1" ref="Q600" ca="1">INDEX('Isaac 401k'!L:L,MATCH('Retirement Calculator'!A600,'Isaac 401k'!N:N,0),0)</f>
        <v>-3548652.0109526659</v>
      </c>
      <c r="R600" s="25">
        <f t="array" aca="1" ref="R600" ca="1">INDEX('Lorri 401b'!L:L,MATCH('Retirement Calculator'!A600,'Lorri 401b'!N:N,0),0)</f>
        <v>-4690082.065600873</v>
      </c>
      <c r="S600" s="25">
        <f t="shared" ca="1" si="527"/>
        <v>-8238734.0765535384</v>
      </c>
    </row>
    <row r="601" spans="1:19" ht="15.75" customHeight="1" x14ac:dyDescent="0.25">
      <c r="A601" s="37">
        <v>69246</v>
      </c>
      <c r="B601" s="398">
        <f t="shared" ref="B601:C601" si="607">($A601-B$9)/365.25</f>
        <v>107.70704996577686</v>
      </c>
      <c r="C601" s="398">
        <f t="shared" si="607"/>
        <v>103.09650924024641</v>
      </c>
      <c r="E601" s="25">
        <f>IF(C601&gt;$B$7,0,'Combined Retirement'!$D$13/12)</f>
        <v>0</v>
      </c>
      <c r="F601" s="25">
        <f>IF(H601=0,'Combined Retirement'!$D$32,0)+'Combined Retirement'!$B$24</f>
        <v>2870.372285649099</v>
      </c>
      <c r="G601" s="25">
        <f>'Combined Retirement'!$C$24</f>
        <v>3254.2644699519233</v>
      </c>
      <c r="H601" s="25">
        <f>IF(B601&lt;62,0,'Combined Retirement'!$I$14)</f>
        <v>2345</v>
      </c>
      <c r="I601" s="25">
        <f>IF(C601&lt;62,0,'Combined Retirement'!$I$13)</f>
        <v>2420</v>
      </c>
      <c r="J601" s="25">
        <f t="shared" si="523"/>
        <v>8395.6297298201844</v>
      </c>
      <c r="K601" s="25">
        <f t="shared" si="524"/>
        <v>21655.303514578787</v>
      </c>
      <c r="L601" s="25"/>
      <c r="N601" s="25">
        <f>'Combined Retirement'!$C$18/12</f>
        <v>40940.569999999992</v>
      </c>
      <c r="O601" s="25">
        <f t="shared" si="525"/>
        <v>10889.636755601023</v>
      </c>
      <c r="P601" s="25">
        <f t="shared" si="526"/>
        <v>30050.93324439897</v>
      </c>
      <c r="Q601" s="25">
        <f t="array" aca="1" ref="Q601" ca="1">INDEX('Isaac 401k'!L:L,MATCH('Retirement Calculator'!A601,'Isaac 401k'!N:N,0),0)</f>
        <v>-3571868.6725186636</v>
      </c>
      <c r="R601" s="25">
        <f t="array" aca="1" ref="R601" ca="1">INDEX('Lorri 401b'!L:L,MATCH('Retirement Calculator'!A601,'Lorri 401b'!N:N,0),0)</f>
        <v>-4731369.6081534326</v>
      </c>
      <c r="S601" s="25">
        <f t="shared" ca="1" si="527"/>
        <v>-8303238.2806720957</v>
      </c>
    </row>
    <row r="602" spans="1:19" ht="15.75" customHeight="1" x14ac:dyDescent="0.25">
      <c r="A602" s="37">
        <v>69277</v>
      </c>
      <c r="B602" s="398">
        <f t="shared" ref="B602:C602" si="608">($A602-B$9)/365.25</f>
        <v>107.79192334017796</v>
      </c>
      <c r="C602" s="398">
        <f t="shared" si="608"/>
        <v>103.1813826146475</v>
      </c>
      <c r="E602" s="25">
        <f>IF(C602&gt;$B$7,0,'Combined Retirement'!$D$13/12)</f>
        <v>0</v>
      </c>
      <c r="F602" s="25">
        <f>IF(H602=0,'Combined Retirement'!$D$32,0)+'Combined Retirement'!$B$24</f>
        <v>2870.372285649099</v>
      </c>
      <c r="G602" s="25">
        <f>'Combined Retirement'!$C$24</f>
        <v>3254.2644699519233</v>
      </c>
      <c r="H602" s="25">
        <f>IF(B602&lt;62,0,'Combined Retirement'!$I$14)</f>
        <v>2345</v>
      </c>
      <c r="I602" s="25">
        <f>IF(C602&lt;62,0,'Combined Retirement'!$I$13)</f>
        <v>2420</v>
      </c>
      <c r="J602" s="25">
        <f t="shared" si="523"/>
        <v>8395.6297298201844</v>
      </c>
      <c r="K602" s="25">
        <f t="shared" si="524"/>
        <v>21655.303514578787</v>
      </c>
      <c r="L602" s="25"/>
      <c r="N602" s="25">
        <f>'Combined Retirement'!$C$18/12</f>
        <v>40940.569999999992</v>
      </c>
      <c r="O602" s="25">
        <f t="shared" si="525"/>
        <v>10889.636755601023</v>
      </c>
      <c r="P602" s="25">
        <f t="shared" si="526"/>
        <v>30050.93324439897</v>
      </c>
      <c r="Q602" s="25">
        <f t="array" aca="1" ref="Q602" ca="1">INDEX('Isaac 401k'!L:L,MATCH('Retirement Calculator'!A602,'Isaac 401k'!N:N,0),0)</f>
        <v>-3595182.0701745194</v>
      </c>
      <c r="R602" s="25">
        <f t="array" aca="1" ref="R602" ca="1">INDEX('Lorri 401b'!L:L,MATCH('Retirement Calculator'!A602,'Lorri 401b'!N:N,0),0)</f>
        <v>-4772829.1821332946</v>
      </c>
      <c r="S602" s="25">
        <f t="shared" ca="1" si="527"/>
        <v>-8368011.2523078136</v>
      </c>
    </row>
    <row r="603" spans="1:19" ht="15.75" customHeight="1" x14ac:dyDescent="0.25">
      <c r="A603" s="37">
        <v>69307</v>
      </c>
      <c r="B603" s="398">
        <f t="shared" ref="B603:C603" si="609">($A603-B$9)/365.25</f>
        <v>107.87405886379193</v>
      </c>
      <c r="C603" s="398">
        <f t="shared" si="609"/>
        <v>103.26351813826146</v>
      </c>
      <c r="E603" s="25">
        <f>IF(C603&gt;$B$7,0,'Combined Retirement'!$D$13/12)</f>
        <v>0</v>
      </c>
      <c r="F603" s="25">
        <f>IF(H603=0,'Combined Retirement'!$D$32,0)+'Combined Retirement'!$B$24</f>
        <v>2870.372285649099</v>
      </c>
      <c r="G603" s="25">
        <f>'Combined Retirement'!$C$24</f>
        <v>3254.2644699519233</v>
      </c>
      <c r="H603" s="25">
        <f>IF(B603&lt;62,0,'Combined Retirement'!$I$14)</f>
        <v>2345</v>
      </c>
      <c r="I603" s="25">
        <f>IF(C603&lt;62,0,'Combined Retirement'!$I$13)</f>
        <v>2420</v>
      </c>
      <c r="J603" s="25">
        <f t="shared" si="523"/>
        <v>8395.6297298201844</v>
      </c>
      <c r="K603" s="25">
        <f t="shared" si="524"/>
        <v>21655.303514578787</v>
      </c>
      <c r="L603" s="25"/>
      <c r="N603" s="25">
        <f>'Combined Retirement'!$C$18/12</f>
        <v>40940.569999999992</v>
      </c>
      <c r="O603" s="25">
        <f t="shared" si="525"/>
        <v>10889.636755601023</v>
      </c>
      <c r="P603" s="25">
        <f t="shared" si="526"/>
        <v>30050.93324439897</v>
      </c>
      <c r="Q603" s="25">
        <f t="array" aca="1" ref="Q603" ca="1">INDEX('Isaac 401k'!L:L,MATCH('Retirement Calculator'!A603,'Isaac 401k'!N:N,0),0)</f>
        <v>-3618592.6069872747</v>
      </c>
      <c r="R603" s="25">
        <f t="array" aca="1" ref="R603" ca="1">INDEX('Lorri 401b'!L:L,MATCH('Retirement Calculator'!A603,'Lorri 401b'!N:N,0),0)</f>
        <v>-4814461.5043380726</v>
      </c>
      <c r="S603" s="25">
        <f t="shared" ca="1" si="527"/>
        <v>-8433054.1113253478</v>
      </c>
    </row>
    <row r="604" spans="1:19" ht="15.75" customHeight="1" x14ac:dyDescent="0.25">
      <c r="A604" s="37">
        <v>69338</v>
      </c>
      <c r="B604" s="398">
        <f t="shared" ref="B604:C604" si="610">($A604-B$9)/365.25</f>
        <v>107.95893223819301</v>
      </c>
      <c r="C604" s="398">
        <f t="shared" si="610"/>
        <v>103.34839151266256</v>
      </c>
      <c r="E604" s="25">
        <f>IF(C604&gt;$B$7,0,'Combined Retirement'!$D$13/12)</f>
        <v>0</v>
      </c>
      <c r="F604" s="25">
        <f>IF(H604=0,'Combined Retirement'!$D$32,0)+'Combined Retirement'!$B$24</f>
        <v>2870.372285649099</v>
      </c>
      <c r="G604" s="25">
        <f>'Combined Retirement'!$C$24</f>
        <v>3254.2644699519233</v>
      </c>
      <c r="H604" s="25">
        <f>IF(B604&lt;62,0,'Combined Retirement'!$I$14)</f>
        <v>2345</v>
      </c>
      <c r="I604" s="25">
        <f>IF(C604&lt;62,0,'Combined Retirement'!$I$13)</f>
        <v>2420</v>
      </c>
      <c r="J604" s="25">
        <f t="shared" si="523"/>
        <v>8395.6297298201844</v>
      </c>
      <c r="K604" s="25">
        <f t="shared" si="524"/>
        <v>21655.303514578787</v>
      </c>
      <c r="L604" s="25"/>
      <c r="N604" s="25">
        <f>'Combined Retirement'!$C$18/12</f>
        <v>40940.569999999992</v>
      </c>
      <c r="O604" s="25">
        <f t="shared" si="525"/>
        <v>10889.636755601023</v>
      </c>
      <c r="P604" s="25">
        <f t="shared" si="526"/>
        <v>30050.93324439897</v>
      </c>
      <c r="Q604" s="25">
        <f t="array" aca="1" ref="Q604" ca="1">INDEX('Isaac 401k'!L:L,MATCH('Retirement Calculator'!A604,'Isaac 401k'!N:N,0),0)</f>
        <v>-3642100.6877034162</v>
      </c>
      <c r="R604" s="25">
        <f t="array" aca="1" ref="R604" ca="1">INDEX('Lorri 401b'!L:L,MATCH('Retirement Calculator'!A604,'Lorri 401b'!N:N,0),0)</f>
        <v>-4856267.2945520375</v>
      </c>
      <c r="S604" s="25">
        <f t="shared" ca="1" si="527"/>
        <v>-8498367.9822554532</v>
      </c>
    </row>
    <row r="605" spans="1:19" ht="15.75" customHeight="1" x14ac:dyDescent="0.25">
      <c r="A605" s="37">
        <v>69368</v>
      </c>
      <c r="B605" s="398">
        <f t="shared" ref="B605:C605" si="611">($A605-B$9)/365.25</f>
        <v>108.04106776180699</v>
      </c>
      <c r="C605" s="398">
        <f t="shared" si="611"/>
        <v>103.43052703627653</v>
      </c>
      <c r="E605" s="25">
        <f>IF(C605&gt;$B$7,0,'Combined Retirement'!$D$13/12)</f>
        <v>0</v>
      </c>
      <c r="F605" s="25">
        <f>IF(H605=0,'Combined Retirement'!$D$32,0)+'Combined Retirement'!$B$24</f>
        <v>2870.372285649099</v>
      </c>
      <c r="G605" s="25">
        <f>'Combined Retirement'!$C$24</f>
        <v>3254.2644699519233</v>
      </c>
      <c r="H605" s="25">
        <f>IF(B605&lt;62,0,'Combined Retirement'!$I$14)</f>
        <v>2345</v>
      </c>
      <c r="I605" s="25">
        <f>IF(C605&lt;62,0,'Combined Retirement'!$I$13)</f>
        <v>2420</v>
      </c>
      <c r="J605" s="25">
        <f t="shared" si="523"/>
        <v>8395.6297298201844</v>
      </c>
      <c r="K605" s="25">
        <f t="shared" si="524"/>
        <v>21655.303514578787</v>
      </c>
      <c r="L605" s="25"/>
      <c r="N605" s="25">
        <f>'Combined Retirement'!$C$18/12</f>
        <v>40940.569999999992</v>
      </c>
      <c r="O605" s="25">
        <f t="shared" si="525"/>
        <v>10889.636755601023</v>
      </c>
      <c r="P605" s="25">
        <f t="shared" si="526"/>
        <v>30050.93324439897</v>
      </c>
      <c r="Q605" s="25">
        <f t="array" aca="1" ref="Q605" ca="1">INDEX('Isaac 401k'!L:L,MATCH('Retirement Calculator'!A605,'Isaac 401k'!N:N,0),0)</f>
        <v>-3665706.7187558752</v>
      </c>
      <c r="R605" s="25">
        <f t="array" aca="1" ref="R605" ca="1">INDEX('Lorri 401b'!L:L,MATCH('Retirement Calculator'!A605,'Lorri 401b'!N:N,0),0)</f>
        <v>-4898247.2755585602</v>
      </c>
      <c r="S605" s="25">
        <f t="shared" ca="1" si="527"/>
        <v>-8563953.9943144359</v>
      </c>
    </row>
    <row r="606" spans="1:19" ht="15.75" customHeight="1" x14ac:dyDescent="0.25">
      <c r="A606" s="37">
        <v>69399</v>
      </c>
      <c r="B606" s="398">
        <f t="shared" ref="B606:C606" si="612">($A606-B$9)/365.25</f>
        <v>108.12594113620807</v>
      </c>
      <c r="C606" s="398">
        <f t="shared" si="612"/>
        <v>103.51540041067761</v>
      </c>
      <c r="E606" s="25">
        <f>IF(C606&gt;$B$7,0,'Combined Retirement'!$D$13/12)</f>
        <v>0</v>
      </c>
      <c r="F606" s="25">
        <f>IF(H606=0,'Combined Retirement'!$D$32,0)+'Combined Retirement'!$B$24</f>
        <v>2870.372285649099</v>
      </c>
      <c r="G606" s="25">
        <f>'Combined Retirement'!$C$24</f>
        <v>3254.2644699519233</v>
      </c>
      <c r="H606" s="25">
        <f>IF(B606&lt;62,0,'Combined Retirement'!$I$14)</f>
        <v>2345</v>
      </c>
      <c r="I606" s="25">
        <f>IF(C606&lt;62,0,'Combined Retirement'!$I$13)</f>
        <v>2420</v>
      </c>
      <c r="J606" s="25">
        <f t="shared" si="523"/>
        <v>8395.6297298201844</v>
      </c>
      <c r="K606" s="25">
        <f t="shared" si="524"/>
        <v>21655.303514578787</v>
      </c>
      <c r="L606" s="25"/>
      <c r="N606" s="25">
        <f>'Combined Retirement'!$C$18/12</f>
        <v>40940.569999999992</v>
      </c>
      <c r="O606" s="25">
        <f t="shared" si="525"/>
        <v>10889.636755601023</v>
      </c>
      <c r="P606" s="25">
        <f t="shared" si="526"/>
        <v>30050.93324439897</v>
      </c>
      <c r="Q606" s="25">
        <f t="array" aca="1" ref="Q606" ca="1">INDEX('Isaac 401k'!L:L,MATCH('Retirement Calculator'!A606,'Isaac 401k'!N:N,0),0)</f>
        <v>-3689411.1082710526</v>
      </c>
      <c r="R606" s="25">
        <f t="array" aca="1" ref="R606" ca="1">INDEX('Lorri 401b'!L:L,MATCH('Retirement Calculator'!A606,'Lorri 401b'!N:N,0),0)</f>
        <v>-4940402.1731526097</v>
      </c>
      <c r="S606" s="25">
        <f t="shared" ca="1" si="527"/>
        <v>-8629813.2814236619</v>
      </c>
    </row>
    <row r="607" spans="1:19" ht="15.75" customHeight="1" x14ac:dyDescent="0.25">
      <c r="A607" s="37">
        <v>69430</v>
      </c>
      <c r="B607" s="398">
        <f t="shared" ref="B607:C607" si="613">($A607-B$9)/365.25</f>
        <v>108.21081451060917</v>
      </c>
      <c r="C607" s="398">
        <f t="shared" si="613"/>
        <v>103.60027378507871</v>
      </c>
      <c r="E607" s="25">
        <f>IF(C607&gt;$B$7,0,'Combined Retirement'!$D$13/12)</f>
        <v>0</v>
      </c>
      <c r="F607" s="25">
        <f>IF(H607=0,'Combined Retirement'!$D$32,0)+'Combined Retirement'!$B$24</f>
        <v>2870.372285649099</v>
      </c>
      <c r="G607" s="25">
        <f>'Combined Retirement'!$C$24</f>
        <v>3254.2644699519233</v>
      </c>
      <c r="H607" s="25">
        <f>IF(B607&lt;62,0,'Combined Retirement'!$I$14)</f>
        <v>2345</v>
      </c>
      <c r="I607" s="25">
        <f>IF(C607&lt;62,0,'Combined Retirement'!$I$13)</f>
        <v>2420</v>
      </c>
      <c r="J607" s="25">
        <f t="shared" si="523"/>
        <v>8395.6297298201844</v>
      </c>
      <c r="K607" s="25">
        <f t="shared" si="524"/>
        <v>21655.303514578787</v>
      </c>
      <c r="L607" s="25"/>
      <c r="N607" s="25">
        <f>'Combined Retirement'!$C$18/12</f>
        <v>40940.569999999992</v>
      </c>
      <c r="O607" s="25">
        <f t="shared" si="525"/>
        <v>10889.636755601023</v>
      </c>
      <c r="P607" s="25">
        <f t="shared" si="526"/>
        <v>30050.93324439897</v>
      </c>
      <c r="Q607" s="25">
        <f t="array" aca="1" ref="Q607" ca="1">INDEX('Isaac 401k'!L:L,MATCH('Retirement Calculator'!A607,'Isaac 401k'!N:N,0),0)</f>
        <v>-3713214.2660758765</v>
      </c>
      <c r="R607" s="25">
        <f t="array" aca="1" ref="R607" ca="1">INDEX('Lorri 401b'!L:L,MATCH('Retirement Calculator'!A607,'Lorri 401b'!N:N,0),0)</f>
        <v>-4982732.7161533013</v>
      </c>
      <c r="S607" s="25">
        <f t="shared" ca="1" si="527"/>
        <v>-8695946.9822291769</v>
      </c>
    </row>
    <row r="608" spans="1:19" ht="15.75" customHeight="1" x14ac:dyDescent="0.25">
      <c r="A608" s="37">
        <v>69458</v>
      </c>
      <c r="B608" s="398">
        <f t="shared" ref="B608:C608" si="614">($A608-B$9)/365.25</f>
        <v>108.28747433264887</v>
      </c>
      <c r="C608" s="398">
        <f t="shared" si="614"/>
        <v>103.67693360711841</v>
      </c>
      <c r="E608" s="25">
        <f>IF(C608&gt;$B$7,0,'Combined Retirement'!$D$13/12)</f>
        <v>0</v>
      </c>
      <c r="F608" s="25">
        <f>IF(H608=0,'Combined Retirement'!$D$32,0)+'Combined Retirement'!$B$24</f>
        <v>2870.372285649099</v>
      </c>
      <c r="G608" s="25">
        <f>'Combined Retirement'!$C$24</f>
        <v>3254.2644699519233</v>
      </c>
      <c r="H608" s="25">
        <f>IF(B608&lt;62,0,'Combined Retirement'!$I$14)</f>
        <v>2345</v>
      </c>
      <c r="I608" s="25">
        <f>IF(C608&lt;62,0,'Combined Retirement'!$I$13)</f>
        <v>2420</v>
      </c>
      <c r="J608" s="25">
        <f t="shared" si="523"/>
        <v>8395.6297298201844</v>
      </c>
      <c r="K608" s="25">
        <f t="shared" si="524"/>
        <v>21655.303514578787</v>
      </c>
      <c r="L608" s="25"/>
      <c r="N608" s="25">
        <f>'Combined Retirement'!$C$18/12</f>
        <v>40940.569999999992</v>
      </c>
      <c r="O608" s="25">
        <f t="shared" si="525"/>
        <v>10889.636755601023</v>
      </c>
      <c r="P608" s="25">
        <f t="shared" si="526"/>
        <v>30050.93324439897</v>
      </c>
      <c r="Q608" s="25">
        <f t="array" aca="1" ref="Q608" ca="1">INDEX('Isaac 401k'!L:L,MATCH('Retirement Calculator'!A608,'Isaac 401k'!N:N,0),0)</f>
        <v>-3737116.6037048874</v>
      </c>
      <c r="R608" s="25">
        <f t="array" aca="1" ref="R608" ca="1">INDEX('Lorri 401b'!L:L,MATCH('Retirement Calculator'!A608,'Lorri 401b'!N:N,0),0)</f>
        <v>-5025239.6364164958</v>
      </c>
      <c r="S608" s="25">
        <f t="shared" ca="1" si="527"/>
        <v>-8762356.2401213832</v>
      </c>
    </row>
    <row r="609" spans="1:19" ht="15.75" customHeight="1" x14ac:dyDescent="0.25">
      <c r="A609" s="37">
        <v>69489</v>
      </c>
      <c r="B609" s="398">
        <f t="shared" ref="B609:C609" si="615">($A609-B$9)/365.25</f>
        <v>108.37234770704997</v>
      </c>
      <c r="C609" s="398">
        <f t="shared" si="615"/>
        <v>103.76180698151951</v>
      </c>
      <c r="E609" s="25">
        <f>IF(C609&gt;$B$7,0,'Combined Retirement'!$D$13/12)</f>
        <v>0</v>
      </c>
      <c r="F609" s="25">
        <f>IF(H609=0,'Combined Retirement'!$D$32,0)+'Combined Retirement'!$B$24</f>
        <v>2870.372285649099</v>
      </c>
      <c r="G609" s="25">
        <f>'Combined Retirement'!$C$24</f>
        <v>3254.2644699519233</v>
      </c>
      <c r="H609" s="25">
        <f>IF(B609&lt;62,0,'Combined Retirement'!$I$14)</f>
        <v>2345</v>
      </c>
      <c r="I609" s="25">
        <f>IF(C609&lt;62,0,'Combined Retirement'!$I$13)</f>
        <v>2420</v>
      </c>
      <c r="J609" s="25">
        <f t="shared" si="523"/>
        <v>8395.6297298201844</v>
      </c>
      <c r="K609" s="25">
        <f t="shared" si="524"/>
        <v>21655.303514578787</v>
      </c>
      <c r="L609" s="25"/>
      <c r="N609" s="25">
        <f>'Combined Retirement'!$C$18/12</f>
        <v>40940.569999999992</v>
      </c>
      <c r="O609" s="25">
        <f t="shared" si="525"/>
        <v>10889.636755601023</v>
      </c>
      <c r="P609" s="25">
        <f t="shared" si="526"/>
        <v>30050.93324439897</v>
      </c>
      <c r="Q609" s="25">
        <f t="array" aca="1" ref="Q609" ca="1">INDEX('Isaac 401k'!L:L,MATCH('Retirement Calculator'!A609,'Isaac 401k'!N:N,0),0)</f>
        <v>-3761118.5344073526</v>
      </c>
      <c r="R609" s="25">
        <f t="array" aca="1" ref="R609" ca="1">INDEX('Lorri 401b'!L:L,MATCH('Retirement Calculator'!A609,'Lorri 401b'!N:N,0),0)</f>
        <v>-5067923.6688474538</v>
      </c>
      <c r="S609" s="25">
        <f t="shared" ca="1" si="527"/>
        <v>-8829042.2032548059</v>
      </c>
    </row>
    <row r="610" spans="1:19" ht="15.75" customHeight="1" x14ac:dyDescent="0.25">
      <c r="A610" s="37">
        <v>69519</v>
      </c>
      <c r="B610" s="398">
        <f t="shared" ref="B610:C610" si="616">($A610-B$9)/365.25</f>
        <v>108.45448323066393</v>
      </c>
      <c r="C610" s="398">
        <f t="shared" si="616"/>
        <v>103.84394250513347</v>
      </c>
      <c r="E610" s="25">
        <f>IF(C610&gt;$B$7,0,'Combined Retirement'!$D$13/12)</f>
        <v>0</v>
      </c>
      <c r="F610" s="25">
        <f>IF(H610=0,'Combined Retirement'!$D$32,0)+'Combined Retirement'!$B$24</f>
        <v>2870.372285649099</v>
      </c>
      <c r="G610" s="25">
        <f>'Combined Retirement'!$C$24</f>
        <v>3254.2644699519233</v>
      </c>
      <c r="H610" s="25">
        <f>IF(B610&lt;62,0,'Combined Retirement'!$I$14)</f>
        <v>2345</v>
      </c>
      <c r="I610" s="25">
        <f>IF(C610&lt;62,0,'Combined Retirement'!$I$13)</f>
        <v>2420</v>
      </c>
      <c r="J610" s="25">
        <f t="shared" si="523"/>
        <v>8395.6297298201844</v>
      </c>
      <c r="K610" s="25">
        <f t="shared" si="524"/>
        <v>21655.303514578787</v>
      </c>
      <c r="L610" s="25"/>
      <c r="N610" s="25">
        <f>'Combined Retirement'!$C$18/12</f>
        <v>40940.569999999992</v>
      </c>
      <c r="O610" s="25">
        <f t="shared" si="525"/>
        <v>10889.636755601023</v>
      </c>
      <c r="P610" s="25">
        <f t="shared" si="526"/>
        <v>30050.93324439897</v>
      </c>
      <c r="Q610" s="25">
        <f t="array" aca="1" ref="Q610" ca="1">INDEX('Isaac 401k'!L:L,MATCH('Retirement Calculator'!A610,'Isaac 401k'!N:N,0),0)</f>
        <v>-3785220.4731544112</v>
      </c>
      <c r="R610" s="25">
        <f t="array" aca="1" ref="R610" ca="1">INDEX('Lorri 401b'!L:L,MATCH('Retirement Calculator'!A610,'Lorri 401b'!N:N,0),0)</f>
        <v>-5110785.5514135407</v>
      </c>
      <c r="S610" s="25">
        <f t="shared" ca="1" si="527"/>
        <v>-8896006.0245679524</v>
      </c>
    </row>
    <row r="611" spans="1:19" ht="15.75" customHeight="1" x14ac:dyDescent="0.25">
      <c r="A611" s="37">
        <v>69550</v>
      </c>
      <c r="B611" s="398">
        <f t="shared" ref="B611:C611" si="617">($A611-B$9)/365.25</f>
        <v>108.53935660506502</v>
      </c>
      <c r="C611" s="398">
        <f t="shared" si="617"/>
        <v>103.92881587953457</v>
      </c>
      <c r="E611" s="25">
        <f>IF(C611&gt;$B$7,0,'Combined Retirement'!$D$13/12)</f>
        <v>0</v>
      </c>
      <c r="F611" s="25">
        <f>IF(H611=0,'Combined Retirement'!$D$32,0)+'Combined Retirement'!$B$24</f>
        <v>2870.372285649099</v>
      </c>
      <c r="G611" s="25">
        <f>'Combined Retirement'!$C$24</f>
        <v>3254.2644699519233</v>
      </c>
      <c r="H611" s="25">
        <f>IF(B611&lt;62,0,'Combined Retirement'!$I$14)</f>
        <v>2345</v>
      </c>
      <c r="I611" s="25">
        <f>IF(C611&lt;62,0,'Combined Retirement'!$I$13)</f>
        <v>2420</v>
      </c>
      <c r="J611" s="25">
        <f t="shared" si="523"/>
        <v>8395.6297298201844</v>
      </c>
      <c r="K611" s="25">
        <f t="shared" si="524"/>
        <v>21655.303514578787</v>
      </c>
      <c r="L611" s="25"/>
      <c r="N611" s="25">
        <f>'Combined Retirement'!$C$18/12</f>
        <v>40940.569999999992</v>
      </c>
      <c r="O611" s="25">
        <f t="shared" si="525"/>
        <v>10889.636755601023</v>
      </c>
      <c r="P611" s="25">
        <f t="shared" si="526"/>
        <v>30050.93324439897</v>
      </c>
      <c r="Q611" s="25">
        <f t="array" aca="1" ref="Q611" ca="1">INDEX('Isaac 401k'!L:L,MATCH('Retirement Calculator'!A611,'Isaac 401k'!N:N,0),0)</f>
        <v>-3809422.8366462491</v>
      </c>
      <c r="R611" s="25">
        <f t="array" aca="1" ref="R611" ca="1">INDEX('Lorri 401b'!L:L,MATCH('Retirement Calculator'!A611,'Lorri 401b'!N:N,0),0)</f>
        <v>-5153826.025156986</v>
      </c>
      <c r="S611" s="25">
        <f t="shared" ca="1" si="527"/>
        <v>-8963248.8618032355</v>
      </c>
    </row>
    <row r="612" spans="1:19" ht="15.75" customHeight="1" x14ac:dyDescent="0.25">
      <c r="A612" s="37">
        <v>69580</v>
      </c>
      <c r="B612" s="398">
        <f t="shared" ref="B612:C612" si="618">($A612-B$9)/365.25</f>
        <v>108.62149212867898</v>
      </c>
      <c r="C612" s="398">
        <f t="shared" si="618"/>
        <v>104.01095140314852</v>
      </c>
      <c r="E612" s="25">
        <f>IF(C612&gt;$B$7,0,'Combined Retirement'!$D$13/12)</f>
        <v>0</v>
      </c>
      <c r="F612" s="25">
        <f>IF(H612=0,'Combined Retirement'!$D$32,0)+'Combined Retirement'!$B$24</f>
        <v>2870.372285649099</v>
      </c>
      <c r="G612" s="25">
        <f>'Combined Retirement'!$C$24</f>
        <v>3254.2644699519233</v>
      </c>
      <c r="H612" s="25">
        <f>IF(B612&lt;62,0,'Combined Retirement'!$I$14)</f>
        <v>2345</v>
      </c>
      <c r="I612" s="25">
        <f>IF(C612&lt;62,0,'Combined Retirement'!$I$13)</f>
        <v>2420</v>
      </c>
      <c r="J612" s="25">
        <f t="shared" si="523"/>
        <v>8395.6297298201844</v>
      </c>
      <c r="K612" s="25">
        <f t="shared" si="524"/>
        <v>21655.303514578787</v>
      </c>
      <c r="L612" s="25"/>
      <c r="N612" s="25">
        <f>'Combined Retirement'!$C$18/12</f>
        <v>40940.569999999992</v>
      </c>
      <c r="O612" s="25">
        <f t="shared" si="525"/>
        <v>10889.636755601023</v>
      </c>
      <c r="P612" s="25">
        <f t="shared" si="526"/>
        <v>30050.93324439897</v>
      </c>
      <c r="Q612" s="25">
        <f t="array" aca="1" ref="Q612" ca="1">INDEX('Isaac 401k'!L:L,MATCH('Retirement Calculator'!A612,'Isaac 401k'!N:N,0),0)</f>
        <v>-3833726.0433193031</v>
      </c>
      <c r="R612" s="25">
        <f t="array" aca="1" ref="R612" ca="1">INDEX('Lorri 401b'!L:L,MATCH('Retirement Calculator'!A612,'Lorri 401b'!N:N,0),0)</f>
        <v>-5197045.8342076959</v>
      </c>
      <c r="S612" s="25">
        <f t="shared" ca="1" si="527"/>
        <v>-9030771.8775269985</v>
      </c>
    </row>
    <row r="613" spans="1:19" ht="15.75" customHeight="1" x14ac:dyDescent="0.25">
      <c r="A613" s="37">
        <v>69611</v>
      </c>
      <c r="B613" s="398">
        <f t="shared" ref="B613:C613" si="619">($A613-B$9)/365.25</f>
        <v>108.70636550308008</v>
      </c>
      <c r="C613" s="398">
        <f t="shared" si="619"/>
        <v>104.09582477754962</v>
      </c>
      <c r="E613" s="25">
        <f>IF(C613&gt;$B$7,0,'Combined Retirement'!$D$13/12)</f>
        <v>0</v>
      </c>
      <c r="F613" s="25">
        <f>IF(H613=0,'Combined Retirement'!$D$32,0)+'Combined Retirement'!$B$24</f>
        <v>2870.372285649099</v>
      </c>
      <c r="G613" s="25">
        <f>'Combined Retirement'!$C$24</f>
        <v>3254.2644699519233</v>
      </c>
      <c r="H613" s="25">
        <f>IF(B613&lt;62,0,'Combined Retirement'!$I$14)</f>
        <v>2345</v>
      </c>
      <c r="I613" s="25">
        <f>IF(C613&lt;62,0,'Combined Retirement'!$I$13)</f>
        <v>2420</v>
      </c>
      <c r="J613" s="25">
        <f t="shared" si="523"/>
        <v>8395.6297298201844</v>
      </c>
      <c r="K613" s="25">
        <f t="shared" si="524"/>
        <v>21655.303514578787</v>
      </c>
      <c r="L613" s="25"/>
      <c r="N613" s="25">
        <f>'Combined Retirement'!$C$18/12</f>
        <v>40940.569999999992</v>
      </c>
      <c r="O613" s="25">
        <f t="shared" si="525"/>
        <v>10889.636755601023</v>
      </c>
      <c r="P613" s="25">
        <f t="shared" si="526"/>
        <v>30050.93324439897</v>
      </c>
      <c r="Q613" s="25">
        <f t="array" aca="1" ref="Q613" ca="1">INDEX('Isaac 401k'!L:L,MATCH('Retirement Calculator'!A613,'Isaac 401k'!N:N,0),0)</f>
        <v>-3858130.5133534949</v>
      </c>
      <c r="R613" s="25">
        <f t="array" aca="1" ref="R613" ca="1">INDEX('Lorri 401b'!L:L,MATCH('Retirement Calculator'!A613,'Lorri 401b'!N:N,0),0)</f>
        <v>-5240445.7257961174</v>
      </c>
      <c r="S613" s="25">
        <f t="shared" ca="1" si="527"/>
        <v>-9098576.2391496114</v>
      </c>
    </row>
    <row r="614" spans="1:19" ht="15.75" customHeight="1" x14ac:dyDescent="0.25">
      <c r="A614" s="37">
        <v>69642</v>
      </c>
      <c r="B614" s="398">
        <f t="shared" ref="B614:C614" si="620">($A614-B$9)/365.25</f>
        <v>108.79123887748118</v>
      </c>
      <c r="C614" s="398">
        <f t="shared" si="620"/>
        <v>104.18069815195072</v>
      </c>
      <c r="E614" s="25">
        <f>IF(C614&gt;$B$7,0,'Combined Retirement'!$D$13/12)</f>
        <v>0</v>
      </c>
      <c r="F614" s="25">
        <f>IF(H614=0,'Combined Retirement'!$D$32,0)+'Combined Retirement'!$B$24</f>
        <v>2870.372285649099</v>
      </c>
      <c r="G614" s="25">
        <f>'Combined Retirement'!$C$24</f>
        <v>3254.2644699519233</v>
      </c>
      <c r="H614" s="25">
        <f>IF(B614&lt;62,0,'Combined Retirement'!$I$14)</f>
        <v>2345</v>
      </c>
      <c r="I614" s="25">
        <f>IF(C614&lt;62,0,'Combined Retirement'!$I$13)</f>
        <v>2420</v>
      </c>
      <c r="J614" s="25">
        <f t="shared" si="523"/>
        <v>8395.6297298201844</v>
      </c>
      <c r="K614" s="25">
        <f t="shared" si="524"/>
        <v>21655.303514578787</v>
      </c>
      <c r="L614" s="25"/>
      <c r="N614" s="25">
        <f>'Combined Retirement'!$C$18/12</f>
        <v>40940.569999999992</v>
      </c>
      <c r="O614" s="25">
        <f t="shared" si="525"/>
        <v>10889.636755601023</v>
      </c>
      <c r="P614" s="25">
        <f t="shared" si="526"/>
        <v>30050.93324439897</v>
      </c>
      <c r="Q614" s="25">
        <f t="array" aca="1" ref="Q614" ca="1">INDEX('Isaac 401k'!L:L,MATCH('Retirement Calculator'!A614,'Isaac 401k'!N:N,0),0)</f>
        <v>-3882636.6686794958</v>
      </c>
      <c r="R614" s="25">
        <f t="array" aca="1" ref="R614" ca="1">INDEX('Lorri 401b'!L:L,MATCH('Retirement Calculator'!A614,'Lorri 401b'!N:N,0),0)</f>
        <v>-5284026.4502661573</v>
      </c>
      <c r="S614" s="25">
        <f t="shared" ca="1" si="527"/>
        <v>-9166663.1189456526</v>
      </c>
    </row>
    <row r="615" spans="1:19" ht="15.75" customHeight="1" x14ac:dyDescent="0.25">
      <c r="A615" s="37">
        <v>69672</v>
      </c>
      <c r="B615" s="398">
        <f t="shared" ref="B615:C615" si="621">($A615-B$9)/365.25</f>
        <v>108.87337440109513</v>
      </c>
      <c r="C615" s="398">
        <f t="shared" si="621"/>
        <v>104.26283367556468</v>
      </c>
      <c r="E615" s="25">
        <f>IF(C615&gt;$B$7,0,'Combined Retirement'!$D$13/12)</f>
        <v>0</v>
      </c>
      <c r="F615" s="25">
        <f>IF(H615=0,'Combined Retirement'!$D$32,0)+'Combined Retirement'!$B$24</f>
        <v>2870.372285649099</v>
      </c>
      <c r="G615" s="25">
        <f>'Combined Retirement'!$C$24</f>
        <v>3254.2644699519233</v>
      </c>
      <c r="H615" s="25">
        <f>IF(B615&lt;62,0,'Combined Retirement'!$I$14)</f>
        <v>2345</v>
      </c>
      <c r="I615" s="25">
        <f>IF(C615&lt;62,0,'Combined Retirement'!$I$13)</f>
        <v>2420</v>
      </c>
      <c r="J615" s="25">
        <f t="shared" si="523"/>
        <v>8395.6297298201844</v>
      </c>
      <c r="K615" s="25">
        <f t="shared" si="524"/>
        <v>21655.303514578787</v>
      </c>
      <c r="L615" s="25"/>
      <c r="N615" s="25">
        <f>'Combined Retirement'!$C$18/12</f>
        <v>40940.569999999992</v>
      </c>
      <c r="O615" s="25">
        <f t="shared" si="525"/>
        <v>10889.636755601023</v>
      </c>
      <c r="P615" s="25">
        <f t="shared" si="526"/>
        <v>30050.93324439897</v>
      </c>
      <c r="Q615" s="25">
        <f t="array" aca="1" ref="Q615" ca="1">INDEX('Isaac 401k'!L:L,MATCH('Retirement Calculator'!A615,'Isaac 401k'!N:N,0),0)</f>
        <v>-3907244.9329860215</v>
      </c>
      <c r="R615" s="25">
        <f t="array" aca="1" ref="R615" ca="1">INDEX('Lorri 401b'!L:L,MATCH('Retirement Calculator'!A615,'Lorri 401b'!N:N,0),0)</f>
        <v>-5327788.7610881552</v>
      </c>
      <c r="S615" s="25">
        <f t="shared" ca="1" si="527"/>
        <v>-9235033.6940741763</v>
      </c>
    </row>
    <row r="616" spans="1:19" ht="15.75" customHeight="1" x14ac:dyDescent="0.25">
      <c r="A616" s="37">
        <v>69703</v>
      </c>
      <c r="B616" s="398">
        <f t="shared" ref="B616:C616" si="622">($A616-B$9)/365.25</f>
        <v>108.95824777549623</v>
      </c>
      <c r="C616" s="398">
        <f t="shared" si="622"/>
        <v>104.34770704996578</v>
      </c>
      <c r="E616" s="25">
        <f>IF(C616&gt;$B$7,0,'Combined Retirement'!$D$13/12)</f>
        <v>0</v>
      </c>
      <c r="F616" s="25">
        <f>IF(H616=0,'Combined Retirement'!$D$32,0)+'Combined Retirement'!$B$24</f>
        <v>2870.372285649099</v>
      </c>
      <c r="G616" s="25">
        <f>'Combined Retirement'!$C$24</f>
        <v>3254.2644699519233</v>
      </c>
      <c r="H616" s="25">
        <f>IF(B616&lt;62,0,'Combined Retirement'!$I$14)</f>
        <v>2345</v>
      </c>
      <c r="I616" s="25">
        <f>IF(C616&lt;62,0,'Combined Retirement'!$I$13)</f>
        <v>2420</v>
      </c>
      <c r="J616" s="25">
        <f t="shared" si="523"/>
        <v>8395.6297298201844</v>
      </c>
      <c r="K616" s="25">
        <f t="shared" si="524"/>
        <v>21655.303514578787</v>
      </c>
      <c r="L616" s="25"/>
      <c r="N616" s="25">
        <f>'Combined Retirement'!$C$18/12</f>
        <v>40940.569999999992</v>
      </c>
      <c r="O616" s="25">
        <f t="shared" si="525"/>
        <v>10889.636755601023</v>
      </c>
      <c r="P616" s="25">
        <f t="shared" si="526"/>
        <v>30050.93324439897</v>
      </c>
      <c r="Q616" s="25">
        <f t="array" aca="1" ref="Q616" ca="1">INDEX('Isaac 401k'!L:L,MATCH('Retirement Calculator'!A616,'Isaac 401k'!N:N,0),0)</f>
        <v>-3931955.7317271577</v>
      </c>
      <c r="R616" s="25">
        <f t="array" aca="1" ref="R616" ca="1">INDEX('Lorri 401b'!L:L,MATCH('Retirement Calculator'!A616,'Lorri 401b'!N:N,0),0)</f>
        <v>-5371733.4148719115</v>
      </c>
      <c r="S616" s="25">
        <f t="shared" ca="1" si="527"/>
        <v>-9303689.1465990692</v>
      </c>
    </row>
    <row r="617" spans="1:19" ht="15.75" customHeight="1" x14ac:dyDescent="0.25">
      <c r="A617" s="37">
        <v>69733</v>
      </c>
      <c r="B617" s="398">
        <f t="shared" ref="B617:C617" si="623">($A617-B$9)/365.25</f>
        <v>109.0403832991102</v>
      </c>
      <c r="C617" s="398">
        <f t="shared" si="623"/>
        <v>104.42984257357973</v>
      </c>
      <c r="E617" s="25">
        <f>IF(C617&gt;$B$7,0,'Combined Retirement'!$D$13/12)</f>
        <v>0</v>
      </c>
      <c r="F617" s="25">
        <f>IF(H617=0,'Combined Retirement'!$D$32,0)+'Combined Retirement'!$B$24</f>
        <v>2870.372285649099</v>
      </c>
      <c r="G617" s="25">
        <f>'Combined Retirement'!$C$24</f>
        <v>3254.2644699519233</v>
      </c>
      <c r="H617" s="25">
        <f>IF(B617&lt;62,0,'Combined Retirement'!$I$14)</f>
        <v>2345</v>
      </c>
      <c r="I617" s="25">
        <f>IF(C617&lt;62,0,'Combined Retirement'!$I$13)</f>
        <v>2420</v>
      </c>
      <c r="J617" s="25">
        <f t="shared" si="523"/>
        <v>8395.6297298201844</v>
      </c>
      <c r="K617" s="25">
        <f t="shared" si="524"/>
        <v>21655.303514578787</v>
      </c>
      <c r="L617" s="25"/>
      <c r="N617" s="25">
        <f>'Combined Retirement'!$C$18/12</f>
        <v>40940.569999999992</v>
      </c>
      <c r="O617" s="25">
        <f t="shared" si="525"/>
        <v>10889.636755601023</v>
      </c>
      <c r="P617" s="25">
        <f t="shared" si="526"/>
        <v>30050.93324439897</v>
      </c>
      <c r="Q617" s="25">
        <f t="array" aca="1" ref="Q617" ca="1">INDEX('Isaac 401k'!L:L,MATCH('Retirement Calculator'!A617,'Isaac 401k'!N:N,0),0)</f>
        <v>-3956769.4921297156</v>
      </c>
      <c r="R617" s="25">
        <f t="array" aca="1" ref="R617" ca="1">INDEX('Lorri 401b'!L:L,MATCH('Retirement Calculator'!A617,'Lorri 401b'!N:N,0),0)</f>
        <v>-5415861.1713797674</v>
      </c>
      <c r="S617" s="25">
        <f t="shared" ca="1" si="527"/>
        <v>-9372630.6635094825</v>
      </c>
    </row>
    <row r="618" spans="1:19" ht="15.75" customHeight="1" x14ac:dyDescent="0.25">
      <c r="A618" s="37">
        <v>69764</v>
      </c>
      <c r="B618" s="398">
        <f t="shared" ref="B618:C618" si="624">($A618-B$9)/365.25</f>
        <v>109.12525667351129</v>
      </c>
      <c r="C618" s="398">
        <f t="shared" si="624"/>
        <v>104.51471594798083</v>
      </c>
      <c r="E618" s="25">
        <f>IF(C618&gt;$B$7,0,'Combined Retirement'!$D$13/12)</f>
        <v>0</v>
      </c>
      <c r="F618" s="25">
        <f>IF(H618=0,'Combined Retirement'!$D$32,0)+'Combined Retirement'!$B$24</f>
        <v>2870.372285649099</v>
      </c>
      <c r="G618" s="25">
        <f>'Combined Retirement'!$C$24</f>
        <v>3254.2644699519233</v>
      </c>
      <c r="H618" s="25">
        <f>IF(B618&lt;62,0,'Combined Retirement'!$I$14)</f>
        <v>2345</v>
      </c>
      <c r="I618" s="25">
        <f>IF(C618&lt;62,0,'Combined Retirement'!$I$13)</f>
        <v>2420</v>
      </c>
      <c r="J618" s="25">
        <f t="shared" si="523"/>
        <v>8395.6297298201844</v>
      </c>
      <c r="K618" s="25">
        <f t="shared" si="524"/>
        <v>21655.303514578787</v>
      </c>
      <c r="L618" s="25"/>
      <c r="N618" s="25">
        <f>'Combined Retirement'!$C$18/12</f>
        <v>40940.569999999992</v>
      </c>
      <c r="O618" s="25">
        <f t="shared" si="525"/>
        <v>10889.636755601023</v>
      </c>
      <c r="P618" s="25">
        <f t="shared" si="526"/>
        <v>30050.93324439897</v>
      </c>
      <c r="Q618" s="25">
        <f t="array" aca="1" ref="Q618" ca="1">INDEX('Isaac 401k'!L:L,MATCH('Retirement Calculator'!A618,'Isaac 401k'!N:N,0),0)</f>
        <v>-3981686.6432006173</v>
      </c>
      <c r="R618" s="25">
        <f t="array" aca="1" ref="R618" ca="1">INDEX('Lorri 401b'!L:L,MATCH('Retirement Calculator'!A618,'Lorri 401b'!N:N,0),0)</f>
        <v>-5460172.7935397392</v>
      </c>
      <c r="S618" s="25">
        <f t="shared" ca="1" si="527"/>
        <v>-9441859.4367403574</v>
      </c>
    </row>
    <row r="619" spans="1:19" ht="15.75" customHeight="1" x14ac:dyDescent="0.25">
      <c r="A619" s="37">
        <v>69795</v>
      </c>
      <c r="B619" s="398">
        <f t="shared" ref="B619:C619" si="625">($A619-B$9)/365.25</f>
        <v>109.21013004791239</v>
      </c>
      <c r="C619" s="398">
        <f t="shared" si="625"/>
        <v>104.59958932238193</v>
      </c>
      <c r="E619" s="25">
        <f>IF(C619&gt;$B$7,0,'Combined Retirement'!$D$13/12)</f>
        <v>0</v>
      </c>
      <c r="F619" s="25">
        <f>IF(H619=0,'Combined Retirement'!$D$32,0)+'Combined Retirement'!$B$24</f>
        <v>2870.372285649099</v>
      </c>
      <c r="G619" s="25">
        <f>'Combined Retirement'!$C$24</f>
        <v>3254.2644699519233</v>
      </c>
      <c r="H619" s="25">
        <f>IF(B619&lt;62,0,'Combined Retirement'!$I$14)</f>
        <v>2345</v>
      </c>
      <c r="I619" s="25">
        <f>IF(C619&lt;62,0,'Combined Retirement'!$I$13)</f>
        <v>2420</v>
      </c>
      <c r="J619" s="25">
        <f t="shared" si="523"/>
        <v>8395.6297298201844</v>
      </c>
      <c r="K619" s="25">
        <f t="shared" si="524"/>
        <v>21655.303514578787</v>
      </c>
      <c r="L619" s="25"/>
      <c r="N619" s="25">
        <f>'Combined Retirement'!$C$18/12</f>
        <v>40940.569999999992</v>
      </c>
      <c r="O619" s="25">
        <f t="shared" si="525"/>
        <v>10889.636755601023</v>
      </c>
      <c r="P619" s="25">
        <f t="shared" si="526"/>
        <v>30050.93324439897</v>
      </c>
      <c r="Q619" s="25">
        <f t="array" aca="1" ref="Q619" ca="1">INDEX('Isaac 401k'!L:L,MATCH('Retirement Calculator'!A619,'Isaac 401k'!N:N,0),0)</f>
        <v>-4006707.6157343145</v>
      </c>
      <c r="R619" s="25">
        <f t="array" aca="1" ref="R619" ca="1">INDEX('Lorri 401b'!L:L,MATCH('Retirement Calculator'!A619,'Lorri 401b'!N:N,0),0)</f>
        <v>-5504669.0474587101</v>
      </c>
      <c r="S619" s="25">
        <f t="shared" ca="1" si="527"/>
        <v>-9511376.6631930247</v>
      </c>
    </row>
    <row r="620" spans="1:19" ht="15.75" customHeight="1" x14ac:dyDescent="0.25">
      <c r="A620" s="37">
        <v>69823</v>
      </c>
      <c r="B620" s="398">
        <f t="shared" ref="B620:C620" si="626">($A620-B$9)/365.25</f>
        <v>109.28678986995209</v>
      </c>
      <c r="C620" s="398">
        <f t="shared" si="626"/>
        <v>104.67624914442163</v>
      </c>
      <c r="E620" s="25">
        <f>IF(C620&gt;$B$7,0,'Combined Retirement'!$D$13/12)</f>
        <v>0</v>
      </c>
      <c r="F620" s="25">
        <f>IF(H620=0,'Combined Retirement'!$D$32,0)+'Combined Retirement'!$B$24</f>
        <v>2870.372285649099</v>
      </c>
      <c r="G620" s="25">
        <f>'Combined Retirement'!$C$24</f>
        <v>3254.2644699519233</v>
      </c>
      <c r="H620" s="25">
        <f>IF(B620&lt;62,0,'Combined Retirement'!$I$14)</f>
        <v>2345</v>
      </c>
      <c r="I620" s="25">
        <f>IF(C620&lt;62,0,'Combined Retirement'!$I$13)</f>
        <v>2420</v>
      </c>
      <c r="J620" s="25">
        <f t="shared" si="523"/>
        <v>8395.6297298201844</v>
      </c>
      <c r="K620" s="25">
        <f t="shared" si="524"/>
        <v>21655.303514578787</v>
      </c>
      <c r="L620" s="25"/>
      <c r="N620" s="25">
        <f>'Combined Retirement'!$C$18/12</f>
        <v>40940.569999999992</v>
      </c>
      <c r="O620" s="25">
        <f t="shared" si="525"/>
        <v>10889.636755601023</v>
      </c>
      <c r="P620" s="25">
        <f t="shared" si="526"/>
        <v>30050.93324439897</v>
      </c>
      <c r="Q620" s="25">
        <f t="array" aca="1" ref="Q620" ca="1">INDEX('Isaac 401k'!L:L,MATCH('Retirement Calculator'!A620,'Isaac 401k'!N:N,0),0)</f>
        <v>-4031832.8423202354</v>
      </c>
      <c r="R620" s="25">
        <f t="array" aca="1" ref="R620" ca="1">INDEX('Lorri 401b'!L:L,MATCH('Retirement Calculator'!A620,'Lorri 401b'!N:N,0),0)</f>
        <v>-5549350.7024356769</v>
      </c>
      <c r="S620" s="25">
        <f t="shared" ca="1" si="527"/>
        <v>-9581183.5447559133</v>
      </c>
    </row>
    <row r="621" spans="1:19" ht="15.75" customHeight="1" x14ac:dyDescent="0.25">
      <c r="A621" s="37">
        <v>69854</v>
      </c>
      <c r="B621" s="398">
        <f t="shared" ref="B621:C621" si="627">($A621-B$9)/365.25</f>
        <v>109.37166324435319</v>
      </c>
      <c r="C621" s="398">
        <f t="shared" si="627"/>
        <v>104.76112251882273</v>
      </c>
      <c r="E621" s="25">
        <f>IF(C621&gt;$B$7,0,'Combined Retirement'!$D$13/12)</f>
        <v>0</v>
      </c>
      <c r="F621" s="25">
        <f>IF(H621=0,'Combined Retirement'!$D$32,0)+'Combined Retirement'!$B$24</f>
        <v>2870.372285649099</v>
      </c>
      <c r="G621" s="25">
        <f>'Combined Retirement'!$C$24</f>
        <v>3254.2644699519233</v>
      </c>
      <c r="H621" s="25">
        <f>IF(B621&lt;62,0,'Combined Retirement'!$I$14)</f>
        <v>2345</v>
      </c>
      <c r="I621" s="25">
        <f>IF(C621&lt;62,0,'Combined Retirement'!$I$13)</f>
        <v>2420</v>
      </c>
      <c r="J621" s="25">
        <f t="shared" si="523"/>
        <v>8395.6297298201844</v>
      </c>
      <c r="K621" s="25">
        <f t="shared" si="524"/>
        <v>21655.303514578787</v>
      </c>
      <c r="L621" s="25"/>
      <c r="N621" s="25">
        <f>'Combined Retirement'!$C$18/12</f>
        <v>40940.569999999992</v>
      </c>
      <c r="O621" s="25">
        <f t="shared" si="525"/>
        <v>10889.636755601023</v>
      </c>
      <c r="P621" s="25">
        <f t="shared" si="526"/>
        <v>30050.93324439897</v>
      </c>
      <c r="Q621" s="25">
        <f t="array" aca="1" ref="Q621" ca="1">INDEX('Isaac 401k'!L:L,MATCH('Retirement Calculator'!A621,'Isaac 401k'!N:N,0),0)</f>
        <v>-4057062.7573502646</v>
      </c>
      <c r="R621" s="25">
        <f t="array" aca="1" ref="R621" ca="1">INDEX('Lorri 401b'!L:L,MATCH('Retirement Calculator'!A621,'Lorri 401b'!N:N,0),0)</f>
        <v>-5594218.5309750484</v>
      </c>
      <c r="S621" s="25">
        <f t="shared" ca="1" si="527"/>
        <v>-9651281.2883253135</v>
      </c>
    </row>
    <row r="622" spans="1:19" ht="15.75" customHeight="1" x14ac:dyDescent="0.25">
      <c r="A622" s="37">
        <v>69884</v>
      </c>
      <c r="B622" s="398">
        <f t="shared" ref="B622:C622" si="628">($A622-B$9)/365.25</f>
        <v>109.45379876796714</v>
      </c>
      <c r="C622" s="398">
        <f t="shared" si="628"/>
        <v>104.84325804243669</v>
      </c>
      <c r="E622" s="25">
        <f>IF(C622&gt;$B$7,0,'Combined Retirement'!$D$13/12)</f>
        <v>0</v>
      </c>
      <c r="F622" s="25">
        <f>IF(H622=0,'Combined Retirement'!$D$32,0)+'Combined Retirement'!$B$24</f>
        <v>2870.372285649099</v>
      </c>
      <c r="G622" s="25">
        <f>'Combined Retirement'!$C$24</f>
        <v>3254.2644699519233</v>
      </c>
      <c r="H622" s="25">
        <f>IF(B622&lt;62,0,'Combined Retirement'!$I$14)</f>
        <v>2345</v>
      </c>
      <c r="I622" s="25">
        <f>IF(C622&lt;62,0,'Combined Retirement'!$I$13)</f>
        <v>2420</v>
      </c>
      <c r="J622" s="25">
        <f t="shared" si="523"/>
        <v>8395.6297298201844</v>
      </c>
      <c r="K622" s="25">
        <f t="shared" si="524"/>
        <v>21655.303514578787</v>
      </c>
      <c r="L622" s="25"/>
      <c r="N622" s="25">
        <f>'Combined Retirement'!$C$18/12</f>
        <v>40940.569999999992</v>
      </c>
      <c r="O622" s="25">
        <f t="shared" si="525"/>
        <v>10889.636755601023</v>
      </c>
      <c r="P622" s="25">
        <f t="shared" si="526"/>
        <v>30050.93324439897</v>
      </c>
      <c r="Q622" s="25">
        <f t="array" aca="1" ref="Q622" ca="1">INDEX('Isaac 401k'!L:L,MATCH('Retirement Calculator'!A622,'Isaac 401k'!N:N,0),0)</f>
        <v>-4082397.7970262519</v>
      </c>
      <c r="R622" s="25">
        <f t="array" aca="1" ref="R622" ca="1">INDEX('Lorri 401b'!L:L,MATCH('Retirement Calculator'!A622,'Lorri 401b'!N:N,0),0)</f>
        <v>-5639273.3088000007</v>
      </c>
      <c r="S622" s="25">
        <f t="shared" ca="1" si="527"/>
        <v>-9721671.1058262531</v>
      </c>
    </row>
    <row r="623" spans="1:19" ht="15.75" customHeight="1" x14ac:dyDescent="0.25">
      <c r="A623" s="37">
        <v>69915</v>
      </c>
      <c r="B623" s="398">
        <f t="shared" ref="B623:C623" si="629">($A623-B$9)/365.25</f>
        <v>109.53867214236824</v>
      </c>
      <c r="C623" s="398">
        <f t="shared" si="629"/>
        <v>104.92813141683779</v>
      </c>
      <c r="E623" s="25">
        <f>IF(C623&gt;$B$7,0,'Combined Retirement'!$D$13/12)</f>
        <v>0</v>
      </c>
      <c r="F623" s="25">
        <f>IF(H623=0,'Combined Retirement'!$D$32,0)+'Combined Retirement'!$B$24</f>
        <v>2870.372285649099</v>
      </c>
      <c r="G623" s="25">
        <f>'Combined Retirement'!$C$24</f>
        <v>3254.2644699519233</v>
      </c>
      <c r="H623" s="25">
        <f>IF(B623&lt;62,0,'Combined Retirement'!$I$14)</f>
        <v>2345</v>
      </c>
      <c r="I623" s="25">
        <f>IF(C623&lt;62,0,'Combined Retirement'!$I$13)</f>
        <v>2420</v>
      </c>
      <c r="J623" s="25">
        <f t="shared" si="523"/>
        <v>8395.6297298201844</v>
      </c>
      <c r="K623" s="25">
        <f t="shared" si="524"/>
        <v>21655.303514578787</v>
      </c>
      <c r="L623" s="25"/>
      <c r="N623" s="25">
        <f>'Combined Retirement'!$C$18/12</f>
        <v>40940.569999999992</v>
      </c>
      <c r="O623" s="25">
        <f t="shared" si="525"/>
        <v>10889.636755601023</v>
      </c>
      <c r="P623" s="25">
        <f t="shared" si="526"/>
        <v>30050.93324439897</v>
      </c>
      <c r="Q623" s="25">
        <f t="array" aca="1" ref="Q623" ca="1">INDEX('Isaac 401k'!L:L,MATCH('Retirement Calculator'!A623,'Isaac 401k'!N:N,0),0)</f>
        <v>-4107838.399367556</v>
      </c>
      <c r="R623" s="25">
        <f t="array" aca="1" ref="R623" ca="1">INDEX('Lorri 401b'!L:L,MATCH('Retirement Calculator'!A623,'Lorri 401b'!N:N,0),0)</f>
        <v>-5684515.81486589</v>
      </c>
      <c r="S623" s="25">
        <f t="shared" ca="1" si="527"/>
        <v>-9792354.2142334469</v>
      </c>
    </row>
    <row r="624" spans="1:19" ht="15.75" customHeight="1" x14ac:dyDescent="0.25">
      <c r="A624" s="37">
        <v>69945</v>
      </c>
      <c r="B624" s="398">
        <f t="shared" ref="B624:C624" si="630">($A624-B$9)/365.25</f>
        <v>109.6208076659822</v>
      </c>
      <c r="C624" s="398">
        <f t="shared" si="630"/>
        <v>105.01026694045174</v>
      </c>
      <c r="E624" s="25">
        <f>IF(C624&gt;$B$7,0,'Combined Retirement'!$D$13/12)</f>
        <v>0</v>
      </c>
      <c r="F624" s="25">
        <f>IF(H624=0,'Combined Retirement'!$D$32,0)+'Combined Retirement'!$B$24</f>
        <v>2870.372285649099</v>
      </c>
      <c r="G624" s="25">
        <f>'Combined Retirement'!$C$24</f>
        <v>3254.2644699519233</v>
      </c>
      <c r="H624" s="25">
        <f>IF(B624&lt;62,0,'Combined Retirement'!$I$14)</f>
        <v>2345</v>
      </c>
      <c r="I624" s="25">
        <f>IF(C624&lt;62,0,'Combined Retirement'!$I$13)</f>
        <v>2420</v>
      </c>
      <c r="J624" s="25">
        <f t="shared" si="523"/>
        <v>8395.6297298201844</v>
      </c>
      <c r="K624" s="25">
        <f t="shared" si="524"/>
        <v>21655.303514578787</v>
      </c>
      <c r="L624" s="25"/>
      <c r="N624" s="25">
        <f>'Combined Retirement'!$C$18/12</f>
        <v>40940.569999999992</v>
      </c>
      <c r="O624" s="25">
        <f t="shared" si="525"/>
        <v>10889.636755601023</v>
      </c>
      <c r="P624" s="25">
        <f t="shared" si="526"/>
        <v>30050.93324439897</v>
      </c>
      <c r="Q624" s="25">
        <f t="array" aca="1" ref="Q624" ca="1">INDEX('Isaac 401k'!L:L,MATCH('Retirement Calculator'!A624,'Isaac 401k'!N:N,0),0)</f>
        <v>-4133385.0042186156</v>
      </c>
      <c r="R624" s="25">
        <f t="array" aca="1" ref="R624" ca="1">INDEX('Lorri 401b'!L:L,MATCH('Retirement Calculator'!A624,'Lorri 401b'!N:N,0),0)</f>
        <v>-5729946.8313737204</v>
      </c>
      <c r="S624" s="25">
        <f t="shared" ca="1" si="527"/>
        <v>-9863331.835592337</v>
      </c>
    </row>
    <row r="625" spans="1:19" ht="15.75" customHeight="1" x14ac:dyDescent="0.25">
      <c r="A625" s="37">
        <v>69976</v>
      </c>
      <c r="B625" s="398">
        <f t="shared" ref="B625:C625" si="631">($A625-B$9)/365.25</f>
        <v>109.7056810403833</v>
      </c>
      <c r="C625" s="398">
        <f t="shared" si="631"/>
        <v>105.09514031485284</v>
      </c>
      <c r="E625" s="25">
        <f>IF(C625&gt;$B$7,0,'Combined Retirement'!$D$13/12)</f>
        <v>0</v>
      </c>
      <c r="F625" s="25">
        <f>IF(H625=0,'Combined Retirement'!$D$32,0)+'Combined Retirement'!$B$24</f>
        <v>2870.372285649099</v>
      </c>
      <c r="G625" s="25">
        <f>'Combined Retirement'!$C$24</f>
        <v>3254.2644699519233</v>
      </c>
      <c r="H625" s="25">
        <f>IF(B625&lt;62,0,'Combined Retirement'!$I$14)</f>
        <v>2345</v>
      </c>
      <c r="I625" s="25">
        <f>IF(C625&lt;62,0,'Combined Retirement'!$I$13)</f>
        <v>2420</v>
      </c>
      <c r="J625" s="25">
        <f t="shared" si="523"/>
        <v>8395.6297298201844</v>
      </c>
      <c r="K625" s="25">
        <f t="shared" si="524"/>
        <v>21655.303514578787</v>
      </c>
      <c r="L625" s="25"/>
      <c r="N625" s="25">
        <f>'Combined Retirement'!$C$18/12</f>
        <v>40940.569999999992</v>
      </c>
      <c r="O625" s="25">
        <f t="shared" si="525"/>
        <v>10889.636755601023</v>
      </c>
      <c r="P625" s="25">
        <f t="shared" si="526"/>
        <v>30050.93324439897</v>
      </c>
      <c r="Q625" s="25">
        <f t="array" aca="1" ref="Q625" ca="1">INDEX('Isaac 401k'!L:L,MATCH('Retirement Calculator'!A625,'Isaac 401k'!N:N,0),0)</f>
        <v>-4159038.0532565545</v>
      </c>
      <c r="R625" s="25">
        <f t="array" aca="1" ref="R625" ca="1">INDEX('Lorri 401b'!L:L,MATCH('Retirement Calculator'!A625,'Lorri 401b'!N:N,0),0)</f>
        <v>-5775567.1437836671</v>
      </c>
      <c r="S625" s="25">
        <f t="shared" ca="1" si="527"/>
        <v>-9934605.1970402226</v>
      </c>
    </row>
    <row r="626" spans="1:19" ht="15.75" customHeight="1" x14ac:dyDescent="0.25">
      <c r="A626" s="37">
        <v>70007</v>
      </c>
      <c r="B626" s="398">
        <f t="shared" ref="B626:C626" si="632">($A626-B$9)/365.25</f>
        <v>109.7905544147844</v>
      </c>
      <c r="C626" s="398">
        <f t="shared" si="632"/>
        <v>105.18001368925394</v>
      </c>
      <c r="E626" s="25">
        <f>IF(C626&gt;$B$7,0,'Combined Retirement'!$D$13/12)</f>
        <v>0</v>
      </c>
      <c r="F626" s="25">
        <f>IF(H626=0,'Combined Retirement'!$D$32,0)+'Combined Retirement'!$B$24</f>
        <v>2870.372285649099</v>
      </c>
      <c r="G626" s="25">
        <f>'Combined Retirement'!$C$24</f>
        <v>3254.2644699519233</v>
      </c>
      <c r="H626" s="25">
        <f>IF(B626&lt;62,0,'Combined Retirement'!$I$14)</f>
        <v>2345</v>
      </c>
      <c r="I626" s="25">
        <f>IF(C626&lt;62,0,'Combined Retirement'!$I$13)</f>
        <v>2420</v>
      </c>
      <c r="J626" s="25">
        <f t="shared" si="523"/>
        <v>8395.6297298201844</v>
      </c>
      <c r="K626" s="25">
        <f t="shared" si="524"/>
        <v>21655.303514578787</v>
      </c>
      <c r="L626" s="25"/>
      <c r="N626" s="25">
        <f>'Combined Retirement'!$C$18/12</f>
        <v>40940.569999999992</v>
      </c>
      <c r="O626" s="25">
        <f t="shared" si="525"/>
        <v>10889.636755601023</v>
      </c>
      <c r="P626" s="25">
        <f t="shared" si="526"/>
        <v>30050.93324439897</v>
      </c>
      <c r="Q626" s="25">
        <f t="array" aca="1" ref="Q626" ca="1">INDEX('Isaac 401k'!L:L,MATCH('Retirement Calculator'!A626,'Isaac 401k'!N:N,0),0)</f>
        <v>-4184797.9899988184</v>
      </c>
      <c r="R626" s="25">
        <f t="array" aca="1" ref="R626" ca="1">INDEX('Lorri 401b'!L:L,MATCH('Retirement Calculator'!A626,'Lorri 401b'!N:N,0),0)</f>
        <v>-5821377.5408286545</v>
      </c>
      <c r="S626" s="25">
        <f t="shared" ca="1" si="527"/>
        <v>-10006175.530827474</v>
      </c>
    </row>
    <row r="627" spans="1:19" ht="15.75" customHeight="1" x14ac:dyDescent="0.25">
      <c r="A627" s="37">
        <v>70037</v>
      </c>
      <c r="B627" s="398">
        <f t="shared" ref="B627:C627" si="633">($A627-B$9)/365.25</f>
        <v>109.87268993839835</v>
      </c>
      <c r="C627" s="398">
        <f t="shared" si="633"/>
        <v>105.2621492128679</v>
      </c>
      <c r="E627" s="25">
        <f>IF(C627&gt;$B$7,0,'Combined Retirement'!$D$13/12)</f>
        <v>0</v>
      </c>
      <c r="F627" s="25">
        <f>IF(H627=0,'Combined Retirement'!$D$32,0)+'Combined Retirement'!$B$24</f>
        <v>2870.372285649099</v>
      </c>
      <c r="G627" s="25">
        <f>'Combined Retirement'!$C$24</f>
        <v>3254.2644699519233</v>
      </c>
      <c r="H627" s="25">
        <f>IF(B627&lt;62,0,'Combined Retirement'!$I$14)</f>
        <v>2345</v>
      </c>
      <c r="I627" s="25">
        <f>IF(C627&lt;62,0,'Combined Retirement'!$I$13)</f>
        <v>2420</v>
      </c>
      <c r="J627" s="25">
        <f t="shared" si="523"/>
        <v>8395.6297298201844</v>
      </c>
      <c r="K627" s="25">
        <f t="shared" si="524"/>
        <v>21655.303514578787</v>
      </c>
      <c r="L627" s="25"/>
      <c r="N627" s="25">
        <f>'Combined Retirement'!$C$18/12</f>
        <v>40940.569999999992</v>
      </c>
      <c r="O627" s="25">
        <f t="shared" si="525"/>
        <v>10889.636755601023</v>
      </c>
      <c r="P627" s="25">
        <f t="shared" si="526"/>
        <v>30050.93324439897</v>
      </c>
      <c r="Q627" s="25">
        <f t="array" aca="1" ref="Q627" ca="1">INDEX('Isaac 401k'!L:L,MATCH('Retirement Calculator'!A627,'Isaac 401k'!N:N,0),0)</f>
        <v>-4210665.2598108416</v>
      </c>
      <c r="R627" s="25">
        <f t="array" aca="1" ref="R627" ca="1">INDEX('Lorri 401b'!L:L,MATCH('Retirement Calculator'!A627,'Lorri 401b'!N:N,0),0)</f>
        <v>-5867378.8145279968</v>
      </c>
      <c r="S627" s="25">
        <f t="shared" ca="1" si="527"/>
        <v>-10078044.074338838</v>
      </c>
    </row>
    <row r="628" spans="1:19" ht="15.75" customHeight="1" x14ac:dyDescent="0.25">
      <c r="A628" s="37">
        <v>70068</v>
      </c>
      <c r="B628" s="398">
        <f t="shared" ref="B628:C628" si="634">($A628-B$9)/365.25</f>
        <v>109.95756331279945</v>
      </c>
      <c r="C628" s="398">
        <f t="shared" si="634"/>
        <v>105.347022587269</v>
      </c>
      <c r="E628" s="25">
        <f>IF(C628&gt;$B$7,0,'Combined Retirement'!$D$13/12)</f>
        <v>0</v>
      </c>
      <c r="F628" s="25">
        <f>IF(H628=0,'Combined Retirement'!$D$32,0)+'Combined Retirement'!$B$24</f>
        <v>2870.372285649099</v>
      </c>
      <c r="G628" s="25">
        <f>'Combined Retirement'!$C$24</f>
        <v>3254.2644699519233</v>
      </c>
      <c r="H628" s="25">
        <f>IF(B628&lt;62,0,'Combined Retirement'!$I$14)</f>
        <v>2345</v>
      </c>
      <c r="I628" s="25">
        <f>IF(C628&lt;62,0,'Combined Retirement'!$I$13)</f>
        <v>2420</v>
      </c>
      <c r="J628" s="25">
        <f t="shared" si="523"/>
        <v>8395.6297298201844</v>
      </c>
      <c r="K628" s="25">
        <f t="shared" si="524"/>
        <v>21655.303514578787</v>
      </c>
      <c r="L628" s="25"/>
      <c r="N628" s="25">
        <f>'Combined Retirement'!$C$18/12</f>
        <v>40940.569999999992</v>
      </c>
      <c r="O628" s="25">
        <f t="shared" si="525"/>
        <v>10889.636755601023</v>
      </c>
      <c r="P628" s="25">
        <f t="shared" si="526"/>
        <v>30050.93324439897</v>
      </c>
      <c r="Q628" s="25">
        <f t="array" aca="1" ref="Q628" ca="1">INDEX('Isaac 401k'!L:L,MATCH('Retirement Calculator'!A628,'Isaac 401k'!N:N,0),0)</f>
        <v>-4236640.3099137479</v>
      </c>
      <c r="R628" s="25">
        <f t="array" aca="1" ref="R628" ca="1">INDEX('Lorri 401b'!L:L,MATCH('Retirement Calculator'!A628,'Lorri 401b'!N:N,0),0)</f>
        <v>-5913571.7602010863</v>
      </c>
      <c r="S628" s="25">
        <f t="shared" ca="1" si="527"/>
        <v>-10150212.070114834</v>
      </c>
    </row>
    <row r="629" spans="1:19" ht="15.75" customHeight="1" x14ac:dyDescent="0.25">
      <c r="A629" s="37">
        <v>70098</v>
      </c>
      <c r="B629" s="398">
        <f t="shared" ref="B629:C629" si="635">($A629-B$9)/365.25</f>
        <v>110.03969883641342</v>
      </c>
      <c r="C629" s="398">
        <f t="shared" si="635"/>
        <v>105.42915811088295</v>
      </c>
      <c r="E629" s="25">
        <f>IF(C629&gt;$B$7,0,'Combined Retirement'!$D$13/12)</f>
        <v>0</v>
      </c>
      <c r="F629" s="25">
        <f>IF(H629=0,'Combined Retirement'!$D$32,0)+'Combined Retirement'!$B$24</f>
        <v>2870.372285649099</v>
      </c>
      <c r="G629" s="25">
        <f>'Combined Retirement'!$C$24</f>
        <v>3254.2644699519233</v>
      </c>
      <c r="H629" s="25">
        <f>IF(B629&lt;62,0,'Combined Retirement'!$I$14)</f>
        <v>2345</v>
      </c>
      <c r="I629" s="25">
        <f>IF(C629&lt;62,0,'Combined Retirement'!$I$13)</f>
        <v>2420</v>
      </c>
      <c r="J629" s="25">
        <f t="shared" si="523"/>
        <v>8395.6297298201844</v>
      </c>
      <c r="K629" s="25">
        <f t="shared" si="524"/>
        <v>21655.303514578787</v>
      </c>
      <c r="L629" s="25"/>
      <c r="N629" s="25">
        <f>'Combined Retirement'!$C$18/12</f>
        <v>40940.569999999992</v>
      </c>
      <c r="O629" s="25">
        <f t="shared" si="525"/>
        <v>10889.636755601023</v>
      </c>
      <c r="P629" s="25">
        <f t="shared" si="526"/>
        <v>30050.93324439897</v>
      </c>
      <c r="Q629" s="25">
        <f t="array" aca="1" ref="Q629" ca="1">INDEX('Isaac 401k'!L:L,MATCH('Retirement Calculator'!A629,'Isaac 401k'!N:N,0),0)</f>
        <v>-4262723.5893920828</v>
      </c>
      <c r="R629" s="25">
        <f t="array" aca="1" ref="R629" ca="1">INDEX('Lorri 401b'!L:L,MATCH('Retirement Calculator'!A629,'Lorri 401b'!N:N,0),0)</f>
        <v>-5959957.1764811464</v>
      </c>
      <c r="S629" s="25">
        <f t="shared" ca="1" si="527"/>
        <v>-10222680.765873229</v>
      </c>
    </row>
    <row r="630" spans="1:19" ht="15.75" customHeight="1" x14ac:dyDescent="0.25">
      <c r="A630" s="37">
        <v>70129</v>
      </c>
      <c r="B630" s="398">
        <f t="shared" ref="B630:C630" si="636">($A630-B$9)/365.25</f>
        <v>110.12457221081451</v>
      </c>
      <c r="C630" s="398">
        <f t="shared" si="636"/>
        <v>105.51403148528405</v>
      </c>
      <c r="E630" s="25">
        <f>IF(C630&gt;$B$7,0,'Combined Retirement'!$D$13/12)</f>
        <v>0</v>
      </c>
      <c r="F630" s="25">
        <f>IF(H630=0,'Combined Retirement'!$D$32,0)+'Combined Retirement'!$B$24</f>
        <v>2870.372285649099</v>
      </c>
      <c r="G630" s="25">
        <f>'Combined Retirement'!$C$24</f>
        <v>3254.2644699519233</v>
      </c>
      <c r="H630" s="25">
        <f>IF(B630&lt;62,0,'Combined Retirement'!$I$14)</f>
        <v>2345</v>
      </c>
      <c r="I630" s="25">
        <f>IF(C630&lt;62,0,'Combined Retirement'!$I$13)</f>
        <v>2420</v>
      </c>
      <c r="J630" s="25">
        <f t="shared" si="523"/>
        <v>8395.6297298201844</v>
      </c>
      <c r="K630" s="25">
        <f t="shared" si="524"/>
        <v>21655.303514578787</v>
      </c>
      <c r="L630" s="25"/>
      <c r="N630" s="25">
        <f>'Combined Retirement'!$C$18/12</f>
        <v>40940.569999999992</v>
      </c>
      <c r="O630" s="25">
        <f t="shared" si="525"/>
        <v>10889.636755601023</v>
      </c>
      <c r="P630" s="25">
        <f t="shared" si="526"/>
        <v>30050.93324439897</v>
      </c>
      <c r="Q630" s="25">
        <f t="array" aca="1" ref="Q630" ca="1">INDEX('Isaac 401k'!L:L,MATCH('Retirement Calculator'!A630,'Isaac 401k'!N:N,0),0)</f>
        <v>-4288915.5492015779</v>
      </c>
      <c r="R630" s="25">
        <f t="array" aca="1" ref="R630" ca="1">INDEX('Lorri 401b'!L:L,MATCH('Retirement Calculator'!A630,'Lorri 401b'!N:N,0),0)</f>
        <v>-6006535.8653290402</v>
      </c>
      <c r="S630" s="25">
        <f t="shared" ca="1" si="527"/>
        <v>-10295451.414530618</v>
      </c>
    </row>
    <row r="631" spans="1:19" ht="15.75" customHeight="1" x14ac:dyDescent="0.25">
      <c r="A631" s="37">
        <v>70160</v>
      </c>
      <c r="B631" s="398">
        <f t="shared" ref="B631:C631" si="637">($A631-B$9)/365.25</f>
        <v>110.2094455852156</v>
      </c>
      <c r="C631" s="398">
        <f t="shared" si="637"/>
        <v>105.59890485968515</v>
      </c>
      <c r="E631" s="25">
        <f>IF(C631&gt;$B$7,0,'Combined Retirement'!$D$13/12)</f>
        <v>0</v>
      </c>
      <c r="F631" s="25">
        <f>IF(H631=0,'Combined Retirement'!$D$32,0)+'Combined Retirement'!$B$24</f>
        <v>2870.372285649099</v>
      </c>
      <c r="G631" s="25">
        <f>'Combined Retirement'!$C$24</f>
        <v>3254.2644699519233</v>
      </c>
      <c r="H631" s="25">
        <f>IF(B631&lt;62,0,'Combined Retirement'!$I$14)</f>
        <v>2345</v>
      </c>
      <c r="I631" s="25">
        <f>IF(C631&lt;62,0,'Combined Retirement'!$I$13)</f>
        <v>2420</v>
      </c>
      <c r="J631" s="25">
        <f t="shared" si="523"/>
        <v>8395.6297298201844</v>
      </c>
      <c r="K631" s="25">
        <f t="shared" si="524"/>
        <v>21655.303514578787</v>
      </c>
      <c r="L631" s="25"/>
      <c r="N631" s="25">
        <f>'Combined Retirement'!$C$18/12</f>
        <v>40940.569999999992</v>
      </c>
      <c r="O631" s="25">
        <f t="shared" si="525"/>
        <v>10889.636755601023</v>
      </c>
      <c r="P631" s="25">
        <f t="shared" si="526"/>
        <v>30050.93324439897</v>
      </c>
      <c r="Q631" s="25">
        <f t="array" aca="1" ref="Q631" ca="1">INDEX('Isaac 401k'!L:L,MATCH('Retirement Calculator'!A631,'Isaac 401k'!N:N,0),0)</f>
        <v>-4315216.6421769457</v>
      </c>
      <c r="R631" s="25">
        <f t="array" aca="1" ref="R631" ca="1">INDEX('Lorri 401b'!L:L,MATCH('Retirement Calculator'!A631,'Lorri 401b'!N:N,0),0)</f>
        <v>-6053308.6320471335</v>
      </c>
      <c r="S631" s="25">
        <f t="shared" ca="1" si="527"/>
        <v>-10368525.27422408</v>
      </c>
    </row>
    <row r="632" spans="1:19" ht="15.75" customHeight="1" x14ac:dyDescent="0.25">
      <c r="A632" s="37">
        <v>70189</v>
      </c>
      <c r="B632" s="398">
        <f t="shared" ref="B632:C632" si="638">($A632-B$9)/365.25</f>
        <v>110.28884325804243</v>
      </c>
      <c r="C632" s="398">
        <f t="shared" si="638"/>
        <v>105.67830253251198</v>
      </c>
      <c r="E632" s="25">
        <f>IF(C632&gt;$B$7,0,'Combined Retirement'!$D$13/12)</f>
        <v>0</v>
      </c>
      <c r="F632" s="25">
        <f>IF(H632=0,'Combined Retirement'!$D$32,0)+'Combined Retirement'!$B$24</f>
        <v>2870.372285649099</v>
      </c>
      <c r="G632" s="25">
        <f>'Combined Retirement'!$C$24</f>
        <v>3254.2644699519233</v>
      </c>
      <c r="H632" s="25">
        <f>IF(B632&lt;62,0,'Combined Retirement'!$I$14)</f>
        <v>2345</v>
      </c>
      <c r="I632" s="25">
        <f>IF(C632&lt;62,0,'Combined Retirement'!$I$13)</f>
        <v>2420</v>
      </c>
      <c r="J632" s="25">
        <f t="shared" si="523"/>
        <v>8395.6297298201844</v>
      </c>
      <c r="K632" s="25">
        <f t="shared" si="524"/>
        <v>21655.303514578787</v>
      </c>
      <c r="L632" s="25"/>
      <c r="N632" s="25">
        <f>'Combined Retirement'!$C$18/12</f>
        <v>40940.569999999992</v>
      </c>
      <c r="O632" s="25">
        <f t="shared" si="525"/>
        <v>10889.636755601023</v>
      </c>
      <c r="P632" s="25">
        <f t="shared" si="526"/>
        <v>30050.93324439897</v>
      </c>
      <c r="Q632" s="25">
        <f t="array" aca="1" ref="Q632" ca="1">INDEX('Isaac 401k'!L:L,MATCH('Retirement Calculator'!A632,'Isaac 401k'!N:N,0),0)</f>
        <v>-4341627.3230397105</v>
      </c>
      <c r="R632" s="25">
        <f t="array" aca="1" ref="R632" ca="1">INDEX('Lorri 401b'!L:L,MATCH('Retirement Calculator'!A632,'Lorri 401b'!N:N,0),0)</f>
        <v>-6100276.2852932187</v>
      </c>
      <c r="S632" s="25">
        <f t="shared" ca="1" si="527"/>
        <v>-10441903.608332928</v>
      </c>
    </row>
    <row r="633" spans="1:19" ht="15.75" customHeight="1" x14ac:dyDescent="0.25">
      <c r="A633" s="37">
        <v>70220</v>
      </c>
      <c r="B633" s="398">
        <f t="shared" ref="B633:C633" si="639">($A633-B$9)/365.25</f>
        <v>110.37371663244353</v>
      </c>
      <c r="C633" s="398">
        <f t="shared" si="639"/>
        <v>105.76317590691308</v>
      </c>
      <c r="E633" s="25">
        <f>IF(C633&gt;$B$7,0,'Combined Retirement'!$D$13/12)</f>
        <v>0</v>
      </c>
      <c r="F633" s="25">
        <f>IF(H633=0,'Combined Retirement'!$D$32,0)+'Combined Retirement'!$B$24</f>
        <v>2870.372285649099</v>
      </c>
      <c r="G633" s="25">
        <f>'Combined Retirement'!$C$24</f>
        <v>3254.2644699519233</v>
      </c>
      <c r="H633" s="25">
        <f>IF(B633&lt;62,0,'Combined Retirement'!$I$14)</f>
        <v>2345</v>
      </c>
      <c r="I633" s="25">
        <f>IF(C633&lt;62,0,'Combined Retirement'!$I$13)</f>
        <v>2420</v>
      </c>
      <c r="J633" s="25">
        <f t="shared" si="523"/>
        <v>8395.6297298201844</v>
      </c>
      <c r="K633" s="25">
        <f t="shared" si="524"/>
        <v>21655.303514578787</v>
      </c>
      <c r="L633" s="25"/>
      <c r="N633" s="25">
        <f>'Combined Retirement'!$C$18/12</f>
        <v>40940.569999999992</v>
      </c>
      <c r="O633" s="25">
        <f t="shared" si="525"/>
        <v>10889.636755601023</v>
      </c>
      <c r="P633" s="25">
        <f t="shared" si="526"/>
        <v>30050.93324439897</v>
      </c>
      <c r="Q633" s="25">
        <f t="array" aca="1" ref="Q633" ca="1">INDEX('Isaac 401k'!L:L,MATCH('Retirement Calculator'!A633,'Isaac 401k'!N:N,0),0)</f>
        <v>-4368148.048406071</v>
      </c>
      <c r="R633" s="25">
        <f t="array" aca="1" ref="R633" ca="1">INDEX('Lorri 401b'!L:L,MATCH('Retirement Calculator'!A633,'Lorri 401b'!N:N,0),0)</f>
        <v>-6147439.6370944958</v>
      </c>
      <c r="S633" s="25">
        <f t="shared" ca="1" si="527"/>
        <v>-10515587.685500566</v>
      </c>
    </row>
    <row r="634" spans="1:19" ht="15.75" customHeight="1" x14ac:dyDescent="0.25">
      <c r="A634" s="37">
        <v>70250</v>
      </c>
      <c r="B634" s="398">
        <f t="shared" ref="B634:C634" si="640">($A634-B$9)/365.25</f>
        <v>110.45585215605749</v>
      </c>
      <c r="C634" s="398">
        <f t="shared" si="640"/>
        <v>105.84531143052703</v>
      </c>
      <c r="E634" s="25">
        <f>IF(C634&gt;$B$7,0,'Combined Retirement'!$D$13/12)</f>
        <v>0</v>
      </c>
      <c r="F634" s="25">
        <f>IF(H634=0,'Combined Retirement'!$D$32,0)+'Combined Retirement'!$B$24</f>
        <v>2870.372285649099</v>
      </c>
      <c r="G634" s="25">
        <f>'Combined Retirement'!$C$24</f>
        <v>3254.2644699519233</v>
      </c>
      <c r="H634" s="25">
        <f>IF(B634&lt;62,0,'Combined Retirement'!$I$14)</f>
        <v>2345</v>
      </c>
      <c r="I634" s="25">
        <f>IF(C634&lt;62,0,'Combined Retirement'!$I$13)</f>
        <v>2420</v>
      </c>
      <c r="J634" s="25">
        <f t="shared" si="523"/>
        <v>8395.6297298201844</v>
      </c>
      <c r="K634" s="25">
        <f t="shared" si="524"/>
        <v>21655.303514578787</v>
      </c>
      <c r="L634" s="25"/>
      <c r="N634" s="25">
        <f>'Combined Retirement'!$C$18/12</f>
        <v>40940.569999999992</v>
      </c>
      <c r="O634" s="25">
        <f t="shared" si="525"/>
        <v>10889.636755601023</v>
      </c>
      <c r="P634" s="25">
        <f t="shared" si="526"/>
        <v>30050.93324439897</v>
      </c>
      <c r="Q634" s="25">
        <f t="array" aca="1" ref="Q634" ca="1">INDEX('Isaac 401k'!L:L,MATCH('Retirement Calculator'!A634,'Isaac 401k'!N:N,0),0)</f>
        <v>-4394779.2767947912</v>
      </c>
      <c r="R634" s="25">
        <f t="array" aca="1" ref="R634" ca="1">INDEX('Lorri 401b'!L:L,MATCH('Retirement Calculator'!A634,'Lorri 401b'!N:N,0),0)</f>
        <v>-6194799.5028616115</v>
      </c>
      <c r="S634" s="25">
        <f t="shared" ca="1" si="527"/>
        <v>-10589578.779656403</v>
      </c>
    </row>
    <row r="635" spans="1:19" ht="15.75" customHeight="1" x14ac:dyDescent="0.25">
      <c r="A635" s="37">
        <v>70281</v>
      </c>
      <c r="B635" s="398">
        <f t="shared" ref="B635:C635" si="641">($A635-B$9)/365.25</f>
        <v>110.54072553045859</v>
      </c>
      <c r="C635" s="398">
        <f t="shared" si="641"/>
        <v>105.93018480492813</v>
      </c>
      <c r="E635" s="25">
        <f>IF(C635&gt;$B$7,0,'Combined Retirement'!$D$13/12)</f>
        <v>0</v>
      </c>
      <c r="F635" s="25">
        <f>IF(H635=0,'Combined Retirement'!$D$32,0)+'Combined Retirement'!$B$24</f>
        <v>2870.372285649099</v>
      </c>
      <c r="G635" s="25">
        <f>'Combined Retirement'!$C$24</f>
        <v>3254.2644699519233</v>
      </c>
      <c r="H635" s="25">
        <f>IF(B635&lt;62,0,'Combined Retirement'!$I$14)</f>
        <v>2345</v>
      </c>
      <c r="I635" s="25">
        <f>IF(C635&lt;62,0,'Combined Retirement'!$I$13)</f>
        <v>2420</v>
      </c>
      <c r="J635" s="25">
        <f t="shared" si="523"/>
        <v>8395.6297298201844</v>
      </c>
      <c r="K635" s="25">
        <f t="shared" si="524"/>
        <v>21655.303514578787</v>
      </c>
      <c r="L635" s="25"/>
      <c r="N635" s="25">
        <f>'Combined Retirement'!$C$18/12</f>
        <v>40940.569999999992</v>
      </c>
      <c r="O635" s="25">
        <f t="shared" si="525"/>
        <v>10889.636755601023</v>
      </c>
      <c r="P635" s="25">
        <f t="shared" si="526"/>
        <v>30050.93324439897</v>
      </c>
      <c r="Q635" s="25">
        <f t="array" aca="1" ref="Q635" ca="1">INDEX('Isaac 401k'!L:L,MATCH('Retirement Calculator'!A635,'Isaac 401k'!N:N,0),0)</f>
        <v>-4421521.4686351307</v>
      </c>
      <c r="R635" s="25">
        <f t="array" aca="1" ref="R635" ca="1">INDEX('Lorri 401b'!L:L,MATCH('Retirement Calculator'!A635,'Lorri 401b'!N:N,0),0)</f>
        <v>-6242356.7014027573</v>
      </c>
      <c r="S635" s="25">
        <f t="shared" ca="1" si="527"/>
        <v>-10663878.170037888</v>
      </c>
    </row>
    <row r="636" spans="1:19" ht="15.75" customHeight="1" x14ac:dyDescent="0.25">
      <c r="A636" s="37">
        <v>70311</v>
      </c>
      <c r="B636" s="398">
        <f t="shared" ref="B636:C636" si="642">($A636-B$9)/365.25</f>
        <v>110.62286105407256</v>
      </c>
      <c r="C636" s="398">
        <f t="shared" si="642"/>
        <v>106.01232032854209</v>
      </c>
      <c r="E636" s="25">
        <f>IF(C636&gt;$B$7,0,'Combined Retirement'!$D$13/12)</f>
        <v>0</v>
      </c>
      <c r="F636" s="25">
        <f>IF(H636=0,'Combined Retirement'!$D$32,0)+'Combined Retirement'!$B$24</f>
        <v>2870.372285649099</v>
      </c>
      <c r="G636" s="25">
        <f>'Combined Retirement'!$C$24</f>
        <v>3254.2644699519233</v>
      </c>
      <c r="H636" s="25">
        <f>IF(B636&lt;62,0,'Combined Retirement'!$I$14)</f>
        <v>2345</v>
      </c>
      <c r="I636" s="25">
        <f>IF(C636&lt;62,0,'Combined Retirement'!$I$13)</f>
        <v>2420</v>
      </c>
      <c r="J636" s="25">
        <f t="shared" si="523"/>
        <v>8395.6297298201844</v>
      </c>
      <c r="K636" s="25">
        <f t="shared" si="524"/>
        <v>21655.303514578787</v>
      </c>
      <c r="L636" s="25"/>
      <c r="N636" s="25">
        <f>'Combined Retirement'!$C$18/12</f>
        <v>40940.569999999992</v>
      </c>
      <c r="O636" s="25">
        <f t="shared" si="525"/>
        <v>10889.636755601023</v>
      </c>
      <c r="P636" s="25">
        <f t="shared" si="526"/>
        <v>30050.93324439897</v>
      </c>
      <c r="Q636" s="25">
        <f t="array" aca="1" ref="Q636" ca="1">INDEX('Isaac 401k'!L:L,MATCH('Retirement Calculator'!A636,'Isaac 401k'!N:N,0),0)</f>
        <v>-4448375.0862748055</v>
      </c>
      <c r="R636" s="25">
        <f t="array" aca="1" ref="R636" ca="1">INDEX('Lorri 401b'!L:L,MATCH('Retirement Calculator'!A636,'Lorri 401b'!N:N,0),0)</f>
        <v>-6290112.0549378246</v>
      </c>
      <c r="S636" s="25">
        <f t="shared" ca="1" si="527"/>
        <v>-10738487.141212631</v>
      </c>
    </row>
    <row r="637" spans="1:19" ht="15.75" customHeight="1" x14ac:dyDescent="0.25">
      <c r="A637" s="37">
        <v>70342</v>
      </c>
      <c r="B637" s="398">
        <f t="shared" ref="B637:C637" si="643">($A637-B$9)/365.25</f>
        <v>110.70773442847364</v>
      </c>
      <c r="C637" s="398">
        <f t="shared" si="643"/>
        <v>106.09719370294319</v>
      </c>
      <c r="E637" s="25">
        <f>IF(C637&gt;$B$7,0,'Combined Retirement'!$D$13/12)</f>
        <v>0</v>
      </c>
      <c r="F637" s="25">
        <f>IF(H637=0,'Combined Retirement'!$D$32,0)+'Combined Retirement'!$B$24</f>
        <v>2870.372285649099</v>
      </c>
      <c r="G637" s="25">
        <f>'Combined Retirement'!$C$24</f>
        <v>3254.2644699519233</v>
      </c>
      <c r="H637" s="25">
        <f>IF(B637&lt;62,0,'Combined Retirement'!$I$14)</f>
        <v>2345</v>
      </c>
      <c r="I637" s="25">
        <f>IF(C637&lt;62,0,'Combined Retirement'!$I$13)</f>
        <v>2420</v>
      </c>
      <c r="J637" s="25">
        <f t="shared" si="523"/>
        <v>8395.6297298201844</v>
      </c>
      <c r="K637" s="25">
        <f t="shared" si="524"/>
        <v>21655.303514578787</v>
      </c>
      <c r="L637" s="25"/>
      <c r="N637" s="25">
        <f>'Combined Retirement'!$C$18/12</f>
        <v>40940.569999999992</v>
      </c>
      <c r="O637" s="25">
        <f t="shared" si="525"/>
        <v>10889.636755601023</v>
      </c>
      <c r="P637" s="25">
        <f t="shared" si="526"/>
        <v>30050.93324439897</v>
      </c>
      <c r="Q637" s="25">
        <f t="array" aca="1" ref="Q637" ca="1">INDEX('Isaac 401k'!L:L,MATCH('Retirement Calculator'!A637,'Isaac 401k'!N:N,0),0)</f>
        <v>-4475340.5939879781</v>
      </c>
      <c r="R637" s="25">
        <f t="array" aca="1" ref="R637" ca="1">INDEX('Lorri 401b'!L:L,MATCH('Retirement Calculator'!A637,'Lorri 401b'!N:N,0),0)</f>
        <v>-6338066.3891126215</v>
      </c>
      <c r="S637" s="25">
        <f t="shared" ca="1" si="527"/>
        <v>-10813406.983100601</v>
      </c>
    </row>
    <row r="638" spans="1:19" ht="15.75" customHeight="1" x14ac:dyDescent="0.25">
      <c r="A638" s="37">
        <v>70373</v>
      </c>
      <c r="B638" s="398">
        <f t="shared" ref="B638:C638" si="644">($A638-B$9)/365.25</f>
        <v>110.79260780287474</v>
      </c>
      <c r="C638" s="398">
        <f t="shared" si="644"/>
        <v>106.18206707734429</v>
      </c>
      <c r="E638" s="25">
        <f>IF(C638&gt;$B$7,0,'Combined Retirement'!$D$13/12)</f>
        <v>0</v>
      </c>
      <c r="F638" s="25">
        <f>IF(H638=0,'Combined Retirement'!$D$32,0)+'Combined Retirement'!$B$24</f>
        <v>2870.372285649099</v>
      </c>
      <c r="G638" s="25">
        <f>'Combined Retirement'!$C$24</f>
        <v>3254.2644699519233</v>
      </c>
      <c r="H638" s="25">
        <f>IF(B638&lt;62,0,'Combined Retirement'!$I$14)</f>
        <v>2345</v>
      </c>
      <c r="I638" s="25">
        <f>IF(C638&lt;62,0,'Combined Retirement'!$I$13)</f>
        <v>2420</v>
      </c>
      <c r="J638" s="25">
        <f t="shared" si="523"/>
        <v>8395.6297298201844</v>
      </c>
      <c r="K638" s="25">
        <f t="shared" si="524"/>
        <v>21655.303514578787</v>
      </c>
      <c r="L638" s="25"/>
      <c r="N638" s="25">
        <f>'Combined Retirement'!$C$18/12</f>
        <v>40940.569999999992</v>
      </c>
      <c r="O638" s="25">
        <f t="shared" si="525"/>
        <v>10889.636755601023</v>
      </c>
      <c r="P638" s="25">
        <f t="shared" si="526"/>
        <v>30050.93324439897</v>
      </c>
      <c r="Q638" s="25">
        <f t="array" aca="1" ref="Q638" ca="1">INDEX('Isaac 401k'!L:L,MATCH('Retirement Calculator'!A638,'Isaac 401k'!N:N,0),0)</f>
        <v>-4502418.4579832889</v>
      </c>
      <c r="R638" s="25">
        <f t="array" aca="1" ref="R638" ca="1">INDEX('Lorri 401b'!L:L,MATCH('Retirement Calculator'!A638,'Lorri 401b'!N:N,0),0)</f>
        <v>-6386220.5330131464</v>
      </c>
      <c r="S638" s="25">
        <f t="shared" ca="1" si="527"/>
        <v>-10888638.990996435</v>
      </c>
    </row>
    <row r="639" spans="1:19" ht="15.75" customHeight="1" x14ac:dyDescent="0.25">
      <c r="A639" s="37">
        <v>70403</v>
      </c>
      <c r="B639" s="398">
        <f t="shared" ref="B639:C639" si="645">($A639-B$9)/365.25</f>
        <v>110.87474332648871</v>
      </c>
      <c r="C639" s="398">
        <f t="shared" si="645"/>
        <v>106.26420260095824</v>
      </c>
      <c r="E639" s="25">
        <f>IF(C639&gt;$B$7,0,'Combined Retirement'!$D$13/12)</f>
        <v>0</v>
      </c>
      <c r="F639" s="25">
        <f>IF(H639=0,'Combined Retirement'!$D$32,0)+'Combined Retirement'!$B$24</f>
        <v>2870.372285649099</v>
      </c>
      <c r="G639" s="25">
        <f>'Combined Retirement'!$C$24</f>
        <v>3254.2644699519233</v>
      </c>
      <c r="H639" s="25">
        <f>IF(B639&lt;62,0,'Combined Retirement'!$I$14)</f>
        <v>2345</v>
      </c>
      <c r="I639" s="25">
        <f>IF(C639&lt;62,0,'Combined Retirement'!$I$13)</f>
        <v>2420</v>
      </c>
      <c r="J639" s="25">
        <f t="shared" si="523"/>
        <v>8395.6297298201844</v>
      </c>
      <c r="K639" s="25">
        <f t="shared" si="524"/>
        <v>21655.303514578787</v>
      </c>
      <c r="L639" s="25"/>
      <c r="N639" s="25">
        <f>'Combined Retirement'!$C$18/12</f>
        <v>40940.569999999992</v>
      </c>
      <c r="O639" s="25">
        <f t="shared" si="525"/>
        <v>10889.636755601023</v>
      </c>
      <c r="P639" s="25">
        <f t="shared" si="526"/>
        <v>30050.93324439897</v>
      </c>
      <c r="Q639" s="25">
        <f t="array" aca="1" ref="Q639" ca="1">INDEX('Isaac 401k'!L:L,MATCH('Retirement Calculator'!A639,'Isaac 401k'!N:N,0),0)</f>
        <v>-4529609.1464119144</v>
      </c>
      <c r="R639" s="25">
        <f t="array" aca="1" ref="R639" ca="1">INDEX('Lorri 401b'!L:L,MATCH('Retirement Calculator'!A639,'Lorri 401b'!N:N,0),0)</f>
        <v>-6434575.3191799233</v>
      </c>
      <c r="S639" s="25">
        <f t="shared" ca="1" si="527"/>
        <v>-10964184.465591837</v>
      </c>
    </row>
    <row r="640" spans="1:19" ht="15.75" customHeight="1" x14ac:dyDescent="0.25">
      <c r="A640" s="37">
        <v>70434</v>
      </c>
      <c r="B640" s="398">
        <f t="shared" ref="B640:C640" si="646">($A640-B$9)/365.25</f>
        <v>110.9596167008898</v>
      </c>
      <c r="C640" s="398">
        <f t="shared" si="646"/>
        <v>106.34907597535934</v>
      </c>
      <c r="E640" s="25">
        <f>IF(C640&gt;$B$7,0,'Combined Retirement'!$D$13/12)</f>
        <v>0</v>
      </c>
      <c r="F640" s="25">
        <f>IF(H640=0,'Combined Retirement'!$D$32,0)+'Combined Retirement'!$B$24</f>
        <v>2870.372285649099</v>
      </c>
      <c r="G640" s="25">
        <f>'Combined Retirement'!$C$24</f>
        <v>3254.2644699519233</v>
      </c>
      <c r="H640" s="25">
        <f>IF(B640&lt;62,0,'Combined Retirement'!$I$14)</f>
        <v>2345</v>
      </c>
      <c r="I640" s="25">
        <f>IF(C640&lt;62,0,'Combined Retirement'!$I$13)</f>
        <v>2420</v>
      </c>
      <c r="J640" s="25">
        <f t="shared" si="523"/>
        <v>8395.6297298201844</v>
      </c>
      <c r="K640" s="25">
        <f t="shared" si="524"/>
        <v>21655.303514578787</v>
      </c>
      <c r="L640" s="25"/>
      <c r="N640" s="25">
        <f>'Combined Retirement'!$C$18/12</f>
        <v>40940.569999999992</v>
      </c>
      <c r="O640" s="25">
        <f t="shared" si="525"/>
        <v>10889.636755601023</v>
      </c>
      <c r="P640" s="25">
        <f t="shared" si="526"/>
        <v>30050.93324439897</v>
      </c>
      <c r="Q640" s="25">
        <f t="array" aca="1" ref="Q640" ca="1">INDEX('Isaac 401k'!L:L,MATCH('Retirement Calculator'!A640,'Isaac 401k'!N:N,0),0)</f>
        <v>-4556913.1293756589</v>
      </c>
      <c r="R640" s="25">
        <f t="array" aca="1" ref="R640" ca="1">INDEX('Lorri 401b'!L:L,MATCH('Retirement Calculator'!A640,'Lorri 401b'!N:N,0),0)</f>
        <v>-6483131.5836223951</v>
      </c>
      <c r="S640" s="25">
        <f t="shared" ca="1" si="527"/>
        <v>-11040044.712998055</v>
      </c>
    </row>
    <row r="641" spans="1:19" ht="15.75" customHeight="1" x14ac:dyDescent="0.25">
      <c r="A641" s="37">
        <v>70464</v>
      </c>
      <c r="B641" s="398">
        <f t="shared" ref="B641:C641" si="647">($A641-B$9)/365.25</f>
        <v>111.04175222450377</v>
      </c>
      <c r="C641" s="398">
        <f t="shared" si="647"/>
        <v>106.43121149897331</v>
      </c>
      <c r="E641" s="25">
        <f>IF(C641&gt;$B$7,0,'Combined Retirement'!$D$13/12)</f>
        <v>0</v>
      </c>
      <c r="F641" s="25">
        <f>IF(H641=0,'Combined Retirement'!$D$32,0)+'Combined Retirement'!$B$24</f>
        <v>2870.372285649099</v>
      </c>
      <c r="G641" s="25">
        <f>'Combined Retirement'!$C$24</f>
        <v>3254.2644699519233</v>
      </c>
      <c r="H641" s="25">
        <f>IF(B641&lt;62,0,'Combined Retirement'!$I$14)</f>
        <v>2345</v>
      </c>
      <c r="I641" s="25">
        <f>IF(C641&lt;62,0,'Combined Retirement'!$I$13)</f>
        <v>2420</v>
      </c>
      <c r="J641" s="25">
        <f t="shared" si="523"/>
        <v>8395.6297298201844</v>
      </c>
      <c r="K641" s="25">
        <f t="shared" si="524"/>
        <v>21655.303514578787</v>
      </c>
      <c r="L641" s="25"/>
      <c r="N641" s="25">
        <f>'Combined Retirement'!$C$18/12</f>
        <v>40940.569999999992</v>
      </c>
      <c r="O641" s="25">
        <f t="shared" si="525"/>
        <v>10889.636755601023</v>
      </c>
      <c r="P641" s="25">
        <f t="shared" si="526"/>
        <v>30050.93324439897</v>
      </c>
      <c r="Q641" s="25">
        <f t="array" aca="1" ref="Q641" ca="1">INDEX('Isaac 401k'!L:L,MATCH('Retirement Calculator'!A641,'Isaac 401k'!N:N,0),0)</f>
        <v>-4584330.8789350856</v>
      </c>
      <c r="R641" s="25">
        <f t="array" aca="1" ref="R641" ca="1">INDEX('Lorri 401b'!L:L,MATCH('Retirement Calculator'!A641,'Lorri 401b'!N:N,0),0)</f>
        <v>-6531890.1658333773</v>
      </c>
      <c r="S641" s="25">
        <f t="shared" ca="1" si="527"/>
        <v>-11116221.044768464</v>
      </c>
    </row>
    <row r="642" spans="1:19" ht="15.75" customHeight="1" x14ac:dyDescent="0.25">
      <c r="A642" s="37">
        <v>70495</v>
      </c>
      <c r="B642" s="398">
        <f t="shared" ref="B642:C642" si="648">($A642-B$9)/365.25</f>
        <v>111.12662559890487</v>
      </c>
      <c r="C642" s="398">
        <f t="shared" si="648"/>
        <v>106.5160848733744</v>
      </c>
      <c r="E642" s="25">
        <f>IF(C642&gt;$B$7,0,'Combined Retirement'!$D$13/12)</f>
        <v>0</v>
      </c>
      <c r="F642" s="25">
        <f>IF(H642=0,'Combined Retirement'!$D$32,0)+'Combined Retirement'!$B$24</f>
        <v>2870.372285649099</v>
      </c>
      <c r="G642" s="25">
        <f>'Combined Retirement'!$C$24</f>
        <v>3254.2644699519233</v>
      </c>
      <c r="H642" s="25">
        <f>IF(B642&lt;62,0,'Combined Retirement'!$I$14)</f>
        <v>2345</v>
      </c>
      <c r="I642" s="25">
        <f>IF(C642&lt;62,0,'Combined Retirement'!$I$13)</f>
        <v>2420</v>
      </c>
      <c r="J642" s="25">
        <f t="shared" si="523"/>
        <v>8395.6297298201844</v>
      </c>
      <c r="K642" s="25">
        <f t="shared" si="524"/>
        <v>21655.303514578787</v>
      </c>
      <c r="L642" s="25"/>
      <c r="N642" s="25">
        <f>'Combined Retirement'!$C$18/12</f>
        <v>40940.569999999992</v>
      </c>
      <c r="O642" s="25">
        <f t="shared" si="525"/>
        <v>10889.636755601023</v>
      </c>
      <c r="P642" s="25">
        <f t="shared" si="526"/>
        <v>30050.93324439897</v>
      </c>
      <c r="Q642" s="25">
        <f t="array" aca="1" ref="Q642" ca="1">INDEX('Isaac 401k'!L:L,MATCH('Retirement Calculator'!A642,'Isaac 401k'!N:N,0),0)</f>
        <v>-4611862.8691176763</v>
      </c>
      <c r="R642" s="25">
        <f t="array" aca="1" ref="R642" ca="1">INDEX('Lorri 401b'!L:L,MATCH('Retirement Calculator'!A642,'Lorri 401b'!N:N,0),0)</f>
        <v>-6580851.9088035719</v>
      </c>
      <c r="S642" s="25">
        <f t="shared" ca="1" si="527"/>
        <v>-11192714.777921248</v>
      </c>
    </row>
    <row r="643" spans="1:19" ht="15.75" customHeight="1" x14ac:dyDescent="0.25">
      <c r="A643" s="37">
        <v>70526</v>
      </c>
      <c r="B643" s="398">
        <f t="shared" ref="B643:C643" si="649">($A643-B$9)/365.25</f>
        <v>111.21149897330595</v>
      </c>
      <c r="C643" s="398">
        <f t="shared" si="649"/>
        <v>106.60095824777549</v>
      </c>
      <c r="E643" s="25">
        <f>IF(C643&gt;$B$7,0,'Combined Retirement'!$D$13/12)</f>
        <v>0</v>
      </c>
      <c r="F643" s="25">
        <f>IF(H643=0,'Combined Retirement'!$D$32,0)+'Combined Retirement'!$B$24</f>
        <v>2870.372285649099</v>
      </c>
      <c r="G643" s="25">
        <f>'Combined Retirement'!$C$24</f>
        <v>3254.2644699519233</v>
      </c>
      <c r="H643" s="25">
        <f>IF(B643&lt;62,0,'Combined Retirement'!$I$14)</f>
        <v>2345</v>
      </c>
      <c r="I643" s="25">
        <f>IF(C643&lt;62,0,'Combined Retirement'!$I$13)</f>
        <v>2420</v>
      </c>
      <c r="J643" s="25">
        <f t="shared" si="523"/>
        <v>8395.6297298201844</v>
      </c>
      <c r="K643" s="25">
        <f t="shared" si="524"/>
        <v>21655.303514578787</v>
      </c>
      <c r="L643" s="25"/>
      <c r="N643" s="25">
        <f>'Combined Retirement'!$C$18/12</f>
        <v>40940.569999999992</v>
      </c>
      <c r="O643" s="25">
        <f t="shared" si="525"/>
        <v>10889.636755601023</v>
      </c>
      <c r="P643" s="25">
        <f t="shared" si="526"/>
        <v>30050.93324439897</v>
      </c>
      <c r="Q643" s="25">
        <f t="array" aca="1" ref="Q643" ca="1">INDEX('Isaac 401k'!L:L,MATCH('Retirement Calculator'!A643,'Isaac 401k'!N:N,0),0)</f>
        <v>-4639509.5759260282</v>
      </c>
      <c r="R643" s="25">
        <f t="array" aca="1" ref="R643" ca="1">INDEX('Lorri 401b'!L:L,MATCH('Retirement Calculator'!A643,'Lorri 401b'!N:N,0),0)</f>
        <v>-6630017.6590361428</v>
      </c>
      <c r="S643" s="25">
        <f t="shared" ca="1" si="527"/>
        <v>-11269527.234962171</v>
      </c>
    </row>
    <row r="644" spans="1:19" ht="15.75" customHeight="1" x14ac:dyDescent="0.25">
      <c r="A644" s="37">
        <v>70554</v>
      </c>
      <c r="B644" s="398">
        <f t="shared" ref="B644:C644" si="650">($A644-B$9)/365.25</f>
        <v>111.28815879534565</v>
      </c>
      <c r="C644" s="398">
        <f t="shared" si="650"/>
        <v>106.6776180698152</v>
      </c>
      <c r="E644" s="25">
        <f>IF(C644&gt;$B$7,0,'Combined Retirement'!$D$13/12)</f>
        <v>0</v>
      </c>
      <c r="F644" s="25">
        <f>IF(H644=0,'Combined Retirement'!$D$32,0)+'Combined Retirement'!$B$24</f>
        <v>2870.372285649099</v>
      </c>
      <c r="G644" s="25">
        <f>'Combined Retirement'!$C$24</f>
        <v>3254.2644699519233</v>
      </c>
      <c r="H644" s="25">
        <f>IF(B644&lt;62,0,'Combined Retirement'!$I$14)</f>
        <v>2345</v>
      </c>
      <c r="I644" s="25">
        <f>IF(C644&lt;62,0,'Combined Retirement'!$I$13)</f>
        <v>2420</v>
      </c>
      <c r="J644" s="25">
        <f t="shared" si="523"/>
        <v>8395.6297298201844</v>
      </c>
      <c r="K644" s="25">
        <f t="shared" si="524"/>
        <v>21655.303514578787</v>
      </c>
      <c r="L644" s="25"/>
      <c r="N644" s="25">
        <f>'Combined Retirement'!$C$18/12</f>
        <v>40940.569999999992</v>
      </c>
      <c r="O644" s="25">
        <f t="shared" si="525"/>
        <v>10889.636755601023</v>
      </c>
      <c r="P644" s="25">
        <f t="shared" si="526"/>
        <v>30050.93324439897</v>
      </c>
      <c r="Q644" s="25">
        <f t="array" aca="1" ref="Q644" ca="1">INDEX('Isaac 401k'!L:L,MATCH('Retirement Calculator'!A644,'Isaac 401k'!N:N,0),0)</f>
        <v>-4667271.4773460813</v>
      </c>
      <c r="R644" s="25">
        <f t="array" aca="1" ref="R644" ca="1">INDEX('Lorri 401b'!L:L,MATCH('Retirement Calculator'!A644,'Lorri 401b'!N:N,0),0)</f>
        <v>-6679388.2665613489</v>
      </c>
      <c r="S644" s="25">
        <f t="shared" ca="1" si="527"/>
        <v>-11346659.743907429</v>
      </c>
    </row>
    <row r="645" spans="1:19" ht="15.75" customHeight="1" x14ac:dyDescent="0.25">
      <c r="A645" s="37">
        <v>70585</v>
      </c>
      <c r="B645" s="398">
        <f t="shared" ref="B645:C645" si="651">($A645-B$9)/365.25</f>
        <v>111.37303216974675</v>
      </c>
      <c r="C645" s="398">
        <f t="shared" si="651"/>
        <v>106.76249144421629</v>
      </c>
      <c r="E645" s="25">
        <f>IF(C645&gt;$B$7,0,'Combined Retirement'!$D$13/12)</f>
        <v>0</v>
      </c>
      <c r="F645" s="25">
        <f>IF(H645=0,'Combined Retirement'!$D$32,0)+'Combined Retirement'!$B$24</f>
        <v>2870.372285649099</v>
      </c>
      <c r="G645" s="25">
        <f>'Combined Retirement'!$C$24</f>
        <v>3254.2644699519233</v>
      </c>
      <c r="H645" s="25">
        <f>IF(B645&lt;62,0,'Combined Retirement'!$I$14)</f>
        <v>2345</v>
      </c>
      <c r="I645" s="25">
        <f>IF(C645&lt;62,0,'Combined Retirement'!$I$13)</f>
        <v>2420</v>
      </c>
      <c r="J645" s="25">
        <f t="shared" si="523"/>
        <v>8395.6297298201844</v>
      </c>
      <c r="K645" s="25">
        <f t="shared" si="524"/>
        <v>21655.303514578787</v>
      </c>
      <c r="L645" s="25"/>
      <c r="N645" s="25">
        <f>'Combined Retirement'!$C$18/12</f>
        <v>40940.569999999992</v>
      </c>
      <c r="O645" s="25">
        <f t="shared" si="525"/>
        <v>10889.636755601023</v>
      </c>
      <c r="P645" s="25">
        <f t="shared" si="526"/>
        <v>30050.93324439897</v>
      </c>
      <c r="Q645" s="25">
        <f t="array" aca="1" ref="Q645" ca="1">INDEX('Isaac 401k'!L:L,MATCH('Retirement Calculator'!A645,'Isaac 401k'!N:N,0),0)</f>
        <v>-4695149.0533553846</v>
      </c>
      <c r="R645" s="25">
        <f t="array" aca="1" ref="R645" ca="1">INDEX('Lorri 401b'!L:L,MATCH('Retirement Calculator'!A645,'Lorri 401b'!N:N,0),0)</f>
        <v>-6728964.5849512434</v>
      </c>
      <c r="S645" s="25">
        <f t="shared" ca="1" si="527"/>
        <v>-11424113.638306629</v>
      </c>
    </row>
    <row r="646" spans="1:19" ht="15.75" customHeight="1" x14ac:dyDescent="0.25">
      <c r="A646" s="37">
        <v>70615</v>
      </c>
      <c r="B646" s="398">
        <f t="shared" ref="B646:C646" si="652">($A646-B$9)/365.25</f>
        <v>111.45516769336071</v>
      </c>
      <c r="C646" s="398">
        <f t="shared" si="652"/>
        <v>106.84462696783025</v>
      </c>
      <c r="E646" s="25">
        <f>IF(C646&gt;$B$7,0,'Combined Retirement'!$D$13/12)</f>
        <v>0</v>
      </c>
      <c r="F646" s="25">
        <f>IF(H646=0,'Combined Retirement'!$D$32,0)+'Combined Retirement'!$B$24</f>
        <v>2870.372285649099</v>
      </c>
      <c r="G646" s="25">
        <f>'Combined Retirement'!$C$24</f>
        <v>3254.2644699519233</v>
      </c>
      <c r="H646" s="25">
        <f>IF(B646&lt;62,0,'Combined Retirement'!$I$14)</f>
        <v>2345</v>
      </c>
      <c r="I646" s="25">
        <f>IF(C646&lt;62,0,'Combined Retirement'!$I$13)</f>
        <v>2420</v>
      </c>
      <c r="J646" s="25">
        <f t="shared" si="523"/>
        <v>8395.6297298201844</v>
      </c>
      <c r="K646" s="25">
        <f t="shared" si="524"/>
        <v>21655.303514578787</v>
      </c>
      <c r="L646" s="25"/>
      <c r="N646" s="25">
        <f>'Combined Retirement'!$C$18/12</f>
        <v>40940.569999999992</v>
      </c>
      <c r="O646" s="25">
        <f t="shared" si="525"/>
        <v>10889.636755601023</v>
      </c>
      <c r="P646" s="25">
        <f t="shared" si="526"/>
        <v>30050.93324439897</v>
      </c>
      <c r="Q646" s="25">
        <f t="array" aca="1" ref="Q646" ca="1">INDEX('Isaac 401k'!L:L,MATCH('Retirement Calculator'!A646,'Isaac 401k'!N:N,0),0)</f>
        <v>-4723142.7859313935</v>
      </c>
      <c r="R646" s="25">
        <f t="array" aca="1" ref="R646" ca="1">INDEX('Lorri 401b'!L:L,MATCH('Retirement Calculator'!A646,'Lorri 401b'!N:N,0),0)</f>
        <v>-6778747.4713344295</v>
      </c>
      <c r="S646" s="25">
        <f t="shared" ca="1" si="527"/>
        <v>-11501890.257265823</v>
      </c>
    </row>
    <row r="647" spans="1:19" ht="15.75" customHeight="1" x14ac:dyDescent="0.25">
      <c r="A647" s="37">
        <v>70646</v>
      </c>
      <c r="B647" s="398">
        <f t="shared" ref="B647:C647" si="653">($A647-B$9)/365.25</f>
        <v>111.54004106776181</v>
      </c>
      <c r="C647" s="398">
        <f t="shared" si="653"/>
        <v>106.92950034223135</v>
      </c>
      <c r="E647" s="25">
        <f>IF(C647&gt;$B$7,0,'Combined Retirement'!$D$13/12)</f>
        <v>0</v>
      </c>
      <c r="F647" s="25">
        <f>IF(H647=0,'Combined Retirement'!$D$32,0)+'Combined Retirement'!$B$24</f>
        <v>2870.372285649099</v>
      </c>
      <c r="G647" s="25">
        <f>'Combined Retirement'!$C$24</f>
        <v>3254.2644699519233</v>
      </c>
      <c r="H647" s="25">
        <f>IF(B647&lt;62,0,'Combined Retirement'!$I$14)</f>
        <v>2345</v>
      </c>
      <c r="I647" s="25">
        <f>IF(C647&lt;62,0,'Combined Retirement'!$I$13)</f>
        <v>2420</v>
      </c>
      <c r="J647" s="25">
        <f t="shared" si="523"/>
        <v>8395.6297298201844</v>
      </c>
      <c r="K647" s="25">
        <f t="shared" si="524"/>
        <v>21655.303514578787</v>
      </c>
      <c r="L647" s="25"/>
      <c r="N647" s="25">
        <f>'Combined Retirement'!$C$18/12</f>
        <v>40940.569999999992</v>
      </c>
      <c r="O647" s="25">
        <f t="shared" si="525"/>
        <v>10889.636755601023</v>
      </c>
      <c r="P647" s="25">
        <f t="shared" si="526"/>
        <v>30050.93324439897</v>
      </c>
      <c r="Q647" s="25">
        <f t="array" aca="1" ref="Q647" ca="1">INDEX('Isaac 401k'!L:L,MATCH('Retirement Calculator'!A647,'Isaac 401k'!N:N,0),0)</f>
        <v>-4751253.1590598021</v>
      </c>
      <c r="R647" s="25">
        <f t="array" aca="1" ref="R647" ca="1">INDEX('Lorri 401b'!L:L,MATCH('Retirement Calculator'!A647,'Lorri 401b'!N:N,0),0)</f>
        <v>-6828737.7864108784</v>
      </c>
      <c r="S647" s="25">
        <f t="shared" ca="1" si="527"/>
        <v>-11579990.94547068</v>
      </c>
    </row>
    <row r="648" spans="1:19" ht="15.75" customHeight="1" x14ac:dyDescent="0.25">
      <c r="A648" s="37">
        <v>70676</v>
      </c>
      <c r="B648" s="398">
        <f t="shared" ref="B648:C648" si="654">($A648-B$9)/365.25</f>
        <v>111.62217659137578</v>
      </c>
      <c r="C648" s="398">
        <f t="shared" si="654"/>
        <v>107.01163586584531</v>
      </c>
      <c r="E648" s="25">
        <f>IF(C648&gt;$B$7,0,'Combined Retirement'!$D$13/12)</f>
        <v>0</v>
      </c>
      <c r="F648" s="25">
        <f>IF(H648=0,'Combined Retirement'!$D$32,0)+'Combined Retirement'!$B$24</f>
        <v>2870.372285649099</v>
      </c>
      <c r="G648" s="25">
        <f>'Combined Retirement'!$C$24</f>
        <v>3254.2644699519233</v>
      </c>
      <c r="H648" s="25">
        <f>IF(B648&lt;62,0,'Combined Retirement'!$I$14)</f>
        <v>2345</v>
      </c>
      <c r="I648" s="25">
        <f>IF(C648&lt;62,0,'Combined Retirement'!$I$13)</f>
        <v>2420</v>
      </c>
      <c r="J648" s="25">
        <f t="shared" si="523"/>
        <v>8395.6297298201844</v>
      </c>
      <c r="K648" s="25">
        <f t="shared" si="524"/>
        <v>21655.303514578787</v>
      </c>
      <c r="L648" s="25"/>
      <c r="N648" s="25">
        <f>'Combined Retirement'!$C$18/12</f>
        <v>40940.569999999992</v>
      </c>
      <c r="O648" s="25">
        <f t="shared" si="525"/>
        <v>10889.636755601023</v>
      </c>
      <c r="P648" s="25">
        <f t="shared" si="526"/>
        <v>30050.93324439897</v>
      </c>
      <c r="Q648" s="25">
        <f t="array" aca="1" ref="Q648" ca="1">INDEX('Isaac 401k'!L:L,MATCH('Retirement Calculator'!A648,'Isaac 401k'!N:N,0),0)</f>
        <v>-4779480.6587429121</v>
      </c>
      <c r="R648" s="25">
        <f t="array" aca="1" ref="R648" ca="1">INDEX('Lorri 401b'!L:L,MATCH('Retirement Calculator'!A648,'Lorri 401b'!N:N,0),0)</f>
        <v>-6878936.3944668127</v>
      </c>
      <c r="S648" s="25">
        <f t="shared" ca="1" si="527"/>
        <v>-11658417.053209726</v>
      </c>
    </row>
    <row r="649" spans="1:19" ht="15.75" customHeight="1" x14ac:dyDescent="0.25">
      <c r="A649" s="37">
        <v>70707</v>
      </c>
      <c r="B649" s="398">
        <f t="shared" ref="B649:C649" si="655">($A649-B$9)/365.25</f>
        <v>111.70704996577686</v>
      </c>
      <c r="C649" s="398">
        <f t="shared" si="655"/>
        <v>107.09650924024641</v>
      </c>
      <c r="E649" s="25">
        <f>IF(C649&gt;$B$7,0,'Combined Retirement'!$D$13/12)</f>
        <v>0</v>
      </c>
      <c r="F649" s="25">
        <f>IF(H649=0,'Combined Retirement'!$D$32,0)+'Combined Retirement'!$B$24</f>
        <v>2870.372285649099</v>
      </c>
      <c r="G649" s="25">
        <f>'Combined Retirement'!$C$24</f>
        <v>3254.2644699519233</v>
      </c>
      <c r="H649" s="25">
        <f>IF(B649&lt;62,0,'Combined Retirement'!$I$14)</f>
        <v>2345</v>
      </c>
      <c r="I649" s="25">
        <f>IF(C649&lt;62,0,'Combined Retirement'!$I$13)</f>
        <v>2420</v>
      </c>
      <c r="J649" s="25">
        <f t="shared" si="523"/>
        <v>8395.6297298201844</v>
      </c>
      <c r="K649" s="25">
        <f t="shared" si="524"/>
        <v>21655.303514578787</v>
      </c>
      <c r="L649" s="25"/>
      <c r="N649" s="25">
        <f>'Combined Retirement'!$C$18/12</f>
        <v>40940.569999999992</v>
      </c>
      <c r="O649" s="25">
        <f t="shared" si="525"/>
        <v>10889.636755601023</v>
      </c>
      <c r="P649" s="25">
        <f t="shared" si="526"/>
        <v>30050.93324439897</v>
      </c>
      <c r="Q649" s="25">
        <f t="array" aca="1" ref="Q649" ca="1">INDEX('Isaac 401k'!L:L,MATCH('Retirement Calculator'!A649,'Isaac 401k'!N:N,0),0)</f>
        <v>-4807825.7730080355</v>
      </c>
      <c r="R649" s="25">
        <f t="array" aca="1" ref="R649" ca="1">INDEX('Lorri 401b'!L:L,MATCH('Retirement Calculator'!A649,'Lorri 401b'!N:N,0),0)</f>
        <v>-6929344.1633896464</v>
      </c>
      <c r="S649" s="25">
        <f t="shared" ca="1" si="527"/>
        <v>-11737169.936397683</v>
      </c>
    </row>
    <row r="650" spans="1:19" ht="15.75" customHeight="1" x14ac:dyDescent="0.25">
      <c r="A650" s="37">
        <v>70738</v>
      </c>
      <c r="B650" s="398">
        <f t="shared" ref="B650:C650" si="656">($A650-B$9)/365.25</f>
        <v>111.79192334017796</v>
      </c>
      <c r="C650" s="398">
        <f t="shared" si="656"/>
        <v>107.1813826146475</v>
      </c>
      <c r="E650" s="25">
        <f>IF(C650&gt;$B$7,0,'Combined Retirement'!$D$13/12)</f>
        <v>0</v>
      </c>
      <c r="F650" s="25">
        <f>IF(H650=0,'Combined Retirement'!$D$32,0)+'Combined Retirement'!$B$24</f>
        <v>2870.372285649099</v>
      </c>
      <c r="G650" s="25">
        <f>'Combined Retirement'!$C$24</f>
        <v>3254.2644699519233</v>
      </c>
      <c r="H650" s="25">
        <f>IF(B650&lt;62,0,'Combined Retirement'!$I$14)</f>
        <v>2345</v>
      </c>
      <c r="I650" s="25">
        <f>IF(C650&lt;62,0,'Combined Retirement'!$I$13)</f>
        <v>2420</v>
      </c>
      <c r="J650" s="25">
        <f t="shared" si="523"/>
        <v>8395.6297298201844</v>
      </c>
      <c r="K650" s="25">
        <f t="shared" si="524"/>
        <v>21655.303514578787</v>
      </c>
      <c r="L650" s="25"/>
      <c r="N650" s="25">
        <f>'Combined Retirement'!$C$18/12</f>
        <v>40940.569999999992</v>
      </c>
      <c r="O650" s="25">
        <f t="shared" si="525"/>
        <v>10889.636755601023</v>
      </c>
      <c r="P650" s="25">
        <f t="shared" si="526"/>
        <v>30050.93324439897</v>
      </c>
      <c r="Q650" s="25">
        <f t="array" aca="1" ref="Q650" ca="1">INDEX('Isaac 401k'!L:L,MATCH('Retirement Calculator'!A650,'Isaac 401k'!N:N,0),0)</f>
        <v>-4836288.9919159301</v>
      </c>
      <c r="R650" s="25">
        <f t="array" aca="1" ref="R650" ca="1">INDEX('Lorri 401b'!L:L,MATCH('Retirement Calculator'!A650,'Lorri 401b'!N:N,0),0)</f>
        <v>-6979961.9646829925</v>
      </c>
      <c r="S650" s="25">
        <f t="shared" ca="1" si="527"/>
        <v>-11816250.956598923</v>
      </c>
    </row>
    <row r="651" spans="1:19" ht="15.75" customHeight="1" x14ac:dyDescent="0.25">
      <c r="A651" s="37">
        <v>70768</v>
      </c>
      <c r="B651" s="398">
        <f t="shared" ref="B651:C651" si="657">($A651-B$9)/365.25</f>
        <v>111.87405886379193</v>
      </c>
      <c r="C651" s="398">
        <f t="shared" si="657"/>
        <v>107.26351813826146</v>
      </c>
      <c r="E651" s="25">
        <f>IF(C651&gt;$B$7,0,'Combined Retirement'!$D$13/12)</f>
        <v>0</v>
      </c>
      <c r="F651" s="25">
        <f>IF(H651=0,'Combined Retirement'!$D$32,0)+'Combined Retirement'!$B$24</f>
        <v>2870.372285649099</v>
      </c>
      <c r="G651" s="25">
        <f>'Combined Retirement'!$C$24</f>
        <v>3254.2644699519233</v>
      </c>
      <c r="H651" s="25">
        <f>IF(B651&lt;62,0,'Combined Retirement'!$I$14)</f>
        <v>2345</v>
      </c>
      <c r="I651" s="25">
        <f>IF(C651&lt;62,0,'Combined Retirement'!$I$13)</f>
        <v>2420</v>
      </c>
      <c r="J651" s="25">
        <f t="shared" si="523"/>
        <v>8395.6297298201844</v>
      </c>
      <c r="K651" s="25">
        <f t="shared" si="524"/>
        <v>21655.303514578787</v>
      </c>
      <c r="L651" s="25"/>
      <c r="N651" s="25">
        <f>'Combined Retirement'!$C$18/12</f>
        <v>40940.569999999992</v>
      </c>
      <c r="O651" s="25">
        <f t="shared" si="525"/>
        <v>10889.636755601023</v>
      </c>
      <c r="P651" s="25">
        <f t="shared" si="526"/>
        <v>30050.93324439897</v>
      </c>
      <c r="Q651" s="25">
        <f t="array" aca="1" ref="Q651" ca="1">INDEX('Isaac 401k'!L:L,MATCH('Retirement Calculator'!A651,'Isaac 401k'!N:N,0),0)</f>
        <v>-4864870.8075692747</v>
      </c>
      <c r="R651" s="25">
        <f t="array" aca="1" ref="R651" ca="1">INDEX('Lorri 401b'!L:L,MATCH('Retirement Calculator'!A651,'Lorri 401b'!N:N,0),0)</f>
        <v>-7030790.673481727</v>
      </c>
      <c r="S651" s="25">
        <f t="shared" ca="1" si="527"/>
        <v>-11895661.481051002</v>
      </c>
    </row>
    <row r="652" spans="1:19" ht="15.75" customHeight="1" x14ac:dyDescent="0.25">
      <c r="A652" s="37">
        <v>70799</v>
      </c>
      <c r="B652" s="398">
        <f t="shared" ref="B652:C652" si="658">($A652-B$9)/365.25</f>
        <v>111.95893223819301</v>
      </c>
      <c r="C652" s="398">
        <f t="shared" si="658"/>
        <v>107.34839151266256</v>
      </c>
      <c r="E652" s="25">
        <f>IF(C652&gt;$B$7,0,'Combined Retirement'!$D$13/12)</f>
        <v>0</v>
      </c>
      <c r="F652" s="25">
        <f>IF(H652=0,'Combined Retirement'!$D$32,0)+'Combined Retirement'!$B$24</f>
        <v>2870.372285649099</v>
      </c>
      <c r="G652" s="25">
        <f>'Combined Retirement'!$C$24</f>
        <v>3254.2644699519233</v>
      </c>
      <c r="H652" s="25">
        <f>IF(B652&lt;62,0,'Combined Retirement'!$I$14)</f>
        <v>2345</v>
      </c>
      <c r="I652" s="25">
        <f>IF(C652&lt;62,0,'Combined Retirement'!$I$13)</f>
        <v>2420</v>
      </c>
      <c r="J652" s="25">
        <f t="shared" si="523"/>
        <v>8395.6297298201844</v>
      </c>
      <c r="K652" s="25">
        <f t="shared" si="524"/>
        <v>21655.303514578787</v>
      </c>
      <c r="L652" s="25"/>
      <c r="N652" s="25">
        <f>'Combined Retirement'!$C$18/12</f>
        <v>40940.569999999992</v>
      </c>
      <c r="O652" s="25">
        <f t="shared" si="525"/>
        <v>10889.636755601023</v>
      </c>
      <c r="P652" s="25">
        <f t="shared" si="526"/>
        <v>30050.93324439897</v>
      </c>
      <c r="Q652" s="25">
        <f t="array" aca="1" ref="Q652" ca="1">INDEX('Isaac 401k'!L:L,MATCH('Retirement Calculator'!A652,'Isaac 401k'!N:N,0),0)</f>
        <v>-4893571.714121175</v>
      </c>
      <c r="R652" s="25">
        <f t="array" aca="1" ref="R652" ca="1">INDEX('Lorri 401b'!L:L,MATCH('Retirement Calculator'!A652,'Lorri 401b'!N:N,0),0)</f>
        <v>-7081831.1685671229</v>
      </c>
      <c r="S652" s="25">
        <f t="shared" ca="1" si="527"/>
        <v>-11975402.882688299</v>
      </c>
    </row>
    <row r="653" spans="1:19" ht="15.75" customHeight="1" x14ac:dyDescent="0.25">
      <c r="A653" s="37">
        <v>70829</v>
      </c>
      <c r="B653" s="398">
        <f t="shared" ref="B653:C653" si="659">($A653-B$9)/365.25</f>
        <v>112.04106776180699</v>
      </c>
      <c r="C653" s="398">
        <f t="shared" si="659"/>
        <v>107.43052703627653</v>
      </c>
      <c r="E653" s="25">
        <f>IF(C653&gt;$B$7,0,'Combined Retirement'!$D$13/12)</f>
        <v>0</v>
      </c>
      <c r="F653" s="25">
        <f>IF(H653=0,'Combined Retirement'!$D$32,0)+'Combined Retirement'!$B$24</f>
        <v>2870.372285649099</v>
      </c>
      <c r="G653" s="25">
        <f>'Combined Retirement'!$C$24</f>
        <v>3254.2644699519233</v>
      </c>
      <c r="H653" s="25">
        <f>IF(B653&lt;62,0,'Combined Retirement'!$I$14)</f>
        <v>2345</v>
      </c>
      <c r="I653" s="25">
        <f>IF(C653&lt;62,0,'Combined Retirement'!$I$13)</f>
        <v>2420</v>
      </c>
      <c r="J653" s="25">
        <f t="shared" si="523"/>
        <v>8395.6297298201844</v>
      </c>
      <c r="K653" s="25">
        <f t="shared" si="524"/>
        <v>21655.303514578787</v>
      </c>
      <c r="L653" s="25"/>
      <c r="N653" s="25">
        <f>'Combined Retirement'!$C$18/12</f>
        <v>40940.569999999992</v>
      </c>
      <c r="O653" s="25">
        <f t="shared" si="525"/>
        <v>10889.636755601023</v>
      </c>
      <c r="P653" s="25">
        <f t="shared" si="526"/>
        <v>30050.93324439897</v>
      </c>
      <c r="Q653" s="25">
        <f t="array" aca="1" ref="Q653" ca="1">INDEX('Isaac 401k'!L:L,MATCH('Retirement Calculator'!A653,'Isaac 401k'!N:N,0),0)</f>
        <v>-4922392.2077837083</v>
      </c>
      <c r="R653" s="25">
        <f t="array" aca="1" ref="R653" ca="1">INDEX('Lorri 401b'!L:L,MATCH('Retirement Calculator'!A653,'Lorri 401b'!N:N,0),0)</f>
        <v>-7133084.332382042</v>
      </c>
      <c r="S653" s="25">
        <f t="shared" ca="1" si="527"/>
        <v>-12055476.54016575</v>
      </c>
    </row>
    <row r="654" spans="1:19" ht="15.75" customHeight="1" x14ac:dyDescent="0.25">
      <c r="A654" s="37">
        <v>70860</v>
      </c>
      <c r="B654" s="398">
        <f t="shared" ref="B654:C654" si="660">($A654-B$9)/365.25</f>
        <v>112.12594113620807</v>
      </c>
      <c r="C654" s="398">
        <f t="shared" si="660"/>
        <v>107.51540041067761</v>
      </c>
      <c r="E654" s="25">
        <f>IF(C654&gt;$B$7,0,'Combined Retirement'!$D$13/12)</f>
        <v>0</v>
      </c>
      <c r="F654" s="25">
        <f>IF(H654=0,'Combined Retirement'!$D$32,0)+'Combined Retirement'!$B$24</f>
        <v>2870.372285649099</v>
      </c>
      <c r="G654" s="25">
        <f>'Combined Retirement'!$C$24</f>
        <v>3254.2644699519233</v>
      </c>
      <c r="H654" s="25">
        <f>IF(B654&lt;62,0,'Combined Retirement'!$I$14)</f>
        <v>2345</v>
      </c>
      <c r="I654" s="25">
        <f>IF(C654&lt;62,0,'Combined Retirement'!$I$13)</f>
        <v>2420</v>
      </c>
      <c r="J654" s="25">
        <f t="shared" si="523"/>
        <v>8395.6297298201844</v>
      </c>
      <c r="K654" s="25">
        <f t="shared" si="524"/>
        <v>21655.303514578787</v>
      </c>
      <c r="L654" s="25"/>
      <c r="N654" s="25">
        <f>'Combined Retirement'!$C$18/12</f>
        <v>40940.569999999992</v>
      </c>
      <c r="O654" s="25">
        <f t="shared" si="525"/>
        <v>10889.636755601023</v>
      </c>
      <c r="P654" s="25">
        <f t="shared" si="526"/>
        <v>30050.93324439897</v>
      </c>
      <c r="Q654" s="25">
        <f t="array" aca="1" ref="Q654" ca="1">INDEX('Isaac 401k'!L:L,MATCH('Retirement Calculator'!A654,'Isaac 401k'!N:N,0),0)</f>
        <v>-4951332.7868365021</v>
      </c>
      <c r="R654" s="25">
        <f t="array" aca="1" ref="R654" ca="1">INDEX('Lorri 401b'!L:L,MATCH('Retirement Calculator'!A654,'Lorri 401b'!N:N,0),0)</f>
        <v>-7184551.0510461899</v>
      </c>
      <c r="S654" s="25">
        <f t="shared" ca="1" si="527"/>
        <v>-12135883.837882692</v>
      </c>
    </row>
    <row r="655" spans="1:19" ht="15.75" customHeight="1" x14ac:dyDescent="0.25">
      <c r="A655" s="37">
        <v>70891</v>
      </c>
      <c r="B655" s="398">
        <f t="shared" ref="B655:C655" si="661">($A655-B$9)/365.25</f>
        <v>112.21081451060917</v>
      </c>
      <c r="C655" s="398">
        <f t="shared" si="661"/>
        <v>107.60027378507871</v>
      </c>
      <c r="E655" s="25">
        <f>IF(C655&gt;$B$7,0,'Combined Retirement'!$D$13/12)</f>
        <v>0</v>
      </c>
      <c r="F655" s="25">
        <f>IF(H655=0,'Combined Retirement'!$D$32,0)+'Combined Retirement'!$B$24</f>
        <v>2870.372285649099</v>
      </c>
      <c r="G655" s="25">
        <f>'Combined Retirement'!$C$24</f>
        <v>3254.2644699519233</v>
      </c>
      <c r="H655" s="25">
        <f>IF(B655&lt;62,0,'Combined Retirement'!$I$14)</f>
        <v>2345</v>
      </c>
      <c r="I655" s="25">
        <f>IF(C655&lt;62,0,'Combined Retirement'!$I$13)</f>
        <v>2420</v>
      </c>
      <c r="J655" s="25">
        <f t="shared" si="523"/>
        <v>8395.6297298201844</v>
      </c>
      <c r="K655" s="25">
        <f t="shared" si="524"/>
        <v>21655.303514578787</v>
      </c>
      <c r="L655" s="25"/>
      <c r="N655" s="25">
        <f>'Combined Retirement'!$C$18/12</f>
        <v>40940.569999999992</v>
      </c>
      <c r="O655" s="25">
        <f t="shared" si="525"/>
        <v>10889.636755601023</v>
      </c>
      <c r="P655" s="25">
        <f t="shared" si="526"/>
        <v>30050.93324439897</v>
      </c>
      <c r="Q655" s="25">
        <f t="array" aca="1" ref="Q655" ca="1">INDEX('Isaac 401k'!L:L,MATCH('Retirement Calculator'!A655,'Isaac 401k'!N:N,0),0)</f>
        <v>-4980393.9516353486</v>
      </c>
      <c r="R655" s="25">
        <f t="array" aca="1" ref="R655" ca="1">INDEX('Lorri 401b'!L:L,MATCH('Retirement Calculator'!A655,'Lorri 401b'!N:N,0),0)</f>
        <v>-7236232.2143714381</v>
      </c>
      <c r="S655" s="25">
        <f t="shared" ca="1" si="527"/>
        <v>-12216626.166006787</v>
      </c>
    </row>
    <row r="656" spans="1:19" ht="15.75" customHeight="1" x14ac:dyDescent="0.25">
      <c r="A656" s="37">
        <v>70919</v>
      </c>
      <c r="B656" s="398">
        <f t="shared" ref="B656:C656" si="662">($A656-B$9)/365.25</f>
        <v>112.28747433264887</v>
      </c>
      <c r="C656" s="398">
        <f t="shared" si="662"/>
        <v>107.67693360711841</v>
      </c>
      <c r="E656" s="25">
        <f>IF(C656&gt;$B$7,0,'Combined Retirement'!$D$13/12)</f>
        <v>0</v>
      </c>
      <c r="F656" s="25">
        <f>IF(H656=0,'Combined Retirement'!$D$32,0)+'Combined Retirement'!$B$24</f>
        <v>2870.372285649099</v>
      </c>
      <c r="G656" s="25">
        <f>'Combined Retirement'!$C$24</f>
        <v>3254.2644699519233</v>
      </c>
      <c r="H656" s="25">
        <f>IF(B656&lt;62,0,'Combined Retirement'!$I$14)</f>
        <v>2345</v>
      </c>
      <c r="I656" s="25">
        <f>IF(C656&lt;62,0,'Combined Retirement'!$I$13)</f>
        <v>2420</v>
      </c>
      <c r="J656" s="25">
        <f t="shared" si="523"/>
        <v>8395.6297298201844</v>
      </c>
      <c r="K656" s="25">
        <f t="shared" si="524"/>
        <v>21655.303514578787</v>
      </c>
      <c r="L656" s="25"/>
      <c r="N656" s="25">
        <f>'Combined Retirement'!$C$18/12</f>
        <v>40940.569999999992</v>
      </c>
      <c r="O656" s="25">
        <f t="shared" si="525"/>
        <v>10889.636755601023</v>
      </c>
      <c r="P656" s="25">
        <f t="shared" si="526"/>
        <v>30050.93324439897</v>
      </c>
      <c r="Q656" s="25">
        <f t="array" aca="1" ref="Q656" ca="1">INDEX('Isaac 401k'!L:L,MATCH('Retirement Calculator'!A656,'Isaac 401k'!N:N,0),0)</f>
        <v>-5009576.2046208568</v>
      </c>
      <c r="R656" s="25">
        <f t="array" aca="1" ref="R656" ca="1">INDEX('Lorri 401b'!L:L,MATCH('Retirement Calculator'!A656,'Lorri 401b'!N:N,0),0)</f>
        <v>-7288128.7158772079</v>
      </c>
      <c r="S656" s="25">
        <f t="shared" ca="1" si="527"/>
        <v>-12297704.920498066</v>
      </c>
    </row>
    <row r="657" spans="1:19" ht="15.75" customHeight="1" x14ac:dyDescent="0.25">
      <c r="A657" s="37">
        <v>70950</v>
      </c>
      <c r="B657" s="398">
        <f t="shared" ref="B657:C657" si="663">($A657-B$9)/365.25</f>
        <v>112.37234770704997</v>
      </c>
      <c r="C657" s="398">
        <f t="shared" si="663"/>
        <v>107.76180698151951</v>
      </c>
      <c r="E657" s="25">
        <f>IF(C657&gt;$B$7,0,'Combined Retirement'!$D$13/12)</f>
        <v>0</v>
      </c>
      <c r="F657" s="25">
        <f>IF(H657=0,'Combined Retirement'!$D$32,0)+'Combined Retirement'!$B$24</f>
        <v>2870.372285649099</v>
      </c>
      <c r="G657" s="25">
        <f>'Combined Retirement'!$C$24</f>
        <v>3254.2644699519233</v>
      </c>
      <c r="H657" s="25">
        <f>IF(B657&lt;62,0,'Combined Retirement'!$I$14)</f>
        <v>2345</v>
      </c>
      <c r="I657" s="25">
        <f>IF(C657&lt;62,0,'Combined Retirement'!$I$13)</f>
        <v>2420</v>
      </c>
      <c r="J657" s="25">
        <f t="shared" si="523"/>
        <v>8395.6297298201844</v>
      </c>
      <c r="K657" s="25">
        <f t="shared" si="524"/>
        <v>21655.303514578787</v>
      </c>
      <c r="L657" s="25"/>
      <c r="N657" s="25">
        <f>'Combined Retirement'!$C$18/12</f>
        <v>40940.569999999992</v>
      </c>
      <c r="O657" s="25">
        <f t="shared" si="525"/>
        <v>10889.636755601023</v>
      </c>
      <c r="P657" s="25">
        <f t="shared" si="526"/>
        <v>30050.93324439897</v>
      </c>
      <c r="Q657" s="25">
        <f t="array" aca="1" ref="Q657" ca="1">INDEX('Isaac 401k'!L:L,MATCH('Retirement Calculator'!A657,'Isaac 401k'!N:N,0),0)</f>
        <v>-5038880.050327138</v>
      </c>
      <c r="R657" s="25">
        <f t="array" aca="1" ref="R657" ca="1">INDEX('Lorri 401b'!L:L,MATCH('Retirement Calculator'!A657,'Lorri 401b'!N:N,0),0)</f>
        <v>-7340241.4528059186</v>
      </c>
      <c r="S657" s="25">
        <f t="shared" ca="1" si="527"/>
        <v>-12379121.503133057</v>
      </c>
    </row>
    <row r="658" spans="1:19" ht="15.75" customHeight="1" x14ac:dyDescent="0.25">
      <c r="A658" s="37">
        <v>70980</v>
      </c>
      <c r="B658" s="398">
        <f t="shared" ref="B658:C658" si="664">($A658-B$9)/365.25</f>
        <v>112.45448323066393</v>
      </c>
      <c r="C658" s="398">
        <f t="shared" si="664"/>
        <v>107.84394250513347</v>
      </c>
      <c r="E658" s="25">
        <f>IF(C658&gt;$B$7,0,'Combined Retirement'!$D$13/12)</f>
        <v>0</v>
      </c>
      <c r="F658" s="25">
        <f>IF(H658=0,'Combined Retirement'!$D$32,0)+'Combined Retirement'!$B$24</f>
        <v>2870.372285649099</v>
      </c>
      <c r="G658" s="25">
        <f>'Combined Retirement'!$C$24</f>
        <v>3254.2644699519233</v>
      </c>
      <c r="H658" s="25">
        <f>IF(B658&lt;62,0,'Combined Retirement'!$I$14)</f>
        <v>2345</v>
      </c>
      <c r="I658" s="25">
        <f>IF(C658&lt;62,0,'Combined Retirement'!$I$13)</f>
        <v>2420</v>
      </c>
      <c r="J658" s="25">
        <f t="shared" si="523"/>
        <v>8395.6297298201844</v>
      </c>
      <c r="K658" s="25">
        <f t="shared" si="524"/>
        <v>21655.303514578787</v>
      </c>
      <c r="L658" s="25"/>
      <c r="N658" s="25">
        <f>'Combined Retirement'!$C$18/12</f>
        <v>40940.569999999992</v>
      </c>
      <c r="O658" s="25">
        <f t="shared" si="525"/>
        <v>10889.636755601023</v>
      </c>
      <c r="P658" s="25">
        <f t="shared" si="526"/>
        <v>30050.93324439897</v>
      </c>
      <c r="Q658" s="25">
        <f t="array" aca="1" ref="Q658" ca="1">INDEX('Isaac 401k'!L:L,MATCH('Retirement Calculator'!A658,'Isaac 401k'!N:N,0),0)</f>
        <v>-5068305.9953905288</v>
      </c>
      <c r="R658" s="25">
        <f t="array" aca="1" ref="R658" ca="1">INDEX('Lorri 401b'!L:L,MATCH('Retirement Calculator'!A658,'Lorri 401b'!N:N,0),0)</f>
        <v>-7392571.3261384992</v>
      </c>
      <c r="S658" s="25">
        <f t="shared" ca="1" si="527"/>
        <v>-12460877.321529027</v>
      </c>
    </row>
    <row r="659" spans="1:19" ht="15.75" customHeight="1" x14ac:dyDescent="0.25">
      <c r="A659" s="37">
        <v>71011</v>
      </c>
      <c r="B659" s="398">
        <f t="shared" ref="B659:C659" si="665">($A659-B$9)/365.25</f>
        <v>112.53935660506502</v>
      </c>
      <c r="C659" s="398">
        <f t="shared" si="665"/>
        <v>107.92881587953457</v>
      </c>
      <c r="E659" s="25">
        <f>IF(C659&gt;$B$7,0,'Combined Retirement'!$D$13/12)</f>
        <v>0</v>
      </c>
      <c r="F659" s="25">
        <f>IF(H659=0,'Combined Retirement'!$D$32,0)+'Combined Retirement'!$B$24</f>
        <v>2870.372285649099</v>
      </c>
      <c r="G659" s="25">
        <f>'Combined Retirement'!$C$24</f>
        <v>3254.2644699519233</v>
      </c>
      <c r="H659" s="25">
        <f>IF(B659&lt;62,0,'Combined Retirement'!$I$14)</f>
        <v>2345</v>
      </c>
      <c r="I659" s="25">
        <f>IF(C659&lt;62,0,'Combined Retirement'!$I$13)</f>
        <v>2420</v>
      </c>
      <c r="J659" s="25">
        <f t="shared" si="523"/>
        <v>8395.6297298201844</v>
      </c>
      <c r="K659" s="25">
        <f t="shared" si="524"/>
        <v>21655.303514578787</v>
      </c>
      <c r="L659" s="25"/>
      <c r="N659" s="25">
        <f>'Combined Retirement'!$C$18/12</f>
        <v>40940.569999999992</v>
      </c>
      <c r="O659" s="25">
        <f t="shared" si="525"/>
        <v>10889.636755601023</v>
      </c>
      <c r="P659" s="25">
        <f t="shared" si="526"/>
        <v>30050.93324439897</v>
      </c>
      <c r="Q659" s="25">
        <f t="array" aca="1" ref="Q659" ca="1">INDEX('Isaac 401k'!L:L,MATCH('Retirement Calculator'!A659,'Isaac 401k'!N:N,0),0)</f>
        <v>-5097854.5485583507</v>
      </c>
      <c r="R659" s="25">
        <f t="array" aca="1" ref="R659" ca="1">INDEX('Lorri 401b'!L:L,MATCH('Retirement Calculator'!A659,'Lorri 401b'!N:N,0),0)</f>
        <v>-7445119.2406099653</v>
      </c>
      <c r="S659" s="25">
        <f t="shared" ca="1" si="527"/>
        <v>-12542973.789168317</v>
      </c>
    </row>
    <row r="660" spans="1:19" ht="15.75" customHeight="1" x14ac:dyDescent="0.25">
      <c r="A660" s="37">
        <v>71041</v>
      </c>
      <c r="B660" s="398">
        <f t="shared" ref="B660:C660" si="666">($A660-B$9)/365.25</f>
        <v>112.62149212867898</v>
      </c>
      <c r="C660" s="398">
        <f t="shared" si="666"/>
        <v>108.01095140314852</v>
      </c>
      <c r="E660" s="25">
        <f>IF(C660&gt;$B$7,0,'Combined Retirement'!$D$13/12)</f>
        <v>0</v>
      </c>
      <c r="F660" s="25">
        <f>IF(H660=0,'Combined Retirement'!$D$32,0)+'Combined Retirement'!$B$24</f>
        <v>2870.372285649099</v>
      </c>
      <c r="G660" s="25">
        <f>'Combined Retirement'!$C$24</f>
        <v>3254.2644699519233</v>
      </c>
      <c r="H660" s="25">
        <f>IF(B660&lt;62,0,'Combined Retirement'!$I$14)</f>
        <v>2345</v>
      </c>
      <c r="I660" s="25">
        <f>IF(C660&lt;62,0,'Combined Retirement'!$I$13)</f>
        <v>2420</v>
      </c>
      <c r="J660" s="25">
        <f t="shared" si="523"/>
        <v>8395.6297298201844</v>
      </c>
      <c r="K660" s="25">
        <f t="shared" si="524"/>
        <v>21655.303514578787</v>
      </c>
      <c r="L660" s="25"/>
      <c r="N660" s="25">
        <f>'Combined Retirement'!$C$18/12</f>
        <v>40940.569999999992</v>
      </c>
      <c r="O660" s="25">
        <f t="shared" si="525"/>
        <v>10889.636755601023</v>
      </c>
      <c r="P660" s="25">
        <f t="shared" si="526"/>
        <v>30050.93324439897</v>
      </c>
      <c r="Q660" s="25">
        <f t="array" aca="1" ref="Q660" ca="1">INDEX('Isaac 401k'!L:L,MATCH('Retirement Calculator'!A660,'Isaac 401k'!N:N,0),0)</f>
        <v>-5127526.2206977047</v>
      </c>
      <c r="R660" s="25">
        <f t="array" aca="1" ref="R660" ca="1">INDEX('Lorri 401b'!L:L,MATCH('Retirement Calculator'!A660,'Lorri 401b'!N:N,0),0)</f>
        <v>-7497886.1047250628</v>
      </c>
      <c r="S660" s="25">
        <f t="shared" ca="1" si="527"/>
        <v>-12625412.325422768</v>
      </c>
    </row>
    <row r="661" spans="1:19" ht="15.75" customHeight="1" x14ac:dyDescent="0.25">
      <c r="A661" s="37">
        <v>71072</v>
      </c>
      <c r="B661" s="398">
        <f t="shared" ref="B661:C661" si="667">($A661-B$9)/365.25</f>
        <v>112.70636550308008</v>
      </c>
      <c r="C661" s="398">
        <f t="shared" si="667"/>
        <v>108.09582477754962</v>
      </c>
      <c r="E661" s="25">
        <f>IF(C661&gt;$B$7,0,'Combined Retirement'!$D$13/12)</f>
        <v>0</v>
      </c>
      <c r="F661" s="25">
        <f>IF(H661=0,'Combined Retirement'!$D$32,0)+'Combined Retirement'!$B$24</f>
        <v>2870.372285649099</v>
      </c>
      <c r="G661" s="25">
        <f>'Combined Retirement'!$C$24</f>
        <v>3254.2644699519233</v>
      </c>
      <c r="H661" s="25">
        <f>IF(B661&lt;62,0,'Combined Retirement'!$I$14)</f>
        <v>2345</v>
      </c>
      <c r="I661" s="25">
        <f>IF(C661&lt;62,0,'Combined Retirement'!$I$13)</f>
        <v>2420</v>
      </c>
      <c r="J661" s="25">
        <f t="shared" si="523"/>
        <v>8395.6297298201844</v>
      </c>
      <c r="K661" s="25">
        <f t="shared" si="524"/>
        <v>21655.303514578787</v>
      </c>
      <c r="L661" s="25"/>
      <c r="N661" s="25">
        <f>'Combined Retirement'!$C$18/12</f>
        <v>40940.569999999992</v>
      </c>
      <c r="O661" s="25">
        <f t="shared" si="525"/>
        <v>10889.636755601023</v>
      </c>
      <c r="P661" s="25">
        <f t="shared" si="526"/>
        <v>30050.93324439897</v>
      </c>
      <c r="Q661" s="25">
        <f t="array" aca="1" ref="Q661" ca="1">INDEX('Isaac 401k'!L:L,MATCH('Retirement Calculator'!A661,'Isaac 401k'!N:N,0),0)</f>
        <v>-5157321.5248043062</v>
      </c>
      <c r="R661" s="25">
        <f t="array" aca="1" ref="R661" ca="1">INDEX('Lorri 401b'!L:L,MATCH('Retirement Calculator'!A661,'Lorri 401b'!N:N,0),0)</f>
        <v>-7550872.8307739729</v>
      </c>
      <c r="S661" s="25">
        <f t="shared" ca="1" si="527"/>
        <v>-12708194.355578279</v>
      </c>
    </row>
    <row r="662" spans="1:19" ht="15.75" customHeight="1" x14ac:dyDescent="0.25">
      <c r="A662" s="37">
        <v>71103</v>
      </c>
      <c r="B662" s="398">
        <f t="shared" ref="B662:C662" si="668">($A662-B$9)/365.25</f>
        <v>112.79123887748118</v>
      </c>
      <c r="C662" s="398">
        <f t="shared" si="668"/>
        <v>108.18069815195072</v>
      </c>
      <c r="E662" s="25">
        <f>IF(C662&gt;$B$7,0,'Combined Retirement'!$D$13/12)</f>
        <v>0</v>
      </c>
      <c r="F662" s="25">
        <f>IF(H662=0,'Combined Retirement'!$D$32,0)+'Combined Retirement'!$B$24</f>
        <v>2870.372285649099</v>
      </c>
      <c r="G662" s="25">
        <f>'Combined Retirement'!$C$24</f>
        <v>3254.2644699519233</v>
      </c>
      <c r="H662" s="25">
        <f>IF(B662&lt;62,0,'Combined Retirement'!$I$14)</f>
        <v>2345</v>
      </c>
      <c r="I662" s="25">
        <f>IF(C662&lt;62,0,'Combined Retirement'!$I$13)</f>
        <v>2420</v>
      </c>
      <c r="J662" s="25">
        <f t="shared" si="523"/>
        <v>8395.6297298201844</v>
      </c>
      <c r="K662" s="25">
        <f t="shared" si="524"/>
        <v>21655.303514578787</v>
      </c>
      <c r="L662" s="25"/>
      <c r="N662" s="25">
        <f>'Combined Retirement'!$C$18/12</f>
        <v>40940.569999999992</v>
      </c>
      <c r="O662" s="25">
        <f t="shared" si="525"/>
        <v>10889.636755601023</v>
      </c>
      <c r="P662" s="25">
        <f t="shared" si="526"/>
        <v>30050.93324439897</v>
      </c>
      <c r="Q662" s="25">
        <f t="array" aca="1" ref="Q662" ca="1">INDEX('Isaac 401k'!L:L,MATCH('Retirement Calculator'!A662,'Isaac 401k'!N:N,0),0)</f>
        <v>-5187240.9760113526</v>
      </c>
      <c r="R662" s="25">
        <f t="array" aca="1" ref="R662" ca="1">INDEX('Lorri 401b'!L:L,MATCH('Retirement Calculator'!A662,'Lorri 401b'!N:N,0),0)</f>
        <v>-7604080.3348480873</v>
      </c>
      <c r="S662" s="25">
        <f t="shared" ca="1" si="527"/>
        <v>-12791321.31085944</v>
      </c>
    </row>
    <row r="663" spans="1:19" ht="15.75" customHeight="1" x14ac:dyDescent="0.25">
      <c r="A663" s="37">
        <v>71133</v>
      </c>
      <c r="B663" s="398">
        <f t="shared" ref="B663:C663" si="669">($A663-B$9)/365.25</f>
        <v>112.87337440109513</v>
      </c>
      <c r="C663" s="398">
        <f t="shared" si="669"/>
        <v>108.26283367556468</v>
      </c>
      <c r="E663" s="25">
        <f>IF(C663&gt;$B$7,0,'Combined Retirement'!$D$13/12)</f>
        <v>0</v>
      </c>
      <c r="F663" s="25">
        <f>IF(H663=0,'Combined Retirement'!$D$32,0)+'Combined Retirement'!$B$24</f>
        <v>2870.372285649099</v>
      </c>
      <c r="G663" s="25">
        <f>'Combined Retirement'!$C$24</f>
        <v>3254.2644699519233</v>
      </c>
      <c r="H663" s="25">
        <f>IF(B663&lt;62,0,'Combined Retirement'!$I$14)</f>
        <v>2345</v>
      </c>
      <c r="I663" s="25">
        <f>IF(C663&lt;62,0,'Combined Retirement'!$I$13)</f>
        <v>2420</v>
      </c>
      <c r="J663" s="25">
        <f t="shared" si="523"/>
        <v>8395.6297298201844</v>
      </c>
      <c r="K663" s="25">
        <f t="shared" si="524"/>
        <v>21655.303514578787</v>
      </c>
      <c r="L663" s="25"/>
      <c r="N663" s="25">
        <f>'Combined Retirement'!$C$18/12</f>
        <v>40940.569999999992</v>
      </c>
      <c r="O663" s="25">
        <f t="shared" si="525"/>
        <v>10889.636755601023</v>
      </c>
      <c r="P663" s="25">
        <f t="shared" si="526"/>
        <v>30050.93324439897</v>
      </c>
      <c r="Q663" s="25">
        <f t="array" aca="1" ref="Q663" ca="1">INDEX('Isaac 401k'!L:L,MATCH('Retirement Calculator'!A663,'Isaac 401k'!N:N,0),0)</f>
        <v>-5217285.0915984279</v>
      </c>
      <c r="R663" s="25">
        <f t="array" aca="1" ref="R663" ca="1">INDEX('Lorri 401b'!L:L,MATCH('Retirement Calculator'!A663,'Lorri 401b'!N:N,0),0)</f>
        <v>-7657509.5368558438</v>
      </c>
      <c r="S663" s="25">
        <f t="shared" ca="1" si="527"/>
        <v>-12874794.628454272</v>
      </c>
    </row>
    <row r="664" spans="1:19" ht="15.75" customHeight="1" x14ac:dyDescent="0.25">
      <c r="A664" s="37">
        <v>71164</v>
      </c>
      <c r="B664" s="398">
        <f t="shared" ref="B664:C664" si="670">($A664-B$9)/365.25</f>
        <v>112.95824777549623</v>
      </c>
      <c r="C664" s="398">
        <f t="shared" si="670"/>
        <v>108.34770704996578</v>
      </c>
      <c r="E664" s="25">
        <f>IF(C664&gt;$B$7,0,'Combined Retirement'!$D$13/12)</f>
        <v>0</v>
      </c>
      <c r="F664" s="25">
        <f>IF(H664=0,'Combined Retirement'!$D$32,0)+'Combined Retirement'!$B$24</f>
        <v>2870.372285649099</v>
      </c>
      <c r="G664" s="25">
        <f>'Combined Retirement'!$C$24</f>
        <v>3254.2644699519233</v>
      </c>
      <c r="H664" s="25">
        <f>IF(B664&lt;62,0,'Combined Retirement'!$I$14)</f>
        <v>2345</v>
      </c>
      <c r="I664" s="25">
        <f>IF(C664&lt;62,0,'Combined Retirement'!$I$13)</f>
        <v>2420</v>
      </c>
      <c r="J664" s="25">
        <f t="shared" si="523"/>
        <v>8395.6297298201844</v>
      </c>
      <c r="K664" s="25">
        <f t="shared" si="524"/>
        <v>21655.303514578787</v>
      </c>
      <c r="L664" s="25"/>
      <c r="N664" s="25">
        <f>'Combined Retirement'!$C$18/12</f>
        <v>40940.569999999992</v>
      </c>
      <c r="O664" s="25">
        <f t="shared" si="525"/>
        <v>10889.636755601023</v>
      </c>
      <c r="P664" s="25">
        <f t="shared" si="526"/>
        <v>30050.93324439897</v>
      </c>
      <c r="Q664" s="25">
        <f t="array" aca="1" ref="Q664" ca="1">INDEX('Isaac 401k'!L:L,MATCH('Retirement Calculator'!A664,'Isaac 401k'!N:N,0),0)</f>
        <v>-5247454.3910004497</v>
      </c>
      <c r="R664" s="25">
        <f t="array" aca="1" ref="R664" ca="1">INDEX('Lorri 401b'!L:L,MATCH('Retirement Calculator'!A664,'Lorri 401b'!N:N,0),0)</f>
        <v>-7711161.3605386326</v>
      </c>
      <c r="S664" s="25">
        <f t="shared" ca="1" si="527"/>
        <v>-12958615.751539081</v>
      </c>
    </row>
    <row r="665" spans="1:19" ht="15.75" customHeight="1" x14ac:dyDescent="0.25">
      <c r="A665" s="37">
        <v>71194</v>
      </c>
      <c r="B665" s="398">
        <f t="shared" ref="B665:C665" si="671">($A665-B$9)/365.25</f>
        <v>113.0403832991102</v>
      </c>
      <c r="C665" s="398">
        <f t="shared" si="671"/>
        <v>108.42984257357973</v>
      </c>
      <c r="E665" s="25">
        <f>IF(C665&gt;$B$7,0,'Combined Retirement'!$D$13/12)</f>
        <v>0</v>
      </c>
      <c r="F665" s="25">
        <f>IF(H665=0,'Combined Retirement'!$D$32,0)+'Combined Retirement'!$B$24</f>
        <v>2870.372285649099</v>
      </c>
      <c r="G665" s="25">
        <f>'Combined Retirement'!$C$24</f>
        <v>3254.2644699519233</v>
      </c>
      <c r="H665" s="25">
        <f>IF(B665&lt;62,0,'Combined Retirement'!$I$14)</f>
        <v>2345</v>
      </c>
      <c r="I665" s="25">
        <f>IF(C665&lt;62,0,'Combined Retirement'!$I$13)</f>
        <v>2420</v>
      </c>
      <c r="J665" s="25">
        <f t="shared" si="523"/>
        <v>8395.6297298201844</v>
      </c>
      <c r="K665" s="25">
        <f t="shared" si="524"/>
        <v>21655.303514578787</v>
      </c>
      <c r="L665" s="25"/>
      <c r="N665" s="25">
        <f>'Combined Retirement'!$C$18/12</f>
        <v>40940.569999999992</v>
      </c>
      <c r="O665" s="25">
        <f t="shared" si="525"/>
        <v>10889.636755601023</v>
      </c>
      <c r="P665" s="25">
        <f t="shared" si="526"/>
        <v>30050.93324439897</v>
      </c>
      <c r="Q665" s="25">
        <f t="array" aca="1" ref="Q665" ca="1">INDEX('Isaac 401k'!L:L,MATCH('Retirement Calculator'!A665,'Isaac 401k'!N:N,0),0)</f>
        <v>-5277749.3958166465</v>
      </c>
      <c r="R665" s="25">
        <f t="array" aca="1" ref="R665" ca="1">INDEX('Lorri 401b'!L:L,MATCH('Retirement Calculator'!A665,'Lorri 401b'!N:N,0),0)</f>
        <v>-7765036.733486766</v>
      </c>
      <c r="S665" s="25">
        <f t="shared" ca="1" si="527"/>
        <v>-13042786.129303413</v>
      </c>
    </row>
    <row r="666" spans="1:19" ht="15.75" customHeight="1" x14ac:dyDescent="0.25">
      <c r="A666" s="37">
        <v>71225</v>
      </c>
      <c r="B666" s="398">
        <f t="shared" ref="B666:C666" si="672">($A666-B$9)/365.25</f>
        <v>113.12525667351129</v>
      </c>
      <c r="C666" s="398">
        <f t="shared" si="672"/>
        <v>108.51471594798083</v>
      </c>
      <c r="E666" s="25">
        <f>IF(C666&gt;$B$7,0,'Combined Retirement'!$D$13/12)</f>
        <v>0</v>
      </c>
      <c r="F666" s="25">
        <f>IF(H666=0,'Combined Retirement'!$D$32,0)+'Combined Retirement'!$B$24</f>
        <v>2870.372285649099</v>
      </c>
      <c r="G666" s="25">
        <f>'Combined Retirement'!$C$24</f>
        <v>3254.2644699519233</v>
      </c>
      <c r="H666" s="25">
        <f>IF(B666&lt;62,0,'Combined Retirement'!$I$14)</f>
        <v>2345</v>
      </c>
      <c r="I666" s="25">
        <f>IF(C666&lt;62,0,'Combined Retirement'!$I$13)</f>
        <v>2420</v>
      </c>
      <c r="J666" s="25">
        <f t="shared" si="523"/>
        <v>8395.6297298201844</v>
      </c>
      <c r="K666" s="25">
        <f t="shared" si="524"/>
        <v>21655.303514578787</v>
      </c>
      <c r="L666" s="25"/>
      <c r="N666" s="25">
        <f>'Combined Retirement'!$C$18/12</f>
        <v>40940.569999999992</v>
      </c>
      <c r="O666" s="25">
        <f t="shared" si="525"/>
        <v>10889.636755601023</v>
      </c>
      <c r="P666" s="25">
        <f t="shared" si="526"/>
        <v>30050.93324439897</v>
      </c>
      <c r="Q666" s="25">
        <f t="array" aca="1" ref="Q666" ca="1">INDEX('Isaac 401k'!L:L,MATCH('Retirement Calculator'!A666,'Isaac 401k'!N:N,0),0)</f>
        <v>-5308170.6298195776</v>
      </c>
      <c r="R666" s="25">
        <f t="array" aca="1" ref="R666" ca="1">INDEX('Lorri 401b'!L:L,MATCH('Retirement Calculator'!A666,'Lorri 401b'!N:N,0),0)</f>
        <v>-7819136.5871555163</v>
      </c>
      <c r="S666" s="25">
        <f t="shared" ca="1" si="527"/>
        <v>-13127307.216975093</v>
      </c>
    </row>
    <row r="667" spans="1:19" ht="15.75" customHeight="1" x14ac:dyDescent="0.25">
      <c r="A667" s="37">
        <v>71256</v>
      </c>
      <c r="B667" s="398">
        <f t="shared" ref="B667:C667" si="673">($A667-B$9)/365.25</f>
        <v>113.21013004791239</v>
      </c>
      <c r="C667" s="398">
        <f t="shared" si="673"/>
        <v>108.59958932238193</v>
      </c>
      <c r="E667" s="25">
        <f>IF(C667&gt;$B$7,0,'Combined Retirement'!$D$13/12)</f>
        <v>0</v>
      </c>
      <c r="F667" s="25">
        <f>IF(H667=0,'Combined Retirement'!$D$32,0)+'Combined Retirement'!$B$24</f>
        <v>2870.372285649099</v>
      </c>
      <c r="G667" s="25">
        <f>'Combined Retirement'!$C$24</f>
        <v>3254.2644699519233</v>
      </c>
      <c r="H667" s="25">
        <f>IF(B667&lt;62,0,'Combined Retirement'!$I$14)</f>
        <v>2345</v>
      </c>
      <c r="I667" s="25">
        <f>IF(C667&lt;62,0,'Combined Retirement'!$I$13)</f>
        <v>2420</v>
      </c>
      <c r="J667" s="25">
        <f t="shared" si="523"/>
        <v>8395.6297298201844</v>
      </c>
      <c r="K667" s="25">
        <f t="shared" si="524"/>
        <v>21655.303514578787</v>
      </c>
      <c r="L667" s="25"/>
      <c r="N667" s="25">
        <f>'Combined Retirement'!$C$18/12</f>
        <v>40940.569999999992</v>
      </c>
      <c r="O667" s="25">
        <f t="shared" si="525"/>
        <v>10889.636755601023</v>
      </c>
      <c r="P667" s="25">
        <f t="shared" si="526"/>
        <v>30050.93324439897</v>
      </c>
      <c r="Q667" s="25">
        <f t="array" aca="1" ref="Q667" ca="1">INDEX('Isaac 401k'!L:L,MATCH('Retirement Calculator'!A667,'Isaac 401k'!N:N,0),0)</f>
        <v>-5338718.6189641869</v>
      </c>
      <c r="R667" s="25">
        <f t="array" aca="1" ref="R667" ca="1">INDEX('Lorri 401b'!L:L,MATCH('Retirement Calculator'!A667,'Lorri 401b'!N:N,0),0)</f>
        <v>-7873461.8568812199</v>
      </c>
      <c r="S667" s="25">
        <f t="shared" ca="1" si="527"/>
        <v>-13212180.475845408</v>
      </c>
    </row>
    <row r="668" spans="1:19" ht="15.75" customHeight="1" x14ac:dyDescent="0.25">
      <c r="A668" s="37">
        <v>71284</v>
      </c>
      <c r="B668" s="398">
        <f t="shared" ref="B668:C668" si="674">($A668-B$9)/365.25</f>
        <v>113.28678986995209</v>
      </c>
      <c r="C668" s="398">
        <f t="shared" si="674"/>
        <v>108.67624914442163</v>
      </c>
      <c r="E668" s="25">
        <f>IF(C668&gt;$B$7,0,'Combined Retirement'!$D$13/12)</f>
        <v>0</v>
      </c>
      <c r="F668" s="25">
        <f>IF(H668=0,'Combined Retirement'!$D$32,0)+'Combined Retirement'!$B$24</f>
        <v>2870.372285649099</v>
      </c>
      <c r="G668" s="25">
        <f>'Combined Retirement'!$C$24</f>
        <v>3254.2644699519233</v>
      </c>
      <c r="H668" s="25">
        <f>IF(B668&lt;62,0,'Combined Retirement'!$I$14)</f>
        <v>2345</v>
      </c>
      <c r="I668" s="25">
        <f>IF(C668&lt;62,0,'Combined Retirement'!$I$13)</f>
        <v>2420</v>
      </c>
      <c r="J668" s="25">
        <f t="shared" si="523"/>
        <v>8395.6297298201844</v>
      </c>
      <c r="K668" s="25">
        <f t="shared" si="524"/>
        <v>21655.303514578787</v>
      </c>
      <c r="L668" s="25"/>
      <c r="N668" s="25">
        <f>'Combined Retirement'!$C$18/12</f>
        <v>40940.569999999992</v>
      </c>
      <c r="O668" s="25">
        <f t="shared" si="525"/>
        <v>10889.636755601023</v>
      </c>
      <c r="P668" s="25">
        <f t="shared" si="526"/>
        <v>30050.93324439897</v>
      </c>
      <c r="Q668" s="25">
        <f t="array" aca="1" ref="Q668" ca="1">INDEX('Isaac 401k'!L:L,MATCH('Retirement Calculator'!A668,'Isaac 401k'!N:N,0),0)</f>
        <v>-5369393.8913968988</v>
      </c>
      <c r="R668" s="25">
        <f t="array" aca="1" ref="R668" ca="1">INDEX('Lorri 401b'!L:L,MATCH('Retirement Calculator'!A668,'Lorri 401b'!N:N,0),0)</f>
        <v>-7928013.4818974473</v>
      </c>
      <c r="S668" s="25">
        <f t="shared" ca="1" si="527"/>
        <v>-13297407.373294346</v>
      </c>
    </row>
    <row r="669" spans="1:19" ht="15.75" customHeight="1" x14ac:dyDescent="0.25">
      <c r="A669" s="37">
        <v>71315</v>
      </c>
      <c r="B669" s="398">
        <f t="shared" ref="B669:C669" si="675">($A669-B$9)/365.25</f>
        <v>113.37166324435319</v>
      </c>
      <c r="C669" s="398">
        <f t="shared" si="675"/>
        <v>108.76112251882273</v>
      </c>
      <c r="E669" s="25">
        <f>IF(C669&gt;$B$7,0,'Combined Retirement'!$D$13/12)</f>
        <v>0</v>
      </c>
      <c r="F669" s="25">
        <f>IF(H669=0,'Combined Retirement'!$D$32,0)+'Combined Retirement'!$B$24</f>
        <v>2870.372285649099</v>
      </c>
      <c r="G669" s="25">
        <f>'Combined Retirement'!$C$24</f>
        <v>3254.2644699519233</v>
      </c>
      <c r="H669" s="25">
        <f>IF(B669&lt;62,0,'Combined Retirement'!$I$14)</f>
        <v>2345</v>
      </c>
      <c r="I669" s="25">
        <f>IF(C669&lt;62,0,'Combined Retirement'!$I$13)</f>
        <v>2420</v>
      </c>
      <c r="J669" s="25">
        <f t="shared" si="523"/>
        <v>8395.6297298201844</v>
      </c>
      <c r="K669" s="25">
        <f t="shared" si="524"/>
        <v>21655.303514578787</v>
      </c>
      <c r="L669" s="25"/>
      <c r="N669" s="25">
        <f>'Combined Retirement'!$C$18/12</f>
        <v>40940.569999999992</v>
      </c>
      <c r="O669" s="25">
        <f t="shared" si="525"/>
        <v>10889.636755601023</v>
      </c>
      <c r="P669" s="25">
        <f t="shared" si="526"/>
        <v>30050.93324439897</v>
      </c>
      <c r="Q669" s="25">
        <f t="array" aca="1" ref="Q669" ca="1">INDEX('Isaac 401k'!L:L,MATCH('Retirement Calculator'!A669,'Isaac 401k'!N:N,0),0)</f>
        <v>-5400196.9774647476</v>
      </c>
      <c r="R669" s="25">
        <f t="array" aca="1" ref="R669" ca="1">INDEX('Lorri 401b'!L:L,MATCH('Retirement Calculator'!A669,'Lorri 401b'!N:N,0),0)</f>
        <v>-7982792.4053512421</v>
      </c>
      <c r="S669" s="25">
        <f t="shared" ca="1" si="527"/>
        <v>-13382989.382815991</v>
      </c>
    </row>
    <row r="670" spans="1:19" ht="15.75" customHeight="1" x14ac:dyDescent="0.25">
      <c r="A670" s="37">
        <v>71345</v>
      </c>
      <c r="B670" s="398">
        <f t="shared" ref="B670:C670" si="676">($A670-B$9)/365.25</f>
        <v>113.45379876796714</v>
      </c>
      <c r="C670" s="398">
        <f t="shared" si="676"/>
        <v>108.84325804243669</v>
      </c>
      <c r="E670" s="25">
        <f>IF(C670&gt;$B$7,0,'Combined Retirement'!$D$13/12)</f>
        <v>0</v>
      </c>
      <c r="F670" s="25">
        <f>IF(H670=0,'Combined Retirement'!$D$32,0)+'Combined Retirement'!$B$24</f>
        <v>2870.372285649099</v>
      </c>
      <c r="G670" s="25">
        <f>'Combined Retirement'!$C$24</f>
        <v>3254.2644699519233</v>
      </c>
      <c r="H670" s="25">
        <f>IF(B670&lt;62,0,'Combined Retirement'!$I$14)</f>
        <v>2345</v>
      </c>
      <c r="I670" s="25">
        <f>IF(C670&lt;62,0,'Combined Retirement'!$I$13)</f>
        <v>2420</v>
      </c>
      <c r="J670" s="25">
        <f t="shared" si="523"/>
        <v>8395.6297298201844</v>
      </c>
      <c r="K670" s="25">
        <f t="shared" si="524"/>
        <v>21655.303514578787</v>
      </c>
      <c r="L670" s="25"/>
      <c r="N670" s="25">
        <f>'Combined Retirement'!$C$18/12</f>
        <v>40940.569999999992</v>
      </c>
      <c r="O670" s="25">
        <f t="shared" si="525"/>
        <v>10889.636755601023</v>
      </c>
      <c r="P670" s="25">
        <f t="shared" si="526"/>
        <v>30050.93324439897</v>
      </c>
      <c r="Q670" s="25">
        <f t="array" aca="1" ref="Q670" ca="1">INDEX('Isaac 401k'!L:L,MATCH('Retirement Calculator'!A670,'Isaac 401k'!N:N,0),0)</f>
        <v>-5431128.4097245457</v>
      </c>
      <c r="R670" s="25">
        <f t="array" aca="1" ref="R670" ca="1">INDEX('Lorri 401b'!L:L,MATCH('Retirement Calculator'!A670,'Lorri 401b'!N:N,0),0)</f>
        <v>-8037799.5743194278</v>
      </c>
      <c r="S670" s="25">
        <f t="shared" ca="1" si="527"/>
        <v>-13468927.984043974</v>
      </c>
    </row>
    <row r="671" spans="1:19" ht="15.75" customHeight="1" x14ac:dyDescent="0.25">
      <c r="A671" s="37">
        <v>71376</v>
      </c>
      <c r="B671" s="398">
        <f t="shared" ref="B671:C671" si="677">($A671-B$9)/365.25</f>
        <v>113.53867214236824</v>
      </c>
      <c r="C671" s="398">
        <f t="shared" si="677"/>
        <v>108.92813141683779</v>
      </c>
      <c r="E671" s="25">
        <f>IF(C671&gt;$B$7,0,'Combined Retirement'!$D$13/12)</f>
        <v>0</v>
      </c>
      <c r="F671" s="25">
        <f>IF(H671=0,'Combined Retirement'!$D$32,0)+'Combined Retirement'!$B$24</f>
        <v>2870.372285649099</v>
      </c>
      <c r="G671" s="25">
        <f>'Combined Retirement'!$C$24</f>
        <v>3254.2644699519233</v>
      </c>
      <c r="H671" s="25">
        <f>IF(B671&lt;62,0,'Combined Retirement'!$I$14)</f>
        <v>2345</v>
      </c>
      <c r="I671" s="25">
        <f>IF(C671&lt;62,0,'Combined Retirement'!$I$13)</f>
        <v>2420</v>
      </c>
      <c r="J671" s="25">
        <f t="shared" si="523"/>
        <v>8395.6297298201844</v>
      </c>
      <c r="K671" s="25">
        <f t="shared" si="524"/>
        <v>21655.303514578787</v>
      </c>
      <c r="L671" s="25"/>
      <c r="N671" s="25">
        <f>'Combined Retirement'!$C$18/12</f>
        <v>40940.569999999992</v>
      </c>
      <c r="O671" s="25">
        <f t="shared" si="525"/>
        <v>10889.636755601023</v>
      </c>
      <c r="P671" s="25">
        <f t="shared" si="526"/>
        <v>30050.93324439897</v>
      </c>
      <c r="Q671" s="25">
        <f t="array" aca="1" ref="Q671" ca="1">INDEX('Isaac 401k'!L:L,MATCH('Retirement Calculator'!A671,'Isaac 401k'!N:N,0),0)</f>
        <v>-5462188.722952093</v>
      </c>
      <c r="R671" s="25">
        <f t="array" aca="1" ref="R671" ca="1">INDEX('Lorri 401b'!L:L,MATCH('Retirement Calculator'!A671,'Lorri 401b'!N:N,0),0)</f>
        <v>-8093035.9398249816</v>
      </c>
      <c r="S671" s="25">
        <f t="shared" ca="1" si="527"/>
        <v>-13555224.662777074</v>
      </c>
    </row>
    <row r="672" spans="1:19" ht="15.75" customHeight="1" x14ac:dyDescent="0.25">
      <c r="A672" s="37">
        <v>71406</v>
      </c>
      <c r="B672" s="398">
        <f t="shared" ref="B672:C672" si="678">($A672-B$9)/365.25</f>
        <v>113.6208076659822</v>
      </c>
      <c r="C672" s="398">
        <f t="shared" si="678"/>
        <v>109.01026694045174</v>
      </c>
      <c r="E672" s="25">
        <f>IF(C672&gt;$B$7,0,'Combined Retirement'!$D$13/12)</f>
        <v>0</v>
      </c>
      <c r="F672" s="25">
        <f>IF(H672=0,'Combined Retirement'!$D$32,0)+'Combined Retirement'!$B$24</f>
        <v>2870.372285649099</v>
      </c>
      <c r="G672" s="25">
        <f>'Combined Retirement'!$C$24</f>
        <v>3254.2644699519233</v>
      </c>
      <c r="H672" s="25">
        <f>IF(B672&lt;62,0,'Combined Retirement'!$I$14)</f>
        <v>2345</v>
      </c>
      <c r="I672" s="25">
        <f>IF(C672&lt;62,0,'Combined Retirement'!$I$13)</f>
        <v>2420</v>
      </c>
      <c r="J672" s="25">
        <f t="shared" si="523"/>
        <v>8395.6297298201844</v>
      </c>
      <c r="K672" s="25">
        <f t="shared" si="524"/>
        <v>21655.303514578787</v>
      </c>
      <c r="L672" s="25"/>
      <c r="N672" s="25">
        <f>'Combined Retirement'!$C$18/12</f>
        <v>40940.569999999992</v>
      </c>
      <c r="O672" s="25">
        <f t="shared" si="525"/>
        <v>10889.636755601023</v>
      </c>
      <c r="P672" s="25">
        <f t="shared" si="526"/>
        <v>30050.93324439897</v>
      </c>
      <c r="Q672" s="25">
        <f t="array" aca="1" ref="Q672" ca="1">INDEX('Isaac 401k'!L:L,MATCH('Retirement Calculator'!A672,'Isaac 401k'!N:N,0),0)</f>
        <v>-5493378.4541514218</v>
      </c>
      <c r="R672" s="25">
        <f t="array" aca="1" ref="R672" ca="1">INDEX('Lorri 401b'!L:L,MATCH('Retirement Calculator'!A672,'Lorri 401b'!N:N,0),0)</f>
        <v>-8148502.4568534745</v>
      </c>
      <c r="S672" s="25">
        <f t="shared" ca="1" si="527"/>
        <v>-13641880.911004897</v>
      </c>
    </row>
    <row r="673" spans="1:19" ht="15.75" customHeight="1" x14ac:dyDescent="0.25">
      <c r="A673" s="37">
        <v>71437</v>
      </c>
      <c r="B673" s="398">
        <f t="shared" ref="B673:C673" si="679">($A673-B$9)/365.25</f>
        <v>113.7056810403833</v>
      </c>
      <c r="C673" s="398">
        <f t="shared" si="679"/>
        <v>109.09514031485284</v>
      </c>
      <c r="E673" s="25">
        <f>IF(C673&gt;$B$7,0,'Combined Retirement'!$D$13/12)</f>
        <v>0</v>
      </c>
      <c r="F673" s="25">
        <f>IF(H673=0,'Combined Retirement'!$D$32,0)+'Combined Retirement'!$B$24</f>
        <v>2870.372285649099</v>
      </c>
      <c r="G673" s="25">
        <f>'Combined Retirement'!$C$24</f>
        <v>3254.2644699519233</v>
      </c>
      <c r="H673" s="25">
        <f>IF(B673&lt;62,0,'Combined Retirement'!$I$14)</f>
        <v>2345</v>
      </c>
      <c r="I673" s="25">
        <f>IF(C673&lt;62,0,'Combined Retirement'!$I$13)</f>
        <v>2420</v>
      </c>
      <c r="J673" s="25">
        <f t="shared" si="523"/>
        <v>8395.6297298201844</v>
      </c>
      <c r="K673" s="25">
        <f t="shared" si="524"/>
        <v>21655.303514578787</v>
      </c>
      <c r="L673" s="25"/>
      <c r="N673" s="25">
        <f>'Combined Retirement'!$C$18/12</f>
        <v>40940.569999999992</v>
      </c>
      <c r="O673" s="25">
        <f t="shared" si="525"/>
        <v>10889.636755601023</v>
      </c>
      <c r="P673" s="25">
        <f t="shared" si="526"/>
        <v>30050.93324439897</v>
      </c>
      <c r="Q673" s="25">
        <f t="array" aca="1" ref="Q673" ca="1">INDEX('Isaac 401k'!L:L,MATCH('Retirement Calculator'!A673,'Isaac 401k'!N:N,0),0)</f>
        <v>-5524698.1425640807</v>
      </c>
      <c r="R673" s="25">
        <f t="array" aca="1" ref="R673" ca="1">INDEX('Lorri 401b'!L:L,MATCH('Retirement Calculator'!A673,'Lorri 401b'!N:N,0),0)</f>
        <v>-8204200.0843695868</v>
      </c>
      <c r="S673" s="25">
        <f t="shared" ca="1" si="527"/>
        <v>-13728898.226933667</v>
      </c>
    </row>
    <row r="674" spans="1:19" ht="15.75" customHeight="1" x14ac:dyDescent="0.25">
      <c r="A674" s="37">
        <v>71468</v>
      </c>
      <c r="B674" s="398">
        <f t="shared" ref="B674:C674" si="680">($A674-B$9)/365.25</f>
        <v>113.7905544147844</v>
      </c>
      <c r="C674" s="398">
        <f t="shared" si="680"/>
        <v>109.18001368925394</v>
      </c>
      <c r="E674" s="25">
        <f>IF(C674&gt;$B$7,0,'Combined Retirement'!$D$13/12)</f>
        <v>0</v>
      </c>
      <c r="F674" s="25">
        <f>IF(H674=0,'Combined Retirement'!$D$32,0)+'Combined Retirement'!$B$24</f>
        <v>2870.372285649099</v>
      </c>
      <c r="G674" s="25">
        <f>'Combined Retirement'!$C$24</f>
        <v>3254.2644699519233</v>
      </c>
      <c r="H674" s="25">
        <f>IF(B674&lt;62,0,'Combined Retirement'!$I$14)</f>
        <v>2345</v>
      </c>
      <c r="I674" s="25">
        <f>IF(C674&lt;62,0,'Combined Retirement'!$I$13)</f>
        <v>2420</v>
      </c>
      <c r="J674" s="25">
        <f t="shared" si="523"/>
        <v>8395.6297298201844</v>
      </c>
      <c r="K674" s="25">
        <f t="shared" si="524"/>
        <v>21655.303514578787</v>
      </c>
      <c r="L674" s="25"/>
      <c r="N674" s="25">
        <f>'Combined Retirement'!$C$18/12</f>
        <v>40940.569999999992</v>
      </c>
      <c r="O674" s="25">
        <f t="shared" si="525"/>
        <v>10889.636755601023</v>
      </c>
      <c r="P674" s="25">
        <f t="shared" si="526"/>
        <v>30050.93324439897</v>
      </c>
      <c r="Q674" s="25">
        <f t="array" aca="1" ref="Q674" ca="1">INDEX('Isaac 401k'!L:L,MATCH('Retirement Calculator'!A674,'Isaac 401k'!N:N,0),0)</f>
        <v>-5556148.3296784591</v>
      </c>
      <c r="R674" s="25">
        <f t="array" aca="1" ref="R674" ca="1">INDEX('Lorri 401b'!L:L,MATCH('Retirement Calculator'!A674,'Lorri 401b'!N:N,0),0)</f>
        <v>-8260129.7853336828</v>
      </c>
      <c r="S674" s="25">
        <f t="shared" ca="1" si="527"/>
        <v>-13816278.115012143</v>
      </c>
    </row>
    <row r="675" spans="1:19" ht="15.75" customHeight="1" x14ac:dyDescent="0.25">
      <c r="A675" s="37">
        <v>71498</v>
      </c>
      <c r="B675" s="398">
        <f t="shared" ref="B675:C675" si="681">($A675-B$9)/365.25</f>
        <v>113.87268993839835</v>
      </c>
      <c r="C675" s="398">
        <f t="shared" si="681"/>
        <v>109.2621492128679</v>
      </c>
      <c r="E675" s="25">
        <f>IF(C675&gt;$B$7,0,'Combined Retirement'!$D$13/12)</f>
        <v>0</v>
      </c>
      <c r="F675" s="25">
        <f>IF(H675=0,'Combined Retirement'!$D$32,0)+'Combined Retirement'!$B$24</f>
        <v>2870.372285649099</v>
      </c>
      <c r="G675" s="25">
        <f>'Combined Retirement'!$C$24</f>
        <v>3254.2644699519233</v>
      </c>
      <c r="H675" s="25">
        <f>IF(B675&lt;62,0,'Combined Retirement'!$I$14)</f>
        <v>2345</v>
      </c>
      <c r="I675" s="25">
        <f>IF(C675&lt;62,0,'Combined Retirement'!$I$13)</f>
        <v>2420</v>
      </c>
      <c r="J675" s="25">
        <f t="shared" si="523"/>
        <v>8395.6297298201844</v>
      </c>
      <c r="K675" s="25">
        <f t="shared" si="524"/>
        <v>21655.303514578787</v>
      </c>
      <c r="L675" s="25"/>
      <c r="N675" s="25">
        <f>'Combined Retirement'!$C$18/12</f>
        <v>40940.569999999992</v>
      </c>
      <c r="O675" s="25">
        <f t="shared" si="525"/>
        <v>10889.636755601023</v>
      </c>
      <c r="P675" s="25">
        <f t="shared" si="526"/>
        <v>30050.93324439897</v>
      </c>
      <c r="Q675" s="25">
        <f t="array" aca="1" ref="Q675" ca="1">INDEX('Isaac 401k'!L:L,MATCH('Retirement Calculator'!A675,'Isaac 401k'!N:N,0),0)</f>
        <v>-5587729.5592391472</v>
      </c>
      <c r="R675" s="25">
        <f t="array" aca="1" ref="R675" ca="1">INDEX('Lorri 401b'!L:L,MATCH('Retirement Calculator'!A675,'Lorri 401b'!N:N,0),0)</f>
        <v>-8316292.5267184619</v>
      </c>
      <c r="S675" s="25">
        <f t="shared" ca="1" si="527"/>
        <v>-13904022.085957609</v>
      </c>
    </row>
    <row r="676" spans="1:19" ht="15.75" customHeight="1" x14ac:dyDescent="0.25">
      <c r="A676" s="37">
        <v>71529</v>
      </c>
      <c r="B676" s="398">
        <f t="shared" ref="B676:C676" si="682">($A676-B$9)/365.25</f>
        <v>113.95756331279945</v>
      </c>
      <c r="C676" s="398">
        <f t="shared" si="682"/>
        <v>109.347022587269</v>
      </c>
      <c r="E676" s="25">
        <f>IF(C676&gt;$B$7,0,'Combined Retirement'!$D$13/12)</f>
        <v>0</v>
      </c>
      <c r="F676" s="25">
        <f>IF(H676=0,'Combined Retirement'!$D$32,0)+'Combined Retirement'!$B$24</f>
        <v>2870.372285649099</v>
      </c>
      <c r="G676" s="25">
        <f>'Combined Retirement'!$C$24</f>
        <v>3254.2644699519233</v>
      </c>
      <c r="H676" s="25">
        <f>IF(B676&lt;62,0,'Combined Retirement'!$I$14)</f>
        <v>2345</v>
      </c>
      <c r="I676" s="25">
        <f>IF(C676&lt;62,0,'Combined Retirement'!$I$13)</f>
        <v>2420</v>
      </c>
      <c r="J676" s="25">
        <f t="shared" si="523"/>
        <v>8395.6297298201844</v>
      </c>
      <c r="K676" s="25">
        <f t="shared" si="524"/>
        <v>21655.303514578787</v>
      </c>
      <c r="L676" s="25"/>
      <c r="N676" s="25">
        <f>'Combined Retirement'!$C$18/12</f>
        <v>40940.569999999992</v>
      </c>
      <c r="O676" s="25">
        <f t="shared" si="525"/>
        <v>10889.636755601023</v>
      </c>
      <c r="P676" s="25">
        <f t="shared" si="526"/>
        <v>30050.93324439897</v>
      </c>
      <c r="Q676" s="25">
        <f t="array" aca="1" ref="Q676" ca="1">INDEX('Isaac 401k'!L:L,MATCH('Retirement Calculator'!A676,'Isaac 401k'!N:N,0),0)</f>
        <v>-5619442.3772563385</v>
      </c>
      <c r="R676" s="25">
        <f t="array" aca="1" ref="R676" ca="1">INDEX('Lorri 401b'!L:L,MATCH('Retirement Calculator'!A676,'Lorri 401b'!N:N,0),0)</f>
        <v>-8372689.2795256777</v>
      </c>
      <c r="S676" s="25">
        <f t="shared" ca="1" si="527"/>
        <v>-13992131.656782016</v>
      </c>
    </row>
    <row r="677" spans="1:19" ht="15.75" customHeight="1" x14ac:dyDescent="0.25">
      <c r="A677" s="37">
        <v>71559</v>
      </c>
      <c r="B677" s="398">
        <f t="shared" ref="B677:C677" si="683">($A677-B$9)/365.25</f>
        <v>114.03969883641342</v>
      </c>
      <c r="C677" s="398">
        <f t="shared" si="683"/>
        <v>109.42915811088295</v>
      </c>
      <c r="E677" s="25">
        <f>IF(C677&gt;$B$7,0,'Combined Retirement'!$D$13/12)</f>
        <v>0</v>
      </c>
      <c r="F677" s="25">
        <f>IF(H677=0,'Combined Retirement'!$D$32,0)+'Combined Retirement'!$B$24</f>
        <v>2870.372285649099</v>
      </c>
      <c r="G677" s="25">
        <f>'Combined Retirement'!$C$24</f>
        <v>3254.2644699519233</v>
      </c>
      <c r="H677" s="25">
        <f>IF(B677&lt;62,0,'Combined Retirement'!$I$14)</f>
        <v>2345</v>
      </c>
      <c r="I677" s="25">
        <f>IF(C677&lt;62,0,'Combined Retirement'!$I$13)</f>
        <v>2420</v>
      </c>
      <c r="J677" s="25">
        <f t="shared" si="523"/>
        <v>8395.6297298201844</v>
      </c>
      <c r="K677" s="25">
        <f t="shared" si="524"/>
        <v>21655.303514578787</v>
      </c>
      <c r="L677" s="25"/>
      <c r="N677" s="25">
        <f>'Combined Retirement'!$C$18/12</f>
        <v>40940.569999999992</v>
      </c>
      <c r="O677" s="25">
        <f t="shared" si="525"/>
        <v>10889.636755601023</v>
      </c>
      <c r="P677" s="25">
        <f t="shared" si="526"/>
        <v>30050.93324439897</v>
      </c>
      <c r="Q677" s="25">
        <f t="array" aca="1" ref="Q677" ca="1">INDEX('Isaac 401k'!L:L,MATCH('Retirement Calculator'!A677,'Isaac 401k'!N:N,0),0)</f>
        <v>-5651287.3320152676</v>
      </c>
      <c r="R677" s="25">
        <f t="array" aca="1" ref="R677" ca="1">INDEX('Lorri 401b'!L:L,MATCH('Retirement Calculator'!A677,'Lorri 401b'!N:N,0),0)</f>
        <v>-8429321.0188029241</v>
      </c>
      <c r="S677" s="25">
        <f t="shared" ca="1" si="527"/>
        <v>-14080608.350818191</v>
      </c>
    </row>
    <row r="678" spans="1:19" ht="15.75" customHeight="1" x14ac:dyDescent="0.25">
      <c r="A678" s="37">
        <v>71590</v>
      </c>
      <c r="B678" s="398">
        <f t="shared" ref="B678:C678" si="684">($A678-B$9)/365.25</f>
        <v>114.12457221081451</v>
      </c>
      <c r="C678" s="398">
        <f t="shared" si="684"/>
        <v>109.51403148528405</v>
      </c>
      <c r="E678" s="25">
        <f>IF(C678&gt;$B$7,0,'Combined Retirement'!$D$13/12)</f>
        <v>0</v>
      </c>
      <c r="F678" s="25">
        <f>IF(H678=0,'Combined Retirement'!$D$32,0)+'Combined Retirement'!$B$24</f>
        <v>2870.372285649099</v>
      </c>
      <c r="G678" s="25">
        <f>'Combined Retirement'!$C$24</f>
        <v>3254.2644699519233</v>
      </c>
      <c r="H678" s="25">
        <f>IF(B678&lt;62,0,'Combined Retirement'!$I$14)</f>
        <v>2345</v>
      </c>
      <c r="I678" s="25">
        <f>IF(C678&lt;62,0,'Combined Retirement'!$I$13)</f>
        <v>2420</v>
      </c>
      <c r="J678" s="25">
        <f t="shared" si="523"/>
        <v>8395.6297298201844</v>
      </c>
      <c r="K678" s="25">
        <f t="shared" si="524"/>
        <v>21655.303514578787</v>
      </c>
      <c r="L678" s="25"/>
      <c r="N678" s="25">
        <f>'Combined Retirement'!$C$18/12</f>
        <v>40940.569999999992</v>
      </c>
      <c r="O678" s="25">
        <f t="shared" si="525"/>
        <v>10889.636755601023</v>
      </c>
      <c r="P678" s="25">
        <f t="shared" si="526"/>
        <v>30050.93324439897</v>
      </c>
      <c r="Q678" s="25">
        <f t="array" aca="1" ref="Q678" ca="1">INDEX('Isaac 401k'!L:L,MATCH('Retirement Calculator'!A678,'Isaac 401k'!N:N,0),0)</f>
        <v>-5683264.9740856923</v>
      </c>
      <c r="R678" s="25">
        <f t="array" aca="1" ref="R678" ca="1">INDEX('Lorri 401b'!L:L,MATCH('Retirement Calculator'!A678,'Lorri 401b'!N:N,0),0)</f>
        <v>-8486188.7236604933</v>
      </c>
      <c r="S678" s="25">
        <f t="shared" ca="1" si="527"/>
        <v>-14169453.697746186</v>
      </c>
    </row>
    <row r="679" spans="1:19" ht="15.75" customHeight="1" x14ac:dyDescent="0.25">
      <c r="A679" s="37">
        <v>71621</v>
      </c>
      <c r="B679" s="398">
        <f t="shared" ref="B679:C679" si="685">($A679-B$9)/365.25</f>
        <v>114.2094455852156</v>
      </c>
      <c r="C679" s="398">
        <f t="shared" si="685"/>
        <v>109.59890485968515</v>
      </c>
      <c r="E679" s="25">
        <f>IF(C679&gt;$B$7,0,'Combined Retirement'!$D$13/12)</f>
        <v>0</v>
      </c>
      <c r="F679" s="25">
        <f>IF(H679=0,'Combined Retirement'!$D$32,0)+'Combined Retirement'!$B$24</f>
        <v>2870.372285649099</v>
      </c>
      <c r="G679" s="25">
        <f>'Combined Retirement'!$C$24</f>
        <v>3254.2644699519233</v>
      </c>
      <c r="H679" s="25">
        <f>IF(B679&lt;62,0,'Combined Retirement'!$I$14)</f>
        <v>2345</v>
      </c>
      <c r="I679" s="25">
        <f>IF(C679&lt;62,0,'Combined Retirement'!$I$13)</f>
        <v>2420</v>
      </c>
      <c r="J679" s="25">
        <f t="shared" si="523"/>
        <v>8395.6297298201844</v>
      </c>
      <c r="K679" s="25">
        <f t="shared" si="524"/>
        <v>21655.303514578787</v>
      </c>
      <c r="L679" s="25"/>
      <c r="N679" s="25">
        <f>'Combined Retirement'!$C$18/12</f>
        <v>40940.569999999992</v>
      </c>
      <c r="O679" s="25">
        <f t="shared" si="525"/>
        <v>10889.636755601023</v>
      </c>
      <c r="P679" s="25">
        <f t="shared" si="526"/>
        <v>30050.93324439897</v>
      </c>
      <c r="Q679" s="25">
        <f t="array" aca="1" ref="Q679" ca="1">INDEX('Isaac 401k'!L:L,MATCH('Retirement Calculator'!A679,'Isaac 401k'!N:N,0),0)</f>
        <v>-5715375.8563314108</v>
      </c>
      <c r="R679" s="25">
        <f t="array" aca="1" ref="R679" ca="1">INDEX('Lorri 401b'!L:L,MATCH('Retirement Calculator'!A679,'Lorri 401b'!N:N,0),0)</f>
        <v>-8543293.3772883024</v>
      </c>
      <c r="S679" s="25">
        <f t="shared" ca="1" si="527"/>
        <v>-14258669.233619712</v>
      </c>
    </row>
    <row r="680" spans="1:19" ht="15.75" customHeight="1" x14ac:dyDescent="0.25">
      <c r="A680" s="37">
        <v>71650</v>
      </c>
      <c r="B680" s="398">
        <f t="shared" ref="B680:C680" si="686">($A680-B$9)/365.25</f>
        <v>114.28884325804243</v>
      </c>
      <c r="C680" s="398">
        <f t="shared" si="686"/>
        <v>109.67830253251198</v>
      </c>
      <c r="E680" s="25">
        <f>IF(C680&gt;$B$7,0,'Combined Retirement'!$D$13/12)</f>
        <v>0</v>
      </c>
      <c r="F680" s="25">
        <f>IF(H680=0,'Combined Retirement'!$D$32,0)+'Combined Retirement'!$B$24</f>
        <v>2870.372285649099</v>
      </c>
      <c r="G680" s="25">
        <f>'Combined Retirement'!$C$24</f>
        <v>3254.2644699519233</v>
      </c>
      <c r="H680" s="25">
        <f>IF(B680&lt;62,0,'Combined Retirement'!$I$14)</f>
        <v>2345</v>
      </c>
      <c r="I680" s="25">
        <f>IF(C680&lt;62,0,'Combined Retirement'!$I$13)</f>
        <v>2420</v>
      </c>
      <c r="J680" s="25">
        <f t="shared" si="523"/>
        <v>8395.6297298201844</v>
      </c>
      <c r="K680" s="25">
        <f t="shared" si="524"/>
        <v>21655.303514578787</v>
      </c>
      <c r="L680" s="25"/>
      <c r="N680" s="25">
        <f>'Combined Retirement'!$C$18/12</f>
        <v>40940.569999999992</v>
      </c>
      <c r="O680" s="25">
        <f t="shared" si="525"/>
        <v>10889.636755601023</v>
      </c>
      <c r="P680" s="25">
        <f t="shared" si="526"/>
        <v>30050.93324439897</v>
      </c>
      <c r="Q680" s="25">
        <f t="array" aca="1" ref="Q680" ca="1">INDEX('Isaac 401k'!L:L,MATCH('Retirement Calculator'!A680,'Isaac 401k'!N:N,0),0)</f>
        <v>-5747620.5339198196</v>
      </c>
      <c r="R680" s="25">
        <f t="array" aca="1" ref="R680" ca="1">INDEX('Lorri 401b'!L:L,MATCH('Retirement Calculator'!A680,'Lorri 401b'!N:N,0),0)</f>
        <v>-8600635.9669728931</v>
      </c>
      <c r="S680" s="25">
        <f t="shared" ca="1" si="527"/>
        <v>-14348256.500892714</v>
      </c>
    </row>
    <row r="681" spans="1:19" ht="15.75" customHeight="1" x14ac:dyDescent="0.25">
      <c r="A681" s="37">
        <v>71681</v>
      </c>
      <c r="B681" s="398">
        <f t="shared" ref="B681:C681" si="687">($A681-B$9)/365.25</f>
        <v>114.37371663244353</v>
      </c>
      <c r="C681" s="398">
        <f t="shared" si="687"/>
        <v>109.76317590691308</v>
      </c>
      <c r="E681" s="25">
        <f>IF(C681&gt;$B$7,0,'Combined Retirement'!$D$13/12)</f>
        <v>0</v>
      </c>
      <c r="F681" s="25">
        <f>IF(H681=0,'Combined Retirement'!$D$32,0)+'Combined Retirement'!$B$24</f>
        <v>2870.372285649099</v>
      </c>
      <c r="G681" s="25">
        <f>'Combined Retirement'!$C$24</f>
        <v>3254.2644699519233</v>
      </c>
      <c r="H681" s="25">
        <f>IF(B681&lt;62,0,'Combined Retirement'!$I$14)</f>
        <v>2345</v>
      </c>
      <c r="I681" s="25">
        <f>IF(C681&lt;62,0,'Combined Retirement'!$I$13)</f>
        <v>2420</v>
      </c>
      <c r="J681" s="25">
        <f t="shared" si="523"/>
        <v>8395.6297298201844</v>
      </c>
      <c r="K681" s="25">
        <f t="shared" si="524"/>
        <v>21655.303514578787</v>
      </c>
      <c r="L681" s="25"/>
      <c r="N681" s="25">
        <f>'Combined Retirement'!$C$18/12</f>
        <v>40940.569999999992</v>
      </c>
      <c r="O681" s="25">
        <f t="shared" si="525"/>
        <v>10889.636755601023</v>
      </c>
      <c r="P681" s="25">
        <f t="shared" si="526"/>
        <v>30050.93324439897</v>
      </c>
      <c r="Q681" s="25">
        <f t="array" aca="1" ref="Q681" ca="1">INDEX('Isaac 401k'!L:L,MATCH('Retirement Calculator'!A681,'Isaac 401k'!N:N,0),0)</f>
        <v>-5779999.5643315138</v>
      </c>
      <c r="R681" s="25">
        <f t="array" aca="1" ref="R681" ca="1">INDEX('Lorri 401b'!L:L,MATCH('Retirement Calculator'!A681,'Lorri 401b'!N:N,0),0)</f>
        <v>-8658217.4841145035</v>
      </c>
      <c r="S681" s="25">
        <f t="shared" ca="1" si="527"/>
        <v>-14438217.048446018</v>
      </c>
    </row>
    <row r="682" spans="1:19" ht="15.75" customHeight="1" x14ac:dyDescent="0.25">
      <c r="A682" s="37">
        <v>71711</v>
      </c>
      <c r="B682" s="398">
        <f t="shared" ref="B682:C682" si="688">($A682-B$9)/365.25</f>
        <v>114.45585215605749</v>
      </c>
      <c r="C682" s="398">
        <f t="shared" si="688"/>
        <v>109.84531143052703</v>
      </c>
      <c r="E682" s="25">
        <f>IF(C682&gt;$B$7,0,'Combined Retirement'!$D$13/12)</f>
        <v>0</v>
      </c>
      <c r="F682" s="25">
        <f>IF(H682=0,'Combined Retirement'!$D$32,0)+'Combined Retirement'!$B$24</f>
        <v>2870.372285649099</v>
      </c>
      <c r="G682" s="25">
        <f>'Combined Retirement'!$C$24</f>
        <v>3254.2644699519233</v>
      </c>
      <c r="H682" s="25">
        <f>IF(B682&lt;62,0,'Combined Retirement'!$I$14)</f>
        <v>2345</v>
      </c>
      <c r="I682" s="25">
        <f>IF(C682&lt;62,0,'Combined Retirement'!$I$13)</f>
        <v>2420</v>
      </c>
      <c r="J682" s="25">
        <f t="shared" si="523"/>
        <v>8395.6297298201844</v>
      </c>
      <c r="K682" s="25">
        <f t="shared" si="524"/>
        <v>21655.303514578787</v>
      </c>
      <c r="L682" s="25"/>
      <c r="N682" s="25">
        <f>'Combined Retirement'!$C$18/12</f>
        <v>40940.569999999992</v>
      </c>
      <c r="O682" s="25">
        <f t="shared" si="525"/>
        <v>10889.636755601023</v>
      </c>
      <c r="P682" s="25">
        <f t="shared" si="526"/>
        <v>30050.93324439897</v>
      </c>
      <c r="Q682" s="25">
        <f t="array" aca="1" ref="Q682" ca="1">INDEX('Isaac 401k'!L:L,MATCH('Retirement Calculator'!A682,'Isaac 401k'!N:N,0),0)</f>
        <v>-5812513.5073699234</v>
      </c>
      <c r="R682" s="25">
        <f t="array" aca="1" ref="R682" ca="1">INDEX('Lorri 401b'!L:L,MATCH('Retirement Calculator'!A682,'Lorri 401b'!N:N,0),0)</f>
        <v>-8716038.9242442045</v>
      </c>
      <c r="S682" s="25">
        <f t="shared" ca="1" si="527"/>
        <v>-14528552.431614127</v>
      </c>
    </row>
    <row r="683" spans="1:19" ht="15.75" customHeight="1" x14ac:dyDescent="0.25">
      <c r="A683" s="37">
        <v>71742</v>
      </c>
      <c r="B683" s="398">
        <f t="shared" ref="B683:C683" si="689">($A683-B$9)/365.25</f>
        <v>114.54072553045859</v>
      </c>
      <c r="C683" s="398">
        <f t="shared" si="689"/>
        <v>109.93018480492813</v>
      </c>
      <c r="E683" s="25">
        <f>IF(C683&gt;$B$7,0,'Combined Retirement'!$D$13/12)</f>
        <v>0</v>
      </c>
      <c r="F683" s="25">
        <f>IF(H683=0,'Combined Retirement'!$D$32,0)+'Combined Retirement'!$B$24</f>
        <v>2870.372285649099</v>
      </c>
      <c r="G683" s="25">
        <f>'Combined Retirement'!$C$24</f>
        <v>3254.2644699519233</v>
      </c>
      <c r="H683" s="25">
        <f>IF(B683&lt;62,0,'Combined Retirement'!$I$14)</f>
        <v>2345</v>
      </c>
      <c r="I683" s="25">
        <f>IF(C683&lt;62,0,'Combined Retirement'!$I$13)</f>
        <v>2420</v>
      </c>
      <c r="J683" s="25">
        <f t="shared" si="523"/>
        <v>8395.6297298201844</v>
      </c>
      <c r="K683" s="25">
        <f t="shared" si="524"/>
        <v>21655.303514578787</v>
      </c>
      <c r="L683" s="25"/>
      <c r="N683" s="25">
        <f>'Combined Retirement'!$C$18/12</f>
        <v>40940.569999999992</v>
      </c>
      <c r="O683" s="25">
        <f t="shared" si="525"/>
        <v>10889.636755601023</v>
      </c>
      <c r="P683" s="25">
        <f t="shared" si="526"/>
        <v>30050.93324439897</v>
      </c>
      <c r="Q683" s="25">
        <f t="array" aca="1" ref="Q683" ca="1">INDEX('Isaac 401k'!L:L,MATCH('Retirement Calculator'!A683,'Isaac 401k'!N:N,0),0)</f>
        <v>-5845162.9251709925</v>
      </c>
      <c r="R683" s="25">
        <f t="array" aca="1" ref="R683" ca="1">INDEX('Lorri 401b'!L:L,MATCH('Retirement Calculator'!A683,'Lorri 401b'!N:N,0),0)</f>
        <v>-8774101.2870411128</v>
      </c>
      <c r="S683" s="25">
        <f t="shared" ca="1" si="527"/>
        <v>-14619264.212212104</v>
      </c>
    </row>
    <row r="684" spans="1:19" ht="15.75" customHeight="1" x14ac:dyDescent="0.25">
      <c r="A684" s="37">
        <v>71772</v>
      </c>
      <c r="B684" s="398">
        <f t="shared" ref="B684:C684" si="690">($A684-B$9)/365.25</f>
        <v>114.62286105407256</v>
      </c>
      <c r="C684" s="398">
        <f t="shared" si="690"/>
        <v>110.01232032854209</v>
      </c>
      <c r="E684" s="25">
        <f>IF(C684&gt;$B$7,0,'Combined Retirement'!$D$13/12)</f>
        <v>0</v>
      </c>
      <c r="F684" s="25">
        <f>IF(H684=0,'Combined Retirement'!$D$32,0)+'Combined Retirement'!$B$24</f>
        <v>2870.372285649099</v>
      </c>
      <c r="G684" s="25">
        <f>'Combined Retirement'!$C$24</f>
        <v>3254.2644699519233</v>
      </c>
      <c r="H684" s="25">
        <f>IF(B684&lt;62,0,'Combined Retirement'!$I$14)</f>
        <v>2345</v>
      </c>
      <c r="I684" s="25">
        <f>IF(C684&lt;62,0,'Combined Retirement'!$I$13)</f>
        <v>2420</v>
      </c>
      <c r="J684" s="25">
        <f t="shared" si="523"/>
        <v>8395.6297298201844</v>
      </c>
      <c r="K684" s="25">
        <f t="shared" si="524"/>
        <v>21655.303514578787</v>
      </c>
      <c r="L684" s="25"/>
      <c r="N684" s="25">
        <f>'Combined Retirement'!$C$18/12</f>
        <v>40940.569999999992</v>
      </c>
      <c r="O684" s="25">
        <f t="shared" si="525"/>
        <v>10889.636755601023</v>
      </c>
      <c r="P684" s="25">
        <f t="shared" si="526"/>
        <v>30050.93324439897</v>
      </c>
      <c r="Q684" s="25">
        <f t="array" aca="1" ref="Q684" ca="1">INDEX('Isaac 401k'!L:L,MATCH('Retirement Calculator'!A684,'Isaac 401k'!N:N,0),0)</f>
        <v>-5877948.3822128996</v>
      </c>
      <c r="R684" s="25">
        <f t="array" aca="1" ref="R684" ca="1">INDEX('Lorri 401b'!L:L,MATCH('Retirement Calculator'!A684,'Lorri 401b'!N:N,0),0)</f>
        <v>-8832405.5763496738</v>
      </c>
      <c r="S684" s="25">
        <f t="shared" ca="1" si="527"/>
        <v>-14710353.958562573</v>
      </c>
    </row>
    <row r="685" spans="1:19" ht="15.75" customHeight="1" x14ac:dyDescent="0.25">
      <c r="A685" s="37">
        <v>71803</v>
      </c>
      <c r="B685" s="398">
        <f t="shared" ref="B685:C685" si="691">($A685-B$9)/365.25</f>
        <v>114.70773442847364</v>
      </c>
      <c r="C685" s="398">
        <f t="shared" si="691"/>
        <v>110.09719370294319</v>
      </c>
      <c r="E685" s="25">
        <f>IF(C685&gt;$B$7,0,'Combined Retirement'!$D$13/12)</f>
        <v>0</v>
      </c>
      <c r="F685" s="25">
        <f>IF(H685=0,'Combined Retirement'!$D$32,0)+'Combined Retirement'!$B$24</f>
        <v>2870.372285649099</v>
      </c>
      <c r="G685" s="25">
        <f>'Combined Retirement'!$C$24</f>
        <v>3254.2644699519233</v>
      </c>
      <c r="H685" s="25">
        <f>IF(B685&lt;62,0,'Combined Retirement'!$I$14)</f>
        <v>2345</v>
      </c>
      <c r="I685" s="25">
        <f>IF(C685&lt;62,0,'Combined Retirement'!$I$13)</f>
        <v>2420</v>
      </c>
      <c r="J685" s="25">
        <f t="shared" si="523"/>
        <v>8395.6297298201844</v>
      </c>
      <c r="K685" s="25">
        <f t="shared" si="524"/>
        <v>21655.303514578787</v>
      </c>
      <c r="L685" s="25"/>
      <c r="N685" s="25">
        <f>'Combined Retirement'!$C$18/12</f>
        <v>40940.569999999992</v>
      </c>
      <c r="O685" s="25">
        <f t="shared" si="525"/>
        <v>10889.636755601023</v>
      </c>
      <c r="P685" s="25">
        <f t="shared" si="526"/>
        <v>30050.93324439897</v>
      </c>
      <c r="Q685" s="25">
        <f t="array" aca="1" ref="Q685" ca="1">INDEX('Isaac 401k'!L:L,MATCH('Retirement Calculator'!A685,'Isaac 401k'!N:N,0),0)</f>
        <v>-5910870.4453258151</v>
      </c>
      <c r="R685" s="25">
        <f t="array" aca="1" ref="R685" ca="1">INDEX('Lorri 401b'!L:L,MATCH('Retirement Calculator'!A685,'Lorri 401b'!N:N,0),0)</f>
        <v>-8890952.8001970202</v>
      </c>
      <c r="S685" s="25">
        <f t="shared" ca="1" si="527"/>
        <v>-14801823.245522834</v>
      </c>
    </row>
    <row r="686" spans="1:19" ht="15.75" customHeight="1" x14ac:dyDescent="0.25">
      <c r="A686" s="37">
        <v>71834</v>
      </c>
      <c r="B686" s="398">
        <f t="shared" ref="B686:C686" si="692">($A686-B$9)/365.25</f>
        <v>114.79260780287474</v>
      </c>
      <c r="C686" s="398">
        <f t="shared" si="692"/>
        <v>110.18206707734429</v>
      </c>
      <c r="E686" s="25">
        <f>IF(C686&gt;$B$7,0,'Combined Retirement'!$D$13/12)</f>
        <v>0</v>
      </c>
      <c r="F686" s="25">
        <f>IF(H686=0,'Combined Retirement'!$D$32,0)+'Combined Retirement'!$B$24</f>
        <v>2870.372285649099</v>
      </c>
      <c r="G686" s="25">
        <f>'Combined Retirement'!$C$24</f>
        <v>3254.2644699519233</v>
      </c>
      <c r="H686" s="25">
        <f>IF(B686&lt;62,0,'Combined Retirement'!$I$14)</f>
        <v>2345</v>
      </c>
      <c r="I686" s="25">
        <f>IF(C686&lt;62,0,'Combined Retirement'!$I$13)</f>
        <v>2420</v>
      </c>
      <c r="J686" s="25">
        <f t="shared" si="523"/>
        <v>8395.6297298201844</v>
      </c>
      <c r="K686" s="25">
        <f t="shared" si="524"/>
        <v>21655.303514578787</v>
      </c>
      <c r="L686" s="25"/>
      <c r="N686" s="25">
        <f>'Combined Retirement'!$C$18/12</f>
        <v>40940.569999999992</v>
      </c>
      <c r="O686" s="25">
        <f t="shared" si="525"/>
        <v>10889.636755601023</v>
      </c>
      <c r="P686" s="25">
        <f t="shared" si="526"/>
        <v>30050.93324439897</v>
      </c>
      <c r="Q686" s="25">
        <f t="array" aca="1" ref="Q686" ca="1">INDEX('Isaac 401k'!L:L,MATCH('Retirement Calculator'!A686,'Isaac 401k'!N:N,0),0)</f>
        <v>-5943929.6837017005</v>
      </c>
      <c r="R686" s="25">
        <f t="array" aca="1" ref="R686" ca="1">INDEX('Lorri 401b'!L:L,MATCH('Retirement Calculator'!A686,'Lorri 401b'!N:N,0),0)</f>
        <v>-8949743.9708103985</v>
      </c>
      <c r="S686" s="25">
        <f t="shared" ca="1" si="527"/>
        <v>-14893673.6545121</v>
      </c>
    </row>
    <row r="687" spans="1:19" ht="15.75" customHeight="1" x14ac:dyDescent="0.25">
      <c r="A687" s="37">
        <v>71864</v>
      </c>
      <c r="B687" s="398">
        <f t="shared" ref="B687:C687" si="693">($A687-B$9)/365.25</f>
        <v>114.87474332648871</v>
      </c>
      <c r="C687" s="398">
        <f t="shared" si="693"/>
        <v>110.26420260095824</v>
      </c>
      <c r="E687" s="25">
        <f>IF(C687&gt;$B$7,0,'Combined Retirement'!$D$13/12)</f>
        <v>0</v>
      </c>
      <c r="F687" s="25">
        <f>IF(H687=0,'Combined Retirement'!$D$32,0)+'Combined Retirement'!$B$24</f>
        <v>2870.372285649099</v>
      </c>
      <c r="G687" s="25">
        <f>'Combined Retirement'!$C$24</f>
        <v>3254.2644699519233</v>
      </c>
      <c r="H687" s="25">
        <f>IF(B687&lt;62,0,'Combined Retirement'!$I$14)</f>
        <v>2345</v>
      </c>
      <c r="I687" s="25">
        <f>IF(C687&lt;62,0,'Combined Retirement'!$I$13)</f>
        <v>2420</v>
      </c>
      <c r="J687" s="25">
        <f t="shared" si="523"/>
        <v>8395.6297298201844</v>
      </c>
      <c r="K687" s="25">
        <f t="shared" si="524"/>
        <v>21655.303514578787</v>
      </c>
      <c r="L687" s="25"/>
      <c r="N687" s="25">
        <f>'Combined Retirement'!$C$18/12</f>
        <v>40940.569999999992</v>
      </c>
      <c r="O687" s="25">
        <f t="shared" si="525"/>
        <v>10889.636755601023</v>
      </c>
      <c r="P687" s="25">
        <f t="shared" si="526"/>
        <v>30050.93324439897</v>
      </c>
      <c r="Q687" s="25">
        <f t="array" aca="1" ref="Q687" ca="1">INDEX('Isaac 401k'!L:L,MATCH('Retirement Calculator'!A687,'Isaac 401k'!N:N,0),0)</f>
        <v>-5977126.6689041527</v>
      </c>
      <c r="R687" s="25">
        <f t="array" aca="1" ref="R687" ca="1">INDEX('Lorri 401b'!L:L,MATCH('Retirement Calculator'!A687,'Lorri 401b'!N:N,0),0)</f>
        <v>-9008780.104634665</v>
      </c>
      <c r="S687" s="25">
        <f t="shared" ca="1" si="527"/>
        <v>-14985906.773538817</v>
      </c>
    </row>
    <row r="688" spans="1:19" ht="15.75" customHeight="1" x14ac:dyDescent="0.25">
      <c r="A688" s="37">
        <v>71895</v>
      </c>
      <c r="B688" s="398">
        <f t="shared" ref="B688:C688" si="694">($A688-B$9)/365.25</f>
        <v>114.9596167008898</v>
      </c>
      <c r="C688" s="398">
        <f t="shared" si="694"/>
        <v>110.34907597535934</v>
      </c>
      <c r="E688" s="25">
        <f>IF(C688&gt;$B$7,0,'Combined Retirement'!$D$13/12)</f>
        <v>0</v>
      </c>
      <c r="F688" s="25">
        <f>IF(H688=0,'Combined Retirement'!$D$32,0)+'Combined Retirement'!$B$24</f>
        <v>2870.372285649099</v>
      </c>
      <c r="G688" s="25">
        <f>'Combined Retirement'!$C$24</f>
        <v>3254.2644699519233</v>
      </c>
      <c r="H688" s="25">
        <f>IF(B688&lt;62,0,'Combined Retirement'!$I$14)</f>
        <v>2345</v>
      </c>
      <c r="I688" s="25">
        <f>IF(C688&lt;62,0,'Combined Retirement'!$I$13)</f>
        <v>2420</v>
      </c>
      <c r="J688" s="25">
        <f t="shared" si="523"/>
        <v>8395.6297298201844</v>
      </c>
      <c r="K688" s="25">
        <f t="shared" si="524"/>
        <v>21655.303514578787</v>
      </c>
      <c r="L688" s="25"/>
      <c r="N688" s="25">
        <f>'Combined Retirement'!$C$18/12</f>
        <v>40940.569999999992</v>
      </c>
      <c r="O688" s="25">
        <f t="shared" si="525"/>
        <v>10889.636755601023</v>
      </c>
      <c r="P688" s="25">
        <f t="shared" si="526"/>
        <v>30050.93324439897</v>
      </c>
      <c r="Q688" s="25">
        <f t="array" aca="1" ref="Q688" ca="1">INDEX('Isaac 401k'!L:L,MATCH('Retirement Calculator'!A688,'Isaac 401k'!N:N,0),0)</f>
        <v>-6010461.9748782814</v>
      </c>
      <c r="R688" s="25">
        <f t="array" aca="1" ref="R688" ca="1">INDEX('Lorri 401b'!L:L,MATCH('Retirement Calculator'!A688,'Lorri 401b'!N:N,0),0)</f>
        <v>-9068062.2223498654</v>
      </c>
      <c r="S688" s="25">
        <f t="shared" ca="1" si="527"/>
        <v>-15078524.197228147</v>
      </c>
    </row>
    <row r="689" spans="1:19" ht="15.75" customHeight="1" x14ac:dyDescent="0.25">
      <c r="A689" s="37">
        <v>71925</v>
      </c>
      <c r="B689" s="398">
        <f t="shared" ref="B689:C689" si="695">($A689-B$9)/365.25</f>
        <v>115.04175222450377</v>
      </c>
      <c r="C689" s="398">
        <f t="shared" si="695"/>
        <v>110.43121149897331</v>
      </c>
      <c r="E689" s="25">
        <f>IF(C689&gt;$B$7,0,'Combined Retirement'!$D$13/12)</f>
        <v>0</v>
      </c>
      <c r="F689" s="25">
        <f>IF(H689=0,'Combined Retirement'!$D$32,0)+'Combined Retirement'!$B$24</f>
        <v>2870.372285649099</v>
      </c>
      <c r="G689" s="25">
        <f>'Combined Retirement'!$C$24</f>
        <v>3254.2644699519233</v>
      </c>
      <c r="H689" s="25">
        <f>IF(B689&lt;62,0,'Combined Retirement'!$I$14)</f>
        <v>2345</v>
      </c>
      <c r="I689" s="25">
        <f>IF(C689&lt;62,0,'Combined Retirement'!$I$13)</f>
        <v>2420</v>
      </c>
      <c r="J689" s="25">
        <f t="shared" si="523"/>
        <v>8395.6297298201844</v>
      </c>
      <c r="K689" s="25">
        <f t="shared" si="524"/>
        <v>21655.303514578787</v>
      </c>
      <c r="L689" s="25"/>
      <c r="N689" s="25">
        <f>'Combined Retirement'!$C$18/12</f>
        <v>40940.569999999992</v>
      </c>
      <c r="O689" s="25">
        <f t="shared" si="525"/>
        <v>10889.636755601023</v>
      </c>
      <c r="P689" s="25">
        <f t="shared" si="526"/>
        <v>30050.93324439897</v>
      </c>
      <c r="Q689" s="25">
        <f t="array" aca="1" ref="Q689" ca="1">INDEX('Isaac 401k'!L:L,MATCH('Retirement Calculator'!A689,'Isaac 401k'!N:N,0),0)</f>
        <v>-6043936.1779606352</v>
      </c>
      <c r="R689" s="25">
        <f t="array" aca="1" ref="R689" ca="1">INDEX('Lorri 401b'!L:L,MATCH('Retirement Calculator'!A689,'Lorri 401b'!N:N,0),0)</f>
        <v>-9127591.3488888796</v>
      </c>
      <c r="S689" s="25">
        <f t="shared" ca="1" si="527"/>
        <v>-15171527.526849516</v>
      </c>
    </row>
    <row r="690" spans="1:19" ht="15.75" customHeight="1" x14ac:dyDescent="0.25">
      <c r="A690" s="37">
        <v>71956</v>
      </c>
      <c r="B690" s="398">
        <f t="shared" ref="B690:C690" si="696">($A690-B$9)/365.25</f>
        <v>115.12662559890487</v>
      </c>
      <c r="C690" s="398">
        <f t="shared" si="696"/>
        <v>110.5160848733744</v>
      </c>
      <c r="E690" s="25">
        <f>IF(C690&gt;$B$7,0,'Combined Retirement'!$D$13/12)</f>
        <v>0</v>
      </c>
      <c r="F690" s="25">
        <f>IF(H690=0,'Combined Retirement'!$D$32,0)+'Combined Retirement'!$B$24</f>
        <v>2870.372285649099</v>
      </c>
      <c r="G690" s="25">
        <f>'Combined Retirement'!$C$24</f>
        <v>3254.2644699519233</v>
      </c>
      <c r="H690" s="25">
        <f>IF(B690&lt;62,0,'Combined Retirement'!$I$14)</f>
        <v>2345</v>
      </c>
      <c r="I690" s="25">
        <f>IF(C690&lt;62,0,'Combined Retirement'!$I$13)</f>
        <v>2420</v>
      </c>
      <c r="J690" s="25">
        <f t="shared" si="523"/>
        <v>8395.6297298201844</v>
      </c>
      <c r="K690" s="25">
        <f t="shared" si="524"/>
        <v>21655.303514578787</v>
      </c>
      <c r="L690" s="25"/>
      <c r="N690" s="25">
        <f>'Combined Retirement'!$C$18/12</f>
        <v>40940.569999999992</v>
      </c>
      <c r="O690" s="25">
        <f t="shared" si="525"/>
        <v>10889.636755601023</v>
      </c>
      <c r="P690" s="25">
        <f t="shared" si="526"/>
        <v>30050.93324439897</v>
      </c>
      <c r="Q690" s="25">
        <f t="array" aca="1" ref="Q690" ca="1">INDEX('Isaac 401k'!L:L,MATCH('Retirement Calculator'!A690,'Isaac 401k'!N:N,0),0)</f>
        <v>-6077549.8568891659</v>
      </c>
      <c r="R690" s="25">
        <f t="array" aca="1" ref="R690" ca="1">INDEX('Lorri 401b'!L:L,MATCH('Retirement Calculator'!A690,'Lorri 401b'!N:N,0),0)</f>
        <v>-9187368.5134551395</v>
      </c>
      <c r="S690" s="25">
        <f t="shared" ca="1" si="527"/>
        <v>-15264918.370344305</v>
      </c>
    </row>
    <row r="691" spans="1:19" ht="15.75" customHeight="1" x14ac:dyDescent="0.25">
      <c r="A691" s="37">
        <v>71987</v>
      </c>
      <c r="B691" s="398">
        <f t="shared" ref="B691:C691" si="697">($A691-B$9)/365.25</f>
        <v>115.21149897330595</v>
      </c>
      <c r="C691" s="398">
        <f t="shared" si="697"/>
        <v>110.60095824777549</v>
      </c>
      <c r="E691" s="25">
        <f>IF(C691&gt;$B$7,0,'Combined Retirement'!$D$13/12)</f>
        <v>0</v>
      </c>
      <c r="F691" s="25">
        <f>IF(H691=0,'Combined Retirement'!$D$32,0)+'Combined Retirement'!$B$24</f>
        <v>2870.372285649099</v>
      </c>
      <c r="G691" s="25">
        <f>'Combined Retirement'!$C$24</f>
        <v>3254.2644699519233</v>
      </c>
      <c r="H691" s="25">
        <f>IF(B691&lt;62,0,'Combined Retirement'!$I$14)</f>
        <v>2345</v>
      </c>
      <c r="I691" s="25">
        <f>IF(C691&lt;62,0,'Combined Retirement'!$I$13)</f>
        <v>2420</v>
      </c>
      <c r="J691" s="25">
        <f t="shared" si="523"/>
        <v>8395.6297298201844</v>
      </c>
      <c r="K691" s="25">
        <f t="shared" si="524"/>
        <v>21655.303514578787</v>
      </c>
      <c r="L691" s="25"/>
      <c r="N691" s="25">
        <f>'Combined Retirement'!$C$18/12</f>
        <v>40940.569999999992</v>
      </c>
      <c r="O691" s="25">
        <f t="shared" si="525"/>
        <v>10889.636755601023</v>
      </c>
      <c r="P691" s="25">
        <f t="shared" si="526"/>
        <v>30050.93324439897</v>
      </c>
      <c r="Q691" s="25">
        <f t="array" aca="1" ref="Q691" ca="1">INDEX('Isaac 401k'!L:L,MATCH('Retirement Calculator'!A691,'Isaac 401k'!N:N,0),0)</f>
        <v>-6111303.592813232</v>
      </c>
      <c r="R691" s="25">
        <f t="array" aca="1" ref="R691" ca="1">INDEX('Lorri 401b'!L:L,MATCH('Retirement Calculator'!A691,'Lorri 401b'!N:N,0),0)</f>
        <v>-9247394.7495404258</v>
      </c>
      <c r="S691" s="25">
        <f t="shared" ca="1" si="527"/>
        <v>-15358698.342353657</v>
      </c>
    </row>
    <row r="692" spans="1:19" ht="15.75" customHeight="1" x14ac:dyDescent="0.25">
      <c r="A692" s="37">
        <v>72015</v>
      </c>
      <c r="B692" s="398">
        <f t="shared" ref="B692:C692" si="698">($A692-B$9)/365.25</f>
        <v>115.28815879534565</v>
      </c>
      <c r="C692" s="398">
        <f t="shared" si="698"/>
        <v>110.6776180698152</v>
      </c>
      <c r="E692" s="25">
        <f>IF(C692&gt;$B$7,0,'Combined Retirement'!$D$13/12)</f>
        <v>0</v>
      </c>
      <c r="F692" s="25">
        <f>IF(H692=0,'Combined Retirement'!$D$32,0)+'Combined Retirement'!$B$24</f>
        <v>2870.372285649099</v>
      </c>
      <c r="G692" s="25">
        <f>'Combined Retirement'!$C$24</f>
        <v>3254.2644699519233</v>
      </c>
      <c r="H692" s="25">
        <f>IF(B692&lt;62,0,'Combined Retirement'!$I$14)</f>
        <v>2345</v>
      </c>
      <c r="I692" s="25">
        <f>IF(C692&lt;62,0,'Combined Retirement'!$I$13)</f>
        <v>2420</v>
      </c>
      <c r="J692" s="25">
        <f t="shared" si="523"/>
        <v>8395.6297298201844</v>
      </c>
      <c r="K692" s="25">
        <f t="shared" si="524"/>
        <v>21655.303514578787</v>
      </c>
      <c r="L692" s="25"/>
      <c r="N692" s="25">
        <f>'Combined Retirement'!$C$18/12</f>
        <v>40940.569999999992</v>
      </c>
      <c r="O692" s="25">
        <f t="shared" si="525"/>
        <v>10889.636755601023</v>
      </c>
      <c r="P692" s="25">
        <f t="shared" si="526"/>
        <v>30050.93324439897</v>
      </c>
      <c r="Q692" s="25">
        <f t="array" aca="1" ref="Q692" ca="1">INDEX('Isaac 401k'!L:L,MATCH('Retirement Calculator'!A692,'Isaac 401k'!N:N,0),0)</f>
        <v>-6145197.969303648</v>
      </c>
      <c r="R692" s="25">
        <f t="array" aca="1" ref="R692" ca="1">INDEX('Lorri 401b'!L:L,MATCH('Retirement Calculator'!A692,'Lorri 401b'!N:N,0),0)</f>
        <v>-9307671.0949427336</v>
      </c>
      <c r="S692" s="25">
        <f t="shared" ca="1" si="527"/>
        <v>-15452869.064246383</v>
      </c>
    </row>
    <row r="693" spans="1:19" ht="15.75" customHeight="1" x14ac:dyDescent="0.25">
      <c r="A693" s="37">
        <v>72046</v>
      </c>
      <c r="B693" s="398">
        <f t="shared" ref="B693:C693" si="699">($A693-B$9)/365.25</f>
        <v>115.37303216974675</v>
      </c>
      <c r="C693" s="398">
        <f t="shared" si="699"/>
        <v>110.76249144421629</v>
      </c>
      <c r="E693" s="25">
        <f>IF(C693&gt;$B$7,0,'Combined Retirement'!$D$13/12)</f>
        <v>0</v>
      </c>
      <c r="F693" s="25">
        <f>IF(H693=0,'Combined Retirement'!$D$32,0)+'Combined Retirement'!$B$24</f>
        <v>2870.372285649099</v>
      </c>
      <c r="G693" s="25">
        <f>'Combined Retirement'!$C$24</f>
        <v>3254.2644699519233</v>
      </c>
      <c r="H693" s="25">
        <f>IF(B693&lt;62,0,'Combined Retirement'!$I$14)</f>
        <v>2345</v>
      </c>
      <c r="I693" s="25">
        <f>IF(C693&lt;62,0,'Combined Retirement'!$I$13)</f>
        <v>2420</v>
      </c>
      <c r="J693" s="25">
        <f t="shared" si="523"/>
        <v>8395.6297298201844</v>
      </c>
      <c r="K693" s="25">
        <f t="shared" si="524"/>
        <v>21655.303514578787</v>
      </c>
      <c r="L693" s="25"/>
      <c r="N693" s="25">
        <f>'Combined Retirement'!$C$18/12</f>
        <v>40940.569999999992</v>
      </c>
      <c r="O693" s="25">
        <f t="shared" si="525"/>
        <v>10889.636755601023</v>
      </c>
      <c r="P693" s="25">
        <f t="shared" si="526"/>
        <v>30050.93324439897</v>
      </c>
      <c r="Q693" s="25">
        <f t="array" aca="1" ref="Q693" ca="1">INDEX('Isaac 401k'!L:L,MATCH('Retirement Calculator'!A693,'Isaac 401k'!N:N,0),0)</f>
        <v>-6179233.572362775</v>
      </c>
      <c r="R693" s="25">
        <f t="array" aca="1" ref="R693" ca="1">INDEX('Lorri 401b'!L:L,MATCH('Retirement Calculator'!A693,'Lorri 401b'!N:N,0),0)</f>
        <v>-9368198.5917842183</v>
      </c>
      <c r="S693" s="25">
        <f t="shared" ca="1" si="527"/>
        <v>-15547432.164146993</v>
      </c>
    </row>
    <row r="694" spans="1:19" ht="15.75" customHeight="1" x14ac:dyDescent="0.25">
      <c r="A694" s="37">
        <v>72076</v>
      </c>
      <c r="B694" s="398">
        <f t="shared" ref="B694:C694" si="700">($A694-B$9)/365.25</f>
        <v>115.45516769336071</v>
      </c>
      <c r="C694" s="398">
        <f t="shared" si="700"/>
        <v>110.84462696783025</v>
      </c>
      <c r="E694" s="25">
        <f>IF(C694&gt;$B$7,0,'Combined Retirement'!$D$13/12)</f>
        <v>0</v>
      </c>
      <c r="F694" s="25">
        <f>IF(H694=0,'Combined Retirement'!$D$32,0)+'Combined Retirement'!$B$24</f>
        <v>2870.372285649099</v>
      </c>
      <c r="G694" s="25">
        <f>'Combined Retirement'!$C$24</f>
        <v>3254.2644699519233</v>
      </c>
      <c r="H694" s="25">
        <f>IF(B694&lt;62,0,'Combined Retirement'!$I$14)</f>
        <v>2345</v>
      </c>
      <c r="I694" s="25">
        <f>IF(C694&lt;62,0,'Combined Retirement'!$I$13)</f>
        <v>2420</v>
      </c>
      <c r="J694" s="25">
        <f t="shared" si="523"/>
        <v>8395.6297298201844</v>
      </c>
      <c r="K694" s="25">
        <f t="shared" si="524"/>
        <v>21655.303514578787</v>
      </c>
      <c r="L694" s="25"/>
      <c r="N694" s="25">
        <f>'Combined Retirement'!$C$18/12</f>
        <v>40940.569999999992</v>
      </c>
      <c r="O694" s="25">
        <f t="shared" si="525"/>
        <v>10889.636755601023</v>
      </c>
      <c r="P694" s="25">
        <f t="shared" si="526"/>
        <v>30050.93324439897</v>
      </c>
      <c r="Q694" s="25">
        <f t="array" aca="1" ref="Q694" ca="1">INDEX('Isaac 401k'!L:L,MATCH('Retirement Calculator'!A694,'Isaac 401k'!N:N,0),0)</f>
        <v>-6213410.9904346475</v>
      </c>
      <c r="R694" s="25">
        <f t="array" aca="1" ref="R694" ca="1">INDEX('Lorri 401b'!L:L,MATCH('Retirement Calculator'!A694,'Lorri 401b'!N:N,0),0)</f>
        <v>-9428978.2865292095</v>
      </c>
      <c r="S694" s="25">
        <f t="shared" ca="1" si="527"/>
        <v>-15642389.276963856</v>
      </c>
    </row>
    <row r="695" spans="1:19" ht="15.75" customHeight="1" x14ac:dyDescent="0.25">
      <c r="A695" s="37">
        <v>72107</v>
      </c>
      <c r="B695" s="398">
        <f t="shared" ref="B695:C695" si="701">($A695-B$9)/365.25</f>
        <v>115.54004106776181</v>
      </c>
      <c r="C695" s="398">
        <f t="shared" si="701"/>
        <v>110.92950034223135</v>
      </c>
      <c r="E695" s="25">
        <f>IF(C695&gt;$B$7,0,'Combined Retirement'!$D$13/12)</f>
        <v>0</v>
      </c>
      <c r="F695" s="25">
        <f>IF(H695=0,'Combined Retirement'!$D$32,0)+'Combined Retirement'!$B$24</f>
        <v>2870.372285649099</v>
      </c>
      <c r="G695" s="25">
        <f>'Combined Retirement'!$C$24</f>
        <v>3254.2644699519233</v>
      </c>
      <c r="H695" s="25">
        <f>IF(B695&lt;62,0,'Combined Retirement'!$I$14)</f>
        <v>2345</v>
      </c>
      <c r="I695" s="25">
        <f>IF(C695&lt;62,0,'Combined Retirement'!$I$13)</f>
        <v>2420</v>
      </c>
      <c r="J695" s="25">
        <f t="shared" si="523"/>
        <v>8395.6297298201844</v>
      </c>
      <c r="K695" s="25">
        <f t="shared" si="524"/>
        <v>21655.303514578787</v>
      </c>
      <c r="L695" s="25"/>
      <c r="N695" s="25">
        <f>'Combined Retirement'!$C$18/12</f>
        <v>40940.569999999992</v>
      </c>
      <c r="O695" s="25">
        <f t="shared" si="525"/>
        <v>10889.636755601023</v>
      </c>
      <c r="P695" s="25">
        <f t="shared" si="526"/>
        <v>30050.93324439897</v>
      </c>
      <c r="Q695" s="25">
        <f t="array" aca="1" ref="Q695" ca="1">INDEX('Isaac 401k'!L:L,MATCH('Retirement Calculator'!A695,'Isaac 401k'!N:N,0),0)</f>
        <v>-6247730.8144151531</v>
      </c>
      <c r="R695" s="25">
        <f t="array" aca="1" ref="R695" ca="1">INDEX('Lorri 401b'!L:L,MATCH('Retirement Calculator'!A695,'Lorri 401b'!N:N,0),0)</f>
        <v>-9490011.2300023045</v>
      </c>
      <c r="S695" s="25">
        <f t="shared" ca="1" si="527"/>
        <v>-15737742.044417458</v>
      </c>
    </row>
    <row r="696" spans="1:19" ht="15.75" customHeight="1" x14ac:dyDescent="0.25">
      <c r="A696" s="37">
        <v>72137</v>
      </c>
      <c r="B696" s="398">
        <f t="shared" ref="B696:C696" si="702">($A696-B$9)/365.25</f>
        <v>115.62217659137578</v>
      </c>
      <c r="C696" s="398">
        <f t="shared" si="702"/>
        <v>111.01163586584531</v>
      </c>
      <c r="E696" s="25">
        <f>IF(C696&gt;$B$7,0,'Combined Retirement'!$D$13/12)</f>
        <v>0</v>
      </c>
      <c r="F696" s="25">
        <f>IF(H696=0,'Combined Retirement'!$D$32,0)+'Combined Retirement'!$B$24</f>
        <v>2870.372285649099</v>
      </c>
      <c r="G696" s="25">
        <f>'Combined Retirement'!$C$24</f>
        <v>3254.2644699519233</v>
      </c>
      <c r="H696" s="25">
        <f>IF(B696&lt;62,0,'Combined Retirement'!$I$14)</f>
        <v>2345</v>
      </c>
      <c r="I696" s="25">
        <f>IF(C696&lt;62,0,'Combined Retirement'!$I$13)</f>
        <v>2420</v>
      </c>
      <c r="J696" s="25">
        <f t="shared" si="523"/>
        <v>8395.6297298201844</v>
      </c>
      <c r="K696" s="25">
        <f t="shared" si="524"/>
        <v>21655.303514578787</v>
      </c>
      <c r="L696" s="25"/>
      <c r="N696" s="25">
        <f>'Combined Retirement'!$C$18/12</f>
        <v>40940.569999999992</v>
      </c>
      <c r="O696" s="25">
        <f t="shared" si="525"/>
        <v>10889.636755601023</v>
      </c>
      <c r="P696" s="25">
        <f t="shared" si="526"/>
        <v>30050.93324439897</v>
      </c>
      <c r="Q696" s="25">
        <f t="array" aca="1" ref="Q696" ca="1">INDEX('Isaac 401k'!L:L,MATCH('Retirement Calculator'!A696,'Isaac 401k'!N:N,0),0)</f>
        <v>-6282193.637662244</v>
      </c>
      <c r="R696" s="25">
        <f t="array" aca="1" ref="R696" ca="1">INDEX('Lorri 401b'!L:L,MATCH('Retirement Calculator'!A696,'Lorri 401b'!N:N,0),0)</f>
        <v>-9551298.4774065372</v>
      </c>
      <c r="S696" s="25">
        <f t="shared" ca="1" si="527"/>
        <v>-15833492.115068782</v>
      </c>
    </row>
    <row r="697" spans="1:19" ht="15.75" customHeight="1" x14ac:dyDescent="0.25">
      <c r="A697" s="37">
        <v>72168</v>
      </c>
      <c r="B697" s="398">
        <f t="shared" ref="B697:C697" si="703">($A697-B$9)/365.25</f>
        <v>115.70704996577686</v>
      </c>
      <c r="C697" s="398">
        <f t="shared" si="703"/>
        <v>111.09650924024641</v>
      </c>
      <c r="E697" s="25">
        <f>IF(C697&gt;$B$7,0,'Combined Retirement'!$D$13/12)</f>
        <v>0</v>
      </c>
      <c r="F697" s="25">
        <f>IF(H697=0,'Combined Retirement'!$D$32,0)+'Combined Retirement'!$B$24</f>
        <v>2870.372285649099</v>
      </c>
      <c r="G697" s="25">
        <f>'Combined Retirement'!$C$24</f>
        <v>3254.2644699519233</v>
      </c>
      <c r="H697" s="25">
        <f>IF(B697&lt;62,0,'Combined Retirement'!$I$14)</f>
        <v>2345</v>
      </c>
      <c r="I697" s="25">
        <f>IF(C697&lt;62,0,'Combined Retirement'!$I$13)</f>
        <v>2420</v>
      </c>
      <c r="J697" s="25">
        <f t="shared" si="523"/>
        <v>8395.6297298201844</v>
      </c>
      <c r="K697" s="25">
        <f t="shared" si="524"/>
        <v>21655.303514578787</v>
      </c>
      <c r="L697" s="25"/>
      <c r="N697" s="25">
        <f>'Combined Retirement'!$C$18/12</f>
        <v>40940.569999999992</v>
      </c>
      <c r="O697" s="25">
        <f t="shared" si="525"/>
        <v>10889.636755601023</v>
      </c>
      <c r="P697" s="25">
        <f t="shared" si="526"/>
        <v>30050.93324439897</v>
      </c>
      <c r="Q697" s="25">
        <f t="array" aca="1" ref="Q697" ca="1">INDEX('Isaac 401k'!L:L,MATCH('Retirement Calculator'!A697,'Isaac 401k'!N:N,0),0)</f>
        <v>-6316800.0560061978</v>
      </c>
      <c r="R697" s="25">
        <f t="array" aca="1" ref="R697" ca="1">INDEX('Lorri 401b'!L:L,MATCH('Retirement Calculator'!A697,'Lorri 401b'!N:N,0),0)</f>
        <v>-9612841.0883416217</v>
      </c>
      <c r="S697" s="25">
        <f t="shared" ca="1" si="527"/>
        <v>-15929641.14434782</v>
      </c>
    </row>
    <row r="698" spans="1:19" ht="15.75" customHeight="1" x14ac:dyDescent="0.25">
      <c r="A698" s="37">
        <v>72199</v>
      </c>
      <c r="B698" s="398">
        <f t="shared" ref="B698:C698" si="704">($A698-B$9)/365.25</f>
        <v>115.79192334017796</v>
      </c>
      <c r="C698" s="398">
        <f t="shared" si="704"/>
        <v>111.1813826146475</v>
      </c>
      <c r="E698" s="25">
        <f>IF(C698&gt;$B$7,0,'Combined Retirement'!$D$13/12)</f>
        <v>0</v>
      </c>
      <c r="F698" s="25">
        <f>IF(H698=0,'Combined Retirement'!$D$32,0)+'Combined Retirement'!$B$24</f>
        <v>2870.372285649099</v>
      </c>
      <c r="G698" s="25">
        <f>'Combined Retirement'!$C$24</f>
        <v>3254.2644699519233</v>
      </c>
      <c r="H698" s="25">
        <f>IF(B698&lt;62,0,'Combined Retirement'!$I$14)</f>
        <v>2345</v>
      </c>
      <c r="I698" s="25">
        <f>IF(C698&lt;62,0,'Combined Retirement'!$I$13)</f>
        <v>2420</v>
      </c>
      <c r="J698" s="25">
        <f t="shared" si="523"/>
        <v>8395.6297298201844</v>
      </c>
      <c r="K698" s="25">
        <f t="shared" si="524"/>
        <v>21655.303514578787</v>
      </c>
      <c r="L698" s="25"/>
      <c r="N698" s="25">
        <f>'Combined Retirement'!$C$18/12</f>
        <v>40940.569999999992</v>
      </c>
      <c r="O698" s="25">
        <f t="shared" si="525"/>
        <v>10889.636755601023</v>
      </c>
      <c r="P698" s="25">
        <f t="shared" si="526"/>
        <v>30050.93324439897</v>
      </c>
      <c r="Q698" s="25">
        <f t="array" aca="1" ref="Q698" ca="1">INDEX('Isaac 401k'!L:L,MATCH('Retirement Calculator'!A698,'Isaac 401k'!N:N,0),0)</f>
        <v>-6351550.6677599186</v>
      </c>
      <c r="R698" s="25">
        <f t="array" aca="1" ref="R698" ca="1">INDEX('Lorri 401b'!L:L,MATCH('Retirement Calculator'!A698,'Lorri 401b'!N:N,0),0)</f>
        <v>-9674640.1268222686</v>
      </c>
      <c r="S698" s="25">
        <f t="shared" ca="1" si="527"/>
        <v>-16026190.794582188</v>
      </c>
    </row>
    <row r="699" spans="1:19" ht="15.75" customHeight="1" x14ac:dyDescent="0.25">
      <c r="A699" s="37">
        <v>72229</v>
      </c>
      <c r="B699" s="398">
        <f t="shared" ref="B699:C699" si="705">($A699-B$9)/365.25</f>
        <v>115.87405886379193</v>
      </c>
      <c r="C699" s="398">
        <f t="shared" si="705"/>
        <v>111.26351813826146</v>
      </c>
      <c r="E699" s="25">
        <f>IF(C699&gt;$B$7,0,'Combined Retirement'!$D$13/12)</f>
        <v>0</v>
      </c>
      <c r="F699" s="25">
        <f>IF(H699=0,'Combined Retirement'!$D$32,0)+'Combined Retirement'!$B$24</f>
        <v>2870.372285649099</v>
      </c>
      <c r="G699" s="25">
        <f>'Combined Retirement'!$C$24</f>
        <v>3254.2644699519233</v>
      </c>
      <c r="H699" s="25">
        <f>IF(B699&lt;62,0,'Combined Retirement'!$I$14)</f>
        <v>2345</v>
      </c>
      <c r="I699" s="25">
        <f>IF(C699&lt;62,0,'Combined Retirement'!$I$13)</f>
        <v>2420</v>
      </c>
      <c r="J699" s="25">
        <f t="shared" si="523"/>
        <v>8395.6297298201844</v>
      </c>
      <c r="K699" s="25">
        <f t="shared" si="524"/>
        <v>21655.303514578787</v>
      </c>
      <c r="L699" s="25"/>
      <c r="N699" s="25">
        <f>'Combined Retirement'!$C$18/12</f>
        <v>40940.569999999992</v>
      </c>
      <c r="O699" s="25">
        <f t="shared" si="525"/>
        <v>10889.636755601023</v>
      </c>
      <c r="P699" s="25">
        <f t="shared" si="526"/>
        <v>30050.93324439897</v>
      </c>
      <c r="Q699" s="25">
        <f t="array" aca="1" ref="Q699" ca="1">INDEX('Isaac 401k'!L:L,MATCH('Retirement Calculator'!A699,'Isaac 401k'!N:N,0),0)</f>
        <v>-6386446.0737292795</v>
      </c>
      <c r="R699" s="25">
        <f t="array" aca="1" ref="R699" ca="1">INDEX('Lorri 401b'!L:L,MATCH('Retirement Calculator'!A699,'Lorri 401b'!N:N,0),0)</f>
        <v>-9736696.6612965856</v>
      </c>
      <c r="S699" s="25">
        <f t="shared" ca="1" si="527"/>
        <v>-16123142.735025864</v>
      </c>
    </row>
    <row r="700" spans="1:19" ht="15.75" customHeight="1" x14ac:dyDescent="0.25">
      <c r="A700" s="37">
        <v>72260</v>
      </c>
      <c r="B700" s="398">
        <f t="shared" ref="B700:C700" si="706">($A700-B$9)/365.25</f>
        <v>115.95893223819301</v>
      </c>
      <c r="C700" s="398">
        <f t="shared" si="706"/>
        <v>111.34839151266256</v>
      </c>
      <c r="E700" s="25">
        <f>IF(C700&gt;$B$7,0,'Combined Retirement'!$D$13/12)</f>
        <v>0</v>
      </c>
      <c r="F700" s="25">
        <f>IF(H700=0,'Combined Retirement'!$D$32,0)+'Combined Retirement'!$B$24</f>
        <v>2870.372285649099</v>
      </c>
      <c r="G700" s="25">
        <f>'Combined Retirement'!$C$24</f>
        <v>3254.2644699519233</v>
      </c>
      <c r="H700" s="25">
        <f>IF(B700&lt;62,0,'Combined Retirement'!$I$14)</f>
        <v>2345</v>
      </c>
      <c r="I700" s="25">
        <f>IF(C700&lt;62,0,'Combined Retirement'!$I$13)</f>
        <v>2420</v>
      </c>
      <c r="J700" s="25">
        <f t="shared" si="523"/>
        <v>8395.6297298201844</v>
      </c>
      <c r="K700" s="25">
        <f t="shared" si="524"/>
        <v>21655.303514578787</v>
      </c>
      <c r="L700" s="25"/>
      <c r="N700" s="25">
        <f>'Combined Retirement'!$C$18/12</f>
        <v>40940.569999999992</v>
      </c>
      <c r="O700" s="25">
        <f t="shared" si="525"/>
        <v>10889.636755601023</v>
      </c>
      <c r="P700" s="25">
        <f t="shared" si="526"/>
        <v>30050.93324439897</v>
      </c>
      <c r="Q700" s="25">
        <f t="array" aca="1" ref="Q700" ca="1">INDEX('Isaac 401k'!L:L,MATCH('Retirement Calculator'!A700,'Isaac 401k'!N:N,0),0)</f>
        <v>-6421486.8772235131</v>
      </c>
      <c r="R700" s="25">
        <f t="array" aca="1" ref="R700" ca="1">INDEX('Lorri 401b'!L:L,MATCH('Retirement Calculator'!A700,'Lorri 401b'!N:N,0),0)</f>
        <v>-9799011.7646645457</v>
      </c>
      <c r="S700" s="25">
        <f t="shared" ca="1" si="527"/>
        <v>-16220498.64188806</v>
      </c>
    </row>
    <row r="701" spans="1:19" ht="15.75" customHeight="1" x14ac:dyDescent="0.25">
      <c r="A701" s="37">
        <v>72290</v>
      </c>
      <c r="B701" s="398">
        <f t="shared" ref="B701:C701" si="707">($A701-B$9)/365.25</f>
        <v>116.04106776180699</v>
      </c>
      <c r="C701" s="398">
        <f t="shared" si="707"/>
        <v>111.43052703627653</v>
      </c>
      <c r="E701" s="25">
        <f>IF(C701&gt;$B$7,0,'Combined Retirement'!$D$13/12)</f>
        <v>0</v>
      </c>
      <c r="F701" s="25">
        <f>IF(H701=0,'Combined Retirement'!$D$32,0)+'Combined Retirement'!$B$24</f>
        <v>2870.372285649099</v>
      </c>
      <c r="G701" s="25">
        <f>'Combined Retirement'!$C$24</f>
        <v>3254.2644699519233</v>
      </c>
      <c r="H701" s="25">
        <f>IF(B701&lt;62,0,'Combined Retirement'!$I$14)</f>
        <v>2345</v>
      </c>
      <c r="I701" s="25">
        <f>IF(C701&lt;62,0,'Combined Retirement'!$I$13)</f>
        <v>2420</v>
      </c>
      <c r="J701" s="25">
        <f t="shared" si="523"/>
        <v>8395.6297298201844</v>
      </c>
      <c r="K701" s="25">
        <f t="shared" si="524"/>
        <v>21655.303514578787</v>
      </c>
      <c r="L701" s="25"/>
      <c r="N701" s="25">
        <f>'Combined Retirement'!$C$18/12</f>
        <v>40940.569999999992</v>
      </c>
      <c r="O701" s="25">
        <f t="shared" si="525"/>
        <v>10889.636755601023</v>
      </c>
      <c r="P701" s="25">
        <f t="shared" si="526"/>
        <v>30050.93324439897</v>
      </c>
      <c r="Q701" s="25">
        <f t="array" aca="1" ref="Q701" ca="1">INDEX('Isaac 401k'!L:L,MATCH('Retirement Calculator'!A701,'Isaac 401k'!N:N,0),0)</f>
        <v>-6456673.684065639</v>
      </c>
      <c r="R701" s="25">
        <f t="array" aca="1" ref="R701" ca="1">INDEX('Lorri 401b'!L:L,MATCH('Retirement Calculator'!A701,'Lorri 401b'!N:N,0),0)</f>
        <v>-9861586.5142965373</v>
      </c>
      <c r="S701" s="25">
        <f t="shared" ca="1" si="527"/>
        <v>-16318260.198362175</v>
      </c>
    </row>
    <row r="702" spans="1:19" ht="15.75" customHeight="1" x14ac:dyDescent="0.25">
      <c r="A702" s="37">
        <v>72321</v>
      </c>
      <c r="B702" s="398">
        <f t="shared" ref="B702:C702" si="708">($A702-B$9)/365.25</f>
        <v>116.12594113620807</v>
      </c>
      <c r="C702" s="398">
        <f t="shared" si="708"/>
        <v>111.51540041067761</v>
      </c>
      <c r="E702" s="25">
        <f>IF(C702&gt;$B$7,0,'Combined Retirement'!$D$13/12)</f>
        <v>0</v>
      </c>
      <c r="F702" s="25">
        <f>IF(H702=0,'Combined Retirement'!$D$32,0)+'Combined Retirement'!$B$24</f>
        <v>2870.372285649099</v>
      </c>
      <c r="G702" s="25">
        <f>'Combined Retirement'!$C$24</f>
        <v>3254.2644699519233</v>
      </c>
      <c r="H702" s="25">
        <f>IF(B702&lt;62,0,'Combined Retirement'!$I$14)</f>
        <v>2345</v>
      </c>
      <c r="I702" s="25">
        <f>IF(C702&lt;62,0,'Combined Retirement'!$I$13)</f>
        <v>2420</v>
      </c>
      <c r="J702" s="25">
        <f t="shared" si="523"/>
        <v>8395.6297298201844</v>
      </c>
      <c r="K702" s="25">
        <f t="shared" si="524"/>
        <v>21655.303514578787</v>
      </c>
      <c r="L702" s="25"/>
      <c r="N702" s="25">
        <f>'Combined Retirement'!$C$18/12</f>
        <v>40940.569999999992</v>
      </c>
      <c r="O702" s="25">
        <f t="shared" si="525"/>
        <v>10889.636755601023</v>
      </c>
      <c r="P702" s="25">
        <f t="shared" si="526"/>
        <v>30050.93324439897</v>
      </c>
      <c r="Q702" s="25">
        <f t="array" aca="1" ref="Q702" ca="1">INDEX('Isaac 401k'!L:L,MATCH('Retirement Calculator'!A702,'Isaac 401k'!N:N,0),0)</f>
        <v>-6492007.102602941</v>
      </c>
      <c r="R702" s="25">
        <f t="array" aca="1" ref="R702" ca="1">INDEX('Lorri 401b'!L:L,MATCH('Retirement Calculator'!A702,'Lorri 401b'!N:N,0),0)</f>
        <v>-9924421.9920519963</v>
      </c>
      <c r="S702" s="25">
        <f t="shared" ca="1" si="527"/>
        <v>-16416429.094654936</v>
      </c>
    </row>
    <row r="703" spans="1:19" ht="15.75" customHeight="1" x14ac:dyDescent="0.25">
      <c r="A703" s="37">
        <v>72352</v>
      </c>
      <c r="B703" s="398">
        <f t="shared" ref="B703:C703" si="709">($A703-B$9)/365.25</f>
        <v>116.21081451060917</v>
      </c>
      <c r="C703" s="398">
        <f t="shared" si="709"/>
        <v>111.60027378507871</v>
      </c>
      <c r="E703" s="25">
        <f>IF(C703&gt;$B$7,0,'Combined Retirement'!$D$13/12)</f>
        <v>0</v>
      </c>
      <c r="F703" s="25">
        <f>IF(H703=0,'Combined Retirement'!$D$32,0)+'Combined Retirement'!$B$24</f>
        <v>2870.372285649099</v>
      </c>
      <c r="G703" s="25">
        <f>'Combined Retirement'!$C$24</f>
        <v>3254.2644699519233</v>
      </c>
      <c r="H703" s="25">
        <f>IF(B703&lt;62,0,'Combined Retirement'!$I$14)</f>
        <v>2345</v>
      </c>
      <c r="I703" s="25">
        <f>IF(C703&lt;62,0,'Combined Retirement'!$I$13)</f>
        <v>2420</v>
      </c>
      <c r="J703" s="25">
        <f t="shared" si="523"/>
        <v>8395.6297298201844</v>
      </c>
      <c r="K703" s="25">
        <f t="shared" si="524"/>
        <v>21655.303514578787</v>
      </c>
      <c r="L703" s="25"/>
      <c r="N703" s="25">
        <f>'Combined Retirement'!$C$18/12</f>
        <v>40940.569999999992</v>
      </c>
      <c r="O703" s="25">
        <f t="shared" si="525"/>
        <v>10889.636755601023</v>
      </c>
      <c r="P703" s="25">
        <f t="shared" si="526"/>
        <v>30050.93324439897</v>
      </c>
      <c r="Q703" s="25">
        <f t="array" aca="1" ref="Q703" ca="1">INDEX('Isaac 401k'!L:L,MATCH('Retirement Calculator'!A703,'Isaac 401k'!N:N,0),0)</f>
        <v>-6527487.7437174814</v>
      </c>
      <c r="R703" s="25">
        <f t="array" aca="1" ref="R703" ca="1">INDEX('Lorri 401b'!L:L,MATCH('Retirement Calculator'!A703,'Lorri 401b'!N:N,0),0)</f>
        <v>-9987519.2842981033</v>
      </c>
      <c r="S703" s="25">
        <f t="shared" ca="1" si="527"/>
        <v>-16515007.028015584</v>
      </c>
    </row>
    <row r="704" spans="1:19" ht="15.75" customHeight="1" x14ac:dyDescent="0.25">
      <c r="A704" s="37">
        <v>72380</v>
      </c>
      <c r="B704" s="398">
        <f t="shared" ref="B704:C704" si="710">($A704-B$9)/365.25</f>
        <v>116.28747433264887</v>
      </c>
      <c r="C704" s="398">
        <f t="shared" si="710"/>
        <v>111.67693360711841</v>
      </c>
      <c r="E704" s="25">
        <f>IF(C704&gt;$B$7,0,'Combined Retirement'!$D$13/12)</f>
        <v>0</v>
      </c>
      <c r="F704" s="25">
        <f>IF(H704=0,'Combined Retirement'!$D$32,0)+'Combined Retirement'!$B$24</f>
        <v>2870.372285649099</v>
      </c>
      <c r="G704" s="25">
        <f>'Combined Retirement'!$C$24</f>
        <v>3254.2644699519233</v>
      </c>
      <c r="H704" s="25">
        <f>IF(B704&lt;62,0,'Combined Retirement'!$I$14)</f>
        <v>2345</v>
      </c>
      <c r="I704" s="25">
        <f>IF(C704&lt;62,0,'Combined Retirement'!$I$13)</f>
        <v>2420</v>
      </c>
      <c r="J704" s="25">
        <f t="shared" si="523"/>
        <v>8395.6297298201844</v>
      </c>
      <c r="K704" s="25">
        <f t="shared" si="524"/>
        <v>21655.303514578787</v>
      </c>
      <c r="L704" s="25"/>
      <c r="N704" s="25">
        <f>'Combined Retirement'!$C$18/12</f>
        <v>40940.569999999992</v>
      </c>
      <c r="O704" s="25">
        <f t="shared" si="525"/>
        <v>10889.636755601023</v>
      </c>
      <c r="P704" s="25">
        <f t="shared" si="526"/>
        <v>30050.93324439897</v>
      </c>
      <c r="Q704" s="25">
        <f t="array" aca="1" ref="Q704" ca="1">INDEX('Isaac 401k'!L:L,MATCH('Retirement Calculator'!A704,'Isaac 401k'!N:N,0),0)</f>
        <v>-6563116.2208366655</v>
      </c>
      <c r="R704" s="25">
        <f t="array" aca="1" ref="R704" ca="1">INDEX('Lorri 401b'!L:L,MATCH('Retirement Calculator'!A704,'Lorri 401b'!N:N,0),0)</f>
        <v>-10050879.481928568</v>
      </c>
      <c r="S704" s="25">
        <f t="shared" ca="1" si="527"/>
        <v>-16613995.702765234</v>
      </c>
    </row>
    <row r="705" spans="1:19" ht="15.75" customHeight="1" x14ac:dyDescent="0.25">
      <c r="A705" s="37">
        <v>72411</v>
      </c>
      <c r="B705" s="398">
        <f t="shared" ref="B705:C705" si="711">($A705-B$9)/365.25</f>
        <v>116.37234770704997</v>
      </c>
      <c r="C705" s="398">
        <f t="shared" si="711"/>
        <v>111.76180698151951</v>
      </c>
      <c r="E705" s="25">
        <f>IF(C705&gt;$B$7,0,'Combined Retirement'!$D$13/12)</f>
        <v>0</v>
      </c>
      <c r="F705" s="25">
        <f>IF(H705=0,'Combined Retirement'!$D$32,0)+'Combined Retirement'!$B$24</f>
        <v>2870.372285649099</v>
      </c>
      <c r="G705" s="25">
        <f>'Combined Retirement'!$C$24</f>
        <v>3254.2644699519233</v>
      </c>
      <c r="H705" s="25">
        <f>IF(B705&lt;62,0,'Combined Retirement'!$I$14)</f>
        <v>2345</v>
      </c>
      <c r="I705" s="25">
        <f>IF(C705&lt;62,0,'Combined Retirement'!$I$13)</f>
        <v>2420</v>
      </c>
      <c r="J705" s="25">
        <f t="shared" si="523"/>
        <v>8395.6297298201844</v>
      </c>
      <c r="K705" s="25">
        <f t="shared" si="524"/>
        <v>21655.303514578787</v>
      </c>
      <c r="L705" s="25"/>
      <c r="N705" s="25">
        <f>'Combined Retirement'!$C$18/12</f>
        <v>40940.569999999992</v>
      </c>
      <c r="O705" s="25">
        <f t="shared" si="525"/>
        <v>10889.636755601023</v>
      </c>
      <c r="P705" s="25">
        <f t="shared" si="526"/>
        <v>30050.93324439897</v>
      </c>
      <c r="Q705" s="25">
        <f t="array" aca="1" ref="Q705" ca="1">INDEX('Isaac 401k'!L:L,MATCH('Retirement Calculator'!A705,'Isaac 401k'!N:N,0),0)</f>
        <v>-6598893.1499438463</v>
      </c>
      <c r="R705" s="25">
        <f t="array" aca="1" ref="R705" ca="1">INDEX('Lorri 401b'!L:L,MATCH('Retirement Calculator'!A705,'Lorri 401b'!N:N,0),0)</f>
        <v>-10114503.680382494</v>
      </c>
      <c r="S705" s="25">
        <f t="shared" ca="1" si="527"/>
        <v>-16713396.830326341</v>
      </c>
    </row>
    <row r="706" spans="1:19" ht="15.75" customHeight="1" x14ac:dyDescent="0.25">
      <c r="A706" s="37">
        <v>72441</v>
      </c>
      <c r="B706" s="398">
        <f t="shared" ref="B706:C706" si="712">($A706-B$9)/365.25</f>
        <v>116.45448323066393</v>
      </c>
      <c r="C706" s="398">
        <f t="shared" si="712"/>
        <v>111.84394250513347</v>
      </c>
      <c r="E706" s="25">
        <f>IF(C706&gt;$B$7,0,'Combined Retirement'!$D$13/12)</f>
        <v>0</v>
      </c>
      <c r="F706" s="25">
        <f>IF(H706=0,'Combined Retirement'!$D$32,0)+'Combined Retirement'!$B$24</f>
        <v>2870.372285649099</v>
      </c>
      <c r="G706" s="25">
        <f>'Combined Retirement'!$C$24</f>
        <v>3254.2644699519233</v>
      </c>
      <c r="H706" s="25">
        <f>IF(B706&lt;62,0,'Combined Retirement'!$I$14)</f>
        <v>2345</v>
      </c>
      <c r="I706" s="25">
        <f>IF(C706&lt;62,0,'Combined Retirement'!$I$13)</f>
        <v>2420</v>
      </c>
      <c r="J706" s="25">
        <f t="shared" si="523"/>
        <v>8395.6297298201844</v>
      </c>
      <c r="K706" s="25">
        <f t="shared" si="524"/>
        <v>21655.303514578787</v>
      </c>
      <c r="L706" s="25"/>
      <c r="N706" s="25">
        <f>'Combined Retirement'!$C$18/12</f>
        <v>40940.569999999992</v>
      </c>
      <c r="O706" s="25">
        <f t="shared" si="525"/>
        <v>10889.636755601023</v>
      </c>
      <c r="P706" s="25">
        <f t="shared" si="526"/>
        <v>30050.93324439897</v>
      </c>
      <c r="Q706" s="25">
        <f t="array" aca="1" ref="Q706" ca="1">INDEX('Isaac 401k'!L:L,MATCH('Retirement Calculator'!A706,'Isaac 401k'!N:N,0),0)</f>
        <v>-6634819.1495889733</v>
      </c>
      <c r="R706" s="25">
        <f t="array" aca="1" ref="R706" ca="1">INDEX('Lorri 401b'!L:L,MATCH('Retirement Calculator'!A706,'Lorri 401b'!N:N,0),0)</f>
        <v>-10178392.979663311</v>
      </c>
      <c r="S706" s="25">
        <f t="shared" ca="1" si="527"/>
        <v>-16813212.129252285</v>
      </c>
    </row>
    <row r="707" spans="1:19" ht="15.75" customHeight="1" x14ac:dyDescent="0.25">
      <c r="A707" s="37">
        <v>72472</v>
      </c>
      <c r="B707" s="398">
        <f t="shared" ref="B707:C707" si="713">($A707-B$9)/365.25</f>
        <v>116.53935660506502</v>
      </c>
      <c r="C707" s="398">
        <f t="shared" si="713"/>
        <v>111.92881587953457</v>
      </c>
      <c r="E707" s="25">
        <f>IF(C707&gt;$B$7,0,'Combined Retirement'!$D$13/12)</f>
        <v>0</v>
      </c>
      <c r="F707" s="25">
        <f>IF(H707=0,'Combined Retirement'!$D$32,0)+'Combined Retirement'!$B$24</f>
        <v>2870.372285649099</v>
      </c>
      <c r="G707" s="25">
        <f>'Combined Retirement'!$C$24</f>
        <v>3254.2644699519233</v>
      </c>
      <c r="H707" s="25">
        <f>IF(B707&lt;62,0,'Combined Retirement'!$I$14)</f>
        <v>2345</v>
      </c>
      <c r="I707" s="25">
        <f>IF(C707&lt;62,0,'Combined Retirement'!$I$13)</f>
        <v>2420</v>
      </c>
      <c r="J707" s="25">
        <f t="shared" si="523"/>
        <v>8395.6297298201844</v>
      </c>
      <c r="K707" s="25">
        <f t="shared" si="524"/>
        <v>21655.303514578787</v>
      </c>
      <c r="L707" s="25"/>
      <c r="N707" s="25">
        <f>'Combined Retirement'!$C$18/12</f>
        <v>40940.569999999992</v>
      </c>
      <c r="O707" s="25">
        <f t="shared" si="525"/>
        <v>10889.636755601023</v>
      </c>
      <c r="P707" s="25">
        <f t="shared" si="526"/>
        <v>30050.93324439897</v>
      </c>
      <c r="Q707" s="25">
        <f t="array" aca="1" ref="Q707" ca="1">INDEX('Isaac 401k'!L:L,MATCH('Retirement Calculator'!A707,'Isaac 401k'!N:N,0),0)</f>
        <v>-6670894.8408992887</v>
      </c>
      <c r="R707" s="25">
        <f t="array" aca="1" ref="R707" ca="1">INDEX('Lorri 401b'!L:L,MATCH('Retirement Calculator'!A707,'Lorri 401b'!N:N,0),0)</f>
        <v>-10242548.484357798</v>
      </c>
      <c r="S707" s="25">
        <f t="shared" ca="1" si="527"/>
        <v>-16913443.325257085</v>
      </c>
    </row>
    <row r="708" spans="1:19" ht="15.75" customHeight="1" x14ac:dyDescent="0.25">
      <c r="A708" s="37">
        <v>72502</v>
      </c>
      <c r="B708" s="398">
        <f t="shared" ref="B708:C708" si="714">($A708-B$9)/365.25</f>
        <v>116.62149212867898</v>
      </c>
      <c r="C708" s="398">
        <f t="shared" si="714"/>
        <v>112.01095140314852</v>
      </c>
      <c r="E708" s="25">
        <f>IF(C708&gt;$B$7,0,'Combined Retirement'!$D$13/12)</f>
        <v>0</v>
      </c>
      <c r="F708" s="25">
        <f>IF(H708=0,'Combined Retirement'!$D$32,0)+'Combined Retirement'!$B$24</f>
        <v>2870.372285649099</v>
      </c>
      <c r="G708" s="25">
        <f>'Combined Retirement'!$C$24</f>
        <v>3254.2644699519233</v>
      </c>
      <c r="H708" s="25">
        <f>IF(B708&lt;62,0,'Combined Retirement'!$I$14)</f>
        <v>2345</v>
      </c>
      <c r="I708" s="25">
        <f>IF(C708&lt;62,0,'Combined Retirement'!$I$13)</f>
        <v>2420</v>
      </c>
      <c r="J708" s="25">
        <f t="shared" si="523"/>
        <v>8395.6297298201844</v>
      </c>
      <c r="K708" s="25">
        <f t="shared" si="524"/>
        <v>21655.303514578787</v>
      </c>
      <c r="L708" s="25"/>
      <c r="N708" s="25">
        <f>'Combined Retirement'!$C$18/12</f>
        <v>40940.569999999992</v>
      </c>
      <c r="O708" s="25">
        <f t="shared" si="525"/>
        <v>10889.636755601023</v>
      </c>
      <c r="P708" s="25">
        <f t="shared" si="526"/>
        <v>30050.93324439897</v>
      </c>
      <c r="Q708" s="25">
        <f t="array" aca="1" ref="Q708" ca="1">INDEX('Isaac 401k'!L:L,MATCH('Retirement Calculator'!A708,'Isaac 401k'!N:N,0),0)</f>
        <v>-6707120.8475900637</v>
      </c>
      <c r="R708" s="25">
        <f t="array" aca="1" ref="R708" ca="1">INDEX('Lorri 401b'!L:L,MATCH('Retirement Calculator'!A708,'Lorri 401b'!N:N,0),0)</f>
        <v>-10306971.303655179</v>
      </c>
      <c r="S708" s="25">
        <f t="shared" ca="1" si="527"/>
        <v>-17014092.151245244</v>
      </c>
    </row>
    <row r="709" spans="1:19" ht="15.75" customHeight="1" x14ac:dyDescent="0.25">
      <c r="A709" s="37">
        <v>72533</v>
      </c>
      <c r="B709" s="398">
        <f t="shared" ref="B709:C709" si="715">($A709-B$9)/365.25</f>
        <v>116.70636550308008</v>
      </c>
      <c r="C709" s="398">
        <f t="shared" si="715"/>
        <v>112.09582477754962</v>
      </c>
      <c r="E709" s="25">
        <f>IF(C709&gt;$B$7,0,'Combined Retirement'!$D$13/12)</f>
        <v>0</v>
      </c>
      <c r="F709" s="25">
        <f>IF(H709=0,'Combined Retirement'!$D$32,0)+'Combined Retirement'!$B$24</f>
        <v>2870.372285649099</v>
      </c>
      <c r="G709" s="25">
        <f>'Combined Retirement'!$C$24</f>
        <v>3254.2644699519233</v>
      </c>
      <c r="H709" s="25">
        <f>IF(B709&lt;62,0,'Combined Retirement'!$I$14)</f>
        <v>2345</v>
      </c>
      <c r="I709" s="25">
        <f>IF(C709&lt;62,0,'Combined Retirement'!$I$13)</f>
        <v>2420</v>
      </c>
      <c r="J709" s="25">
        <f t="shared" si="523"/>
        <v>8395.6297298201844</v>
      </c>
      <c r="K709" s="25">
        <f t="shared" si="524"/>
        <v>21655.303514578787</v>
      </c>
      <c r="L709" s="25"/>
      <c r="N709" s="25">
        <f>'Combined Retirement'!$C$18/12</f>
        <v>40940.569999999992</v>
      </c>
      <c r="O709" s="25">
        <f t="shared" si="525"/>
        <v>10889.636755601023</v>
      </c>
      <c r="P709" s="25">
        <f t="shared" si="526"/>
        <v>30050.93324439897</v>
      </c>
      <c r="Q709" s="25">
        <f t="array" aca="1" ref="Q709" ca="1">INDEX('Isaac 401k'!L:L,MATCH('Retirement Calculator'!A709,'Isaac 401k'!N:N,0),0)</f>
        <v>-6743497.7959753834</v>
      </c>
      <c r="R709" s="25">
        <f t="array" aca="1" ref="R709" ca="1">INDEX('Lorri 401b'!L:L,MATCH('Retirement Calculator'!A709,'Lorri 401b'!N:N,0),0)</f>
        <v>-10371662.551366299</v>
      </c>
      <c r="S709" s="25">
        <f t="shared" ca="1" si="527"/>
        <v>-17115160.347341683</v>
      </c>
    </row>
    <row r="710" spans="1:19" ht="15.75" customHeight="1" x14ac:dyDescent="0.25">
      <c r="A710" s="37">
        <v>72564</v>
      </c>
      <c r="B710" s="398">
        <f t="shared" ref="B710:C710" si="716">($A710-B$9)/365.25</f>
        <v>116.79123887748118</v>
      </c>
      <c r="C710" s="398">
        <f t="shared" si="716"/>
        <v>112.18069815195072</v>
      </c>
      <c r="E710" s="25">
        <f>IF(C710&gt;$B$7,0,'Combined Retirement'!$D$13/12)</f>
        <v>0</v>
      </c>
      <c r="F710" s="25">
        <f>IF(H710=0,'Combined Retirement'!$D$32,0)+'Combined Retirement'!$B$24</f>
        <v>2870.372285649099</v>
      </c>
      <c r="G710" s="25">
        <f>'Combined Retirement'!$C$24</f>
        <v>3254.2644699519233</v>
      </c>
      <c r="H710" s="25">
        <f>IF(B710&lt;62,0,'Combined Retirement'!$I$14)</f>
        <v>2345</v>
      </c>
      <c r="I710" s="25">
        <f>IF(C710&lt;62,0,'Combined Retirement'!$I$13)</f>
        <v>2420</v>
      </c>
      <c r="J710" s="25">
        <f t="shared" si="523"/>
        <v>8395.6297298201844</v>
      </c>
      <c r="K710" s="25">
        <f t="shared" si="524"/>
        <v>21655.303514578787</v>
      </c>
      <c r="L710" s="25"/>
      <c r="N710" s="25">
        <f>'Combined Retirement'!$C$18/12</f>
        <v>40940.569999999992</v>
      </c>
      <c r="O710" s="25">
        <f t="shared" si="525"/>
        <v>10889.636755601023</v>
      </c>
      <c r="P710" s="25">
        <f t="shared" si="526"/>
        <v>30050.93324439897</v>
      </c>
      <c r="Q710" s="25">
        <f t="array" aca="1" ref="Q710" ca="1">INDEX('Isaac 401k'!L:L,MATCH('Retirement Calculator'!A710,'Isaac 401k'!N:N,0),0)</f>
        <v>-6780026.3149789758</v>
      </c>
      <c r="R710" s="25">
        <f t="array" aca="1" ref="R710" ca="1">INDEX('Lorri 401b'!L:L,MATCH('Retirement Calculator'!A710,'Lorri 401b'!N:N,0),0)</f>
        <v>-10436623.345942883</v>
      </c>
      <c r="S710" s="25">
        <f t="shared" ca="1" si="527"/>
        <v>-17216649.660921857</v>
      </c>
    </row>
    <row r="711" spans="1:19" ht="15.75" customHeight="1" x14ac:dyDescent="0.25">
      <c r="A711" s="37">
        <v>72594</v>
      </c>
      <c r="B711" s="398">
        <f t="shared" ref="B711:C711" si="717">($A711-B$9)/365.25</f>
        <v>116.87337440109513</v>
      </c>
      <c r="C711" s="398">
        <f t="shared" si="717"/>
        <v>112.26283367556468</v>
      </c>
      <c r="E711" s="25">
        <f>IF(C711&gt;$B$7,0,'Combined Retirement'!$D$13/12)</f>
        <v>0</v>
      </c>
      <c r="F711" s="25">
        <f>IF(H711=0,'Combined Retirement'!$D$32,0)+'Combined Retirement'!$B$24</f>
        <v>2870.372285649099</v>
      </c>
      <c r="G711" s="25">
        <f>'Combined Retirement'!$C$24</f>
        <v>3254.2644699519233</v>
      </c>
      <c r="H711" s="25">
        <f>IF(B711&lt;62,0,'Combined Retirement'!$I$14)</f>
        <v>2345</v>
      </c>
      <c r="I711" s="25">
        <f>IF(C711&lt;62,0,'Combined Retirement'!$I$13)</f>
        <v>2420</v>
      </c>
      <c r="J711" s="25">
        <f t="shared" si="523"/>
        <v>8395.6297298201844</v>
      </c>
      <c r="K711" s="25">
        <f t="shared" si="524"/>
        <v>21655.303514578787</v>
      </c>
      <c r="L711" s="25"/>
      <c r="N711" s="25">
        <f>'Combined Retirement'!$C$18/12</f>
        <v>40940.569999999992</v>
      </c>
      <c r="O711" s="25">
        <f t="shared" si="525"/>
        <v>10889.636755601023</v>
      </c>
      <c r="P711" s="25">
        <f t="shared" si="526"/>
        <v>30050.93324439897</v>
      </c>
      <c r="Q711" s="25">
        <f t="array" aca="1" ref="Q711" ca="1">INDEX('Isaac 401k'!L:L,MATCH('Retirement Calculator'!A711,'Isaac 401k'!N:N,0),0)</f>
        <v>-6816707.0361450827</v>
      </c>
      <c r="R711" s="25">
        <f t="array" aca="1" ref="R711" ca="1">INDEX('Lorri 401b'!L:L,MATCH('Retirement Calculator'!A711,'Lorri 401b'!N:N,0),0)</f>
        <v>-10501854.810496869</v>
      </c>
      <c r="S711" s="25">
        <f t="shared" ca="1" si="527"/>
        <v>-17318561.84664195</v>
      </c>
    </row>
    <row r="712" spans="1:19" ht="15.75" customHeight="1" x14ac:dyDescent="0.25">
      <c r="A712" s="37">
        <v>72625</v>
      </c>
      <c r="B712" s="398">
        <f t="shared" ref="B712:C712" si="718">($A712-B$9)/365.25</f>
        <v>116.95824777549623</v>
      </c>
      <c r="C712" s="398">
        <f t="shared" si="718"/>
        <v>112.34770704996578</v>
      </c>
      <c r="E712" s="25">
        <f>IF(C712&gt;$B$7,0,'Combined Retirement'!$D$13/12)</f>
        <v>0</v>
      </c>
      <c r="F712" s="25">
        <f>IF(H712=0,'Combined Retirement'!$D$32,0)+'Combined Retirement'!$B$24</f>
        <v>2870.372285649099</v>
      </c>
      <c r="G712" s="25">
        <f>'Combined Retirement'!$C$24</f>
        <v>3254.2644699519233</v>
      </c>
      <c r="H712" s="25">
        <f>IF(B712&lt;62,0,'Combined Retirement'!$I$14)</f>
        <v>2345</v>
      </c>
      <c r="I712" s="25">
        <f>IF(C712&lt;62,0,'Combined Retirement'!$I$13)</f>
        <v>2420</v>
      </c>
      <c r="J712" s="25">
        <f t="shared" si="523"/>
        <v>8395.6297298201844</v>
      </c>
      <c r="K712" s="25">
        <f t="shared" si="524"/>
        <v>21655.303514578787</v>
      </c>
      <c r="L712" s="25"/>
      <c r="N712" s="25">
        <f>'Combined Retirement'!$C$18/12</f>
        <v>40940.569999999992</v>
      </c>
      <c r="O712" s="25">
        <f t="shared" si="525"/>
        <v>10889.636755601023</v>
      </c>
      <c r="P712" s="25">
        <f t="shared" si="526"/>
        <v>30050.93324439897</v>
      </c>
      <c r="Q712" s="25">
        <f t="array" aca="1" ref="Q712" ca="1">INDEX('Isaac 401k'!L:L,MATCH('Retirement Calculator'!A712,'Isaac 401k'!N:N,0),0)</f>
        <v>-6853540.5936493818</v>
      </c>
      <c r="R712" s="25">
        <f t="array" aca="1" ref="R712" ca="1">INDEX('Lorri 401b'!L:L,MATCH('Retirement Calculator'!A712,'Lorri 401b'!N:N,0),0)</f>
        <v>-10567358.072819829</v>
      </c>
      <c r="S712" s="25">
        <f t="shared" ca="1" si="527"/>
        <v>-17420898.666469209</v>
      </c>
    </row>
    <row r="713" spans="1:19" ht="15.75" customHeight="1" x14ac:dyDescent="0.25">
      <c r="A713" s="37">
        <v>72655</v>
      </c>
      <c r="B713" s="398">
        <f t="shared" ref="B713:C713" si="719">($A713-B$9)/365.25</f>
        <v>117.0403832991102</v>
      </c>
      <c r="C713" s="398">
        <f t="shared" si="719"/>
        <v>112.42984257357973</v>
      </c>
      <c r="E713" s="25">
        <f>IF(C713&gt;$B$7,0,'Combined Retirement'!$D$13/12)</f>
        <v>0</v>
      </c>
      <c r="F713" s="25">
        <f>IF(H713=0,'Combined Retirement'!$D$32,0)+'Combined Retirement'!$B$24</f>
        <v>2870.372285649099</v>
      </c>
      <c r="G713" s="25">
        <f>'Combined Retirement'!$C$24</f>
        <v>3254.2644699519233</v>
      </c>
      <c r="H713" s="25">
        <f>IF(B713&lt;62,0,'Combined Retirement'!$I$14)</f>
        <v>2345</v>
      </c>
      <c r="I713" s="25">
        <f>IF(C713&lt;62,0,'Combined Retirement'!$I$13)</f>
        <v>2420</v>
      </c>
      <c r="J713" s="25">
        <f t="shared" si="523"/>
        <v>8395.6297298201844</v>
      </c>
      <c r="K713" s="25">
        <f t="shared" si="524"/>
        <v>21655.303514578787</v>
      </c>
      <c r="L713" s="25"/>
      <c r="N713" s="25">
        <f>'Combined Retirement'!$C$18/12</f>
        <v>40940.569999999992</v>
      </c>
      <c r="O713" s="25">
        <f t="shared" si="525"/>
        <v>10889.636755601023</v>
      </c>
      <c r="P713" s="25">
        <f t="shared" si="526"/>
        <v>30050.93324439897</v>
      </c>
      <c r="Q713" s="25">
        <f t="array" aca="1" ref="Q713" ca="1">INDEX('Isaac 401k'!L:L,MATCH('Retirement Calculator'!A713,'Isaac 401k'!N:N,0),0)</f>
        <v>-6890527.6243099486</v>
      </c>
      <c r="R713" s="25">
        <f t="array" aca="1" ref="R713" ca="1">INDEX('Lorri 401b'!L:L,MATCH('Retirement Calculator'!A713,'Lorri 401b'!N:N,0),0)</f>
        <v>-10633134.265402468</v>
      </c>
      <c r="S713" s="25">
        <f t="shared" ca="1" si="527"/>
        <v>-17523661.889712416</v>
      </c>
    </row>
    <row r="714" spans="1:19" ht="15.75" customHeight="1" x14ac:dyDescent="0.25">
      <c r="A714" s="37">
        <v>72686</v>
      </c>
      <c r="B714" s="398">
        <f t="shared" ref="B714:C714" si="720">($A714-B$9)/365.25</f>
        <v>117.12525667351129</v>
      </c>
      <c r="C714" s="398">
        <f t="shared" si="720"/>
        <v>112.51471594798083</v>
      </c>
      <c r="E714" s="25">
        <f>IF(C714&gt;$B$7,0,'Combined Retirement'!$D$13/12)</f>
        <v>0</v>
      </c>
      <c r="F714" s="25">
        <f>IF(H714=0,'Combined Retirement'!$D$32,0)+'Combined Retirement'!$B$24</f>
        <v>2870.372285649099</v>
      </c>
      <c r="G714" s="25">
        <f>'Combined Retirement'!$C$24</f>
        <v>3254.2644699519233</v>
      </c>
      <c r="H714" s="25">
        <f>IF(B714&lt;62,0,'Combined Retirement'!$I$14)</f>
        <v>2345</v>
      </c>
      <c r="I714" s="25">
        <f>IF(C714&lt;62,0,'Combined Retirement'!$I$13)</f>
        <v>2420</v>
      </c>
      <c r="J714" s="25">
        <f t="shared" si="523"/>
        <v>8395.6297298201844</v>
      </c>
      <c r="K714" s="25">
        <f t="shared" si="524"/>
        <v>21655.303514578787</v>
      </c>
      <c r="L714" s="25"/>
      <c r="N714" s="25">
        <f>'Combined Retirement'!$C$18/12</f>
        <v>40940.569999999992</v>
      </c>
      <c r="O714" s="25">
        <f t="shared" si="525"/>
        <v>10889.636755601023</v>
      </c>
      <c r="P714" s="25">
        <f t="shared" si="526"/>
        <v>30050.93324439897</v>
      </c>
      <c r="Q714" s="25">
        <f t="array" aca="1" ref="Q714" ca="1">INDEX('Isaac 401k'!L:L,MATCH('Retirement Calculator'!A714,'Isaac 401k'!N:N,0),0)</f>
        <v>-6927668.7675982676</v>
      </c>
      <c r="R714" s="25">
        <f t="array" aca="1" ref="R714" ca="1">INDEX('Lorri 401b'!L:L,MATCH('Retirement Calculator'!A714,'Lorri 401b'!N:N,0),0)</f>
        <v>-10699184.525454201</v>
      </c>
      <c r="S714" s="25">
        <f t="shared" ca="1" si="527"/>
        <v>-17626853.293052468</v>
      </c>
    </row>
    <row r="715" spans="1:19" ht="15.75" customHeight="1" x14ac:dyDescent="0.25">
      <c r="A715" s="37">
        <v>72717</v>
      </c>
      <c r="B715" s="398">
        <f t="shared" ref="B715:C715" si="721">($A715-B$9)/365.25</f>
        <v>117.21013004791239</v>
      </c>
      <c r="C715" s="398">
        <f t="shared" si="721"/>
        <v>112.59958932238193</v>
      </c>
      <c r="E715" s="25">
        <f>IF(C715&gt;$B$7,0,'Combined Retirement'!$D$13/12)</f>
        <v>0</v>
      </c>
      <c r="F715" s="25">
        <f>IF(H715=0,'Combined Retirement'!$D$32,0)+'Combined Retirement'!$B$24</f>
        <v>2870.372285649099</v>
      </c>
      <c r="G715" s="25">
        <f>'Combined Retirement'!$C$24</f>
        <v>3254.2644699519233</v>
      </c>
      <c r="H715" s="25">
        <f>IF(B715&lt;62,0,'Combined Retirement'!$I$14)</f>
        <v>2345</v>
      </c>
      <c r="I715" s="25">
        <f>IF(C715&lt;62,0,'Combined Retirement'!$I$13)</f>
        <v>2420</v>
      </c>
      <c r="J715" s="25">
        <f t="shared" si="523"/>
        <v>8395.6297298201844</v>
      </c>
      <c r="K715" s="25">
        <f t="shared" si="524"/>
        <v>21655.303514578787</v>
      </c>
      <c r="L715" s="25"/>
      <c r="N715" s="25">
        <f>'Combined Retirement'!$C$18/12</f>
        <v>40940.569999999992</v>
      </c>
      <c r="O715" s="25">
        <f t="shared" si="525"/>
        <v>10889.636755601023</v>
      </c>
      <c r="P715" s="25">
        <f t="shared" si="526"/>
        <v>30050.93324439897</v>
      </c>
      <c r="Q715" s="25">
        <f t="array" aca="1" ref="Q715" ca="1">INDEX('Isaac 401k'!L:L,MATCH('Retirement Calculator'!A715,'Isaac 401k'!N:N,0),0)</f>
        <v>-6964964.6656502886</v>
      </c>
      <c r="R715" s="25">
        <f t="array" aca="1" ref="R715" ca="1">INDEX('Lorri 401b'!L:L,MATCH('Retirement Calculator'!A715,'Lorri 401b'!N:N,0),0)</f>
        <v>-10765509.994922817</v>
      </c>
      <c r="S715" s="25">
        <f t="shared" ca="1" si="527"/>
        <v>-17730474.660573106</v>
      </c>
    </row>
    <row r="716" spans="1:19" ht="15.75" customHeight="1" x14ac:dyDescent="0.25">
      <c r="A716" s="37">
        <v>72745</v>
      </c>
      <c r="B716" s="398">
        <f t="shared" ref="B716:C716" si="722">($A716-B$9)/365.25</f>
        <v>117.28678986995209</v>
      </c>
      <c r="C716" s="398">
        <f t="shared" si="722"/>
        <v>112.67624914442163</v>
      </c>
      <c r="E716" s="25">
        <f>IF(C716&gt;$B$7,0,'Combined Retirement'!$D$13/12)</f>
        <v>0</v>
      </c>
      <c r="F716" s="25">
        <f>IF(H716=0,'Combined Retirement'!$D$32,0)+'Combined Retirement'!$B$24</f>
        <v>2870.372285649099</v>
      </c>
      <c r="G716" s="25">
        <f>'Combined Retirement'!$C$24</f>
        <v>3254.2644699519233</v>
      </c>
      <c r="H716" s="25">
        <f>IF(B716&lt;62,0,'Combined Retirement'!$I$14)</f>
        <v>2345</v>
      </c>
      <c r="I716" s="25">
        <f>IF(C716&lt;62,0,'Combined Retirement'!$I$13)</f>
        <v>2420</v>
      </c>
      <c r="J716" s="25">
        <f t="shared" si="523"/>
        <v>8395.6297298201844</v>
      </c>
      <c r="K716" s="25">
        <f t="shared" si="524"/>
        <v>21655.303514578787</v>
      </c>
      <c r="L716" s="25"/>
      <c r="N716" s="25">
        <f>'Combined Retirement'!$C$18/12</f>
        <v>40940.569999999992</v>
      </c>
      <c r="O716" s="25">
        <f t="shared" si="525"/>
        <v>10889.636755601023</v>
      </c>
      <c r="P716" s="25">
        <f t="shared" si="526"/>
        <v>30050.93324439897</v>
      </c>
      <c r="Q716" s="25">
        <f t="array" aca="1" ref="Q716" ca="1">INDEX('Isaac 401k'!L:L,MATCH('Retirement Calculator'!A716,'Isaac 401k'!N:N,0),0)</f>
        <v>-7002415.9632775262</v>
      </c>
      <c r="R716" s="25">
        <f t="array" aca="1" ref="R716" ca="1">INDEX('Lorri 401b'!L:L,MATCH('Retirement Calculator'!A716,'Lorri 401b'!N:N,0),0)</f>
        <v>-10832111.820514219</v>
      </c>
      <c r="S716" s="25">
        <f t="shared" ca="1" si="527"/>
        <v>-17834527.783791743</v>
      </c>
    </row>
    <row r="717" spans="1:19" ht="15.75" customHeight="1" x14ac:dyDescent="0.25">
      <c r="A717" s="37">
        <v>72776</v>
      </c>
      <c r="B717" s="398">
        <f t="shared" ref="B717:C717" si="723">($A717-B$9)/365.25</f>
        <v>117.37166324435319</v>
      </c>
      <c r="C717" s="398">
        <f t="shared" si="723"/>
        <v>112.76112251882273</v>
      </c>
      <c r="E717" s="25">
        <f>IF(C717&gt;$B$7,0,'Combined Retirement'!$D$13/12)</f>
        <v>0</v>
      </c>
      <c r="F717" s="25">
        <f>IF(H717=0,'Combined Retirement'!$D$32,0)+'Combined Retirement'!$B$24</f>
        <v>2870.372285649099</v>
      </c>
      <c r="G717" s="25">
        <f>'Combined Retirement'!$C$24</f>
        <v>3254.2644699519233</v>
      </c>
      <c r="H717" s="25">
        <f>IF(B717&lt;62,0,'Combined Retirement'!$I$14)</f>
        <v>2345</v>
      </c>
      <c r="I717" s="25">
        <f>IF(C717&lt;62,0,'Combined Retirement'!$I$13)</f>
        <v>2420</v>
      </c>
      <c r="J717" s="25">
        <f t="shared" si="523"/>
        <v>8395.6297298201844</v>
      </c>
      <c r="K717" s="25">
        <f t="shared" si="524"/>
        <v>21655.303514578787</v>
      </c>
      <c r="L717" s="25"/>
      <c r="N717" s="25">
        <f>'Combined Retirement'!$C$18/12</f>
        <v>40940.569999999992</v>
      </c>
      <c r="O717" s="25">
        <f t="shared" si="525"/>
        <v>10889.636755601023</v>
      </c>
      <c r="P717" s="25">
        <f t="shared" si="526"/>
        <v>30050.93324439897</v>
      </c>
      <c r="Q717" s="25">
        <f t="array" aca="1" ref="Q717" ca="1">INDEX('Isaac 401k'!L:L,MATCH('Retirement Calculator'!A717,'Isaac 401k'!N:N,0),0)</f>
        <v>-7040023.307978211</v>
      </c>
      <c r="R717" s="25">
        <f t="array" aca="1" ref="R717" ca="1">INDEX('Lorri 401b'!L:L,MATCH('Retirement Calculator'!A717,'Lorri 401b'!N:N,0),0)</f>
        <v>-10898991.153712252</v>
      </c>
      <c r="S717" s="25">
        <f t="shared" ca="1" si="527"/>
        <v>-17939014.461690463</v>
      </c>
    </row>
    <row r="718" spans="1:19" ht="15.75" customHeight="1" x14ac:dyDescent="0.25">
      <c r="A718" s="37">
        <v>72806</v>
      </c>
      <c r="B718" s="398">
        <f t="shared" ref="B718:C718" si="724">($A718-B$9)/365.25</f>
        <v>117.45379876796714</v>
      </c>
      <c r="C718" s="398">
        <f t="shared" si="724"/>
        <v>112.84325804243669</v>
      </c>
      <c r="E718" s="25">
        <f>IF(C718&gt;$B$7,0,'Combined Retirement'!$D$13/12)</f>
        <v>0</v>
      </c>
      <c r="F718" s="25">
        <f>IF(H718=0,'Combined Retirement'!$D$32,0)+'Combined Retirement'!$B$24</f>
        <v>2870.372285649099</v>
      </c>
      <c r="G718" s="25">
        <f>'Combined Retirement'!$C$24</f>
        <v>3254.2644699519233</v>
      </c>
      <c r="H718" s="25">
        <f>IF(B718&lt;62,0,'Combined Retirement'!$I$14)</f>
        <v>2345</v>
      </c>
      <c r="I718" s="25">
        <f>IF(C718&lt;62,0,'Combined Retirement'!$I$13)</f>
        <v>2420</v>
      </c>
      <c r="J718" s="25">
        <f t="shared" si="523"/>
        <v>8395.6297298201844</v>
      </c>
      <c r="K718" s="25">
        <f t="shared" si="524"/>
        <v>21655.303514578787</v>
      </c>
      <c r="L718" s="25"/>
      <c r="N718" s="25">
        <f>'Combined Retirement'!$C$18/12</f>
        <v>40940.569999999992</v>
      </c>
      <c r="O718" s="25">
        <f t="shared" si="525"/>
        <v>10889.636755601023</v>
      </c>
      <c r="P718" s="25">
        <f t="shared" si="526"/>
        <v>30050.93324439897</v>
      </c>
      <c r="Q718" s="25">
        <f t="array" aca="1" ref="Q718" ca="1">INDEX('Isaac 401k'!L:L,MATCH('Retirement Calculator'!A718,'Isaac 401k'!N:N,0),0)</f>
        <v>-7077787.3499484817</v>
      </c>
      <c r="R718" s="25">
        <f t="array" aca="1" ref="R718" ca="1">INDEX('Lorri 401b'!L:L,MATCH('Retirement Calculator'!A718,'Lorri 401b'!N:N,0),0)</f>
        <v>-10966149.150798609</v>
      </c>
      <c r="S718" s="25">
        <f t="shared" ca="1" si="527"/>
        <v>-18043936.500747092</v>
      </c>
    </row>
    <row r="719" spans="1:19" ht="15.75" customHeight="1" x14ac:dyDescent="0.25">
      <c r="A719" s="37">
        <v>72837</v>
      </c>
      <c r="B719" s="398">
        <f t="shared" ref="B719:C719" si="725">($A719-B$9)/365.25</f>
        <v>117.53867214236824</v>
      </c>
      <c r="C719" s="398">
        <f t="shared" si="725"/>
        <v>112.92813141683779</v>
      </c>
      <c r="E719" s="25">
        <f>IF(C719&gt;$B$7,0,'Combined Retirement'!$D$13/12)</f>
        <v>0</v>
      </c>
      <c r="F719" s="25">
        <f>IF(H719=0,'Combined Retirement'!$D$32,0)+'Combined Retirement'!$B$24</f>
        <v>2870.372285649099</v>
      </c>
      <c r="G719" s="25">
        <f>'Combined Retirement'!$C$24</f>
        <v>3254.2644699519233</v>
      </c>
      <c r="H719" s="25">
        <f>IF(B719&lt;62,0,'Combined Retirement'!$I$14)</f>
        <v>2345</v>
      </c>
      <c r="I719" s="25">
        <f>IF(C719&lt;62,0,'Combined Retirement'!$I$13)</f>
        <v>2420</v>
      </c>
      <c r="J719" s="25">
        <f t="shared" si="523"/>
        <v>8395.6297298201844</v>
      </c>
      <c r="K719" s="25">
        <f t="shared" si="524"/>
        <v>21655.303514578787</v>
      </c>
      <c r="L719" s="25"/>
      <c r="N719" s="25">
        <f>'Combined Retirement'!$C$18/12</f>
        <v>40940.569999999992</v>
      </c>
      <c r="O719" s="25">
        <f t="shared" si="525"/>
        <v>10889.636755601023</v>
      </c>
      <c r="P719" s="25">
        <f t="shared" si="526"/>
        <v>30050.93324439897</v>
      </c>
      <c r="Q719" s="25">
        <f t="array" aca="1" ref="Q719" ca="1">INDEX('Isaac 401k'!L:L,MATCH('Retirement Calculator'!A719,'Isaac 401k'!N:N,0),0)</f>
        <v>-7115708.7420936283</v>
      </c>
      <c r="R719" s="25">
        <f t="array" aca="1" ref="R719" ca="1">INDEX('Lorri 401b'!L:L,MATCH('Retirement Calculator'!A719,'Lorri 401b'!N:N,0),0)</f>
        <v>-11033586.972872827</v>
      </c>
      <c r="S719" s="25">
        <f t="shared" ca="1" si="527"/>
        <v>-18149295.714966454</v>
      </c>
    </row>
    <row r="720" spans="1:19" ht="15.75" customHeight="1" x14ac:dyDescent="0.25">
      <c r="A720" s="37">
        <v>72867</v>
      </c>
      <c r="B720" s="398">
        <f t="shared" ref="B720:C720" si="726">($A720-B$9)/365.25</f>
        <v>117.6208076659822</v>
      </c>
      <c r="C720" s="398">
        <f t="shared" si="726"/>
        <v>113.01026694045174</v>
      </c>
      <c r="E720" s="25">
        <f>IF(C720&gt;$B$7,0,'Combined Retirement'!$D$13/12)</f>
        <v>0</v>
      </c>
      <c r="F720" s="25">
        <f>IF(H720=0,'Combined Retirement'!$D$32,0)+'Combined Retirement'!$B$24</f>
        <v>2870.372285649099</v>
      </c>
      <c r="G720" s="25">
        <f>'Combined Retirement'!$C$24</f>
        <v>3254.2644699519233</v>
      </c>
      <c r="H720" s="25">
        <f>IF(B720&lt;62,0,'Combined Retirement'!$I$14)</f>
        <v>2345</v>
      </c>
      <c r="I720" s="25">
        <f>IF(C720&lt;62,0,'Combined Retirement'!$I$13)</f>
        <v>2420</v>
      </c>
      <c r="J720" s="25">
        <f t="shared" si="523"/>
        <v>8395.6297298201844</v>
      </c>
      <c r="K720" s="25">
        <f t="shared" si="524"/>
        <v>21655.303514578787</v>
      </c>
      <c r="L720" s="25"/>
      <c r="N720" s="25">
        <f>'Combined Retirement'!$C$18/12</f>
        <v>40940.569999999992</v>
      </c>
      <c r="O720" s="25">
        <f t="shared" si="525"/>
        <v>10889.636755601023</v>
      </c>
      <c r="P720" s="25">
        <f t="shared" si="526"/>
        <v>30050.93324439897</v>
      </c>
      <c r="Q720" s="25">
        <f t="array" aca="1" ref="Q720" ca="1">INDEX('Isaac 401k'!L:L,MATCH('Retirement Calculator'!A720,'Isaac 401k'!N:N,0),0)</f>
        <v>-7153788.1400393797</v>
      </c>
      <c r="R720" s="25">
        <f t="array" aca="1" ref="R720" ca="1">INDEX('Lorri 401b'!L:L,MATCH('Retirement Calculator'!A720,'Lorri 401b'!N:N,0),0)</f>
        <v>-11101305.785872353</v>
      </c>
      <c r="S720" s="25">
        <f t="shared" ca="1" si="527"/>
        <v>-18255093.925911732</v>
      </c>
    </row>
    <row r="721" spans="1:19" ht="15.75" customHeight="1" x14ac:dyDescent="0.25">
      <c r="A721" s="37">
        <v>72898</v>
      </c>
      <c r="B721" s="398">
        <f t="shared" ref="B721:C721" si="727">($A721-B$9)/365.25</f>
        <v>117.7056810403833</v>
      </c>
      <c r="C721" s="398">
        <f t="shared" si="727"/>
        <v>113.09514031485284</v>
      </c>
      <c r="E721" s="25">
        <f>IF(C721&gt;$B$7,0,'Combined Retirement'!$D$13/12)</f>
        <v>0</v>
      </c>
      <c r="F721" s="25">
        <f>IF(H721=0,'Combined Retirement'!$D$32,0)+'Combined Retirement'!$B$24</f>
        <v>2870.372285649099</v>
      </c>
      <c r="G721" s="25">
        <f>'Combined Retirement'!$C$24</f>
        <v>3254.2644699519233</v>
      </c>
      <c r="H721" s="25">
        <f>IF(B721&lt;62,0,'Combined Retirement'!$I$14)</f>
        <v>2345</v>
      </c>
      <c r="I721" s="25">
        <f>IF(C721&lt;62,0,'Combined Retirement'!$I$13)</f>
        <v>2420</v>
      </c>
      <c r="J721" s="25">
        <f t="shared" si="523"/>
        <v>8395.6297298201844</v>
      </c>
      <c r="K721" s="25">
        <f t="shared" si="524"/>
        <v>21655.303514578787</v>
      </c>
      <c r="L721" s="25"/>
      <c r="N721" s="25">
        <f>'Combined Retirement'!$C$18/12</f>
        <v>40940.569999999992</v>
      </c>
      <c r="O721" s="25">
        <f t="shared" si="525"/>
        <v>10889.636755601023</v>
      </c>
      <c r="P721" s="25">
        <f t="shared" si="526"/>
        <v>30050.93324439897</v>
      </c>
      <c r="Q721" s="25">
        <f t="array" aca="1" ref="Q721" ca="1">INDEX('Isaac 401k'!L:L,MATCH('Retirement Calculator'!A721,'Isaac 401k'!N:N,0),0)</f>
        <v>-7192026.2021432389</v>
      </c>
      <c r="R721" s="25">
        <f t="array" aca="1" ref="R721" ca="1">INDEX('Lorri 401b'!L:L,MATCH('Retirement Calculator'!A721,'Lorri 401b'!N:N,0),0)</f>
        <v>-11169306.760592712</v>
      </c>
      <c r="S721" s="25">
        <f t="shared" ca="1" si="527"/>
        <v>-18361332.962735951</v>
      </c>
    </row>
    <row r="722" spans="1:19" ht="15.75" customHeight="1" x14ac:dyDescent="0.25">
      <c r="A722" s="37">
        <v>72929</v>
      </c>
      <c r="B722" s="398">
        <f t="shared" ref="B722:C722" si="728">($A722-B$9)/365.25</f>
        <v>117.7905544147844</v>
      </c>
      <c r="C722" s="398">
        <f t="shared" si="728"/>
        <v>113.18001368925394</v>
      </c>
      <c r="E722" s="25">
        <f>IF(C722&gt;$B$7,0,'Combined Retirement'!$D$13/12)</f>
        <v>0</v>
      </c>
      <c r="F722" s="25">
        <f>IF(H722=0,'Combined Retirement'!$D$32,0)+'Combined Retirement'!$B$24</f>
        <v>2870.372285649099</v>
      </c>
      <c r="G722" s="25">
        <f>'Combined Retirement'!$C$24</f>
        <v>3254.2644699519233</v>
      </c>
      <c r="H722" s="25">
        <f>IF(B722&lt;62,0,'Combined Retirement'!$I$14)</f>
        <v>2345</v>
      </c>
      <c r="I722" s="25">
        <f>IF(C722&lt;62,0,'Combined Retirement'!$I$13)</f>
        <v>2420</v>
      </c>
      <c r="J722" s="25">
        <f t="shared" si="523"/>
        <v>8395.6297298201844</v>
      </c>
      <c r="K722" s="25">
        <f t="shared" si="524"/>
        <v>21655.303514578787</v>
      </c>
      <c r="L722" s="25"/>
      <c r="N722" s="25">
        <f>'Combined Retirement'!$C$18/12</f>
        <v>40940.569999999992</v>
      </c>
      <c r="O722" s="25">
        <f t="shared" si="525"/>
        <v>10889.636755601023</v>
      </c>
      <c r="P722" s="25">
        <f t="shared" si="526"/>
        <v>30050.93324439897</v>
      </c>
      <c r="Q722" s="25">
        <f t="array" aca="1" ref="Q722" ca="1">INDEX('Isaac 401k'!L:L,MATCH('Retirement Calculator'!A722,'Isaac 401k'!N:N,0),0)</f>
        <v>-7230423.5895058634</v>
      </c>
      <c r="R722" s="25">
        <f t="array" aca="1" ref="R722" ca="1">INDEX('Lorri 401b'!L:L,MATCH('Retirement Calculator'!A722,'Lorri 401b'!N:N,0),0)</f>
        <v>-11237591.072707739</v>
      </c>
      <c r="S722" s="25">
        <f t="shared" ca="1" si="527"/>
        <v>-18468014.662213601</v>
      </c>
    </row>
    <row r="723" spans="1:19" ht="15.75" customHeight="1" x14ac:dyDescent="0.25">
      <c r="A723" s="37">
        <v>72959</v>
      </c>
      <c r="B723" s="398">
        <f t="shared" ref="B723:C723" si="729">($A723-B$9)/365.25</f>
        <v>117.87268993839835</v>
      </c>
      <c r="C723" s="398">
        <f t="shared" si="729"/>
        <v>113.2621492128679</v>
      </c>
      <c r="E723" s="25">
        <f>IF(C723&gt;$B$7,0,'Combined Retirement'!$D$13/12)</f>
        <v>0</v>
      </c>
      <c r="F723" s="25">
        <f>IF(H723=0,'Combined Retirement'!$D$32,0)+'Combined Retirement'!$B$24</f>
        <v>2870.372285649099</v>
      </c>
      <c r="G723" s="25">
        <f>'Combined Retirement'!$C$24</f>
        <v>3254.2644699519233</v>
      </c>
      <c r="H723" s="25">
        <f>IF(B723&lt;62,0,'Combined Retirement'!$I$14)</f>
        <v>2345</v>
      </c>
      <c r="I723" s="25">
        <f>IF(C723&lt;62,0,'Combined Retirement'!$I$13)</f>
        <v>2420</v>
      </c>
      <c r="J723" s="25">
        <f t="shared" si="523"/>
        <v>8395.6297298201844</v>
      </c>
      <c r="K723" s="25">
        <f t="shared" si="524"/>
        <v>21655.303514578787</v>
      </c>
      <c r="L723" s="25"/>
      <c r="N723" s="25">
        <f>'Combined Retirement'!$C$18/12</f>
        <v>40940.569999999992</v>
      </c>
      <c r="O723" s="25">
        <f t="shared" si="525"/>
        <v>10889.636755601023</v>
      </c>
      <c r="P723" s="25">
        <f t="shared" si="526"/>
        <v>30050.93324439897</v>
      </c>
      <c r="Q723" s="25">
        <f t="array" aca="1" ref="Q723" ca="1">INDEX('Isaac 401k'!L:L,MATCH('Retirement Calculator'!A723,'Isaac 401k'!N:N,0),0)</f>
        <v>-7268980.9659824995</v>
      </c>
      <c r="R723" s="25">
        <f t="array" aca="1" ref="R723" ca="1">INDEX('Lorri 401b'!L:L,MATCH('Retirement Calculator'!A723,'Lorri 401b'!N:N,0),0)</f>
        <v>-11306159.902789911</v>
      </c>
      <c r="S723" s="25">
        <f t="shared" ca="1" si="527"/>
        <v>-18575140.86877241</v>
      </c>
    </row>
    <row r="724" spans="1:19" ht="15.75" customHeight="1" x14ac:dyDescent="0.25">
      <c r="A724" s="37">
        <v>72990</v>
      </c>
      <c r="B724" s="398">
        <f t="shared" ref="B724:C724" si="730">($A724-B$9)/365.25</f>
        <v>117.95756331279945</v>
      </c>
      <c r="C724" s="398">
        <f t="shared" si="730"/>
        <v>113.347022587269</v>
      </c>
      <c r="E724" s="25">
        <f>IF(C724&gt;$B$7,0,'Combined Retirement'!$D$13/12)</f>
        <v>0</v>
      </c>
      <c r="F724" s="25">
        <f>IF(H724=0,'Combined Retirement'!$D$32,0)+'Combined Retirement'!$B$24</f>
        <v>2870.372285649099</v>
      </c>
      <c r="G724" s="25">
        <f>'Combined Retirement'!$C$24</f>
        <v>3254.2644699519233</v>
      </c>
      <c r="H724" s="25">
        <f>IF(B724&lt;62,0,'Combined Retirement'!$I$14)</f>
        <v>2345</v>
      </c>
      <c r="I724" s="25">
        <f>IF(C724&lt;62,0,'Combined Retirement'!$I$13)</f>
        <v>2420</v>
      </c>
      <c r="J724" s="25">
        <f t="shared" si="523"/>
        <v>8395.6297298201844</v>
      </c>
      <c r="K724" s="25">
        <f t="shared" si="524"/>
        <v>21655.303514578787</v>
      </c>
      <c r="L724" s="25"/>
      <c r="N724" s="25">
        <f>'Combined Retirement'!$C$18/12</f>
        <v>40940.569999999992</v>
      </c>
      <c r="O724" s="25">
        <f t="shared" si="525"/>
        <v>10889.636755601023</v>
      </c>
      <c r="P724" s="25">
        <f t="shared" si="526"/>
        <v>30050.93324439897</v>
      </c>
      <c r="Q724" s="25">
        <f t="array" aca="1" ref="Q724" ca="1">INDEX('Isaac 401k'!L:L,MATCH('Retirement Calculator'!A724,'Isaac 401k'!N:N,0),0)</f>
        <v>-7307698.9981944542</v>
      </c>
      <c r="R724" s="25">
        <f t="array" aca="1" ref="R724" ca="1">INDEX('Lorri 401b'!L:L,MATCH('Retirement Calculator'!A724,'Lorri 401b'!N:N,0),0)</f>
        <v>-11375014.43633076</v>
      </c>
      <c r="S724" s="25">
        <f t="shared" ca="1" si="527"/>
        <v>-18682713.434525214</v>
      </c>
    </row>
    <row r="725" spans="1:19" ht="15.75" customHeight="1" x14ac:dyDescent="0.25">
      <c r="A725" s="37">
        <v>73020</v>
      </c>
      <c r="B725" s="398">
        <f t="shared" ref="B725:C725" si="731">($A725-B$9)/365.25</f>
        <v>118.03969883641342</v>
      </c>
      <c r="C725" s="398">
        <f t="shared" si="731"/>
        <v>113.42915811088295</v>
      </c>
      <c r="E725" s="25">
        <f>IF(C725&gt;$B$7,0,'Combined Retirement'!$D$13/12)</f>
        <v>0</v>
      </c>
      <c r="F725" s="25">
        <f>IF(H725=0,'Combined Retirement'!$D$32,0)+'Combined Retirement'!$B$24</f>
        <v>2870.372285649099</v>
      </c>
      <c r="G725" s="25">
        <f>'Combined Retirement'!$C$24</f>
        <v>3254.2644699519233</v>
      </c>
      <c r="H725" s="25">
        <f>IF(B725&lt;62,0,'Combined Retirement'!$I$14)</f>
        <v>2345</v>
      </c>
      <c r="I725" s="25">
        <f>IF(C725&lt;62,0,'Combined Retirement'!$I$13)</f>
        <v>2420</v>
      </c>
      <c r="J725" s="25">
        <f t="shared" si="523"/>
        <v>8395.6297298201844</v>
      </c>
      <c r="K725" s="25">
        <f t="shared" si="524"/>
        <v>21655.303514578787</v>
      </c>
      <c r="L725" s="25"/>
      <c r="N725" s="25">
        <f>'Combined Retirement'!$C$18/12</f>
        <v>40940.569999999992</v>
      </c>
      <c r="O725" s="25">
        <f t="shared" si="525"/>
        <v>10889.636755601023</v>
      </c>
      <c r="P725" s="25">
        <f t="shared" si="526"/>
        <v>30050.93324439897</v>
      </c>
      <c r="Q725" s="25">
        <f t="array" aca="1" ref="Q725" ca="1">INDEX('Isaac 401k'!L:L,MATCH('Retirement Calculator'!A725,'Isaac 401k'!N:N,0),0)</f>
        <v>-7346578.3555406258</v>
      </c>
      <c r="R725" s="25">
        <f t="array" aca="1" ref="R725" ca="1">INDEX('Lorri 401b'!L:L,MATCH('Retirement Calculator'!A725,'Lorri 401b'!N:N,0),0)</f>
        <v>-11444155.863761362</v>
      </c>
      <c r="S725" s="25">
        <f t="shared" ca="1" si="527"/>
        <v>-18790734.219301987</v>
      </c>
    </row>
    <row r="726" spans="1:19" ht="15.75" customHeight="1" x14ac:dyDescent="0.25">
      <c r="A726" s="37">
        <v>73051</v>
      </c>
      <c r="B726" s="398">
        <f t="shared" ref="B726:C726" si="732">($A726-B$9)/365.25</f>
        <v>118.12457221081451</v>
      </c>
      <c r="C726" s="398">
        <f t="shared" si="732"/>
        <v>113.51403148528405</v>
      </c>
      <c r="E726" s="25">
        <f>IF(C726&gt;$B$7,0,'Combined Retirement'!$D$13/12)</f>
        <v>0</v>
      </c>
      <c r="F726" s="25">
        <f>IF(H726=0,'Combined Retirement'!$D$32,0)+'Combined Retirement'!$B$24</f>
        <v>2870.372285649099</v>
      </c>
      <c r="G726" s="25">
        <f>'Combined Retirement'!$C$24</f>
        <v>3254.2644699519233</v>
      </c>
      <c r="H726" s="25">
        <f>IF(B726&lt;62,0,'Combined Retirement'!$I$14)</f>
        <v>2345</v>
      </c>
      <c r="I726" s="25">
        <f>IF(C726&lt;62,0,'Combined Retirement'!$I$13)</f>
        <v>2420</v>
      </c>
      <c r="J726" s="25">
        <f t="shared" si="523"/>
        <v>8395.6297298201844</v>
      </c>
      <c r="K726" s="25">
        <f t="shared" si="524"/>
        <v>21655.303514578787</v>
      </c>
      <c r="L726" s="25"/>
      <c r="N726" s="25">
        <f>'Combined Retirement'!$C$18/12</f>
        <v>40940.569999999992</v>
      </c>
      <c r="O726" s="25">
        <f t="shared" si="525"/>
        <v>10889.636755601023</v>
      </c>
      <c r="P726" s="25">
        <f t="shared" si="526"/>
        <v>30050.93324439897</v>
      </c>
      <c r="Q726" s="25">
        <f t="array" aca="1" ref="Q726" ca="1">INDEX('Isaac 401k'!L:L,MATCH('Retirement Calculator'!A726,'Isaac 401k'!N:N,0),0)</f>
        <v>-7385619.7102090726</v>
      </c>
      <c r="R726" s="25">
        <f t="array" aca="1" ref="R726" ca="1">INDEX('Lorri 401b'!L:L,MATCH('Retirement Calculator'!A726,'Lorri 401b'!N:N,0),0)</f>
        <v>-11513585.380472925</v>
      </c>
      <c r="S726" s="25">
        <f t="shared" ca="1" si="527"/>
        <v>-18899205.090681996</v>
      </c>
    </row>
    <row r="727" spans="1:19" ht="15.75" customHeight="1" x14ac:dyDescent="0.25">
      <c r="A727" s="37">
        <v>73082</v>
      </c>
      <c r="B727" s="398">
        <f t="shared" ref="B727:C727" si="733">($A727-B$9)/365.25</f>
        <v>118.2094455852156</v>
      </c>
      <c r="C727" s="398">
        <f t="shared" si="733"/>
        <v>113.59890485968515</v>
      </c>
      <c r="E727" s="25">
        <f>IF(C727&gt;$B$7,0,'Combined Retirement'!$D$13/12)</f>
        <v>0</v>
      </c>
      <c r="F727" s="25">
        <f>IF(H727=0,'Combined Retirement'!$D$32,0)+'Combined Retirement'!$B$24</f>
        <v>2870.372285649099</v>
      </c>
      <c r="G727" s="25">
        <f>'Combined Retirement'!$C$24</f>
        <v>3254.2644699519233</v>
      </c>
      <c r="H727" s="25">
        <f>IF(B727&lt;62,0,'Combined Retirement'!$I$14)</f>
        <v>2345</v>
      </c>
      <c r="I727" s="25">
        <f>IF(C727&lt;62,0,'Combined Retirement'!$I$13)</f>
        <v>2420</v>
      </c>
      <c r="J727" s="25">
        <f t="shared" si="523"/>
        <v>8395.6297298201844</v>
      </c>
      <c r="K727" s="25">
        <f t="shared" si="524"/>
        <v>21655.303514578787</v>
      </c>
      <c r="L727" s="25"/>
      <c r="N727" s="25">
        <f>'Combined Retirement'!$C$18/12</f>
        <v>40940.569999999992</v>
      </c>
      <c r="O727" s="25">
        <f t="shared" si="525"/>
        <v>10889.636755601023</v>
      </c>
      <c r="P727" s="25">
        <f t="shared" si="526"/>
        <v>30050.93324439897</v>
      </c>
      <c r="Q727" s="25">
        <f t="array" aca="1" ref="Q727" ca="1">INDEX('Isaac 401k'!L:L,MATCH('Retirement Calculator'!A727,'Isaac 401k'!N:N,0),0)</f>
        <v>-7424823.7371886382</v>
      </c>
      <c r="R727" s="25">
        <f t="array" aca="1" ref="R727" ca="1">INDEX('Lorri 401b'!L:L,MATCH('Retirement Calculator'!A727,'Lorri 401b'!N:N,0),0)</f>
        <v>-11583304.186837452</v>
      </c>
      <c r="S727" s="25">
        <f t="shared" ca="1" si="527"/>
        <v>-19008127.924026091</v>
      </c>
    </row>
    <row r="728" spans="1:19" ht="15.75" customHeight="1" x14ac:dyDescent="0.25">
      <c r="A728" s="37">
        <v>73110</v>
      </c>
      <c r="B728" s="398">
        <f t="shared" ref="B728:C728" si="734">($A728-B$9)/365.25</f>
        <v>118.28610540725531</v>
      </c>
      <c r="C728" s="398">
        <f t="shared" si="734"/>
        <v>113.67556468172485</v>
      </c>
      <c r="E728" s="25">
        <f>IF(C728&gt;$B$7,0,'Combined Retirement'!$D$13/12)</f>
        <v>0</v>
      </c>
      <c r="F728" s="25">
        <f>IF(H728=0,'Combined Retirement'!$D$32,0)+'Combined Retirement'!$B$24</f>
        <v>2870.372285649099</v>
      </c>
      <c r="G728" s="25">
        <f>'Combined Retirement'!$C$24</f>
        <v>3254.2644699519233</v>
      </c>
      <c r="H728" s="25">
        <f>IF(B728&lt;62,0,'Combined Retirement'!$I$14)</f>
        <v>2345</v>
      </c>
      <c r="I728" s="25">
        <f>IF(C728&lt;62,0,'Combined Retirement'!$I$13)</f>
        <v>2420</v>
      </c>
      <c r="J728" s="25">
        <f t="shared" si="523"/>
        <v>8395.6297298201844</v>
      </c>
      <c r="K728" s="25">
        <f t="shared" si="524"/>
        <v>21655.303514578787</v>
      </c>
      <c r="L728" s="25"/>
      <c r="N728" s="25">
        <f>'Combined Retirement'!$C$18/12</f>
        <v>40940.569999999992</v>
      </c>
      <c r="O728" s="25">
        <f t="shared" si="525"/>
        <v>10889.636755601023</v>
      </c>
      <c r="P728" s="25">
        <f t="shared" si="526"/>
        <v>30050.93324439897</v>
      </c>
      <c r="Q728" s="25">
        <f t="array" aca="1" ref="Q728" ca="1">INDEX('Isaac 401k'!L:L,MATCH('Retirement Calculator'!A728,'Isaac 401k'!N:N,0),0)</f>
        <v>-7464191.1142806187</v>
      </c>
      <c r="R728" s="25">
        <f t="array" aca="1" ref="R728" ca="1">INDEX('Lorri 401b'!L:L,MATCH('Retirement Calculator'!A728,'Lorri 401b'!N:N,0),0)</f>
        <v>-11653313.488228498</v>
      </c>
      <c r="S728" s="25">
        <f t="shared" ca="1" si="527"/>
        <v>-19117504.602509119</v>
      </c>
    </row>
    <row r="729" spans="1:19" ht="15.75" customHeight="1" x14ac:dyDescent="0.25">
      <c r="A729" s="37">
        <v>73141</v>
      </c>
      <c r="B729" s="398">
        <f t="shared" ref="B729:C729" si="735">($A729-B$9)/365.25</f>
        <v>118.3709787816564</v>
      </c>
      <c r="C729" s="398">
        <f t="shared" si="735"/>
        <v>113.76043805612593</v>
      </c>
      <c r="E729" s="25">
        <f>IF(C729&gt;$B$7,0,'Combined Retirement'!$D$13/12)</f>
        <v>0</v>
      </c>
      <c r="F729" s="25">
        <f>IF(H729=0,'Combined Retirement'!$D$32,0)+'Combined Retirement'!$B$24</f>
        <v>2870.372285649099</v>
      </c>
      <c r="G729" s="25">
        <f>'Combined Retirement'!$C$24</f>
        <v>3254.2644699519233</v>
      </c>
      <c r="H729" s="25">
        <f>IF(B729&lt;62,0,'Combined Retirement'!$I$14)</f>
        <v>2345</v>
      </c>
      <c r="I729" s="25">
        <f>IF(C729&lt;62,0,'Combined Retirement'!$I$13)</f>
        <v>2420</v>
      </c>
      <c r="J729" s="25">
        <f t="shared" si="523"/>
        <v>8395.6297298201844</v>
      </c>
      <c r="K729" s="25">
        <f t="shared" si="524"/>
        <v>21655.303514578787</v>
      </c>
      <c r="L729" s="25"/>
      <c r="N729" s="25">
        <f>'Combined Retirement'!$C$18/12</f>
        <v>40940.569999999992</v>
      </c>
      <c r="O729" s="25">
        <f t="shared" si="525"/>
        <v>10889.636755601023</v>
      </c>
      <c r="P729" s="25">
        <f t="shared" si="526"/>
        <v>30050.93324439897</v>
      </c>
      <c r="Q729" s="25">
        <f t="array" aca="1" ref="Q729" ca="1">INDEX('Isaac 401k'!L:L,MATCH('Retirement Calculator'!A729,'Isaac 401k'!N:N,0),0)</f>
        <v>-7503722.5221104827</v>
      </c>
      <c r="R729" s="25">
        <f t="array" aca="1" ref="R729" ca="1">INDEX('Lorri 401b'!L:L,MATCH('Retirement Calculator'!A729,'Lorri 401b'!N:N,0),0)</f>
        <v>-11723614.495042007</v>
      </c>
      <c r="S729" s="25">
        <f t="shared" ca="1" si="527"/>
        <v>-19227337.017152488</v>
      </c>
    </row>
    <row r="730" spans="1:19" ht="15.75" customHeight="1" x14ac:dyDescent="0.25">
      <c r="A730" s="37">
        <v>73171</v>
      </c>
      <c r="B730" s="398">
        <f t="shared" ref="B730:C730" si="736">($A730-B$9)/365.25</f>
        <v>118.45311430527036</v>
      </c>
      <c r="C730" s="398">
        <f t="shared" si="736"/>
        <v>113.84257357973991</v>
      </c>
      <c r="E730" s="25">
        <f>IF(C730&gt;$B$7,0,'Combined Retirement'!$D$13/12)</f>
        <v>0</v>
      </c>
      <c r="F730" s="25">
        <f>IF(H730=0,'Combined Retirement'!$D$32,0)+'Combined Retirement'!$B$24</f>
        <v>2870.372285649099</v>
      </c>
      <c r="G730" s="25">
        <f>'Combined Retirement'!$C$24</f>
        <v>3254.2644699519233</v>
      </c>
      <c r="H730" s="25">
        <f>IF(B730&lt;62,0,'Combined Retirement'!$I$14)</f>
        <v>2345</v>
      </c>
      <c r="I730" s="25">
        <f>IF(C730&lt;62,0,'Combined Retirement'!$I$13)</f>
        <v>2420</v>
      </c>
      <c r="J730" s="25">
        <f t="shared" si="523"/>
        <v>8395.6297298201844</v>
      </c>
      <c r="K730" s="25">
        <f t="shared" si="524"/>
        <v>21655.303514578787</v>
      </c>
      <c r="L730" s="25"/>
      <c r="N730" s="25">
        <f>'Combined Retirement'!$C$18/12</f>
        <v>40940.569999999992</v>
      </c>
      <c r="O730" s="25">
        <f t="shared" si="525"/>
        <v>10889.636755601023</v>
      </c>
      <c r="P730" s="25">
        <f t="shared" si="526"/>
        <v>30050.93324439897</v>
      </c>
      <c r="Q730" s="25">
        <f t="array" aca="1" ref="Q730" ca="1">INDEX('Isaac 401k'!L:L,MATCH('Retirement Calculator'!A730,'Isaac 401k'!N:N,0),0)</f>
        <v>-7543418.6441396372</v>
      </c>
      <c r="R730" s="25">
        <f t="array" aca="1" ref="R730" ca="1">INDEX('Lorri 401b'!L:L,MATCH('Retirement Calculator'!A730,'Lorri 401b'!N:N,0),0)</f>
        <v>-11794208.42271724</v>
      </c>
      <c r="S730" s="25">
        <f t="shared" ca="1" si="527"/>
        <v>-19337627.066856876</v>
      </c>
    </row>
    <row r="731" spans="1:19" ht="15.75" customHeight="1" x14ac:dyDescent="0.25">
      <c r="A731" s="37">
        <v>73202</v>
      </c>
      <c r="B731" s="398">
        <f t="shared" ref="B731:C731" si="737">($A731-B$9)/365.25</f>
        <v>118.53798767967146</v>
      </c>
      <c r="C731" s="398">
        <f t="shared" si="737"/>
        <v>113.927446954141</v>
      </c>
      <c r="E731" s="25">
        <f>IF(C731&gt;$B$7,0,'Combined Retirement'!$D$13/12)</f>
        <v>0</v>
      </c>
      <c r="F731" s="25">
        <f>IF(H731=0,'Combined Retirement'!$D$32,0)+'Combined Retirement'!$B$24</f>
        <v>2870.372285649099</v>
      </c>
      <c r="G731" s="25">
        <f>'Combined Retirement'!$C$24</f>
        <v>3254.2644699519233</v>
      </c>
      <c r="H731" s="25">
        <f>IF(B731&lt;62,0,'Combined Retirement'!$I$14)</f>
        <v>2345</v>
      </c>
      <c r="I731" s="25">
        <f>IF(C731&lt;62,0,'Combined Retirement'!$I$13)</f>
        <v>2420</v>
      </c>
      <c r="J731" s="25">
        <f t="shared" si="523"/>
        <v>8395.6297298201844</v>
      </c>
      <c r="K731" s="25">
        <f t="shared" si="524"/>
        <v>21655.303514578787</v>
      </c>
      <c r="L731" s="25"/>
      <c r="N731" s="25">
        <f>'Combined Retirement'!$C$18/12</f>
        <v>40940.569999999992</v>
      </c>
      <c r="O731" s="25">
        <f t="shared" si="525"/>
        <v>10889.636755601023</v>
      </c>
      <c r="P731" s="25">
        <f t="shared" si="526"/>
        <v>30050.93324439897</v>
      </c>
      <c r="Q731" s="25">
        <f t="array" aca="1" ref="Q731" ca="1">INDEX('Isaac 401k'!L:L,MATCH('Retirement Calculator'!A731,'Isaac 401k'!N:N,0),0)</f>
        <v>-7583280.1666772468</v>
      </c>
      <c r="R731" s="25">
        <f t="array" aca="1" ref="R731" ca="1">INDEX('Lorri 401b'!L:L,MATCH('Retirement Calculator'!A731,'Lorri 401b'!N:N,0),0)</f>
        <v>-11865096.491757784</v>
      </c>
      <c r="S731" s="25">
        <f t="shared" ca="1" si="527"/>
        <v>-19448376.658435032</v>
      </c>
    </row>
    <row r="732" spans="1:19" ht="15.75" customHeight="1" x14ac:dyDescent="0.25">
      <c r="A732" s="37">
        <v>73232</v>
      </c>
      <c r="B732" s="398">
        <f t="shared" ref="B732:C732" si="738">($A732-B$9)/365.25</f>
        <v>118.62012320328542</v>
      </c>
      <c r="C732" s="398">
        <f t="shared" si="738"/>
        <v>114.00958247775496</v>
      </c>
      <c r="E732" s="25">
        <f>IF(C732&gt;$B$7,0,'Combined Retirement'!$D$13/12)</f>
        <v>0</v>
      </c>
      <c r="F732" s="25">
        <f>IF(H732=0,'Combined Retirement'!$D$32,0)+'Combined Retirement'!$B$24</f>
        <v>2870.372285649099</v>
      </c>
      <c r="G732" s="25">
        <f>'Combined Retirement'!$C$24</f>
        <v>3254.2644699519233</v>
      </c>
      <c r="H732" s="25">
        <f>IF(B732&lt;62,0,'Combined Retirement'!$I$14)</f>
        <v>2345</v>
      </c>
      <c r="I732" s="25">
        <f>IF(C732&lt;62,0,'Combined Retirement'!$I$13)</f>
        <v>2420</v>
      </c>
      <c r="J732" s="25">
        <f t="shared" si="523"/>
        <v>8395.6297298201844</v>
      </c>
      <c r="K732" s="25">
        <f t="shared" si="524"/>
        <v>21655.303514578787</v>
      </c>
      <c r="L732" s="25"/>
      <c r="N732" s="25">
        <f>'Combined Retirement'!$C$18/12</f>
        <v>40940.569999999992</v>
      </c>
      <c r="O732" s="25">
        <f t="shared" si="525"/>
        <v>10889.636755601023</v>
      </c>
      <c r="P732" s="25">
        <f t="shared" si="526"/>
        <v>30050.93324439897</v>
      </c>
      <c r="Q732" s="25">
        <f t="array" aca="1" ref="Q732" ca="1">INDEX('Isaac 401k'!L:L,MATCH('Retirement Calculator'!A732,'Isaac 401k'!N:N,0),0)</f>
        <v>-7623307.7788920971</v>
      </c>
      <c r="R732" s="25">
        <f t="array" aca="1" ref="R732" ca="1">INDEX('Lorri 401b'!L:L,MATCH('Retirement Calculator'!A732,'Lorri 401b'!N:N,0),0)</f>
        <v>-11936279.927752664</v>
      </c>
      <c r="S732" s="25">
        <f t="shared" ca="1" si="527"/>
        <v>-19559587.706644762</v>
      </c>
    </row>
    <row r="733" spans="1:19" ht="15.75" customHeight="1" x14ac:dyDescent="0.25">
      <c r="A733" s="37">
        <v>73263</v>
      </c>
      <c r="B733" s="398">
        <f t="shared" ref="B733:C733" si="739">($A733-B$9)/365.25</f>
        <v>118.70499657768652</v>
      </c>
      <c r="C733" s="398">
        <f t="shared" si="739"/>
        <v>114.09445585215606</v>
      </c>
      <c r="E733" s="25">
        <f>IF(C733&gt;$B$7,0,'Combined Retirement'!$D$13/12)</f>
        <v>0</v>
      </c>
      <c r="F733" s="25">
        <f>IF(H733=0,'Combined Retirement'!$D$32,0)+'Combined Retirement'!$B$24</f>
        <v>2870.372285649099</v>
      </c>
      <c r="G733" s="25">
        <f>'Combined Retirement'!$C$24</f>
        <v>3254.2644699519233</v>
      </c>
      <c r="H733" s="25">
        <f>IF(B733&lt;62,0,'Combined Retirement'!$I$14)</f>
        <v>2345</v>
      </c>
      <c r="I733" s="25">
        <f>IF(C733&lt;62,0,'Combined Retirement'!$I$13)</f>
        <v>2420</v>
      </c>
      <c r="J733" s="25">
        <f t="shared" si="523"/>
        <v>8395.6297298201844</v>
      </c>
      <c r="K733" s="25">
        <f t="shared" si="524"/>
        <v>21655.303514578787</v>
      </c>
      <c r="L733" s="25"/>
      <c r="N733" s="25">
        <f>'Combined Retirement'!$C$18/12</f>
        <v>40940.569999999992</v>
      </c>
      <c r="O733" s="25">
        <f t="shared" si="525"/>
        <v>10889.636755601023</v>
      </c>
      <c r="P733" s="25">
        <f t="shared" si="526"/>
        <v>30050.93324439897</v>
      </c>
      <c r="Q733" s="25">
        <f t="array" aca="1" ref="Q733" ca="1">INDEX('Isaac 401k'!L:L,MATCH('Retirement Calculator'!A733,'Isaac 401k'!N:N,0),0)</f>
        <v>-7663502.1728245085</v>
      </c>
      <c r="R733" s="25">
        <f t="array" aca="1" ref="R733" ca="1">INDEX('Lorri 401b'!L:L,MATCH('Retirement Calculator'!A733,'Lorri 401b'!N:N,0),0)</f>
        <v>-12007759.961397523</v>
      </c>
      <c r="S733" s="25">
        <f t="shared" ca="1" si="527"/>
        <v>-19671262.134222031</v>
      </c>
    </row>
    <row r="734" spans="1:19" ht="15.75" customHeight="1" x14ac:dyDescent="0.25">
      <c r="A734" s="37">
        <v>73294</v>
      </c>
      <c r="B734" s="398">
        <f t="shared" ref="B734:C734" si="740">($A734-B$9)/365.25</f>
        <v>118.78986995208761</v>
      </c>
      <c r="C734" s="398">
        <f t="shared" si="740"/>
        <v>114.17932922655716</v>
      </c>
      <c r="E734" s="25">
        <f>IF(C734&gt;$B$7,0,'Combined Retirement'!$D$13/12)</f>
        <v>0</v>
      </c>
      <c r="F734" s="25">
        <f>IF(H734=0,'Combined Retirement'!$D$32,0)+'Combined Retirement'!$B$24</f>
        <v>2870.372285649099</v>
      </c>
      <c r="G734" s="25">
        <f>'Combined Retirement'!$C$24</f>
        <v>3254.2644699519233</v>
      </c>
      <c r="H734" s="25">
        <f>IF(B734&lt;62,0,'Combined Retirement'!$I$14)</f>
        <v>2345</v>
      </c>
      <c r="I734" s="25">
        <f>IF(C734&lt;62,0,'Combined Retirement'!$I$13)</f>
        <v>2420</v>
      </c>
      <c r="J734" s="25">
        <f t="shared" si="523"/>
        <v>8395.6297298201844</v>
      </c>
      <c r="K734" s="25">
        <f t="shared" si="524"/>
        <v>21655.303514578787</v>
      </c>
      <c r="L734" s="25"/>
      <c r="N734" s="25">
        <f>'Combined Retirement'!$C$18/12</f>
        <v>40940.569999999992</v>
      </c>
      <c r="O734" s="25">
        <f t="shared" si="525"/>
        <v>10889.636755601023</v>
      </c>
      <c r="P734" s="25">
        <f t="shared" si="526"/>
        <v>30050.93324439897</v>
      </c>
      <c r="Q734" s="25">
        <f t="array" aca="1" ref="Q734" ca="1">INDEX('Isaac 401k'!L:L,MATCH('Retirement Calculator'!A734,'Isaac 401k'!N:N,0),0)</f>
        <v>-7703864.0433983048</v>
      </c>
      <c r="R734" s="25">
        <f t="array" aca="1" ref="R734" ca="1">INDEX('Lorri 401b'!L:L,MATCH('Retirement Calculator'!A734,'Lorri 401b'!N:N,0),0)</f>
        <v>-12079537.828515902</v>
      </c>
      <c r="S734" s="25">
        <f t="shared" ca="1" si="527"/>
        <v>-19783401.871914208</v>
      </c>
    </row>
    <row r="735" spans="1:19" ht="15.75" customHeight="1" x14ac:dyDescent="0.25">
      <c r="A735" s="37">
        <v>73324</v>
      </c>
      <c r="B735" s="398">
        <f t="shared" ref="B735:C735" si="741">($A735-B$9)/365.25</f>
        <v>118.87200547570157</v>
      </c>
      <c r="C735" s="398">
        <f t="shared" si="741"/>
        <v>114.26146475017111</v>
      </c>
      <c r="E735" s="25">
        <f>IF(C735&gt;$B$7,0,'Combined Retirement'!$D$13/12)</f>
        <v>0</v>
      </c>
      <c r="F735" s="25">
        <f>IF(H735=0,'Combined Retirement'!$D$32,0)+'Combined Retirement'!$B$24</f>
        <v>2870.372285649099</v>
      </c>
      <c r="G735" s="25">
        <f>'Combined Retirement'!$C$24</f>
        <v>3254.2644699519233</v>
      </c>
      <c r="H735" s="25">
        <f>IF(B735&lt;62,0,'Combined Retirement'!$I$14)</f>
        <v>2345</v>
      </c>
      <c r="I735" s="25">
        <f>IF(C735&lt;62,0,'Combined Retirement'!$I$13)</f>
        <v>2420</v>
      </c>
      <c r="J735" s="25">
        <f t="shared" si="523"/>
        <v>8395.6297298201844</v>
      </c>
      <c r="K735" s="25">
        <f t="shared" si="524"/>
        <v>21655.303514578787</v>
      </c>
      <c r="L735" s="25"/>
      <c r="N735" s="25">
        <f>'Combined Retirement'!$C$18/12</f>
        <v>40940.569999999992</v>
      </c>
      <c r="O735" s="25">
        <f t="shared" si="525"/>
        <v>10889.636755601023</v>
      </c>
      <c r="P735" s="25">
        <f t="shared" si="526"/>
        <v>30050.93324439897</v>
      </c>
      <c r="Q735" s="25">
        <f t="array" aca="1" ref="Q735" ca="1">INDEX('Isaac 401k'!L:L,MATCH('Retirement Calculator'!A735,'Isaac 401k'!N:N,0),0)</f>
        <v>-7744394.0884328261</v>
      </c>
      <c r="R735" s="25">
        <f t="array" aca="1" ref="R735" ca="1">INDEX('Lorri 401b'!L:L,MATCH('Retirement Calculator'!A735,'Lorri 401b'!N:N,0),0)</f>
        <v>-12151614.770080609</v>
      </c>
      <c r="S735" s="25">
        <f t="shared" ca="1" si="527"/>
        <v>-19896008.858513437</v>
      </c>
    </row>
    <row r="736" spans="1:19" ht="15.75" customHeight="1" x14ac:dyDescent="0.25">
      <c r="A736" s="37">
        <v>73355</v>
      </c>
      <c r="B736" s="398">
        <f t="shared" ref="B736:C736" si="742">($A736-B$9)/365.25</f>
        <v>118.95687885010267</v>
      </c>
      <c r="C736" s="398">
        <f t="shared" si="742"/>
        <v>114.34633812457221</v>
      </c>
      <c r="E736" s="25">
        <f>IF(C736&gt;$B$7,0,'Combined Retirement'!$D$13/12)</f>
        <v>0</v>
      </c>
      <c r="F736" s="25">
        <f>IF(H736=0,'Combined Retirement'!$D$32,0)+'Combined Retirement'!$B$24</f>
        <v>2870.372285649099</v>
      </c>
      <c r="G736" s="25">
        <f>'Combined Retirement'!$C$24</f>
        <v>3254.2644699519233</v>
      </c>
      <c r="H736" s="25">
        <f>IF(B736&lt;62,0,'Combined Retirement'!$I$14)</f>
        <v>2345</v>
      </c>
      <c r="I736" s="25">
        <f>IF(C736&lt;62,0,'Combined Retirement'!$I$13)</f>
        <v>2420</v>
      </c>
      <c r="J736" s="25">
        <f t="shared" si="523"/>
        <v>8395.6297298201844</v>
      </c>
      <c r="K736" s="25">
        <f t="shared" si="524"/>
        <v>21655.303514578787</v>
      </c>
      <c r="L736" s="25"/>
      <c r="N736" s="25">
        <f>'Combined Retirement'!$C$18/12</f>
        <v>40940.569999999992</v>
      </c>
      <c r="O736" s="25">
        <f t="shared" si="525"/>
        <v>10889.636755601023</v>
      </c>
      <c r="P736" s="25">
        <f t="shared" si="526"/>
        <v>30050.93324439897</v>
      </c>
      <c r="Q736" s="25">
        <f t="array" aca="1" ref="Q736" ca="1">INDEX('Isaac 401k'!L:L,MATCH('Retirement Calculator'!A736,'Isaac 401k'!N:N,0),0)</f>
        <v>-7785093.0086549912</v>
      </c>
      <c r="R736" s="25">
        <f t="array" aca="1" ref="R736" ca="1">INDEX('Lorri 401b'!L:L,MATCH('Retirement Calculator'!A736,'Lorri 401b'!N:N,0),0)</f>
        <v>-12223992.032235168</v>
      </c>
      <c r="S736" s="25">
        <f t="shared" ca="1" si="527"/>
        <v>-20009085.040890157</v>
      </c>
    </row>
    <row r="737" spans="1:19" ht="15.75" customHeight="1" x14ac:dyDescent="0.25">
      <c r="A737" s="37">
        <v>73385</v>
      </c>
      <c r="B737" s="398">
        <f t="shared" ref="B737:C737" si="743">($A737-B$9)/365.25</f>
        <v>119.03901437371663</v>
      </c>
      <c r="C737" s="398">
        <f t="shared" si="743"/>
        <v>114.42847364818617</v>
      </c>
      <c r="E737" s="25">
        <f>IF(C737&gt;$B$7,0,'Combined Retirement'!$D$13/12)</f>
        <v>0</v>
      </c>
      <c r="F737" s="25">
        <f>IF(H737=0,'Combined Retirement'!$D$32,0)+'Combined Retirement'!$B$24</f>
        <v>2870.372285649099</v>
      </c>
      <c r="G737" s="25">
        <f>'Combined Retirement'!$C$24</f>
        <v>3254.2644699519233</v>
      </c>
      <c r="H737" s="25">
        <f>IF(B737&lt;62,0,'Combined Retirement'!$I$14)</f>
        <v>2345</v>
      </c>
      <c r="I737" s="25">
        <f>IF(C737&lt;62,0,'Combined Retirement'!$I$13)</f>
        <v>2420</v>
      </c>
      <c r="J737" s="25">
        <f t="shared" si="523"/>
        <v>8395.6297298201844</v>
      </c>
      <c r="K737" s="25">
        <f t="shared" si="524"/>
        <v>21655.303514578787</v>
      </c>
      <c r="L737" s="25"/>
      <c r="N737" s="25">
        <f>'Combined Retirement'!$C$18/12</f>
        <v>40940.569999999992</v>
      </c>
      <c r="O737" s="25">
        <f t="shared" si="525"/>
        <v>10889.636755601023</v>
      </c>
      <c r="P737" s="25">
        <f t="shared" si="526"/>
        <v>30050.93324439897</v>
      </c>
      <c r="Q737" s="25">
        <f t="array" aca="1" ref="Q737" ca="1">INDEX('Isaac 401k'!L:L,MATCH('Retirement Calculator'!A737,'Isaac 401k'!N:N,0),0)</f>
        <v>-7825961.5077114152</v>
      </c>
      <c r="R737" s="25">
        <f t="array" aca="1" ref="R737" ca="1">INDEX('Lorri 401b'!L:L,MATCH('Retirement Calculator'!A737,'Lorri 401b'!N:N,0),0)</f>
        <v>-12296670.86631537</v>
      </c>
      <c r="S737" s="25">
        <f t="shared" ca="1" si="527"/>
        <v>-20122632.374026787</v>
      </c>
    </row>
    <row r="738" spans="1:19" ht="15.75" customHeight="1" x14ac:dyDescent="0.25">
      <c r="A738" s="37">
        <v>73416</v>
      </c>
      <c r="B738" s="398">
        <f t="shared" ref="B738:C738" si="744">($A738-B$9)/365.25</f>
        <v>119.12388774811772</v>
      </c>
      <c r="C738" s="398">
        <f t="shared" si="744"/>
        <v>114.51334702258727</v>
      </c>
      <c r="E738" s="25">
        <f>IF(C738&gt;$B$7,0,'Combined Retirement'!$D$13/12)</f>
        <v>0</v>
      </c>
      <c r="F738" s="25">
        <f>IF(H738=0,'Combined Retirement'!$D$32,0)+'Combined Retirement'!$B$24</f>
        <v>2870.372285649099</v>
      </c>
      <c r="G738" s="25">
        <f>'Combined Retirement'!$C$24</f>
        <v>3254.2644699519233</v>
      </c>
      <c r="H738" s="25">
        <f>IF(B738&lt;62,0,'Combined Retirement'!$I$14)</f>
        <v>2345</v>
      </c>
      <c r="I738" s="25">
        <f>IF(C738&lt;62,0,'Combined Retirement'!$I$13)</f>
        <v>2420</v>
      </c>
      <c r="J738" s="25">
        <f t="shared" si="523"/>
        <v>8395.6297298201844</v>
      </c>
      <c r="K738" s="25">
        <f t="shared" si="524"/>
        <v>21655.303514578787</v>
      </c>
      <c r="L738" s="25"/>
      <c r="N738" s="25">
        <f>'Combined Retirement'!$C$18/12</f>
        <v>40940.569999999992</v>
      </c>
      <c r="O738" s="25">
        <f t="shared" si="525"/>
        <v>10889.636755601023</v>
      </c>
      <c r="P738" s="25">
        <f t="shared" si="526"/>
        <v>30050.93324439897</v>
      </c>
      <c r="Q738" s="25">
        <f t="array" aca="1" ref="Q738" ca="1">INDEX('Isaac 401k'!L:L,MATCH('Retirement Calculator'!A738,'Isaac 401k'!N:N,0),0)</f>
        <v>-7867000.2921805745</v>
      </c>
      <c r="R738" s="25">
        <f t="array" aca="1" ref="R738" ca="1">INDEX('Lorri 401b'!L:L,MATCH('Retirement Calculator'!A738,'Lorri 401b'!N:N,0),0)</f>
        <v>-12369652.528870909</v>
      </c>
      <c r="S738" s="25">
        <f t="shared" ca="1" si="527"/>
        <v>-20236652.821051482</v>
      </c>
    </row>
    <row r="739" spans="1:19" ht="15.75" customHeight="1" x14ac:dyDescent="0.25">
      <c r="A739" s="37">
        <v>73447</v>
      </c>
      <c r="B739" s="398">
        <f t="shared" ref="B739:C739" si="745">($A739-B$9)/365.25</f>
        <v>119.20876112251882</v>
      </c>
      <c r="C739" s="398">
        <f t="shared" si="745"/>
        <v>114.59822039698837</v>
      </c>
      <c r="E739" s="25">
        <f>IF(C739&gt;$B$7,0,'Combined Retirement'!$D$13/12)</f>
        <v>0</v>
      </c>
      <c r="F739" s="25">
        <f>IF(H739=0,'Combined Retirement'!$D$32,0)+'Combined Retirement'!$B$24</f>
        <v>2870.372285649099</v>
      </c>
      <c r="G739" s="25">
        <f>'Combined Retirement'!$C$24</f>
        <v>3254.2644699519233</v>
      </c>
      <c r="H739" s="25">
        <f>IF(B739&lt;62,0,'Combined Retirement'!$I$14)</f>
        <v>2345</v>
      </c>
      <c r="I739" s="25">
        <f>IF(C739&lt;62,0,'Combined Retirement'!$I$13)</f>
        <v>2420</v>
      </c>
      <c r="J739" s="25">
        <f t="shared" si="523"/>
        <v>8395.6297298201844</v>
      </c>
      <c r="K739" s="25">
        <f t="shared" si="524"/>
        <v>21655.303514578787</v>
      </c>
      <c r="L739" s="25"/>
      <c r="N739" s="25">
        <f>'Combined Retirement'!$C$18/12</f>
        <v>40940.569999999992</v>
      </c>
      <c r="O739" s="25">
        <f t="shared" si="525"/>
        <v>10889.636755601023</v>
      </c>
      <c r="P739" s="25">
        <f t="shared" si="526"/>
        <v>30050.93324439897</v>
      </c>
      <c r="Q739" s="25">
        <f t="array" aca="1" ref="Q739" ca="1">INDEX('Isaac 401k'!L:L,MATCH('Retirement Calculator'!A739,'Isaac 401k'!N:N,0),0)</f>
        <v>-7908210.0715850219</v>
      </c>
      <c r="R739" s="25">
        <f t="array" aca="1" ref="R739" ca="1">INDEX('Lorri 401b'!L:L,MATCH('Retirement Calculator'!A739,'Lorri 401b'!N:N,0),0)</f>
        <v>-12442938.281687094</v>
      </c>
      <c r="S739" s="25">
        <f t="shared" ca="1" si="527"/>
        <v>-20351148.353272118</v>
      </c>
    </row>
    <row r="740" spans="1:19" ht="15.75" customHeight="1" x14ac:dyDescent="0.25">
      <c r="A740" s="37">
        <v>73475</v>
      </c>
      <c r="B740" s="398">
        <f t="shared" ref="B740:C740" si="746">($A740-B$9)/365.25</f>
        <v>119.28542094455852</v>
      </c>
      <c r="C740" s="398">
        <f t="shared" si="746"/>
        <v>114.67488021902807</v>
      </c>
      <c r="E740" s="25">
        <f>IF(C740&gt;$B$7,0,'Combined Retirement'!$D$13/12)</f>
        <v>0</v>
      </c>
      <c r="F740" s="25">
        <f>IF(H740=0,'Combined Retirement'!$D$32,0)+'Combined Retirement'!$B$24</f>
        <v>2870.372285649099</v>
      </c>
      <c r="G740" s="25">
        <f>'Combined Retirement'!$C$24</f>
        <v>3254.2644699519233</v>
      </c>
      <c r="H740" s="25">
        <f>IF(B740&lt;62,0,'Combined Retirement'!$I$14)</f>
        <v>2345</v>
      </c>
      <c r="I740" s="25">
        <f>IF(C740&lt;62,0,'Combined Retirement'!$I$13)</f>
        <v>2420</v>
      </c>
      <c r="J740" s="25">
        <f t="shared" si="523"/>
        <v>8395.6297298201844</v>
      </c>
      <c r="K740" s="25">
        <f t="shared" si="524"/>
        <v>21655.303514578787</v>
      </c>
      <c r="L740" s="25"/>
      <c r="N740" s="25">
        <f>'Combined Retirement'!$C$18/12</f>
        <v>40940.569999999992</v>
      </c>
      <c r="O740" s="25">
        <f t="shared" si="525"/>
        <v>10889.636755601023</v>
      </c>
      <c r="P740" s="25">
        <f t="shared" si="526"/>
        <v>30050.93324439897</v>
      </c>
      <c r="Q740" s="25">
        <f t="array" aca="1" ref="Q740" ca="1">INDEX('Isaac 401k'!L:L,MATCH('Retirement Calculator'!A740,'Isaac 401k'!N:N,0),0)</f>
        <v>-7949591.558403654</v>
      </c>
      <c r="R740" s="25">
        <f t="array" aca="1" ref="R740" ca="1">INDEX('Lorri 401b'!L:L,MATCH('Retirement Calculator'!A740,'Lorri 401b'!N:N,0),0)</f>
        <v>-12516529.391806681</v>
      </c>
      <c r="S740" s="25">
        <f t="shared" ca="1" si="527"/>
        <v>-20466120.950210333</v>
      </c>
    </row>
    <row r="741" spans="1:19" ht="15.75" customHeight="1" x14ac:dyDescent="0.25">
      <c r="A741" s="37">
        <v>73506</v>
      </c>
      <c r="B741" s="398">
        <f t="shared" ref="B741:C741" si="747">($A741-B$9)/365.25</f>
        <v>119.37029431895962</v>
      </c>
      <c r="C741" s="398">
        <f t="shared" si="747"/>
        <v>114.75975359342915</v>
      </c>
      <c r="E741" s="25">
        <f>IF(C741&gt;$B$7,0,'Combined Retirement'!$D$13/12)</f>
        <v>0</v>
      </c>
      <c r="F741" s="25">
        <f>IF(H741=0,'Combined Retirement'!$D$32,0)+'Combined Retirement'!$B$24</f>
        <v>2870.372285649099</v>
      </c>
      <c r="G741" s="25">
        <f>'Combined Retirement'!$C$24</f>
        <v>3254.2644699519233</v>
      </c>
      <c r="H741" s="25">
        <f>IF(B741&lt;62,0,'Combined Retirement'!$I$14)</f>
        <v>2345</v>
      </c>
      <c r="I741" s="25">
        <f>IF(C741&lt;62,0,'Combined Retirement'!$I$13)</f>
        <v>2420</v>
      </c>
      <c r="J741" s="25">
        <f t="shared" si="523"/>
        <v>8395.6297298201844</v>
      </c>
      <c r="K741" s="25">
        <f t="shared" si="524"/>
        <v>21655.303514578787</v>
      </c>
      <c r="L741" s="25"/>
      <c r="N741" s="25">
        <f>'Combined Retirement'!$C$18/12</f>
        <v>40940.569999999992</v>
      </c>
      <c r="O741" s="25">
        <f t="shared" si="525"/>
        <v>10889.636755601023</v>
      </c>
      <c r="P741" s="25">
        <f t="shared" si="526"/>
        <v>30050.93324439897</v>
      </c>
      <c r="Q741" s="25">
        <f t="array" aca="1" ref="Q741" ca="1">INDEX('Isaac 401k'!L:L,MATCH('Retirement Calculator'!A741,'Isaac 401k'!N:N,0),0)</f>
        <v>-7991145.4680840308</v>
      </c>
      <c r="R741" s="25">
        <f t="array" aca="1" ref="R741" ca="1">INDEX('Lorri 401b'!L:L,MATCH('Retirement Calculator'!A741,'Lorri 401b'!N:N,0),0)</f>
        <v>-12590427.131551765</v>
      </c>
      <c r="S741" s="25">
        <f t="shared" ca="1" si="527"/>
        <v>-20581572.599635795</v>
      </c>
    </row>
    <row r="742" spans="1:19" ht="15.75" customHeight="1" x14ac:dyDescent="0.25">
      <c r="A742" s="37">
        <v>73536</v>
      </c>
      <c r="B742" s="398">
        <f t="shared" ref="B742:C742" si="748">($A742-B$9)/365.25</f>
        <v>119.45242984257358</v>
      </c>
      <c r="C742" s="398">
        <f t="shared" si="748"/>
        <v>114.84188911704312</v>
      </c>
      <c r="E742" s="25">
        <f>IF(C742&gt;$B$7,0,'Combined Retirement'!$D$13/12)</f>
        <v>0</v>
      </c>
      <c r="F742" s="25">
        <f>IF(H742=0,'Combined Retirement'!$D$32,0)+'Combined Retirement'!$B$24</f>
        <v>2870.372285649099</v>
      </c>
      <c r="G742" s="25">
        <f>'Combined Retirement'!$C$24</f>
        <v>3254.2644699519233</v>
      </c>
      <c r="H742" s="25">
        <f>IF(B742&lt;62,0,'Combined Retirement'!$I$14)</f>
        <v>2345</v>
      </c>
      <c r="I742" s="25">
        <f>IF(C742&lt;62,0,'Combined Retirement'!$I$13)</f>
        <v>2420</v>
      </c>
      <c r="J742" s="25">
        <f t="shared" si="523"/>
        <v>8395.6297298201844</v>
      </c>
      <c r="K742" s="25">
        <f t="shared" si="524"/>
        <v>21655.303514578787</v>
      </c>
      <c r="L742" s="25"/>
      <c r="N742" s="25">
        <f>'Combined Retirement'!$C$18/12</f>
        <v>40940.569999999992</v>
      </c>
      <c r="O742" s="25">
        <f t="shared" si="525"/>
        <v>10889.636755601023</v>
      </c>
      <c r="P742" s="25">
        <f t="shared" si="526"/>
        <v>30050.93324439897</v>
      </c>
      <c r="Q742" s="25">
        <f t="array" aca="1" ref="Q742" ca="1">INDEX('Isaac 401k'!L:L,MATCH('Retirement Calculator'!A742,'Isaac 401k'!N:N,0),0)</f>
        <v>-8032872.5190547425</v>
      </c>
      <c r="R742" s="25">
        <f t="array" aca="1" ref="R742" ca="1">INDEX('Lorri 401b'!L:L,MATCH('Retirement Calculator'!A742,'Lorri 401b'!N:N,0),0)</f>
        <v>-12664632.778545788</v>
      </c>
      <c r="S742" s="25">
        <f t="shared" ca="1" si="527"/>
        <v>-20697505.29760053</v>
      </c>
    </row>
    <row r="743" spans="1:19" ht="15.75" customHeight="1" x14ac:dyDescent="0.25">
      <c r="A743" s="37">
        <v>73567</v>
      </c>
      <c r="B743" s="398">
        <f t="shared" ref="B743:C743" si="749">($A743-B$9)/365.25</f>
        <v>119.53730321697468</v>
      </c>
      <c r="C743" s="398">
        <f t="shared" si="749"/>
        <v>114.92676249144422</v>
      </c>
      <c r="E743" s="25">
        <f>IF(C743&gt;$B$7,0,'Combined Retirement'!$D$13/12)</f>
        <v>0</v>
      </c>
      <c r="F743" s="25">
        <f>IF(H743=0,'Combined Retirement'!$D$32,0)+'Combined Retirement'!$B$24</f>
        <v>2870.372285649099</v>
      </c>
      <c r="G743" s="25">
        <f>'Combined Retirement'!$C$24</f>
        <v>3254.2644699519233</v>
      </c>
      <c r="H743" s="25">
        <f>IF(B743&lt;62,0,'Combined Retirement'!$I$14)</f>
        <v>2345</v>
      </c>
      <c r="I743" s="25">
        <f>IF(C743&lt;62,0,'Combined Retirement'!$I$13)</f>
        <v>2420</v>
      </c>
      <c r="J743" s="25">
        <f t="shared" si="523"/>
        <v>8395.6297298201844</v>
      </c>
      <c r="K743" s="25">
        <f t="shared" si="524"/>
        <v>21655.303514578787</v>
      </c>
      <c r="L743" s="25"/>
      <c r="N743" s="25">
        <f>'Combined Retirement'!$C$18/12</f>
        <v>40940.569999999992</v>
      </c>
      <c r="O743" s="25">
        <f t="shared" si="525"/>
        <v>10889.636755601023</v>
      </c>
      <c r="P743" s="25">
        <f t="shared" si="526"/>
        <v>30050.93324439897</v>
      </c>
      <c r="Q743" s="25">
        <f t="array" aca="1" ref="Q743" ca="1">INDEX('Isaac 401k'!L:L,MATCH('Retirement Calculator'!A743,'Isaac 401k'!N:N,0),0)</f>
        <v>-8074773.432737832</v>
      </c>
      <c r="R743" s="25">
        <f t="array" aca="1" ref="R743" ca="1">INDEX('Lorri 401b'!L:L,MATCH('Retirement Calculator'!A743,'Lorri 401b'!N:N,0),0)</f>
        <v>-12739147.615735618</v>
      </c>
      <c r="S743" s="25">
        <f t="shared" ca="1" si="527"/>
        <v>-20813921.048473451</v>
      </c>
    </row>
    <row r="744" spans="1:19" ht="15.75" customHeight="1" x14ac:dyDescent="0.25">
      <c r="A744" s="37">
        <v>73597</v>
      </c>
      <c r="B744" s="398">
        <f t="shared" ref="B744:C744" si="750">($A744-B$9)/365.25</f>
        <v>119.61943874058863</v>
      </c>
      <c r="C744" s="398">
        <f t="shared" si="750"/>
        <v>115.00889801505818</v>
      </c>
      <c r="E744" s="25">
        <f>IF(C744&gt;$B$7,0,'Combined Retirement'!$D$13/12)</f>
        <v>0</v>
      </c>
      <c r="F744" s="25">
        <f>IF(H744=0,'Combined Retirement'!$D$32,0)+'Combined Retirement'!$B$24</f>
        <v>2870.372285649099</v>
      </c>
      <c r="G744" s="25">
        <f>'Combined Retirement'!$C$24</f>
        <v>3254.2644699519233</v>
      </c>
      <c r="H744" s="25">
        <f>IF(B744&lt;62,0,'Combined Retirement'!$I$14)</f>
        <v>2345</v>
      </c>
      <c r="I744" s="25">
        <f>IF(C744&lt;62,0,'Combined Retirement'!$I$13)</f>
        <v>2420</v>
      </c>
      <c r="J744" s="25">
        <f t="shared" si="523"/>
        <v>8395.6297298201844</v>
      </c>
      <c r="K744" s="25">
        <f t="shared" si="524"/>
        <v>21655.303514578787</v>
      </c>
      <c r="L744" s="25"/>
      <c r="N744" s="25">
        <f>'Combined Retirement'!$C$18/12</f>
        <v>40940.569999999992</v>
      </c>
      <c r="O744" s="25">
        <f t="shared" si="525"/>
        <v>10889.636755601023</v>
      </c>
      <c r="P744" s="25">
        <f t="shared" si="526"/>
        <v>30050.93324439897</v>
      </c>
      <c r="Q744" s="25">
        <f t="array" aca="1" ref="Q744" ca="1">INDEX('Isaac 401k'!L:L,MATCH('Retirement Calculator'!A744,'Isaac 401k'!N:N,0),0)</f>
        <v>-8116848.9335612673</v>
      </c>
      <c r="R744" s="25">
        <f t="array" aca="1" ref="R744" ca="1">INDEX('Lorri 401b'!L:L,MATCH('Retirement Calculator'!A744,'Lorri 401b'!N:N,0),0)</f>
        <v>-12813972.93141374</v>
      </c>
      <c r="S744" s="25">
        <f t="shared" ca="1" si="527"/>
        <v>-20930821.864975005</v>
      </c>
    </row>
    <row r="745" spans="1:19" ht="15.75" customHeight="1" x14ac:dyDescent="0.25">
      <c r="A745" s="37">
        <v>73628</v>
      </c>
      <c r="B745" s="398">
        <f t="shared" ref="B745:C745" si="751">($A745-B$9)/365.25</f>
        <v>119.70431211498973</v>
      </c>
      <c r="C745" s="398">
        <f t="shared" si="751"/>
        <v>115.09377138945928</v>
      </c>
      <c r="E745" s="25">
        <f>IF(C745&gt;$B$7,0,'Combined Retirement'!$D$13/12)</f>
        <v>0</v>
      </c>
      <c r="F745" s="25">
        <f>IF(H745=0,'Combined Retirement'!$D$32,0)+'Combined Retirement'!$B$24</f>
        <v>2870.372285649099</v>
      </c>
      <c r="G745" s="25">
        <f>'Combined Retirement'!$C$24</f>
        <v>3254.2644699519233</v>
      </c>
      <c r="H745" s="25">
        <f>IF(B745&lt;62,0,'Combined Retirement'!$I$14)</f>
        <v>2345</v>
      </c>
      <c r="I745" s="25">
        <f>IF(C745&lt;62,0,'Combined Retirement'!$I$13)</f>
        <v>2420</v>
      </c>
      <c r="J745" s="25">
        <f t="shared" si="523"/>
        <v>8395.6297298201844</v>
      </c>
      <c r="K745" s="25">
        <f t="shared" si="524"/>
        <v>21655.303514578787</v>
      </c>
      <c r="L745" s="25"/>
      <c r="N745" s="25">
        <f>'Combined Retirement'!$C$18/12</f>
        <v>40940.569999999992</v>
      </c>
      <c r="O745" s="25">
        <f t="shared" si="525"/>
        <v>10889.636755601023</v>
      </c>
      <c r="P745" s="25">
        <f t="shared" si="526"/>
        <v>30050.93324439897</v>
      </c>
      <c r="Q745" s="25">
        <f t="array" aca="1" ref="Q745" ca="1">INDEX('Isaac 401k'!L:L,MATCH('Retirement Calculator'!A745,'Isaac 401k'!N:N,0),0)</f>
        <v>-8159099.7489714669</v>
      </c>
      <c r="R745" s="25">
        <f t="array" aca="1" ref="R745" ca="1">INDEX('Lorri 401b'!L:L,MATCH('Retirement Calculator'!A745,'Lorri 401b'!N:N,0),0)</f>
        <v>-12889110.019240521</v>
      </c>
      <c r="S745" s="25">
        <f t="shared" ca="1" si="527"/>
        <v>-21048209.768211987</v>
      </c>
    </row>
    <row r="746" spans="1:19" ht="15.75" customHeight="1" x14ac:dyDescent="0.25">
      <c r="A746" s="37">
        <v>73659</v>
      </c>
      <c r="B746" s="398">
        <f t="shared" ref="B746:C746" si="752">($A746-B$9)/365.25</f>
        <v>119.78918548939083</v>
      </c>
      <c r="C746" s="398">
        <f t="shared" si="752"/>
        <v>115.17864476386038</v>
      </c>
      <c r="E746" s="25">
        <f>IF(C746&gt;$B$7,0,'Combined Retirement'!$D$13/12)</f>
        <v>0</v>
      </c>
      <c r="F746" s="25">
        <f>IF(H746=0,'Combined Retirement'!$D$32,0)+'Combined Retirement'!$B$24</f>
        <v>2870.372285649099</v>
      </c>
      <c r="G746" s="25">
        <f>'Combined Retirement'!$C$24</f>
        <v>3254.2644699519233</v>
      </c>
      <c r="H746" s="25">
        <f>IF(B746&lt;62,0,'Combined Retirement'!$I$14)</f>
        <v>2345</v>
      </c>
      <c r="I746" s="25">
        <f>IF(C746&lt;62,0,'Combined Retirement'!$I$13)</f>
        <v>2420</v>
      </c>
      <c r="J746" s="25">
        <f t="shared" si="523"/>
        <v>8395.6297298201844</v>
      </c>
      <c r="K746" s="25">
        <f t="shared" si="524"/>
        <v>21655.303514578787</v>
      </c>
      <c r="L746" s="25"/>
      <c r="N746" s="25">
        <f>'Combined Retirement'!$C$18/12</f>
        <v>40940.569999999992</v>
      </c>
      <c r="O746" s="25">
        <f t="shared" si="525"/>
        <v>10889.636755601023</v>
      </c>
      <c r="P746" s="25">
        <f t="shared" si="526"/>
        <v>30050.93324439897</v>
      </c>
      <c r="Q746" s="25">
        <f t="array" aca="1" ref="Q746" ca="1">INDEX('Isaac 401k'!L:L,MATCH('Retirement Calculator'!A746,'Isaac 401k'!N:N,0),0)</f>
        <v>-8201526.6094458764</v>
      </c>
      <c r="R746" s="25">
        <f t="array" aca="1" ref="R746" ca="1">INDEX('Lorri 401b'!L:L,MATCH('Retirement Calculator'!A746,'Lorri 401b'!N:N,0),0)</f>
        <v>-12964560.178266579</v>
      </c>
      <c r="S746" s="25">
        <f t="shared" ca="1" si="527"/>
        <v>-21166086.787712455</v>
      </c>
    </row>
    <row r="747" spans="1:19" ht="15.75" customHeight="1" x14ac:dyDescent="0.25">
      <c r="A747" s="37">
        <v>73689</v>
      </c>
      <c r="B747" s="398">
        <f t="shared" ref="B747:C747" si="753">($A747-B$9)/365.25</f>
        <v>119.87132101300479</v>
      </c>
      <c r="C747" s="398">
        <f t="shared" si="753"/>
        <v>115.26078028747433</v>
      </c>
      <c r="E747" s="25">
        <f>IF(C747&gt;$B$7,0,'Combined Retirement'!$D$13/12)</f>
        <v>0</v>
      </c>
      <c r="F747" s="25">
        <f>IF(H747=0,'Combined Retirement'!$D$32,0)+'Combined Retirement'!$B$24</f>
        <v>2870.372285649099</v>
      </c>
      <c r="G747" s="25">
        <f>'Combined Retirement'!$C$24</f>
        <v>3254.2644699519233</v>
      </c>
      <c r="H747" s="25">
        <f>IF(B747&lt;62,0,'Combined Retirement'!$I$14)</f>
        <v>2345</v>
      </c>
      <c r="I747" s="25">
        <f>IF(C747&lt;62,0,'Combined Retirement'!$I$13)</f>
        <v>2420</v>
      </c>
      <c r="J747" s="25">
        <f t="shared" si="523"/>
        <v>8395.6297298201844</v>
      </c>
      <c r="K747" s="25">
        <f t="shared" si="524"/>
        <v>21655.303514578787</v>
      </c>
      <c r="L747" s="25"/>
      <c r="N747" s="25">
        <f>'Combined Retirement'!$C$18/12</f>
        <v>40940.569999999992</v>
      </c>
      <c r="O747" s="25">
        <f t="shared" si="525"/>
        <v>10889.636755601023</v>
      </c>
      <c r="P747" s="25">
        <f t="shared" si="526"/>
        <v>30050.93324439897</v>
      </c>
      <c r="Q747" s="25">
        <f t="array" aca="1" ref="Q747" ca="1">INDEX('Isaac 401k'!L:L,MATCH('Retirement Calculator'!A747,'Isaac 401k'!N:N,0),0)</f>
        <v>-8244130.2485055951</v>
      </c>
      <c r="R747" s="25">
        <f t="array" aca="1" ref="R747" ca="1">INDEX('Lorri 401b'!L:L,MATCH('Retirement Calculator'!A747,'Lorri 401b'!N:N,0),0)</f>
        <v>-13040324.712955248</v>
      </c>
      <c r="S747" s="25">
        <f t="shared" ca="1" si="527"/>
        <v>-21284454.961460844</v>
      </c>
    </row>
    <row r="748" spans="1:19" ht="15.75" customHeight="1" x14ac:dyDescent="0.25">
      <c r="A748" s="37">
        <v>73720</v>
      </c>
      <c r="B748" s="398">
        <f t="shared" ref="B748:C748" si="754">($A748-B$9)/365.25</f>
        <v>119.95619438740589</v>
      </c>
      <c r="C748" s="398">
        <f t="shared" si="754"/>
        <v>115.34565366187543</v>
      </c>
      <c r="E748" s="25">
        <f>IF(C748&gt;$B$7,0,'Combined Retirement'!$D$13/12)</f>
        <v>0</v>
      </c>
      <c r="F748" s="25">
        <f>IF(H748=0,'Combined Retirement'!$D$32,0)+'Combined Retirement'!$B$24</f>
        <v>2870.372285649099</v>
      </c>
      <c r="G748" s="25">
        <f>'Combined Retirement'!$C$24</f>
        <v>3254.2644699519233</v>
      </c>
      <c r="H748" s="25">
        <f>IF(B748&lt;62,0,'Combined Retirement'!$I$14)</f>
        <v>2345</v>
      </c>
      <c r="I748" s="25">
        <f>IF(C748&lt;62,0,'Combined Retirement'!$I$13)</f>
        <v>2420</v>
      </c>
      <c r="J748" s="25">
        <f t="shared" si="523"/>
        <v>8395.6297298201844</v>
      </c>
      <c r="K748" s="25">
        <f t="shared" si="524"/>
        <v>21655.303514578787</v>
      </c>
      <c r="L748" s="25"/>
      <c r="N748" s="25">
        <f>'Combined Retirement'!$C$18/12</f>
        <v>40940.569999999992</v>
      </c>
      <c r="O748" s="25">
        <f t="shared" si="525"/>
        <v>10889.636755601023</v>
      </c>
      <c r="P748" s="25">
        <f t="shared" si="526"/>
        <v>30050.93324439897</v>
      </c>
      <c r="Q748" s="25">
        <f t="array" aca="1" ref="Q748" ca="1">INDEX('Isaac 401k'!L:L,MATCH('Retirement Calculator'!A748,'Isaac 401k'!N:N,0),0)</f>
        <v>-8286911.4027280631</v>
      </c>
      <c r="R748" s="25">
        <f t="array" aca="1" ref="R748" ca="1">INDEX('Lorri 401b'!L:L,MATCH('Retirement Calculator'!A748,'Lorri 401b'!N:N,0),0)</f>
        <v>-13116404.933205118</v>
      </c>
      <c r="S748" s="25">
        <f t="shared" ca="1" si="527"/>
        <v>-21403316.335933182</v>
      </c>
    </row>
    <row r="749" spans="1:19" ht="15.75" customHeight="1" x14ac:dyDescent="0.25">
      <c r="A749" s="37">
        <v>73750</v>
      </c>
      <c r="B749" s="398">
        <f t="shared" ref="B749:C749" si="755">($A749-B$9)/365.25</f>
        <v>120.03832991101984</v>
      </c>
      <c r="C749" s="398">
        <f t="shared" si="755"/>
        <v>115.42778918548939</v>
      </c>
      <c r="E749" s="25">
        <f>IF(C749&gt;$B$7,0,'Combined Retirement'!$D$13/12)</f>
        <v>0</v>
      </c>
      <c r="F749" s="25">
        <f>IF(H749=0,'Combined Retirement'!$D$32,0)+'Combined Retirement'!$B$24</f>
        <v>2870.372285649099</v>
      </c>
      <c r="G749" s="25">
        <f>'Combined Retirement'!$C$24</f>
        <v>3254.2644699519233</v>
      </c>
      <c r="H749" s="25">
        <f>IF(B749&lt;62,0,'Combined Retirement'!$I$14)</f>
        <v>2345</v>
      </c>
      <c r="I749" s="25">
        <f>IF(C749&lt;62,0,'Combined Retirement'!$I$13)</f>
        <v>2420</v>
      </c>
      <c r="J749" s="25">
        <f t="shared" si="523"/>
        <v>8395.6297298201844</v>
      </c>
      <c r="K749" s="25">
        <f t="shared" si="524"/>
        <v>21655.303514578787</v>
      </c>
      <c r="L749" s="25"/>
      <c r="N749" s="25">
        <f>'Combined Retirement'!$C$18/12</f>
        <v>40940.569999999992</v>
      </c>
      <c r="O749" s="25">
        <f t="shared" si="525"/>
        <v>10889.636755601023</v>
      </c>
      <c r="P749" s="25">
        <f t="shared" si="526"/>
        <v>30050.93324439897</v>
      </c>
      <c r="Q749" s="25">
        <f t="array" aca="1" ref="Q749" ca="1">INDEX('Isaac 401k'!L:L,MATCH('Retirement Calculator'!A749,'Isaac 401k'!N:N,0),0)</f>
        <v>-8329870.8117597913</v>
      </c>
      <c r="R749" s="25">
        <f t="array" aca="1" ref="R749" ca="1">INDEX('Lorri 401b'!L:L,MATCH('Retirement Calculator'!A749,'Lorri 401b'!N:N,0),0)</f>
        <v>-13192802.154372696</v>
      </c>
      <c r="S749" s="25">
        <f t="shared" ca="1" si="527"/>
        <v>-21522672.966132488</v>
      </c>
    </row>
    <row r="750" spans="1:19" ht="15.75" customHeight="1" x14ac:dyDescent="0.25">
      <c r="A750" s="37">
        <v>73781</v>
      </c>
      <c r="B750" s="398">
        <f t="shared" ref="B750:C750" si="756">($A750-B$9)/365.25</f>
        <v>120.12320328542094</v>
      </c>
      <c r="C750" s="398">
        <f t="shared" si="756"/>
        <v>115.51266255989049</v>
      </c>
      <c r="E750" s="25">
        <f>IF(C750&gt;$B$7,0,'Combined Retirement'!$D$13/12)</f>
        <v>0</v>
      </c>
      <c r="F750" s="25">
        <f>IF(H750=0,'Combined Retirement'!$D$32,0)+'Combined Retirement'!$B$24</f>
        <v>2870.372285649099</v>
      </c>
      <c r="G750" s="25">
        <f>'Combined Retirement'!$C$24</f>
        <v>3254.2644699519233</v>
      </c>
      <c r="H750" s="25">
        <f>IF(B750&lt;62,0,'Combined Retirement'!$I$14)</f>
        <v>2345</v>
      </c>
      <c r="I750" s="25">
        <f>IF(C750&lt;62,0,'Combined Retirement'!$I$13)</f>
        <v>2420</v>
      </c>
      <c r="J750" s="25">
        <f t="shared" si="523"/>
        <v>8395.6297298201844</v>
      </c>
      <c r="K750" s="25">
        <f t="shared" si="524"/>
        <v>21655.303514578787</v>
      </c>
      <c r="L750" s="25"/>
      <c r="N750" s="25">
        <f>'Combined Retirement'!$C$18/12</f>
        <v>40940.569999999992</v>
      </c>
      <c r="O750" s="25">
        <f t="shared" si="525"/>
        <v>10889.636755601023</v>
      </c>
      <c r="P750" s="25">
        <f t="shared" si="526"/>
        <v>30050.93324439897</v>
      </c>
      <c r="Q750" s="25">
        <f t="array" aca="1" ref="Q750" ca="1">INDEX('Isaac 401k'!L:L,MATCH('Retirement Calculator'!A750,'Isaac 401k'!N:N,0),0)</f>
        <v>-8373009.2183291521</v>
      </c>
      <c r="R750" s="25">
        <f t="array" aca="1" ref="R750" ca="1">INDEX('Lorri 401b'!L:L,MATCH('Retirement Calculator'!A750,'Lorri 401b'!N:N,0),0)</f>
        <v>-13269517.697295139</v>
      </c>
      <c r="S750" s="25">
        <f t="shared" ca="1" si="527"/>
        <v>-21642526.915624291</v>
      </c>
    </row>
    <row r="751" spans="1:19" ht="15.75" customHeight="1" x14ac:dyDescent="0.25">
      <c r="A751" s="37">
        <v>73812</v>
      </c>
      <c r="B751" s="398">
        <f t="shared" ref="B751:C751" si="757">($A751-B$9)/365.25</f>
        <v>120.20807665982204</v>
      </c>
      <c r="C751" s="398">
        <f t="shared" si="757"/>
        <v>115.59753593429159</v>
      </c>
      <c r="E751" s="25">
        <f>IF(C751&gt;$B$7,0,'Combined Retirement'!$D$13/12)</f>
        <v>0</v>
      </c>
      <c r="F751" s="25">
        <f>IF(H751=0,'Combined Retirement'!$D$32,0)+'Combined Retirement'!$B$24</f>
        <v>2870.372285649099</v>
      </c>
      <c r="G751" s="25">
        <f>'Combined Retirement'!$C$24</f>
        <v>3254.2644699519233</v>
      </c>
      <c r="H751" s="25">
        <f>IF(B751&lt;62,0,'Combined Retirement'!$I$14)</f>
        <v>2345</v>
      </c>
      <c r="I751" s="25">
        <f>IF(C751&lt;62,0,'Combined Retirement'!$I$13)</f>
        <v>2420</v>
      </c>
      <c r="J751" s="25">
        <f t="shared" si="523"/>
        <v>8395.6297298201844</v>
      </c>
      <c r="K751" s="25">
        <f t="shared" si="524"/>
        <v>21655.303514578787</v>
      </c>
      <c r="L751" s="25"/>
      <c r="N751" s="25">
        <f>'Combined Retirement'!$C$18/12</f>
        <v>40940.569999999992</v>
      </c>
      <c r="O751" s="25">
        <f t="shared" si="525"/>
        <v>10889.636755601023</v>
      </c>
      <c r="P751" s="25">
        <f t="shared" si="526"/>
        <v>30050.93324439897</v>
      </c>
      <c r="Q751" s="25">
        <f t="array" aca="1" ref="Q751" ca="1">INDEX('Isaac 401k'!L:L,MATCH('Retirement Calculator'!A751,'Isaac 401k'!N:N,0),0)</f>
        <v>-8416327.3682592176</v>
      </c>
      <c r="R751" s="25">
        <f t="array" aca="1" ref="R751" ca="1">INDEX('Lorri 401b'!L:L,MATCH('Retirement Calculator'!A751,'Lorri 401b'!N:N,0),0)</f>
        <v>-13346552.888313092</v>
      </c>
      <c r="S751" s="25">
        <f t="shared" ca="1" si="527"/>
        <v>-21762880.25657231</v>
      </c>
    </row>
    <row r="752" spans="1:19" ht="15.75" customHeight="1" x14ac:dyDescent="0.25">
      <c r="A752" s="37">
        <v>73840</v>
      </c>
      <c r="B752" s="398">
        <f t="shared" ref="B752:C752" si="758">($A752-B$9)/365.25</f>
        <v>120.28473648186174</v>
      </c>
      <c r="C752" s="398">
        <f t="shared" si="758"/>
        <v>115.67419575633129</v>
      </c>
      <c r="E752" s="25">
        <f>IF(C752&gt;$B$7,0,'Combined Retirement'!$D$13/12)</f>
        <v>0</v>
      </c>
      <c r="F752" s="25">
        <f>IF(H752=0,'Combined Retirement'!$D$32,0)+'Combined Retirement'!$B$24</f>
        <v>2870.372285649099</v>
      </c>
      <c r="G752" s="25">
        <f>'Combined Retirement'!$C$24</f>
        <v>3254.2644699519233</v>
      </c>
      <c r="H752" s="25">
        <f>IF(B752&lt;62,0,'Combined Retirement'!$I$14)</f>
        <v>2345</v>
      </c>
      <c r="I752" s="25">
        <f>IF(C752&lt;62,0,'Combined Retirement'!$I$13)</f>
        <v>2420</v>
      </c>
      <c r="J752" s="25">
        <f t="shared" si="523"/>
        <v>8395.6297298201844</v>
      </c>
      <c r="K752" s="25">
        <f t="shared" si="524"/>
        <v>21655.303514578787</v>
      </c>
      <c r="L752" s="25"/>
      <c r="N752" s="25">
        <f>'Combined Retirement'!$C$18/12</f>
        <v>40940.569999999992</v>
      </c>
      <c r="O752" s="25">
        <f t="shared" si="525"/>
        <v>10889.636755601023</v>
      </c>
      <c r="P752" s="25">
        <f t="shared" si="526"/>
        <v>30050.93324439897</v>
      </c>
      <c r="Q752" s="25">
        <f t="array" aca="1" ref="Q752" ca="1">INDEX('Isaac 401k'!L:L,MATCH('Retirement Calculator'!A752,'Isaac 401k'!N:N,0),0)</f>
        <v>-8459826.0104806591</v>
      </c>
      <c r="R752" s="25">
        <f t="array" aca="1" ref="R752" ca="1">INDEX('Lorri 401b'!L:L,MATCH('Retirement Calculator'!A752,'Lorri 401b'!N:N,0),0)</f>
        <v>-13423909.05929362</v>
      </c>
      <c r="S752" s="25">
        <f t="shared" ca="1" si="527"/>
        <v>-21883735.069774278</v>
      </c>
    </row>
    <row r="753" spans="1:19" ht="15.75" customHeight="1" x14ac:dyDescent="0.25">
      <c r="A753" s="37">
        <v>73871</v>
      </c>
      <c r="B753" s="398">
        <f t="shared" ref="B753:C753" si="759">($A753-B$9)/365.25</f>
        <v>120.36960985626284</v>
      </c>
      <c r="C753" s="398">
        <f t="shared" si="759"/>
        <v>115.75906913073237</v>
      </c>
      <c r="E753" s="25">
        <f>IF(C753&gt;$B$7,0,'Combined Retirement'!$D$13/12)</f>
        <v>0</v>
      </c>
      <c r="F753" s="25">
        <f>IF(H753=0,'Combined Retirement'!$D$32,0)+'Combined Retirement'!$B$24</f>
        <v>2870.372285649099</v>
      </c>
      <c r="G753" s="25">
        <f>'Combined Retirement'!$C$24</f>
        <v>3254.2644699519233</v>
      </c>
      <c r="H753" s="25">
        <f>IF(B753&lt;62,0,'Combined Retirement'!$I$14)</f>
        <v>2345</v>
      </c>
      <c r="I753" s="25">
        <f>IF(C753&lt;62,0,'Combined Retirement'!$I$13)</f>
        <v>2420</v>
      </c>
      <c r="J753" s="25">
        <f t="shared" si="523"/>
        <v>8395.6297298201844</v>
      </c>
      <c r="K753" s="25">
        <f t="shared" si="524"/>
        <v>21655.303514578787</v>
      </c>
      <c r="L753" s="25"/>
      <c r="N753" s="25">
        <f>'Combined Retirement'!$C$18/12</f>
        <v>40940.569999999992</v>
      </c>
      <c r="O753" s="25">
        <f t="shared" si="525"/>
        <v>10889.636755601023</v>
      </c>
      <c r="P753" s="25">
        <f t="shared" si="526"/>
        <v>30050.93324439897</v>
      </c>
      <c r="Q753" s="25">
        <f t="array" aca="1" ref="Q753" ca="1">INDEX('Isaac 401k'!L:L,MATCH('Retirement Calculator'!A753,'Isaac 401k'!N:N,0),0)</f>
        <v>-8503505.8970446903</v>
      </c>
      <c r="R753" s="25">
        <f t="array" aca="1" ref="R753" ca="1">INDEX('Lorri 401b'!L:L,MATCH('Retirement Calculator'!A753,'Lorri 401b'!N:N,0),0)</f>
        <v>-13501587.547653234</v>
      </c>
      <c r="S753" s="25">
        <f t="shared" ca="1" si="527"/>
        <v>-22005093.444697924</v>
      </c>
    </row>
    <row r="754" spans="1:19" ht="15.75" customHeight="1" x14ac:dyDescent="0.25">
      <c r="A754" s="37">
        <v>73901</v>
      </c>
      <c r="B754" s="398">
        <f t="shared" ref="B754:C754" si="760">($A754-B$9)/365.25</f>
        <v>120.4517453798768</v>
      </c>
      <c r="C754" s="398">
        <f t="shared" si="760"/>
        <v>115.84120465434634</v>
      </c>
      <c r="E754" s="25">
        <f>IF(C754&gt;$B$7,0,'Combined Retirement'!$D$13/12)</f>
        <v>0</v>
      </c>
      <c r="F754" s="25">
        <f>IF(H754=0,'Combined Retirement'!$D$32,0)+'Combined Retirement'!$B$24</f>
        <v>2870.372285649099</v>
      </c>
      <c r="G754" s="25">
        <f>'Combined Retirement'!$C$24</f>
        <v>3254.2644699519233</v>
      </c>
      <c r="H754" s="25">
        <f>IF(B754&lt;62,0,'Combined Retirement'!$I$14)</f>
        <v>2345</v>
      </c>
      <c r="I754" s="25">
        <f>IF(C754&lt;62,0,'Combined Retirement'!$I$13)</f>
        <v>2420</v>
      </c>
      <c r="J754" s="25">
        <f t="shared" si="523"/>
        <v>8395.6297298201844</v>
      </c>
      <c r="K754" s="25">
        <f t="shared" si="524"/>
        <v>21655.303514578787</v>
      </c>
      <c r="L754" s="25"/>
      <c r="N754" s="25">
        <f>'Combined Retirement'!$C$18/12</f>
        <v>40940.569999999992</v>
      </c>
      <c r="O754" s="25">
        <f t="shared" si="525"/>
        <v>10889.636755601023</v>
      </c>
      <c r="P754" s="25">
        <f t="shared" si="526"/>
        <v>30050.93324439897</v>
      </c>
      <c r="Q754" s="25">
        <f t="array" aca="1" ref="Q754" ca="1">INDEX('Isaac 401k'!L:L,MATCH('Retirement Calculator'!A754,'Isaac 401k'!N:N,0),0)</f>
        <v>-8547367.7831360716</v>
      </c>
      <c r="R754" s="25">
        <f t="array" aca="1" ref="R754" ca="1">INDEX('Lorri 401b'!L:L,MATCH('Retirement Calculator'!A754,'Lorri 401b'!N:N,0),0)</f>
        <v>-13579589.696381012</v>
      </c>
      <c r="S754" s="25">
        <f t="shared" ca="1" si="527"/>
        <v>-22126957.479517084</v>
      </c>
    </row>
    <row r="755" spans="1:19" ht="15.75" customHeight="1" x14ac:dyDescent="0.25">
      <c r="A755" s="37">
        <v>73932</v>
      </c>
      <c r="B755" s="398">
        <f t="shared" ref="B755:C755" si="761">($A755-B$9)/365.25</f>
        <v>120.5366187542779</v>
      </c>
      <c r="C755" s="398">
        <f t="shared" si="761"/>
        <v>115.92607802874743</v>
      </c>
      <c r="E755" s="25">
        <f>IF(C755&gt;$B$7,0,'Combined Retirement'!$D$13/12)</f>
        <v>0</v>
      </c>
      <c r="F755" s="25">
        <f>IF(H755=0,'Combined Retirement'!$D$32,0)+'Combined Retirement'!$B$24</f>
        <v>2870.372285649099</v>
      </c>
      <c r="G755" s="25">
        <f>'Combined Retirement'!$C$24</f>
        <v>3254.2644699519233</v>
      </c>
      <c r="H755" s="25">
        <f>IF(B755&lt;62,0,'Combined Retirement'!$I$14)</f>
        <v>2345</v>
      </c>
      <c r="I755" s="25">
        <f>IF(C755&lt;62,0,'Combined Retirement'!$I$13)</f>
        <v>2420</v>
      </c>
      <c r="J755" s="25">
        <f t="shared" si="523"/>
        <v>8395.6297298201844</v>
      </c>
      <c r="K755" s="25">
        <f t="shared" si="524"/>
        <v>21655.303514578787</v>
      </c>
      <c r="L755" s="25"/>
      <c r="N755" s="25">
        <f>'Combined Retirement'!$C$18/12</f>
        <v>40940.569999999992</v>
      </c>
      <c r="O755" s="25">
        <f t="shared" si="525"/>
        <v>10889.636755601023</v>
      </c>
      <c r="P755" s="25">
        <f t="shared" si="526"/>
        <v>30050.93324439897</v>
      </c>
      <c r="Q755" s="25">
        <f t="array" aca="1" ref="Q755" ca="1">INDEX('Isaac 401k'!L:L,MATCH('Retirement Calculator'!A755,'Isaac 401k'!N:N,0),0)</f>
        <v>-8591412.427086167</v>
      </c>
      <c r="R755" s="25">
        <f t="array" aca="1" ref="R755" ca="1">INDEX('Lorri 401b'!L:L,MATCH('Retirement Calculator'!A755,'Lorri 401b'!N:N,0),0)</f>
        <v>-13657916.854061823</v>
      </c>
      <c r="S755" s="25">
        <f t="shared" ca="1" si="527"/>
        <v>-22249329.28114799</v>
      </c>
    </row>
    <row r="756" spans="1:19" ht="15.75" customHeight="1" x14ac:dyDescent="0.25">
      <c r="A756" s="37">
        <v>73962</v>
      </c>
      <c r="B756" s="398">
        <f t="shared" ref="B756:C756" si="762">($A756-B$9)/365.25</f>
        <v>120.61875427789185</v>
      </c>
      <c r="C756" s="398">
        <f t="shared" si="762"/>
        <v>116.0082135523614</v>
      </c>
      <c r="E756" s="25">
        <f>IF(C756&gt;$B$7,0,'Combined Retirement'!$D$13/12)</f>
        <v>0</v>
      </c>
      <c r="F756" s="25">
        <f>IF(H756=0,'Combined Retirement'!$D$32,0)+'Combined Retirement'!$B$24</f>
        <v>2870.372285649099</v>
      </c>
      <c r="G756" s="25">
        <f>'Combined Retirement'!$C$24</f>
        <v>3254.2644699519233</v>
      </c>
      <c r="H756" s="25">
        <f>IF(B756&lt;62,0,'Combined Retirement'!$I$14)</f>
        <v>2345</v>
      </c>
      <c r="I756" s="25">
        <f>IF(C756&lt;62,0,'Combined Retirement'!$I$13)</f>
        <v>2420</v>
      </c>
      <c r="J756" s="25">
        <f t="shared" si="523"/>
        <v>8395.6297298201844</v>
      </c>
      <c r="K756" s="25">
        <f t="shared" si="524"/>
        <v>21655.303514578787</v>
      </c>
      <c r="L756" s="25"/>
      <c r="N756" s="25">
        <f>'Combined Retirement'!$C$18/12</f>
        <v>40940.569999999992</v>
      </c>
      <c r="O756" s="25">
        <f t="shared" si="525"/>
        <v>10889.636755601023</v>
      </c>
      <c r="P756" s="25">
        <f t="shared" si="526"/>
        <v>30050.93324439897</v>
      </c>
      <c r="Q756" s="25">
        <f t="array" aca="1" ref="Q756" ca="1">INDEX('Isaac 401k'!L:L,MATCH('Retirement Calculator'!A756,'Isaac 401k'!N:N,0),0)</f>
        <v>-8635640.5903860535</v>
      </c>
      <c r="R756" s="25">
        <f t="array" aca="1" ref="R756" ca="1">INDEX('Lorri 401b'!L:L,MATCH('Retirement Calculator'!A756,'Lorri 401b'!N:N,0),0)</f>
        <v>-13736570.374899637</v>
      </c>
      <c r="S756" s="25">
        <f t="shared" ca="1" si="527"/>
        <v>-22372210.965285689</v>
      </c>
    </row>
    <row r="757" spans="1:19" ht="15.75" customHeight="1" x14ac:dyDescent="0.25">
      <c r="A757" s="37">
        <v>73993</v>
      </c>
      <c r="B757" s="398">
        <f t="shared" ref="B757:C757" si="763">($A757-B$9)/365.25</f>
        <v>120.70362765229295</v>
      </c>
      <c r="C757" s="398">
        <f t="shared" si="763"/>
        <v>116.0930869267625</v>
      </c>
      <c r="E757" s="25">
        <f>IF(C757&gt;$B$7,0,'Combined Retirement'!$D$13/12)</f>
        <v>0</v>
      </c>
      <c r="F757" s="25">
        <f>IF(H757=0,'Combined Retirement'!$D$32,0)+'Combined Retirement'!$B$24</f>
        <v>2870.372285649099</v>
      </c>
      <c r="G757" s="25">
        <f>'Combined Retirement'!$C$24</f>
        <v>3254.2644699519233</v>
      </c>
      <c r="H757" s="25">
        <f>IF(B757&lt;62,0,'Combined Retirement'!$I$14)</f>
        <v>2345</v>
      </c>
      <c r="I757" s="25">
        <f>IF(C757&lt;62,0,'Combined Retirement'!$I$13)</f>
        <v>2420</v>
      </c>
      <c r="J757" s="25">
        <f t="shared" si="523"/>
        <v>8395.6297298201844</v>
      </c>
      <c r="K757" s="25">
        <f t="shared" si="524"/>
        <v>21655.303514578787</v>
      </c>
      <c r="L757" s="25"/>
      <c r="N757" s="25">
        <f>'Combined Retirement'!$C$18/12</f>
        <v>40940.569999999992</v>
      </c>
      <c r="O757" s="25">
        <f t="shared" si="525"/>
        <v>10889.636755601023</v>
      </c>
      <c r="P757" s="25">
        <f t="shared" si="526"/>
        <v>30050.93324439897</v>
      </c>
      <c r="Q757" s="25">
        <f t="array" aca="1" ref="Q757" ca="1">INDEX('Isaac 401k'!L:L,MATCH('Retirement Calculator'!A757,'Isaac 401k'!N:N,0),0)</f>
        <v>-8680053.0376996901</v>
      </c>
      <c r="R757" s="25">
        <f t="array" aca="1" ref="R757" ca="1">INDEX('Lorri 401b'!L:L,MATCH('Retirement Calculator'!A757,'Lorri 401b'!N:N,0),0)</f>
        <v>-13815551.618740942</v>
      </c>
      <c r="S757" s="25">
        <f t="shared" ca="1" si="527"/>
        <v>-22495604.656440631</v>
      </c>
    </row>
    <row r="758" spans="1:19" ht="15.75" customHeight="1" x14ac:dyDescent="0.25">
      <c r="A758" s="37">
        <v>74024</v>
      </c>
      <c r="B758" s="398">
        <f t="shared" ref="B758:C758" si="764">($A758-B$9)/365.25</f>
        <v>120.78850102669405</v>
      </c>
      <c r="C758" s="398">
        <f t="shared" si="764"/>
        <v>116.17796030116358</v>
      </c>
      <c r="E758" s="25">
        <f>IF(C758&gt;$B$7,0,'Combined Retirement'!$D$13/12)</f>
        <v>0</v>
      </c>
      <c r="F758" s="25">
        <f>IF(H758=0,'Combined Retirement'!$D$32,0)+'Combined Retirement'!$B$24</f>
        <v>2870.372285649099</v>
      </c>
      <c r="G758" s="25">
        <f>'Combined Retirement'!$C$24</f>
        <v>3254.2644699519233</v>
      </c>
      <c r="H758" s="25">
        <f>IF(B758&lt;62,0,'Combined Retirement'!$I$14)</f>
        <v>2345</v>
      </c>
      <c r="I758" s="25">
        <f>IF(C758&lt;62,0,'Combined Retirement'!$I$13)</f>
        <v>2420</v>
      </c>
      <c r="J758" s="25">
        <f t="shared" si="523"/>
        <v>8395.6297298201844</v>
      </c>
      <c r="K758" s="25">
        <f t="shared" si="524"/>
        <v>21655.303514578787</v>
      </c>
      <c r="L758" s="25"/>
      <c r="N758" s="25">
        <f>'Combined Retirement'!$C$18/12</f>
        <v>40940.569999999992</v>
      </c>
      <c r="O758" s="25">
        <f t="shared" si="525"/>
        <v>10889.636755601023</v>
      </c>
      <c r="P758" s="25">
        <f t="shared" si="526"/>
        <v>30050.93324439897</v>
      </c>
      <c r="Q758" s="25">
        <f t="array" aca="1" ref="Q758" ca="1">INDEX('Isaac 401k'!L:L,MATCH('Retirement Calculator'!A758,'Isaac 401k'!N:N,0),0)</f>
        <v>-8724650.536877133</v>
      </c>
      <c r="R758" s="25">
        <f t="array" aca="1" ref="R758" ca="1">INDEX('Lorri 401b'!L:L,MATCH('Retirement Calculator'!A758,'Lorri 401b'!N:N,0),0)</f>
        <v>-13894861.951098252</v>
      </c>
      <c r="S758" s="25">
        <f t="shared" ca="1" si="527"/>
        <v>-22619512.487975385</v>
      </c>
    </row>
    <row r="759" spans="1:19" ht="15.75" customHeight="1" x14ac:dyDescent="0.25">
      <c r="A759" s="37">
        <v>74054</v>
      </c>
      <c r="B759" s="398">
        <f t="shared" ref="B759:C759" si="765">($A759-B$9)/365.25</f>
        <v>120.87063655030801</v>
      </c>
      <c r="C759" s="398">
        <f t="shared" si="765"/>
        <v>116.26009582477755</v>
      </c>
      <c r="E759" s="25">
        <f>IF(C759&gt;$B$7,0,'Combined Retirement'!$D$13/12)</f>
        <v>0</v>
      </c>
      <c r="F759" s="25">
        <f>IF(H759=0,'Combined Retirement'!$D$32,0)+'Combined Retirement'!$B$24</f>
        <v>2870.372285649099</v>
      </c>
      <c r="G759" s="25">
        <f>'Combined Retirement'!$C$24</f>
        <v>3254.2644699519233</v>
      </c>
      <c r="H759" s="25">
        <f>IF(B759&lt;62,0,'Combined Retirement'!$I$14)</f>
        <v>2345</v>
      </c>
      <c r="I759" s="25">
        <f>IF(C759&lt;62,0,'Combined Retirement'!$I$13)</f>
        <v>2420</v>
      </c>
      <c r="J759" s="25">
        <f t="shared" si="523"/>
        <v>8395.6297298201844</v>
      </c>
      <c r="K759" s="25">
        <f t="shared" si="524"/>
        <v>21655.303514578787</v>
      </c>
      <c r="L759" s="25"/>
      <c r="N759" s="25">
        <f>'Combined Retirement'!$C$18/12</f>
        <v>40940.569999999992</v>
      </c>
      <c r="O759" s="25">
        <f t="shared" si="525"/>
        <v>10889.636755601023</v>
      </c>
      <c r="P759" s="25">
        <f t="shared" si="526"/>
        <v>30050.93324439897</v>
      </c>
      <c r="Q759" s="25">
        <f t="array" aca="1" ref="Q759" ca="1">INDEX('Isaac 401k'!L:L,MATCH('Retirement Calculator'!A759,'Isaac 401k'!N:N,0),0)</f>
        <v>-8769433.8589678165</v>
      </c>
      <c r="R759" s="25">
        <f t="array" aca="1" ref="R759" ca="1">INDEX('Lorri 401b'!L:L,MATCH('Retirement Calculator'!A759,'Lorri 401b'!N:N,0),0)</f>
        <v>-13974502.743173718</v>
      </c>
      <c r="S759" s="25">
        <f t="shared" ca="1" si="527"/>
        <v>-22743936.602141537</v>
      </c>
    </row>
    <row r="760" spans="1:19" ht="15.75" customHeight="1" x14ac:dyDescent="0.25">
      <c r="A760" s="37">
        <v>74085</v>
      </c>
      <c r="B760" s="398">
        <f t="shared" ref="B760:C760" si="766">($A760-B$9)/365.25</f>
        <v>120.95550992470911</v>
      </c>
      <c r="C760" s="398">
        <f t="shared" si="766"/>
        <v>116.34496919917865</v>
      </c>
      <c r="E760" s="25">
        <f>IF(C760&gt;$B$7,0,'Combined Retirement'!$D$13/12)</f>
        <v>0</v>
      </c>
      <c r="F760" s="25">
        <f>IF(H760=0,'Combined Retirement'!$D$32,0)+'Combined Retirement'!$B$24</f>
        <v>2870.372285649099</v>
      </c>
      <c r="G760" s="25">
        <f>'Combined Retirement'!$C$24</f>
        <v>3254.2644699519233</v>
      </c>
      <c r="H760" s="25">
        <f>IF(B760&lt;62,0,'Combined Retirement'!$I$14)</f>
        <v>2345</v>
      </c>
      <c r="I760" s="25">
        <f>IF(C760&lt;62,0,'Combined Retirement'!$I$13)</f>
        <v>2420</v>
      </c>
      <c r="J760" s="25">
        <f t="shared" si="523"/>
        <v>8395.6297298201844</v>
      </c>
      <c r="K760" s="25">
        <f t="shared" si="524"/>
        <v>21655.303514578787</v>
      </c>
      <c r="L760" s="25"/>
      <c r="N760" s="25">
        <f>'Combined Retirement'!$C$18/12</f>
        <v>40940.569999999992</v>
      </c>
      <c r="O760" s="25">
        <f t="shared" si="525"/>
        <v>10889.636755601023</v>
      </c>
      <c r="P760" s="25">
        <f t="shared" si="526"/>
        <v>30050.93324439897</v>
      </c>
      <c r="Q760" s="25">
        <f t="array" aca="1" ref="Q760" ca="1">INDEX('Isaac 401k'!L:L,MATCH('Retirement Calculator'!A760,'Isaac 401k'!N:N,0),0)</f>
        <v>-8814403.7782338765</v>
      </c>
      <c r="R760" s="25">
        <f t="array" aca="1" ref="R760" ca="1">INDEX('Lorri 401b'!L:L,MATCH('Retirement Calculator'!A760,'Lorri 401b'!N:N,0),0)</f>
        <v>-14054475.371882832</v>
      </c>
      <c r="S760" s="25">
        <f t="shared" ca="1" si="527"/>
        <v>-22868879.150116708</v>
      </c>
    </row>
    <row r="761" spans="1:19" ht="15.75" customHeight="1" x14ac:dyDescent="0.25">
      <c r="A761" s="37">
        <v>74115</v>
      </c>
      <c r="B761" s="398">
        <f t="shared" ref="B761:C761" si="767">($A761-B$9)/365.25</f>
        <v>121.03764544832306</v>
      </c>
      <c r="C761" s="398">
        <f t="shared" si="767"/>
        <v>116.42710472279261</v>
      </c>
      <c r="E761" s="25">
        <f>IF(C761&gt;$B$7,0,'Combined Retirement'!$D$13/12)</f>
        <v>0</v>
      </c>
      <c r="F761" s="25">
        <f>IF(H761=0,'Combined Retirement'!$D$32,0)+'Combined Retirement'!$B$24</f>
        <v>2870.372285649099</v>
      </c>
      <c r="G761" s="25">
        <f>'Combined Retirement'!$C$24</f>
        <v>3254.2644699519233</v>
      </c>
      <c r="H761" s="25">
        <f>IF(B761&lt;62,0,'Combined Retirement'!$I$14)</f>
        <v>2345</v>
      </c>
      <c r="I761" s="25">
        <f>IF(C761&lt;62,0,'Combined Retirement'!$I$13)</f>
        <v>2420</v>
      </c>
      <c r="J761" s="25">
        <f t="shared" si="523"/>
        <v>8395.6297298201844</v>
      </c>
      <c r="K761" s="25">
        <f t="shared" si="524"/>
        <v>21655.303514578787</v>
      </c>
      <c r="L761" s="25"/>
      <c r="N761" s="25">
        <f>'Combined Retirement'!$C$18/12</f>
        <v>40940.569999999992</v>
      </c>
      <c r="O761" s="25">
        <f t="shared" si="525"/>
        <v>10889.636755601023</v>
      </c>
      <c r="P761" s="25">
        <f t="shared" si="526"/>
        <v>30050.93324439897</v>
      </c>
      <c r="Q761" s="25">
        <f t="array" aca="1" ref="Q761" ca="1">INDEX('Isaac 401k'!L:L,MATCH('Retirement Calculator'!A761,'Isaac 401k'!N:N,0),0)</f>
        <v>-8859561.0721635465</v>
      </c>
      <c r="R761" s="25">
        <f t="array" aca="1" ref="R761" ca="1">INDEX('Lorri 401b'!L:L,MATCH('Retirement Calculator'!A761,'Lorri 401b'!N:N,0),0)</f>
        <v>-14134781.219878234</v>
      </c>
      <c r="S761" s="25">
        <f t="shared" ca="1" si="527"/>
        <v>-22994342.292041779</v>
      </c>
    </row>
    <row r="762" spans="1:19" ht="15.75" customHeight="1" x14ac:dyDescent="0.25">
      <c r="A762" s="37">
        <v>74146</v>
      </c>
      <c r="B762" s="398">
        <f t="shared" ref="B762:C762" si="768">($A762-B$9)/365.25</f>
        <v>121.12251882272416</v>
      </c>
      <c r="C762" s="398">
        <f t="shared" si="768"/>
        <v>116.5119780971937</v>
      </c>
      <c r="E762" s="25">
        <f>IF(C762&gt;$B$7,0,'Combined Retirement'!$D$13/12)</f>
        <v>0</v>
      </c>
      <c r="F762" s="25">
        <f>IF(H762=0,'Combined Retirement'!$D$32,0)+'Combined Retirement'!$B$24</f>
        <v>2870.372285649099</v>
      </c>
      <c r="G762" s="25">
        <f>'Combined Retirement'!$C$24</f>
        <v>3254.2644699519233</v>
      </c>
      <c r="H762" s="25">
        <f>IF(B762&lt;62,0,'Combined Retirement'!$I$14)</f>
        <v>2345</v>
      </c>
      <c r="I762" s="25">
        <f>IF(C762&lt;62,0,'Combined Retirement'!$I$13)</f>
        <v>2420</v>
      </c>
      <c r="J762" s="25">
        <f t="shared" si="523"/>
        <v>8395.6297298201844</v>
      </c>
      <c r="K762" s="25">
        <f t="shared" si="524"/>
        <v>21655.303514578787</v>
      </c>
      <c r="L762" s="25"/>
      <c r="N762" s="25">
        <f>'Combined Retirement'!$C$18/12</f>
        <v>40940.569999999992</v>
      </c>
      <c r="O762" s="25">
        <f t="shared" si="525"/>
        <v>10889.636755601023</v>
      </c>
      <c r="P762" s="25">
        <f t="shared" si="526"/>
        <v>30050.93324439897</v>
      </c>
      <c r="Q762" s="25">
        <f t="array" aca="1" ref="Q762" ca="1">INDEX('Isaac 401k'!L:L,MATCH('Retirement Calculator'!A762,'Isaac 401k'!N:N,0),0)</f>
        <v>-8904906.5214845892</v>
      </c>
      <c r="R762" s="25">
        <f t="array" aca="1" ref="R762" ca="1">INDEX('Lorri 401b'!L:L,MATCH('Retirement Calculator'!A762,'Lorri 401b'!N:N,0),0)</f>
        <v>-14215421.675573617</v>
      </c>
      <c r="S762" s="25">
        <f t="shared" ca="1" si="527"/>
        <v>-23120328.197058208</v>
      </c>
    </row>
    <row r="763" spans="1:19" ht="15.75" customHeight="1" x14ac:dyDescent="0.25">
      <c r="A763" s="37">
        <v>74177</v>
      </c>
      <c r="B763" s="398">
        <f t="shared" ref="B763:C763" si="769">($A763-B$9)/365.25</f>
        <v>121.20739219712526</v>
      </c>
      <c r="C763" s="398">
        <f t="shared" si="769"/>
        <v>116.5968514715948</v>
      </c>
      <c r="E763" s="25">
        <f>IF(C763&gt;$B$7,0,'Combined Retirement'!$D$13/12)</f>
        <v>0</v>
      </c>
      <c r="F763" s="25">
        <f>IF(H763=0,'Combined Retirement'!$D$32,0)+'Combined Retirement'!$B$24</f>
        <v>2870.372285649099</v>
      </c>
      <c r="G763" s="25">
        <f>'Combined Retirement'!$C$24</f>
        <v>3254.2644699519233</v>
      </c>
      <c r="H763" s="25">
        <f>IF(B763&lt;62,0,'Combined Retirement'!$I$14)</f>
        <v>2345</v>
      </c>
      <c r="I763" s="25">
        <f>IF(C763&lt;62,0,'Combined Retirement'!$I$13)</f>
        <v>2420</v>
      </c>
      <c r="J763" s="25">
        <f t="shared" si="523"/>
        <v>8395.6297298201844</v>
      </c>
      <c r="K763" s="25">
        <f t="shared" si="524"/>
        <v>21655.303514578787</v>
      </c>
      <c r="L763" s="25"/>
      <c r="N763" s="25">
        <f>'Combined Retirement'!$C$18/12</f>
        <v>40940.569999999992</v>
      </c>
      <c r="O763" s="25">
        <f t="shared" si="525"/>
        <v>10889.636755601023</v>
      </c>
      <c r="P763" s="25">
        <f t="shared" si="526"/>
        <v>30050.93324439897</v>
      </c>
      <c r="Q763" s="25">
        <f t="array" aca="1" ref="Q763" ca="1">INDEX('Isaac 401k'!L:L,MATCH('Retirement Calculator'!A763,'Isaac 401k'!N:N,0),0)</f>
        <v>-8950440.9101778027</v>
      </c>
      <c r="R763" s="25">
        <f t="array" aca="1" ref="R763" ca="1">INDEX('Lorri 401b'!L:L,MATCH('Retirement Calculator'!A763,'Lorri 401b'!N:N,0),0)</f>
        <v>-14296398.133167731</v>
      </c>
      <c r="S763" s="25">
        <f t="shared" ca="1" si="527"/>
        <v>-23246839.043345533</v>
      </c>
    </row>
    <row r="764" spans="1:19" ht="15.75" customHeight="1" x14ac:dyDescent="0.25">
      <c r="A764" s="37">
        <v>74205</v>
      </c>
      <c r="B764" s="398">
        <f t="shared" ref="B764:C764" si="770">($A764-B$9)/365.25</f>
        <v>121.28405201916496</v>
      </c>
      <c r="C764" s="398">
        <f t="shared" si="770"/>
        <v>116.67351129363449</v>
      </c>
      <c r="E764" s="25">
        <f>IF(C764&gt;$B$7,0,'Combined Retirement'!$D$13/12)</f>
        <v>0</v>
      </c>
      <c r="F764" s="25">
        <f>IF(H764=0,'Combined Retirement'!$D$32,0)+'Combined Retirement'!$B$24</f>
        <v>2870.372285649099</v>
      </c>
      <c r="G764" s="25">
        <f>'Combined Retirement'!$C$24</f>
        <v>3254.2644699519233</v>
      </c>
      <c r="H764" s="25">
        <f>IF(B764&lt;62,0,'Combined Retirement'!$I$14)</f>
        <v>2345</v>
      </c>
      <c r="I764" s="25">
        <f>IF(C764&lt;62,0,'Combined Retirement'!$I$13)</f>
        <v>2420</v>
      </c>
      <c r="J764" s="25">
        <f t="shared" si="523"/>
        <v>8395.6297298201844</v>
      </c>
      <c r="K764" s="25">
        <f t="shared" si="524"/>
        <v>21655.303514578787</v>
      </c>
      <c r="L764" s="25"/>
      <c r="N764" s="25">
        <f>'Combined Retirement'!$C$18/12</f>
        <v>40940.569999999992</v>
      </c>
      <c r="O764" s="25">
        <f t="shared" si="525"/>
        <v>10889.636755601023</v>
      </c>
      <c r="P764" s="25">
        <f t="shared" si="526"/>
        <v>30050.93324439897</v>
      </c>
      <c r="Q764" s="25">
        <f t="array" aca="1" ref="Q764" ca="1">INDEX('Isaac 401k'!L:L,MATCH('Retirement Calculator'!A764,'Isaac 401k'!N:N,0),0)</f>
        <v>-8996165.0254905708</v>
      </c>
      <c r="R764" s="25">
        <f t="array" aca="1" ref="R764" ca="1">INDEX('Lorri 401b'!L:L,MATCH('Retirement Calculator'!A764,'Lorri 401b'!N:N,0),0)</f>
        <v>-14377711.992668487</v>
      </c>
      <c r="S764" s="25">
        <f t="shared" ca="1" si="527"/>
        <v>-23373877.018159058</v>
      </c>
    </row>
    <row r="765" spans="1:19" ht="15.75" customHeight="1" x14ac:dyDescent="0.25">
      <c r="A765" s="37">
        <v>74236</v>
      </c>
      <c r="B765" s="398">
        <f t="shared" ref="B765:C765" si="771">($A765-B$9)/365.25</f>
        <v>121.36892539356604</v>
      </c>
      <c r="C765" s="398">
        <f t="shared" si="771"/>
        <v>116.75838466803559</v>
      </c>
      <c r="E765" s="25">
        <f>IF(C765&gt;$B$7,0,'Combined Retirement'!$D$13/12)</f>
        <v>0</v>
      </c>
      <c r="F765" s="25">
        <f>IF(H765=0,'Combined Retirement'!$D$32,0)+'Combined Retirement'!$B$24</f>
        <v>2870.372285649099</v>
      </c>
      <c r="G765" s="25">
        <f>'Combined Retirement'!$C$24</f>
        <v>3254.2644699519233</v>
      </c>
      <c r="H765" s="25">
        <f>IF(B765&lt;62,0,'Combined Retirement'!$I$14)</f>
        <v>2345</v>
      </c>
      <c r="I765" s="25">
        <f>IF(C765&lt;62,0,'Combined Retirement'!$I$13)</f>
        <v>2420</v>
      </c>
      <c r="J765" s="25">
        <f t="shared" si="523"/>
        <v>8395.6297298201844</v>
      </c>
      <c r="K765" s="25">
        <f t="shared" si="524"/>
        <v>21655.303514578787</v>
      </c>
      <c r="L765" s="25"/>
      <c r="N765" s="25">
        <f>'Combined Retirement'!$C$18/12</f>
        <v>40940.569999999992</v>
      </c>
      <c r="O765" s="25">
        <f t="shared" si="525"/>
        <v>10889.636755601023</v>
      </c>
      <c r="P765" s="25">
        <f t="shared" si="526"/>
        <v>30050.93324439897</v>
      </c>
      <c r="Q765" s="25">
        <f t="array" aca="1" ref="Q765" ca="1">INDEX('Isaac 401k'!L:L,MATCH('Retirement Calculator'!A765,'Isaac 401k'!N:N,0),0)</f>
        <v>-9042079.6579504758</v>
      </c>
      <c r="R765" s="25">
        <f t="array" aca="1" ref="R765" ca="1">INDEX('Lorri 401b'!L:L,MATCH('Retirement Calculator'!A765,'Lorri 401b'!N:N,0),0)</f>
        <v>-14459364.659917163</v>
      </c>
      <c r="S765" s="25">
        <f t="shared" ca="1" si="527"/>
        <v>-23501444.317867637</v>
      </c>
    </row>
    <row r="766" spans="1:19" ht="15.75" customHeight="1" x14ac:dyDescent="0.25">
      <c r="A766" s="37">
        <v>74266</v>
      </c>
      <c r="B766" s="398">
        <f t="shared" ref="B766:C766" si="772">($A766-B$9)/365.25</f>
        <v>121.45106091718002</v>
      </c>
      <c r="C766" s="398">
        <f t="shared" si="772"/>
        <v>116.84052019164956</v>
      </c>
      <c r="E766" s="25">
        <f>IF(C766&gt;$B$7,0,'Combined Retirement'!$D$13/12)</f>
        <v>0</v>
      </c>
      <c r="F766" s="25">
        <f>IF(H766=0,'Combined Retirement'!$D$32,0)+'Combined Retirement'!$B$24</f>
        <v>2870.372285649099</v>
      </c>
      <c r="G766" s="25">
        <f>'Combined Retirement'!$C$24</f>
        <v>3254.2644699519233</v>
      </c>
      <c r="H766" s="25">
        <f>IF(B766&lt;62,0,'Combined Retirement'!$I$14)</f>
        <v>2345</v>
      </c>
      <c r="I766" s="25">
        <f>IF(C766&lt;62,0,'Combined Retirement'!$I$13)</f>
        <v>2420</v>
      </c>
      <c r="J766" s="25">
        <f t="shared" si="523"/>
        <v>8395.6297298201844</v>
      </c>
      <c r="K766" s="25">
        <f t="shared" si="524"/>
        <v>21655.303514578787</v>
      </c>
      <c r="L766" s="25"/>
      <c r="N766" s="25">
        <f>'Combined Retirement'!$C$18/12</f>
        <v>40940.569999999992</v>
      </c>
      <c r="O766" s="25">
        <f t="shared" si="525"/>
        <v>10889.636755601023</v>
      </c>
      <c r="P766" s="25">
        <f t="shared" si="526"/>
        <v>30050.93324439897</v>
      </c>
      <c r="Q766" s="25">
        <f t="array" aca="1" ref="Q766" ca="1">INDEX('Isaac 401k'!L:L,MATCH('Retirement Calculator'!A766,'Isaac 401k'!N:N,0),0)</f>
        <v>-9088185.6013789643</v>
      </c>
      <c r="R766" s="25">
        <f t="array" aca="1" ref="R766" ca="1">INDEX('Lorri 401b'!L:L,MATCH('Retirement Calculator'!A766,'Lorri 401b'!N:N,0),0)</f>
        <v>-14541357.546612708</v>
      </c>
      <c r="S766" s="25">
        <f t="shared" ca="1" si="527"/>
        <v>-23629543.147991672</v>
      </c>
    </row>
    <row r="767" spans="1:19" ht="15.75" customHeight="1" x14ac:dyDescent="0.25">
      <c r="A767" s="37">
        <v>74297</v>
      </c>
      <c r="B767" s="398">
        <f t="shared" ref="B767:C767" si="773">($A767-B$9)/365.25</f>
        <v>121.53593429158111</v>
      </c>
      <c r="C767" s="398">
        <f t="shared" si="773"/>
        <v>116.92539356605064</v>
      </c>
      <c r="E767" s="25">
        <f>IF(C767&gt;$B$7,0,'Combined Retirement'!$D$13/12)</f>
        <v>0</v>
      </c>
      <c r="F767" s="25">
        <f>IF(H767=0,'Combined Retirement'!$D$32,0)+'Combined Retirement'!$B$24</f>
        <v>2870.372285649099</v>
      </c>
      <c r="G767" s="25">
        <f>'Combined Retirement'!$C$24</f>
        <v>3254.2644699519233</v>
      </c>
      <c r="H767" s="25">
        <f>IF(B767&lt;62,0,'Combined Retirement'!$I$14)</f>
        <v>2345</v>
      </c>
      <c r="I767" s="25">
        <f>IF(C767&lt;62,0,'Combined Retirement'!$I$13)</f>
        <v>2420</v>
      </c>
      <c r="J767" s="25">
        <f t="shared" si="523"/>
        <v>8395.6297298201844</v>
      </c>
      <c r="K767" s="25">
        <f t="shared" si="524"/>
        <v>21655.303514578787</v>
      </c>
      <c r="L767" s="25"/>
      <c r="N767" s="25">
        <f>'Combined Retirement'!$C$18/12</f>
        <v>40940.569999999992</v>
      </c>
      <c r="O767" s="25">
        <f t="shared" si="525"/>
        <v>10889.636755601023</v>
      </c>
      <c r="P767" s="25">
        <f t="shared" si="526"/>
        <v>30050.93324439897</v>
      </c>
      <c r="Q767" s="25">
        <f t="array" aca="1" ref="Q767" ca="1">INDEX('Isaac 401k'!L:L,MATCH('Retirement Calculator'!A767,'Isaac 401k'!N:N,0),0)</f>
        <v>-9134483.6529050712</v>
      </c>
      <c r="R767" s="25">
        <f t="array" aca="1" ref="R767" ca="1">INDEX('Lorri 401b'!L:L,MATCH('Retirement Calculator'!A767,'Lorri 401b'!N:N,0),0)</f>
        <v>-14623692.07033615</v>
      </c>
      <c r="S767" s="25">
        <f t="shared" ca="1" si="527"/>
        <v>-23758175.723241221</v>
      </c>
    </row>
    <row r="768" spans="1:19" ht="15.75" customHeight="1" x14ac:dyDescent="0.25">
      <c r="A768" s="37">
        <v>74327</v>
      </c>
      <c r="B768" s="398">
        <f t="shared" ref="B768:C768" si="774">($A768-B$9)/365.25</f>
        <v>121.61806981519507</v>
      </c>
      <c r="C768" s="398">
        <f t="shared" si="774"/>
        <v>117.00752908966462</v>
      </c>
      <c r="E768" s="25">
        <f>IF(C768&gt;$B$7,0,'Combined Retirement'!$D$13/12)</f>
        <v>0</v>
      </c>
      <c r="F768" s="25">
        <f>IF(H768=0,'Combined Retirement'!$D$32,0)+'Combined Retirement'!$B$24</f>
        <v>2870.372285649099</v>
      </c>
      <c r="G768" s="25">
        <f>'Combined Retirement'!$C$24</f>
        <v>3254.2644699519233</v>
      </c>
      <c r="H768" s="25">
        <f>IF(B768&lt;62,0,'Combined Retirement'!$I$14)</f>
        <v>2345</v>
      </c>
      <c r="I768" s="25">
        <f>IF(C768&lt;62,0,'Combined Retirement'!$I$13)</f>
        <v>2420</v>
      </c>
      <c r="J768" s="25">
        <f t="shared" si="523"/>
        <v>8395.6297298201844</v>
      </c>
      <c r="K768" s="25">
        <f t="shared" si="524"/>
        <v>21655.303514578787</v>
      </c>
      <c r="L768" s="25"/>
      <c r="N768" s="25">
        <f>'Combined Retirement'!$C$18/12</f>
        <v>40940.569999999992</v>
      </c>
      <c r="O768" s="25">
        <f t="shared" si="525"/>
        <v>10889.636755601023</v>
      </c>
      <c r="P768" s="25">
        <f t="shared" si="526"/>
        <v>30050.93324439897</v>
      </c>
      <c r="Q768" s="25">
        <f t="array" aca="1" ref="Q768" ca="1">INDEX('Isaac 401k'!L:L,MATCH('Retirement Calculator'!A768,'Isaac 401k'!N:N,0),0)</f>
        <v>-9180974.6129792035</v>
      </c>
      <c r="R768" s="25">
        <f t="array" aca="1" ref="R768" ca="1">INDEX('Lorri 401b'!L:L,MATCH('Retirement Calculator'!A768,'Lorri 401b'!N:N,0),0)</f>
        <v>-14706369.654575108</v>
      </c>
      <c r="S768" s="25">
        <f t="shared" ca="1" si="527"/>
        <v>-23887344.267554313</v>
      </c>
    </row>
    <row r="769" spans="1:19" ht="15.75" customHeight="1" x14ac:dyDescent="0.25">
      <c r="A769" s="37">
        <v>74358</v>
      </c>
      <c r="B769" s="398">
        <f t="shared" ref="B769:C769" si="775">($A769-B$9)/365.25</f>
        <v>121.70294318959617</v>
      </c>
      <c r="C769" s="398">
        <f t="shared" si="775"/>
        <v>117.09240246406571</v>
      </c>
      <c r="E769" s="25">
        <f>IF(C769&gt;$B$7,0,'Combined Retirement'!$D$13/12)</f>
        <v>0</v>
      </c>
      <c r="F769" s="25">
        <f>IF(H769=0,'Combined Retirement'!$D$32,0)+'Combined Retirement'!$B$24</f>
        <v>2870.372285649099</v>
      </c>
      <c r="G769" s="25">
        <f>'Combined Retirement'!$C$24</f>
        <v>3254.2644699519233</v>
      </c>
      <c r="H769" s="25">
        <f>IF(B769&lt;62,0,'Combined Retirement'!$I$14)</f>
        <v>2345</v>
      </c>
      <c r="I769" s="25">
        <f>IF(C769&lt;62,0,'Combined Retirement'!$I$13)</f>
        <v>2420</v>
      </c>
      <c r="J769" s="25">
        <f t="shared" si="523"/>
        <v>8395.6297298201844</v>
      </c>
      <c r="K769" s="25">
        <f t="shared" si="524"/>
        <v>21655.303514578787</v>
      </c>
      <c r="L769" s="25"/>
      <c r="N769" s="25">
        <f>'Combined Retirement'!$C$18/12</f>
        <v>40940.569999999992</v>
      </c>
      <c r="O769" s="25">
        <f t="shared" si="525"/>
        <v>10889.636755601023</v>
      </c>
      <c r="P769" s="25">
        <f t="shared" si="526"/>
        <v>30050.93324439897</v>
      </c>
      <c r="Q769" s="25">
        <f t="array" aca="1" ref="Q769" ca="1">INDEX('Isaac 401k'!L:L,MATCH('Retirement Calculator'!A769,'Isaac 401k'!N:N,0),0)</f>
        <v>-9227659.2853869777</v>
      </c>
      <c r="R769" s="25">
        <f t="array" aca="1" ref="R769" ca="1">INDEX('Lorri 401b'!L:L,MATCH('Retirement Calculator'!A769,'Lorri 401b'!N:N,0),0)</f>
        <v>-14789391.728748394</v>
      </c>
      <c r="S769" s="25">
        <f t="shared" ca="1" si="527"/>
        <v>-24017051.014135372</v>
      </c>
    </row>
    <row r="770" spans="1:19" ht="15.75" customHeight="1" x14ac:dyDescent="0.25">
      <c r="A770" s="37">
        <v>74389</v>
      </c>
      <c r="B770" s="398">
        <f t="shared" ref="B770:C770" si="776">($A770-B$9)/365.25</f>
        <v>121.78781656399727</v>
      </c>
      <c r="C770" s="398">
        <f t="shared" si="776"/>
        <v>117.1772758384668</v>
      </c>
      <c r="E770" s="25">
        <f>IF(C770&gt;$B$7,0,'Combined Retirement'!$D$13/12)</f>
        <v>0</v>
      </c>
      <c r="F770" s="25">
        <f>IF(H770=0,'Combined Retirement'!$D$32,0)+'Combined Retirement'!$B$24</f>
        <v>2870.372285649099</v>
      </c>
      <c r="G770" s="25">
        <f>'Combined Retirement'!$C$24</f>
        <v>3254.2644699519233</v>
      </c>
      <c r="H770" s="25">
        <f>IF(B770&lt;62,0,'Combined Retirement'!$I$14)</f>
        <v>2345</v>
      </c>
      <c r="I770" s="25">
        <f>IF(C770&lt;62,0,'Combined Retirement'!$I$13)</f>
        <v>2420</v>
      </c>
      <c r="J770" s="25">
        <f t="shared" si="523"/>
        <v>8395.6297298201844</v>
      </c>
      <c r="K770" s="25">
        <f t="shared" si="524"/>
        <v>21655.303514578787</v>
      </c>
      <c r="L770" s="25"/>
      <c r="N770" s="25">
        <f>'Combined Retirement'!$C$18/12</f>
        <v>40940.569999999992</v>
      </c>
      <c r="O770" s="25">
        <f t="shared" si="525"/>
        <v>10889.636755601023</v>
      </c>
      <c r="P770" s="25">
        <f t="shared" si="526"/>
        <v>30050.93324439897</v>
      </c>
      <c r="Q770" s="25">
        <f t="array" aca="1" ref="Q770" ca="1">INDEX('Isaac 401k'!L:L,MATCH('Retirement Calculator'!A770,'Isaac 401k'!N:N,0),0)</f>
        <v>-9274538.4772631172</v>
      </c>
      <c r="R770" s="25">
        <f t="array" aca="1" ref="R770" ca="1">INDEX('Lorri 401b'!L:L,MATCH('Retirement Calculator'!A770,'Lorri 401b'!N:N,0),0)</f>
        <v>-14872759.728230735</v>
      </c>
      <c r="S770" s="25">
        <f t="shared" ca="1" si="527"/>
        <v>-24147298.205493852</v>
      </c>
    </row>
    <row r="771" spans="1:19" ht="15.75" customHeight="1" x14ac:dyDescent="0.25">
      <c r="A771" s="37">
        <v>74419</v>
      </c>
      <c r="B771" s="398">
        <f t="shared" ref="B771:C771" si="777">($A771-B$9)/365.25</f>
        <v>121.86995208761122</v>
      </c>
      <c r="C771" s="398">
        <f t="shared" si="777"/>
        <v>117.25941136208077</v>
      </c>
      <c r="E771" s="25">
        <f>IF(C771&gt;$B$7,0,'Combined Retirement'!$D$13/12)</f>
        <v>0</v>
      </c>
      <c r="F771" s="25">
        <f>IF(H771=0,'Combined Retirement'!$D$32,0)+'Combined Retirement'!$B$24</f>
        <v>2870.372285649099</v>
      </c>
      <c r="G771" s="25">
        <f>'Combined Retirement'!$C$24</f>
        <v>3254.2644699519233</v>
      </c>
      <c r="H771" s="25">
        <f>IF(B771&lt;62,0,'Combined Retirement'!$I$14)</f>
        <v>2345</v>
      </c>
      <c r="I771" s="25">
        <f>IF(C771&lt;62,0,'Combined Retirement'!$I$13)</f>
        <v>2420</v>
      </c>
      <c r="J771" s="25">
        <f t="shared" si="523"/>
        <v>8395.6297298201844</v>
      </c>
      <c r="K771" s="25">
        <f t="shared" si="524"/>
        <v>21655.303514578787</v>
      </c>
      <c r="L771" s="25"/>
      <c r="N771" s="25">
        <f>'Combined Retirement'!$C$18/12</f>
        <v>40940.569999999992</v>
      </c>
      <c r="O771" s="25">
        <f t="shared" si="525"/>
        <v>10889.636755601023</v>
      </c>
      <c r="P771" s="25">
        <f t="shared" si="526"/>
        <v>30050.93324439897</v>
      </c>
      <c r="Q771" s="25">
        <f t="array" aca="1" ref="Q771" ca="1">INDEX('Isaac 401k'!L:L,MATCH('Retirement Calculator'!A771,'Isaac 401k'!N:N,0),0)</f>
        <v>-9321612.9991054088</v>
      </c>
      <c r="R771" s="25">
        <f t="array" aca="1" ref="R771" ca="1">INDEX('Lorri 401b'!L:L,MATCH('Retirement Calculator'!A771,'Lorri 401b'!N:N,0),0)</f>
        <v>-14956475.094377587</v>
      </c>
      <c r="S771" s="25">
        <f t="shared" ca="1" si="527"/>
        <v>-24278088.093482994</v>
      </c>
    </row>
    <row r="772" spans="1:19" ht="15.75" customHeight="1" x14ac:dyDescent="0.25">
      <c r="A772" s="37">
        <v>74450</v>
      </c>
      <c r="B772" s="398">
        <f t="shared" ref="B772:C772" si="778">($A772-B$9)/365.25</f>
        <v>121.95482546201232</v>
      </c>
      <c r="C772" s="398">
        <f t="shared" si="778"/>
        <v>117.34428473648187</v>
      </c>
      <c r="E772" s="25">
        <f>IF(C772&gt;$B$7,0,'Combined Retirement'!$D$13/12)</f>
        <v>0</v>
      </c>
      <c r="F772" s="25">
        <f>IF(H772=0,'Combined Retirement'!$D$32,0)+'Combined Retirement'!$B$24</f>
        <v>2870.372285649099</v>
      </c>
      <c r="G772" s="25">
        <f>'Combined Retirement'!$C$24</f>
        <v>3254.2644699519233</v>
      </c>
      <c r="H772" s="25">
        <f>IF(B772&lt;62,0,'Combined Retirement'!$I$14)</f>
        <v>2345</v>
      </c>
      <c r="I772" s="25">
        <f>IF(C772&lt;62,0,'Combined Retirement'!$I$13)</f>
        <v>2420</v>
      </c>
      <c r="J772" s="25">
        <f t="shared" si="523"/>
        <v>8395.6297298201844</v>
      </c>
      <c r="K772" s="25">
        <f t="shared" si="524"/>
        <v>21655.303514578787</v>
      </c>
      <c r="L772" s="25"/>
      <c r="N772" s="25">
        <f>'Combined Retirement'!$C$18/12</f>
        <v>40940.569999999992</v>
      </c>
      <c r="O772" s="25">
        <f t="shared" si="525"/>
        <v>10889.636755601023</v>
      </c>
      <c r="P772" s="25">
        <f t="shared" si="526"/>
        <v>30050.93324439897</v>
      </c>
      <c r="Q772" s="25">
        <f t="array" aca="1" ref="Q772" ca="1">INDEX('Isaac 401k'!L:L,MATCH('Retirement Calculator'!A772,'Isaac 401k'!N:N,0),0)</f>
        <v>-9368883.66478871</v>
      </c>
      <c r="R772" s="25">
        <f t="array" aca="1" ref="R772" ca="1">INDEX('Lorri 401b'!L:L,MATCH('Retirement Calculator'!A772,'Lorri 401b'!N:N,0),0)</f>
        <v>-15040539.27455005</v>
      </c>
      <c r="S772" s="25">
        <f t="shared" ca="1" si="527"/>
        <v>-24409422.939338759</v>
      </c>
    </row>
    <row r="773" spans="1:19" ht="15.75" customHeight="1" x14ac:dyDescent="0.25">
      <c r="A773" s="37">
        <v>74480</v>
      </c>
      <c r="B773" s="398">
        <f t="shared" ref="B773:C773" si="779">($A773-B$9)/365.25</f>
        <v>122.03696098562628</v>
      </c>
      <c r="C773" s="398">
        <f t="shared" si="779"/>
        <v>117.42642026009582</v>
      </c>
      <c r="E773" s="25">
        <f>IF(C773&gt;$B$7,0,'Combined Retirement'!$D$13/12)</f>
        <v>0</v>
      </c>
      <c r="F773" s="25">
        <f>IF(H773=0,'Combined Retirement'!$D$32,0)+'Combined Retirement'!$B$24</f>
        <v>2870.372285649099</v>
      </c>
      <c r="G773" s="25">
        <f>'Combined Retirement'!$C$24</f>
        <v>3254.2644699519233</v>
      </c>
      <c r="H773" s="25">
        <f>IF(B773&lt;62,0,'Combined Retirement'!$I$14)</f>
        <v>2345</v>
      </c>
      <c r="I773" s="25">
        <f>IF(C773&lt;62,0,'Combined Retirement'!$I$13)</f>
        <v>2420</v>
      </c>
      <c r="J773" s="25">
        <f t="shared" si="523"/>
        <v>8395.6297298201844</v>
      </c>
      <c r="K773" s="25">
        <f t="shared" si="524"/>
        <v>21655.303514578787</v>
      </c>
      <c r="L773" s="25"/>
      <c r="N773" s="25">
        <f>'Combined Retirement'!$C$18/12</f>
        <v>40940.569999999992</v>
      </c>
      <c r="O773" s="25">
        <f t="shared" si="525"/>
        <v>10889.636755601023</v>
      </c>
      <c r="P773" s="25">
        <f t="shared" si="526"/>
        <v>30050.93324439897</v>
      </c>
      <c r="Q773" s="25">
        <f t="array" aca="1" ref="Q773" ca="1">INDEX('Isaac 401k'!L:L,MATCH('Retirement Calculator'!A773,'Isaac 401k'!N:N,0),0)</f>
        <v>-9416351.2915790249</v>
      </c>
      <c r="R773" s="25">
        <f t="array" aca="1" ref="R773" ca="1">INDEX('Lorri 401b'!L:L,MATCH('Retirement Calculator'!A773,'Lorri 401b'!N:N,0),0)</f>
        <v>-15124953.722139899</v>
      </c>
      <c r="S773" s="25">
        <f t="shared" ca="1" si="527"/>
        <v>-24541305.013718925</v>
      </c>
    </row>
    <row r="774" spans="1:19" ht="15.75" customHeight="1" x14ac:dyDescent="0.25">
      <c r="A774" s="37">
        <v>74511</v>
      </c>
      <c r="B774" s="398">
        <f t="shared" ref="B774:C774" si="780">($A774-B$9)/365.25</f>
        <v>122.12183436002738</v>
      </c>
      <c r="C774" s="398">
        <f t="shared" si="780"/>
        <v>117.51129363449692</v>
      </c>
      <c r="E774" s="25">
        <f>IF(C774&gt;$B$7,0,'Combined Retirement'!$D$13/12)</f>
        <v>0</v>
      </c>
      <c r="F774" s="25">
        <f>IF(H774=0,'Combined Retirement'!$D$32,0)+'Combined Retirement'!$B$24</f>
        <v>2870.372285649099</v>
      </c>
      <c r="G774" s="25">
        <f>'Combined Retirement'!$C$24</f>
        <v>3254.2644699519233</v>
      </c>
      <c r="H774" s="25">
        <f>IF(B774&lt;62,0,'Combined Retirement'!$I$14)</f>
        <v>2345</v>
      </c>
      <c r="I774" s="25">
        <f>IF(C774&lt;62,0,'Combined Retirement'!$I$13)</f>
        <v>2420</v>
      </c>
      <c r="J774" s="25">
        <f t="shared" si="523"/>
        <v>8395.6297298201844</v>
      </c>
      <c r="K774" s="25">
        <f t="shared" si="524"/>
        <v>21655.303514578787</v>
      </c>
      <c r="L774" s="25"/>
      <c r="N774" s="25">
        <f>'Combined Retirement'!$C$18/12</f>
        <v>40940.569999999992</v>
      </c>
      <c r="O774" s="25">
        <f t="shared" si="525"/>
        <v>10889.636755601023</v>
      </c>
      <c r="P774" s="25">
        <f t="shared" si="526"/>
        <v>30050.93324439897</v>
      </c>
      <c r="Q774" s="25">
        <f t="array" aca="1" ref="Q774" ca="1">INDEX('Isaac 401k'!L:L,MATCH('Retirement Calculator'!A774,'Isaac 401k'!N:N,0),0)</f>
        <v>-9464016.7001476325</v>
      </c>
      <c r="R774" s="25">
        <f t="array" aca="1" ref="R774" ca="1">INDEX('Lorri 401b'!L:L,MATCH('Retirement Calculator'!A774,'Lorri 401b'!N:N,0),0)</f>
        <v>-15209719.896594705</v>
      </c>
      <c r="S774" s="25">
        <f t="shared" ca="1" si="527"/>
        <v>-24673736.596742339</v>
      </c>
    </row>
    <row r="775" spans="1:19" ht="15.75" customHeight="1" x14ac:dyDescent="0.25">
      <c r="A775" s="37">
        <v>74542</v>
      </c>
      <c r="B775" s="398">
        <f t="shared" ref="B775:C775" si="781">($A775-B$9)/365.25</f>
        <v>122.20670773442848</v>
      </c>
      <c r="C775" s="398">
        <f t="shared" si="781"/>
        <v>117.59616700889802</v>
      </c>
      <c r="E775" s="25">
        <f>IF(C775&gt;$B$7,0,'Combined Retirement'!$D$13/12)</f>
        <v>0</v>
      </c>
      <c r="F775" s="25">
        <f>IF(H775=0,'Combined Retirement'!$D$32,0)+'Combined Retirement'!$B$24</f>
        <v>2870.372285649099</v>
      </c>
      <c r="G775" s="25">
        <f>'Combined Retirement'!$C$24</f>
        <v>3254.2644699519233</v>
      </c>
      <c r="H775" s="25">
        <f>IF(B775&lt;62,0,'Combined Retirement'!$I$14)</f>
        <v>2345</v>
      </c>
      <c r="I775" s="25">
        <f>IF(C775&lt;62,0,'Combined Retirement'!$I$13)</f>
        <v>2420</v>
      </c>
      <c r="J775" s="25">
        <f t="shared" si="523"/>
        <v>8395.6297298201844</v>
      </c>
      <c r="K775" s="25">
        <f t="shared" si="524"/>
        <v>21655.303514578787</v>
      </c>
      <c r="L775" s="25"/>
      <c r="N775" s="25">
        <f>'Combined Retirement'!$C$18/12</f>
        <v>40940.569999999992</v>
      </c>
      <c r="O775" s="25">
        <f t="shared" si="525"/>
        <v>10889.636755601023</v>
      </c>
      <c r="P775" s="25">
        <f t="shared" si="526"/>
        <v>30050.93324439897</v>
      </c>
      <c r="Q775" s="25">
        <f t="array" aca="1" ref="Q775" ca="1">INDEX('Isaac 401k'!L:L,MATCH('Retirement Calculator'!A775,'Isaac 401k'!N:N,0),0)</f>
        <v>-9511880.7145852763</v>
      </c>
      <c r="R775" s="25">
        <f t="array" aca="1" ref="R775" ca="1">INDEX('Lorri 401b'!L:L,MATCH('Retirement Calculator'!A775,'Lorri 401b'!N:N,0),0)</f>
        <v>-15294839.263443073</v>
      </c>
      <c r="S775" s="25">
        <f t="shared" ca="1" si="527"/>
        <v>-24806719.97802835</v>
      </c>
    </row>
    <row r="776" spans="1:19" ht="15.75" customHeight="1" x14ac:dyDescent="0.25">
      <c r="A776" s="37">
        <v>74571</v>
      </c>
      <c r="B776" s="398">
        <f t="shared" ref="B776:C776" si="782">($A776-B$9)/365.25</f>
        <v>122.28610540725531</v>
      </c>
      <c r="C776" s="398">
        <f t="shared" si="782"/>
        <v>117.67556468172485</v>
      </c>
      <c r="E776" s="25">
        <f>IF(C776&gt;$B$7,0,'Combined Retirement'!$D$13/12)</f>
        <v>0</v>
      </c>
      <c r="F776" s="25">
        <f>IF(H776=0,'Combined Retirement'!$D$32,0)+'Combined Retirement'!$B$24</f>
        <v>2870.372285649099</v>
      </c>
      <c r="G776" s="25">
        <f>'Combined Retirement'!$C$24</f>
        <v>3254.2644699519233</v>
      </c>
      <c r="H776" s="25">
        <f>IF(B776&lt;62,0,'Combined Retirement'!$I$14)</f>
        <v>2345</v>
      </c>
      <c r="I776" s="25">
        <f>IF(C776&lt;62,0,'Combined Retirement'!$I$13)</f>
        <v>2420</v>
      </c>
      <c r="J776" s="25">
        <f t="shared" ref="J776:J1030" si="783">IF(C776&lt;59.5,P776,P776*$J$7)</f>
        <v>8395.6297298201844</v>
      </c>
      <c r="K776" s="25">
        <f t="shared" ref="K776:K1030" si="784">IF(C776&lt;59.5,0,IF(C776&lt;$B$7,0,P776*$K$7))</f>
        <v>21655.303514578787</v>
      </c>
      <c r="L776" s="25"/>
      <c r="N776" s="25">
        <f>'Combined Retirement'!$C$18/12</f>
        <v>40940.569999999992</v>
      </c>
      <c r="O776" s="25">
        <f t="shared" ref="O776:O1030" si="785">SUM(E776:I776)</f>
        <v>10889.636755601023</v>
      </c>
      <c r="P776" s="25">
        <f t="shared" ref="P776:P1030" si="786">N776-O776</f>
        <v>30050.93324439897</v>
      </c>
      <c r="Q776" s="25">
        <f t="array" aca="1" ref="Q776" ca="1">INDEX('Isaac 401k'!L:L,MATCH('Retirement Calculator'!A776,'Isaac 401k'!N:N,0),0)</f>
        <v>-9559944.1624164097</v>
      </c>
      <c r="R776" s="25">
        <f t="array" aca="1" ref="R776" ca="1">INDEX('Lorri 401b'!L:L,MATCH('Retirement Calculator'!A776,'Lorri 401b'!N:N,0),0)</f>
        <v>-15380313.294319976</v>
      </c>
      <c r="S776" s="25">
        <f t="shared" ref="S776:S1030" ca="1" si="787">SUM(Q776:R776)</f>
        <v>-24940257.456736386</v>
      </c>
    </row>
    <row r="777" spans="1:19" ht="15.75" customHeight="1" x14ac:dyDescent="0.25">
      <c r="A777" s="37">
        <v>74602</v>
      </c>
      <c r="B777" s="398">
        <f t="shared" ref="B777:C777" si="788">($A777-B$9)/365.25</f>
        <v>122.3709787816564</v>
      </c>
      <c r="C777" s="398">
        <f t="shared" si="788"/>
        <v>117.76043805612593</v>
      </c>
      <c r="E777" s="25">
        <f>IF(C777&gt;$B$7,0,'Combined Retirement'!$D$13/12)</f>
        <v>0</v>
      </c>
      <c r="F777" s="25">
        <f>IF(H777=0,'Combined Retirement'!$D$32,0)+'Combined Retirement'!$B$24</f>
        <v>2870.372285649099</v>
      </c>
      <c r="G777" s="25">
        <f>'Combined Retirement'!$C$24</f>
        <v>3254.2644699519233</v>
      </c>
      <c r="H777" s="25">
        <f>IF(B777&lt;62,0,'Combined Retirement'!$I$14)</f>
        <v>2345</v>
      </c>
      <c r="I777" s="25">
        <f>IF(C777&lt;62,0,'Combined Retirement'!$I$13)</f>
        <v>2420</v>
      </c>
      <c r="J777" s="25">
        <f t="shared" si="783"/>
        <v>8395.6297298201844</v>
      </c>
      <c r="K777" s="25">
        <f t="shared" si="784"/>
        <v>21655.303514578787</v>
      </c>
      <c r="L777" s="25"/>
      <c r="N777" s="25">
        <f>'Combined Retirement'!$C$18/12</f>
        <v>40940.569999999992</v>
      </c>
      <c r="O777" s="25">
        <f t="shared" si="785"/>
        <v>10889.636755601023</v>
      </c>
      <c r="P777" s="25">
        <f t="shared" si="786"/>
        <v>30050.93324439897</v>
      </c>
      <c r="Q777" s="25">
        <f t="array" aca="1" ref="Q777" ca="1">INDEX('Isaac 401k'!L:L,MATCH('Retirement Calculator'!A777,'Isaac 401k'!N:N,0),0)</f>
        <v>-9608207.8746135067</v>
      </c>
      <c r="R777" s="25">
        <f t="array" aca="1" ref="R777" ca="1">INDEX('Lorri 401b'!L:L,MATCH('Retirement Calculator'!A777,'Lorri 401b'!N:N,0),0)</f>
        <v>-15466143.466992199</v>
      </c>
      <c r="S777" s="25">
        <f t="shared" ca="1" si="787"/>
        <v>-25074351.341605708</v>
      </c>
    </row>
    <row r="778" spans="1:19" ht="15.75" customHeight="1" x14ac:dyDescent="0.25">
      <c r="A778" s="37">
        <v>74632</v>
      </c>
      <c r="B778" s="398">
        <f t="shared" ref="B778:C778" si="789">($A778-B$9)/365.25</f>
        <v>122.45311430527036</v>
      </c>
      <c r="C778" s="398">
        <f t="shared" si="789"/>
        <v>117.84257357973991</v>
      </c>
      <c r="E778" s="25">
        <f>IF(C778&gt;$B$7,0,'Combined Retirement'!$D$13/12)</f>
        <v>0</v>
      </c>
      <c r="F778" s="25">
        <f>IF(H778=0,'Combined Retirement'!$D$32,0)+'Combined Retirement'!$B$24</f>
        <v>2870.372285649099</v>
      </c>
      <c r="G778" s="25">
        <f>'Combined Retirement'!$C$24</f>
        <v>3254.2644699519233</v>
      </c>
      <c r="H778" s="25">
        <f>IF(B778&lt;62,0,'Combined Retirement'!$I$14)</f>
        <v>2345</v>
      </c>
      <c r="I778" s="25">
        <f>IF(C778&lt;62,0,'Combined Retirement'!$I$13)</f>
        <v>2420</v>
      </c>
      <c r="J778" s="25">
        <f t="shared" si="783"/>
        <v>8395.6297298201844</v>
      </c>
      <c r="K778" s="25">
        <f t="shared" si="784"/>
        <v>21655.303514578787</v>
      </c>
      <c r="L778" s="25"/>
      <c r="N778" s="25">
        <f>'Combined Retirement'!$C$18/12</f>
        <v>40940.569999999992</v>
      </c>
      <c r="O778" s="25">
        <f t="shared" si="785"/>
        <v>10889.636755601023</v>
      </c>
      <c r="P778" s="25">
        <f t="shared" si="786"/>
        <v>30050.93324439897</v>
      </c>
      <c r="Q778" s="25">
        <f t="array" aca="1" ref="Q778" ca="1">INDEX('Isaac 401k'!L:L,MATCH('Retirement Calculator'!A778,'Isaac 401k'!N:N,0),0)</f>
        <v>-9656672.685611425</v>
      </c>
      <c r="R778" s="25">
        <f t="array" aca="1" ref="R778" ca="1">INDEX('Lorri 401b'!L:L,MATCH('Retirement Calculator'!A778,'Lorri 401b'!N:N,0),0)</f>
        <v>-15552331.26538389</v>
      </c>
      <c r="S778" s="25">
        <f t="shared" ca="1" si="787"/>
        <v>-25209003.950995315</v>
      </c>
    </row>
    <row r="779" spans="1:19" ht="15.75" customHeight="1" x14ac:dyDescent="0.25">
      <c r="A779" s="37">
        <v>74663</v>
      </c>
      <c r="B779" s="398">
        <f t="shared" ref="B779:C779" si="790">($A779-B$9)/365.25</f>
        <v>122.53798767967146</v>
      </c>
      <c r="C779" s="398">
        <f t="shared" si="790"/>
        <v>117.927446954141</v>
      </c>
      <c r="E779" s="25">
        <f>IF(C779&gt;$B$7,0,'Combined Retirement'!$D$13/12)</f>
        <v>0</v>
      </c>
      <c r="F779" s="25">
        <f>IF(H779=0,'Combined Retirement'!$D$32,0)+'Combined Retirement'!$B$24</f>
        <v>2870.372285649099</v>
      </c>
      <c r="G779" s="25">
        <f>'Combined Retirement'!$C$24</f>
        <v>3254.2644699519233</v>
      </c>
      <c r="H779" s="25">
        <f>IF(B779&lt;62,0,'Combined Retirement'!$I$14)</f>
        <v>2345</v>
      </c>
      <c r="I779" s="25">
        <f>IF(C779&lt;62,0,'Combined Retirement'!$I$13)</f>
        <v>2420</v>
      </c>
      <c r="J779" s="25">
        <f t="shared" si="783"/>
        <v>8395.6297298201844</v>
      </c>
      <c r="K779" s="25">
        <f t="shared" si="784"/>
        <v>21655.303514578787</v>
      </c>
      <c r="L779" s="25"/>
      <c r="N779" s="25">
        <f>'Combined Retirement'!$C$18/12</f>
        <v>40940.569999999992</v>
      </c>
      <c r="O779" s="25">
        <f t="shared" si="785"/>
        <v>10889.636755601023</v>
      </c>
      <c r="P779" s="25">
        <f t="shared" si="786"/>
        <v>30050.93324439897</v>
      </c>
      <c r="Q779" s="25">
        <f t="array" aca="1" ref="Q779" ca="1">INDEX('Isaac 401k'!L:L,MATCH('Retirement Calculator'!A779,'Isaac 401k'!N:N,0),0)</f>
        <v>-9705339.4333218336</v>
      </c>
      <c r="R779" s="25">
        <f t="array" aca="1" ref="R779" ca="1">INDEX('Lorri 401b'!L:L,MATCH('Retirement Calculator'!A779,'Lorri 401b'!N:N,0),0)</f>
        <v>-15638878.179602213</v>
      </c>
      <c r="S779" s="25">
        <f t="shared" ca="1" si="787"/>
        <v>-25344217.612924047</v>
      </c>
    </row>
    <row r="780" spans="1:19" ht="15.75" customHeight="1" x14ac:dyDescent="0.25">
      <c r="A780" s="37">
        <v>74693</v>
      </c>
      <c r="B780" s="398">
        <f t="shared" ref="B780:C780" si="791">($A780-B$9)/365.25</f>
        <v>122.62012320328542</v>
      </c>
      <c r="C780" s="398">
        <f t="shared" si="791"/>
        <v>118.00958247775496</v>
      </c>
      <c r="E780" s="25">
        <f>IF(C780&gt;$B$7,0,'Combined Retirement'!$D$13/12)</f>
        <v>0</v>
      </c>
      <c r="F780" s="25">
        <f>IF(H780=0,'Combined Retirement'!$D$32,0)+'Combined Retirement'!$B$24</f>
        <v>2870.372285649099</v>
      </c>
      <c r="G780" s="25">
        <f>'Combined Retirement'!$C$24</f>
        <v>3254.2644699519233</v>
      </c>
      <c r="H780" s="25">
        <f>IF(B780&lt;62,0,'Combined Retirement'!$I$14)</f>
        <v>2345</v>
      </c>
      <c r="I780" s="25">
        <f>IF(C780&lt;62,0,'Combined Retirement'!$I$13)</f>
        <v>2420</v>
      </c>
      <c r="J780" s="25">
        <f t="shared" si="783"/>
        <v>8395.6297298201844</v>
      </c>
      <c r="K780" s="25">
        <f t="shared" si="784"/>
        <v>21655.303514578787</v>
      </c>
      <c r="L780" s="25"/>
      <c r="N780" s="25">
        <f>'Combined Retirement'!$C$18/12</f>
        <v>40940.569999999992</v>
      </c>
      <c r="O780" s="25">
        <f t="shared" si="785"/>
        <v>10889.636755601023</v>
      </c>
      <c r="P780" s="25">
        <f t="shared" si="786"/>
        <v>30050.93324439897</v>
      </c>
      <c r="Q780" s="25">
        <f t="array" aca="1" ref="Q780" ca="1">INDEX('Isaac 401k'!L:L,MATCH('Retirement Calculator'!A780,'Isaac 401k'!N:N,0),0)</f>
        <v>-9754208.9591477029</v>
      </c>
      <c r="R780" s="25">
        <f t="array" aca="1" ref="R780" ca="1">INDEX('Lorri 401b'!L:L,MATCH('Retirement Calculator'!A780,'Lorri 401b'!N:N,0),0)</f>
        <v>-15725785.705963112</v>
      </c>
      <c r="S780" s="25">
        <f t="shared" ca="1" si="787"/>
        <v>-25479994.665110815</v>
      </c>
    </row>
    <row r="781" spans="1:19" ht="15.75" customHeight="1" x14ac:dyDescent="0.25">
      <c r="A781" s="37">
        <v>74724</v>
      </c>
      <c r="B781" s="398">
        <f t="shared" ref="B781:C781" si="792">($A781-B$9)/365.25</f>
        <v>122.70499657768652</v>
      </c>
      <c r="C781" s="398">
        <f t="shared" si="792"/>
        <v>118.09445585215606</v>
      </c>
      <c r="E781" s="25">
        <f>IF(C781&gt;$B$7,0,'Combined Retirement'!$D$13/12)</f>
        <v>0</v>
      </c>
      <c r="F781" s="25">
        <f>IF(H781=0,'Combined Retirement'!$D$32,0)+'Combined Retirement'!$B$24</f>
        <v>2870.372285649099</v>
      </c>
      <c r="G781" s="25">
        <f>'Combined Retirement'!$C$24</f>
        <v>3254.2644699519233</v>
      </c>
      <c r="H781" s="25">
        <f>IF(B781&lt;62,0,'Combined Retirement'!$I$14)</f>
        <v>2345</v>
      </c>
      <c r="I781" s="25">
        <f>IF(C781&lt;62,0,'Combined Retirement'!$I$13)</f>
        <v>2420</v>
      </c>
      <c r="J781" s="25">
        <f t="shared" si="783"/>
        <v>8395.6297298201844</v>
      </c>
      <c r="K781" s="25">
        <f t="shared" si="784"/>
        <v>21655.303514578787</v>
      </c>
      <c r="L781" s="25"/>
      <c r="N781" s="25">
        <f>'Combined Retirement'!$C$18/12</f>
        <v>40940.569999999992</v>
      </c>
      <c r="O781" s="25">
        <f t="shared" si="785"/>
        <v>10889.636755601023</v>
      </c>
      <c r="P781" s="25">
        <f t="shared" si="786"/>
        <v>30050.93324439897</v>
      </c>
      <c r="Q781" s="25">
        <f t="array" aca="1" ref="Q781" ca="1">INDEX('Isaac 401k'!L:L,MATCH('Retirement Calculator'!A781,'Isaac 401k'!N:N,0),0)</f>
        <v>-9803282.1079978459</v>
      </c>
      <c r="R781" s="25">
        <f t="array" aca="1" ref="R781" ca="1">INDEX('Lorri 401b'!L:L,MATCH('Retirement Calculator'!A781,'Lorri 401b'!N:N,0),0)</f>
        <v>-15813055.347017182</v>
      </c>
      <c r="S781" s="25">
        <f t="shared" ca="1" si="787"/>
        <v>-25616337.455015026</v>
      </c>
    </row>
    <row r="782" spans="1:19" ht="15.75" customHeight="1" x14ac:dyDescent="0.25">
      <c r="A782" s="37">
        <v>74755</v>
      </c>
      <c r="B782" s="398">
        <f t="shared" ref="B782:C782" si="793">($A782-B$9)/365.25</f>
        <v>122.78986995208761</v>
      </c>
      <c r="C782" s="398">
        <f t="shared" si="793"/>
        <v>118.17932922655716</v>
      </c>
      <c r="E782" s="25">
        <f>IF(C782&gt;$B$7,0,'Combined Retirement'!$D$13/12)</f>
        <v>0</v>
      </c>
      <c r="F782" s="25">
        <f>IF(H782=0,'Combined Retirement'!$D$32,0)+'Combined Retirement'!$B$24</f>
        <v>2870.372285649099</v>
      </c>
      <c r="G782" s="25">
        <f>'Combined Retirement'!$C$24</f>
        <v>3254.2644699519233</v>
      </c>
      <c r="H782" s="25">
        <f>IF(B782&lt;62,0,'Combined Retirement'!$I$14)</f>
        <v>2345</v>
      </c>
      <c r="I782" s="25">
        <f>IF(C782&lt;62,0,'Combined Retirement'!$I$13)</f>
        <v>2420</v>
      </c>
      <c r="J782" s="25">
        <f t="shared" si="783"/>
        <v>8395.6297298201844</v>
      </c>
      <c r="K782" s="25">
        <f t="shared" si="784"/>
        <v>21655.303514578787</v>
      </c>
      <c r="L782" s="25"/>
      <c r="N782" s="25">
        <f>'Combined Retirement'!$C$18/12</f>
        <v>40940.569999999992</v>
      </c>
      <c r="O782" s="25">
        <f t="shared" si="785"/>
        <v>10889.636755601023</v>
      </c>
      <c r="P782" s="25">
        <f t="shared" si="786"/>
        <v>30050.93324439897</v>
      </c>
      <c r="Q782" s="25">
        <f t="array" aca="1" ref="Q782" ca="1">INDEX('Isaac 401k'!L:L,MATCH('Retirement Calculator'!A782,'Isaac 401k'!N:N,0),0)</f>
        <v>-9852559.7283015307</v>
      </c>
      <c r="R782" s="25">
        <f t="array" aca="1" ref="R782" ca="1">INDEX('Lorri 401b'!L:L,MATCH('Retirement Calculator'!A782,'Lorri 401b'!N:N,0),0)</f>
        <v>-15900688.611575644</v>
      </c>
      <c r="S782" s="25">
        <f t="shared" ca="1" si="787"/>
        <v>-25753248.339877173</v>
      </c>
    </row>
    <row r="783" spans="1:19" ht="15.75" customHeight="1" x14ac:dyDescent="0.25">
      <c r="A783" s="37">
        <v>74785</v>
      </c>
      <c r="B783" s="398">
        <f t="shared" ref="B783:C783" si="794">($A783-B$9)/365.25</f>
        <v>122.87200547570157</v>
      </c>
      <c r="C783" s="398">
        <f t="shared" si="794"/>
        <v>118.26146475017111</v>
      </c>
      <c r="E783" s="25">
        <f>IF(C783&gt;$B$7,0,'Combined Retirement'!$D$13/12)</f>
        <v>0</v>
      </c>
      <c r="F783" s="25">
        <f>IF(H783=0,'Combined Retirement'!$D$32,0)+'Combined Retirement'!$B$24</f>
        <v>2870.372285649099</v>
      </c>
      <c r="G783" s="25">
        <f>'Combined Retirement'!$C$24</f>
        <v>3254.2644699519233</v>
      </c>
      <c r="H783" s="25">
        <f>IF(B783&lt;62,0,'Combined Retirement'!$I$14)</f>
        <v>2345</v>
      </c>
      <c r="I783" s="25">
        <f>IF(C783&lt;62,0,'Combined Retirement'!$I$13)</f>
        <v>2420</v>
      </c>
      <c r="J783" s="25">
        <f t="shared" si="783"/>
        <v>8395.6297298201844</v>
      </c>
      <c r="K783" s="25">
        <f t="shared" si="784"/>
        <v>21655.303514578787</v>
      </c>
      <c r="L783" s="25"/>
      <c r="N783" s="25">
        <f>'Combined Retirement'!$C$18/12</f>
        <v>40940.569999999992</v>
      </c>
      <c r="O783" s="25">
        <f t="shared" si="785"/>
        <v>10889.636755601023</v>
      </c>
      <c r="P783" s="25">
        <f t="shared" si="786"/>
        <v>30050.93324439897</v>
      </c>
      <c r="Q783" s="25">
        <f t="array" aca="1" ref="Q783" ca="1">INDEX('Isaac 401k'!L:L,MATCH('Retirement Calculator'!A783,'Isaac 401k'!N:N,0),0)</f>
        <v>-9902042.6720231492</v>
      </c>
      <c r="R783" s="25">
        <f t="array" aca="1" ref="R783" ca="1">INDEX('Lorri 401b'!L:L,MATCH('Retirement Calculator'!A783,'Lorri 401b'!N:N,0),0)</f>
        <v>-15988687.014736433</v>
      </c>
      <c r="S783" s="25">
        <f t="shared" ca="1" si="787"/>
        <v>-25890729.686759584</v>
      </c>
    </row>
    <row r="784" spans="1:19" ht="15.75" customHeight="1" x14ac:dyDescent="0.25">
      <c r="A784" s="37">
        <v>74816</v>
      </c>
      <c r="B784" s="398">
        <f t="shared" ref="B784:C784" si="795">($A784-B$9)/365.25</f>
        <v>122.95687885010267</v>
      </c>
      <c r="C784" s="398">
        <f t="shared" si="795"/>
        <v>118.34633812457221</v>
      </c>
      <c r="E784" s="25">
        <f>IF(C784&gt;$B$7,0,'Combined Retirement'!$D$13/12)</f>
        <v>0</v>
      </c>
      <c r="F784" s="25">
        <f>IF(H784=0,'Combined Retirement'!$D$32,0)+'Combined Retirement'!$B$24</f>
        <v>2870.372285649099</v>
      </c>
      <c r="G784" s="25">
        <f>'Combined Retirement'!$C$24</f>
        <v>3254.2644699519233</v>
      </c>
      <c r="H784" s="25">
        <f>IF(B784&lt;62,0,'Combined Retirement'!$I$14)</f>
        <v>2345</v>
      </c>
      <c r="I784" s="25">
        <f>IF(C784&lt;62,0,'Combined Retirement'!$I$13)</f>
        <v>2420</v>
      </c>
      <c r="J784" s="25">
        <f t="shared" si="783"/>
        <v>8395.6297298201844</v>
      </c>
      <c r="K784" s="25">
        <f t="shared" si="784"/>
        <v>21655.303514578787</v>
      </c>
      <c r="L784" s="25"/>
      <c r="N784" s="25">
        <f>'Combined Retirement'!$C$18/12</f>
        <v>40940.569999999992</v>
      </c>
      <c r="O784" s="25">
        <f t="shared" si="785"/>
        <v>10889.636755601023</v>
      </c>
      <c r="P784" s="25">
        <f t="shared" si="786"/>
        <v>30050.93324439897</v>
      </c>
      <c r="Q784" s="25">
        <f t="array" aca="1" ref="Q784" ca="1">INDEX('Isaac 401k'!L:L,MATCH('Retirement Calculator'!A784,'Isaac 401k'!N:N,0),0)</f>
        <v>-9951731.7946769409</v>
      </c>
      <c r="R784" s="25">
        <f t="array" aca="1" ref="R784" ca="1">INDEX('Lorri 401b'!L:L,MATCH('Retirement Calculator'!A784,'Lorri 401b'!N:N,0),0)</f>
        <v>-16077052.077910392</v>
      </c>
      <c r="S784" s="25">
        <f t="shared" ca="1" si="787"/>
        <v>-26028783.872587331</v>
      </c>
    </row>
    <row r="785" spans="1:19" ht="15.75" customHeight="1" x14ac:dyDescent="0.25">
      <c r="A785" s="37">
        <v>74846</v>
      </c>
      <c r="B785" s="398">
        <f t="shared" ref="B785:C785" si="796">($A785-B$9)/365.25</f>
        <v>123.03901437371663</v>
      </c>
      <c r="C785" s="398">
        <f t="shared" si="796"/>
        <v>118.42847364818617</v>
      </c>
      <c r="E785" s="25">
        <f>IF(C785&gt;$B$7,0,'Combined Retirement'!$D$13/12)</f>
        <v>0</v>
      </c>
      <c r="F785" s="25">
        <f>IF(H785=0,'Combined Retirement'!$D$32,0)+'Combined Retirement'!$B$24</f>
        <v>2870.372285649099</v>
      </c>
      <c r="G785" s="25">
        <f>'Combined Retirement'!$C$24</f>
        <v>3254.2644699519233</v>
      </c>
      <c r="H785" s="25">
        <f>IF(B785&lt;62,0,'Combined Retirement'!$I$14)</f>
        <v>2345</v>
      </c>
      <c r="I785" s="25">
        <f>IF(C785&lt;62,0,'Combined Retirement'!$I$13)</f>
        <v>2420</v>
      </c>
      <c r="J785" s="25">
        <f t="shared" si="783"/>
        <v>8395.6297298201844</v>
      </c>
      <c r="K785" s="25">
        <f t="shared" si="784"/>
        <v>21655.303514578787</v>
      </c>
      <c r="L785" s="25"/>
      <c r="N785" s="25">
        <f>'Combined Retirement'!$C$18/12</f>
        <v>40940.569999999992</v>
      </c>
      <c r="O785" s="25">
        <f t="shared" si="785"/>
        <v>10889.636755601023</v>
      </c>
      <c r="P785" s="25">
        <f t="shared" si="786"/>
        <v>30050.93324439897</v>
      </c>
      <c r="Q785" s="25">
        <f t="array" aca="1" ref="Q785" ca="1">INDEX('Isaac 401k'!L:L,MATCH('Retirement Calculator'!A785,'Isaac 401k'!N:N,0),0)</f>
        <v>-10001627.95534179</v>
      </c>
      <c r="R785" s="25">
        <f t="array" aca="1" ref="R785" ca="1">INDEX('Lorri 401b'!L:L,MATCH('Retirement Calculator'!A785,'Lorri 401b'!N:N,0),0)</f>
        <v>-16165785.328847574</v>
      </c>
      <c r="S785" s="25">
        <f t="shared" ca="1" si="787"/>
        <v>-26167413.284189366</v>
      </c>
    </row>
    <row r="786" spans="1:19" ht="15.75" customHeight="1" x14ac:dyDescent="0.25">
      <c r="A786" s="37">
        <v>74877</v>
      </c>
      <c r="B786" s="398">
        <f t="shared" ref="B786:C786" si="797">($A786-B$9)/365.25</f>
        <v>123.12388774811772</v>
      </c>
      <c r="C786" s="398">
        <f t="shared" si="797"/>
        <v>118.51334702258727</v>
      </c>
      <c r="E786" s="25">
        <f>IF(C786&gt;$B$7,0,'Combined Retirement'!$D$13/12)</f>
        <v>0</v>
      </c>
      <c r="F786" s="25">
        <f>IF(H786=0,'Combined Retirement'!$D$32,0)+'Combined Retirement'!$B$24</f>
        <v>2870.372285649099</v>
      </c>
      <c r="G786" s="25">
        <f>'Combined Retirement'!$C$24</f>
        <v>3254.2644699519233</v>
      </c>
      <c r="H786" s="25">
        <f>IF(B786&lt;62,0,'Combined Retirement'!$I$14)</f>
        <v>2345</v>
      </c>
      <c r="I786" s="25">
        <f>IF(C786&lt;62,0,'Combined Retirement'!$I$13)</f>
        <v>2420</v>
      </c>
      <c r="J786" s="25">
        <f t="shared" si="783"/>
        <v>8395.6297298201844</v>
      </c>
      <c r="K786" s="25">
        <f t="shared" si="784"/>
        <v>21655.303514578787</v>
      </c>
      <c r="L786" s="25"/>
      <c r="N786" s="25">
        <f>'Combined Retirement'!$C$18/12</f>
        <v>40940.569999999992</v>
      </c>
      <c r="O786" s="25">
        <f t="shared" si="785"/>
        <v>10889.636755601023</v>
      </c>
      <c r="P786" s="25">
        <f t="shared" si="786"/>
        <v>30050.93324439897</v>
      </c>
      <c r="Q786" s="25">
        <f t="array" aca="1" ref="Q786" ca="1">INDEX('Isaac 401k'!L:L,MATCH('Retirement Calculator'!A786,'Isaac 401k'!N:N,0),0)</f>
        <v>-10051732.016676076</v>
      </c>
      <c r="R786" s="25">
        <f t="array" aca="1" ref="R786" ca="1">INDEX('Lorri 401b'!L:L,MATCH('Retirement Calculator'!A786,'Lorri 401b'!N:N,0),0)</f>
        <v>-16254888.301663663</v>
      </c>
      <c r="S786" s="25">
        <f t="shared" ca="1" si="787"/>
        <v>-26306620.318339739</v>
      </c>
    </row>
    <row r="787" spans="1:19" ht="15.75" customHeight="1" x14ac:dyDescent="0.25">
      <c r="A787" s="37">
        <v>74908</v>
      </c>
      <c r="B787" s="398">
        <f t="shared" ref="B787:C787" si="798">($A787-B$9)/365.25</f>
        <v>123.20876112251882</v>
      </c>
      <c r="C787" s="398">
        <f t="shared" si="798"/>
        <v>118.59822039698837</v>
      </c>
      <c r="E787" s="25">
        <f>IF(C787&gt;$B$7,0,'Combined Retirement'!$D$13/12)</f>
        <v>0</v>
      </c>
      <c r="F787" s="25">
        <f>IF(H787=0,'Combined Retirement'!$D$32,0)+'Combined Retirement'!$B$24</f>
        <v>2870.372285649099</v>
      </c>
      <c r="G787" s="25">
        <f>'Combined Retirement'!$C$24</f>
        <v>3254.2644699519233</v>
      </c>
      <c r="H787" s="25">
        <f>IF(B787&lt;62,0,'Combined Retirement'!$I$14)</f>
        <v>2345</v>
      </c>
      <c r="I787" s="25">
        <f>IF(C787&lt;62,0,'Combined Retirement'!$I$13)</f>
        <v>2420</v>
      </c>
      <c r="J787" s="25">
        <f t="shared" si="783"/>
        <v>8395.6297298201844</v>
      </c>
      <c r="K787" s="25">
        <f t="shared" si="784"/>
        <v>21655.303514578787</v>
      </c>
      <c r="L787" s="25"/>
      <c r="N787" s="25">
        <f>'Combined Retirement'!$C$18/12</f>
        <v>40940.569999999992</v>
      </c>
      <c r="O787" s="25">
        <f t="shared" si="785"/>
        <v>10889.636755601023</v>
      </c>
      <c r="P787" s="25">
        <f t="shared" si="786"/>
        <v>30050.93324439897</v>
      </c>
      <c r="Q787" s="25">
        <f t="array" aca="1" ref="Q787" ca="1">INDEX('Isaac 401k'!L:L,MATCH('Retirement Calculator'!A787,'Isaac 401k'!N:N,0),0)</f>
        <v>-10102044.844932588</v>
      </c>
      <c r="R787" s="25">
        <f t="array" aca="1" ref="R787" ca="1">INDEX('Lorri 401b'!L:L,MATCH('Retirement Calculator'!A787,'Lorri 401b'!N:N,0),0)</f>
        <v>-16344362.536866486</v>
      </c>
      <c r="S787" s="25">
        <f t="shared" ca="1" si="787"/>
        <v>-26446407.381799072</v>
      </c>
    </row>
    <row r="788" spans="1:19" ht="15.75" customHeight="1" x14ac:dyDescent="0.25">
      <c r="A788" s="37">
        <v>74936</v>
      </c>
      <c r="B788" s="398">
        <f t="shared" ref="B788:C788" si="799">($A788-B$9)/365.25</f>
        <v>123.28542094455852</v>
      </c>
      <c r="C788" s="398">
        <f t="shared" si="799"/>
        <v>118.67488021902807</v>
      </c>
      <c r="E788" s="25">
        <f>IF(C788&gt;$B$7,0,'Combined Retirement'!$D$13/12)</f>
        <v>0</v>
      </c>
      <c r="F788" s="25">
        <f>IF(H788=0,'Combined Retirement'!$D$32,0)+'Combined Retirement'!$B$24</f>
        <v>2870.372285649099</v>
      </c>
      <c r="G788" s="25">
        <f>'Combined Retirement'!$C$24</f>
        <v>3254.2644699519233</v>
      </c>
      <c r="H788" s="25">
        <f>IF(B788&lt;62,0,'Combined Retirement'!$I$14)</f>
        <v>2345</v>
      </c>
      <c r="I788" s="25">
        <f>IF(C788&lt;62,0,'Combined Retirement'!$I$13)</f>
        <v>2420</v>
      </c>
      <c r="J788" s="25">
        <f t="shared" si="783"/>
        <v>8395.6297298201844</v>
      </c>
      <c r="K788" s="25">
        <f t="shared" si="784"/>
        <v>21655.303514578787</v>
      </c>
      <c r="L788" s="25"/>
      <c r="N788" s="25">
        <f>'Combined Retirement'!$C$18/12</f>
        <v>40940.569999999992</v>
      </c>
      <c r="O788" s="25">
        <f t="shared" si="785"/>
        <v>10889.636755601023</v>
      </c>
      <c r="P788" s="25">
        <f t="shared" si="786"/>
        <v>30050.93324439897</v>
      </c>
      <c r="Q788" s="25">
        <f t="array" aca="1" ref="Q788" ca="1">INDEX('Isaac 401k'!L:L,MATCH('Retirement Calculator'!A788,'Isaac 401k'!N:N,0),0)</f>
        <v>-10152567.309973501</v>
      </c>
      <c r="R788" s="25">
        <f t="array" aca="1" ref="R788" ca="1">INDEX('Lorri 401b'!L:L,MATCH('Retirement Calculator'!A788,'Lorri 401b'!N:N,0),0)</f>
        <v>-16434209.581382653</v>
      </c>
      <c r="S788" s="25">
        <f t="shared" ca="1" si="787"/>
        <v>-26586776.891356155</v>
      </c>
    </row>
    <row r="789" spans="1:19" ht="15.75" customHeight="1" x14ac:dyDescent="0.25">
      <c r="A789" s="37">
        <v>74967</v>
      </c>
      <c r="B789" s="398">
        <f t="shared" ref="B789:C789" si="800">($A789-B$9)/365.25</f>
        <v>123.37029431895962</v>
      </c>
      <c r="C789" s="398">
        <f t="shared" si="800"/>
        <v>118.75975359342915</v>
      </c>
      <c r="E789" s="25">
        <f>IF(C789&gt;$B$7,0,'Combined Retirement'!$D$13/12)</f>
        <v>0</v>
      </c>
      <c r="F789" s="25">
        <f>IF(H789=0,'Combined Retirement'!$D$32,0)+'Combined Retirement'!$B$24</f>
        <v>2870.372285649099</v>
      </c>
      <c r="G789" s="25">
        <f>'Combined Retirement'!$C$24</f>
        <v>3254.2644699519233</v>
      </c>
      <c r="H789" s="25">
        <f>IF(B789&lt;62,0,'Combined Retirement'!$I$14)</f>
        <v>2345</v>
      </c>
      <c r="I789" s="25">
        <f>IF(C789&lt;62,0,'Combined Retirement'!$I$13)</f>
        <v>2420</v>
      </c>
      <c r="J789" s="25">
        <f t="shared" si="783"/>
        <v>8395.6297298201844</v>
      </c>
      <c r="K789" s="25">
        <f t="shared" si="784"/>
        <v>21655.303514578787</v>
      </c>
      <c r="L789" s="25"/>
      <c r="N789" s="25">
        <f>'Combined Retirement'!$C$18/12</f>
        <v>40940.569999999992</v>
      </c>
      <c r="O789" s="25">
        <f t="shared" si="785"/>
        <v>10889.636755601023</v>
      </c>
      <c r="P789" s="25">
        <f t="shared" si="786"/>
        <v>30050.93324439897</v>
      </c>
      <c r="Q789" s="25">
        <f t="array" aca="1" ref="Q789" ca="1">INDEX('Isaac 401k'!L:L,MATCH('Retirement Calculator'!A789,'Isaac 401k'!N:N,0),0)</f>
        <v>-10203300.285285419</v>
      </c>
      <c r="R789" s="25">
        <f t="array" aca="1" ref="R789" ca="1">INDEX('Lorri 401b'!L:L,MATCH('Retirement Calculator'!A789,'Lorri 401b'!N:N,0),0)</f>
        <v>-16524430.988584304</v>
      </c>
      <c r="S789" s="25">
        <f t="shared" ca="1" si="787"/>
        <v>-26727731.273869723</v>
      </c>
    </row>
    <row r="790" spans="1:19" ht="15.75" customHeight="1" x14ac:dyDescent="0.25">
      <c r="A790" s="37">
        <v>74997</v>
      </c>
      <c r="B790" s="398">
        <f t="shared" ref="B790:C790" si="801">($A790-B$9)/365.25</f>
        <v>123.45242984257358</v>
      </c>
      <c r="C790" s="398">
        <f t="shared" si="801"/>
        <v>118.84188911704312</v>
      </c>
      <c r="E790" s="25">
        <f>IF(C790&gt;$B$7,0,'Combined Retirement'!$D$13/12)</f>
        <v>0</v>
      </c>
      <c r="F790" s="25">
        <f>IF(H790=0,'Combined Retirement'!$D$32,0)+'Combined Retirement'!$B$24</f>
        <v>2870.372285649099</v>
      </c>
      <c r="G790" s="25">
        <f>'Combined Retirement'!$C$24</f>
        <v>3254.2644699519233</v>
      </c>
      <c r="H790" s="25">
        <f>IF(B790&lt;62,0,'Combined Retirement'!$I$14)</f>
        <v>2345</v>
      </c>
      <c r="I790" s="25">
        <f>IF(C790&lt;62,0,'Combined Retirement'!$I$13)</f>
        <v>2420</v>
      </c>
      <c r="J790" s="25">
        <f t="shared" si="783"/>
        <v>8395.6297298201844</v>
      </c>
      <c r="K790" s="25">
        <f t="shared" si="784"/>
        <v>21655.303514578787</v>
      </c>
      <c r="L790" s="25"/>
      <c r="N790" s="25">
        <f>'Combined Retirement'!$C$18/12</f>
        <v>40940.569999999992</v>
      </c>
      <c r="O790" s="25">
        <f t="shared" si="785"/>
        <v>10889.636755601023</v>
      </c>
      <c r="P790" s="25">
        <f t="shared" si="786"/>
        <v>30050.93324439897</v>
      </c>
      <c r="Q790" s="25">
        <f t="array" aca="1" ref="Q790" ca="1">INDEX('Isaac 401k'!L:L,MATCH('Retirement Calculator'!A790,'Isaac 401k'!N:N,0),0)</f>
        <v>-10254244.64799447</v>
      </c>
      <c r="R790" s="25">
        <f t="array" aca="1" ref="R790" ca="1">INDEX('Lorri 401b'!L:L,MATCH('Retirement Calculator'!A790,'Lorri 401b'!N:N,0),0)</f>
        <v>-16615028.318315962</v>
      </c>
      <c r="S790" s="25">
        <f t="shared" ca="1" si="787"/>
        <v>-26869272.966310434</v>
      </c>
    </row>
    <row r="791" spans="1:19" ht="15.75" customHeight="1" x14ac:dyDescent="0.25">
      <c r="A791" s="37">
        <v>75028</v>
      </c>
      <c r="B791" s="398">
        <f t="shared" ref="B791:C791" si="802">($A791-B$9)/365.25</f>
        <v>123.53730321697468</v>
      </c>
      <c r="C791" s="398">
        <f t="shared" si="802"/>
        <v>118.92676249144422</v>
      </c>
      <c r="E791" s="25">
        <f>IF(C791&gt;$B$7,0,'Combined Retirement'!$D$13/12)</f>
        <v>0</v>
      </c>
      <c r="F791" s="25">
        <f>IF(H791=0,'Combined Retirement'!$D$32,0)+'Combined Retirement'!$B$24</f>
        <v>2870.372285649099</v>
      </c>
      <c r="G791" s="25">
        <f>'Combined Retirement'!$C$24</f>
        <v>3254.2644699519233</v>
      </c>
      <c r="H791" s="25">
        <f>IF(B791&lt;62,0,'Combined Retirement'!$I$14)</f>
        <v>2345</v>
      </c>
      <c r="I791" s="25">
        <f>IF(C791&lt;62,0,'Combined Retirement'!$I$13)</f>
        <v>2420</v>
      </c>
      <c r="J791" s="25">
        <f t="shared" si="783"/>
        <v>8395.6297298201844</v>
      </c>
      <c r="K791" s="25">
        <f t="shared" si="784"/>
        <v>21655.303514578787</v>
      </c>
      <c r="L791" s="25"/>
      <c r="N791" s="25">
        <f>'Combined Retirement'!$C$18/12</f>
        <v>40940.569999999992</v>
      </c>
      <c r="O791" s="25">
        <f t="shared" si="785"/>
        <v>10889.636755601023</v>
      </c>
      <c r="P791" s="25">
        <f t="shared" si="786"/>
        <v>30050.93324439897</v>
      </c>
      <c r="Q791" s="25">
        <f t="array" aca="1" ref="Q791" ca="1">INDEX('Isaac 401k'!L:L,MATCH('Retirement Calculator'!A791,'Isaac 401k'!N:N,0),0)</f>
        <v>-10305401.278881475</v>
      </c>
      <c r="R791" s="25">
        <f t="array" aca="1" ref="R791" ca="1">INDEX('Lorri 401b'!L:L,MATCH('Retirement Calculator'!A791,'Lorri 401b'!N:N,0),0)</f>
        <v>-16706003.136921503</v>
      </c>
      <c r="S791" s="25">
        <f t="shared" ca="1" si="787"/>
        <v>-27011404.415802978</v>
      </c>
    </row>
    <row r="792" spans="1:19" ht="15.75" customHeight="1" x14ac:dyDescent="0.25">
      <c r="A792" s="37">
        <v>75058</v>
      </c>
      <c r="B792" s="398">
        <f t="shared" ref="B792:C792" si="803">($A792-B$9)/365.25</f>
        <v>123.61943874058863</v>
      </c>
      <c r="C792" s="398">
        <f t="shared" si="803"/>
        <v>119.00889801505818</v>
      </c>
      <c r="E792" s="25">
        <f>IF(C792&gt;$B$7,0,'Combined Retirement'!$D$13/12)</f>
        <v>0</v>
      </c>
      <c r="F792" s="25">
        <f>IF(H792=0,'Combined Retirement'!$D$32,0)+'Combined Retirement'!$B$24</f>
        <v>2870.372285649099</v>
      </c>
      <c r="G792" s="25">
        <f>'Combined Retirement'!$C$24</f>
        <v>3254.2644699519233</v>
      </c>
      <c r="H792" s="25">
        <f>IF(B792&lt;62,0,'Combined Retirement'!$I$14)</f>
        <v>2345</v>
      </c>
      <c r="I792" s="25">
        <f>IF(C792&lt;62,0,'Combined Retirement'!$I$13)</f>
        <v>2420</v>
      </c>
      <c r="J792" s="25">
        <f t="shared" si="783"/>
        <v>8395.6297298201844</v>
      </c>
      <c r="K792" s="25">
        <f t="shared" si="784"/>
        <v>21655.303514578787</v>
      </c>
      <c r="L792" s="25"/>
      <c r="N792" s="25">
        <f>'Combined Retirement'!$C$18/12</f>
        <v>40940.569999999992</v>
      </c>
      <c r="O792" s="25">
        <f t="shared" si="785"/>
        <v>10889.636755601023</v>
      </c>
      <c r="P792" s="25">
        <f t="shared" si="786"/>
        <v>30050.93324439897</v>
      </c>
      <c r="Q792" s="25">
        <f t="array" aca="1" ref="Q792" ca="1">INDEX('Isaac 401k'!L:L,MATCH('Retirement Calculator'!A792,'Isaac 401k'!N:N,0),0)</f>
        <v>-10356771.062397176</v>
      </c>
      <c r="R792" s="25">
        <f t="array" aca="1" ref="R792" ca="1">INDEX('Lorri 401b'!L:L,MATCH('Retirement Calculator'!A792,'Lorri 401b'!N:N,0),0)</f>
        <v>-16797357.017271232</v>
      </c>
      <c r="S792" s="25">
        <f t="shared" ca="1" si="787"/>
        <v>-27154128.07966841</v>
      </c>
    </row>
    <row r="793" spans="1:19" ht="15.75" customHeight="1" x14ac:dyDescent="0.25">
      <c r="A793" s="37">
        <v>75089</v>
      </c>
      <c r="B793" s="398">
        <f t="shared" ref="B793:C793" si="804">($A793-B$9)/365.25</f>
        <v>123.70431211498973</v>
      </c>
      <c r="C793" s="398">
        <f t="shared" si="804"/>
        <v>119.09377138945928</v>
      </c>
      <c r="E793" s="25">
        <f>IF(C793&gt;$B$7,0,'Combined Retirement'!$D$13/12)</f>
        <v>0</v>
      </c>
      <c r="F793" s="25">
        <f>IF(H793=0,'Combined Retirement'!$D$32,0)+'Combined Retirement'!$B$24</f>
        <v>2870.372285649099</v>
      </c>
      <c r="G793" s="25">
        <f>'Combined Retirement'!$C$24</f>
        <v>3254.2644699519233</v>
      </c>
      <c r="H793" s="25">
        <f>IF(B793&lt;62,0,'Combined Retirement'!$I$14)</f>
        <v>2345</v>
      </c>
      <c r="I793" s="25">
        <f>IF(C793&lt;62,0,'Combined Retirement'!$I$13)</f>
        <v>2420</v>
      </c>
      <c r="J793" s="25">
        <f t="shared" si="783"/>
        <v>8395.6297298201844</v>
      </c>
      <c r="K793" s="25">
        <f t="shared" si="784"/>
        <v>21655.303514578787</v>
      </c>
      <c r="L793" s="25"/>
      <c r="N793" s="25">
        <f>'Combined Retirement'!$C$18/12</f>
        <v>40940.569999999992</v>
      </c>
      <c r="O793" s="25">
        <f t="shared" si="785"/>
        <v>10889.636755601023</v>
      </c>
      <c r="P793" s="25">
        <f t="shared" si="786"/>
        <v>30050.93324439897</v>
      </c>
      <c r="Q793" s="25">
        <f t="array" aca="1" ref="Q793" ca="1">INDEX('Isaac 401k'!L:L,MATCH('Retirement Calculator'!A793,'Isaac 401k'!N:N,0),0)</f>
        <v>-10408354.886677526</v>
      </c>
      <c r="R793" s="25">
        <f t="array" aca="1" ref="R793" ca="1">INDEX('Lorri 401b'!L:L,MATCH('Retirement Calculator'!A793,'Lorri 401b'!N:N,0),0)</f>
        <v>-16889091.538789082</v>
      </c>
      <c r="S793" s="25">
        <f t="shared" ca="1" si="787"/>
        <v>-27297446.425466608</v>
      </c>
    </row>
    <row r="794" spans="1:19" ht="15.75" customHeight="1" x14ac:dyDescent="0.25">
      <c r="A794" s="37">
        <v>75120</v>
      </c>
      <c r="B794" s="398">
        <f t="shared" ref="B794:C794" si="805">($A794-B$9)/365.25</f>
        <v>123.78918548939083</v>
      </c>
      <c r="C794" s="398">
        <f t="shared" si="805"/>
        <v>119.17864476386038</v>
      </c>
      <c r="E794" s="25">
        <f>IF(C794&gt;$B$7,0,'Combined Retirement'!$D$13/12)</f>
        <v>0</v>
      </c>
      <c r="F794" s="25">
        <f>IF(H794=0,'Combined Retirement'!$D$32,0)+'Combined Retirement'!$B$24</f>
        <v>2870.372285649099</v>
      </c>
      <c r="G794" s="25">
        <f>'Combined Retirement'!$C$24</f>
        <v>3254.2644699519233</v>
      </c>
      <c r="H794" s="25">
        <f>IF(B794&lt;62,0,'Combined Retirement'!$I$14)</f>
        <v>2345</v>
      </c>
      <c r="I794" s="25">
        <f>IF(C794&lt;62,0,'Combined Retirement'!$I$13)</f>
        <v>2420</v>
      </c>
      <c r="J794" s="25">
        <f t="shared" si="783"/>
        <v>8395.6297298201844</v>
      </c>
      <c r="K794" s="25">
        <f t="shared" si="784"/>
        <v>21655.303514578787</v>
      </c>
      <c r="L794" s="25"/>
      <c r="N794" s="25">
        <f>'Combined Retirement'!$C$18/12</f>
        <v>40940.569999999992</v>
      </c>
      <c r="O794" s="25">
        <f t="shared" si="785"/>
        <v>10889.636755601023</v>
      </c>
      <c r="P794" s="25">
        <f t="shared" si="786"/>
        <v>30050.93324439897</v>
      </c>
      <c r="Q794" s="25">
        <f t="array" aca="1" ref="Q794" ca="1">INDEX('Isaac 401k'!L:L,MATCH('Retirement Calculator'!A794,'Isaac 401k'!N:N,0),0)</f>
        <v>-10460153.643559044</v>
      </c>
      <c r="R794" s="25">
        <f t="array" aca="1" ref="R794" ca="1">INDEX('Lorri 401b'!L:L,MATCH('Retirement Calculator'!A794,'Lorri 401b'!N:N,0),0)</f>
        <v>-16981208.287479926</v>
      </c>
      <c r="S794" s="25">
        <f t="shared" ca="1" si="787"/>
        <v>-27441361.931038968</v>
      </c>
    </row>
    <row r="795" spans="1:19" ht="15.75" customHeight="1" x14ac:dyDescent="0.25">
      <c r="A795" s="37">
        <v>75150</v>
      </c>
      <c r="B795" s="398">
        <f t="shared" ref="B795:C795" si="806">($A795-B$9)/365.25</f>
        <v>123.87132101300479</v>
      </c>
      <c r="C795" s="398">
        <f t="shared" si="806"/>
        <v>119.26078028747433</v>
      </c>
      <c r="E795" s="25">
        <f>IF(C795&gt;$B$7,0,'Combined Retirement'!$D$13/12)</f>
        <v>0</v>
      </c>
      <c r="F795" s="25">
        <f>IF(H795=0,'Combined Retirement'!$D$32,0)+'Combined Retirement'!$B$24</f>
        <v>2870.372285649099</v>
      </c>
      <c r="G795" s="25">
        <f>'Combined Retirement'!$C$24</f>
        <v>3254.2644699519233</v>
      </c>
      <c r="H795" s="25">
        <f>IF(B795&lt;62,0,'Combined Retirement'!$I$14)</f>
        <v>2345</v>
      </c>
      <c r="I795" s="25">
        <f>IF(C795&lt;62,0,'Combined Retirement'!$I$13)</f>
        <v>2420</v>
      </c>
      <c r="J795" s="25">
        <f t="shared" si="783"/>
        <v>8395.6297298201844</v>
      </c>
      <c r="K795" s="25">
        <f t="shared" si="784"/>
        <v>21655.303514578787</v>
      </c>
      <c r="L795" s="25"/>
      <c r="N795" s="25">
        <f>'Combined Retirement'!$C$18/12</f>
        <v>40940.569999999992</v>
      </c>
      <c r="O795" s="25">
        <f t="shared" si="785"/>
        <v>10889.636755601023</v>
      </c>
      <c r="P795" s="25">
        <f t="shared" si="786"/>
        <v>30050.93324439897</v>
      </c>
      <c r="Q795" s="25">
        <f t="array" aca="1" ref="Q795" ca="1">INDEX('Isaac 401k'!L:L,MATCH('Retirement Calculator'!A795,'Isaac 401k'!N:N,0),0)</f>
        <v>-10512168.228594234</v>
      </c>
      <c r="R795" s="25">
        <f t="array" aca="1" ref="R795" ca="1">INDEX('Lorri 401b'!L:L,MATCH('Retirement Calculator'!A795,'Lorri 401b'!N:N,0),0)</f>
        <v>-17073708.855956979</v>
      </c>
      <c r="S795" s="25">
        <f t="shared" ca="1" si="787"/>
        <v>-27585877.084551215</v>
      </c>
    </row>
    <row r="796" spans="1:19" ht="15.75" customHeight="1" x14ac:dyDescent="0.25">
      <c r="A796" s="37">
        <v>75181</v>
      </c>
      <c r="B796" s="398">
        <f t="shared" ref="B796:C796" si="807">($A796-B$9)/365.25</f>
        <v>123.95619438740589</v>
      </c>
      <c r="C796" s="398">
        <f t="shared" si="807"/>
        <v>119.34565366187543</v>
      </c>
      <c r="E796" s="25">
        <f>IF(C796&gt;$B$7,0,'Combined Retirement'!$D$13/12)</f>
        <v>0</v>
      </c>
      <c r="F796" s="25">
        <f>IF(H796=0,'Combined Retirement'!$D$32,0)+'Combined Retirement'!$B$24</f>
        <v>2870.372285649099</v>
      </c>
      <c r="G796" s="25">
        <f>'Combined Retirement'!$C$24</f>
        <v>3254.2644699519233</v>
      </c>
      <c r="H796" s="25">
        <f>IF(B796&lt;62,0,'Combined Retirement'!$I$14)</f>
        <v>2345</v>
      </c>
      <c r="I796" s="25">
        <f>IF(C796&lt;62,0,'Combined Retirement'!$I$13)</f>
        <v>2420</v>
      </c>
      <c r="J796" s="25">
        <f t="shared" si="783"/>
        <v>8395.6297298201844</v>
      </c>
      <c r="K796" s="25">
        <f t="shared" si="784"/>
        <v>21655.303514578787</v>
      </c>
      <c r="L796" s="25"/>
      <c r="N796" s="25">
        <f>'Combined Retirement'!$C$18/12</f>
        <v>40940.569999999992</v>
      </c>
      <c r="O796" s="25">
        <f t="shared" si="785"/>
        <v>10889.636755601023</v>
      </c>
      <c r="P796" s="25">
        <f t="shared" si="786"/>
        <v>30050.93324439897</v>
      </c>
      <c r="Q796" s="25">
        <f t="array" aca="1" ref="Q796" ca="1">INDEX('Isaac 401k'!L:L,MATCH('Retirement Calculator'!A796,'Isaac 401k'!N:N,0),0)</f>
        <v>-10564399.541067071</v>
      </c>
      <c r="R796" s="25">
        <f t="array" aca="1" ref="R796" ca="1">INDEX('Lorri 401b'!L:L,MATCH('Retirement Calculator'!A796,'Lorri 401b'!N:N,0),0)</f>
        <v>-17166594.843469355</v>
      </c>
      <c r="S796" s="25">
        <f t="shared" ca="1" si="787"/>
        <v>-27730994.384536427</v>
      </c>
    </row>
    <row r="797" spans="1:19" ht="15.75" customHeight="1" x14ac:dyDescent="0.25">
      <c r="A797" s="37">
        <v>75211</v>
      </c>
      <c r="B797" s="398">
        <f t="shared" ref="B797:C797" si="808">($A797-B$9)/365.25</f>
        <v>124.03832991101984</v>
      </c>
      <c r="C797" s="398">
        <f t="shared" si="808"/>
        <v>119.42778918548939</v>
      </c>
      <c r="E797" s="25">
        <f>IF(C797&gt;$B$7,0,'Combined Retirement'!$D$13/12)</f>
        <v>0</v>
      </c>
      <c r="F797" s="25">
        <f>IF(H797=0,'Combined Retirement'!$D$32,0)+'Combined Retirement'!$B$24</f>
        <v>2870.372285649099</v>
      </c>
      <c r="G797" s="25">
        <f>'Combined Retirement'!$C$24</f>
        <v>3254.2644699519233</v>
      </c>
      <c r="H797" s="25">
        <f>IF(B797&lt;62,0,'Combined Retirement'!$I$14)</f>
        <v>2345</v>
      </c>
      <c r="I797" s="25">
        <f>IF(C797&lt;62,0,'Combined Retirement'!$I$13)</f>
        <v>2420</v>
      </c>
      <c r="J797" s="25">
        <f t="shared" si="783"/>
        <v>8395.6297298201844</v>
      </c>
      <c r="K797" s="25">
        <f t="shared" si="784"/>
        <v>21655.303514578787</v>
      </c>
      <c r="L797" s="25"/>
      <c r="N797" s="25">
        <f>'Combined Retirement'!$C$18/12</f>
        <v>40940.569999999992</v>
      </c>
      <c r="O797" s="25">
        <f t="shared" si="785"/>
        <v>10889.636755601023</v>
      </c>
      <c r="P797" s="25">
        <f t="shared" si="786"/>
        <v>30050.93324439897</v>
      </c>
      <c r="Q797" s="25">
        <f t="array" aca="1" ref="Q797" ca="1">INDEX('Isaac 401k'!L:L,MATCH('Retirement Calculator'!A797,'Isaac 401k'!N:N,0),0)</f>
        <v>-10616848.484008545</v>
      </c>
      <c r="R797" s="25">
        <f t="array" aca="1" ref="R797" ca="1">INDEX('Lorri 401b'!L:L,MATCH('Retirement Calculator'!A797,'Lorri 401b'!N:N,0),0)</f>
        <v>-17259867.855929699</v>
      </c>
      <c r="S797" s="25">
        <f t="shared" ca="1" si="787"/>
        <v>-27876716.339938246</v>
      </c>
    </row>
    <row r="798" spans="1:19" ht="15.75" customHeight="1" x14ac:dyDescent="0.25">
      <c r="A798" s="37">
        <v>75242</v>
      </c>
      <c r="B798" s="398">
        <f t="shared" ref="B798:C798" si="809">($A798-B$9)/365.25</f>
        <v>124.12320328542094</v>
      </c>
      <c r="C798" s="398">
        <f t="shared" si="809"/>
        <v>119.51266255989049</v>
      </c>
      <c r="E798" s="25">
        <f>IF(C798&gt;$B$7,0,'Combined Retirement'!$D$13/12)</f>
        <v>0</v>
      </c>
      <c r="F798" s="25">
        <f>IF(H798=0,'Combined Retirement'!$D$32,0)+'Combined Retirement'!$B$24</f>
        <v>2870.372285649099</v>
      </c>
      <c r="G798" s="25">
        <f>'Combined Retirement'!$C$24</f>
        <v>3254.2644699519233</v>
      </c>
      <c r="H798" s="25">
        <f>IF(B798&lt;62,0,'Combined Retirement'!$I$14)</f>
        <v>2345</v>
      </c>
      <c r="I798" s="25">
        <f>IF(C798&lt;62,0,'Combined Retirement'!$I$13)</f>
        <v>2420</v>
      </c>
      <c r="J798" s="25">
        <f t="shared" si="783"/>
        <v>8395.6297298201844</v>
      </c>
      <c r="K798" s="25">
        <f t="shared" si="784"/>
        <v>21655.303514578787</v>
      </c>
      <c r="L798" s="25"/>
      <c r="N798" s="25">
        <f>'Combined Retirement'!$C$18/12</f>
        <v>40940.569999999992</v>
      </c>
      <c r="O798" s="25">
        <f t="shared" si="785"/>
        <v>10889.636755601023</v>
      </c>
      <c r="P798" s="25">
        <f t="shared" si="786"/>
        <v>30050.93324439897</v>
      </c>
      <c r="Q798" s="25">
        <f t="array" aca="1" ref="Q798" ca="1">INDEX('Isaac 401k'!L:L,MATCH('Retirement Calculator'!A798,'Isaac 401k'!N:N,0),0)</f>
        <v>-10669515.964212276</v>
      </c>
      <c r="R798" s="25">
        <f t="array" aca="1" ref="R798" ca="1">INDEX('Lorri 401b'!L:L,MATCH('Retirement Calculator'!A798,'Lorri 401b'!N:N,0),0)</f>
        <v>-17353529.505941961</v>
      </c>
      <c r="S798" s="25">
        <f t="shared" ca="1" si="787"/>
        <v>-28023045.470154237</v>
      </c>
    </row>
    <row r="799" spans="1:19" ht="15.75" customHeight="1" x14ac:dyDescent="0.25">
      <c r="A799" s="37">
        <v>75273</v>
      </c>
      <c r="B799" s="398">
        <f t="shared" ref="B799:C799" si="810">($A799-B$9)/365.25</f>
        <v>124.20807665982204</v>
      </c>
      <c r="C799" s="398">
        <f t="shared" si="810"/>
        <v>119.59753593429159</v>
      </c>
      <c r="E799" s="25">
        <f>IF(C799&gt;$B$7,0,'Combined Retirement'!$D$13/12)</f>
        <v>0</v>
      </c>
      <c r="F799" s="25">
        <f>IF(H799=0,'Combined Retirement'!$D$32,0)+'Combined Retirement'!$B$24</f>
        <v>2870.372285649099</v>
      </c>
      <c r="G799" s="25">
        <f>'Combined Retirement'!$C$24</f>
        <v>3254.2644699519233</v>
      </c>
      <c r="H799" s="25">
        <f>IF(B799&lt;62,0,'Combined Retirement'!$I$14)</f>
        <v>2345</v>
      </c>
      <c r="I799" s="25">
        <f>IF(C799&lt;62,0,'Combined Retirement'!$I$13)</f>
        <v>2420</v>
      </c>
      <c r="J799" s="25">
        <f t="shared" si="783"/>
        <v>8395.6297298201844</v>
      </c>
      <c r="K799" s="25">
        <f t="shared" si="784"/>
        <v>21655.303514578787</v>
      </c>
      <c r="L799" s="25"/>
      <c r="N799" s="25">
        <f>'Combined Retirement'!$C$18/12</f>
        <v>40940.569999999992</v>
      </c>
      <c r="O799" s="25">
        <f t="shared" si="785"/>
        <v>10889.636755601023</v>
      </c>
      <c r="P799" s="25">
        <f t="shared" si="786"/>
        <v>30050.93324439897</v>
      </c>
      <c r="Q799" s="25">
        <f t="array" aca="1" ref="Q799" ca="1">INDEX('Isaac 401k'!L:L,MATCH('Retirement Calculator'!A799,'Isaac 401k'!N:N,0),0)</f>
        <v>-10722402.892250188</v>
      </c>
      <c r="R799" s="25">
        <f t="array" aca="1" ref="R799" ca="1">INDEX('Lorri 401b'!L:L,MATCH('Retirement Calculator'!A799,'Lorri 401b'!N:N,0),0)</f>
        <v>-17447581.412829272</v>
      </c>
      <c r="S799" s="25">
        <f t="shared" ca="1" si="787"/>
        <v>-28169984.30507946</v>
      </c>
    </row>
    <row r="800" spans="1:19" ht="15.75" customHeight="1" x14ac:dyDescent="0.25">
      <c r="A800" s="37">
        <v>75301</v>
      </c>
      <c r="B800" s="398">
        <f t="shared" ref="B800:C800" si="811">($A800-B$9)/365.25</f>
        <v>124.28473648186174</v>
      </c>
      <c r="C800" s="398">
        <f t="shared" si="811"/>
        <v>119.67419575633129</v>
      </c>
      <c r="E800" s="25">
        <f>IF(C800&gt;$B$7,0,'Combined Retirement'!$D$13/12)</f>
        <v>0</v>
      </c>
      <c r="F800" s="25">
        <f>IF(H800=0,'Combined Retirement'!$D$32,0)+'Combined Retirement'!$B$24</f>
        <v>2870.372285649099</v>
      </c>
      <c r="G800" s="25">
        <f>'Combined Retirement'!$C$24</f>
        <v>3254.2644699519233</v>
      </c>
      <c r="H800" s="25">
        <f>IF(B800&lt;62,0,'Combined Retirement'!$I$14)</f>
        <v>2345</v>
      </c>
      <c r="I800" s="25">
        <f>IF(C800&lt;62,0,'Combined Retirement'!$I$13)</f>
        <v>2420</v>
      </c>
      <c r="J800" s="25">
        <f t="shared" si="783"/>
        <v>8395.6297298201844</v>
      </c>
      <c r="K800" s="25">
        <f t="shared" si="784"/>
        <v>21655.303514578787</v>
      </c>
      <c r="L800" s="25"/>
      <c r="N800" s="25">
        <f>'Combined Retirement'!$C$18/12</f>
        <v>40940.569999999992</v>
      </c>
      <c r="O800" s="25">
        <f t="shared" si="785"/>
        <v>10889.636755601023</v>
      </c>
      <c r="P800" s="25">
        <f t="shared" si="786"/>
        <v>30050.93324439897</v>
      </c>
      <c r="Q800" s="25">
        <f t="array" aca="1" ref="Q800" ca="1">INDEX('Isaac 401k'!L:L,MATCH('Retirement Calculator'!A800,'Isaac 401k'!N:N,0),0)</f>
        <v>-10775510.182488259</v>
      </c>
      <c r="R800" s="25">
        <f t="array" aca="1" ref="R800" ca="1">INDEX('Lorri 401b'!L:L,MATCH('Retirement Calculator'!A800,'Lorri 401b'!N:N,0),0)</f>
        <v>-17542025.20266195</v>
      </c>
      <c r="S800" s="25">
        <f t="shared" ca="1" si="787"/>
        <v>-28317535.385150209</v>
      </c>
    </row>
    <row r="801" spans="1:19" ht="15.75" customHeight="1" x14ac:dyDescent="0.25">
      <c r="A801" s="37">
        <v>75332</v>
      </c>
      <c r="B801" s="398">
        <f t="shared" ref="B801:C801" si="812">($A801-B$9)/365.25</f>
        <v>124.36960985626284</v>
      </c>
      <c r="C801" s="398">
        <f t="shared" si="812"/>
        <v>119.75906913073237</v>
      </c>
      <c r="E801" s="25">
        <f>IF(C801&gt;$B$7,0,'Combined Retirement'!$D$13/12)</f>
        <v>0</v>
      </c>
      <c r="F801" s="25">
        <f>IF(H801=0,'Combined Retirement'!$D$32,0)+'Combined Retirement'!$B$24</f>
        <v>2870.372285649099</v>
      </c>
      <c r="G801" s="25">
        <f>'Combined Retirement'!$C$24</f>
        <v>3254.2644699519233</v>
      </c>
      <c r="H801" s="25">
        <f>IF(B801&lt;62,0,'Combined Retirement'!$I$14)</f>
        <v>2345</v>
      </c>
      <c r="I801" s="25">
        <f>IF(C801&lt;62,0,'Combined Retirement'!$I$13)</f>
        <v>2420</v>
      </c>
      <c r="J801" s="25">
        <f t="shared" si="783"/>
        <v>8395.6297298201844</v>
      </c>
      <c r="K801" s="25">
        <f t="shared" si="784"/>
        <v>21655.303514578787</v>
      </c>
      <c r="L801" s="25"/>
      <c r="N801" s="25">
        <f>'Combined Retirement'!$C$18/12</f>
        <v>40940.569999999992</v>
      </c>
      <c r="O801" s="25">
        <f t="shared" si="785"/>
        <v>10889.636755601023</v>
      </c>
      <c r="P801" s="25">
        <f t="shared" si="786"/>
        <v>30050.93324439897</v>
      </c>
      <c r="Q801" s="25">
        <f t="array" aca="1" ref="Q801" ca="1">INDEX('Isaac 401k'!L:L,MATCH('Retirement Calculator'!A801,'Isaac 401k'!N:N,0),0)</f>
        <v>-10828838.753102321</v>
      </c>
      <c r="R801" s="25">
        <f t="array" aca="1" ref="R801" ca="1">INDEX('Lorri 401b'!L:L,MATCH('Retirement Calculator'!A801,'Lorri 401b'!N:N,0),0)</f>
        <v>-17636862.508285597</v>
      </c>
      <c r="S801" s="25">
        <f t="shared" ca="1" si="787"/>
        <v>-28465701.261387918</v>
      </c>
    </row>
    <row r="802" spans="1:19" ht="15.75" customHeight="1" x14ac:dyDescent="0.25">
      <c r="A802" s="37">
        <v>75362</v>
      </c>
      <c r="B802" s="398">
        <f t="shared" ref="B802:C802" si="813">($A802-B$9)/365.25</f>
        <v>124.4517453798768</v>
      </c>
      <c r="C802" s="398">
        <f t="shared" si="813"/>
        <v>119.84120465434634</v>
      </c>
      <c r="E802" s="25">
        <f>IF(C802&gt;$B$7,0,'Combined Retirement'!$D$13/12)</f>
        <v>0</v>
      </c>
      <c r="F802" s="25">
        <f>IF(H802=0,'Combined Retirement'!$D$32,0)+'Combined Retirement'!$B$24</f>
        <v>2870.372285649099</v>
      </c>
      <c r="G802" s="25">
        <f>'Combined Retirement'!$C$24</f>
        <v>3254.2644699519233</v>
      </c>
      <c r="H802" s="25">
        <f>IF(B802&lt;62,0,'Combined Retirement'!$I$14)</f>
        <v>2345</v>
      </c>
      <c r="I802" s="25">
        <f>IF(C802&lt;62,0,'Combined Retirement'!$I$13)</f>
        <v>2420</v>
      </c>
      <c r="J802" s="25">
        <f t="shared" si="783"/>
        <v>8395.6297298201844</v>
      </c>
      <c r="K802" s="25">
        <f t="shared" si="784"/>
        <v>21655.303514578787</v>
      </c>
      <c r="L802" s="25"/>
      <c r="N802" s="25">
        <f>'Combined Retirement'!$C$18/12</f>
        <v>40940.569999999992</v>
      </c>
      <c r="O802" s="25">
        <f t="shared" si="785"/>
        <v>10889.636755601023</v>
      </c>
      <c r="P802" s="25">
        <f t="shared" si="786"/>
        <v>30050.93324439897</v>
      </c>
      <c r="Q802" s="25">
        <f t="array" aca="1" ref="Q802" ca="1">INDEX('Isaac 401k'!L:L,MATCH('Retirement Calculator'!A802,'Isaac 401k'!N:N,0),0)</f>
        <v>-10882389.526093943</v>
      </c>
      <c r="R802" s="25">
        <f t="array" aca="1" ref="R802" ca="1">INDEX('Lorri 401b'!L:L,MATCH('Retirement Calculator'!A802,'Lorri 401b'!N:N,0),0)</f>
        <v>-17732094.969349343</v>
      </c>
      <c r="S802" s="25">
        <f t="shared" ca="1" si="787"/>
        <v>-28614484.495443285</v>
      </c>
    </row>
    <row r="803" spans="1:19" ht="15.75" customHeight="1" x14ac:dyDescent="0.25">
      <c r="A803" s="37">
        <v>75393</v>
      </c>
      <c r="B803" s="398">
        <f t="shared" ref="B803:C803" si="814">($A803-B$9)/365.25</f>
        <v>124.5366187542779</v>
      </c>
      <c r="C803" s="398">
        <f t="shared" si="814"/>
        <v>119.92607802874743</v>
      </c>
      <c r="E803" s="25">
        <f>IF(C803&gt;$B$7,0,'Combined Retirement'!$D$13/12)</f>
        <v>0</v>
      </c>
      <c r="F803" s="25">
        <f>IF(H803=0,'Combined Retirement'!$D$32,0)+'Combined Retirement'!$B$24</f>
        <v>2870.372285649099</v>
      </c>
      <c r="G803" s="25">
        <f>'Combined Retirement'!$C$24</f>
        <v>3254.2644699519233</v>
      </c>
      <c r="H803" s="25">
        <f>IF(B803&lt;62,0,'Combined Retirement'!$I$14)</f>
        <v>2345</v>
      </c>
      <c r="I803" s="25">
        <f>IF(C803&lt;62,0,'Combined Retirement'!$I$13)</f>
        <v>2420</v>
      </c>
      <c r="J803" s="25">
        <f t="shared" si="783"/>
        <v>8395.6297298201844</v>
      </c>
      <c r="K803" s="25">
        <f t="shared" si="784"/>
        <v>21655.303514578787</v>
      </c>
      <c r="L803" s="25"/>
      <c r="N803" s="25">
        <f>'Combined Retirement'!$C$18/12</f>
        <v>40940.569999999992</v>
      </c>
      <c r="O803" s="25">
        <f t="shared" si="785"/>
        <v>10889.636755601023</v>
      </c>
      <c r="P803" s="25">
        <f t="shared" si="786"/>
        <v>30050.93324439897</v>
      </c>
      <c r="Q803" s="25">
        <f t="array" aca="1" ref="Q803" ca="1">INDEX('Isaac 401k'!L:L,MATCH('Retirement Calculator'!A803,'Isaac 401k'!N:N,0),0)</f>
        <v>-10936163.427306363</v>
      </c>
      <c r="R803" s="25">
        <f t="array" aca="1" ref="R803" ca="1">INDEX('Lorri 401b'!L:L,MATCH('Retirement Calculator'!A803,'Lorri 401b'!N:N,0),0)</f>
        <v>-17827724.232334185</v>
      </c>
      <c r="S803" s="25">
        <f t="shared" ca="1" si="787"/>
        <v>-28763887.659640551</v>
      </c>
    </row>
    <row r="804" spans="1:19" ht="15.75" customHeight="1" x14ac:dyDescent="0.25">
      <c r="A804" s="37">
        <v>75423</v>
      </c>
      <c r="B804" s="398">
        <f t="shared" ref="B804:C804" si="815">($A804-B$9)/365.25</f>
        <v>124.61875427789185</v>
      </c>
      <c r="C804" s="398">
        <f t="shared" si="815"/>
        <v>120.0082135523614</v>
      </c>
      <c r="E804" s="25">
        <f>IF(C804&gt;$B$7,0,'Combined Retirement'!$D$13/12)</f>
        <v>0</v>
      </c>
      <c r="F804" s="25">
        <f>IF(H804=0,'Combined Retirement'!$D$32,0)+'Combined Retirement'!$B$24</f>
        <v>2870.372285649099</v>
      </c>
      <c r="G804" s="25">
        <f>'Combined Retirement'!$C$24</f>
        <v>3254.2644699519233</v>
      </c>
      <c r="H804" s="25">
        <f>IF(B804&lt;62,0,'Combined Retirement'!$I$14)</f>
        <v>2345</v>
      </c>
      <c r="I804" s="25">
        <f>IF(C804&lt;62,0,'Combined Retirement'!$I$13)</f>
        <v>2420</v>
      </c>
      <c r="J804" s="25">
        <f t="shared" si="783"/>
        <v>8395.6297298201844</v>
      </c>
      <c r="K804" s="25">
        <f t="shared" si="784"/>
        <v>21655.303514578787</v>
      </c>
      <c r="L804" s="25"/>
      <c r="N804" s="25">
        <f>'Combined Retirement'!$C$18/12</f>
        <v>40940.569999999992</v>
      </c>
      <c r="O804" s="25">
        <f t="shared" si="785"/>
        <v>10889.636755601023</v>
      </c>
      <c r="P804" s="25">
        <f t="shared" si="786"/>
        <v>30050.93324439897</v>
      </c>
      <c r="Q804" s="25">
        <f t="array" aca="1" ref="Q804" ca="1">INDEX('Isaac 401k'!L:L,MATCH('Retirement Calculator'!A804,'Isaac 401k'!N:N,0),0)</f>
        <v>-10990161.386440501</v>
      </c>
      <c r="R804" s="25">
        <f t="array" aca="1" ref="R804" ca="1">INDEX('Lorri 401b'!L:L,MATCH('Retirement Calculator'!A804,'Lorri 401b'!N:N,0),0)</f>
        <v>-17923751.950581465</v>
      </c>
      <c r="S804" s="25">
        <f t="shared" ca="1" si="787"/>
        <v>-28913913.337021966</v>
      </c>
    </row>
    <row r="805" spans="1:19" ht="15.75" customHeight="1" x14ac:dyDescent="0.25">
      <c r="A805" s="37">
        <v>75454</v>
      </c>
      <c r="B805" s="398">
        <f t="shared" ref="B805:C805" si="816">($A805-B$9)/365.25</f>
        <v>124.70362765229295</v>
      </c>
      <c r="C805" s="398">
        <f t="shared" si="816"/>
        <v>120.0930869267625</v>
      </c>
      <c r="E805" s="25">
        <f>IF(C805&gt;$B$7,0,'Combined Retirement'!$D$13/12)</f>
        <v>0</v>
      </c>
      <c r="F805" s="25">
        <f>IF(H805=0,'Combined Retirement'!$D$32,0)+'Combined Retirement'!$B$24</f>
        <v>2870.372285649099</v>
      </c>
      <c r="G805" s="25">
        <f>'Combined Retirement'!$C$24</f>
        <v>3254.2644699519233</v>
      </c>
      <c r="H805" s="25">
        <f>IF(B805&lt;62,0,'Combined Retirement'!$I$14)</f>
        <v>2345</v>
      </c>
      <c r="I805" s="25">
        <f>IF(C805&lt;62,0,'Combined Retirement'!$I$13)</f>
        <v>2420</v>
      </c>
      <c r="J805" s="25">
        <f t="shared" si="783"/>
        <v>8395.6297298201844</v>
      </c>
      <c r="K805" s="25">
        <f t="shared" si="784"/>
        <v>21655.303514578787</v>
      </c>
      <c r="L805" s="25"/>
      <c r="N805" s="25">
        <f>'Combined Retirement'!$C$18/12</f>
        <v>40940.569999999992</v>
      </c>
      <c r="O805" s="25">
        <f t="shared" si="785"/>
        <v>10889.636755601023</v>
      </c>
      <c r="P805" s="25">
        <f t="shared" si="786"/>
        <v>30050.93324439897</v>
      </c>
      <c r="Q805" s="25">
        <f t="array" aca="1" ref="Q805" ca="1">INDEX('Isaac 401k'!L:L,MATCH('Retirement Calculator'!A805,'Isaac 401k'!N:N,0),0)</f>
        <v>-11044384.337071031</v>
      </c>
      <c r="R805" s="25">
        <f t="array" aca="1" ref="R805" ca="1">INDEX('Lorri 401b'!L:L,MATCH('Retirement Calculator'!A805,'Lorri 401b'!N:N,0),0)</f>
        <v>-18020179.784321442</v>
      </c>
      <c r="S805" s="25">
        <f t="shared" ca="1" si="787"/>
        <v>-29064564.121392474</v>
      </c>
    </row>
    <row r="806" spans="1:19" ht="15.75" customHeight="1" x14ac:dyDescent="0.25">
      <c r="A806" s="37">
        <v>75485</v>
      </c>
      <c r="B806" s="398">
        <f t="shared" ref="B806:C806" si="817">($A806-B$9)/365.25</f>
        <v>124.78850102669405</v>
      </c>
      <c r="C806" s="398">
        <f t="shared" si="817"/>
        <v>120.17796030116358</v>
      </c>
      <c r="E806" s="25">
        <f>IF(C806&gt;$B$7,0,'Combined Retirement'!$D$13/12)</f>
        <v>0</v>
      </c>
      <c r="F806" s="25">
        <f>IF(H806=0,'Combined Retirement'!$D$32,0)+'Combined Retirement'!$B$24</f>
        <v>2870.372285649099</v>
      </c>
      <c r="G806" s="25">
        <f>'Combined Retirement'!$C$24</f>
        <v>3254.2644699519233</v>
      </c>
      <c r="H806" s="25">
        <f>IF(B806&lt;62,0,'Combined Retirement'!$I$14)</f>
        <v>2345</v>
      </c>
      <c r="I806" s="25">
        <f>IF(C806&lt;62,0,'Combined Retirement'!$I$13)</f>
        <v>2420</v>
      </c>
      <c r="J806" s="25">
        <f t="shared" si="783"/>
        <v>8395.6297298201844</v>
      </c>
      <c r="K806" s="25">
        <f t="shared" si="784"/>
        <v>21655.303514578787</v>
      </c>
      <c r="L806" s="25"/>
      <c r="N806" s="25">
        <f>'Combined Retirement'!$C$18/12</f>
        <v>40940.569999999992</v>
      </c>
      <c r="O806" s="25">
        <f t="shared" si="785"/>
        <v>10889.636755601023</v>
      </c>
      <c r="P806" s="25">
        <f t="shared" si="786"/>
        <v>30050.93324439897</v>
      </c>
      <c r="Q806" s="25">
        <f t="array" aca="1" ref="Q806" ca="1">INDEX('Isaac 401k'!L:L,MATCH('Retirement Calculator'!A806,'Isaac 401k'!N:N,0),0)</f>
        <v>-11098833.216662522</v>
      </c>
      <c r="R806" s="25">
        <f t="array" aca="1" ref="R806" ca="1">INDEX('Lorri 401b'!L:L,MATCH('Retirement Calculator'!A806,'Lorri 401b'!N:N,0),0)</f>
        <v>-18117009.400702003</v>
      </c>
      <c r="S806" s="25">
        <f t="shared" ca="1" si="787"/>
        <v>-29215842.617364526</v>
      </c>
    </row>
    <row r="807" spans="1:19" ht="15.75" customHeight="1" x14ac:dyDescent="0.25">
      <c r="A807" s="37">
        <v>75515</v>
      </c>
      <c r="B807" s="398">
        <f t="shared" ref="B807:C807" si="818">($A807-B$9)/365.25</f>
        <v>124.87063655030801</v>
      </c>
      <c r="C807" s="398">
        <f t="shared" si="818"/>
        <v>120.26009582477755</v>
      </c>
      <c r="E807" s="25">
        <f>IF(C807&gt;$B$7,0,'Combined Retirement'!$D$13/12)</f>
        <v>0</v>
      </c>
      <c r="F807" s="25">
        <f>IF(H807=0,'Combined Retirement'!$D$32,0)+'Combined Retirement'!$B$24</f>
        <v>2870.372285649099</v>
      </c>
      <c r="G807" s="25">
        <f>'Combined Retirement'!$C$24</f>
        <v>3254.2644699519233</v>
      </c>
      <c r="H807" s="25">
        <f>IF(B807&lt;62,0,'Combined Retirement'!$I$14)</f>
        <v>2345</v>
      </c>
      <c r="I807" s="25">
        <f>IF(C807&lt;62,0,'Combined Retirement'!$I$13)</f>
        <v>2420</v>
      </c>
      <c r="J807" s="25">
        <f t="shared" si="783"/>
        <v>8395.6297298201844</v>
      </c>
      <c r="K807" s="25">
        <f t="shared" si="784"/>
        <v>21655.303514578787</v>
      </c>
      <c r="L807" s="25"/>
      <c r="N807" s="25">
        <f>'Combined Retirement'!$C$18/12</f>
        <v>40940.569999999992</v>
      </c>
      <c r="O807" s="25">
        <f t="shared" si="785"/>
        <v>10889.636755601023</v>
      </c>
      <c r="P807" s="25">
        <f t="shared" si="786"/>
        <v>30050.93324439897</v>
      </c>
      <c r="Q807" s="25">
        <f t="array" aca="1" ref="Q807" ca="1">INDEX('Isaac 401k'!L:L,MATCH('Retirement Calculator'!A807,'Isaac 401k'!N:N,0),0)</f>
        <v>-11153508.966585644</v>
      </c>
      <c r="R807" s="25">
        <f t="array" aca="1" ref="R807" ca="1">INDEX('Lorri 401b'!L:L,MATCH('Retirement Calculator'!A807,'Lorri 401b'!N:N,0),0)</f>
        <v>-18214242.473817483</v>
      </c>
      <c r="S807" s="25">
        <f t="shared" ca="1" si="787"/>
        <v>-29367751.440403126</v>
      </c>
    </row>
    <row r="808" spans="1:19" ht="15.75" customHeight="1" x14ac:dyDescent="0.25">
      <c r="A808" s="37">
        <v>75546</v>
      </c>
      <c r="B808" s="398">
        <f t="shared" ref="B808:C808" si="819">($A808-B$9)/365.25</f>
        <v>124.95550992470911</v>
      </c>
      <c r="C808" s="398">
        <f t="shared" si="819"/>
        <v>120.34496919917865</v>
      </c>
      <c r="E808" s="25">
        <f>IF(C808&gt;$B$7,0,'Combined Retirement'!$D$13/12)</f>
        <v>0</v>
      </c>
      <c r="F808" s="25">
        <f>IF(H808=0,'Combined Retirement'!$D$32,0)+'Combined Retirement'!$B$24</f>
        <v>2870.372285649099</v>
      </c>
      <c r="G808" s="25">
        <f>'Combined Retirement'!$C$24</f>
        <v>3254.2644699519233</v>
      </c>
      <c r="H808" s="25">
        <f>IF(B808&lt;62,0,'Combined Retirement'!$I$14)</f>
        <v>2345</v>
      </c>
      <c r="I808" s="25">
        <f>IF(C808&lt;62,0,'Combined Retirement'!$I$13)</f>
        <v>2420</v>
      </c>
      <c r="J808" s="25">
        <f t="shared" si="783"/>
        <v>8395.6297298201844</v>
      </c>
      <c r="K808" s="25">
        <f t="shared" si="784"/>
        <v>21655.303514578787</v>
      </c>
      <c r="L808" s="25"/>
      <c r="N808" s="25">
        <f>'Combined Retirement'!$C$18/12</f>
        <v>40940.569999999992</v>
      </c>
      <c r="O808" s="25">
        <f t="shared" si="785"/>
        <v>10889.636755601023</v>
      </c>
      <c r="P808" s="25">
        <f t="shared" si="786"/>
        <v>30050.93324439897</v>
      </c>
      <c r="Q808" s="25">
        <f t="array" aca="1" ref="Q808" ca="1">INDEX('Isaac 401k'!L:L,MATCH('Retirement Calculator'!A808,'Isaac 401k'!N:N,0),0)</f>
        <v>-11208412.532133445</v>
      </c>
      <c r="R808" s="25">
        <f t="array" aca="1" ref="R808" ca="1">INDEX('Lorri 401b'!L:L,MATCH('Retirement Calculator'!A808,'Lorri 401b'!N:N,0),0)</f>
        <v>-18311880.684737612</v>
      </c>
      <c r="S808" s="25">
        <f t="shared" ca="1" si="787"/>
        <v>-29520293.216871057</v>
      </c>
    </row>
    <row r="809" spans="1:19" ht="15.75" customHeight="1" x14ac:dyDescent="0.25">
      <c r="A809" s="37">
        <v>75576</v>
      </c>
      <c r="B809" s="398">
        <f t="shared" ref="B809:C809" si="820">($A809-B$9)/365.25</f>
        <v>125.03764544832306</v>
      </c>
      <c r="C809" s="398">
        <f t="shared" si="820"/>
        <v>120.42710472279261</v>
      </c>
      <c r="E809" s="25">
        <f>IF(C809&gt;$B$7,0,'Combined Retirement'!$D$13/12)</f>
        <v>0</v>
      </c>
      <c r="F809" s="25">
        <f>IF(H809=0,'Combined Retirement'!$D$32,0)+'Combined Retirement'!$B$24</f>
        <v>2870.372285649099</v>
      </c>
      <c r="G809" s="25">
        <f>'Combined Retirement'!$C$24</f>
        <v>3254.2644699519233</v>
      </c>
      <c r="H809" s="25">
        <f>IF(B809&lt;62,0,'Combined Retirement'!$I$14)</f>
        <v>2345</v>
      </c>
      <c r="I809" s="25">
        <f>IF(C809&lt;62,0,'Combined Retirement'!$I$13)</f>
        <v>2420</v>
      </c>
      <c r="J809" s="25">
        <f t="shared" si="783"/>
        <v>8395.6297298201844</v>
      </c>
      <c r="K809" s="25">
        <f t="shared" si="784"/>
        <v>21655.303514578787</v>
      </c>
      <c r="L809" s="25"/>
      <c r="N809" s="25">
        <f>'Combined Retirement'!$C$18/12</f>
        <v>40940.569999999992</v>
      </c>
      <c r="O809" s="25">
        <f t="shared" si="785"/>
        <v>10889.636755601023</v>
      </c>
      <c r="P809" s="25">
        <f t="shared" si="786"/>
        <v>30050.93324439897</v>
      </c>
      <c r="Q809" s="25">
        <f t="array" aca="1" ref="Q809" ca="1">INDEX('Isaac 401k'!L:L,MATCH('Retirement Calculator'!A809,'Isaac 401k'!N:N,0),0)</f>
        <v>-11263544.862537695</v>
      </c>
      <c r="R809" s="25">
        <f t="array" aca="1" ref="R809" ca="1">INDEX('Lorri 401b'!L:L,MATCH('Retirement Calculator'!A809,'Lorri 401b'!N:N,0),0)</f>
        <v>-18409925.721536573</v>
      </c>
      <c r="S809" s="25">
        <f t="shared" ca="1" si="787"/>
        <v>-29673470.584074266</v>
      </c>
    </row>
    <row r="810" spans="1:19" ht="15.75" customHeight="1" x14ac:dyDescent="0.25">
      <c r="A810" s="37">
        <v>75607</v>
      </c>
      <c r="B810" s="398">
        <f t="shared" ref="B810:C810" si="821">($A810-B$9)/365.25</f>
        <v>125.12251882272416</v>
      </c>
      <c r="C810" s="398">
        <f t="shared" si="821"/>
        <v>120.5119780971937</v>
      </c>
      <c r="E810" s="25">
        <f>IF(C810&gt;$B$7,0,'Combined Retirement'!$D$13/12)</f>
        <v>0</v>
      </c>
      <c r="F810" s="25">
        <f>IF(H810=0,'Combined Retirement'!$D$32,0)+'Combined Retirement'!$B$24</f>
        <v>2870.372285649099</v>
      </c>
      <c r="G810" s="25">
        <f>'Combined Retirement'!$C$24</f>
        <v>3254.2644699519233</v>
      </c>
      <c r="H810" s="25">
        <f>IF(B810&lt;62,0,'Combined Retirement'!$I$14)</f>
        <v>2345</v>
      </c>
      <c r="I810" s="25">
        <f>IF(C810&lt;62,0,'Combined Retirement'!$I$13)</f>
        <v>2420</v>
      </c>
      <c r="J810" s="25">
        <f t="shared" si="783"/>
        <v>8395.6297298201844</v>
      </c>
      <c r="K810" s="25">
        <f t="shared" si="784"/>
        <v>21655.303514578787</v>
      </c>
      <c r="L810" s="25"/>
      <c r="N810" s="25">
        <f>'Combined Retirement'!$C$18/12</f>
        <v>40940.569999999992</v>
      </c>
      <c r="O810" s="25">
        <f t="shared" si="785"/>
        <v>10889.636755601023</v>
      </c>
      <c r="P810" s="25">
        <f t="shared" si="786"/>
        <v>30050.93324439897</v>
      </c>
      <c r="Q810" s="25">
        <f t="array" aca="1" ref="Q810" ca="1">INDEX('Isaac 401k'!L:L,MATCH('Retirement Calculator'!A810,'Isaac 401k'!N:N,0),0)</f>
        <v>-11318906.910985297</v>
      </c>
      <c r="R810" s="25">
        <f t="array" aca="1" ref="R810" ca="1">INDEX('Lorri 401b'!L:L,MATCH('Retirement Calculator'!A810,'Lorri 401b'!N:N,0),0)</f>
        <v>-18508379.279322196</v>
      </c>
      <c r="S810" s="25">
        <f t="shared" ca="1" si="787"/>
        <v>-29827286.190307491</v>
      </c>
    </row>
    <row r="811" spans="1:19" ht="15.75" customHeight="1" x14ac:dyDescent="0.25">
      <c r="A811" s="37">
        <v>75638</v>
      </c>
      <c r="B811" s="398">
        <f t="shared" ref="B811:C811" si="822">($A811-B$9)/365.25</f>
        <v>125.20739219712526</v>
      </c>
      <c r="C811" s="398">
        <f t="shared" si="822"/>
        <v>120.5968514715948</v>
      </c>
      <c r="E811" s="25">
        <f>IF(C811&gt;$B$7,0,'Combined Retirement'!$D$13/12)</f>
        <v>0</v>
      </c>
      <c r="F811" s="25">
        <f>IF(H811=0,'Combined Retirement'!$D$32,0)+'Combined Retirement'!$B$24</f>
        <v>2870.372285649099</v>
      </c>
      <c r="G811" s="25">
        <f>'Combined Retirement'!$C$24</f>
        <v>3254.2644699519233</v>
      </c>
      <c r="H811" s="25">
        <f>IF(B811&lt;62,0,'Combined Retirement'!$I$14)</f>
        <v>2345</v>
      </c>
      <c r="I811" s="25">
        <f>IF(C811&lt;62,0,'Combined Retirement'!$I$13)</f>
        <v>2420</v>
      </c>
      <c r="J811" s="25">
        <f t="shared" si="783"/>
        <v>8395.6297298201844</v>
      </c>
      <c r="K811" s="25">
        <f t="shared" si="784"/>
        <v>21655.303514578787</v>
      </c>
      <c r="L811" s="25"/>
      <c r="N811" s="25">
        <f>'Combined Retirement'!$C$18/12</f>
        <v>40940.569999999992</v>
      </c>
      <c r="O811" s="25">
        <f t="shared" si="785"/>
        <v>10889.636755601023</v>
      </c>
      <c r="P811" s="25">
        <f t="shared" si="786"/>
        <v>30050.93324439897</v>
      </c>
      <c r="Q811" s="25">
        <f t="array" aca="1" ref="Q811" ca="1">INDEX('Isaac 401k'!L:L,MATCH('Retirement Calculator'!A811,'Isaac 401k'!N:N,0),0)</f>
        <v>-11374499.634634763</v>
      </c>
      <c r="R811" s="25">
        <f t="array" aca="1" ref="R811" ca="1">INDEX('Lorri 401b'!L:L,MATCH('Retirement Calculator'!A811,'Lorri 401b'!N:N,0),0)</f>
        <v>-18607243.060265258</v>
      </c>
      <c r="S811" s="25">
        <f t="shared" ca="1" si="787"/>
        <v>-29981742.694900021</v>
      </c>
    </row>
    <row r="812" spans="1:19" ht="15.75" customHeight="1" x14ac:dyDescent="0.25">
      <c r="A812" s="37">
        <v>75666</v>
      </c>
      <c r="B812" s="398">
        <f t="shared" ref="B812:C812" si="823">($A812-B$9)/365.25</f>
        <v>125.28405201916496</v>
      </c>
      <c r="C812" s="398">
        <f t="shared" si="823"/>
        <v>120.67351129363449</v>
      </c>
      <c r="E812" s="25">
        <f>IF(C812&gt;$B$7,0,'Combined Retirement'!$D$13/12)</f>
        <v>0</v>
      </c>
      <c r="F812" s="25">
        <f>IF(H812=0,'Combined Retirement'!$D$32,0)+'Combined Retirement'!$B$24</f>
        <v>2870.372285649099</v>
      </c>
      <c r="G812" s="25">
        <f>'Combined Retirement'!$C$24</f>
        <v>3254.2644699519233</v>
      </c>
      <c r="H812" s="25">
        <f>IF(B812&lt;62,0,'Combined Retirement'!$I$14)</f>
        <v>2345</v>
      </c>
      <c r="I812" s="25">
        <f>IF(C812&lt;62,0,'Combined Retirement'!$I$13)</f>
        <v>2420</v>
      </c>
      <c r="J812" s="25">
        <f t="shared" si="783"/>
        <v>8395.6297298201844</v>
      </c>
      <c r="K812" s="25">
        <f t="shared" si="784"/>
        <v>21655.303514578787</v>
      </c>
      <c r="L812" s="25"/>
      <c r="N812" s="25">
        <f>'Combined Retirement'!$C$18/12</f>
        <v>40940.569999999992</v>
      </c>
      <c r="O812" s="25">
        <f t="shared" si="785"/>
        <v>10889.636755601023</v>
      </c>
      <c r="P812" s="25">
        <f t="shared" si="786"/>
        <v>30050.93324439897</v>
      </c>
      <c r="Q812" s="25">
        <f t="array" aca="1" ref="Q812" ca="1">INDEX('Isaac 401k'!L:L,MATCH('Retirement Calculator'!A812,'Isaac 401k'!N:N,0),0)</f>
        <v>-11430323.994632769</v>
      </c>
      <c r="R812" s="25">
        <f t="array" aca="1" ref="R812" ca="1">INDEX('Lorri 401b'!L:L,MATCH('Retirement Calculator'!A812,'Lorri 401b'!N:N,0),0)</f>
        <v>-18706518.773628917</v>
      </c>
      <c r="S812" s="25">
        <f t="shared" ca="1" si="787"/>
        <v>-30136842.768261686</v>
      </c>
    </row>
    <row r="813" spans="1:19" ht="15.75" customHeight="1" x14ac:dyDescent="0.25">
      <c r="A813" s="37">
        <v>75697</v>
      </c>
      <c r="B813" s="398">
        <f t="shared" ref="B813:C813" si="824">($A813-B$9)/365.25</f>
        <v>125.36892539356604</v>
      </c>
      <c r="C813" s="398">
        <f t="shared" si="824"/>
        <v>120.75838466803559</v>
      </c>
      <c r="E813" s="25">
        <f>IF(C813&gt;$B$7,0,'Combined Retirement'!$D$13/12)</f>
        <v>0</v>
      </c>
      <c r="F813" s="25">
        <f>IF(H813=0,'Combined Retirement'!$D$32,0)+'Combined Retirement'!$B$24</f>
        <v>2870.372285649099</v>
      </c>
      <c r="G813" s="25">
        <f>'Combined Retirement'!$C$24</f>
        <v>3254.2644699519233</v>
      </c>
      <c r="H813" s="25">
        <f>IF(B813&lt;62,0,'Combined Retirement'!$I$14)</f>
        <v>2345</v>
      </c>
      <c r="I813" s="25">
        <f>IF(C813&lt;62,0,'Combined Retirement'!$I$13)</f>
        <v>2420</v>
      </c>
      <c r="J813" s="25">
        <f t="shared" si="783"/>
        <v>8395.6297298201844</v>
      </c>
      <c r="K813" s="25">
        <f t="shared" si="784"/>
        <v>21655.303514578787</v>
      </c>
      <c r="L813" s="25"/>
      <c r="N813" s="25">
        <f>'Combined Retirement'!$C$18/12</f>
        <v>40940.569999999992</v>
      </c>
      <c r="O813" s="25">
        <f t="shared" si="785"/>
        <v>10889.636755601023</v>
      </c>
      <c r="P813" s="25">
        <f t="shared" si="786"/>
        <v>30050.93324439897</v>
      </c>
      <c r="Q813" s="25">
        <f t="array" aca="1" ref="Q813" ca="1">INDEX('Isaac 401k'!L:L,MATCH('Retirement Calculator'!A813,'Isaac 401k'!N:N,0),0)</f>
        <v>-11486380.956130767</v>
      </c>
      <c r="R813" s="25">
        <f t="array" aca="1" ref="R813" ca="1">INDEX('Lorri 401b'!L:L,MATCH('Retirement Calculator'!A813,'Lorri 401b'!N:N,0),0)</f>
        <v>-18806208.135798257</v>
      </c>
      <c r="S813" s="25">
        <f t="shared" ca="1" si="787"/>
        <v>-30292589.091929026</v>
      </c>
    </row>
    <row r="814" spans="1:19" ht="15.75" customHeight="1" x14ac:dyDescent="0.25">
      <c r="A814" s="37">
        <v>75727</v>
      </c>
      <c r="B814" s="398">
        <f t="shared" ref="B814:C814" si="825">($A814-B$9)/365.25</f>
        <v>125.45106091718002</v>
      </c>
      <c r="C814" s="398">
        <f t="shared" si="825"/>
        <v>120.84052019164956</v>
      </c>
      <c r="E814" s="25">
        <f>IF(C814&gt;$B$7,0,'Combined Retirement'!$D$13/12)</f>
        <v>0</v>
      </c>
      <c r="F814" s="25">
        <f>IF(H814=0,'Combined Retirement'!$D$32,0)+'Combined Retirement'!$B$24</f>
        <v>2870.372285649099</v>
      </c>
      <c r="G814" s="25">
        <f>'Combined Retirement'!$C$24</f>
        <v>3254.2644699519233</v>
      </c>
      <c r="H814" s="25">
        <f>IF(B814&lt;62,0,'Combined Retirement'!$I$14)</f>
        <v>2345</v>
      </c>
      <c r="I814" s="25">
        <f>IF(C814&lt;62,0,'Combined Retirement'!$I$13)</f>
        <v>2420</v>
      </c>
      <c r="J814" s="25">
        <f t="shared" si="783"/>
        <v>8395.6297298201844</v>
      </c>
      <c r="K814" s="25">
        <f t="shared" si="784"/>
        <v>21655.303514578787</v>
      </c>
      <c r="L814" s="25"/>
      <c r="N814" s="25">
        <f>'Combined Retirement'!$C$18/12</f>
        <v>40940.569999999992</v>
      </c>
      <c r="O814" s="25">
        <f t="shared" si="785"/>
        <v>10889.636755601023</v>
      </c>
      <c r="P814" s="25">
        <f t="shared" si="786"/>
        <v>30050.93324439897</v>
      </c>
      <c r="Q814" s="25">
        <f t="array" aca="1" ref="Q814" ca="1">INDEX('Isaac 401k'!L:L,MATCH('Retirement Calculator'!A814,'Isaac 401k'!N:N,0),0)</f>
        <v>-11542671.488301674</v>
      </c>
      <c r="R814" s="25">
        <f t="array" aca="1" ref="R814" ca="1">INDEX('Lorri 401b'!L:L,MATCH('Retirement Calculator'!A814,'Lorri 401b'!N:N,0),0)</f>
        <v>-18906312.870309971</v>
      </c>
      <c r="S814" s="25">
        <f t="shared" ca="1" si="787"/>
        <v>-30448984.358611643</v>
      </c>
    </row>
    <row r="815" spans="1:19" ht="15.75" customHeight="1" x14ac:dyDescent="0.25">
      <c r="A815" s="37">
        <v>75758</v>
      </c>
      <c r="B815" s="398">
        <f t="shared" ref="B815:C815" si="826">($A815-B$9)/365.25</f>
        <v>125.53593429158111</v>
      </c>
      <c r="C815" s="398">
        <f t="shared" si="826"/>
        <v>120.92539356605064</v>
      </c>
      <c r="E815" s="25">
        <f>IF(C815&gt;$B$7,0,'Combined Retirement'!$D$13/12)</f>
        <v>0</v>
      </c>
      <c r="F815" s="25">
        <f>IF(H815=0,'Combined Retirement'!$D$32,0)+'Combined Retirement'!$B$24</f>
        <v>2870.372285649099</v>
      </c>
      <c r="G815" s="25">
        <f>'Combined Retirement'!$C$24</f>
        <v>3254.2644699519233</v>
      </c>
      <c r="H815" s="25">
        <f>IF(B815&lt;62,0,'Combined Retirement'!$I$14)</f>
        <v>2345</v>
      </c>
      <c r="I815" s="25">
        <f>IF(C815&lt;62,0,'Combined Retirement'!$I$13)</f>
        <v>2420</v>
      </c>
      <c r="J815" s="25">
        <f t="shared" si="783"/>
        <v>8395.6297298201844</v>
      </c>
      <c r="K815" s="25">
        <f t="shared" si="784"/>
        <v>21655.303514578787</v>
      </c>
      <c r="L815" s="25"/>
      <c r="N815" s="25">
        <f>'Combined Retirement'!$C$18/12</f>
        <v>40940.569999999992</v>
      </c>
      <c r="O815" s="25">
        <f t="shared" si="785"/>
        <v>10889.636755601023</v>
      </c>
      <c r="P815" s="25">
        <f t="shared" si="786"/>
        <v>30050.93324439897</v>
      </c>
      <c r="Q815" s="25">
        <f t="array" aca="1" ref="Q815" ca="1">INDEX('Isaac 401k'!L:L,MATCH('Retirement Calculator'!A815,'Isaac 401k'!N:N,0),0)</f>
        <v>-11599196.564356625</v>
      </c>
      <c r="R815" s="25">
        <f t="array" aca="1" ref="R815" ca="1">INDEX('Lorri 401b'!L:L,MATCH('Retirement Calculator'!A815,'Lorri 401b'!N:N,0),0)</f>
        <v>-19006834.707882151</v>
      </c>
      <c r="S815" s="25">
        <f t="shared" ca="1" si="787"/>
        <v>-30606031.272238776</v>
      </c>
    </row>
    <row r="816" spans="1:19" ht="15.75" customHeight="1" x14ac:dyDescent="0.25">
      <c r="A816" s="37">
        <v>75788</v>
      </c>
      <c r="B816" s="398">
        <f t="shared" ref="B816:C816" si="827">($A816-B$9)/365.25</f>
        <v>125.61806981519507</v>
      </c>
      <c r="C816" s="398">
        <f t="shared" si="827"/>
        <v>121.00752908966462</v>
      </c>
      <c r="E816" s="25">
        <f>IF(C816&gt;$B$7,0,'Combined Retirement'!$D$13/12)</f>
        <v>0</v>
      </c>
      <c r="F816" s="25">
        <f>IF(H816=0,'Combined Retirement'!$D$32,0)+'Combined Retirement'!$B$24</f>
        <v>2870.372285649099</v>
      </c>
      <c r="G816" s="25">
        <f>'Combined Retirement'!$C$24</f>
        <v>3254.2644699519233</v>
      </c>
      <c r="H816" s="25">
        <f>IF(B816&lt;62,0,'Combined Retirement'!$I$14)</f>
        <v>2345</v>
      </c>
      <c r="I816" s="25">
        <f>IF(C816&lt;62,0,'Combined Retirement'!$I$13)</f>
        <v>2420</v>
      </c>
      <c r="J816" s="25">
        <f t="shared" si="783"/>
        <v>8395.6297298201844</v>
      </c>
      <c r="K816" s="25">
        <f t="shared" si="784"/>
        <v>21655.303514578787</v>
      </c>
      <c r="L816" s="25"/>
      <c r="N816" s="25">
        <f>'Combined Retirement'!$C$18/12</f>
        <v>40940.569999999992</v>
      </c>
      <c r="O816" s="25">
        <f t="shared" si="785"/>
        <v>10889.636755601023</v>
      </c>
      <c r="P816" s="25">
        <f t="shared" si="786"/>
        <v>30050.93324439897</v>
      </c>
      <c r="Q816" s="25">
        <f t="array" aca="1" ref="Q816" ca="1">INDEX('Isaac 401k'!L:L,MATCH('Retirement Calculator'!A816,'Isaac 401k'!N:N,0),0)</f>
        <v>-11655957.161561806</v>
      </c>
      <c r="R816" s="25">
        <f t="array" aca="1" ref="R816" ca="1">INDEX('Lorri 401b'!L:L,MATCH('Retirement Calculator'!A816,'Lorri 401b'!N:N,0),0)</f>
        <v>-19107775.386444215</v>
      </c>
      <c r="S816" s="25">
        <f t="shared" ca="1" si="787"/>
        <v>-30763732.54800602</v>
      </c>
    </row>
    <row r="817" spans="1:19" ht="15.75" customHeight="1" x14ac:dyDescent="0.25">
      <c r="A817" s="37">
        <v>75819</v>
      </c>
      <c r="B817" s="398">
        <f t="shared" ref="B817:C817" si="828">($A817-B$9)/365.25</f>
        <v>125.70294318959617</v>
      </c>
      <c r="C817" s="398">
        <f t="shared" si="828"/>
        <v>121.09240246406571</v>
      </c>
      <c r="E817" s="25">
        <f>IF(C817&gt;$B$7,0,'Combined Retirement'!$D$13/12)</f>
        <v>0</v>
      </c>
      <c r="F817" s="25">
        <f>IF(H817=0,'Combined Retirement'!$D$32,0)+'Combined Retirement'!$B$24</f>
        <v>2870.372285649099</v>
      </c>
      <c r="G817" s="25">
        <f>'Combined Retirement'!$C$24</f>
        <v>3254.2644699519233</v>
      </c>
      <c r="H817" s="25">
        <f>IF(B817&lt;62,0,'Combined Retirement'!$I$14)</f>
        <v>2345</v>
      </c>
      <c r="I817" s="25">
        <f>IF(C817&lt;62,0,'Combined Retirement'!$I$13)</f>
        <v>2420</v>
      </c>
      <c r="J817" s="25">
        <f t="shared" si="783"/>
        <v>8395.6297298201844</v>
      </c>
      <c r="K817" s="25">
        <f t="shared" si="784"/>
        <v>21655.303514578787</v>
      </c>
      <c r="L817" s="25"/>
      <c r="N817" s="25">
        <f>'Combined Retirement'!$C$18/12</f>
        <v>40940.569999999992</v>
      </c>
      <c r="O817" s="25">
        <f t="shared" si="785"/>
        <v>10889.636755601023</v>
      </c>
      <c r="P817" s="25">
        <f t="shared" si="786"/>
        <v>30050.93324439897</v>
      </c>
      <c r="Q817" s="25">
        <f t="array" aca="1" ref="Q817" ca="1">INDEX('Isaac 401k'!L:L,MATCH('Retirement Calculator'!A817,'Isaac 401k'!N:N,0),0)</f>
        <v>-11712954.261255341</v>
      </c>
      <c r="R817" s="25">
        <f t="array" aca="1" ref="R817" ca="1">INDEX('Lorri 401b'!L:L,MATCH('Retirement Calculator'!A817,'Lorri 401b'!N:N,0),0)</f>
        <v>-19209136.651166953</v>
      </c>
      <c r="S817" s="25">
        <f t="shared" ca="1" si="787"/>
        <v>-30922090.912422292</v>
      </c>
    </row>
    <row r="818" spans="1:19" ht="15.75" customHeight="1" x14ac:dyDescent="0.25">
      <c r="A818" s="37">
        <v>75850</v>
      </c>
      <c r="B818" s="398">
        <f t="shared" ref="B818:C818" si="829">($A818-B$9)/365.25</f>
        <v>125.78781656399727</v>
      </c>
      <c r="C818" s="398">
        <f t="shared" si="829"/>
        <v>121.1772758384668</v>
      </c>
      <c r="E818" s="25">
        <f>IF(C818&gt;$B$7,0,'Combined Retirement'!$D$13/12)</f>
        <v>0</v>
      </c>
      <c r="F818" s="25">
        <f>IF(H818=0,'Combined Retirement'!$D$32,0)+'Combined Retirement'!$B$24</f>
        <v>2870.372285649099</v>
      </c>
      <c r="G818" s="25">
        <f>'Combined Retirement'!$C$24</f>
        <v>3254.2644699519233</v>
      </c>
      <c r="H818" s="25">
        <f>IF(B818&lt;62,0,'Combined Retirement'!$I$14)</f>
        <v>2345</v>
      </c>
      <c r="I818" s="25">
        <f>IF(C818&lt;62,0,'Combined Retirement'!$I$13)</f>
        <v>2420</v>
      </c>
      <c r="J818" s="25">
        <f t="shared" si="783"/>
        <v>8395.6297298201844</v>
      </c>
      <c r="K818" s="25">
        <f t="shared" si="784"/>
        <v>21655.303514578787</v>
      </c>
      <c r="L818" s="25"/>
      <c r="N818" s="25">
        <f>'Combined Retirement'!$C$18/12</f>
        <v>40940.569999999992</v>
      </c>
      <c r="O818" s="25">
        <f t="shared" si="785"/>
        <v>10889.636755601023</v>
      </c>
      <c r="P818" s="25">
        <f t="shared" si="786"/>
        <v>30050.93324439897</v>
      </c>
      <c r="Q818" s="25">
        <f t="array" aca="1" ref="Q818" ca="1">INDEX('Isaac 401k'!L:L,MATCH('Retirement Calculator'!A818,'Isaac 401k'!N:N,0),0)</f>
        <v>-11770188.848864267</v>
      </c>
      <c r="R818" s="25">
        <f t="array" aca="1" ref="R818" ca="1">INDEX('Lorri 401b'!L:L,MATCH('Retirement Calculator'!A818,'Lorri 401b'!N:N,0),0)</f>
        <v>-19310920.254492704</v>
      </c>
      <c r="S818" s="25">
        <f t="shared" ca="1" si="787"/>
        <v>-31081109.103356972</v>
      </c>
    </row>
    <row r="819" spans="1:19" ht="15.75" customHeight="1" x14ac:dyDescent="0.25">
      <c r="A819" s="37">
        <v>75880</v>
      </c>
      <c r="B819" s="398">
        <f t="shared" ref="B819:C819" si="830">($A819-B$9)/365.25</f>
        <v>125.86995208761122</v>
      </c>
      <c r="C819" s="398">
        <f t="shared" si="830"/>
        <v>121.25941136208077</v>
      </c>
      <c r="E819" s="25">
        <f>IF(C819&gt;$B$7,0,'Combined Retirement'!$D$13/12)</f>
        <v>0</v>
      </c>
      <c r="F819" s="25">
        <f>IF(H819=0,'Combined Retirement'!$D$32,0)+'Combined Retirement'!$B$24</f>
        <v>2870.372285649099</v>
      </c>
      <c r="G819" s="25">
        <f>'Combined Retirement'!$C$24</f>
        <v>3254.2644699519233</v>
      </c>
      <c r="H819" s="25">
        <f>IF(B819&lt;62,0,'Combined Retirement'!$I$14)</f>
        <v>2345</v>
      </c>
      <c r="I819" s="25">
        <f>IF(C819&lt;62,0,'Combined Retirement'!$I$13)</f>
        <v>2420</v>
      </c>
      <c r="J819" s="25">
        <f t="shared" si="783"/>
        <v>8395.6297298201844</v>
      </c>
      <c r="K819" s="25">
        <f t="shared" si="784"/>
        <v>21655.303514578787</v>
      </c>
      <c r="L819" s="25"/>
      <c r="N819" s="25">
        <f>'Combined Retirement'!$C$18/12</f>
        <v>40940.569999999992</v>
      </c>
      <c r="O819" s="25">
        <f t="shared" si="785"/>
        <v>10889.636755601023</v>
      </c>
      <c r="P819" s="25">
        <f t="shared" si="786"/>
        <v>30050.93324439897</v>
      </c>
      <c r="Q819" s="25">
        <f t="array" aca="1" ref="Q819" ca="1">INDEX('Isaac 401k'!L:L,MATCH('Retirement Calculator'!A819,'Isaac 401k'!N:N,0),0)</f>
        <v>-11827661.913921563</v>
      </c>
      <c r="R819" s="25">
        <f t="array" aca="1" ref="R819" ca="1">INDEX('Lorri 401b'!L:L,MATCH('Retirement Calculator'!A819,'Lorri 401b'!N:N,0),0)</f>
        <v>-19413127.956165645</v>
      </c>
      <c r="S819" s="25">
        <f t="shared" ca="1" si="787"/>
        <v>-31240789.870087206</v>
      </c>
    </row>
    <row r="820" spans="1:19" ht="15.75" customHeight="1" x14ac:dyDescent="0.25">
      <c r="A820" s="37">
        <v>75911</v>
      </c>
      <c r="B820" s="398">
        <f t="shared" ref="B820:C820" si="831">($A820-B$9)/365.25</f>
        <v>125.95482546201232</v>
      </c>
      <c r="C820" s="398">
        <f t="shared" si="831"/>
        <v>121.34428473648187</v>
      </c>
      <c r="E820" s="25">
        <f>IF(C820&gt;$B$7,0,'Combined Retirement'!$D$13/12)</f>
        <v>0</v>
      </c>
      <c r="F820" s="25">
        <f>IF(H820=0,'Combined Retirement'!$D$32,0)+'Combined Retirement'!$B$24</f>
        <v>2870.372285649099</v>
      </c>
      <c r="G820" s="25">
        <f>'Combined Retirement'!$C$24</f>
        <v>3254.2644699519233</v>
      </c>
      <c r="H820" s="25">
        <f>IF(B820&lt;62,0,'Combined Retirement'!$I$14)</f>
        <v>2345</v>
      </c>
      <c r="I820" s="25">
        <f>IF(C820&lt;62,0,'Combined Retirement'!$I$13)</f>
        <v>2420</v>
      </c>
      <c r="J820" s="25">
        <f t="shared" si="783"/>
        <v>8395.6297298201844</v>
      </c>
      <c r="K820" s="25">
        <f t="shared" si="784"/>
        <v>21655.303514578787</v>
      </c>
      <c r="L820" s="25"/>
      <c r="N820" s="25">
        <f>'Combined Retirement'!$C$18/12</f>
        <v>40940.569999999992</v>
      </c>
      <c r="O820" s="25">
        <f t="shared" si="785"/>
        <v>10889.636755601023</v>
      </c>
      <c r="P820" s="25">
        <f t="shared" si="786"/>
        <v>30050.93324439897</v>
      </c>
      <c r="Q820" s="25">
        <f t="array" aca="1" ref="Q820" ca="1">INDEX('Isaac 401k'!L:L,MATCH('Retirement Calculator'!A820,'Isaac 401k'!N:N,0),0)</f>
        <v>-11885374.450083263</v>
      </c>
      <c r="R820" s="25">
        <f t="array" aca="1" ref="R820" ca="1">INDEX('Lorri 401b'!L:L,MATCH('Retirement Calculator'!A820,'Lorri 401b'!N:N,0),0)</f>
        <v>-19515761.523262225</v>
      </c>
      <c r="S820" s="25">
        <f t="shared" ca="1" si="787"/>
        <v>-31401135.973345488</v>
      </c>
    </row>
    <row r="821" spans="1:19" ht="15.75" customHeight="1" x14ac:dyDescent="0.25">
      <c r="A821" s="37">
        <v>75941</v>
      </c>
      <c r="B821" s="398">
        <f t="shared" ref="B821:C821" si="832">($A821-B$9)/365.25</f>
        <v>126.03696098562628</v>
      </c>
      <c r="C821" s="398">
        <f t="shared" si="832"/>
        <v>121.42642026009582</v>
      </c>
      <c r="E821" s="25">
        <f>IF(C821&gt;$B$7,0,'Combined Retirement'!$D$13/12)</f>
        <v>0</v>
      </c>
      <c r="F821" s="25">
        <f>IF(H821=0,'Combined Retirement'!$D$32,0)+'Combined Retirement'!$B$24</f>
        <v>2870.372285649099</v>
      </c>
      <c r="G821" s="25">
        <f>'Combined Retirement'!$C$24</f>
        <v>3254.2644699519233</v>
      </c>
      <c r="H821" s="25">
        <f>IF(B821&lt;62,0,'Combined Retirement'!$I$14)</f>
        <v>2345</v>
      </c>
      <c r="I821" s="25">
        <f>IF(C821&lt;62,0,'Combined Retirement'!$I$13)</f>
        <v>2420</v>
      </c>
      <c r="J821" s="25">
        <f t="shared" si="783"/>
        <v>8395.6297298201844</v>
      </c>
      <c r="K821" s="25">
        <f t="shared" si="784"/>
        <v>21655.303514578787</v>
      </c>
      <c r="L821" s="25"/>
      <c r="N821" s="25">
        <f>'Combined Retirement'!$C$18/12</f>
        <v>40940.569999999992</v>
      </c>
      <c r="O821" s="25">
        <f t="shared" si="785"/>
        <v>10889.636755601023</v>
      </c>
      <c r="P821" s="25">
        <f t="shared" si="786"/>
        <v>30050.93324439897</v>
      </c>
      <c r="Q821" s="25">
        <f t="array" aca="1" ref="Q821" ca="1">INDEX('Isaac 401k'!L:L,MATCH('Retirement Calculator'!A821,'Isaac 401k'!N:N,0),0)</f>
        <v>-11943327.455145638</v>
      </c>
      <c r="R821" s="25">
        <f t="array" aca="1" ref="R821" ca="1">INDEX('Lorri 401b'!L:L,MATCH('Retirement Calculator'!A821,'Lorri 401b'!N:N,0),0)</f>
        <v>-19618822.730221707</v>
      </c>
      <c r="S821" s="25">
        <f t="shared" ca="1" si="787"/>
        <v>-31562150.185367346</v>
      </c>
    </row>
    <row r="822" spans="1:19" ht="15.75" customHeight="1" x14ac:dyDescent="0.25">
      <c r="A822" s="37">
        <v>75972</v>
      </c>
      <c r="B822" s="398">
        <f t="shared" ref="B822:C822" si="833">($A822-B$9)/365.25</f>
        <v>126.12183436002738</v>
      </c>
      <c r="C822" s="398">
        <f t="shared" si="833"/>
        <v>121.51129363449692</v>
      </c>
      <c r="E822" s="25">
        <f>IF(C822&gt;$B$7,0,'Combined Retirement'!$D$13/12)</f>
        <v>0</v>
      </c>
      <c r="F822" s="25">
        <f>IF(H822=0,'Combined Retirement'!$D$32,0)+'Combined Retirement'!$B$24</f>
        <v>2870.372285649099</v>
      </c>
      <c r="G822" s="25">
        <f>'Combined Retirement'!$C$24</f>
        <v>3254.2644699519233</v>
      </c>
      <c r="H822" s="25">
        <f>IF(B822&lt;62,0,'Combined Retirement'!$I$14)</f>
        <v>2345</v>
      </c>
      <c r="I822" s="25">
        <f>IF(C822&lt;62,0,'Combined Retirement'!$I$13)</f>
        <v>2420</v>
      </c>
      <c r="J822" s="25">
        <f t="shared" si="783"/>
        <v>8395.6297298201844</v>
      </c>
      <c r="K822" s="25">
        <f t="shared" si="784"/>
        <v>21655.303514578787</v>
      </c>
      <c r="L822" s="25"/>
      <c r="N822" s="25">
        <f>'Combined Retirement'!$C$18/12</f>
        <v>40940.569999999992</v>
      </c>
      <c r="O822" s="25">
        <f t="shared" si="785"/>
        <v>10889.636755601023</v>
      </c>
      <c r="P822" s="25">
        <f t="shared" si="786"/>
        <v>30050.93324439897</v>
      </c>
      <c r="Q822" s="25">
        <f t="array" aca="1" ref="Q822" ca="1">INDEX('Isaac 401k'!L:L,MATCH('Retirement Calculator'!A822,'Isaac 401k'!N:N,0),0)</f>
        <v>-12001521.931062439</v>
      </c>
      <c r="R822" s="25">
        <f t="array" aca="1" ref="R822" ca="1">INDEX('Lorri 401b'!L:L,MATCH('Retirement Calculator'!A822,'Lorri 401b'!N:N,0),0)</f>
        <v>-19722313.358876854</v>
      </c>
      <c r="S822" s="25">
        <f t="shared" ca="1" si="787"/>
        <v>-31723835.289939292</v>
      </c>
    </row>
    <row r="823" spans="1:19" ht="15.75" customHeight="1" x14ac:dyDescent="0.25">
      <c r="A823" s="37">
        <v>76003</v>
      </c>
      <c r="B823" s="398">
        <f t="shared" ref="B823:C823" si="834">($A823-B$9)/365.25</f>
        <v>126.20670773442848</v>
      </c>
      <c r="C823" s="398">
        <f t="shared" si="834"/>
        <v>121.59616700889802</v>
      </c>
      <c r="E823" s="25">
        <f>IF(C823&gt;$B$7,0,'Combined Retirement'!$D$13/12)</f>
        <v>0</v>
      </c>
      <c r="F823" s="25">
        <f>IF(H823=0,'Combined Retirement'!$D$32,0)+'Combined Retirement'!$B$24</f>
        <v>2870.372285649099</v>
      </c>
      <c r="G823" s="25">
        <f>'Combined Retirement'!$C$24</f>
        <v>3254.2644699519233</v>
      </c>
      <c r="H823" s="25">
        <f>IF(B823&lt;62,0,'Combined Retirement'!$I$14)</f>
        <v>2345</v>
      </c>
      <c r="I823" s="25">
        <f>IF(C823&lt;62,0,'Combined Retirement'!$I$13)</f>
        <v>2420</v>
      </c>
      <c r="J823" s="25">
        <f t="shared" si="783"/>
        <v>8395.6297298201844</v>
      </c>
      <c r="K823" s="25">
        <f t="shared" si="784"/>
        <v>21655.303514578787</v>
      </c>
      <c r="L823" s="25"/>
      <c r="N823" s="25">
        <f>'Combined Retirement'!$C$18/12</f>
        <v>40940.569999999992</v>
      </c>
      <c r="O823" s="25">
        <f t="shared" si="785"/>
        <v>10889.636755601023</v>
      </c>
      <c r="P823" s="25">
        <f t="shared" si="786"/>
        <v>30050.93324439897</v>
      </c>
      <c r="Q823" s="25">
        <f t="array" aca="1" ref="Q823" ca="1">INDEX('Isaac 401k'!L:L,MATCH('Retirement Calculator'!A823,'Isaac 401k'!N:N,0),0)</f>
        <v>-12059958.883962227</v>
      </c>
      <c r="R823" s="25">
        <f t="array" aca="1" ref="R823" ca="1">INDEX('Lorri 401b'!L:L,MATCH('Retirement Calculator'!A823,'Lorri 401b'!N:N,0),0)</f>
        <v>-19826235.19848473</v>
      </c>
      <c r="S823" s="25">
        <f t="shared" ca="1" si="787"/>
        <v>-31886194.082446955</v>
      </c>
    </row>
    <row r="824" spans="1:19" ht="15.75" customHeight="1" x14ac:dyDescent="0.25">
      <c r="A824" s="37">
        <v>76032</v>
      </c>
      <c r="B824" s="398">
        <f t="shared" ref="B824:C824" si="835">($A824-B$9)/365.25</f>
        <v>126.28610540725531</v>
      </c>
      <c r="C824" s="398">
        <f t="shared" si="835"/>
        <v>121.67556468172485</v>
      </c>
      <c r="E824" s="25">
        <f>IF(C824&gt;$B$7,0,'Combined Retirement'!$D$13/12)</f>
        <v>0</v>
      </c>
      <c r="F824" s="25">
        <f>IF(H824=0,'Combined Retirement'!$D$32,0)+'Combined Retirement'!$B$24</f>
        <v>2870.372285649099</v>
      </c>
      <c r="G824" s="25">
        <f>'Combined Retirement'!$C$24</f>
        <v>3254.2644699519233</v>
      </c>
      <c r="H824" s="25">
        <f>IF(B824&lt;62,0,'Combined Retirement'!$I$14)</f>
        <v>2345</v>
      </c>
      <c r="I824" s="25">
        <f>IF(C824&lt;62,0,'Combined Retirement'!$I$13)</f>
        <v>2420</v>
      </c>
      <c r="J824" s="25">
        <f t="shared" si="783"/>
        <v>8395.6297298201844</v>
      </c>
      <c r="K824" s="25">
        <f t="shared" si="784"/>
        <v>21655.303514578787</v>
      </c>
      <c r="L824" s="25"/>
      <c r="N824" s="25">
        <f>'Combined Retirement'!$C$18/12</f>
        <v>40940.569999999992</v>
      </c>
      <c r="O824" s="25">
        <f t="shared" si="785"/>
        <v>10889.636755601023</v>
      </c>
      <c r="P824" s="25">
        <f t="shared" si="786"/>
        <v>30050.93324439897</v>
      </c>
      <c r="Q824" s="25">
        <f t="array" aca="1" ref="Q824" ca="1">INDEX('Isaac 401k'!L:L,MATCH('Retirement Calculator'!A824,'Isaac 401k'!N:N,0),0)</f>
        <v>-12118639.324165765</v>
      </c>
      <c r="R824" s="25">
        <f t="array" aca="1" ref="R824" ca="1">INDEX('Lorri 401b'!L:L,MATCH('Retirement Calculator'!A824,'Lorri 401b'!N:N,0),0)</f>
        <v>-19930590.045757636</v>
      </c>
      <c r="S824" s="25">
        <f t="shared" ca="1" si="787"/>
        <v>-32049229.369923402</v>
      </c>
    </row>
    <row r="825" spans="1:19" ht="15.75" customHeight="1" x14ac:dyDescent="0.25">
      <c r="A825" s="37">
        <v>76063</v>
      </c>
      <c r="B825" s="398">
        <f t="shared" ref="B825:C825" si="836">($A825-B$9)/365.25</f>
        <v>126.3709787816564</v>
      </c>
      <c r="C825" s="398">
        <f t="shared" si="836"/>
        <v>121.76043805612593</v>
      </c>
      <c r="E825" s="25">
        <f>IF(C825&gt;$B$7,0,'Combined Retirement'!$D$13/12)</f>
        <v>0</v>
      </c>
      <c r="F825" s="25">
        <f>IF(H825=0,'Combined Retirement'!$D$32,0)+'Combined Retirement'!$B$24</f>
        <v>2870.372285649099</v>
      </c>
      <c r="G825" s="25">
        <f>'Combined Retirement'!$C$24</f>
        <v>3254.2644699519233</v>
      </c>
      <c r="H825" s="25">
        <f>IF(B825&lt;62,0,'Combined Retirement'!$I$14)</f>
        <v>2345</v>
      </c>
      <c r="I825" s="25">
        <f>IF(C825&lt;62,0,'Combined Retirement'!$I$13)</f>
        <v>2420</v>
      </c>
      <c r="J825" s="25">
        <f t="shared" si="783"/>
        <v>8395.6297298201844</v>
      </c>
      <c r="K825" s="25">
        <f t="shared" si="784"/>
        <v>21655.303514578787</v>
      </c>
      <c r="L825" s="25"/>
      <c r="N825" s="25">
        <f>'Combined Retirement'!$C$18/12</f>
        <v>40940.569999999992</v>
      </c>
      <c r="O825" s="25">
        <f t="shared" si="785"/>
        <v>10889.636755601023</v>
      </c>
      <c r="P825" s="25">
        <f t="shared" si="786"/>
        <v>30050.93324439897</v>
      </c>
      <c r="Q825" s="25">
        <f t="array" aca="1" ref="Q825" ca="1">INDEX('Isaac 401k'!L:L,MATCH('Retirement Calculator'!A825,'Isaac 401k'!N:N,0),0)</f>
        <v>-12177564.266203484</v>
      </c>
      <c r="R825" s="25">
        <f t="array" aca="1" ref="R825" ca="1">INDEX('Lorri 401b'!L:L,MATCH('Retirement Calculator'!A825,'Lorri 401b'!N:N,0),0)</f>
        <v>-20035379.704894181</v>
      </c>
      <c r="S825" s="25">
        <f t="shared" ca="1" si="787"/>
        <v>-32212943.971097663</v>
      </c>
    </row>
    <row r="826" spans="1:19" ht="15.75" customHeight="1" x14ac:dyDescent="0.25">
      <c r="A826" s="37">
        <v>76093</v>
      </c>
      <c r="B826" s="398">
        <f t="shared" ref="B826:C826" si="837">($A826-B$9)/365.25</f>
        <v>126.45311430527036</v>
      </c>
      <c r="C826" s="398">
        <f t="shared" si="837"/>
        <v>121.84257357973991</v>
      </c>
      <c r="E826" s="25">
        <f>IF(C826&gt;$B$7,0,'Combined Retirement'!$D$13/12)</f>
        <v>0</v>
      </c>
      <c r="F826" s="25">
        <f>IF(H826=0,'Combined Retirement'!$D$32,0)+'Combined Retirement'!$B$24</f>
        <v>2870.372285649099</v>
      </c>
      <c r="G826" s="25">
        <f>'Combined Retirement'!$C$24</f>
        <v>3254.2644699519233</v>
      </c>
      <c r="H826" s="25">
        <f>IF(B826&lt;62,0,'Combined Retirement'!$I$14)</f>
        <v>2345</v>
      </c>
      <c r="I826" s="25">
        <f>IF(C826&lt;62,0,'Combined Retirement'!$I$13)</f>
        <v>2420</v>
      </c>
      <c r="J826" s="25">
        <f t="shared" si="783"/>
        <v>8395.6297298201844</v>
      </c>
      <c r="K826" s="25">
        <f t="shared" si="784"/>
        <v>21655.303514578787</v>
      </c>
      <c r="L826" s="25"/>
      <c r="N826" s="25">
        <f>'Combined Retirement'!$C$18/12</f>
        <v>40940.569999999992</v>
      </c>
      <c r="O826" s="25">
        <f t="shared" si="785"/>
        <v>10889.636755601023</v>
      </c>
      <c r="P826" s="25">
        <f t="shared" si="786"/>
        <v>30050.93324439897</v>
      </c>
      <c r="Q826" s="25">
        <f t="array" aca="1" ref="Q826" ca="1">INDEX('Isaac 401k'!L:L,MATCH('Retirement Calculator'!A826,'Isaac 401k'!N:N,0),0)</f>
        <v>-12236734.728833025</v>
      </c>
      <c r="R826" s="25">
        <f t="array" aca="1" ref="R826" ca="1">INDEX('Lorri 401b'!L:L,MATCH('Retirement Calculator'!A826,'Lorri 401b'!N:N,0),0)</f>
        <v>-20140605.987610463</v>
      </c>
      <c r="S826" s="25">
        <f t="shared" ca="1" si="787"/>
        <v>-32377340.716443487</v>
      </c>
    </row>
    <row r="827" spans="1:19" ht="15.75" customHeight="1" x14ac:dyDescent="0.25">
      <c r="A827" s="37">
        <v>76124</v>
      </c>
      <c r="B827" s="398">
        <f t="shared" ref="B827:C827" si="838">($A827-B$9)/365.25</f>
        <v>126.53798767967146</v>
      </c>
      <c r="C827" s="398">
        <f t="shared" si="838"/>
        <v>121.927446954141</v>
      </c>
      <c r="E827" s="25">
        <f>IF(C827&gt;$B$7,0,'Combined Retirement'!$D$13/12)</f>
        <v>0</v>
      </c>
      <c r="F827" s="25">
        <f>IF(H827=0,'Combined Retirement'!$D$32,0)+'Combined Retirement'!$B$24</f>
        <v>2870.372285649099</v>
      </c>
      <c r="G827" s="25">
        <f>'Combined Retirement'!$C$24</f>
        <v>3254.2644699519233</v>
      </c>
      <c r="H827" s="25">
        <f>IF(B827&lt;62,0,'Combined Retirement'!$I$14)</f>
        <v>2345</v>
      </c>
      <c r="I827" s="25">
        <f>IF(C827&lt;62,0,'Combined Retirement'!$I$13)</f>
        <v>2420</v>
      </c>
      <c r="J827" s="25">
        <f t="shared" si="783"/>
        <v>8395.6297298201844</v>
      </c>
      <c r="K827" s="25">
        <f t="shared" si="784"/>
        <v>21655.303514578787</v>
      </c>
      <c r="L827" s="25"/>
      <c r="N827" s="25">
        <f>'Combined Retirement'!$C$18/12</f>
        <v>40940.569999999992</v>
      </c>
      <c r="O827" s="25">
        <f t="shared" si="785"/>
        <v>10889.636755601023</v>
      </c>
      <c r="P827" s="25">
        <f t="shared" si="786"/>
        <v>30050.93324439897</v>
      </c>
      <c r="Q827" s="25">
        <f t="array" aca="1" ref="Q827" ca="1">INDEX('Isaac 401k'!L:L,MATCH('Retirement Calculator'!A827,'Isaac 401k'!N:N,0),0)</f>
        <v>-12296151.735056859</v>
      </c>
      <c r="R827" s="25">
        <f t="array" aca="1" ref="R827" ca="1">INDEX('Lorri 401b'!L:L,MATCH('Retirement Calculator'!A827,'Lorri 401b'!N:N,0),0)</f>
        <v>-20246270.713171396</v>
      </c>
      <c r="S827" s="25">
        <f t="shared" ca="1" si="787"/>
        <v>-32542422.448228255</v>
      </c>
    </row>
    <row r="828" spans="1:19" ht="15.75" customHeight="1" x14ac:dyDescent="0.25">
      <c r="A828" s="37">
        <v>76154</v>
      </c>
      <c r="B828" s="398">
        <f t="shared" ref="B828:C828" si="839">($A828-B$9)/365.25</f>
        <v>126.62012320328542</v>
      </c>
      <c r="C828" s="398">
        <f t="shared" si="839"/>
        <v>122.00958247775496</v>
      </c>
      <c r="E828" s="25">
        <f>IF(C828&gt;$B$7,0,'Combined Retirement'!$D$13/12)</f>
        <v>0</v>
      </c>
      <c r="F828" s="25">
        <f>IF(H828=0,'Combined Retirement'!$D$32,0)+'Combined Retirement'!$B$24</f>
        <v>2870.372285649099</v>
      </c>
      <c r="G828" s="25">
        <f>'Combined Retirement'!$C$24</f>
        <v>3254.2644699519233</v>
      </c>
      <c r="H828" s="25">
        <f>IF(B828&lt;62,0,'Combined Retirement'!$I$14)</f>
        <v>2345</v>
      </c>
      <c r="I828" s="25">
        <f>IF(C828&lt;62,0,'Combined Retirement'!$I$13)</f>
        <v>2420</v>
      </c>
      <c r="J828" s="25">
        <f t="shared" si="783"/>
        <v>8395.6297298201844</v>
      </c>
      <c r="K828" s="25">
        <f t="shared" si="784"/>
        <v>21655.303514578787</v>
      </c>
      <c r="L828" s="25"/>
      <c r="N828" s="25">
        <f>'Combined Retirement'!$C$18/12</f>
        <v>40940.569999999992</v>
      </c>
      <c r="O828" s="25">
        <f t="shared" si="785"/>
        <v>10889.636755601023</v>
      </c>
      <c r="P828" s="25">
        <f t="shared" si="786"/>
        <v>30050.93324439897</v>
      </c>
      <c r="Q828" s="25">
        <f t="array" aca="1" ref="Q828" ca="1">INDEX('Isaac 401k'!L:L,MATCH('Retirement Calculator'!A828,'Isaac 401k'!N:N,0),0)</f>
        <v>-12355816.312139956</v>
      </c>
      <c r="R828" s="25">
        <f t="array" aca="1" ref="R828" ca="1">INDEX('Lorri 401b'!L:L,MATCH('Retirement Calculator'!A828,'Lorri 401b'!N:N,0),0)</f>
        <v>-20352375.708422165</v>
      </c>
      <c r="S828" s="25">
        <f t="shared" ca="1" si="787"/>
        <v>-32708192.02056212</v>
      </c>
    </row>
    <row r="829" spans="1:19" ht="15.75" customHeight="1" x14ac:dyDescent="0.25">
      <c r="A829" s="37">
        <v>76185</v>
      </c>
      <c r="B829" s="398">
        <f t="shared" ref="B829:C829" si="840">($A829-B$9)/365.25</f>
        <v>126.70499657768652</v>
      </c>
      <c r="C829" s="398">
        <f t="shared" si="840"/>
        <v>122.09445585215606</v>
      </c>
      <c r="E829" s="25">
        <f>IF(C829&gt;$B$7,0,'Combined Retirement'!$D$13/12)</f>
        <v>0</v>
      </c>
      <c r="F829" s="25">
        <f>IF(H829=0,'Combined Retirement'!$D$32,0)+'Combined Retirement'!$B$24</f>
        <v>2870.372285649099</v>
      </c>
      <c r="G829" s="25">
        <f>'Combined Retirement'!$C$24</f>
        <v>3254.2644699519233</v>
      </c>
      <c r="H829" s="25">
        <f>IF(B829&lt;62,0,'Combined Retirement'!$I$14)</f>
        <v>2345</v>
      </c>
      <c r="I829" s="25">
        <f>IF(C829&lt;62,0,'Combined Retirement'!$I$13)</f>
        <v>2420</v>
      </c>
      <c r="J829" s="25">
        <f t="shared" si="783"/>
        <v>8395.6297298201844</v>
      </c>
      <c r="K829" s="25">
        <f t="shared" si="784"/>
        <v>21655.303514578787</v>
      </c>
      <c r="L829" s="25"/>
      <c r="N829" s="25">
        <f>'Combined Retirement'!$C$18/12</f>
        <v>40940.569999999992</v>
      </c>
      <c r="O829" s="25">
        <f t="shared" si="785"/>
        <v>10889.636755601023</v>
      </c>
      <c r="P829" s="25">
        <f t="shared" si="786"/>
        <v>30050.93324439897</v>
      </c>
      <c r="Q829" s="25">
        <f t="array" aca="1" ref="Q829" ca="1">INDEX('Isaac 401k'!L:L,MATCH('Retirement Calculator'!A829,'Isaac 401k'!N:N,0),0)</f>
        <v>-12415729.491627567</v>
      </c>
      <c r="R829" s="25">
        <f t="array" aca="1" ref="R829" ca="1">INDEX('Lorri 401b'!L:L,MATCH('Retirement Calculator'!A829,'Lorri 401b'!N:N,0),0)</f>
        <v>-20458922.807819813</v>
      </c>
      <c r="S829" s="25">
        <f t="shared" ca="1" si="787"/>
        <v>-32874652.29944738</v>
      </c>
    </row>
    <row r="830" spans="1:19" ht="15.75" customHeight="1" x14ac:dyDescent="0.25">
      <c r="A830" s="37">
        <v>76216</v>
      </c>
      <c r="B830" s="398">
        <f t="shared" ref="B830:C830" si="841">($A830-B$9)/365.25</f>
        <v>126.78986995208761</v>
      </c>
      <c r="C830" s="398">
        <f t="shared" si="841"/>
        <v>122.17932922655716</v>
      </c>
      <c r="E830" s="25">
        <f>IF(C830&gt;$B$7,0,'Combined Retirement'!$D$13/12)</f>
        <v>0</v>
      </c>
      <c r="F830" s="25">
        <f>IF(H830=0,'Combined Retirement'!$D$32,0)+'Combined Retirement'!$B$24</f>
        <v>2870.372285649099</v>
      </c>
      <c r="G830" s="25">
        <f>'Combined Retirement'!$C$24</f>
        <v>3254.2644699519233</v>
      </c>
      <c r="H830" s="25">
        <f>IF(B830&lt;62,0,'Combined Retirement'!$I$14)</f>
        <v>2345</v>
      </c>
      <c r="I830" s="25">
        <f>IF(C830&lt;62,0,'Combined Retirement'!$I$13)</f>
        <v>2420</v>
      </c>
      <c r="J830" s="25">
        <f t="shared" si="783"/>
        <v>8395.6297298201844</v>
      </c>
      <c r="K830" s="25">
        <f t="shared" si="784"/>
        <v>21655.303514578787</v>
      </c>
      <c r="L830" s="25"/>
      <c r="N830" s="25">
        <f>'Combined Retirement'!$C$18/12</f>
        <v>40940.569999999992</v>
      </c>
      <c r="O830" s="25">
        <f t="shared" si="785"/>
        <v>10889.636755601023</v>
      </c>
      <c r="P830" s="25">
        <f t="shared" si="786"/>
        <v>30050.93324439897</v>
      </c>
      <c r="Q830" s="25">
        <f t="array" aca="1" ref="Q830" ca="1">INDEX('Isaac 401k'!L:L,MATCH('Retirement Calculator'!A830,'Isaac 401k'!N:N,0),0)</f>
        <v>-12475892.309363043</v>
      </c>
      <c r="R830" s="25">
        <f t="array" aca="1" ref="R830" ca="1">INDEX('Lorri 401b'!L:L,MATCH('Retirement Calculator'!A830,'Lorri 401b'!N:N,0),0)</f>
        <v>-20565913.85346495</v>
      </c>
      <c r="S830" s="25">
        <f t="shared" ca="1" si="787"/>
        <v>-33041806.162827991</v>
      </c>
    </row>
    <row r="831" spans="1:19" ht="15.75" customHeight="1" x14ac:dyDescent="0.25">
      <c r="A831" s="37">
        <v>76246</v>
      </c>
      <c r="B831" s="398">
        <f t="shared" ref="B831:C831" si="842">($A831-B$9)/365.25</f>
        <v>126.87200547570157</v>
      </c>
      <c r="C831" s="398">
        <f t="shared" si="842"/>
        <v>122.26146475017111</v>
      </c>
      <c r="E831" s="25">
        <f>IF(C831&gt;$B$7,0,'Combined Retirement'!$D$13/12)</f>
        <v>0</v>
      </c>
      <c r="F831" s="25">
        <f>IF(H831=0,'Combined Retirement'!$D$32,0)+'Combined Retirement'!$B$24</f>
        <v>2870.372285649099</v>
      </c>
      <c r="G831" s="25">
        <f>'Combined Retirement'!$C$24</f>
        <v>3254.2644699519233</v>
      </c>
      <c r="H831" s="25">
        <f>IF(B831&lt;62,0,'Combined Retirement'!$I$14)</f>
        <v>2345</v>
      </c>
      <c r="I831" s="25">
        <f>IF(C831&lt;62,0,'Combined Retirement'!$I$13)</f>
        <v>2420</v>
      </c>
      <c r="J831" s="25">
        <f t="shared" si="783"/>
        <v>8395.6297298201844</v>
      </c>
      <c r="K831" s="25">
        <f t="shared" si="784"/>
        <v>21655.303514578787</v>
      </c>
      <c r="L831" s="25"/>
      <c r="N831" s="25">
        <f>'Combined Retirement'!$C$18/12</f>
        <v>40940.569999999992</v>
      </c>
      <c r="O831" s="25">
        <f t="shared" si="785"/>
        <v>10889.636755601023</v>
      </c>
      <c r="P831" s="25">
        <f t="shared" si="786"/>
        <v>30050.93324439897</v>
      </c>
      <c r="Q831" s="25">
        <f t="array" aca="1" ref="Q831" ca="1">INDEX('Isaac 401k'!L:L,MATCH('Retirement Calculator'!A831,'Isaac 401k'!N:N,0),0)</f>
        <v>-12536305.805505751</v>
      </c>
      <c r="R831" s="25">
        <f t="array" aca="1" ref="R831" ca="1">INDEX('Lorri 401b'!L:L,MATCH('Retirement Calculator'!A831,'Lorri 401b'!N:N,0),0)</f>
        <v>-20673350.695133608</v>
      </c>
      <c r="S831" s="25">
        <f t="shared" ca="1" si="787"/>
        <v>-33209656.500639357</v>
      </c>
    </row>
    <row r="832" spans="1:19" ht="15.75" customHeight="1" x14ac:dyDescent="0.25">
      <c r="A832" s="37">
        <v>76277</v>
      </c>
      <c r="B832" s="398">
        <f t="shared" ref="B832:C832" si="843">($A832-B$9)/365.25</f>
        <v>126.95687885010267</v>
      </c>
      <c r="C832" s="398">
        <f t="shared" si="843"/>
        <v>122.34633812457221</v>
      </c>
      <c r="E832" s="25">
        <f>IF(C832&gt;$B$7,0,'Combined Retirement'!$D$13/12)</f>
        <v>0</v>
      </c>
      <c r="F832" s="25">
        <f>IF(H832=0,'Combined Retirement'!$D$32,0)+'Combined Retirement'!$B$24</f>
        <v>2870.372285649099</v>
      </c>
      <c r="G832" s="25">
        <f>'Combined Retirement'!$C$24</f>
        <v>3254.2644699519233</v>
      </c>
      <c r="H832" s="25">
        <f>IF(B832&lt;62,0,'Combined Retirement'!$I$14)</f>
        <v>2345</v>
      </c>
      <c r="I832" s="25">
        <f>IF(C832&lt;62,0,'Combined Retirement'!$I$13)</f>
        <v>2420</v>
      </c>
      <c r="J832" s="25">
        <f t="shared" si="783"/>
        <v>8395.6297298201844</v>
      </c>
      <c r="K832" s="25">
        <f t="shared" si="784"/>
        <v>21655.303514578787</v>
      </c>
      <c r="L832" s="25"/>
      <c r="N832" s="25">
        <f>'Combined Retirement'!$C$18/12</f>
        <v>40940.569999999992</v>
      </c>
      <c r="O832" s="25">
        <f t="shared" si="785"/>
        <v>10889.636755601023</v>
      </c>
      <c r="P832" s="25">
        <f t="shared" si="786"/>
        <v>30050.93324439897</v>
      </c>
      <c r="Q832" s="25">
        <f t="array" aca="1" ref="Q832" ca="1">INDEX('Isaac 401k'!L:L,MATCH('Retirement Calculator'!A832,'Isaac 401k'!N:N,0),0)</f>
        <v>-12596971.024549052</v>
      </c>
      <c r="R832" s="25">
        <f t="array" aca="1" ref="R832" ca="1">INDEX('Lorri 401b'!L:L,MATCH('Retirement Calculator'!A832,'Lorri 401b'!N:N,0),0)</f>
        <v>-20781235.190309219</v>
      </c>
      <c r="S832" s="25">
        <f t="shared" ca="1" si="787"/>
        <v>-33378206.214858271</v>
      </c>
    </row>
    <row r="833" spans="1:19" ht="15.75" customHeight="1" x14ac:dyDescent="0.25">
      <c r="A833" s="37">
        <v>76307</v>
      </c>
      <c r="B833" s="398">
        <f t="shared" ref="B833:C833" si="844">($A833-B$9)/365.25</f>
        <v>127.03901437371663</v>
      </c>
      <c r="C833" s="398">
        <f t="shared" si="844"/>
        <v>122.42847364818617</v>
      </c>
      <c r="E833" s="25">
        <f>IF(C833&gt;$B$7,0,'Combined Retirement'!$D$13/12)</f>
        <v>0</v>
      </c>
      <c r="F833" s="25">
        <f>IF(H833=0,'Combined Retirement'!$D$32,0)+'Combined Retirement'!$B$24</f>
        <v>2870.372285649099</v>
      </c>
      <c r="G833" s="25">
        <f>'Combined Retirement'!$C$24</f>
        <v>3254.2644699519233</v>
      </c>
      <c r="H833" s="25">
        <f>IF(B833&lt;62,0,'Combined Retirement'!$I$14)</f>
        <v>2345</v>
      </c>
      <c r="I833" s="25">
        <f>IF(C833&lt;62,0,'Combined Retirement'!$I$13)</f>
        <v>2420</v>
      </c>
      <c r="J833" s="25">
        <f t="shared" si="783"/>
        <v>8395.6297298201844</v>
      </c>
      <c r="K833" s="25">
        <f t="shared" si="784"/>
        <v>21655.303514578787</v>
      </c>
      <c r="L833" s="25"/>
      <c r="N833" s="25">
        <f>'Combined Retirement'!$C$18/12</f>
        <v>40940.569999999992</v>
      </c>
      <c r="O833" s="25">
        <f t="shared" si="785"/>
        <v>10889.636755601023</v>
      </c>
      <c r="P833" s="25">
        <f t="shared" si="786"/>
        <v>30050.93324439897</v>
      </c>
      <c r="Q833" s="25">
        <f t="array" aca="1" ref="Q833" ca="1">INDEX('Isaac 401k'!L:L,MATCH('Retirement Calculator'!A833,'Isaac 401k'!N:N,0),0)</f>
        <v>-12657889.015338369</v>
      </c>
      <c r="R833" s="25">
        <f t="array" aca="1" ref="R833" ca="1">INDEX('Lorri 401b'!L:L,MATCH('Retirement Calculator'!A833,'Lorri 401b'!N:N,0),0)</f>
        <v>-20889569.204214729</v>
      </c>
      <c r="S833" s="25">
        <f t="shared" ca="1" si="787"/>
        <v>-33547458.219553098</v>
      </c>
    </row>
    <row r="834" spans="1:19" ht="15.75" customHeight="1" x14ac:dyDescent="0.25">
      <c r="A834" s="37">
        <v>76338</v>
      </c>
      <c r="B834" s="398">
        <f t="shared" ref="B834:C834" si="845">($A834-B$9)/365.25</f>
        <v>127.12388774811772</v>
      </c>
      <c r="C834" s="398">
        <f t="shared" si="845"/>
        <v>122.51334702258727</v>
      </c>
      <c r="E834" s="25">
        <f>IF(C834&gt;$B$7,0,'Combined Retirement'!$D$13/12)</f>
        <v>0</v>
      </c>
      <c r="F834" s="25">
        <f>IF(H834=0,'Combined Retirement'!$D$32,0)+'Combined Retirement'!$B$24</f>
        <v>2870.372285649099</v>
      </c>
      <c r="G834" s="25">
        <f>'Combined Retirement'!$C$24</f>
        <v>3254.2644699519233</v>
      </c>
      <c r="H834" s="25">
        <f>IF(B834&lt;62,0,'Combined Retirement'!$I$14)</f>
        <v>2345</v>
      </c>
      <c r="I834" s="25">
        <f>IF(C834&lt;62,0,'Combined Retirement'!$I$13)</f>
        <v>2420</v>
      </c>
      <c r="J834" s="25">
        <f t="shared" si="783"/>
        <v>8395.6297298201844</v>
      </c>
      <c r="K834" s="25">
        <f t="shared" si="784"/>
        <v>21655.303514578787</v>
      </c>
      <c r="L834" s="25"/>
      <c r="N834" s="25">
        <f>'Combined Retirement'!$C$18/12</f>
        <v>40940.569999999992</v>
      </c>
      <c r="O834" s="25">
        <f t="shared" si="785"/>
        <v>10889.636755601023</v>
      </c>
      <c r="P834" s="25">
        <f t="shared" si="786"/>
        <v>30050.93324439897</v>
      </c>
      <c r="Q834" s="25">
        <f t="array" aca="1" ref="Q834" ca="1">INDEX('Isaac 401k'!L:L,MATCH('Retirement Calculator'!A834,'Isaac 401k'!N:N,0),0)</f>
        <v>-12719060.831089307</v>
      </c>
      <c r="R834" s="25">
        <f t="array" aca="1" ref="R834" ca="1">INDEX('Lorri 401b'!L:L,MATCH('Retirement Calculator'!A834,'Lorri 401b'!N:N,0),0)</f>
        <v>-20998354.609844845</v>
      </c>
      <c r="S834" s="25">
        <f t="shared" ca="1" si="787"/>
        <v>-33717415.440934151</v>
      </c>
    </row>
    <row r="835" spans="1:19" ht="15.75" customHeight="1" x14ac:dyDescent="0.25">
      <c r="A835" s="37">
        <v>76369</v>
      </c>
      <c r="B835" s="398">
        <f t="shared" ref="B835:C835" si="846">($A835-B$9)/365.25</f>
        <v>127.20876112251882</v>
      </c>
      <c r="C835" s="398">
        <f t="shared" si="846"/>
        <v>122.59822039698837</v>
      </c>
      <c r="E835" s="25">
        <f>IF(C835&gt;$B$7,0,'Combined Retirement'!$D$13/12)</f>
        <v>0</v>
      </c>
      <c r="F835" s="25">
        <f>IF(H835=0,'Combined Retirement'!$D$32,0)+'Combined Retirement'!$B$24</f>
        <v>2870.372285649099</v>
      </c>
      <c r="G835" s="25">
        <f>'Combined Retirement'!$C$24</f>
        <v>3254.2644699519233</v>
      </c>
      <c r="H835" s="25">
        <f>IF(B835&lt;62,0,'Combined Retirement'!$I$14)</f>
        <v>2345</v>
      </c>
      <c r="I835" s="25">
        <f>IF(C835&lt;62,0,'Combined Retirement'!$I$13)</f>
        <v>2420</v>
      </c>
      <c r="J835" s="25">
        <f t="shared" si="783"/>
        <v>8395.6297298201844</v>
      </c>
      <c r="K835" s="25">
        <f t="shared" si="784"/>
        <v>21655.303514578787</v>
      </c>
      <c r="L835" s="25"/>
      <c r="N835" s="25">
        <f>'Combined Retirement'!$C$18/12</f>
        <v>40940.569999999992</v>
      </c>
      <c r="O835" s="25">
        <f t="shared" si="785"/>
        <v>10889.636755601023</v>
      </c>
      <c r="P835" s="25">
        <f t="shared" si="786"/>
        <v>30050.93324439897</v>
      </c>
      <c r="Q835" s="25">
        <f t="array" aca="1" ref="Q835" ca="1">INDEX('Isaac 401k'!L:L,MATCH('Retirement Calculator'!A835,'Isaac 401k'!N:N,0),0)</f>
        <v>-12780487.529405873</v>
      </c>
      <c r="R835" s="25">
        <f t="array" aca="1" ref="R835" ca="1">INDEX('Lorri 401b'!L:L,MATCH('Retirement Calculator'!A835,'Lorri 401b'!N:N,0),0)</f>
        <v>-21107593.287998419</v>
      </c>
      <c r="S835" s="25">
        <f t="shared" ca="1" si="787"/>
        <v>-33888080.817404293</v>
      </c>
    </row>
    <row r="836" spans="1:19" ht="15.75" customHeight="1" x14ac:dyDescent="0.25">
      <c r="A836" s="37">
        <v>76397</v>
      </c>
      <c r="B836" s="398">
        <f t="shared" ref="B836:C836" si="847">($A836-B$9)/365.25</f>
        <v>127.28542094455852</v>
      </c>
      <c r="C836" s="398">
        <f t="shared" si="847"/>
        <v>122.67488021902807</v>
      </c>
      <c r="E836" s="25">
        <f>IF(C836&gt;$B$7,0,'Combined Retirement'!$D$13/12)</f>
        <v>0</v>
      </c>
      <c r="F836" s="25">
        <f>IF(H836=0,'Combined Retirement'!$D$32,0)+'Combined Retirement'!$B$24</f>
        <v>2870.372285649099</v>
      </c>
      <c r="G836" s="25">
        <f>'Combined Retirement'!$C$24</f>
        <v>3254.2644699519233</v>
      </c>
      <c r="H836" s="25">
        <f>IF(B836&lt;62,0,'Combined Retirement'!$I$14)</f>
        <v>2345</v>
      </c>
      <c r="I836" s="25">
        <f>IF(C836&lt;62,0,'Combined Retirement'!$I$13)</f>
        <v>2420</v>
      </c>
      <c r="J836" s="25">
        <f t="shared" si="783"/>
        <v>8395.6297298201844</v>
      </c>
      <c r="K836" s="25">
        <f t="shared" si="784"/>
        <v>21655.303514578787</v>
      </c>
      <c r="L836" s="25"/>
      <c r="N836" s="25">
        <f>'Combined Retirement'!$C$18/12</f>
        <v>40940.569999999992</v>
      </c>
      <c r="O836" s="25">
        <f t="shared" si="785"/>
        <v>10889.636755601023</v>
      </c>
      <c r="P836" s="25">
        <f t="shared" si="786"/>
        <v>30050.93324439897</v>
      </c>
      <c r="Q836" s="25">
        <f t="array" aca="1" ref="Q836" ca="1">INDEX('Isaac 401k'!L:L,MATCH('Retirement Calculator'!A836,'Isaac 401k'!N:N,0),0)</f>
        <v>-12842170.172298759</v>
      </c>
      <c r="R836" s="25">
        <f t="array" aca="1" ref="R836" ca="1">INDEX('Lorri 401b'!L:L,MATCH('Retirement Calculator'!A836,'Lorri 401b'!N:N,0),0)</f>
        <v>-21217287.127310969</v>
      </c>
      <c r="S836" s="25">
        <f t="shared" ca="1" si="787"/>
        <v>-34059457.299609728</v>
      </c>
    </row>
    <row r="837" spans="1:19" ht="15.75" customHeight="1" x14ac:dyDescent="0.25">
      <c r="A837" s="37">
        <v>76428</v>
      </c>
      <c r="B837" s="398">
        <f t="shared" ref="B837:C837" si="848">($A837-B$9)/365.25</f>
        <v>127.37029431895962</v>
      </c>
      <c r="C837" s="398">
        <f t="shared" si="848"/>
        <v>122.75975359342915</v>
      </c>
      <c r="E837" s="25">
        <f>IF(C837&gt;$B$7,0,'Combined Retirement'!$D$13/12)</f>
        <v>0</v>
      </c>
      <c r="F837" s="25">
        <f>IF(H837=0,'Combined Retirement'!$D$32,0)+'Combined Retirement'!$B$24</f>
        <v>2870.372285649099</v>
      </c>
      <c r="G837" s="25">
        <f>'Combined Retirement'!$C$24</f>
        <v>3254.2644699519233</v>
      </c>
      <c r="H837" s="25">
        <f>IF(B837&lt;62,0,'Combined Retirement'!$I$14)</f>
        <v>2345</v>
      </c>
      <c r="I837" s="25">
        <f>IF(C837&lt;62,0,'Combined Retirement'!$I$13)</f>
        <v>2420</v>
      </c>
      <c r="J837" s="25">
        <f t="shared" si="783"/>
        <v>8395.6297298201844</v>
      </c>
      <c r="K837" s="25">
        <f t="shared" si="784"/>
        <v>21655.303514578787</v>
      </c>
      <c r="L837" s="25"/>
      <c r="N837" s="25">
        <f>'Combined Retirement'!$C$18/12</f>
        <v>40940.569999999992</v>
      </c>
      <c r="O837" s="25">
        <f t="shared" si="785"/>
        <v>10889.636755601023</v>
      </c>
      <c r="P837" s="25">
        <f t="shared" si="786"/>
        <v>30050.93324439897</v>
      </c>
      <c r="Q837" s="25">
        <f t="array" aca="1" ref="Q837" ca="1">INDEX('Isaac 401k'!L:L,MATCH('Retirement Calculator'!A837,'Isaac 401k'!N:N,0),0)</f>
        <v>-12904109.826203698</v>
      </c>
      <c r="R837" s="25">
        <f t="array" aca="1" ref="R837" ca="1">INDEX('Lorri 401b'!L:L,MATCH('Retirement Calculator'!A837,'Lorri 401b'!N:N,0),0)</f>
        <v>-21327438.024287321</v>
      </c>
      <c r="S837" s="25">
        <f t="shared" ca="1" si="787"/>
        <v>-34231547.850491017</v>
      </c>
    </row>
    <row r="838" spans="1:19" ht="15.75" customHeight="1" x14ac:dyDescent="0.25">
      <c r="A838" s="37">
        <v>76458</v>
      </c>
      <c r="B838" s="398">
        <f t="shared" ref="B838:C838" si="849">($A838-B$9)/365.25</f>
        <v>127.45242984257358</v>
      </c>
      <c r="C838" s="398">
        <f t="shared" si="849"/>
        <v>122.84188911704312</v>
      </c>
      <c r="E838" s="25">
        <f>IF(C838&gt;$B$7,0,'Combined Retirement'!$D$13/12)</f>
        <v>0</v>
      </c>
      <c r="F838" s="25">
        <f>IF(H838=0,'Combined Retirement'!$D$32,0)+'Combined Retirement'!$B$24</f>
        <v>2870.372285649099</v>
      </c>
      <c r="G838" s="25">
        <f>'Combined Retirement'!$C$24</f>
        <v>3254.2644699519233</v>
      </c>
      <c r="H838" s="25">
        <f>IF(B838&lt;62,0,'Combined Retirement'!$I$14)</f>
        <v>2345</v>
      </c>
      <c r="I838" s="25">
        <f>IF(C838&lt;62,0,'Combined Retirement'!$I$13)</f>
        <v>2420</v>
      </c>
      <c r="J838" s="25">
        <f t="shared" si="783"/>
        <v>8395.6297298201844</v>
      </c>
      <c r="K838" s="25">
        <f t="shared" si="784"/>
        <v>21655.303514578787</v>
      </c>
      <c r="L838" s="25"/>
      <c r="N838" s="25">
        <f>'Combined Retirement'!$C$18/12</f>
        <v>40940.569999999992</v>
      </c>
      <c r="O838" s="25">
        <f t="shared" si="785"/>
        <v>10889.636755601023</v>
      </c>
      <c r="P838" s="25">
        <f t="shared" si="786"/>
        <v>30050.93324439897</v>
      </c>
      <c r="Q838" s="25">
        <f t="array" aca="1" ref="Q838" ca="1">INDEX('Isaac 401k'!L:L,MATCH('Retirement Calculator'!A838,'Isaac 401k'!N:N,0),0)</f>
        <v>-12966307.561999908</v>
      </c>
      <c r="R838" s="25">
        <f t="array" aca="1" ref="R838" ca="1">INDEX('Lorri 401b'!L:L,MATCH('Retirement Calculator'!A838,'Lorri 401b'!N:N,0),0)</f>
        <v>-21438047.883334406</v>
      </c>
      <c r="S838" s="25">
        <f t="shared" ca="1" si="787"/>
        <v>-34404355.445334315</v>
      </c>
    </row>
    <row r="839" spans="1:19" ht="15.75" customHeight="1" x14ac:dyDescent="0.25">
      <c r="A839" s="37">
        <v>76489</v>
      </c>
      <c r="B839" s="398">
        <f t="shared" ref="B839:C839" si="850">($A839-B$9)/365.25</f>
        <v>127.53730321697468</v>
      </c>
      <c r="C839" s="398">
        <f t="shared" si="850"/>
        <v>122.92676249144422</v>
      </c>
      <c r="E839" s="25">
        <f>IF(C839&gt;$B$7,0,'Combined Retirement'!$D$13/12)</f>
        <v>0</v>
      </c>
      <c r="F839" s="25">
        <f>IF(H839=0,'Combined Retirement'!$D$32,0)+'Combined Retirement'!$B$24</f>
        <v>2870.372285649099</v>
      </c>
      <c r="G839" s="25">
        <f>'Combined Retirement'!$C$24</f>
        <v>3254.2644699519233</v>
      </c>
      <c r="H839" s="25">
        <f>IF(B839&lt;62,0,'Combined Retirement'!$I$14)</f>
        <v>2345</v>
      </c>
      <c r="I839" s="25">
        <f>IF(C839&lt;62,0,'Combined Retirement'!$I$13)</f>
        <v>2420</v>
      </c>
      <c r="J839" s="25">
        <f t="shared" si="783"/>
        <v>8395.6297298201844</v>
      </c>
      <c r="K839" s="25">
        <f t="shared" si="784"/>
        <v>21655.303514578787</v>
      </c>
      <c r="L839" s="25"/>
      <c r="N839" s="25">
        <f>'Combined Retirement'!$C$18/12</f>
        <v>40940.569999999992</v>
      </c>
      <c r="O839" s="25">
        <f t="shared" si="785"/>
        <v>10889.636755601023</v>
      </c>
      <c r="P839" s="25">
        <f t="shared" si="786"/>
        <v>30050.93324439897</v>
      </c>
      <c r="Q839" s="25">
        <f t="array" aca="1" ref="Q839" ca="1">INDEX('Isaac 401k'!L:L,MATCH('Retirement Calculator'!A839,'Isaac 401k'!N:N,0),0)</f>
        <v>-13028764.455028603</v>
      </c>
      <c r="R839" s="25">
        <f t="array" aca="1" ref="R839" ca="1">INDEX('Lorri 401b'!L:L,MATCH('Retirement Calculator'!A839,'Lorri 401b'!N:N,0),0)</f>
        <v>-21549118.616794188</v>
      </c>
      <c r="S839" s="25">
        <f t="shared" ca="1" si="787"/>
        <v>-34577883.071822792</v>
      </c>
    </row>
    <row r="840" spans="1:19" ht="15.75" customHeight="1" x14ac:dyDescent="0.25">
      <c r="A840" s="37">
        <v>76519</v>
      </c>
      <c r="B840" s="398">
        <f t="shared" ref="B840:C840" si="851">($A840-B$9)/365.25</f>
        <v>127.61943874058863</v>
      </c>
      <c r="C840" s="398">
        <f t="shared" si="851"/>
        <v>123.00889801505818</v>
      </c>
      <c r="E840" s="25">
        <f>IF(C840&gt;$B$7,0,'Combined Retirement'!$D$13/12)</f>
        <v>0</v>
      </c>
      <c r="F840" s="25">
        <f>IF(H840=0,'Combined Retirement'!$D$32,0)+'Combined Retirement'!$B$24</f>
        <v>2870.372285649099</v>
      </c>
      <c r="G840" s="25">
        <f>'Combined Retirement'!$C$24</f>
        <v>3254.2644699519233</v>
      </c>
      <c r="H840" s="25">
        <f>IF(B840&lt;62,0,'Combined Retirement'!$I$14)</f>
        <v>2345</v>
      </c>
      <c r="I840" s="25">
        <f>IF(C840&lt;62,0,'Combined Retirement'!$I$13)</f>
        <v>2420</v>
      </c>
      <c r="J840" s="25">
        <f t="shared" si="783"/>
        <v>8395.6297298201844</v>
      </c>
      <c r="K840" s="25">
        <f t="shared" si="784"/>
        <v>21655.303514578787</v>
      </c>
      <c r="L840" s="25"/>
      <c r="N840" s="25">
        <f>'Combined Retirement'!$C$18/12</f>
        <v>40940.569999999992</v>
      </c>
      <c r="O840" s="25">
        <f t="shared" si="785"/>
        <v>10889.636755601023</v>
      </c>
      <c r="P840" s="25">
        <f t="shared" si="786"/>
        <v>30050.93324439897</v>
      </c>
      <c r="Q840" s="25">
        <f t="array" aca="1" ref="Q840" ca="1">INDEX('Isaac 401k'!L:L,MATCH('Retirement Calculator'!A840,'Isaac 401k'!N:N,0),0)</f>
        <v>-13091481.585111583</v>
      </c>
      <c r="R840" s="25">
        <f t="array" aca="1" ref="R840" ca="1">INDEX('Lorri 401b'!L:L,MATCH('Retirement Calculator'!A840,'Lorri 401b'!N:N,0),0)</f>
        <v>-21660652.144976716</v>
      </c>
      <c r="S840" s="25">
        <f t="shared" ca="1" si="787"/>
        <v>-34752133.730088301</v>
      </c>
    </row>
    <row r="841" spans="1:19" ht="15.75" customHeight="1" x14ac:dyDescent="0.25">
      <c r="A841" s="37">
        <v>76550</v>
      </c>
      <c r="B841" s="398">
        <f t="shared" ref="B841:C841" si="852">($A841-B$9)/365.25</f>
        <v>127.70431211498973</v>
      </c>
      <c r="C841" s="398">
        <f t="shared" si="852"/>
        <v>123.09377138945928</v>
      </c>
      <c r="E841" s="25">
        <f>IF(C841&gt;$B$7,0,'Combined Retirement'!$D$13/12)</f>
        <v>0</v>
      </c>
      <c r="F841" s="25">
        <f>IF(H841=0,'Combined Retirement'!$D$32,0)+'Combined Retirement'!$B$24</f>
        <v>2870.372285649099</v>
      </c>
      <c r="G841" s="25">
        <f>'Combined Retirement'!$C$24</f>
        <v>3254.2644699519233</v>
      </c>
      <c r="H841" s="25">
        <f>IF(B841&lt;62,0,'Combined Retirement'!$I$14)</f>
        <v>2345</v>
      </c>
      <c r="I841" s="25">
        <f>IF(C841&lt;62,0,'Combined Retirement'!$I$13)</f>
        <v>2420</v>
      </c>
      <c r="J841" s="25">
        <f t="shared" si="783"/>
        <v>8395.6297298201844</v>
      </c>
      <c r="K841" s="25">
        <f t="shared" si="784"/>
        <v>21655.303514578787</v>
      </c>
      <c r="L841" s="25"/>
      <c r="N841" s="25">
        <f>'Combined Retirement'!$C$18/12</f>
        <v>40940.569999999992</v>
      </c>
      <c r="O841" s="25">
        <f t="shared" si="785"/>
        <v>10889.636755601023</v>
      </c>
      <c r="P841" s="25">
        <f t="shared" si="786"/>
        <v>30050.93324439897</v>
      </c>
      <c r="Q841" s="25">
        <f t="array" aca="1" ref="Q841" ca="1">INDEX('Isaac 401k'!L:L,MATCH('Retirement Calculator'!A841,'Isaac 401k'!N:N,0),0)</f>
        <v>-13154460.036569908</v>
      </c>
      <c r="R841" s="25">
        <f t="array" aca="1" ref="R841" ca="1">INDEX('Lorri 401b'!L:L,MATCH('Retirement Calculator'!A841,'Lorri 401b'!N:N,0),0)</f>
        <v>-21772650.39619334</v>
      </c>
      <c r="S841" s="25">
        <f t="shared" ca="1" si="787"/>
        <v>-34927110.432763249</v>
      </c>
    </row>
    <row r="842" spans="1:19" ht="15.75" customHeight="1" x14ac:dyDescent="0.25">
      <c r="A842" s="37">
        <v>76581</v>
      </c>
      <c r="B842" s="398">
        <f t="shared" ref="B842:C842" si="853">($A842-B$9)/365.25</f>
        <v>127.78918548939083</v>
      </c>
      <c r="C842" s="398">
        <f t="shared" si="853"/>
        <v>123.17864476386038</v>
      </c>
      <c r="E842" s="25">
        <f>IF(C842&gt;$B$7,0,'Combined Retirement'!$D$13/12)</f>
        <v>0</v>
      </c>
      <c r="F842" s="25">
        <f>IF(H842=0,'Combined Retirement'!$D$32,0)+'Combined Retirement'!$B$24</f>
        <v>2870.372285649099</v>
      </c>
      <c r="G842" s="25">
        <f>'Combined Retirement'!$C$24</f>
        <v>3254.2644699519233</v>
      </c>
      <c r="H842" s="25">
        <f>IF(B842&lt;62,0,'Combined Retirement'!$I$14)</f>
        <v>2345</v>
      </c>
      <c r="I842" s="25">
        <f>IF(C842&lt;62,0,'Combined Retirement'!$I$13)</f>
        <v>2420</v>
      </c>
      <c r="J842" s="25">
        <f t="shared" si="783"/>
        <v>8395.6297298201844</v>
      </c>
      <c r="K842" s="25">
        <f t="shared" si="784"/>
        <v>21655.303514578787</v>
      </c>
      <c r="L842" s="25"/>
      <c r="N842" s="25">
        <f>'Combined Retirement'!$C$18/12</f>
        <v>40940.569999999992</v>
      </c>
      <c r="O842" s="25">
        <f t="shared" si="785"/>
        <v>10889.636755601023</v>
      </c>
      <c r="P842" s="25">
        <f t="shared" si="786"/>
        <v>30050.93324439897</v>
      </c>
      <c r="Q842" s="25">
        <f t="array" aca="1" ref="Q842" ca="1">INDEX('Isaac 401k'!L:L,MATCH('Retirement Calculator'!A842,'Isaac 401k'!N:N,0),0)</f>
        <v>-13217700.898242645</v>
      </c>
      <c r="R842" s="25">
        <f t="array" aca="1" ref="R842" ca="1">INDEX('Lorri 401b'!L:L,MATCH('Retirement Calculator'!A842,'Lorri 401b'!N:N,0),0)</f>
        <v>-21885115.306790035</v>
      </c>
      <c r="S842" s="25">
        <f t="shared" ca="1" si="787"/>
        <v>-35102816.205032676</v>
      </c>
    </row>
    <row r="843" spans="1:19" ht="15.75" customHeight="1" x14ac:dyDescent="0.25">
      <c r="A843" s="37">
        <v>76611</v>
      </c>
      <c r="B843" s="398">
        <f t="shared" ref="B843:C843" si="854">($A843-B$9)/365.25</f>
        <v>127.87132101300479</v>
      </c>
      <c r="C843" s="398">
        <f t="shared" si="854"/>
        <v>123.26078028747433</v>
      </c>
      <c r="E843" s="25">
        <f>IF(C843&gt;$B$7,0,'Combined Retirement'!$D$13/12)</f>
        <v>0</v>
      </c>
      <c r="F843" s="25">
        <f>IF(H843=0,'Combined Retirement'!$D$32,0)+'Combined Retirement'!$B$24</f>
        <v>2870.372285649099</v>
      </c>
      <c r="G843" s="25">
        <f>'Combined Retirement'!$C$24</f>
        <v>3254.2644699519233</v>
      </c>
      <c r="H843" s="25">
        <f>IF(B843&lt;62,0,'Combined Retirement'!$I$14)</f>
        <v>2345</v>
      </c>
      <c r="I843" s="25">
        <f>IF(C843&lt;62,0,'Combined Retirement'!$I$13)</f>
        <v>2420</v>
      </c>
      <c r="J843" s="25">
        <f t="shared" si="783"/>
        <v>8395.6297298201844</v>
      </c>
      <c r="K843" s="25">
        <f t="shared" si="784"/>
        <v>21655.303514578787</v>
      </c>
      <c r="L843" s="25"/>
      <c r="N843" s="25">
        <f>'Combined Retirement'!$C$18/12</f>
        <v>40940.569999999992</v>
      </c>
      <c r="O843" s="25">
        <f t="shared" si="785"/>
        <v>10889.636755601023</v>
      </c>
      <c r="P843" s="25">
        <f t="shared" si="786"/>
        <v>30050.93324439897</v>
      </c>
      <c r="Q843" s="25">
        <f t="array" aca="1" ref="Q843" ca="1">INDEX('Isaac 401k'!L:L,MATCH('Retirement Calculator'!A843,'Isaac 401k'!N:N,0),0)</f>
        <v>-13281205.263505684</v>
      </c>
      <c r="R843" s="25">
        <f t="array" aca="1" ref="R843" ca="1">INDEX('Lorri 401b'!L:L,MATCH('Retirement Calculator'!A843,'Lorri 401b'!N:N,0),0)</f>
        <v>-21998048.82118088</v>
      </c>
      <c r="S843" s="25">
        <f t="shared" ca="1" si="787"/>
        <v>-35279254.084686562</v>
      </c>
    </row>
    <row r="844" spans="1:19" ht="15.75" customHeight="1" x14ac:dyDescent="0.25">
      <c r="A844" s="37">
        <v>76642</v>
      </c>
      <c r="B844" s="398">
        <f t="shared" ref="B844:C844" si="855">($A844-B$9)/365.25</f>
        <v>127.95619438740589</v>
      </c>
      <c r="C844" s="398">
        <f t="shared" si="855"/>
        <v>123.34565366187543</v>
      </c>
      <c r="E844" s="25">
        <f>IF(C844&gt;$B$7,0,'Combined Retirement'!$D$13/12)</f>
        <v>0</v>
      </c>
      <c r="F844" s="25">
        <f>IF(H844=0,'Combined Retirement'!$D$32,0)+'Combined Retirement'!$B$24</f>
        <v>2870.372285649099</v>
      </c>
      <c r="G844" s="25">
        <f>'Combined Retirement'!$C$24</f>
        <v>3254.2644699519233</v>
      </c>
      <c r="H844" s="25">
        <f>IF(B844&lt;62,0,'Combined Retirement'!$I$14)</f>
        <v>2345</v>
      </c>
      <c r="I844" s="25">
        <f>IF(C844&lt;62,0,'Combined Retirement'!$I$13)</f>
        <v>2420</v>
      </c>
      <c r="J844" s="25">
        <f t="shared" si="783"/>
        <v>8395.6297298201844</v>
      </c>
      <c r="K844" s="25">
        <f t="shared" si="784"/>
        <v>21655.303514578787</v>
      </c>
      <c r="L844" s="25"/>
      <c r="N844" s="25">
        <f>'Combined Retirement'!$C$18/12</f>
        <v>40940.569999999992</v>
      </c>
      <c r="O844" s="25">
        <f t="shared" si="785"/>
        <v>10889.636755601023</v>
      </c>
      <c r="P844" s="25">
        <f t="shared" si="786"/>
        <v>30050.93324439897</v>
      </c>
      <c r="Q844" s="25">
        <f t="array" aca="1" ref="Q844" ca="1">INDEX('Isaac 401k'!L:L,MATCH('Retirement Calculator'!A844,'Isaac 401k'!N:N,0),0)</f>
        <v>-13344974.230290653</v>
      </c>
      <c r="R844" s="25">
        <f t="array" aca="1" ref="R844" ca="1">INDEX('Lorri 401b'!L:L,MATCH('Retirement Calculator'!A844,'Lorri 401b'!N:N,0),0)</f>
        <v>-22111452.891881689</v>
      </c>
      <c r="S844" s="25">
        <f t="shared" ca="1" si="787"/>
        <v>-35456427.122172341</v>
      </c>
    </row>
    <row r="845" spans="1:19" ht="15.75" customHeight="1" x14ac:dyDescent="0.25">
      <c r="A845" s="37">
        <v>76672</v>
      </c>
      <c r="B845" s="398">
        <f t="shared" ref="B845:C845" si="856">($A845-B$9)/365.25</f>
        <v>128.03832991101984</v>
      </c>
      <c r="C845" s="398">
        <f t="shared" si="856"/>
        <v>123.42778918548939</v>
      </c>
      <c r="E845" s="25">
        <f>IF(C845&gt;$B$7,0,'Combined Retirement'!$D$13/12)</f>
        <v>0</v>
      </c>
      <c r="F845" s="25">
        <f>IF(H845=0,'Combined Retirement'!$D$32,0)+'Combined Retirement'!$B$24</f>
        <v>2870.372285649099</v>
      </c>
      <c r="G845" s="25">
        <f>'Combined Retirement'!$C$24</f>
        <v>3254.2644699519233</v>
      </c>
      <c r="H845" s="25">
        <f>IF(B845&lt;62,0,'Combined Retirement'!$I$14)</f>
        <v>2345</v>
      </c>
      <c r="I845" s="25">
        <f>IF(C845&lt;62,0,'Combined Retirement'!$I$13)</f>
        <v>2420</v>
      </c>
      <c r="J845" s="25">
        <f t="shared" si="783"/>
        <v>8395.6297298201844</v>
      </c>
      <c r="K845" s="25">
        <f t="shared" si="784"/>
        <v>21655.303514578787</v>
      </c>
      <c r="L845" s="25"/>
      <c r="N845" s="25">
        <f>'Combined Retirement'!$C$18/12</f>
        <v>40940.569999999992</v>
      </c>
      <c r="O845" s="25">
        <f t="shared" si="785"/>
        <v>10889.636755601023</v>
      </c>
      <c r="P845" s="25">
        <f t="shared" si="786"/>
        <v>30050.93324439897</v>
      </c>
      <c r="Q845" s="25">
        <f t="array" aca="1" ref="Q845" ca="1">INDEX('Isaac 401k'!L:L,MATCH('Retirement Calculator'!A845,'Isaac 401k'!N:N,0),0)</f>
        <v>-13409008.901103891</v>
      </c>
      <c r="R845" s="25">
        <f t="array" aca="1" ref="R845" ca="1">INDEX('Lorri 401b'!L:L,MATCH('Retirement Calculator'!A845,'Lorri 401b'!N:N,0),0)</f>
        <v>-22225329.479543753</v>
      </c>
      <c r="S845" s="25">
        <f t="shared" ca="1" si="787"/>
        <v>-35634338.380647644</v>
      </c>
    </row>
    <row r="846" spans="1:19" ht="15.75" customHeight="1" x14ac:dyDescent="0.25">
      <c r="A846" s="37">
        <v>76703</v>
      </c>
      <c r="B846" s="398">
        <f t="shared" ref="B846:C846" si="857">($A846-B$9)/365.25</f>
        <v>128.12320328542094</v>
      </c>
      <c r="C846" s="398">
        <f t="shared" si="857"/>
        <v>123.51266255989049</v>
      </c>
      <c r="E846" s="25">
        <f>IF(C846&gt;$B$7,0,'Combined Retirement'!$D$13/12)</f>
        <v>0</v>
      </c>
      <c r="F846" s="25">
        <f>IF(H846=0,'Combined Retirement'!$D$32,0)+'Combined Retirement'!$B$24</f>
        <v>2870.372285649099</v>
      </c>
      <c r="G846" s="25">
        <f>'Combined Retirement'!$C$24</f>
        <v>3254.2644699519233</v>
      </c>
      <c r="H846" s="25">
        <f>IF(B846&lt;62,0,'Combined Retirement'!$I$14)</f>
        <v>2345</v>
      </c>
      <c r="I846" s="25">
        <f>IF(C846&lt;62,0,'Combined Retirement'!$I$13)</f>
        <v>2420</v>
      </c>
      <c r="J846" s="25">
        <f t="shared" si="783"/>
        <v>8395.6297298201844</v>
      </c>
      <c r="K846" s="25">
        <f t="shared" si="784"/>
        <v>21655.303514578787</v>
      </c>
      <c r="L846" s="25"/>
      <c r="N846" s="25">
        <f>'Combined Retirement'!$C$18/12</f>
        <v>40940.569999999992</v>
      </c>
      <c r="O846" s="25">
        <f t="shared" si="785"/>
        <v>10889.636755601023</v>
      </c>
      <c r="P846" s="25">
        <f t="shared" si="786"/>
        <v>30050.93324439897</v>
      </c>
      <c r="Q846" s="25">
        <f t="array" aca="1" ref="Q846" ca="1">INDEX('Isaac 401k'!L:L,MATCH('Retirement Calculator'!A846,'Isaac 401k'!N:N,0),0)</f>
        <v>-13473310.383045519</v>
      </c>
      <c r="R846" s="25">
        <f t="array" aca="1" ref="R846" ca="1">INDEX('Lorri 401b'!L:L,MATCH('Retirement Calculator'!A846,'Lorri 401b'!N:N,0),0)</f>
        <v>-22339680.552987739</v>
      </c>
      <c r="S846" s="25">
        <f t="shared" ca="1" si="787"/>
        <v>-35812990.936033256</v>
      </c>
    </row>
    <row r="847" spans="1:19" ht="15.75" customHeight="1" x14ac:dyDescent="0.25">
      <c r="A847" s="37">
        <v>76734</v>
      </c>
      <c r="B847" s="398">
        <f t="shared" ref="B847:C847" si="858">($A847-B$9)/365.25</f>
        <v>128.20807665982204</v>
      </c>
      <c r="C847" s="398">
        <f t="shared" si="858"/>
        <v>123.59753593429159</v>
      </c>
      <c r="E847" s="25">
        <f>IF(C847&gt;$B$7,0,'Combined Retirement'!$D$13/12)</f>
        <v>0</v>
      </c>
      <c r="F847" s="25">
        <f>IF(H847=0,'Combined Retirement'!$D$32,0)+'Combined Retirement'!$B$24</f>
        <v>2870.372285649099</v>
      </c>
      <c r="G847" s="25">
        <f>'Combined Retirement'!$C$24</f>
        <v>3254.2644699519233</v>
      </c>
      <c r="H847" s="25">
        <f>IF(B847&lt;62,0,'Combined Retirement'!$I$14)</f>
        <v>2345</v>
      </c>
      <c r="I847" s="25">
        <f>IF(C847&lt;62,0,'Combined Retirement'!$I$13)</f>
        <v>2420</v>
      </c>
      <c r="J847" s="25">
        <f t="shared" si="783"/>
        <v>8395.6297298201844</v>
      </c>
      <c r="K847" s="25">
        <f t="shared" si="784"/>
        <v>21655.303514578787</v>
      </c>
      <c r="L847" s="25"/>
      <c r="N847" s="25">
        <f>'Combined Retirement'!$C$18/12</f>
        <v>40940.569999999992</v>
      </c>
      <c r="O847" s="25">
        <f t="shared" si="785"/>
        <v>10889.636755601023</v>
      </c>
      <c r="P847" s="25">
        <f t="shared" si="786"/>
        <v>30050.93324439897</v>
      </c>
      <c r="Q847" s="25">
        <f t="array" aca="1" ref="Q847" ca="1">INDEX('Isaac 401k'!L:L,MATCH('Retirement Calculator'!A847,'Isaac 401k'!N:N,0),0)</f>
        <v>-13537879.78782857</v>
      </c>
      <c r="R847" s="25">
        <f t="array" aca="1" ref="R847" ca="1">INDEX('Lorri 401b'!L:L,MATCH('Retirement Calculator'!A847,'Lorri 401b'!N:N,0),0)</f>
        <v>-22454508.089237742</v>
      </c>
      <c r="S847" s="25">
        <f t="shared" ca="1" si="787"/>
        <v>-35992387.877066314</v>
      </c>
    </row>
    <row r="848" spans="1:19" ht="15.75" customHeight="1" x14ac:dyDescent="0.25">
      <c r="A848" s="37">
        <v>76762</v>
      </c>
      <c r="B848" s="398">
        <f t="shared" ref="B848:C848" si="859">($A848-B$9)/365.25</f>
        <v>128.28473648186173</v>
      </c>
      <c r="C848" s="398">
        <f t="shared" si="859"/>
        <v>123.67419575633129</v>
      </c>
      <c r="E848" s="25">
        <f>IF(C848&gt;$B$7,0,'Combined Retirement'!$D$13/12)</f>
        <v>0</v>
      </c>
      <c r="F848" s="25">
        <f>IF(H848=0,'Combined Retirement'!$D$32,0)+'Combined Retirement'!$B$24</f>
        <v>2870.372285649099</v>
      </c>
      <c r="G848" s="25">
        <f>'Combined Retirement'!$C$24</f>
        <v>3254.2644699519233</v>
      </c>
      <c r="H848" s="25">
        <f>IF(B848&lt;62,0,'Combined Retirement'!$I$14)</f>
        <v>2345</v>
      </c>
      <c r="I848" s="25">
        <f>IF(C848&lt;62,0,'Combined Retirement'!$I$13)</f>
        <v>2420</v>
      </c>
      <c r="J848" s="25">
        <f t="shared" si="783"/>
        <v>8395.6297298201844</v>
      </c>
      <c r="K848" s="25">
        <f t="shared" si="784"/>
        <v>21655.303514578787</v>
      </c>
      <c r="L848" s="25"/>
      <c r="N848" s="25">
        <f>'Combined Retirement'!$C$18/12</f>
        <v>40940.569999999992</v>
      </c>
      <c r="O848" s="25">
        <f t="shared" si="785"/>
        <v>10889.636755601023</v>
      </c>
      <c r="P848" s="25">
        <f t="shared" si="786"/>
        <v>30050.93324439897</v>
      </c>
      <c r="Q848" s="25">
        <f t="array" aca="1" ref="Q848" ca="1">INDEX('Isaac 401k'!L:L,MATCH('Retirement Calculator'!A848,'Isaac 401k'!N:N,0),0)</f>
        <v>-13602718.231798217</v>
      </c>
      <c r="R848" s="25">
        <f t="array" aca="1" ref="R848" ca="1">INDEX('Lorri 401b'!L:L,MATCH('Retirement Calculator'!A848,'Lorri 401b'!N:N,0),0)</f>
        <v>-22569814.073555455</v>
      </c>
      <c r="S848" s="25">
        <f t="shared" ca="1" si="787"/>
        <v>-36172532.305353671</v>
      </c>
    </row>
    <row r="849" spans="1:19" ht="15.75" customHeight="1" x14ac:dyDescent="0.25">
      <c r="A849" s="37">
        <v>76793</v>
      </c>
      <c r="B849" s="398">
        <f t="shared" ref="B849:C849" si="860">($A849-B$9)/365.25</f>
        <v>128.36960985626283</v>
      </c>
      <c r="C849" s="398">
        <f t="shared" si="860"/>
        <v>123.75906913073237</v>
      </c>
      <c r="E849" s="25">
        <f>IF(C849&gt;$B$7,0,'Combined Retirement'!$D$13/12)</f>
        <v>0</v>
      </c>
      <c r="F849" s="25">
        <f>IF(H849=0,'Combined Retirement'!$D$32,0)+'Combined Retirement'!$B$24</f>
        <v>2870.372285649099</v>
      </c>
      <c r="G849" s="25">
        <f>'Combined Retirement'!$C$24</f>
        <v>3254.2644699519233</v>
      </c>
      <c r="H849" s="25">
        <f>IF(B849&lt;62,0,'Combined Retirement'!$I$14)</f>
        <v>2345</v>
      </c>
      <c r="I849" s="25">
        <f>IF(C849&lt;62,0,'Combined Retirement'!$I$13)</f>
        <v>2420</v>
      </c>
      <c r="J849" s="25">
        <f t="shared" si="783"/>
        <v>8395.6297298201844</v>
      </c>
      <c r="K849" s="25">
        <f t="shared" si="784"/>
        <v>21655.303514578787</v>
      </c>
      <c r="L849" s="25"/>
      <c r="N849" s="25">
        <f>'Combined Retirement'!$C$18/12</f>
        <v>40940.569999999992</v>
      </c>
      <c r="O849" s="25">
        <f t="shared" si="785"/>
        <v>10889.636755601023</v>
      </c>
      <c r="P849" s="25">
        <f t="shared" si="786"/>
        <v>30050.93324439897</v>
      </c>
      <c r="Q849" s="25">
        <f t="array" aca="1" ref="Q849" ca="1">INDEX('Isaac 401k'!L:L,MATCH('Retirement Calculator'!A849,'Isaac 401k'!N:N,0),0)</f>
        <v>-13667826.835951071</v>
      </c>
      <c r="R849" s="25">
        <f t="array" aca="1" ref="R849" ca="1">INDEX('Lorri 401b'!L:L,MATCH('Retirement Calculator'!A849,'Lorri 401b'!N:N,0),0)</f>
        <v>-22685600.499474492</v>
      </c>
      <c r="S849" s="25">
        <f t="shared" ca="1" si="787"/>
        <v>-36353427.335425563</v>
      </c>
    </row>
    <row r="850" spans="1:19" ht="15.75" customHeight="1" x14ac:dyDescent="0.25">
      <c r="A850" s="37">
        <v>76823</v>
      </c>
      <c r="B850" s="398">
        <f t="shared" ref="B850:C850" si="861">($A850-B$9)/365.25</f>
        <v>128.4517453798768</v>
      </c>
      <c r="C850" s="398">
        <f t="shared" si="861"/>
        <v>123.84120465434634</v>
      </c>
      <c r="E850" s="25">
        <f>IF(C850&gt;$B$7,0,'Combined Retirement'!$D$13/12)</f>
        <v>0</v>
      </c>
      <c r="F850" s="25">
        <f>IF(H850=0,'Combined Retirement'!$D$32,0)+'Combined Retirement'!$B$24</f>
        <v>2870.372285649099</v>
      </c>
      <c r="G850" s="25">
        <f>'Combined Retirement'!$C$24</f>
        <v>3254.2644699519233</v>
      </c>
      <c r="H850" s="25">
        <f>IF(B850&lt;62,0,'Combined Retirement'!$I$14)</f>
        <v>2345</v>
      </c>
      <c r="I850" s="25">
        <f>IF(C850&lt;62,0,'Combined Retirement'!$I$13)</f>
        <v>2420</v>
      </c>
      <c r="J850" s="25">
        <f t="shared" si="783"/>
        <v>8395.6297298201844</v>
      </c>
      <c r="K850" s="25">
        <f t="shared" si="784"/>
        <v>21655.303514578787</v>
      </c>
      <c r="L850" s="25"/>
      <c r="N850" s="25">
        <f>'Combined Retirement'!$C$18/12</f>
        <v>40940.569999999992</v>
      </c>
      <c r="O850" s="25">
        <f t="shared" si="785"/>
        <v>10889.636755601023</v>
      </c>
      <c r="P850" s="25">
        <f t="shared" si="786"/>
        <v>30050.93324439897</v>
      </c>
      <c r="Q850" s="25">
        <f t="array" aca="1" ref="Q850" ca="1">INDEX('Isaac 401k'!L:L,MATCH('Retirement Calculator'!A850,'Isaac 401k'!N:N,0),0)</f>
        <v>-13733206.725954562</v>
      </c>
      <c r="R850" s="25">
        <f t="array" aca="1" ref="R850" ca="1">INDEX('Lorri 401b'!L:L,MATCH('Retirement Calculator'!A850,'Lorri 401b'!N:N,0),0)</f>
        <v>-22801869.368834857</v>
      </c>
      <c r="S850" s="25">
        <f t="shared" ca="1" si="787"/>
        <v>-36535076.094789416</v>
      </c>
    </row>
    <row r="851" spans="1:19" ht="15.75" customHeight="1" x14ac:dyDescent="0.25">
      <c r="A851" s="37">
        <v>76854</v>
      </c>
      <c r="B851" s="398">
        <f t="shared" ref="B851:C851" si="862">($A851-B$9)/365.25</f>
        <v>128.5366187542779</v>
      </c>
      <c r="C851" s="398">
        <f t="shared" si="862"/>
        <v>123.92607802874743</v>
      </c>
      <c r="E851" s="25">
        <f>IF(C851&gt;$B$7,0,'Combined Retirement'!$D$13/12)</f>
        <v>0</v>
      </c>
      <c r="F851" s="25">
        <f>IF(H851=0,'Combined Retirement'!$D$32,0)+'Combined Retirement'!$B$24</f>
        <v>2870.372285649099</v>
      </c>
      <c r="G851" s="25">
        <f>'Combined Retirement'!$C$24</f>
        <v>3254.2644699519233</v>
      </c>
      <c r="H851" s="25">
        <f>IF(B851&lt;62,0,'Combined Retirement'!$I$14)</f>
        <v>2345</v>
      </c>
      <c r="I851" s="25">
        <f>IF(C851&lt;62,0,'Combined Retirement'!$I$13)</f>
        <v>2420</v>
      </c>
      <c r="J851" s="25">
        <f t="shared" si="783"/>
        <v>8395.6297298201844</v>
      </c>
      <c r="K851" s="25">
        <f t="shared" si="784"/>
        <v>21655.303514578787</v>
      </c>
      <c r="L851" s="25"/>
      <c r="N851" s="25">
        <f>'Combined Retirement'!$C$18/12</f>
        <v>40940.569999999992</v>
      </c>
      <c r="O851" s="25">
        <f t="shared" si="785"/>
        <v>10889.636755601023</v>
      </c>
      <c r="P851" s="25">
        <f t="shared" si="786"/>
        <v>30050.93324439897</v>
      </c>
      <c r="Q851" s="25">
        <f t="array" aca="1" ref="Q851" ca="1">INDEX('Isaac 401k'!L:L,MATCH('Retirement Calculator'!A851,'Isaac 401k'!N:N,0),0)</f>
        <v>-13798859.032166401</v>
      </c>
      <c r="R851" s="25">
        <f t="array" aca="1" ref="R851" ca="1">INDEX('Lorri 401b'!L:L,MATCH('Retirement Calculator'!A851,'Lorri 401b'!N:N,0),0)</f>
        <v>-22918622.691817556</v>
      </c>
      <c r="S851" s="25">
        <f t="shared" ca="1" si="787"/>
        <v>-36717481.723983958</v>
      </c>
    </row>
    <row r="852" spans="1:19" ht="15.75" customHeight="1" x14ac:dyDescent="0.25">
      <c r="A852" s="37">
        <v>76884</v>
      </c>
      <c r="B852" s="398">
        <f t="shared" ref="B852:C852" si="863">($A852-B$9)/365.25</f>
        <v>128.61875427789187</v>
      </c>
      <c r="C852" s="398">
        <f t="shared" si="863"/>
        <v>124.0082135523614</v>
      </c>
      <c r="E852" s="25">
        <f>IF(C852&gt;$B$7,0,'Combined Retirement'!$D$13/12)</f>
        <v>0</v>
      </c>
      <c r="F852" s="25">
        <f>IF(H852=0,'Combined Retirement'!$D$32,0)+'Combined Retirement'!$B$24</f>
        <v>2870.372285649099</v>
      </c>
      <c r="G852" s="25">
        <f>'Combined Retirement'!$C$24</f>
        <v>3254.2644699519233</v>
      </c>
      <c r="H852" s="25">
        <f>IF(B852&lt;62,0,'Combined Retirement'!$I$14)</f>
        <v>2345</v>
      </c>
      <c r="I852" s="25">
        <f>IF(C852&lt;62,0,'Combined Retirement'!$I$13)</f>
        <v>2420</v>
      </c>
      <c r="J852" s="25">
        <f t="shared" si="783"/>
        <v>8395.6297298201844</v>
      </c>
      <c r="K852" s="25">
        <f t="shared" si="784"/>
        <v>21655.303514578787</v>
      </c>
      <c r="L852" s="25"/>
      <c r="N852" s="25">
        <f>'Combined Retirement'!$C$18/12</f>
        <v>40940.569999999992</v>
      </c>
      <c r="O852" s="25">
        <f t="shared" si="785"/>
        <v>10889.636755601023</v>
      </c>
      <c r="P852" s="25">
        <f t="shared" si="786"/>
        <v>30050.93324439897</v>
      </c>
      <c r="Q852" s="25">
        <f t="array" aca="1" ref="Q852" ca="1">INDEX('Isaac 401k'!L:L,MATCH('Retirement Calculator'!A852,'Isaac 401k'!N:N,0),0)</f>
        <v>-13864784.889654122</v>
      </c>
      <c r="R852" s="25">
        <f t="array" aca="1" ref="R852" ca="1">INDEX('Lorri 401b'!L:L,MATCH('Retirement Calculator'!A852,'Lorri 401b'!N:N,0),0)</f>
        <v>-23035862.48697935</v>
      </c>
      <c r="S852" s="25">
        <f t="shared" ca="1" si="787"/>
        <v>-36900647.376633473</v>
      </c>
    </row>
    <row r="853" spans="1:19" ht="15.75" customHeight="1" x14ac:dyDescent="0.25">
      <c r="A853" s="37">
        <v>76915</v>
      </c>
      <c r="B853" s="398">
        <f t="shared" ref="B853:C853" si="864">($A853-B$9)/365.25</f>
        <v>128.70362765229294</v>
      </c>
      <c r="C853" s="398">
        <f t="shared" si="864"/>
        <v>124.0930869267625</v>
      </c>
      <c r="E853" s="25">
        <f>IF(C853&gt;$B$7,0,'Combined Retirement'!$D$13/12)</f>
        <v>0</v>
      </c>
      <c r="F853" s="25">
        <f>IF(H853=0,'Combined Retirement'!$D$32,0)+'Combined Retirement'!$B$24</f>
        <v>2870.372285649099</v>
      </c>
      <c r="G853" s="25">
        <f>'Combined Retirement'!$C$24</f>
        <v>3254.2644699519233</v>
      </c>
      <c r="H853" s="25">
        <f>IF(B853&lt;62,0,'Combined Retirement'!$I$14)</f>
        <v>2345</v>
      </c>
      <c r="I853" s="25">
        <f>IF(C853&lt;62,0,'Combined Retirement'!$I$13)</f>
        <v>2420</v>
      </c>
      <c r="J853" s="25">
        <f t="shared" si="783"/>
        <v>8395.6297298201844</v>
      </c>
      <c r="K853" s="25">
        <f t="shared" si="784"/>
        <v>21655.303514578787</v>
      </c>
      <c r="L853" s="25"/>
      <c r="N853" s="25">
        <f>'Combined Retirement'!$C$18/12</f>
        <v>40940.569999999992</v>
      </c>
      <c r="O853" s="25">
        <f t="shared" si="785"/>
        <v>10889.636755601023</v>
      </c>
      <c r="P853" s="25">
        <f t="shared" si="786"/>
        <v>30050.93324439897</v>
      </c>
      <c r="Q853" s="25">
        <f t="array" aca="1" ref="Q853" ca="1">INDEX('Isaac 401k'!L:L,MATCH('Retirement Calculator'!A853,'Isaac 401k'!N:N,0),0)</f>
        <v>-13930985.43821471</v>
      </c>
      <c r="R853" s="25">
        <f t="array" aca="1" ref="R853" ca="1">INDEX('Lorri 401b'!L:L,MATCH('Retirement Calculator'!A853,'Lorri 401b'!N:N,0),0)</f>
        <v>-23153590.781287652</v>
      </c>
      <c r="S853" s="25">
        <f t="shared" ca="1" si="787"/>
        <v>-37084576.21950236</v>
      </c>
    </row>
    <row r="854" spans="1:19" ht="15.75" customHeight="1" x14ac:dyDescent="0.25">
      <c r="A854" s="37">
        <v>76946</v>
      </c>
      <c r="B854" s="398">
        <f t="shared" ref="B854:C854" si="865">($A854-B$9)/365.25</f>
        <v>128.78850102669404</v>
      </c>
      <c r="C854" s="398">
        <f t="shared" si="865"/>
        <v>124.17796030116358</v>
      </c>
      <c r="E854" s="25">
        <f>IF(C854&gt;$B$7,0,'Combined Retirement'!$D$13/12)</f>
        <v>0</v>
      </c>
      <c r="F854" s="25">
        <f>IF(H854=0,'Combined Retirement'!$D$32,0)+'Combined Retirement'!$B$24</f>
        <v>2870.372285649099</v>
      </c>
      <c r="G854" s="25">
        <f>'Combined Retirement'!$C$24</f>
        <v>3254.2644699519233</v>
      </c>
      <c r="H854" s="25">
        <f>IF(B854&lt;62,0,'Combined Retirement'!$I$14)</f>
        <v>2345</v>
      </c>
      <c r="I854" s="25">
        <f>IF(C854&lt;62,0,'Combined Retirement'!$I$13)</f>
        <v>2420</v>
      </c>
      <c r="J854" s="25">
        <f t="shared" si="783"/>
        <v>8395.6297298201844</v>
      </c>
      <c r="K854" s="25">
        <f t="shared" si="784"/>
        <v>21655.303514578787</v>
      </c>
      <c r="L854" s="25"/>
      <c r="N854" s="25">
        <f>'Combined Retirement'!$C$18/12</f>
        <v>40940.569999999992</v>
      </c>
      <c r="O854" s="25">
        <f t="shared" si="785"/>
        <v>10889.636755601023</v>
      </c>
      <c r="P854" s="25">
        <f t="shared" si="786"/>
        <v>30050.93324439897</v>
      </c>
      <c r="Q854" s="25">
        <f t="array" aca="1" ref="Q854" ca="1">INDEX('Isaac 401k'!L:L,MATCH('Retirement Calculator'!A854,'Isaac 401k'!N:N,0),0)</f>
        <v>-13997461.822394298</v>
      </c>
      <c r="R854" s="25">
        <f t="array" aca="1" ref="R854" ca="1">INDEX('Lorri 401b'!L:L,MATCH('Retirement Calculator'!A854,'Lorri 401b'!N:N,0),0)</f>
        <v>-23271809.610155571</v>
      </c>
      <c r="S854" s="25">
        <f t="shared" ca="1" si="787"/>
        <v>-37269271.432549872</v>
      </c>
    </row>
    <row r="855" spans="1:19" ht="15.75" customHeight="1" x14ac:dyDescent="0.25">
      <c r="A855" s="37">
        <v>76976</v>
      </c>
      <c r="B855" s="398">
        <f t="shared" ref="B855:C855" si="866">($A855-B$9)/365.25</f>
        <v>128.87063655030801</v>
      </c>
      <c r="C855" s="398">
        <f t="shared" si="866"/>
        <v>124.26009582477755</v>
      </c>
      <c r="E855" s="25">
        <f>IF(C855&gt;$B$7,0,'Combined Retirement'!$D$13/12)</f>
        <v>0</v>
      </c>
      <c r="F855" s="25">
        <f>IF(H855=0,'Combined Retirement'!$D$32,0)+'Combined Retirement'!$B$24</f>
        <v>2870.372285649099</v>
      </c>
      <c r="G855" s="25">
        <f>'Combined Retirement'!$C$24</f>
        <v>3254.2644699519233</v>
      </c>
      <c r="H855" s="25">
        <f>IF(B855&lt;62,0,'Combined Retirement'!$I$14)</f>
        <v>2345</v>
      </c>
      <c r="I855" s="25">
        <f>IF(C855&lt;62,0,'Combined Retirement'!$I$13)</f>
        <v>2420</v>
      </c>
      <c r="J855" s="25">
        <f t="shared" si="783"/>
        <v>8395.6297298201844</v>
      </c>
      <c r="K855" s="25">
        <f t="shared" si="784"/>
        <v>21655.303514578787</v>
      </c>
      <c r="L855" s="25"/>
      <c r="N855" s="25">
        <f>'Combined Retirement'!$C$18/12</f>
        <v>40940.569999999992</v>
      </c>
      <c r="O855" s="25">
        <f t="shared" si="785"/>
        <v>10889.636755601023</v>
      </c>
      <c r="P855" s="25">
        <f t="shared" si="786"/>
        <v>30050.93324439897</v>
      </c>
      <c r="Q855" s="25">
        <f t="array" aca="1" ref="Q855" ca="1">INDEX('Isaac 401k'!L:L,MATCH('Retirement Calculator'!A855,'Isaac 401k'!N:N,0),0)</f>
        <v>-14064215.191507969</v>
      </c>
      <c r="R855" s="25">
        <f t="array" aca="1" ref="R855" ca="1">INDEX('Lorri 401b'!L:L,MATCH('Retirement Calculator'!A855,'Lorri 401b'!N:N,0),0)</f>
        <v>-23390521.017477106</v>
      </c>
      <c r="S855" s="25">
        <f t="shared" ca="1" si="787"/>
        <v>-37454736.208985075</v>
      </c>
    </row>
    <row r="856" spans="1:19" ht="15.75" customHeight="1" x14ac:dyDescent="0.25">
      <c r="A856" s="37">
        <v>77007</v>
      </c>
      <c r="B856" s="398">
        <f t="shared" ref="B856:C856" si="867">($A856-B$9)/365.25</f>
        <v>128.95550992470911</v>
      </c>
      <c r="C856" s="398">
        <f t="shared" si="867"/>
        <v>124.34496919917865</v>
      </c>
      <c r="E856" s="25">
        <f>IF(C856&gt;$B$7,0,'Combined Retirement'!$D$13/12)</f>
        <v>0</v>
      </c>
      <c r="F856" s="25">
        <f>IF(H856=0,'Combined Retirement'!$D$32,0)+'Combined Retirement'!$B$24</f>
        <v>2870.372285649099</v>
      </c>
      <c r="G856" s="25">
        <f>'Combined Retirement'!$C$24</f>
        <v>3254.2644699519233</v>
      </c>
      <c r="H856" s="25">
        <f>IF(B856&lt;62,0,'Combined Retirement'!$I$14)</f>
        <v>2345</v>
      </c>
      <c r="I856" s="25">
        <f>IF(C856&lt;62,0,'Combined Retirement'!$I$13)</f>
        <v>2420</v>
      </c>
      <c r="J856" s="25">
        <f t="shared" si="783"/>
        <v>8395.6297298201844</v>
      </c>
      <c r="K856" s="25">
        <f t="shared" si="784"/>
        <v>21655.303514578787</v>
      </c>
      <c r="L856" s="25"/>
      <c r="N856" s="25">
        <f>'Combined Retirement'!$C$18/12</f>
        <v>40940.569999999992</v>
      </c>
      <c r="O856" s="25">
        <f t="shared" si="785"/>
        <v>10889.636755601023</v>
      </c>
      <c r="P856" s="25">
        <f t="shared" si="786"/>
        <v>30050.93324439897</v>
      </c>
      <c r="Q856" s="25">
        <f t="array" aca="1" ref="Q856" ca="1">INDEX('Isaac 401k'!L:L,MATCH('Retirement Calculator'!A856,'Isaac 401k'!N:N,0),0)</f>
        <v>-14131246.699659614</v>
      </c>
      <c r="R856" s="25">
        <f t="array" aca="1" ref="R856" ca="1">INDEX('Lorri 401b'!L:L,MATCH('Retirement Calculator'!A856,'Lorri 401b'!N:N,0),0)</f>
        <v>-23509727.055662483</v>
      </c>
      <c r="S856" s="25">
        <f t="shared" ca="1" si="787"/>
        <v>-37640973.755322099</v>
      </c>
    </row>
    <row r="857" spans="1:19" ht="15.75" customHeight="1" x14ac:dyDescent="0.25">
      <c r="A857" s="37">
        <v>77037</v>
      </c>
      <c r="B857" s="398">
        <f t="shared" ref="B857:C857" si="868">($A857-B$9)/365.25</f>
        <v>129.03764544832308</v>
      </c>
      <c r="C857" s="398">
        <f t="shared" si="868"/>
        <v>124.42710472279261</v>
      </c>
      <c r="E857" s="25">
        <f>IF(C857&gt;$B$7,0,'Combined Retirement'!$D$13/12)</f>
        <v>0</v>
      </c>
      <c r="F857" s="25">
        <f>IF(H857=0,'Combined Retirement'!$D$32,0)+'Combined Retirement'!$B$24</f>
        <v>2870.372285649099</v>
      </c>
      <c r="G857" s="25">
        <f>'Combined Retirement'!$C$24</f>
        <v>3254.2644699519233</v>
      </c>
      <c r="H857" s="25">
        <f>IF(B857&lt;62,0,'Combined Retirement'!$I$14)</f>
        <v>2345</v>
      </c>
      <c r="I857" s="25">
        <f>IF(C857&lt;62,0,'Combined Retirement'!$I$13)</f>
        <v>2420</v>
      </c>
      <c r="J857" s="25">
        <f t="shared" si="783"/>
        <v>8395.6297298201844</v>
      </c>
      <c r="K857" s="25">
        <f t="shared" si="784"/>
        <v>21655.303514578787</v>
      </c>
      <c r="L857" s="25"/>
      <c r="N857" s="25">
        <f>'Combined Retirement'!$C$18/12</f>
        <v>40940.569999999992</v>
      </c>
      <c r="O857" s="25">
        <f t="shared" si="785"/>
        <v>10889.636755601023</v>
      </c>
      <c r="P857" s="25">
        <f t="shared" si="786"/>
        <v>30050.93324439897</v>
      </c>
      <c r="Q857" s="25">
        <f t="array" aca="1" ref="Q857" ca="1">INDEX('Isaac 401k'!L:L,MATCH('Retirement Calculator'!A857,'Isaac 401k'!N:N,0),0)</f>
        <v>-14198557.50576189</v>
      </c>
      <c r="R857" s="25">
        <f t="array" aca="1" ref="R857" ca="1">INDEX('Lorri 401b'!L:L,MATCH('Retirement Calculator'!A857,'Lorri 401b'!N:N,0),0)</f>
        <v>-23629429.785673633</v>
      </c>
      <c r="S857" s="25">
        <f t="shared" ca="1" si="787"/>
        <v>-37827987.291435525</v>
      </c>
    </row>
    <row r="858" spans="1:19" ht="15.75" customHeight="1" x14ac:dyDescent="0.25">
      <c r="A858" s="37">
        <v>77068</v>
      </c>
      <c r="B858" s="398">
        <f t="shared" ref="B858:C858" si="869">($A858-B$9)/365.25</f>
        <v>129.12251882272417</v>
      </c>
      <c r="C858" s="398">
        <f t="shared" si="869"/>
        <v>124.5119780971937</v>
      </c>
      <c r="E858" s="25">
        <f>IF(C858&gt;$B$7,0,'Combined Retirement'!$D$13/12)</f>
        <v>0</v>
      </c>
      <c r="F858" s="25">
        <f>IF(H858=0,'Combined Retirement'!$D$32,0)+'Combined Retirement'!$B$24</f>
        <v>2870.372285649099</v>
      </c>
      <c r="G858" s="25">
        <f>'Combined Retirement'!$C$24</f>
        <v>3254.2644699519233</v>
      </c>
      <c r="H858" s="25">
        <f>IF(B858&lt;62,0,'Combined Retirement'!$I$14)</f>
        <v>2345</v>
      </c>
      <c r="I858" s="25">
        <f>IF(C858&lt;62,0,'Combined Retirement'!$I$13)</f>
        <v>2420</v>
      </c>
      <c r="J858" s="25">
        <f t="shared" si="783"/>
        <v>8395.6297298201844</v>
      </c>
      <c r="K858" s="25">
        <f t="shared" si="784"/>
        <v>21655.303514578787</v>
      </c>
      <c r="L858" s="25"/>
      <c r="N858" s="25">
        <f>'Combined Retirement'!$C$18/12</f>
        <v>40940.569999999992</v>
      </c>
      <c r="O858" s="25">
        <f t="shared" si="785"/>
        <v>10889.636755601023</v>
      </c>
      <c r="P858" s="25">
        <f t="shared" si="786"/>
        <v>30050.93324439897</v>
      </c>
      <c r="Q858" s="25">
        <f t="array" aca="1" ref="Q858" ca="1">INDEX('Isaac 401k'!L:L,MATCH('Retirement Calculator'!A858,'Isaac 401k'!N:N,0),0)</f>
        <v>-14266148.773556259</v>
      </c>
      <c r="R858" s="25">
        <f t="array" aca="1" ref="R858" ca="1">INDEX('Lorri 401b'!L:L,MATCH('Retirement Calculator'!A858,'Lorri 401b'!N:N,0),0)</f>
        <v>-23749631.277059827</v>
      </c>
      <c r="S858" s="25">
        <f t="shared" ca="1" si="787"/>
        <v>-38015780.050616086</v>
      </c>
    </row>
    <row r="859" spans="1:19" ht="15.75" customHeight="1" x14ac:dyDescent="0.25">
      <c r="A859" s="37">
        <v>77099</v>
      </c>
      <c r="B859" s="398">
        <f t="shared" ref="B859:C859" si="870">($A859-B$9)/365.25</f>
        <v>129.20739219712524</v>
      </c>
      <c r="C859" s="398">
        <f t="shared" si="870"/>
        <v>124.5968514715948</v>
      </c>
      <c r="E859" s="25">
        <f>IF(C859&gt;$B$7,0,'Combined Retirement'!$D$13/12)</f>
        <v>0</v>
      </c>
      <c r="F859" s="25">
        <f>IF(H859=0,'Combined Retirement'!$D$32,0)+'Combined Retirement'!$B$24</f>
        <v>2870.372285649099</v>
      </c>
      <c r="G859" s="25">
        <f>'Combined Retirement'!$C$24</f>
        <v>3254.2644699519233</v>
      </c>
      <c r="H859" s="25">
        <f>IF(B859&lt;62,0,'Combined Retirement'!$I$14)</f>
        <v>2345</v>
      </c>
      <c r="I859" s="25">
        <f>IF(C859&lt;62,0,'Combined Retirement'!$I$13)</f>
        <v>2420</v>
      </c>
      <c r="J859" s="25">
        <f t="shared" si="783"/>
        <v>8395.6297298201844</v>
      </c>
      <c r="K859" s="25">
        <f t="shared" si="784"/>
        <v>21655.303514578787</v>
      </c>
      <c r="L859" s="25"/>
      <c r="N859" s="25">
        <f>'Combined Retirement'!$C$18/12</f>
        <v>40940.569999999992</v>
      </c>
      <c r="O859" s="25">
        <f t="shared" si="785"/>
        <v>10889.636755601023</v>
      </c>
      <c r="P859" s="25">
        <f t="shared" si="786"/>
        <v>30050.93324439897</v>
      </c>
      <c r="Q859" s="25">
        <f t="array" aca="1" ref="Q859" ca="1">INDEX('Isaac 401k'!L:L,MATCH('Retirement Calculator'!A859,'Isaac 401k'!N:N,0),0)</f>
        <v>-14334021.671633104</v>
      </c>
      <c r="R859" s="25">
        <f t="array" aca="1" ref="R859" ca="1">INDEX('Lorri 401b'!L:L,MATCH('Retirement Calculator'!A859,'Lorri 401b'!N:N,0),0)</f>
        <v>-23870333.607993465</v>
      </c>
      <c r="S859" s="25">
        <f t="shared" ca="1" si="787"/>
        <v>-38204355.279626571</v>
      </c>
    </row>
    <row r="860" spans="1:19" ht="15.75" customHeight="1" x14ac:dyDescent="0.25">
      <c r="A860" s="37">
        <v>77127</v>
      </c>
      <c r="B860" s="398">
        <f t="shared" ref="B860:C860" si="871">($A860-B$9)/365.25</f>
        <v>129.28405201916496</v>
      </c>
      <c r="C860" s="398">
        <f t="shared" si="871"/>
        <v>124.67351129363449</v>
      </c>
      <c r="E860" s="25">
        <f>IF(C860&gt;$B$7,0,'Combined Retirement'!$D$13/12)</f>
        <v>0</v>
      </c>
      <c r="F860" s="25">
        <f>IF(H860=0,'Combined Retirement'!$D$32,0)+'Combined Retirement'!$B$24</f>
        <v>2870.372285649099</v>
      </c>
      <c r="G860" s="25">
        <f>'Combined Retirement'!$C$24</f>
        <v>3254.2644699519233</v>
      </c>
      <c r="H860" s="25">
        <f>IF(B860&lt;62,0,'Combined Retirement'!$I$14)</f>
        <v>2345</v>
      </c>
      <c r="I860" s="25">
        <f>IF(C860&lt;62,0,'Combined Retirement'!$I$13)</f>
        <v>2420</v>
      </c>
      <c r="J860" s="25">
        <f t="shared" si="783"/>
        <v>8395.6297298201844</v>
      </c>
      <c r="K860" s="25">
        <f t="shared" si="784"/>
        <v>21655.303514578787</v>
      </c>
      <c r="L860" s="25"/>
      <c r="N860" s="25">
        <f>'Combined Retirement'!$C$18/12</f>
        <v>40940.569999999992</v>
      </c>
      <c r="O860" s="25">
        <f t="shared" si="785"/>
        <v>10889.636755601023</v>
      </c>
      <c r="P860" s="25">
        <f t="shared" si="786"/>
        <v>30050.93324439897</v>
      </c>
      <c r="Q860" s="25">
        <f t="array" aca="1" ref="Q860" ca="1">INDEX('Isaac 401k'!L:L,MATCH('Retirement Calculator'!A860,'Isaac 401k'!N:N,0),0)</f>
        <v>-14402177.373451937</v>
      </c>
      <c r="R860" s="25">
        <f t="array" aca="1" ref="R860" ca="1">INDEX('Lorri 401b'!L:L,MATCH('Retirement Calculator'!A860,'Lorri 401b'!N:N,0),0)</f>
        <v>-23991538.865305994</v>
      </c>
      <c r="S860" s="25">
        <f t="shared" ca="1" si="787"/>
        <v>-38393716.238757931</v>
      </c>
    </row>
    <row r="861" spans="1:19" ht="15.75" customHeight="1" x14ac:dyDescent="0.25">
      <c r="A861" s="37">
        <v>77158</v>
      </c>
      <c r="B861" s="398">
        <f t="shared" ref="B861:C861" si="872">($A861-B$9)/365.25</f>
        <v>129.36892539356606</v>
      </c>
      <c r="C861" s="398">
        <f t="shared" si="872"/>
        <v>124.75838466803559</v>
      </c>
      <c r="E861" s="25">
        <f>IF(C861&gt;$B$7,0,'Combined Retirement'!$D$13/12)</f>
        <v>0</v>
      </c>
      <c r="F861" s="25">
        <f>IF(H861=0,'Combined Retirement'!$D$32,0)+'Combined Retirement'!$B$24</f>
        <v>2870.372285649099</v>
      </c>
      <c r="G861" s="25">
        <f>'Combined Retirement'!$C$24</f>
        <v>3254.2644699519233</v>
      </c>
      <c r="H861" s="25">
        <f>IF(B861&lt;62,0,'Combined Retirement'!$I$14)</f>
        <v>2345</v>
      </c>
      <c r="I861" s="25">
        <f>IF(C861&lt;62,0,'Combined Retirement'!$I$13)</f>
        <v>2420</v>
      </c>
      <c r="J861" s="25">
        <f t="shared" si="783"/>
        <v>8395.6297298201844</v>
      </c>
      <c r="K861" s="25">
        <f t="shared" si="784"/>
        <v>21655.303514578787</v>
      </c>
      <c r="L861" s="25"/>
      <c r="N861" s="25">
        <f>'Combined Retirement'!$C$18/12</f>
        <v>40940.569999999992</v>
      </c>
      <c r="O861" s="25">
        <f t="shared" si="785"/>
        <v>10889.636755601023</v>
      </c>
      <c r="P861" s="25">
        <f t="shared" si="786"/>
        <v>30050.93324439897</v>
      </c>
      <c r="Q861" s="25">
        <f t="array" aca="1" ref="Q861" ca="1">INDEX('Isaac 401k'!L:L,MATCH('Retirement Calculator'!A861,'Isaac 401k'!N:N,0),0)</f>
        <v>-14470617.057361681</v>
      </c>
      <c r="R861" s="25">
        <f t="array" aca="1" ref="R861" ca="1">INDEX('Lorri 401b'!L:L,MATCH('Retirement Calculator'!A861,'Lorri 401b'!N:N,0),0)</f>
        <v>-24113249.144523989</v>
      </c>
      <c r="S861" s="25">
        <f t="shared" ca="1" si="787"/>
        <v>-38583866.20188567</v>
      </c>
    </row>
    <row r="862" spans="1:19" ht="15.75" customHeight="1" x14ac:dyDescent="0.25">
      <c r="A862" s="37">
        <v>77188</v>
      </c>
      <c r="B862" s="398">
        <f t="shared" ref="B862:C862" si="873">($A862-B$9)/365.25</f>
        <v>129.45106091718</v>
      </c>
      <c r="C862" s="398">
        <f t="shared" si="873"/>
        <v>124.84052019164956</v>
      </c>
      <c r="E862" s="25">
        <f>IF(C862&gt;$B$7,0,'Combined Retirement'!$D$13/12)</f>
        <v>0</v>
      </c>
      <c r="F862" s="25">
        <f>IF(H862=0,'Combined Retirement'!$D$32,0)+'Combined Retirement'!$B$24</f>
        <v>2870.372285649099</v>
      </c>
      <c r="G862" s="25">
        <f>'Combined Retirement'!$C$24</f>
        <v>3254.2644699519233</v>
      </c>
      <c r="H862" s="25">
        <f>IF(B862&lt;62,0,'Combined Retirement'!$I$14)</f>
        <v>2345</v>
      </c>
      <c r="I862" s="25">
        <f>IF(C862&lt;62,0,'Combined Retirement'!$I$13)</f>
        <v>2420</v>
      </c>
      <c r="J862" s="25">
        <f t="shared" si="783"/>
        <v>8395.6297298201844</v>
      </c>
      <c r="K862" s="25">
        <f t="shared" si="784"/>
        <v>21655.303514578787</v>
      </c>
      <c r="L862" s="25"/>
      <c r="N862" s="25">
        <f>'Combined Retirement'!$C$18/12</f>
        <v>40940.569999999992</v>
      </c>
      <c r="O862" s="25">
        <f t="shared" si="785"/>
        <v>10889.636755601023</v>
      </c>
      <c r="P862" s="25">
        <f t="shared" si="786"/>
        <v>30050.93324439897</v>
      </c>
      <c r="Q862" s="25">
        <f t="array" aca="1" ref="Q862" ca="1">INDEX('Isaac 401k'!L:L,MATCH('Retirement Calculator'!A862,'Isaac 401k'!N:N,0),0)</f>
        <v>-14539341.90662105</v>
      </c>
      <c r="R862" s="25">
        <f t="array" aca="1" ref="R862" ca="1">INDEX('Lorri 401b'!L:L,MATCH('Retirement Calculator'!A862,'Lorri 401b'!N:N,0),0)</f>
        <v>-24235466.549905393</v>
      </c>
      <c r="S862" s="25">
        <f t="shared" ca="1" si="787"/>
        <v>-38774808.456526443</v>
      </c>
    </row>
    <row r="863" spans="1:19" ht="15.75" customHeight="1" x14ac:dyDescent="0.25">
      <c r="A863" s="37">
        <v>77219</v>
      </c>
      <c r="B863" s="398">
        <f t="shared" ref="B863:C863" si="874">($A863-B$9)/365.25</f>
        <v>129.5359342915811</v>
      </c>
      <c r="C863" s="398">
        <f t="shared" si="874"/>
        <v>124.92539356605064</v>
      </c>
      <c r="E863" s="25">
        <f>IF(C863&gt;$B$7,0,'Combined Retirement'!$D$13/12)</f>
        <v>0</v>
      </c>
      <c r="F863" s="25">
        <f>IF(H863=0,'Combined Retirement'!$D$32,0)+'Combined Retirement'!$B$24</f>
        <v>2870.372285649099</v>
      </c>
      <c r="G863" s="25">
        <f>'Combined Retirement'!$C$24</f>
        <v>3254.2644699519233</v>
      </c>
      <c r="H863" s="25">
        <f>IF(B863&lt;62,0,'Combined Retirement'!$I$14)</f>
        <v>2345</v>
      </c>
      <c r="I863" s="25">
        <f>IF(C863&lt;62,0,'Combined Retirement'!$I$13)</f>
        <v>2420</v>
      </c>
      <c r="J863" s="25">
        <f t="shared" si="783"/>
        <v>8395.6297298201844</v>
      </c>
      <c r="K863" s="25">
        <f t="shared" si="784"/>
        <v>21655.303514578787</v>
      </c>
      <c r="L863" s="25"/>
      <c r="N863" s="25">
        <f>'Combined Retirement'!$C$18/12</f>
        <v>40940.569999999992</v>
      </c>
      <c r="O863" s="25">
        <f t="shared" si="785"/>
        <v>10889.636755601023</v>
      </c>
      <c r="P863" s="25">
        <f t="shared" si="786"/>
        <v>30050.93324439897</v>
      </c>
      <c r="Q863" s="25">
        <f t="array" aca="1" ref="Q863" ca="1">INDEX('Isaac 401k'!L:L,MATCH('Retirement Calculator'!A863,'Isaac 401k'!N:N,0),0)</f>
        <v>-14608353.109418999</v>
      </c>
      <c r="R863" s="25">
        <f t="array" aca="1" ref="R863" ca="1">INDEX('Lorri 401b'!L:L,MATCH('Retirement Calculator'!A863,'Lorri 401b'!N:N,0),0)</f>
        <v>-24358193.194475885</v>
      </c>
      <c r="S863" s="25">
        <f t="shared" ca="1" si="787"/>
        <v>-38966546.303894885</v>
      </c>
    </row>
    <row r="864" spans="1:19" ht="15.75" customHeight="1" x14ac:dyDescent="0.25">
      <c r="A864" s="37">
        <v>77249</v>
      </c>
      <c r="B864" s="398">
        <f t="shared" ref="B864:C864" si="875">($A864-B$9)/365.25</f>
        <v>129.61806981519507</v>
      </c>
      <c r="C864" s="398">
        <f t="shared" si="875"/>
        <v>125.00752908966462</v>
      </c>
      <c r="E864" s="25">
        <f>IF(C864&gt;$B$7,0,'Combined Retirement'!$D$13/12)</f>
        <v>0</v>
      </c>
      <c r="F864" s="25">
        <f>IF(H864=0,'Combined Retirement'!$D$32,0)+'Combined Retirement'!$B$24</f>
        <v>2870.372285649099</v>
      </c>
      <c r="G864" s="25">
        <f>'Combined Retirement'!$C$24</f>
        <v>3254.2644699519233</v>
      </c>
      <c r="H864" s="25">
        <f>IF(B864&lt;62,0,'Combined Retirement'!$I$14)</f>
        <v>2345</v>
      </c>
      <c r="I864" s="25">
        <f>IF(C864&lt;62,0,'Combined Retirement'!$I$13)</f>
        <v>2420</v>
      </c>
      <c r="J864" s="25">
        <f t="shared" si="783"/>
        <v>8395.6297298201844</v>
      </c>
      <c r="K864" s="25">
        <f t="shared" si="784"/>
        <v>21655.303514578787</v>
      </c>
      <c r="L864" s="25"/>
      <c r="N864" s="25">
        <f>'Combined Retirement'!$C$18/12</f>
        <v>40940.569999999992</v>
      </c>
      <c r="O864" s="25">
        <f t="shared" si="785"/>
        <v>10889.636755601023</v>
      </c>
      <c r="P864" s="25">
        <f t="shared" si="786"/>
        <v>30050.93324439897</v>
      </c>
      <c r="Q864" s="25">
        <f t="array" aca="1" ref="Q864" ca="1">INDEX('Isaac 401k'!L:L,MATCH('Retirement Calculator'!A864,'Isaac 401k'!N:N,0),0)</f>
        <v>-14677651.858895274</v>
      </c>
      <c r="R864" s="25">
        <f t="array" aca="1" ref="R864" ca="1">INDEX('Lorri 401b'!L:L,MATCH('Retirement Calculator'!A864,'Lorri 401b'!N:N,0),0)</f>
        <v>-24481431.200065423</v>
      </c>
      <c r="S864" s="25">
        <f t="shared" ca="1" si="787"/>
        <v>-39159083.058960699</v>
      </c>
    </row>
    <row r="865" spans="1:19" ht="15.75" customHeight="1" x14ac:dyDescent="0.25">
      <c r="A865" s="37">
        <v>77280</v>
      </c>
      <c r="B865" s="398">
        <f t="shared" ref="B865:C865" si="876">($A865-B$9)/365.25</f>
        <v>129.70294318959617</v>
      </c>
      <c r="C865" s="398">
        <f t="shared" si="876"/>
        <v>125.09240246406571</v>
      </c>
      <c r="E865" s="25">
        <f>IF(C865&gt;$B$7,0,'Combined Retirement'!$D$13/12)</f>
        <v>0</v>
      </c>
      <c r="F865" s="25">
        <f>IF(H865=0,'Combined Retirement'!$D$32,0)+'Combined Retirement'!$B$24</f>
        <v>2870.372285649099</v>
      </c>
      <c r="G865" s="25">
        <f>'Combined Retirement'!$C$24</f>
        <v>3254.2644699519233</v>
      </c>
      <c r="H865" s="25">
        <f>IF(B865&lt;62,0,'Combined Retirement'!$I$14)</f>
        <v>2345</v>
      </c>
      <c r="I865" s="25">
        <f>IF(C865&lt;62,0,'Combined Retirement'!$I$13)</f>
        <v>2420</v>
      </c>
      <c r="J865" s="25">
        <f t="shared" si="783"/>
        <v>8395.6297298201844</v>
      </c>
      <c r="K865" s="25">
        <f t="shared" si="784"/>
        <v>21655.303514578787</v>
      </c>
      <c r="L865" s="25"/>
      <c r="N865" s="25">
        <f>'Combined Retirement'!$C$18/12</f>
        <v>40940.569999999992</v>
      </c>
      <c r="O865" s="25">
        <f t="shared" si="785"/>
        <v>10889.636755601023</v>
      </c>
      <c r="P865" s="25">
        <f t="shared" si="786"/>
        <v>30050.93324439897</v>
      </c>
      <c r="Q865" s="25">
        <f t="array" aca="1" ref="Q865" ca="1">INDEX('Isaac 401k'!L:L,MATCH('Retirement Calculator'!A865,'Isaac 401k'!N:N,0),0)</f>
        <v>-14747239.353161031</v>
      </c>
      <c r="R865" s="25">
        <f t="array" aca="1" ref="R865" ca="1">INDEX('Lorri 401b'!L:L,MATCH('Retirement Calculator'!A865,'Lorri 401b'!N:N,0),0)</f>
        <v>-24605182.697344918</v>
      </c>
      <c r="S865" s="25">
        <f t="shared" ca="1" si="787"/>
        <v>-39352422.050505951</v>
      </c>
    </row>
    <row r="866" spans="1:19" ht="15.75" customHeight="1" x14ac:dyDescent="0.25">
      <c r="A866" s="37">
        <v>77311</v>
      </c>
      <c r="B866" s="398">
        <f t="shared" ref="B866:C866" si="877">($A866-B$9)/365.25</f>
        <v>129.78781656399727</v>
      </c>
      <c r="C866" s="398">
        <f t="shared" si="877"/>
        <v>125.1772758384668</v>
      </c>
      <c r="E866" s="25">
        <f>IF(C866&gt;$B$7,0,'Combined Retirement'!$D$13/12)</f>
        <v>0</v>
      </c>
      <c r="F866" s="25">
        <f>IF(H866=0,'Combined Retirement'!$D$32,0)+'Combined Retirement'!$B$24</f>
        <v>2870.372285649099</v>
      </c>
      <c r="G866" s="25">
        <f>'Combined Retirement'!$C$24</f>
        <v>3254.2644699519233</v>
      </c>
      <c r="H866" s="25">
        <f>IF(B866&lt;62,0,'Combined Retirement'!$I$14)</f>
        <v>2345</v>
      </c>
      <c r="I866" s="25">
        <f>IF(C866&lt;62,0,'Combined Retirement'!$I$13)</f>
        <v>2420</v>
      </c>
      <c r="J866" s="25">
        <f t="shared" si="783"/>
        <v>8395.6297298201844</v>
      </c>
      <c r="K866" s="25">
        <f t="shared" si="784"/>
        <v>21655.303514578787</v>
      </c>
      <c r="L866" s="25"/>
      <c r="N866" s="25">
        <f>'Combined Retirement'!$C$18/12</f>
        <v>40940.569999999992</v>
      </c>
      <c r="O866" s="25">
        <f t="shared" si="785"/>
        <v>10889.636755601023</v>
      </c>
      <c r="P866" s="25">
        <f t="shared" si="786"/>
        <v>30050.93324439897</v>
      </c>
      <c r="Q866" s="25">
        <f t="array" aca="1" ref="Q866" ca="1">INDEX('Isaac 401k'!L:L,MATCH('Retirement Calculator'!A866,'Isaac 401k'!N:N,0),0)</f>
        <v>-14817116.795319563</v>
      </c>
      <c r="R866" s="25">
        <f t="array" aca="1" ref="R866" ca="1">INDEX('Lorri 401b'!L:L,MATCH('Retirement Calculator'!A866,'Lorri 401b'!N:N,0),0)</f>
        <v>-24729449.825863078</v>
      </c>
      <c r="S866" s="25">
        <f t="shared" ca="1" si="787"/>
        <v>-39546566.621182643</v>
      </c>
    </row>
    <row r="867" spans="1:19" ht="15.75" customHeight="1" x14ac:dyDescent="0.25">
      <c r="A867" s="37">
        <v>77341</v>
      </c>
      <c r="B867" s="398">
        <f t="shared" ref="B867:C867" si="878">($A867-B$9)/365.25</f>
        <v>129.86995208761124</v>
      </c>
      <c r="C867" s="398">
        <f t="shared" si="878"/>
        <v>125.25941136208077</v>
      </c>
      <c r="E867" s="25">
        <f>IF(C867&gt;$B$7,0,'Combined Retirement'!$D$13/12)</f>
        <v>0</v>
      </c>
      <c r="F867" s="25">
        <f>IF(H867=0,'Combined Retirement'!$D$32,0)+'Combined Retirement'!$B$24</f>
        <v>2870.372285649099</v>
      </c>
      <c r="G867" s="25">
        <f>'Combined Retirement'!$C$24</f>
        <v>3254.2644699519233</v>
      </c>
      <c r="H867" s="25">
        <f>IF(B867&lt;62,0,'Combined Retirement'!$I$14)</f>
        <v>2345</v>
      </c>
      <c r="I867" s="25">
        <f>IF(C867&lt;62,0,'Combined Retirement'!$I$13)</f>
        <v>2420</v>
      </c>
      <c r="J867" s="25">
        <f t="shared" si="783"/>
        <v>8395.6297298201844</v>
      </c>
      <c r="K867" s="25">
        <f t="shared" si="784"/>
        <v>21655.303514578787</v>
      </c>
      <c r="L867" s="25"/>
      <c r="N867" s="25">
        <f>'Combined Retirement'!$C$18/12</f>
        <v>40940.569999999992</v>
      </c>
      <c r="O867" s="25">
        <f t="shared" si="785"/>
        <v>10889.636755601023</v>
      </c>
      <c r="P867" s="25">
        <f t="shared" si="786"/>
        <v>30050.93324439897</v>
      </c>
      <c r="Q867" s="25">
        <f t="array" aca="1" ref="Q867" ca="1">INDEX('Isaac 401k'!L:L,MATCH('Retirement Calculator'!A867,'Isaac 401k'!N:N,0),0)</f>
        <v>-14887285.393487088</v>
      </c>
      <c r="R867" s="25">
        <f t="array" aca="1" ref="R867" ca="1">INDEX('Lorri 401b'!L:L,MATCH('Retirement Calculator'!A867,'Lorri 401b'!N:N,0),0)</f>
        <v>-24854234.734083395</v>
      </c>
      <c r="S867" s="25">
        <f t="shared" ca="1" si="787"/>
        <v>-39741520.12757048</v>
      </c>
    </row>
    <row r="868" spans="1:19" ht="15.75" customHeight="1" x14ac:dyDescent="0.25">
      <c r="A868" s="37">
        <v>77372</v>
      </c>
      <c r="B868" s="398">
        <f t="shared" ref="B868:C868" si="879">($A868-B$9)/365.25</f>
        <v>129.95482546201231</v>
      </c>
      <c r="C868" s="398">
        <f t="shared" si="879"/>
        <v>125.34428473648187</v>
      </c>
      <c r="E868" s="25">
        <f>IF(C868&gt;$B$7,0,'Combined Retirement'!$D$13/12)</f>
        <v>0</v>
      </c>
      <c r="F868" s="25">
        <f>IF(H868=0,'Combined Retirement'!$D$32,0)+'Combined Retirement'!$B$24</f>
        <v>2870.372285649099</v>
      </c>
      <c r="G868" s="25">
        <f>'Combined Retirement'!$C$24</f>
        <v>3254.2644699519233</v>
      </c>
      <c r="H868" s="25">
        <f>IF(B868&lt;62,0,'Combined Retirement'!$I$14)</f>
        <v>2345</v>
      </c>
      <c r="I868" s="25">
        <f>IF(C868&lt;62,0,'Combined Retirement'!$I$13)</f>
        <v>2420</v>
      </c>
      <c r="J868" s="25">
        <f t="shared" si="783"/>
        <v>8395.6297298201844</v>
      </c>
      <c r="K868" s="25">
        <f t="shared" si="784"/>
        <v>21655.303514578787</v>
      </c>
      <c r="L868" s="25"/>
      <c r="N868" s="25">
        <f>'Combined Retirement'!$C$18/12</f>
        <v>40940.569999999992</v>
      </c>
      <c r="O868" s="25">
        <f t="shared" si="785"/>
        <v>10889.636755601023</v>
      </c>
      <c r="P868" s="25">
        <f t="shared" si="786"/>
        <v>30050.93324439897</v>
      </c>
      <c r="Q868" s="25">
        <f t="array" aca="1" ref="Q868" ca="1">INDEX('Isaac 401k'!L:L,MATCH('Retirement Calculator'!A868,'Isaac 401k'!N:N,0),0)</f>
        <v>-14957746.360813646</v>
      </c>
      <c r="R868" s="25">
        <f t="array" aca="1" ref="R868" ca="1">INDEX('Lorri 401b'!L:L,MATCH('Retirement Calculator'!A868,'Lorri 401b'!N:N,0),0)</f>
        <v>-24979539.579421297</v>
      </c>
      <c r="S868" s="25">
        <f t="shared" ca="1" si="787"/>
        <v>-39937285.940234944</v>
      </c>
    </row>
    <row r="869" spans="1:19" ht="15.75" customHeight="1" x14ac:dyDescent="0.25">
      <c r="A869" s="37">
        <v>77402</v>
      </c>
      <c r="B869" s="398">
        <f t="shared" ref="B869:C869" si="880">($A869-B$9)/365.25</f>
        <v>130.03696098562628</v>
      </c>
      <c r="C869" s="398">
        <f t="shared" si="880"/>
        <v>125.42642026009582</v>
      </c>
      <c r="E869" s="25">
        <f>IF(C869&gt;$B$7,0,'Combined Retirement'!$D$13/12)</f>
        <v>0</v>
      </c>
      <c r="F869" s="25">
        <f>IF(H869=0,'Combined Retirement'!$D$32,0)+'Combined Retirement'!$B$24</f>
        <v>2870.372285649099</v>
      </c>
      <c r="G869" s="25">
        <f>'Combined Retirement'!$C$24</f>
        <v>3254.2644699519233</v>
      </c>
      <c r="H869" s="25">
        <f>IF(B869&lt;62,0,'Combined Retirement'!$I$14)</f>
        <v>2345</v>
      </c>
      <c r="I869" s="25">
        <f>IF(C869&lt;62,0,'Combined Retirement'!$I$13)</f>
        <v>2420</v>
      </c>
      <c r="J869" s="25">
        <f t="shared" si="783"/>
        <v>8395.6297298201844</v>
      </c>
      <c r="K869" s="25">
        <f t="shared" si="784"/>
        <v>21655.303514578787</v>
      </c>
      <c r="L869" s="25"/>
      <c r="N869" s="25">
        <f>'Combined Retirement'!$C$18/12</f>
        <v>40940.569999999992</v>
      </c>
      <c r="O869" s="25">
        <f t="shared" si="785"/>
        <v>10889.636755601023</v>
      </c>
      <c r="P869" s="25">
        <f t="shared" si="786"/>
        <v>30050.93324439897</v>
      </c>
      <c r="Q869" s="25">
        <f t="array" aca="1" ref="Q869" ca="1">INDEX('Isaac 401k'!L:L,MATCH('Retirement Calculator'!A869,'Isaac 401k'!N:N,0),0)</f>
        <v>-15028500.915504064</v>
      </c>
      <c r="R869" s="25">
        <f t="array" aca="1" ref="R869" ca="1">INDEX('Lorri 401b'!L:L,MATCH('Retirement Calculator'!A869,'Lorri 401b'!N:N,0),0)</f>
        <v>-25105366.528281439</v>
      </c>
      <c r="S869" s="25">
        <f t="shared" ca="1" si="787"/>
        <v>-40133867.443785504</v>
      </c>
    </row>
    <row r="870" spans="1:19" ht="15.75" customHeight="1" x14ac:dyDescent="0.25">
      <c r="A870" s="37">
        <v>77433</v>
      </c>
      <c r="B870" s="398">
        <f t="shared" ref="B870:C870" si="881">($A870-B$9)/365.25</f>
        <v>130.12183436002738</v>
      </c>
      <c r="C870" s="398">
        <f t="shared" si="881"/>
        <v>125.51129363449692</v>
      </c>
      <c r="E870" s="25">
        <f>IF(C870&gt;$B$7,0,'Combined Retirement'!$D$13/12)</f>
        <v>0</v>
      </c>
      <c r="F870" s="25">
        <f>IF(H870=0,'Combined Retirement'!$D$32,0)+'Combined Retirement'!$B$24</f>
        <v>2870.372285649099</v>
      </c>
      <c r="G870" s="25">
        <f>'Combined Retirement'!$C$24</f>
        <v>3254.2644699519233</v>
      </c>
      <c r="H870" s="25">
        <f>IF(B870&lt;62,0,'Combined Retirement'!$I$14)</f>
        <v>2345</v>
      </c>
      <c r="I870" s="25">
        <f>IF(C870&lt;62,0,'Combined Retirement'!$I$13)</f>
        <v>2420</v>
      </c>
      <c r="J870" s="25">
        <f t="shared" si="783"/>
        <v>8395.6297298201844</v>
      </c>
      <c r="K870" s="25">
        <f t="shared" si="784"/>
        <v>21655.303514578787</v>
      </c>
      <c r="L870" s="25"/>
      <c r="N870" s="25">
        <f>'Combined Retirement'!$C$18/12</f>
        <v>40940.569999999992</v>
      </c>
      <c r="O870" s="25">
        <f t="shared" si="785"/>
        <v>10889.636755601023</v>
      </c>
      <c r="P870" s="25">
        <f t="shared" si="786"/>
        <v>30050.93324439897</v>
      </c>
      <c r="Q870" s="25">
        <f t="array" aca="1" ref="Q870" ca="1">INDEX('Isaac 401k'!L:L,MATCH('Retirement Calculator'!A870,'Isaac 401k'!N:N,0),0)</f>
        <v>-15099550.280839026</v>
      </c>
      <c r="R870" s="25">
        <f t="array" aca="1" ref="R870" ca="1">INDEX('Lorri 401b'!L:L,MATCH('Retirement Calculator'!A870,'Lorri 401b'!N:N,0),0)</f>
        <v>-25231717.756095167</v>
      </c>
      <c r="S870" s="25">
        <f t="shared" ca="1" si="787"/>
        <v>-40331268.036934197</v>
      </c>
    </row>
    <row r="871" spans="1:19" ht="15.75" customHeight="1" x14ac:dyDescent="0.25">
      <c r="A871" s="37">
        <v>77464</v>
      </c>
      <c r="B871" s="398">
        <f t="shared" ref="B871:C871" si="882">($A871-B$9)/365.25</f>
        <v>130.20670773442848</v>
      </c>
      <c r="C871" s="398">
        <f t="shared" si="882"/>
        <v>125.59616700889802</v>
      </c>
      <c r="E871" s="25">
        <f>IF(C871&gt;$B$7,0,'Combined Retirement'!$D$13/12)</f>
        <v>0</v>
      </c>
      <c r="F871" s="25">
        <f>IF(H871=0,'Combined Retirement'!$D$32,0)+'Combined Retirement'!$B$24</f>
        <v>2870.372285649099</v>
      </c>
      <c r="G871" s="25">
        <f>'Combined Retirement'!$C$24</f>
        <v>3254.2644699519233</v>
      </c>
      <c r="H871" s="25">
        <f>IF(B871&lt;62,0,'Combined Retirement'!$I$14)</f>
        <v>2345</v>
      </c>
      <c r="I871" s="25">
        <f>IF(C871&lt;62,0,'Combined Retirement'!$I$13)</f>
        <v>2420</v>
      </c>
      <c r="J871" s="25">
        <f t="shared" si="783"/>
        <v>8395.6297298201844</v>
      </c>
      <c r="K871" s="25">
        <f t="shared" si="784"/>
        <v>21655.303514578787</v>
      </c>
      <c r="L871" s="25"/>
      <c r="N871" s="25">
        <f>'Combined Retirement'!$C$18/12</f>
        <v>40940.569999999992</v>
      </c>
      <c r="O871" s="25">
        <f t="shared" si="785"/>
        <v>10889.636755601023</v>
      </c>
      <c r="P871" s="25">
        <f t="shared" si="786"/>
        <v>30050.93324439897</v>
      </c>
      <c r="Q871" s="25">
        <f t="array" aca="1" ref="Q871" ca="1">INDEX('Isaac 401k'!L:L,MATCH('Retirement Calculator'!A871,'Isaac 401k'!N:N,0),0)</f>
        <v>-15170895.685196217</v>
      </c>
      <c r="R871" s="25">
        <f t="array" aca="1" ref="R871" ca="1">INDEX('Lorri 401b'!L:L,MATCH('Retirement Calculator'!A871,'Lorri 401b'!N:N,0),0)</f>
        <v>-25358595.44735812</v>
      </c>
      <c r="S871" s="25">
        <f t="shared" ca="1" si="787"/>
        <v>-40529491.132554337</v>
      </c>
    </row>
    <row r="872" spans="1:19" ht="15.75" customHeight="1" x14ac:dyDescent="0.25">
      <c r="A872" s="37">
        <v>77493</v>
      </c>
      <c r="B872" s="398">
        <f t="shared" ref="B872:C872" si="883">($A872-B$9)/365.25</f>
        <v>130.28610540725529</v>
      </c>
      <c r="C872" s="398">
        <f t="shared" si="883"/>
        <v>125.67556468172485</v>
      </c>
      <c r="E872" s="25">
        <f>IF(C872&gt;$B$7,0,'Combined Retirement'!$D$13/12)</f>
        <v>0</v>
      </c>
      <c r="F872" s="25">
        <f>IF(H872=0,'Combined Retirement'!$D$32,0)+'Combined Retirement'!$B$24</f>
        <v>2870.372285649099</v>
      </c>
      <c r="G872" s="25">
        <f>'Combined Retirement'!$C$24</f>
        <v>3254.2644699519233</v>
      </c>
      <c r="H872" s="25">
        <f>IF(B872&lt;62,0,'Combined Retirement'!$I$14)</f>
        <v>2345</v>
      </c>
      <c r="I872" s="25">
        <f>IF(C872&lt;62,0,'Combined Retirement'!$I$13)</f>
        <v>2420</v>
      </c>
      <c r="J872" s="25">
        <f t="shared" si="783"/>
        <v>8395.6297298201844</v>
      </c>
      <c r="K872" s="25">
        <f t="shared" si="784"/>
        <v>21655.303514578787</v>
      </c>
      <c r="L872" s="25"/>
      <c r="N872" s="25">
        <f>'Combined Retirement'!$C$18/12</f>
        <v>40940.569999999992</v>
      </c>
      <c r="O872" s="25">
        <f t="shared" si="785"/>
        <v>10889.636755601023</v>
      </c>
      <c r="P872" s="25">
        <f t="shared" si="786"/>
        <v>30050.93324439897</v>
      </c>
      <c r="Q872" s="25">
        <f t="array" aca="1" ref="Q872" ca="1">INDEX('Isaac 401k'!L:L,MATCH('Retirement Calculator'!A872,'Isaac 401k'!N:N,0),0)</f>
        <v>-15242538.362071563</v>
      </c>
      <c r="R872" s="25">
        <f t="array" aca="1" ref="R872" ca="1">INDEX('Lorri 401b'!L:L,MATCH('Retirement Calculator'!A872,'Lorri 401b'!N:N,0),0)</f>
        <v>-25486001.795668002</v>
      </c>
      <c r="S872" s="25">
        <f t="shared" ca="1" si="787"/>
        <v>-40728540.157739565</v>
      </c>
    </row>
    <row r="873" spans="1:19" ht="15.75" customHeight="1" x14ac:dyDescent="0.25">
      <c r="A873" s="37">
        <v>77524</v>
      </c>
      <c r="B873" s="398">
        <f t="shared" ref="B873:C873" si="884">($A873-B$9)/365.25</f>
        <v>130.37097878165639</v>
      </c>
      <c r="C873" s="398">
        <f t="shared" si="884"/>
        <v>125.76043805612593</v>
      </c>
      <c r="E873" s="25">
        <f>IF(C873&gt;$B$7,0,'Combined Retirement'!$D$13/12)</f>
        <v>0</v>
      </c>
      <c r="F873" s="25">
        <f>IF(H873=0,'Combined Retirement'!$D$32,0)+'Combined Retirement'!$B$24</f>
        <v>2870.372285649099</v>
      </c>
      <c r="G873" s="25">
        <f>'Combined Retirement'!$C$24</f>
        <v>3254.2644699519233</v>
      </c>
      <c r="H873" s="25">
        <f>IF(B873&lt;62,0,'Combined Retirement'!$I$14)</f>
        <v>2345</v>
      </c>
      <c r="I873" s="25">
        <f>IF(C873&lt;62,0,'Combined Retirement'!$I$13)</f>
        <v>2420</v>
      </c>
      <c r="J873" s="25">
        <f t="shared" si="783"/>
        <v>8395.6297298201844</v>
      </c>
      <c r="K873" s="25">
        <f t="shared" si="784"/>
        <v>21655.303514578787</v>
      </c>
      <c r="L873" s="25"/>
      <c r="N873" s="25">
        <f>'Combined Retirement'!$C$18/12</f>
        <v>40940.569999999992</v>
      </c>
      <c r="O873" s="25">
        <f t="shared" si="785"/>
        <v>10889.636755601023</v>
      </c>
      <c r="P873" s="25">
        <f t="shared" si="786"/>
        <v>30050.93324439897</v>
      </c>
      <c r="Q873" s="25">
        <f t="array" aca="1" ref="Q873" ca="1">INDEX('Isaac 401k'!L:L,MATCH('Retirement Calculator'!A873,'Isaac 401k'!N:N,0),0)</f>
        <v>-15314479.550100556</v>
      </c>
      <c r="R873" s="25">
        <f t="array" aca="1" ref="R873" ca="1">INDEX('Lorri 401b'!L:L,MATCH('Retirement Calculator'!A873,'Lorri 401b'!N:N,0),0)</f>
        <v>-25613939.003762506</v>
      </c>
      <c r="S873" s="25">
        <f t="shared" ca="1" si="787"/>
        <v>-40928418.553863063</v>
      </c>
    </row>
    <row r="874" spans="1:19" ht="15.75" customHeight="1" x14ac:dyDescent="0.25">
      <c r="A874" s="37">
        <v>77554</v>
      </c>
      <c r="B874" s="398">
        <f t="shared" ref="B874:C874" si="885">($A874-B$9)/365.25</f>
        <v>130.45311430527036</v>
      </c>
      <c r="C874" s="398">
        <f t="shared" si="885"/>
        <v>125.84257357973991</v>
      </c>
      <c r="E874" s="25">
        <f>IF(C874&gt;$B$7,0,'Combined Retirement'!$D$13/12)</f>
        <v>0</v>
      </c>
      <c r="F874" s="25">
        <f>IF(H874=0,'Combined Retirement'!$D$32,0)+'Combined Retirement'!$B$24</f>
        <v>2870.372285649099</v>
      </c>
      <c r="G874" s="25">
        <f>'Combined Retirement'!$C$24</f>
        <v>3254.2644699519233</v>
      </c>
      <c r="H874" s="25">
        <f>IF(B874&lt;62,0,'Combined Retirement'!$I$14)</f>
        <v>2345</v>
      </c>
      <c r="I874" s="25">
        <f>IF(C874&lt;62,0,'Combined Retirement'!$I$13)</f>
        <v>2420</v>
      </c>
      <c r="J874" s="25">
        <f t="shared" si="783"/>
        <v>8395.6297298201844</v>
      </c>
      <c r="K874" s="25">
        <f t="shared" si="784"/>
        <v>21655.303514578787</v>
      </c>
      <c r="L874" s="25"/>
      <c r="N874" s="25">
        <f>'Combined Retirement'!$C$18/12</f>
        <v>40940.569999999992</v>
      </c>
      <c r="O874" s="25">
        <f t="shared" si="785"/>
        <v>10889.636755601023</v>
      </c>
      <c r="P874" s="25">
        <f t="shared" si="786"/>
        <v>30050.93324439897</v>
      </c>
      <c r="Q874" s="25">
        <f t="array" aca="1" ref="Q874" ca="1">INDEX('Isaac 401k'!L:L,MATCH('Retirement Calculator'!A874,'Isaac 401k'!N:N,0),0)</f>
        <v>-15386720.49307967</v>
      </c>
      <c r="R874" s="25">
        <f t="array" aca="1" ref="R874" ca="1">INDEX('Lorri 401b'!L:L,MATCH('Retirement Calculator'!A874,'Lorri 401b'!N:N,0),0)</f>
        <v>-25742409.283557404</v>
      </c>
      <c r="S874" s="25">
        <f t="shared" ca="1" si="787"/>
        <v>-41129129.776637077</v>
      </c>
    </row>
    <row r="875" spans="1:19" ht="15.75" customHeight="1" x14ac:dyDescent="0.25">
      <c r="A875" s="37">
        <v>77585</v>
      </c>
      <c r="B875" s="398">
        <f t="shared" ref="B875:C875" si="886">($A875-B$9)/365.25</f>
        <v>130.53798767967146</v>
      </c>
      <c r="C875" s="398">
        <f t="shared" si="886"/>
        <v>125.927446954141</v>
      </c>
      <c r="E875" s="25">
        <f>IF(C875&gt;$B$7,0,'Combined Retirement'!$D$13/12)</f>
        <v>0</v>
      </c>
      <c r="F875" s="25">
        <f>IF(H875=0,'Combined Retirement'!$D$32,0)+'Combined Retirement'!$B$24</f>
        <v>2870.372285649099</v>
      </c>
      <c r="G875" s="25">
        <f>'Combined Retirement'!$C$24</f>
        <v>3254.2644699519233</v>
      </c>
      <c r="H875" s="25">
        <f>IF(B875&lt;62,0,'Combined Retirement'!$I$14)</f>
        <v>2345</v>
      </c>
      <c r="I875" s="25">
        <f>IF(C875&lt;62,0,'Combined Retirement'!$I$13)</f>
        <v>2420</v>
      </c>
      <c r="J875" s="25">
        <f t="shared" si="783"/>
        <v>8395.6297298201844</v>
      </c>
      <c r="K875" s="25">
        <f t="shared" si="784"/>
        <v>21655.303514578787</v>
      </c>
      <c r="L875" s="25"/>
      <c r="N875" s="25">
        <f>'Combined Retirement'!$C$18/12</f>
        <v>40940.569999999992</v>
      </c>
      <c r="O875" s="25">
        <f t="shared" si="785"/>
        <v>10889.636755601023</v>
      </c>
      <c r="P875" s="25">
        <f t="shared" si="786"/>
        <v>30050.93324439897</v>
      </c>
      <c r="Q875" s="25">
        <f t="array" aca="1" ref="Q875" ca="1">INDEX('Isaac 401k'!L:L,MATCH('Retirement Calculator'!A875,'Isaac 401k'!N:N,0),0)</f>
        <v>-15459262.439987862</v>
      </c>
      <c r="R875" s="25">
        <f t="array" aca="1" ref="R875" ca="1">INDEX('Lorri 401b'!L:L,MATCH('Retirement Calculator'!A875,'Lorri 401b'!N:N,0),0)</f>
        <v>-25871414.856184781</v>
      </c>
      <c r="S875" s="25">
        <f t="shared" ca="1" si="787"/>
        <v>-41330677.296172641</v>
      </c>
    </row>
    <row r="876" spans="1:19" ht="15.75" customHeight="1" x14ac:dyDescent="0.25">
      <c r="A876" s="37">
        <v>77615</v>
      </c>
      <c r="B876" s="398">
        <f t="shared" ref="B876:C876" si="887">($A876-B$9)/365.25</f>
        <v>130.62012320328543</v>
      </c>
      <c r="C876" s="398">
        <f t="shared" si="887"/>
        <v>126.00958247775496</v>
      </c>
      <c r="E876" s="25">
        <f>IF(C876&gt;$B$7,0,'Combined Retirement'!$D$13/12)</f>
        <v>0</v>
      </c>
      <c r="F876" s="25">
        <f>IF(H876=0,'Combined Retirement'!$D$32,0)+'Combined Retirement'!$B$24</f>
        <v>2870.372285649099</v>
      </c>
      <c r="G876" s="25">
        <f>'Combined Retirement'!$C$24</f>
        <v>3254.2644699519233</v>
      </c>
      <c r="H876" s="25">
        <f>IF(B876&lt;62,0,'Combined Retirement'!$I$14)</f>
        <v>2345</v>
      </c>
      <c r="I876" s="25">
        <f>IF(C876&lt;62,0,'Combined Retirement'!$I$13)</f>
        <v>2420</v>
      </c>
      <c r="J876" s="25">
        <f t="shared" si="783"/>
        <v>8395.6297298201844</v>
      </c>
      <c r="K876" s="25">
        <f t="shared" si="784"/>
        <v>21655.303514578787</v>
      </c>
      <c r="L876" s="25"/>
      <c r="N876" s="25">
        <f>'Combined Retirement'!$C$18/12</f>
        <v>40940.569999999992</v>
      </c>
      <c r="O876" s="25">
        <f t="shared" si="785"/>
        <v>10889.636755601023</v>
      </c>
      <c r="P876" s="25">
        <f t="shared" si="786"/>
        <v>30050.93324439897</v>
      </c>
      <c r="Q876" s="25">
        <f t="array" aca="1" ref="Q876" ca="1">INDEX('Isaac 401k'!L:L,MATCH('Retirement Calculator'!A876,'Isaac 401k'!N:N,0),0)</f>
        <v>-15532106.645008173</v>
      </c>
      <c r="R876" s="25">
        <f t="array" aca="1" ref="R876" ca="1">INDEX('Lorri 401b'!L:L,MATCH('Retirement Calculator'!A876,'Lorri 401b'!N:N,0),0)</f>
        <v>-26000957.952031437</v>
      </c>
      <c r="S876" s="25">
        <f t="shared" ca="1" si="787"/>
        <v>-41533064.59703961</v>
      </c>
    </row>
    <row r="877" spans="1:19" ht="15.75" customHeight="1" x14ac:dyDescent="0.25">
      <c r="A877" s="37">
        <v>77646</v>
      </c>
      <c r="B877" s="398">
        <f t="shared" ref="B877:C877" si="888">($A877-B$9)/365.25</f>
        <v>130.70499657768653</v>
      </c>
      <c r="C877" s="398">
        <f t="shared" si="888"/>
        <v>126.09445585215606</v>
      </c>
      <c r="E877" s="25">
        <f>IF(C877&gt;$B$7,0,'Combined Retirement'!$D$13/12)</f>
        <v>0</v>
      </c>
      <c r="F877" s="25">
        <f>IF(H877=0,'Combined Retirement'!$D$32,0)+'Combined Retirement'!$B$24</f>
        <v>2870.372285649099</v>
      </c>
      <c r="G877" s="25">
        <f>'Combined Retirement'!$C$24</f>
        <v>3254.2644699519233</v>
      </c>
      <c r="H877" s="25">
        <f>IF(B877&lt;62,0,'Combined Retirement'!$I$14)</f>
        <v>2345</v>
      </c>
      <c r="I877" s="25">
        <f>IF(C877&lt;62,0,'Combined Retirement'!$I$13)</f>
        <v>2420</v>
      </c>
      <c r="J877" s="25">
        <f t="shared" si="783"/>
        <v>8395.6297298201844</v>
      </c>
      <c r="K877" s="25">
        <f t="shared" si="784"/>
        <v>21655.303514578787</v>
      </c>
      <c r="L877" s="25"/>
      <c r="N877" s="25">
        <f>'Combined Retirement'!$C$18/12</f>
        <v>40940.569999999992</v>
      </c>
      <c r="O877" s="25">
        <f t="shared" si="785"/>
        <v>10889.636755601023</v>
      </c>
      <c r="P877" s="25">
        <f t="shared" si="786"/>
        <v>30050.93324439897</v>
      </c>
      <c r="Q877" s="25">
        <f t="array" aca="1" ref="Q877" ca="1">INDEX('Isaac 401k'!L:L,MATCH('Retirement Calculator'!A877,'Isaac 401k'!N:N,0),0)</f>
        <v>-15605254.367549401</v>
      </c>
      <c r="R877" s="25">
        <f t="array" aca="1" ref="R877" ca="1">INDEX('Lorri 401b'!L:L,MATCH('Retirement Calculator'!A877,'Lorri 401b'!N:N,0),0)</f>
        <v>-26131040.810777456</v>
      </c>
      <c r="S877" s="25">
        <f t="shared" ca="1" si="787"/>
        <v>-41736295.17832686</v>
      </c>
    </row>
    <row r="878" spans="1:19" ht="15.75" customHeight="1" x14ac:dyDescent="0.25">
      <c r="A878" s="37">
        <v>77677</v>
      </c>
      <c r="B878" s="398">
        <f t="shared" ref="B878:C878" si="889">($A878-B$9)/365.25</f>
        <v>130.7898699520876</v>
      </c>
      <c r="C878" s="398">
        <f t="shared" si="889"/>
        <v>126.17932922655716</v>
      </c>
      <c r="E878" s="25">
        <f>IF(C878&gt;$B$7,0,'Combined Retirement'!$D$13/12)</f>
        <v>0</v>
      </c>
      <c r="F878" s="25">
        <f>IF(H878=0,'Combined Retirement'!$D$32,0)+'Combined Retirement'!$B$24</f>
        <v>2870.372285649099</v>
      </c>
      <c r="G878" s="25">
        <f>'Combined Retirement'!$C$24</f>
        <v>3254.2644699519233</v>
      </c>
      <c r="H878" s="25">
        <f>IF(B878&lt;62,0,'Combined Retirement'!$I$14)</f>
        <v>2345</v>
      </c>
      <c r="I878" s="25">
        <f>IF(C878&lt;62,0,'Combined Retirement'!$I$13)</f>
        <v>2420</v>
      </c>
      <c r="J878" s="25">
        <f t="shared" si="783"/>
        <v>8395.6297298201844</v>
      </c>
      <c r="K878" s="25">
        <f t="shared" si="784"/>
        <v>21655.303514578787</v>
      </c>
      <c r="L878" s="25"/>
      <c r="N878" s="25">
        <f>'Combined Retirement'!$C$18/12</f>
        <v>40940.569999999992</v>
      </c>
      <c r="O878" s="25">
        <f t="shared" si="785"/>
        <v>10889.636755601023</v>
      </c>
      <c r="P878" s="25">
        <f t="shared" si="786"/>
        <v>30050.93324439897</v>
      </c>
      <c r="Q878" s="25">
        <f t="array" aca="1" ref="Q878" ca="1">INDEX('Isaac 401k'!L:L,MATCH('Retirement Calculator'!A878,'Isaac 401k'!N:N,0),0)</f>
        <v>-15678706.872267885</v>
      </c>
      <c r="R878" s="25">
        <f t="array" aca="1" ref="R878" ca="1">INDEX('Lorri 401b'!L:L,MATCH('Retirement Calculator'!A878,'Lorri 401b'!N:N,0),0)</f>
        <v>-26261665.681434918</v>
      </c>
      <c r="S878" s="25">
        <f t="shared" ca="1" si="787"/>
        <v>-41940372.553702801</v>
      </c>
    </row>
    <row r="879" spans="1:19" ht="15.75" customHeight="1" x14ac:dyDescent="0.25">
      <c r="A879" s="37">
        <v>77707</v>
      </c>
      <c r="B879" s="398">
        <f t="shared" ref="B879:C879" si="890">($A879-B$9)/365.25</f>
        <v>130.87200547570157</v>
      </c>
      <c r="C879" s="398">
        <f t="shared" si="890"/>
        <v>126.26146475017111</v>
      </c>
      <c r="E879" s="25">
        <f>IF(C879&gt;$B$7,0,'Combined Retirement'!$D$13/12)</f>
        <v>0</v>
      </c>
      <c r="F879" s="25">
        <f>IF(H879=0,'Combined Retirement'!$D$32,0)+'Combined Retirement'!$B$24</f>
        <v>2870.372285649099</v>
      </c>
      <c r="G879" s="25">
        <f>'Combined Retirement'!$C$24</f>
        <v>3254.2644699519233</v>
      </c>
      <c r="H879" s="25">
        <f>IF(B879&lt;62,0,'Combined Retirement'!$I$14)</f>
        <v>2345</v>
      </c>
      <c r="I879" s="25">
        <f>IF(C879&lt;62,0,'Combined Retirement'!$I$13)</f>
        <v>2420</v>
      </c>
      <c r="J879" s="25">
        <f t="shared" si="783"/>
        <v>8395.6297298201844</v>
      </c>
      <c r="K879" s="25">
        <f t="shared" si="784"/>
        <v>21655.303514578787</v>
      </c>
      <c r="L879" s="25"/>
      <c r="N879" s="25">
        <f>'Combined Retirement'!$C$18/12</f>
        <v>40940.569999999992</v>
      </c>
      <c r="O879" s="25">
        <f t="shared" si="785"/>
        <v>10889.636755601023</v>
      </c>
      <c r="P879" s="25">
        <f t="shared" si="786"/>
        <v>30050.93324439897</v>
      </c>
      <c r="Q879" s="25">
        <f t="array" aca="1" ref="Q879" ca="1">INDEX('Isaac 401k'!L:L,MATCH('Retirement Calculator'!A879,'Isaac 401k'!N:N,0),0)</f>
        <v>-15752465.429089362</v>
      </c>
      <c r="R879" s="25">
        <f t="array" aca="1" ref="R879" ca="1">INDEX('Lorri 401b'!L:L,MATCH('Retirement Calculator'!A879,'Lorri 401b'!N:N,0),0)</f>
        <v>-26392834.822386786</v>
      </c>
      <c r="S879" s="25">
        <f t="shared" ca="1" si="787"/>
        <v>-42145300.251476146</v>
      </c>
    </row>
    <row r="880" spans="1:19" ht="15.75" customHeight="1" x14ac:dyDescent="0.25">
      <c r="A880" s="37">
        <v>77738</v>
      </c>
      <c r="B880" s="398">
        <f t="shared" ref="B880:C880" si="891">($A880-B$9)/365.25</f>
        <v>130.95687885010267</v>
      </c>
      <c r="C880" s="398">
        <f t="shared" si="891"/>
        <v>126.34633812457221</v>
      </c>
      <c r="E880" s="25">
        <f>IF(C880&gt;$B$7,0,'Combined Retirement'!$D$13/12)</f>
        <v>0</v>
      </c>
      <c r="F880" s="25">
        <f>IF(H880=0,'Combined Retirement'!$D$32,0)+'Combined Retirement'!$B$24</f>
        <v>2870.372285649099</v>
      </c>
      <c r="G880" s="25">
        <f>'Combined Retirement'!$C$24</f>
        <v>3254.2644699519233</v>
      </c>
      <c r="H880" s="25">
        <f>IF(B880&lt;62,0,'Combined Retirement'!$I$14)</f>
        <v>2345</v>
      </c>
      <c r="I880" s="25">
        <f>IF(C880&lt;62,0,'Combined Retirement'!$I$13)</f>
        <v>2420</v>
      </c>
      <c r="J880" s="25">
        <f t="shared" si="783"/>
        <v>8395.6297298201844</v>
      </c>
      <c r="K880" s="25">
        <f t="shared" si="784"/>
        <v>21655.303514578787</v>
      </c>
      <c r="L880" s="25"/>
      <c r="N880" s="25">
        <f>'Combined Retirement'!$C$18/12</f>
        <v>40940.569999999992</v>
      </c>
      <c r="O880" s="25">
        <f t="shared" si="785"/>
        <v>10889.636755601023</v>
      </c>
      <c r="P880" s="25">
        <f t="shared" si="786"/>
        <v>30050.93324439897</v>
      </c>
      <c r="Q880" s="25">
        <f t="array" aca="1" ref="Q880" ca="1">INDEX('Isaac 401k'!L:L,MATCH('Retirement Calculator'!A880,'Isaac 401k'!N:N,0),0)</f>
        <v>-15826531.313230928</v>
      </c>
      <c r="R880" s="25">
        <f t="array" aca="1" ref="R880" ca="1">INDEX('Lorri 401b'!L:L,MATCH('Retirement Calculator'!A880,'Lorri 401b'!N:N,0),0)</f>
        <v>-26524550.501425952</v>
      </c>
      <c r="S880" s="25">
        <f t="shared" ca="1" si="787"/>
        <v>-42351081.814656883</v>
      </c>
    </row>
    <row r="881" spans="1:19" ht="15.75" customHeight="1" x14ac:dyDescent="0.25">
      <c r="A881" s="37">
        <v>77768</v>
      </c>
      <c r="B881" s="398">
        <f t="shared" ref="B881:C881" si="892">($A881-B$9)/365.25</f>
        <v>131.03901437371664</v>
      </c>
      <c r="C881" s="398">
        <f t="shared" si="892"/>
        <v>126.42847364818617</v>
      </c>
      <c r="E881" s="25">
        <f>IF(C881&gt;$B$7,0,'Combined Retirement'!$D$13/12)</f>
        <v>0</v>
      </c>
      <c r="F881" s="25">
        <f>IF(H881=0,'Combined Retirement'!$D$32,0)+'Combined Retirement'!$B$24</f>
        <v>2870.372285649099</v>
      </c>
      <c r="G881" s="25">
        <f>'Combined Retirement'!$C$24</f>
        <v>3254.2644699519233</v>
      </c>
      <c r="H881" s="25">
        <f>IF(B881&lt;62,0,'Combined Retirement'!$I$14)</f>
        <v>2345</v>
      </c>
      <c r="I881" s="25">
        <f>IF(C881&lt;62,0,'Combined Retirement'!$I$13)</f>
        <v>2420</v>
      </c>
      <c r="J881" s="25">
        <f t="shared" si="783"/>
        <v>8395.6297298201844</v>
      </c>
      <c r="K881" s="25">
        <f t="shared" si="784"/>
        <v>21655.303514578787</v>
      </c>
      <c r="L881" s="25"/>
      <c r="N881" s="25">
        <f>'Combined Retirement'!$C$18/12</f>
        <v>40940.569999999992</v>
      </c>
      <c r="O881" s="25">
        <f t="shared" si="785"/>
        <v>10889.636755601023</v>
      </c>
      <c r="P881" s="25">
        <f t="shared" si="786"/>
        <v>30050.93324439897</v>
      </c>
      <c r="Q881" s="25">
        <f t="array" aca="1" ref="Q881" ca="1">INDEX('Isaac 401k'!L:L,MATCH('Retirement Calculator'!A881,'Isaac 401k'!N:N,0),0)</f>
        <v>-15900905.805223085</v>
      </c>
      <c r="R881" s="25">
        <f t="array" aca="1" ref="R881" ca="1">INDEX('Lorri 401b'!L:L,MATCH('Retirement Calculator'!A881,'Lorri 401b'!N:N,0),0)</f>
        <v>-26656814.995794449</v>
      </c>
      <c r="S881" s="25">
        <f t="shared" ca="1" si="787"/>
        <v>-42557720.801017538</v>
      </c>
    </row>
    <row r="882" spans="1:19" ht="15.75" customHeight="1" x14ac:dyDescent="0.25">
      <c r="A882" s="37">
        <v>77799</v>
      </c>
      <c r="B882" s="398">
        <f t="shared" ref="B882:C882" si="893">($A882-B$9)/365.25</f>
        <v>131.12388774811774</v>
      </c>
      <c r="C882" s="398">
        <f t="shared" si="893"/>
        <v>126.51334702258727</v>
      </c>
      <c r="E882" s="25">
        <f>IF(C882&gt;$B$7,0,'Combined Retirement'!$D$13/12)</f>
        <v>0</v>
      </c>
      <c r="F882" s="25">
        <f>IF(H882=0,'Combined Retirement'!$D$32,0)+'Combined Retirement'!$B$24</f>
        <v>2870.372285649099</v>
      </c>
      <c r="G882" s="25">
        <f>'Combined Retirement'!$C$24</f>
        <v>3254.2644699519233</v>
      </c>
      <c r="H882" s="25">
        <f>IF(B882&lt;62,0,'Combined Retirement'!$I$14)</f>
        <v>2345</v>
      </c>
      <c r="I882" s="25">
        <f>IF(C882&lt;62,0,'Combined Retirement'!$I$13)</f>
        <v>2420</v>
      </c>
      <c r="J882" s="25">
        <f t="shared" si="783"/>
        <v>8395.6297298201844</v>
      </c>
      <c r="K882" s="25">
        <f t="shared" si="784"/>
        <v>21655.303514578787</v>
      </c>
      <c r="L882" s="25"/>
      <c r="N882" s="25">
        <f>'Combined Retirement'!$C$18/12</f>
        <v>40940.569999999992</v>
      </c>
      <c r="O882" s="25">
        <f t="shared" si="785"/>
        <v>10889.636755601023</v>
      </c>
      <c r="P882" s="25">
        <f t="shared" si="786"/>
        <v>30050.93324439897</v>
      </c>
      <c r="Q882" s="25">
        <f t="array" aca="1" ref="Q882" ca="1">INDEX('Isaac 401k'!L:L,MATCH('Retirement Calculator'!A882,'Isaac 401k'!N:N,0),0)</f>
        <v>-15975590.190931875</v>
      </c>
      <c r="R882" s="25">
        <f t="array" aca="1" ref="R882" ca="1">INDEX('Lorri 401b'!L:L,MATCH('Retirement Calculator'!A882,'Lorri 401b'!N:N,0),0)</f>
        <v>-26789630.592222814</v>
      </c>
      <c r="S882" s="25">
        <f t="shared" ca="1" si="787"/>
        <v>-42765220.783154689</v>
      </c>
    </row>
    <row r="883" spans="1:19" ht="15.75" customHeight="1" x14ac:dyDescent="0.25">
      <c r="A883" s="37">
        <v>77830</v>
      </c>
      <c r="B883" s="398">
        <f t="shared" ref="B883:C883" si="894">($A883-B$9)/365.25</f>
        <v>131.20876112251884</v>
      </c>
      <c r="C883" s="398">
        <f t="shared" si="894"/>
        <v>126.59822039698837</v>
      </c>
      <c r="E883" s="25">
        <f>IF(C883&gt;$B$7,0,'Combined Retirement'!$D$13/12)</f>
        <v>0</v>
      </c>
      <c r="F883" s="25">
        <f>IF(H883=0,'Combined Retirement'!$D$32,0)+'Combined Retirement'!$B$24</f>
        <v>2870.372285649099</v>
      </c>
      <c r="G883" s="25">
        <f>'Combined Retirement'!$C$24</f>
        <v>3254.2644699519233</v>
      </c>
      <c r="H883" s="25">
        <f>IF(B883&lt;62,0,'Combined Retirement'!$I$14)</f>
        <v>2345</v>
      </c>
      <c r="I883" s="25">
        <f>IF(C883&lt;62,0,'Combined Retirement'!$I$13)</f>
        <v>2420</v>
      </c>
      <c r="J883" s="25">
        <f t="shared" si="783"/>
        <v>8395.6297298201844</v>
      </c>
      <c r="K883" s="25">
        <f t="shared" si="784"/>
        <v>21655.303514578787</v>
      </c>
      <c r="L883" s="25"/>
      <c r="N883" s="25">
        <f>'Combined Retirement'!$C$18/12</f>
        <v>40940.569999999992</v>
      </c>
      <c r="O883" s="25">
        <f t="shared" si="785"/>
        <v>10889.636755601023</v>
      </c>
      <c r="P883" s="25">
        <f t="shared" si="786"/>
        <v>30050.93324439897</v>
      </c>
      <c r="Q883" s="25">
        <f t="array" aca="1" ref="Q883" ca="1">INDEX('Isaac 401k'!L:L,MATCH('Retirement Calculator'!A883,'Isaac 401k'!N:N,0),0)</f>
        <v>-16050585.761581119</v>
      </c>
      <c r="R883" s="25">
        <f t="array" aca="1" ref="R883" ca="1">INDEX('Lorri 401b'!L:L,MATCH('Retirement Calculator'!A883,'Lorri 401b'!N:N,0),0)</f>
        <v>-26922999.586969629</v>
      </c>
      <c r="S883" s="25">
        <f t="shared" ca="1" si="787"/>
        <v>-42973585.348550752</v>
      </c>
    </row>
    <row r="884" spans="1:19" ht="15.75" customHeight="1" x14ac:dyDescent="0.25">
      <c r="A884" s="37">
        <v>77858</v>
      </c>
      <c r="B884" s="398">
        <f t="shared" ref="B884:C884" si="895">($A884-B$9)/365.25</f>
        <v>131.28542094455852</v>
      </c>
      <c r="C884" s="398">
        <f t="shared" si="895"/>
        <v>126.67488021902807</v>
      </c>
      <c r="E884" s="25">
        <f>IF(C884&gt;$B$7,0,'Combined Retirement'!$D$13/12)</f>
        <v>0</v>
      </c>
      <c r="F884" s="25">
        <f>IF(H884=0,'Combined Retirement'!$D$32,0)+'Combined Retirement'!$B$24</f>
        <v>2870.372285649099</v>
      </c>
      <c r="G884" s="25">
        <f>'Combined Retirement'!$C$24</f>
        <v>3254.2644699519233</v>
      </c>
      <c r="H884" s="25">
        <f>IF(B884&lt;62,0,'Combined Retirement'!$I$14)</f>
        <v>2345</v>
      </c>
      <c r="I884" s="25">
        <f>IF(C884&lt;62,0,'Combined Retirement'!$I$13)</f>
        <v>2420</v>
      </c>
      <c r="J884" s="25">
        <f t="shared" si="783"/>
        <v>8395.6297298201844</v>
      </c>
      <c r="K884" s="25">
        <f t="shared" si="784"/>
        <v>21655.303514578787</v>
      </c>
      <c r="L884" s="25"/>
      <c r="N884" s="25">
        <f>'Combined Retirement'!$C$18/12</f>
        <v>40940.569999999992</v>
      </c>
      <c r="O884" s="25">
        <f t="shared" si="785"/>
        <v>10889.636755601023</v>
      </c>
      <c r="P884" s="25">
        <f t="shared" si="786"/>
        <v>30050.93324439897</v>
      </c>
      <c r="Q884" s="25">
        <f t="array" aca="1" ref="Q884" ca="1">INDEX('Isaac 401k'!L:L,MATCH('Retirement Calculator'!A884,'Isaac 401k'!N:N,0),0)</f>
        <v>-16125893.813774735</v>
      </c>
      <c r="R884" s="25">
        <f t="array" aca="1" ref="R884" ca="1">INDEX('Lorri 401b'!L:L,MATCH('Retirement Calculator'!A884,'Lorri 401b'!N:N,0),0)</f>
        <v>-27056924.285861224</v>
      </c>
      <c r="S884" s="25">
        <f t="shared" ca="1" si="787"/>
        <v>-43182818.099635959</v>
      </c>
    </row>
    <row r="885" spans="1:19" ht="15.75" customHeight="1" x14ac:dyDescent="0.25">
      <c r="A885" s="37">
        <v>77889</v>
      </c>
      <c r="B885" s="398">
        <f t="shared" ref="B885:C885" si="896">($A885-B$9)/365.25</f>
        <v>131.37029431895962</v>
      </c>
      <c r="C885" s="398">
        <f t="shared" si="896"/>
        <v>126.75975359342915</v>
      </c>
      <c r="E885" s="25">
        <f>IF(C885&gt;$B$7,0,'Combined Retirement'!$D$13/12)</f>
        <v>0</v>
      </c>
      <c r="F885" s="25">
        <f>IF(H885=0,'Combined Retirement'!$D$32,0)+'Combined Retirement'!$B$24</f>
        <v>2870.372285649099</v>
      </c>
      <c r="G885" s="25">
        <f>'Combined Retirement'!$C$24</f>
        <v>3254.2644699519233</v>
      </c>
      <c r="H885" s="25">
        <f>IF(B885&lt;62,0,'Combined Retirement'!$I$14)</f>
        <v>2345</v>
      </c>
      <c r="I885" s="25">
        <f>IF(C885&lt;62,0,'Combined Retirement'!$I$13)</f>
        <v>2420</v>
      </c>
      <c r="J885" s="25">
        <f t="shared" si="783"/>
        <v>8395.6297298201844</v>
      </c>
      <c r="K885" s="25">
        <f t="shared" si="784"/>
        <v>21655.303514578787</v>
      </c>
      <c r="L885" s="25"/>
      <c r="N885" s="25">
        <f>'Combined Retirement'!$C$18/12</f>
        <v>40940.569999999992</v>
      </c>
      <c r="O885" s="25">
        <f t="shared" si="785"/>
        <v>10889.636755601023</v>
      </c>
      <c r="P885" s="25">
        <f t="shared" si="786"/>
        <v>30050.93324439897</v>
      </c>
      <c r="Q885" s="25">
        <f t="array" aca="1" ref="Q885" ca="1">INDEX('Isaac 401k'!L:L,MATCH('Retirement Calculator'!A885,'Isaac 401k'!N:N,0),0)</f>
        <v>-16201515.649519157</v>
      </c>
      <c r="R885" s="25">
        <f t="array" aca="1" ref="R885" ca="1">INDEX('Lorri 401b'!L:L,MATCH('Retirement Calculator'!A885,'Lorri 401b'!N:N,0),0)</f>
        <v>-27191407.004331533</v>
      </c>
      <c r="S885" s="25">
        <f t="shared" ca="1" si="787"/>
        <v>-43392922.65385069</v>
      </c>
    </row>
    <row r="886" spans="1:19" ht="15.75" customHeight="1" x14ac:dyDescent="0.25">
      <c r="A886" s="37">
        <v>77919</v>
      </c>
      <c r="B886" s="398">
        <f t="shared" ref="B886:C886" si="897">($A886-B$9)/365.25</f>
        <v>131.45242984257359</v>
      </c>
      <c r="C886" s="398">
        <f t="shared" si="897"/>
        <v>126.84188911704312</v>
      </c>
      <c r="E886" s="25">
        <f>IF(C886&gt;$B$7,0,'Combined Retirement'!$D$13/12)</f>
        <v>0</v>
      </c>
      <c r="F886" s="25">
        <f>IF(H886=0,'Combined Retirement'!$D$32,0)+'Combined Retirement'!$B$24</f>
        <v>2870.372285649099</v>
      </c>
      <c r="G886" s="25">
        <f>'Combined Retirement'!$C$24</f>
        <v>3254.2644699519233</v>
      </c>
      <c r="H886" s="25">
        <f>IF(B886&lt;62,0,'Combined Retirement'!$I$14)</f>
        <v>2345</v>
      </c>
      <c r="I886" s="25">
        <f>IF(C886&lt;62,0,'Combined Retirement'!$I$13)</f>
        <v>2420</v>
      </c>
      <c r="J886" s="25">
        <f t="shared" si="783"/>
        <v>8395.6297298201844</v>
      </c>
      <c r="K886" s="25">
        <f t="shared" si="784"/>
        <v>21655.303514578787</v>
      </c>
      <c r="L886" s="25"/>
      <c r="N886" s="25">
        <f>'Combined Retirement'!$C$18/12</f>
        <v>40940.569999999992</v>
      </c>
      <c r="O886" s="25">
        <f t="shared" si="785"/>
        <v>10889.636755601023</v>
      </c>
      <c r="P886" s="25">
        <f t="shared" si="786"/>
        <v>30050.93324439897</v>
      </c>
      <c r="Q886" s="25">
        <f t="array" aca="1" ref="Q886" ca="1">INDEX('Isaac 401k'!L:L,MATCH('Retirement Calculator'!A886,'Isaac 401k'!N:N,0),0)</f>
        <v>-16277452.576245848</v>
      </c>
      <c r="R886" s="25">
        <f t="array" aca="1" ref="R886" ca="1">INDEX('Lorri 401b'!L:L,MATCH('Retirement Calculator'!A886,'Lorri 401b'!N:N,0),0)</f>
        <v>-27326450.067462135</v>
      </c>
      <c r="S886" s="25">
        <f t="shared" ca="1" si="787"/>
        <v>-43603902.643707983</v>
      </c>
    </row>
    <row r="887" spans="1:19" ht="15.75" customHeight="1" x14ac:dyDescent="0.25">
      <c r="A887" s="37">
        <v>77950</v>
      </c>
      <c r="B887" s="398">
        <f t="shared" ref="B887:C887" si="898">($A887-B$9)/365.25</f>
        <v>131.53730321697466</v>
      </c>
      <c r="C887" s="398">
        <f t="shared" si="898"/>
        <v>126.92676249144422</v>
      </c>
      <c r="E887" s="25">
        <f>IF(C887&gt;$B$7,0,'Combined Retirement'!$D$13/12)</f>
        <v>0</v>
      </c>
      <c r="F887" s="25">
        <f>IF(H887=0,'Combined Retirement'!$D$32,0)+'Combined Retirement'!$B$24</f>
        <v>2870.372285649099</v>
      </c>
      <c r="G887" s="25">
        <f>'Combined Retirement'!$C$24</f>
        <v>3254.2644699519233</v>
      </c>
      <c r="H887" s="25">
        <f>IF(B887&lt;62,0,'Combined Retirement'!$I$14)</f>
        <v>2345</v>
      </c>
      <c r="I887" s="25">
        <f>IF(C887&lt;62,0,'Combined Retirement'!$I$13)</f>
        <v>2420</v>
      </c>
      <c r="J887" s="25">
        <f t="shared" si="783"/>
        <v>8395.6297298201844</v>
      </c>
      <c r="K887" s="25">
        <f t="shared" si="784"/>
        <v>21655.303514578787</v>
      </c>
      <c r="L887" s="25"/>
      <c r="N887" s="25">
        <f>'Combined Retirement'!$C$18/12</f>
        <v>40940.569999999992</v>
      </c>
      <c r="O887" s="25">
        <f t="shared" si="785"/>
        <v>10889.636755601023</v>
      </c>
      <c r="P887" s="25">
        <f t="shared" si="786"/>
        <v>30050.93324439897</v>
      </c>
      <c r="Q887" s="25">
        <f t="array" aca="1" ref="Q887" ca="1">INDEX('Isaac 401k'!L:L,MATCH('Retirement Calculator'!A887,'Isaac 401k'!N:N,0),0)</f>
        <v>-16353705.9068339</v>
      </c>
      <c r="R887" s="25">
        <f t="array" aca="1" ref="R887" ca="1">INDEX('Lorri 401b'!L:L,MATCH('Retirement Calculator'!A887,'Lorri 401b'!N:N,0),0)</f>
        <v>-27462055.810022447</v>
      </c>
      <c r="S887" s="25">
        <f t="shared" ca="1" si="787"/>
        <v>-43815761.716856346</v>
      </c>
    </row>
    <row r="888" spans="1:19" ht="15.75" customHeight="1" x14ac:dyDescent="0.25">
      <c r="A888" s="37">
        <v>77980</v>
      </c>
      <c r="B888" s="398">
        <f t="shared" ref="B888:C888" si="899">($A888-B$9)/365.25</f>
        <v>131.61943874058863</v>
      </c>
      <c r="C888" s="398">
        <f t="shared" si="899"/>
        <v>127.00889801505818</v>
      </c>
      <c r="E888" s="25">
        <f>IF(C888&gt;$B$7,0,'Combined Retirement'!$D$13/12)</f>
        <v>0</v>
      </c>
      <c r="F888" s="25">
        <f>IF(H888=0,'Combined Retirement'!$D$32,0)+'Combined Retirement'!$B$24</f>
        <v>2870.372285649099</v>
      </c>
      <c r="G888" s="25">
        <f>'Combined Retirement'!$C$24</f>
        <v>3254.2644699519233</v>
      </c>
      <c r="H888" s="25">
        <f>IF(B888&lt;62,0,'Combined Retirement'!$I$14)</f>
        <v>2345</v>
      </c>
      <c r="I888" s="25">
        <f>IF(C888&lt;62,0,'Combined Retirement'!$I$13)</f>
        <v>2420</v>
      </c>
      <c r="J888" s="25">
        <f t="shared" si="783"/>
        <v>8395.6297298201844</v>
      </c>
      <c r="K888" s="25">
        <f t="shared" si="784"/>
        <v>21655.303514578787</v>
      </c>
      <c r="L888" s="25"/>
      <c r="N888" s="25">
        <f>'Combined Retirement'!$C$18/12</f>
        <v>40940.569999999992</v>
      </c>
      <c r="O888" s="25">
        <f t="shared" si="785"/>
        <v>10889.636755601023</v>
      </c>
      <c r="P888" s="25">
        <f t="shared" si="786"/>
        <v>30050.93324439897</v>
      </c>
      <c r="Q888" s="25">
        <f t="array" aca="1" ref="Q888" ca="1">INDEX('Isaac 401k'!L:L,MATCH('Retirement Calculator'!A888,'Isaac 401k'!N:N,0),0)</f>
        <v>-16430276.959632736</v>
      </c>
      <c r="R888" s="25">
        <f t="array" aca="1" ref="R888" ca="1">INDEX('Lorri 401b'!L:L,MATCH('Retirement Calculator'!A888,'Lorri 401b'!N:N,0),0)</f>
        <v>-27598226.576510094</v>
      </c>
      <c r="S888" s="25">
        <f t="shared" ca="1" si="787"/>
        <v>-44028503.536142826</v>
      </c>
    </row>
    <row r="889" spans="1:19" ht="15.75" customHeight="1" x14ac:dyDescent="0.25">
      <c r="A889" s="37">
        <v>78011</v>
      </c>
      <c r="B889" s="398">
        <f t="shared" ref="B889:C889" si="900">($A889-B$9)/365.25</f>
        <v>131.70431211498973</v>
      </c>
      <c r="C889" s="398">
        <f t="shared" si="900"/>
        <v>127.09377138945928</v>
      </c>
      <c r="E889" s="25">
        <f>IF(C889&gt;$B$7,0,'Combined Retirement'!$D$13/12)</f>
        <v>0</v>
      </c>
      <c r="F889" s="25">
        <f>IF(H889=0,'Combined Retirement'!$D$32,0)+'Combined Retirement'!$B$24</f>
        <v>2870.372285649099</v>
      </c>
      <c r="G889" s="25">
        <f>'Combined Retirement'!$C$24</f>
        <v>3254.2644699519233</v>
      </c>
      <c r="H889" s="25">
        <f>IF(B889&lt;62,0,'Combined Retirement'!$I$14)</f>
        <v>2345</v>
      </c>
      <c r="I889" s="25">
        <f>IF(C889&lt;62,0,'Combined Retirement'!$I$13)</f>
        <v>2420</v>
      </c>
      <c r="J889" s="25">
        <f t="shared" si="783"/>
        <v>8395.6297298201844</v>
      </c>
      <c r="K889" s="25">
        <f t="shared" si="784"/>
        <v>21655.303514578787</v>
      </c>
      <c r="L889" s="25"/>
      <c r="N889" s="25">
        <f>'Combined Retirement'!$C$18/12</f>
        <v>40940.569999999992</v>
      </c>
      <c r="O889" s="25">
        <f t="shared" si="785"/>
        <v>10889.636755601023</v>
      </c>
      <c r="P889" s="25">
        <f t="shared" si="786"/>
        <v>30050.93324439897</v>
      </c>
      <c r="Q889" s="25">
        <f t="array" aca="1" ref="Q889" ca="1">INDEX('Isaac 401k'!L:L,MATCH('Retirement Calculator'!A889,'Isaac 401k'!N:N,0),0)</f>
        <v>-16507167.058484901</v>
      </c>
      <c r="R889" s="25">
        <f t="array" aca="1" ref="R889" ca="1">INDEX('Lorri 401b'!L:L,MATCH('Retirement Calculator'!A889,'Lorri 401b'!N:N,0),0)</f>
        <v>-27734964.72119144</v>
      </c>
      <c r="S889" s="25">
        <f t="shared" ca="1" si="787"/>
        <v>-44242131.779676341</v>
      </c>
    </row>
    <row r="890" spans="1:19" ht="15.75" customHeight="1" x14ac:dyDescent="0.25">
      <c r="A890" s="37">
        <v>78042</v>
      </c>
      <c r="B890" s="398">
        <f t="shared" ref="B890:C890" si="901">($A890-B$9)/365.25</f>
        <v>131.78918548939083</v>
      </c>
      <c r="C890" s="398">
        <f t="shared" si="901"/>
        <v>127.17864476386038</v>
      </c>
      <c r="E890" s="25">
        <f>IF(C890&gt;$B$7,0,'Combined Retirement'!$D$13/12)</f>
        <v>0</v>
      </c>
      <c r="F890" s="25">
        <f>IF(H890=0,'Combined Retirement'!$D$32,0)+'Combined Retirement'!$B$24</f>
        <v>2870.372285649099</v>
      </c>
      <c r="G890" s="25">
        <f>'Combined Retirement'!$C$24</f>
        <v>3254.2644699519233</v>
      </c>
      <c r="H890" s="25">
        <f>IF(B890&lt;62,0,'Combined Retirement'!$I$14)</f>
        <v>2345</v>
      </c>
      <c r="I890" s="25">
        <f>IF(C890&lt;62,0,'Combined Retirement'!$I$13)</f>
        <v>2420</v>
      </c>
      <c r="J890" s="25">
        <f t="shared" si="783"/>
        <v>8395.6297298201844</v>
      </c>
      <c r="K890" s="25">
        <f t="shared" si="784"/>
        <v>21655.303514578787</v>
      </c>
      <c r="L890" s="25"/>
      <c r="N890" s="25">
        <f>'Combined Retirement'!$C$18/12</f>
        <v>40940.569999999992</v>
      </c>
      <c r="O890" s="25">
        <f t="shared" si="785"/>
        <v>10889.636755601023</v>
      </c>
      <c r="P890" s="25">
        <f t="shared" si="786"/>
        <v>30050.93324439897</v>
      </c>
      <c r="Q890" s="25">
        <f t="array" aca="1" ref="Q890" ca="1">INDEX('Isaac 401k'!L:L,MATCH('Retirement Calculator'!A890,'Isaac 401k'!N:N,0),0)</f>
        <v>-16584377.532748949</v>
      </c>
      <c r="R890" s="25">
        <f t="array" aca="1" ref="R890" ca="1">INDEX('Lorri 401b'!L:L,MATCH('Retirement Calculator'!A890,'Lorri 401b'!N:N,0),0)</f>
        <v>-27872272.608142294</v>
      </c>
      <c r="S890" s="25">
        <f t="shared" ca="1" si="787"/>
        <v>-44456650.140891239</v>
      </c>
    </row>
    <row r="891" spans="1:19" ht="15.75" customHeight="1" x14ac:dyDescent="0.25">
      <c r="A891" s="37">
        <v>78072</v>
      </c>
      <c r="B891" s="398">
        <f t="shared" ref="B891:C891" si="902">($A891-B$9)/365.25</f>
        <v>131.8713210130048</v>
      </c>
      <c r="C891" s="398">
        <f t="shared" si="902"/>
        <v>127.26078028747433</v>
      </c>
      <c r="E891" s="25">
        <f>IF(C891&gt;$B$7,0,'Combined Retirement'!$D$13/12)</f>
        <v>0</v>
      </c>
      <c r="F891" s="25">
        <f>IF(H891=0,'Combined Retirement'!$D$32,0)+'Combined Retirement'!$B$24</f>
        <v>2870.372285649099</v>
      </c>
      <c r="G891" s="25">
        <f>'Combined Retirement'!$C$24</f>
        <v>3254.2644699519233</v>
      </c>
      <c r="H891" s="25">
        <f>IF(B891&lt;62,0,'Combined Retirement'!$I$14)</f>
        <v>2345</v>
      </c>
      <c r="I891" s="25">
        <f>IF(C891&lt;62,0,'Combined Retirement'!$I$13)</f>
        <v>2420</v>
      </c>
      <c r="J891" s="25">
        <f t="shared" si="783"/>
        <v>8395.6297298201844</v>
      </c>
      <c r="K891" s="25">
        <f t="shared" si="784"/>
        <v>21655.303514578787</v>
      </c>
      <c r="L891" s="25"/>
      <c r="N891" s="25">
        <f>'Combined Retirement'!$C$18/12</f>
        <v>40940.569999999992</v>
      </c>
      <c r="O891" s="25">
        <f t="shared" si="785"/>
        <v>10889.636755601023</v>
      </c>
      <c r="P891" s="25">
        <f t="shared" si="786"/>
        <v>30050.93324439897</v>
      </c>
      <c r="Q891" s="25">
        <f t="array" aca="1" ref="Q891" ca="1">INDEX('Isaac 401k'!L:L,MATCH('Retirement Calculator'!A891,'Isaac 401k'!N:N,0),0)</f>
        <v>-16661909.717322432</v>
      </c>
      <c r="R891" s="25">
        <f t="array" aca="1" ref="R891" ca="1">INDEX('Lorri 401b'!L:L,MATCH('Retirement Calculator'!A891,'Lorri 401b'!N:N,0),0)</f>
        <v>-28010152.611288775</v>
      </c>
      <c r="S891" s="25">
        <f t="shared" ca="1" si="787"/>
        <v>-44672062.32861121</v>
      </c>
    </row>
    <row r="892" spans="1:19" ht="15.75" customHeight="1" x14ac:dyDescent="0.25">
      <c r="A892" s="37">
        <v>78103</v>
      </c>
      <c r="B892" s="398">
        <f t="shared" ref="B892:C892" si="903">($A892-B$9)/365.25</f>
        <v>131.95619438740587</v>
      </c>
      <c r="C892" s="398">
        <f t="shared" si="903"/>
        <v>127.34565366187543</v>
      </c>
      <c r="E892" s="25">
        <f>IF(C892&gt;$B$7,0,'Combined Retirement'!$D$13/12)</f>
        <v>0</v>
      </c>
      <c r="F892" s="25">
        <f>IF(H892=0,'Combined Retirement'!$D$32,0)+'Combined Retirement'!$B$24</f>
        <v>2870.372285649099</v>
      </c>
      <c r="G892" s="25">
        <f>'Combined Retirement'!$C$24</f>
        <v>3254.2644699519233</v>
      </c>
      <c r="H892" s="25">
        <f>IF(B892&lt;62,0,'Combined Retirement'!$I$14)</f>
        <v>2345</v>
      </c>
      <c r="I892" s="25">
        <f>IF(C892&lt;62,0,'Combined Retirement'!$I$13)</f>
        <v>2420</v>
      </c>
      <c r="J892" s="25">
        <f t="shared" si="783"/>
        <v>8395.6297298201844</v>
      </c>
      <c r="K892" s="25">
        <f t="shared" si="784"/>
        <v>21655.303514578787</v>
      </c>
      <c r="L892" s="25"/>
      <c r="N892" s="25">
        <f>'Combined Retirement'!$C$18/12</f>
        <v>40940.569999999992</v>
      </c>
      <c r="O892" s="25">
        <f t="shared" si="785"/>
        <v>10889.636755601023</v>
      </c>
      <c r="P892" s="25">
        <f t="shared" si="786"/>
        <v>30050.93324439897</v>
      </c>
      <c r="Q892" s="25">
        <f t="array" aca="1" ref="Q892" ca="1">INDEX('Isaac 401k'!L:L,MATCH('Retirement Calculator'!A892,'Isaac 401k'!N:N,0),0)</f>
        <v>-16739764.952664969</v>
      </c>
      <c r="R892" s="25">
        <f t="array" aca="1" ref="R892" ca="1">INDEX('Lorri 401b'!L:L,MATCH('Retirement Calculator'!A892,'Lorri 401b'!N:N,0),0)</f>
        <v>-28148607.114448365</v>
      </c>
      <c r="S892" s="25">
        <f t="shared" ca="1" si="787"/>
        <v>-44888372.067113332</v>
      </c>
    </row>
    <row r="893" spans="1:19" ht="15.75" customHeight="1" x14ac:dyDescent="0.25">
      <c r="A893" s="37">
        <v>78133</v>
      </c>
      <c r="B893" s="398">
        <f t="shared" ref="B893:C893" si="904">($A893-B$9)/365.25</f>
        <v>132.03832991101984</v>
      </c>
      <c r="C893" s="398">
        <f t="shared" si="904"/>
        <v>127.42778918548939</v>
      </c>
      <c r="E893" s="25">
        <f>IF(C893&gt;$B$7,0,'Combined Retirement'!$D$13/12)</f>
        <v>0</v>
      </c>
      <c r="F893" s="25">
        <f>IF(H893=0,'Combined Retirement'!$D$32,0)+'Combined Retirement'!$B$24</f>
        <v>2870.372285649099</v>
      </c>
      <c r="G893" s="25">
        <f>'Combined Retirement'!$C$24</f>
        <v>3254.2644699519233</v>
      </c>
      <c r="H893" s="25">
        <f>IF(B893&lt;62,0,'Combined Retirement'!$I$14)</f>
        <v>2345</v>
      </c>
      <c r="I893" s="25">
        <f>IF(C893&lt;62,0,'Combined Retirement'!$I$13)</f>
        <v>2420</v>
      </c>
      <c r="J893" s="25">
        <f t="shared" si="783"/>
        <v>8395.6297298201844</v>
      </c>
      <c r="K893" s="25">
        <f t="shared" si="784"/>
        <v>21655.303514578787</v>
      </c>
      <c r="L893" s="25"/>
      <c r="N893" s="25">
        <f>'Combined Retirement'!$C$18/12</f>
        <v>40940.569999999992</v>
      </c>
      <c r="O893" s="25">
        <f t="shared" si="785"/>
        <v>10889.636755601023</v>
      </c>
      <c r="P893" s="25">
        <f t="shared" si="786"/>
        <v>30050.93324439897</v>
      </c>
      <c r="Q893" s="25">
        <f t="array" aca="1" ref="Q893" ca="1">INDEX('Isaac 401k'!L:L,MATCH('Retirement Calculator'!A893,'Isaac 401k'!N:N,0),0)</f>
        <v>-16817944.584821437</v>
      </c>
      <c r="R893" s="25">
        <f t="array" aca="1" ref="R893" ca="1">INDEX('Lorri 401b'!L:L,MATCH('Retirement Calculator'!A893,'Lorri 401b'!N:N,0),0)</f>
        <v>-28287638.511371121</v>
      </c>
      <c r="S893" s="25">
        <f t="shared" ca="1" si="787"/>
        <v>-45105583.096192554</v>
      </c>
    </row>
    <row r="894" spans="1:19" ht="15.75" customHeight="1" x14ac:dyDescent="0.25">
      <c r="A894" s="37">
        <v>78164</v>
      </c>
      <c r="B894" s="398">
        <f t="shared" ref="B894:C894" si="905">($A894-B$9)/365.25</f>
        <v>132.12320328542094</v>
      </c>
      <c r="C894" s="398">
        <f t="shared" si="905"/>
        <v>127.51266255989049</v>
      </c>
      <c r="E894" s="25">
        <f>IF(C894&gt;$B$7,0,'Combined Retirement'!$D$13/12)</f>
        <v>0</v>
      </c>
      <c r="F894" s="25">
        <f>IF(H894=0,'Combined Retirement'!$D$32,0)+'Combined Retirement'!$B$24</f>
        <v>2870.372285649099</v>
      </c>
      <c r="G894" s="25">
        <f>'Combined Retirement'!$C$24</f>
        <v>3254.2644699519233</v>
      </c>
      <c r="H894" s="25">
        <f>IF(B894&lt;62,0,'Combined Retirement'!$I$14)</f>
        <v>2345</v>
      </c>
      <c r="I894" s="25">
        <f>IF(C894&lt;62,0,'Combined Retirement'!$I$13)</f>
        <v>2420</v>
      </c>
      <c r="J894" s="25">
        <f t="shared" si="783"/>
        <v>8395.6297298201844</v>
      </c>
      <c r="K894" s="25">
        <f t="shared" si="784"/>
        <v>21655.303514578787</v>
      </c>
      <c r="L894" s="25"/>
      <c r="N894" s="25">
        <f>'Combined Retirement'!$C$18/12</f>
        <v>40940.569999999992</v>
      </c>
      <c r="O894" s="25">
        <f t="shared" si="785"/>
        <v>10889.636755601023</v>
      </c>
      <c r="P894" s="25">
        <f t="shared" si="786"/>
        <v>30050.93324439897</v>
      </c>
      <c r="Q894" s="25">
        <f t="array" aca="1" ref="Q894" ca="1">INDEX('Isaac 401k'!L:L,MATCH('Retirement Calculator'!A894,'Isaac 401k'!N:N,0),0)</f>
        <v>-16896449.96544522</v>
      </c>
      <c r="R894" s="25">
        <f t="array" aca="1" ref="R894" ca="1">INDEX('Lorri 401b'!L:L,MATCH('Retirement Calculator'!A894,'Lorri 401b'!N:N,0),0)</f>
        <v>-28427249.205781054</v>
      </c>
      <c r="S894" s="25">
        <f t="shared" ca="1" si="787"/>
        <v>-45323699.171226278</v>
      </c>
    </row>
    <row r="895" spans="1:19" ht="15.75" customHeight="1" x14ac:dyDescent="0.25">
      <c r="A895" s="37">
        <v>78195</v>
      </c>
      <c r="B895" s="398">
        <f t="shared" ref="B895:C895" si="906">($A895-B$9)/365.25</f>
        <v>132.20807665982204</v>
      </c>
      <c r="C895" s="398">
        <f t="shared" si="906"/>
        <v>127.59753593429159</v>
      </c>
      <c r="E895" s="25">
        <f>IF(C895&gt;$B$7,0,'Combined Retirement'!$D$13/12)</f>
        <v>0</v>
      </c>
      <c r="F895" s="25">
        <f>IF(H895=0,'Combined Retirement'!$D$32,0)+'Combined Retirement'!$B$24</f>
        <v>2870.372285649099</v>
      </c>
      <c r="G895" s="25">
        <f>'Combined Retirement'!$C$24</f>
        <v>3254.2644699519233</v>
      </c>
      <c r="H895" s="25">
        <f>IF(B895&lt;62,0,'Combined Retirement'!$I$14)</f>
        <v>2345</v>
      </c>
      <c r="I895" s="25">
        <f>IF(C895&lt;62,0,'Combined Retirement'!$I$13)</f>
        <v>2420</v>
      </c>
      <c r="J895" s="25">
        <f t="shared" si="783"/>
        <v>8395.6297298201844</v>
      </c>
      <c r="K895" s="25">
        <f t="shared" si="784"/>
        <v>21655.303514578787</v>
      </c>
      <c r="L895" s="25"/>
      <c r="N895" s="25">
        <f>'Combined Retirement'!$C$18/12</f>
        <v>40940.569999999992</v>
      </c>
      <c r="O895" s="25">
        <f t="shared" si="785"/>
        <v>10889.636755601023</v>
      </c>
      <c r="P895" s="25">
        <f t="shared" si="786"/>
        <v>30050.93324439897</v>
      </c>
      <c r="Q895" s="25">
        <f t="array" aca="1" ref="Q895" ca="1">INDEX('Isaac 401k'!L:L,MATCH('Retirement Calculator'!A895,'Isaac 401k'!N:N,0),0)</f>
        <v>-16975282.451821603</v>
      </c>
      <c r="R895" s="25">
        <f t="array" aca="1" ref="R895" ca="1">INDEX('Lorri 401b'!L:L,MATCH('Retirement Calculator'!A895,'Lorri 401b'!N:N,0),0)</f>
        <v>-28567441.611417696</v>
      </c>
      <c r="S895" s="25">
        <f t="shared" ca="1" si="787"/>
        <v>-45542724.063239299</v>
      </c>
    </row>
    <row r="896" spans="1:19" ht="15.75" customHeight="1" x14ac:dyDescent="0.25">
      <c r="A896" s="37">
        <v>78223</v>
      </c>
      <c r="B896" s="398">
        <f t="shared" ref="B896:C896" si="907">($A896-B$9)/365.25</f>
        <v>132.28473648186173</v>
      </c>
      <c r="C896" s="398">
        <f t="shared" si="907"/>
        <v>127.67419575633129</v>
      </c>
      <c r="E896" s="25">
        <f>IF(C896&gt;$B$7,0,'Combined Retirement'!$D$13/12)</f>
        <v>0</v>
      </c>
      <c r="F896" s="25">
        <f>IF(H896=0,'Combined Retirement'!$D$32,0)+'Combined Retirement'!$B$24</f>
        <v>2870.372285649099</v>
      </c>
      <c r="G896" s="25">
        <f>'Combined Retirement'!$C$24</f>
        <v>3254.2644699519233</v>
      </c>
      <c r="H896" s="25">
        <f>IF(B896&lt;62,0,'Combined Retirement'!$I$14)</f>
        <v>2345</v>
      </c>
      <c r="I896" s="25">
        <f>IF(C896&lt;62,0,'Combined Retirement'!$I$13)</f>
        <v>2420</v>
      </c>
      <c r="J896" s="25">
        <f t="shared" si="783"/>
        <v>8395.6297298201844</v>
      </c>
      <c r="K896" s="25">
        <f t="shared" si="784"/>
        <v>21655.303514578787</v>
      </c>
      <c r="L896" s="25"/>
      <c r="N896" s="25">
        <f>'Combined Retirement'!$C$18/12</f>
        <v>40940.569999999992</v>
      </c>
      <c r="O896" s="25">
        <f t="shared" si="785"/>
        <v>10889.636755601023</v>
      </c>
      <c r="P896" s="25">
        <f t="shared" si="786"/>
        <v>30050.93324439897</v>
      </c>
      <c r="Q896" s="25">
        <f t="array" aca="1" ref="Q896" ca="1">INDEX('Isaac 401k'!L:L,MATCH('Retirement Calculator'!A896,'Isaac 401k'!N:N,0),0)</f>
        <v>-17054443.406891219</v>
      </c>
      <c r="R896" s="25">
        <f t="array" aca="1" ref="R896" ca="1">INDEX('Lorri 401b'!L:L,MATCH('Retirement Calculator'!A896,'Lorri 401b'!N:N,0),0)</f>
        <v>-28708218.152077824</v>
      </c>
      <c r="S896" s="25">
        <f t="shared" ca="1" si="787"/>
        <v>-45762661.558969043</v>
      </c>
    </row>
    <row r="897" spans="1:19" ht="15.75" customHeight="1" x14ac:dyDescent="0.25">
      <c r="A897" s="37">
        <v>78254</v>
      </c>
      <c r="B897" s="398">
        <f t="shared" ref="B897:C897" si="908">($A897-B$9)/365.25</f>
        <v>132.36960985626283</v>
      </c>
      <c r="C897" s="398">
        <f t="shared" si="908"/>
        <v>127.75906913073237</v>
      </c>
      <c r="E897" s="25">
        <f>IF(C897&gt;$B$7,0,'Combined Retirement'!$D$13/12)</f>
        <v>0</v>
      </c>
      <c r="F897" s="25">
        <f>IF(H897=0,'Combined Retirement'!$D$32,0)+'Combined Retirement'!$B$24</f>
        <v>2870.372285649099</v>
      </c>
      <c r="G897" s="25">
        <f>'Combined Retirement'!$C$24</f>
        <v>3254.2644699519233</v>
      </c>
      <c r="H897" s="25">
        <f>IF(B897&lt;62,0,'Combined Retirement'!$I$14)</f>
        <v>2345</v>
      </c>
      <c r="I897" s="25">
        <f>IF(C897&lt;62,0,'Combined Retirement'!$I$13)</f>
        <v>2420</v>
      </c>
      <c r="J897" s="25">
        <f t="shared" si="783"/>
        <v>8395.6297298201844</v>
      </c>
      <c r="K897" s="25">
        <f t="shared" si="784"/>
        <v>21655.303514578787</v>
      </c>
      <c r="L897" s="25"/>
      <c r="N897" s="25">
        <f>'Combined Retirement'!$C$18/12</f>
        <v>40940.569999999992</v>
      </c>
      <c r="O897" s="25">
        <f t="shared" si="785"/>
        <v>10889.636755601023</v>
      </c>
      <c r="P897" s="25">
        <f t="shared" si="786"/>
        <v>30050.93324439897</v>
      </c>
      <c r="Q897" s="25">
        <f t="array" aca="1" ref="Q897" ca="1">INDEX('Isaac 401k'!L:L,MATCH('Retirement Calculator'!A897,'Isaac 401k'!N:N,0),0)</f>
        <v>-17133934.199273627</v>
      </c>
      <c r="R897" s="25">
        <f t="array" aca="1" ref="R897" ca="1">INDEX('Lorri 401b'!L:L,MATCH('Retirement Calculator'!A897,'Lorri 401b'!N:N,0),0)</f>
        <v>-28849581.261657368</v>
      </c>
      <c r="S897" s="25">
        <f t="shared" ca="1" si="787"/>
        <v>-45983515.460930996</v>
      </c>
    </row>
    <row r="898" spans="1:19" ht="15.75" customHeight="1" x14ac:dyDescent="0.25">
      <c r="A898" s="37">
        <v>78284</v>
      </c>
      <c r="B898" s="398">
        <f t="shared" ref="B898:C898" si="909">($A898-B$9)/365.25</f>
        <v>132.4517453798768</v>
      </c>
      <c r="C898" s="398">
        <f t="shared" si="909"/>
        <v>127.84120465434634</v>
      </c>
      <c r="E898" s="25">
        <f>IF(C898&gt;$B$7,0,'Combined Retirement'!$D$13/12)</f>
        <v>0</v>
      </c>
      <c r="F898" s="25">
        <f>IF(H898=0,'Combined Retirement'!$D$32,0)+'Combined Retirement'!$B$24</f>
        <v>2870.372285649099</v>
      </c>
      <c r="G898" s="25">
        <f>'Combined Retirement'!$C$24</f>
        <v>3254.2644699519233</v>
      </c>
      <c r="H898" s="25">
        <f>IF(B898&lt;62,0,'Combined Retirement'!$I$14)</f>
        <v>2345</v>
      </c>
      <c r="I898" s="25">
        <f>IF(C898&lt;62,0,'Combined Retirement'!$I$13)</f>
        <v>2420</v>
      </c>
      <c r="J898" s="25">
        <f t="shared" si="783"/>
        <v>8395.6297298201844</v>
      </c>
      <c r="K898" s="25">
        <f t="shared" si="784"/>
        <v>21655.303514578787</v>
      </c>
      <c r="L898" s="25"/>
      <c r="N898" s="25">
        <f>'Combined Retirement'!$C$18/12</f>
        <v>40940.569999999992</v>
      </c>
      <c r="O898" s="25">
        <f t="shared" si="785"/>
        <v>10889.636755601023</v>
      </c>
      <c r="P898" s="25">
        <f t="shared" si="786"/>
        <v>30050.93324439897</v>
      </c>
      <c r="Q898" s="25">
        <f t="array" aca="1" ref="Q898" ca="1">INDEX('Isaac 401k'!L:L,MATCH('Retirement Calculator'!A898,'Isaac 401k'!N:N,0),0)</f>
        <v>-17213756.203290962</v>
      </c>
      <c r="R898" s="25">
        <f t="array" aca="1" ref="R898" ca="1">INDEX('Lorri 401b'!L:L,MATCH('Retirement Calculator'!A898,'Lorri 401b'!N:N,0),0)</f>
        <v>-28991533.384193495</v>
      </c>
      <c r="S898" s="25">
        <f t="shared" ca="1" si="787"/>
        <v>-46205289.587484457</v>
      </c>
    </row>
    <row r="899" spans="1:19" ht="15.75" customHeight="1" x14ac:dyDescent="0.25">
      <c r="A899" s="37">
        <v>78315</v>
      </c>
      <c r="B899" s="398">
        <f t="shared" ref="B899:C899" si="910">($A899-B$9)/365.25</f>
        <v>132.5366187542779</v>
      </c>
      <c r="C899" s="398">
        <f t="shared" si="910"/>
        <v>127.92607802874743</v>
      </c>
      <c r="E899" s="25">
        <f>IF(C899&gt;$B$7,0,'Combined Retirement'!$D$13/12)</f>
        <v>0</v>
      </c>
      <c r="F899" s="25">
        <f>IF(H899=0,'Combined Retirement'!$D$32,0)+'Combined Retirement'!$B$24</f>
        <v>2870.372285649099</v>
      </c>
      <c r="G899" s="25">
        <f>'Combined Retirement'!$C$24</f>
        <v>3254.2644699519233</v>
      </c>
      <c r="H899" s="25">
        <f>IF(B899&lt;62,0,'Combined Retirement'!$I$14)</f>
        <v>2345</v>
      </c>
      <c r="I899" s="25">
        <f>IF(C899&lt;62,0,'Combined Retirement'!$I$13)</f>
        <v>2420</v>
      </c>
      <c r="J899" s="25">
        <f t="shared" si="783"/>
        <v>8395.6297298201844</v>
      </c>
      <c r="K899" s="25">
        <f t="shared" si="784"/>
        <v>21655.303514578787</v>
      </c>
      <c r="L899" s="25"/>
      <c r="N899" s="25">
        <f>'Combined Retirement'!$C$18/12</f>
        <v>40940.569999999992</v>
      </c>
      <c r="O899" s="25">
        <f t="shared" si="785"/>
        <v>10889.636755601023</v>
      </c>
      <c r="P899" s="25">
        <f t="shared" si="786"/>
        <v>30050.93324439897</v>
      </c>
      <c r="Q899" s="25">
        <f t="array" aca="1" ref="Q899" ca="1">INDEX('Isaac 401k'!L:L,MATCH('Retirement Calculator'!A899,'Isaac 401k'!N:N,0),0)</f>
        <v>-17293910.798991699</v>
      </c>
      <c r="R899" s="25">
        <f t="array" aca="1" ref="R899" ca="1">INDEX('Lorri 401b'!L:L,MATCH('Retirement Calculator'!A899,'Lorri 401b'!N:N,0),0)</f>
        <v>-29134076.973906856</v>
      </c>
      <c r="S899" s="25">
        <f t="shared" ca="1" si="787"/>
        <v>-46427987.772898555</v>
      </c>
    </row>
    <row r="900" spans="1:19" ht="15.75" customHeight="1" x14ac:dyDescent="0.25">
      <c r="A900" s="37">
        <v>78345</v>
      </c>
      <c r="B900" s="398">
        <f t="shared" ref="B900:C900" si="911">($A900-B$9)/365.25</f>
        <v>132.61875427789187</v>
      </c>
      <c r="C900" s="398">
        <f t="shared" si="911"/>
        <v>128.00821355236138</v>
      </c>
      <c r="E900" s="25">
        <f>IF(C900&gt;$B$7,0,'Combined Retirement'!$D$13/12)</f>
        <v>0</v>
      </c>
      <c r="F900" s="25">
        <f>IF(H900=0,'Combined Retirement'!$D$32,0)+'Combined Retirement'!$B$24</f>
        <v>2870.372285649099</v>
      </c>
      <c r="G900" s="25">
        <f>'Combined Retirement'!$C$24</f>
        <v>3254.2644699519233</v>
      </c>
      <c r="H900" s="25">
        <f>IF(B900&lt;62,0,'Combined Retirement'!$I$14)</f>
        <v>2345</v>
      </c>
      <c r="I900" s="25">
        <f>IF(C900&lt;62,0,'Combined Retirement'!$I$13)</f>
        <v>2420</v>
      </c>
      <c r="J900" s="25">
        <f t="shared" si="783"/>
        <v>8395.6297298201844</v>
      </c>
      <c r="K900" s="25">
        <f t="shared" si="784"/>
        <v>21655.303514578787</v>
      </c>
      <c r="L900" s="25"/>
      <c r="N900" s="25">
        <f>'Combined Retirement'!$C$18/12</f>
        <v>40940.569999999992</v>
      </c>
      <c r="O900" s="25">
        <f t="shared" si="785"/>
        <v>10889.636755601023</v>
      </c>
      <c r="P900" s="25">
        <f t="shared" si="786"/>
        <v>30050.93324439897</v>
      </c>
      <c r="Q900" s="25">
        <f t="array" aca="1" ref="Q900" ca="1">INDEX('Isaac 401k'!L:L,MATCH('Retirement Calculator'!A900,'Isaac 401k'!N:N,0),0)</f>
        <v>-17374399.372174524</v>
      </c>
      <c r="R900" s="25">
        <f t="array" aca="1" ref="R900" ca="1">INDEX('Lorri 401b'!L:L,MATCH('Retirement Calculator'!A900,'Lorri 401b'!N:N,0),0)</f>
        <v>-29277214.495244022</v>
      </c>
      <c r="S900" s="25">
        <f t="shared" ca="1" si="787"/>
        <v>-46651613.867418543</v>
      </c>
    </row>
    <row r="901" spans="1:19" ht="15.75" customHeight="1" x14ac:dyDescent="0.25">
      <c r="A901" s="37">
        <v>78376</v>
      </c>
      <c r="B901" s="398">
        <f t="shared" ref="B901:C901" si="912">($A901-B$9)/365.25</f>
        <v>132.70362765229294</v>
      </c>
      <c r="C901" s="398">
        <f t="shared" si="912"/>
        <v>128.09308692676248</v>
      </c>
      <c r="E901" s="25">
        <f>IF(C901&gt;$B$7,0,'Combined Retirement'!$D$13/12)</f>
        <v>0</v>
      </c>
      <c r="F901" s="25">
        <f>IF(H901=0,'Combined Retirement'!$D$32,0)+'Combined Retirement'!$B$24</f>
        <v>2870.372285649099</v>
      </c>
      <c r="G901" s="25">
        <f>'Combined Retirement'!$C$24</f>
        <v>3254.2644699519233</v>
      </c>
      <c r="H901" s="25">
        <f>IF(B901&lt;62,0,'Combined Retirement'!$I$14)</f>
        <v>2345</v>
      </c>
      <c r="I901" s="25">
        <f>IF(C901&lt;62,0,'Combined Retirement'!$I$13)</f>
        <v>2420</v>
      </c>
      <c r="J901" s="25">
        <f t="shared" si="783"/>
        <v>8395.6297298201844</v>
      </c>
      <c r="K901" s="25">
        <f t="shared" si="784"/>
        <v>21655.303514578787</v>
      </c>
      <c r="L901" s="25"/>
      <c r="N901" s="25">
        <f>'Combined Retirement'!$C$18/12</f>
        <v>40940.569999999992</v>
      </c>
      <c r="O901" s="25">
        <f t="shared" si="785"/>
        <v>10889.636755601023</v>
      </c>
      <c r="P901" s="25">
        <f t="shared" si="786"/>
        <v>30050.93324439897</v>
      </c>
      <c r="Q901" s="25">
        <f t="array" aca="1" ref="Q901" ca="1">INDEX('Isaac 401k'!L:L,MATCH('Retirement Calculator'!A901,'Isaac 401k'!N:N,0),0)</f>
        <v>-17455223.314412277</v>
      </c>
      <c r="R901" s="25">
        <f t="array" aca="1" ref="R901" ca="1">INDEX('Lorri 401b'!L:L,MATCH('Retirement Calculator'!A901,'Lorri 401b'!N:N,0),0)</f>
        <v>-29420948.422920093</v>
      </c>
      <c r="S901" s="25">
        <f t="shared" ca="1" si="787"/>
        <v>-46876171.737332374</v>
      </c>
    </row>
    <row r="902" spans="1:19" ht="15.75" customHeight="1" x14ac:dyDescent="0.25">
      <c r="A902" s="37">
        <v>78407</v>
      </c>
      <c r="B902" s="398">
        <f t="shared" ref="B902:C902" si="913">($A902-B$9)/365.25</f>
        <v>132.78850102669404</v>
      </c>
      <c r="C902" s="398">
        <f t="shared" si="913"/>
        <v>128.17796030116358</v>
      </c>
      <c r="E902" s="25">
        <f>IF(C902&gt;$B$7,0,'Combined Retirement'!$D$13/12)</f>
        <v>0</v>
      </c>
      <c r="F902" s="25">
        <f>IF(H902=0,'Combined Retirement'!$D$32,0)+'Combined Retirement'!$B$24</f>
        <v>2870.372285649099</v>
      </c>
      <c r="G902" s="25">
        <f>'Combined Retirement'!$C$24</f>
        <v>3254.2644699519233</v>
      </c>
      <c r="H902" s="25">
        <f>IF(B902&lt;62,0,'Combined Retirement'!$I$14)</f>
        <v>2345</v>
      </c>
      <c r="I902" s="25">
        <f>IF(C902&lt;62,0,'Combined Retirement'!$I$13)</f>
        <v>2420</v>
      </c>
      <c r="J902" s="25">
        <f t="shared" si="783"/>
        <v>8395.6297298201844</v>
      </c>
      <c r="K902" s="25">
        <f t="shared" si="784"/>
        <v>21655.303514578787</v>
      </c>
      <c r="L902" s="25"/>
      <c r="N902" s="25">
        <f>'Combined Retirement'!$C$18/12</f>
        <v>40940.569999999992</v>
      </c>
      <c r="O902" s="25">
        <f t="shared" si="785"/>
        <v>10889.636755601023</v>
      </c>
      <c r="P902" s="25">
        <f t="shared" si="786"/>
        <v>30050.93324439897</v>
      </c>
      <c r="Q902" s="25">
        <f t="array" aca="1" ref="Q902" ca="1">INDEX('Isaac 401k'!L:L,MATCH('Retirement Calculator'!A902,'Isaac 401k'!N:N,0),0)</f>
        <v>-17536384.02307602</v>
      </c>
      <c r="R902" s="25">
        <f t="array" aca="1" ref="R902" ca="1">INDEX('Lorri 401b'!L:L,MATCH('Retirement Calculator'!A902,'Lorri 401b'!N:N,0),0)</f>
        <v>-29565281.241961483</v>
      </c>
      <c r="S902" s="25">
        <f t="shared" ca="1" si="787"/>
        <v>-47101665.265037507</v>
      </c>
    </row>
    <row r="903" spans="1:19" ht="15.75" customHeight="1" x14ac:dyDescent="0.25">
      <c r="A903" s="37">
        <v>78437</v>
      </c>
      <c r="B903" s="398">
        <f t="shared" ref="B903:C903" si="914">($A903-B$9)/365.25</f>
        <v>132.87063655030801</v>
      </c>
      <c r="C903" s="398">
        <f t="shared" si="914"/>
        <v>128.26009582477755</v>
      </c>
      <c r="E903" s="25">
        <f>IF(C903&gt;$B$7,0,'Combined Retirement'!$D$13/12)</f>
        <v>0</v>
      </c>
      <c r="F903" s="25">
        <f>IF(H903=0,'Combined Retirement'!$D$32,0)+'Combined Retirement'!$B$24</f>
        <v>2870.372285649099</v>
      </c>
      <c r="G903" s="25">
        <f>'Combined Retirement'!$C$24</f>
        <v>3254.2644699519233</v>
      </c>
      <c r="H903" s="25">
        <f>IF(B903&lt;62,0,'Combined Retirement'!$I$14)</f>
        <v>2345</v>
      </c>
      <c r="I903" s="25">
        <f>IF(C903&lt;62,0,'Combined Retirement'!$I$13)</f>
        <v>2420</v>
      </c>
      <c r="J903" s="25">
        <f t="shared" si="783"/>
        <v>8395.6297298201844</v>
      </c>
      <c r="K903" s="25">
        <f t="shared" si="784"/>
        <v>21655.303514578787</v>
      </c>
      <c r="L903" s="25"/>
      <c r="N903" s="25">
        <f>'Combined Retirement'!$C$18/12</f>
        <v>40940.569999999992</v>
      </c>
      <c r="O903" s="25">
        <f t="shared" si="785"/>
        <v>10889.636755601023</v>
      </c>
      <c r="P903" s="25">
        <f t="shared" si="786"/>
        <v>30050.93324439897</v>
      </c>
      <c r="Q903" s="25">
        <f t="array" aca="1" ref="Q903" ca="1">INDEX('Isaac 401k'!L:L,MATCH('Retirement Calculator'!A903,'Isaac 401k'!N:N,0),0)</f>
        <v>-17617882.901359197</v>
      </c>
      <c r="R903" s="25">
        <f t="array" aca="1" ref="R903" ca="1">INDEX('Lorri 401b'!L:L,MATCH('Retirement Calculator'!A903,'Lorri 401b'!N:N,0),0)</f>
        <v>-29710215.447748877</v>
      </c>
      <c r="S903" s="25">
        <f t="shared" ca="1" si="787"/>
        <v>-47328098.34910807</v>
      </c>
    </row>
    <row r="904" spans="1:19" ht="15.75" customHeight="1" x14ac:dyDescent="0.25">
      <c r="A904" s="37">
        <v>78468</v>
      </c>
      <c r="B904" s="398">
        <f t="shared" ref="B904:C904" si="915">($A904-B$9)/365.25</f>
        <v>132.95550992470911</v>
      </c>
      <c r="C904" s="398">
        <f t="shared" si="915"/>
        <v>128.34496919917865</v>
      </c>
      <c r="E904" s="25">
        <f>IF(C904&gt;$B$7,0,'Combined Retirement'!$D$13/12)</f>
        <v>0</v>
      </c>
      <c r="F904" s="25">
        <f>IF(H904=0,'Combined Retirement'!$D$32,0)+'Combined Retirement'!$B$24</f>
        <v>2870.372285649099</v>
      </c>
      <c r="G904" s="25">
        <f>'Combined Retirement'!$C$24</f>
        <v>3254.2644699519233</v>
      </c>
      <c r="H904" s="25">
        <f>IF(B904&lt;62,0,'Combined Retirement'!$I$14)</f>
        <v>2345</v>
      </c>
      <c r="I904" s="25">
        <f>IF(C904&lt;62,0,'Combined Retirement'!$I$13)</f>
        <v>2420</v>
      </c>
      <c r="J904" s="25">
        <f t="shared" si="783"/>
        <v>8395.6297298201844</v>
      </c>
      <c r="K904" s="25">
        <f t="shared" si="784"/>
        <v>21655.303514578787</v>
      </c>
      <c r="L904" s="25"/>
      <c r="N904" s="25">
        <f>'Combined Retirement'!$C$18/12</f>
        <v>40940.569999999992</v>
      </c>
      <c r="O904" s="25">
        <f t="shared" si="785"/>
        <v>10889.636755601023</v>
      </c>
      <c r="P904" s="25">
        <f t="shared" si="786"/>
        <v>30050.93324439897</v>
      </c>
      <c r="Q904" s="25">
        <f t="array" aca="1" ref="Q904" ca="1">INDEX('Isaac 401k'!L:L,MATCH('Retirement Calculator'!A904,'Isaac 401k'!N:N,0),0)</f>
        <v>-17699721.358301885</v>
      </c>
      <c r="R904" s="25">
        <f t="array" aca="1" ref="R904" ca="1">INDEX('Lorri 401b'!L:L,MATCH('Retirement Calculator'!A904,'Lorri 401b'!N:N,0),0)</f>
        <v>-29855753.546060387</v>
      </c>
      <c r="S904" s="25">
        <f t="shared" ca="1" si="787"/>
        <v>-47555474.904362276</v>
      </c>
    </row>
    <row r="905" spans="1:19" ht="15.75" customHeight="1" x14ac:dyDescent="0.25">
      <c r="A905" s="37">
        <v>78498</v>
      </c>
      <c r="B905" s="398">
        <f t="shared" ref="B905:C905" si="916">($A905-B$9)/365.25</f>
        <v>133.03764544832308</v>
      </c>
      <c r="C905" s="398">
        <f t="shared" si="916"/>
        <v>128.42710472279262</v>
      </c>
      <c r="E905" s="25">
        <f>IF(C905&gt;$B$7,0,'Combined Retirement'!$D$13/12)</f>
        <v>0</v>
      </c>
      <c r="F905" s="25">
        <f>IF(H905=0,'Combined Retirement'!$D$32,0)+'Combined Retirement'!$B$24</f>
        <v>2870.372285649099</v>
      </c>
      <c r="G905" s="25">
        <f>'Combined Retirement'!$C$24</f>
        <v>3254.2644699519233</v>
      </c>
      <c r="H905" s="25">
        <f>IF(B905&lt;62,0,'Combined Retirement'!$I$14)</f>
        <v>2345</v>
      </c>
      <c r="I905" s="25">
        <f>IF(C905&lt;62,0,'Combined Retirement'!$I$13)</f>
        <v>2420</v>
      </c>
      <c r="J905" s="25">
        <f t="shared" si="783"/>
        <v>8395.6297298201844</v>
      </c>
      <c r="K905" s="25">
        <f t="shared" si="784"/>
        <v>21655.303514578787</v>
      </c>
      <c r="L905" s="25"/>
      <c r="N905" s="25">
        <f>'Combined Retirement'!$C$18/12</f>
        <v>40940.569999999992</v>
      </c>
      <c r="O905" s="25">
        <f t="shared" si="785"/>
        <v>10889.636755601023</v>
      </c>
      <c r="P905" s="25">
        <f t="shared" si="786"/>
        <v>30050.93324439897</v>
      </c>
      <c r="Q905" s="25">
        <f t="array" aca="1" ref="Q905" ca="1">INDEX('Isaac 401k'!L:L,MATCH('Retirement Calculator'!A905,'Isaac 401k'!N:N,0),0)</f>
        <v>-17781900.80881517</v>
      </c>
      <c r="R905" s="25">
        <f t="array" aca="1" ref="R905" ca="1">INDEX('Lorri 401b'!L:L,MATCH('Retirement Calculator'!A905,'Lorri 401b'!N:N,0),0)</f>
        <v>-30001898.053114861</v>
      </c>
      <c r="S905" s="25">
        <f t="shared" ca="1" si="787"/>
        <v>-47783798.861930028</v>
      </c>
    </row>
    <row r="906" spans="1:19" ht="15.75" customHeight="1" x14ac:dyDescent="0.25">
      <c r="A906" s="37">
        <v>78529</v>
      </c>
      <c r="B906" s="398">
        <f t="shared" ref="B906:C906" si="917">($A906-B$9)/365.25</f>
        <v>133.12251882272417</v>
      </c>
      <c r="C906" s="398">
        <f t="shared" si="917"/>
        <v>128.51197809719369</v>
      </c>
      <c r="E906" s="25">
        <f>IF(C906&gt;$B$7,0,'Combined Retirement'!$D$13/12)</f>
        <v>0</v>
      </c>
      <c r="F906" s="25">
        <f>IF(H906=0,'Combined Retirement'!$D$32,0)+'Combined Retirement'!$B$24</f>
        <v>2870.372285649099</v>
      </c>
      <c r="G906" s="25">
        <f>'Combined Retirement'!$C$24</f>
        <v>3254.2644699519233</v>
      </c>
      <c r="H906" s="25">
        <f>IF(B906&lt;62,0,'Combined Retirement'!$I$14)</f>
        <v>2345</v>
      </c>
      <c r="I906" s="25">
        <f>IF(C906&lt;62,0,'Combined Retirement'!$I$13)</f>
        <v>2420</v>
      </c>
      <c r="J906" s="25">
        <f t="shared" si="783"/>
        <v>8395.6297298201844</v>
      </c>
      <c r="K906" s="25">
        <f t="shared" si="784"/>
        <v>21655.303514578787</v>
      </c>
      <c r="L906" s="25"/>
      <c r="N906" s="25">
        <f>'Combined Retirement'!$C$18/12</f>
        <v>40940.569999999992</v>
      </c>
      <c r="O906" s="25">
        <f t="shared" si="785"/>
        <v>10889.636755601023</v>
      </c>
      <c r="P906" s="25">
        <f t="shared" si="786"/>
        <v>30050.93324439897</v>
      </c>
      <c r="Q906" s="25">
        <f t="array" aca="1" ref="Q906" ca="1">INDEX('Isaac 401k'!L:L,MATCH('Retirement Calculator'!A906,'Isaac 401k'!N:N,0),0)</f>
        <v>-17864422.673705593</v>
      </c>
      <c r="R906" s="25">
        <f t="array" aca="1" ref="R906" ca="1">INDEX('Lorri 401b'!L:L,MATCH('Retirement Calculator'!A906,'Lorri 401b'!N:N,0),0)</f>
        <v>-30148651.495615393</v>
      </c>
      <c r="S906" s="25">
        <f t="shared" ca="1" si="787"/>
        <v>-48013074.169320986</v>
      </c>
    </row>
    <row r="907" spans="1:19" ht="15.75" customHeight="1" x14ac:dyDescent="0.25">
      <c r="A907" s="37">
        <v>78560</v>
      </c>
      <c r="B907" s="398">
        <f t="shared" ref="B907:C907" si="918">($A907-B$9)/365.25</f>
        <v>133.20739219712524</v>
      </c>
      <c r="C907" s="398">
        <f t="shared" si="918"/>
        <v>128.59685147159479</v>
      </c>
      <c r="E907" s="25">
        <f>IF(C907&gt;$B$7,0,'Combined Retirement'!$D$13/12)</f>
        <v>0</v>
      </c>
      <c r="F907" s="25">
        <f>IF(H907=0,'Combined Retirement'!$D$32,0)+'Combined Retirement'!$B$24</f>
        <v>2870.372285649099</v>
      </c>
      <c r="G907" s="25">
        <f>'Combined Retirement'!$C$24</f>
        <v>3254.2644699519233</v>
      </c>
      <c r="H907" s="25">
        <f>IF(B907&lt;62,0,'Combined Retirement'!$I$14)</f>
        <v>2345</v>
      </c>
      <c r="I907" s="25">
        <f>IF(C907&lt;62,0,'Combined Retirement'!$I$13)</f>
        <v>2420</v>
      </c>
      <c r="J907" s="25">
        <f t="shared" si="783"/>
        <v>8395.6297298201844</v>
      </c>
      <c r="K907" s="25">
        <f t="shared" si="784"/>
        <v>21655.303514578787</v>
      </c>
      <c r="L907" s="25"/>
      <c r="N907" s="25">
        <f>'Combined Retirement'!$C$18/12</f>
        <v>40940.569999999992</v>
      </c>
      <c r="O907" s="25">
        <f t="shared" si="785"/>
        <v>10889.636755601023</v>
      </c>
      <c r="P907" s="25">
        <f t="shared" si="786"/>
        <v>30050.93324439897</v>
      </c>
      <c r="Q907" s="25">
        <f t="array" aca="1" ref="Q907" ca="1">INDEX('Isaac 401k'!L:L,MATCH('Retirement Calculator'!A907,'Isaac 401k'!N:N,0),0)</f>
        <v>-17947288.379699726</v>
      </c>
      <c r="R907" s="25">
        <f t="array" aca="1" ref="R907" ca="1">INDEX('Lorri 401b'!L:L,MATCH('Retirement Calculator'!A907,'Lorri 401b'!N:N,0),0)</f>
        <v>-30296016.41079301</v>
      </c>
      <c r="S907" s="25">
        <f t="shared" ca="1" si="787"/>
        <v>-48243304.790492736</v>
      </c>
    </row>
    <row r="908" spans="1:19" ht="15.75" customHeight="1" x14ac:dyDescent="0.25">
      <c r="A908" s="37">
        <v>78588</v>
      </c>
      <c r="B908" s="398">
        <f t="shared" ref="B908:C908" si="919">($A908-B$9)/365.25</f>
        <v>133.28405201916496</v>
      </c>
      <c r="C908" s="398">
        <f t="shared" si="919"/>
        <v>128.6735112936345</v>
      </c>
      <c r="E908" s="25">
        <f>IF(C908&gt;$B$7,0,'Combined Retirement'!$D$13/12)</f>
        <v>0</v>
      </c>
      <c r="F908" s="25">
        <f>IF(H908=0,'Combined Retirement'!$D$32,0)+'Combined Retirement'!$B$24</f>
        <v>2870.372285649099</v>
      </c>
      <c r="G908" s="25">
        <f>'Combined Retirement'!$C$24</f>
        <v>3254.2644699519233</v>
      </c>
      <c r="H908" s="25">
        <f>IF(B908&lt;62,0,'Combined Retirement'!$I$14)</f>
        <v>2345</v>
      </c>
      <c r="I908" s="25">
        <f>IF(C908&lt;62,0,'Combined Retirement'!$I$13)</f>
        <v>2420</v>
      </c>
      <c r="J908" s="25">
        <f t="shared" si="783"/>
        <v>8395.6297298201844</v>
      </c>
      <c r="K908" s="25">
        <f t="shared" si="784"/>
        <v>21655.303514578787</v>
      </c>
      <c r="L908" s="25"/>
      <c r="N908" s="25">
        <f>'Combined Retirement'!$C$18/12</f>
        <v>40940.569999999992</v>
      </c>
      <c r="O908" s="25">
        <f t="shared" si="785"/>
        <v>10889.636755601023</v>
      </c>
      <c r="P908" s="25">
        <f t="shared" si="786"/>
        <v>30050.93324439897</v>
      </c>
      <c r="Q908" s="25">
        <f t="array" aca="1" ref="Q908" ca="1">INDEX('Isaac 401k'!L:L,MATCH('Retirement Calculator'!A908,'Isaac 401k'!N:N,0),0)</f>
        <v>-18030499.359468833</v>
      </c>
      <c r="R908" s="25">
        <f t="array" aca="1" ref="R908" ca="1">INDEX('Lorri 401b'!L:L,MATCH('Retirement Calculator'!A908,'Lorri 401b'!N:N,0),0)</f>
        <v>-30443995.346450537</v>
      </c>
      <c r="S908" s="25">
        <f t="shared" ca="1" si="787"/>
        <v>-48474494.70591937</v>
      </c>
    </row>
    <row r="909" spans="1:19" ht="15.75" customHeight="1" x14ac:dyDescent="0.25">
      <c r="A909" s="37">
        <v>78619</v>
      </c>
      <c r="B909" s="398">
        <f t="shared" ref="B909:C909" si="920">($A909-B$9)/365.25</f>
        <v>133.36892539356606</v>
      </c>
      <c r="C909" s="398">
        <f t="shared" si="920"/>
        <v>128.7583846680356</v>
      </c>
      <c r="E909" s="25">
        <f>IF(C909&gt;$B$7,0,'Combined Retirement'!$D$13/12)</f>
        <v>0</v>
      </c>
      <c r="F909" s="25">
        <f>IF(H909=0,'Combined Retirement'!$D$32,0)+'Combined Retirement'!$B$24</f>
        <v>2870.372285649099</v>
      </c>
      <c r="G909" s="25">
        <f>'Combined Retirement'!$C$24</f>
        <v>3254.2644699519233</v>
      </c>
      <c r="H909" s="25">
        <f>IF(B909&lt;62,0,'Combined Retirement'!$I$14)</f>
        <v>2345</v>
      </c>
      <c r="I909" s="25">
        <f>IF(C909&lt;62,0,'Combined Retirement'!$I$13)</f>
        <v>2420</v>
      </c>
      <c r="J909" s="25">
        <f t="shared" si="783"/>
        <v>8395.6297298201844</v>
      </c>
      <c r="K909" s="25">
        <f t="shared" si="784"/>
        <v>21655.303514578787</v>
      </c>
      <c r="L909" s="25"/>
      <c r="N909" s="25">
        <f>'Combined Retirement'!$C$18/12</f>
        <v>40940.569999999992</v>
      </c>
      <c r="O909" s="25">
        <f t="shared" si="785"/>
        <v>10889.636755601023</v>
      </c>
      <c r="P909" s="25">
        <f t="shared" si="786"/>
        <v>30050.93324439897</v>
      </c>
      <c r="Q909" s="25">
        <f t="array" aca="1" ref="Q909" ca="1">INDEX('Isaac 401k'!L:L,MATCH('Retirement Calculator'!A909,'Isaac 401k'!N:N,0),0)</f>
        <v>-18114057.051653646</v>
      </c>
      <c r="R909" s="25">
        <f t="array" aca="1" ref="R909" ca="1">INDEX('Lorri 401b'!L:L,MATCH('Retirement Calculator'!A909,'Lorri 401b'!N:N,0),0)</f>
        <v>-30592590.861006636</v>
      </c>
      <c r="S909" s="25">
        <f t="shared" ca="1" si="787"/>
        <v>-48706647.912660286</v>
      </c>
    </row>
    <row r="910" spans="1:19" ht="15.75" customHeight="1" x14ac:dyDescent="0.25">
      <c r="A910" s="37">
        <v>78649</v>
      </c>
      <c r="B910" s="398">
        <f t="shared" ref="B910:C910" si="921">($A910-B$9)/365.25</f>
        <v>133.45106091718</v>
      </c>
      <c r="C910" s="398">
        <f t="shared" si="921"/>
        <v>128.84052019164955</v>
      </c>
      <c r="E910" s="25">
        <f>IF(C910&gt;$B$7,0,'Combined Retirement'!$D$13/12)</f>
        <v>0</v>
      </c>
      <c r="F910" s="25">
        <f>IF(H910=0,'Combined Retirement'!$D$32,0)+'Combined Retirement'!$B$24</f>
        <v>2870.372285649099</v>
      </c>
      <c r="G910" s="25">
        <f>'Combined Retirement'!$C$24</f>
        <v>3254.2644699519233</v>
      </c>
      <c r="H910" s="25">
        <f>IF(B910&lt;62,0,'Combined Retirement'!$I$14)</f>
        <v>2345</v>
      </c>
      <c r="I910" s="25">
        <f>IF(C910&lt;62,0,'Combined Retirement'!$I$13)</f>
        <v>2420</v>
      </c>
      <c r="J910" s="25">
        <f t="shared" si="783"/>
        <v>8395.6297298201844</v>
      </c>
      <c r="K910" s="25">
        <f t="shared" si="784"/>
        <v>21655.303514578787</v>
      </c>
      <c r="L910" s="25"/>
      <c r="N910" s="25">
        <f>'Combined Retirement'!$C$18/12</f>
        <v>40940.569999999992</v>
      </c>
      <c r="O910" s="25">
        <f t="shared" si="785"/>
        <v>10889.636755601023</v>
      </c>
      <c r="P910" s="25">
        <f t="shared" si="786"/>
        <v>30050.93324439897</v>
      </c>
      <c r="Q910" s="25">
        <f t="array" aca="1" ref="Q910" ca="1">INDEX('Isaac 401k'!L:L,MATCH('Retirement Calculator'!A910,'Isaac 401k'!N:N,0),0)</f>
        <v>-18197962.900889229</v>
      </c>
      <c r="R910" s="25">
        <f t="array" aca="1" ref="R910" ca="1">INDEX('Lorri 401b'!L:L,MATCH('Retirement Calculator'!A910,'Lorri 401b'!N:N,0),0)</f>
        <v>-30741805.523540054</v>
      </c>
      <c r="S910" s="25">
        <f t="shared" ca="1" si="787"/>
        <v>-48939768.424429283</v>
      </c>
    </row>
    <row r="911" spans="1:19" ht="15.75" customHeight="1" x14ac:dyDescent="0.25">
      <c r="A911" s="37">
        <v>78680</v>
      </c>
      <c r="B911" s="398">
        <f t="shared" ref="B911:C911" si="922">($A911-B$9)/365.25</f>
        <v>133.5359342915811</v>
      </c>
      <c r="C911" s="398">
        <f t="shared" si="922"/>
        <v>128.92539356605064</v>
      </c>
      <c r="E911" s="25">
        <f>IF(C911&gt;$B$7,0,'Combined Retirement'!$D$13/12)</f>
        <v>0</v>
      </c>
      <c r="F911" s="25">
        <f>IF(H911=0,'Combined Retirement'!$D$32,0)+'Combined Retirement'!$B$24</f>
        <v>2870.372285649099</v>
      </c>
      <c r="G911" s="25">
        <f>'Combined Retirement'!$C$24</f>
        <v>3254.2644699519233</v>
      </c>
      <c r="H911" s="25">
        <f>IF(B911&lt;62,0,'Combined Retirement'!$I$14)</f>
        <v>2345</v>
      </c>
      <c r="I911" s="25">
        <f>IF(C911&lt;62,0,'Combined Retirement'!$I$13)</f>
        <v>2420</v>
      </c>
      <c r="J911" s="25">
        <f t="shared" si="783"/>
        <v>8395.6297298201844</v>
      </c>
      <c r="K911" s="25">
        <f t="shared" si="784"/>
        <v>21655.303514578787</v>
      </c>
      <c r="L911" s="25"/>
      <c r="N911" s="25">
        <f>'Combined Retirement'!$C$18/12</f>
        <v>40940.569999999992</v>
      </c>
      <c r="O911" s="25">
        <f t="shared" si="785"/>
        <v>10889.636755601023</v>
      </c>
      <c r="P911" s="25">
        <f t="shared" si="786"/>
        <v>30050.93324439897</v>
      </c>
      <c r="Q911" s="25">
        <f t="array" aca="1" ref="Q911" ca="1">INDEX('Isaac 401k'!L:L,MATCH('Retirement Calculator'!A911,'Isaac 401k'!N:N,0),0)</f>
        <v>-18282218.357829962</v>
      </c>
      <c r="R911" s="25">
        <f t="array" aca="1" ref="R911" ca="1">INDEX('Lorri 401b'!L:L,MATCH('Retirement Calculator'!A911,'Lorri 401b'!N:N,0),0)</f>
        <v>-30891641.913834024</v>
      </c>
      <c r="S911" s="25">
        <f t="shared" ca="1" si="787"/>
        <v>-49173860.271663986</v>
      </c>
    </row>
    <row r="912" spans="1:19" ht="15.75" customHeight="1" x14ac:dyDescent="0.25">
      <c r="A912" s="37">
        <v>78710</v>
      </c>
      <c r="B912" s="398">
        <f t="shared" ref="B912:C912" si="923">($A912-B$9)/365.25</f>
        <v>133.61806981519507</v>
      </c>
      <c r="C912" s="398">
        <f t="shared" si="923"/>
        <v>129.00752908966462</v>
      </c>
      <c r="E912" s="25">
        <f>IF(C912&gt;$B$7,0,'Combined Retirement'!$D$13/12)</f>
        <v>0</v>
      </c>
      <c r="F912" s="25">
        <f>IF(H912=0,'Combined Retirement'!$D$32,0)+'Combined Retirement'!$B$24</f>
        <v>2870.372285649099</v>
      </c>
      <c r="G912" s="25">
        <f>'Combined Retirement'!$C$24</f>
        <v>3254.2644699519233</v>
      </c>
      <c r="H912" s="25">
        <f>IF(B912&lt;62,0,'Combined Retirement'!$I$14)</f>
        <v>2345</v>
      </c>
      <c r="I912" s="25">
        <f>IF(C912&lt;62,0,'Combined Retirement'!$I$13)</f>
        <v>2420</v>
      </c>
      <c r="J912" s="25">
        <f t="shared" si="783"/>
        <v>8395.6297298201844</v>
      </c>
      <c r="K912" s="25">
        <f t="shared" si="784"/>
        <v>21655.303514578787</v>
      </c>
      <c r="L912" s="25"/>
      <c r="N912" s="25">
        <f>'Combined Retirement'!$C$18/12</f>
        <v>40940.569999999992</v>
      </c>
      <c r="O912" s="25">
        <f t="shared" si="785"/>
        <v>10889.636755601023</v>
      </c>
      <c r="P912" s="25">
        <f t="shared" si="786"/>
        <v>30050.93324439897</v>
      </c>
      <c r="Q912" s="25">
        <f t="array" aca="1" ref="Q912" ca="1">INDEX('Isaac 401k'!L:L,MATCH('Retirement Calculator'!A912,'Isaac 401k'!N:N,0),0)</f>
        <v>-18366824.879174612</v>
      </c>
      <c r="R912" s="25">
        <f t="array" aca="1" ref="R912" ca="1">INDEX('Lorri 401b'!L:L,MATCH('Retirement Calculator'!A912,'Lorri 401b'!N:N,0),0)</f>
        <v>-31042102.622420888</v>
      </c>
      <c r="S912" s="25">
        <f t="shared" ca="1" si="787"/>
        <v>-49408927.501595497</v>
      </c>
    </row>
    <row r="913" spans="1:19" ht="15.75" customHeight="1" x14ac:dyDescent="0.25">
      <c r="A913" s="37">
        <v>78741</v>
      </c>
      <c r="B913" s="398">
        <f t="shared" ref="B913:C913" si="924">($A913-B$9)/365.25</f>
        <v>133.70294318959617</v>
      </c>
      <c r="C913" s="398">
        <f t="shared" si="924"/>
        <v>129.09240246406571</v>
      </c>
      <c r="E913" s="25">
        <f>IF(C913&gt;$B$7,0,'Combined Retirement'!$D$13/12)</f>
        <v>0</v>
      </c>
      <c r="F913" s="25">
        <f>IF(H913=0,'Combined Retirement'!$D$32,0)+'Combined Retirement'!$B$24</f>
        <v>2870.372285649099</v>
      </c>
      <c r="G913" s="25">
        <f>'Combined Retirement'!$C$24</f>
        <v>3254.2644699519233</v>
      </c>
      <c r="H913" s="25">
        <f>IF(B913&lt;62,0,'Combined Retirement'!$I$14)</f>
        <v>2345</v>
      </c>
      <c r="I913" s="25">
        <f>IF(C913&lt;62,0,'Combined Retirement'!$I$13)</f>
        <v>2420</v>
      </c>
      <c r="J913" s="25">
        <f t="shared" si="783"/>
        <v>8395.6297298201844</v>
      </c>
      <c r="K913" s="25">
        <f t="shared" si="784"/>
        <v>21655.303514578787</v>
      </c>
      <c r="L913" s="25"/>
      <c r="N913" s="25">
        <f>'Combined Retirement'!$C$18/12</f>
        <v>40940.569999999992</v>
      </c>
      <c r="O913" s="25">
        <f t="shared" si="785"/>
        <v>10889.636755601023</v>
      </c>
      <c r="P913" s="25">
        <f t="shared" si="786"/>
        <v>30050.93324439897</v>
      </c>
      <c r="Q913" s="25">
        <f t="array" aca="1" ref="Q913" ca="1">INDEX('Isaac 401k'!L:L,MATCH('Retirement Calculator'!A913,'Isaac 401k'!N:N,0),0)</f>
        <v>-18451783.927691534</v>
      </c>
      <c r="R913" s="25">
        <f t="array" aca="1" ref="R913" ca="1">INDEX('Lorri 401b'!L:L,MATCH('Retirement Calculator'!A913,'Lorri 401b'!N:N,0),0)</f>
        <v>-31193190.250626862</v>
      </c>
      <c r="S913" s="25">
        <f t="shared" ca="1" si="787"/>
        <v>-49644974.178318396</v>
      </c>
    </row>
    <row r="914" spans="1:19" ht="15.75" customHeight="1" x14ac:dyDescent="0.25">
      <c r="A914" s="37">
        <v>78772</v>
      </c>
      <c r="B914" s="398">
        <f t="shared" ref="B914:C914" si="925">($A914-B$9)/365.25</f>
        <v>133.78781656399727</v>
      </c>
      <c r="C914" s="398">
        <f t="shared" si="925"/>
        <v>129.17727583846681</v>
      </c>
      <c r="E914" s="25">
        <f>IF(C914&gt;$B$7,0,'Combined Retirement'!$D$13/12)</f>
        <v>0</v>
      </c>
      <c r="F914" s="25">
        <f>IF(H914=0,'Combined Retirement'!$D$32,0)+'Combined Retirement'!$B$24</f>
        <v>2870.372285649099</v>
      </c>
      <c r="G914" s="25">
        <f>'Combined Retirement'!$C$24</f>
        <v>3254.2644699519233</v>
      </c>
      <c r="H914" s="25">
        <f>IF(B914&lt;62,0,'Combined Retirement'!$I$14)</f>
        <v>2345</v>
      </c>
      <c r="I914" s="25">
        <f>IF(C914&lt;62,0,'Combined Retirement'!$I$13)</f>
        <v>2420</v>
      </c>
      <c r="J914" s="25">
        <f t="shared" si="783"/>
        <v>8395.6297298201844</v>
      </c>
      <c r="K914" s="25">
        <f t="shared" si="784"/>
        <v>21655.303514578787</v>
      </c>
      <c r="L914" s="25"/>
      <c r="N914" s="25">
        <f>'Combined Retirement'!$C$18/12</f>
        <v>40940.569999999992</v>
      </c>
      <c r="O914" s="25">
        <f t="shared" si="785"/>
        <v>10889.636755601023</v>
      </c>
      <c r="P914" s="25">
        <f t="shared" si="786"/>
        <v>30050.93324439897</v>
      </c>
      <c r="Q914" s="25">
        <f t="array" aca="1" ref="Q914" ca="1">INDEX('Isaac 401k'!L:L,MATCH('Retirement Calculator'!A914,'Isaac 401k'!N:N,0),0)</f>
        <v>-18537096.972243942</v>
      </c>
      <c r="R914" s="25">
        <f t="array" aca="1" ref="R914" ca="1">INDEX('Lorri 401b'!L:L,MATCH('Retirement Calculator'!A914,'Lorri 401b'!N:N,0),0)</f>
        <v>-31344907.410617027</v>
      </c>
      <c r="S914" s="25">
        <f t="shared" ca="1" si="787"/>
        <v>-49882004.382860973</v>
      </c>
    </row>
    <row r="915" spans="1:19" ht="15.75" customHeight="1" x14ac:dyDescent="0.25">
      <c r="A915" s="37">
        <v>78802</v>
      </c>
      <c r="B915" s="398">
        <f t="shared" ref="B915:C915" si="926">($A915-B$9)/365.25</f>
        <v>133.86995208761124</v>
      </c>
      <c r="C915" s="398">
        <f t="shared" si="926"/>
        <v>129.25941136208075</v>
      </c>
      <c r="E915" s="25">
        <f>IF(C915&gt;$B$7,0,'Combined Retirement'!$D$13/12)</f>
        <v>0</v>
      </c>
      <c r="F915" s="25">
        <f>IF(H915=0,'Combined Retirement'!$D$32,0)+'Combined Retirement'!$B$24</f>
        <v>2870.372285649099</v>
      </c>
      <c r="G915" s="25">
        <f>'Combined Retirement'!$C$24</f>
        <v>3254.2644699519233</v>
      </c>
      <c r="H915" s="25">
        <f>IF(B915&lt;62,0,'Combined Retirement'!$I$14)</f>
        <v>2345</v>
      </c>
      <c r="I915" s="25">
        <f>IF(C915&lt;62,0,'Combined Retirement'!$I$13)</f>
        <v>2420</v>
      </c>
      <c r="J915" s="25">
        <f t="shared" si="783"/>
        <v>8395.6297298201844</v>
      </c>
      <c r="K915" s="25">
        <f t="shared" si="784"/>
        <v>21655.303514578787</v>
      </c>
      <c r="L915" s="25"/>
      <c r="N915" s="25">
        <f>'Combined Retirement'!$C$18/12</f>
        <v>40940.569999999992</v>
      </c>
      <c r="O915" s="25">
        <f t="shared" si="785"/>
        <v>10889.636755601023</v>
      </c>
      <c r="P915" s="25">
        <f t="shared" si="786"/>
        <v>30050.93324439897</v>
      </c>
      <c r="Q915" s="25">
        <f t="array" aca="1" ref="Q915" ca="1">INDEX('Isaac 401k'!L:L,MATCH('Retirement Calculator'!A915,'Isaac 401k'!N:N,0),0)</f>
        <v>-18622765.487815317</v>
      </c>
      <c r="R915" s="25">
        <f t="array" aca="1" ref="R915" ca="1">INDEX('Lorri 401b'!L:L,MATCH('Retirement Calculator'!A915,'Lorri 401b'!N:N,0),0)</f>
        <v>-31497256.725440487</v>
      </c>
      <c r="S915" s="25">
        <f t="shared" ca="1" si="787"/>
        <v>-50120022.213255808</v>
      </c>
    </row>
    <row r="916" spans="1:19" ht="15.75" customHeight="1" x14ac:dyDescent="0.25">
      <c r="A916" s="37">
        <v>78833</v>
      </c>
      <c r="B916" s="398">
        <f t="shared" ref="B916:C916" si="927">($A916-B$9)/365.25</f>
        <v>133.95482546201231</v>
      </c>
      <c r="C916" s="398">
        <f t="shared" si="927"/>
        <v>129.34428473648185</v>
      </c>
      <c r="E916" s="25">
        <f>IF(C916&gt;$B$7,0,'Combined Retirement'!$D$13/12)</f>
        <v>0</v>
      </c>
      <c r="F916" s="25">
        <f>IF(H916=0,'Combined Retirement'!$D$32,0)+'Combined Retirement'!$B$24</f>
        <v>2870.372285649099</v>
      </c>
      <c r="G916" s="25">
        <f>'Combined Retirement'!$C$24</f>
        <v>3254.2644699519233</v>
      </c>
      <c r="H916" s="25">
        <f>IF(B916&lt;62,0,'Combined Retirement'!$I$14)</f>
        <v>2345</v>
      </c>
      <c r="I916" s="25">
        <f>IF(C916&lt;62,0,'Combined Retirement'!$I$13)</f>
        <v>2420</v>
      </c>
      <c r="J916" s="25">
        <f t="shared" si="783"/>
        <v>8395.6297298201844</v>
      </c>
      <c r="K916" s="25">
        <f t="shared" si="784"/>
        <v>21655.303514578787</v>
      </c>
      <c r="L916" s="25"/>
      <c r="N916" s="25">
        <f>'Combined Retirement'!$C$18/12</f>
        <v>40940.569999999992</v>
      </c>
      <c r="O916" s="25">
        <f t="shared" si="785"/>
        <v>10889.636755601023</v>
      </c>
      <c r="P916" s="25">
        <f t="shared" si="786"/>
        <v>30050.93324439897</v>
      </c>
      <c r="Q916" s="25">
        <f t="array" aca="1" ref="Q916" ca="1">INDEX('Isaac 401k'!L:L,MATCH('Retirement Calculator'!A916,'Isaac 401k'!N:N,0),0)</f>
        <v>-18708790.955534905</v>
      </c>
      <c r="R916" s="25">
        <f t="array" aca="1" ref="R916" ca="1">INDEX('Lorri 401b'!L:L,MATCH('Retirement Calculator'!A916,'Lorri 401b'!N:N,0),0)</f>
        <v>-31650240.829075709</v>
      </c>
      <c r="S916" s="25">
        <f t="shared" ca="1" si="787"/>
        <v>-50359031.784610614</v>
      </c>
    </row>
    <row r="917" spans="1:19" ht="15.75" customHeight="1" x14ac:dyDescent="0.25">
      <c r="A917" s="37">
        <v>78863</v>
      </c>
      <c r="B917" s="398">
        <f t="shared" ref="B917:C917" si="928">($A917-B$9)/365.25</f>
        <v>134.03696098562628</v>
      </c>
      <c r="C917" s="398">
        <f t="shared" si="928"/>
        <v>129.42642026009582</v>
      </c>
      <c r="E917" s="25">
        <f>IF(C917&gt;$B$7,0,'Combined Retirement'!$D$13/12)</f>
        <v>0</v>
      </c>
      <c r="F917" s="25">
        <f>IF(H917=0,'Combined Retirement'!$D$32,0)+'Combined Retirement'!$B$24</f>
        <v>2870.372285649099</v>
      </c>
      <c r="G917" s="25">
        <f>'Combined Retirement'!$C$24</f>
        <v>3254.2644699519233</v>
      </c>
      <c r="H917" s="25">
        <f>IF(B917&lt;62,0,'Combined Retirement'!$I$14)</f>
        <v>2345</v>
      </c>
      <c r="I917" s="25">
        <f>IF(C917&lt;62,0,'Combined Retirement'!$I$13)</f>
        <v>2420</v>
      </c>
      <c r="J917" s="25">
        <f t="shared" si="783"/>
        <v>8395.6297298201844</v>
      </c>
      <c r="K917" s="25">
        <f t="shared" si="784"/>
        <v>21655.303514578787</v>
      </c>
      <c r="L917" s="25"/>
      <c r="N917" s="25">
        <f>'Combined Retirement'!$C$18/12</f>
        <v>40940.569999999992</v>
      </c>
      <c r="O917" s="25">
        <f t="shared" si="785"/>
        <v>10889.636755601023</v>
      </c>
      <c r="P917" s="25">
        <f t="shared" si="786"/>
        <v>30050.93324439897</v>
      </c>
      <c r="Q917" s="25">
        <f t="array" aca="1" ref="Q917" ca="1">INDEX('Isaac 401k'!L:L,MATCH('Retirement Calculator'!A917,'Isaac 401k'!N:N,0),0)</f>
        <v>-18795174.862703327</v>
      </c>
      <c r="R917" s="25">
        <f t="array" aca="1" ref="R917" ca="1">INDEX('Lorri 401b'!L:L,MATCH('Retirement Calculator'!A917,'Lorri 401b'!N:N,0),0)</f>
        <v>-31803862.366476078</v>
      </c>
      <c r="S917" s="25">
        <f t="shared" ca="1" si="787"/>
        <v>-50599037.229179405</v>
      </c>
    </row>
    <row r="918" spans="1:19" ht="15.75" customHeight="1" x14ac:dyDescent="0.25">
      <c r="A918" s="37">
        <v>78894</v>
      </c>
      <c r="B918" s="398">
        <f t="shared" ref="B918:C918" si="929">($A918-B$9)/365.25</f>
        <v>134.12183436002738</v>
      </c>
      <c r="C918" s="398">
        <f t="shared" si="929"/>
        <v>129.51129363449692</v>
      </c>
      <c r="E918" s="25">
        <f>IF(C918&gt;$B$7,0,'Combined Retirement'!$D$13/12)</f>
        <v>0</v>
      </c>
      <c r="F918" s="25">
        <f>IF(H918=0,'Combined Retirement'!$D$32,0)+'Combined Retirement'!$B$24</f>
        <v>2870.372285649099</v>
      </c>
      <c r="G918" s="25">
        <f>'Combined Retirement'!$C$24</f>
        <v>3254.2644699519233</v>
      </c>
      <c r="H918" s="25">
        <f>IF(B918&lt;62,0,'Combined Retirement'!$I$14)</f>
        <v>2345</v>
      </c>
      <c r="I918" s="25">
        <f>IF(C918&lt;62,0,'Combined Retirement'!$I$13)</f>
        <v>2420</v>
      </c>
      <c r="J918" s="25">
        <f t="shared" si="783"/>
        <v>8395.6297298201844</v>
      </c>
      <c r="K918" s="25">
        <f t="shared" si="784"/>
        <v>21655.303514578787</v>
      </c>
      <c r="L918" s="25"/>
      <c r="N918" s="25">
        <f>'Combined Retirement'!$C$18/12</f>
        <v>40940.569999999992</v>
      </c>
      <c r="O918" s="25">
        <f t="shared" si="785"/>
        <v>10889.636755601023</v>
      </c>
      <c r="P918" s="25">
        <f t="shared" si="786"/>
        <v>30050.93324439897</v>
      </c>
      <c r="Q918" s="25">
        <f t="array" aca="1" ref="Q918" ca="1">INDEX('Isaac 401k'!L:L,MATCH('Retirement Calculator'!A918,'Isaac 401k'!N:N,0),0)</f>
        <v>-18881918.702818282</v>
      </c>
      <c r="R918" s="25">
        <f t="array" aca="1" ref="R918" ca="1">INDEX('Lorri 401b'!L:L,MATCH('Retirement Calculator'!A918,'Lorri 401b'!N:N,0),0)</f>
        <v>-31958123.993615616</v>
      </c>
      <c r="S918" s="25">
        <f t="shared" ca="1" si="787"/>
        <v>-50840042.696433902</v>
      </c>
    </row>
    <row r="919" spans="1:19" ht="15.75" customHeight="1" x14ac:dyDescent="0.25">
      <c r="A919" s="37">
        <v>78925</v>
      </c>
      <c r="B919" s="398">
        <f t="shared" ref="B919:C919" si="930">($A919-B$9)/365.25</f>
        <v>134.20670773442848</v>
      </c>
      <c r="C919" s="398">
        <f t="shared" si="930"/>
        <v>129.59616700889802</v>
      </c>
      <c r="E919" s="25">
        <f>IF(C919&gt;$B$7,0,'Combined Retirement'!$D$13/12)</f>
        <v>0</v>
      </c>
      <c r="F919" s="25">
        <f>IF(H919=0,'Combined Retirement'!$D$32,0)+'Combined Retirement'!$B$24</f>
        <v>2870.372285649099</v>
      </c>
      <c r="G919" s="25">
        <f>'Combined Retirement'!$C$24</f>
        <v>3254.2644699519233</v>
      </c>
      <c r="H919" s="25">
        <f>IF(B919&lt;62,0,'Combined Retirement'!$I$14)</f>
        <v>2345</v>
      </c>
      <c r="I919" s="25">
        <f>IF(C919&lt;62,0,'Combined Retirement'!$I$13)</f>
        <v>2420</v>
      </c>
      <c r="J919" s="25">
        <f t="shared" si="783"/>
        <v>8395.6297298201844</v>
      </c>
      <c r="K919" s="25">
        <f t="shared" si="784"/>
        <v>21655.303514578787</v>
      </c>
      <c r="L919" s="25"/>
      <c r="N919" s="25">
        <f>'Combined Retirement'!$C$18/12</f>
        <v>40940.569999999992</v>
      </c>
      <c r="O919" s="25">
        <f t="shared" si="785"/>
        <v>10889.636755601023</v>
      </c>
      <c r="P919" s="25">
        <f t="shared" si="786"/>
        <v>30050.93324439897</v>
      </c>
      <c r="Q919" s="25">
        <f t="array" aca="1" ref="Q919" ca="1">INDEX('Isaac 401k'!L:L,MATCH('Retirement Calculator'!A919,'Isaac 401k'!N:N,0),0)</f>
        <v>-18969023.975600384</v>
      </c>
      <c r="R919" s="25">
        <f t="array" aca="1" ref="R919" ca="1">INDEX('Lorri 401b'!L:L,MATCH('Retirement Calculator'!A919,'Lorri 401b'!N:N,0),0)</f>
        <v>-32113028.377534904</v>
      </c>
      <c r="S919" s="25">
        <f t="shared" ca="1" si="787"/>
        <v>-51082052.353135288</v>
      </c>
    </row>
    <row r="920" spans="1:19" ht="15.75" customHeight="1" x14ac:dyDescent="0.25">
      <c r="A920" s="37">
        <v>78954</v>
      </c>
      <c r="B920" s="398">
        <f t="shared" ref="B920:C920" si="931">($A920-B$9)/365.25</f>
        <v>134.28610540725529</v>
      </c>
      <c r="C920" s="398">
        <f t="shared" si="931"/>
        <v>129.67556468172484</v>
      </c>
      <c r="E920" s="25">
        <f>IF(C920&gt;$B$7,0,'Combined Retirement'!$D$13/12)</f>
        <v>0</v>
      </c>
      <c r="F920" s="25">
        <f>IF(H920=0,'Combined Retirement'!$D$32,0)+'Combined Retirement'!$B$24</f>
        <v>2870.372285649099</v>
      </c>
      <c r="G920" s="25">
        <f>'Combined Retirement'!$C$24</f>
        <v>3254.2644699519233</v>
      </c>
      <c r="H920" s="25">
        <f>IF(B920&lt;62,0,'Combined Retirement'!$I$14)</f>
        <v>2345</v>
      </c>
      <c r="I920" s="25">
        <f>IF(C920&lt;62,0,'Combined Retirement'!$I$13)</f>
        <v>2420</v>
      </c>
      <c r="J920" s="25">
        <f t="shared" si="783"/>
        <v>8395.6297298201844</v>
      </c>
      <c r="K920" s="25">
        <f t="shared" si="784"/>
        <v>21655.303514578787</v>
      </c>
      <c r="L920" s="25"/>
      <c r="N920" s="25">
        <f>'Combined Retirement'!$C$18/12</f>
        <v>40940.569999999992</v>
      </c>
      <c r="O920" s="25">
        <f t="shared" si="785"/>
        <v>10889.636755601023</v>
      </c>
      <c r="P920" s="25">
        <f t="shared" si="786"/>
        <v>30050.93324439897</v>
      </c>
      <c r="Q920" s="25">
        <f t="array" aca="1" ref="Q920" ca="1">INDEX('Isaac 401k'!L:L,MATCH('Retirement Calculator'!A920,'Isaac 401k'!N:N,0),0)</f>
        <v>-19056492.18701908</v>
      </c>
      <c r="R920" s="25">
        <f t="array" aca="1" ref="R920" ca="1">INDEX('Lorri 401b'!L:L,MATCH('Retirement Calculator'!A920,'Lorri 401b'!N:N,0),0)</f>
        <v>-32268578.196387187</v>
      </c>
      <c r="S920" s="25">
        <f t="shared" ca="1" si="787"/>
        <v>-51325070.383406267</v>
      </c>
    </row>
    <row r="921" spans="1:19" ht="15.75" customHeight="1" x14ac:dyDescent="0.25">
      <c r="A921" s="37">
        <v>78985</v>
      </c>
      <c r="B921" s="398">
        <f t="shared" ref="B921:C921" si="932">($A921-B$9)/365.25</f>
        <v>134.37097878165639</v>
      </c>
      <c r="C921" s="398">
        <f t="shared" si="932"/>
        <v>129.76043805612593</v>
      </c>
      <c r="E921" s="25">
        <f>IF(C921&gt;$B$7,0,'Combined Retirement'!$D$13/12)</f>
        <v>0</v>
      </c>
      <c r="F921" s="25">
        <f>IF(H921=0,'Combined Retirement'!$D$32,0)+'Combined Retirement'!$B$24</f>
        <v>2870.372285649099</v>
      </c>
      <c r="G921" s="25">
        <f>'Combined Retirement'!$C$24</f>
        <v>3254.2644699519233</v>
      </c>
      <c r="H921" s="25">
        <f>IF(B921&lt;62,0,'Combined Retirement'!$I$14)</f>
        <v>2345</v>
      </c>
      <c r="I921" s="25">
        <f>IF(C921&lt;62,0,'Combined Retirement'!$I$13)</f>
        <v>2420</v>
      </c>
      <c r="J921" s="25">
        <f t="shared" si="783"/>
        <v>8395.6297298201844</v>
      </c>
      <c r="K921" s="25">
        <f t="shared" si="784"/>
        <v>21655.303514578787</v>
      </c>
      <c r="L921" s="25"/>
      <c r="N921" s="25">
        <f>'Combined Retirement'!$C$18/12</f>
        <v>40940.569999999992</v>
      </c>
      <c r="O921" s="25">
        <f t="shared" si="785"/>
        <v>10889.636755601023</v>
      </c>
      <c r="P921" s="25">
        <f t="shared" si="786"/>
        <v>30050.93324439897</v>
      </c>
      <c r="Q921" s="25">
        <f t="array" aca="1" ref="Q921" ca="1">INDEX('Isaac 401k'!L:L,MATCH('Retirement Calculator'!A921,'Isaac 401k'!N:N,0),0)</f>
        <v>-19144324.849318687</v>
      </c>
      <c r="R921" s="25">
        <f t="array" aca="1" ref="R921" ca="1">INDEX('Lorri 401b'!L:L,MATCH('Retirement Calculator'!A921,'Lorri 401b'!N:N,0),0)</f>
        <v>-32424776.139484689</v>
      </c>
      <c r="S921" s="25">
        <f t="shared" ca="1" si="787"/>
        <v>-51569100.988803372</v>
      </c>
    </row>
    <row r="922" spans="1:19" ht="15.75" customHeight="1" x14ac:dyDescent="0.25">
      <c r="A922" s="37">
        <v>79015</v>
      </c>
      <c r="B922" s="398">
        <f t="shared" ref="B922:C922" si="933">($A922-B$9)/365.25</f>
        <v>134.45311430527036</v>
      </c>
      <c r="C922" s="398">
        <f t="shared" si="933"/>
        <v>129.84257357973991</v>
      </c>
      <c r="E922" s="25">
        <f>IF(C922&gt;$B$7,0,'Combined Retirement'!$D$13/12)</f>
        <v>0</v>
      </c>
      <c r="F922" s="25">
        <f>IF(H922=0,'Combined Retirement'!$D$32,0)+'Combined Retirement'!$B$24</f>
        <v>2870.372285649099</v>
      </c>
      <c r="G922" s="25">
        <f>'Combined Retirement'!$C$24</f>
        <v>3254.2644699519233</v>
      </c>
      <c r="H922" s="25">
        <f>IF(B922&lt;62,0,'Combined Retirement'!$I$14)</f>
        <v>2345</v>
      </c>
      <c r="I922" s="25">
        <f>IF(C922&lt;62,0,'Combined Retirement'!$I$13)</f>
        <v>2420</v>
      </c>
      <c r="J922" s="25">
        <f t="shared" si="783"/>
        <v>8395.6297298201844</v>
      </c>
      <c r="K922" s="25">
        <f t="shared" si="784"/>
        <v>21655.303514578787</v>
      </c>
      <c r="L922" s="25"/>
      <c r="N922" s="25">
        <f>'Combined Retirement'!$C$18/12</f>
        <v>40940.569999999992</v>
      </c>
      <c r="O922" s="25">
        <f t="shared" si="785"/>
        <v>10889.636755601023</v>
      </c>
      <c r="P922" s="25">
        <f t="shared" si="786"/>
        <v>30050.93324439897</v>
      </c>
      <c r="Q922" s="25">
        <f t="array" aca="1" ref="Q922" ca="1">INDEX('Isaac 401k'!L:L,MATCH('Retirement Calculator'!A922,'Isaac 401k'!N:N,0),0)</f>
        <v>-19232523.481044542</v>
      </c>
      <c r="R922" s="25">
        <f t="array" aca="1" ref="R922" ca="1">INDEX('Lorri 401b'!L:L,MATCH('Retirement Calculator'!A922,'Lorri 401b'!N:N,0),0)</f>
        <v>-32581624.907345098</v>
      </c>
      <c r="S922" s="25">
        <f t="shared" ca="1" si="787"/>
        <v>-51814148.38838964</v>
      </c>
    </row>
    <row r="923" spans="1:19" ht="15.75" customHeight="1" x14ac:dyDescent="0.25">
      <c r="A923" s="37">
        <v>79046</v>
      </c>
      <c r="B923" s="398">
        <f t="shared" ref="B923:C923" si="934">($A923-B$9)/365.25</f>
        <v>134.53798767967146</v>
      </c>
      <c r="C923" s="398">
        <f t="shared" si="934"/>
        <v>129.927446954141</v>
      </c>
      <c r="E923" s="25">
        <f>IF(C923&gt;$B$7,0,'Combined Retirement'!$D$13/12)</f>
        <v>0</v>
      </c>
      <c r="F923" s="25">
        <f>IF(H923=0,'Combined Retirement'!$D$32,0)+'Combined Retirement'!$B$24</f>
        <v>2870.372285649099</v>
      </c>
      <c r="G923" s="25">
        <f>'Combined Retirement'!$C$24</f>
        <v>3254.2644699519233</v>
      </c>
      <c r="H923" s="25">
        <f>IF(B923&lt;62,0,'Combined Retirement'!$I$14)</f>
        <v>2345</v>
      </c>
      <c r="I923" s="25">
        <f>IF(C923&lt;62,0,'Combined Retirement'!$I$13)</f>
        <v>2420</v>
      </c>
      <c r="J923" s="25">
        <f t="shared" si="783"/>
        <v>8395.6297298201844</v>
      </c>
      <c r="K923" s="25">
        <f t="shared" si="784"/>
        <v>21655.303514578787</v>
      </c>
      <c r="L923" s="25"/>
      <c r="N923" s="25">
        <f>'Combined Retirement'!$C$18/12</f>
        <v>40940.569999999992</v>
      </c>
      <c r="O923" s="25">
        <f t="shared" si="785"/>
        <v>10889.636755601023</v>
      </c>
      <c r="P923" s="25">
        <f t="shared" si="786"/>
        <v>30050.93324439897</v>
      </c>
      <c r="Q923" s="25">
        <f t="array" aca="1" ref="Q923" ca="1">INDEX('Isaac 401k'!L:L,MATCH('Retirement Calculator'!A923,'Isaac 401k'!N:N,0),0)</f>
        <v>-19321089.607069254</v>
      </c>
      <c r="R923" s="25">
        <f t="array" aca="1" ref="R923" ca="1">INDEX('Lorri 401b'!L:L,MATCH('Retirement Calculator'!A923,'Lorri 401b'!N:N,0),0)</f>
        <v>-32739127.211738259</v>
      </c>
      <c r="S923" s="25">
        <f t="shared" ca="1" si="787"/>
        <v>-52060216.818807513</v>
      </c>
    </row>
    <row r="924" spans="1:19" ht="15.75" customHeight="1" x14ac:dyDescent="0.25">
      <c r="A924" s="37">
        <v>79076</v>
      </c>
      <c r="B924" s="398">
        <f t="shared" ref="B924:C924" si="935">($A924-B$9)/365.25</f>
        <v>134.62012320328543</v>
      </c>
      <c r="C924" s="398">
        <f t="shared" si="935"/>
        <v>130.00958247775498</v>
      </c>
      <c r="E924" s="25">
        <f>IF(C924&gt;$B$7,0,'Combined Retirement'!$D$13/12)</f>
        <v>0</v>
      </c>
      <c r="F924" s="25">
        <f>IF(H924=0,'Combined Retirement'!$D$32,0)+'Combined Retirement'!$B$24</f>
        <v>2870.372285649099</v>
      </c>
      <c r="G924" s="25">
        <f>'Combined Retirement'!$C$24</f>
        <v>3254.2644699519233</v>
      </c>
      <c r="H924" s="25">
        <f>IF(B924&lt;62,0,'Combined Retirement'!$I$14)</f>
        <v>2345</v>
      </c>
      <c r="I924" s="25">
        <f>IF(C924&lt;62,0,'Combined Retirement'!$I$13)</f>
        <v>2420</v>
      </c>
      <c r="J924" s="25">
        <f t="shared" si="783"/>
        <v>8395.6297298201844</v>
      </c>
      <c r="K924" s="25">
        <f t="shared" si="784"/>
        <v>21655.303514578787</v>
      </c>
      <c r="L924" s="25"/>
      <c r="N924" s="25">
        <f>'Combined Retirement'!$C$18/12</f>
        <v>40940.569999999992</v>
      </c>
      <c r="O924" s="25">
        <f t="shared" si="785"/>
        <v>10889.636755601023</v>
      </c>
      <c r="P924" s="25">
        <f t="shared" si="786"/>
        <v>30050.93324439897</v>
      </c>
      <c r="Q924" s="25">
        <f t="array" aca="1" ref="Q924" ca="1">INDEX('Isaac 401k'!L:L,MATCH('Retirement Calculator'!A924,'Isaac 401k'!N:N,0),0)</f>
        <v>-19410024.75861907</v>
      </c>
      <c r="R924" s="25">
        <f t="array" aca="1" ref="R924" ca="1">INDEX('Lorri 401b'!L:L,MATCH('Retirement Calculator'!A924,'Lorri 401b'!N:N,0),0)</f>
        <v>-32897285.775733057</v>
      </c>
      <c r="S924" s="25">
        <f t="shared" ca="1" si="787"/>
        <v>-52307310.534352124</v>
      </c>
    </row>
    <row r="925" spans="1:19" ht="15.75" customHeight="1" x14ac:dyDescent="0.25">
      <c r="A925" s="37">
        <v>79107</v>
      </c>
      <c r="B925" s="398">
        <f t="shared" ref="B925:C925" si="936">($A925-B$9)/365.25</f>
        <v>134.70499657768653</v>
      </c>
      <c r="C925" s="398">
        <f t="shared" si="936"/>
        <v>130.09445585215605</v>
      </c>
      <c r="E925" s="25">
        <f>IF(C925&gt;$B$7,0,'Combined Retirement'!$D$13/12)</f>
        <v>0</v>
      </c>
      <c r="F925" s="25">
        <f>IF(H925=0,'Combined Retirement'!$D$32,0)+'Combined Retirement'!$B$24</f>
        <v>2870.372285649099</v>
      </c>
      <c r="G925" s="25">
        <f>'Combined Retirement'!$C$24</f>
        <v>3254.2644699519233</v>
      </c>
      <c r="H925" s="25">
        <f>IF(B925&lt;62,0,'Combined Retirement'!$I$14)</f>
        <v>2345</v>
      </c>
      <c r="I925" s="25">
        <f>IF(C925&lt;62,0,'Combined Retirement'!$I$13)</f>
        <v>2420</v>
      </c>
      <c r="J925" s="25">
        <f t="shared" si="783"/>
        <v>8395.6297298201844</v>
      </c>
      <c r="K925" s="25">
        <f t="shared" si="784"/>
        <v>21655.303514578787</v>
      </c>
      <c r="L925" s="25"/>
      <c r="N925" s="25">
        <f>'Combined Retirement'!$C$18/12</f>
        <v>40940.569999999992</v>
      </c>
      <c r="O925" s="25">
        <f t="shared" si="785"/>
        <v>10889.636755601023</v>
      </c>
      <c r="P925" s="25">
        <f t="shared" si="786"/>
        <v>30050.93324439897</v>
      </c>
      <c r="Q925" s="25">
        <f t="array" aca="1" ref="Q925" ca="1">INDEX('Isaac 401k'!L:L,MATCH('Retirement Calculator'!A925,'Isaac 401k'!N:N,0),0)</f>
        <v>-19499330.473300342</v>
      </c>
      <c r="R925" s="25">
        <f t="array" aca="1" ref="R925" ca="1">INDEX('Lorri 401b'!L:L,MATCH('Retirement Calculator'!A925,'Lorri 401b'!N:N,0),0)</f>
        <v>-33056103.3337445</v>
      </c>
      <c r="S925" s="25">
        <f t="shared" ca="1" si="787"/>
        <v>-52555433.807044841</v>
      </c>
    </row>
    <row r="926" spans="1:19" ht="15.75" customHeight="1" x14ac:dyDescent="0.25">
      <c r="A926" s="37">
        <v>79138</v>
      </c>
      <c r="B926" s="398">
        <f t="shared" ref="B926:C926" si="937">($A926-B$9)/365.25</f>
        <v>134.7898699520876</v>
      </c>
      <c r="C926" s="398">
        <f t="shared" si="937"/>
        <v>130.17932922655714</v>
      </c>
      <c r="E926" s="25">
        <f>IF(C926&gt;$B$7,0,'Combined Retirement'!$D$13/12)</f>
        <v>0</v>
      </c>
      <c r="F926" s="25">
        <f>IF(H926=0,'Combined Retirement'!$D$32,0)+'Combined Retirement'!$B$24</f>
        <v>2870.372285649099</v>
      </c>
      <c r="G926" s="25">
        <f>'Combined Retirement'!$C$24</f>
        <v>3254.2644699519233</v>
      </c>
      <c r="H926" s="25">
        <f>IF(B926&lt;62,0,'Combined Retirement'!$I$14)</f>
        <v>2345</v>
      </c>
      <c r="I926" s="25">
        <f>IF(C926&lt;62,0,'Combined Retirement'!$I$13)</f>
        <v>2420</v>
      </c>
      <c r="J926" s="25">
        <f t="shared" si="783"/>
        <v>8395.6297298201844</v>
      </c>
      <c r="K926" s="25">
        <f t="shared" si="784"/>
        <v>21655.303514578787</v>
      </c>
      <c r="L926" s="25"/>
      <c r="N926" s="25">
        <f>'Combined Retirement'!$C$18/12</f>
        <v>40940.569999999992</v>
      </c>
      <c r="O926" s="25">
        <f t="shared" si="785"/>
        <v>10889.636755601023</v>
      </c>
      <c r="P926" s="25">
        <f t="shared" si="786"/>
        <v>30050.93324439897</v>
      </c>
      <c r="Q926" s="25">
        <f t="array" aca="1" ref="Q926" ca="1">INDEX('Isaac 401k'!L:L,MATCH('Retirement Calculator'!A926,'Isaac 401k'!N:N,0),0)</f>
        <v>-19589008.295126118</v>
      </c>
      <c r="R926" s="25">
        <f t="array" aca="1" ref="R926" ca="1">INDEX('Lorri 401b'!L:L,MATCH('Retirement Calculator'!A926,'Lorri 401b'!N:N,0),0)</f>
        <v>-33215582.63158099</v>
      </c>
      <c r="S926" s="25">
        <f t="shared" ca="1" si="787"/>
        <v>-52804590.926707104</v>
      </c>
    </row>
    <row r="927" spans="1:19" ht="15.75" customHeight="1" x14ac:dyDescent="0.25">
      <c r="A927" s="37">
        <v>79168</v>
      </c>
      <c r="B927" s="398">
        <f t="shared" ref="B927:C927" si="938">($A927-B$9)/365.25</f>
        <v>134.87200547570157</v>
      </c>
      <c r="C927" s="398">
        <f t="shared" si="938"/>
        <v>130.26146475017111</v>
      </c>
      <c r="E927" s="25">
        <f>IF(C927&gt;$B$7,0,'Combined Retirement'!$D$13/12)</f>
        <v>0</v>
      </c>
      <c r="F927" s="25">
        <f>IF(H927=0,'Combined Retirement'!$D$32,0)+'Combined Retirement'!$B$24</f>
        <v>2870.372285649099</v>
      </c>
      <c r="G927" s="25">
        <f>'Combined Retirement'!$C$24</f>
        <v>3254.2644699519233</v>
      </c>
      <c r="H927" s="25">
        <f>IF(B927&lt;62,0,'Combined Retirement'!$I$14)</f>
        <v>2345</v>
      </c>
      <c r="I927" s="25">
        <f>IF(C927&lt;62,0,'Combined Retirement'!$I$13)</f>
        <v>2420</v>
      </c>
      <c r="J927" s="25">
        <f t="shared" si="783"/>
        <v>8395.6297298201844</v>
      </c>
      <c r="K927" s="25">
        <f t="shared" si="784"/>
        <v>21655.303514578787</v>
      </c>
      <c r="L927" s="25"/>
      <c r="N927" s="25">
        <f>'Combined Retirement'!$C$18/12</f>
        <v>40940.569999999992</v>
      </c>
      <c r="O927" s="25">
        <f t="shared" si="785"/>
        <v>10889.636755601023</v>
      </c>
      <c r="P927" s="25">
        <f t="shared" si="786"/>
        <v>30050.93324439897</v>
      </c>
      <c r="Q927" s="25">
        <f t="array" aca="1" ref="Q927" ca="1">INDEX('Isaac 401k'!L:L,MATCH('Retirement Calculator'!A927,'Isaac 401k'!N:N,0),0)</f>
        <v>-19679059.774542835</v>
      </c>
      <c r="R927" s="25">
        <f t="array" aca="1" ref="R927" ca="1">INDEX('Lorri 401b'!L:L,MATCH('Retirement Calculator'!A927,'Lorri 401b'!N:N,0),0)</f>
        <v>-33375726.426491797</v>
      </c>
      <c r="S927" s="25">
        <f t="shared" ca="1" si="787"/>
        <v>-53054786.201034635</v>
      </c>
    </row>
    <row r="928" spans="1:19" ht="15.75" customHeight="1" x14ac:dyDescent="0.25">
      <c r="A928" s="37">
        <v>79199</v>
      </c>
      <c r="B928" s="398">
        <f t="shared" ref="B928:C928" si="939">($A928-B$9)/365.25</f>
        <v>134.95687885010267</v>
      </c>
      <c r="C928" s="398">
        <f t="shared" si="939"/>
        <v>130.34633812457221</v>
      </c>
      <c r="E928" s="25">
        <f>IF(C928&gt;$B$7,0,'Combined Retirement'!$D$13/12)</f>
        <v>0</v>
      </c>
      <c r="F928" s="25">
        <f>IF(H928=0,'Combined Retirement'!$D$32,0)+'Combined Retirement'!$B$24</f>
        <v>2870.372285649099</v>
      </c>
      <c r="G928" s="25">
        <f>'Combined Retirement'!$C$24</f>
        <v>3254.2644699519233</v>
      </c>
      <c r="H928" s="25">
        <f>IF(B928&lt;62,0,'Combined Retirement'!$I$14)</f>
        <v>2345</v>
      </c>
      <c r="I928" s="25">
        <f>IF(C928&lt;62,0,'Combined Retirement'!$I$13)</f>
        <v>2420</v>
      </c>
      <c r="J928" s="25">
        <f t="shared" si="783"/>
        <v>8395.6297298201844</v>
      </c>
      <c r="K928" s="25">
        <f t="shared" si="784"/>
        <v>21655.303514578787</v>
      </c>
      <c r="L928" s="25"/>
      <c r="N928" s="25">
        <f>'Combined Retirement'!$C$18/12</f>
        <v>40940.569999999992</v>
      </c>
      <c r="O928" s="25">
        <f t="shared" si="785"/>
        <v>10889.636755601023</v>
      </c>
      <c r="P928" s="25">
        <f t="shared" si="786"/>
        <v>30050.93324439897</v>
      </c>
      <c r="Q928" s="25">
        <f t="array" aca="1" ref="Q928" ca="1">INDEX('Isaac 401k'!L:L,MATCH('Retirement Calculator'!A928,'Isaac 401k'!N:N,0),0)</f>
        <v>-19769486.468457121</v>
      </c>
      <c r="R928" s="25">
        <f t="array" aca="1" ref="R928" ca="1">INDEX('Lorri 401b'!L:L,MATCH('Retirement Calculator'!A928,'Lorri 401b'!N:N,0),0)</f>
        <v>-33536537.487214733</v>
      </c>
      <c r="S928" s="25">
        <f t="shared" ca="1" si="787"/>
        <v>-53306023.955671854</v>
      </c>
    </row>
    <row r="929" spans="1:19" ht="15.75" customHeight="1" x14ac:dyDescent="0.25">
      <c r="A929" s="37">
        <v>79229</v>
      </c>
      <c r="B929" s="398">
        <f t="shared" ref="B929:C929" si="940">($A929-B$9)/365.25</f>
        <v>135.03901437371664</v>
      </c>
      <c r="C929" s="398">
        <f t="shared" si="940"/>
        <v>130.42847364818618</v>
      </c>
      <c r="E929" s="25">
        <f>IF(C929&gt;$B$7,0,'Combined Retirement'!$D$13/12)</f>
        <v>0</v>
      </c>
      <c r="F929" s="25">
        <f>IF(H929=0,'Combined Retirement'!$D$32,0)+'Combined Retirement'!$B$24</f>
        <v>2870.372285649099</v>
      </c>
      <c r="G929" s="25">
        <f>'Combined Retirement'!$C$24</f>
        <v>3254.2644699519233</v>
      </c>
      <c r="H929" s="25">
        <f>IF(B929&lt;62,0,'Combined Retirement'!$I$14)</f>
        <v>2345</v>
      </c>
      <c r="I929" s="25">
        <f>IF(C929&lt;62,0,'Combined Retirement'!$I$13)</f>
        <v>2420</v>
      </c>
      <c r="J929" s="25">
        <f t="shared" si="783"/>
        <v>8395.6297298201844</v>
      </c>
      <c r="K929" s="25">
        <f t="shared" si="784"/>
        <v>21655.303514578787</v>
      </c>
      <c r="L929" s="25"/>
      <c r="N929" s="25">
        <f>'Combined Retirement'!$C$18/12</f>
        <v>40940.569999999992</v>
      </c>
      <c r="O929" s="25">
        <f t="shared" si="785"/>
        <v>10889.636755601023</v>
      </c>
      <c r="P929" s="25">
        <f t="shared" si="786"/>
        <v>30050.93324439897</v>
      </c>
      <c r="Q929" s="25">
        <f t="array" aca="1" ref="Q929" ca="1">INDEX('Isaac 401k'!L:L,MATCH('Retirement Calculator'!A929,'Isaac 401k'!N:N,0),0)</f>
        <v>-19860289.94026272</v>
      </c>
      <c r="R929" s="25">
        <f t="array" aca="1" ref="R929" ca="1">INDEX('Lorri 401b'!L:L,MATCH('Retirement Calculator'!A929,'Lorri 401b'!N:N,0),0)</f>
        <v>-33698018.594024017</v>
      </c>
      <c r="S929" s="25">
        <f t="shared" ca="1" si="787"/>
        <v>-53558308.534286737</v>
      </c>
    </row>
    <row r="930" spans="1:19" ht="15.75" customHeight="1" x14ac:dyDescent="0.25">
      <c r="A930" s="37">
        <v>79260</v>
      </c>
      <c r="B930" s="398">
        <f t="shared" ref="B930:C930" si="941">($A930-B$9)/365.25</f>
        <v>135.12388774811774</v>
      </c>
      <c r="C930" s="398">
        <f t="shared" si="941"/>
        <v>130.51334702258728</v>
      </c>
      <c r="E930" s="25">
        <f>IF(C930&gt;$B$7,0,'Combined Retirement'!$D$13/12)</f>
        <v>0</v>
      </c>
      <c r="F930" s="25">
        <f>IF(H930=0,'Combined Retirement'!$D$32,0)+'Combined Retirement'!$B$24</f>
        <v>2870.372285649099</v>
      </c>
      <c r="G930" s="25">
        <f>'Combined Retirement'!$C$24</f>
        <v>3254.2644699519233</v>
      </c>
      <c r="H930" s="25">
        <f>IF(B930&lt;62,0,'Combined Retirement'!$I$14)</f>
        <v>2345</v>
      </c>
      <c r="I930" s="25">
        <f>IF(C930&lt;62,0,'Combined Retirement'!$I$13)</f>
        <v>2420</v>
      </c>
      <c r="J930" s="25">
        <f t="shared" si="783"/>
        <v>8395.6297298201844</v>
      </c>
      <c r="K930" s="25">
        <f t="shared" si="784"/>
        <v>21655.303514578787</v>
      </c>
      <c r="L930" s="25"/>
      <c r="N930" s="25">
        <f>'Combined Retirement'!$C$18/12</f>
        <v>40940.569999999992</v>
      </c>
      <c r="O930" s="25">
        <f t="shared" si="785"/>
        <v>10889.636755601023</v>
      </c>
      <c r="P930" s="25">
        <f t="shared" si="786"/>
        <v>30050.93324439897</v>
      </c>
      <c r="Q930" s="25">
        <f t="array" aca="1" ref="Q930" ca="1">INDEX('Isaac 401k'!L:L,MATCH('Retirement Calculator'!A930,'Isaac 401k'!N:N,0),0)</f>
        <v>-19951471.759867508</v>
      </c>
      <c r="R930" s="25">
        <f t="array" aca="1" ref="R930" ca="1">INDEX('Lorri 401b'!L:L,MATCH('Retirement Calculator'!A930,'Lorri 401b'!N:N,0),0)</f>
        <v>-33860172.538778342</v>
      </c>
      <c r="S930" s="25">
        <f t="shared" ca="1" si="787"/>
        <v>-53811644.298645854</v>
      </c>
    </row>
    <row r="931" spans="1:19" ht="15.75" customHeight="1" x14ac:dyDescent="0.25">
      <c r="A931" s="37">
        <v>79291</v>
      </c>
      <c r="B931" s="398">
        <f t="shared" ref="B931:C931" si="942">($A931-B$9)/365.25</f>
        <v>135.20876112251884</v>
      </c>
      <c r="C931" s="398">
        <f t="shared" si="942"/>
        <v>130.59822039698835</v>
      </c>
      <c r="E931" s="25">
        <f>IF(C931&gt;$B$7,0,'Combined Retirement'!$D$13/12)</f>
        <v>0</v>
      </c>
      <c r="F931" s="25">
        <f>IF(H931=0,'Combined Retirement'!$D$32,0)+'Combined Retirement'!$B$24</f>
        <v>2870.372285649099</v>
      </c>
      <c r="G931" s="25">
        <f>'Combined Retirement'!$C$24</f>
        <v>3254.2644699519233</v>
      </c>
      <c r="H931" s="25">
        <f>IF(B931&lt;62,0,'Combined Retirement'!$I$14)</f>
        <v>2345</v>
      </c>
      <c r="I931" s="25">
        <f>IF(C931&lt;62,0,'Combined Retirement'!$I$13)</f>
        <v>2420</v>
      </c>
      <c r="J931" s="25">
        <f t="shared" si="783"/>
        <v>8395.6297298201844</v>
      </c>
      <c r="K931" s="25">
        <f t="shared" si="784"/>
        <v>21655.303514578787</v>
      </c>
      <c r="L931" s="25"/>
      <c r="N931" s="25">
        <f>'Combined Retirement'!$C$18/12</f>
        <v>40940.569999999992</v>
      </c>
      <c r="O931" s="25">
        <f t="shared" si="785"/>
        <v>10889.636755601023</v>
      </c>
      <c r="P931" s="25">
        <f t="shared" si="786"/>
        <v>30050.93324439897</v>
      </c>
      <c r="Q931" s="25">
        <f t="array" aca="1" ref="Q931" ca="1">INDEX('Isaac 401k'!L:L,MATCH('Retirement Calculator'!A931,'Isaac 401k'!N:N,0),0)</f>
        <v>-20043033.503720649</v>
      </c>
      <c r="R931" s="25">
        <f t="array" aca="1" ref="R931" ca="1">INDEX('Lorri 401b'!L:L,MATCH('Retirement Calculator'!A931,'Lorri 401b'!N:N,0),0)</f>
        <v>-34023002.12496914</v>
      </c>
      <c r="S931" s="25">
        <f t="shared" ca="1" si="787"/>
        <v>-54066035.628689788</v>
      </c>
    </row>
    <row r="932" spans="1:19" ht="15.75" customHeight="1" x14ac:dyDescent="0.25">
      <c r="A932" s="37">
        <v>79319</v>
      </c>
      <c r="B932" s="398">
        <f t="shared" ref="B932:C932" si="943">($A932-B$9)/365.25</f>
        <v>135.28542094455852</v>
      </c>
      <c r="C932" s="398">
        <f t="shared" si="943"/>
        <v>130.67488021902807</v>
      </c>
      <c r="E932" s="25">
        <f>IF(C932&gt;$B$7,0,'Combined Retirement'!$D$13/12)</f>
        <v>0</v>
      </c>
      <c r="F932" s="25">
        <f>IF(H932=0,'Combined Retirement'!$D$32,0)+'Combined Retirement'!$B$24</f>
        <v>2870.372285649099</v>
      </c>
      <c r="G932" s="25">
        <f>'Combined Retirement'!$C$24</f>
        <v>3254.2644699519233</v>
      </c>
      <c r="H932" s="25">
        <f>IF(B932&lt;62,0,'Combined Retirement'!$I$14)</f>
        <v>2345</v>
      </c>
      <c r="I932" s="25">
        <f>IF(C932&lt;62,0,'Combined Retirement'!$I$13)</f>
        <v>2420</v>
      </c>
      <c r="J932" s="25">
        <f t="shared" si="783"/>
        <v>8395.6297298201844</v>
      </c>
      <c r="K932" s="25">
        <f t="shared" si="784"/>
        <v>21655.303514578787</v>
      </c>
      <c r="L932" s="25"/>
      <c r="N932" s="25">
        <f>'Combined Retirement'!$C$18/12</f>
        <v>40940.569999999992</v>
      </c>
      <c r="O932" s="25">
        <f t="shared" si="785"/>
        <v>10889.636755601023</v>
      </c>
      <c r="P932" s="25">
        <f t="shared" si="786"/>
        <v>30050.93324439897</v>
      </c>
      <c r="Q932" s="25">
        <f t="array" aca="1" ref="Q932" ca="1">INDEX('Isaac 401k'!L:L,MATCH('Retirement Calculator'!A932,'Isaac 401k'!N:N,0),0)</f>
        <v>-20134976.754839845</v>
      </c>
      <c r="R932" s="25">
        <f t="array" aca="1" ref="R932" ca="1">INDEX('Lorri 401b'!L:L,MATCH('Retirement Calculator'!A932,'Lorri 401b'!N:N,0),0)</f>
        <v>-34186510.167769067</v>
      </c>
      <c r="S932" s="25">
        <f t="shared" ca="1" si="787"/>
        <v>-54321486.922608912</v>
      </c>
    </row>
    <row r="933" spans="1:19" ht="15.75" customHeight="1" x14ac:dyDescent="0.25">
      <c r="A933" s="37">
        <v>79350</v>
      </c>
      <c r="B933" s="398">
        <f t="shared" ref="B933:C933" si="944">($A933-B$9)/365.25</f>
        <v>135.37029431895962</v>
      </c>
      <c r="C933" s="398">
        <f t="shared" si="944"/>
        <v>130.75975359342917</v>
      </c>
      <c r="E933" s="25">
        <f>IF(C933&gt;$B$7,0,'Combined Retirement'!$D$13/12)</f>
        <v>0</v>
      </c>
      <c r="F933" s="25">
        <f>IF(H933=0,'Combined Retirement'!$D$32,0)+'Combined Retirement'!$B$24</f>
        <v>2870.372285649099</v>
      </c>
      <c r="G933" s="25">
        <f>'Combined Retirement'!$C$24</f>
        <v>3254.2644699519233</v>
      </c>
      <c r="H933" s="25">
        <f>IF(B933&lt;62,0,'Combined Retirement'!$I$14)</f>
        <v>2345</v>
      </c>
      <c r="I933" s="25">
        <f>IF(C933&lt;62,0,'Combined Retirement'!$I$13)</f>
        <v>2420</v>
      </c>
      <c r="J933" s="25">
        <f t="shared" si="783"/>
        <v>8395.6297298201844</v>
      </c>
      <c r="K933" s="25">
        <f t="shared" si="784"/>
        <v>21655.303514578787</v>
      </c>
      <c r="L933" s="25"/>
      <c r="N933" s="25">
        <f>'Combined Retirement'!$C$18/12</f>
        <v>40940.569999999992</v>
      </c>
      <c r="O933" s="25">
        <f t="shared" si="785"/>
        <v>10889.636755601023</v>
      </c>
      <c r="P933" s="25">
        <f t="shared" si="786"/>
        <v>30050.93324439897</v>
      </c>
      <c r="Q933" s="25">
        <f t="array" aca="1" ref="Q933" ca="1">INDEX('Isaac 401k'!L:L,MATCH('Retirement Calculator'!A933,'Isaac 401k'!N:N,0),0)</f>
        <v>-20227303.102838702</v>
      </c>
      <c r="R933" s="25">
        <f t="array" aca="1" ref="R933" ca="1">INDEX('Lorri 401b'!L:L,MATCH('Retirement Calculator'!A933,'Lorri 401b'!N:N,0),0)</f>
        <v>-34350699.494080663</v>
      </c>
      <c r="S933" s="25">
        <f t="shared" ca="1" si="787"/>
        <v>-54578002.596919365</v>
      </c>
    </row>
    <row r="934" spans="1:19" ht="15.75" customHeight="1" x14ac:dyDescent="0.25">
      <c r="A934" s="37">
        <v>79380</v>
      </c>
      <c r="B934" s="398">
        <f t="shared" ref="B934:C934" si="945">($A934-B$9)/365.25</f>
        <v>135.45242984257359</v>
      </c>
      <c r="C934" s="398">
        <f t="shared" si="945"/>
        <v>130.84188911704311</v>
      </c>
      <c r="E934" s="25">
        <f>IF(C934&gt;$B$7,0,'Combined Retirement'!$D$13/12)</f>
        <v>0</v>
      </c>
      <c r="F934" s="25">
        <f>IF(H934=0,'Combined Retirement'!$D$32,0)+'Combined Retirement'!$B$24</f>
        <v>2870.372285649099</v>
      </c>
      <c r="G934" s="25">
        <f>'Combined Retirement'!$C$24</f>
        <v>3254.2644699519233</v>
      </c>
      <c r="H934" s="25">
        <f>IF(B934&lt;62,0,'Combined Retirement'!$I$14)</f>
        <v>2345</v>
      </c>
      <c r="I934" s="25">
        <f>IF(C934&lt;62,0,'Combined Retirement'!$I$13)</f>
        <v>2420</v>
      </c>
      <c r="J934" s="25">
        <f t="shared" si="783"/>
        <v>8395.6297298201844</v>
      </c>
      <c r="K934" s="25">
        <f t="shared" si="784"/>
        <v>21655.303514578787</v>
      </c>
      <c r="L934" s="25"/>
      <c r="N934" s="25">
        <f>'Combined Retirement'!$C$18/12</f>
        <v>40940.569999999992</v>
      </c>
      <c r="O934" s="25">
        <f t="shared" si="785"/>
        <v>10889.636755601023</v>
      </c>
      <c r="P934" s="25">
        <f t="shared" si="786"/>
        <v>30050.93324439897</v>
      </c>
      <c r="Q934" s="25">
        <f t="array" aca="1" ref="Q934" ca="1">INDEX('Isaac 401k'!L:L,MATCH('Retirement Calculator'!A934,'Isaac 401k'!N:N,0),0)</f>
        <v>-20320014.143954225</v>
      </c>
      <c r="R934" s="25">
        <f t="array" aca="1" ref="R934" ca="1">INDEX('Lorri 401b'!L:L,MATCH('Retirement Calculator'!A934,'Lorri 401b'!N:N,0),0)</f>
        <v>-34515572.942585222</v>
      </c>
      <c r="S934" s="25">
        <f t="shared" ca="1" si="787"/>
        <v>-54835587.086539447</v>
      </c>
    </row>
    <row r="935" spans="1:19" ht="15.75" customHeight="1" x14ac:dyDescent="0.25">
      <c r="A935" s="37">
        <v>79411</v>
      </c>
      <c r="B935" s="398">
        <f t="shared" ref="B935:C935" si="946">($A935-B$9)/365.25</f>
        <v>135.53730321697466</v>
      </c>
      <c r="C935" s="398">
        <f t="shared" si="946"/>
        <v>130.92676249144421</v>
      </c>
      <c r="E935" s="25">
        <f>IF(C935&gt;$B$7,0,'Combined Retirement'!$D$13/12)</f>
        <v>0</v>
      </c>
      <c r="F935" s="25">
        <f>IF(H935=0,'Combined Retirement'!$D$32,0)+'Combined Retirement'!$B$24</f>
        <v>2870.372285649099</v>
      </c>
      <c r="G935" s="25">
        <f>'Combined Retirement'!$C$24</f>
        <v>3254.2644699519233</v>
      </c>
      <c r="H935" s="25">
        <f>IF(B935&lt;62,0,'Combined Retirement'!$I$14)</f>
        <v>2345</v>
      </c>
      <c r="I935" s="25">
        <f>IF(C935&lt;62,0,'Combined Retirement'!$I$13)</f>
        <v>2420</v>
      </c>
      <c r="J935" s="25">
        <f t="shared" si="783"/>
        <v>8395.6297298201844</v>
      </c>
      <c r="K935" s="25">
        <f t="shared" si="784"/>
        <v>21655.303514578787</v>
      </c>
      <c r="L935" s="25"/>
      <c r="N935" s="25">
        <f>'Combined Retirement'!$C$18/12</f>
        <v>40940.569999999992</v>
      </c>
      <c r="O935" s="25">
        <f t="shared" si="785"/>
        <v>10889.636755601023</v>
      </c>
      <c r="P935" s="25">
        <f t="shared" si="786"/>
        <v>30050.93324439897</v>
      </c>
      <c r="Q935" s="25">
        <f t="array" aca="1" ref="Q935" ca="1">INDEX('Isaac 401k'!L:L,MATCH('Retirement Calculator'!A935,'Isaac 401k'!N:N,0),0)</f>
        <v>-20413111.481074393</v>
      </c>
      <c r="R935" s="25">
        <f t="array" aca="1" ref="R935" ca="1">INDEX('Lorri 401b'!L:L,MATCH('Retirement Calculator'!A935,'Lorri 401b'!N:N,0),0)</f>
        <v>-34681133.363791883</v>
      </c>
      <c r="S935" s="25">
        <f t="shared" ca="1" si="787"/>
        <v>-55094244.844866276</v>
      </c>
    </row>
    <row r="936" spans="1:19" ht="15.75" customHeight="1" x14ac:dyDescent="0.25">
      <c r="A936" s="37">
        <v>79441</v>
      </c>
      <c r="B936" s="398">
        <f t="shared" ref="B936:C936" si="947">($A936-B$9)/365.25</f>
        <v>135.61943874058863</v>
      </c>
      <c r="C936" s="398">
        <f t="shared" si="947"/>
        <v>131.00889801505818</v>
      </c>
      <c r="E936" s="25">
        <f>IF(C936&gt;$B$7,0,'Combined Retirement'!$D$13/12)</f>
        <v>0</v>
      </c>
      <c r="F936" s="25">
        <f>IF(H936=0,'Combined Retirement'!$D$32,0)+'Combined Retirement'!$B$24</f>
        <v>2870.372285649099</v>
      </c>
      <c r="G936" s="25">
        <f>'Combined Retirement'!$C$24</f>
        <v>3254.2644699519233</v>
      </c>
      <c r="H936" s="25">
        <f>IF(B936&lt;62,0,'Combined Retirement'!$I$14)</f>
        <v>2345</v>
      </c>
      <c r="I936" s="25">
        <f>IF(C936&lt;62,0,'Combined Retirement'!$I$13)</f>
        <v>2420</v>
      </c>
      <c r="J936" s="25">
        <f t="shared" si="783"/>
        <v>8395.6297298201844</v>
      </c>
      <c r="K936" s="25">
        <f t="shared" si="784"/>
        <v>21655.303514578787</v>
      </c>
      <c r="L936" s="25"/>
      <c r="N936" s="25">
        <f>'Combined Retirement'!$C$18/12</f>
        <v>40940.569999999992</v>
      </c>
      <c r="O936" s="25">
        <f t="shared" si="785"/>
        <v>10889.636755601023</v>
      </c>
      <c r="P936" s="25">
        <f t="shared" si="786"/>
        <v>30050.93324439897</v>
      </c>
      <c r="Q936" s="25">
        <f t="array" aca="1" ref="Q936" ca="1">INDEX('Isaac 401k'!L:L,MATCH('Retirement Calculator'!A936,'Isaac 401k'!N:N,0),0)</f>
        <v>-20506596.723765895</v>
      </c>
      <c r="R936" s="25">
        <f t="array" aca="1" ref="R936" ca="1">INDEX('Lorri 401b'!L:L,MATCH('Retirement Calculator'!A936,'Lorri 401b'!N:N,0),0)</f>
        <v>-34847383.620086901</v>
      </c>
      <c r="S936" s="25">
        <f t="shared" ca="1" si="787"/>
        <v>-55353980.343852796</v>
      </c>
    </row>
    <row r="937" spans="1:19" ht="15.75" customHeight="1" x14ac:dyDescent="0.25">
      <c r="A937" s="37">
        <v>79472</v>
      </c>
      <c r="B937" s="398">
        <f t="shared" ref="B937:C937" si="948">($A937-B$9)/365.25</f>
        <v>135.70431211498973</v>
      </c>
      <c r="C937" s="398">
        <f t="shared" si="948"/>
        <v>131.09377138945928</v>
      </c>
      <c r="E937" s="25">
        <f>IF(C937&gt;$B$7,0,'Combined Retirement'!$D$13/12)</f>
        <v>0</v>
      </c>
      <c r="F937" s="25">
        <f>IF(H937=0,'Combined Retirement'!$D$32,0)+'Combined Retirement'!$B$24</f>
        <v>2870.372285649099</v>
      </c>
      <c r="G937" s="25">
        <f>'Combined Retirement'!$C$24</f>
        <v>3254.2644699519233</v>
      </c>
      <c r="H937" s="25">
        <f>IF(B937&lt;62,0,'Combined Retirement'!$I$14)</f>
        <v>2345</v>
      </c>
      <c r="I937" s="25">
        <f>IF(C937&lt;62,0,'Combined Retirement'!$I$13)</f>
        <v>2420</v>
      </c>
      <c r="J937" s="25">
        <f t="shared" si="783"/>
        <v>8395.6297298201844</v>
      </c>
      <c r="K937" s="25">
        <f t="shared" si="784"/>
        <v>21655.303514578787</v>
      </c>
      <c r="L937" s="25"/>
      <c r="N937" s="25">
        <f>'Combined Retirement'!$C$18/12</f>
        <v>40940.569999999992</v>
      </c>
      <c r="O937" s="25">
        <f t="shared" si="785"/>
        <v>10889.636755601023</v>
      </c>
      <c r="P937" s="25">
        <f t="shared" si="786"/>
        <v>30050.93324439897</v>
      </c>
      <c r="Q937" s="25">
        <f t="array" aca="1" ref="Q937" ca="1">INDEX('Isaac 401k'!L:L,MATCH('Retirement Calculator'!A937,'Isaac 401k'!N:N,0),0)</f>
        <v>-20600471.488301944</v>
      </c>
      <c r="R937" s="25">
        <f t="array" aca="1" ref="R937" ca="1">INDEX('Lorri 401b'!L:L,MATCH('Retirement Calculator'!A937,'Lorri 401b'!N:N,0),0)</f>
        <v>-35014326.585783154</v>
      </c>
      <c r="S937" s="25">
        <f t="shared" ca="1" si="787"/>
        <v>-55614798.074085101</v>
      </c>
    </row>
    <row r="938" spans="1:19" ht="15.75" customHeight="1" x14ac:dyDescent="0.25">
      <c r="A938" s="37">
        <v>79503</v>
      </c>
      <c r="B938" s="398">
        <f t="shared" ref="B938:C938" si="949">($A938-B$9)/365.25</f>
        <v>135.78918548939083</v>
      </c>
      <c r="C938" s="398">
        <f t="shared" si="949"/>
        <v>131.17864476386038</v>
      </c>
      <c r="E938" s="25">
        <f>IF(C938&gt;$B$7,0,'Combined Retirement'!$D$13/12)</f>
        <v>0</v>
      </c>
      <c r="F938" s="25">
        <f>IF(H938=0,'Combined Retirement'!$D$32,0)+'Combined Retirement'!$B$24</f>
        <v>2870.372285649099</v>
      </c>
      <c r="G938" s="25">
        <f>'Combined Retirement'!$C$24</f>
        <v>3254.2644699519233</v>
      </c>
      <c r="H938" s="25">
        <f>IF(B938&lt;62,0,'Combined Retirement'!$I$14)</f>
        <v>2345</v>
      </c>
      <c r="I938" s="25">
        <f>IF(C938&lt;62,0,'Combined Retirement'!$I$13)</f>
        <v>2420</v>
      </c>
      <c r="J938" s="25">
        <f t="shared" si="783"/>
        <v>8395.6297298201844</v>
      </c>
      <c r="K938" s="25">
        <f t="shared" si="784"/>
        <v>21655.303514578787</v>
      </c>
      <c r="L938" s="25"/>
      <c r="N938" s="25">
        <f>'Combined Retirement'!$C$18/12</f>
        <v>40940.569999999992</v>
      </c>
      <c r="O938" s="25">
        <f t="shared" si="785"/>
        <v>10889.636755601023</v>
      </c>
      <c r="P938" s="25">
        <f t="shared" si="786"/>
        <v>30050.93324439897</v>
      </c>
      <c r="Q938" s="25">
        <f t="array" aca="1" ref="Q938" ca="1">INDEX('Isaac 401k'!L:L,MATCH('Retirement Calculator'!A938,'Isaac 401k'!N:N,0),0)</f>
        <v>-20694737.397690229</v>
      </c>
      <c r="R938" s="25">
        <f t="array" aca="1" ref="R938" ca="1">INDEX('Lorri 401b'!L:L,MATCH('Retirement Calculator'!A938,'Lorri 401b'!N:N,0),0)</f>
        <v>-35181965.147169806</v>
      </c>
      <c r="S938" s="25">
        <f t="shared" ca="1" si="787"/>
        <v>-55876702.544860035</v>
      </c>
    </row>
    <row r="939" spans="1:19" ht="15.75" customHeight="1" x14ac:dyDescent="0.25">
      <c r="A939" s="37">
        <v>79533</v>
      </c>
      <c r="B939" s="398">
        <f t="shared" ref="B939:C939" si="950">($A939-B$9)/365.25</f>
        <v>135.8713210130048</v>
      </c>
      <c r="C939" s="398">
        <f t="shared" si="950"/>
        <v>131.26078028747432</v>
      </c>
      <c r="E939" s="25">
        <f>IF(C939&gt;$B$7,0,'Combined Retirement'!$D$13/12)</f>
        <v>0</v>
      </c>
      <c r="F939" s="25">
        <f>IF(H939=0,'Combined Retirement'!$D$32,0)+'Combined Retirement'!$B$24</f>
        <v>2870.372285649099</v>
      </c>
      <c r="G939" s="25">
        <f>'Combined Retirement'!$C$24</f>
        <v>3254.2644699519233</v>
      </c>
      <c r="H939" s="25">
        <f>IF(B939&lt;62,0,'Combined Retirement'!$I$14)</f>
        <v>2345</v>
      </c>
      <c r="I939" s="25">
        <f>IF(C939&lt;62,0,'Combined Retirement'!$I$13)</f>
        <v>2420</v>
      </c>
      <c r="J939" s="25">
        <f t="shared" si="783"/>
        <v>8395.6297298201844</v>
      </c>
      <c r="K939" s="25">
        <f t="shared" si="784"/>
        <v>21655.303514578787</v>
      </c>
      <c r="L939" s="25"/>
      <c r="N939" s="25">
        <f>'Combined Retirement'!$C$18/12</f>
        <v>40940.569999999992</v>
      </c>
      <c r="O939" s="25">
        <f t="shared" si="785"/>
        <v>10889.636755601023</v>
      </c>
      <c r="P939" s="25">
        <f t="shared" si="786"/>
        <v>30050.93324439897</v>
      </c>
      <c r="Q939" s="25">
        <f t="array" aca="1" ref="Q939" ca="1">INDEX('Isaac 401k'!L:L,MATCH('Retirement Calculator'!A939,'Isaac 401k'!N:N,0),0)</f>
        <v>-20789396.081700966</v>
      </c>
      <c r="R939" s="25">
        <f t="array" aca="1" ref="R939" ca="1">INDEX('Lorri 401b'!L:L,MATCH('Retirement Calculator'!A939,'Lorri 401b'!N:N,0),0)</f>
        <v>-35350302.202562235</v>
      </c>
      <c r="S939" s="25">
        <f t="shared" ca="1" si="787"/>
        <v>-56139698.284263201</v>
      </c>
    </row>
    <row r="940" spans="1:19" ht="15.75" customHeight="1" x14ac:dyDescent="0.25">
      <c r="A940" s="37">
        <v>79564</v>
      </c>
      <c r="B940" s="398">
        <f t="shared" ref="B940:C940" si="951">($A940-B$9)/365.25</f>
        <v>135.95619438740587</v>
      </c>
      <c r="C940" s="398">
        <f t="shared" si="951"/>
        <v>131.34565366187542</v>
      </c>
      <c r="E940" s="25">
        <f>IF(C940&gt;$B$7,0,'Combined Retirement'!$D$13/12)</f>
        <v>0</v>
      </c>
      <c r="F940" s="25">
        <f>IF(H940=0,'Combined Retirement'!$D$32,0)+'Combined Retirement'!$B$24</f>
        <v>2870.372285649099</v>
      </c>
      <c r="G940" s="25">
        <f>'Combined Retirement'!$C$24</f>
        <v>3254.2644699519233</v>
      </c>
      <c r="H940" s="25">
        <f>IF(B940&lt;62,0,'Combined Retirement'!$I$14)</f>
        <v>2345</v>
      </c>
      <c r="I940" s="25">
        <f>IF(C940&lt;62,0,'Combined Retirement'!$I$13)</f>
        <v>2420</v>
      </c>
      <c r="J940" s="25">
        <f t="shared" si="783"/>
        <v>8395.6297298201844</v>
      </c>
      <c r="K940" s="25">
        <f t="shared" si="784"/>
        <v>21655.303514578787</v>
      </c>
      <c r="L940" s="25"/>
      <c r="N940" s="25">
        <f>'Combined Retirement'!$C$18/12</f>
        <v>40940.569999999992</v>
      </c>
      <c r="O940" s="25">
        <f t="shared" si="785"/>
        <v>10889.636755601023</v>
      </c>
      <c r="P940" s="25">
        <f t="shared" si="786"/>
        <v>30050.93324439897</v>
      </c>
      <c r="Q940" s="25">
        <f t="array" aca="1" ref="Q940" ca="1">INDEX('Isaac 401k'!L:L,MATCH('Retirement Calculator'!A940,'Isaac 401k'!N:N,0),0)</f>
        <v>-20884449.176895078</v>
      </c>
      <c r="R940" s="25">
        <f t="array" aca="1" ref="R940" ca="1">INDEX('Lorri 401b'!L:L,MATCH('Retirement Calculator'!A940,'Lorri 401b'!N:N,0),0)</f>
        <v>-35519340.66235213</v>
      </c>
      <c r="S940" s="25">
        <f t="shared" ca="1" si="787"/>
        <v>-56403789.839247212</v>
      </c>
    </row>
    <row r="941" spans="1:19" ht="15.75" customHeight="1" x14ac:dyDescent="0.25">
      <c r="A941" s="37">
        <v>79594</v>
      </c>
      <c r="B941" s="398">
        <f t="shared" ref="B941:C941" si="952">($A941-B$9)/365.25</f>
        <v>136.03832991101984</v>
      </c>
      <c r="C941" s="398">
        <f t="shared" si="952"/>
        <v>131.42778918548939</v>
      </c>
      <c r="E941" s="25">
        <f>IF(C941&gt;$B$7,0,'Combined Retirement'!$D$13/12)</f>
        <v>0</v>
      </c>
      <c r="F941" s="25">
        <f>IF(H941=0,'Combined Retirement'!$D$32,0)+'Combined Retirement'!$B$24</f>
        <v>2870.372285649099</v>
      </c>
      <c r="G941" s="25">
        <f>'Combined Retirement'!$C$24</f>
        <v>3254.2644699519233</v>
      </c>
      <c r="H941" s="25">
        <f>IF(B941&lt;62,0,'Combined Retirement'!$I$14)</f>
        <v>2345</v>
      </c>
      <c r="I941" s="25">
        <f>IF(C941&lt;62,0,'Combined Retirement'!$I$13)</f>
        <v>2420</v>
      </c>
      <c r="J941" s="25">
        <f t="shared" si="783"/>
        <v>8395.6297298201844</v>
      </c>
      <c r="K941" s="25">
        <f t="shared" si="784"/>
        <v>21655.303514578787</v>
      </c>
      <c r="L941" s="25"/>
      <c r="N941" s="25">
        <f>'Combined Retirement'!$C$18/12</f>
        <v>40940.569999999992</v>
      </c>
      <c r="O941" s="25">
        <f t="shared" si="785"/>
        <v>10889.636755601023</v>
      </c>
      <c r="P941" s="25">
        <f t="shared" si="786"/>
        <v>30050.93324439897</v>
      </c>
      <c r="Q941" s="25">
        <f t="array" aca="1" ref="Q941" ca="1">INDEX('Isaac 401k'!L:L,MATCH('Retirement Calculator'!A941,'Isaac 401k'!N:N,0),0)</f>
        <v>-20979898.326652501</v>
      </c>
      <c r="R941" s="25">
        <f t="array" aca="1" ref="R941" ca="1">INDEX('Lorri 401b'!L:L,MATCH('Retirement Calculator'!A941,'Lorri 401b'!N:N,0),0)</f>
        <v>-35689083.449057817</v>
      </c>
      <c r="S941" s="25">
        <f t="shared" ca="1" si="787"/>
        <v>-56668981.775710315</v>
      </c>
    </row>
    <row r="942" spans="1:19" ht="15.75" customHeight="1" x14ac:dyDescent="0.25">
      <c r="A942" s="37">
        <v>79625</v>
      </c>
      <c r="B942" s="398">
        <f t="shared" ref="B942:C942" si="953">($A942-B$9)/365.25</f>
        <v>136.12320328542094</v>
      </c>
      <c r="C942" s="398">
        <f t="shared" si="953"/>
        <v>131.51266255989049</v>
      </c>
      <c r="E942" s="25">
        <f>IF(C942&gt;$B$7,0,'Combined Retirement'!$D$13/12)</f>
        <v>0</v>
      </c>
      <c r="F942" s="25">
        <f>IF(H942=0,'Combined Retirement'!$D$32,0)+'Combined Retirement'!$B$24</f>
        <v>2870.372285649099</v>
      </c>
      <c r="G942" s="25">
        <f>'Combined Retirement'!$C$24</f>
        <v>3254.2644699519233</v>
      </c>
      <c r="H942" s="25">
        <f>IF(B942&lt;62,0,'Combined Retirement'!$I$14)</f>
        <v>2345</v>
      </c>
      <c r="I942" s="25">
        <f>IF(C942&lt;62,0,'Combined Retirement'!$I$13)</f>
        <v>2420</v>
      </c>
      <c r="J942" s="25">
        <f t="shared" si="783"/>
        <v>8395.6297298201844</v>
      </c>
      <c r="K942" s="25">
        <f t="shared" si="784"/>
        <v>21655.303514578787</v>
      </c>
      <c r="L942" s="25"/>
      <c r="N942" s="25">
        <f>'Combined Retirement'!$C$18/12</f>
        <v>40940.569999999992</v>
      </c>
      <c r="O942" s="25">
        <f t="shared" si="785"/>
        <v>10889.636755601023</v>
      </c>
      <c r="P942" s="25">
        <f t="shared" si="786"/>
        <v>30050.93324439897</v>
      </c>
      <c r="Q942" s="25">
        <f t="array" aca="1" ref="Q942" ca="1">INDEX('Isaac 401k'!L:L,MATCH('Retirement Calculator'!A942,'Isaac 401k'!N:N,0),0)</f>
        <v>-21075745.181200579</v>
      </c>
      <c r="R942" s="25">
        <f t="array" aca="1" ref="R942" ca="1">INDEX('Lorri 401b'!L:L,MATCH('Retirement Calculator'!A942,'Lorri 401b'!N:N,0),0)</f>
        <v>-35859533.49737478</v>
      </c>
      <c r="S942" s="25">
        <f t="shared" ca="1" si="787"/>
        <v>-56935278.678575359</v>
      </c>
    </row>
    <row r="943" spans="1:19" ht="15.75" customHeight="1" x14ac:dyDescent="0.25">
      <c r="A943" s="37">
        <v>79656</v>
      </c>
      <c r="B943" s="398">
        <f t="shared" ref="B943:C943" si="954">($A943-B$9)/365.25</f>
        <v>136.20807665982204</v>
      </c>
      <c r="C943" s="398">
        <f t="shared" si="954"/>
        <v>131.59753593429159</v>
      </c>
      <c r="E943" s="25">
        <f>IF(C943&gt;$B$7,0,'Combined Retirement'!$D$13/12)</f>
        <v>0</v>
      </c>
      <c r="F943" s="25">
        <f>IF(H943=0,'Combined Retirement'!$D$32,0)+'Combined Retirement'!$B$24</f>
        <v>2870.372285649099</v>
      </c>
      <c r="G943" s="25">
        <f>'Combined Retirement'!$C$24</f>
        <v>3254.2644699519233</v>
      </c>
      <c r="H943" s="25">
        <f>IF(B943&lt;62,0,'Combined Retirement'!$I$14)</f>
        <v>2345</v>
      </c>
      <c r="I943" s="25">
        <f>IF(C943&lt;62,0,'Combined Retirement'!$I$13)</f>
        <v>2420</v>
      </c>
      <c r="J943" s="25">
        <f t="shared" si="783"/>
        <v>8395.6297298201844</v>
      </c>
      <c r="K943" s="25">
        <f t="shared" si="784"/>
        <v>21655.303514578787</v>
      </c>
      <c r="L943" s="25"/>
      <c r="N943" s="25">
        <f>'Combined Retirement'!$C$18/12</f>
        <v>40940.569999999992</v>
      </c>
      <c r="O943" s="25">
        <f t="shared" si="785"/>
        <v>10889.636755601023</v>
      </c>
      <c r="P943" s="25">
        <f t="shared" si="786"/>
        <v>30050.93324439897</v>
      </c>
      <c r="Q943" s="25">
        <f t="array" aca="1" ref="Q943" ca="1">INDEX('Isaac 401k'!L:L,MATCH('Retirement Calculator'!A943,'Isaac 401k'!N:N,0),0)</f>
        <v>-21171991.397642609</v>
      </c>
      <c r="R943" s="25">
        <f t="array" aca="1" ref="R943" ca="1">INDEX('Lorri 401b'!L:L,MATCH('Retirement Calculator'!A943,'Lorri 401b'!N:N,0),0)</f>
        <v>-36030693.754226394</v>
      </c>
      <c r="S943" s="25">
        <f t="shared" ca="1" si="787"/>
        <v>-57202685.151868999</v>
      </c>
    </row>
    <row r="944" spans="1:19" ht="15.75" customHeight="1" x14ac:dyDescent="0.25">
      <c r="A944" s="37">
        <v>79684</v>
      </c>
      <c r="B944" s="398">
        <f t="shared" ref="B944:C944" si="955">($A944-B$9)/365.25</f>
        <v>136.28473648186173</v>
      </c>
      <c r="C944" s="398">
        <f t="shared" si="955"/>
        <v>131.67419575633127</v>
      </c>
      <c r="E944" s="25">
        <f>IF(C944&gt;$B$7,0,'Combined Retirement'!$D$13/12)</f>
        <v>0</v>
      </c>
      <c r="F944" s="25">
        <f>IF(H944=0,'Combined Retirement'!$D$32,0)+'Combined Retirement'!$B$24</f>
        <v>2870.372285649099</v>
      </c>
      <c r="G944" s="25">
        <f>'Combined Retirement'!$C$24</f>
        <v>3254.2644699519233</v>
      </c>
      <c r="H944" s="25">
        <f>IF(B944&lt;62,0,'Combined Retirement'!$I$14)</f>
        <v>2345</v>
      </c>
      <c r="I944" s="25">
        <f>IF(C944&lt;62,0,'Combined Retirement'!$I$13)</f>
        <v>2420</v>
      </c>
      <c r="J944" s="25">
        <f t="shared" si="783"/>
        <v>8395.6297298201844</v>
      </c>
      <c r="K944" s="25">
        <f t="shared" si="784"/>
        <v>21655.303514578787</v>
      </c>
      <c r="L944" s="25"/>
      <c r="N944" s="25">
        <f>'Combined Retirement'!$C$18/12</f>
        <v>40940.569999999992</v>
      </c>
      <c r="O944" s="25">
        <f t="shared" si="785"/>
        <v>10889.636755601023</v>
      </c>
      <c r="P944" s="25">
        <f t="shared" si="786"/>
        <v>30050.93324439897</v>
      </c>
      <c r="Q944" s="25">
        <f t="array" aca="1" ref="Q944" ca="1">INDEX('Isaac 401k'!L:L,MATCH('Retirement Calculator'!A944,'Isaac 401k'!N:N,0),0)</f>
        <v>-21268638.639986478</v>
      </c>
      <c r="R944" s="25">
        <f t="array" aca="1" ref="R944" ca="1">INDEX('Lorri 401b'!L:L,MATCH('Retirement Calculator'!A944,'Lorri 401b'!N:N,0),0)</f>
        <v>-36202567.178814895</v>
      </c>
      <c r="S944" s="25">
        <f t="shared" ca="1" si="787"/>
        <v>-57471205.818801373</v>
      </c>
    </row>
    <row r="945" spans="1:19" ht="15.75" customHeight="1" x14ac:dyDescent="0.25">
      <c r="A945" s="37">
        <v>79715</v>
      </c>
      <c r="B945" s="398">
        <f t="shared" ref="B945:C945" si="956">($A945-B$9)/365.25</f>
        <v>136.36960985626283</v>
      </c>
      <c r="C945" s="398">
        <f t="shared" si="956"/>
        <v>131.75906913073237</v>
      </c>
      <c r="E945" s="25">
        <f>IF(C945&gt;$B$7,0,'Combined Retirement'!$D$13/12)</f>
        <v>0</v>
      </c>
      <c r="F945" s="25">
        <f>IF(H945=0,'Combined Retirement'!$D$32,0)+'Combined Retirement'!$B$24</f>
        <v>2870.372285649099</v>
      </c>
      <c r="G945" s="25">
        <f>'Combined Retirement'!$C$24</f>
        <v>3254.2644699519233</v>
      </c>
      <c r="H945" s="25">
        <f>IF(B945&lt;62,0,'Combined Retirement'!$I$14)</f>
        <v>2345</v>
      </c>
      <c r="I945" s="25">
        <f>IF(C945&lt;62,0,'Combined Retirement'!$I$13)</f>
        <v>2420</v>
      </c>
      <c r="J945" s="25">
        <f t="shared" si="783"/>
        <v>8395.6297298201844</v>
      </c>
      <c r="K945" s="25">
        <f t="shared" si="784"/>
        <v>21655.303514578787</v>
      </c>
      <c r="L945" s="25"/>
      <c r="N945" s="25">
        <f>'Combined Retirement'!$C$18/12</f>
        <v>40940.569999999992</v>
      </c>
      <c r="O945" s="25">
        <f t="shared" si="785"/>
        <v>10889.636755601023</v>
      </c>
      <c r="P945" s="25">
        <f t="shared" si="786"/>
        <v>30050.93324439897</v>
      </c>
      <c r="Q945" s="25">
        <f t="array" aca="1" ref="Q945" ca="1">INDEX('Isaac 401k'!L:L,MATCH('Retirement Calculator'!A945,'Isaac 401k'!N:N,0),0)</f>
        <v>-21365688.579173449</v>
      </c>
      <c r="R945" s="25">
        <f t="array" aca="1" ref="R945" ca="1">INDEX('Lorri 401b'!L:L,MATCH('Retirement Calculator'!A945,'Lorri 401b'!N:N,0),0)</f>
        <v>-36375156.74267251</v>
      </c>
      <c r="S945" s="25">
        <f t="shared" ca="1" si="787"/>
        <v>-57740845.321845964</v>
      </c>
    </row>
    <row r="946" spans="1:19" ht="15.75" customHeight="1" x14ac:dyDescent="0.25">
      <c r="A946" s="37">
        <v>79745</v>
      </c>
      <c r="B946" s="398">
        <f t="shared" ref="B946:C946" si="957">($A946-B$9)/365.25</f>
        <v>136.4517453798768</v>
      </c>
      <c r="C946" s="398">
        <f t="shared" si="957"/>
        <v>131.84120465434634</v>
      </c>
      <c r="E946" s="25">
        <f>IF(C946&gt;$B$7,0,'Combined Retirement'!$D$13/12)</f>
        <v>0</v>
      </c>
      <c r="F946" s="25">
        <f>IF(H946=0,'Combined Retirement'!$D$32,0)+'Combined Retirement'!$B$24</f>
        <v>2870.372285649099</v>
      </c>
      <c r="G946" s="25">
        <f>'Combined Retirement'!$C$24</f>
        <v>3254.2644699519233</v>
      </c>
      <c r="H946" s="25">
        <f>IF(B946&lt;62,0,'Combined Retirement'!$I$14)</f>
        <v>2345</v>
      </c>
      <c r="I946" s="25">
        <f>IF(C946&lt;62,0,'Combined Retirement'!$I$13)</f>
        <v>2420</v>
      </c>
      <c r="J946" s="25">
        <f t="shared" si="783"/>
        <v>8395.6297298201844</v>
      </c>
      <c r="K946" s="25">
        <f t="shared" si="784"/>
        <v>21655.303514578787</v>
      </c>
      <c r="L946" s="25"/>
      <c r="N946" s="25">
        <f>'Combined Retirement'!$C$18/12</f>
        <v>40940.569999999992</v>
      </c>
      <c r="O946" s="25">
        <f t="shared" si="785"/>
        <v>10889.636755601023</v>
      </c>
      <c r="P946" s="25">
        <f t="shared" si="786"/>
        <v>30050.93324439897</v>
      </c>
      <c r="Q946" s="25">
        <f t="array" aca="1" ref="Q946" ca="1">INDEX('Isaac 401k'!L:L,MATCH('Retirement Calculator'!A946,'Isaac 401k'!N:N,0),0)</f>
        <v>-21463142.893107031</v>
      </c>
      <c r="R946" s="25">
        <f t="array" aca="1" ref="R946" ca="1">INDEX('Lorri 401b'!L:L,MATCH('Retirement Calculator'!A946,'Lorri 401b'!N:N,0),0)</f>
        <v>-36548465.429712869</v>
      </c>
      <c r="S946" s="25">
        <f t="shared" ca="1" si="787"/>
        <v>-58011608.322819903</v>
      </c>
    </row>
    <row r="947" spans="1:19" ht="15.75" customHeight="1" x14ac:dyDescent="0.25">
      <c r="A947" s="37">
        <v>79776</v>
      </c>
      <c r="B947" s="398">
        <f t="shared" ref="B947:C947" si="958">($A947-B$9)/365.25</f>
        <v>136.5366187542779</v>
      </c>
      <c r="C947" s="398">
        <f t="shared" si="958"/>
        <v>131.92607802874744</v>
      </c>
      <c r="E947" s="25">
        <f>IF(C947&gt;$B$7,0,'Combined Retirement'!$D$13/12)</f>
        <v>0</v>
      </c>
      <c r="F947" s="25">
        <f>IF(H947=0,'Combined Retirement'!$D$32,0)+'Combined Retirement'!$B$24</f>
        <v>2870.372285649099</v>
      </c>
      <c r="G947" s="25">
        <f>'Combined Retirement'!$C$24</f>
        <v>3254.2644699519233</v>
      </c>
      <c r="H947" s="25">
        <f>IF(B947&lt;62,0,'Combined Retirement'!$I$14)</f>
        <v>2345</v>
      </c>
      <c r="I947" s="25">
        <f>IF(C947&lt;62,0,'Combined Retirement'!$I$13)</f>
        <v>2420</v>
      </c>
      <c r="J947" s="25">
        <f t="shared" si="783"/>
        <v>8395.6297298201844</v>
      </c>
      <c r="K947" s="25">
        <f t="shared" si="784"/>
        <v>21655.303514578787</v>
      </c>
      <c r="L947" s="25"/>
      <c r="N947" s="25">
        <f>'Combined Retirement'!$C$18/12</f>
        <v>40940.569999999992</v>
      </c>
      <c r="O947" s="25">
        <f t="shared" si="785"/>
        <v>10889.636755601023</v>
      </c>
      <c r="P947" s="25">
        <f t="shared" si="786"/>
        <v>30050.93324439897</v>
      </c>
      <c r="Q947" s="25">
        <f t="array" aca="1" ref="Q947" ca="1">INDEX('Isaac 401k'!L:L,MATCH('Retirement Calculator'!A947,'Isaac 401k'!N:N,0),0)</f>
        <v>-21561003.266682003</v>
      </c>
      <c r="R947" s="25">
        <f t="array" aca="1" ref="R947" ca="1">INDEX('Lorri 401b'!L:L,MATCH('Retirement Calculator'!A947,'Lorri 401b'!N:N,0),0)</f>
        <v>-36722496.236282565</v>
      </c>
      <c r="S947" s="25">
        <f t="shared" ca="1" si="787"/>
        <v>-58283499.502964571</v>
      </c>
    </row>
    <row r="948" spans="1:19" ht="15.75" customHeight="1" x14ac:dyDescent="0.25">
      <c r="A948" s="37">
        <v>79806</v>
      </c>
      <c r="B948" s="398">
        <f t="shared" ref="B948:C948" si="959">($A948-B$9)/365.25</f>
        <v>136.61875427789187</v>
      </c>
      <c r="C948" s="398">
        <f t="shared" si="959"/>
        <v>132.00821355236138</v>
      </c>
      <c r="E948" s="25">
        <f>IF(C948&gt;$B$7,0,'Combined Retirement'!$D$13/12)</f>
        <v>0</v>
      </c>
      <c r="F948" s="25">
        <f>IF(H948=0,'Combined Retirement'!$D$32,0)+'Combined Retirement'!$B$24</f>
        <v>2870.372285649099</v>
      </c>
      <c r="G948" s="25">
        <f>'Combined Retirement'!$C$24</f>
        <v>3254.2644699519233</v>
      </c>
      <c r="H948" s="25">
        <f>IF(B948&lt;62,0,'Combined Retirement'!$I$14)</f>
        <v>2345</v>
      </c>
      <c r="I948" s="25">
        <f>IF(C948&lt;62,0,'Combined Retirement'!$I$13)</f>
        <v>2420</v>
      </c>
      <c r="J948" s="25">
        <f t="shared" si="783"/>
        <v>8395.6297298201844</v>
      </c>
      <c r="K948" s="25">
        <f t="shared" si="784"/>
        <v>21655.303514578787</v>
      </c>
      <c r="L948" s="25"/>
      <c r="N948" s="25">
        <f>'Combined Retirement'!$C$18/12</f>
        <v>40940.569999999992</v>
      </c>
      <c r="O948" s="25">
        <f t="shared" si="785"/>
        <v>10889.636755601023</v>
      </c>
      <c r="P948" s="25">
        <f t="shared" si="786"/>
        <v>30050.93324439897</v>
      </c>
      <c r="Q948" s="25">
        <f t="array" aca="1" ref="Q948" ca="1">INDEX('Isaac 401k'!L:L,MATCH('Retirement Calculator'!A948,'Isaac 401k'!N:N,0),0)</f>
        <v>-21659271.391813539</v>
      </c>
      <c r="R948" s="25">
        <f t="array" aca="1" ref="R948" ca="1">INDEX('Lorri 401b'!L:L,MATCH('Retirement Calculator'!A948,'Lorri 401b'!N:N,0),0)</f>
        <v>-36897252.171212964</v>
      </c>
      <c r="S948" s="25">
        <f t="shared" ca="1" si="787"/>
        <v>-58556523.563026503</v>
      </c>
    </row>
    <row r="949" spans="1:19" ht="15.75" customHeight="1" x14ac:dyDescent="0.25">
      <c r="A949" s="37">
        <v>79837</v>
      </c>
      <c r="B949" s="398">
        <f t="shared" ref="B949:C949" si="960">($A949-B$9)/365.25</f>
        <v>136.70362765229294</v>
      </c>
      <c r="C949" s="398">
        <f t="shared" si="960"/>
        <v>132.09308692676248</v>
      </c>
      <c r="E949" s="25">
        <f>IF(C949&gt;$B$7,0,'Combined Retirement'!$D$13/12)</f>
        <v>0</v>
      </c>
      <c r="F949" s="25">
        <f>IF(H949=0,'Combined Retirement'!$D$32,0)+'Combined Retirement'!$B$24</f>
        <v>2870.372285649099</v>
      </c>
      <c r="G949" s="25">
        <f>'Combined Retirement'!$C$24</f>
        <v>3254.2644699519233</v>
      </c>
      <c r="H949" s="25">
        <f>IF(B949&lt;62,0,'Combined Retirement'!$I$14)</f>
        <v>2345</v>
      </c>
      <c r="I949" s="25">
        <f>IF(C949&lt;62,0,'Combined Retirement'!$I$13)</f>
        <v>2420</v>
      </c>
      <c r="J949" s="25">
        <f t="shared" si="783"/>
        <v>8395.6297298201844</v>
      </c>
      <c r="K949" s="25">
        <f t="shared" si="784"/>
        <v>21655.303514578787</v>
      </c>
      <c r="L949" s="25"/>
      <c r="N949" s="25">
        <f>'Combined Retirement'!$C$18/12</f>
        <v>40940.569999999992</v>
      </c>
      <c r="O949" s="25">
        <f t="shared" si="785"/>
        <v>10889.636755601023</v>
      </c>
      <c r="P949" s="25">
        <f t="shared" si="786"/>
        <v>30050.93324439897</v>
      </c>
      <c r="Q949" s="25">
        <f t="array" aca="1" ref="Q949" ca="1">INDEX('Isaac 401k'!L:L,MATCH('Retirement Calculator'!A949,'Isaac 401k'!N:N,0),0)</f>
        <v>-21757948.967466455</v>
      </c>
      <c r="R949" s="25">
        <f t="array" aca="1" ref="R949" ca="1">INDEX('Lorri 401b'!L:L,MATCH('Retirement Calculator'!A949,'Lorri 401b'!N:N,0),0)</f>
        <v>-37072736.255872242</v>
      </c>
      <c r="S949" s="25">
        <f t="shared" ca="1" si="787"/>
        <v>-58830685.223338693</v>
      </c>
    </row>
    <row r="950" spans="1:19" ht="15.75" customHeight="1" x14ac:dyDescent="0.25">
      <c r="A950" s="37">
        <v>79868</v>
      </c>
      <c r="B950" s="398">
        <f t="shared" ref="B950:C950" si="961">($A950-B$9)/365.25</f>
        <v>136.78850102669404</v>
      </c>
      <c r="C950" s="398">
        <f t="shared" si="961"/>
        <v>132.17796030116358</v>
      </c>
      <c r="E950" s="25">
        <f>IF(C950&gt;$B$7,0,'Combined Retirement'!$D$13/12)</f>
        <v>0</v>
      </c>
      <c r="F950" s="25">
        <f>IF(H950=0,'Combined Retirement'!$D$32,0)+'Combined Retirement'!$B$24</f>
        <v>2870.372285649099</v>
      </c>
      <c r="G950" s="25">
        <f>'Combined Retirement'!$C$24</f>
        <v>3254.2644699519233</v>
      </c>
      <c r="H950" s="25">
        <f>IF(B950&lt;62,0,'Combined Retirement'!$I$14)</f>
        <v>2345</v>
      </c>
      <c r="I950" s="25">
        <f>IF(C950&lt;62,0,'Combined Retirement'!$I$13)</f>
        <v>2420</v>
      </c>
      <c r="J950" s="25">
        <f t="shared" si="783"/>
        <v>8395.6297298201844</v>
      </c>
      <c r="K950" s="25">
        <f t="shared" si="784"/>
        <v>21655.303514578787</v>
      </c>
      <c r="L950" s="25"/>
      <c r="N950" s="25">
        <f>'Combined Retirement'!$C$18/12</f>
        <v>40940.569999999992</v>
      </c>
      <c r="O950" s="25">
        <f t="shared" si="785"/>
        <v>10889.636755601023</v>
      </c>
      <c r="P950" s="25">
        <f t="shared" si="786"/>
        <v>30050.93324439897</v>
      </c>
      <c r="Q950" s="25">
        <f t="array" aca="1" ref="Q950" ca="1">INDEX('Isaac 401k'!L:L,MATCH('Retirement Calculator'!A950,'Isaac 401k'!N:N,0),0)</f>
        <v>-21857037.69968459</v>
      </c>
      <c r="R950" s="25">
        <f t="array" aca="1" ref="R950" ca="1">INDEX('Lorri 401b'!L:L,MATCH('Retirement Calculator'!A950,'Lorri 401b'!N:N,0),0)</f>
        <v>-37248951.524217598</v>
      </c>
      <c r="S950" s="25">
        <f t="shared" ca="1" si="787"/>
        <v>-59105989.223902188</v>
      </c>
    </row>
    <row r="951" spans="1:19" ht="15.75" customHeight="1" x14ac:dyDescent="0.25">
      <c r="A951" s="37">
        <v>79898</v>
      </c>
      <c r="B951" s="398">
        <f t="shared" ref="B951:C951" si="962">($A951-B$9)/365.25</f>
        <v>136.87063655030801</v>
      </c>
      <c r="C951" s="398">
        <f t="shared" si="962"/>
        <v>132.26009582477755</v>
      </c>
      <c r="E951" s="25">
        <f>IF(C951&gt;$B$7,0,'Combined Retirement'!$D$13/12)</f>
        <v>0</v>
      </c>
      <c r="F951" s="25">
        <f>IF(H951=0,'Combined Retirement'!$D$32,0)+'Combined Retirement'!$B$24</f>
        <v>2870.372285649099</v>
      </c>
      <c r="G951" s="25">
        <f>'Combined Retirement'!$C$24</f>
        <v>3254.2644699519233</v>
      </c>
      <c r="H951" s="25">
        <f>IF(B951&lt;62,0,'Combined Retirement'!$I$14)</f>
        <v>2345</v>
      </c>
      <c r="I951" s="25">
        <f>IF(C951&lt;62,0,'Combined Retirement'!$I$13)</f>
        <v>2420</v>
      </c>
      <c r="J951" s="25">
        <f t="shared" si="783"/>
        <v>8395.6297298201844</v>
      </c>
      <c r="K951" s="25">
        <f t="shared" si="784"/>
        <v>21655.303514578787</v>
      </c>
      <c r="L951" s="25"/>
      <c r="N951" s="25">
        <f>'Combined Retirement'!$C$18/12</f>
        <v>40940.569999999992</v>
      </c>
      <c r="O951" s="25">
        <f t="shared" si="785"/>
        <v>10889.636755601023</v>
      </c>
      <c r="P951" s="25">
        <f t="shared" si="786"/>
        <v>30050.93324439897</v>
      </c>
      <c r="Q951" s="25">
        <f t="array" aca="1" ref="Q951" ca="1">INDEX('Isaac 401k'!L:L,MATCH('Retirement Calculator'!A951,'Isaac 401k'!N:N,0),0)</f>
        <v>-21956539.301620301</v>
      </c>
      <c r="R951" s="25">
        <f t="array" aca="1" ref="R951" ca="1">INDEX('Lorri 401b'!L:L,MATCH('Retirement Calculator'!A951,'Lorri 401b'!N:N,0),0)</f>
        <v>-37425901.022847727</v>
      </c>
      <c r="S951" s="25">
        <f t="shared" ca="1" si="787"/>
        <v>-59382440.324468032</v>
      </c>
    </row>
    <row r="952" spans="1:19" ht="15.75" customHeight="1" x14ac:dyDescent="0.25">
      <c r="A952" s="37">
        <v>79929</v>
      </c>
      <c r="B952" s="398">
        <f t="shared" ref="B952:C952" si="963">($A952-B$9)/365.25</f>
        <v>136.95550992470911</v>
      </c>
      <c r="C952" s="398">
        <f t="shared" si="963"/>
        <v>132.34496919917865</v>
      </c>
      <c r="E952" s="25">
        <f>IF(C952&gt;$B$7,0,'Combined Retirement'!$D$13/12)</f>
        <v>0</v>
      </c>
      <c r="F952" s="25">
        <f>IF(H952=0,'Combined Retirement'!$D$32,0)+'Combined Retirement'!$B$24</f>
        <v>2870.372285649099</v>
      </c>
      <c r="G952" s="25">
        <f>'Combined Retirement'!$C$24</f>
        <v>3254.2644699519233</v>
      </c>
      <c r="H952" s="25">
        <f>IF(B952&lt;62,0,'Combined Retirement'!$I$14)</f>
        <v>2345</v>
      </c>
      <c r="I952" s="25">
        <f>IF(C952&lt;62,0,'Combined Retirement'!$I$13)</f>
        <v>2420</v>
      </c>
      <c r="J952" s="25">
        <f t="shared" si="783"/>
        <v>8395.6297298201844</v>
      </c>
      <c r="K952" s="25">
        <f t="shared" si="784"/>
        <v>21655.303514578787</v>
      </c>
      <c r="L952" s="25"/>
      <c r="N952" s="25">
        <f>'Combined Retirement'!$C$18/12</f>
        <v>40940.569999999992</v>
      </c>
      <c r="O952" s="25">
        <f t="shared" si="785"/>
        <v>10889.636755601023</v>
      </c>
      <c r="P952" s="25">
        <f t="shared" si="786"/>
        <v>30050.93324439897</v>
      </c>
      <c r="Q952" s="25">
        <f t="array" aca="1" ref="Q952" ca="1">INDEX('Isaac 401k'!L:L,MATCH('Retirement Calculator'!A952,'Isaac 401k'!N:N,0),0)</f>
        <v>-22056455.493564077</v>
      </c>
      <c r="R952" s="25">
        <f t="array" aca="1" ref="R952" ca="1">INDEX('Lorri 401b'!L:L,MATCH('Retirement Calculator'!A952,'Lorri 401b'!N:N,0),0)</f>
        <v>-37603587.811055481</v>
      </c>
      <c r="S952" s="25">
        <f t="shared" ca="1" si="787"/>
        <v>-59660043.304619558</v>
      </c>
    </row>
    <row r="953" spans="1:19" ht="15.75" customHeight="1" x14ac:dyDescent="0.25">
      <c r="A953" s="37">
        <v>79959</v>
      </c>
      <c r="B953" s="398">
        <f t="shared" ref="B953:C953" si="964">($A953-B$9)/365.25</f>
        <v>137.03764544832308</v>
      </c>
      <c r="C953" s="398">
        <f t="shared" si="964"/>
        <v>132.42710472279262</v>
      </c>
      <c r="E953" s="25">
        <f>IF(C953&gt;$B$7,0,'Combined Retirement'!$D$13/12)</f>
        <v>0</v>
      </c>
      <c r="F953" s="25">
        <f>IF(H953=0,'Combined Retirement'!$D$32,0)+'Combined Retirement'!$B$24</f>
        <v>2870.372285649099</v>
      </c>
      <c r="G953" s="25">
        <f>'Combined Retirement'!$C$24</f>
        <v>3254.2644699519233</v>
      </c>
      <c r="H953" s="25">
        <f>IF(B953&lt;62,0,'Combined Retirement'!$I$14)</f>
        <v>2345</v>
      </c>
      <c r="I953" s="25">
        <f>IF(C953&lt;62,0,'Combined Retirement'!$I$13)</f>
        <v>2420</v>
      </c>
      <c r="J953" s="25">
        <f t="shared" si="783"/>
        <v>8395.6297298201844</v>
      </c>
      <c r="K953" s="25">
        <f t="shared" si="784"/>
        <v>21655.303514578787</v>
      </c>
      <c r="L953" s="25"/>
      <c r="N953" s="25">
        <f>'Combined Retirement'!$C$18/12</f>
        <v>40940.569999999992</v>
      </c>
      <c r="O953" s="25">
        <f t="shared" si="785"/>
        <v>10889.636755601023</v>
      </c>
      <c r="P953" s="25">
        <f t="shared" si="786"/>
        <v>30050.93324439897</v>
      </c>
      <c r="Q953" s="25">
        <f t="array" aca="1" ref="Q953" ca="1">INDEX('Isaac 401k'!L:L,MATCH('Retirement Calculator'!A953,'Isaac 401k'!N:N,0),0)</f>
        <v>-22156788.002974287</v>
      </c>
      <c r="R953" s="25">
        <f t="array" aca="1" ref="R953" ca="1">INDEX('Lorri 401b'!L:L,MATCH('Retirement Calculator'!A953,'Lorri 401b'!N:N,0),0)</f>
        <v>-37782014.960880764</v>
      </c>
      <c r="S953" s="25">
        <f t="shared" ca="1" si="787"/>
        <v>-59938802.963855051</v>
      </c>
    </row>
    <row r="954" spans="1:19" ht="15.75" customHeight="1" x14ac:dyDescent="0.25">
      <c r="A954" s="37">
        <v>79990</v>
      </c>
      <c r="B954" s="398">
        <f t="shared" ref="B954:C954" si="965">($A954-B$9)/365.25</f>
        <v>137.12251882272417</v>
      </c>
      <c r="C954" s="398">
        <f t="shared" si="965"/>
        <v>132.51197809719369</v>
      </c>
      <c r="E954" s="25">
        <f>IF(C954&gt;$B$7,0,'Combined Retirement'!$D$13/12)</f>
        <v>0</v>
      </c>
      <c r="F954" s="25">
        <f>IF(H954=0,'Combined Retirement'!$D$32,0)+'Combined Retirement'!$B$24</f>
        <v>2870.372285649099</v>
      </c>
      <c r="G954" s="25">
        <f>'Combined Retirement'!$C$24</f>
        <v>3254.2644699519233</v>
      </c>
      <c r="H954" s="25">
        <f>IF(B954&lt;62,0,'Combined Retirement'!$I$14)</f>
        <v>2345</v>
      </c>
      <c r="I954" s="25">
        <f>IF(C954&lt;62,0,'Combined Retirement'!$I$13)</f>
        <v>2420</v>
      </c>
      <c r="J954" s="25">
        <f t="shared" si="783"/>
        <v>8395.6297298201844</v>
      </c>
      <c r="K954" s="25">
        <f t="shared" si="784"/>
        <v>21655.303514578787</v>
      </c>
      <c r="L954" s="25"/>
      <c r="N954" s="25">
        <f>'Combined Retirement'!$C$18/12</f>
        <v>40940.569999999992</v>
      </c>
      <c r="O954" s="25">
        <f t="shared" si="785"/>
        <v>10889.636755601023</v>
      </c>
      <c r="P954" s="25">
        <f t="shared" si="786"/>
        <v>30050.93324439897</v>
      </c>
      <c r="Q954" s="25">
        <f t="array" aca="1" ref="Q954" ca="1">INDEX('Isaac 401k'!L:L,MATCH('Retirement Calculator'!A954,'Isaac 401k'!N:N,0),0)</f>
        <v>-22257538.564507037</v>
      </c>
      <c r="R954" s="25">
        <f t="array" aca="1" ref="R954" ca="1">INDEX('Lorri 401b'!L:L,MATCH('Retirement Calculator'!A954,'Lorri 401b'!N:N,0),0)</f>
        <v>-37961185.557163656</v>
      </c>
      <c r="S954" s="25">
        <f t="shared" ca="1" si="787"/>
        <v>-60218724.121670693</v>
      </c>
    </row>
    <row r="955" spans="1:19" ht="15.75" customHeight="1" x14ac:dyDescent="0.25">
      <c r="A955" s="37">
        <v>80021</v>
      </c>
      <c r="B955" s="398">
        <f t="shared" ref="B955:C955" si="966">($A955-B$9)/365.25</f>
        <v>137.20739219712524</v>
      </c>
      <c r="C955" s="398">
        <f t="shared" si="966"/>
        <v>132.59685147159479</v>
      </c>
      <c r="E955" s="25">
        <f>IF(C955&gt;$B$7,0,'Combined Retirement'!$D$13/12)</f>
        <v>0</v>
      </c>
      <c r="F955" s="25">
        <f>IF(H955=0,'Combined Retirement'!$D$32,0)+'Combined Retirement'!$B$24</f>
        <v>2870.372285649099</v>
      </c>
      <c r="G955" s="25">
        <f>'Combined Retirement'!$C$24</f>
        <v>3254.2644699519233</v>
      </c>
      <c r="H955" s="25">
        <f>IF(B955&lt;62,0,'Combined Retirement'!$I$14)</f>
        <v>2345</v>
      </c>
      <c r="I955" s="25">
        <f>IF(C955&lt;62,0,'Combined Retirement'!$I$13)</f>
        <v>2420</v>
      </c>
      <c r="J955" s="25">
        <f t="shared" si="783"/>
        <v>8395.6297298201844</v>
      </c>
      <c r="K955" s="25">
        <f t="shared" si="784"/>
        <v>21655.303514578787</v>
      </c>
      <c r="L955" s="25"/>
      <c r="N955" s="25">
        <f>'Combined Retirement'!$C$18/12</f>
        <v>40940.569999999992</v>
      </c>
      <c r="O955" s="25">
        <f t="shared" si="785"/>
        <v>10889.636755601023</v>
      </c>
      <c r="P955" s="25">
        <f t="shared" si="786"/>
        <v>30050.93324439897</v>
      </c>
      <c r="Q955" s="25">
        <f t="array" aca="1" ref="Q955" ca="1">INDEX('Isaac 401k'!L:L,MATCH('Retirement Calculator'!A955,'Isaac 401k'!N:N,0),0)</f>
        <v>-22358708.920046177</v>
      </c>
      <c r="R955" s="25">
        <f t="array" aca="1" ref="R955" ca="1">INDEX('Lorri 401b'!L:L,MATCH('Retirement Calculator'!A955,'Lorri 401b'!N:N,0),0)</f>
        <v>-38141102.697597727</v>
      </c>
      <c r="S955" s="25">
        <f t="shared" ca="1" si="787"/>
        <v>-60499811.617643908</v>
      </c>
    </row>
    <row r="956" spans="1:19" ht="15.75" customHeight="1" x14ac:dyDescent="0.25">
      <c r="A956" s="37">
        <v>80049</v>
      </c>
      <c r="B956" s="398">
        <f t="shared" ref="B956:C956" si="967">($A956-B$9)/365.25</f>
        <v>137.28405201916496</v>
      </c>
      <c r="C956" s="398">
        <f t="shared" si="967"/>
        <v>132.6735112936345</v>
      </c>
      <c r="E956" s="25">
        <f>IF(C956&gt;$B$7,0,'Combined Retirement'!$D$13/12)</f>
        <v>0</v>
      </c>
      <c r="F956" s="25">
        <f>IF(H956=0,'Combined Retirement'!$D$32,0)+'Combined Retirement'!$B$24</f>
        <v>2870.372285649099</v>
      </c>
      <c r="G956" s="25">
        <f>'Combined Retirement'!$C$24</f>
        <v>3254.2644699519233</v>
      </c>
      <c r="H956" s="25">
        <f>IF(B956&lt;62,0,'Combined Retirement'!$I$14)</f>
        <v>2345</v>
      </c>
      <c r="I956" s="25">
        <f>IF(C956&lt;62,0,'Combined Retirement'!$I$13)</f>
        <v>2420</v>
      </c>
      <c r="J956" s="25">
        <f t="shared" si="783"/>
        <v>8395.6297298201844</v>
      </c>
      <c r="K956" s="25">
        <f t="shared" si="784"/>
        <v>21655.303514578787</v>
      </c>
      <c r="L956" s="25"/>
      <c r="N956" s="25">
        <f>'Combined Retirement'!$C$18/12</f>
        <v>40940.569999999992</v>
      </c>
      <c r="O956" s="25">
        <f t="shared" si="785"/>
        <v>10889.636755601023</v>
      </c>
      <c r="P956" s="25">
        <f t="shared" si="786"/>
        <v>30050.93324439897</v>
      </c>
      <c r="Q956" s="25">
        <f t="array" aca="1" ref="Q956" ca="1">INDEX('Isaac 401k'!L:L,MATCH('Retirement Calculator'!A956,'Isaac 401k'!N:N,0),0)</f>
        <v>-22460300.818733394</v>
      </c>
      <c r="R956" s="25">
        <f t="array" aca="1" ref="R956" ca="1">INDEX('Lorri 401b'!L:L,MATCH('Retirement Calculator'!A956,'Lorri 401b'!N:N,0),0)</f>
        <v>-38321769.492783606</v>
      </c>
      <c r="S956" s="25">
        <f t="shared" ca="1" si="787"/>
        <v>-60782070.311517</v>
      </c>
    </row>
    <row r="957" spans="1:19" ht="15.75" customHeight="1" x14ac:dyDescent="0.25">
      <c r="A957" s="37">
        <v>80080</v>
      </c>
      <c r="B957" s="398">
        <f t="shared" ref="B957:C957" si="968">($A957-B$9)/365.25</f>
        <v>137.36892539356606</v>
      </c>
      <c r="C957" s="398">
        <f t="shared" si="968"/>
        <v>132.7583846680356</v>
      </c>
      <c r="E957" s="25">
        <f>IF(C957&gt;$B$7,0,'Combined Retirement'!$D$13/12)</f>
        <v>0</v>
      </c>
      <c r="F957" s="25">
        <f>IF(H957=0,'Combined Retirement'!$D$32,0)+'Combined Retirement'!$B$24</f>
        <v>2870.372285649099</v>
      </c>
      <c r="G957" s="25">
        <f>'Combined Retirement'!$C$24</f>
        <v>3254.2644699519233</v>
      </c>
      <c r="H957" s="25">
        <f>IF(B957&lt;62,0,'Combined Retirement'!$I$14)</f>
        <v>2345</v>
      </c>
      <c r="I957" s="25">
        <f>IF(C957&lt;62,0,'Combined Retirement'!$I$13)</f>
        <v>2420</v>
      </c>
      <c r="J957" s="25">
        <f t="shared" si="783"/>
        <v>8395.6297298201844</v>
      </c>
      <c r="K957" s="25">
        <f t="shared" si="784"/>
        <v>21655.303514578787</v>
      </c>
      <c r="L957" s="25"/>
      <c r="N957" s="25">
        <f>'Combined Retirement'!$C$18/12</f>
        <v>40940.569999999992</v>
      </c>
      <c r="O957" s="25">
        <f t="shared" si="785"/>
        <v>10889.636755601023</v>
      </c>
      <c r="P957" s="25">
        <f t="shared" si="786"/>
        <v>30050.93324439897</v>
      </c>
      <c r="Q957" s="25">
        <f t="array" aca="1" ref="Q957" ca="1">INDEX('Isaac 401k'!L:L,MATCH('Retirement Calculator'!A957,'Isaac 401k'!N:N,0),0)</f>
        <v>-22562316.016998477</v>
      </c>
      <c r="R957" s="25">
        <f t="array" aca="1" ref="R957" ca="1">INDEX('Lorri 401b'!L:L,MATCH('Retirement Calculator'!A957,'Lorri 401b'!N:N,0),0)</f>
        <v>-38503189.066282757</v>
      </c>
      <c r="S957" s="25">
        <f t="shared" ca="1" si="787"/>
        <v>-61065505.083281234</v>
      </c>
    </row>
    <row r="958" spans="1:19" ht="15.75" customHeight="1" x14ac:dyDescent="0.25">
      <c r="A958" s="37">
        <v>80110</v>
      </c>
      <c r="B958" s="398">
        <f t="shared" ref="B958:C958" si="969">($A958-B$9)/365.25</f>
        <v>137.45106091718</v>
      </c>
      <c r="C958" s="398">
        <f t="shared" si="969"/>
        <v>132.84052019164955</v>
      </c>
      <c r="E958" s="25">
        <f>IF(C958&gt;$B$7,0,'Combined Retirement'!$D$13/12)</f>
        <v>0</v>
      </c>
      <c r="F958" s="25">
        <f>IF(H958=0,'Combined Retirement'!$D$32,0)+'Combined Retirement'!$B$24</f>
        <v>2870.372285649099</v>
      </c>
      <c r="G958" s="25">
        <f>'Combined Retirement'!$C$24</f>
        <v>3254.2644699519233</v>
      </c>
      <c r="H958" s="25">
        <f>IF(B958&lt;62,0,'Combined Retirement'!$I$14)</f>
        <v>2345</v>
      </c>
      <c r="I958" s="25">
        <f>IF(C958&lt;62,0,'Combined Retirement'!$I$13)</f>
        <v>2420</v>
      </c>
      <c r="J958" s="25">
        <f t="shared" si="783"/>
        <v>8395.6297298201844</v>
      </c>
      <c r="K958" s="25">
        <f t="shared" si="784"/>
        <v>21655.303514578787</v>
      </c>
      <c r="L958" s="25"/>
      <c r="N958" s="25">
        <f>'Combined Retirement'!$C$18/12</f>
        <v>40940.569999999992</v>
      </c>
      <c r="O958" s="25">
        <f t="shared" si="785"/>
        <v>10889.636755601023</v>
      </c>
      <c r="P958" s="25">
        <f t="shared" si="786"/>
        <v>30050.93324439897</v>
      </c>
      <c r="Q958" s="25">
        <f t="array" aca="1" ref="Q958" ca="1">INDEX('Isaac 401k'!L:L,MATCH('Retirement Calculator'!A958,'Isaac 401k'!N:N,0),0)</f>
        <v>-22664756.278589662</v>
      </c>
      <c r="R958" s="25">
        <f t="array" aca="1" ref="R958" ca="1">INDEX('Lorri 401b'!L:L,MATCH('Retirement Calculator'!A958,'Lorri 401b'!N:N,0),0)</f>
        <v>-38685364.554671489</v>
      </c>
      <c r="S958" s="25">
        <f t="shared" ca="1" si="787"/>
        <v>-61350120.833261147</v>
      </c>
    </row>
    <row r="959" spans="1:19" ht="15.75" customHeight="1" x14ac:dyDescent="0.25">
      <c r="A959" s="37">
        <v>80141</v>
      </c>
      <c r="B959" s="398">
        <f t="shared" ref="B959:C959" si="970">($A959-B$9)/365.25</f>
        <v>137.5359342915811</v>
      </c>
      <c r="C959" s="398">
        <f t="shared" si="970"/>
        <v>132.92539356605064</v>
      </c>
      <c r="E959" s="25">
        <f>IF(C959&gt;$B$7,0,'Combined Retirement'!$D$13/12)</f>
        <v>0</v>
      </c>
      <c r="F959" s="25">
        <f>IF(H959=0,'Combined Retirement'!$D$32,0)+'Combined Retirement'!$B$24</f>
        <v>2870.372285649099</v>
      </c>
      <c r="G959" s="25">
        <f>'Combined Retirement'!$C$24</f>
        <v>3254.2644699519233</v>
      </c>
      <c r="H959" s="25">
        <f>IF(B959&lt;62,0,'Combined Retirement'!$I$14)</f>
        <v>2345</v>
      </c>
      <c r="I959" s="25">
        <f>IF(C959&lt;62,0,'Combined Retirement'!$I$13)</f>
        <v>2420</v>
      </c>
      <c r="J959" s="25">
        <f t="shared" si="783"/>
        <v>8395.6297298201844</v>
      </c>
      <c r="K959" s="25">
        <f t="shared" si="784"/>
        <v>21655.303514578787</v>
      </c>
      <c r="L959" s="25"/>
      <c r="N959" s="25">
        <f>'Combined Retirement'!$C$18/12</f>
        <v>40940.569999999992</v>
      </c>
      <c r="O959" s="25">
        <f t="shared" si="785"/>
        <v>10889.636755601023</v>
      </c>
      <c r="P959" s="25">
        <f t="shared" si="786"/>
        <v>30050.93324439897</v>
      </c>
      <c r="Q959" s="25">
        <f t="array" aca="1" ref="Q959" ca="1">INDEX('Isaac 401k'!L:L,MATCH('Retirement Calculator'!A959,'Isaac 401k'!N:N,0),0)</f>
        <v>-22767623.374604147</v>
      </c>
      <c r="R959" s="25">
        <f t="array" aca="1" ref="R959" ca="1">INDEX('Lorri 401b'!L:L,MATCH('Retirement Calculator'!A959,'Lorri 401b'!N:N,0),0)</f>
        <v>-38868299.107595176</v>
      </c>
      <c r="S959" s="25">
        <f t="shared" ca="1" si="787"/>
        <v>-61635922.482199326</v>
      </c>
    </row>
    <row r="960" spans="1:19" ht="15.75" customHeight="1" x14ac:dyDescent="0.25">
      <c r="A960" s="37">
        <v>80171</v>
      </c>
      <c r="B960" s="398">
        <f t="shared" ref="B960:C960" si="971">($A960-B$9)/365.25</f>
        <v>137.61806981519507</v>
      </c>
      <c r="C960" s="398">
        <f t="shared" si="971"/>
        <v>133.00752908966462</v>
      </c>
      <c r="E960" s="25">
        <f>IF(C960&gt;$B$7,0,'Combined Retirement'!$D$13/12)</f>
        <v>0</v>
      </c>
      <c r="F960" s="25">
        <f>IF(H960=0,'Combined Retirement'!$D$32,0)+'Combined Retirement'!$B$24</f>
        <v>2870.372285649099</v>
      </c>
      <c r="G960" s="25">
        <f>'Combined Retirement'!$C$24</f>
        <v>3254.2644699519233</v>
      </c>
      <c r="H960" s="25">
        <f>IF(B960&lt;62,0,'Combined Retirement'!$I$14)</f>
        <v>2345</v>
      </c>
      <c r="I960" s="25">
        <f>IF(C960&lt;62,0,'Combined Retirement'!$I$13)</f>
        <v>2420</v>
      </c>
      <c r="J960" s="25">
        <f t="shared" si="783"/>
        <v>8395.6297298201844</v>
      </c>
      <c r="K960" s="25">
        <f t="shared" si="784"/>
        <v>21655.303514578787</v>
      </c>
      <c r="L960" s="25"/>
      <c r="N960" s="25">
        <f>'Combined Retirement'!$C$18/12</f>
        <v>40940.569999999992</v>
      </c>
      <c r="O960" s="25">
        <f t="shared" si="785"/>
        <v>10889.636755601023</v>
      </c>
      <c r="P960" s="25">
        <f t="shared" si="786"/>
        <v>30050.93324439897</v>
      </c>
      <c r="Q960" s="25">
        <f t="array" aca="1" ref="Q960" ca="1">INDEX('Isaac 401k'!L:L,MATCH('Retirement Calculator'!A960,'Isaac 401k'!N:N,0),0)</f>
        <v>-22870919.083518691</v>
      </c>
      <c r="R960" s="25">
        <f t="array" aca="1" ref="R960" ca="1">INDEX('Lorri 401b'!L:L,MATCH('Retirement Calculator'!A960,'Lorri 401b'!N:N,0),0)</f>
        <v>-39051995.88782271</v>
      </c>
      <c r="S960" s="25">
        <f t="shared" ca="1" si="787"/>
        <v>-61922914.971341401</v>
      </c>
    </row>
    <row r="961" spans="1:19" ht="15.75" customHeight="1" x14ac:dyDescent="0.25">
      <c r="A961" s="37">
        <v>80202</v>
      </c>
      <c r="B961" s="398">
        <f t="shared" ref="B961:C961" si="972">($A961-B$9)/365.25</f>
        <v>137.70294318959617</v>
      </c>
      <c r="C961" s="398">
        <f t="shared" si="972"/>
        <v>133.09240246406571</v>
      </c>
      <c r="E961" s="25">
        <f>IF(C961&gt;$B$7,0,'Combined Retirement'!$D$13/12)</f>
        <v>0</v>
      </c>
      <c r="F961" s="25">
        <f>IF(H961=0,'Combined Retirement'!$D$32,0)+'Combined Retirement'!$B$24</f>
        <v>2870.372285649099</v>
      </c>
      <c r="G961" s="25">
        <f>'Combined Retirement'!$C$24</f>
        <v>3254.2644699519233</v>
      </c>
      <c r="H961" s="25">
        <f>IF(B961&lt;62,0,'Combined Retirement'!$I$14)</f>
        <v>2345</v>
      </c>
      <c r="I961" s="25">
        <f>IF(C961&lt;62,0,'Combined Retirement'!$I$13)</f>
        <v>2420</v>
      </c>
      <c r="J961" s="25">
        <f t="shared" si="783"/>
        <v>8395.6297298201844</v>
      </c>
      <c r="K961" s="25">
        <f t="shared" si="784"/>
        <v>21655.303514578787</v>
      </c>
      <c r="L961" s="25"/>
      <c r="N961" s="25">
        <f>'Combined Retirement'!$C$18/12</f>
        <v>40940.569999999992</v>
      </c>
      <c r="O961" s="25">
        <f t="shared" si="785"/>
        <v>10889.636755601023</v>
      </c>
      <c r="P961" s="25">
        <f t="shared" si="786"/>
        <v>30050.93324439897</v>
      </c>
      <c r="Q961" s="25">
        <f t="array" aca="1" ref="Q961" ca="1">INDEX('Isaac 401k'!L:L,MATCH('Retirement Calculator'!A961,'Isaac 401k'!N:N,0),0)</f>
        <v>-22974645.19122038</v>
      </c>
      <c r="R961" s="25">
        <f t="array" aca="1" ref="R961" ca="1">INDEX('Lorri 401b'!L:L,MATCH('Retirement Calculator'!A961,'Lorri 401b'!N:N,0),0)</f>
        <v>-39236458.071301192</v>
      </c>
      <c r="S961" s="25">
        <f t="shared" ca="1" si="787"/>
        <v>-62211103.262521572</v>
      </c>
    </row>
    <row r="962" spans="1:19" ht="15.75" customHeight="1" x14ac:dyDescent="0.25">
      <c r="A962" s="37">
        <v>80233</v>
      </c>
      <c r="B962" s="398">
        <f t="shared" ref="B962:C962" si="973">($A962-B$9)/365.25</f>
        <v>137.78781656399727</v>
      </c>
      <c r="C962" s="398">
        <f t="shared" si="973"/>
        <v>133.17727583846681</v>
      </c>
      <c r="E962" s="25">
        <f>IF(C962&gt;$B$7,0,'Combined Retirement'!$D$13/12)</f>
        <v>0</v>
      </c>
      <c r="F962" s="25">
        <f>IF(H962=0,'Combined Retirement'!$D$32,0)+'Combined Retirement'!$B$24</f>
        <v>2870.372285649099</v>
      </c>
      <c r="G962" s="25">
        <f>'Combined Retirement'!$C$24</f>
        <v>3254.2644699519233</v>
      </c>
      <c r="H962" s="25">
        <f>IF(B962&lt;62,0,'Combined Retirement'!$I$14)</f>
        <v>2345</v>
      </c>
      <c r="I962" s="25">
        <f>IF(C962&lt;62,0,'Combined Retirement'!$I$13)</f>
        <v>2420</v>
      </c>
      <c r="J962" s="25">
        <f t="shared" si="783"/>
        <v>8395.6297298201844</v>
      </c>
      <c r="K962" s="25">
        <f t="shared" si="784"/>
        <v>21655.303514578787</v>
      </c>
      <c r="L962" s="25"/>
      <c r="N962" s="25">
        <f>'Combined Retirement'!$C$18/12</f>
        <v>40940.569999999992</v>
      </c>
      <c r="O962" s="25">
        <f t="shared" si="785"/>
        <v>10889.636755601023</v>
      </c>
      <c r="P962" s="25">
        <f t="shared" si="786"/>
        <v>30050.93324439897</v>
      </c>
      <c r="Q962" s="25">
        <f t="array" aca="1" ref="Q962" ca="1">INDEX('Isaac 401k'!L:L,MATCH('Retirement Calculator'!A962,'Isaac 401k'!N:N,0),0)</f>
        <v>-23078803.491037492</v>
      </c>
      <c r="R962" s="25">
        <f t="array" aca="1" ref="R962" ca="1">INDEX('Lorri 401b'!L:L,MATCH('Retirement Calculator'!A962,'Lorri 401b'!N:N,0),0)</f>
        <v>-39421688.847210832</v>
      </c>
      <c r="S962" s="25">
        <f t="shared" ca="1" si="787"/>
        <v>-62500492.338248327</v>
      </c>
    </row>
    <row r="963" spans="1:19" ht="15.75" customHeight="1" x14ac:dyDescent="0.25">
      <c r="A963" s="37">
        <v>80263</v>
      </c>
      <c r="B963" s="398">
        <f t="shared" ref="B963:C963" si="974">($A963-B$9)/365.25</f>
        <v>137.86995208761124</v>
      </c>
      <c r="C963" s="398">
        <f t="shared" si="974"/>
        <v>133.25941136208075</v>
      </c>
      <c r="E963" s="25">
        <f>IF(C963&gt;$B$7,0,'Combined Retirement'!$D$13/12)</f>
        <v>0</v>
      </c>
      <c r="F963" s="25">
        <f>IF(H963=0,'Combined Retirement'!$D$32,0)+'Combined Retirement'!$B$24</f>
        <v>2870.372285649099</v>
      </c>
      <c r="G963" s="25">
        <f>'Combined Retirement'!$C$24</f>
        <v>3254.2644699519233</v>
      </c>
      <c r="H963" s="25">
        <f>IF(B963&lt;62,0,'Combined Retirement'!$I$14)</f>
        <v>2345</v>
      </c>
      <c r="I963" s="25">
        <f>IF(C963&lt;62,0,'Combined Retirement'!$I$13)</f>
        <v>2420</v>
      </c>
      <c r="J963" s="25">
        <f t="shared" si="783"/>
        <v>8395.6297298201844</v>
      </c>
      <c r="K963" s="25">
        <f t="shared" si="784"/>
        <v>21655.303514578787</v>
      </c>
      <c r="L963" s="25"/>
      <c r="N963" s="25">
        <f>'Combined Retirement'!$C$18/12</f>
        <v>40940.569999999992</v>
      </c>
      <c r="O963" s="25">
        <f t="shared" si="785"/>
        <v>10889.636755601023</v>
      </c>
      <c r="P963" s="25">
        <f t="shared" si="786"/>
        <v>30050.93324439897</v>
      </c>
      <c r="Q963" s="25">
        <f t="array" aca="1" ref="Q963" ca="1">INDEX('Isaac 401k'!L:L,MATCH('Retirement Calculator'!A963,'Isaac 401k'!N:N,0),0)</f>
        <v>-23183395.783770509</v>
      </c>
      <c r="R963" s="25">
        <f t="array" aca="1" ref="R963" ca="1">INDEX('Lorri 401b'!L:L,MATCH('Retirement Calculator'!A963,'Lorri 401b'!N:N,0),0)</f>
        <v>-39607691.418020099</v>
      </c>
      <c r="S963" s="25">
        <f t="shared" ca="1" si="787"/>
        <v>-62791087.201790608</v>
      </c>
    </row>
    <row r="964" spans="1:19" ht="15.75" customHeight="1" x14ac:dyDescent="0.25">
      <c r="A964" s="37">
        <v>80294</v>
      </c>
      <c r="B964" s="398">
        <f t="shared" ref="B964:C964" si="975">($A964-B$9)/365.25</f>
        <v>137.95482546201231</v>
      </c>
      <c r="C964" s="398">
        <f t="shared" si="975"/>
        <v>133.34428473648185</v>
      </c>
      <c r="E964" s="25">
        <f>IF(C964&gt;$B$7,0,'Combined Retirement'!$D$13/12)</f>
        <v>0</v>
      </c>
      <c r="F964" s="25">
        <f>IF(H964=0,'Combined Retirement'!$D$32,0)+'Combined Retirement'!$B$24</f>
        <v>2870.372285649099</v>
      </c>
      <c r="G964" s="25">
        <f>'Combined Retirement'!$C$24</f>
        <v>3254.2644699519233</v>
      </c>
      <c r="H964" s="25">
        <f>IF(B964&lt;62,0,'Combined Retirement'!$I$14)</f>
        <v>2345</v>
      </c>
      <c r="I964" s="25">
        <f>IF(C964&lt;62,0,'Combined Retirement'!$I$13)</f>
        <v>2420</v>
      </c>
      <c r="J964" s="25">
        <f t="shared" si="783"/>
        <v>8395.6297298201844</v>
      </c>
      <c r="K964" s="25">
        <f t="shared" si="784"/>
        <v>21655.303514578787</v>
      </c>
      <c r="L964" s="25"/>
      <c r="N964" s="25">
        <f>'Combined Retirement'!$C$18/12</f>
        <v>40940.569999999992</v>
      </c>
      <c r="O964" s="25">
        <f t="shared" si="785"/>
        <v>10889.636755601023</v>
      </c>
      <c r="P964" s="25">
        <f t="shared" si="786"/>
        <v>30050.93324439897</v>
      </c>
      <c r="Q964" s="25">
        <f t="array" aca="1" ref="Q964" ca="1">INDEX('Isaac 401k'!L:L,MATCH('Retirement Calculator'!A964,'Isaac 401k'!N:N,0),0)</f>
        <v>-23288423.877723247</v>
      </c>
      <c r="R964" s="25">
        <f t="array" aca="1" ref="R964" ca="1">INDEX('Lorri 401b'!L:L,MATCH('Retirement Calculator'!A964,'Lorri 401b'!N:N,0),0)</f>
        <v>-39794468.999541074</v>
      </c>
      <c r="S964" s="25">
        <f t="shared" ca="1" si="787"/>
        <v>-63082892.877264321</v>
      </c>
    </row>
    <row r="965" spans="1:19" ht="15.75" customHeight="1" x14ac:dyDescent="0.25">
      <c r="A965" s="37">
        <v>80324</v>
      </c>
      <c r="B965" s="398">
        <f t="shared" ref="B965:C965" si="976">($A965-B$9)/365.25</f>
        <v>138.03696098562628</v>
      </c>
      <c r="C965" s="398">
        <f t="shared" si="976"/>
        <v>133.42642026009582</v>
      </c>
      <c r="E965" s="25">
        <f>IF(C965&gt;$B$7,0,'Combined Retirement'!$D$13/12)</f>
        <v>0</v>
      </c>
      <c r="F965" s="25">
        <f>IF(H965=0,'Combined Retirement'!$D$32,0)+'Combined Retirement'!$B$24</f>
        <v>2870.372285649099</v>
      </c>
      <c r="G965" s="25">
        <f>'Combined Retirement'!$C$24</f>
        <v>3254.2644699519233</v>
      </c>
      <c r="H965" s="25">
        <f>IF(B965&lt;62,0,'Combined Retirement'!$I$14)</f>
        <v>2345</v>
      </c>
      <c r="I965" s="25">
        <f>IF(C965&lt;62,0,'Combined Retirement'!$I$13)</f>
        <v>2420</v>
      </c>
      <c r="J965" s="25">
        <f t="shared" si="783"/>
        <v>8395.6297298201844</v>
      </c>
      <c r="K965" s="25">
        <f t="shared" si="784"/>
        <v>21655.303514578787</v>
      </c>
      <c r="L965" s="25"/>
      <c r="N965" s="25">
        <f>'Combined Retirement'!$C$18/12</f>
        <v>40940.569999999992</v>
      </c>
      <c r="O965" s="25">
        <f t="shared" si="785"/>
        <v>10889.636755601023</v>
      </c>
      <c r="P965" s="25">
        <f t="shared" si="786"/>
        <v>30050.93324439897</v>
      </c>
      <c r="Q965" s="25">
        <f t="array" aca="1" ref="Q965" ca="1">INDEX('Isaac 401k'!L:L,MATCH('Retirement Calculator'!A965,'Isaac 401k'!N:N,0),0)</f>
        <v>-23393889.58873412</v>
      </c>
      <c r="R965" s="25">
        <f t="array" aca="1" ref="R965" ca="1">INDEX('Lorri 401b'!L:L,MATCH('Retirement Calculator'!A965,'Lorri 401b'!N:N,0),0)</f>
        <v>-39982024.820985049</v>
      </c>
      <c r="S965" s="25">
        <f t="shared" ca="1" si="787"/>
        <v>-63375914.409719169</v>
      </c>
    </row>
    <row r="966" spans="1:19" ht="15.75" customHeight="1" x14ac:dyDescent="0.25">
      <c r="A966" s="37">
        <v>80355</v>
      </c>
      <c r="B966" s="398">
        <f t="shared" ref="B966:C966" si="977">($A966-B$9)/365.25</f>
        <v>138.12183436002738</v>
      </c>
      <c r="C966" s="398">
        <f t="shared" si="977"/>
        <v>133.51129363449692</v>
      </c>
      <c r="E966" s="25">
        <f>IF(C966&gt;$B$7,0,'Combined Retirement'!$D$13/12)</f>
        <v>0</v>
      </c>
      <c r="F966" s="25">
        <f>IF(H966=0,'Combined Retirement'!$D$32,0)+'Combined Retirement'!$B$24</f>
        <v>2870.372285649099</v>
      </c>
      <c r="G966" s="25">
        <f>'Combined Retirement'!$C$24</f>
        <v>3254.2644699519233</v>
      </c>
      <c r="H966" s="25">
        <f>IF(B966&lt;62,0,'Combined Retirement'!$I$14)</f>
        <v>2345</v>
      </c>
      <c r="I966" s="25">
        <f>IF(C966&lt;62,0,'Combined Retirement'!$I$13)</f>
        <v>2420</v>
      </c>
      <c r="J966" s="25">
        <f t="shared" si="783"/>
        <v>8395.6297298201844</v>
      </c>
      <c r="K966" s="25">
        <f t="shared" si="784"/>
        <v>21655.303514578787</v>
      </c>
      <c r="L966" s="25"/>
      <c r="N966" s="25">
        <f>'Combined Retirement'!$C$18/12</f>
        <v>40940.569999999992</v>
      </c>
      <c r="O966" s="25">
        <f t="shared" si="785"/>
        <v>10889.636755601023</v>
      </c>
      <c r="P966" s="25">
        <f t="shared" si="786"/>
        <v>30050.93324439897</v>
      </c>
      <c r="Q966" s="25">
        <f t="array" aca="1" ref="Q966" ca="1">INDEX('Isaac 401k'!L:L,MATCH('Retirement Calculator'!A966,'Isaac 401k'!N:N,0),0)</f>
        <v>-23499794.740207538</v>
      </c>
      <c r="R966" s="25">
        <f t="array" aca="1" ref="R966" ca="1">INDEX('Lorri 401b'!L:L,MATCH('Retirement Calculator'!A966,'Lorri 401b'!N:N,0),0)</f>
        <v>-40170362.125018373</v>
      </c>
      <c r="S966" s="25">
        <f t="shared" ca="1" si="787"/>
        <v>-63670156.865225911</v>
      </c>
    </row>
    <row r="967" spans="1:19" ht="15.75" customHeight="1" x14ac:dyDescent="0.25">
      <c r="A967" s="37">
        <v>80386</v>
      </c>
      <c r="B967" s="398">
        <f t="shared" ref="B967:C967" si="978">($A967-B$9)/365.25</f>
        <v>138.20670773442848</v>
      </c>
      <c r="C967" s="398">
        <f t="shared" si="978"/>
        <v>133.59616700889802</v>
      </c>
      <c r="E967" s="25">
        <f>IF(C967&gt;$B$7,0,'Combined Retirement'!$D$13/12)</f>
        <v>0</v>
      </c>
      <c r="F967" s="25">
        <f>IF(H967=0,'Combined Retirement'!$D$32,0)+'Combined Retirement'!$B$24</f>
        <v>2870.372285649099</v>
      </c>
      <c r="G967" s="25">
        <f>'Combined Retirement'!$C$24</f>
        <v>3254.2644699519233</v>
      </c>
      <c r="H967" s="25">
        <f>IF(B967&lt;62,0,'Combined Retirement'!$I$14)</f>
        <v>2345</v>
      </c>
      <c r="I967" s="25">
        <f>IF(C967&lt;62,0,'Combined Retirement'!$I$13)</f>
        <v>2420</v>
      </c>
      <c r="J967" s="25">
        <f t="shared" si="783"/>
        <v>8395.6297298201844</v>
      </c>
      <c r="K967" s="25">
        <f t="shared" si="784"/>
        <v>21655.303514578787</v>
      </c>
      <c r="L967" s="25"/>
      <c r="N967" s="25">
        <f>'Combined Retirement'!$C$18/12</f>
        <v>40940.569999999992</v>
      </c>
      <c r="O967" s="25">
        <f t="shared" si="785"/>
        <v>10889.636755601023</v>
      </c>
      <c r="P967" s="25">
        <f t="shared" si="786"/>
        <v>30050.93324439897</v>
      </c>
      <c r="Q967" s="25">
        <f t="array" aca="1" ref="Q967" ca="1">INDEX('Isaac 401k'!L:L,MATCH('Retirement Calculator'!A967,'Isaac 401k'!N:N,0),0)</f>
        <v>-23606141.16314543</v>
      </c>
      <c r="R967" s="25">
        <f t="array" aca="1" ref="R967" ca="1">INDEX('Lorri 401b'!L:L,MATCH('Retirement Calculator'!A967,'Lorri 401b'!N:N,0),0)</f>
        <v>-40359484.167818502</v>
      </c>
      <c r="S967" s="25">
        <f t="shared" ca="1" si="787"/>
        <v>-63965625.330963932</v>
      </c>
    </row>
    <row r="968" spans="1:19" ht="15.75" customHeight="1" x14ac:dyDescent="0.25">
      <c r="A968" s="37">
        <v>80415</v>
      </c>
      <c r="B968" s="398">
        <f t="shared" ref="B968:C968" si="979">($A968-B$9)/365.25</f>
        <v>138.28610540725529</v>
      </c>
      <c r="C968" s="398">
        <f t="shared" si="979"/>
        <v>133.67556468172484</v>
      </c>
      <c r="E968" s="25">
        <f>IF(C968&gt;$B$7,0,'Combined Retirement'!$D$13/12)</f>
        <v>0</v>
      </c>
      <c r="F968" s="25">
        <f>IF(H968=0,'Combined Retirement'!$D$32,0)+'Combined Retirement'!$B$24</f>
        <v>2870.372285649099</v>
      </c>
      <c r="G968" s="25">
        <f>'Combined Retirement'!$C$24</f>
        <v>3254.2644699519233</v>
      </c>
      <c r="H968" s="25">
        <f>IF(B968&lt;62,0,'Combined Retirement'!$I$14)</f>
        <v>2345</v>
      </c>
      <c r="I968" s="25">
        <f>IF(C968&lt;62,0,'Combined Retirement'!$I$13)</f>
        <v>2420</v>
      </c>
      <c r="J968" s="25">
        <f t="shared" si="783"/>
        <v>8395.6297298201844</v>
      </c>
      <c r="K968" s="25">
        <f t="shared" si="784"/>
        <v>21655.303514578787</v>
      </c>
      <c r="L968" s="25"/>
      <c r="N968" s="25">
        <f>'Combined Retirement'!$C$18/12</f>
        <v>40940.569999999992</v>
      </c>
      <c r="O968" s="25">
        <f t="shared" si="785"/>
        <v>10889.636755601023</v>
      </c>
      <c r="P968" s="25">
        <f t="shared" si="786"/>
        <v>30050.93324439897</v>
      </c>
      <c r="Q968" s="25">
        <f t="array" aca="1" ref="Q968" ca="1">INDEX('Isaac 401k'!L:L,MATCH('Retirement Calculator'!A968,'Isaac 401k'!N:N,0),0)</f>
        <v>-23712930.696178894</v>
      </c>
      <c r="R968" s="25">
        <f t="array" aca="1" ref="R968" ca="1">INDEX('Lorri 401b'!L:L,MATCH('Retirement Calculator'!A968,'Lorri 401b'!N:N,0),0)</f>
        <v>-40549394.2191303</v>
      </c>
      <c r="S968" s="25">
        <f t="shared" ca="1" si="787"/>
        <v>-64262324.915309191</v>
      </c>
    </row>
    <row r="969" spans="1:19" ht="15.75" customHeight="1" x14ac:dyDescent="0.25">
      <c r="A969" s="37">
        <v>80446</v>
      </c>
      <c r="B969" s="398">
        <f t="shared" ref="B969:C969" si="980">($A969-B$9)/365.25</f>
        <v>138.37097878165639</v>
      </c>
      <c r="C969" s="398">
        <f t="shared" si="980"/>
        <v>133.76043805612593</v>
      </c>
      <c r="E969" s="25">
        <f>IF(C969&gt;$B$7,0,'Combined Retirement'!$D$13/12)</f>
        <v>0</v>
      </c>
      <c r="F969" s="25">
        <f>IF(H969=0,'Combined Retirement'!$D$32,0)+'Combined Retirement'!$B$24</f>
        <v>2870.372285649099</v>
      </c>
      <c r="G969" s="25">
        <f>'Combined Retirement'!$C$24</f>
        <v>3254.2644699519233</v>
      </c>
      <c r="H969" s="25">
        <f>IF(B969&lt;62,0,'Combined Retirement'!$I$14)</f>
        <v>2345</v>
      </c>
      <c r="I969" s="25">
        <f>IF(C969&lt;62,0,'Combined Retirement'!$I$13)</f>
        <v>2420</v>
      </c>
      <c r="J969" s="25">
        <f t="shared" si="783"/>
        <v>8395.6297298201844</v>
      </c>
      <c r="K969" s="25">
        <f t="shared" si="784"/>
        <v>21655.303514578787</v>
      </c>
      <c r="L969" s="25"/>
      <c r="N969" s="25">
        <f>'Combined Retirement'!$C$18/12</f>
        <v>40940.569999999992</v>
      </c>
      <c r="O969" s="25">
        <f t="shared" si="785"/>
        <v>10889.636755601023</v>
      </c>
      <c r="P969" s="25">
        <f t="shared" si="786"/>
        <v>30050.93324439897</v>
      </c>
      <c r="Q969" s="25">
        <f t="array" aca="1" ref="Q969" ca="1">INDEX('Isaac 401k'!L:L,MATCH('Retirement Calculator'!A969,'Isaac 401k'!N:N,0),0)</f>
        <v>-23820165.185599998</v>
      </c>
      <c r="R969" s="25">
        <f t="array" aca="1" ref="R969" ca="1">INDEX('Lorri 401b'!L:L,MATCH('Retirement Calculator'!A969,'Lorri 401b'!N:N,0),0)</f>
        <v>-40740095.562322564</v>
      </c>
      <c r="S969" s="25">
        <f t="shared" ca="1" si="787"/>
        <v>-64560260.747922562</v>
      </c>
    </row>
    <row r="970" spans="1:19" ht="15.75" customHeight="1" x14ac:dyDescent="0.25">
      <c r="A970" s="37">
        <v>80476</v>
      </c>
      <c r="B970" s="398">
        <f t="shared" ref="B970:C970" si="981">($A970-B$9)/365.25</f>
        <v>138.45311430527036</v>
      </c>
      <c r="C970" s="398">
        <f t="shared" si="981"/>
        <v>133.84257357973991</v>
      </c>
      <c r="E970" s="25">
        <f>IF(C970&gt;$B$7,0,'Combined Retirement'!$D$13/12)</f>
        <v>0</v>
      </c>
      <c r="F970" s="25">
        <f>IF(H970=0,'Combined Retirement'!$D$32,0)+'Combined Retirement'!$B$24</f>
        <v>2870.372285649099</v>
      </c>
      <c r="G970" s="25">
        <f>'Combined Retirement'!$C$24</f>
        <v>3254.2644699519233</v>
      </c>
      <c r="H970" s="25">
        <f>IF(B970&lt;62,0,'Combined Retirement'!$I$14)</f>
        <v>2345</v>
      </c>
      <c r="I970" s="25">
        <f>IF(C970&lt;62,0,'Combined Retirement'!$I$13)</f>
        <v>2420</v>
      </c>
      <c r="J970" s="25">
        <f t="shared" si="783"/>
        <v>8395.6297298201844</v>
      </c>
      <c r="K970" s="25">
        <f t="shared" si="784"/>
        <v>21655.303514578787</v>
      </c>
      <c r="L970" s="25"/>
      <c r="N970" s="25">
        <f>'Combined Retirement'!$C$18/12</f>
        <v>40940.569999999992</v>
      </c>
      <c r="O970" s="25">
        <f t="shared" si="785"/>
        <v>10889.636755601023</v>
      </c>
      <c r="P970" s="25">
        <f t="shared" si="786"/>
        <v>30050.93324439897</v>
      </c>
      <c r="Q970" s="25">
        <f t="array" aca="1" ref="Q970" ca="1">INDEX('Isaac 401k'!L:L,MATCH('Retirement Calculator'!A970,'Isaac 401k'!N:N,0),0)</f>
        <v>-23927846.485393692</v>
      </c>
      <c r="R970" s="25">
        <f t="array" aca="1" ref="R970" ca="1">INDEX('Lorri 401b'!L:L,MATCH('Retirement Calculator'!A970,'Lorri 401b'!N:N,0),0)</f>
        <v>-40931591.494444795</v>
      </c>
      <c r="S970" s="25">
        <f t="shared" ca="1" si="787"/>
        <v>-64859437.97983849</v>
      </c>
    </row>
    <row r="971" spans="1:19" ht="15.75" customHeight="1" x14ac:dyDescent="0.25">
      <c r="A971" s="37">
        <v>80507</v>
      </c>
      <c r="B971" s="398">
        <f t="shared" ref="B971:C971" si="982">($A971-B$9)/365.25</f>
        <v>138.53798767967146</v>
      </c>
      <c r="C971" s="398">
        <f t="shared" si="982"/>
        <v>133.927446954141</v>
      </c>
      <c r="E971" s="25">
        <f>IF(C971&gt;$B$7,0,'Combined Retirement'!$D$13/12)</f>
        <v>0</v>
      </c>
      <c r="F971" s="25">
        <f>IF(H971=0,'Combined Retirement'!$D$32,0)+'Combined Retirement'!$B$24</f>
        <v>2870.372285649099</v>
      </c>
      <c r="G971" s="25">
        <f>'Combined Retirement'!$C$24</f>
        <v>3254.2644699519233</v>
      </c>
      <c r="H971" s="25">
        <f>IF(B971&lt;62,0,'Combined Retirement'!$I$14)</f>
        <v>2345</v>
      </c>
      <c r="I971" s="25">
        <f>IF(C971&lt;62,0,'Combined Retirement'!$I$13)</f>
        <v>2420</v>
      </c>
      <c r="J971" s="25">
        <f t="shared" si="783"/>
        <v>8395.6297298201844</v>
      </c>
      <c r="K971" s="25">
        <f t="shared" si="784"/>
        <v>21655.303514578787</v>
      </c>
      <c r="L971" s="25"/>
      <c r="N971" s="25">
        <f>'Combined Retirement'!$C$18/12</f>
        <v>40940.569999999992</v>
      </c>
      <c r="O971" s="25">
        <f t="shared" si="785"/>
        <v>10889.636755601023</v>
      </c>
      <c r="P971" s="25">
        <f t="shared" si="786"/>
        <v>30050.93324439897</v>
      </c>
      <c r="Q971" s="25">
        <f t="array" aca="1" ref="Q971" ca="1">INDEX('Isaac 401k'!L:L,MATCH('Retirement Calculator'!A971,'Isaac 401k'!N:N,0),0)</f>
        <v>-24035976.457269859</v>
      </c>
      <c r="R971" s="25">
        <f t="array" aca="1" ref="R971" ca="1">INDEX('Lorri 401b'!L:L,MATCH('Retirement Calculator'!A971,'Lorri 401b'!N:N,0),0)</f>
        <v>-41123885.3262842</v>
      </c>
      <c r="S971" s="25">
        <f t="shared" ca="1" si="787"/>
        <v>-65159861.783554062</v>
      </c>
    </row>
    <row r="972" spans="1:19" ht="15.75" customHeight="1" x14ac:dyDescent="0.25">
      <c r="A972" s="37">
        <v>80537</v>
      </c>
      <c r="B972" s="398">
        <f t="shared" ref="B972:C972" si="983">($A972-B$9)/365.25</f>
        <v>138.62012320328543</v>
      </c>
      <c r="C972" s="398">
        <f t="shared" si="983"/>
        <v>134.00958247775498</v>
      </c>
      <c r="E972" s="25">
        <f>IF(C972&gt;$B$7,0,'Combined Retirement'!$D$13/12)</f>
        <v>0</v>
      </c>
      <c r="F972" s="25">
        <f>IF(H972=0,'Combined Retirement'!$D$32,0)+'Combined Retirement'!$B$24</f>
        <v>2870.372285649099</v>
      </c>
      <c r="G972" s="25">
        <f>'Combined Retirement'!$C$24</f>
        <v>3254.2644699519233</v>
      </c>
      <c r="H972" s="25">
        <f>IF(B972&lt;62,0,'Combined Retirement'!$I$14)</f>
        <v>2345</v>
      </c>
      <c r="I972" s="25">
        <f>IF(C972&lt;62,0,'Combined Retirement'!$I$13)</f>
        <v>2420</v>
      </c>
      <c r="J972" s="25">
        <f t="shared" si="783"/>
        <v>8395.6297298201844</v>
      </c>
      <c r="K972" s="25">
        <f t="shared" si="784"/>
        <v>21655.303514578787</v>
      </c>
      <c r="L972" s="25"/>
      <c r="N972" s="25">
        <f>'Combined Retirement'!$C$18/12</f>
        <v>40940.569999999992</v>
      </c>
      <c r="O972" s="25">
        <f t="shared" si="785"/>
        <v>10889.636755601023</v>
      </c>
      <c r="P972" s="25">
        <f t="shared" si="786"/>
        <v>30050.93324439897</v>
      </c>
      <c r="Q972" s="25">
        <f t="array" aca="1" ref="Q972" ca="1">INDEX('Isaac 401k'!L:L,MATCH('Retirement Calculator'!A972,'Isaac 401k'!N:N,0),0)</f>
        <v>-24144556.970695511</v>
      </c>
      <c r="R972" s="25">
        <f t="array" aca="1" ref="R972" ca="1">INDEX('Lorri 401b'!L:L,MATCH('Retirement Calculator'!A972,'Lorri 401b'!N:N,0),0)</f>
        <v>-41316980.382422939</v>
      </c>
      <c r="S972" s="25">
        <f t="shared" ca="1" si="787"/>
        <v>-65461537.353118449</v>
      </c>
    </row>
    <row r="973" spans="1:19" ht="15.75" customHeight="1" x14ac:dyDescent="0.25">
      <c r="A973" s="37">
        <v>80568</v>
      </c>
      <c r="B973" s="398">
        <f t="shared" ref="B973:C973" si="984">($A973-B$9)/365.25</f>
        <v>138.70499657768653</v>
      </c>
      <c r="C973" s="398">
        <f t="shared" si="984"/>
        <v>134.09445585215605</v>
      </c>
      <c r="E973" s="25">
        <f>IF(C973&gt;$B$7,0,'Combined Retirement'!$D$13/12)</f>
        <v>0</v>
      </c>
      <c r="F973" s="25">
        <f>IF(H973=0,'Combined Retirement'!$D$32,0)+'Combined Retirement'!$B$24</f>
        <v>2870.372285649099</v>
      </c>
      <c r="G973" s="25">
        <f>'Combined Retirement'!$C$24</f>
        <v>3254.2644699519233</v>
      </c>
      <c r="H973" s="25">
        <f>IF(B973&lt;62,0,'Combined Retirement'!$I$14)</f>
        <v>2345</v>
      </c>
      <c r="I973" s="25">
        <f>IF(C973&lt;62,0,'Combined Retirement'!$I$13)</f>
        <v>2420</v>
      </c>
      <c r="J973" s="25">
        <f t="shared" si="783"/>
        <v>8395.6297298201844</v>
      </c>
      <c r="K973" s="25">
        <f t="shared" si="784"/>
        <v>21655.303514578787</v>
      </c>
      <c r="L973" s="25"/>
      <c r="N973" s="25">
        <f>'Combined Retirement'!$C$18/12</f>
        <v>40940.569999999992</v>
      </c>
      <c r="O973" s="25">
        <f t="shared" si="785"/>
        <v>10889.636755601023</v>
      </c>
      <c r="P973" s="25">
        <f t="shared" si="786"/>
        <v>30050.93324439897</v>
      </c>
      <c r="Q973" s="25">
        <f t="array" aca="1" ref="Q973" ca="1">INDEX('Isaac 401k'!L:L,MATCH('Retirement Calculator'!A973,'Isaac 401k'!N:N,0),0)</f>
        <v>-24253589.902927101</v>
      </c>
      <c r="R973" s="25">
        <f t="array" aca="1" ref="R973" ca="1">INDEX('Lorri 401b'!L:L,MATCH('Retirement Calculator'!A973,'Lorri 401b'!N:N,0),0)</f>
        <v>-41510880.001295589</v>
      </c>
      <c r="S973" s="25">
        <f t="shared" ca="1" si="787"/>
        <v>-65764469.90422269</v>
      </c>
    </row>
    <row r="974" spans="1:19" ht="15.75" customHeight="1" x14ac:dyDescent="0.25">
      <c r="A974" s="37">
        <v>80599</v>
      </c>
      <c r="B974" s="398">
        <f t="shared" ref="B974:C974" si="985">($A974-B$9)/365.25</f>
        <v>138.7898699520876</v>
      </c>
      <c r="C974" s="398">
        <f t="shared" si="985"/>
        <v>134.17932922655714</v>
      </c>
      <c r="E974" s="25">
        <f>IF(C974&gt;$B$7,0,'Combined Retirement'!$D$13/12)</f>
        <v>0</v>
      </c>
      <c r="F974" s="25">
        <f>IF(H974=0,'Combined Retirement'!$D$32,0)+'Combined Retirement'!$B$24</f>
        <v>2870.372285649099</v>
      </c>
      <c r="G974" s="25">
        <f>'Combined Retirement'!$C$24</f>
        <v>3254.2644699519233</v>
      </c>
      <c r="H974" s="25">
        <f>IF(B974&lt;62,0,'Combined Retirement'!$I$14)</f>
        <v>2345</v>
      </c>
      <c r="I974" s="25">
        <f>IF(C974&lt;62,0,'Combined Retirement'!$I$13)</f>
        <v>2420</v>
      </c>
      <c r="J974" s="25">
        <f t="shared" si="783"/>
        <v>8395.6297298201844</v>
      </c>
      <c r="K974" s="25">
        <f t="shared" si="784"/>
        <v>21655.303514578787</v>
      </c>
      <c r="L974" s="25"/>
      <c r="N974" s="25">
        <f>'Combined Retirement'!$C$18/12</f>
        <v>40940.569999999992</v>
      </c>
      <c r="O974" s="25">
        <f t="shared" si="785"/>
        <v>10889.636755601023</v>
      </c>
      <c r="P974" s="25">
        <f t="shared" si="786"/>
        <v>30050.93324439897</v>
      </c>
      <c r="Q974" s="25">
        <f t="array" aca="1" ref="Q974" ca="1">INDEX('Isaac 401k'!L:L,MATCH('Retirement Calculator'!A974,'Isaac 401k'!N:N,0),0)</f>
        <v>-24363077.139042988</v>
      </c>
      <c r="R974" s="25">
        <f t="array" aca="1" ref="R974" ca="1">INDEX('Lorri 401b'!L:L,MATCH('Retirement Calculator'!A974,'Lorri 401b'!N:N,0),0)</f>
        <v>-41705587.535246879</v>
      </c>
      <c r="S974" s="25">
        <f t="shared" ca="1" si="787"/>
        <v>-66068664.674289867</v>
      </c>
    </row>
    <row r="975" spans="1:19" ht="15.75" customHeight="1" x14ac:dyDescent="0.25">
      <c r="A975" s="37">
        <v>80629</v>
      </c>
      <c r="B975" s="398">
        <f t="shared" ref="B975:C975" si="986">($A975-B$9)/365.25</f>
        <v>138.87200547570157</v>
      </c>
      <c r="C975" s="398">
        <f t="shared" si="986"/>
        <v>134.26146475017111</v>
      </c>
      <c r="E975" s="25">
        <f>IF(C975&gt;$B$7,0,'Combined Retirement'!$D$13/12)</f>
        <v>0</v>
      </c>
      <c r="F975" s="25">
        <f>IF(H975=0,'Combined Retirement'!$D$32,0)+'Combined Retirement'!$B$24</f>
        <v>2870.372285649099</v>
      </c>
      <c r="G975" s="25">
        <f>'Combined Retirement'!$C$24</f>
        <v>3254.2644699519233</v>
      </c>
      <c r="H975" s="25">
        <f>IF(B975&lt;62,0,'Combined Retirement'!$I$14)</f>
        <v>2345</v>
      </c>
      <c r="I975" s="25">
        <f>IF(C975&lt;62,0,'Combined Retirement'!$I$13)</f>
        <v>2420</v>
      </c>
      <c r="J975" s="25">
        <f t="shared" si="783"/>
        <v>8395.6297298201844</v>
      </c>
      <c r="K975" s="25">
        <f t="shared" si="784"/>
        <v>21655.303514578787</v>
      </c>
      <c r="L975" s="25"/>
      <c r="N975" s="25">
        <f>'Combined Retirement'!$C$18/12</f>
        <v>40940.569999999992</v>
      </c>
      <c r="O975" s="25">
        <f t="shared" si="785"/>
        <v>10889.636755601023</v>
      </c>
      <c r="P975" s="25">
        <f t="shared" si="786"/>
        <v>30050.93324439897</v>
      </c>
      <c r="Q975" s="25">
        <f t="array" aca="1" ref="Q975" ca="1">INDEX('Isaac 401k'!L:L,MATCH('Retirement Calculator'!A975,'Isaac 401k'!N:N,0),0)</f>
        <v>-24473020.571976028</v>
      </c>
      <c r="R975" s="25">
        <f t="array" aca="1" ref="R975" ca="1">INDEX('Lorri 401b'!L:L,MATCH('Retirement Calculator'!A975,'Lorri 401b'!N:N,0),0)</f>
        <v>-41901106.350589626</v>
      </c>
      <c r="S975" s="25">
        <f t="shared" ca="1" si="787"/>
        <v>-66374126.922565654</v>
      </c>
    </row>
    <row r="976" spans="1:19" ht="15.75" customHeight="1" x14ac:dyDescent="0.25">
      <c r="A976" s="37">
        <v>80660</v>
      </c>
      <c r="B976" s="398">
        <f t="shared" ref="B976:C976" si="987">($A976-B$9)/365.25</f>
        <v>138.95687885010267</v>
      </c>
      <c r="C976" s="398">
        <f t="shared" si="987"/>
        <v>134.34633812457221</v>
      </c>
      <c r="E976" s="25">
        <f>IF(C976&gt;$B$7,0,'Combined Retirement'!$D$13/12)</f>
        <v>0</v>
      </c>
      <c r="F976" s="25">
        <f>IF(H976=0,'Combined Retirement'!$D$32,0)+'Combined Retirement'!$B$24</f>
        <v>2870.372285649099</v>
      </c>
      <c r="G976" s="25">
        <f>'Combined Retirement'!$C$24</f>
        <v>3254.2644699519233</v>
      </c>
      <c r="H976" s="25">
        <f>IF(B976&lt;62,0,'Combined Retirement'!$I$14)</f>
        <v>2345</v>
      </c>
      <c r="I976" s="25">
        <f>IF(C976&lt;62,0,'Combined Retirement'!$I$13)</f>
        <v>2420</v>
      </c>
      <c r="J976" s="25">
        <f t="shared" si="783"/>
        <v>8395.6297298201844</v>
      </c>
      <c r="K976" s="25">
        <f t="shared" si="784"/>
        <v>21655.303514578787</v>
      </c>
      <c r="L976" s="25"/>
      <c r="N976" s="25">
        <f>'Combined Retirement'!$C$18/12</f>
        <v>40940.569999999992</v>
      </c>
      <c r="O976" s="25">
        <f t="shared" si="785"/>
        <v>10889.636755601023</v>
      </c>
      <c r="P976" s="25">
        <f t="shared" si="786"/>
        <v>30050.93324439897</v>
      </c>
      <c r="Q976" s="25">
        <f t="array" aca="1" ref="Q976" ca="1">INDEX('Isaac 401k'!L:L,MATCH('Retirement Calculator'!A976,'Isaac 401k'!N:N,0),0)</f>
        <v>-24583422.10254629</v>
      </c>
      <c r="R976" s="25">
        <f t="array" aca="1" ref="R976" ca="1">INDEX('Lorri 401b'!L:L,MATCH('Retirement Calculator'!A976,'Lorri 401b'!N:N,0),0)</f>
        <v>-42097439.827662967</v>
      </c>
      <c r="S976" s="25">
        <f t="shared" ca="1" si="787"/>
        <v>-66680861.930209257</v>
      </c>
    </row>
    <row r="977" spans="1:19" ht="15.75" customHeight="1" x14ac:dyDescent="0.25">
      <c r="A977" s="37">
        <v>80690</v>
      </c>
      <c r="B977" s="398">
        <f t="shared" ref="B977:C977" si="988">($A977-B$9)/365.25</f>
        <v>139.03901437371664</v>
      </c>
      <c r="C977" s="398">
        <f t="shared" si="988"/>
        <v>134.42847364818618</v>
      </c>
      <c r="E977" s="25">
        <f>IF(C977&gt;$B$7,0,'Combined Retirement'!$D$13/12)</f>
        <v>0</v>
      </c>
      <c r="F977" s="25">
        <f>IF(H977=0,'Combined Retirement'!$D$32,0)+'Combined Retirement'!$B$24</f>
        <v>2870.372285649099</v>
      </c>
      <c r="G977" s="25">
        <f>'Combined Retirement'!$C$24</f>
        <v>3254.2644699519233</v>
      </c>
      <c r="H977" s="25">
        <f>IF(B977&lt;62,0,'Combined Retirement'!$I$14)</f>
        <v>2345</v>
      </c>
      <c r="I977" s="25">
        <f>IF(C977&lt;62,0,'Combined Retirement'!$I$13)</f>
        <v>2420</v>
      </c>
      <c r="J977" s="25">
        <f t="shared" si="783"/>
        <v>8395.6297298201844</v>
      </c>
      <c r="K977" s="25">
        <f t="shared" si="784"/>
        <v>21655.303514578787</v>
      </c>
      <c r="L977" s="25"/>
      <c r="N977" s="25">
        <f>'Combined Retirement'!$C$18/12</f>
        <v>40940.569999999992</v>
      </c>
      <c r="O977" s="25">
        <f t="shared" si="785"/>
        <v>10889.636755601023</v>
      </c>
      <c r="P977" s="25">
        <f t="shared" si="786"/>
        <v>30050.93324439897</v>
      </c>
      <c r="Q977" s="25">
        <f t="array" aca="1" ref="Q977" ca="1">INDEX('Isaac 401k'!L:L,MATCH('Retirement Calculator'!A977,'Isaac 401k'!N:N,0),0)</f>
        <v>-24694283.639493924</v>
      </c>
      <c r="R977" s="25">
        <f t="array" aca="1" ref="R977" ca="1">INDEX('Lorri 401b'!L:L,MATCH('Retirement Calculator'!A977,'Lorri 401b'!N:N,0),0)</f>
        <v>-42294591.360890783</v>
      </c>
      <c r="S977" s="25">
        <f t="shared" ca="1" si="787"/>
        <v>-66988875.000384703</v>
      </c>
    </row>
    <row r="978" spans="1:19" ht="15.75" customHeight="1" x14ac:dyDescent="0.25">
      <c r="A978" s="37">
        <v>80721</v>
      </c>
      <c r="B978" s="398">
        <f t="shared" ref="B978:C978" si="989">($A978-B$9)/365.25</f>
        <v>139.12388774811774</v>
      </c>
      <c r="C978" s="398">
        <f t="shared" si="989"/>
        <v>134.51334702258728</v>
      </c>
      <c r="E978" s="25">
        <f>IF(C978&gt;$B$7,0,'Combined Retirement'!$D$13/12)</f>
        <v>0</v>
      </c>
      <c r="F978" s="25">
        <f>IF(H978=0,'Combined Retirement'!$D$32,0)+'Combined Retirement'!$B$24</f>
        <v>2870.372285649099</v>
      </c>
      <c r="G978" s="25">
        <f>'Combined Retirement'!$C$24</f>
        <v>3254.2644699519233</v>
      </c>
      <c r="H978" s="25">
        <f>IF(B978&lt;62,0,'Combined Retirement'!$I$14)</f>
        <v>2345</v>
      </c>
      <c r="I978" s="25">
        <f>IF(C978&lt;62,0,'Combined Retirement'!$I$13)</f>
        <v>2420</v>
      </c>
      <c r="J978" s="25">
        <f t="shared" si="783"/>
        <v>8395.6297298201844</v>
      </c>
      <c r="K978" s="25">
        <f t="shared" si="784"/>
        <v>21655.303514578787</v>
      </c>
      <c r="L978" s="25"/>
      <c r="N978" s="25">
        <f>'Combined Retirement'!$C$18/12</f>
        <v>40940.569999999992</v>
      </c>
      <c r="O978" s="25">
        <f t="shared" si="785"/>
        <v>10889.636755601023</v>
      </c>
      <c r="P978" s="25">
        <f t="shared" si="786"/>
        <v>30050.93324439897</v>
      </c>
      <c r="Q978" s="25">
        <f t="array" aca="1" ref="Q978" ca="1">INDEX('Isaac 401k'!L:L,MATCH('Retirement Calculator'!A978,'Isaac 401k'!N:N,0),0)</f>
        <v>-24805607.099512175</v>
      </c>
      <c r="R978" s="25">
        <f t="array" aca="1" ref="R978" ca="1">INDEX('Lorri 401b'!L:L,MATCH('Retirement Calculator'!A978,'Lorri 401b'!N:N,0),0)</f>
        <v>-42492564.358840384</v>
      </c>
      <c r="S978" s="25">
        <f t="shared" ca="1" si="787"/>
        <v>-67298171.458352566</v>
      </c>
    </row>
    <row r="979" spans="1:19" ht="15.75" customHeight="1" x14ac:dyDescent="0.25">
      <c r="A979" s="37">
        <v>80752</v>
      </c>
      <c r="B979" s="398">
        <f t="shared" ref="B979:C979" si="990">($A979-B$9)/365.25</f>
        <v>139.20876112251884</v>
      </c>
      <c r="C979" s="398">
        <f t="shared" si="990"/>
        <v>134.59822039698835</v>
      </c>
      <c r="E979" s="25">
        <f>IF(C979&gt;$B$7,0,'Combined Retirement'!$D$13/12)</f>
        <v>0</v>
      </c>
      <c r="F979" s="25">
        <f>IF(H979=0,'Combined Retirement'!$D$32,0)+'Combined Retirement'!$B$24</f>
        <v>2870.372285649099</v>
      </c>
      <c r="G979" s="25">
        <f>'Combined Retirement'!$C$24</f>
        <v>3254.2644699519233</v>
      </c>
      <c r="H979" s="25">
        <f>IF(B979&lt;62,0,'Combined Retirement'!$I$14)</f>
        <v>2345</v>
      </c>
      <c r="I979" s="25">
        <f>IF(C979&lt;62,0,'Combined Retirement'!$I$13)</f>
        <v>2420</v>
      </c>
      <c r="J979" s="25">
        <f t="shared" si="783"/>
        <v>8395.6297298201844</v>
      </c>
      <c r="K979" s="25">
        <f t="shared" si="784"/>
        <v>21655.303514578787</v>
      </c>
      <c r="L979" s="25"/>
      <c r="N979" s="25">
        <f>'Combined Retirement'!$C$18/12</f>
        <v>40940.569999999992</v>
      </c>
      <c r="O979" s="25">
        <f t="shared" si="785"/>
        <v>10889.636755601023</v>
      </c>
      <c r="P979" s="25">
        <f t="shared" si="786"/>
        <v>30050.93324439897</v>
      </c>
      <c r="Q979" s="25">
        <f t="array" aca="1" ref="Q979" ca="1">INDEX('Isaac 401k'!L:L,MATCH('Retirement Calculator'!A979,'Isaac 401k'!N:N,0),0)</f>
        <v>-24917394.407280501</v>
      </c>
      <c r="R979" s="25">
        <f t="array" aca="1" ref="R979" ca="1">INDEX('Lorri 401b'!L:L,MATCH('Retirement Calculator'!A979,'Lorri 401b'!N:N,0),0)</f>
        <v>-42691362.244281441</v>
      </c>
      <c r="S979" s="25">
        <f t="shared" ca="1" si="787"/>
        <v>-67608756.651561946</v>
      </c>
    </row>
    <row r="980" spans="1:19" ht="15.75" customHeight="1" x14ac:dyDescent="0.25">
      <c r="A980" s="37">
        <v>80780</v>
      </c>
      <c r="B980" s="398">
        <f t="shared" ref="B980:C980" si="991">($A980-B$9)/365.25</f>
        <v>139.28542094455852</v>
      </c>
      <c r="C980" s="398">
        <f t="shared" si="991"/>
        <v>134.67488021902807</v>
      </c>
      <c r="E980" s="25">
        <f>IF(C980&gt;$B$7,0,'Combined Retirement'!$D$13/12)</f>
        <v>0</v>
      </c>
      <c r="F980" s="25">
        <f>IF(H980=0,'Combined Retirement'!$D$32,0)+'Combined Retirement'!$B$24</f>
        <v>2870.372285649099</v>
      </c>
      <c r="G980" s="25">
        <f>'Combined Retirement'!$C$24</f>
        <v>3254.2644699519233</v>
      </c>
      <c r="H980" s="25">
        <f>IF(B980&lt;62,0,'Combined Retirement'!$I$14)</f>
        <v>2345</v>
      </c>
      <c r="I980" s="25">
        <f>IF(C980&lt;62,0,'Combined Retirement'!$I$13)</f>
        <v>2420</v>
      </c>
      <c r="J980" s="25">
        <f t="shared" si="783"/>
        <v>8395.6297298201844</v>
      </c>
      <c r="K980" s="25">
        <f t="shared" si="784"/>
        <v>21655.303514578787</v>
      </c>
      <c r="L980" s="25"/>
      <c r="N980" s="25">
        <f>'Combined Retirement'!$C$18/12</f>
        <v>40940.569999999992</v>
      </c>
      <c r="O980" s="25">
        <f t="shared" si="785"/>
        <v>10889.636755601023</v>
      </c>
      <c r="P980" s="25">
        <f t="shared" si="786"/>
        <v>30050.93324439897</v>
      </c>
      <c r="Q980" s="25">
        <f t="array" aca="1" ref="Q980" ca="1">INDEX('Isaac 401k'!L:L,MATCH('Retirement Calculator'!A980,'Isaac 401k'!N:N,0),0)</f>
        <v>-25029647.495497864</v>
      </c>
      <c r="R980" s="25">
        <f t="array" aca="1" ref="R980" ca="1">INDEX('Lorri 401b'!L:L,MATCH('Retirement Calculator'!A980,'Lorri 401b'!N:N,0),0)</f>
        <v>-42890988.454245165</v>
      </c>
      <c r="S980" s="25">
        <f t="shared" ca="1" si="787"/>
        <v>-67920635.949743032</v>
      </c>
    </row>
    <row r="981" spans="1:19" ht="15.75" customHeight="1" x14ac:dyDescent="0.25">
      <c r="A981" s="37">
        <v>80811</v>
      </c>
      <c r="B981" s="398">
        <f t="shared" ref="B981:C981" si="992">($A981-B$9)/365.25</f>
        <v>139.37029431895962</v>
      </c>
      <c r="C981" s="398">
        <f t="shared" si="992"/>
        <v>134.75975359342917</v>
      </c>
      <c r="E981" s="25">
        <f>IF(C981&gt;$B$7,0,'Combined Retirement'!$D$13/12)</f>
        <v>0</v>
      </c>
      <c r="F981" s="25">
        <f>IF(H981=0,'Combined Retirement'!$D$32,0)+'Combined Retirement'!$B$24</f>
        <v>2870.372285649099</v>
      </c>
      <c r="G981" s="25">
        <f>'Combined Retirement'!$C$24</f>
        <v>3254.2644699519233</v>
      </c>
      <c r="H981" s="25">
        <f>IF(B981&lt;62,0,'Combined Retirement'!$I$14)</f>
        <v>2345</v>
      </c>
      <c r="I981" s="25">
        <f>IF(C981&lt;62,0,'Combined Retirement'!$I$13)</f>
        <v>2420</v>
      </c>
      <c r="J981" s="25">
        <f t="shared" si="783"/>
        <v>8395.6297298201844</v>
      </c>
      <c r="K981" s="25">
        <f t="shared" si="784"/>
        <v>21655.303514578787</v>
      </c>
      <c r="L981" s="25"/>
      <c r="N981" s="25">
        <f>'Combined Retirement'!$C$18/12</f>
        <v>40940.569999999992</v>
      </c>
      <c r="O981" s="25">
        <f t="shared" si="785"/>
        <v>10889.636755601023</v>
      </c>
      <c r="P981" s="25">
        <f t="shared" si="786"/>
        <v>30050.93324439897</v>
      </c>
      <c r="Q981" s="25">
        <f t="array" aca="1" ref="Q981" ca="1">INDEX('Isaac 401k'!L:L,MATCH('Retirement Calculator'!A981,'Isaac 401k'!N:N,0),0)</f>
        <v>-25142368.304916132</v>
      </c>
      <c r="R981" s="25">
        <f t="array" aca="1" ref="R981" ca="1">INDEX('Lorri 401b'!L:L,MATCH('Retirement Calculator'!A981,'Lorri 401b'!N:N,0),0)</f>
        <v>-43091446.440083742</v>
      </c>
      <c r="S981" s="25">
        <f t="shared" ca="1" si="787"/>
        <v>-68233814.744999871</v>
      </c>
    </row>
    <row r="982" spans="1:19" ht="15.75" customHeight="1" x14ac:dyDescent="0.25">
      <c r="A982" s="37">
        <v>80841</v>
      </c>
      <c r="B982" s="398">
        <f t="shared" ref="B982:C982" si="993">($A982-B$9)/365.25</f>
        <v>139.45242984257359</v>
      </c>
      <c r="C982" s="398">
        <f t="shared" si="993"/>
        <v>134.84188911704311</v>
      </c>
      <c r="E982" s="25">
        <f>IF(C982&gt;$B$7,0,'Combined Retirement'!$D$13/12)</f>
        <v>0</v>
      </c>
      <c r="F982" s="25">
        <f>IF(H982=0,'Combined Retirement'!$D$32,0)+'Combined Retirement'!$B$24</f>
        <v>2870.372285649099</v>
      </c>
      <c r="G982" s="25">
        <f>'Combined Retirement'!$C$24</f>
        <v>3254.2644699519233</v>
      </c>
      <c r="H982" s="25">
        <f>IF(B982&lt;62,0,'Combined Retirement'!$I$14)</f>
        <v>2345</v>
      </c>
      <c r="I982" s="25">
        <f>IF(C982&lt;62,0,'Combined Retirement'!$I$13)</f>
        <v>2420</v>
      </c>
      <c r="J982" s="25">
        <f t="shared" si="783"/>
        <v>8395.6297298201844</v>
      </c>
      <c r="K982" s="25">
        <f t="shared" si="784"/>
        <v>21655.303514578787</v>
      </c>
      <c r="L982" s="25"/>
      <c r="N982" s="25">
        <f>'Combined Retirement'!$C$18/12</f>
        <v>40940.569999999992</v>
      </c>
      <c r="O982" s="25">
        <f t="shared" si="785"/>
        <v>10889.636755601023</v>
      </c>
      <c r="P982" s="25">
        <f t="shared" si="786"/>
        <v>30050.93324439897</v>
      </c>
      <c r="Q982" s="25">
        <f t="array" aca="1" ref="Q982" ca="1">INDEX('Isaac 401k'!L:L,MATCH('Retirement Calculator'!A982,'Isaac 401k'!N:N,0),0)</f>
        <v>-25255558.784373641</v>
      </c>
      <c r="R982" s="25">
        <f t="array" aca="1" ref="R982" ca="1">INDEX('Lorri 401b'!L:L,MATCH('Retirement Calculator'!A982,'Lorri 401b'!N:N,0),0)</f>
        <v>-43292739.667529978</v>
      </c>
      <c r="S982" s="25">
        <f t="shared" ca="1" si="787"/>
        <v>-68548298.451903611</v>
      </c>
    </row>
    <row r="983" spans="1:19" ht="15.75" customHeight="1" x14ac:dyDescent="0.25">
      <c r="A983" s="37">
        <v>80872</v>
      </c>
      <c r="B983" s="398">
        <f t="shared" ref="B983:C983" si="994">($A983-B$9)/365.25</f>
        <v>139.53730321697466</v>
      </c>
      <c r="C983" s="398">
        <f t="shared" si="994"/>
        <v>134.92676249144421</v>
      </c>
      <c r="E983" s="25">
        <f>IF(C983&gt;$B$7,0,'Combined Retirement'!$D$13/12)</f>
        <v>0</v>
      </c>
      <c r="F983" s="25">
        <f>IF(H983=0,'Combined Retirement'!$D$32,0)+'Combined Retirement'!$B$24</f>
        <v>2870.372285649099</v>
      </c>
      <c r="G983" s="25">
        <f>'Combined Retirement'!$C$24</f>
        <v>3254.2644699519233</v>
      </c>
      <c r="H983" s="25">
        <f>IF(B983&lt;62,0,'Combined Retirement'!$I$14)</f>
        <v>2345</v>
      </c>
      <c r="I983" s="25">
        <f>IF(C983&lt;62,0,'Combined Retirement'!$I$13)</f>
        <v>2420</v>
      </c>
      <c r="J983" s="25">
        <f t="shared" si="783"/>
        <v>8395.6297298201844</v>
      </c>
      <c r="K983" s="25">
        <f t="shared" si="784"/>
        <v>21655.303514578787</v>
      </c>
      <c r="L983" s="25"/>
      <c r="N983" s="25">
        <f>'Combined Retirement'!$C$18/12</f>
        <v>40940.569999999992</v>
      </c>
      <c r="O983" s="25">
        <f t="shared" si="785"/>
        <v>10889.636755601023</v>
      </c>
      <c r="P983" s="25">
        <f t="shared" si="786"/>
        <v>30050.93324439897</v>
      </c>
      <c r="Q983" s="25">
        <f t="array" aca="1" ref="Q983" ca="1">INDEX('Isaac 401k'!L:L,MATCH('Retirement Calculator'!A983,'Isaac 401k'!N:N,0),0)</f>
        <v>-25369220.890828889</v>
      </c>
      <c r="R983" s="25">
        <f t="array" aca="1" ref="R983" ca="1">INDEX('Lorri 401b'!L:L,MATCH('Retirement Calculator'!A983,'Lorri 401b'!N:N,0),0)</f>
        <v>-43494871.616757244</v>
      </c>
      <c r="S983" s="25">
        <f t="shared" ca="1" si="787"/>
        <v>-68864092.507586136</v>
      </c>
    </row>
    <row r="984" spans="1:19" ht="15.75" customHeight="1" x14ac:dyDescent="0.25">
      <c r="A984" s="37">
        <v>80902</v>
      </c>
      <c r="B984" s="398">
        <f t="shared" ref="B984:C984" si="995">($A984-B$9)/365.25</f>
        <v>139.61943874058863</v>
      </c>
      <c r="C984" s="398">
        <f t="shared" si="995"/>
        <v>135.00889801505818</v>
      </c>
      <c r="E984" s="25">
        <f>IF(C984&gt;$B$7,0,'Combined Retirement'!$D$13/12)</f>
        <v>0</v>
      </c>
      <c r="F984" s="25">
        <f>IF(H984=0,'Combined Retirement'!$D$32,0)+'Combined Retirement'!$B$24</f>
        <v>2870.372285649099</v>
      </c>
      <c r="G984" s="25">
        <f>'Combined Retirement'!$C$24</f>
        <v>3254.2644699519233</v>
      </c>
      <c r="H984" s="25">
        <f>IF(B984&lt;62,0,'Combined Retirement'!$I$14)</f>
        <v>2345</v>
      </c>
      <c r="I984" s="25">
        <f>IF(C984&lt;62,0,'Combined Retirement'!$I$13)</f>
        <v>2420</v>
      </c>
      <c r="J984" s="25">
        <f t="shared" si="783"/>
        <v>8395.6297298201844</v>
      </c>
      <c r="K984" s="25">
        <f t="shared" si="784"/>
        <v>21655.303514578787</v>
      </c>
      <c r="L984" s="25"/>
      <c r="N984" s="25">
        <f>'Combined Retirement'!$C$18/12</f>
        <v>40940.569999999992</v>
      </c>
      <c r="O984" s="25">
        <f t="shared" si="785"/>
        <v>10889.636755601023</v>
      </c>
      <c r="P984" s="25">
        <f t="shared" si="786"/>
        <v>30050.93324439897</v>
      </c>
      <c r="Q984" s="25">
        <f t="array" aca="1" ref="Q984" ca="1">INDEX('Isaac 401k'!L:L,MATCH('Retirement Calculator'!A984,'Isaac 401k'!N:N,0),0)</f>
        <v>-25483356.589394368</v>
      </c>
      <c r="R984" s="25">
        <f t="array" aca="1" ref="R984" ca="1">INDEX('Lorri 401b'!L:L,MATCH('Retirement Calculator'!A984,'Lorri 401b'!N:N,0),0)</f>
        <v>-43697845.782439619</v>
      </c>
      <c r="S984" s="25">
        <f t="shared" ca="1" si="787"/>
        <v>-69181202.37183398</v>
      </c>
    </row>
    <row r="985" spans="1:19" ht="15.75" customHeight="1" x14ac:dyDescent="0.25">
      <c r="A985" s="37">
        <v>80933</v>
      </c>
      <c r="B985" s="398">
        <f t="shared" ref="B985:C985" si="996">($A985-B$9)/365.25</f>
        <v>139.70431211498973</v>
      </c>
      <c r="C985" s="398">
        <f t="shared" si="996"/>
        <v>135.09377138945928</v>
      </c>
      <c r="E985" s="25">
        <f>IF(C985&gt;$B$7,0,'Combined Retirement'!$D$13/12)</f>
        <v>0</v>
      </c>
      <c r="F985" s="25">
        <f>IF(H985=0,'Combined Retirement'!$D$32,0)+'Combined Retirement'!$B$24</f>
        <v>2870.372285649099</v>
      </c>
      <c r="G985" s="25">
        <f>'Combined Retirement'!$C$24</f>
        <v>3254.2644699519233</v>
      </c>
      <c r="H985" s="25">
        <f>IF(B985&lt;62,0,'Combined Retirement'!$I$14)</f>
        <v>2345</v>
      </c>
      <c r="I985" s="25">
        <f>IF(C985&lt;62,0,'Combined Retirement'!$I$13)</f>
        <v>2420</v>
      </c>
      <c r="J985" s="25">
        <f t="shared" si="783"/>
        <v>8395.6297298201844</v>
      </c>
      <c r="K985" s="25">
        <f t="shared" si="784"/>
        <v>21655.303514578787</v>
      </c>
      <c r="L985" s="25"/>
      <c r="N985" s="25">
        <f>'Combined Retirement'!$C$18/12</f>
        <v>40940.569999999992</v>
      </c>
      <c r="O985" s="25">
        <f t="shared" si="785"/>
        <v>10889.636755601023</v>
      </c>
      <c r="P985" s="25">
        <f t="shared" si="786"/>
        <v>30050.93324439897</v>
      </c>
      <c r="Q985" s="25">
        <f t="array" aca="1" ref="Q985" ca="1">INDEX('Isaac 401k'!L:L,MATCH('Retirement Calculator'!A985,'Isaac 401k'!N:N,0),0)</f>
        <v>-25597967.853370536</v>
      </c>
      <c r="R985" s="25">
        <f t="array" aca="1" ref="R985" ca="1">INDEX('Lorri 401b'!L:L,MATCH('Retirement Calculator'!A985,'Lorri 401b'!N:N,0),0)</f>
        <v>-43901665.673812337</v>
      </c>
      <c r="S985" s="25">
        <f t="shared" ca="1" si="787"/>
        <v>-69499633.527182877</v>
      </c>
    </row>
    <row r="986" spans="1:19" ht="15.75" customHeight="1" x14ac:dyDescent="0.25">
      <c r="A986" s="37">
        <v>80964</v>
      </c>
      <c r="B986" s="398">
        <f t="shared" ref="B986:C986" si="997">($A986-B$9)/365.25</f>
        <v>139.78918548939083</v>
      </c>
      <c r="C986" s="398">
        <f t="shared" si="997"/>
        <v>135.17864476386038</v>
      </c>
      <c r="E986" s="25">
        <f>IF(C986&gt;$B$7,0,'Combined Retirement'!$D$13/12)</f>
        <v>0</v>
      </c>
      <c r="F986" s="25">
        <f>IF(H986=0,'Combined Retirement'!$D$32,0)+'Combined Retirement'!$B$24</f>
        <v>2870.372285649099</v>
      </c>
      <c r="G986" s="25">
        <f>'Combined Retirement'!$C$24</f>
        <v>3254.2644699519233</v>
      </c>
      <c r="H986" s="25">
        <f>IF(B986&lt;62,0,'Combined Retirement'!$I$14)</f>
        <v>2345</v>
      </c>
      <c r="I986" s="25">
        <f>IF(C986&lt;62,0,'Combined Retirement'!$I$13)</f>
        <v>2420</v>
      </c>
      <c r="J986" s="25">
        <f t="shared" si="783"/>
        <v>8395.6297298201844</v>
      </c>
      <c r="K986" s="25">
        <f t="shared" si="784"/>
        <v>21655.303514578787</v>
      </c>
      <c r="L986" s="25"/>
      <c r="N986" s="25">
        <f>'Combined Retirement'!$C$18/12</f>
        <v>40940.569999999992</v>
      </c>
      <c r="O986" s="25">
        <f t="shared" si="785"/>
        <v>10889.636755601023</v>
      </c>
      <c r="P986" s="25">
        <f t="shared" si="786"/>
        <v>30050.93324439897</v>
      </c>
      <c r="Q986" s="25">
        <f t="array" aca="1" ref="Q986" ca="1">INDEX('Isaac 401k'!L:L,MATCH('Retirement Calculator'!A986,'Isaac 401k'!N:N,0),0)</f>
        <v>-25713056.664279938</v>
      </c>
      <c r="R986" s="25">
        <f t="array" aca="1" ref="R986" ca="1">INDEX('Lorri 401b'!L:L,MATCH('Retirement Calculator'!A986,'Lorri 401b'!N:N,0),0)</f>
        <v>-44106334.81473244</v>
      </c>
      <c r="S986" s="25">
        <f t="shared" ca="1" si="787"/>
        <v>-69819391.47901237</v>
      </c>
    </row>
    <row r="987" spans="1:19" ht="15.75" customHeight="1" x14ac:dyDescent="0.25">
      <c r="A987" s="37">
        <v>80994</v>
      </c>
      <c r="B987" s="398">
        <f t="shared" ref="B987:C987" si="998">($A987-B$9)/365.25</f>
        <v>139.8713210130048</v>
      </c>
      <c r="C987" s="398">
        <f t="shared" si="998"/>
        <v>135.26078028747432</v>
      </c>
      <c r="E987" s="25">
        <f>IF(C987&gt;$B$7,0,'Combined Retirement'!$D$13/12)</f>
        <v>0</v>
      </c>
      <c r="F987" s="25">
        <f>IF(H987=0,'Combined Retirement'!$D$32,0)+'Combined Retirement'!$B$24</f>
        <v>2870.372285649099</v>
      </c>
      <c r="G987" s="25">
        <f>'Combined Retirement'!$C$24</f>
        <v>3254.2644699519233</v>
      </c>
      <c r="H987" s="25">
        <f>IF(B987&lt;62,0,'Combined Retirement'!$I$14)</f>
        <v>2345</v>
      </c>
      <c r="I987" s="25">
        <f>IF(C987&lt;62,0,'Combined Retirement'!$I$13)</f>
        <v>2420</v>
      </c>
      <c r="J987" s="25">
        <f t="shared" si="783"/>
        <v>8395.6297298201844</v>
      </c>
      <c r="K987" s="25">
        <f t="shared" si="784"/>
        <v>21655.303514578787</v>
      </c>
      <c r="L987" s="25"/>
      <c r="N987" s="25">
        <f>'Combined Retirement'!$C$18/12</f>
        <v>40940.569999999992</v>
      </c>
      <c r="O987" s="25">
        <f t="shared" si="785"/>
        <v>10889.636755601023</v>
      </c>
      <c r="P987" s="25">
        <f t="shared" si="786"/>
        <v>30050.93324439897</v>
      </c>
      <c r="Q987" s="25">
        <f t="array" aca="1" ref="Q987" ca="1">INDEX('Isaac 401k'!L:L,MATCH('Retirement Calculator'!A987,'Isaac 401k'!N:N,0),0)</f>
        <v>-25828625.011901464</v>
      </c>
      <c r="R987" s="25">
        <f t="array" aca="1" ref="R987" ca="1">INDEX('Lorri 401b'!L:L,MATCH('Retirement Calculator'!A987,'Lorri 401b'!N:N,0),0)</f>
        <v>-44311856.743739717</v>
      </c>
      <c r="S987" s="25">
        <f t="shared" ca="1" si="787"/>
        <v>-70140481.755641177</v>
      </c>
    </row>
    <row r="988" spans="1:19" ht="15.75" customHeight="1" x14ac:dyDescent="0.25">
      <c r="A988" s="37">
        <v>81025</v>
      </c>
      <c r="B988" s="398">
        <f t="shared" ref="B988:C988" si="999">($A988-B$9)/365.25</f>
        <v>139.95619438740587</v>
      </c>
      <c r="C988" s="398">
        <f t="shared" si="999"/>
        <v>135.34565366187542</v>
      </c>
      <c r="E988" s="25">
        <f>IF(C988&gt;$B$7,0,'Combined Retirement'!$D$13/12)</f>
        <v>0</v>
      </c>
      <c r="F988" s="25">
        <f>IF(H988=0,'Combined Retirement'!$D$32,0)+'Combined Retirement'!$B$24</f>
        <v>2870.372285649099</v>
      </c>
      <c r="G988" s="25">
        <f>'Combined Retirement'!$C$24</f>
        <v>3254.2644699519233</v>
      </c>
      <c r="H988" s="25">
        <f>IF(B988&lt;62,0,'Combined Retirement'!$I$14)</f>
        <v>2345</v>
      </c>
      <c r="I988" s="25">
        <f>IF(C988&lt;62,0,'Combined Retirement'!$I$13)</f>
        <v>2420</v>
      </c>
      <c r="J988" s="25">
        <f t="shared" si="783"/>
        <v>8395.6297298201844</v>
      </c>
      <c r="K988" s="25">
        <f t="shared" si="784"/>
        <v>21655.303514578787</v>
      </c>
      <c r="L988" s="25"/>
      <c r="N988" s="25">
        <f>'Combined Retirement'!$C$18/12</f>
        <v>40940.569999999992</v>
      </c>
      <c r="O988" s="25">
        <f t="shared" si="785"/>
        <v>10889.636755601023</v>
      </c>
      <c r="P988" s="25">
        <f t="shared" si="786"/>
        <v>30050.93324439897</v>
      </c>
      <c r="Q988" s="25">
        <f t="array" aca="1" ref="Q988" ca="1">INDEX('Isaac 401k'!L:L,MATCH('Retirement Calculator'!A988,'Isaac 401k'!N:N,0),0)</f>
        <v>-25944674.894304745</v>
      </c>
      <c r="R988" s="25">
        <f t="array" aca="1" ref="R988" ca="1">INDEX('Lorri 401b'!L:L,MATCH('Retirement Calculator'!A988,'Lorri 401b'!N:N,0),0)</f>
        <v>-44518235.014117852</v>
      </c>
      <c r="S988" s="25">
        <f t="shared" ca="1" si="787"/>
        <v>-70462909.908422589</v>
      </c>
    </row>
    <row r="989" spans="1:19" ht="15.75" customHeight="1" x14ac:dyDescent="0.25">
      <c r="A989" s="37">
        <v>81055</v>
      </c>
      <c r="B989" s="398">
        <f t="shared" ref="B989:C989" si="1000">($A989-B$9)/365.25</f>
        <v>140.03832991101984</v>
      </c>
      <c r="C989" s="398">
        <f t="shared" si="1000"/>
        <v>135.42778918548939</v>
      </c>
      <c r="E989" s="25">
        <f>IF(C989&gt;$B$7,0,'Combined Retirement'!$D$13/12)</f>
        <v>0</v>
      </c>
      <c r="F989" s="25">
        <f>IF(H989=0,'Combined Retirement'!$D$32,0)+'Combined Retirement'!$B$24</f>
        <v>2870.372285649099</v>
      </c>
      <c r="G989" s="25">
        <f>'Combined Retirement'!$C$24</f>
        <v>3254.2644699519233</v>
      </c>
      <c r="H989" s="25">
        <f>IF(B989&lt;62,0,'Combined Retirement'!$I$14)</f>
        <v>2345</v>
      </c>
      <c r="I989" s="25">
        <f>IF(C989&lt;62,0,'Combined Retirement'!$I$13)</f>
        <v>2420</v>
      </c>
      <c r="J989" s="25">
        <f t="shared" si="783"/>
        <v>8395.6297298201844</v>
      </c>
      <c r="K989" s="25">
        <f t="shared" si="784"/>
        <v>21655.303514578787</v>
      </c>
      <c r="L989" s="25"/>
      <c r="N989" s="25">
        <f>'Combined Retirement'!$C$18/12</f>
        <v>40940.569999999992</v>
      </c>
      <c r="O989" s="25">
        <f t="shared" si="785"/>
        <v>10889.636755601023</v>
      </c>
      <c r="P989" s="25">
        <f t="shared" si="786"/>
        <v>30050.93324439897</v>
      </c>
      <c r="Q989" s="25">
        <f t="array" aca="1" ref="Q989" ca="1">INDEX('Isaac 401k'!L:L,MATCH('Retirement Calculator'!A989,'Isaac 401k'!N:N,0),0)</f>
        <v>-26061208.317884706</v>
      </c>
      <c r="R989" s="25">
        <f t="array" aca="1" ref="R989" ca="1">INDEX('Lorri 401b'!L:L,MATCH('Retirement Calculator'!A989,'Lorri 401b'!N:N,0),0)</f>
        <v>-44725473.193955898</v>
      </c>
      <c r="S989" s="25">
        <f t="shared" ca="1" si="787"/>
        <v>-70786681.511840612</v>
      </c>
    </row>
    <row r="990" spans="1:19" ht="15.75" customHeight="1" x14ac:dyDescent="0.25">
      <c r="A990" s="37">
        <v>81086</v>
      </c>
      <c r="B990" s="398">
        <f t="shared" ref="B990:C990" si="1001">($A990-B$9)/365.25</f>
        <v>140.12320328542094</v>
      </c>
      <c r="C990" s="398">
        <f t="shared" si="1001"/>
        <v>135.51266255989049</v>
      </c>
      <c r="E990" s="25">
        <f>IF(C990&gt;$B$7,0,'Combined Retirement'!$D$13/12)</f>
        <v>0</v>
      </c>
      <c r="F990" s="25">
        <f>IF(H990=0,'Combined Retirement'!$D$32,0)+'Combined Retirement'!$B$24</f>
        <v>2870.372285649099</v>
      </c>
      <c r="G990" s="25">
        <f>'Combined Retirement'!$C$24</f>
        <v>3254.2644699519233</v>
      </c>
      <c r="H990" s="25">
        <f>IF(B990&lt;62,0,'Combined Retirement'!$I$14)</f>
        <v>2345</v>
      </c>
      <c r="I990" s="25">
        <f>IF(C990&lt;62,0,'Combined Retirement'!$I$13)</f>
        <v>2420</v>
      </c>
      <c r="J990" s="25">
        <f t="shared" si="783"/>
        <v>8395.6297298201844</v>
      </c>
      <c r="K990" s="25">
        <f t="shared" si="784"/>
        <v>21655.303514578787</v>
      </c>
      <c r="L990" s="25"/>
      <c r="N990" s="25">
        <f>'Combined Retirement'!$C$18/12</f>
        <v>40940.569999999992</v>
      </c>
      <c r="O990" s="25">
        <f t="shared" si="785"/>
        <v>10889.636755601023</v>
      </c>
      <c r="P990" s="25">
        <f t="shared" si="786"/>
        <v>30050.93324439897</v>
      </c>
      <c r="Q990" s="25">
        <f t="array" aca="1" ref="Q990" ca="1">INDEX('Isaac 401k'!L:L,MATCH('Retirement Calculator'!A990,'Isaac 401k'!N:N,0),0)</f>
        <v>-26178227.29739625</v>
      </c>
      <c r="R990" s="25">
        <f t="array" aca="1" ref="R990" ca="1">INDEX('Lorri 401b'!L:L,MATCH('Retirement Calculator'!A990,'Lorri 401b'!N:N,0),0)</f>
        <v>-44933574.866209939</v>
      </c>
      <c r="S990" s="25">
        <f t="shared" ca="1" si="787"/>
        <v>-71111802.163606197</v>
      </c>
    </row>
    <row r="991" spans="1:19" ht="15.75" customHeight="1" x14ac:dyDescent="0.25">
      <c r="A991" s="37">
        <v>81117</v>
      </c>
      <c r="B991" s="398">
        <f t="shared" ref="B991:C991" si="1002">($A991-B$9)/365.25</f>
        <v>140.20807665982204</v>
      </c>
      <c r="C991" s="398">
        <f t="shared" si="1002"/>
        <v>135.59753593429159</v>
      </c>
      <c r="E991" s="25">
        <f>IF(C991&gt;$B$7,0,'Combined Retirement'!$D$13/12)</f>
        <v>0</v>
      </c>
      <c r="F991" s="25">
        <f>IF(H991=0,'Combined Retirement'!$D$32,0)+'Combined Retirement'!$B$24</f>
        <v>2870.372285649099</v>
      </c>
      <c r="G991" s="25">
        <f>'Combined Retirement'!$C$24</f>
        <v>3254.2644699519233</v>
      </c>
      <c r="H991" s="25">
        <f>IF(B991&lt;62,0,'Combined Retirement'!$I$14)</f>
        <v>2345</v>
      </c>
      <c r="I991" s="25">
        <f>IF(C991&lt;62,0,'Combined Retirement'!$I$13)</f>
        <v>2420</v>
      </c>
      <c r="J991" s="25">
        <f t="shared" si="783"/>
        <v>8395.6297298201844</v>
      </c>
      <c r="K991" s="25">
        <f t="shared" si="784"/>
        <v>21655.303514578787</v>
      </c>
      <c r="L991" s="25"/>
      <c r="N991" s="25">
        <f>'Combined Retirement'!$C$18/12</f>
        <v>40940.569999999992</v>
      </c>
      <c r="O991" s="25">
        <f t="shared" si="785"/>
        <v>10889.636755601023</v>
      </c>
      <c r="P991" s="25">
        <f t="shared" si="786"/>
        <v>30050.93324439897</v>
      </c>
      <c r="Q991" s="25">
        <f t="array" aca="1" ref="Q991" ca="1">INDEX('Isaac 401k'!L:L,MATCH('Retirement Calculator'!A991,'Isaac 401k'!N:N,0),0)</f>
        <v>-26295733.855989095</v>
      </c>
      <c r="R991" s="25">
        <f t="array" aca="1" ref="R991" ca="1">INDEX('Lorri 401b'!L:L,MATCH('Retirement Calculator'!A991,'Lorri 401b'!N:N,0),0)</f>
        <v>-45142543.628765032</v>
      </c>
      <c r="S991" s="25">
        <f t="shared" ca="1" si="787"/>
        <v>-71438277.48475413</v>
      </c>
    </row>
    <row r="992" spans="1:19" ht="15.75" customHeight="1" x14ac:dyDescent="0.25">
      <c r="A992" s="37">
        <v>81145</v>
      </c>
      <c r="B992" s="398">
        <f t="shared" ref="B992:C992" si="1003">($A992-B$9)/365.25</f>
        <v>140.28473648186173</v>
      </c>
      <c r="C992" s="398">
        <f t="shared" si="1003"/>
        <v>135.67419575633127</v>
      </c>
      <c r="E992" s="25">
        <f>IF(C992&gt;$B$7,0,'Combined Retirement'!$D$13/12)</f>
        <v>0</v>
      </c>
      <c r="F992" s="25">
        <f>IF(H992=0,'Combined Retirement'!$D$32,0)+'Combined Retirement'!$B$24</f>
        <v>2870.372285649099</v>
      </c>
      <c r="G992" s="25">
        <f>'Combined Retirement'!$C$24</f>
        <v>3254.2644699519233</v>
      </c>
      <c r="H992" s="25">
        <f>IF(B992&lt;62,0,'Combined Retirement'!$I$14)</f>
        <v>2345</v>
      </c>
      <c r="I992" s="25">
        <f>IF(C992&lt;62,0,'Combined Retirement'!$I$13)</f>
        <v>2420</v>
      </c>
      <c r="J992" s="25">
        <f t="shared" si="783"/>
        <v>8395.6297298201844</v>
      </c>
      <c r="K992" s="25">
        <f t="shared" si="784"/>
        <v>21655.303514578787</v>
      </c>
      <c r="L992" s="25"/>
      <c r="N992" s="25">
        <f>'Combined Retirement'!$C$18/12</f>
        <v>40940.569999999992</v>
      </c>
      <c r="O992" s="25">
        <f t="shared" si="785"/>
        <v>10889.636755601023</v>
      </c>
      <c r="P992" s="25">
        <f t="shared" si="786"/>
        <v>30050.93324439897</v>
      </c>
      <c r="Q992" s="25">
        <f t="array" aca="1" ref="Q992" ca="1">INDEX('Isaac 401k'!L:L,MATCH('Retirement Calculator'!A992,'Isaac 401k'!N:N,0),0)</f>
        <v>-26413730.025242742</v>
      </c>
      <c r="R992" s="25">
        <f t="array" aca="1" ref="R992" ca="1">INDEX('Lorri 401b'!L:L,MATCH('Retirement Calculator'!A992,'Lorri 401b'!N:N,0),0)</f>
        <v>-45352383.094497442</v>
      </c>
      <c r="S992" s="25">
        <f t="shared" ca="1" si="787"/>
        <v>-71766113.119740188</v>
      </c>
    </row>
    <row r="993" spans="1:19" ht="15.75" customHeight="1" x14ac:dyDescent="0.25">
      <c r="A993" s="37">
        <v>81176</v>
      </c>
      <c r="B993" s="398">
        <f t="shared" ref="B993:C993" si="1004">($A993-B$9)/365.25</f>
        <v>140.36960985626283</v>
      </c>
      <c r="C993" s="398">
        <f t="shared" si="1004"/>
        <v>135.75906913073237</v>
      </c>
      <c r="E993" s="25">
        <f>IF(C993&gt;$B$7,0,'Combined Retirement'!$D$13/12)</f>
        <v>0</v>
      </c>
      <c r="F993" s="25">
        <f>IF(H993=0,'Combined Retirement'!$D$32,0)+'Combined Retirement'!$B$24</f>
        <v>2870.372285649099</v>
      </c>
      <c r="G993" s="25">
        <f>'Combined Retirement'!$C$24</f>
        <v>3254.2644699519233</v>
      </c>
      <c r="H993" s="25">
        <f>IF(B993&lt;62,0,'Combined Retirement'!$I$14)</f>
        <v>2345</v>
      </c>
      <c r="I993" s="25">
        <f>IF(C993&lt;62,0,'Combined Retirement'!$I$13)</f>
        <v>2420</v>
      </c>
      <c r="J993" s="25">
        <f t="shared" si="783"/>
        <v>8395.6297298201844</v>
      </c>
      <c r="K993" s="25">
        <f t="shared" si="784"/>
        <v>21655.303514578787</v>
      </c>
      <c r="L993" s="25"/>
      <c r="N993" s="25">
        <f>'Combined Retirement'!$C$18/12</f>
        <v>40940.569999999992</v>
      </c>
      <c r="O993" s="25">
        <f t="shared" si="785"/>
        <v>10889.636755601023</v>
      </c>
      <c r="P993" s="25">
        <f t="shared" si="786"/>
        <v>30050.93324439897</v>
      </c>
      <c r="Q993" s="25">
        <f t="array" aca="1" ref="Q993" ca="1">INDEX('Isaac 401k'!L:L,MATCH('Retirement Calculator'!A993,'Isaac 401k'!N:N,0),0)</f>
        <v>-26532217.845201612</v>
      </c>
      <c r="R993" s="25">
        <f t="array" aca="1" ref="R993" ca="1">INDEX('Lorri 401b'!L:L,MATCH('Retirement Calculator'!A993,'Lorri 401b'!N:N,0),0)</f>
        <v>-45563096.891337067</v>
      </c>
      <c r="S993" s="25">
        <f t="shared" ca="1" si="787"/>
        <v>-72095314.736538678</v>
      </c>
    </row>
    <row r="994" spans="1:19" ht="15.75" customHeight="1" x14ac:dyDescent="0.25">
      <c r="A994" s="37">
        <v>81206</v>
      </c>
      <c r="B994" s="398">
        <f t="shared" ref="B994:C994" si="1005">($A994-B$9)/365.25</f>
        <v>140.4517453798768</v>
      </c>
      <c r="C994" s="398">
        <f t="shared" si="1005"/>
        <v>135.84120465434634</v>
      </c>
      <c r="E994" s="25">
        <f>IF(C994&gt;$B$7,0,'Combined Retirement'!$D$13/12)</f>
        <v>0</v>
      </c>
      <c r="F994" s="25">
        <f>IF(H994=0,'Combined Retirement'!$D$32,0)+'Combined Retirement'!$B$24</f>
        <v>2870.372285649099</v>
      </c>
      <c r="G994" s="25">
        <f>'Combined Retirement'!$C$24</f>
        <v>3254.2644699519233</v>
      </c>
      <c r="H994" s="25">
        <f>IF(B994&lt;62,0,'Combined Retirement'!$I$14)</f>
        <v>2345</v>
      </c>
      <c r="I994" s="25">
        <f>IF(C994&lt;62,0,'Combined Retirement'!$I$13)</f>
        <v>2420</v>
      </c>
      <c r="J994" s="25">
        <f t="shared" si="783"/>
        <v>8395.6297298201844</v>
      </c>
      <c r="K994" s="25">
        <f t="shared" si="784"/>
        <v>21655.303514578787</v>
      </c>
      <c r="L994" s="25"/>
      <c r="N994" s="25">
        <f>'Combined Retirement'!$C$18/12</f>
        <v>40940.569999999992</v>
      </c>
      <c r="O994" s="25">
        <f t="shared" si="785"/>
        <v>10889.636755601023</v>
      </c>
      <c r="P994" s="25">
        <f t="shared" si="786"/>
        <v>30050.93324439897</v>
      </c>
      <c r="Q994" s="25">
        <f t="array" aca="1" ref="Q994" ca="1">INDEX('Isaac 401k'!L:L,MATCH('Retirement Calculator'!A994,'Isaac 401k'!N:N,0),0)</f>
        <v>-26651199.364410311</v>
      </c>
      <c r="R994" s="25">
        <f t="array" aca="1" ref="R994" ca="1">INDEX('Lorri 401b'!L:L,MATCH('Retirement Calculator'!A994,'Lorri 401b'!N:N,0),0)</f>
        <v>-45774688.662330195</v>
      </c>
      <c r="S994" s="25">
        <f t="shared" ca="1" si="787"/>
        <v>-72425888.026740506</v>
      </c>
    </row>
    <row r="995" spans="1:19" ht="15.75" customHeight="1" x14ac:dyDescent="0.25">
      <c r="A995" s="37">
        <v>81237</v>
      </c>
      <c r="B995" s="398">
        <f t="shared" ref="B995:C995" si="1006">($A995-B$9)/365.25</f>
        <v>140.5366187542779</v>
      </c>
      <c r="C995" s="398">
        <f t="shared" si="1006"/>
        <v>135.92607802874744</v>
      </c>
      <c r="E995" s="25">
        <f>IF(C995&gt;$B$7,0,'Combined Retirement'!$D$13/12)</f>
        <v>0</v>
      </c>
      <c r="F995" s="25">
        <f>IF(H995=0,'Combined Retirement'!$D$32,0)+'Combined Retirement'!$B$24</f>
        <v>2870.372285649099</v>
      </c>
      <c r="G995" s="25">
        <f>'Combined Retirement'!$C$24</f>
        <v>3254.2644699519233</v>
      </c>
      <c r="H995" s="25">
        <f>IF(B995&lt;62,0,'Combined Retirement'!$I$14)</f>
        <v>2345</v>
      </c>
      <c r="I995" s="25">
        <f>IF(C995&lt;62,0,'Combined Retirement'!$I$13)</f>
        <v>2420</v>
      </c>
      <c r="J995" s="25">
        <f t="shared" si="783"/>
        <v>8395.6297298201844</v>
      </c>
      <c r="K995" s="25">
        <f t="shared" si="784"/>
        <v>21655.303514578787</v>
      </c>
      <c r="L995" s="25"/>
      <c r="N995" s="25">
        <f>'Combined Retirement'!$C$18/12</f>
        <v>40940.569999999992</v>
      </c>
      <c r="O995" s="25">
        <f t="shared" si="785"/>
        <v>10889.636755601023</v>
      </c>
      <c r="P995" s="25">
        <f t="shared" si="786"/>
        <v>30050.93324439897</v>
      </c>
      <c r="Q995" s="25">
        <f t="array" aca="1" ref="Q995" ca="1">INDEX('Isaac 401k'!L:L,MATCH('Retirement Calculator'!A995,'Isaac 401k'!N:N,0),0)</f>
        <v>-26770676.639949046</v>
      </c>
      <c r="R995" s="25">
        <f t="array" aca="1" ref="R995" ca="1">INDEX('Lorri 401b'!L:L,MATCH('Retirement Calculator'!A995,'Lorri 401b'!N:N,0),0)</f>
        <v>-45987162.065702461</v>
      </c>
      <c r="S995" s="25">
        <f t="shared" ca="1" si="787"/>
        <v>-72757838.705651507</v>
      </c>
    </row>
    <row r="996" spans="1:19" ht="15.75" customHeight="1" x14ac:dyDescent="0.25">
      <c r="A996" s="37">
        <v>81267</v>
      </c>
      <c r="B996" s="398">
        <f t="shared" ref="B996:C996" si="1007">($A996-B$9)/365.25</f>
        <v>140.61875427789187</v>
      </c>
      <c r="C996" s="398">
        <f t="shared" si="1007"/>
        <v>136.00821355236138</v>
      </c>
      <c r="E996" s="25">
        <f>IF(C996&gt;$B$7,0,'Combined Retirement'!$D$13/12)</f>
        <v>0</v>
      </c>
      <c r="F996" s="25">
        <f>IF(H996=0,'Combined Retirement'!$D$32,0)+'Combined Retirement'!$B$24</f>
        <v>2870.372285649099</v>
      </c>
      <c r="G996" s="25">
        <f>'Combined Retirement'!$C$24</f>
        <v>3254.2644699519233</v>
      </c>
      <c r="H996" s="25">
        <f>IF(B996&lt;62,0,'Combined Retirement'!$I$14)</f>
        <v>2345</v>
      </c>
      <c r="I996" s="25">
        <f>IF(C996&lt;62,0,'Combined Retirement'!$I$13)</f>
        <v>2420</v>
      </c>
      <c r="J996" s="25">
        <f t="shared" si="783"/>
        <v>8395.6297298201844</v>
      </c>
      <c r="K996" s="25">
        <f t="shared" si="784"/>
        <v>21655.303514578787</v>
      </c>
      <c r="L996" s="25"/>
      <c r="N996" s="25">
        <f>'Combined Retirement'!$C$18/12</f>
        <v>40940.569999999992</v>
      </c>
      <c r="O996" s="25">
        <f t="shared" si="785"/>
        <v>10889.636755601023</v>
      </c>
      <c r="P996" s="25">
        <f t="shared" si="786"/>
        <v>30050.93324439897</v>
      </c>
      <c r="Q996" s="25">
        <f t="array" aca="1" ref="Q996" ca="1">INDEX('Isaac 401k'!L:L,MATCH('Retirement Calculator'!A996,'Isaac 401k'!N:N,0),0)</f>
        <v>-26890651.737469193</v>
      </c>
      <c r="R996" s="25">
        <f t="array" aca="1" ref="R996" ca="1">INDEX('Lorri 401b'!L:L,MATCH('Retirement Calculator'!A996,'Lorri 401b'!N:N,0),0)</f>
        <v>-46200520.77492211</v>
      </c>
      <c r="S996" s="25">
        <f t="shared" ca="1" si="787"/>
        <v>-73091172.512391299</v>
      </c>
    </row>
    <row r="997" spans="1:19" ht="15.75" customHeight="1" x14ac:dyDescent="0.25">
      <c r="A997" s="37">
        <v>81298</v>
      </c>
      <c r="B997" s="398">
        <f t="shared" ref="B997:C997" si="1008">($A997-B$9)/365.25</f>
        <v>140.70362765229294</v>
      </c>
      <c r="C997" s="398">
        <f t="shared" si="1008"/>
        <v>136.09308692676248</v>
      </c>
      <c r="E997" s="25">
        <f>IF(C997&gt;$B$7,0,'Combined Retirement'!$D$13/12)</f>
        <v>0</v>
      </c>
      <c r="F997" s="25">
        <f>IF(H997=0,'Combined Retirement'!$D$32,0)+'Combined Retirement'!$B$24</f>
        <v>2870.372285649099</v>
      </c>
      <c r="G997" s="25">
        <f>'Combined Retirement'!$C$24</f>
        <v>3254.2644699519233</v>
      </c>
      <c r="H997" s="25">
        <f>IF(B997&lt;62,0,'Combined Retirement'!$I$14)</f>
        <v>2345</v>
      </c>
      <c r="I997" s="25">
        <f>IF(C997&lt;62,0,'Combined Retirement'!$I$13)</f>
        <v>2420</v>
      </c>
      <c r="J997" s="25">
        <f t="shared" si="783"/>
        <v>8395.6297298201844</v>
      </c>
      <c r="K997" s="25">
        <f t="shared" si="784"/>
        <v>21655.303514578787</v>
      </c>
      <c r="L997" s="25"/>
      <c r="N997" s="25">
        <f>'Combined Retirement'!$C$18/12</f>
        <v>40940.569999999992</v>
      </c>
      <c r="O997" s="25">
        <f t="shared" si="785"/>
        <v>10889.636755601023</v>
      </c>
      <c r="P997" s="25">
        <f t="shared" si="786"/>
        <v>30050.93324439897</v>
      </c>
      <c r="Q997" s="25">
        <f t="array" aca="1" ref="Q997" ca="1">INDEX('Isaac 401k'!L:L,MATCH('Retirement Calculator'!A997,'Isaac 401k'!N:N,0),0)</f>
        <v>-27011126.731229007</v>
      </c>
      <c r="R997" s="25">
        <f t="array" aca="1" ref="R997" ca="1">INDEX('Lorri 401b'!L:L,MATCH('Retirement Calculator'!A997,'Lorri 401b'!N:N,0),0)</f>
        <v>-46414768.478763506</v>
      </c>
      <c r="S997" s="25">
        <f t="shared" ca="1" si="787"/>
        <v>-73425895.209992513</v>
      </c>
    </row>
    <row r="998" spans="1:19" ht="15.75" customHeight="1" x14ac:dyDescent="0.25">
      <c r="A998" s="37">
        <v>81329</v>
      </c>
      <c r="B998" s="398">
        <f t="shared" ref="B998:C998" si="1009">($A998-B$9)/365.25</f>
        <v>140.78850102669404</v>
      </c>
      <c r="C998" s="398">
        <f t="shared" si="1009"/>
        <v>136.17796030116358</v>
      </c>
      <c r="E998" s="25">
        <f>IF(C998&gt;$B$7,0,'Combined Retirement'!$D$13/12)</f>
        <v>0</v>
      </c>
      <c r="F998" s="25">
        <f>IF(H998=0,'Combined Retirement'!$D$32,0)+'Combined Retirement'!$B$24</f>
        <v>2870.372285649099</v>
      </c>
      <c r="G998" s="25">
        <f>'Combined Retirement'!$C$24</f>
        <v>3254.2644699519233</v>
      </c>
      <c r="H998" s="25">
        <f>IF(B998&lt;62,0,'Combined Retirement'!$I$14)</f>
        <v>2345</v>
      </c>
      <c r="I998" s="25">
        <f>IF(C998&lt;62,0,'Combined Retirement'!$I$13)</f>
        <v>2420</v>
      </c>
      <c r="J998" s="25">
        <f t="shared" si="783"/>
        <v>8395.6297298201844</v>
      </c>
      <c r="K998" s="25">
        <f t="shared" si="784"/>
        <v>21655.303514578787</v>
      </c>
      <c r="L998" s="25"/>
      <c r="N998" s="25">
        <f>'Combined Retirement'!$C$18/12</f>
        <v>40940.569999999992</v>
      </c>
      <c r="O998" s="25">
        <f t="shared" si="785"/>
        <v>10889.636755601023</v>
      </c>
      <c r="P998" s="25">
        <f t="shared" si="786"/>
        <v>30050.93324439897</v>
      </c>
      <c r="Q998" s="25">
        <f t="array" aca="1" ref="Q998" ca="1">INDEX('Isaac 401k'!L:L,MATCH('Retirement Calculator'!A998,'Isaac 401k'!N:N,0),0)</f>
        <v>-27132103.704129487</v>
      </c>
      <c r="R998" s="25">
        <f t="array" aca="1" ref="R998" ca="1">INDEX('Lorri 401b'!L:L,MATCH('Retirement Calculator'!A998,'Lorri 401b'!N:N,0),0)</f>
        <v>-46629908.88137091</v>
      </c>
      <c r="S998" s="25">
        <f t="shared" ca="1" si="787"/>
        <v>-73762012.585500389</v>
      </c>
    </row>
    <row r="999" spans="1:19" ht="15.75" customHeight="1" x14ac:dyDescent="0.25">
      <c r="A999" s="37">
        <v>81359</v>
      </c>
      <c r="B999" s="398">
        <f t="shared" ref="B999:C999" si="1010">($A999-B$9)/365.25</f>
        <v>140.87063655030801</v>
      </c>
      <c r="C999" s="398">
        <f t="shared" si="1010"/>
        <v>136.26009582477755</v>
      </c>
      <c r="E999" s="25">
        <f>IF(C999&gt;$B$7,0,'Combined Retirement'!$D$13/12)</f>
        <v>0</v>
      </c>
      <c r="F999" s="25">
        <f>IF(H999=0,'Combined Retirement'!$D$32,0)+'Combined Retirement'!$B$24</f>
        <v>2870.372285649099</v>
      </c>
      <c r="G999" s="25">
        <f>'Combined Retirement'!$C$24</f>
        <v>3254.2644699519233</v>
      </c>
      <c r="H999" s="25">
        <f>IF(B999&lt;62,0,'Combined Retirement'!$I$14)</f>
        <v>2345</v>
      </c>
      <c r="I999" s="25">
        <f>IF(C999&lt;62,0,'Combined Retirement'!$I$13)</f>
        <v>2420</v>
      </c>
      <c r="J999" s="25">
        <f t="shared" si="783"/>
        <v>8395.6297298201844</v>
      </c>
      <c r="K999" s="25">
        <f t="shared" si="784"/>
        <v>21655.303514578787</v>
      </c>
      <c r="L999" s="25"/>
      <c r="N999" s="25">
        <f>'Combined Retirement'!$C$18/12</f>
        <v>40940.569999999992</v>
      </c>
      <c r="O999" s="25">
        <f t="shared" si="785"/>
        <v>10889.636755601023</v>
      </c>
      <c r="P999" s="25">
        <f t="shared" si="786"/>
        <v>30050.93324439897</v>
      </c>
      <c r="Q999" s="25">
        <f t="array" aca="1" ref="Q999" ca="1">INDEX('Isaac 401k'!L:L,MATCH('Retirement Calculator'!A999,'Isaac 401k'!N:N,0),0)</f>
        <v>-27253584.747750387</v>
      </c>
      <c r="R999" s="25">
        <f t="array" aca="1" ref="R999" ca="1">INDEX('Lorri 401b'!L:L,MATCH('Retirement Calculator'!A999,'Lorri 401b'!N:N,0),0)</f>
        <v>-46845945.702322513</v>
      </c>
      <c r="S999" s="25">
        <f t="shared" ca="1" si="787"/>
        <v>-74099530.450072899</v>
      </c>
    </row>
    <row r="1000" spans="1:19" ht="15.75" customHeight="1" x14ac:dyDescent="0.25">
      <c r="A1000" s="37">
        <v>81390</v>
      </c>
      <c r="B1000" s="398">
        <f t="shared" ref="B1000:C1000" si="1011">($A1000-B$9)/365.25</f>
        <v>140.95550992470911</v>
      </c>
      <c r="C1000" s="398">
        <f t="shared" si="1011"/>
        <v>136.34496919917865</v>
      </c>
      <c r="E1000" s="25">
        <f>IF(C1000&gt;$B$7,0,'Combined Retirement'!$D$13/12)</f>
        <v>0</v>
      </c>
      <c r="F1000" s="25">
        <f>IF(H1000=0,'Combined Retirement'!$D$32,0)+'Combined Retirement'!$B$24</f>
        <v>2870.372285649099</v>
      </c>
      <c r="G1000" s="25">
        <f>'Combined Retirement'!$C$24</f>
        <v>3254.2644699519233</v>
      </c>
      <c r="H1000" s="25">
        <f>IF(B1000&lt;62,0,'Combined Retirement'!$I$14)</f>
        <v>2345</v>
      </c>
      <c r="I1000" s="25">
        <f>IF(C1000&lt;62,0,'Combined Retirement'!$I$13)</f>
        <v>2420</v>
      </c>
      <c r="J1000" s="25">
        <f t="shared" si="783"/>
        <v>8395.6297298201844</v>
      </c>
      <c r="K1000" s="25">
        <f t="shared" si="784"/>
        <v>21655.303514578787</v>
      </c>
      <c r="L1000" s="25"/>
      <c r="N1000" s="25">
        <f>'Combined Retirement'!$C$18/12</f>
        <v>40940.569999999992</v>
      </c>
      <c r="O1000" s="25">
        <f t="shared" si="785"/>
        <v>10889.636755601023</v>
      </c>
      <c r="P1000" s="25">
        <f t="shared" si="786"/>
        <v>30050.93324439897</v>
      </c>
      <c r="Q1000" s="25">
        <f t="array" aca="1" ref="Q1000" ca="1">INDEX('Isaac 401k'!L:L,MATCH('Retirement Calculator'!A1000,'Isaac 401k'!N:N,0),0)</f>
        <v>-27375571.962386373</v>
      </c>
      <c r="R1000" s="25">
        <f t="array" aca="1" ref="R1000" ca="1">INDEX('Lorri 401b'!L:L,MATCH('Retirement Calculator'!A1000,'Lorri 401b'!N:N,0),0)</f>
        <v>-47062882.676694743</v>
      </c>
      <c r="S1000" s="25">
        <f t="shared" ca="1" si="787"/>
        <v>-74438454.63908112</v>
      </c>
    </row>
    <row r="1001" spans="1:19" ht="15.75" customHeight="1" x14ac:dyDescent="0.25">
      <c r="A1001" s="37">
        <v>81420</v>
      </c>
      <c r="B1001" s="398">
        <f t="shared" ref="B1001:C1001" si="1012">($A1001-B$9)/365.25</f>
        <v>141.03764544832308</v>
      </c>
      <c r="C1001" s="398">
        <f t="shared" si="1012"/>
        <v>136.42710472279262</v>
      </c>
      <c r="E1001" s="25">
        <f>IF(C1001&gt;$B$7,0,'Combined Retirement'!$D$13/12)</f>
        <v>0</v>
      </c>
      <c r="F1001" s="25">
        <f>IF(H1001=0,'Combined Retirement'!$D$32,0)+'Combined Retirement'!$B$24</f>
        <v>2870.372285649099</v>
      </c>
      <c r="G1001" s="25">
        <f>'Combined Retirement'!$C$24</f>
        <v>3254.2644699519233</v>
      </c>
      <c r="H1001" s="25">
        <f>IF(B1001&lt;62,0,'Combined Retirement'!$I$14)</f>
        <v>2345</v>
      </c>
      <c r="I1001" s="25">
        <f>IF(C1001&lt;62,0,'Combined Retirement'!$I$13)</f>
        <v>2420</v>
      </c>
      <c r="J1001" s="25">
        <f t="shared" si="783"/>
        <v>8395.6297298201844</v>
      </c>
      <c r="K1001" s="25">
        <f t="shared" si="784"/>
        <v>21655.303514578787</v>
      </c>
      <c r="L1001" s="25"/>
      <c r="N1001" s="25">
        <f>'Combined Retirement'!$C$18/12</f>
        <v>40940.569999999992</v>
      </c>
      <c r="O1001" s="25">
        <f t="shared" si="785"/>
        <v>10889.636755601023</v>
      </c>
      <c r="P1001" s="25">
        <f t="shared" si="786"/>
        <v>30050.93324439897</v>
      </c>
      <c r="Q1001" s="25">
        <f t="array" aca="1" ref="Q1001" ca="1">INDEX('Isaac 401k'!L:L,MATCH('Retirement Calculator'!A1001,'Isaac 401k'!N:N,0),0)</f>
        <v>-27498067.457083344</v>
      </c>
      <c r="R1001" s="25">
        <f t="array" aca="1" ref="R1001" ca="1">INDEX('Lorri 401b'!L:L,MATCH('Retirement Calculator'!A1001,'Lorri 401b'!N:N,0),0)</f>
        <v>-47280723.555126861</v>
      </c>
      <c r="S1001" s="25">
        <f t="shared" ca="1" si="787"/>
        <v>-74778791.012210205</v>
      </c>
    </row>
    <row r="1002" spans="1:19" ht="15.75" customHeight="1" x14ac:dyDescent="0.25">
      <c r="A1002" s="37">
        <v>81451</v>
      </c>
      <c r="B1002" s="398">
        <f t="shared" ref="B1002:C1002" si="1013">($A1002-B$9)/365.25</f>
        <v>141.12251882272417</v>
      </c>
      <c r="C1002" s="398">
        <f t="shared" si="1013"/>
        <v>136.51197809719369</v>
      </c>
      <c r="E1002" s="25">
        <f>IF(C1002&gt;$B$7,0,'Combined Retirement'!$D$13/12)</f>
        <v>0</v>
      </c>
      <c r="F1002" s="25">
        <f>IF(H1002=0,'Combined Retirement'!$D$32,0)+'Combined Retirement'!$B$24</f>
        <v>2870.372285649099</v>
      </c>
      <c r="G1002" s="25">
        <f>'Combined Retirement'!$C$24</f>
        <v>3254.2644699519233</v>
      </c>
      <c r="H1002" s="25">
        <f>IF(B1002&lt;62,0,'Combined Retirement'!$I$14)</f>
        <v>2345</v>
      </c>
      <c r="I1002" s="25">
        <f>IF(C1002&lt;62,0,'Combined Retirement'!$I$13)</f>
        <v>2420</v>
      </c>
      <c r="J1002" s="25">
        <f t="shared" si="783"/>
        <v>8395.6297298201844</v>
      </c>
      <c r="K1002" s="25">
        <f t="shared" si="784"/>
        <v>21655.303514578787</v>
      </c>
      <c r="L1002" s="25"/>
      <c r="N1002" s="25">
        <f>'Combined Retirement'!$C$18/12</f>
        <v>40940.569999999992</v>
      </c>
      <c r="O1002" s="25">
        <f t="shared" si="785"/>
        <v>10889.636755601023</v>
      </c>
      <c r="P1002" s="25">
        <f t="shared" si="786"/>
        <v>30050.93324439897</v>
      </c>
      <c r="Q1002" s="25">
        <f t="array" aca="1" ref="Q1002" ca="1">INDEX('Isaac 401k'!L:L,MATCH('Retirement Calculator'!A1002,'Isaac 401k'!N:N,0),0)</f>
        <v>-27621073.349674884</v>
      </c>
      <c r="R1002" s="25">
        <f t="array" aca="1" ref="R1002" ca="1">INDEX('Lorri 401b'!L:L,MATCH('Retirement Calculator'!A1002,'Lorri 401b'!N:N,0),0)</f>
        <v>-47499472.103885777</v>
      </c>
      <c r="S1002" s="25">
        <f t="shared" ca="1" si="787"/>
        <v>-75120545.453560665</v>
      </c>
    </row>
    <row r="1003" spans="1:19" ht="15.75" customHeight="1" x14ac:dyDescent="0.25">
      <c r="A1003" s="37">
        <v>81482</v>
      </c>
      <c r="B1003" s="398">
        <f t="shared" ref="B1003:C1003" si="1014">($A1003-B$9)/365.25</f>
        <v>141.20739219712524</v>
      </c>
      <c r="C1003" s="398">
        <f t="shared" si="1014"/>
        <v>136.59685147159479</v>
      </c>
      <c r="E1003" s="25">
        <f>IF(C1003&gt;$B$7,0,'Combined Retirement'!$D$13/12)</f>
        <v>0</v>
      </c>
      <c r="F1003" s="25">
        <f>IF(H1003=0,'Combined Retirement'!$D$32,0)+'Combined Retirement'!$B$24</f>
        <v>2870.372285649099</v>
      </c>
      <c r="G1003" s="25">
        <f>'Combined Retirement'!$C$24</f>
        <v>3254.2644699519233</v>
      </c>
      <c r="H1003" s="25">
        <f>IF(B1003&lt;62,0,'Combined Retirement'!$I$14)</f>
        <v>2345</v>
      </c>
      <c r="I1003" s="25">
        <f>IF(C1003&lt;62,0,'Combined Retirement'!$I$13)</f>
        <v>2420</v>
      </c>
      <c r="J1003" s="25">
        <f t="shared" si="783"/>
        <v>8395.6297298201844</v>
      </c>
      <c r="K1003" s="25">
        <f t="shared" si="784"/>
        <v>21655.303514578787</v>
      </c>
      <c r="L1003" s="25"/>
      <c r="N1003" s="25">
        <f>'Combined Retirement'!$C$18/12</f>
        <v>40940.569999999992</v>
      </c>
      <c r="O1003" s="25">
        <f t="shared" si="785"/>
        <v>10889.636755601023</v>
      </c>
      <c r="P1003" s="25">
        <f t="shared" si="786"/>
        <v>30050.93324439897</v>
      </c>
      <c r="Q1003" s="25">
        <f t="array" aca="1" ref="Q1003" ca="1">INDEX('Isaac 401k'!L:L,MATCH('Retirement Calculator'!A1003,'Isaac 401k'!N:N,0),0)</f>
        <v>-27744591.766818888</v>
      </c>
      <c r="R1003" s="25">
        <f t="array" aca="1" ref="R1003" ca="1">INDEX('Lorri 401b'!L:L,MATCH('Retirement Calculator'!A1003,'Lorri 401b'!N:N,0),0)</f>
        <v>-47719132.104931191</v>
      </c>
      <c r="S1003" s="25">
        <f t="shared" ca="1" si="787"/>
        <v>-75463723.871750087</v>
      </c>
    </row>
    <row r="1004" spans="1:19" ht="15.75" customHeight="1" x14ac:dyDescent="0.25">
      <c r="A1004" s="37">
        <v>81510</v>
      </c>
      <c r="B1004" s="398">
        <f t="shared" ref="B1004:C1004" si="1015">($A1004-B$9)/365.25</f>
        <v>141.28405201916496</v>
      </c>
      <c r="C1004" s="398">
        <f t="shared" si="1015"/>
        <v>136.6735112936345</v>
      </c>
      <c r="E1004" s="25">
        <f>IF(C1004&gt;$B$7,0,'Combined Retirement'!$D$13/12)</f>
        <v>0</v>
      </c>
      <c r="F1004" s="25">
        <f>IF(H1004=0,'Combined Retirement'!$D$32,0)+'Combined Retirement'!$B$24</f>
        <v>2870.372285649099</v>
      </c>
      <c r="G1004" s="25">
        <f>'Combined Retirement'!$C$24</f>
        <v>3254.2644699519233</v>
      </c>
      <c r="H1004" s="25">
        <f>IF(B1004&lt;62,0,'Combined Retirement'!$I$14)</f>
        <v>2345</v>
      </c>
      <c r="I1004" s="25">
        <f>IF(C1004&lt;62,0,'Combined Retirement'!$I$13)</f>
        <v>2420</v>
      </c>
      <c r="J1004" s="25">
        <f t="shared" si="783"/>
        <v>8395.6297298201844</v>
      </c>
      <c r="K1004" s="25">
        <f t="shared" si="784"/>
        <v>21655.303514578787</v>
      </c>
      <c r="L1004" s="25"/>
      <c r="N1004" s="25">
        <f>'Combined Retirement'!$C$18/12</f>
        <v>40940.569999999992</v>
      </c>
      <c r="O1004" s="25">
        <f t="shared" si="785"/>
        <v>10889.636755601023</v>
      </c>
      <c r="P1004" s="25">
        <f t="shared" si="786"/>
        <v>30050.93324439897</v>
      </c>
      <c r="Q1004" s="25">
        <f t="array" aca="1" ref="Q1004" ca="1">INDEX('Isaac 401k'!L:L,MATCH('Retirement Calculator'!A1004,'Isaac 401k'!N:N,0),0)</f>
        <v>-27868624.844034325</v>
      </c>
      <c r="R1004" s="25">
        <f t="array" aca="1" ref="R1004" ca="1">INDEX('Lorri 401b'!L:L,MATCH('Retirement Calculator'!A1004,'Lorri 401b'!N:N,0),0)</f>
        <v>-47939707.355980955</v>
      </c>
      <c r="S1004" s="25">
        <f t="shared" ca="1" si="787"/>
        <v>-75808332.200015277</v>
      </c>
    </row>
    <row r="1005" spans="1:19" ht="15.75" customHeight="1" x14ac:dyDescent="0.25">
      <c r="A1005" s="37">
        <v>81541</v>
      </c>
      <c r="B1005" s="398">
        <f t="shared" ref="B1005:C1005" si="1016">($A1005-B$9)/365.25</f>
        <v>141.36892539356606</v>
      </c>
      <c r="C1005" s="398">
        <f t="shared" si="1016"/>
        <v>136.7583846680356</v>
      </c>
      <c r="E1005" s="25">
        <f>IF(C1005&gt;$B$7,0,'Combined Retirement'!$D$13/12)</f>
        <v>0</v>
      </c>
      <c r="F1005" s="25">
        <f>IF(H1005=0,'Combined Retirement'!$D$32,0)+'Combined Retirement'!$B$24</f>
        <v>2870.372285649099</v>
      </c>
      <c r="G1005" s="25">
        <f>'Combined Retirement'!$C$24</f>
        <v>3254.2644699519233</v>
      </c>
      <c r="H1005" s="25">
        <f>IF(B1005&lt;62,0,'Combined Retirement'!$I$14)</f>
        <v>2345</v>
      </c>
      <c r="I1005" s="25">
        <f>IF(C1005&lt;62,0,'Combined Retirement'!$I$13)</f>
        <v>2420</v>
      </c>
      <c r="J1005" s="25">
        <f t="shared" si="783"/>
        <v>8395.6297298201844</v>
      </c>
      <c r="K1005" s="25">
        <f t="shared" si="784"/>
        <v>21655.303514578787</v>
      </c>
      <c r="L1005" s="25"/>
      <c r="N1005" s="25">
        <f>'Combined Retirement'!$C$18/12</f>
        <v>40940.569999999992</v>
      </c>
      <c r="O1005" s="25">
        <f t="shared" si="785"/>
        <v>10889.636755601023</v>
      </c>
      <c r="P1005" s="25">
        <f t="shared" si="786"/>
        <v>30050.93324439897</v>
      </c>
      <c r="Q1005" s="25">
        <f t="array" aca="1" ref="Q1005" ca="1">INDEX('Isaac 401k'!L:L,MATCH('Retirement Calculator'!A1005,'Isaac 401k'!N:N,0),0)</f>
        <v>-27993174.72573816</v>
      </c>
      <c r="R1005" s="25">
        <f t="array" aca="1" ref="R1005" ca="1">INDEX('Lorri 401b'!L:L,MATCH('Retirement Calculator'!A1005,'Lorri 401b'!N:N,0),0)</f>
        <v>-48161201.670576766</v>
      </c>
      <c r="S1005" s="25">
        <f t="shared" ca="1" si="787"/>
        <v>-76154376.396314919</v>
      </c>
    </row>
    <row r="1006" spans="1:19" ht="15.75" customHeight="1" x14ac:dyDescent="0.25">
      <c r="A1006" s="37">
        <v>81571</v>
      </c>
      <c r="B1006" s="398">
        <f t="shared" ref="B1006:C1006" si="1017">($A1006-B$9)/365.25</f>
        <v>141.45106091718</v>
      </c>
      <c r="C1006" s="398">
        <f t="shared" si="1017"/>
        <v>136.84052019164955</v>
      </c>
      <c r="E1006" s="25">
        <f>IF(C1006&gt;$B$7,0,'Combined Retirement'!$D$13/12)</f>
        <v>0</v>
      </c>
      <c r="F1006" s="25">
        <f>IF(H1006=0,'Combined Retirement'!$D$32,0)+'Combined Retirement'!$B$24</f>
        <v>2870.372285649099</v>
      </c>
      <c r="G1006" s="25">
        <f>'Combined Retirement'!$C$24</f>
        <v>3254.2644699519233</v>
      </c>
      <c r="H1006" s="25">
        <f>IF(B1006&lt;62,0,'Combined Retirement'!$I$14)</f>
        <v>2345</v>
      </c>
      <c r="I1006" s="25">
        <f>IF(C1006&lt;62,0,'Combined Retirement'!$I$13)</f>
        <v>2420</v>
      </c>
      <c r="J1006" s="25">
        <f t="shared" si="783"/>
        <v>8395.6297298201844</v>
      </c>
      <c r="K1006" s="25">
        <f t="shared" si="784"/>
        <v>21655.303514578787</v>
      </c>
      <c r="L1006" s="25"/>
      <c r="N1006" s="25">
        <f>'Combined Retirement'!$C$18/12</f>
        <v>40940.569999999992</v>
      </c>
      <c r="O1006" s="25">
        <f t="shared" si="785"/>
        <v>10889.636755601023</v>
      </c>
      <c r="P1006" s="25">
        <f t="shared" si="786"/>
        <v>30050.93324439897</v>
      </c>
      <c r="Q1006" s="25">
        <f t="array" aca="1" ref="Q1006" ca="1">INDEX('Isaac 401k'!L:L,MATCH('Retirement Calculator'!A1006,'Isaac 401k'!N:N,0),0)</f>
        <v>-28118243.56528243</v>
      </c>
      <c r="R1006" s="25">
        <f t="array" aca="1" ref="R1006" ca="1">INDEX('Lorri 401b'!L:L,MATCH('Retirement Calculator'!A1006,'Lorri 401b'!N:N,0),0)</f>
        <v>-48383618.878150061</v>
      </c>
      <c r="S1006" s="25">
        <f t="shared" ca="1" si="787"/>
        <v>-76501862.443432495</v>
      </c>
    </row>
    <row r="1007" spans="1:19" ht="15.75" customHeight="1" x14ac:dyDescent="0.25">
      <c r="A1007" s="37">
        <v>81602</v>
      </c>
      <c r="B1007" s="398">
        <f t="shared" ref="B1007:C1007" si="1018">($A1007-B$9)/365.25</f>
        <v>141.5359342915811</v>
      </c>
      <c r="C1007" s="398">
        <f t="shared" si="1018"/>
        <v>136.92539356605064</v>
      </c>
      <c r="E1007" s="25">
        <f>IF(C1007&gt;$B$7,0,'Combined Retirement'!$D$13/12)</f>
        <v>0</v>
      </c>
      <c r="F1007" s="25">
        <f>IF(H1007=0,'Combined Retirement'!$D$32,0)+'Combined Retirement'!$B$24</f>
        <v>2870.372285649099</v>
      </c>
      <c r="G1007" s="25">
        <f>'Combined Retirement'!$C$24</f>
        <v>3254.2644699519233</v>
      </c>
      <c r="H1007" s="25">
        <f>IF(B1007&lt;62,0,'Combined Retirement'!$I$14)</f>
        <v>2345</v>
      </c>
      <c r="I1007" s="25">
        <f>IF(C1007&lt;62,0,'Combined Retirement'!$I$13)</f>
        <v>2420</v>
      </c>
      <c r="J1007" s="25">
        <f t="shared" si="783"/>
        <v>8395.6297298201844</v>
      </c>
      <c r="K1007" s="25">
        <f t="shared" si="784"/>
        <v>21655.303514578787</v>
      </c>
      <c r="L1007" s="25"/>
      <c r="N1007" s="25">
        <f>'Combined Retirement'!$C$18/12</f>
        <v>40940.569999999992</v>
      </c>
      <c r="O1007" s="25">
        <f t="shared" si="785"/>
        <v>10889.636755601023</v>
      </c>
      <c r="P1007" s="25">
        <f t="shared" si="786"/>
        <v>30050.93324439897</v>
      </c>
      <c r="Q1007" s="25">
        <f t="array" aca="1" ref="Q1007" ca="1">INDEX('Isaac 401k'!L:L,MATCH('Retirement Calculator'!A1007,'Isaac 401k'!N:N,0),0)</f>
        <v>-28243833.524991468</v>
      </c>
      <c r="R1007" s="25">
        <f t="array" aca="1" ref="R1007" ca="1">INDEX('Lorri 401b'!L:L,MATCH('Retirement Calculator'!A1007,'Lorri 401b'!N:N,0),0)</f>
        <v>-48606962.824088238</v>
      </c>
      <c r="S1007" s="25">
        <f t="shared" ca="1" si="787"/>
        <v>-76850796.349079698</v>
      </c>
    </row>
    <row r="1008" spans="1:19" ht="15.75" customHeight="1" x14ac:dyDescent="0.25">
      <c r="A1008" s="37">
        <v>81632</v>
      </c>
      <c r="B1008" s="398">
        <f t="shared" ref="B1008:C1008" si="1019">($A1008-B$9)/365.25</f>
        <v>141.61806981519507</v>
      </c>
      <c r="C1008" s="398">
        <f t="shared" si="1019"/>
        <v>137.00752908966462</v>
      </c>
      <c r="E1008" s="25">
        <f>IF(C1008&gt;$B$7,0,'Combined Retirement'!$D$13/12)</f>
        <v>0</v>
      </c>
      <c r="F1008" s="25">
        <f>IF(H1008=0,'Combined Retirement'!$D$32,0)+'Combined Retirement'!$B$24</f>
        <v>2870.372285649099</v>
      </c>
      <c r="G1008" s="25">
        <f>'Combined Retirement'!$C$24</f>
        <v>3254.2644699519233</v>
      </c>
      <c r="H1008" s="25">
        <f>IF(B1008&lt;62,0,'Combined Retirement'!$I$14)</f>
        <v>2345</v>
      </c>
      <c r="I1008" s="25">
        <f>IF(C1008&lt;62,0,'Combined Retirement'!$I$13)</f>
        <v>2420</v>
      </c>
      <c r="J1008" s="25">
        <f t="shared" si="783"/>
        <v>8395.6297298201844</v>
      </c>
      <c r="K1008" s="25">
        <f t="shared" si="784"/>
        <v>21655.303514578787</v>
      </c>
      <c r="L1008" s="25"/>
      <c r="N1008" s="25">
        <f>'Combined Retirement'!$C$18/12</f>
        <v>40940.569999999992</v>
      </c>
      <c r="O1008" s="25">
        <f t="shared" si="785"/>
        <v>10889.636755601023</v>
      </c>
      <c r="P1008" s="25">
        <f t="shared" si="786"/>
        <v>30050.93324439897</v>
      </c>
      <c r="Q1008" s="25">
        <f t="array" aca="1" ref="Q1008" ca="1">INDEX('Isaac 401k'!L:L,MATCH('Retirement Calculator'!A1008,'Isaac 401k'!N:N,0),0)</f>
        <v>-28369946.776199292</v>
      </c>
      <c r="R1008" s="25">
        <f t="array" aca="1" ref="R1008" ca="1">INDEX('Lorri 401b'!L:L,MATCH('Retirement Calculator'!A1008,'Lorri 401b'!N:N,0),0)</f>
        <v>-48831237.369801164</v>
      </c>
      <c r="S1008" s="25">
        <f t="shared" ca="1" si="787"/>
        <v>-77201184.14600046</v>
      </c>
    </row>
    <row r="1009" spans="1:19" ht="15.75" customHeight="1" x14ac:dyDescent="0.25">
      <c r="A1009" s="37">
        <v>81663</v>
      </c>
      <c r="B1009" s="398">
        <f t="shared" ref="B1009:C1009" si="1020">($A1009-B$9)/365.25</f>
        <v>141.70294318959617</v>
      </c>
      <c r="C1009" s="398">
        <f t="shared" si="1020"/>
        <v>137.09240246406571</v>
      </c>
      <c r="E1009" s="25">
        <f>IF(C1009&gt;$B$7,0,'Combined Retirement'!$D$13/12)</f>
        <v>0</v>
      </c>
      <c r="F1009" s="25">
        <f>IF(H1009=0,'Combined Retirement'!$D$32,0)+'Combined Retirement'!$B$24</f>
        <v>2870.372285649099</v>
      </c>
      <c r="G1009" s="25">
        <f>'Combined Retirement'!$C$24</f>
        <v>3254.2644699519233</v>
      </c>
      <c r="H1009" s="25">
        <f>IF(B1009&lt;62,0,'Combined Retirement'!$I$14)</f>
        <v>2345</v>
      </c>
      <c r="I1009" s="25">
        <f>IF(C1009&lt;62,0,'Combined Retirement'!$I$13)</f>
        <v>2420</v>
      </c>
      <c r="J1009" s="25">
        <f t="shared" si="783"/>
        <v>8395.6297298201844</v>
      </c>
      <c r="K1009" s="25">
        <f t="shared" si="784"/>
        <v>21655.303514578787</v>
      </c>
      <c r="L1009" s="25"/>
      <c r="N1009" s="25">
        <f>'Combined Retirement'!$C$18/12</f>
        <v>40940.569999999992</v>
      </c>
      <c r="O1009" s="25">
        <f t="shared" si="785"/>
        <v>10889.636755601023</v>
      </c>
      <c r="P1009" s="25">
        <f t="shared" si="786"/>
        <v>30050.93324439897</v>
      </c>
      <c r="Q1009" s="25">
        <f t="array" aca="1" ref="Q1009" ca="1">INDEX('Isaac 401k'!L:L,MATCH('Retirement Calculator'!A1009,'Isaac 401k'!N:N,0),0)</f>
        <v>-28496585.499287147</v>
      </c>
      <c r="R1009" s="25">
        <f t="array" aca="1" ref="R1009" ca="1">INDEX('Lorri 401b'!L:L,MATCH('Retirement Calculator'!A1009,'Lorri 401b'!N:N,0),0)</f>
        <v>-49056446.392787889</v>
      </c>
      <c r="S1009" s="25">
        <f t="shared" ca="1" si="787"/>
        <v>-77553031.892075032</v>
      </c>
    </row>
    <row r="1010" spans="1:19" ht="15.75" customHeight="1" x14ac:dyDescent="0.25">
      <c r="A1010" s="37">
        <v>81694</v>
      </c>
      <c r="B1010" s="398">
        <f t="shared" ref="B1010:C1010" si="1021">($A1010-B$9)/365.25</f>
        <v>141.78781656399727</v>
      </c>
      <c r="C1010" s="398">
        <f t="shared" si="1021"/>
        <v>137.17727583846681</v>
      </c>
      <c r="E1010" s="25">
        <f>IF(C1010&gt;$B$7,0,'Combined Retirement'!$D$13/12)</f>
        <v>0</v>
      </c>
      <c r="F1010" s="25">
        <f>IF(H1010=0,'Combined Retirement'!$D$32,0)+'Combined Retirement'!$B$24</f>
        <v>2870.372285649099</v>
      </c>
      <c r="G1010" s="25">
        <f>'Combined Retirement'!$C$24</f>
        <v>3254.2644699519233</v>
      </c>
      <c r="H1010" s="25">
        <f>IF(B1010&lt;62,0,'Combined Retirement'!$I$14)</f>
        <v>2345</v>
      </c>
      <c r="I1010" s="25">
        <f>IF(C1010&lt;62,0,'Combined Retirement'!$I$13)</f>
        <v>2420</v>
      </c>
      <c r="J1010" s="25">
        <f t="shared" si="783"/>
        <v>8395.6297298201844</v>
      </c>
      <c r="K1010" s="25">
        <f t="shared" si="784"/>
        <v>21655.303514578787</v>
      </c>
      <c r="L1010" s="25"/>
      <c r="N1010" s="25">
        <f>'Combined Retirement'!$C$18/12</f>
        <v>40940.569999999992</v>
      </c>
      <c r="O1010" s="25">
        <f t="shared" si="785"/>
        <v>10889.636755601023</v>
      </c>
      <c r="P1010" s="25">
        <f t="shared" si="786"/>
        <v>30050.93324439897</v>
      </c>
      <c r="Q1010" s="25">
        <f t="array" aca="1" ref="Q1010" ca="1">INDEX('Isaac 401k'!L:L,MATCH('Retirement Calculator'!A1010,'Isaac 401k'!N:N,0),0)</f>
        <v>-28623751.883721203</v>
      </c>
      <c r="R1010" s="25">
        <f t="array" aca="1" ref="R1010" ca="1">INDEX('Lorri 401b'!L:L,MATCH('Retirement Calculator'!A1010,'Lorri 401b'!N:N,0),0)</f>
        <v>-49282593.786703728</v>
      </c>
      <c r="S1010" s="25">
        <f t="shared" ca="1" si="787"/>
        <v>-77906345.670424938</v>
      </c>
    </row>
    <row r="1011" spans="1:19" ht="15.75" customHeight="1" x14ac:dyDescent="0.25">
      <c r="A1011" s="37">
        <v>81724</v>
      </c>
      <c r="B1011" s="398">
        <f t="shared" ref="B1011:C1011" si="1022">($A1011-B$9)/365.25</f>
        <v>141.86995208761124</v>
      </c>
      <c r="C1011" s="398">
        <f t="shared" si="1022"/>
        <v>137.25941136208075</v>
      </c>
      <c r="E1011" s="25">
        <f>IF(C1011&gt;$B$7,0,'Combined Retirement'!$D$13/12)</f>
        <v>0</v>
      </c>
      <c r="F1011" s="25">
        <f>IF(H1011=0,'Combined Retirement'!$D$32,0)+'Combined Retirement'!$B$24</f>
        <v>2870.372285649099</v>
      </c>
      <c r="G1011" s="25">
        <f>'Combined Retirement'!$C$24</f>
        <v>3254.2644699519233</v>
      </c>
      <c r="H1011" s="25">
        <f>IF(B1011&lt;62,0,'Combined Retirement'!$I$14)</f>
        <v>2345</v>
      </c>
      <c r="I1011" s="25">
        <f>IF(C1011&lt;62,0,'Combined Retirement'!$I$13)</f>
        <v>2420</v>
      </c>
      <c r="J1011" s="25">
        <f t="shared" si="783"/>
        <v>8395.6297298201844</v>
      </c>
      <c r="K1011" s="25">
        <f t="shared" si="784"/>
        <v>21655.303514578787</v>
      </c>
      <c r="L1011" s="25"/>
      <c r="N1011" s="25">
        <f>'Combined Retirement'!$C$18/12</f>
        <v>40940.569999999992</v>
      </c>
      <c r="O1011" s="25">
        <f t="shared" si="785"/>
        <v>10889.636755601023</v>
      </c>
      <c r="P1011" s="25">
        <f t="shared" si="786"/>
        <v>30050.93324439897</v>
      </c>
      <c r="Q1011" s="25">
        <f t="array" aca="1" ref="Q1011" ca="1">INDEX('Isaac 401k'!L:L,MATCH('Retirement Calculator'!A1011,'Isaac 401k'!N:N,0),0)</f>
        <v>-28751448.1280904</v>
      </c>
      <c r="R1011" s="25">
        <f t="array" aca="1" ref="R1011" ca="1">INDEX('Lorri 401b'!L:L,MATCH('Retirement Calculator'!A1011,'Lorri 401b'!N:N,0),0)</f>
        <v>-49509683.461427547</v>
      </c>
      <c r="S1011" s="25">
        <f t="shared" ca="1" si="787"/>
        <v>-78261131.589517951</v>
      </c>
    </row>
    <row r="1012" spans="1:19" ht="15.75" customHeight="1" x14ac:dyDescent="0.25">
      <c r="A1012" s="37">
        <v>81755</v>
      </c>
      <c r="B1012" s="398">
        <f t="shared" ref="B1012:C1012" si="1023">($A1012-B$9)/365.25</f>
        <v>141.95482546201231</v>
      </c>
      <c r="C1012" s="398">
        <f t="shared" si="1023"/>
        <v>137.34428473648185</v>
      </c>
      <c r="E1012" s="25">
        <f>IF(C1012&gt;$B$7,0,'Combined Retirement'!$D$13/12)</f>
        <v>0</v>
      </c>
      <c r="F1012" s="25">
        <f>IF(H1012=0,'Combined Retirement'!$D$32,0)+'Combined Retirement'!$B$24</f>
        <v>2870.372285649099</v>
      </c>
      <c r="G1012" s="25">
        <f>'Combined Retirement'!$C$24</f>
        <v>3254.2644699519233</v>
      </c>
      <c r="H1012" s="25">
        <f>IF(B1012&lt;62,0,'Combined Retirement'!$I$14)</f>
        <v>2345</v>
      </c>
      <c r="I1012" s="25">
        <f>IF(C1012&lt;62,0,'Combined Retirement'!$I$13)</f>
        <v>2420</v>
      </c>
      <c r="J1012" s="25">
        <f t="shared" si="783"/>
        <v>8395.6297298201844</v>
      </c>
      <c r="K1012" s="25">
        <f t="shared" si="784"/>
        <v>21655.303514578787</v>
      </c>
      <c r="L1012" s="25"/>
      <c r="N1012" s="25">
        <f>'Combined Retirement'!$C$18/12</f>
        <v>40940.569999999992</v>
      </c>
      <c r="O1012" s="25">
        <f t="shared" si="785"/>
        <v>10889.636755601023</v>
      </c>
      <c r="P1012" s="25">
        <f t="shared" si="786"/>
        <v>30050.93324439897</v>
      </c>
      <c r="Q1012" s="25">
        <f t="array" aca="1" ref="Q1012" ca="1">INDEX('Isaac 401k'!L:L,MATCH('Retirement Calculator'!A1012,'Isaac 401k'!N:N,0),0)</f>
        <v>-28879676.440144468</v>
      </c>
      <c r="R1012" s="25">
        <f t="array" aca="1" ref="R1012" ca="1">INDEX('Lorri 401b'!L:L,MATCH('Retirement Calculator'!A1012,'Lorri 401b'!N:N,0),0)</f>
        <v>-49737719.343129382</v>
      </c>
      <c r="S1012" s="25">
        <f t="shared" ca="1" si="787"/>
        <v>-78617395.783273846</v>
      </c>
    </row>
    <row r="1013" spans="1:19" ht="15.75" customHeight="1" x14ac:dyDescent="0.25">
      <c r="A1013" s="37">
        <v>81785</v>
      </c>
      <c r="B1013" s="398">
        <f t="shared" ref="B1013:C1013" si="1024">($A1013-B$9)/365.25</f>
        <v>142.03696098562628</v>
      </c>
      <c r="C1013" s="398">
        <f t="shared" si="1024"/>
        <v>137.42642026009582</v>
      </c>
      <c r="E1013" s="25">
        <f>IF(C1013&gt;$B$7,0,'Combined Retirement'!$D$13/12)</f>
        <v>0</v>
      </c>
      <c r="F1013" s="25">
        <f>IF(H1013=0,'Combined Retirement'!$D$32,0)+'Combined Retirement'!$B$24</f>
        <v>2870.372285649099</v>
      </c>
      <c r="G1013" s="25">
        <f>'Combined Retirement'!$C$24</f>
        <v>3254.2644699519233</v>
      </c>
      <c r="H1013" s="25">
        <f>IF(B1013&lt;62,0,'Combined Retirement'!$I$14)</f>
        <v>2345</v>
      </c>
      <c r="I1013" s="25">
        <f>IF(C1013&lt;62,0,'Combined Retirement'!$I$13)</f>
        <v>2420</v>
      </c>
      <c r="J1013" s="25">
        <f t="shared" si="783"/>
        <v>8395.6297298201844</v>
      </c>
      <c r="K1013" s="25">
        <f t="shared" si="784"/>
        <v>21655.303514578787</v>
      </c>
      <c r="L1013" s="25"/>
      <c r="N1013" s="25">
        <f>'Combined Retirement'!$C$18/12</f>
        <v>40940.569999999992</v>
      </c>
      <c r="O1013" s="25">
        <f t="shared" si="785"/>
        <v>10889.636755601023</v>
      </c>
      <c r="P1013" s="25">
        <f t="shared" si="786"/>
        <v>30050.93324439897</v>
      </c>
      <c r="Q1013" s="25">
        <f t="array" aca="1" ref="Q1013" ca="1">INDEX('Isaac 401k'!L:L,MATCH('Retirement Calculator'!A1013,'Isaac 401k'!N:N,0),0)</f>
        <v>-29008439.036832098</v>
      </c>
      <c r="R1013" s="25">
        <f t="array" aca="1" ref="R1013" ca="1">INDEX('Lorri 401b'!L:L,MATCH('Retirement Calculator'!A1013,'Lorri 401b'!N:N,0),0)</f>
        <v>-49966705.374338306</v>
      </c>
      <c r="S1013" s="25">
        <f t="shared" ca="1" si="787"/>
        <v>-78975144.411170408</v>
      </c>
    </row>
    <row r="1014" spans="1:19" ht="15.75" customHeight="1" x14ac:dyDescent="0.25">
      <c r="A1014" s="37">
        <v>81816</v>
      </c>
      <c r="B1014" s="398">
        <f t="shared" ref="B1014:C1014" si="1025">($A1014-B$9)/365.25</f>
        <v>142.12183436002738</v>
      </c>
      <c r="C1014" s="398">
        <f t="shared" si="1025"/>
        <v>137.51129363449692</v>
      </c>
      <c r="E1014" s="25">
        <f>IF(C1014&gt;$B$7,0,'Combined Retirement'!$D$13/12)</f>
        <v>0</v>
      </c>
      <c r="F1014" s="25">
        <f>IF(H1014=0,'Combined Retirement'!$D$32,0)+'Combined Retirement'!$B$24</f>
        <v>2870.372285649099</v>
      </c>
      <c r="G1014" s="25">
        <f>'Combined Retirement'!$C$24</f>
        <v>3254.2644699519233</v>
      </c>
      <c r="H1014" s="25">
        <f>IF(B1014&lt;62,0,'Combined Retirement'!$I$14)</f>
        <v>2345</v>
      </c>
      <c r="I1014" s="25">
        <f>IF(C1014&lt;62,0,'Combined Retirement'!$I$13)</f>
        <v>2420</v>
      </c>
      <c r="J1014" s="25">
        <f t="shared" si="783"/>
        <v>8395.6297298201844</v>
      </c>
      <c r="K1014" s="25">
        <f t="shared" si="784"/>
        <v>21655.303514578787</v>
      </c>
      <c r="L1014" s="25"/>
      <c r="N1014" s="25">
        <f>'Combined Retirement'!$C$18/12</f>
        <v>40940.569999999992</v>
      </c>
      <c r="O1014" s="25">
        <f t="shared" si="785"/>
        <v>10889.636755601023</v>
      </c>
      <c r="P1014" s="25">
        <f t="shared" si="786"/>
        <v>30050.93324439897</v>
      </c>
      <c r="Q1014" s="25">
        <f t="array" aca="1" ref="Q1014" ca="1">INDEX('Isaac 401k'!L:L,MATCH('Retirement Calculator'!A1014,'Isaac 401k'!N:N,0),0)</f>
        <v>-29137738.144339256</v>
      </c>
      <c r="R1014" s="25">
        <f t="array" aca="1" ref="R1014" ca="1">INDEX('Lorri 401b'!L:L,MATCH('Retirement Calculator'!A1014,'Lorri 401b'!N:N,0),0)</f>
        <v>-50196645.514010601</v>
      </c>
      <c r="S1014" s="25">
        <f t="shared" ca="1" si="787"/>
        <v>-79334383.658349857</v>
      </c>
    </row>
    <row r="1015" spans="1:19" ht="15.75" customHeight="1" x14ac:dyDescent="0.25">
      <c r="A1015" s="37">
        <v>81847</v>
      </c>
      <c r="B1015" s="398">
        <f t="shared" ref="B1015:C1015" si="1026">($A1015-B$9)/365.25</f>
        <v>142.20670773442848</v>
      </c>
      <c r="C1015" s="398">
        <f t="shared" si="1026"/>
        <v>137.59616700889802</v>
      </c>
      <c r="E1015" s="25">
        <f>IF(C1015&gt;$B$7,0,'Combined Retirement'!$D$13/12)</f>
        <v>0</v>
      </c>
      <c r="F1015" s="25">
        <f>IF(H1015=0,'Combined Retirement'!$D$32,0)+'Combined Retirement'!$B$24</f>
        <v>2870.372285649099</v>
      </c>
      <c r="G1015" s="25">
        <f>'Combined Retirement'!$C$24</f>
        <v>3254.2644699519233</v>
      </c>
      <c r="H1015" s="25">
        <f>IF(B1015&lt;62,0,'Combined Retirement'!$I$14)</f>
        <v>2345</v>
      </c>
      <c r="I1015" s="25">
        <f>IF(C1015&lt;62,0,'Combined Retirement'!$I$13)</f>
        <v>2420</v>
      </c>
      <c r="J1015" s="25">
        <f t="shared" si="783"/>
        <v>8395.6297298201844</v>
      </c>
      <c r="K1015" s="25">
        <f t="shared" si="784"/>
        <v>21655.303514578787</v>
      </c>
      <c r="L1015" s="25"/>
      <c r="N1015" s="25">
        <f>'Combined Retirement'!$C$18/12</f>
        <v>40940.569999999992</v>
      </c>
      <c r="O1015" s="25">
        <f t="shared" si="785"/>
        <v>10889.636755601023</v>
      </c>
      <c r="P1015" s="25">
        <f t="shared" si="786"/>
        <v>30050.93324439897</v>
      </c>
      <c r="Q1015" s="25">
        <f t="array" aca="1" ref="Q1015" ca="1">INDEX('Isaac 401k'!L:L,MATCH('Retirement Calculator'!A1015,'Isaac 401k'!N:N,0),0)</f>
        <v>-29267575.998127695</v>
      </c>
      <c r="R1015" s="25">
        <f t="array" aca="1" ref="R1015" ca="1">INDEX('Lorri 401b'!L:L,MATCH('Retirement Calculator'!A1015,'Lorri 401b'!N:N,0),0)</f>
        <v>-50427543.737598203</v>
      </c>
      <c r="S1015" s="25">
        <f t="shared" ca="1" si="787"/>
        <v>-79695119.735725895</v>
      </c>
    </row>
    <row r="1016" spans="1:19" ht="15.75" customHeight="1" x14ac:dyDescent="0.25">
      <c r="A1016" s="37">
        <v>81876</v>
      </c>
      <c r="B1016" s="398">
        <f t="shared" ref="B1016:C1016" si="1027">($A1016-B$9)/365.25</f>
        <v>142.28610540725529</v>
      </c>
      <c r="C1016" s="398">
        <f t="shared" si="1027"/>
        <v>137.67556468172484</v>
      </c>
      <c r="E1016" s="25">
        <f>IF(C1016&gt;$B$7,0,'Combined Retirement'!$D$13/12)</f>
        <v>0</v>
      </c>
      <c r="F1016" s="25">
        <f>IF(H1016=0,'Combined Retirement'!$D$32,0)+'Combined Retirement'!$B$24</f>
        <v>2870.372285649099</v>
      </c>
      <c r="G1016" s="25">
        <f>'Combined Retirement'!$C$24</f>
        <v>3254.2644699519233</v>
      </c>
      <c r="H1016" s="25">
        <f>IF(B1016&lt;62,0,'Combined Retirement'!$I$14)</f>
        <v>2345</v>
      </c>
      <c r="I1016" s="25">
        <f>IF(C1016&lt;62,0,'Combined Retirement'!$I$13)</f>
        <v>2420</v>
      </c>
      <c r="J1016" s="25">
        <f t="shared" si="783"/>
        <v>8395.6297298201844</v>
      </c>
      <c r="K1016" s="25">
        <f t="shared" si="784"/>
        <v>21655.303514578787</v>
      </c>
      <c r="L1016" s="25"/>
      <c r="N1016" s="25">
        <f>'Combined Retirement'!$C$18/12</f>
        <v>40940.569999999992</v>
      </c>
      <c r="O1016" s="25">
        <f t="shared" si="785"/>
        <v>10889.636755601023</v>
      </c>
      <c r="P1016" s="25">
        <f t="shared" si="786"/>
        <v>30050.93324439897</v>
      </c>
      <c r="Q1016" s="25">
        <f t="array" aca="1" ref="Q1016" ca="1">INDEX('Isaac 401k'!L:L,MATCH('Retirement Calculator'!A1016,'Isaac 401k'!N:N,0),0)</f>
        <v>-29397954.842973586</v>
      </c>
      <c r="R1016" s="25">
        <f t="array" aca="1" ref="R1016" ca="1">INDEX('Lorri 401b'!L:L,MATCH('Retirement Calculator'!A1016,'Lorri 401b'!N:N,0),0)</f>
        <v>-50659404.037117414</v>
      </c>
      <c r="S1016" s="25">
        <f t="shared" ca="1" si="787"/>
        <v>-80057358.880090997</v>
      </c>
    </row>
    <row r="1017" spans="1:19" ht="15.75" customHeight="1" x14ac:dyDescent="0.25">
      <c r="A1017" s="37">
        <v>81907</v>
      </c>
      <c r="B1017" s="398">
        <f t="shared" ref="B1017:C1017" si="1028">($A1017-B$9)/365.25</f>
        <v>142.37097878165639</v>
      </c>
      <c r="C1017" s="398">
        <f t="shared" si="1028"/>
        <v>137.76043805612593</v>
      </c>
      <c r="E1017" s="25">
        <f>IF(C1017&gt;$B$7,0,'Combined Retirement'!$D$13/12)</f>
        <v>0</v>
      </c>
      <c r="F1017" s="25">
        <f>IF(H1017=0,'Combined Retirement'!$D$32,0)+'Combined Retirement'!$B$24</f>
        <v>2870.372285649099</v>
      </c>
      <c r="G1017" s="25">
        <f>'Combined Retirement'!$C$24</f>
        <v>3254.2644699519233</v>
      </c>
      <c r="H1017" s="25">
        <f>IF(B1017&lt;62,0,'Combined Retirement'!$I$14)</f>
        <v>2345</v>
      </c>
      <c r="I1017" s="25">
        <f>IF(C1017&lt;62,0,'Combined Retirement'!$I$13)</f>
        <v>2420</v>
      </c>
      <c r="J1017" s="25">
        <f t="shared" si="783"/>
        <v>8395.6297298201844</v>
      </c>
      <c r="K1017" s="25">
        <f t="shared" si="784"/>
        <v>21655.303514578787</v>
      </c>
      <c r="L1017" s="25"/>
      <c r="N1017" s="25">
        <f>'Combined Retirement'!$C$18/12</f>
        <v>40940.569999999992</v>
      </c>
      <c r="O1017" s="25">
        <f t="shared" si="785"/>
        <v>10889.636755601023</v>
      </c>
      <c r="P1017" s="25">
        <f t="shared" si="786"/>
        <v>30050.93324439897</v>
      </c>
      <c r="Q1017" s="25">
        <f t="array" aca="1" ref="Q1017" ca="1">INDEX('Isaac 401k'!L:L,MATCH('Retirement Calculator'!A1017,'Isaac 401k'!N:N,0),0)</f>
        <v>-29528876.933006335</v>
      </c>
      <c r="R1017" s="25">
        <f t="array" aca="1" ref="R1017" ca="1">INDEX('Lorri 401b'!L:L,MATCH('Retirement Calculator'!A1017,'Lorri 401b'!N:N,0),0)</f>
        <v>-50892230.421217956</v>
      </c>
      <c r="S1017" s="25">
        <f t="shared" ca="1" si="787"/>
        <v>-80421107.354224294</v>
      </c>
    </row>
    <row r="1018" spans="1:19" ht="15.75" customHeight="1" x14ac:dyDescent="0.25">
      <c r="A1018" s="37">
        <v>81937</v>
      </c>
      <c r="B1018" s="398">
        <f t="shared" ref="B1018:C1018" si="1029">($A1018-B$9)/365.25</f>
        <v>142.45311430527036</v>
      </c>
      <c r="C1018" s="398">
        <f t="shared" si="1029"/>
        <v>137.84257357973991</v>
      </c>
      <c r="E1018" s="25">
        <f>IF(C1018&gt;$B$7,0,'Combined Retirement'!$D$13/12)</f>
        <v>0</v>
      </c>
      <c r="F1018" s="25">
        <f>IF(H1018=0,'Combined Retirement'!$D$32,0)+'Combined Retirement'!$B$24</f>
        <v>2870.372285649099</v>
      </c>
      <c r="G1018" s="25">
        <f>'Combined Retirement'!$C$24</f>
        <v>3254.2644699519233</v>
      </c>
      <c r="H1018" s="25">
        <f>IF(B1018&lt;62,0,'Combined Retirement'!$I$14)</f>
        <v>2345</v>
      </c>
      <c r="I1018" s="25">
        <f>IF(C1018&lt;62,0,'Combined Retirement'!$I$13)</f>
        <v>2420</v>
      </c>
      <c r="J1018" s="25">
        <f t="shared" si="783"/>
        <v>8395.6297298201844</v>
      </c>
      <c r="K1018" s="25">
        <f t="shared" si="784"/>
        <v>21655.303514578787</v>
      </c>
      <c r="L1018" s="25"/>
      <c r="N1018" s="25">
        <f>'Combined Retirement'!$C$18/12</f>
        <v>40940.569999999992</v>
      </c>
      <c r="O1018" s="25">
        <f t="shared" si="785"/>
        <v>10889.636755601023</v>
      </c>
      <c r="P1018" s="25">
        <f t="shared" si="786"/>
        <v>30050.93324439897</v>
      </c>
      <c r="Q1018" s="25">
        <f t="array" aca="1" ref="Q1018" ca="1">INDEX('Isaac 401k'!L:L,MATCH('Retirement Calculator'!A1018,'Isaac 401k'!N:N,0),0)</f>
        <v>-29660344.531747553</v>
      </c>
      <c r="R1018" s="25">
        <f t="array" aca="1" ref="R1018" ca="1">INDEX('Lorri 401b'!L:L,MATCH('Retirement Calculator'!A1018,'Lorri 401b'!N:N,0),0)</f>
        <v>-51126026.915252253</v>
      </c>
      <c r="S1018" s="25">
        <f t="shared" ca="1" si="787"/>
        <v>-80786371.446999803</v>
      </c>
    </row>
    <row r="1019" spans="1:19" ht="15.75" customHeight="1" x14ac:dyDescent="0.25">
      <c r="A1019" s="37">
        <v>81968</v>
      </c>
      <c r="B1019" s="398">
        <f t="shared" ref="B1019:C1019" si="1030">($A1019-B$9)/365.25</f>
        <v>142.53798767967146</v>
      </c>
      <c r="C1019" s="398">
        <f t="shared" si="1030"/>
        <v>137.927446954141</v>
      </c>
      <c r="E1019" s="25">
        <f>IF(C1019&gt;$B$7,0,'Combined Retirement'!$D$13/12)</f>
        <v>0</v>
      </c>
      <c r="F1019" s="25">
        <f>IF(H1019=0,'Combined Retirement'!$D$32,0)+'Combined Retirement'!$B$24</f>
        <v>2870.372285649099</v>
      </c>
      <c r="G1019" s="25">
        <f>'Combined Retirement'!$C$24</f>
        <v>3254.2644699519233</v>
      </c>
      <c r="H1019" s="25">
        <f>IF(B1019&lt;62,0,'Combined Retirement'!$I$14)</f>
        <v>2345</v>
      </c>
      <c r="I1019" s="25">
        <f>IF(C1019&lt;62,0,'Combined Retirement'!$I$13)</f>
        <v>2420</v>
      </c>
      <c r="J1019" s="25">
        <f t="shared" si="783"/>
        <v>8395.6297298201844</v>
      </c>
      <c r="K1019" s="25">
        <f t="shared" si="784"/>
        <v>21655.303514578787</v>
      </c>
      <c r="L1019" s="25"/>
      <c r="N1019" s="25">
        <f>'Combined Retirement'!$C$18/12</f>
        <v>40940.569999999992</v>
      </c>
      <c r="O1019" s="25">
        <f t="shared" si="785"/>
        <v>10889.636755601023</v>
      </c>
      <c r="P1019" s="25">
        <f t="shared" si="786"/>
        <v>30050.93324439897</v>
      </c>
      <c r="Q1019" s="25">
        <f t="array" aca="1" ref="Q1019" ca="1">INDEX('Isaac 401k'!L:L,MATCH('Retirement Calculator'!A1019,'Isaac 401k'!N:N,0),0)</f>
        <v>-29792359.912150193</v>
      </c>
      <c r="R1019" s="25">
        <f t="array" aca="1" ref="R1019" ca="1">INDEX('Lorri 401b'!L:L,MATCH('Retirement Calculator'!A1019,'Lorri 401b'!N:N,0),0)</f>
        <v>-51360797.561345026</v>
      </c>
      <c r="S1019" s="25">
        <f t="shared" ca="1" si="787"/>
        <v>-81153157.473495215</v>
      </c>
    </row>
    <row r="1020" spans="1:19" ht="15.75" customHeight="1" x14ac:dyDescent="0.25">
      <c r="A1020" s="37">
        <v>81998</v>
      </c>
      <c r="B1020" s="398">
        <f t="shared" ref="B1020:C1020" si="1031">($A1020-B$9)/365.25</f>
        <v>142.62012320328543</v>
      </c>
      <c r="C1020" s="398">
        <f t="shared" si="1031"/>
        <v>138.00958247775498</v>
      </c>
      <c r="E1020" s="25">
        <f>IF(C1020&gt;$B$7,0,'Combined Retirement'!$D$13/12)</f>
        <v>0</v>
      </c>
      <c r="F1020" s="25">
        <f>IF(H1020=0,'Combined Retirement'!$D$32,0)+'Combined Retirement'!$B$24</f>
        <v>2870.372285649099</v>
      </c>
      <c r="G1020" s="25">
        <f>'Combined Retirement'!$C$24</f>
        <v>3254.2644699519233</v>
      </c>
      <c r="H1020" s="25">
        <f>IF(B1020&lt;62,0,'Combined Retirement'!$I$14)</f>
        <v>2345</v>
      </c>
      <c r="I1020" s="25">
        <f>IF(C1020&lt;62,0,'Combined Retirement'!$I$13)</f>
        <v>2420</v>
      </c>
      <c r="J1020" s="25">
        <f t="shared" si="783"/>
        <v>8395.6297298201844</v>
      </c>
      <c r="K1020" s="25">
        <f t="shared" si="784"/>
        <v>21655.303514578787</v>
      </c>
      <c r="L1020" s="25"/>
      <c r="N1020" s="25">
        <f>'Combined Retirement'!$C$18/12</f>
        <v>40940.569999999992</v>
      </c>
      <c r="O1020" s="25">
        <f t="shared" si="785"/>
        <v>10889.636755601023</v>
      </c>
      <c r="P1020" s="25">
        <f t="shared" si="786"/>
        <v>30050.93324439897</v>
      </c>
      <c r="Q1020" s="25">
        <f t="array" aca="1" ref="Q1020" ca="1">INDEX('Isaac 401k'!L:L,MATCH('Retirement Calculator'!A1020,'Isaac 401k'!N:N,0),0)</f>
        <v>-29924925.356637847</v>
      </c>
      <c r="R1020" s="25">
        <f t="array" aca="1" ref="R1020" ca="1">INDEX('Lorri 401b'!L:L,MATCH('Retirement Calculator'!A1020,'Lorri 401b'!N:N,0),0)</f>
        <v>-51596546.418463185</v>
      </c>
      <c r="S1020" s="25">
        <f t="shared" ca="1" si="787"/>
        <v>-81521471.775101036</v>
      </c>
    </row>
    <row r="1021" spans="1:19" ht="15.75" customHeight="1" x14ac:dyDescent="0.25">
      <c r="A1021" s="37">
        <v>82029</v>
      </c>
      <c r="B1021" s="398">
        <f t="shared" ref="B1021:C1021" si="1032">($A1021-B$9)/365.25</f>
        <v>142.70499657768653</v>
      </c>
      <c r="C1021" s="398">
        <f t="shared" si="1032"/>
        <v>138.09445585215605</v>
      </c>
      <c r="E1021" s="25">
        <f>IF(C1021&gt;$B$7,0,'Combined Retirement'!$D$13/12)</f>
        <v>0</v>
      </c>
      <c r="F1021" s="25">
        <f>IF(H1021=0,'Combined Retirement'!$D$32,0)+'Combined Retirement'!$B$24</f>
        <v>2870.372285649099</v>
      </c>
      <c r="G1021" s="25">
        <f>'Combined Retirement'!$C$24</f>
        <v>3254.2644699519233</v>
      </c>
      <c r="H1021" s="25">
        <f>IF(B1021&lt;62,0,'Combined Retirement'!$I$14)</f>
        <v>2345</v>
      </c>
      <c r="I1021" s="25">
        <f>IF(C1021&lt;62,0,'Combined Retirement'!$I$13)</f>
        <v>2420</v>
      </c>
      <c r="J1021" s="25">
        <f t="shared" si="783"/>
        <v>8395.6297298201844</v>
      </c>
      <c r="K1021" s="25">
        <f t="shared" si="784"/>
        <v>21655.303514578787</v>
      </c>
      <c r="L1021" s="25"/>
      <c r="N1021" s="25">
        <f>'Combined Retirement'!$C$18/12</f>
        <v>40940.569999999992</v>
      </c>
      <c r="O1021" s="25">
        <f t="shared" si="785"/>
        <v>10889.636755601023</v>
      </c>
      <c r="P1021" s="25">
        <f t="shared" si="786"/>
        <v>30050.93324439897</v>
      </c>
      <c r="Q1021" s="25">
        <f t="array" aca="1" ref="Q1021" ca="1">INDEX('Isaac 401k'!L:L,MATCH('Retirement Calculator'!A1021,'Isaac 401k'!N:N,0),0)</f>
        <v>-30058043.157144196</v>
      </c>
      <c r="R1021" s="25">
        <f t="array" aca="1" ref="R1021" ca="1">INDEX('Lorri 401b'!L:L,MATCH('Retirement Calculator'!A1021,'Lorri 401b'!N:N,0),0)</f>
        <v>-51833277.562486</v>
      </c>
      <c r="S1021" s="25">
        <f t="shared" ca="1" si="787"/>
        <v>-81891320.719630197</v>
      </c>
    </row>
    <row r="1022" spans="1:19" ht="15.75" customHeight="1" x14ac:dyDescent="0.25">
      <c r="A1022" s="37">
        <v>82060</v>
      </c>
      <c r="B1022" s="398">
        <f t="shared" ref="B1022:C1022" si="1033">($A1022-B$9)/365.25</f>
        <v>142.7898699520876</v>
      </c>
      <c r="C1022" s="398">
        <f t="shared" si="1033"/>
        <v>138.17932922655714</v>
      </c>
      <c r="E1022" s="25">
        <f>IF(C1022&gt;$B$7,0,'Combined Retirement'!$D$13/12)</f>
        <v>0</v>
      </c>
      <c r="F1022" s="25">
        <f>IF(H1022=0,'Combined Retirement'!$D$32,0)+'Combined Retirement'!$B$24</f>
        <v>2870.372285649099</v>
      </c>
      <c r="G1022" s="25">
        <f>'Combined Retirement'!$C$24</f>
        <v>3254.2644699519233</v>
      </c>
      <c r="H1022" s="25">
        <f>IF(B1022&lt;62,0,'Combined Retirement'!$I$14)</f>
        <v>2345</v>
      </c>
      <c r="I1022" s="25">
        <f>IF(C1022&lt;62,0,'Combined Retirement'!$I$13)</f>
        <v>2420</v>
      </c>
      <c r="J1022" s="25">
        <f t="shared" si="783"/>
        <v>8395.6297298201844</v>
      </c>
      <c r="K1022" s="25">
        <f t="shared" si="784"/>
        <v>21655.303514578787</v>
      </c>
      <c r="L1022" s="25"/>
      <c r="N1022" s="25">
        <f>'Combined Retirement'!$C$18/12</f>
        <v>40940.569999999992</v>
      </c>
      <c r="O1022" s="25">
        <f t="shared" si="785"/>
        <v>10889.636755601023</v>
      </c>
      <c r="P1022" s="25">
        <f t="shared" si="786"/>
        <v>30050.93324439897</v>
      </c>
      <c r="Q1022" s="25">
        <f t="array" aca="1" ref="Q1022" ca="1">INDEX('Isaac 401k'!L:L,MATCH('Retirement Calculator'!A1022,'Isaac 401k'!N:N,0),0)</f>
        <v>-30191715.615152657</v>
      </c>
      <c r="R1022" s="25">
        <f t="array" aca="1" ref="R1022" ca="1">INDEX('Lorri 401b'!L:L,MATCH('Retirement Calculator'!A1022,'Lorri 401b'!N:N,0),0)</f>
        <v>-52070995.086275578</v>
      </c>
      <c r="S1022" s="25">
        <f t="shared" ca="1" si="787"/>
        <v>-82262710.701428235</v>
      </c>
    </row>
    <row r="1023" spans="1:19" ht="15.75" customHeight="1" x14ac:dyDescent="0.25">
      <c r="A1023" s="37">
        <v>82090</v>
      </c>
      <c r="B1023" s="398">
        <f t="shared" ref="B1023:C1023" si="1034">($A1023-B$9)/365.25</f>
        <v>142.87200547570157</v>
      </c>
      <c r="C1023" s="398">
        <f t="shared" si="1034"/>
        <v>138.26146475017111</v>
      </c>
      <c r="E1023" s="25">
        <f>IF(C1023&gt;$B$7,0,'Combined Retirement'!$D$13/12)</f>
        <v>0</v>
      </c>
      <c r="F1023" s="25">
        <f>IF(H1023=0,'Combined Retirement'!$D$32,0)+'Combined Retirement'!$B$24</f>
        <v>2870.372285649099</v>
      </c>
      <c r="G1023" s="25">
        <f>'Combined Retirement'!$C$24</f>
        <v>3254.2644699519233</v>
      </c>
      <c r="H1023" s="25">
        <f>IF(B1023&lt;62,0,'Combined Retirement'!$I$14)</f>
        <v>2345</v>
      </c>
      <c r="I1023" s="25">
        <f>IF(C1023&lt;62,0,'Combined Retirement'!$I$13)</f>
        <v>2420</v>
      </c>
      <c r="J1023" s="25">
        <f t="shared" si="783"/>
        <v>8395.6297298201844</v>
      </c>
      <c r="K1023" s="25">
        <f t="shared" si="784"/>
        <v>21655.303514578787</v>
      </c>
      <c r="L1023" s="25"/>
      <c r="N1023" s="25">
        <f>'Combined Retirement'!$C$18/12</f>
        <v>40940.569999999992</v>
      </c>
      <c r="O1023" s="25">
        <f t="shared" si="785"/>
        <v>10889.636755601023</v>
      </c>
      <c r="P1023" s="25">
        <f t="shared" si="786"/>
        <v>30050.93324439897</v>
      </c>
      <c r="Q1023" s="25">
        <f t="array" aca="1" ref="Q1023" ca="1">INDEX('Isaac 401k'!L:L,MATCH('Retirement Calculator'!A1023,'Isaac 401k'!N:N,0),0)</f>
        <v>-30325945.041736152</v>
      </c>
      <c r="R1023" s="25">
        <f t="array" aca="1" ref="R1023" ca="1">INDEX('Lorri 401b'!L:L,MATCH('Retirement Calculator'!A1023,'Lorri 401b'!N:N,0),0)</f>
        <v>-52309703.099747613</v>
      </c>
      <c r="S1023" s="25">
        <f t="shared" ca="1" si="787"/>
        <v>-82635648.141483769</v>
      </c>
    </row>
    <row r="1024" spans="1:19" ht="15.75" customHeight="1" x14ac:dyDescent="0.25">
      <c r="A1024" s="37">
        <v>82121</v>
      </c>
      <c r="B1024" s="398">
        <f t="shared" ref="B1024:C1024" si="1035">($A1024-B$9)/365.25</f>
        <v>142.95687885010267</v>
      </c>
      <c r="C1024" s="398">
        <f t="shared" si="1035"/>
        <v>138.34633812457221</v>
      </c>
      <c r="E1024" s="25">
        <f>IF(C1024&gt;$B$7,0,'Combined Retirement'!$D$13/12)</f>
        <v>0</v>
      </c>
      <c r="F1024" s="25">
        <f>IF(H1024=0,'Combined Retirement'!$D$32,0)+'Combined Retirement'!$B$24</f>
        <v>2870.372285649099</v>
      </c>
      <c r="G1024" s="25">
        <f>'Combined Retirement'!$C$24</f>
        <v>3254.2644699519233</v>
      </c>
      <c r="H1024" s="25">
        <f>IF(B1024&lt;62,0,'Combined Retirement'!$I$14)</f>
        <v>2345</v>
      </c>
      <c r="I1024" s="25">
        <f>IF(C1024&lt;62,0,'Combined Retirement'!$I$13)</f>
        <v>2420</v>
      </c>
      <c r="J1024" s="25">
        <f t="shared" si="783"/>
        <v>8395.6297298201844</v>
      </c>
      <c r="K1024" s="25">
        <f t="shared" si="784"/>
        <v>21655.303514578787</v>
      </c>
      <c r="L1024" s="25"/>
      <c r="N1024" s="25">
        <f>'Combined Retirement'!$C$18/12</f>
        <v>40940.569999999992</v>
      </c>
      <c r="O1024" s="25">
        <f t="shared" si="785"/>
        <v>10889.636755601023</v>
      </c>
      <c r="P1024" s="25">
        <f t="shared" si="786"/>
        <v>30050.93324439897</v>
      </c>
      <c r="Q1024" s="25">
        <f t="array" aca="1" ref="Q1024" ca="1">INDEX('Isaac 401k'!L:L,MATCH('Retirement Calculator'!A1024,'Isaac 401k'!N:N,0),0)</f>
        <v>-30460733.757597078</v>
      </c>
      <c r="R1024" s="25">
        <f t="array" aca="1" ref="R1024" ca="1">INDEX('Lorri 401b'!L:L,MATCH('Retirement Calculator'!A1024,'Lorri 401b'!N:N,0),0)</f>
        <v>-52549405.729942448</v>
      </c>
      <c r="S1024" s="25">
        <f t="shared" ca="1" si="787"/>
        <v>-83010139.48753953</v>
      </c>
    </row>
    <row r="1025" spans="1:19" ht="15.75" customHeight="1" x14ac:dyDescent="0.25">
      <c r="A1025" s="37">
        <v>82151</v>
      </c>
      <c r="B1025" s="398">
        <f t="shared" ref="B1025:C1025" si="1036">($A1025-B$9)/365.25</f>
        <v>143.03901437371664</v>
      </c>
      <c r="C1025" s="398">
        <f t="shared" si="1036"/>
        <v>138.42847364818618</v>
      </c>
      <c r="E1025" s="25">
        <f>IF(C1025&gt;$B$7,0,'Combined Retirement'!$D$13/12)</f>
        <v>0</v>
      </c>
      <c r="F1025" s="25">
        <f>IF(H1025=0,'Combined Retirement'!$D$32,0)+'Combined Retirement'!$B$24</f>
        <v>2870.372285649099</v>
      </c>
      <c r="G1025" s="25">
        <f>'Combined Retirement'!$C$24</f>
        <v>3254.2644699519233</v>
      </c>
      <c r="H1025" s="25">
        <f>IF(B1025&lt;62,0,'Combined Retirement'!$I$14)</f>
        <v>2345</v>
      </c>
      <c r="I1025" s="25">
        <f>IF(C1025&lt;62,0,'Combined Retirement'!$I$13)</f>
        <v>2420</v>
      </c>
      <c r="J1025" s="25">
        <f t="shared" si="783"/>
        <v>8395.6297298201844</v>
      </c>
      <c r="K1025" s="25">
        <f t="shared" si="784"/>
        <v>21655.303514578787</v>
      </c>
      <c r="L1025" s="25"/>
      <c r="N1025" s="25">
        <f>'Combined Retirement'!$C$18/12</f>
        <v>40940.569999999992</v>
      </c>
      <c r="O1025" s="25">
        <f t="shared" si="785"/>
        <v>10889.636755601023</v>
      </c>
      <c r="P1025" s="25">
        <f t="shared" si="786"/>
        <v>30050.93324439897</v>
      </c>
      <c r="Q1025" s="25">
        <f t="array" aca="1" ref="Q1025" ca="1">INDEX('Isaac 401k'!L:L,MATCH('Retirement Calculator'!A1025,'Isaac 401k'!N:N,0),0)</f>
        <v>-30596084.093107425</v>
      </c>
      <c r="R1025" s="25">
        <f t="array" aca="1" ref="R1025" ca="1">INDEX('Lorri 401b'!L:L,MATCH('Retirement Calculator'!A1025,'Lorri 401b'!N:N,0),0)</f>
        <v>-52790107.121096432</v>
      </c>
      <c r="S1025" s="25">
        <f t="shared" ca="1" si="787"/>
        <v>-83386191.214203864</v>
      </c>
    </row>
    <row r="1026" spans="1:19" ht="15.75" customHeight="1" x14ac:dyDescent="0.25">
      <c r="A1026" s="37">
        <v>82182</v>
      </c>
      <c r="B1026" s="398">
        <f t="shared" ref="B1026:C1026" si="1037">($A1026-B$9)/365.25</f>
        <v>143.12388774811774</v>
      </c>
      <c r="C1026" s="398">
        <f t="shared" si="1037"/>
        <v>138.51334702258728</v>
      </c>
      <c r="E1026" s="25">
        <f>IF(C1026&gt;$B$7,0,'Combined Retirement'!$D$13/12)</f>
        <v>0</v>
      </c>
      <c r="F1026" s="25">
        <f>IF(H1026=0,'Combined Retirement'!$D$32,0)+'Combined Retirement'!$B$24</f>
        <v>2870.372285649099</v>
      </c>
      <c r="G1026" s="25">
        <f>'Combined Retirement'!$C$24</f>
        <v>3254.2644699519233</v>
      </c>
      <c r="H1026" s="25">
        <f>IF(B1026&lt;62,0,'Combined Retirement'!$I$14)</f>
        <v>2345</v>
      </c>
      <c r="I1026" s="25">
        <f>IF(C1026&lt;62,0,'Combined Retirement'!$I$13)</f>
        <v>2420</v>
      </c>
      <c r="J1026" s="25">
        <f t="shared" si="783"/>
        <v>8395.6297298201844</v>
      </c>
      <c r="K1026" s="25">
        <f t="shared" si="784"/>
        <v>21655.303514578787</v>
      </c>
      <c r="L1026" s="25"/>
      <c r="N1026" s="25">
        <f>'Combined Retirement'!$C$18/12</f>
        <v>40940.569999999992</v>
      </c>
      <c r="O1026" s="25">
        <f t="shared" si="785"/>
        <v>10889.636755601023</v>
      </c>
      <c r="P1026" s="25">
        <f t="shared" si="786"/>
        <v>30050.93324439897</v>
      </c>
      <c r="Q1026" s="25">
        <f t="array" aca="1" ref="Q1026" ca="1">INDEX('Isaac 401k'!L:L,MATCH('Retirement Calculator'!A1026,'Isaac 401k'!N:N,0),0)</f>
        <v>-30731998.388349064</v>
      </c>
      <c r="R1026" s="25">
        <f t="array" aca="1" ref="R1026" ca="1">INDEX('Lorri 401b'!L:L,MATCH('Retirement Calculator'!A1026,'Lorri 401b'!N:N,0),0)</f>
        <v>-53031811.434713557</v>
      </c>
      <c r="S1026" s="25">
        <f t="shared" ca="1" si="787"/>
        <v>-83763809.823062629</v>
      </c>
    </row>
    <row r="1027" spans="1:19" ht="15.75" customHeight="1" x14ac:dyDescent="0.25">
      <c r="A1027" s="37">
        <v>82213</v>
      </c>
      <c r="B1027" s="398">
        <f t="shared" ref="B1027:C1027" si="1038">($A1027-B$9)/365.25</f>
        <v>143.20876112251884</v>
      </c>
      <c r="C1027" s="398">
        <f t="shared" si="1038"/>
        <v>138.59822039698835</v>
      </c>
      <c r="E1027" s="25">
        <f>IF(C1027&gt;$B$7,0,'Combined Retirement'!$D$13/12)</f>
        <v>0</v>
      </c>
      <c r="F1027" s="25">
        <f>IF(H1027=0,'Combined Retirement'!$D$32,0)+'Combined Retirement'!$B$24</f>
        <v>2870.372285649099</v>
      </c>
      <c r="G1027" s="25">
        <f>'Combined Retirement'!$C$24</f>
        <v>3254.2644699519233</v>
      </c>
      <c r="H1027" s="25">
        <f>IF(B1027&lt;62,0,'Combined Retirement'!$I$14)</f>
        <v>2345</v>
      </c>
      <c r="I1027" s="25">
        <f>IF(C1027&lt;62,0,'Combined Retirement'!$I$13)</f>
        <v>2420</v>
      </c>
      <c r="J1027" s="25">
        <f t="shared" si="783"/>
        <v>8395.6297298201844</v>
      </c>
      <c r="K1027" s="25">
        <f t="shared" si="784"/>
        <v>21655.303514578787</v>
      </c>
      <c r="L1027" s="25"/>
      <c r="N1027" s="25">
        <f>'Combined Retirement'!$C$18/12</f>
        <v>40940.569999999992</v>
      </c>
      <c r="O1027" s="25">
        <f t="shared" si="785"/>
        <v>10889.636755601023</v>
      </c>
      <c r="P1027" s="25">
        <f t="shared" si="786"/>
        <v>30050.93324439897</v>
      </c>
      <c r="Q1027" s="25">
        <f t="array" aca="1" ref="Q1027" ca="1">INDEX('Isaac 401k'!L:L,MATCH('Retirement Calculator'!A1027,'Isaac 401k'!N:N,0),0)</f>
        <v>-30868478.993154209</v>
      </c>
      <c r="R1027" s="25">
        <f t="array" aca="1" ref="R1027" ca="1">INDEX('Lorri 401b'!L:L,MATCH('Retirement Calculator'!A1027,'Lorri 401b'!N:N,0),0)</f>
        <v>-53274522.849637419</v>
      </c>
      <c r="S1027" s="25">
        <f t="shared" ca="1" si="787"/>
        <v>-84143001.842791632</v>
      </c>
    </row>
    <row r="1028" spans="1:19" ht="15.75" customHeight="1" x14ac:dyDescent="0.25">
      <c r="A1028" s="37">
        <v>82241</v>
      </c>
      <c r="B1028" s="398">
        <f t="shared" ref="B1028:C1028" si="1039">($A1028-B$9)/365.25</f>
        <v>143.28542094455852</v>
      </c>
      <c r="C1028" s="398">
        <f t="shared" si="1039"/>
        <v>138.67488021902807</v>
      </c>
      <c r="E1028" s="25">
        <f>IF(C1028&gt;$B$7,0,'Combined Retirement'!$D$13/12)</f>
        <v>0</v>
      </c>
      <c r="F1028" s="25">
        <f>IF(H1028=0,'Combined Retirement'!$D$32,0)+'Combined Retirement'!$B$24</f>
        <v>2870.372285649099</v>
      </c>
      <c r="G1028" s="25">
        <f>'Combined Retirement'!$C$24</f>
        <v>3254.2644699519233</v>
      </c>
      <c r="H1028" s="25">
        <f>IF(B1028&lt;62,0,'Combined Retirement'!$I$14)</f>
        <v>2345</v>
      </c>
      <c r="I1028" s="25">
        <f>IF(C1028&lt;62,0,'Combined Retirement'!$I$13)</f>
        <v>2420</v>
      </c>
      <c r="J1028" s="25">
        <f t="shared" si="783"/>
        <v>8395.6297298201844</v>
      </c>
      <c r="K1028" s="25">
        <f t="shared" si="784"/>
        <v>21655.303514578787</v>
      </c>
      <c r="L1028" s="25"/>
      <c r="N1028" s="25">
        <f>'Combined Retirement'!$C$18/12</f>
        <v>40940.569999999992</v>
      </c>
      <c r="O1028" s="25">
        <f t="shared" si="785"/>
        <v>10889.636755601023</v>
      </c>
      <c r="P1028" s="25">
        <f t="shared" si="786"/>
        <v>30050.93324439897</v>
      </c>
      <c r="Q1028" s="25">
        <f t="array" aca="1" ref="Q1028" ca="1">INDEX('Isaac 401k'!L:L,MATCH('Retirement Calculator'!A1028,'Isaac 401k'!N:N,0),0)</f>
        <v>-31005528.267146043</v>
      </c>
      <c r="R1028" s="25">
        <f t="array" aca="1" ref="R1028" ca="1">INDEX('Lorri 401b'!L:L,MATCH('Retirement Calculator'!A1028,'Lorri 401b'!N:N,0),0)</f>
        <v>-53518245.562123463</v>
      </c>
      <c r="S1028" s="25">
        <f t="shared" ca="1" si="787"/>
        <v>-84523773.829269499</v>
      </c>
    </row>
    <row r="1029" spans="1:19" ht="15.75" customHeight="1" x14ac:dyDescent="0.25">
      <c r="A1029" s="37">
        <v>82272</v>
      </c>
      <c r="B1029" s="398">
        <f t="shared" ref="B1029:C1029" si="1040">($A1029-B$9)/365.25</f>
        <v>143.37029431895962</v>
      </c>
      <c r="C1029" s="398">
        <f t="shared" si="1040"/>
        <v>138.75975359342917</v>
      </c>
      <c r="E1029" s="25">
        <f>IF(C1029&gt;$B$7,0,'Combined Retirement'!$D$13/12)</f>
        <v>0</v>
      </c>
      <c r="F1029" s="25">
        <f>IF(H1029=0,'Combined Retirement'!$D$32,0)+'Combined Retirement'!$B$24</f>
        <v>2870.372285649099</v>
      </c>
      <c r="G1029" s="25">
        <f>'Combined Retirement'!$C$24</f>
        <v>3254.2644699519233</v>
      </c>
      <c r="H1029" s="25">
        <f>IF(B1029&lt;62,0,'Combined Retirement'!$I$14)</f>
        <v>2345</v>
      </c>
      <c r="I1029" s="25">
        <f>IF(C1029&lt;62,0,'Combined Retirement'!$I$13)</f>
        <v>2420</v>
      </c>
      <c r="J1029" s="25">
        <f t="shared" si="783"/>
        <v>8395.6297298201844</v>
      </c>
      <c r="K1029" s="25">
        <f t="shared" si="784"/>
        <v>21655.303514578787</v>
      </c>
      <c r="L1029" s="25"/>
      <c r="N1029" s="25">
        <f>'Combined Retirement'!$C$18/12</f>
        <v>40940.569999999992</v>
      </c>
      <c r="O1029" s="25">
        <f t="shared" si="785"/>
        <v>10889.636755601023</v>
      </c>
      <c r="P1029" s="25">
        <f t="shared" si="786"/>
        <v>30050.93324439897</v>
      </c>
      <c r="Q1029" s="25">
        <f t="array" aca="1" ref="Q1029" ca="1">INDEX('Isaac 401k'!L:L,MATCH('Retirement Calculator'!A1029,'Isaac 401k'!N:N,0),0)</f>
        <v>-31143148.579779513</v>
      </c>
      <c r="R1029" s="25">
        <f t="array" aca="1" ref="R1029" ca="1">INDEX('Lorri 401b'!L:L,MATCH('Retirement Calculator'!A1029,'Lorri 401b'!N:N,0),0)</f>
        <v>-53762983.78591153</v>
      </c>
      <c r="S1029" s="25">
        <f t="shared" ca="1" si="787"/>
        <v>-84906132.365691036</v>
      </c>
    </row>
    <row r="1030" spans="1:19" ht="15.75" customHeight="1" x14ac:dyDescent="0.25">
      <c r="A1030" s="37">
        <v>82302</v>
      </c>
      <c r="B1030" s="398">
        <f t="shared" ref="B1030:C1030" si="1041">($A1030-B$9)/365.25</f>
        <v>143.45242984257359</v>
      </c>
      <c r="C1030" s="398">
        <f t="shared" si="1041"/>
        <v>138.84188911704311</v>
      </c>
      <c r="E1030" s="25">
        <f>IF(C1030&gt;$B$7,0,'Combined Retirement'!$D$13/12)</f>
        <v>0</v>
      </c>
      <c r="F1030" s="25">
        <f>IF(H1030=0,'Combined Retirement'!$D$32,0)+'Combined Retirement'!$B$24</f>
        <v>2870.372285649099</v>
      </c>
      <c r="G1030" s="25">
        <f>'Combined Retirement'!$C$24</f>
        <v>3254.2644699519233</v>
      </c>
      <c r="H1030" s="25">
        <f>IF(B1030&lt;62,0,'Combined Retirement'!$I$14)</f>
        <v>2345</v>
      </c>
      <c r="I1030" s="25">
        <f>IF(C1030&lt;62,0,'Combined Retirement'!$I$13)</f>
        <v>2420</v>
      </c>
      <c r="J1030" s="25">
        <f t="shared" si="783"/>
        <v>8395.6297298201844</v>
      </c>
      <c r="K1030" s="25">
        <f t="shared" si="784"/>
        <v>21655.303514578787</v>
      </c>
      <c r="L1030" s="25"/>
      <c r="N1030" s="25">
        <f>'Combined Retirement'!$C$18/12</f>
        <v>40940.569999999992</v>
      </c>
      <c r="O1030" s="25">
        <f t="shared" si="785"/>
        <v>10889.636755601023</v>
      </c>
      <c r="P1030" s="25">
        <f t="shared" si="786"/>
        <v>30050.93324439897</v>
      </c>
      <c r="Q1030" s="25">
        <f t="array" aca="1" ref="Q1030" ca="1">INDEX('Isaac 401k'!L:L,MATCH('Retirement Calculator'!A1030,'Isaac 401k'!N:N,0),0)</f>
        <v>-31281342.310382288</v>
      </c>
      <c r="R1030" s="25">
        <f t="array" aca="1" ref="R1030" ca="1">INDEX('Lorri 401b'!L:L,MATCH('Retirement Calculator'!A1030,'Lorri 401b'!N:N,0),0)</f>
        <v>-54008741.75229872</v>
      </c>
      <c r="S1030" s="25">
        <f t="shared" ca="1" si="787"/>
        <v>-85290084.062681004</v>
      </c>
    </row>
    <row r="1031" spans="1:19" ht="15.75" customHeight="1" x14ac:dyDescent="0.25">
      <c r="A1031" s="37">
        <v>82333</v>
      </c>
      <c r="B1031" s="398">
        <f t="shared" ref="B1031:C1031" si="1042">($A1031-B$9)/365.25</f>
        <v>143.53730321697466</v>
      </c>
      <c r="C1031" s="398">
        <f t="shared" si="1042"/>
        <v>138.92676249144421</v>
      </c>
      <c r="E1031" s="25">
        <f>IF(C1031&gt;$B$7,0,'Combined Retirement'!$D$13/12)</f>
        <v>0</v>
      </c>
      <c r="F1031" s="25">
        <f>IF(H1031=0,'Combined Retirement'!$D$32,0)+'Combined Retirement'!$B$24</f>
        <v>2870.372285649099</v>
      </c>
      <c r="G1031" s="25">
        <f>'Combined Retirement'!$C$24</f>
        <v>3254.2644699519233</v>
      </c>
      <c r="H1031" s="25">
        <f>IF(B1031&lt;62,0,'Combined Retirement'!$I$14)</f>
        <v>2345</v>
      </c>
      <c r="I1031" s="25">
        <f>IF(C1031&lt;62,0,'Combined Retirement'!$I$13)</f>
        <v>2420</v>
      </c>
      <c r="J1031" s="25">
        <f t="shared" ref="J1031:J1171" si="1043">IF(C1031&lt;59.5,P1031,P1031*$J$7)</f>
        <v>8395.6297298201844</v>
      </c>
      <c r="K1031" s="25">
        <f t="shared" ref="K1031:K1171" si="1044">IF(C1031&lt;59.5,0,IF(C1031&lt;$B$7,0,P1031*$K$7))</f>
        <v>21655.303514578787</v>
      </c>
      <c r="L1031" s="25"/>
      <c r="N1031" s="25">
        <f>'Combined Retirement'!$C$18/12</f>
        <v>40940.569999999992</v>
      </c>
      <c r="O1031" s="25">
        <f t="shared" ref="O1031:O1171" si="1045">SUM(E1031:I1031)</f>
        <v>10889.636755601023</v>
      </c>
      <c r="P1031" s="25">
        <f t="shared" ref="P1031:P1171" si="1046">N1031-O1031</f>
        <v>30050.93324439897</v>
      </c>
      <c r="Q1031" s="25">
        <f t="array" aca="1" ref="Q1031" ca="1">INDEX('Isaac 401k'!L:L,MATCH('Retirement Calculator'!A1031,'Isaac 401k'!N:N,0),0)</f>
        <v>-31420111.848195907</v>
      </c>
      <c r="R1031" s="25">
        <f t="array" aca="1" ref="R1031" ca="1">INDEX('Lorri 401b'!L:L,MATCH('Retirement Calculator'!A1031,'Lorri 401b'!N:N,0),0)</f>
        <v>-54255523.710212521</v>
      </c>
      <c r="S1031" s="25">
        <f t="shared" ref="S1031:S1171" ca="1" si="1047">SUM(Q1031:R1031)</f>
        <v>-85675635.558408424</v>
      </c>
    </row>
    <row r="1032" spans="1:19" ht="15.75" customHeight="1" x14ac:dyDescent="0.25">
      <c r="A1032" s="37">
        <v>82363</v>
      </c>
      <c r="B1032" s="398">
        <f t="shared" ref="B1032:C1032" si="1048">($A1032-B$9)/365.25</f>
        <v>143.61943874058863</v>
      </c>
      <c r="C1032" s="398">
        <f t="shared" si="1048"/>
        <v>139.00889801505818</v>
      </c>
      <c r="E1032" s="25">
        <f>IF(C1032&gt;$B$7,0,'Combined Retirement'!$D$13/12)</f>
        <v>0</v>
      </c>
      <c r="F1032" s="25">
        <f>IF(H1032=0,'Combined Retirement'!$D$32,0)+'Combined Retirement'!$B$24</f>
        <v>2870.372285649099</v>
      </c>
      <c r="G1032" s="25">
        <f>'Combined Retirement'!$C$24</f>
        <v>3254.2644699519233</v>
      </c>
      <c r="H1032" s="25">
        <f>IF(B1032&lt;62,0,'Combined Retirement'!$I$14)</f>
        <v>2345</v>
      </c>
      <c r="I1032" s="25">
        <f>IF(C1032&lt;62,0,'Combined Retirement'!$I$13)</f>
        <v>2420</v>
      </c>
      <c r="J1032" s="25">
        <f t="shared" si="1043"/>
        <v>8395.6297298201844</v>
      </c>
      <c r="K1032" s="25">
        <f t="shared" si="1044"/>
        <v>21655.303514578787</v>
      </c>
      <c r="L1032" s="25"/>
      <c r="N1032" s="25">
        <f>'Combined Retirement'!$C$18/12</f>
        <v>40940.569999999992</v>
      </c>
      <c r="O1032" s="25">
        <f t="shared" si="1045"/>
        <v>10889.636755601023</v>
      </c>
      <c r="P1032" s="25">
        <f t="shared" si="1046"/>
        <v>30050.93324439897</v>
      </c>
      <c r="Q1032" s="25">
        <f t="array" aca="1" ref="Q1032" ca="1">INDEX('Isaac 401k'!L:L,MATCH('Retirement Calculator'!A1032,'Isaac 401k'!N:N,0),0)</f>
        <v>-31559459.592417084</v>
      </c>
      <c r="R1032" s="25">
        <f t="array" aca="1" ref="R1032" ca="1">INDEX('Lorri 401b'!L:L,MATCH('Retirement Calculator'!A1032,'Lorri 401b'!N:N,0),0)</f>
        <v>-54503333.926284298</v>
      </c>
      <c r="S1032" s="25">
        <f t="shared" ca="1" si="1047"/>
        <v>-86062793.518701375</v>
      </c>
    </row>
    <row r="1033" spans="1:19" ht="15.75" customHeight="1" x14ac:dyDescent="0.25">
      <c r="A1033" s="37">
        <v>82394</v>
      </c>
      <c r="B1033" s="398">
        <f t="shared" ref="B1033:C1033" si="1049">($A1033-B$9)/365.25</f>
        <v>143.70431211498973</v>
      </c>
      <c r="C1033" s="398">
        <f t="shared" si="1049"/>
        <v>139.09377138945928</v>
      </c>
      <c r="E1033" s="25">
        <f>IF(C1033&gt;$B$7,0,'Combined Retirement'!$D$13/12)</f>
        <v>0</v>
      </c>
      <c r="F1033" s="25">
        <f>IF(H1033=0,'Combined Retirement'!$D$32,0)+'Combined Retirement'!$B$24</f>
        <v>2870.372285649099</v>
      </c>
      <c r="G1033" s="25">
        <f>'Combined Retirement'!$C$24</f>
        <v>3254.2644699519233</v>
      </c>
      <c r="H1033" s="25">
        <f>IF(B1033&lt;62,0,'Combined Retirement'!$I$14)</f>
        <v>2345</v>
      </c>
      <c r="I1033" s="25">
        <f>IF(C1033&lt;62,0,'Combined Retirement'!$I$13)</f>
        <v>2420</v>
      </c>
      <c r="J1033" s="25">
        <f t="shared" si="1043"/>
        <v>8395.6297298201844</v>
      </c>
      <c r="K1033" s="25">
        <f t="shared" si="1044"/>
        <v>21655.303514578787</v>
      </c>
      <c r="L1033" s="25"/>
      <c r="N1033" s="25">
        <f>'Combined Retirement'!$C$18/12</f>
        <v>40940.569999999992</v>
      </c>
      <c r="O1033" s="25">
        <f t="shared" si="1045"/>
        <v>10889.636755601023</v>
      </c>
      <c r="P1033" s="25">
        <f t="shared" si="1046"/>
        <v>30050.93324439897</v>
      </c>
      <c r="Q1033" s="25">
        <f t="array" aca="1" ref="Q1033" ca="1">INDEX('Isaac 401k'!L:L,MATCH('Retirement Calculator'!A1033,'Isaac 401k'!N:N,0),0)</f>
        <v>-31699387.952239182</v>
      </c>
      <c r="R1033" s="25">
        <f t="array" aca="1" ref="R1033" ca="1">INDEX('Lorri 401b'!L:L,MATCH('Retirement Calculator'!A1033,'Lorri 401b'!N:N,0),0)</f>
        <v>-54752176.684923038</v>
      </c>
      <c r="S1033" s="25">
        <f t="shared" ca="1" si="1047"/>
        <v>-86451564.637162223</v>
      </c>
    </row>
    <row r="1034" spans="1:19" ht="15.75" customHeight="1" x14ac:dyDescent="0.25">
      <c r="A1034" s="37">
        <v>82425</v>
      </c>
      <c r="B1034" s="398">
        <f t="shared" ref="B1034:C1034" si="1050">($A1034-B$9)/365.25</f>
        <v>143.78918548939083</v>
      </c>
      <c r="C1034" s="398">
        <f t="shared" si="1050"/>
        <v>139.17864476386038</v>
      </c>
      <c r="E1034" s="25">
        <f>IF(C1034&gt;$B$7,0,'Combined Retirement'!$D$13/12)</f>
        <v>0</v>
      </c>
      <c r="F1034" s="25">
        <f>IF(H1034=0,'Combined Retirement'!$D$32,0)+'Combined Retirement'!$B$24</f>
        <v>2870.372285649099</v>
      </c>
      <c r="G1034" s="25">
        <f>'Combined Retirement'!$C$24</f>
        <v>3254.2644699519233</v>
      </c>
      <c r="H1034" s="25">
        <f>IF(B1034&lt;62,0,'Combined Retirement'!$I$14)</f>
        <v>2345</v>
      </c>
      <c r="I1034" s="25">
        <f>IF(C1034&lt;62,0,'Combined Retirement'!$I$13)</f>
        <v>2420</v>
      </c>
      <c r="J1034" s="25">
        <f t="shared" si="1043"/>
        <v>8395.6297298201844</v>
      </c>
      <c r="K1034" s="25">
        <f t="shared" si="1044"/>
        <v>21655.303514578787</v>
      </c>
      <c r="L1034" s="25"/>
      <c r="N1034" s="25">
        <f>'Combined Retirement'!$C$18/12</f>
        <v>40940.569999999992</v>
      </c>
      <c r="O1034" s="25">
        <f t="shared" si="1045"/>
        <v>10889.636755601023</v>
      </c>
      <c r="P1034" s="25">
        <f t="shared" si="1046"/>
        <v>30050.93324439897</v>
      </c>
      <c r="Q1034" s="25">
        <f t="array" aca="1" ref="Q1034" ca="1">INDEX('Isaac 401k'!L:L,MATCH('Retirement Calculator'!A1034,'Isaac 401k'!N:N,0),0)</f>
        <v>-31839899.346893873</v>
      </c>
      <c r="R1034" s="25">
        <f t="array" aca="1" ref="R1034" ca="1">INDEX('Lorri 401b'!L:L,MATCH('Retirement Calculator'!A1034,'Lorri 401b'!N:N,0),0)</f>
        <v>-55002056.288389437</v>
      </c>
      <c r="S1034" s="25">
        <f t="shared" ca="1" si="1047"/>
        <v>-86841955.635283306</v>
      </c>
    </row>
    <row r="1035" spans="1:19" ht="15.75" customHeight="1" x14ac:dyDescent="0.25">
      <c r="A1035" s="37">
        <v>82455</v>
      </c>
      <c r="B1035" s="398">
        <f t="shared" ref="B1035:C1035" si="1051">($A1035-B$9)/365.25</f>
        <v>143.8713210130048</v>
      </c>
      <c r="C1035" s="398">
        <f t="shared" si="1051"/>
        <v>139.26078028747432</v>
      </c>
      <c r="E1035" s="25">
        <f>IF(C1035&gt;$B$7,0,'Combined Retirement'!$D$13/12)</f>
        <v>0</v>
      </c>
      <c r="F1035" s="25">
        <f>IF(H1035=0,'Combined Retirement'!$D$32,0)+'Combined Retirement'!$B$24</f>
        <v>2870.372285649099</v>
      </c>
      <c r="G1035" s="25">
        <f>'Combined Retirement'!$C$24</f>
        <v>3254.2644699519233</v>
      </c>
      <c r="H1035" s="25">
        <f>IF(B1035&lt;62,0,'Combined Retirement'!$I$14)</f>
        <v>2345</v>
      </c>
      <c r="I1035" s="25">
        <f>IF(C1035&lt;62,0,'Combined Retirement'!$I$13)</f>
        <v>2420</v>
      </c>
      <c r="J1035" s="25">
        <f t="shared" si="1043"/>
        <v>8395.6297298201844</v>
      </c>
      <c r="K1035" s="25">
        <f t="shared" si="1044"/>
        <v>21655.303514578787</v>
      </c>
      <c r="L1035" s="25"/>
      <c r="N1035" s="25">
        <f>'Combined Retirement'!$C$18/12</f>
        <v>40940.569999999992</v>
      </c>
      <c r="O1035" s="25">
        <f t="shared" si="1045"/>
        <v>10889.636755601023</v>
      </c>
      <c r="P1035" s="25">
        <f t="shared" si="1046"/>
        <v>30050.93324439897</v>
      </c>
      <c r="Q1035" s="25">
        <f t="array" aca="1" ref="Q1035" ca="1">INDEX('Isaac 401k'!L:L,MATCH('Retirement Calculator'!A1035,'Isaac 401k'!N:N,0),0)</f>
        <v>-31980996.205692958</v>
      </c>
      <c r="R1035" s="25">
        <f t="array" aca="1" ref="R1035" ca="1">INDEX('Lorri 401b'!L:L,MATCH('Retirement Calculator'!A1035,'Lorri 401b'!N:N,0),0)</f>
        <v>-55252977.056870282</v>
      </c>
      <c r="S1035" s="25">
        <f t="shared" ca="1" si="1047"/>
        <v>-87233973.262563244</v>
      </c>
    </row>
    <row r="1036" spans="1:19" ht="15.75" customHeight="1" x14ac:dyDescent="0.25">
      <c r="A1036" s="37">
        <v>82486</v>
      </c>
      <c r="B1036" s="398">
        <f t="shared" ref="B1036:C1036" si="1052">($A1036-B$9)/365.25</f>
        <v>143.95619438740587</v>
      </c>
      <c r="C1036" s="398">
        <f t="shared" si="1052"/>
        <v>139.34565366187542</v>
      </c>
      <c r="E1036" s="25">
        <f>IF(C1036&gt;$B$7,0,'Combined Retirement'!$D$13/12)</f>
        <v>0</v>
      </c>
      <c r="F1036" s="25">
        <f>IF(H1036=0,'Combined Retirement'!$D$32,0)+'Combined Retirement'!$B$24</f>
        <v>2870.372285649099</v>
      </c>
      <c r="G1036" s="25">
        <f>'Combined Retirement'!$C$24</f>
        <v>3254.2644699519233</v>
      </c>
      <c r="H1036" s="25">
        <f>IF(B1036&lt;62,0,'Combined Retirement'!$I$14)</f>
        <v>2345</v>
      </c>
      <c r="I1036" s="25">
        <f>IF(C1036&lt;62,0,'Combined Retirement'!$I$13)</f>
        <v>2420</v>
      </c>
      <c r="J1036" s="25">
        <f t="shared" si="1043"/>
        <v>8395.6297298201844</v>
      </c>
      <c r="K1036" s="25">
        <f t="shared" si="1044"/>
        <v>21655.303514578787</v>
      </c>
      <c r="L1036" s="25"/>
      <c r="N1036" s="25">
        <f>'Combined Retirement'!$C$18/12</f>
        <v>40940.569999999992</v>
      </c>
      <c r="O1036" s="25">
        <f t="shared" si="1045"/>
        <v>10889.636755601023</v>
      </c>
      <c r="P1036" s="25">
        <f t="shared" si="1046"/>
        <v>30050.93324439897</v>
      </c>
      <c r="Q1036" s="25">
        <f t="array" aca="1" ref="Q1036" ca="1">INDEX('Isaac 401k'!L:L,MATCH('Retirement Calculator'!A1036,'Isaac 401k'!N:N,0),0)</f>
        <v>-32122680.968070373</v>
      </c>
      <c r="R1036" s="25">
        <f t="array" aca="1" ref="R1036" ca="1">INDEX('Lorri 401b'!L:L,MATCH('Retirement Calculator'!A1036,'Lorri 401b'!N:N,0),0)</f>
        <v>-55504943.328553133</v>
      </c>
      <c r="S1036" s="25">
        <f t="shared" ca="1" si="1047"/>
        <v>-87627624.296623498</v>
      </c>
    </row>
    <row r="1037" spans="1:19" ht="15.75" customHeight="1" x14ac:dyDescent="0.25">
      <c r="A1037" s="37">
        <v>82516</v>
      </c>
      <c r="B1037" s="398">
        <f t="shared" ref="B1037:C1037" si="1053">($A1037-B$9)/365.25</f>
        <v>144.03832991101984</v>
      </c>
      <c r="C1037" s="398">
        <f t="shared" si="1053"/>
        <v>139.42778918548939</v>
      </c>
      <c r="E1037" s="25">
        <f>IF(C1037&gt;$B$7,0,'Combined Retirement'!$D$13/12)</f>
        <v>0</v>
      </c>
      <c r="F1037" s="25">
        <f>IF(H1037=0,'Combined Retirement'!$D$32,0)+'Combined Retirement'!$B$24</f>
        <v>2870.372285649099</v>
      </c>
      <c r="G1037" s="25">
        <f>'Combined Retirement'!$C$24</f>
        <v>3254.2644699519233</v>
      </c>
      <c r="H1037" s="25">
        <f>IF(B1037&lt;62,0,'Combined Retirement'!$I$14)</f>
        <v>2345</v>
      </c>
      <c r="I1037" s="25">
        <f>IF(C1037&lt;62,0,'Combined Retirement'!$I$13)</f>
        <v>2420</v>
      </c>
      <c r="J1037" s="25">
        <f t="shared" si="1043"/>
        <v>8395.6297298201844</v>
      </c>
      <c r="K1037" s="25">
        <f t="shared" si="1044"/>
        <v>21655.303514578787</v>
      </c>
      <c r="L1037" s="25"/>
      <c r="N1037" s="25">
        <f>'Combined Retirement'!$C$18/12</f>
        <v>40940.569999999992</v>
      </c>
      <c r="O1037" s="25">
        <f t="shared" si="1045"/>
        <v>10889.636755601023</v>
      </c>
      <c r="P1037" s="25">
        <f t="shared" si="1046"/>
        <v>30050.93324439897</v>
      </c>
      <c r="Q1037" s="25">
        <f t="array" aca="1" ref="Q1037" ca="1">INDEX('Isaac 401k'!L:L,MATCH('Retirement Calculator'!A1037,'Isaac 401k'!N:N,0),0)</f>
        <v>-32264956.083624359</v>
      </c>
      <c r="R1037" s="25">
        <f t="array" aca="1" ref="R1037" ca="1">INDEX('Lorri 401b'!L:L,MATCH('Retirement Calculator'!A1037,'Lorri 401b'!N:N,0),0)</f>
        <v>-55757959.459701322</v>
      </c>
      <c r="S1037" s="25">
        <f t="shared" ca="1" si="1047"/>
        <v>-88022915.543325678</v>
      </c>
    </row>
    <row r="1038" spans="1:19" ht="15.75" customHeight="1" x14ac:dyDescent="0.25">
      <c r="A1038" s="37">
        <v>82547</v>
      </c>
      <c r="B1038" s="398">
        <f t="shared" ref="B1038:C1038" si="1054">($A1038-B$9)/365.25</f>
        <v>144.12320328542094</v>
      </c>
      <c r="C1038" s="398">
        <f t="shared" si="1054"/>
        <v>139.51266255989049</v>
      </c>
      <c r="E1038" s="25">
        <f>IF(C1038&gt;$B$7,0,'Combined Retirement'!$D$13/12)</f>
        <v>0</v>
      </c>
      <c r="F1038" s="25">
        <f>IF(H1038=0,'Combined Retirement'!$D$32,0)+'Combined Retirement'!$B$24</f>
        <v>2870.372285649099</v>
      </c>
      <c r="G1038" s="25">
        <f>'Combined Retirement'!$C$24</f>
        <v>3254.2644699519233</v>
      </c>
      <c r="H1038" s="25">
        <f>IF(B1038&lt;62,0,'Combined Retirement'!$I$14)</f>
        <v>2345</v>
      </c>
      <c r="I1038" s="25">
        <f>IF(C1038&lt;62,0,'Combined Retirement'!$I$13)</f>
        <v>2420</v>
      </c>
      <c r="J1038" s="25">
        <f t="shared" si="1043"/>
        <v>8395.6297298201844</v>
      </c>
      <c r="K1038" s="25">
        <f t="shared" si="1044"/>
        <v>21655.303514578787</v>
      </c>
      <c r="L1038" s="25"/>
      <c r="N1038" s="25">
        <f>'Combined Retirement'!$C$18/12</f>
        <v>40940.569999999992</v>
      </c>
      <c r="O1038" s="25">
        <f t="shared" si="1045"/>
        <v>10889.636755601023</v>
      </c>
      <c r="P1038" s="25">
        <f t="shared" si="1046"/>
        <v>30050.93324439897</v>
      </c>
      <c r="Q1038" s="25">
        <f t="array" aca="1" ref="Q1038" ca="1">INDEX('Isaac 401k'!L:L,MATCH('Retirement Calculator'!A1038,'Isaac 401k'!N:N,0),0)</f>
        <v>-32407824.012159821</v>
      </c>
      <c r="R1038" s="25">
        <f t="array" aca="1" ref="R1038" ca="1">INDEX('Lorri 401b'!L:L,MATCH('Retirement Calculator'!A1038,'Lorri 401b'!N:N,0),0)</f>
        <v>-56012029.824729301</v>
      </c>
      <c r="S1038" s="25">
        <f t="shared" ca="1" si="1047"/>
        <v>-88419853.836889118</v>
      </c>
    </row>
    <row r="1039" spans="1:19" ht="15.75" customHeight="1" x14ac:dyDescent="0.25">
      <c r="A1039" s="37">
        <v>82578</v>
      </c>
      <c r="B1039" s="398">
        <f t="shared" ref="B1039:C1039" si="1055">($A1039-B$9)/365.25</f>
        <v>144.20807665982204</v>
      </c>
      <c r="C1039" s="398">
        <f t="shared" si="1055"/>
        <v>139.59753593429159</v>
      </c>
      <c r="E1039" s="25">
        <f>IF(C1039&gt;$B$7,0,'Combined Retirement'!$D$13/12)</f>
        <v>0</v>
      </c>
      <c r="F1039" s="25">
        <f>IF(H1039=0,'Combined Retirement'!$D$32,0)+'Combined Retirement'!$B$24</f>
        <v>2870.372285649099</v>
      </c>
      <c r="G1039" s="25">
        <f>'Combined Retirement'!$C$24</f>
        <v>3254.2644699519233</v>
      </c>
      <c r="H1039" s="25">
        <f>IF(B1039&lt;62,0,'Combined Retirement'!$I$14)</f>
        <v>2345</v>
      </c>
      <c r="I1039" s="25">
        <f>IF(C1039&lt;62,0,'Combined Retirement'!$I$13)</f>
        <v>2420</v>
      </c>
      <c r="J1039" s="25">
        <f t="shared" si="1043"/>
        <v>8395.6297298201844</v>
      </c>
      <c r="K1039" s="25">
        <f t="shared" si="1044"/>
        <v>21655.303514578787</v>
      </c>
      <c r="L1039" s="25"/>
      <c r="N1039" s="25">
        <f>'Combined Retirement'!$C$18/12</f>
        <v>40940.569999999992</v>
      </c>
      <c r="O1039" s="25">
        <f t="shared" si="1045"/>
        <v>10889.636755601023</v>
      </c>
      <c r="P1039" s="25">
        <f t="shared" si="1046"/>
        <v>30050.93324439897</v>
      </c>
      <c r="Q1039" s="25">
        <f t="array" aca="1" ref="Q1039" ca="1">INDEX('Isaac 401k'!L:L,MATCH('Retirement Calculator'!A1039,'Isaac 401k'!N:N,0),0)</f>
        <v>-32551287.223730847</v>
      </c>
      <c r="R1039" s="25">
        <f t="array" aca="1" ref="R1039" ca="1">INDEX('Lorri 401b'!L:L,MATCH('Retirement Calculator'!A1039,'Lorri 401b'!N:N,0),0)</f>
        <v>-56267158.816278227</v>
      </c>
      <c r="S1039" s="25">
        <f t="shared" ca="1" si="1047"/>
        <v>-88818446.040009081</v>
      </c>
    </row>
    <row r="1040" spans="1:19" ht="15.75" customHeight="1" x14ac:dyDescent="0.25">
      <c r="A1040" s="37">
        <v>82606</v>
      </c>
      <c r="B1040" s="398">
        <f t="shared" ref="B1040:C1040" si="1056">($A1040-B$9)/365.25</f>
        <v>144.28473648186173</v>
      </c>
      <c r="C1040" s="398">
        <f t="shared" si="1056"/>
        <v>139.67419575633127</v>
      </c>
      <c r="E1040" s="25">
        <f>IF(C1040&gt;$B$7,0,'Combined Retirement'!$D$13/12)</f>
        <v>0</v>
      </c>
      <c r="F1040" s="25">
        <f>IF(H1040=0,'Combined Retirement'!$D$32,0)+'Combined Retirement'!$B$24</f>
        <v>2870.372285649099</v>
      </c>
      <c r="G1040" s="25">
        <f>'Combined Retirement'!$C$24</f>
        <v>3254.2644699519233</v>
      </c>
      <c r="H1040" s="25">
        <f>IF(B1040&lt;62,0,'Combined Retirement'!$I$14)</f>
        <v>2345</v>
      </c>
      <c r="I1040" s="25">
        <f>IF(C1040&lt;62,0,'Combined Retirement'!$I$13)</f>
        <v>2420</v>
      </c>
      <c r="J1040" s="25">
        <f t="shared" si="1043"/>
        <v>8395.6297298201844</v>
      </c>
      <c r="K1040" s="25">
        <f t="shared" si="1044"/>
        <v>21655.303514578787</v>
      </c>
      <c r="L1040" s="25"/>
      <c r="N1040" s="25">
        <f>'Combined Retirement'!$C$18/12</f>
        <v>40940.569999999992</v>
      </c>
      <c r="O1040" s="25">
        <f t="shared" si="1045"/>
        <v>10889.636755601023</v>
      </c>
      <c r="P1040" s="25">
        <f t="shared" si="1046"/>
        <v>30050.93324439897</v>
      </c>
      <c r="Q1040" s="25">
        <f t="array" aca="1" ref="Q1040" ca="1">INDEX('Isaac 401k'!L:L,MATCH('Retirement Calculator'!A1040,'Isaac 401k'!N:N,0),0)</f>
        <v>-32695348.198683418</v>
      </c>
      <c r="R1040" s="25">
        <f t="array" aca="1" ref="R1040" ca="1">INDEX('Lorri 401b'!L:L,MATCH('Retirement Calculator'!A1040,'Lorri 401b'!N:N,0),0)</f>
        <v>-56523350.845291942</v>
      </c>
      <c r="S1040" s="25">
        <f t="shared" ca="1" si="1047"/>
        <v>-89218699.043975353</v>
      </c>
    </row>
    <row r="1041" spans="1:19" ht="15.75" customHeight="1" x14ac:dyDescent="0.25">
      <c r="A1041" s="37">
        <v>82637</v>
      </c>
      <c r="B1041" s="398">
        <f t="shared" ref="B1041:C1041" si="1057">($A1041-B$9)/365.25</f>
        <v>144.36960985626283</v>
      </c>
      <c r="C1041" s="398">
        <f t="shared" si="1057"/>
        <v>139.75906913073237</v>
      </c>
      <c r="E1041" s="25">
        <f>IF(C1041&gt;$B$7,0,'Combined Retirement'!$D$13/12)</f>
        <v>0</v>
      </c>
      <c r="F1041" s="25">
        <f>IF(H1041=0,'Combined Retirement'!$D$32,0)+'Combined Retirement'!$B$24</f>
        <v>2870.372285649099</v>
      </c>
      <c r="G1041" s="25">
        <f>'Combined Retirement'!$C$24</f>
        <v>3254.2644699519233</v>
      </c>
      <c r="H1041" s="25">
        <f>IF(B1041&lt;62,0,'Combined Retirement'!$I$14)</f>
        <v>2345</v>
      </c>
      <c r="I1041" s="25">
        <f>IF(C1041&lt;62,0,'Combined Retirement'!$I$13)</f>
        <v>2420</v>
      </c>
      <c r="J1041" s="25">
        <f t="shared" si="1043"/>
        <v>8395.6297298201844</v>
      </c>
      <c r="K1041" s="25">
        <f t="shared" si="1044"/>
        <v>21655.303514578787</v>
      </c>
      <c r="L1041" s="25"/>
      <c r="N1041" s="25">
        <f>'Combined Retirement'!$C$18/12</f>
        <v>40940.569999999992</v>
      </c>
      <c r="O1041" s="25">
        <f t="shared" si="1045"/>
        <v>10889.636755601023</v>
      </c>
      <c r="P1041" s="25">
        <f t="shared" si="1046"/>
        <v>30050.93324439897</v>
      </c>
      <c r="Q1041" s="25">
        <f t="array" aca="1" ref="Q1041" ca="1">INDEX('Isaac 401k'!L:L,MATCH('Retirement Calculator'!A1041,'Isaac 401k'!N:N,0),0)</f>
        <v>-32840009.427698292</v>
      </c>
      <c r="R1041" s="25">
        <f t="array" aca="1" ref="R1041" ca="1">INDEX('Lorri 401b'!L:L,MATCH('Retirement Calculator'!A1041,'Lorri 401b'!N:N,0),0)</f>
        <v>-56780610.341093212</v>
      </c>
      <c r="S1041" s="25">
        <f t="shared" ca="1" si="1047"/>
        <v>-89620619.768791497</v>
      </c>
    </row>
    <row r="1042" spans="1:19" ht="15.75" customHeight="1" x14ac:dyDescent="0.25">
      <c r="A1042" s="37">
        <v>82667</v>
      </c>
      <c r="B1042" s="398">
        <f t="shared" ref="B1042:C1042" si="1058">($A1042-B$9)/365.25</f>
        <v>144.4517453798768</v>
      </c>
      <c r="C1042" s="398">
        <f t="shared" si="1058"/>
        <v>139.84120465434634</v>
      </c>
      <c r="E1042" s="25">
        <f>IF(C1042&gt;$B$7,0,'Combined Retirement'!$D$13/12)</f>
        <v>0</v>
      </c>
      <c r="F1042" s="25">
        <f>IF(H1042=0,'Combined Retirement'!$D$32,0)+'Combined Retirement'!$B$24</f>
        <v>2870.372285649099</v>
      </c>
      <c r="G1042" s="25">
        <f>'Combined Retirement'!$C$24</f>
        <v>3254.2644699519233</v>
      </c>
      <c r="H1042" s="25">
        <f>IF(B1042&lt;62,0,'Combined Retirement'!$I$14)</f>
        <v>2345</v>
      </c>
      <c r="I1042" s="25">
        <f>IF(C1042&lt;62,0,'Combined Retirement'!$I$13)</f>
        <v>2420</v>
      </c>
      <c r="J1042" s="25">
        <f t="shared" si="1043"/>
        <v>8395.6297298201844</v>
      </c>
      <c r="K1042" s="25">
        <f t="shared" si="1044"/>
        <v>21655.303514578787</v>
      </c>
      <c r="L1042" s="25"/>
      <c r="N1042" s="25">
        <f>'Combined Retirement'!$C$18/12</f>
        <v>40940.569999999992</v>
      </c>
      <c r="O1042" s="25">
        <f t="shared" si="1045"/>
        <v>10889.636755601023</v>
      </c>
      <c r="P1042" s="25">
        <f t="shared" si="1046"/>
        <v>30050.93324439897</v>
      </c>
      <c r="Q1042" s="25">
        <f t="array" aca="1" ref="Q1042" ca="1">INDEX('Isaac 401k'!L:L,MATCH('Retirement Calculator'!A1042,'Isaac 401k'!N:N,0),0)</f>
        <v>-32985273.411834061</v>
      </c>
      <c r="R1042" s="25">
        <f t="array" aca="1" ref="R1042" ca="1">INDEX('Lorri 401b'!L:L,MATCH('Retirement Calculator'!A1042,'Lorri 401b'!N:N,0),0)</f>
        <v>-57038941.751460321</v>
      </c>
      <c r="S1042" s="25">
        <f t="shared" ca="1" si="1047"/>
        <v>-90024215.163294375</v>
      </c>
    </row>
    <row r="1043" spans="1:19" ht="15.75" customHeight="1" x14ac:dyDescent="0.25">
      <c r="A1043" s="37">
        <v>82698</v>
      </c>
      <c r="B1043" s="398">
        <f t="shared" ref="B1043:C1043" si="1059">($A1043-B$9)/365.25</f>
        <v>144.5366187542779</v>
      </c>
      <c r="C1043" s="398">
        <f t="shared" si="1059"/>
        <v>139.92607802874744</v>
      </c>
      <c r="E1043" s="25">
        <f>IF(C1043&gt;$B$7,0,'Combined Retirement'!$D$13/12)</f>
        <v>0</v>
      </c>
      <c r="F1043" s="25">
        <f>IF(H1043=0,'Combined Retirement'!$D$32,0)+'Combined Retirement'!$B$24</f>
        <v>2870.372285649099</v>
      </c>
      <c r="G1043" s="25">
        <f>'Combined Retirement'!$C$24</f>
        <v>3254.2644699519233</v>
      </c>
      <c r="H1043" s="25">
        <f>IF(B1043&lt;62,0,'Combined Retirement'!$I$14)</f>
        <v>2345</v>
      </c>
      <c r="I1043" s="25">
        <f>IF(C1043&lt;62,0,'Combined Retirement'!$I$13)</f>
        <v>2420</v>
      </c>
      <c r="J1043" s="25">
        <f t="shared" si="1043"/>
        <v>8395.6297298201844</v>
      </c>
      <c r="K1043" s="25">
        <f t="shared" si="1044"/>
        <v>21655.303514578787</v>
      </c>
      <c r="L1043" s="25"/>
      <c r="N1043" s="25">
        <f>'Combined Retirement'!$C$18/12</f>
        <v>40940.569999999992</v>
      </c>
      <c r="O1043" s="25">
        <f t="shared" si="1045"/>
        <v>10889.636755601023</v>
      </c>
      <c r="P1043" s="25">
        <f t="shared" si="1046"/>
        <v>30050.93324439897</v>
      </c>
      <c r="Q1043" s="25">
        <f t="array" aca="1" ref="Q1043" ca="1">INDEX('Isaac 401k'!L:L,MATCH('Retirement Calculator'!A1043,'Isaac 401k'!N:N,0),0)</f>
        <v>-33131142.662570395</v>
      </c>
      <c r="R1043" s="25">
        <f t="array" aca="1" ref="R1043" ca="1">INDEX('Lorri 401b'!L:L,MATCH('Retirement Calculator'!A1043,'Lorri 401b'!N:N,0),0)</f>
        <v>-57298349.542703964</v>
      </c>
      <c r="S1043" s="25">
        <f t="shared" ca="1" si="1047"/>
        <v>-90429492.205274358</v>
      </c>
    </row>
    <row r="1044" spans="1:19" ht="15.75" customHeight="1" x14ac:dyDescent="0.25">
      <c r="A1044" s="37">
        <v>82728</v>
      </c>
      <c r="B1044" s="398">
        <f t="shared" ref="B1044:C1044" si="1060">($A1044-B$9)/365.25</f>
        <v>144.61875427789187</v>
      </c>
      <c r="C1044" s="398">
        <f t="shared" si="1060"/>
        <v>140.00821355236138</v>
      </c>
      <c r="E1044" s="25">
        <f>IF(C1044&gt;$B$7,0,'Combined Retirement'!$D$13/12)</f>
        <v>0</v>
      </c>
      <c r="F1044" s="25">
        <f>IF(H1044=0,'Combined Retirement'!$D$32,0)+'Combined Retirement'!$B$24</f>
        <v>2870.372285649099</v>
      </c>
      <c r="G1044" s="25">
        <f>'Combined Retirement'!$C$24</f>
        <v>3254.2644699519233</v>
      </c>
      <c r="H1044" s="25">
        <f>IF(B1044&lt;62,0,'Combined Retirement'!$I$14)</f>
        <v>2345</v>
      </c>
      <c r="I1044" s="25">
        <f>IF(C1044&lt;62,0,'Combined Retirement'!$I$13)</f>
        <v>2420</v>
      </c>
      <c r="J1044" s="25">
        <f t="shared" si="1043"/>
        <v>8395.6297298201844</v>
      </c>
      <c r="K1044" s="25">
        <f t="shared" si="1044"/>
        <v>21655.303514578787</v>
      </c>
      <c r="L1044" s="25"/>
      <c r="N1044" s="25">
        <f>'Combined Retirement'!$C$18/12</f>
        <v>40940.569999999992</v>
      </c>
      <c r="O1044" s="25">
        <f t="shared" si="1045"/>
        <v>10889.636755601023</v>
      </c>
      <c r="P1044" s="25">
        <f t="shared" si="1046"/>
        <v>30050.93324439897</v>
      </c>
      <c r="Q1044" s="25">
        <f t="array" aca="1" ref="Q1044" ca="1">INDEX('Isaac 401k'!L:L,MATCH('Retirement Calculator'!A1044,'Isaac 401k'!N:N,0),0)</f>
        <v>-33277619.701851465</v>
      </c>
      <c r="R1044" s="25">
        <f t="array" aca="1" ref="R1044" ca="1">INDEX('Lorri 401b'!L:L,MATCH('Retirement Calculator'!A1044,'Lorri 401b'!N:N,0),0)</f>
        <v>-57558838.199744456</v>
      </c>
      <c r="S1044" s="25">
        <f t="shared" ca="1" si="1047"/>
        <v>-90836457.90159592</v>
      </c>
    </row>
    <row r="1045" spans="1:19" ht="15.75" customHeight="1" x14ac:dyDescent="0.25">
      <c r="A1045" s="37">
        <v>82759</v>
      </c>
      <c r="B1045" s="398">
        <f t="shared" ref="B1045:C1045" si="1061">($A1045-B$9)/365.25</f>
        <v>144.70362765229294</v>
      </c>
      <c r="C1045" s="398">
        <f t="shared" si="1061"/>
        <v>140.09308692676248</v>
      </c>
      <c r="E1045" s="25">
        <f>IF(C1045&gt;$B$7,0,'Combined Retirement'!$D$13/12)</f>
        <v>0</v>
      </c>
      <c r="F1045" s="25">
        <f>IF(H1045=0,'Combined Retirement'!$D$32,0)+'Combined Retirement'!$B$24</f>
        <v>2870.372285649099</v>
      </c>
      <c r="G1045" s="25">
        <f>'Combined Retirement'!$C$24</f>
        <v>3254.2644699519233</v>
      </c>
      <c r="H1045" s="25">
        <f>IF(B1045&lt;62,0,'Combined Retirement'!$I$14)</f>
        <v>2345</v>
      </c>
      <c r="I1045" s="25">
        <f>IF(C1045&lt;62,0,'Combined Retirement'!$I$13)</f>
        <v>2420</v>
      </c>
      <c r="J1045" s="25">
        <f t="shared" si="1043"/>
        <v>8395.6297298201844</v>
      </c>
      <c r="K1045" s="25">
        <f t="shared" si="1044"/>
        <v>21655.303514578787</v>
      </c>
      <c r="L1045" s="25"/>
      <c r="N1045" s="25">
        <f>'Combined Retirement'!$C$18/12</f>
        <v>40940.569999999992</v>
      </c>
      <c r="O1045" s="25">
        <f t="shared" si="1045"/>
        <v>10889.636755601023</v>
      </c>
      <c r="P1045" s="25">
        <f t="shared" si="1046"/>
        <v>30050.93324439897</v>
      </c>
      <c r="Q1045" s="25">
        <f t="array" aca="1" ref="Q1045" ca="1">INDEX('Isaac 401k'!L:L,MATCH('Retirement Calculator'!A1045,'Isaac 401k'!N:N,0),0)</f>
        <v>-33424707.062129539</v>
      </c>
      <c r="R1045" s="25">
        <f t="array" aca="1" ref="R1045" ca="1">INDEX('Lorri 401b'!L:L,MATCH('Retirement Calculator'!A1045,'Lorri 401b'!N:N,0),0)</f>
        <v>-57820412.226189278</v>
      </c>
      <c r="S1045" s="25">
        <f t="shared" ca="1" si="1047"/>
        <v>-91245119.288318813</v>
      </c>
    </row>
    <row r="1046" spans="1:19" ht="15.75" customHeight="1" x14ac:dyDescent="0.25">
      <c r="A1046" s="37">
        <v>82790</v>
      </c>
      <c r="B1046" s="398">
        <f t="shared" ref="B1046:C1046" si="1062">($A1046-B$9)/365.25</f>
        <v>144.78850102669404</v>
      </c>
      <c r="C1046" s="398">
        <f t="shared" si="1062"/>
        <v>140.17796030116358</v>
      </c>
      <c r="E1046" s="25">
        <f>IF(C1046&gt;$B$7,0,'Combined Retirement'!$D$13/12)</f>
        <v>0</v>
      </c>
      <c r="F1046" s="25">
        <f>IF(H1046=0,'Combined Retirement'!$D$32,0)+'Combined Retirement'!$B$24</f>
        <v>2870.372285649099</v>
      </c>
      <c r="G1046" s="25">
        <f>'Combined Retirement'!$C$24</f>
        <v>3254.2644699519233</v>
      </c>
      <c r="H1046" s="25">
        <f>IF(B1046&lt;62,0,'Combined Retirement'!$I$14)</f>
        <v>2345</v>
      </c>
      <c r="I1046" s="25">
        <f>IF(C1046&lt;62,0,'Combined Retirement'!$I$13)</f>
        <v>2420</v>
      </c>
      <c r="J1046" s="25">
        <f t="shared" si="1043"/>
        <v>8395.6297298201844</v>
      </c>
      <c r="K1046" s="25">
        <f t="shared" si="1044"/>
        <v>21655.303514578787</v>
      </c>
      <c r="L1046" s="25"/>
      <c r="N1046" s="25">
        <f>'Combined Retirement'!$C$18/12</f>
        <v>40940.569999999992</v>
      </c>
      <c r="O1046" s="25">
        <f t="shared" si="1045"/>
        <v>10889.636755601023</v>
      </c>
      <c r="P1046" s="25">
        <f t="shared" si="1046"/>
        <v>30050.93324439897</v>
      </c>
      <c r="Q1046" s="25">
        <f t="array" aca="1" ref="Q1046" ca="1">INDEX('Isaac 401k'!L:L,MATCH('Retirement Calculator'!A1046,'Isaac 401k'!N:N,0),0)</f>
        <v>-33572407.286408775</v>
      </c>
      <c r="R1046" s="25">
        <f t="array" aca="1" ref="R1046" ca="1">INDEX('Lorri 401b'!L:L,MATCH('Retirement Calculator'!A1046,'Lorri 401b'!N:N,0),0)</f>
        <v>-58083076.144410953</v>
      </c>
      <c r="S1046" s="25">
        <f t="shared" ca="1" si="1047"/>
        <v>-91655483.43081972</v>
      </c>
    </row>
    <row r="1047" spans="1:19" ht="15.75" customHeight="1" x14ac:dyDescent="0.25">
      <c r="A1047" s="37">
        <v>82820</v>
      </c>
      <c r="B1047" s="398">
        <f t="shared" ref="B1047:C1047" si="1063">($A1047-B$9)/365.25</f>
        <v>144.87063655030801</v>
      </c>
      <c r="C1047" s="398">
        <f t="shared" si="1063"/>
        <v>140.26009582477755</v>
      </c>
      <c r="E1047" s="25">
        <f>IF(C1047&gt;$B$7,0,'Combined Retirement'!$D$13/12)</f>
        <v>0</v>
      </c>
      <c r="F1047" s="25">
        <f>IF(H1047=0,'Combined Retirement'!$D$32,0)+'Combined Retirement'!$B$24</f>
        <v>2870.372285649099</v>
      </c>
      <c r="G1047" s="25">
        <f>'Combined Retirement'!$C$24</f>
        <v>3254.2644699519233</v>
      </c>
      <c r="H1047" s="25">
        <f>IF(B1047&lt;62,0,'Combined Retirement'!$I$14)</f>
        <v>2345</v>
      </c>
      <c r="I1047" s="25">
        <f>IF(C1047&lt;62,0,'Combined Retirement'!$I$13)</f>
        <v>2420</v>
      </c>
      <c r="J1047" s="25">
        <f t="shared" si="1043"/>
        <v>8395.6297298201844</v>
      </c>
      <c r="K1047" s="25">
        <f t="shared" si="1044"/>
        <v>21655.303514578787</v>
      </c>
      <c r="L1047" s="25"/>
      <c r="N1047" s="25">
        <f>'Combined Retirement'!$C$18/12</f>
        <v>40940.569999999992</v>
      </c>
      <c r="O1047" s="25">
        <f t="shared" si="1045"/>
        <v>10889.636755601023</v>
      </c>
      <c r="P1047" s="25">
        <f t="shared" si="1046"/>
        <v>30050.93324439897</v>
      </c>
      <c r="Q1047" s="25">
        <f t="array" aca="1" ref="Q1047" ca="1">INDEX('Isaac 401k'!L:L,MATCH('Retirement Calculator'!A1047,'Isaac 401k'!N:N,0),0)</f>
        <v>-33720722.928289175</v>
      </c>
      <c r="R1047" s="25">
        <f t="array" aca="1" ref="R1047" ca="1">INDEX('Lorri 401b'!L:L,MATCH('Retirement Calculator'!A1047,'Lorri 401b'!N:N,0),0)</f>
        <v>-58346834.49562522</v>
      </c>
      <c r="S1047" s="25">
        <f t="shared" ca="1" si="1047"/>
        <v>-92067557.423914403</v>
      </c>
    </row>
    <row r="1048" spans="1:19" ht="15.75" customHeight="1" x14ac:dyDescent="0.25">
      <c r="A1048" s="37">
        <v>82851</v>
      </c>
      <c r="B1048" s="398">
        <f t="shared" ref="B1048:C1048" si="1064">($A1048-B$9)/365.25</f>
        <v>144.95550992470911</v>
      </c>
      <c r="C1048" s="398">
        <f t="shared" si="1064"/>
        <v>140.34496919917865</v>
      </c>
      <c r="E1048" s="25">
        <f>IF(C1048&gt;$B$7,0,'Combined Retirement'!$D$13/12)</f>
        <v>0</v>
      </c>
      <c r="F1048" s="25">
        <f>IF(H1048=0,'Combined Retirement'!$D$32,0)+'Combined Retirement'!$B$24</f>
        <v>2870.372285649099</v>
      </c>
      <c r="G1048" s="25">
        <f>'Combined Retirement'!$C$24</f>
        <v>3254.2644699519233</v>
      </c>
      <c r="H1048" s="25">
        <f>IF(B1048&lt;62,0,'Combined Retirement'!$I$14)</f>
        <v>2345</v>
      </c>
      <c r="I1048" s="25">
        <f>IF(C1048&lt;62,0,'Combined Retirement'!$I$13)</f>
        <v>2420</v>
      </c>
      <c r="J1048" s="25">
        <f t="shared" si="1043"/>
        <v>8395.6297298201844</v>
      </c>
      <c r="K1048" s="25">
        <f t="shared" si="1044"/>
        <v>21655.303514578787</v>
      </c>
      <c r="L1048" s="25"/>
      <c r="N1048" s="25">
        <f>'Combined Retirement'!$C$18/12</f>
        <v>40940.569999999992</v>
      </c>
      <c r="O1048" s="25">
        <f t="shared" si="1045"/>
        <v>10889.636755601023</v>
      </c>
      <c r="P1048" s="25">
        <f t="shared" si="1046"/>
        <v>30050.93324439897</v>
      </c>
      <c r="Q1048" s="25">
        <f t="array" aca="1" ref="Q1048" ca="1">INDEX('Isaac 401k'!L:L,MATCH('Retirement Calculator'!A1048,'Isaac 401k'!N:N,0),0)</f>
        <v>-33869656.552010745</v>
      </c>
      <c r="R1048" s="25">
        <f t="array" aca="1" ref="R1048" ca="1">INDEX('Lorri 401b'!L:L,MATCH('Retirement Calculator'!A1048,'Lorri 401b'!N:N,0),0)</f>
        <v>-58611691.839969546</v>
      </c>
      <c r="S1048" s="25">
        <f t="shared" ca="1" si="1047"/>
        <v>-92481348.39198029</v>
      </c>
    </row>
    <row r="1049" spans="1:19" ht="15.75" customHeight="1" x14ac:dyDescent="0.25">
      <c r="A1049" s="37">
        <v>82881</v>
      </c>
      <c r="B1049" s="398">
        <f t="shared" ref="B1049:C1049" si="1065">($A1049-B$9)/365.25</f>
        <v>145.03764544832308</v>
      </c>
      <c r="C1049" s="398">
        <f t="shared" si="1065"/>
        <v>140.42710472279262</v>
      </c>
      <c r="E1049" s="25">
        <f>IF(C1049&gt;$B$7,0,'Combined Retirement'!$D$13/12)</f>
        <v>0</v>
      </c>
      <c r="F1049" s="25">
        <f>IF(H1049=0,'Combined Retirement'!$D$32,0)+'Combined Retirement'!$B$24</f>
        <v>2870.372285649099</v>
      </c>
      <c r="G1049" s="25">
        <f>'Combined Retirement'!$C$24</f>
        <v>3254.2644699519233</v>
      </c>
      <c r="H1049" s="25">
        <f>IF(B1049&lt;62,0,'Combined Retirement'!$I$14)</f>
        <v>2345</v>
      </c>
      <c r="I1049" s="25">
        <f>IF(C1049&lt;62,0,'Combined Retirement'!$I$13)</f>
        <v>2420</v>
      </c>
      <c r="J1049" s="25">
        <f t="shared" si="1043"/>
        <v>8395.6297298201844</v>
      </c>
      <c r="K1049" s="25">
        <f t="shared" si="1044"/>
        <v>21655.303514578787</v>
      </c>
      <c r="L1049" s="25"/>
      <c r="N1049" s="25">
        <f>'Combined Retirement'!$C$18/12</f>
        <v>40940.569999999992</v>
      </c>
      <c r="O1049" s="25">
        <f t="shared" si="1045"/>
        <v>10889.636755601023</v>
      </c>
      <c r="P1049" s="25">
        <f t="shared" si="1046"/>
        <v>30050.93324439897</v>
      </c>
      <c r="Q1049" s="25">
        <f t="array" aca="1" ref="Q1049" ca="1">INDEX('Isaac 401k'!L:L,MATCH('Retirement Calculator'!A1049,'Isaac 401k'!N:N,0),0)</f>
        <v>-34019210.732497819</v>
      </c>
      <c r="R1049" s="25">
        <f t="array" aca="1" ref="R1049" ca="1">INDEX('Lorri 401b'!L:L,MATCH('Retirement Calculator'!A1049,'Lorri 401b'!N:N,0),0)</f>
        <v>-58877652.756581977</v>
      </c>
      <c r="S1049" s="25">
        <f t="shared" ca="1" si="1047"/>
        <v>-92896863.489079803</v>
      </c>
    </row>
    <row r="1050" spans="1:19" ht="15.75" customHeight="1" x14ac:dyDescent="0.25">
      <c r="A1050" s="37">
        <v>82912</v>
      </c>
      <c r="B1050" s="398">
        <f t="shared" ref="B1050:C1050" si="1066">($A1050-B$9)/365.25</f>
        <v>145.12251882272417</v>
      </c>
      <c r="C1050" s="398">
        <f t="shared" si="1066"/>
        <v>140.51197809719369</v>
      </c>
      <c r="E1050" s="25">
        <f>IF(C1050&gt;$B$7,0,'Combined Retirement'!$D$13/12)</f>
        <v>0</v>
      </c>
      <c r="F1050" s="25">
        <f>IF(H1050=0,'Combined Retirement'!$D$32,0)+'Combined Retirement'!$B$24</f>
        <v>2870.372285649099</v>
      </c>
      <c r="G1050" s="25">
        <f>'Combined Retirement'!$C$24</f>
        <v>3254.2644699519233</v>
      </c>
      <c r="H1050" s="25">
        <f>IF(B1050&lt;62,0,'Combined Retirement'!$I$14)</f>
        <v>2345</v>
      </c>
      <c r="I1050" s="25">
        <f>IF(C1050&lt;62,0,'Combined Retirement'!$I$13)</f>
        <v>2420</v>
      </c>
      <c r="J1050" s="25">
        <f t="shared" si="1043"/>
        <v>8395.6297298201844</v>
      </c>
      <c r="K1050" s="25">
        <f t="shared" si="1044"/>
        <v>21655.303514578787</v>
      </c>
      <c r="L1050" s="25"/>
      <c r="N1050" s="25">
        <f>'Combined Retirement'!$C$18/12</f>
        <v>40940.569999999992</v>
      </c>
      <c r="O1050" s="25">
        <f t="shared" si="1045"/>
        <v>10889.636755601023</v>
      </c>
      <c r="P1050" s="25">
        <f t="shared" si="1046"/>
        <v>30050.93324439897</v>
      </c>
      <c r="Q1050" s="25">
        <f t="array" aca="1" ref="Q1050" ca="1">INDEX('Isaac 401k'!L:L,MATCH('Retirement Calculator'!A1050,'Isaac 401k'!N:N,0),0)</f>
        <v>-34169388.05540359</v>
      </c>
      <c r="R1050" s="25">
        <f t="array" aca="1" ref="R1050" ca="1">INDEX('Lorri 401b'!L:L,MATCH('Retirement Calculator'!A1050,'Lorri 401b'!N:N,0),0)</f>
        <v>-59144721.843680292</v>
      </c>
      <c r="S1050" s="25">
        <f t="shared" ca="1" si="1047"/>
        <v>-93314109.899083883</v>
      </c>
    </row>
    <row r="1051" spans="1:19" ht="15.75" customHeight="1" x14ac:dyDescent="0.25">
      <c r="A1051" s="37">
        <v>82943</v>
      </c>
      <c r="B1051" s="398">
        <f t="shared" ref="B1051:C1051" si="1067">($A1051-B$9)/365.25</f>
        <v>145.20739219712524</v>
      </c>
      <c r="C1051" s="398">
        <f t="shared" si="1067"/>
        <v>140.59685147159479</v>
      </c>
      <c r="E1051" s="25">
        <f>IF(C1051&gt;$B$7,0,'Combined Retirement'!$D$13/12)</f>
        <v>0</v>
      </c>
      <c r="F1051" s="25">
        <f>IF(H1051=0,'Combined Retirement'!$D$32,0)+'Combined Retirement'!$B$24</f>
        <v>2870.372285649099</v>
      </c>
      <c r="G1051" s="25">
        <f>'Combined Retirement'!$C$24</f>
        <v>3254.2644699519233</v>
      </c>
      <c r="H1051" s="25">
        <f>IF(B1051&lt;62,0,'Combined Retirement'!$I$14)</f>
        <v>2345</v>
      </c>
      <c r="I1051" s="25">
        <f>IF(C1051&lt;62,0,'Combined Retirement'!$I$13)</f>
        <v>2420</v>
      </c>
      <c r="J1051" s="25">
        <f t="shared" si="1043"/>
        <v>8395.6297298201844</v>
      </c>
      <c r="K1051" s="25">
        <f t="shared" si="1044"/>
        <v>21655.303514578787</v>
      </c>
      <c r="L1051" s="25"/>
      <c r="N1051" s="25">
        <f>'Combined Retirement'!$C$18/12</f>
        <v>40940.569999999992</v>
      </c>
      <c r="O1051" s="25">
        <f t="shared" si="1045"/>
        <v>10889.636755601023</v>
      </c>
      <c r="P1051" s="25">
        <f t="shared" si="1046"/>
        <v>30050.93324439897</v>
      </c>
      <c r="Q1051" s="25">
        <f t="array" aca="1" ref="Q1051" ca="1">INDEX('Isaac 401k'!L:L,MATCH('Retirement Calculator'!A1051,'Isaac 401k'!N:N,0),0)</f>
        <v>-34320191.117154799</v>
      </c>
      <c r="R1051" s="25">
        <f t="array" aca="1" ref="R1051" ca="1">INDEX('Lorri 401b'!L:L,MATCH('Retirement Calculator'!A1051,'Lorri 401b'!N:N,0),0)</f>
        <v>-59412903.718641512</v>
      </c>
      <c r="S1051" s="25">
        <f t="shared" ca="1" si="1047"/>
        <v>-93733094.835796311</v>
      </c>
    </row>
    <row r="1052" spans="1:19" ht="15.75" customHeight="1" x14ac:dyDescent="0.25">
      <c r="A1052" s="37">
        <v>82971</v>
      </c>
      <c r="B1052" s="398">
        <f t="shared" ref="B1052:C1052" si="1068">($A1052-B$9)/365.25</f>
        <v>145.28405201916496</v>
      </c>
      <c r="C1052" s="398">
        <f t="shared" si="1068"/>
        <v>140.6735112936345</v>
      </c>
      <c r="E1052" s="25">
        <f>IF(C1052&gt;$B$7,0,'Combined Retirement'!$D$13/12)</f>
        <v>0</v>
      </c>
      <c r="F1052" s="25">
        <f>IF(H1052=0,'Combined Retirement'!$D$32,0)+'Combined Retirement'!$B$24</f>
        <v>2870.372285649099</v>
      </c>
      <c r="G1052" s="25">
        <f>'Combined Retirement'!$C$24</f>
        <v>3254.2644699519233</v>
      </c>
      <c r="H1052" s="25">
        <f>IF(B1052&lt;62,0,'Combined Retirement'!$I$14)</f>
        <v>2345</v>
      </c>
      <c r="I1052" s="25">
        <f>IF(C1052&lt;62,0,'Combined Retirement'!$I$13)</f>
        <v>2420</v>
      </c>
      <c r="J1052" s="25">
        <f t="shared" si="1043"/>
        <v>8395.6297298201844</v>
      </c>
      <c r="K1052" s="25">
        <f t="shared" si="1044"/>
        <v>21655.303514578787</v>
      </c>
      <c r="L1052" s="25"/>
      <c r="N1052" s="25">
        <f>'Combined Retirement'!$C$18/12</f>
        <v>40940.569999999992</v>
      </c>
      <c r="O1052" s="25">
        <f t="shared" si="1045"/>
        <v>10889.636755601023</v>
      </c>
      <c r="P1052" s="25">
        <f t="shared" si="1046"/>
        <v>30050.93324439897</v>
      </c>
      <c r="Q1052" s="25">
        <f t="array" aca="1" ref="Q1052" ca="1">INDEX('Isaac 401k'!L:L,MATCH('Retirement Calculator'!A1052,'Isaac 401k'!N:N,0),0)</f>
        <v>-34471622.524996638</v>
      </c>
      <c r="R1052" s="25">
        <f t="array" aca="1" ref="R1052" ca="1">INDEX('Lorri 401b'!L:L,MATCH('Retirement Calculator'!A1052,'Lorri 401b'!N:N,0),0)</f>
        <v>-59682203.01808174</v>
      </c>
      <c r="S1052" s="25">
        <f t="shared" ca="1" si="1047"/>
        <v>-94153825.543078378</v>
      </c>
    </row>
    <row r="1053" spans="1:19" ht="15.75" customHeight="1" x14ac:dyDescent="0.25">
      <c r="A1053" s="37">
        <v>83002</v>
      </c>
      <c r="B1053" s="398">
        <f t="shared" ref="B1053:C1053" si="1069">($A1053-B$9)/365.25</f>
        <v>145.36892539356606</v>
      </c>
      <c r="C1053" s="398">
        <f t="shared" si="1069"/>
        <v>140.7583846680356</v>
      </c>
      <c r="E1053" s="25">
        <f>IF(C1053&gt;$B$7,0,'Combined Retirement'!$D$13/12)</f>
        <v>0</v>
      </c>
      <c r="F1053" s="25">
        <f>IF(H1053=0,'Combined Retirement'!$D$32,0)+'Combined Retirement'!$B$24</f>
        <v>2870.372285649099</v>
      </c>
      <c r="G1053" s="25">
        <f>'Combined Retirement'!$C$24</f>
        <v>3254.2644699519233</v>
      </c>
      <c r="H1053" s="25">
        <f>IF(B1053&lt;62,0,'Combined Retirement'!$I$14)</f>
        <v>2345</v>
      </c>
      <c r="I1053" s="25">
        <f>IF(C1053&lt;62,0,'Combined Retirement'!$I$13)</f>
        <v>2420</v>
      </c>
      <c r="J1053" s="25">
        <f t="shared" si="1043"/>
        <v>8395.6297298201844</v>
      </c>
      <c r="K1053" s="25">
        <f t="shared" si="1044"/>
        <v>21655.303514578787</v>
      </c>
      <c r="L1053" s="25"/>
      <c r="N1053" s="25">
        <f>'Combined Retirement'!$C$18/12</f>
        <v>40940.569999999992</v>
      </c>
      <c r="O1053" s="25">
        <f t="shared" si="1045"/>
        <v>10889.636755601023</v>
      </c>
      <c r="P1053" s="25">
        <f t="shared" si="1046"/>
        <v>30050.93324439897</v>
      </c>
      <c r="Q1053" s="25">
        <f t="array" aca="1" ref="Q1053" ca="1">INDEX('Isaac 401k'!L:L,MATCH('Retirement Calculator'!A1053,'Isaac 401k'!N:N,0),0)</f>
        <v>-34623684.897037819</v>
      </c>
      <c r="R1053" s="25">
        <f t="array" aca="1" ref="R1053" ca="1">INDEX('Lorri 401b'!L:L,MATCH('Retirement Calculator'!A1053,'Lorri 401b'!N:N,0),0)</f>
        <v>-59952624.397936299</v>
      </c>
      <c r="S1053" s="25">
        <f t="shared" ca="1" si="1047"/>
        <v>-94576309.294974118</v>
      </c>
    </row>
    <row r="1054" spans="1:19" ht="15.75" customHeight="1" x14ac:dyDescent="0.25">
      <c r="A1054" s="37">
        <v>83032</v>
      </c>
      <c r="B1054" s="398">
        <f t="shared" ref="B1054:C1054" si="1070">($A1054-B$9)/365.25</f>
        <v>145.45106091718</v>
      </c>
      <c r="C1054" s="398">
        <f t="shared" si="1070"/>
        <v>140.84052019164955</v>
      </c>
      <c r="E1054" s="25">
        <f>IF(C1054&gt;$B$7,0,'Combined Retirement'!$D$13/12)</f>
        <v>0</v>
      </c>
      <c r="F1054" s="25">
        <f>IF(H1054=0,'Combined Retirement'!$D$32,0)+'Combined Retirement'!$B$24</f>
        <v>2870.372285649099</v>
      </c>
      <c r="G1054" s="25">
        <f>'Combined Retirement'!$C$24</f>
        <v>3254.2644699519233</v>
      </c>
      <c r="H1054" s="25">
        <f>IF(B1054&lt;62,0,'Combined Retirement'!$I$14)</f>
        <v>2345</v>
      </c>
      <c r="I1054" s="25">
        <f>IF(C1054&lt;62,0,'Combined Retirement'!$I$13)</f>
        <v>2420</v>
      </c>
      <c r="J1054" s="25">
        <f t="shared" si="1043"/>
        <v>8395.6297298201844</v>
      </c>
      <c r="K1054" s="25">
        <f t="shared" si="1044"/>
        <v>21655.303514578787</v>
      </c>
      <c r="L1054" s="25"/>
      <c r="N1054" s="25">
        <f>'Combined Retirement'!$C$18/12</f>
        <v>40940.569999999992</v>
      </c>
      <c r="O1054" s="25">
        <f t="shared" si="1045"/>
        <v>10889.636755601023</v>
      </c>
      <c r="P1054" s="25">
        <f t="shared" si="1046"/>
        <v>30050.93324439897</v>
      </c>
      <c r="Q1054" s="25">
        <f t="array" aca="1" ref="Q1054" ca="1">INDEX('Isaac 401k'!L:L,MATCH('Retirement Calculator'!A1054,'Isaac 401k'!N:N,0),0)</f>
        <v>-34776380.862295836</v>
      </c>
      <c r="R1054" s="25">
        <f t="array" aca="1" ref="R1054" ca="1">INDEX('Lorri 401b'!L:L,MATCH('Retirement Calculator'!A1054,'Lorri 401b'!N:N,0),0)</f>
        <v>-60224172.533540256</v>
      </c>
      <c r="S1054" s="25">
        <f t="shared" ca="1" si="1047"/>
        <v>-95000553.395836085</v>
      </c>
    </row>
    <row r="1055" spans="1:19" ht="15.75" customHeight="1" x14ac:dyDescent="0.25">
      <c r="A1055" s="37">
        <v>83063</v>
      </c>
      <c r="B1055" s="398">
        <f t="shared" ref="B1055:C1055" si="1071">($A1055-B$9)/365.25</f>
        <v>145.5359342915811</v>
      </c>
      <c r="C1055" s="398">
        <f t="shared" si="1071"/>
        <v>140.92539356605064</v>
      </c>
      <c r="E1055" s="25">
        <f>IF(C1055&gt;$B$7,0,'Combined Retirement'!$D$13/12)</f>
        <v>0</v>
      </c>
      <c r="F1055" s="25">
        <f>IF(H1055=0,'Combined Retirement'!$D$32,0)+'Combined Retirement'!$B$24</f>
        <v>2870.372285649099</v>
      </c>
      <c r="G1055" s="25">
        <f>'Combined Retirement'!$C$24</f>
        <v>3254.2644699519233</v>
      </c>
      <c r="H1055" s="25">
        <f>IF(B1055&lt;62,0,'Combined Retirement'!$I$14)</f>
        <v>2345</v>
      </c>
      <c r="I1055" s="25">
        <f>IF(C1055&lt;62,0,'Combined Retirement'!$I$13)</f>
        <v>2420</v>
      </c>
      <c r="J1055" s="25">
        <f t="shared" si="1043"/>
        <v>8395.6297298201844</v>
      </c>
      <c r="K1055" s="25">
        <f t="shared" si="1044"/>
        <v>21655.303514578787</v>
      </c>
      <c r="L1055" s="25"/>
      <c r="N1055" s="25">
        <f>'Combined Retirement'!$C$18/12</f>
        <v>40940.569999999992</v>
      </c>
      <c r="O1055" s="25">
        <f t="shared" si="1045"/>
        <v>10889.636755601023</v>
      </c>
      <c r="P1055" s="25">
        <f t="shared" si="1046"/>
        <v>30050.93324439897</v>
      </c>
      <c r="Q1055" s="25">
        <f t="array" aca="1" ref="Q1055" ca="1">INDEX('Isaac 401k'!L:L,MATCH('Retirement Calculator'!A1055,'Isaac 401k'!N:N,0),0)</f>
        <v>-34929713.06074243</v>
      </c>
      <c r="R1055" s="25">
        <f t="array" aca="1" ref="R1055" ca="1">INDEX('Lorri 401b'!L:L,MATCH('Retirement Calculator'!A1055,'Lorri 401b'!N:N,0),0)</f>
        <v>-60496852.119709231</v>
      </c>
      <c r="S1055" s="25">
        <f t="shared" ca="1" si="1047"/>
        <v>-95426565.180451661</v>
      </c>
    </row>
    <row r="1056" spans="1:19" ht="15.75" customHeight="1" x14ac:dyDescent="0.25">
      <c r="A1056" s="37">
        <v>83093</v>
      </c>
      <c r="B1056" s="398">
        <f t="shared" ref="B1056:C1056" si="1072">($A1056-B$9)/365.25</f>
        <v>145.61806981519507</v>
      </c>
      <c r="C1056" s="398">
        <f t="shared" si="1072"/>
        <v>141.00752908966462</v>
      </c>
      <c r="E1056" s="25">
        <f>IF(C1056&gt;$B$7,0,'Combined Retirement'!$D$13/12)</f>
        <v>0</v>
      </c>
      <c r="F1056" s="25">
        <f>IF(H1056=0,'Combined Retirement'!$D$32,0)+'Combined Retirement'!$B$24</f>
        <v>2870.372285649099</v>
      </c>
      <c r="G1056" s="25">
        <f>'Combined Retirement'!$C$24</f>
        <v>3254.2644699519233</v>
      </c>
      <c r="H1056" s="25">
        <f>IF(B1056&lt;62,0,'Combined Retirement'!$I$14)</f>
        <v>2345</v>
      </c>
      <c r="I1056" s="25">
        <f>IF(C1056&lt;62,0,'Combined Retirement'!$I$13)</f>
        <v>2420</v>
      </c>
      <c r="J1056" s="25">
        <f t="shared" si="1043"/>
        <v>8395.6297298201844</v>
      </c>
      <c r="K1056" s="25">
        <f t="shared" si="1044"/>
        <v>21655.303514578787</v>
      </c>
      <c r="L1056" s="25"/>
      <c r="N1056" s="25">
        <f>'Combined Retirement'!$C$18/12</f>
        <v>40940.569999999992</v>
      </c>
      <c r="O1056" s="25">
        <f t="shared" si="1045"/>
        <v>10889.636755601023</v>
      </c>
      <c r="P1056" s="25">
        <f t="shared" si="1046"/>
        <v>30050.93324439897</v>
      </c>
      <c r="Q1056" s="25">
        <f t="array" aca="1" ref="Q1056" ca="1">INDEX('Isaac 401k'!L:L,MATCH('Retirement Calculator'!A1056,'Isaac 401k'!N:N,0),0)</f>
        <v>-35083684.143349223</v>
      </c>
      <c r="R1056" s="25">
        <f t="array" aca="1" ref="R1056" ca="1">INDEX('Lorri 401b'!L:L,MATCH('Retirement Calculator'!A1056,'Lorri 401b'!N:N,0),0)</f>
        <v>-60770667.870820574</v>
      </c>
      <c r="S1056" s="25">
        <f t="shared" ca="1" si="1047"/>
        <v>-95854352.014169797</v>
      </c>
    </row>
    <row r="1057" spans="1:19" ht="15.75" customHeight="1" x14ac:dyDescent="0.25">
      <c r="A1057" s="37">
        <v>83124</v>
      </c>
      <c r="B1057" s="398">
        <f t="shared" ref="B1057:C1057" si="1073">($A1057-B$9)/365.25</f>
        <v>145.70294318959617</v>
      </c>
      <c r="C1057" s="398">
        <f t="shared" si="1073"/>
        <v>141.09240246406571</v>
      </c>
      <c r="E1057" s="25">
        <f>IF(C1057&gt;$B$7,0,'Combined Retirement'!$D$13/12)</f>
        <v>0</v>
      </c>
      <c r="F1057" s="25">
        <f>IF(H1057=0,'Combined Retirement'!$D$32,0)+'Combined Retirement'!$B$24</f>
        <v>2870.372285649099</v>
      </c>
      <c r="G1057" s="25">
        <f>'Combined Retirement'!$C$24</f>
        <v>3254.2644699519233</v>
      </c>
      <c r="H1057" s="25">
        <f>IF(B1057&lt;62,0,'Combined Retirement'!$I$14)</f>
        <v>2345</v>
      </c>
      <c r="I1057" s="25">
        <f>IF(C1057&lt;62,0,'Combined Retirement'!$I$13)</f>
        <v>2420</v>
      </c>
      <c r="J1057" s="25">
        <f t="shared" si="1043"/>
        <v>8395.6297298201844</v>
      </c>
      <c r="K1057" s="25">
        <f t="shared" si="1044"/>
        <v>21655.303514578787</v>
      </c>
      <c r="L1057" s="25"/>
      <c r="N1057" s="25">
        <f>'Combined Retirement'!$C$18/12</f>
        <v>40940.569999999992</v>
      </c>
      <c r="O1057" s="25">
        <f t="shared" si="1045"/>
        <v>10889.636755601023</v>
      </c>
      <c r="P1057" s="25">
        <f t="shared" si="1046"/>
        <v>30050.93324439897</v>
      </c>
      <c r="Q1057" s="25">
        <f t="array" aca="1" ref="Q1057" ca="1">INDEX('Isaac 401k'!L:L,MATCH('Retirement Calculator'!A1057,'Isaac 401k'!N:N,0),0)</f>
        <v>-35238296.772133544</v>
      </c>
      <c r="R1057" s="25">
        <f t="array" aca="1" ref="R1057" ca="1">INDEX('Lorri 401b'!L:L,MATCH('Retirement Calculator'!A1057,'Lorri 401b'!N:N,0),0)</f>
        <v>-61045624.520894885</v>
      </c>
      <c r="S1057" s="25">
        <f t="shared" ca="1" si="1047"/>
        <v>-96283921.293028429</v>
      </c>
    </row>
    <row r="1058" spans="1:19" ht="15.75" customHeight="1" x14ac:dyDescent="0.25">
      <c r="A1058" s="37">
        <v>83155</v>
      </c>
      <c r="B1058" s="398">
        <f t="shared" ref="B1058:C1058" si="1074">($A1058-B$9)/365.25</f>
        <v>145.78781656399727</v>
      </c>
      <c r="C1058" s="398">
        <f t="shared" si="1074"/>
        <v>141.17727583846681</v>
      </c>
      <c r="E1058" s="25">
        <f>IF(C1058&gt;$B$7,0,'Combined Retirement'!$D$13/12)</f>
        <v>0</v>
      </c>
      <c r="F1058" s="25">
        <f>IF(H1058=0,'Combined Retirement'!$D$32,0)+'Combined Retirement'!$B$24</f>
        <v>2870.372285649099</v>
      </c>
      <c r="G1058" s="25">
        <f>'Combined Retirement'!$C$24</f>
        <v>3254.2644699519233</v>
      </c>
      <c r="H1058" s="25">
        <f>IF(B1058&lt;62,0,'Combined Retirement'!$I$14)</f>
        <v>2345</v>
      </c>
      <c r="I1058" s="25">
        <f>IF(C1058&lt;62,0,'Combined Retirement'!$I$13)</f>
        <v>2420</v>
      </c>
      <c r="J1058" s="25">
        <f t="shared" si="1043"/>
        <v>8395.6297298201844</v>
      </c>
      <c r="K1058" s="25">
        <f t="shared" si="1044"/>
        <v>21655.303514578787</v>
      </c>
      <c r="L1058" s="25"/>
      <c r="N1058" s="25">
        <f>'Combined Retirement'!$C$18/12</f>
        <v>40940.569999999992</v>
      </c>
      <c r="O1058" s="25">
        <f t="shared" si="1045"/>
        <v>10889.636755601023</v>
      </c>
      <c r="P1058" s="25">
        <f t="shared" si="1046"/>
        <v>30050.93324439897</v>
      </c>
      <c r="Q1058" s="25">
        <f t="array" aca="1" ref="Q1058" ca="1">INDEX('Isaac 401k'!L:L,MATCH('Retirement Calculator'!A1058,'Isaac 401k'!N:N,0),0)</f>
        <v>-35393553.620204464</v>
      </c>
      <c r="R1058" s="25">
        <f t="array" aca="1" ref="R1058" ca="1">INDEX('Lorri 401b'!L:L,MATCH('Retirement Calculator'!A1058,'Lorri 401b'!N:N,0),0)</f>
        <v>-61321726.823677838</v>
      </c>
      <c r="S1058" s="25">
        <f t="shared" ca="1" si="1047"/>
        <v>-96715280.443882301</v>
      </c>
    </row>
    <row r="1059" spans="1:19" ht="15.75" customHeight="1" x14ac:dyDescent="0.25">
      <c r="A1059" s="37">
        <v>83185</v>
      </c>
      <c r="B1059" s="398">
        <f t="shared" ref="B1059:C1059" si="1075">($A1059-B$9)/365.25</f>
        <v>145.86995208761124</v>
      </c>
      <c r="C1059" s="398">
        <f t="shared" si="1075"/>
        <v>141.25941136208075</v>
      </c>
      <c r="E1059" s="25">
        <f>IF(C1059&gt;$B$7,0,'Combined Retirement'!$D$13/12)</f>
        <v>0</v>
      </c>
      <c r="F1059" s="25">
        <f>IF(H1059=0,'Combined Retirement'!$D$32,0)+'Combined Retirement'!$B$24</f>
        <v>2870.372285649099</v>
      </c>
      <c r="G1059" s="25">
        <f>'Combined Retirement'!$C$24</f>
        <v>3254.2644699519233</v>
      </c>
      <c r="H1059" s="25">
        <f>IF(B1059&lt;62,0,'Combined Retirement'!$I$14)</f>
        <v>2345</v>
      </c>
      <c r="I1059" s="25">
        <f>IF(C1059&lt;62,0,'Combined Retirement'!$I$13)</f>
        <v>2420</v>
      </c>
      <c r="J1059" s="25">
        <f t="shared" si="1043"/>
        <v>8395.6297298201844</v>
      </c>
      <c r="K1059" s="25">
        <f t="shared" si="1044"/>
        <v>21655.303514578787</v>
      </c>
      <c r="L1059" s="25"/>
      <c r="N1059" s="25">
        <f>'Combined Retirement'!$C$18/12</f>
        <v>40940.569999999992</v>
      </c>
      <c r="O1059" s="25">
        <f t="shared" si="1045"/>
        <v>10889.636755601023</v>
      </c>
      <c r="P1059" s="25">
        <f t="shared" si="1046"/>
        <v>30050.93324439897</v>
      </c>
      <c r="Q1059" s="25">
        <f t="array" aca="1" ref="Q1059" ca="1">INDEX('Isaac 401k'!L:L,MATCH('Retirement Calculator'!A1059,'Isaac 401k'!N:N,0),0)</f>
        <v>-35549457.371809013</v>
      </c>
      <c r="R1059" s="25">
        <f t="array" aca="1" ref="R1059" ca="1">INDEX('Lorri 401b'!L:L,MATCH('Retirement Calculator'!A1059,'Lorri 401b'!N:N,0),0)</f>
        <v>-61598979.552722387</v>
      </c>
      <c r="S1059" s="25">
        <f t="shared" ca="1" si="1047"/>
        <v>-97148436.9245314</v>
      </c>
    </row>
    <row r="1060" spans="1:19" ht="15.75" customHeight="1" x14ac:dyDescent="0.25">
      <c r="A1060" s="37">
        <v>83216</v>
      </c>
      <c r="B1060" s="398">
        <f t="shared" ref="B1060:C1060" si="1076">($A1060-B$9)/365.25</f>
        <v>145.95482546201231</v>
      </c>
      <c r="C1060" s="398">
        <f t="shared" si="1076"/>
        <v>141.34428473648185</v>
      </c>
      <c r="E1060" s="25">
        <f>IF(C1060&gt;$B$7,0,'Combined Retirement'!$D$13/12)</f>
        <v>0</v>
      </c>
      <c r="F1060" s="25">
        <f>IF(H1060=0,'Combined Retirement'!$D$32,0)+'Combined Retirement'!$B$24</f>
        <v>2870.372285649099</v>
      </c>
      <c r="G1060" s="25">
        <f>'Combined Retirement'!$C$24</f>
        <v>3254.2644699519233</v>
      </c>
      <c r="H1060" s="25">
        <f>IF(B1060&lt;62,0,'Combined Retirement'!$I$14)</f>
        <v>2345</v>
      </c>
      <c r="I1060" s="25">
        <f>IF(C1060&lt;62,0,'Combined Retirement'!$I$13)</f>
        <v>2420</v>
      </c>
      <c r="J1060" s="25">
        <f t="shared" si="1043"/>
        <v>8395.6297298201844</v>
      </c>
      <c r="K1060" s="25">
        <f t="shared" si="1044"/>
        <v>21655.303514578787</v>
      </c>
      <c r="L1060" s="25"/>
      <c r="N1060" s="25">
        <f>'Combined Retirement'!$C$18/12</f>
        <v>40940.569999999992</v>
      </c>
      <c r="O1060" s="25">
        <f t="shared" si="1045"/>
        <v>10889.636755601023</v>
      </c>
      <c r="P1060" s="25">
        <f t="shared" si="1046"/>
        <v>30050.93324439897</v>
      </c>
      <c r="Q1060" s="25">
        <f t="array" aca="1" ref="Q1060" ca="1">INDEX('Isaac 401k'!L:L,MATCH('Retirement Calculator'!A1060,'Isaac 401k'!N:N,0),0)</f>
        <v>-35706010.722378582</v>
      </c>
      <c r="R1060" s="25">
        <f t="array" aca="1" ref="R1060" ca="1">INDEX('Lorri 401b'!L:L,MATCH('Retirement Calculator'!A1060,'Lorri 401b'!N:N,0),0)</f>
        <v>-61877387.501471289</v>
      </c>
      <c r="S1060" s="25">
        <f t="shared" ca="1" si="1047"/>
        <v>-97583398.223849863</v>
      </c>
    </row>
    <row r="1061" spans="1:19" ht="15.75" customHeight="1" x14ac:dyDescent="0.25">
      <c r="A1061" s="37">
        <v>83246</v>
      </c>
      <c r="B1061" s="398">
        <f t="shared" ref="B1061:C1061" si="1077">($A1061-B$9)/365.25</f>
        <v>146.03696098562628</v>
      </c>
      <c r="C1061" s="398">
        <f t="shared" si="1077"/>
        <v>141.42642026009582</v>
      </c>
      <c r="E1061" s="25">
        <f>IF(C1061&gt;$B$7,0,'Combined Retirement'!$D$13/12)</f>
        <v>0</v>
      </c>
      <c r="F1061" s="25">
        <f>IF(H1061=0,'Combined Retirement'!$D$32,0)+'Combined Retirement'!$B$24</f>
        <v>2870.372285649099</v>
      </c>
      <c r="G1061" s="25">
        <f>'Combined Retirement'!$C$24</f>
        <v>3254.2644699519233</v>
      </c>
      <c r="H1061" s="25">
        <f>IF(B1061&lt;62,0,'Combined Retirement'!$I$14)</f>
        <v>2345</v>
      </c>
      <c r="I1061" s="25">
        <f>IF(C1061&lt;62,0,'Combined Retirement'!$I$13)</f>
        <v>2420</v>
      </c>
      <c r="J1061" s="25">
        <f t="shared" si="1043"/>
        <v>8395.6297298201844</v>
      </c>
      <c r="K1061" s="25">
        <f t="shared" si="1044"/>
        <v>21655.303514578787</v>
      </c>
      <c r="L1061" s="25"/>
      <c r="N1061" s="25">
        <f>'Combined Retirement'!$C$18/12</f>
        <v>40940.569999999992</v>
      </c>
      <c r="O1061" s="25">
        <f t="shared" si="1045"/>
        <v>10889.636755601023</v>
      </c>
      <c r="P1061" s="25">
        <f t="shared" si="1046"/>
        <v>30050.93324439897</v>
      </c>
      <c r="Q1061" s="25">
        <f t="array" aca="1" ref="Q1061" ca="1">INDEX('Isaac 401k'!L:L,MATCH('Retirement Calculator'!A1061,'Isaac 401k'!N:N,0),0)</f>
        <v>-35863216.378575519</v>
      </c>
      <c r="R1061" s="25">
        <f t="array" aca="1" ref="R1061" ca="1">INDEX('Lorri 401b'!L:L,MATCH('Retirement Calculator'!A1061,'Lorri 401b'!N:N,0),0)</f>
        <v>-62156955.483339973</v>
      </c>
      <c r="S1061" s="25">
        <f t="shared" ca="1" si="1047"/>
        <v>-98020171.861915499</v>
      </c>
    </row>
    <row r="1062" spans="1:19" ht="15.75" customHeight="1" x14ac:dyDescent="0.25">
      <c r="A1062" s="37">
        <v>83277</v>
      </c>
      <c r="B1062" s="398">
        <f t="shared" ref="B1062:C1062" si="1078">($A1062-B$9)/365.25</f>
        <v>146.12183436002738</v>
      </c>
      <c r="C1062" s="398">
        <f t="shared" si="1078"/>
        <v>141.51129363449692</v>
      </c>
      <c r="E1062" s="25">
        <f>IF(C1062&gt;$B$7,0,'Combined Retirement'!$D$13/12)</f>
        <v>0</v>
      </c>
      <c r="F1062" s="25">
        <f>IF(H1062=0,'Combined Retirement'!$D$32,0)+'Combined Retirement'!$B$24</f>
        <v>2870.372285649099</v>
      </c>
      <c r="G1062" s="25">
        <f>'Combined Retirement'!$C$24</f>
        <v>3254.2644699519233</v>
      </c>
      <c r="H1062" s="25">
        <f>IF(B1062&lt;62,0,'Combined Retirement'!$I$14)</f>
        <v>2345</v>
      </c>
      <c r="I1062" s="25">
        <f>IF(C1062&lt;62,0,'Combined Retirement'!$I$13)</f>
        <v>2420</v>
      </c>
      <c r="J1062" s="25">
        <f t="shared" si="1043"/>
        <v>8395.6297298201844</v>
      </c>
      <c r="K1062" s="25">
        <f t="shared" si="1044"/>
        <v>21655.303514578787</v>
      </c>
      <c r="L1062" s="25"/>
      <c r="N1062" s="25">
        <f>'Combined Retirement'!$C$18/12</f>
        <v>40940.569999999992</v>
      </c>
      <c r="O1062" s="25">
        <f t="shared" si="1045"/>
        <v>10889.636755601023</v>
      </c>
      <c r="P1062" s="25">
        <f t="shared" si="1046"/>
        <v>30050.93324439897</v>
      </c>
      <c r="Q1062" s="25">
        <f t="array" aca="1" ref="Q1062" ca="1">INDEX('Isaac 401k'!L:L,MATCH('Retirement Calculator'!A1062,'Isaac 401k'!N:N,0),0)</f>
        <v>-36021077.058339946</v>
      </c>
      <c r="R1062" s="25">
        <f t="array" aca="1" ref="R1062" ca="1">INDEX('Lorri 401b'!L:L,MATCH('Retirement Calculator'!A1062,'Lorri 401b'!N:N,0),0)</f>
        <v>-62437688.331799775</v>
      </c>
      <c r="S1062" s="25">
        <f t="shared" ca="1" si="1047"/>
        <v>-98458765.390139729</v>
      </c>
    </row>
    <row r="1063" spans="1:19" ht="15.75" customHeight="1" x14ac:dyDescent="0.25">
      <c r="A1063" s="37">
        <v>83308</v>
      </c>
      <c r="B1063" s="398">
        <f t="shared" ref="B1063:C1063" si="1079">($A1063-B$9)/365.25</f>
        <v>146.20670773442848</v>
      </c>
      <c r="C1063" s="398">
        <f t="shared" si="1079"/>
        <v>141.59616700889802</v>
      </c>
      <c r="E1063" s="25">
        <f>IF(C1063&gt;$B$7,0,'Combined Retirement'!$D$13/12)</f>
        <v>0</v>
      </c>
      <c r="F1063" s="25">
        <f>IF(H1063=0,'Combined Retirement'!$D$32,0)+'Combined Retirement'!$B$24</f>
        <v>2870.372285649099</v>
      </c>
      <c r="G1063" s="25">
        <f>'Combined Retirement'!$C$24</f>
        <v>3254.2644699519233</v>
      </c>
      <c r="H1063" s="25">
        <f>IF(B1063&lt;62,0,'Combined Retirement'!$I$14)</f>
        <v>2345</v>
      </c>
      <c r="I1063" s="25">
        <f>IF(C1063&lt;62,0,'Combined Retirement'!$I$13)</f>
        <v>2420</v>
      </c>
      <c r="J1063" s="25">
        <f t="shared" si="1043"/>
        <v>8395.6297298201844</v>
      </c>
      <c r="K1063" s="25">
        <f t="shared" si="1044"/>
        <v>21655.303514578787</v>
      </c>
      <c r="L1063" s="25"/>
      <c r="N1063" s="25">
        <f>'Combined Retirement'!$C$18/12</f>
        <v>40940.569999999992</v>
      </c>
      <c r="O1063" s="25">
        <f t="shared" si="1045"/>
        <v>10889.636755601023</v>
      </c>
      <c r="P1063" s="25">
        <f t="shared" si="1046"/>
        <v>30050.93324439897</v>
      </c>
      <c r="Q1063" s="25">
        <f t="array" aca="1" ref="Q1063" ca="1">INDEX('Isaac 401k'!L:L,MATCH('Retirement Calculator'!A1063,'Isaac 401k'!N:N,0),0)</f>
        <v>-36179595.490936726</v>
      </c>
      <c r="R1063" s="25">
        <f t="array" aca="1" ref="R1063" ca="1">INDEX('Lorri 401b'!L:L,MATCH('Retirement Calculator'!A1063,'Lorri 401b'!N:N,0),0)</f>
        <v>-62719590.900461495</v>
      </c>
      <c r="S1063" s="25">
        <f t="shared" ca="1" si="1047"/>
        <v>-98899186.391398221</v>
      </c>
    </row>
    <row r="1064" spans="1:19" ht="15.75" customHeight="1" x14ac:dyDescent="0.25">
      <c r="A1064" s="37">
        <v>83337</v>
      </c>
      <c r="B1064" s="398">
        <f t="shared" ref="B1064:C1064" si="1080">($A1064-B$9)/365.25</f>
        <v>146.28610540725529</v>
      </c>
      <c r="C1064" s="398">
        <f t="shared" si="1080"/>
        <v>141.67556468172484</v>
      </c>
      <c r="E1064" s="25">
        <f>IF(C1064&gt;$B$7,0,'Combined Retirement'!$D$13/12)</f>
        <v>0</v>
      </c>
      <c r="F1064" s="25">
        <f>IF(H1064=0,'Combined Retirement'!$D$32,0)+'Combined Retirement'!$B$24</f>
        <v>2870.372285649099</v>
      </c>
      <c r="G1064" s="25">
        <f>'Combined Retirement'!$C$24</f>
        <v>3254.2644699519233</v>
      </c>
      <c r="H1064" s="25">
        <f>IF(B1064&lt;62,0,'Combined Retirement'!$I$14)</f>
        <v>2345</v>
      </c>
      <c r="I1064" s="25">
        <f>IF(C1064&lt;62,0,'Combined Retirement'!$I$13)</f>
        <v>2420</v>
      </c>
      <c r="J1064" s="25">
        <f t="shared" si="1043"/>
        <v>8395.6297298201844</v>
      </c>
      <c r="K1064" s="25">
        <f t="shared" si="1044"/>
        <v>21655.303514578787</v>
      </c>
      <c r="L1064" s="25"/>
      <c r="N1064" s="25">
        <f>'Combined Retirement'!$C$18/12</f>
        <v>40940.569999999992</v>
      </c>
      <c r="O1064" s="25">
        <f t="shared" si="1045"/>
        <v>10889.636755601023</v>
      </c>
      <c r="P1064" s="25">
        <f t="shared" si="1046"/>
        <v>30050.93324439897</v>
      </c>
      <c r="Q1064" s="25">
        <f t="array" aca="1" ref="Q1064" ca="1">INDEX('Isaac 401k'!L:L,MATCH('Retirement Calculator'!A1064,'Isaac 401k'!N:N,0),0)</f>
        <v>-36338774.417002656</v>
      </c>
      <c r="R1064" s="25">
        <f t="array" aca="1" ref="R1064" ca="1">INDEX('Lorri 401b'!L:L,MATCH('Retirement Calculator'!A1064,'Lorri 401b'!N:N,0),0)</f>
        <v>-63002668.063159309</v>
      </c>
      <c r="S1064" s="25">
        <f t="shared" ca="1" si="1047"/>
        <v>-99341442.480161965</v>
      </c>
    </row>
    <row r="1065" spans="1:19" ht="15.75" customHeight="1" x14ac:dyDescent="0.25">
      <c r="A1065" s="37">
        <v>83368</v>
      </c>
      <c r="B1065" s="398">
        <f t="shared" ref="B1065:C1065" si="1081">($A1065-B$9)/365.25</f>
        <v>146.37097878165639</v>
      </c>
      <c r="C1065" s="398">
        <f t="shared" si="1081"/>
        <v>141.76043805612593</v>
      </c>
      <c r="E1065" s="25">
        <f>IF(C1065&gt;$B$7,0,'Combined Retirement'!$D$13/12)</f>
        <v>0</v>
      </c>
      <c r="F1065" s="25">
        <f>IF(H1065=0,'Combined Retirement'!$D$32,0)+'Combined Retirement'!$B$24</f>
        <v>2870.372285649099</v>
      </c>
      <c r="G1065" s="25">
        <f>'Combined Retirement'!$C$24</f>
        <v>3254.2644699519233</v>
      </c>
      <c r="H1065" s="25">
        <f>IF(B1065&lt;62,0,'Combined Retirement'!$I$14)</f>
        <v>2345</v>
      </c>
      <c r="I1065" s="25">
        <f>IF(C1065&lt;62,0,'Combined Retirement'!$I$13)</f>
        <v>2420</v>
      </c>
      <c r="J1065" s="25">
        <f t="shared" si="1043"/>
        <v>8395.6297298201844</v>
      </c>
      <c r="K1065" s="25">
        <f t="shared" si="1044"/>
        <v>21655.303514578787</v>
      </c>
      <c r="L1065" s="25"/>
      <c r="N1065" s="25">
        <f>'Combined Retirement'!$C$18/12</f>
        <v>40940.569999999992</v>
      </c>
      <c r="O1065" s="25">
        <f t="shared" si="1045"/>
        <v>10889.636755601023</v>
      </c>
      <c r="P1065" s="25">
        <f t="shared" si="1046"/>
        <v>30050.93324439897</v>
      </c>
      <c r="Q1065" s="25">
        <f t="array" aca="1" ref="Q1065" ca="1">INDEX('Isaac 401k'!L:L,MATCH('Retirement Calculator'!A1065,'Isaac 401k'!N:N,0),0)</f>
        <v>-36498616.588593863</v>
      </c>
      <c r="R1065" s="25">
        <f t="array" aca="1" ref="R1065" ca="1">INDEX('Lorri 401b'!L:L,MATCH('Retirement Calculator'!A1065,'Lorri 401b'!N:N,0),0)</f>
        <v>-63286924.714035027</v>
      </c>
      <c r="S1065" s="25">
        <f t="shared" ca="1" si="1047"/>
        <v>-99785541.30262889</v>
      </c>
    </row>
    <row r="1066" spans="1:19" ht="15.75" customHeight="1" x14ac:dyDescent="0.25">
      <c r="A1066" s="37">
        <v>83398</v>
      </c>
      <c r="B1066" s="398">
        <f t="shared" ref="B1066:C1066" si="1082">($A1066-B$9)/365.25</f>
        <v>146.45311430527036</v>
      </c>
      <c r="C1066" s="398">
        <f t="shared" si="1082"/>
        <v>141.84257357973991</v>
      </c>
      <c r="E1066" s="25">
        <f>IF(C1066&gt;$B$7,0,'Combined Retirement'!$D$13/12)</f>
        <v>0</v>
      </c>
      <c r="F1066" s="25">
        <f>IF(H1066=0,'Combined Retirement'!$D$32,0)+'Combined Retirement'!$B$24</f>
        <v>2870.372285649099</v>
      </c>
      <c r="G1066" s="25">
        <f>'Combined Retirement'!$C$24</f>
        <v>3254.2644699519233</v>
      </c>
      <c r="H1066" s="25">
        <f>IF(B1066&lt;62,0,'Combined Retirement'!$I$14)</f>
        <v>2345</v>
      </c>
      <c r="I1066" s="25">
        <f>IF(C1066&lt;62,0,'Combined Retirement'!$I$13)</f>
        <v>2420</v>
      </c>
      <c r="J1066" s="25">
        <f t="shared" si="1043"/>
        <v>8395.6297298201844</v>
      </c>
      <c r="K1066" s="25">
        <f t="shared" si="1044"/>
        <v>21655.303514578787</v>
      </c>
      <c r="L1066" s="25"/>
      <c r="N1066" s="25">
        <f>'Combined Retirement'!$C$18/12</f>
        <v>40940.569999999992</v>
      </c>
      <c r="O1066" s="25">
        <f t="shared" si="1045"/>
        <v>10889.636755601023</v>
      </c>
      <c r="P1066" s="25">
        <f t="shared" si="1046"/>
        <v>30050.93324439897</v>
      </c>
      <c r="Q1066" s="25">
        <f t="array" aca="1" ref="Q1066" ca="1">INDEX('Isaac 401k'!L:L,MATCH('Retirement Calculator'!A1066,'Isaac 401k'!N:N,0),0)</f>
        <v>-36659124.769233368</v>
      </c>
      <c r="R1066" s="25">
        <f t="array" aca="1" ref="R1066" ca="1">INDEX('Lorri 401b'!L:L,MATCH('Retirement Calculator'!A1066,'Lorri 401b'!N:N,0),0)</f>
        <v>-63572365.767622724</v>
      </c>
      <c r="S1066" s="25">
        <f t="shared" ca="1" si="1047"/>
        <v>-100231490.53685609</v>
      </c>
    </row>
    <row r="1067" spans="1:19" ht="15.75" customHeight="1" x14ac:dyDescent="0.25">
      <c r="A1067" s="37">
        <v>83429</v>
      </c>
      <c r="B1067" s="398">
        <f t="shared" ref="B1067:C1067" si="1083">($A1067-B$9)/365.25</f>
        <v>146.53798767967146</v>
      </c>
      <c r="C1067" s="398">
        <f t="shared" si="1083"/>
        <v>141.927446954141</v>
      </c>
      <c r="E1067" s="25">
        <f>IF(C1067&gt;$B$7,0,'Combined Retirement'!$D$13/12)</f>
        <v>0</v>
      </c>
      <c r="F1067" s="25">
        <f>IF(H1067=0,'Combined Retirement'!$D$32,0)+'Combined Retirement'!$B$24</f>
        <v>2870.372285649099</v>
      </c>
      <c r="G1067" s="25">
        <f>'Combined Retirement'!$C$24</f>
        <v>3254.2644699519233</v>
      </c>
      <c r="H1067" s="25">
        <f>IF(B1067&lt;62,0,'Combined Retirement'!$I$14)</f>
        <v>2345</v>
      </c>
      <c r="I1067" s="25">
        <f>IF(C1067&lt;62,0,'Combined Retirement'!$I$13)</f>
        <v>2420</v>
      </c>
      <c r="J1067" s="25">
        <f t="shared" si="1043"/>
        <v>8395.6297298201844</v>
      </c>
      <c r="K1067" s="25">
        <f t="shared" si="1044"/>
        <v>21655.303514578787</v>
      </c>
      <c r="L1067" s="25"/>
      <c r="N1067" s="25">
        <f>'Combined Retirement'!$C$18/12</f>
        <v>40940.569999999992</v>
      </c>
      <c r="O1067" s="25">
        <f t="shared" si="1045"/>
        <v>10889.636755601023</v>
      </c>
      <c r="P1067" s="25">
        <f t="shared" si="1046"/>
        <v>30050.93324439897</v>
      </c>
      <c r="Q1067" s="25">
        <f t="array" aca="1" ref="Q1067" ca="1">INDEX('Isaac 401k'!L:L,MATCH('Retirement Calculator'!A1067,'Isaac 401k'!N:N,0),0)</f>
        <v>-36820301.73395887</v>
      </c>
      <c r="R1067" s="25">
        <f t="array" aca="1" ref="R1067" ca="1">INDEX('Lorri 401b'!L:L,MATCH('Retirement Calculator'!A1067,'Lorri 401b'!N:N,0),0)</f>
        <v>-63858996.158933707</v>
      </c>
      <c r="S1067" s="25">
        <f t="shared" ca="1" si="1047"/>
        <v>-100679297.89289257</v>
      </c>
    </row>
    <row r="1068" spans="1:19" ht="15.75" customHeight="1" x14ac:dyDescent="0.25">
      <c r="A1068" s="37">
        <v>83459</v>
      </c>
      <c r="B1068" s="398">
        <f t="shared" ref="B1068:C1068" si="1084">($A1068-B$9)/365.25</f>
        <v>146.62012320328543</v>
      </c>
      <c r="C1068" s="398">
        <f t="shared" si="1084"/>
        <v>142.00958247775498</v>
      </c>
      <c r="E1068" s="25">
        <f>IF(C1068&gt;$B$7,0,'Combined Retirement'!$D$13/12)</f>
        <v>0</v>
      </c>
      <c r="F1068" s="25">
        <f>IF(H1068=0,'Combined Retirement'!$D$32,0)+'Combined Retirement'!$B$24</f>
        <v>2870.372285649099</v>
      </c>
      <c r="G1068" s="25">
        <f>'Combined Retirement'!$C$24</f>
        <v>3254.2644699519233</v>
      </c>
      <c r="H1068" s="25">
        <f>IF(B1068&lt;62,0,'Combined Retirement'!$I$14)</f>
        <v>2345</v>
      </c>
      <c r="I1068" s="25">
        <f>IF(C1068&lt;62,0,'Combined Retirement'!$I$13)</f>
        <v>2420</v>
      </c>
      <c r="J1068" s="25">
        <f t="shared" si="1043"/>
        <v>8395.6297298201844</v>
      </c>
      <c r="K1068" s="25">
        <f t="shared" si="1044"/>
        <v>21655.303514578787</v>
      </c>
      <c r="L1068" s="25"/>
      <c r="N1068" s="25">
        <f>'Combined Retirement'!$C$18/12</f>
        <v>40940.569999999992</v>
      </c>
      <c r="O1068" s="25">
        <f t="shared" si="1045"/>
        <v>10889.636755601023</v>
      </c>
      <c r="P1068" s="25">
        <f t="shared" si="1046"/>
        <v>30050.93324439897</v>
      </c>
      <c r="Q1068" s="25">
        <f t="array" aca="1" ref="Q1068" ca="1">INDEX('Isaac 401k'!L:L,MATCH('Retirement Calculator'!A1068,'Isaac 401k'!N:N,0),0)</f>
        <v>-36982150.269370727</v>
      </c>
      <c r="R1068" s="25">
        <f t="array" aca="1" ref="R1068" ca="1">INDEX('Lorri 401b'!L:L,MATCH('Retirement Calculator'!A1068,'Lorri 401b'!N:N,0),0)</f>
        <v>-64146820.843541816</v>
      </c>
      <c r="S1068" s="25">
        <f t="shared" ca="1" si="1047"/>
        <v>-101128971.11291254</v>
      </c>
    </row>
    <row r="1069" spans="1:19" ht="15.75" customHeight="1" x14ac:dyDescent="0.25">
      <c r="A1069" s="37">
        <v>83490</v>
      </c>
      <c r="B1069" s="398">
        <f t="shared" ref="B1069:C1069" si="1085">($A1069-B$9)/365.25</f>
        <v>146.70499657768653</v>
      </c>
      <c r="C1069" s="398">
        <f t="shared" si="1085"/>
        <v>142.09445585215605</v>
      </c>
      <c r="E1069" s="25">
        <f>IF(C1069&gt;$B$7,0,'Combined Retirement'!$D$13/12)</f>
        <v>0</v>
      </c>
      <c r="F1069" s="25">
        <f>IF(H1069=0,'Combined Retirement'!$D$32,0)+'Combined Retirement'!$B$24</f>
        <v>2870.372285649099</v>
      </c>
      <c r="G1069" s="25">
        <f>'Combined Retirement'!$C$24</f>
        <v>3254.2644699519233</v>
      </c>
      <c r="H1069" s="25">
        <f>IF(B1069&lt;62,0,'Combined Retirement'!$I$14)</f>
        <v>2345</v>
      </c>
      <c r="I1069" s="25">
        <f>IF(C1069&lt;62,0,'Combined Retirement'!$I$13)</f>
        <v>2420</v>
      </c>
      <c r="J1069" s="25">
        <f t="shared" si="1043"/>
        <v>8395.6297298201844</v>
      </c>
      <c r="K1069" s="25">
        <f t="shared" si="1044"/>
        <v>21655.303514578787</v>
      </c>
      <c r="L1069" s="25"/>
      <c r="N1069" s="25">
        <f>'Combined Retirement'!$C$18/12</f>
        <v>40940.569999999992</v>
      </c>
      <c r="O1069" s="25">
        <f t="shared" si="1045"/>
        <v>10889.636755601023</v>
      </c>
      <c r="P1069" s="25">
        <f t="shared" si="1046"/>
        <v>30050.93324439897</v>
      </c>
      <c r="Q1069" s="25">
        <f t="array" aca="1" ref="Q1069" ca="1">INDEX('Isaac 401k'!L:L,MATCH('Retirement Calculator'!A1069,'Isaac 401k'!N:N,0),0)</f>
        <v>-37144673.173680134</v>
      </c>
      <c r="R1069" s="25">
        <f t="array" aca="1" ref="R1069" ca="1">INDEX('Lorri 401b'!L:L,MATCH('Retirement Calculator'!A1069,'Lorri 401b'!N:N,0),0)</f>
        <v>-64435844.797669128</v>
      </c>
      <c r="S1069" s="25">
        <f t="shared" ca="1" si="1047"/>
        <v>-101580517.97134927</v>
      </c>
    </row>
    <row r="1070" spans="1:19" ht="15.75" customHeight="1" x14ac:dyDescent="0.25">
      <c r="A1070" s="37">
        <v>83521</v>
      </c>
      <c r="B1070" s="398">
        <f t="shared" ref="B1070:C1070" si="1086">($A1070-B$9)/365.25</f>
        <v>146.7898699520876</v>
      </c>
      <c r="C1070" s="398">
        <f t="shared" si="1086"/>
        <v>142.17932922655714</v>
      </c>
      <c r="E1070" s="25">
        <f>IF(C1070&gt;$B$7,0,'Combined Retirement'!$D$13/12)</f>
        <v>0</v>
      </c>
      <c r="F1070" s="25">
        <f>IF(H1070=0,'Combined Retirement'!$D$32,0)+'Combined Retirement'!$B$24</f>
        <v>2870.372285649099</v>
      </c>
      <c r="G1070" s="25">
        <f>'Combined Retirement'!$C$24</f>
        <v>3254.2644699519233</v>
      </c>
      <c r="H1070" s="25">
        <f>IF(B1070&lt;62,0,'Combined Retirement'!$I$14)</f>
        <v>2345</v>
      </c>
      <c r="I1070" s="25">
        <f>IF(C1070&lt;62,0,'Combined Retirement'!$I$13)</f>
        <v>2420</v>
      </c>
      <c r="J1070" s="25">
        <f t="shared" si="1043"/>
        <v>8395.6297298201844</v>
      </c>
      <c r="K1070" s="25">
        <f t="shared" si="1044"/>
        <v>21655.303514578787</v>
      </c>
      <c r="L1070" s="25"/>
      <c r="N1070" s="25">
        <f>'Combined Retirement'!$C$18/12</f>
        <v>40940.569999999992</v>
      </c>
      <c r="O1070" s="25">
        <f t="shared" si="1045"/>
        <v>10889.636755601023</v>
      </c>
      <c r="P1070" s="25">
        <f t="shared" si="1046"/>
        <v>30050.93324439897</v>
      </c>
      <c r="Q1070" s="25">
        <f t="array" aca="1" ref="Q1070" ca="1">INDEX('Isaac 401k'!L:L,MATCH('Retirement Calculator'!A1070,'Isaac 401k'!N:N,0),0)</f>
        <v>-37307873.256757498</v>
      </c>
      <c r="R1070" s="25">
        <f t="array" aca="1" ref="R1070" ca="1">INDEX('Lorri 401b'!L:L,MATCH('Retirement Calculator'!A1070,'Lorri 401b'!N:N,0),0)</f>
        <v>-64726073.018271968</v>
      </c>
      <c r="S1070" s="25">
        <f t="shared" ca="1" si="1047"/>
        <v>-102033946.27502947</v>
      </c>
    </row>
    <row r="1071" spans="1:19" ht="15.75" customHeight="1" x14ac:dyDescent="0.25">
      <c r="A1071" s="37">
        <v>83551</v>
      </c>
      <c r="B1071" s="398">
        <f t="shared" ref="B1071:C1071" si="1087">($A1071-B$9)/365.25</f>
        <v>146.87200547570157</v>
      </c>
      <c r="C1071" s="398">
        <f t="shared" si="1087"/>
        <v>142.26146475017111</v>
      </c>
      <c r="E1071" s="25">
        <f>IF(C1071&gt;$B$7,0,'Combined Retirement'!$D$13/12)</f>
        <v>0</v>
      </c>
      <c r="F1071" s="25">
        <f>IF(H1071=0,'Combined Retirement'!$D$32,0)+'Combined Retirement'!$B$24</f>
        <v>2870.372285649099</v>
      </c>
      <c r="G1071" s="25">
        <f>'Combined Retirement'!$C$24</f>
        <v>3254.2644699519233</v>
      </c>
      <c r="H1071" s="25">
        <f>IF(B1071&lt;62,0,'Combined Retirement'!$I$14)</f>
        <v>2345</v>
      </c>
      <c r="I1071" s="25">
        <f>IF(C1071&lt;62,0,'Combined Retirement'!$I$13)</f>
        <v>2420</v>
      </c>
      <c r="J1071" s="25">
        <f t="shared" si="1043"/>
        <v>8395.6297298201844</v>
      </c>
      <c r="K1071" s="25">
        <f t="shared" si="1044"/>
        <v>21655.303514578787</v>
      </c>
      <c r="L1071" s="25"/>
      <c r="N1071" s="25">
        <f>'Combined Retirement'!$C$18/12</f>
        <v>40940.569999999992</v>
      </c>
      <c r="O1071" s="25">
        <f t="shared" si="1045"/>
        <v>10889.636755601023</v>
      </c>
      <c r="P1071" s="25">
        <f t="shared" si="1046"/>
        <v>30050.93324439897</v>
      </c>
      <c r="Q1071" s="25">
        <f t="array" aca="1" ref="Q1071" ca="1">INDEX('Isaac 401k'!L:L,MATCH('Retirement Calculator'!A1071,'Isaac 401k'!N:N,0),0)</f>
        <v>-37471753.340181015</v>
      </c>
      <c r="R1071" s="25">
        <f t="array" aca="1" ref="R1071" ca="1">INDEX('Lorri 401b'!L:L,MATCH('Retirement Calculator'!A1071,'Lorri 401b'!N:N,0),0)</f>
        <v>-65017510.523127325</v>
      </c>
      <c r="S1071" s="25">
        <f t="shared" ca="1" si="1047"/>
        <v>-102489263.86330834</v>
      </c>
    </row>
    <row r="1072" spans="1:19" ht="15.75" customHeight="1" x14ac:dyDescent="0.25">
      <c r="A1072" s="37">
        <v>83582</v>
      </c>
      <c r="B1072" s="398">
        <f t="shared" ref="B1072:C1072" si="1088">($A1072-B$9)/365.25</f>
        <v>146.95687885010267</v>
      </c>
      <c r="C1072" s="398">
        <f t="shared" si="1088"/>
        <v>142.34633812457221</v>
      </c>
      <c r="E1072" s="25">
        <f>IF(C1072&gt;$B$7,0,'Combined Retirement'!$D$13/12)</f>
        <v>0</v>
      </c>
      <c r="F1072" s="25">
        <f>IF(H1072=0,'Combined Retirement'!$D$32,0)+'Combined Retirement'!$B$24</f>
        <v>2870.372285649099</v>
      </c>
      <c r="G1072" s="25">
        <f>'Combined Retirement'!$C$24</f>
        <v>3254.2644699519233</v>
      </c>
      <c r="H1072" s="25">
        <f>IF(B1072&lt;62,0,'Combined Retirement'!$I$14)</f>
        <v>2345</v>
      </c>
      <c r="I1072" s="25">
        <f>IF(C1072&lt;62,0,'Combined Retirement'!$I$13)</f>
        <v>2420</v>
      </c>
      <c r="J1072" s="25">
        <f t="shared" si="1043"/>
        <v>8395.6297298201844</v>
      </c>
      <c r="K1072" s="25">
        <f t="shared" si="1044"/>
        <v>21655.303514578787</v>
      </c>
      <c r="L1072" s="25"/>
      <c r="N1072" s="25">
        <f>'Combined Retirement'!$C$18/12</f>
        <v>40940.569999999992</v>
      </c>
      <c r="O1072" s="25">
        <f t="shared" si="1045"/>
        <v>10889.636755601023</v>
      </c>
      <c r="P1072" s="25">
        <f t="shared" si="1046"/>
        <v>30050.93324439897</v>
      </c>
      <c r="Q1072" s="25">
        <f t="array" aca="1" ref="Q1072" ca="1">INDEX('Isaac 401k'!L:L,MATCH('Retirement Calculator'!A1072,'Isaac 401k'!N:N,0),0)</f>
        <v>-37636316.257285468</v>
      </c>
      <c r="R1072" s="25">
        <f t="array" aca="1" ref="R1072" ca="1">INDEX('Lorri 401b'!L:L,MATCH('Retirement Calculator'!A1072,'Lorri 401b'!N:N,0),0)</f>
        <v>-65310162.350919574</v>
      </c>
      <c r="S1072" s="25">
        <f t="shared" ca="1" si="1047"/>
        <v>-102946478.60820505</v>
      </c>
    </row>
    <row r="1073" spans="1:19" ht="15.75" customHeight="1" x14ac:dyDescent="0.25">
      <c r="A1073" s="37">
        <v>83612</v>
      </c>
      <c r="B1073" s="398">
        <f t="shared" ref="B1073:C1073" si="1089">($A1073-B$9)/365.25</f>
        <v>147.03901437371664</v>
      </c>
      <c r="C1073" s="398">
        <f t="shared" si="1089"/>
        <v>142.42847364818618</v>
      </c>
      <c r="E1073" s="25">
        <f>IF(C1073&gt;$B$7,0,'Combined Retirement'!$D$13/12)</f>
        <v>0</v>
      </c>
      <c r="F1073" s="25">
        <f>IF(H1073=0,'Combined Retirement'!$D$32,0)+'Combined Retirement'!$B$24</f>
        <v>2870.372285649099</v>
      </c>
      <c r="G1073" s="25">
        <f>'Combined Retirement'!$C$24</f>
        <v>3254.2644699519233</v>
      </c>
      <c r="H1073" s="25">
        <f>IF(B1073&lt;62,0,'Combined Retirement'!$I$14)</f>
        <v>2345</v>
      </c>
      <c r="I1073" s="25">
        <f>IF(C1073&lt;62,0,'Combined Retirement'!$I$13)</f>
        <v>2420</v>
      </c>
      <c r="J1073" s="25">
        <f t="shared" si="1043"/>
        <v>8395.6297298201844</v>
      </c>
      <c r="K1073" s="25">
        <f t="shared" si="1044"/>
        <v>21655.303514578787</v>
      </c>
      <c r="L1073" s="25"/>
      <c r="N1073" s="25">
        <f>'Combined Retirement'!$C$18/12</f>
        <v>40940.569999999992</v>
      </c>
      <c r="O1073" s="25">
        <f t="shared" si="1045"/>
        <v>10889.636755601023</v>
      </c>
      <c r="P1073" s="25">
        <f t="shared" si="1046"/>
        <v>30050.93324439897</v>
      </c>
      <c r="Q1073" s="25">
        <f t="array" aca="1" ref="Q1073" ca="1">INDEX('Isaac 401k'!L:L,MATCH('Retirement Calculator'!A1073,'Isaac 401k'!N:N,0),0)</f>
        <v>-37801564.853211187</v>
      </c>
      <c r="R1073" s="25">
        <f t="array" aca="1" ref="R1073" ca="1">INDEX('Lorri 401b'!L:L,MATCH('Retirement Calculator'!A1073,'Lorri 401b'!N:N,0),0)</f>
        <v>-65604033.561327629</v>
      </c>
      <c r="S1073" s="25">
        <f t="shared" ca="1" si="1047"/>
        <v>-103405598.41453882</v>
      </c>
    </row>
    <row r="1074" spans="1:19" ht="15.75" customHeight="1" x14ac:dyDescent="0.25">
      <c r="A1074" s="37">
        <v>83643</v>
      </c>
      <c r="B1074" s="398">
        <f t="shared" ref="B1074:C1074" si="1090">($A1074-B$9)/365.25</f>
        <v>147.12388774811774</v>
      </c>
      <c r="C1074" s="398">
        <f t="shared" si="1090"/>
        <v>142.51334702258728</v>
      </c>
      <c r="E1074" s="25">
        <f>IF(C1074&gt;$B$7,0,'Combined Retirement'!$D$13/12)</f>
        <v>0</v>
      </c>
      <c r="F1074" s="25">
        <f>IF(H1074=0,'Combined Retirement'!$D$32,0)+'Combined Retirement'!$B$24</f>
        <v>2870.372285649099</v>
      </c>
      <c r="G1074" s="25">
        <f>'Combined Retirement'!$C$24</f>
        <v>3254.2644699519233</v>
      </c>
      <c r="H1074" s="25">
        <f>IF(B1074&lt;62,0,'Combined Retirement'!$I$14)</f>
        <v>2345</v>
      </c>
      <c r="I1074" s="25">
        <f>IF(C1074&lt;62,0,'Combined Retirement'!$I$13)</f>
        <v>2420</v>
      </c>
      <c r="J1074" s="25">
        <f t="shared" si="1043"/>
        <v>8395.6297298201844</v>
      </c>
      <c r="K1074" s="25">
        <f t="shared" si="1044"/>
        <v>21655.303514578787</v>
      </c>
      <c r="L1074" s="25"/>
      <c r="N1074" s="25">
        <f>'Combined Retirement'!$C$18/12</f>
        <v>40940.569999999992</v>
      </c>
      <c r="O1074" s="25">
        <f t="shared" si="1045"/>
        <v>10889.636755601023</v>
      </c>
      <c r="P1074" s="25">
        <f t="shared" si="1046"/>
        <v>30050.93324439897</v>
      </c>
      <c r="Q1074" s="25">
        <f t="array" aca="1" ref="Q1074" ca="1">INDEX('Isaac 401k'!L:L,MATCH('Retirement Calculator'!A1074,'Isaac 401k'!N:N,0),0)</f>
        <v>-37967501.984953262</v>
      </c>
      <c r="R1074" s="25">
        <f t="array" aca="1" ref="R1074" ca="1">INDEX('Lorri 401b'!L:L,MATCH('Retirement Calculator'!A1074,'Lorri 401b'!N:N,0),0)</f>
        <v>-65899129.235112384</v>
      </c>
      <c r="S1074" s="25">
        <f t="shared" ca="1" si="1047"/>
        <v>-103866631.22006565</v>
      </c>
    </row>
    <row r="1075" spans="1:19" ht="15.75" customHeight="1" x14ac:dyDescent="0.25">
      <c r="A1075" s="37">
        <v>83674</v>
      </c>
      <c r="B1075" s="398">
        <f t="shared" ref="B1075:C1075" si="1091">($A1075-B$9)/365.25</f>
        <v>147.20876112251884</v>
      </c>
      <c r="C1075" s="398">
        <f t="shared" si="1091"/>
        <v>142.59822039698835</v>
      </c>
      <c r="E1075" s="25">
        <f>IF(C1075&gt;$B$7,0,'Combined Retirement'!$D$13/12)</f>
        <v>0</v>
      </c>
      <c r="F1075" s="25">
        <f>IF(H1075=0,'Combined Retirement'!$D$32,0)+'Combined Retirement'!$B$24</f>
        <v>2870.372285649099</v>
      </c>
      <c r="G1075" s="25">
        <f>'Combined Retirement'!$C$24</f>
        <v>3254.2644699519233</v>
      </c>
      <c r="H1075" s="25">
        <f>IF(B1075&lt;62,0,'Combined Retirement'!$I$14)</f>
        <v>2345</v>
      </c>
      <c r="I1075" s="25">
        <f>IF(C1075&lt;62,0,'Combined Retirement'!$I$13)</f>
        <v>2420</v>
      </c>
      <c r="J1075" s="25">
        <f t="shared" si="1043"/>
        <v>8395.6297298201844</v>
      </c>
      <c r="K1075" s="25">
        <f t="shared" si="1044"/>
        <v>21655.303514578787</v>
      </c>
      <c r="L1075" s="25"/>
      <c r="N1075" s="25">
        <f>'Combined Retirement'!$C$18/12</f>
        <v>40940.569999999992</v>
      </c>
      <c r="O1075" s="25">
        <f t="shared" si="1045"/>
        <v>10889.636755601023</v>
      </c>
      <c r="P1075" s="25">
        <f t="shared" si="1046"/>
        <v>30050.93324439897</v>
      </c>
      <c r="Q1075" s="25">
        <f t="array" aca="1" ref="Q1075" ca="1">INDEX('Isaac 401k'!L:L,MATCH('Retirement Calculator'!A1075,'Isaac 401k'!N:N,0),0)</f>
        <v>-38134130.521410927</v>
      </c>
      <c r="R1075" s="25">
        <f t="array" aca="1" ref="R1075" ca="1">INDEX('Lorri 401b'!L:L,MATCH('Retirement Calculator'!A1075,'Lorri 401b'!N:N,0),0)</f>
        <v>-66195454.47420457</v>
      </c>
      <c r="S1075" s="25">
        <f t="shared" ca="1" si="1047"/>
        <v>-104329584.9956155</v>
      </c>
    </row>
    <row r="1076" spans="1:19" ht="15.75" customHeight="1" x14ac:dyDescent="0.25">
      <c r="A1076" s="37">
        <v>83702</v>
      </c>
      <c r="B1076" s="398">
        <f t="shared" ref="B1076:C1076" si="1092">($A1076-B$9)/365.25</f>
        <v>147.28542094455852</v>
      </c>
      <c r="C1076" s="398">
        <f t="shared" si="1092"/>
        <v>142.67488021902807</v>
      </c>
      <c r="E1076" s="25">
        <f>IF(C1076&gt;$B$7,0,'Combined Retirement'!$D$13/12)</f>
        <v>0</v>
      </c>
      <c r="F1076" s="25">
        <f>IF(H1076=0,'Combined Retirement'!$D$32,0)+'Combined Retirement'!$B$24</f>
        <v>2870.372285649099</v>
      </c>
      <c r="G1076" s="25">
        <f>'Combined Retirement'!$C$24</f>
        <v>3254.2644699519233</v>
      </c>
      <c r="H1076" s="25">
        <f>IF(B1076&lt;62,0,'Combined Retirement'!$I$14)</f>
        <v>2345</v>
      </c>
      <c r="I1076" s="25">
        <f>IF(C1076&lt;62,0,'Combined Retirement'!$I$13)</f>
        <v>2420</v>
      </c>
      <c r="J1076" s="25">
        <f t="shared" si="1043"/>
        <v>8395.6297298201844</v>
      </c>
      <c r="K1076" s="25">
        <f t="shared" si="1044"/>
        <v>21655.303514578787</v>
      </c>
      <c r="L1076" s="25"/>
      <c r="N1076" s="25">
        <f>'Combined Retirement'!$C$18/12</f>
        <v>40940.569999999992</v>
      </c>
      <c r="O1076" s="25">
        <f t="shared" si="1045"/>
        <v>10889.636755601023</v>
      </c>
      <c r="P1076" s="25">
        <f t="shared" si="1046"/>
        <v>30050.93324439897</v>
      </c>
      <c r="Q1076" s="25">
        <f t="array" aca="1" ref="Q1076" ca="1">INDEX('Isaac 401k'!L:L,MATCH('Retirement Calculator'!A1076,'Isaac 401k'!N:N,0),0)</f>
        <v>-38301453.343437172</v>
      </c>
      <c r="R1076" s="25">
        <f t="array" aca="1" ref="R1076" ca="1">INDEX('Lorri 401b'!L:L,MATCH('Retirement Calculator'!A1076,'Lorri 401b'!N:N,0),0)</f>
        <v>-66493014.401792981</v>
      </c>
      <c r="S1076" s="25">
        <f t="shared" ca="1" si="1047"/>
        <v>-104794467.74523015</v>
      </c>
    </row>
    <row r="1077" spans="1:19" ht="15.75" customHeight="1" x14ac:dyDescent="0.25">
      <c r="A1077" s="37">
        <v>83733</v>
      </c>
      <c r="B1077" s="398">
        <f t="shared" ref="B1077:C1077" si="1093">($A1077-B$9)/365.25</f>
        <v>147.37029431895962</v>
      </c>
      <c r="C1077" s="398">
        <f t="shared" si="1093"/>
        <v>142.75975359342917</v>
      </c>
      <c r="E1077" s="25">
        <f>IF(C1077&gt;$B$7,0,'Combined Retirement'!$D$13/12)</f>
        <v>0</v>
      </c>
      <c r="F1077" s="25">
        <f>IF(H1077=0,'Combined Retirement'!$D$32,0)+'Combined Retirement'!$B$24</f>
        <v>2870.372285649099</v>
      </c>
      <c r="G1077" s="25">
        <f>'Combined Retirement'!$C$24</f>
        <v>3254.2644699519233</v>
      </c>
      <c r="H1077" s="25">
        <f>IF(B1077&lt;62,0,'Combined Retirement'!$I$14)</f>
        <v>2345</v>
      </c>
      <c r="I1077" s="25">
        <f>IF(C1077&lt;62,0,'Combined Retirement'!$I$13)</f>
        <v>2420</v>
      </c>
      <c r="J1077" s="25">
        <f t="shared" si="1043"/>
        <v>8395.6297298201844</v>
      </c>
      <c r="K1077" s="25">
        <f t="shared" si="1044"/>
        <v>21655.303514578787</v>
      </c>
      <c r="L1077" s="25"/>
      <c r="N1077" s="25">
        <f>'Combined Retirement'!$C$18/12</f>
        <v>40940.569999999992</v>
      </c>
      <c r="O1077" s="25">
        <f t="shared" si="1045"/>
        <v>10889.636755601023</v>
      </c>
      <c r="P1077" s="25">
        <f t="shared" si="1046"/>
        <v>30050.93324439897</v>
      </c>
      <c r="Q1077" s="25">
        <f t="array" aca="1" ref="Q1077" ca="1">INDEX('Isaac 401k'!L:L,MATCH('Retirement Calculator'!A1077,'Isaac 401k'!N:N,0),0)</f>
        <v>-38469473.343888521</v>
      </c>
      <c r="R1077" s="25">
        <f t="array" aca="1" ref="R1077" ca="1">INDEX('Lorri 401b'!L:L,MATCH('Retirement Calculator'!A1077,'Lorri 401b'!N:N,0),0)</f>
        <v>-66791814.162413009</v>
      </c>
      <c r="S1077" s="25">
        <f t="shared" ca="1" si="1047"/>
        <v>-105261287.50630152</v>
      </c>
    </row>
    <row r="1078" spans="1:19" ht="15.75" customHeight="1" x14ac:dyDescent="0.25">
      <c r="A1078" s="37">
        <v>83763</v>
      </c>
      <c r="B1078" s="398">
        <f t="shared" ref="B1078:C1078" si="1094">($A1078-B$9)/365.25</f>
        <v>147.45242984257359</v>
      </c>
      <c r="C1078" s="398">
        <f t="shared" si="1094"/>
        <v>142.84188911704311</v>
      </c>
      <c r="E1078" s="25">
        <f>IF(C1078&gt;$B$7,0,'Combined Retirement'!$D$13/12)</f>
        <v>0</v>
      </c>
      <c r="F1078" s="25">
        <f>IF(H1078=0,'Combined Retirement'!$D$32,0)+'Combined Retirement'!$B$24</f>
        <v>2870.372285649099</v>
      </c>
      <c r="G1078" s="25">
        <f>'Combined Retirement'!$C$24</f>
        <v>3254.2644699519233</v>
      </c>
      <c r="H1078" s="25">
        <f>IF(B1078&lt;62,0,'Combined Retirement'!$I$14)</f>
        <v>2345</v>
      </c>
      <c r="I1078" s="25">
        <f>IF(C1078&lt;62,0,'Combined Retirement'!$I$13)</f>
        <v>2420</v>
      </c>
      <c r="J1078" s="25">
        <f t="shared" si="1043"/>
        <v>8395.6297298201844</v>
      </c>
      <c r="K1078" s="25">
        <f t="shared" si="1044"/>
        <v>21655.303514578787</v>
      </c>
      <c r="L1078" s="25"/>
      <c r="N1078" s="25">
        <f>'Combined Retirement'!$C$18/12</f>
        <v>40940.569999999992</v>
      </c>
      <c r="O1078" s="25">
        <f t="shared" si="1045"/>
        <v>10889.636755601023</v>
      </c>
      <c r="P1078" s="25">
        <f t="shared" si="1046"/>
        <v>30050.93324439897</v>
      </c>
      <c r="Q1078" s="25">
        <f t="array" aca="1" ref="Q1078" ca="1">INDEX('Isaac 401k'!L:L,MATCH('Retirement Calculator'!A1078,'Isaac 401k'!N:N,0),0)</f>
        <v>-38638193.427675083</v>
      </c>
      <c r="R1078" s="25">
        <f t="array" aca="1" ref="R1078" ca="1">INDEX('Lorri 401b'!L:L,MATCH('Retirement Calculator'!A1078,'Lorri 401b'!N:N,0),0)</f>
        <v>-67091858.92203562</v>
      </c>
      <c r="S1078" s="25">
        <f t="shared" ca="1" si="1047"/>
        <v>-105730052.3497107</v>
      </c>
    </row>
    <row r="1079" spans="1:19" ht="15.75" customHeight="1" x14ac:dyDescent="0.25">
      <c r="A1079" s="37">
        <v>83794</v>
      </c>
      <c r="B1079" s="398">
        <f t="shared" ref="B1079:C1079" si="1095">($A1079-B$9)/365.25</f>
        <v>147.53730321697466</v>
      </c>
      <c r="C1079" s="398">
        <f t="shared" si="1095"/>
        <v>142.92676249144421</v>
      </c>
      <c r="E1079" s="25">
        <f>IF(C1079&gt;$B$7,0,'Combined Retirement'!$D$13/12)</f>
        <v>0</v>
      </c>
      <c r="F1079" s="25">
        <f>IF(H1079=0,'Combined Retirement'!$D$32,0)+'Combined Retirement'!$B$24</f>
        <v>2870.372285649099</v>
      </c>
      <c r="G1079" s="25">
        <f>'Combined Retirement'!$C$24</f>
        <v>3254.2644699519233</v>
      </c>
      <c r="H1079" s="25">
        <f>IF(B1079&lt;62,0,'Combined Retirement'!$I$14)</f>
        <v>2345</v>
      </c>
      <c r="I1079" s="25">
        <f>IF(C1079&lt;62,0,'Combined Retirement'!$I$13)</f>
        <v>2420</v>
      </c>
      <c r="J1079" s="25">
        <f t="shared" si="1043"/>
        <v>8395.6297298201844</v>
      </c>
      <c r="K1079" s="25">
        <f t="shared" si="1044"/>
        <v>21655.303514578787</v>
      </c>
      <c r="L1079" s="25"/>
      <c r="N1079" s="25">
        <f>'Combined Retirement'!$C$18/12</f>
        <v>40940.569999999992</v>
      </c>
      <c r="O1079" s="25">
        <f t="shared" si="1045"/>
        <v>10889.636755601023</v>
      </c>
      <c r="P1079" s="25">
        <f t="shared" si="1046"/>
        <v>30050.93324439897</v>
      </c>
      <c r="Q1079" s="25">
        <f t="array" aca="1" ref="Q1079" ca="1">INDEX('Isaac 401k'!L:L,MATCH('Retirement Calculator'!A1079,'Isaac 401k'!N:N,0),0)</f>
        <v>-38807616.511810757</v>
      </c>
      <c r="R1079" s="25">
        <f t="array" aca="1" ref="R1079" ca="1">INDEX('Lorri 401b'!L:L,MATCH('Retirement Calculator'!A1079,'Lorri 401b'!N:N,0),0)</f>
        <v>-67393153.868156657</v>
      </c>
      <c r="S1079" s="25">
        <f t="shared" ca="1" si="1047"/>
        <v>-106200770.37996742</v>
      </c>
    </row>
    <row r="1080" spans="1:19" ht="15.75" customHeight="1" x14ac:dyDescent="0.25">
      <c r="A1080" s="37">
        <v>83824</v>
      </c>
      <c r="B1080" s="398">
        <f t="shared" ref="B1080:C1080" si="1096">($A1080-B$9)/365.25</f>
        <v>147.61943874058863</v>
      </c>
      <c r="C1080" s="398">
        <f t="shared" si="1096"/>
        <v>143.00889801505818</v>
      </c>
      <c r="E1080" s="25">
        <f>IF(C1080&gt;$B$7,0,'Combined Retirement'!$D$13/12)</f>
        <v>0</v>
      </c>
      <c r="F1080" s="25">
        <f>IF(H1080=0,'Combined Retirement'!$D$32,0)+'Combined Retirement'!$B$24</f>
        <v>2870.372285649099</v>
      </c>
      <c r="G1080" s="25">
        <f>'Combined Retirement'!$C$24</f>
        <v>3254.2644699519233</v>
      </c>
      <c r="H1080" s="25">
        <f>IF(B1080&lt;62,0,'Combined Retirement'!$I$14)</f>
        <v>2345</v>
      </c>
      <c r="I1080" s="25">
        <f>IF(C1080&lt;62,0,'Combined Retirement'!$I$13)</f>
        <v>2420</v>
      </c>
      <c r="J1080" s="25">
        <f t="shared" si="1043"/>
        <v>8395.6297298201844</v>
      </c>
      <c r="K1080" s="25">
        <f t="shared" si="1044"/>
        <v>21655.303514578787</v>
      </c>
      <c r="L1080" s="25"/>
      <c r="N1080" s="25">
        <f>'Combined Retirement'!$C$18/12</f>
        <v>40940.569999999992</v>
      </c>
      <c r="O1080" s="25">
        <f t="shared" si="1045"/>
        <v>10889.636755601023</v>
      </c>
      <c r="P1080" s="25">
        <f t="shared" si="1046"/>
        <v>30050.93324439897</v>
      </c>
      <c r="Q1080" s="25">
        <f t="array" aca="1" ref="Q1080" ca="1">INDEX('Isaac 401k'!L:L,MATCH('Retirement Calculator'!A1080,'Isaac 401k'!N:N,0),0)</f>
        <v>-38977745.525463663</v>
      </c>
      <c r="R1080" s="25">
        <f t="array" aca="1" ref="R1080" ca="1">INDEX('Lorri 401b'!L:L,MATCH('Retirement Calculator'!A1080,'Lorri 401b'!N:N,0),0)</f>
        <v>-67695704.209886536</v>
      </c>
      <c r="S1080" s="25">
        <f t="shared" ca="1" si="1047"/>
        <v>-106673449.73535019</v>
      </c>
    </row>
    <row r="1081" spans="1:19" ht="15.75" customHeight="1" x14ac:dyDescent="0.25">
      <c r="A1081" s="37">
        <v>83855</v>
      </c>
      <c r="B1081" s="398">
        <f t="shared" ref="B1081:C1081" si="1097">($A1081-B$9)/365.25</f>
        <v>147.70431211498973</v>
      </c>
      <c r="C1081" s="398">
        <f t="shared" si="1097"/>
        <v>143.09377138945928</v>
      </c>
      <c r="E1081" s="25">
        <f>IF(C1081&gt;$B$7,0,'Combined Retirement'!$D$13/12)</f>
        <v>0</v>
      </c>
      <c r="F1081" s="25">
        <f>IF(H1081=0,'Combined Retirement'!$D$32,0)+'Combined Retirement'!$B$24</f>
        <v>2870.372285649099</v>
      </c>
      <c r="G1081" s="25">
        <f>'Combined Retirement'!$C$24</f>
        <v>3254.2644699519233</v>
      </c>
      <c r="H1081" s="25">
        <f>IF(B1081&lt;62,0,'Combined Retirement'!$I$14)</f>
        <v>2345</v>
      </c>
      <c r="I1081" s="25">
        <f>IF(C1081&lt;62,0,'Combined Retirement'!$I$13)</f>
        <v>2420</v>
      </c>
      <c r="J1081" s="25">
        <f t="shared" si="1043"/>
        <v>8395.6297298201844</v>
      </c>
      <c r="K1081" s="25">
        <f t="shared" si="1044"/>
        <v>21655.303514578787</v>
      </c>
      <c r="L1081" s="25"/>
      <c r="N1081" s="25">
        <f>'Combined Retirement'!$C$18/12</f>
        <v>40940.569999999992</v>
      </c>
      <c r="O1081" s="25">
        <f t="shared" si="1045"/>
        <v>10889.636755601023</v>
      </c>
      <c r="P1081" s="25">
        <f t="shared" si="1046"/>
        <v>30050.93324439897</v>
      </c>
      <c r="Q1081" s="25">
        <f t="array" aca="1" ref="Q1081" ca="1">INDEX('Isaac 401k'!L:L,MATCH('Retirement Calculator'!A1081,'Isaac 401k'!N:N,0),0)</f>
        <v>-39148583.410006791</v>
      </c>
      <c r="R1081" s="25">
        <f t="array" aca="1" ref="R1081" ca="1">INDEX('Lorri 401b'!L:L,MATCH('Retirement Calculator'!A1081,'Lorri 401b'!N:N,0),0)</f>
        <v>-67999515.178040296</v>
      </c>
      <c r="S1081" s="25">
        <f t="shared" ca="1" si="1047"/>
        <v>-107148098.58804709</v>
      </c>
    </row>
    <row r="1082" spans="1:19" ht="15.75" customHeight="1" x14ac:dyDescent="0.25">
      <c r="A1082" s="37">
        <v>83886</v>
      </c>
      <c r="B1082" s="398">
        <f t="shared" ref="B1082:C1082" si="1098">($A1082-B$9)/365.25</f>
        <v>147.78918548939083</v>
      </c>
      <c r="C1082" s="398">
        <f t="shared" si="1098"/>
        <v>143.17864476386038</v>
      </c>
      <c r="E1082" s="25">
        <f>IF(C1082&gt;$B$7,0,'Combined Retirement'!$D$13/12)</f>
        <v>0</v>
      </c>
      <c r="F1082" s="25">
        <f>IF(H1082=0,'Combined Retirement'!$D$32,0)+'Combined Retirement'!$B$24</f>
        <v>2870.372285649099</v>
      </c>
      <c r="G1082" s="25">
        <f>'Combined Retirement'!$C$24</f>
        <v>3254.2644699519233</v>
      </c>
      <c r="H1082" s="25">
        <f>IF(B1082&lt;62,0,'Combined Retirement'!$I$14)</f>
        <v>2345</v>
      </c>
      <c r="I1082" s="25">
        <f>IF(C1082&lt;62,0,'Combined Retirement'!$I$13)</f>
        <v>2420</v>
      </c>
      <c r="J1082" s="25">
        <f t="shared" si="1043"/>
        <v>8395.6297298201844</v>
      </c>
      <c r="K1082" s="25">
        <f t="shared" si="1044"/>
        <v>21655.303514578787</v>
      </c>
      <c r="L1082" s="25"/>
      <c r="N1082" s="25">
        <f>'Combined Retirement'!$C$18/12</f>
        <v>40940.569999999992</v>
      </c>
      <c r="O1082" s="25">
        <f t="shared" si="1045"/>
        <v>10889.636755601023</v>
      </c>
      <c r="P1082" s="25">
        <f t="shared" si="1046"/>
        <v>30050.93324439897</v>
      </c>
      <c r="Q1082" s="25">
        <f t="array" aca="1" ref="Q1082" ca="1">INDEX('Isaac 401k'!L:L,MATCH('Retirement Calculator'!A1082,'Isaac 401k'!N:N,0),0)</f>
        <v>-39320133.119068846</v>
      </c>
      <c r="R1082" s="25">
        <f t="array" aca="1" ref="R1082" ca="1">INDEX('Lorri 401b'!L:L,MATCH('Retirement Calculator'!A1082,'Lorri 401b'!N:N,0),0)</f>
        <v>-68304592.025228024</v>
      </c>
      <c r="S1082" s="25">
        <f t="shared" ca="1" si="1047"/>
        <v>-107624725.14429687</v>
      </c>
    </row>
    <row r="1083" spans="1:19" ht="15.75" customHeight="1" x14ac:dyDescent="0.25">
      <c r="A1083" s="37">
        <v>83916</v>
      </c>
      <c r="B1083" s="398">
        <f t="shared" ref="B1083:C1083" si="1099">($A1083-B$9)/365.25</f>
        <v>147.8713210130048</v>
      </c>
      <c r="C1083" s="398">
        <f t="shared" si="1099"/>
        <v>143.26078028747432</v>
      </c>
      <c r="E1083" s="25">
        <f>IF(C1083&gt;$B$7,0,'Combined Retirement'!$D$13/12)</f>
        <v>0</v>
      </c>
      <c r="F1083" s="25">
        <f>IF(H1083=0,'Combined Retirement'!$D$32,0)+'Combined Retirement'!$B$24</f>
        <v>2870.372285649099</v>
      </c>
      <c r="G1083" s="25">
        <f>'Combined Retirement'!$C$24</f>
        <v>3254.2644699519233</v>
      </c>
      <c r="H1083" s="25">
        <f>IF(B1083&lt;62,0,'Combined Retirement'!$I$14)</f>
        <v>2345</v>
      </c>
      <c r="I1083" s="25">
        <f>IF(C1083&lt;62,0,'Combined Retirement'!$I$13)</f>
        <v>2420</v>
      </c>
      <c r="J1083" s="25">
        <f t="shared" si="1043"/>
        <v>8395.6297298201844</v>
      </c>
      <c r="K1083" s="25">
        <f t="shared" si="1044"/>
        <v>21655.303514578787</v>
      </c>
      <c r="L1083" s="25"/>
      <c r="N1083" s="25">
        <f>'Combined Retirement'!$C$18/12</f>
        <v>40940.569999999992</v>
      </c>
      <c r="O1083" s="25">
        <f t="shared" si="1045"/>
        <v>10889.636755601023</v>
      </c>
      <c r="P1083" s="25">
        <f t="shared" si="1046"/>
        <v>30050.93324439897</v>
      </c>
      <c r="Q1083" s="25">
        <f t="array" aca="1" ref="Q1083" ca="1">INDEX('Isaac 401k'!L:L,MATCH('Retirement Calculator'!A1083,'Isaac 401k'!N:N,0),0)</f>
        <v>-39492397.618585333</v>
      </c>
      <c r="R1083" s="25">
        <f t="array" aca="1" ref="R1083" ca="1">INDEX('Lorri 401b'!L:L,MATCH('Retirement Calculator'!A1083,'Lorri 401b'!N:N,0),0)</f>
        <v>-68610940.025945708</v>
      </c>
      <c r="S1083" s="25">
        <f t="shared" ca="1" si="1047"/>
        <v>-108103337.64453104</v>
      </c>
    </row>
    <row r="1084" spans="1:19" ht="15.75" customHeight="1" x14ac:dyDescent="0.25">
      <c r="A1084" s="37">
        <v>83947</v>
      </c>
      <c r="B1084" s="398">
        <f t="shared" ref="B1084:C1084" si="1100">($A1084-B$9)/365.25</f>
        <v>147.95619438740587</v>
      </c>
      <c r="C1084" s="398">
        <f t="shared" si="1100"/>
        <v>143.34565366187542</v>
      </c>
      <c r="E1084" s="25">
        <f>IF(C1084&gt;$B$7,0,'Combined Retirement'!$D$13/12)</f>
        <v>0</v>
      </c>
      <c r="F1084" s="25">
        <f>IF(H1084=0,'Combined Retirement'!$D$32,0)+'Combined Retirement'!$B$24</f>
        <v>2870.372285649099</v>
      </c>
      <c r="G1084" s="25">
        <f>'Combined Retirement'!$C$24</f>
        <v>3254.2644699519233</v>
      </c>
      <c r="H1084" s="25">
        <f>IF(B1084&lt;62,0,'Combined Retirement'!$I$14)</f>
        <v>2345</v>
      </c>
      <c r="I1084" s="25">
        <f>IF(C1084&lt;62,0,'Combined Retirement'!$I$13)</f>
        <v>2420</v>
      </c>
      <c r="J1084" s="25">
        <f t="shared" si="1043"/>
        <v>8395.6297298201844</v>
      </c>
      <c r="K1084" s="25">
        <f t="shared" si="1044"/>
        <v>21655.303514578787</v>
      </c>
      <c r="L1084" s="25"/>
      <c r="N1084" s="25">
        <f>'Combined Retirement'!$C$18/12</f>
        <v>40940.569999999992</v>
      </c>
      <c r="O1084" s="25">
        <f t="shared" si="1045"/>
        <v>10889.636755601023</v>
      </c>
      <c r="P1084" s="25">
        <f t="shared" si="1046"/>
        <v>30050.93324439897</v>
      </c>
      <c r="Q1084" s="25">
        <f t="array" aca="1" ref="Q1084" ca="1">INDEX('Isaac 401k'!L:L,MATCH('Retirement Calculator'!A1084,'Isaac 401k'!N:N,0),0)</f>
        <v>-39665379.886849806</v>
      </c>
      <c r="R1084" s="25">
        <f t="array" aca="1" ref="R1084" ca="1">INDEX('Lorri 401b'!L:L,MATCH('Retirement Calculator'!A1084,'Lorri 401b'!N:N,0),0)</f>
        <v>-68918564.476666376</v>
      </c>
      <c r="S1084" s="25">
        <f t="shared" ca="1" si="1047"/>
        <v>-108583944.36351618</v>
      </c>
    </row>
    <row r="1085" spans="1:19" ht="15.75" customHeight="1" x14ac:dyDescent="0.25">
      <c r="A1085" s="37">
        <v>83977</v>
      </c>
      <c r="B1085" s="398">
        <f t="shared" ref="B1085:C1085" si="1101">($A1085-B$9)/365.25</f>
        <v>148.03832991101984</v>
      </c>
      <c r="C1085" s="398">
        <f t="shared" si="1101"/>
        <v>143.42778918548939</v>
      </c>
      <c r="E1085" s="25">
        <f>IF(C1085&gt;$B$7,0,'Combined Retirement'!$D$13/12)</f>
        <v>0</v>
      </c>
      <c r="F1085" s="25">
        <f>IF(H1085=0,'Combined Retirement'!$D$32,0)+'Combined Retirement'!$B$24</f>
        <v>2870.372285649099</v>
      </c>
      <c r="G1085" s="25">
        <f>'Combined Retirement'!$C$24</f>
        <v>3254.2644699519233</v>
      </c>
      <c r="H1085" s="25">
        <f>IF(B1085&lt;62,0,'Combined Retirement'!$I$14)</f>
        <v>2345</v>
      </c>
      <c r="I1085" s="25">
        <f>IF(C1085&lt;62,0,'Combined Retirement'!$I$13)</f>
        <v>2420</v>
      </c>
      <c r="J1085" s="25">
        <f t="shared" si="1043"/>
        <v>8395.6297298201844</v>
      </c>
      <c r="K1085" s="25">
        <f t="shared" si="1044"/>
        <v>21655.303514578787</v>
      </c>
      <c r="L1085" s="25"/>
      <c r="N1085" s="25">
        <f>'Combined Retirement'!$C$18/12</f>
        <v>40940.569999999992</v>
      </c>
      <c r="O1085" s="25">
        <f t="shared" si="1045"/>
        <v>10889.636755601023</v>
      </c>
      <c r="P1085" s="25">
        <f t="shared" si="1046"/>
        <v>30050.93324439897</v>
      </c>
      <c r="Q1085" s="25">
        <f t="array" aca="1" ref="Q1085" ca="1">INDEX('Isaac 401k'!L:L,MATCH('Retirement Calculator'!A1085,'Isaac 401k'!N:N,0),0)</f>
        <v>-39839082.914565377</v>
      </c>
      <c r="R1085" s="25">
        <f t="array" aca="1" ref="R1085" ca="1">INDEX('Lorri 401b'!L:L,MATCH('Retirement Calculator'!A1085,'Lorri 401b'!N:N,0),0)</f>
        <v>-69227470.695931718</v>
      </c>
      <c r="S1085" s="25">
        <f t="shared" ca="1" si="1047"/>
        <v>-109066553.61049709</v>
      </c>
    </row>
    <row r="1086" spans="1:19" ht="15.75" customHeight="1" x14ac:dyDescent="0.25">
      <c r="A1086" s="37">
        <v>84008</v>
      </c>
      <c r="B1086" s="398">
        <f t="shared" ref="B1086:C1086" si="1102">($A1086-B$9)/365.25</f>
        <v>148.12320328542094</v>
      </c>
      <c r="C1086" s="398">
        <f t="shared" si="1102"/>
        <v>143.51266255989049</v>
      </c>
      <c r="E1086" s="25">
        <f>IF(C1086&gt;$B$7,0,'Combined Retirement'!$D$13/12)</f>
        <v>0</v>
      </c>
      <c r="F1086" s="25">
        <f>IF(H1086=0,'Combined Retirement'!$D$32,0)+'Combined Retirement'!$B$24</f>
        <v>2870.372285649099</v>
      </c>
      <c r="G1086" s="25">
        <f>'Combined Retirement'!$C$24</f>
        <v>3254.2644699519233</v>
      </c>
      <c r="H1086" s="25">
        <f>IF(B1086&lt;62,0,'Combined Retirement'!$I$14)</f>
        <v>2345</v>
      </c>
      <c r="I1086" s="25">
        <f>IF(C1086&lt;62,0,'Combined Retirement'!$I$13)</f>
        <v>2420</v>
      </c>
      <c r="J1086" s="25">
        <f t="shared" si="1043"/>
        <v>8395.6297298201844</v>
      </c>
      <c r="K1086" s="25">
        <f t="shared" si="1044"/>
        <v>21655.303514578787</v>
      </c>
      <c r="L1086" s="25"/>
      <c r="N1086" s="25">
        <f>'Combined Retirement'!$C$18/12</f>
        <v>40940.569999999992</v>
      </c>
      <c r="O1086" s="25">
        <f t="shared" si="1045"/>
        <v>10889.636755601023</v>
      </c>
      <c r="P1086" s="25">
        <f t="shared" si="1046"/>
        <v>30050.93324439897</v>
      </c>
      <c r="Q1086" s="25">
        <f t="array" aca="1" ref="Q1086" ca="1">INDEX('Isaac 401k'!L:L,MATCH('Retirement Calculator'!A1086,'Isaac 401k'!N:N,0),0)</f>
        <v>-40013509.704896428</v>
      </c>
      <c r="R1086" s="25">
        <f t="array" aca="1" ref="R1086" ca="1">INDEX('Lorri 401b'!L:L,MATCH('Retirement Calculator'!A1086,'Lorri 401b'!N:N,0),0)</f>
        <v>-69537664.024443999</v>
      </c>
      <c r="S1086" s="25">
        <f t="shared" ca="1" si="1047"/>
        <v>-109551173.72934043</v>
      </c>
    </row>
    <row r="1087" spans="1:19" ht="15.75" customHeight="1" x14ac:dyDescent="0.25">
      <c r="A1087" s="37">
        <v>84039</v>
      </c>
      <c r="B1087" s="398">
        <f t="shared" ref="B1087:C1087" si="1103">($A1087-B$9)/365.25</f>
        <v>148.20807665982204</v>
      </c>
      <c r="C1087" s="398">
        <f t="shared" si="1103"/>
        <v>143.59753593429159</v>
      </c>
      <c r="E1087" s="25">
        <f>IF(C1087&gt;$B$7,0,'Combined Retirement'!$D$13/12)</f>
        <v>0</v>
      </c>
      <c r="F1087" s="25">
        <f>IF(H1087=0,'Combined Retirement'!$D$32,0)+'Combined Retirement'!$B$24</f>
        <v>2870.372285649099</v>
      </c>
      <c r="G1087" s="25">
        <f>'Combined Retirement'!$C$24</f>
        <v>3254.2644699519233</v>
      </c>
      <c r="H1087" s="25">
        <f>IF(B1087&lt;62,0,'Combined Retirement'!$I$14)</f>
        <v>2345</v>
      </c>
      <c r="I1087" s="25">
        <f>IF(C1087&lt;62,0,'Combined Retirement'!$I$13)</f>
        <v>2420</v>
      </c>
      <c r="J1087" s="25">
        <f t="shared" si="1043"/>
        <v>8395.6297298201844</v>
      </c>
      <c r="K1087" s="25">
        <f t="shared" si="1044"/>
        <v>21655.303514578787</v>
      </c>
      <c r="L1087" s="25"/>
      <c r="N1087" s="25">
        <f>'Combined Retirement'!$C$18/12</f>
        <v>40940.569999999992</v>
      </c>
      <c r="O1087" s="25">
        <f t="shared" si="1045"/>
        <v>10889.636755601023</v>
      </c>
      <c r="P1087" s="25">
        <f t="shared" si="1046"/>
        <v>30050.93324439897</v>
      </c>
      <c r="Q1087" s="25">
        <f t="array" aca="1" ref="Q1087" ca="1">INDEX('Isaac 401k'!L:L,MATCH('Retirement Calculator'!A1087,'Isaac 401k'!N:N,0),0)</f>
        <v>-40188663.273520529</v>
      </c>
      <c r="R1087" s="25">
        <f t="array" aca="1" ref="R1087" ca="1">INDEX('Lorri 401b'!L:L,MATCH('Retirement Calculator'!A1087,'Lorri 401b'!N:N,0),0)</f>
        <v>-69849149.825158417</v>
      </c>
      <c r="S1087" s="25">
        <f t="shared" ca="1" si="1047"/>
        <v>-110037813.09867895</v>
      </c>
    </row>
    <row r="1088" spans="1:19" ht="15.75" customHeight="1" x14ac:dyDescent="0.25">
      <c r="A1088" s="37">
        <v>84067</v>
      </c>
      <c r="B1088" s="398">
        <f t="shared" ref="B1088:C1088" si="1104">($A1088-B$9)/365.25</f>
        <v>148.28473648186173</v>
      </c>
      <c r="C1088" s="398">
        <f t="shared" si="1104"/>
        <v>143.67419575633127</v>
      </c>
      <c r="E1088" s="25">
        <f>IF(C1088&gt;$B$7,0,'Combined Retirement'!$D$13/12)</f>
        <v>0</v>
      </c>
      <c r="F1088" s="25">
        <f>IF(H1088=0,'Combined Retirement'!$D$32,0)+'Combined Retirement'!$B$24</f>
        <v>2870.372285649099</v>
      </c>
      <c r="G1088" s="25">
        <f>'Combined Retirement'!$C$24</f>
        <v>3254.2644699519233</v>
      </c>
      <c r="H1088" s="25">
        <f>IF(B1088&lt;62,0,'Combined Retirement'!$I$14)</f>
        <v>2345</v>
      </c>
      <c r="I1088" s="25">
        <f>IF(C1088&lt;62,0,'Combined Retirement'!$I$13)</f>
        <v>2420</v>
      </c>
      <c r="J1088" s="25">
        <f t="shared" si="1043"/>
        <v>8395.6297298201844</v>
      </c>
      <c r="K1088" s="25">
        <f t="shared" si="1044"/>
        <v>21655.303514578787</v>
      </c>
      <c r="L1088" s="25"/>
      <c r="N1088" s="25">
        <f>'Combined Retirement'!$C$18/12</f>
        <v>40940.569999999992</v>
      </c>
      <c r="O1088" s="25">
        <f t="shared" si="1045"/>
        <v>10889.636755601023</v>
      </c>
      <c r="P1088" s="25">
        <f t="shared" si="1046"/>
        <v>30050.93324439897</v>
      </c>
      <c r="Q1088" s="25">
        <f t="array" aca="1" ref="Q1088" ca="1">INDEX('Isaac 401k'!L:L,MATCH('Retirement Calculator'!A1088,'Isaac 401k'!N:N,0),0)</f>
        <v>-40364546.64868056</v>
      </c>
      <c r="R1088" s="25">
        <f t="array" aca="1" ref="R1088" ca="1">INDEX('Lorri 401b'!L:L,MATCH('Retirement Calculator'!A1088,'Lorri 401b'!N:N,0),0)</f>
        <v>-70161933.483375803</v>
      </c>
      <c r="S1088" s="25">
        <f t="shared" ca="1" si="1047"/>
        <v>-110526480.13205636</v>
      </c>
    </row>
    <row r="1089" spans="1:19" ht="15.75" customHeight="1" x14ac:dyDescent="0.25">
      <c r="A1089" s="37">
        <v>84098</v>
      </c>
      <c r="B1089" s="398">
        <f t="shared" ref="B1089:C1089" si="1105">($A1089-B$9)/365.25</f>
        <v>148.36960985626283</v>
      </c>
      <c r="C1089" s="398">
        <f t="shared" si="1105"/>
        <v>143.75906913073237</v>
      </c>
      <c r="E1089" s="25">
        <f>IF(C1089&gt;$B$7,0,'Combined Retirement'!$D$13/12)</f>
        <v>0</v>
      </c>
      <c r="F1089" s="25">
        <f>IF(H1089=0,'Combined Retirement'!$D$32,0)+'Combined Retirement'!$B$24</f>
        <v>2870.372285649099</v>
      </c>
      <c r="G1089" s="25">
        <f>'Combined Retirement'!$C$24</f>
        <v>3254.2644699519233</v>
      </c>
      <c r="H1089" s="25">
        <f>IF(B1089&lt;62,0,'Combined Retirement'!$I$14)</f>
        <v>2345</v>
      </c>
      <c r="I1089" s="25">
        <f>IF(C1089&lt;62,0,'Combined Retirement'!$I$13)</f>
        <v>2420</v>
      </c>
      <c r="J1089" s="25">
        <f t="shared" si="1043"/>
        <v>8395.6297298201844</v>
      </c>
      <c r="K1089" s="25">
        <f t="shared" si="1044"/>
        <v>21655.303514578787</v>
      </c>
      <c r="L1089" s="25"/>
      <c r="N1089" s="25">
        <f>'Combined Retirement'!$C$18/12</f>
        <v>40940.569999999992</v>
      </c>
      <c r="O1089" s="25">
        <f t="shared" si="1045"/>
        <v>10889.636755601023</v>
      </c>
      <c r="P1089" s="25">
        <f t="shared" si="1046"/>
        <v>30050.93324439897</v>
      </c>
      <c r="Q1089" s="25">
        <f t="array" aca="1" ref="Q1089" ca="1">INDEX('Isaac 401k'!L:L,MATCH('Retirement Calculator'!A1089,'Isaac 401k'!N:N,0),0)</f>
        <v>-40541162.871237092</v>
      </c>
      <c r="R1089" s="25">
        <f t="array" aca="1" ref="R1089" ca="1">INDEX('Lorri 401b'!L:L,MATCH('Retirement Calculator'!A1089,'Lorri 401b'!N:N,0),0)</f>
        <v>-70476020.406835765</v>
      </c>
      <c r="S1089" s="25">
        <f t="shared" ca="1" si="1047"/>
        <v>-111017183.27807286</v>
      </c>
    </row>
    <row r="1090" spans="1:19" ht="15.75" customHeight="1" x14ac:dyDescent="0.25">
      <c r="A1090" s="37">
        <v>84128</v>
      </c>
      <c r="B1090" s="398">
        <f t="shared" ref="B1090:C1090" si="1106">($A1090-B$9)/365.25</f>
        <v>148.4517453798768</v>
      </c>
      <c r="C1090" s="398">
        <f t="shared" si="1106"/>
        <v>143.84120465434634</v>
      </c>
      <c r="E1090" s="25">
        <f>IF(C1090&gt;$B$7,0,'Combined Retirement'!$D$13/12)</f>
        <v>0</v>
      </c>
      <c r="F1090" s="25">
        <f>IF(H1090=0,'Combined Retirement'!$D$32,0)+'Combined Retirement'!$B$24</f>
        <v>2870.372285649099</v>
      </c>
      <c r="G1090" s="25">
        <f>'Combined Retirement'!$C$24</f>
        <v>3254.2644699519233</v>
      </c>
      <c r="H1090" s="25">
        <f>IF(B1090&lt;62,0,'Combined Retirement'!$I$14)</f>
        <v>2345</v>
      </c>
      <c r="I1090" s="25">
        <f>IF(C1090&lt;62,0,'Combined Retirement'!$I$13)</f>
        <v>2420</v>
      </c>
      <c r="J1090" s="25">
        <f t="shared" si="1043"/>
        <v>8395.6297298201844</v>
      </c>
      <c r="K1090" s="25">
        <f t="shared" si="1044"/>
        <v>21655.303514578787</v>
      </c>
      <c r="L1090" s="25"/>
      <c r="N1090" s="25">
        <f>'Combined Retirement'!$C$18/12</f>
        <v>40940.569999999992</v>
      </c>
      <c r="O1090" s="25">
        <f t="shared" si="1045"/>
        <v>10889.636755601023</v>
      </c>
      <c r="P1090" s="25">
        <f t="shared" si="1046"/>
        <v>30050.93324439897</v>
      </c>
      <c r="Q1090" s="25">
        <f t="array" aca="1" ref="Q1090" ca="1">INDEX('Isaac 401k'!L:L,MATCH('Retirement Calculator'!A1090,'Isaac 401k'!N:N,0),0)</f>
        <v>-40718514.994720943</v>
      </c>
      <c r="R1090" s="25">
        <f t="array" aca="1" ref="R1090" ca="1">INDEX('Lorri 401b'!L:L,MATCH('Retirement Calculator'!A1090,'Lorri 401b'!N:N,0),0)</f>
        <v>-70791416.025810137</v>
      </c>
      <c r="S1090" s="25">
        <f t="shared" ca="1" si="1047"/>
        <v>-111509931.02053109</v>
      </c>
    </row>
    <row r="1091" spans="1:19" ht="15.75" customHeight="1" x14ac:dyDescent="0.25">
      <c r="A1091" s="37">
        <v>84159</v>
      </c>
      <c r="B1091" s="398">
        <f t="shared" ref="B1091:C1091" si="1107">($A1091-B$9)/365.25</f>
        <v>148.5366187542779</v>
      </c>
      <c r="C1091" s="398">
        <f t="shared" si="1107"/>
        <v>143.92607802874744</v>
      </c>
      <c r="E1091" s="25">
        <f>IF(C1091&gt;$B$7,0,'Combined Retirement'!$D$13/12)</f>
        <v>0</v>
      </c>
      <c r="F1091" s="25">
        <f>IF(H1091=0,'Combined Retirement'!$D$32,0)+'Combined Retirement'!$B$24</f>
        <v>2870.372285649099</v>
      </c>
      <c r="G1091" s="25">
        <f>'Combined Retirement'!$C$24</f>
        <v>3254.2644699519233</v>
      </c>
      <c r="H1091" s="25">
        <f>IF(B1091&lt;62,0,'Combined Retirement'!$I$14)</f>
        <v>2345</v>
      </c>
      <c r="I1091" s="25">
        <f>IF(C1091&lt;62,0,'Combined Retirement'!$I$13)</f>
        <v>2420</v>
      </c>
      <c r="J1091" s="25">
        <f t="shared" si="1043"/>
        <v>8395.6297298201844</v>
      </c>
      <c r="K1091" s="25">
        <f t="shared" si="1044"/>
        <v>21655.303514578787</v>
      </c>
      <c r="L1091" s="25"/>
      <c r="N1091" s="25">
        <f>'Combined Retirement'!$C$18/12</f>
        <v>40940.569999999992</v>
      </c>
      <c r="O1091" s="25">
        <f t="shared" si="1045"/>
        <v>10889.636755601023</v>
      </c>
      <c r="P1091" s="25">
        <f t="shared" si="1046"/>
        <v>30050.93324439897</v>
      </c>
      <c r="Q1091" s="25">
        <f t="array" aca="1" ref="Q1091" ca="1">INDEX('Isaac 401k'!L:L,MATCH('Retirement Calculator'!A1091,'Isaac 401k'!N:N,0),0)</f>
        <v>-40896606.085385978</v>
      </c>
      <c r="R1091" s="25">
        <f t="array" aca="1" ref="R1091" ca="1">INDEX('Lorri 401b'!L:L,MATCH('Retirement Calculator'!A1091,'Lorri 401b'!N:N,0),0)</f>
        <v>-71108125.793196902</v>
      </c>
      <c r="S1091" s="25">
        <f t="shared" ca="1" si="1047"/>
        <v>-112004731.87858288</v>
      </c>
    </row>
    <row r="1092" spans="1:19" ht="15.75" customHeight="1" x14ac:dyDescent="0.25">
      <c r="A1092" s="37">
        <v>84189</v>
      </c>
      <c r="B1092" s="398">
        <f t="shared" ref="B1092:C1092" si="1108">($A1092-B$9)/365.25</f>
        <v>148.61875427789187</v>
      </c>
      <c r="C1092" s="398">
        <f t="shared" si="1108"/>
        <v>144.00821355236138</v>
      </c>
      <c r="E1092" s="25">
        <f>IF(C1092&gt;$B$7,0,'Combined Retirement'!$D$13/12)</f>
        <v>0</v>
      </c>
      <c r="F1092" s="25">
        <f>IF(H1092=0,'Combined Retirement'!$D$32,0)+'Combined Retirement'!$B$24</f>
        <v>2870.372285649099</v>
      </c>
      <c r="G1092" s="25">
        <f>'Combined Retirement'!$C$24</f>
        <v>3254.2644699519233</v>
      </c>
      <c r="H1092" s="25">
        <f>IF(B1092&lt;62,0,'Combined Retirement'!$I$14)</f>
        <v>2345</v>
      </c>
      <c r="I1092" s="25">
        <f>IF(C1092&lt;62,0,'Combined Retirement'!$I$13)</f>
        <v>2420</v>
      </c>
      <c r="J1092" s="25">
        <f t="shared" si="1043"/>
        <v>8395.6297298201844</v>
      </c>
      <c r="K1092" s="25">
        <f t="shared" si="1044"/>
        <v>21655.303514578787</v>
      </c>
      <c r="L1092" s="25"/>
      <c r="N1092" s="25">
        <f>'Combined Retirement'!$C$18/12</f>
        <v>40940.569999999992</v>
      </c>
      <c r="O1092" s="25">
        <f t="shared" si="1045"/>
        <v>10889.636755601023</v>
      </c>
      <c r="P1092" s="25">
        <f t="shared" si="1046"/>
        <v>30050.93324439897</v>
      </c>
      <c r="Q1092" s="25">
        <f t="array" aca="1" ref="Q1092" ca="1">INDEX('Isaac 401k'!L:L,MATCH('Retirement Calculator'!A1092,'Isaac 401k'!N:N,0),0)</f>
        <v>-41075439.222262114</v>
      </c>
      <c r="R1092" s="25">
        <f t="array" aca="1" ref="R1092" ca="1">INDEX('Lorri 401b'!L:L,MATCH('Retirement Calculator'!A1092,'Lorri 401b'!N:N,0),0)</f>
        <v>-71426155.18461445</v>
      </c>
      <c r="S1092" s="25">
        <f t="shared" ca="1" si="1047"/>
        <v>-112501594.40687656</v>
      </c>
    </row>
    <row r="1093" spans="1:19" ht="15.75" customHeight="1" x14ac:dyDescent="0.25">
      <c r="A1093" s="37">
        <v>84220</v>
      </c>
      <c r="B1093" s="398">
        <f t="shared" ref="B1093:C1093" si="1109">($A1093-B$9)/365.25</f>
        <v>148.70362765229294</v>
      </c>
      <c r="C1093" s="398">
        <f t="shared" si="1109"/>
        <v>144.09308692676248</v>
      </c>
      <c r="E1093" s="25">
        <f>IF(C1093&gt;$B$7,0,'Combined Retirement'!$D$13/12)</f>
        <v>0</v>
      </c>
      <c r="F1093" s="25">
        <f>IF(H1093=0,'Combined Retirement'!$D$32,0)+'Combined Retirement'!$B$24</f>
        <v>2870.372285649099</v>
      </c>
      <c r="G1093" s="25">
        <f>'Combined Retirement'!$C$24</f>
        <v>3254.2644699519233</v>
      </c>
      <c r="H1093" s="25">
        <f>IF(B1093&lt;62,0,'Combined Retirement'!$I$14)</f>
        <v>2345</v>
      </c>
      <c r="I1093" s="25">
        <f>IF(C1093&lt;62,0,'Combined Retirement'!$I$13)</f>
        <v>2420</v>
      </c>
      <c r="J1093" s="25">
        <f t="shared" si="1043"/>
        <v>8395.6297298201844</v>
      </c>
      <c r="K1093" s="25">
        <f t="shared" si="1044"/>
        <v>21655.303514578787</v>
      </c>
      <c r="L1093" s="25"/>
      <c r="N1093" s="25">
        <f>'Combined Retirement'!$C$18/12</f>
        <v>40940.569999999992</v>
      </c>
      <c r="O1093" s="25">
        <f t="shared" si="1045"/>
        <v>10889.636755601023</v>
      </c>
      <c r="P1093" s="25">
        <f t="shared" si="1046"/>
        <v>30050.93324439897</v>
      </c>
      <c r="Q1093" s="25">
        <f t="array" aca="1" ref="Q1093" ca="1">INDEX('Isaac 401k'!L:L,MATCH('Retirement Calculator'!A1093,'Isaac 401k'!N:N,0),0)</f>
        <v>-41255017.497208573</v>
      </c>
      <c r="R1093" s="25">
        <f t="array" aca="1" ref="R1093" ca="1">INDEX('Lorri 401b'!L:L,MATCH('Retirement Calculator'!A1093,'Lorri 401b'!N:N,0),0)</f>
        <v>-71745509.698496237</v>
      </c>
      <c r="S1093" s="25">
        <f t="shared" ca="1" si="1047"/>
        <v>-113000527.19570482</v>
      </c>
    </row>
    <row r="1094" spans="1:19" ht="15.75" customHeight="1" x14ac:dyDescent="0.25">
      <c r="A1094" s="37">
        <v>84251</v>
      </c>
      <c r="B1094" s="398">
        <f t="shared" ref="B1094:C1094" si="1110">($A1094-B$9)/365.25</f>
        <v>148.78850102669404</v>
      </c>
      <c r="C1094" s="398">
        <f t="shared" si="1110"/>
        <v>144.17796030116358</v>
      </c>
      <c r="E1094" s="25">
        <f>IF(C1094&gt;$B$7,0,'Combined Retirement'!$D$13/12)</f>
        <v>0</v>
      </c>
      <c r="F1094" s="25">
        <f>IF(H1094=0,'Combined Retirement'!$D$32,0)+'Combined Retirement'!$B$24</f>
        <v>2870.372285649099</v>
      </c>
      <c r="G1094" s="25">
        <f>'Combined Retirement'!$C$24</f>
        <v>3254.2644699519233</v>
      </c>
      <c r="H1094" s="25">
        <f>IF(B1094&lt;62,0,'Combined Retirement'!$I$14)</f>
        <v>2345</v>
      </c>
      <c r="I1094" s="25">
        <f>IF(C1094&lt;62,0,'Combined Retirement'!$I$13)</f>
        <v>2420</v>
      </c>
      <c r="J1094" s="25">
        <f t="shared" si="1043"/>
        <v>8395.6297298201844</v>
      </c>
      <c r="K1094" s="25">
        <f t="shared" si="1044"/>
        <v>21655.303514578787</v>
      </c>
      <c r="L1094" s="25"/>
      <c r="N1094" s="25">
        <f>'Combined Retirement'!$C$18/12</f>
        <v>40940.569999999992</v>
      </c>
      <c r="O1094" s="25">
        <f t="shared" si="1045"/>
        <v>10889.636755601023</v>
      </c>
      <c r="P1094" s="25">
        <f t="shared" si="1046"/>
        <v>30050.93324439897</v>
      </c>
      <c r="Q1094" s="25">
        <f t="array" aca="1" ref="Q1094" ca="1">INDEX('Isaac 401k'!L:L,MATCH('Retirement Calculator'!A1094,'Isaac 401k'!N:N,0),0)</f>
        <v>-41435344.014967307</v>
      </c>
      <c r="R1094" s="25">
        <f t="array" aca="1" ref="R1094" ca="1">INDEX('Lorri 401b'!L:L,MATCH('Retirement Calculator'!A1094,'Lorri 401b'!N:N,0),0)</f>
        <v>-72066194.856185868</v>
      </c>
      <c r="S1094" s="25">
        <f t="shared" ca="1" si="1047"/>
        <v>-113501538.87115318</v>
      </c>
    </row>
    <row r="1095" spans="1:19" ht="15.75" customHeight="1" x14ac:dyDescent="0.25">
      <c r="A1095" s="37">
        <v>84281</v>
      </c>
      <c r="B1095" s="398">
        <f t="shared" ref="B1095:C1095" si="1111">($A1095-B$9)/365.25</f>
        <v>148.87063655030801</v>
      </c>
      <c r="C1095" s="398">
        <f t="shared" si="1111"/>
        <v>144.26009582477755</v>
      </c>
      <c r="E1095" s="25">
        <f>IF(C1095&gt;$B$7,0,'Combined Retirement'!$D$13/12)</f>
        <v>0</v>
      </c>
      <c r="F1095" s="25">
        <f>IF(H1095=0,'Combined Retirement'!$D$32,0)+'Combined Retirement'!$B$24</f>
        <v>2870.372285649099</v>
      </c>
      <c r="G1095" s="25">
        <f>'Combined Retirement'!$C$24</f>
        <v>3254.2644699519233</v>
      </c>
      <c r="H1095" s="25">
        <f>IF(B1095&lt;62,0,'Combined Retirement'!$I$14)</f>
        <v>2345</v>
      </c>
      <c r="I1095" s="25">
        <f>IF(C1095&lt;62,0,'Combined Retirement'!$I$13)</f>
        <v>2420</v>
      </c>
      <c r="J1095" s="25">
        <f t="shared" si="1043"/>
        <v>8395.6297298201844</v>
      </c>
      <c r="K1095" s="25">
        <f t="shared" si="1044"/>
        <v>21655.303514578787</v>
      </c>
      <c r="L1095" s="25"/>
      <c r="N1095" s="25">
        <f>'Combined Retirement'!$C$18/12</f>
        <v>40940.569999999992</v>
      </c>
      <c r="O1095" s="25">
        <f t="shared" si="1045"/>
        <v>10889.636755601023</v>
      </c>
      <c r="P1095" s="25">
        <f t="shared" si="1046"/>
        <v>30050.93324439897</v>
      </c>
      <c r="Q1095" s="25">
        <f t="array" aca="1" ref="Q1095" ca="1">INDEX('Isaac 401k'!L:L,MATCH('Retirement Calculator'!A1095,'Isaac 401k'!N:N,0),0)</f>
        <v>-41616421.893216699</v>
      </c>
      <c r="R1095" s="25">
        <f t="array" aca="1" ref="R1095" ca="1">INDEX('Lorri 401b'!L:L,MATCH('Retirement Calculator'!A1095,'Lorri 401b'!N:N,0),0)</f>
        <v>-72388216.202032536</v>
      </c>
      <c r="S1095" s="25">
        <f t="shared" ca="1" si="1047"/>
        <v>-114004638.09524924</v>
      </c>
    </row>
    <row r="1096" spans="1:19" ht="15.75" customHeight="1" x14ac:dyDescent="0.25">
      <c r="A1096" s="37">
        <v>84312</v>
      </c>
      <c r="B1096" s="398">
        <f t="shared" ref="B1096:C1096" si="1112">($A1096-B$9)/365.25</f>
        <v>148.95550992470911</v>
      </c>
      <c r="C1096" s="398">
        <f t="shared" si="1112"/>
        <v>144.34496919917865</v>
      </c>
      <c r="E1096" s="25">
        <f>IF(C1096&gt;$B$7,0,'Combined Retirement'!$D$13/12)</f>
        <v>0</v>
      </c>
      <c r="F1096" s="25">
        <f>IF(H1096=0,'Combined Retirement'!$D$32,0)+'Combined Retirement'!$B$24</f>
        <v>2870.372285649099</v>
      </c>
      <c r="G1096" s="25">
        <f>'Combined Retirement'!$C$24</f>
        <v>3254.2644699519233</v>
      </c>
      <c r="H1096" s="25">
        <f>IF(B1096&lt;62,0,'Combined Retirement'!$I$14)</f>
        <v>2345</v>
      </c>
      <c r="I1096" s="25">
        <f>IF(C1096&lt;62,0,'Combined Retirement'!$I$13)</f>
        <v>2420</v>
      </c>
      <c r="J1096" s="25">
        <f t="shared" si="1043"/>
        <v>8395.6297298201844</v>
      </c>
      <c r="K1096" s="25">
        <f t="shared" si="1044"/>
        <v>21655.303514578787</v>
      </c>
      <c r="L1096" s="25"/>
      <c r="N1096" s="25">
        <f>'Combined Retirement'!$C$18/12</f>
        <v>40940.569999999992</v>
      </c>
      <c r="O1096" s="25">
        <f t="shared" si="1045"/>
        <v>10889.636755601023</v>
      </c>
      <c r="P1096" s="25">
        <f t="shared" si="1046"/>
        <v>30050.93324439897</v>
      </c>
      <c r="Q1096" s="25">
        <f t="array" aca="1" ref="Q1096" ca="1">INDEX('Isaac 401k'!L:L,MATCH('Retirement Calculator'!A1096,'Isaac 401k'!N:N,0),0)</f>
        <v>-41798254.262625463</v>
      </c>
      <c r="R1096" s="25">
        <f t="array" aca="1" ref="R1096" ca="1">INDEX('Lorri 401b'!L:L,MATCH('Retirement Calculator'!A1096,'Lorri 401b'!N:N,0),0)</f>
        <v>-72711579.303486899</v>
      </c>
      <c r="S1096" s="25">
        <f t="shared" ca="1" si="1047"/>
        <v>-114509833.56611237</v>
      </c>
    </row>
    <row r="1097" spans="1:19" ht="15.75" customHeight="1" x14ac:dyDescent="0.25">
      <c r="A1097" s="37">
        <v>84342</v>
      </c>
      <c r="B1097" s="398">
        <f t="shared" ref="B1097:C1097" si="1113">($A1097-B$9)/365.25</f>
        <v>149.03764544832308</v>
      </c>
      <c r="C1097" s="398">
        <f t="shared" si="1113"/>
        <v>144.42710472279262</v>
      </c>
      <c r="E1097" s="25">
        <f>IF(C1097&gt;$B$7,0,'Combined Retirement'!$D$13/12)</f>
        <v>0</v>
      </c>
      <c r="F1097" s="25">
        <f>IF(H1097=0,'Combined Retirement'!$D$32,0)+'Combined Retirement'!$B$24</f>
        <v>2870.372285649099</v>
      </c>
      <c r="G1097" s="25">
        <f>'Combined Retirement'!$C$24</f>
        <v>3254.2644699519233</v>
      </c>
      <c r="H1097" s="25">
        <f>IF(B1097&lt;62,0,'Combined Retirement'!$I$14)</f>
        <v>2345</v>
      </c>
      <c r="I1097" s="25">
        <f>IF(C1097&lt;62,0,'Combined Retirement'!$I$13)</f>
        <v>2420</v>
      </c>
      <c r="J1097" s="25">
        <f t="shared" si="1043"/>
        <v>8395.6297298201844</v>
      </c>
      <c r="K1097" s="25">
        <f t="shared" si="1044"/>
        <v>21655.303514578787</v>
      </c>
      <c r="L1097" s="25"/>
      <c r="N1097" s="25">
        <f>'Combined Retirement'!$C$18/12</f>
        <v>40940.569999999992</v>
      </c>
      <c r="O1097" s="25">
        <f t="shared" si="1045"/>
        <v>10889.636755601023</v>
      </c>
      <c r="P1097" s="25">
        <f t="shared" si="1046"/>
        <v>30050.93324439897</v>
      </c>
      <c r="Q1097" s="25">
        <f t="array" aca="1" ref="Q1097" ca="1">INDEX('Isaac 401k'!L:L,MATCH('Retirement Calculator'!A1097,'Isaac 401k'!N:N,0),0)</f>
        <v>-41980844.266906768</v>
      </c>
      <c r="R1097" s="25">
        <f t="array" aca="1" ref="R1097" ca="1">INDEX('Lorri 401b'!L:L,MATCH('Retirement Calculator'!A1097,'Lorri 401b'!N:N,0),0)</f>
        <v>-73036289.751197323</v>
      </c>
      <c r="S1097" s="25">
        <f t="shared" ca="1" si="1047"/>
        <v>-115017134.01810409</v>
      </c>
    </row>
    <row r="1098" spans="1:19" ht="15.75" customHeight="1" x14ac:dyDescent="0.25">
      <c r="A1098" s="37">
        <v>84373</v>
      </c>
      <c r="B1098" s="398">
        <f t="shared" ref="B1098:C1098" si="1114">($A1098-B$9)/365.25</f>
        <v>149.12251882272417</v>
      </c>
      <c r="C1098" s="398">
        <f t="shared" si="1114"/>
        <v>144.51197809719369</v>
      </c>
      <c r="E1098" s="25">
        <f>IF(C1098&gt;$B$7,0,'Combined Retirement'!$D$13/12)</f>
        <v>0</v>
      </c>
      <c r="F1098" s="25">
        <f>IF(H1098=0,'Combined Retirement'!$D$32,0)+'Combined Retirement'!$B$24</f>
        <v>2870.372285649099</v>
      </c>
      <c r="G1098" s="25">
        <f>'Combined Retirement'!$C$24</f>
        <v>3254.2644699519233</v>
      </c>
      <c r="H1098" s="25">
        <f>IF(B1098&lt;62,0,'Combined Retirement'!$I$14)</f>
        <v>2345</v>
      </c>
      <c r="I1098" s="25">
        <f>IF(C1098&lt;62,0,'Combined Retirement'!$I$13)</f>
        <v>2420</v>
      </c>
      <c r="J1098" s="25">
        <f t="shared" si="1043"/>
        <v>8395.6297298201844</v>
      </c>
      <c r="K1098" s="25">
        <f t="shared" si="1044"/>
        <v>21655.303514578787</v>
      </c>
      <c r="L1098" s="25"/>
      <c r="N1098" s="25">
        <f>'Combined Retirement'!$C$18/12</f>
        <v>40940.569999999992</v>
      </c>
      <c r="O1098" s="25">
        <f t="shared" si="1045"/>
        <v>10889.636755601023</v>
      </c>
      <c r="P1098" s="25">
        <f t="shared" si="1046"/>
        <v>30050.93324439897</v>
      </c>
      <c r="Q1098" s="25">
        <f t="array" aca="1" ref="Q1098" ca="1">INDEX('Isaac 401k'!L:L,MATCH('Retirement Calculator'!A1098,'Isaac 401k'!N:N,0),0)</f>
        <v>-42164195.062872574</v>
      </c>
      <c r="R1098" s="25">
        <f t="array" aca="1" ref="R1098" ca="1">INDEX('Lorri 401b'!L:L,MATCH('Retirement Calculator'!A1098,'Lorri 401b'!N:N,0),0)</f>
        <v>-73362353.159106538</v>
      </c>
      <c r="S1098" s="25">
        <f t="shared" ca="1" si="1047"/>
        <v>-115526548.22197911</v>
      </c>
    </row>
    <row r="1099" spans="1:19" ht="15.75" customHeight="1" x14ac:dyDescent="0.25">
      <c r="A1099" s="37">
        <v>84404</v>
      </c>
      <c r="B1099" s="398">
        <f t="shared" ref="B1099:C1099" si="1115">($A1099-B$9)/365.25</f>
        <v>149.20739219712524</v>
      </c>
      <c r="C1099" s="398">
        <f t="shared" si="1115"/>
        <v>144.59685147159479</v>
      </c>
      <c r="E1099" s="25">
        <f>IF(C1099&gt;$B$7,0,'Combined Retirement'!$D$13/12)</f>
        <v>0</v>
      </c>
      <c r="F1099" s="25">
        <f>IF(H1099=0,'Combined Retirement'!$D$32,0)+'Combined Retirement'!$B$24</f>
        <v>2870.372285649099</v>
      </c>
      <c r="G1099" s="25">
        <f>'Combined Retirement'!$C$24</f>
        <v>3254.2644699519233</v>
      </c>
      <c r="H1099" s="25">
        <f>IF(B1099&lt;62,0,'Combined Retirement'!$I$14)</f>
        <v>2345</v>
      </c>
      <c r="I1099" s="25">
        <f>IF(C1099&lt;62,0,'Combined Retirement'!$I$13)</f>
        <v>2420</v>
      </c>
      <c r="J1099" s="25">
        <f t="shared" si="1043"/>
        <v>8395.6297298201844</v>
      </c>
      <c r="K1099" s="25">
        <f t="shared" si="1044"/>
        <v>21655.303514578787</v>
      </c>
      <c r="L1099" s="25"/>
      <c r="N1099" s="25">
        <f>'Combined Retirement'!$C$18/12</f>
        <v>40940.569999999992</v>
      </c>
      <c r="O1099" s="25">
        <f t="shared" si="1045"/>
        <v>10889.636755601023</v>
      </c>
      <c r="P1099" s="25">
        <f t="shared" si="1046"/>
        <v>30050.93324439897</v>
      </c>
      <c r="Q1099" s="25">
        <f t="array" aca="1" ref="Q1099" ca="1">INDEX('Isaac 401k'!L:L,MATCH('Retirement Calculator'!A1099,'Isaac 401k'!N:N,0),0)</f>
        <v>-42348309.820488237</v>
      </c>
      <c r="R1099" s="25">
        <f t="array" aca="1" ref="R1099" ca="1">INDEX('Lorri 401b'!L:L,MATCH('Retirement Calculator'!A1099,'Lorri 401b'!N:N,0),0)</f>
        <v>-73689775.16454871</v>
      </c>
      <c r="S1099" s="25">
        <f t="shared" ca="1" si="1047"/>
        <v>-116038084.98503694</v>
      </c>
    </row>
    <row r="1100" spans="1:19" ht="15.75" customHeight="1" x14ac:dyDescent="0.25">
      <c r="A1100" s="37">
        <v>84432</v>
      </c>
      <c r="B1100" s="398">
        <f t="shared" ref="B1100:C1100" si="1116">($A1100-B$9)/365.25</f>
        <v>149.28405201916496</v>
      </c>
      <c r="C1100" s="398">
        <f t="shared" si="1116"/>
        <v>144.6735112936345</v>
      </c>
      <c r="E1100" s="25">
        <f>IF(C1100&gt;$B$7,0,'Combined Retirement'!$D$13/12)</f>
        <v>0</v>
      </c>
      <c r="F1100" s="25">
        <f>IF(H1100=0,'Combined Retirement'!$D$32,0)+'Combined Retirement'!$B$24</f>
        <v>2870.372285649099</v>
      </c>
      <c r="G1100" s="25">
        <f>'Combined Retirement'!$C$24</f>
        <v>3254.2644699519233</v>
      </c>
      <c r="H1100" s="25">
        <f>IF(B1100&lt;62,0,'Combined Retirement'!$I$14)</f>
        <v>2345</v>
      </c>
      <c r="I1100" s="25">
        <f>IF(C1100&lt;62,0,'Combined Retirement'!$I$13)</f>
        <v>2420</v>
      </c>
      <c r="J1100" s="25">
        <f t="shared" si="1043"/>
        <v>8395.6297298201844</v>
      </c>
      <c r="K1100" s="25">
        <f t="shared" si="1044"/>
        <v>21655.303514578787</v>
      </c>
      <c r="L1100" s="25"/>
      <c r="N1100" s="25">
        <f>'Combined Retirement'!$C$18/12</f>
        <v>40940.569999999992</v>
      </c>
      <c r="O1100" s="25">
        <f t="shared" si="1045"/>
        <v>10889.636755601023</v>
      </c>
      <c r="P1100" s="25">
        <f t="shared" si="1046"/>
        <v>30050.93324439897</v>
      </c>
      <c r="Q1100" s="25">
        <f t="array" aca="1" ref="Q1100" ca="1">INDEX('Isaac 401k'!L:L,MATCH('Retirement Calculator'!A1100,'Isaac 401k'!N:N,0),0)</f>
        <v>-42533191.722927302</v>
      </c>
      <c r="R1100" s="25">
        <f t="array" aca="1" ref="R1100" ca="1">INDEX('Lorri 401b'!L:L,MATCH('Retirement Calculator'!A1100,'Lorri 401b'!N:N,0),0)</f>
        <v>-74018561.428346887</v>
      </c>
      <c r="S1100" s="25">
        <f t="shared" ca="1" si="1047"/>
        <v>-116551753.15127419</v>
      </c>
    </row>
    <row r="1101" spans="1:19" ht="15.75" customHeight="1" x14ac:dyDescent="0.25">
      <c r="A1101" s="37">
        <v>84463</v>
      </c>
      <c r="B1101" s="398">
        <f t="shared" ref="B1101:C1101" si="1117">($A1101-B$9)/365.25</f>
        <v>149.36892539356606</v>
      </c>
      <c r="C1101" s="398">
        <f t="shared" si="1117"/>
        <v>144.7583846680356</v>
      </c>
      <c r="E1101" s="25">
        <f>IF(C1101&gt;$B$7,0,'Combined Retirement'!$D$13/12)</f>
        <v>0</v>
      </c>
      <c r="F1101" s="25">
        <f>IF(H1101=0,'Combined Retirement'!$D$32,0)+'Combined Retirement'!$B$24</f>
        <v>2870.372285649099</v>
      </c>
      <c r="G1101" s="25">
        <f>'Combined Retirement'!$C$24</f>
        <v>3254.2644699519233</v>
      </c>
      <c r="H1101" s="25">
        <f>IF(B1101&lt;62,0,'Combined Retirement'!$I$14)</f>
        <v>2345</v>
      </c>
      <c r="I1101" s="25">
        <f>IF(C1101&lt;62,0,'Combined Retirement'!$I$13)</f>
        <v>2420</v>
      </c>
      <c r="J1101" s="25">
        <f t="shared" si="1043"/>
        <v>8395.6297298201844</v>
      </c>
      <c r="K1101" s="25">
        <f t="shared" si="1044"/>
        <v>21655.303514578787</v>
      </c>
      <c r="L1101" s="25"/>
      <c r="N1101" s="25">
        <f>'Combined Retirement'!$C$18/12</f>
        <v>40940.569999999992</v>
      </c>
      <c r="O1101" s="25">
        <f t="shared" si="1045"/>
        <v>10889.636755601023</v>
      </c>
      <c r="P1101" s="25">
        <f t="shared" si="1046"/>
        <v>30050.93324439897</v>
      </c>
      <c r="Q1101" s="25">
        <f t="array" aca="1" ref="Q1101" ca="1">INDEX('Isaac 401k'!L:L,MATCH('Retirement Calculator'!A1101,'Isaac 401k'!N:N,0),0)</f>
        <v>-42718843.966626532</v>
      </c>
      <c r="R1101" s="25">
        <f t="array" aca="1" ref="R1101" ca="1">INDEX('Lorri 401b'!L:L,MATCH('Retirement Calculator'!A1101,'Lorri 401b'!N:N,0),0)</f>
        <v>-74348717.634910896</v>
      </c>
      <c r="S1101" s="25">
        <f t="shared" ca="1" si="1047"/>
        <v>-117067561.60153744</v>
      </c>
    </row>
    <row r="1102" spans="1:19" ht="15.75" customHeight="1" x14ac:dyDescent="0.25">
      <c r="A1102" s="37">
        <v>84493</v>
      </c>
      <c r="B1102" s="398">
        <f t="shared" ref="B1102:C1102" si="1118">($A1102-B$9)/365.25</f>
        <v>149.45106091718</v>
      </c>
      <c r="C1102" s="398">
        <f t="shared" si="1118"/>
        <v>144.84052019164955</v>
      </c>
      <c r="E1102" s="25">
        <f>IF(C1102&gt;$B$7,0,'Combined Retirement'!$D$13/12)</f>
        <v>0</v>
      </c>
      <c r="F1102" s="25">
        <f>IF(H1102=0,'Combined Retirement'!$D$32,0)+'Combined Retirement'!$B$24</f>
        <v>2870.372285649099</v>
      </c>
      <c r="G1102" s="25">
        <f>'Combined Retirement'!$C$24</f>
        <v>3254.2644699519233</v>
      </c>
      <c r="H1102" s="25">
        <f>IF(B1102&lt;62,0,'Combined Retirement'!$I$14)</f>
        <v>2345</v>
      </c>
      <c r="I1102" s="25">
        <f>IF(C1102&lt;62,0,'Combined Retirement'!$I$13)</f>
        <v>2420</v>
      </c>
      <c r="J1102" s="25">
        <f t="shared" si="1043"/>
        <v>8395.6297298201844</v>
      </c>
      <c r="K1102" s="25">
        <f t="shared" si="1044"/>
        <v>21655.303514578787</v>
      </c>
      <c r="L1102" s="25"/>
      <c r="N1102" s="25">
        <f>'Combined Retirement'!$C$18/12</f>
        <v>40940.569999999992</v>
      </c>
      <c r="O1102" s="25">
        <f t="shared" si="1045"/>
        <v>10889.636755601023</v>
      </c>
      <c r="P1102" s="25">
        <f t="shared" si="1046"/>
        <v>30050.93324439897</v>
      </c>
      <c r="Q1102" s="25">
        <f t="array" aca="1" ref="Q1102" ca="1">INDEX('Isaac 401k'!L:L,MATCH('Retirement Calculator'!A1102,'Isaac 401k'!N:N,0),0)</f>
        <v>-42905269.761341169</v>
      </c>
      <c r="R1102" s="25">
        <f t="array" aca="1" ref="R1102" ca="1">INDEX('Lorri 401b'!L:L,MATCH('Retirement Calculator'!A1102,'Lorri 401b'!N:N,0),0)</f>
        <v>-74680249.492335588</v>
      </c>
      <c r="S1102" s="25">
        <f t="shared" ca="1" si="1047"/>
        <v>-117585519.25367676</v>
      </c>
    </row>
    <row r="1103" spans="1:19" ht="15.75" customHeight="1" x14ac:dyDescent="0.25">
      <c r="A1103" s="37">
        <v>84524</v>
      </c>
      <c r="B1103" s="398">
        <f t="shared" ref="B1103:C1103" si="1119">($A1103-B$9)/365.25</f>
        <v>149.5359342915811</v>
      </c>
      <c r="C1103" s="398">
        <f t="shared" si="1119"/>
        <v>144.92539356605064</v>
      </c>
      <c r="E1103" s="25">
        <f>IF(C1103&gt;$B$7,0,'Combined Retirement'!$D$13/12)</f>
        <v>0</v>
      </c>
      <c r="F1103" s="25">
        <f>IF(H1103=0,'Combined Retirement'!$D$32,0)+'Combined Retirement'!$B$24</f>
        <v>2870.372285649099</v>
      </c>
      <c r="G1103" s="25">
        <f>'Combined Retirement'!$C$24</f>
        <v>3254.2644699519233</v>
      </c>
      <c r="H1103" s="25">
        <f>IF(B1103&lt;62,0,'Combined Retirement'!$I$14)</f>
        <v>2345</v>
      </c>
      <c r="I1103" s="25">
        <f>IF(C1103&lt;62,0,'Combined Retirement'!$I$13)</f>
        <v>2420</v>
      </c>
      <c r="J1103" s="25">
        <f t="shared" si="1043"/>
        <v>8395.6297298201844</v>
      </c>
      <c r="K1103" s="25">
        <f t="shared" si="1044"/>
        <v>21655.303514578787</v>
      </c>
      <c r="L1103" s="25"/>
      <c r="N1103" s="25">
        <f>'Combined Retirement'!$C$18/12</f>
        <v>40940.569999999992</v>
      </c>
      <c r="O1103" s="25">
        <f t="shared" si="1045"/>
        <v>10889.636755601023</v>
      </c>
      <c r="P1103" s="25">
        <f t="shared" si="1046"/>
        <v>30050.93324439897</v>
      </c>
      <c r="Q1103" s="25">
        <f t="array" aca="1" ref="Q1103" ca="1">INDEX('Isaac 401k'!L:L,MATCH('Retirement Calculator'!A1103,'Isaac 401k'!N:N,0),0)</f>
        <v>-43092472.330200456</v>
      </c>
      <c r="R1103" s="25">
        <f t="array" aca="1" ref="R1103" ca="1">INDEX('Lorri 401b'!L:L,MATCH('Retirement Calculator'!A1103,'Lorri 401b'!N:N,0),0)</f>
        <v>-75013162.732499555</v>
      </c>
      <c r="S1103" s="25">
        <f t="shared" ca="1" si="1047"/>
        <v>-118105635.0627</v>
      </c>
    </row>
    <row r="1104" spans="1:19" ht="15.75" customHeight="1" x14ac:dyDescent="0.25">
      <c r="A1104" s="37">
        <v>84554</v>
      </c>
      <c r="B1104" s="398">
        <f t="shared" ref="B1104:C1104" si="1120">($A1104-B$9)/365.25</f>
        <v>149.61806981519507</v>
      </c>
      <c r="C1104" s="398">
        <f t="shared" si="1120"/>
        <v>145.00752908966462</v>
      </c>
      <c r="E1104" s="25">
        <f>IF(C1104&gt;$B$7,0,'Combined Retirement'!$D$13/12)</f>
        <v>0</v>
      </c>
      <c r="F1104" s="25">
        <f>IF(H1104=0,'Combined Retirement'!$D$32,0)+'Combined Retirement'!$B$24</f>
        <v>2870.372285649099</v>
      </c>
      <c r="G1104" s="25">
        <f>'Combined Retirement'!$C$24</f>
        <v>3254.2644699519233</v>
      </c>
      <c r="H1104" s="25">
        <f>IF(B1104&lt;62,0,'Combined Retirement'!$I$14)</f>
        <v>2345</v>
      </c>
      <c r="I1104" s="25">
        <f>IF(C1104&lt;62,0,'Combined Retirement'!$I$13)</f>
        <v>2420</v>
      </c>
      <c r="J1104" s="25">
        <f t="shared" si="1043"/>
        <v>8395.6297298201844</v>
      </c>
      <c r="K1104" s="25">
        <f t="shared" si="1044"/>
        <v>21655.303514578787</v>
      </c>
      <c r="L1104" s="25"/>
      <c r="N1104" s="25">
        <f>'Combined Retirement'!$C$18/12</f>
        <v>40940.569999999992</v>
      </c>
      <c r="O1104" s="25">
        <f t="shared" si="1045"/>
        <v>10889.636755601023</v>
      </c>
      <c r="P1104" s="25">
        <f t="shared" si="1046"/>
        <v>30050.93324439897</v>
      </c>
      <c r="Q1104" s="25">
        <f t="array" aca="1" ref="Q1104" ca="1">INDEX('Isaac 401k'!L:L,MATCH('Retirement Calculator'!A1104,'Isaac 401k'!N:N,0),0)</f>
        <v>-43280454.909763321</v>
      </c>
      <c r="R1104" s="25">
        <f t="array" aca="1" ref="R1104" ca="1">INDEX('Lorri 401b'!L:L,MATCH('Retirement Calculator'!A1104,'Lorri 401b'!N:N,0),0)</f>
        <v>-75347463.111164197</v>
      </c>
      <c r="S1104" s="25">
        <f t="shared" ca="1" si="1047"/>
        <v>-118627918.02092752</v>
      </c>
    </row>
    <row r="1105" spans="1:19" ht="15.75" customHeight="1" x14ac:dyDescent="0.25">
      <c r="A1105" s="37">
        <v>84585</v>
      </c>
      <c r="B1105" s="398">
        <f t="shared" ref="B1105:C1105" si="1121">($A1105-B$9)/365.25</f>
        <v>149.70294318959617</v>
      </c>
      <c r="C1105" s="398">
        <f t="shared" si="1121"/>
        <v>145.09240246406571</v>
      </c>
      <c r="E1105" s="25">
        <f>IF(C1105&gt;$B$7,0,'Combined Retirement'!$D$13/12)</f>
        <v>0</v>
      </c>
      <c r="F1105" s="25">
        <f>IF(H1105=0,'Combined Retirement'!$D$32,0)+'Combined Retirement'!$B$24</f>
        <v>2870.372285649099</v>
      </c>
      <c r="G1105" s="25">
        <f>'Combined Retirement'!$C$24</f>
        <v>3254.2644699519233</v>
      </c>
      <c r="H1105" s="25">
        <f>IF(B1105&lt;62,0,'Combined Retirement'!$I$14)</f>
        <v>2345</v>
      </c>
      <c r="I1105" s="25">
        <f>IF(C1105&lt;62,0,'Combined Retirement'!$I$13)</f>
        <v>2420</v>
      </c>
      <c r="J1105" s="25">
        <f t="shared" si="1043"/>
        <v>8395.6297298201844</v>
      </c>
      <c r="K1105" s="25">
        <f t="shared" si="1044"/>
        <v>21655.303514578787</v>
      </c>
      <c r="L1105" s="25"/>
      <c r="N1105" s="25">
        <f>'Combined Retirement'!$C$18/12</f>
        <v>40940.569999999992</v>
      </c>
      <c r="O1105" s="25">
        <f t="shared" si="1045"/>
        <v>10889.636755601023</v>
      </c>
      <c r="P1105" s="25">
        <f t="shared" si="1046"/>
        <v>30050.93324439897</v>
      </c>
      <c r="Q1105" s="25">
        <f t="array" aca="1" ref="Q1105" ca="1">INDEX('Isaac 401k'!L:L,MATCH('Retirement Calculator'!A1105,'Isaac 401k'!N:N,0),0)</f>
        <v>-43469220.750074364</v>
      </c>
      <c r="R1105" s="25">
        <f t="array" aca="1" ref="R1105" ca="1">INDEX('Lorri 401b'!L:L,MATCH('Retirement Calculator'!A1105,'Lorri 401b'!N:N,0),0)</f>
        <v>-75683156.408073276</v>
      </c>
      <c r="S1105" s="25">
        <f t="shared" ca="1" si="1047"/>
        <v>-119152377.15814763</v>
      </c>
    </row>
    <row r="1106" spans="1:19" ht="15.75" customHeight="1" x14ac:dyDescent="0.25">
      <c r="A1106" s="37">
        <v>84616</v>
      </c>
      <c r="B1106" s="398">
        <f t="shared" ref="B1106:C1106" si="1122">($A1106-B$9)/365.25</f>
        <v>149.78781656399727</v>
      </c>
      <c r="C1106" s="398">
        <f t="shared" si="1122"/>
        <v>145.17727583846681</v>
      </c>
      <c r="E1106" s="25">
        <f>IF(C1106&gt;$B$7,0,'Combined Retirement'!$D$13/12)</f>
        <v>0</v>
      </c>
      <c r="F1106" s="25">
        <f>IF(H1106=0,'Combined Retirement'!$D$32,0)+'Combined Retirement'!$B$24</f>
        <v>2870.372285649099</v>
      </c>
      <c r="G1106" s="25">
        <f>'Combined Retirement'!$C$24</f>
        <v>3254.2644699519233</v>
      </c>
      <c r="H1106" s="25">
        <f>IF(B1106&lt;62,0,'Combined Retirement'!$I$14)</f>
        <v>2345</v>
      </c>
      <c r="I1106" s="25">
        <f>IF(C1106&lt;62,0,'Combined Retirement'!$I$13)</f>
        <v>2420</v>
      </c>
      <c r="J1106" s="25">
        <f t="shared" si="1043"/>
        <v>8395.6297298201844</v>
      </c>
      <c r="K1106" s="25">
        <f t="shared" si="1044"/>
        <v>21655.303514578787</v>
      </c>
      <c r="L1106" s="25"/>
      <c r="N1106" s="25">
        <f>'Combined Retirement'!$C$18/12</f>
        <v>40940.569999999992</v>
      </c>
      <c r="O1106" s="25">
        <f t="shared" si="1045"/>
        <v>10889.636755601023</v>
      </c>
      <c r="P1106" s="25">
        <f t="shared" si="1046"/>
        <v>30050.93324439897</v>
      </c>
      <c r="Q1106" s="25">
        <f t="array" aca="1" ref="Q1106" ca="1">INDEX('Isaac 401k'!L:L,MATCH('Retirement Calculator'!A1106,'Isaac 401k'!N:N,0),0)</f>
        <v>-43658773.114720039</v>
      </c>
      <c r="R1106" s="25">
        <f t="array" aca="1" ref="R1106" ca="1">INDEX('Lorri 401b'!L:L,MATCH('Retirement Calculator'!A1106,'Lorri 401b'!N:N,0),0)</f>
        <v>-76020248.427052811</v>
      </c>
      <c r="S1106" s="25">
        <f t="shared" ca="1" si="1047"/>
        <v>-119679021.54177284</v>
      </c>
    </row>
    <row r="1107" spans="1:19" ht="15.75" customHeight="1" x14ac:dyDescent="0.25">
      <c r="A1107" s="37">
        <v>84646</v>
      </c>
      <c r="B1107" s="398">
        <f t="shared" ref="B1107:C1107" si="1123">($A1107-B$9)/365.25</f>
        <v>149.86995208761124</v>
      </c>
      <c r="C1107" s="398">
        <f t="shared" si="1123"/>
        <v>145.25941136208075</v>
      </c>
      <c r="E1107" s="25">
        <f>IF(C1107&gt;$B$7,0,'Combined Retirement'!$D$13/12)</f>
        <v>0</v>
      </c>
      <c r="F1107" s="25">
        <f>IF(H1107=0,'Combined Retirement'!$D$32,0)+'Combined Retirement'!$B$24</f>
        <v>2870.372285649099</v>
      </c>
      <c r="G1107" s="25">
        <f>'Combined Retirement'!$C$24</f>
        <v>3254.2644699519233</v>
      </c>
      <c r="H1107" s="25">
        <f>IF(B1107&lt;62,0,'Combined Retirement'!$I$14)</f>
        <v>2345</v>
      </c>
      <c r="I1107" s="25">
        <f>IF(C1107&lt;62,0,'Combined Retirement'!$I$13)</f>
        <v>2420</v>
      </c>
      <c r="J1107" s="25">
        <f t="shared" si="1043"/>
        <v>8395.6297298201844</v>
      </c>
      <c r="K1107" s="25">
        <f t="shared" si="1044"/>
        <v>21655.303514578787</v>
      </c>
      <c r="L1107" s="25"/>
      <c r="N1107" s="25">
        <f>'Combined Retirement'!$C$18/12</f>
        <v>40940.569999999992</v>
      </c>
      <c r="O1107" s="25">
        <f t="shared" si="1045"/>
        <v>10889.636755601023</v>
      </c>
      <c r="P1107" s="25">
        <f t="shared" si="1046"/>
        <v>30050.93324439897</v>
      </c>
      <c r="Q1107" s="25">
        <f t="array" aca="1" ref="Q1107" ca="1">INDEX('Isaac 401k'!L:L,MATCH('Retirement Calculator'!A1107,'Isaac 401k'!N:N,0),0)</f>
        <v>-43849115.280885071</v>
      </c>
      <c r="R1107" s="25">
        <f t="array" aca="1" ref="R1107" ca="1">INDEX('Lorri 401b'!L:L,MATCH('Retirement Calculator'!A1107,'Lorri 401b'!N:N,0),0)</f>
        <v>-76358744.996111423</v>
      </c>
      <c r="S1107" s="25">
        <f t="shared" ca="1" si="1047"/>
        <v>-120207860.27699649</v>
      </c>
    </row>
    <row r="1108" spans="1:19" ht="15.75" customHeight="1" x14ac:dyDescent="0.25">
      <c r="A1108" s="37">
        <v>84677</v>
      </c>
      <c r="B1108" s="398">
        <f t="shared" ref="B1108:C1108" si="1124">($A1108-B$9)/365.25</f>
        <v>149.95482546201231</v>
      </c>
      <c r="C1108" s="398">
        <f t="shared" si="1124"/>
        <v>145.34428473648185</v>
      </c>
      <c r="E1108" s="25">
        <f>IF(C1108&gt;$B$7,0,'Combined Retirement'!$D$13/12)</f>
        <v>0</v>
      </c>
      <c r="F1108" s="25">
        <f>IF(H1108=0,'Combined Retirement'!$D$32,0)+'Combined Retirement'!$B$24</f>
        <v>2870.372285649099</v>
      </c>
      <c r="G1108" s="25">
        <f>'Combined Retirement'!$C$24</f>
        <v>3254.2644699519233</v>
      </c>
      <c r="H1108" s="25">
        <f>IF(B1108&lt;62,0,'Combined Retirement'!$I$14)</f>
        <v>2345</v>
      </c>
      <c r="I1108" s="25">
        <f>IF(C1108&lt;62,0,'Combined Retirement'!$I$13)</f>
        <v>2420</v>
      </c>
      <c r="J1108" s="25">
        <f t="shared" si="1043"/>
        <v>8395.6297298201844</v>
      </c>
      <c r="K1108" s="25">
        <f t="shared" si="1044"/>
        <v>21655.303514578787</v>
      </c>
      <c r="L1108" s="25"/>
      <c r="N1108" s="25">
        <f>'Combined Retirement'!$C$18/12</f>
        <v>40940.569999999992</v>
      </c>
      <c r="O1108" s="25">
        <f t="shared" si="1045"/>
        <v>10889.636755601023</v>
      </c>
      <c r="P1108" s="25">
        <f t="shared" si="1046"/>
        <v>30050.93324439897</v>
      </c>
      <c r="Q1108" s="25">
        <f t="array" aca="1" ref="Q1108" ca="1">INDEX('Isaac 401k'!L:L,MATCH('Retirement Calculator'!A1108,'Isaac 401k'!N:N,0),0)</f>
        <v>-44040250.539409123</v>
      </c>
      <c r="R1108" s="25">
        <f t="array" aca="1" ref="R1108" ca="1">INDEX('Lorri 401b'!L:L,MATCH('Retirement Calculator'!A1108,'Lorri 401b'!N:N,0),0)</f>
        <v>-76698651.967541113</v>
      </c>
      <c r="S1108" s="25">
        <f t="shared" ca="1" si="1047"/>
        <v>-120738902.50695023</v>
      </c>
    </row>
    <row r="1109" spans="1:19" ht="15.75" customHeight="1" x14ac:dyDescent="0.25">
      <c r="A1109" s="37">
        <v>84707</v>
      </c>
      <c r="B1109" s="398">
        <f t="shared" ref="B1109:C1109" si="1125">($A1109-B$9)/365.25</f>
        <v>150.03696098562628</v>
      </c>
      <c r="C1109" s="398">
        <f t="shared" si="1125"/>
        <v>145.42642026009582</v>
      </c>
      <c r="E1109" s="25">
        <f>IF(C1109&gt;$B$7,0,'Combined Retirement'!$D$13/12)</f>
        <v>0</v>
      </c>
      <c r="F1109" s="25">
        <f>IF(H1109=0,'Combined Retirement'!$D$32,0)+'Combined Retirement'!$B$24</f>
        <v>2870.372285649099</v>
      </c>
      <c r="G1109" s="25">
        <f>'Combined Retirement'!$C$24</f>
        <v>3254.2644699519233</v>
      </c>
      <c r="H1109" s="25">
        <f>IF(B1109&lt;62,0,'Combined Retirement'!$I$14)</f>
        <v>2345</v>
      </c>
      <c r="I1109" s="25">
        <f>IF(C1109&lt;62,0,'Combined Retirement'!$I$13)</f>
        <v>2420</v>
      </c>
      <c r="J1109" s="25">
        <f t="shared" si="1043"/>
        <v>8395.6297298201844</v>
      </c>
      <c r="K1109" s="25">
        <f t="shared" si="1044"/>
        <v>21655.303514578787</v>
      </c>
      <c r="L1109" s="25"/>
      <c r="N1109" s="25">
        <f>'Combined Retirement'!$C$18/12</f>
        <v>40940.569999999992</v>
      </c>
      <c r="O1109" s="25">
        <f t="shared" si="1045"/>
        <v>10889.636755601023</v>
      </c>
      <c r="P1109" s="25">
        <f t="shared" si="1046"/>
        <v>30050.93324439897</v>
      </c>
      <c r="Q1109" s="25">
        <f t="array" aca="1" ref="Q1109" ca="1">INDEX('Isaac 401k'!L:L,MATCH('Retirement Calculator'!A1109,'Isaac 401k'!N:N,0),0)</f>
        <v>-44232182.194843695</v>
      </c>
      <c r="R1109" s="25">
        <f t="array" aca="1" ref="R1109" ca="1">INDEX('Lorri 401b'!L:L,MATCH('Retirement Calculator'!A1109,'Lorri 401b'!N:N,0),0)</f>
        <v>-77039975.218018427</v>
      </c>
      <c r="S1109" s="25">
        <f t="shared" ca="1" si="1047"/>
        <v>-121272157.41286212</v>
      </c>
    </row>
    <row r="1110" spans="1:19" ht="15.75" customHeight="1" x14ac:dyDescent="0.25">
      <c r="A1110" s="37">
        <v>84738</v>
      </c>
      <c r="B1110" s="398">
        <f t="shared" ref="B1110:C1110" si="1126">($A1110-B$9)/365.25</f>
        <v>150.12183436002738</v>
      </c>
      <c r="C1110" s="398">
        <f t="shared" si="1126"/>
        <v>145.51129363449692</v>
      </c>
      <c r="E1110" s="25">
        <f>IF(C1110&gt;$B$7,0,'Combined Retirement'!$D$13/12)</f>
        <v>0</v>
      </c>
      <c r="F1110" s="25">
        <f>IF(H1110=0,'Combined Retirement'!$D$32,0)+'Combined Retirement'!$B$24</f>
        <v>2870.372285649099</v>
      </c>
      <c r="G1110" s="25">
        <f>'Combined Retirement'!$C$24</f>
        <v>3254.2644699519233</v>
      </c>
      <c r="H1110" s="25">
        <f>IF(B1110&lt;62,0,'Combined Retirement'!$I$14)</f>
        <v>2345</v>
      </c>
      <c r="I1110" s="25">
        <f>IF(C1110&lt;62,0,'Combined Retirement'!$I$13)</f>
        <v>2420</v>
      </c>
      <c r="J1110" s="25">
        <f t="shared" si="1043"/>
        <v>8395.6297298201844</v>
      </c>
      <c r="K1110" s="25">
        <f t="shared" si="1044"/>
        <v>21655.303514578787</v>
      </c>
      <c r="L1110" s="25"/>
      <c r="N1110" s="25">
        <f>'Combined Retirement'!$C$18/12</f>
        <v>40940.569999999992</v>
      </c>
      <c r="O1110" s="25">
        <f t="shared" si="1045"/>
        <v>10889.636755601023</v>
      </c>
      <c r="P1110" s="25">
        <f t="shared" si="1046"/>
        <v>30050.93324439897</v>
      </c>
      <c r="Q1110" s="25">
        <f t="array" aca="1" ref="Q1110" ca="1">INDEX('Isaac 401k'!L:L,MATCH('Retirement Calculator'!A1110,'Isaac 401k'!N:N,0),0)</f>
        <v>-44424913.565509237</v>
      </c>
      <c r="R1110" s="25">
        <f t="array" aca="1" ref="R1110" ca="1">INDEX('Lorri 401b'!L:L,MATCH('Retirement Calculator'!A1110,'Lorri 401b'!N:N,0),0)</f>
        <v>-77382720.648706064</v>
      </c>
      <c r="S1110" s="25">
        <f t="shared" ca="1" si="1047"/>
        <v>-121807634.21421531</v>
      </c>
    </row>
    <row r="1111" spans="1:19" ht="15.75" customHeight="1" x14ac:dyDescent="0.25">
      <c r="A1111" s="37">
        <v>84769</v>
      </c>
      <c r="B1111" s="398">
        <f t="shared" ref="B1111:C1111" si="1127">($A1111-B$9)/365.25</f>
        <v>150.20670773442848</v>
      </c>
      <c r="C1111" s="398">
        <f t="shared" si="1127"/>
        <v>145.59616700889802</v>
      </c>
      <c r="E1111" s="25">
        <f>IF(C1111&gt;$B$7,0,'Combined Retirement'!$D$13/12)</f>
        <v>0</v>
      </c>
      <c r="F1111" s="25">
        <f>IF(H1111=0,'Combined Retirement'!$D$32,0)+'Combined Retirement'!$B$24</f>
        <v>2870.372285649099</v>
      </c>
      <c r="G1111" s="25">
        <f>'Combined Retirement'!$C$24</f>
        <v>3254.2644699519233</v>
      </c>
      <c r="H1111" s="25">
        <f>IF(B1111&lt;62,0,'Combined Retirement'!$I$14)</f>
        <v>2345</v>
      </c>
      <c r="I1111" s="25">
        <f>IF(C1111&lt;62,0,'Combined Retirement'!$I$13)</f>
        <v>2420</v>
      </c>
      <c r="J1111" s="25">
        <f t="shared" si="1043"/>
        <v>8395.6297298201844</v>
      </c>
      <c r="K1111" s="25">
        <f t="shared" si="1044"/>
        <v>21655.303514578787</v>
      </c>
      <c r="L1111" s="25"/>
      <c r="N1111" s="25">
        <f>'Combined Retirement'!$C$18/12</f>
        <v>40940.569999999992</v>
      </c>
      <c r="O1111" s="25">
        <f t="shared" si="1045"/>
        <v>10889.636755601023</v>
      </c>
      <c r="P1111" s="25">
        <f t="shared" si="1046"/>
        <v>30050.93324439897</v>
      </c>
      <c r="Q1111" s="25">
        <f t="array" aca="1" ref="Q1111" ca="1">INDEX('Isaac 401k'!L:L,MATCH('Retirement Calculator'!A1111,'Isaac 401k'!N:N,0),0)</f>
        <v>-44618447.983552553</v>
      </c>
      <c r="R1111" s="25">
        <f t="array" aca="1" ref="R1111" ca="1">INDEX('Lorri 401b'!L:L,MATCH('Retirement Calculator'!A1111,'Lorri 401b'!N:N,0),0)</f>
        <v>-77726894.185354903</v>
      </c>
      <c r="S1111" s="25">
        <f t="shared" ca="1" si="1047"/>
        <v>-122345342.16890746</v>
      </c>
    </row>
    <row r="1112" spans="1:19" ht="15.75" customHeight="1" x14ac:dyDescent="0.25">
      <c r="A1112" s="37">
        <v>84798</v>
      </c>
      <c r="B1112" s="398">
        <f t="shared" ref="B1112:C1112" si="1128">($A1112-B$9)/365.25</f>
        <v>150.28610540725529</v>
      </c>
      <c r="C1112" s="398">
        <f t="shared" si="1128"/>
        <v>145.67556468172484</v>
      </c>
      <c r="E1112" s="25">
        <f>IF(C1112&gt;$B$7,0,'Combined Retirement'!$D$13/12)</f>
        <v>0</v>
      </c>
      <c r="F1112" s="25">
        <f>IF(H1112=0,'Combined Retirement'!$D$32,0)+'Combined Retirement'!$B$24</f>
        <v>2870.372285649099</v>
      </c>
      <c r="G1112" s="25">
        <f>'Combined Retirement'!$C$24</f>
        <v>3254.2644699519233</v>
      </c>
      <c r="H1112" s="25">
        <f>IF(B1112&lt;62,0,'Combined Retirement'!$I$14)</f>
        <v>2345</v>
      </c>
      <c r="I1112" s="25">
        <f>IF(C1112&lt;62,0,'Combined Retirement'!$I$13)</f>
        <v>2420</v>
      </c>
      <c r="J1112" s="25">
        <f t="shared" si="1043"/>
        <v>8395.6297298201844</v>
      </c>
      <c r="K1112" s="25">
        <f t="shared" si="1044"/>
        <v>21655.303514578787</v>
      </c>
      <c r="L1112" s="25"/>
      <c r="N1112" s="25">
        <f>'Combined Retirement'!$C$18/12</f>
        <v>40940.569999999992</v>
      </c>
      <c r="O1112" s="25">
        <f t="shared" si="1045"/>
        <v>10889.636755601023</v>
      </c>
      <c r="P1112" s="25">
        <f t="shared" si="1046"/>
        <v>30050.93324439897</v>
      </c>
      <c r="Q1112" s="25">
        <f t="array" aca="1" ref="Q1112" ca="1">INDEX('Isaac 401k'!L:L,MATCH('Retirement Calculator'!A1112,'Isaac 401k'!N:N,0),0)</f>
        <v>-44812788.795004383</v>
      </c>
      <c r="R1112" s="25">
        <f t="array" aca="1" ref="R1112" ca="1">INDEX('Lorri 401b'!L:L,MATCH('Retirement Calculator'!A1112,'Lorri 401b'!N:N,0),0)</f>
        <v>-78072501.778406441</v>
      </c>
      <c r="S1112" s="25">
        <f t="shared" ca="1" si="1047"/>
        <v>-122885290.57341082</v>
      </c>
    </row>
    <row r="1113" spans="1:19" ht="15.75" customHeight="1" x14ac:dyDescent="0.25">
      <c r="A1113" s="37">
        <v>84829</v>
      </c>
      <c r="B1113" s="398">
        <f t="shared" ref="B1113:C1113" si="1129">($A1113-B$9)/365.25</f>
        <v>150.37097878165639</v>
      </c>
      <c r="C1113" s="398">
        <f t="shared" si="1129"/>
        <v>145.76043805612593</v>
      </c>
      <c r="E1113" s="25">
        <f>IF(C1113&gt;$B$7,0,'Combined Retirement'!$D$13/12)</f>
        <v>0</v>
      </c>
      <c r="F1113" s="25">
        <f>IF(H1113=0,'Combined Retirement'!$D$32,0)+'Combined Retirement'!$B$24</f>
        <v>2870.372285649099</v>
      </c>
      <c r="G1113" s="25">
        <f>'Combined Retirement'!$C$24</f>
        <v>3254.2644699519233</v>
      </c>
      <c r="H1113" s="25">
        <f>IF(B1113&lt;62,0,'Combined Retirement'!$I$14)</f>
        <v>2345</v>
      </c>
      <c r="I1113" s="25">
        <f>IF(C1113&lt;62,0,'Combined Retirement'!$I$13)</f>
        <v>2420</v>
      </c>
      <c r="J1113" s="25">
        <f t="shared" si="1043"/>
        <v>8395.6297298201844</v>
      </c>
      <c r="K1113" s="25">
        <f t="shared" si="1044"/>
        <v>21655.303514578787</v>
      </c>
      <c r="L1113" s="25"/>
      <c r="N1113" s="25">
        <f>'Combined Retirement'!$C$18/12</f>
        <v>40940.569999999992</v>
      </c>
      <c r="O1113" s="25">
        <f t="shared" si="1045"/>
        <v>10889.636755601023</v>
      </c>
      <c r="P1113" s="25">
        <f t="shared" si="1046"/>
        <v>30050.93324439897</v>
      </c>
      <c r="Q1113" s="25">
        <f t="array" aca="1" ref="Q1113" ca="1">INDEX('Isaac 401k'!L:L,MATCH('Retirement Calculator'!A1113,'Isaac 401k'!N:N,0),0)</f>
        <v>-45007939.359837264</v>
      </c>
      <c r="R1113" s="25">
        <f t="array" aca="1" ref="R1113" ca="1">INDEX('Lorri 401b'!L:L,MATCH('Retirement Calculator'!A1113,'Lorri 401b'!N:N,0),0)</f>
        <v>-78419549.403095692</v>
      </c>
      <c r="S1113" s="25">
        <f t="shared" ca="1" si="1047"/>
        <v>-123427488.76293296</v>
      </c>
    </row>
    <row r="1114" spans="1:19" ht="15.75" customHeight="1" x14ac:dyDescent="0.25">
      <c r="A1114" s="37">
        <v>84859</v>
      </c>
      <c r="B1114" s="398">
        <f t="shared" ref="B1114:C1114" si="1130">($A1114-B$9)/365.25</f>
        <v>150.45311430527036</v>
      </c>
      <c r="C1114" s="398">
        <f t="shared" si="1130"/>
        <v>145.84257357973991</v>
      </c>
      <c r="E1114" s="25">
        <f>IF(C1114&gt;$B$7,0,'Combined Retirement'!$D$13/12)</f>
        <v>0</v>
      </c>
      <c r="F1114" s="25">
        <f>IF(H1114=0,'Combined Retirement'!$D$32,0)+'Combined Retirement'!$B$24</f>
        <v>2870.372285649099</v>
      </c>
      <c r="G1114" s="25">
        <f>'Combined Retirement'!$C$24</f>
        <v>3254.2644699519233</v>
      </c>
      <c r="H1114" s="25">
        <f>IF(B1114&lt;62,0,'Combined Retirement'!$I$14)</f>
        <v>2345</v>
      </c>
      <c r="I1114" s="25">
        <f>IF(C1114&lt;62,0,'Combined Retirement'!$I$13)</f>
        <v>2420</v>
      </c>
      <c r="J1114" s="25">
        <f t="shared" si="1043"/>
        <v>8395.6297298201844</v>
      </c>
      <c r="K1114" s="25">
        <f t="shared" si="1044"/>
        <v>21655.303514578787</v>
      </c>
      <c r="L1114" s="25"/>
      <c r="N1114" s="25">
        <f>'Combined Retirement'!$C$18/12</f>
        <v>40940.569999999992</v>
      </c>
      <c r="O1114" s="25">
        <f t="shared" si="1045"/>
        <v>10889.636755601023</v>
      </c>
      <c r="P1114" s="25">
        <f t="shared" si="1046"/>
        <v>30050.93324439897</v>
      </c>
      <c r="Q1114" s="25">
        <f t="array" aca="1" ref="Q1114" ca="1">INDEX('Isaac 401k'!L:L,MATCH('Retirement Calculator'!A1114,'Isaac 401k'!N:N,0),0)</f>
        <v>-45203903.052023612</v>
      </c>
      <c r="R1114" s="25">
        <f t="array" aca="1" ref="R1114" ca="1">INDEX('Lorri 401b'!L:L,MATCH('Retirement Calculator'!A1114,'Lorri 401b'!N:N,0),0)</f>
        <v>-78768043.059554487</v>
      </c>
      <c r="S1114" s="25">
        <f t="shared" ca="1" si="1047"/>
        <v>-123971946.11157811</v>
      </c>
    </row>
    <row r="1115" spans="1:19" ht="15.75" customHeight="1" x14ac:dyDescent="0.25">
      <c r="A1115" s="37">
        <v>84890</v>
      </c>
      <c r="B1115" s="398">
        <f t="shared" ref="B1115:C1115" si="1131">($A1115-B$9)/365.25</f>
        <v>150.53798767967146</v>
      </c>
      <c r="C1115" s="398">
        <f t="shared" si="1131"/>
        <v>145.927446954141</v>
      </c>
      <c r="E1115" s="25">
        <f>IF(C1115&gt;$B$7,0,'Combined Retirement'!$D$13/12)</f>
        <v>0</v>
      </c>
      <c r="F1115" s="25">
        <f>IF(H1115=0,'Combined Retirement'!$D$32,0)+'Combined Retirement'!$B$24</f>
        <v>2870.372285649099</v>
      </c>
      <c r="G1115" s="25">
        <f>'Combined Retirement'!$C$24</f>
        <v>3254.2644699519233</v>
      </c>
      <c r="H1115" s="25">
        <f>IF(B1115&lt;62,0,'Combined Retirement'!$I$14)</f>
        <v>2345</v>
      </c>
      <c r="I1115" s="25">
        <f>IF(C1115&lt;62,0,'Combined Retirement'!$I$13)</f>
        <v>2420</v>
      </c>
      <c r="J1115" s="25">
        <f t="shared" si="1043"/>
        <v>8395.6297298201844</v>
      </c>
      <c r="K1115" s="25">
        <f t="shared" si="1044"/>
        <v>21655.303514578787</v>
      </c>
      <c r="L1115" s="25"/>
      <c r="N1115" s="25">
        <f>'Combined Retirement'!$C$18/12</f>
        <v>40940.569999999992</v>
      </c>
      <c r="O1115" s="25">
        <f t="shared" si="1045"/>
        <v>10889.636755601023</v>
      </c>
      <c r="P1115" s="25">
        <f t="shared" si="1046"/>
        <v>30050.93324439897</v>
      </c>
      <c r="Q1115" s="25">
        <f t="array" aca="1" ref="Q1115" ca="1">INDEX('Isaac 401k'!L:L,MATCH('Retirement Calculator'!A1115,'Isaac 401k'!N:N,0),0)</f>
        <v>-45400683.259594075</v>
      </c>
      <c r="R1115" s="25">
        <f t="array" aca="1" ref="R1115" ca="1">INDEX('Lorri 401b'!L:L,MATCH('Retirement Calculator'!A1115,'Lorri 401b'!N:N,0),0)</f>
        <v>-79117988.772915199</v>
      </c>
      <c r="S1115" s="25">
        <f t="shared" ca="1" si="1047"/>
        <v>-124518672.03250927</v>
      </c>
    </row>
    <row r="1116" spans="1:19" ht="15.75" customHeight="1" x14ac:dyDescent="0.25">
      <c r="A1116" s="37">
        <v>84920</v>
      </c>
      <c r="B1116" s="398">
        <f t="shared" ref="B1116:C1116" si="1132">($A1116-B$9)/365.25</f>
        <v>150.62012320328543</v>
      </c>
      <c r="C1116" s="398">
        <f t="shared" si="1132"/>
        <v>146.00958247775498</v>
      </c>
      <c r="E1116" s="25">
        <f>IF(C1116&gt;$B$7,0,'Combined Retirement'!$D$13/12)</f>
        <v>0</v>
      </c>
      <c r="F1116" s="25">
        <f>IF(H1116=0,'Combined Retirement'!$D$32,0)+'Combined Retirement'!$B$24</f>
        <v>2870.372285649099</v>
      </c>
      <c r="G1116" s="25">
        <f>'Combined Retirement'!$C$24</f>
        <v>3254.2644699519233</v>
      </c>
      <c r="H1116" s="25">
        <f>IF(B1116&lt;62,0,'Combined Retirement'!$I$14)</f>
        <v>2345</v>
      </c>
      <c r="I1116" s="25">
        <f>IF(C1116&lt;62,0,'Combined Retirement'!$I$13)</f>
        <v>2420</v>
      </c>
      <c r="J1116" s="25">
        <f t="shared" si="1043"/>
        <v>8395.6297298201844</v>
      </c>
      <c r="K1116" s="25">
        <f t="shared" si="1044"/>
        <v>21655.303514578787</v>
      </c>
      <c r="L1116" s="25"/>
      <c r="N1116" s="25">
        <f>'Combined Retirement'!$C$18/12</f>
        <v>40940.569999999992</v>
      </c>
      <c r="O1116" s="25">
        <f t="shared" si="1045"/>
        <v>10889.636755601023</v>
      </c>
      <c r="P1116" s="25">
        <f t="shared" si="1046"/>
        <v>30050.93324439897</v>
      </c>
      <c r="Q1116" s="25">
        <f t="array" aca="1" ref="Q1116" ca="1">INDEX('Isaac 401k'!L:L,MATCH('Retirement Calculator'!A1116,'Isaac 401k'!N:N,0),0)</f>
        <v>-45598283.384696081</v>
      </c>
      <c r="R1116" s="25">
        <f t="array" aca="1" ref="R1116" ca="1">INDEX('Lorri 401b'!L:L,MATCH('Retirement Calculator'!A1116,'Lorri 401b'!N:N,0),0)</f>
        <v>-79469392.593414903</v>
      </c>
      <c r="S1116" s="25">
        <f t="shared" ca="1" si="1047"/>
        <v>-125067675.97811098</v>
      </c>
    </row>
    <row r="1117" spans="1:19" ht="15.75" customHeight="1" x14ac:dyDescent="0.25">
      <c r="A1117" s="37">
        <v>84951</v>
      </c>
      <c r="B1117" s="398">
        <f t="shared" ref="B1117:C1117" si="1133">($A1117-B$9)/365.25</f>
        <v>150.70499657768653</v>
      </c>
      <c r="C1117" s="398">
        <f t="shared" si="1133"/>
        <v>146.09445585215605</v>
      </c>
      <c r="E1117" s="25">
        <f>IF(C1117&gt;$B$7,0,'Combined Retirement'!$D$13/12)</f>
        <v>0</v>
      </c>
      <c r="F1117" s="25">
        <f>IF(H1117=0,'Combined Retirement'!$D$32,0)+'Combined Retirement'!$B$24</f>
        <v>2870.372285649099</v>
      </c>
      <c r="G1117" s="25">
        <f>'Combined Retirement'!$C$24</f>
        <v>3254.2644699519233</v>
      </c>
      <c r="H1117" s="25">
        <f>IF(B1117&lt;62,0,'Combined Retirement'!$I$14)</f>
        <v>2345</v>
      </c>
      <c r="I1117" s="25">
        <f>IF(C1117&lt;62,0,'Combined Retirement'!$I$13)</f>
        <v>2420</v>
      </c>
      <c r="J1117" s="25">
        <f t="shared" si="1043"/>
        <v>8395.6297298201844</v>
      </c>
      <c r="K1117" s="25">
        <f t="shared" si="1044"/>
        <v>21655.303514578787</v>
      </c>
      <c r="L1117" s="25"/>
      <c r="N1117" s="25">
        <f>'Combined Retirement'!$C$18/12</f>
        <v>40940.569999999992</v>
      </c>
      <c r="O1117" s="25">
        <f t="shared" si="1045"/>
        <v>10889.636755601023</v>
      </c>
      <c r="P1117" s="25">
        <f t="shared" si="1046"/>
        <v>30050.93324439897</v>
      </c>
      <c r="Q1117" s="25">
        <f t="array" aca="1" ref="Q1117" ca="1">INDEX('Isaac 401k'!L:L,MATCH('Retirement Calculator'!A1117,'Isaac 401k'!N:N,0),0)</f>
        <v>-45796706.843652681</v>
      </c>
      <c r="R1117" s="25">
        <f t="array" aca="1" ref="R1117" ca="1">INDEX('Lorri 401b'!L:L,MATCH('Retirement Calculator'!A1117,'Lorri 401b'!N:N,0),0)</f>
        <v>-79822260.596500024</v>
      </c>
      <c r="S1117" s="25">
        <f t="shared" ca="1" si="1047"/>
        <v>-125618967.4401527</v>
      </c>
    </row>
    <row r="1118" spans="1:19" ht="15.75" customHeight="1" x14ac:dyDescent="0.25">
      <c r="A1118" s="37">
        <v>84982</v>
      </c>
      <c r="B1118" s="398">
        <f t="shared" ref="B1118:C1118" si="1134">($A1118-B$9)/365.25</f>
        <v>150.7898699520876</v>
      </c>
      <c r="C1118" s="398">
        <f t="shared" si="1134"/>
        <v>146.17932922655714</v>
      </c>
      <c r="E1118" s="25">
        <f>IF(C1118&gt;$B$7,0,'Combined Retirement'!$D$13/12)</f>
        <v>0</v>
      </c>
      <c r="F1118" s="25">
        <f>IF(H1118=0,'Combined Retirement'!$D$32,0)+'Combined Retirement'!$B$24</f>
        <v>2870.372285649099</v>
      </c>
      <c r="G1118" s="25">
        <f>'Combined Retirement'!$C$24</f>
        <v>3254.2644699519233</v>
      </c>
      <c r="H1118" s="25">
        <f>IF(B1118&lt;62,0,'Combined Retirement'!$I$14)</f>
        <v>2345</v>
      </c>
      <c r="I1118" s="25">
        <f>IF(C1118&lt;62,0,'Combined Retirement'!$I$13)</f>
        <v>2420</v>
      </c>
      <c r="J1118" s="25">
        <f t="shared" si="1043"/>
        <v>8395.6297298201844</v>
      </c>
      <c r="K1118" s="25">
        <f t="shared" si="1044"/>
        <v>21655.303514578787</v>
      </c>
      <c r="L1118" s="25"/>
      <c r="N1118" s="25">
        <f>'Combined Retirement'!$C$18/12</f>
        <v>40940.569999999992</v>
      </c>
      <c r="O1118" s="25">
        <f t="shared" si="1045"/>
        <v>10889.636755601023</v>
      </c>
      <c r="P1118" s="25">
        <f t="shared" si="1046"/>
        <v>30050.93324439897</v>
      </c>
      <c r="Q1118" s="25">
        <f t="array" aca="1" ref="Q1118" ca="1">INDEX('Isaac 401k'!L:L,MATCH('Retirement Calculator'!A1118,'Isaac 401k'!N:N,0),0)</f>
        <v>-45995957.067021593</v>
      </c>
      <c r="R1118" s="25">
        <f t="array" aca="1" ref="R1118" ca="1">INDEX('Lorri 401b'!L:L,MATCH('Retirement Calculator'!A1118,'Lorri 401b'!N:N,0),0)</f>
        <v>-80176598.882931337</v>
      </c>
      <c r="S1118" s="25">
        <f t="shared" ca="1" si="1047"/>
        <v>-126172555.94995293</v>
      </c>
    </row>
    <row r="1119" spans="1:19" ht="15.75" customHeight="1" x14ac:dyDescent="0.25">
      <c r="A1119" s="37">
        <v>85012</v>
      </c>
      <c r="B1119" s="398">
        <f t="shared" ref="B1119:C1119" si="1135">($A1119-B$9)/365.25</f>
        <v>150.87200547570157</v>
      </c>
      <c r="C1119" s="398">
        <f t="shared" si="1135"/>
        <v>146.26146475017111</v>
      </c>
      <c r="E1119" s="25">
        <f>IF(C1119&gt;$B$7,0,'Combined Retirement'!$D$13/12)</f>
        <v>0</v>
      </c>
      <c r="F1119" s="25">
        <f>IF(H1119=0,'Combined Retirement'!$D$32,0)+'Combined Retirement'!$B$24</f>
        <v>2870.372285649099</v>
      </c>
      <c r="G1119" s="25">
        <f>'Combined Retirement'!$C$24</f>
        <v>3254.2644699519233</v>
      </c>
      <c r="H1119" s="25">
        <f>IF(B1119&lt;62,0,'Combined Retirement'!$I$14)</f>
        <v>2345</v>
      </c>
      <c r="I1119" s="25">
        <f>IF(C1119&lt;62,0,'Combined Retirement'!$I$13)</f>
        <v>2420</v>
      </c>
      <c r="J1119" s="25">
        <f t="shared" si="1043"/>
        <v>8395.6297298201844</v>
      </c>
      <c r="K1119" s="25">
        <f t="shared" si="1044"/>
        <v>21655.303514578787</v>
      </c>
      <c r="L1119" s="25"/>
      <c r="N1119" s="25">
        <f>'Combined Retirement'!$C$18/12</f>
        <v>40940.569999999992</v>
      </c>
      <c r="O1119" s="25">
        <f t="shared" si="1045"/>
        <v>10889.636755601023</v>
      </c>
      <c r="P1119" s="25">
        <f t="shared" si="1046"/>
        <v>30050.93324439897</v>
      </c>
      <c r="Q1119" s="25">
        <f t="array" aca="1" ref="Q1119" ca="1">INDEX('Isaac 401k'!L:L,MATCH('Retirement Calculator'!A1119,'Isaac 401k'!N:N,0),0)</f>
        <v>-46196037.499654546</v>
      </c>
      <c r="R1119" s="25">
        <f t="array" aca="1" ref="R1119" ca="1">INDEX('Lorri 401b'!L:L,MATCH('Retirement Calculator'!A1119,'Lorri 401b'!N:N,0),0)</f>
        <v>-80532413.578889444</v>
      </c>
      <c r="S1119" s="25">
        <f t="shared" ca="1" si="1047"/>
        <v>-126728451.07854399</v>
      </c>
    </row>
    <row r="1120" spans="1:19" ht="15.75" customHeight="1" x14ac:dyDescent="0.25">
      <c r="A1120" s="37">
        <v>85043</v>
      </c>
      <c r="B1120" s="398">
        <f t="shared" ref="B1120:C1120" si="1136">($A1120-B$9)/365.25</f>
        <v>150.95687885010267</v>
      </c>
      <c r="C1120" s="398">
        <f t="shared" si="1136"/>
        <v>146.34633812457221</v>
      </c>
      <c r="E1120" s="25">
        <f>IF(C1120&gt;$B$7,0,'Combined Retirement'!$D$13/12)</f>
        <v>0</v>
      </c>
      <c r="F1120" s="25">
        <f>IF(H1120=0,'Combined Retirement'!$D$32,0)+'Combined Retirement'!$B$24</f>
        <v>2870.372285649099</v>
      </c>
      <c r="G1120" s="25">
        <f>'Combined Retirement'!$C$24</f>
        <v>3254.2644699519233</v>
      </c>
      <c r="H1120" s="25">
        <f>IF(B1120&lt;62,0,'Combined Retirement'!$I$14)</f>
        <v>2345</v>
      </c>
      <c r="I1120" s="25">
        <f>IF(C1120&lt;62,0,'Combined Retirement'!$I$13)</f>
        <v>2420</v>
      </c>
      <c r="J1120" s="25">
        <f t="shared" si="1043"/>
        <v>8395.6297298201844</v>
      </c>
      <c r="K1120" s="25">
        <f t="shared" si="1044"/>
        <v>21655.303514578787</v>
      </c>
      <c r="L1120" s="25"/>
      <c r="N1120" s="25">
        <f>'Combined Retirement'!$C$18/12</f>
        <v>40940.569999999992</v>
      </c>
      <c r="O1120" s="25">
        <f t="shared" si="1045"/>
        <v>10889.636755601023</v>
      </c>
      <c r="P1120" s="25">
        <f t="shared" si="1046"/>
        <v>30050.93324439897</v>
      </c>
      <c r="Q1120" s="25">
        <f t="array" aca="1" ref="Q1120" ca="1">INDEX('Isaac 401k'!L:L,MATCH('Retirement Calculator'!A1120,'Isaac 401k'!N:N,0),0)</f>
        <v>-46396951.600756802</v>
      </c>
      <c r="R1120" s="25">
        <f t="array" aca="1" ref="R1120" ca="1">INDEX('Lorri 401b'!L:L,MATCH('Retirement Calculator'!A1120,'Lorri 401b'!N:N,0),0)</f>
        <v>-80889710.836080715</v>
      </c>
      <c r="S1120" s="25">
        <f t="shared" ca="1" si="1047"/>
        <v>-127286662.43683752</v>
      </c>
    </row>
    <row r="1121" spans="1:19" ht="15.75" customHeight="1" x14ac:dyDescent="0.25">
      <c r="A1121" s="37">
        <v>85073</v>
      </c>
      <c r="B1121" s="398">
        <f t="shared" ref="B1121:C1121" si="1137">($A1121-B$9)/365.25</f>
        <v>151.03901437371664</v>
      </c>
      <c r="C1121" s="398">
        <f t="shared" si="1137"/>
        <v>146.42847364818618</v>
      </c>
      <c r="E1121" s="25">
        <f>IF(C1121&gt;$B$7,0,'Combined Retirement'!$D$13/12)</f>
        <v>0</v>
      </c>
      <c r="F1121" s="25">
        <f>IF(H1121=0,'Combined Retirement'!$D$32,0)+'Combined Retirement'!$B$24</f>
        <v>2870.372285649099</v>
      </c>
      <c r="G1121" s="25">
        <f>'Combined Retirement'!$C$24</f>
        <v>3254.2644699519233</v>
      </c>
      <c r="H1121" s="25">
        <f>IF(B1121&lt;62,0,'Combined Retirement'!$I$14)</f>
        <v>2345</v>
      </c>
      <c r="I1121" s="25">
        <f>IF(C1121&lt;62,0,'Combined Retirement'!$I$13)</f>
        <v>2420</v>
      </c>
      <c r="J1121" s="25">
        <f t="shared" si="1043"/>
        <v>8395.6297298201844</v>
      </c>
      <c r="K1121" s="25">
        <f t="shared" si="1044"/>
        <v>21655.303514578787</v>
      </c>
      <c r="L1121" s="25"/>
      <c r="N1121" s="25">
        <f>'Combined Retirement'!$C$18/12</f>
        <v>40940.569999999992</v>
      </c>
      <c r="O1121" s="25">
        <f t="shared" si="1045"/>
        <v>10889.636755601023</v>
      </c>
      <c r="P1121" s="25">
        <f t="shared" si="1046"/>
        <v>30050.93324439897</v>
      </c>
      <c r="Q1121" s="25">
        <f t="array" aca="1" ref="Q1121" ca="1">INDEX('Isaac 401k'!L:L,MATCH('Retirement Calculator'!A1121,'Isaac 401k'!N:N,0),0)</f>
        <v>-46598702.843946986</v>
      </c>
      <c r="R1121" s="25">
        <f t="array" aca="1" ref="R1121" ca="1">INDEX('Lorri 401b'!L:L,MATCH('Retirement Calculator'!A1121,'Lorri 401b'!N:N,0),0)</f>
        <v>-81248496.831843615</v>
      </c>
      <c r="S1121" s="25">
        <f t="shared" ca="1" si="1047"/>
        <v>-127847199.67579061</v>
      </c>
    </row>
    <row r="1122" spans="1:19" ht="15.75" customHeight="1" x14ac:dyDescent="0.25">
      <c r="A1122" s="37">
        <v>85104</v>
      </c>
      <c r="B1122" s="398">
        <f t="shared" ref="B1122:C1122" si="1138">($A1122-B$9)/365.25</f>
        <v>151.12388774811774</v>
      </c>
      <c r="C1122" s="398">
        <f t="shared" si="1138"/>
        <v>146.51334702258728</v>
      </c>
      <c r="E1122" s="25">
        <f>IF(C1122&gt;$B$7,0,'Combined Retirement'!$D$13/12)</f>
        <v>0</v>
      </c>
      <c r="F1122" s="25">
        <f>IF(H1122=0,'Combined Retirement'!$D$32,0)+'Combined Retirement'!$B$24</f>
        <v>2870.372285649099</v>
      </c>
      <c r="G1122" s="25">
        <f>'Combined Retirement'!$C$24</f>
        <v>3254.2644699519233</v>
      </c>
      <c r="H1122" s="25">
        <f>IF(B1122&lt;62,0,'Combined Retirement'!$I$14)</f>
        <v>2345</v>
      </c>
      <c r="I1122" s="25">
        <f>IF(C1122&lt;62,0,'Combined Retirement'!$I$13)</f>
        <v>2420</v>
      </c>
      <c r="J1122" s="25">
        <f t="shared" si="1043"/>
        <v>8395.6297298201844</v>
      </c>
      <c r="K1122" s="25">
        <f t="shared" si="1044"/>
        <v>21655.303514578787</v>
      </c>
      <c r="L1122" s="25"/>
      <c r="N1122" s="25">
        <f>'Combined Retirement'!$C$18/12</f>
        <v>40940.569999999992</v>
      </c>
      <c r="O1122" s="25">
        <f t="shared" si="1045"/>
        <v>10889.636755601023</v>
      </c>
      <c r="P1122" s="25">
        <f t="shared" si="1046"/>
        <v>30050.93324439897</v>
      </c>
      <c r="Q1122" s="25">
        <f t="array" aca="1" ref="Q1122" ca="1">INDEX('Isaac 401k'!L:L,MATCH('Retirement Calculator'!A1122,'Isaac 401k'!N:N,0),0)</f>
        <v>-46801294.717317127</v>
      </c>
      <c r="R1122" s="25">
        <f t="array" aca="1" ref="R1122" ca="1">INDEX('Lorri 401b'!L:L,MATCH('Retirement Calculator'!A1122,'Lorri 401b'!N:N,0),0)</f>
        <v>-81608777.769255519</v>
      </c>
      <c r="S1122" s="25">
        <f t="shared" ca="1" si="1047"/>
        <v>-128410072.48657265</v>
      </c>
    </row>
    <row r="1123" spans="1:19" ht="15.75" customHeight="1" x14ac:dyDescent="0.25">
      <c r="A1123" s="37">
        <v>85135</v>
      </c>
      <c r="B1123" s="398">
        <f t="shared" ref="B1123:C1123" si="1139">($A1123-B$9)/365.25</f>
        <v>151.20876112251884</v>
      </c>
      <c r="C1123" s="398">
        <f t="shared" si="1139"/>
        <v>146.59822039698835</v>
      </c>
      <c r="E1123" s="25">
        <f>IF(C1123&gt;$B$7,0,'Combined Retirement'!$D$13/12)</f>
        <v>0</v>
      </c>
      <c r="F1123" s="25">
        <f>IF(H1123=0,'Combined Retirement'!$D$32,0)+'Combined Retirement'!$B$24</f>
        <v>2870.372285649099</v>
      </c>
      <c r="G1123" s="25">
        <f>'Combined Retirement'!$C$24</f>
        <v>3254.2644699519233</v>
      </c>
      <c r="H1123" s="25">
        <f>IF(B1123&lt;62,0,'Combined Retirement'!$I$14)</f>
        <v>2345</v>
      </c>
      <c r="I1123" s="25">
        <f>IF(C1123&lt;62,0,'Combined Retirement'!$I$13)</f>
        <v>2420</v>
      </c>
      <c r="J1123" s="25">
        <f t="shared" si="1043"/>
        <v>8395.6297298201844</v>
      </c>
      <c r="K1123" s="25">
        <f t="shared" si="1044"/>
        <v>21655.303514578787</v>
      </c>
      <c r="L1123" s="25"/>
      <c r="N1123" s="25">
        <f>'Combined Retirement'!$C$18/12</f>
        <v>40940.569999999992</v>
      </c>
      <c r="O1123" s="25">
        <f t="shared" si="1045"/>
        <v>10889.636755601023</v>
      </c>
      <c r="P1123" s="25">
        <f t="shared" si="1046"/>
        <v>30050.93324439897</v>
      </c>
      <c r="Q1123" s="25">
        <f t="array" aca="1" ref="Q1123" ca="1">INDEX('Isaac 401k'!L:L,MATCH('Retirement Calculator'!A1123,'Isaac 401k'!N:N,0),0)</f>
        <v>-47004730.72349298</v>
      </c>
      <c r="R1123" s="25">
        <f t="array" aca="1" ref="R1123" ca="1">INDEX('Lorri 401b'!L:L,MATCH('Retirement Calculator'!A1123,'Lorri 401b'!N:N,0),0)</f>
        <v>-81970559.877239972</v>
      </c>
      <c r="S1123" s="25">
        <f t="shared" ca="1" si="1047"/>
        <v>-128975290.60073295</v>
      </c>
    </row>
    <row r="1124" spans="1:19" ht="15.75" customHeight="1" x14ac:dyDescent="0.25">
      <c r="A1124" s="37">
        <v>85163</v>
      </c>
      <c r="B1124" s="398">
        <f t="shared" ref="B1124:C1124" si="1140">($A1124-B$9)/365.25</f>
        <v>151.28542094455852</v>
      </c>
      <c r="C1124" s="398">
        <f t="shared" si="1140"/>
        <v>146.67488021902807</v>
      </c>
      <c r="E1124" s="25">
        <f>IF(C1124&gt;$B$7,0,'Combined Retirement'!$D$13/12)</f>
        <v>0</v>
      </c>
      <c r="F1124" s="25">
        <f>IF(H1124=0,'Combined Retirement'!$D$32,0)+'Combined Retirement'!$B$24</f>
        <v>2870.372285649099</v>
      </c>
      <c r="G1124" s="25">
        <f>'Combined Retirement'!$C$24</f>
        <v>3254.2644699519233</v>
      </c>
      <c r="H1124" s="25">
        <f>IF(B1124&lt;62,0,'Combined Retirement'!$I$14)</f>
        <v>2345</v>
      </c>
      <c r="I1124" s="25">
        <f>IF(C1124&lt;62,0,'Combined Retirement'!$I$13)</f>
        <v>2420</v>
      </c>
      <c r="J1124" s="25">
        <f t="shared" si="1043"/>
        <v>8395.6297298201844</v>
      </c>
      <c r="K1124" s="25">
        <f t="shared" si="1044"/>
        <v>21655.303514578787</v>
      </c>
      <c r="L1124" s="25"/>
      <c r="N1124" s="25">
        <f>'Combined Retirement'!$C$18/12</f>
        <v>40940.569999999992</v>
      </c>
      <c r="O1124" s="25">
        <f t="shared" si="1045"/>
        <v>10889.636755601023</v>
      </c>
      <c r="P1124" s="25">
        <f t="shared" si="1046"/>
        <v>30050.93324439897</v>
      </c>
      <c r="Q1124" s="25">
        <f t="array" aca="1" ref="Q1124" ca="1">INDEX('Isaac 401k'!L:L,MATCH('Retirement Calculator'!A1124,'Isaac 401k'!N:N,0),0)</f>
        <v>-47209014.379694566</v>
      </c>
      <c r="R1124" s="25">
        <f t="array" aca="1" ref="R1124" ca="1">INDEX('Lorri 401b'!L:L,MATCH('Retirement Calculator'!A1124,'Lorri 401b'!N:N,0),0)</f>
        <v>-82333849.410674363</v>
      </c>
      <c r="S1124" s="25">
        <f t="shared" ca="1" si="1047"/>
        <v>-129542863.79036893</v>
      </c>
    </row>
    <row r="1125" spans="1:19" ht="15.75" customHeight="1" x14ac:dyDescent="0.25">
      <c r="A1125" s="37">
        <v>85194</v>
      </c>
      <c r="B1125" s="398">
        <f t="shared" ref="B1125:C1125" si="1141">($A1125-B$9)/365.25</f>
        <v>151.37029431895962</v>
      </c>
      <c r="C1125" s="398">
        <f t="shared" si="1141"/>
        <v>146.75975359342917</v>
      </c>
      <c r="E1125" s="25">
        <f>IF(C1125&gt;$B$7,0,'Combined Retirement'!$D$13/12)</f>
        <v>0</v>
      </c>
      <c r="F1125" s="25">
        <f>IF(H1125=0,'Combined Retirement'!$D$32,0)+'Combined Retirement'!$B$24</f>
        <v>2870.372285649099</v>
      </c>
      <c r="G1125" s="25">
        <f>'Combined Retirement'!$C$24</f>
        <v>3254.2644699519233</v>
      </c>
      <c r="H1125" s="25">
        <f>IF(B1125&lt;62,0,'Combined Retirement'!$I$14)</f>
        <v>2345</v>
      </c>
      <c r="I1125" s="25">
        <f>IF(C1125&lt;62,0,'Combined Retirement'!$I$13)</f>
        <v>2420</v>
      </c>
      <c r="J1125" s="25">
        <f t="shared" si="1043"/>
        <v>8395.6297298201844</v>
      </c>
      <c r="K1125" s="25">
        <f t="shared" si="1044"/>
        <v>21655.303514578787</v>
      </c>
      <c r="L1125" s="25"/>
      <c r="N1125" s="25">
        <f>'Combined Retirement'!$C$18/12</f>
        <v>40940.569999999992</v>
      </c>
      <c r="O1125" s="25">
        <f t="shared" si="1045"/>
        <v>10889.636755601023</v>
      </c>
      <c r="P1125" s="25">
        <f t="shared" si="1046"/>
        <v>30050.93324439897</v>
      </c>
      <c r="Q1125" s="25">
        <f t="array" aca="1" ref="Q1125" ca="1">INDEX('Isaac 401k'!L:L,MATCH('Retirement Calculator'!A1125,'Isaac 401k'!N:N,0),0)</f>
        <v>-47414149.217796989</v>
      </c>
      <c r="R1125" s="25">
        <f t="array" aca="1" ref="R1125" ca="1">INDEX('Lorri 401b'!L:L,MATCH('Retirement Calculator'!A1125,'Lorri 401b'!N:N,0),0)</f>
        <v>-82698652.650498062</v>
      </c>
      <c r="S1125" s="25">
        <f t="shared" ca="1" si="1047"/>
        <v>-130112801.86829504</v>
      </c>
    </row>
    <row r="1126" spans="1:19" ht="15.75" customHeight="1" x14ac:dyDescent="0.25">
      <c r="A1126" s="37">
        <v>85224</v>
      </c>
      <c r="B1126" s="398">
        <f t="shared" ref="B1126:C1126" si="1142">($A1126-B$9)/365.25</f>
        <v>151.45242984257359</v>
      </c>
      <c r="C1126" s="398">
        <f t="shared" si="1142"/>
        <v>146.84188911704311</v>
      </c>
      <c r="E1126" s="25">
        <f>IF(C1126&gt;$B$7,0,'Combined Retirement'!$D$13/12)</f>
        <v>0</v>
      </c>
      <c r="F1126" s="25">
        <f>IF(H1126=0,'Combined Retirement'!$D$32,0)+'Combined Retirement'!$B$24</f>
        <v>2870.372285649099</v>
      </c>
      <c r="G1126" s="25">
        <f>'Combined Retirement'!$C$24</f>
        <v>3254.2644699519233</v>
      </c>
      <c r="H1126" s="25">
        <f>IF(B1126&lt;62,0,'Combined Retirement'!$I$14)</f>
        <v>2345</v>
      </c>
      <c r="I1126" s="25">
        <f>IF(C1126&lt;62,0,'Combined Retirement'!$I$13)</f>
        <v>2420</v>
      </c>
      <c r="J1126" s="25">
        <f t="shared" si="1043"/>
        <v>8395.6297298201844</v>
      </c>
      <c r="K1126" s="25">
        <f t="shared" si="1044"/>
        <v>21655.303514578787</v>
      </c>
      <c r="L1126" s="25"/>
      <c r="N1126" s="25">
        <f>'Combined Retirement'!$C$18/12</f>
        <v>40940.569999999992</v>
      </c>
      <c r="O1126" s="25">
        <f t="shared" si="1045"/>
        <v>10889.636755601023</v>
      </c>
      <c r="P1126" s="25">
        <f t="shared" si="1046"/>
        <v>30050.93324439897</v>
      </c>
      <c r="Q1126" s="25">
        <f t="array" aca="1" ref="Q1126" ca="1">INDEX('Isaac 401k'!L:L,MATCH('Retirement Calculator'!A1126,'Isaac 401k'!N:N,0),0)</f>
        <v>-47620138.784391508</v>
      </c>
      <c r="R1126" s="25">
        <f t="array" aca="1" ref="R1126" ca="1">INDEX('Lorri 401b'!L:L,MATCH('Retirement Calculator'!A1126,'Lorri 401b'!N:N,0),0)</f>
        <v>-83064975.903821036</v>
      </c>
      <c r="S1126" s="25">
        <f t="shared" ca="1" si="1047"/>
        <v>-130685114.68821254</v>
      </c>
    </row>
    <row r="1127" spans="1:19" ht="15.75" customHeight="1" x14ac:dyDescent="0.25">
      <c r="A1127" s="37">
        <v>85255</v>
      </c>
      <c r="B1127" s="398">
        <f t="shared" ref="B1127:C1127" si="1143">($A1127-B$9)/365.25</f>
        <v>151.53730321697466</v>
      </c>
      <c r="C1127" s="398">
        <f t="shared" si="1143"/>
        <v>146.92676249144421</v>
      </c>
      <c r="E1127" s="25">
        <f>IF(C1127&gt;$B$7,0,'Combined Retirement'!$D$13/12)</f>
        <v>0</v>
      </c>
      <c r="F1127" s="25">
        <f>IF(H1127=0,'Combined Retirement'!$D$32,0)+'Combined Retirement'!$B$24</f>
        <v>2870.372285649099</v>
      </c>
      <c r="G1127" s="25">
        <f>'Combined Retirement'!$C$24</f>
        <v>3254.2644699519233</v>
      </c>
      <c r="H1127" s="25">
        <f>IF(B1127&lt;62,0,'Combined Retirement'!$I$14)</f>
        <v>2345</v>
      </c>
      <c r="I1127" s="25">
        <f>IF(C1127&lt;62,0,'Combined Retirement'!$I$13)</f>
        <v>2420</v>
      </c>
      <c r="J1127" s="25">
        <f t="shared" si="1043"/>
        <v>8395.6297298201844</v>
      </c>
      <c r="K1127" s="25">
        <f t="shared" si="1044"/>
        <v>21655.303514578787</v>
      </c>
      <c r="L1127" s="25"/>
      <c r="N1127" s="25">
        <f>'Combined Retirement'!$C$18/12</f>
        <v>40940.569999999992</v>
      </c>
      <c r="O1127" s="25">
        <f t="shared" si="1045"/>
        <v>10889.636755601023</v>
      </c>
      <c r="P1127" s="25">
        <f t="shared" si="1046"/>
        <v>30050.93324439897</v>
      </c>
      <c r="Q1127" s="25">
        <f t="array" aca="1" ref="Q1127" ca="1">INDEX('Isaac 401k'!L:L,MATCH('Retirement Calculator'!A1127,'Isaac 401k'!N:N,0),0)</f>
        <v>-47826986.640846834</v>
      </c>
      <c r="R1127" s="25">
        <f t="array" aca="1" ref="R1127" ca="1">INDEX('Lorri 401b'!L:L,MATCH('Retirement Calculator'!A1127,'Lorri 401b'!N:N,0),0)</f>
        <v>-83432825.50403285</v>
      </c>
      <c r="S1127" s="25">
        <f t="shared" ca="1" si="1047"/>
        <v>-131259812.14487968</v>
      </c>
    </row>
    <row r="1128" spans="1:19" ht="15.75" customHeight="1" x14ac:dyDescent="0.25">
      <c r="A1128" s="37">
        <v>85285</v>
      </c>
      <c r="B1128" s="398">
        <f t="shared" ref="B1128:C1128" si="1144">($A1128-B$9)/365.25</f>
        <v>151.61943874058863</v>
      </c>
      <c r="C1128" s="398">
        <f t="shared" si="1144"/>
        <v>147.00889801505818</v>
      </c>
      <c r="E1128" s="25">
        <f>IF(C1128&gt;$B$7,0,'Combined Retirement'!$D$13/12)</f>
        <v>0</v>
      </c>
      <c r="F1128" s="25">
        <f>IF(H1128=0,'Combined Retirement'!$D$32,0)+'Combined Retirement'!$B$24</f>
        <v>2870.372285649099</v>
      </c>
      <c r="G1128" s="25">
        <f>'Combined Retirement'!$C$24</f>
        <v>3254.2644699519233</v>
      </c>
      <c r="H1128" s="25">
        <f>IF(B1128&lt;62,0,'Combined Retirement'!$I$14)</f>
        <v>2345</v>
      </c>
      <c r="I1128" s="25">
        <f>IF(C1128&lt;62,0,'Combined Retirement'!$I$13)</f>
        <v>2420</v>
      </c>
      <c r="J1128" s="25">
        <f t="shared" si="1043"/>
        <v>8395.6297298201844</v>
      </c>
      <c r="K1128" s="25">
        <f t="shared" si="1044"/>
        <v>21655.303514578787</v>
      </c>
      <c r="L1128" s="25"/>
      <c r="N1128" s="25">
        <f>'Combined Retirement'!$C$18/12</f>
        <v>40940.569999999992</v>
      </c>
      <c r="O1128" s="25">
        <f t="shared" si="1045"/>
        <v>10889.636755601023</v>
      </c>
      <c r="P1128" s="25">
        <f t="shared" si="1046"/>
        <v>30050.93324439897</v>
      </c>
      <c r="Q1128" s="25">
        <f t="array" aca="1" ref="Q1128" ca="1">INDEX('Isaac 401k'!L:L,MATCH('Retirement Calculator'!A1128,'Isaac 401k'!N:N,0),0)</f>
        <v>-48034696.363370724</v>
      </c>
      <c r="R1128" s="25">
        <f t="array" aca="1" ref="R1128" ca="1">INDEX('Lorri 401b'!L:L,MATCH('Retirement Calculator'!A1128,'Lorri 401b'!N:N,0),0)</f>
        <v>-83802207.810912222</v>
      </c>
      <c r="S1128" s="25">
        <f t="shared" ca="1" si="1047"/>
        <v>-131836904.17428294</v>
      </c>
    </row>
    <row r="1129" spans="1:19" ht="15.75" customHeight="1" x14ac:dyDescent="0.25">
      <c r="A1129" s="37">
        <v>85316</v>
      </c>
      <c r="B1129" s="398">
        <f t="shared" ref="B1129:C1129" si="1145">($A1129-B$9)/365.25</f>
        <v>151.70431211498973</v>
      </c>
      <c r="C1129" s="398">
        <f t="shared" si="1145"/>
        <v>147.09377138945928</v>
      </c>
      <c r="E1129" s="25">
        <f>IF(C1129&gt;$B$7,0,'Combined Retirement'!$D$13/12)</f>
        <v>0</v>
      </c>
      <c r="F1129" s="25">
        <f>IF(H1129=0,'Combined Retirement'!$D$32,0)+'Combined Retirement'!$B$24</f>
        <v>2870.372285649099</v>
      </c>
      <c r="G1129" s="25">
        <f>'Combined Retirement'!$C$24</f>
        <v>3254.2644699519233</v>
      </c>
      <c r="H1129" s="25">
        <f>IF(B1129&lt;62,0,'Combined Retirement'!$I$14)</f>
        <v>2345</v>
      </c>
      <c r="I1129" s="25">
        <f>IF(C1129&lt;62,0,'Combined Retirement'!$I$13)</f>
        <v>2420</v>
      </c>
      <c r="J1129" s="25">
        <f t="shared" si="1043"/>
        <v>8395.6297298201844</v>
      </c>
      <c r="K1129" s="25">
        <f t="shared" si="1044"/>
        <v>21655.303514578787</v>
      </c>
      <c r="L1129" s="25"/>
      <c r="N1129" s="25">
        <f>'Combined Retirement'!$C$18/12</f>
        <v>40940.569999999992</v>
      </c>
      <c r="O1129" s="25">
        <f t="shared" si="1045"/>
        <v>10889.636755601023</v>
      </c>
      <c r="P1129" s="25">
        <f t="shared" si="1046"/>
        <v>30050.93324439897</v>
      </c>
      <c r="Q1129" s="25">
        <f t="array" aca="1" ref="Q1129" ca="1">INDEX('Isaac 401k'!L:L,MATCH('Retirement Calculator'!A1129,'Isaac 401k'!N:N,0),0)</f>
        <v>-48243271.543071799</v>
      </c>
      <c r="R1129" s="25">
        <f t="array" aca="1" ref="R1129" ca="1">INDEX('Lorri 401b'!L:L,MATCH('Retirement Calculator'!A1129,'Lorri 401b'!N:N,0),0)</f>
        <v>-84173129.210736915</v>
      </c>
      <c r="S1129" s="25">
        <f t="shared" ca="1" si="1047"/>
        <v>-132416400.75380871</v>
      </c>
    </row>
    <row r="1130" spans="1:19" ht="15.75" customHeight="1" x14ac:dyDescent="0.25">
      <c r="A1130" s="37">
        <v>85347</v>
      </c>
      <c r="B1130" s="398">
        <f t="shared" ref="B1130:C1130" si="1146">($A1130-B$9)/365.25</f>
        <v>151.78918548939083</v>
      </c>
      <c r="C1130" s="398">
        <f t="shared" si="1146"/>
        <v>147.17864476386038</v>
      </c>
      <c r="E1130" s="25">
        <f>IF(C1130&gt;$B$7,0,'Combined Retirement'!$D$13/12)</f>
        <v>0</v>
      </c>
      <c r="F1130" s="25">
        <f>IF(H1130=0,'Combined Retirement'!$D$32,0)+'Combined Retirement'!$B$24</f>
        <v>2870.372285649099</v>
      </c>
      <c r="G1130" s="25">
        <f>'Combined Retirement'!$C$24</f>
        <v>3254.2644699519233</v>
      </c>
      <c r="H1130" s="25">
        <f>IF(B1130&lt;62,0,'Combined Retirement'!$I$14)</f>
        <v>2345</v>
      </c>
      <c r="I1130" s="25">
        <f>IF(C1130&lt;62,0,'Combined Retirement'!$I$13)</f>
        <v>2420</v>
      </c>
      <c r="J1130" s="25">
        <f t="shared" si="1043"/>
        <v>8395.6297298201844</v>
      </c>
      <c r="K1130" s="25">
        <f t="shared" si="1044"/>
        <v>21655.303514578787</v>
      </c>
      <c r="L1130" s="25"/>
      <c r="N1130" s="25">
        <f>'Combined Retirement'!$C$18/12</f>
        <v>40940.569999999992</v>
      </c>
      <c r="O1130" s="25">
        <f t="shared" si="1045"/>
        <v>10889.636755601023</v>
      </c>
      <c r="P1130" s="25">
        <f t="shared" si="1046"/>
        <v>30050.93324439897</v>
      </c>
      <c r="Q1130" s="25">
        <f t="array" aca="1" ref="Q1130" ca="1">INDEX('Isaac 401k'!L:L,MATCH('Retirement Calculator'!A1130,'Isaac 401k'!N:N,0),0)</f>
        <v>-48452715.786021627</v>
      </c>
      <c r="R1130" s="25">
        <f t="array" aca="1" ref="R1130" ca="1">INDEX('Lorri 401b'!L:L,MATCH('Retirement Calculator'!A1130,'Lorri 401b'!N:N,0),0)</f>
        <v>-84545596.116394222</v>
      </c>
      <c r="S1130" s="25">
        <f t="shared" ca="1" si="1047"/>
        <v>-132998311.90241584</v>
      </c>
    </row>
    <row r="1131" spans="1:19" ht="15.75" customHeight="1" x14ac:dyDescent="0.25">
      <c r="A1131" s="37">
        <v>85377</v>
      </c>
      <c r="B1131" s="398">
        <f t="shared" ref="B1131:C1131" si="1147">($A1131-B$9)/365.25</f>
        <v>151.8713210130048</v>
      </c>
      <c r="C1131" s="398">
        <f t="shared" si="1147"/>
        <v>147.26078028747432</v>
      </c>
      <c r="E1131" s="25">
        <f>IF(C1131&gt;$B$7,0,'Combined Retirement'!$D$13/12)</f>
        <v>0</v>
      </c>
      <c r="F1131" s="25">
        <f>IF(H1131=0,'Combined Retirement'!$D$32,0)+'Combined Retirement'!$B$24</f>
        <v>2870.372285649099</v>
      </c>
      <c r="G1131" s="25">
        <f>'Combined Retirement'!$C$24</f>
        <v>3254.2644699519233</v>
      </c>
      <c r="H1131" s="25">
        <f>IF(B1131&lt;62,0,'Combined Retirement'!$I$14)</f>
        <v>2345</v>
      </c>
      <c r="I1131" s="25">
        <f>IF(C1131&lt;62,0,'Combined Retirement'!$I$13)</f>
        <v>2420</v>
      </c>
      <c r="J1131" s="25">
        <f t="shared" si="1043"/>
        <v>8395.6297298201844</v>
      </c>
      <c r="K1131" s="25">
        <f t="shared" si="1044"/>
        <v>21655.303514578787</v>
      </c>
      <c r="L1131" s="25"/>
      <c r="N1131" s="25">
        <f>'Combined Retirement'!$C$18/12</f>
        <v>40940.569999999992</v>
      </c>
      <c r="O1131" s="25">
        <f t="shared" si="1045"/>
        <v>10889.636755601023</v>
      </c>
      <c r="P1131" s="25">
        <f t="shared" si="1046"/>
        <v>30050.93324439897</v>
      </c>
      <c r="Q1131" s="25">
        <f t="array" aca="1" ref="Q1131" ca="1">INDEX('Isaac 401k'!L:L,MATCH('Retirement Calculator'!A1131,'Isaac 401k'!N:N,0),0)</f>
        <v>-48663032.713317081</v>
      </c>
      <c r="R1131" s="25">
        <f t="array" aca="1" ref="R1131" ca="1">INDEX('Lorri 401b'!L:L,MATCH('Retirement Calculator'!A1131,'Lorri 401b'!N:N,0),0)</f>
        <v>-84919614.967491761</v>
      </c>
      <c r="S1131" s="25">
        <f t="shared" ca="1" si="1047"/>
        <v>-133582647.68080884</v>
      </c>
    </row>
    <row r="1132" spans="1:19" ht="15.75" customHeight="1" x14ac:dyDescent="0.25">
      <c r="A1132" s="37">
        <v>85408</v>
      </c>
      <c r="B1132" s="398">
        <f t="shared" ref="B1132:C1132" si="1148">($A1132-B$9)/365.25</f>
        <v>151.95619438740587</v>
      </c>
      <c r="C1132" s="398">
        <f t="shared" si="1148"/>
        <v>147.34565366187542</v>
      </c>
      <c r="E1132" s="25">
        <f>IF(C1132&gt;$B$7,0,'Combined Retirement'!$D$13/12)</f>
        <v>0</v>
      </c>
      <c r="F1132" s="25">
        <f>IF(H1132=0,'Combined Retirement'!$D$32,0)+'Combined Retirement'!$B$24</f>
        <v>2870.372285649099</v>
      </c>
      <c r="G1132" s="25">
        <f>'Combined Retirement'!$C$24</f>
        <v>3254.2644699519233</v>
      </c>
      <c r="H1132" s="25">
        <f>IF(B1132&lt;62,0,'Combined Retirement'!$I$14)</f>
        <v>2345</v>
      </c>
      <c r="I1132" s="25">
        <f>IF(C1132&lt;62,0,'Combined Retirement'!$I$13)</f>
        <v>2420</v>
      </c>
      <c r="J1132" s="25">
        <f t="shared" si="1043"/>
        <v>8395.6297298201844</v>
      </c>
      <c r="K1132" s="25">
        <f t="shared" si="1044"/>
        <v>21655.303514578787</v>
      </c>
      <c r="L1132" s="25"/>
      <c r="N1132" s="25">
        <f>'Combined Retirement'!$C$18/12</f>
        <v>40940.569999999992</v>
      </c>
      <c r="O1132" s="25">
        <f t="shared" si="1045"/>
        <v>10889.636755601023</v>
      </c>
      <c r="P1132" s="25">
        <f t="shared" si="1046"/>
        <v>30050.93324439897</v>
      </c>
      <c r="Q1132" s="25">
        <f t="array" aca="1" ref="Q1132" ca="1">INDEX('Isaac 401k'!L:L,MATCH('Retirement Calculator'!A1132,'Isaac 401k'!N:N,0),0)</f>
        <v>-48874225.961142935</v>
      </c>
      <c r="R1132" s="25">
        <f t="array" aca="1" ref="R1132" ca="1">INDEX('Lorri 401b'!L:L,MATCH('Retirement Calculator'!A1132,'Lorri 401b'!N:N,0),0)</f>
        <v>-85295192.230468869</v>
      </c>
      <c r="S1132" s="25">
        <f t="shared" ca="1" si="1047"/>
        <v>-134169418.1916118</v>
      </c>
    </row>
    <row r="1133" spans="1:19" ht="15.75" customHeight="1" x14ac:dyDescent="0.25">
      <c r="A1133" s="37">
        <v>85438</v>
      </c>
      <c r="B1133" s="398">
        <f t="shared" ref="B1133:C1133" si="1149">($A1133-B$9)/365.25</f>
        <v>152.03832991101984</v>
      </c>
      <c r="C1133" s="398">
        <f t="shared" si="1149"/>
        <v>147.42778918548939</v>
      </c>
      <c r="E1133" s="25">
        <f>IF(C1133&gt;$B$7,0,'Combined Retirement'!$D$13/12)</f>
        <v>0</v>
      </c>
      <c r="F1133" s="25">
        <f>IF(H1133=0,'Combined Retirement'!$D$32,0)+'Combined Retirement'!$B$24</f>
        <v>2870.372285649099</v>
      </c>
      <c r="G1133" s="25">
        <f>'Combined Retirement'!$C$24</f>
        <v>3254.2644699519233</v>
      </c>
      <c r="H1133" s="25">
        <f>IF(B1133&lt;62,0,'Combined Retirement'!$I$14)</f>
        <v>2345</v>
      </c>
      <c r="I1133" s="25">
        <f>IF(C1133&lt;62,0,'Combined Retirement'!$I$13)</f>
        <v>2420</v>
      </c>
      <c r="J1133" s="25">
        <f t="shared" si="1043"/>
        <v>8395.6297298201844</v>
      </c>
      <c r="K1133" s="25">
        <f t="shared" si="1044"/>
        <v>21655.303514578787</v>
      </c>
      <c r="L1133" s="25"/>
      <c r="N1133" s="25">
        <f>'Combined Retirement'!$C$18/12</f>
        <v>40940.569999999992</v>
      </c>
      <c r="O1133" s="25">
        <f t="shared" si="1045"/>
        <v>10889.636755601023</v>
      </c>
      <c r="P1133" s="25">
        <f t="shared" si="1046"/>
        <v>30050.93324439897</v>
      </c>
      <c r="Q1133" s="25">
        <f t="array" aca="1" ref="Q1133" ca="1">INDEX('Isaac 401k'!L:L,MATCH('Retirement Calculator'!A1133,'Isaac 401k'!N:N,0),0)</f>
        <v>-49086299.180834725</v>
      </c>
      <c r="R1133" s="25">
        <f t="array" aca="1" ref="R1133" ca="1">INDEX('Lorri 401b'!L:L,MATCH('Retirement Calculator'!A1133,'Lorri 401b'!N:N,0),0)</f>
        <v>-85672334.398708388</v>
      </c>
      <c r="S1133" s="25">
        <f t="shared" ca="1" si="1047"/>
        <v>-134758633.57954311</v>
      </c>
    </row>
    <row r="1134" spans="1:19" ht="15.75" customHeight="1" x14ac:dyDescent="0.25">
      <c r="A1134" s="37">
        <v>85469</v>
      </c>
      <c r="B1134" s="398">
        <f t="shared" ref="B1134:C1134" si="1150">($A1134-B$9)/365.25</f>
        <v>152.12320328542094</v>
      </c>
      <c r="C1134" s="398">
        <f t="shared" si="1150"/>
        <v>147.51266255989049</v>
      </c>
      <c r="E1134" s="25">
        <f>IF(C1134&gt;$B$7,0,'Combined Retirement'!$D$13/12)</f>
        <v>0</v>
      </c>
      <c r="F1134" s="25">
        <f>IF(H1134=0,'Combined Retirement'!$D$32,0)+'Combined Retirement'!$B$24</f>
        <v>2870.372285649099</v>
      </c>
      <c r="G1134" s="25">
        <f>'Combined Retirement'!$C$24</f>
        <v>3254.2644699519233</v>
      </c>
      <c r="H1134" s="25">
        <f>IF(B1134&lt;62,0,'Combined Retirement'!$I$14)</f>
        <v>2345</v>
      </c>
      <c r="I1134" s="25">
        <f>IF(C1134&lt;62,0,'Combined Retirement'!$I$13)</f>
        <v>2420</v>
      </c>
      <c r="J1134" s="25">
        <f t="shared" si="1043"/>
        <v>8395.6297298201844</v>
      </c>
      <c r="K1134" s="25">
        <f t="shared" si="1044"/>
        <v>21655.303514578787</v>
      </c>
      <c r="L1134" s="25"/>
      <c r="N1134" s="25">
        <f>'Combined Retirement'!$C$18/12</f>
        <v>40940.569999999992</v>
      </c>
      <c r="O1134" s="25">
        <f t="shared" si="1045"/>
        <v>10889.636755601023</v>
      </c>
      <c r="P1134" s="25">
        <f t="shared" si="1046"/>
        <v>30050.93324439897</v>
      </c>
      <c r="Q1134" s="25">
        <f t="array" aca="1" ref="Q1134" ca="1">INDEX('Isaac 401k'!L:L,MATCH('Retirement Calculator'!A1134,'Isaac 401k'!N:N,0),0)</f>
        <v>-49299256.038941897</v>
      </c>
      <c r="R1134" s="25">
        <f t="array" aca="1" ref="R1134" ca="1">INDEX('Lorri 401b'!L:L,MATCH('Retirement Calculator'!A1134,'Lorri 401b'!N:N,0),0)</f>
        <v>-86051047.9926489</v>
      </c>
      <c r="S1134" s="25">
        <f t="shared" ca="1" si="1047"/>
        <v>-135350304.03159079</v>
      </c>
    </row>
    <row r="1135" spans="1:19" ht="15.75" customHeight="1" x14ac:dyDescent="0.25">
      <c r="A1135" s="37">
        <v>85500</v>
      </c>
      <c r="B1135" s="398">
        <f t="shared" ref="B1135:C1135" si="1151">($A1135-B$9)/365.25</f>
        <v>152.20807665982204</v>
      </c>
      <c r="C1135" s="398">
        <f t="shared" si="1151"/>
        <v>147.59753593429159</v>
      </c>
      <c r="E1135" s="25">
        <f>IF(C1135&gt;$B$7,0,'Combined Retirement'!$D$13/12)</f>
        <v>0</v>
      </c>
      <c r="F1135" s="25">
        <f>IF(H1135=0,'Combined Retirement'!$D$32,0)+'Combined Retirement'!$B$24</f>
        <v>2870.372285649099</v>
      </c>
      <c r="G1135" s="25">
        <f>'Combined Retirement'!$C$24</f>
        <v>3254.2644699519233</v>
      </c>
      <c r="H1135" s="25">
        <f>IF(B1135&lt;62,0,'Combined Retirement'!$I$14)</f>
        <v>2345</v>
      </c>
      <c r="I1135" s="25">
        <f>IF(C1135&lt;62,0,'Combined Retirement'!$I$13)</f>
        <v>2420</v>
      </c>
      <c r="J1135" s="25">
        <f t="shared" si="1043"/>
        <v>8395.6297298201844</v>
      </c>
      <c r="K1135" s="25">
        <f t="shared" si="1044"/>
        <v>21655.303514578787</v>
      </c>
      <c r="L1135" s="25"/>
      <c r="N1135" s="25">
        <f>'Combined Retirement'!$C$18/12</f>
        <v>40940.569999999992</v>
      </c>
      <c r="O1135" s="25">
        <f t="shared" si="1045"/>
        <v>10889.636755601023</v>
      </c>
      <c r="P1135" s="25">
        <f t="shared" si="1046"/>
        <v>30050.93324439897</v>
      </c>
      <c r="Q1135" s="25">
        <f t="array" aca="1" ref="Q1135" ca="1">INDEX('Isaac 401k'!L:L,MATCH('Retirement Calculator'!A1135,'Isaac 401k'!N:N,0),0)</f>
        <v>-49513100.217291184</v>
      </c>
      <c r="R1135" s="25">
        <f t="array" aca="1" ref="R1135" ca="1">INDEX('Lorri 401b'!L:L,MATCH('Retirement Calculator'!A1135,'Lorri 401b'!N:N,0),0)</f>
        <v>-86431339.559897497</v>
      </c>
      <c r="S1135" s="25">
        <f t="shared" ca="1" si="1047"/>
        <v>-135944439.77718869</v>
      </c>
    </row>
    <row r="1136" spans="1:19" ht="15.75" customHeight="1" x14ac:dyDescent="0.25">
      <c r="A1136" s="37">
        <v>85528</v>
      </c>
      <c r="B1136" s="398">
        <f t="shared" ref="B1136:C1136" si="1152">($A1136-B$9)/365.25</f>
        <v>152.28473648186173</v>
      </c>
      <c r="C1136" s="398">
        <f t="shared" si="1152"/>
        <v>147.67419575633127</v>
      </c>
      <c r="E1136" s="25">
        <f>IF(C1136&gt;$B$7,0,'Combined Retirement'!$D$13/12)</f>
        <v>0</v>
      </c>
      <c r="F1136" s="25">
        <f>IF(H1136=0,'Combined Retirement'!$D$32,0)+'Combined Retirement'!$B$24</f>
        <v>2870.372285649099</v>
      </c>
      <c r="G1136" s="25">
        <f>'Combined Retirement'!$C$24</f>
        <v>3254.2644699519233</v>
      </c>
      <c r="H1136" s="25">
        <f>IF(B1136&lt;62,0,'Combined Retirement'!$I$14)</f>
        <v>2345</v>
      </c>
      <c r="I1136" s="25">
        <f>IF(C1136&lt;62,0,'Combined Retirement'!$I$13)</f>
        <v>2420</v>
      </c>
      <c r="J1136" s="25">
        <f t="shared" si="1043"/>
        <v>8395.6297298201844</v>
      </c>
      <c r="K1136" s="25">
        <f t="shared" si="1044"/>
        <v>21655.303514578787</v>
      </c>
      <c r="L1136" s="25"/>
      <c r="N1136" s="25">
        <f>'Combined Retirement'!$C$18/12</f>
        <v>40940.569999999992</v>
      </c>
      <c r="O1136" s="25">
        <f t="shared" si="1045"/>
        <v>10889.636755601023</v>
      </c>
      <c r="P1136" s="25">
        <f t="shared" si="1046"/>
        <v>30050.93324439897</v>
      </c>
      <c r="Q1136" s="25">
        <f t="array" aca="1" ref="Q1136" ca="1">INDEX('Isaac 401k'!L:L,MATCH('Retirement Calculator'!A1136,'Isaac 401k'!N:N,0),0)</f>
        <v>-49727835.413050257</v>
      </c>
      <c r="R1136" s="25">
        <f t="array" aca="1" ref="R1136" ca="1">INDEX('Lorri 401b'!L:L,MATCH('Retirement Calculator'!A1136,'Lorri 401b'!N:N,0),0)</f>
        <v>-86813215.675342962</v>
      </c>
      <c r="S1136" s="25">
        <f t="shared" ca="1" si="1047"/>
        <v>-136541051.08839321</v>
      </c>
    </row>
    <row r="1137" spans="1:19" ht="15.75" customHeight="1" x14ac:dyDescent="0.25">
      <c r="A1137" s="37">
        <v>85559</v>
      </c>
      <c r="B1137" s="398">
        <f t="shared" ref="B1137:C1137" si="1153">($A1137-B$9)/365.25</f>
        <v>152.36960985626283</v>
      </c>
      <c r="C1137" s="398">
        <f t="shared" si="1153"/>
        <v>147.75906913073237</v>
      </c>
      <c r="E1137" s="25">
        <f>IF(C1137&gt;$B$7,0,'Combined Retirement'!$D$13/12)</f>
        <v>0</v>
      </c>
      <c r="F1137" s="25">
        <f>IF(H1137=0,'Combined Retirement'!$D$32,0)+'Combined Retirement'!$B$24</f>
        <v>2870.372285649099</v>
      </c>
      <c r="G1137" s="25">
        <f>'Combined Retirement'!$C$24</f>
        <v>3254.2644699519233</v>
      </c>
      <c r="H1137" s="25">
        <f>IF(B1137&lt;62,0,'Combined Retirement'!$I$14)</f>
        <v>2345</v>
      </c>
      <c r="I1137" s="25">
        <f>IF(C1137&lt;62,0,'Combined Retirement'!$I$13)</f>
        <v>2420</v>
      </c>
      <c r="J1137" s="25">
        <f t="shared" si="1043"/>
        <v>8395.6297298201844</v>
      </c>
      <c r="K1137" s="25">
        <f t="shared" si="1044"/>
        <v>21655.303514578787</v>
      </c>
      <c r="L1137" s="25"/>
      <c r="N1137" s="25">
        <f>'Combined Retirement'!$C$18/12</f>
        <v>40940.569999999992</v>
      </c>
      <c r="O1137" s="25">
        <f t="shared" si="1045"/>
        <v>10889.636755601023</v>
      </c>
      <c r="P1137" s="25">
        <f t="shared" si="1046"/>
        <v>30050.93324439897</v>
      </c>
      <c r="Q1137" s="25">
        <f t="array" aca="1" ref="Q1137" ca="1">INDEX('Isaac 401k'!L:L,MATCH('Retirement Calculator'!A1137,'Isaac 401k'!N:N,0),0)</f>
        <v>-49943465.338791661</v>
      </c>
      <c r="R1137" s="25">
        <f t="array" aca="1" ref="R1137" ca="1">INDEX('Lorri 401b'!L:L,MATCH('Retirement Calculator'!A1137,'Lorri 401b'!N:N,0),0)</f>
        <v>-87196682.941269457</v>
      </c>
      <c r="S1137" s="25">
        <f t="shared" ca="1" si="1047"/>
        <v>-137140148.28006113</v>
      </c>
    </row>
    <row r="1138" spans="1:19" ht="15.75" customHeight="1" x14ac:dyDescent="0.25">
      <c r="A1138" s="37">
        <v>85589</v>
      </c>
      <c r="B1138" s="398">
        <f t="shared" ref="B1138:C1138" si="1154">($A1138-B$9)/365.25</f>
        <v>152.4517453798768</v>
      </c>
      <c r="C1138" s="398">
        <f t="shared" si="1154"/>
        <v>147.84120465434634</v>
      </c>
      <c r="E1138" s="25">
        <f>IF(C1138&gt;$B$7,0,'Combined Retirement'!$D$13/12)</f>
        <v>0</v>
      </c>
      <c r="F1138" s="25">
        <f>IF(H1138=0,'Combined Retirement'!$D$32,0)+'Combined Retirement'!$B$24</f>
        <v>2870.372285649099</v>
      </c>
      <c r="G1138" s="25">
        <f>'Combined Retirement'!$C$24</f>
        <v>3254.2644699519233</v>
      </c>
      <c r="H1138" s="25">
        <f>IF(B1138&lt;62,0,'Combined Retirement'!$I$14)</f>
        <v>2345</v>
      </c>
      <c r="I1138" s="25">
        <f>IF(C1138&lt;62,0,'Combined Retirement'!$I$13)</f>
        <v>2420</v>
      </c>
      <c r="J1138" s="25">
        <f t="shared" si="1043"/>
        <v>8395.6297298201844</v>
      </c>
      <c r="K1138" s="25">
        <f t="shared" si="1044"/>
        <v>21655.303514578787</v>
      </c>
      <c r="L1138" s="25"/>
      <c r="N1138" s="25">
        <f>'Combined Retirement'!$C$18/12</f>
        <v>40940.569999999992</v>
      </c>
      <c r="O1138" s="25">
        <f t="shared" si="1045"/>
        <v>10889.636755601023</v>
      </c>
      <c r="P1138" s="25">
        <f t="shared" si="1046"/>
        <v>30050.93324439897</v>
      </c>
      <c r="Q1138" s="25">
        <f t="array" aca="1" ref="Q1138" ca="1">INDEX('Isaac 401k'!L:L,MATCH('Retirement Calculator'!A1138,'Isaac 401k'!N:N,0),0)</f>
        <v>-50159993.722556986</v>
      </c>
      <c r="R1138" s="25">
        <f t="array" aca="1" ref="R1138" ca="1">INDEX('Lorri 401b'!L:L,MATCH('Retirement Calculator'!A1138,'Lorri 401b'!N:N,0),0)</f>
        <v>-87581747.987470642</v>
      </c>
      <c r="S1138" s="25">
        <f t="shared" ca="1" si="1047"/>
        <v>-137741741.71002764</v>
      </c>
    </row>
    <row r="1139" spans="1:19" ht="15.75" customHeight="1" x14ac:dyDescent="0.25">
      <c r="A1139" s="37">
        <v>85620</v>
      </c>
      <c r="B1139" s="398">
        <f t="shared" ref="B1139:C1139" si="1155">($A1139-B$9)/365.25</f>
        <v>152.5366187542779</v>
      </c>
      <c r="C1139" s="398">
        <f t="shared" si="1155"/>
        <v>147.92607802874744</v>
      </c>
      <c r="E1139" s="25">
        <f>IF(C1139&gt;$B$7,0,'Combined Retirement'!$D$13/12)</f>
        <v>0</v>
      </c>
      <c r="F1139" s="25">
        <f>IF(H1139=0,'Combined Retirement'!$D$32,0)+'Combined Retirement'!$B$24</f>
        <v>2870.372285649099</v>
      </c>
      <c r="G1139" s="25">
        <f>'Combined Retirement'!$C$24</f>
        <v>3254.2644699519233</v>
      </c>
      <c r="H1139" s="25">
        <f>IF(B1139&lt;62,0,'Combined Retirement'!$I$14)</f>
        <v>2345</v>
      </c>
      <c r="I1139" s="25">
        <f>IF(C1139&lt;62,0,'Combined Retirement'!$I$13)</f>
        <v>2420</v>
      </c>
      <c r="J1139" s="25">
        <f t="shared" si="1043"/>
        <v>8395.6297298201844</v>
      </c>
      <c r="K1139" s="25">
        <f t="shared" si="1044"/>
        <v>21655.303514578787</v>
      </c>
      <c r="L1139" s="25"/>
      <c r="N1139" s="25">
        <f>'Combined Retirement'!$C$18/12</f>
        <v>40940.569999999992</v>
      </c>
      <c r="O1139" s="25">
        <f t="shared" si="1045"/>
        <v>10889.636755601023</v>
      </c>
      <c r="P1139" s="25">
        <f t="shared" si="1046"/>
        <v>30050.93324439897</v>
      </c>
      <c r="Q1139" s="25">
        <f t="array" aca="1" ref="Q1139" ca="1">INDEX('Isaac 401k'!L:L,MATCH('Retirement Calculator'!A1139,'Isaac 401k'!N:N,0),0)</f>
        <v>-50377424.307921335</v>
      </c>
      <c r="R1139" s="25">
        <f t="array" aca="1" ref="R1139" ca="1">INDEX('Lorri 401b'!L:L,MATCH('Retirement Calculator'!A1139,'Lorri 401b'!N:N,0),0)</f>
        <v>-87968417.471364334</v>
      </c>
      <c r="S1139" s="25">
        <f t="shared" ca="1" si="1047"/>
        <v>-138345841.77928567</v>
      </c>
    </row>
    <row r="1140" spans="1:19" ht="15.75" customHeight="1" x14ac:dyDescent="0.25">
      <c r="A1140" s="37">
        <v>85650</v>
      </c>
      <c r="B1140" s="398">
        <f t="shared" ref="B1140:C1140" si="1156">($A1140-B$9)/365.25</f>
        <v>152.61875427789187</v>
      </c>
      <c r="C1140" s="398">
        <f t="shared" si="1156"/>
        <v>148.00821355236138</v>
      </c>
      <c r="E1140" s="25">
        <f>IF(C1140&gt;$B$7,0,'Combined Retirement'!$D$13/12)</f>
        <v>0</v>
      </c>
      <c r="F1140" s="25">
        <f>IF(H1140=0,'Combined Retirement'!$D$32,0)+'Combined Retirement'!$B$24</f>
        <v>2870.372285649099</v>
      </c>
      <c r="G1140" s="25">
        <f>'Combined Retirement'!$C$24</f>
        <v>3254.2644699519233</v>
      </c>
      <c r="H1140" s="25">
        <f>IF(B1140&lt;62,0,'Combined Retirement'!$I$14)</f>
        <v>2345</v>
      </c>
      <c r="I1140" s="25">
        <f>IF(C1140&lt;62,0,'Combined Retirement'!$I$13)</f>
        <v>2420</v>
      </c>
      <c r="J1140" s="25">
        <f t="shared" si="1043"/>
        <v>8395.6297298201844</v>
      </c>
      <c r="K1140" s="25">
        <f t="shared" si="1044"/>
        <v>21655.303514578787</v>
      </c>
      <c r="L1140" s="25"/>
      <c r="N1140" s="25">
        <f>'Combined Retirement'!$C$18/12</f>
        <v>40940.569999999992</v>
      </c>
      <c r="O1140" s="25">
        <f t="shared" si="1045"/>
        <v>10889.636755601023</v>
      </c>
      <c r="P1140" s="25">
        <f t="shared" si="1046"/>
        <v>30050.93324439897</v>
      </c>
      <c r="Q1140" s="25">
        <f t="array" aca="1" ref="Q1140" ca="1">INDEX('Isaac 401k'!L:L,MATCH('Retirement Calculator'!A1140,'Isaac 401k'!N:N,0),0)</f>
        <v>-50595760.854058035</v>
      </c>
      <c r="R1140" s="25">
        <f t="array" aca="1" ref="R1140" ca="1">INDEX('Lorri 401b'!L:L,MATCH('Retirement Calculator'!A1140,'Lorri 401b'!N:N,0),0)</f>
        <v>-88356698.078107581</v>
      </c>
      <c r="S1140" s="25">
        <f t="shared" ca="1" si="1047"/>
        <v>-138952458.93216562</v>
      </c>
    </row>
    <row r="1141" spans="1:19" ht="15.75" customHeight="1" x14ac:dyDescent="0.25">
      <c r="A1141" s="37">
        <v>85681</v>
      </c>
      <c r="B1141" s="398">
        <f t="shared" ref="B1141:C1141" si="1157">($A1141-B$9)/365.25</f>
        <v>152.70362765229294</v>
      </c>
      <c r="C1141" s="398">
        <f t="shared" si="1157"/>
        <v>148.09308692676248</v>
      </c>
      <c r="E1141" s="25">
        <f>IF(C1141&gt;$B$7,0,'Combined Retirement'!$D$13/12)</f>
        <v>0</v>
      </c>
      <c r="F1141" s="25">
        <f>IF(H1141=0,'Combined Retirement'!$D$32,0)+'Combined Retirement'!$B$24</f>
        <v>2870.372285649099</v>
      </c>
      <c r="G1141" s="25">
        <f>'Combined Retirement'!$C$24</f>
        <v>3254.2644699519233</v>
      </c>
      <c r="H1141" s="25">
        <f>IF(B1141&lt;62,0,'Combined Retirement'!$I$14)</f>
        <v>2345</v>
      </c>
      <c r="I1141" s="25">
        <f>IF(C1141&lt;62,0,'Combined Retirement'!$I$13)</f>
        <v>2420</v>
      </c>
      <c r="J1141" s="25">
        <f t="shared" si="1043"/>
        <v>8395.6297298201844</v>
      </c>
      <c r="K1141" s="25">
        <f t="shared" si="1044"/>
        <v>21655.303514578787</v>
      </c>
      <c r="L1141" s="25"/>
      <c r="N1141" s="25">
        <f>'Combined Retirement'!$C$18/12</f>
        <v>40940.569999999992</v>
      </c>
      <c r="O1141" s="25">
        <f t="shared" si="1045"/>
        <v>10889.636755601023</v>
      </c>
      <c r="P1141" s="25">
        <f t="shared" si="1046"/>
        <v>30050.93324439897</v>
      </c>
      <c r="Q1141" s="25">
        <f t="array" aca="1" ref="Q1141" ca="1">INDEX('Isaac 401k'!L:L,MATCH('Retirement Calculator'!A1141,'Isaac 401k'!N:N,0),0)</f>
        <v>-50815007.13580364</v>
      </c>
      <c r="R1141" s="25">
        <f t="array" aca="1" ref="R1141" ca="1">INDEX('Lorri 401b'!L:L,MATCH('Retirement Calculator'!A1141,'Lorri 401b'!N:N,0),0)</f>
        <v>-88746596.520712256</v>
      </c>
      <c r="S1141" s="25">
        <f t="shared" ca="1" si="1047"/>
        <v>-139561603.6565159</v>
      </c>
    </row>
    <row r="1142" spans="1:19" ht="15.75" customHeight="1" x14ac:dyDescent="0.25">
      <c r="A1142" s="37">
        <v>85712</v>
      </c>
      <c r="B1142" s="398">
        <f t="shared" ref="B1142:C1142" si="1158">($A1142-B$9)/365.25</f>
        <v>152.78850102669404</v>
      </c>
      <c r="C1142" s="398">
        <f t="shared" si="1158"/>
        <v>148.17796030116358</v>
      </c>
      <c r="E1142" s="25">
        <f>IF(C1142&gt;$B$7,0,'Combined Retirement'!$D$13/12)</f>
        <v>0</v>
      </c>
      <c r="F1142" s="25">
        <f>IF(H1142=0,'Combined Retirement'!$D$32,0)+'Combined Retirement'!$B$24</f>
        <v>2870.372285649099</v>
      </c>
      <c r="G1142" s="25">
        <f>'Combined Retirement'!$C$24</f>
        <v>3254.2644699519233</v>
      </c>
      <c r="H1142" s="25">
        <f>IF(B1142&lt;62,0,'Combined Retirement'!$I$14)</f>
        <v>2345</v>
      </c>
      <c r="I1142" s="25">
        <f>IF(C1142&lt;62,0,'Combined Retirement'!$I$13)</f>
        <v>2420</v>
      </c>
      <c r="J1142" s="25">
        <f t="shared" si="1043"/>
        <v>8395.6297298201844</v>
      </c>
      <c r="K1142" s="25">
        <f t="shared" si="1044"/>
        <v>21655.303514578787</v>
      </c>
      <c r="L1142" s="25"/>
      <c r="N1142" s="25">
        <f>'Combined Retirement'!$C$18/12</f>
        <v>40940.569999999992</v>
      </c>
      <c r="O1142" s="25">
        <f t="shared" si="1045"/>
        <v>10889.636755601023</v>
      </c>
      <c r="P1142" s="25">
        <f t="shared" si="1046"/>
        <v>30050.93324439897</v>
      </c>
      <c r="Q1142" s="25">
        <f t="array" aca="1" ref="Q1142" ca="1">INDEX('Isaac 401k'!L:L,MATCH('Retirement Calculator'!A1142,'Isaac 401k'!N:N,0),0)</f>
        <v>-51035166.943723187</v>
      </c>
      <c r="R1142" s="25">
        <f t="array" aca="1" ref="R1142" ca="1">INDEX('Lorri 401b'!L:L,MATCH('Retirement Calculator'!A1142,'Lorri 401b'!N:N,0),0)</f>
        <v>-89138119.540161118</v>
      </c>
      <c r="S1142" s="25">
        <f t="shared" ca="1" si="1047"/>
        <v>-140173286.4838843</v>
      </c>
    </row>
    <row r="1143" spans="1:19" ht="15.75" customHeight="1" x14ac:dyDescent="0.25">
      <c r="A1143" s="37">
        <v>85742</v>
      </c>
      <c r="B1143" s="398">
        <f t="shared" ref="B1143:C1143" si="1159">($A1143-B$9)/365.25</f>
        <v>152.87063655030801</v>
      </c>
      <c r="C1143" s="398">
        <f t="shared" si="1159"/>
        <v>148.26009582477755</v>
      </c>
      <c r="E1143" s="25">
        <f>IF(C1143&gt;$B$7,0,'Combined Retirement'!$D$13/12)</f>
        <v>0</v>
      </c>
      <c r="F1143" s="25">
        <f>IF(H1143=0,'Combined Retirement'!$D$32,0)+'Combined Retirement'!$B$24</f>
        <v>2870.372285649099</v>
      </c>
      <c r="G1143" s="25">
        <f>'Combined Retirement'!$C$24</f>
        <v>3254.2644699519233</v>
      </c>
      <c r="H1143" s="25">
        <f>IF(B1143&lt;62,0,'Combined Retirement'!$I$14)</f>
        <v>2345</v>
      </c>
      <c r="I1143" s="25">
        <f>IF(C1143&lt;62,0,'Combined Retirement'!$I$13)</f>
        <v>2420</v>
      </c>
      <c r="J1143" s="25">
        <f t="shared" si="1043"/>
        <v>8395.6297298201844</v>
      </c>
      <c r="K1143" s="25">
        <f t="shared" si="1044"/>
        <v>21655.303514578787</v>
      </c>
      <c r="L1143" s="25"/>
      <c r="N1143" s="25">
        <f>'Combined Retirement'!$C$18/12</f>
        <v>40940.569999999992</v>
      </c>
      <c r="O1143" s="25">
        <f t="shared" si="1045"/>
        <v>10889.636755601023</v>
      </c>
      <c r="P1143" s="25">
        <f t="shared" si="1046"/>
        <v>30050.93324439897</v>
      </c>
      <c r="Q1143" s="25">
        <f t="array" aca="1" ref="Q1143" ca="1">INDEX('Isaac 401k'!L:L,MATCH('Retirement Calculator'!A1143,'Isaac 401k'!N:N,0),0)</f>
        <v>-51256244.084175728</v>
      </c>
      <c r="R1143" s="25">
        <f t="array" aca="1" ref="R1143" ca="1">INDEX('Lorri 401b'!L:L,MATCH('Retirement Calculator'!A1143,'Lorri 401b'!N:N,0),0)</f>
        <v>-89531273.905524358</v>
      </c>
      <c r="S1143" s="25">
        <f t="shared" ca="1" si="1047"/>
        <v>-140787517.98970008</v>
      </c>
    </row>
    <row r="1144" spans="1:19" ht="15.75" customHeight="1" x14ac:dyDescent="0.25">
      <c r="A1144" s="37">
        <v>85773</v>
      </c>
      <c r="B1144" s="398">
        <f t="shared" ref="B1144:C1144" si="1160">($A1144-B$9)/365.25</f>
        <v>152.95550992470911</v>
      </c>
      <c r="C1144" s="398">
        <f t="shared" si="1160"/>
        <v>148.34496919917865</v>
      </c>
      <c r="E1144" s="25">
        <f>IF(C1144&gt;$B$7,0,'Combined Retirement'!$D$13/12)</f>
        <v>0</v>
      </c>
      <c r="F1144" s="25">
        <f>IF(H1144=0,'Combined Retirement'!$D$32,0)+'Combined Retirement'!$B$24</f>
        <v>2870.372285649099</v>
      </c>
      <c r="G1144" s="25">
        <f>'Combined Retirement'!$C$24</f>
        <v>3254.2644699519233</v>
      </c>
      <c r="H1144" s="25">
        <f>IF(B1144&lt;62,0,'Combined Retirement'!$I$14)</f>
        <v>2345</v>
      </c>
      <c r="I1144" s="25">
        <f>IF(C1144&lt;62,0,'Combined Retirement'!$I$13)</f>
        <v>2420</v>
      </c>
      <c r="J1144" s="25">
        <f t="shared" si="1043"/>
        <v>8395.6297298201844</v>
      </c>
      <c r="K1144" s="25">
        <f t="shared" si="1044"/>
        <v>21655.303514578787</v>
      </c>
      <c r="L1144" s="25"/>
      <c r="N1144" s="25">
        <f>'Combined Retirement'!$C$18/12</f>
        <v>40940.569999999992</v>
      </c>
      <c r="O1144" s="25">
        <f t="shared" si="1045"/>
        <v>10889.636755601023</v>
      </c>
      <c r="P1144" s="25">
        <f t="shared" si="1046"/>
        <v>30050.93324439897</v>
      </c>
      <c r="Q1144" s="25">
        <f t="array" aca="1" ref="Q1144" ca="1">INDEX('Isaac 401k'!L:L,MATCH('Retirement Calculator'!A1144,'Isaac 401k'!N:N,0),0)</f>
        <v>-51478242.379380159</v>
      </c>
      <c r="R1144" s="25">
        <f t="array" aca="1" ref="R1144" ca="1">INDEX('Lorri 401b'!L:L,MATCH('Retirement Calculator'!A1144,'Lorri 401b'!N:N,0),0)</f>
        <v>-89926066.414076611</v>
      </c>
      <c r="S1144" s="25">
        <f t="shared" ca="1" si="1047"/>
        <v>-141404308.79345676</v>
      </c>
    </row>
    <row r="1145" spans="1:19" ht="15.75" customHeight="1" x14ac:dyDescent="0.25">
      <c r="A1145" s="37">
        <v>85803</v>
      </c>
      <c r="B1145" s="398">
        <f t="shared" ref="B1145:C1145" si="1161">($A1145-B$9)/365.25</f>
        <v>153.03764544832308</v>
      </c>
      <c r="C1145" s="398">
        <f t="shared" si="1161"/>
        <v>148.42710472279262</v>
      </c>
      <c r="E1145" s="25">
        <f>IF(C1145&gt;$B$7,0,'Combined Retirement'!$D$13/12)</f>
        <v>0</v>
      </c>
      <c r="F1145" s="25">
        <f>IF(H1145=0,'Combined Retirement'!$D$32,0)+'Combined Retirement'!$B$24</f>
        <v>2870.372285649099</v>
      </c>
      <c r="G1145" s="25">
        <f>'Combined Retirement'!$C$24</f>
        <v>3254.2644699519233</v>
      </c>
      <c r="H1145" s="25">
        <f>IF(B1145&lt;62,0,'Combined Retirement'!$I$14)</f>
        <v>2345</v>
      </c>
      <c r="I1145" s="25">
        <f>IF(C1145&lt;62,0,'Combined Retirement'!$I$13)</f>
        <v>2420</v>
      </c>
      <c r="J1145" s="25">
        <f t="shared" si="1043"/>
        <v>8395.6297298201844</v>
      </c>
      <c r="K1145" s="25">
        <f t="shared" si="1044"/>
        <v>21655.303514578787</v>
      </c>
      <c r="L1145" s="25"/>
      <c r="N1145" s="25">
        <f>'Combined Retirement'!$C$18/12</f>
        <v>40940.569999999992</v>
      </c>
      <c r="O1145" s="25">
        <f t="shared" si="1045"/>
        <v>10889.636755601023</v>
      </c>
      <c r="P1145" s="25">
        <f t="shared" si="1046"/>
        <v>30050.93324439897</v>
      </c>
      <c r="Q1145" s="25">
        <f t="array" aca="1" ref="Q1145" ca="1">INDEX('Isaac 401k'!L:L,MATCH('Retirement Calculator'!A1145,'Isaac 401k'!N:N,0),0)</f>
        <v>-51701165.667481273</v>
      </c>
      <c r="R1145" s="25">
        <f t="array" aca="1" ref="R1145" ca="1">INDEX('Lorri 401b'!L:L,MATCH('Retirement Calculator'!A1145,'Lorri 401b'!N:N,0),0)</f>
        <v>-90322503.891414493</v>
      </c>
      <c r="S1145" s="25">
        <f t="shared" ca="1" si="1047"/>
        <v>-142023669.55889577</v>
      </c>
    </row>
    <row r="1146" spans="1:19" ht="15.75" customHeight="1" x14ac:dyDescent="0.25">
      <c r="A1146" s="37">
        <v>85834</v>
      </c>
      <c r="B1146" s="398">
        <f t="shared" ref="B1146:C1146" si="1162">($A1146-B$9)/365.25</f>
        <v>153.12251882272417</v>
      </c>
      <c r="C1146" s="398">
        <f t="shared" si="1162"/>
        <v>148.51197809719369</v>
      </c>
      <c r="E1146" s="25">
        <f>IF(C1146&gt;$B$7,0,'Combined Retirement'!$D$13/12)</f>
        <v>0</v>
      </c>
      <c r="F1146" s="25">
        <f>IF(H1146=0,'Combined Retirement'!$D$32,0)+'Combined Retirement'!$B$24</f>
        <v>2870.372285649099</v>
      </c>
      <c r="G1146" s="25">
        <f>'Combined Retirement'!$C$24</f>
        <v>3254.2644699519233</v>
      </c>
      <c r="H1146" s="25">
        <f>IF(B1146&lt;62,0,'Combined Retirement'!$I$14)</f>
        <v>2345</v>
      </c>
      <c r="I1146" s="25">
        <f>IF(C1146&lt;62,0,'Combined Retirement'!$I$13)</f>
        <v>2420</v>
      </c>
      <c r="J1146" s="25">
        <f t="shared" si="1043"/>
        <v>8395.6297298201844</v>
      </c>
      <c r="K1146" s="25">
        <f t="shared" si="1044"/>
        <v>21655.303514578787</v>
      </c>
      <c r="L1146" s="25"/>
      <c r="N1146" s="25">
        <f>'Combined Retirement'!$C$18/12</f>
        <v>40940.569999999992</v>
      </c>
      <c r="O1146" s="25">
        <f t="shared" si="1045"/>
        <v>10889.636755601023</v>
      </c>
      <c r="P1146" s="25">
        <f t="shared" si="1046"/>
        <v>30050.93324439897</v>
      </c>
      <c r="Q1146" s="25">
        <f t="array" aca="1" ref="Q1146" ca="1">INDEX('Isaac 401k'!L:L,MATCH('Retirement Calculator'!A1146,'Isaac 401k'!N:N,0),0)</f>
        <v>-51925017.802616142</v>
      </c>
      <c r="R1146" s="25">
        <f t="array" aca="1" ref="R1146" ca="1">INDEX('Lorri 401b'!L:L,MATCH('Retirement Calculator'!A1146,'Lorri 401b'!N:N,0),0)</f>
        <v>-90720593.191574618</v>
      </c>
      <c r="S1146" s="25">
        <f t="shared" ca="1" si="1047"/>
        <v>-142645610.99419075</v>
      </c>
    </row>
    <row r="1147" spans="1:19" ht="15.75" customHeight="1" x14ac:dyDescent="0.25">
      <c r="A1147" s="37">
        <v>85865</v>
      </c>
      <c r="B1147" s="398">
        <f t="shared" ref="B1147:C1147" si="1163">($A1147-B$9)/365.25</f>
        <v>153.20739219712524</v>
      </c>
      <c r="C1147" s="398">
        <f t="shared" si="1163"/>
        <v>148.59685147159479</v>
      </c>
      <c r="E1147" s="25">
        <f>IF(C1147&gt;$B$7,0,'Combined Retirement'!$D$13/12)</f>
        <v>0</v>
      </c>
      <c r="F1147" s="25">
        <f>IF(H1147=0,'Combined Retirement'!$D$32,0)+'Combined Retirement'!$B$24</f>
        <v>2870.372285649099</v>
      </c>
      <c r="G1147" s="25">
        <f>'Combined Retirement'!$C$24</f>
        <v>3254.2644699519233</v>
      </c>
      <c r="H1147" s="25">
        <f>IF(B1147&lt;62,0,'Combined Retirement'!$I$14)</f>
        <v>2345</v>
      </c>
      <c r="I1147" s="25">
        <f>IF(C1147&lt;62,0,'Combined Retirement'!$I$13)</f>
        <v>2420</v>
      </c>
      <c r="J1147" s="25">
        <f t="shared" si="1043"/>
        <v>8395.6297298201844</v>
      </c>
      <c r="K1147" s="25">
        <f t="shared" si="1044"/>
        <v>21655.303514578787</v>
      </c>
      <c r="L1147" s="25"/>
      <c r="N1147" s="25">
        <f>'Combined Retirement'!$C$18/12</f>
        <v>40940.569999999992</v>
      </c>
      <c r="O1147" s="25">
        <f t="shared" si="1045"/>
        <v>10889.636755601023</v>
      </c>
      <c r="P1147" s="25">
        <f t="shared" si="1046"/>
        <v>30050.93324439897</v>
      </c>
      <c r="Q1147" s="25">
        <f t="array" aca="1" ref="Q1147" ca="1">INDEX('Isaac 401k'!L:L,MATCH('Retirement Calculator'!A1147,'Isaac 401k'!N:N,0),0)</f>
        <v>-52149802.654980741</v>
      </c>
      <c r="R1147" s="25">
        <f t="array" aca="1" ref="R1147" ca="1">INDEX('Lorri 401b'!L:L,MATCH('Retirement Calculator'!A1147,'Lorri 401b'!N:N,0),0)</f>
        <v>-91120341.197152078</v>
      </c>
      <c r="S1147" s="25">
        <f t="shared" ca="1" si="1047"/>
        <v>-143270143.85213283</v>
      </c>
    </row>
    <row r="1148" spans="1:19" ht="15.75" customHeight="1" x14ac:dyDescent="0.25">
      <c r="A1148" s="37">
        <v>85893</v>
      </c>
      <c r="B1148" s="398">
        <f t="shared" ref="B1148:C1148" si="1164">($A1148-B$9)/365.25</f>
        <v>153.28405201916496</v>
      </c>
      <c r="C1148" s="398">
        <f t="shared" si="1164"/>
        <v>148.6735112936345</v>
      </c>
      <c r="E1148" s="25">
        <f>IF(C1148&gt;$B$7,0,'Combined Retirement'!$D$13/12)</f>
        <v>0</v>
      </c>
      <c r="F1148" s="25">
        <f>IF(H1148=0,'Combined Retirement'!$D$32,0)+'Combined Retirement'!$B$24</f>
        <v>2870.372285649099</v>
      </c>
      <c r="G1148" s="25">
        <f>'Combined Retirement'!$C$24</f>
        <v>3254.2644699519233</v>
      </c>
      <c r="H1148" s="25">
        <f>IF(B1148&lt;62,0,'Combined Retirement'!$I$14)</f>
        <v>2345</v>
      </c>
      <c r="I1148" s="25">
        <f>IF(C1148&lt;62,0,'Combined Retirement'!$I$13)</f>
        <v>2420</v>
      </c>
      <c r="J1148" s="25">
        <f t="shared" si="1043"/>
        <v>8395.6297298201844</v>
      </c>
      <c r="K1148" s="25">
        <f t="shared" si="1044"/>
        <v>21655.303514578787</v>
      </c>
      <c r="L1148" s="25"/>
      <c r="N1148" s="25">
        <f>'Combined Retirement'!$C$18/12</f>
        <v>40940.569999999992</v>
      </c>
      <c r="O1148" s="25">
        <f t="shared" si="1045"/>
        <v>10889.636755601023</v>
      </c>
      <c r="P1148" s="25">
        <f t="shared" si="1046"/>
        <v>30050.93324439897</v>
      </c>
      <c r="Q1148" s="25">
        <f t="array" aca="1" ref="Q1148" ca="1">INDEX('Isaac 401k'!L:L,MATCH('Retirement Calculator'!A1148,'Isaac 401k'!N:N,0),0)</f>
        <v>-52375524.110896856</v>
      </c>
      <c r="R1148" s="25">
        <f t="array" aca="1" ref="R1148" ca="1">INDEX('Lorri 401b'!L:L,MATCH('Retirement Calculator'!A1148,'Lorri 401b'!N:N,0),0)</f>
        <v>-91521754.819419444</v>
      </c>
      <c r="S1148" s="25">
        <f t="shared" ca="1" si="1047"/>
        <v>-143897278.9303163</v>
      </c>
    </row>
    <row r="1149" spans="1:19" ht="15.75" customHeight="1" x14ac:dyDescent="0.25">
      <c r="A1149" s="37">
        <v>85924</v>
      </c>
      <c r="B1149" s="398">
        <f t="shared" ref="B1149:C1149" si="1165">($A1149-B$9)/365.25</f>
        <v>153.36892539356606</v>
      </c>
      <c r="C1149" s="398">
        <f t="shared" si="1165"/>
        <v>148.7583846680356</v>
      </c>
      <c r="E1149" s="25">
        <f>IF(C1149&gt;$B$7,0,'Combined Retirement'!$D$13/12)</f>
        <v>0</v>
      </c>
      <c r="F1149" s="25">
        <f>IF(H1149=0,'Combined Retirement'!$D$32,0)+'Combined Retirement'!$B$24</f>
        <v>2870.372285649099</v>
      </c>
      <c r="G1149" s="25">
        <f>'Combined Retirement'!$C$24</f>
        <v>3254.2644699519233</v>
      </c>
      <c r="H1149" s="25">
        <f>IF(B1149&lt;62,0,'Combined Retirement'!$I$14)</f>
        <v>2345</v>
      </c>
      <c r="I1149" s="25">
        <f>IF(C1149&lt;62,0,'Combined Retirement'!$I$13)</f>
        <v>2420</v>
      </c>
      <c r="J1149" s="25">
        <f t="shared" si="1043"/>
        <v>8395.6297298201844</v>
      </c>
      <c r="K1149" s="25">
        <f t="shared" si="1044"/>
        <v>21655.303514578787</v>
      </c>
      <c r="L1149" s="25"/>
      <c r="N1149" s="25">
        <f>'Combined Retirement'!$C$18/12</f>
        <v>40940.569999999992</v>
      </c>
      <c r="O1149" s="25">
        <f t="shared" si="1045"/>
        <v>10889.636755601023</v>
      </c>
      <c r="P1149" s="25">
        <f t="shared" si="1046"/>
        <v>30050.93324439897</v>
      </c>
      <c r="Q1149" s="25">
        <f t="array" aca="1" ref="Q1149" ca="1">INDEX('Isaac 401k'!L:L,MATCH('Retirement Calculator'!A1149,'Isaac 401k'!N:N,0),0)</f>
        <v>-52602186.072879292</v>
      </c>
      <c r="R1149" s="25">
        <f t="array" aca="1" ref="R1149" ca="1">INDEX('Lorri 401b'!L:L,MATCH('Retirement Calculator'!A1149,'Lorri 401b'!N:N,0),0)</f>
        <v>-91924840.998446256</v>
      </c>
      <c r="S1149" s="25">
        <f t="shared" ca="1" si="1047"/>
        <v>-144527027.07132554</v>
      </c>
    </row>
    <row r="1150" spans="1:19" ht="15.75" customHeight="1" x14ac:dyDescent="0.25">
      <c r="A1150" s="37">
        <v>85954</v>
      </c>
      <c r="B1150" s="398">
        <f t="shared" ref="B1150:C1150" si="1166">($A1150-B$9)/365.25</f>
        <v>153.45106091718</v>
      </c>
      <c r="C1150" s="398">
        <f t="shared" si="1166"/>
        <v>148.84052019164955</v>
      </c>
      <c r="E1150" s="25">
        <f>IF(C1150&gt;$B$7,0,'Combined Retirement'!$D$13/12)</f>
        <v>0</v>
      </c>
      <c r="F1150" s="25">
        <f>IF(H1150=0,'Combined Retirement'!$D$32,0)+'Combined Retirement'!$B$24</f>
        <v>2870.372285649099</v>
      </c>
      <c r="G1150" s="25">
        <f>'Combined Retirement'!$C$24</f>
        <v>3254.2644699519233</v>
      </c>
      <c r="H1150" s="25">
        <f>IF(B1150&lt;62,0,'Combined Retirement'!$I$14)</f>
        <v>2345</v>
      </c>
      <c r="I1150" s="25">
        <f>IF(C1150&lt;62,0,'Combined Retirement'!$I$13)</f>
        <v>2420</v>
      </c>
      <c r="J1150" s="25">
        <f t="shared" si="1043"/>
        <v>8395.6297298201844</v>
      </c>
      <c r="K1150" s="25">
        <f t="shared" si="1044"/>
        <v>21655.303514578787</v>
      </c>
      <c r="L1150" s="25"/>
      <c r="N1150" s="25">
        <f>'Combined Retirement'!$C$18/12</f>
        <v>40940.569999999992</v>
      </c>
      <c r="O1150" s="25">
        <f t="shared" si="1045"/>
        <v>10889.636755601023</v>
      </c>
      <c r="P1150" s="25">
        <f t="shared" si="1046"/>
        <v>30050.93324439897</v>
      </c>
      <c r="Q1150" s="25">
        <f t="array" aca="1" ref="Q1150" ca="1">INDEX('Isaac 401k'!L:L,MATCH('Retirement Calculator'!A1150,'Isaac 401k'!N:N,0),0)</f>
        <v>-52829792.459703319</v>
      </c>
      <c r="R1150" s="25">
        <f t="array" aca="1" ref="R1150" ca="1">INDEX('Lorri 401b'!L:L,MATCH('Retirement Calculator'!A1150,'Lorri 401b'!N:N,0),0)</f>
        <v>-92329606.703219011</v>
      </c>
      <c r="S1150" s="25">
        <f t="shared" ca="1" si="1047"/>
        <v>-145159399.16292232</v>
      </c>
    </row>
    <row r="1151" spans="1:19" ht="15.75" customHeight="1" x14ac:dyDescent="0.25">
      <c r="A1151" s="37">
        <v>85985</v>
      </c>
      <c r="B1151" s="398">
        <f t="shared" ref="B1151:C1151" si="1167">($A1151-B$9)/365.25</f>
        <v>153.5359342915811</v>
      </c>
      <c r="C1151" s="398">
        <f t="shared" si="1167"/>
        <v>148.92539356605064</v>
      </c>
      <c r="E1151" s="25">
        <f>IF(C1151&gt;$B$7,0,'Combined Retirement'!$D$13/12)</f>
        <v>0</v>
      </c>
      <c r="F1151" s="25">
        <f>IF(H1151=0,'Combined Retirement'!$D$32,0)+'Combined Retirement'!$B$24</f>
        <v>2870.372285649099</v>
      </c>
      <c r="G1151" s="25">
        <f>'Combined Retirement'!$C$24</f>
        <v>3254.2644699519233</v>
      </c>
      <c r="H1151" s="25">
        <f>IF(B1151&lt;62,0,'Combined Retirement'!$I$14)</f>
        <v>2345</v>
      </c>
      <c r="I1151" s="25">
        <f>IF(C1151&lt;62,0,'Combined Retirement'!$I$13)</f>
        <v>2420</v>
      </c>
      <c r="J1151" s="25">
        <f t="shared" si="1043"/>
        <v>8395.6297298201844</v>
      </c>
      <c r="K1151" s="25">
        <f t="shared" si="1044"/>
        <v>21655.303514578787</v>
      </c>
      <c r="L1151" s="25"/>
      <c r="N1151" s="25">
        <f>'Combined Retirement'!$C$18/12</f>
        <v>40940.569999999992</v>
      </c>
      <c r="O1151" s="25">
        <f t="shared" si="1045"/>
        <v>10889.636755601023</v>
      </c>
      <c r="P1151" s="25">
        <f t="shared" si="1046"/>
        <v>30050.93324439897</v>
      </c>
      <c r="Q1151" s="25">
        <f t="array" aca="1" ref="Q1151" ca="1">INDEX('Isaac 401k'!L:L,MATCH('Retirement Calculator'!A1151,'Isaac 401k'!N:N,0),0)</f>
        <v>-53058347.206472449</v>
      </c>
      <c r="R1151" s="25">
        <f t="array" aca="1" ref="R1151" ca="1">INDEX('Lorri 401b'!L:L,MATCH('Retirement Calculator'!A1151,'Lorri 401b'!N:N,0),0)</f>
        <v>-92736058.931761652</v>
      </c>
      <c r="S1151" s="25">
        <f t="shared" ca="1" si="1047"/>
        <v>-145794406.13823411</v>
      </c>
    </row>
    <row r="1152" spans="1:19" ht="15.75" customHeight="1" x14ac:dyDescent="0.25">
      <c r="A1152" s="37">
        <v>86015</v>
      </c>
      <c r="B1152" s="398">
        <f t="shared" ref="B1152:C1152" si="1168">($A1152-B$9)/365.25</f>
        <v>153.61806981519507</v>
      </c>
      <c r="C1152" s="398">
        <f t="shared" si="1168"/>
        <v>149.00752908966462</v>
      </c>
      <c r="E1152" s="25">
        <f>IF(C1152&gt;$B$7,0,'Combined Retirement'!$D$13/12)</f>
        <v>0</v>
      </c>
      <c r="F1152" s="25">
        <f>IF(H1152=0,'Combined Retirement'!$D$32,0)+'Combined Retirement'!$B$24</f>
        <v>2870.372285649099</v>
      </c>
      <c r="G1152" s="25">
        <f>'Combined Retirement'!$C$24</f>
        <v>3254.2644699519233</v>
      </c>
      <c r="H1152" s="25">
        <f>IF(B1152&lt;62,0,'Combined Retirement'!$I$14)</f>
        <v>2345</v>
      </c>
      <c r="I1152" s="25">
        <f>IF(C1152&lt;62,0,'Combined Retirement'!$I$13)</f>
        <v>2420</v>
      </c>
      <c r="J1152" s="25">
        <f t="shared" si="1043"/>
        <v>8395.6297298201844</v>
      </c>
      <c r="K1152" s="25">
        <f t="shared" si="1044"/>
        <v>21655.303514578787</v>
      </c>
      <c r="L1152" s="25"/>
      <c r="N1152" s="25">
        <f>'Combined Retirement'!$C$18/12</f>
        <v>40940.569999999992</v>
      </c>
      <c r="O1152" s="25">
        <f t="shared" si="1045"/>
        <v>10889.636755601023</v>
      </c>
      <c r="P1152" s="25">
        <f t="shared" si="1046"/>
        <v>30050.93324439897</v>
      </c>
      <c r="Q1152" s="25">
        <f t="array" aca="1" ref="Q1152" ca="1">INDEX('Isaac 401k'!L:L,MATCH('Retirement Calculator'!A1152,'Isaac 401k'!N:N,0),0)</f>
        <v>-53287854.26468645</v>
      </c>
      <c r="R1152" s="25">
        <f t="array" aca="1" ref="R1152" ca="1">INDEX('Lorri 401b'!L:L,MATCH('Retirement Calculator'!A1152,'Lorri 401b'!N:N,0),0)</f>
        <v>-93144204.711256549</v>
      </c>
      <c r="S1152" s="25">
        <f t="shared" ca="1" si="1047"/>
        <v>-146432058.975943</v>
      </c>
    </row>
    <row r="1153" spans="1:19" ht="15.75" customHeight="1" x14ac:dyDescent="0.25">
      <c r="A1153" s="37">
        <v>86046</v>
      </c>
      <c r="B1153" s="398">
        <f t="shared" ref="B1153:C1153" si="1169">($A1153-B$9)/365.25</f>
        <v>153.70294318959617</v>
      </c>
      <c r="C1153" s="398">
        <f t="shared" si="1169"/>
        <v>149.09240246406571</v>
      </c>
      <c r="E1153" s="25">
        <f>IF(C1153&gt;$B$7,0,'Combined Retirement'!$D$13/12)</f>
        <v>0</v>
      </c>
      <c r="F1153" s="25">
        <f>IF(H1153=0,'Combined Retirement'!$D$32,0)+'Combined Retirement'!$B$24</f>
        <v>2870.372285649099</v>
      </c>
      <c r="G1153" s="25">
        <f>'Combined Retirement'!$C$24</f>
        <v>3254.2644699519233</v>
      </c>
      <c r="H1153" s="25">
        <f>IF(B1153&lt;62,0,'Combined Retirement'!$I$14)</f>
        <v>2345</v>
      </c>
      <c r="I1153" s="25">
        <f>IF(C1153&lt;62,0,'Combined Retirement'!$I$13)</f>
        <v>2420</v>
      </c>
      <c r="J1153" s="25">
        <f t="shared" si="1043"/>
        <v>8395.6297298201844</v>
      </c>
      <c r="K1153" s="25">
        <f t="shared" si="1044"/>
        <v>21655.303514578787</v>
      </c>
      <c r="L1153" s="25"/>
      <c r="N1153" s="25">
        <f>'Combined Retirement'!$C$18/12</f>
        <v>40940.569999999992</v>
      </c>
      <c r="O1153" s="25">
        <f t="shared" si="1045"/>
        <v>10889.636755601023</v>
      </c>
      <c r="P1153" s="25">
        <f t="shared" si="1046"/>
        <v>30050.93324439897</v>
      </c>
      <c r="Q1153" s="25">
        <f t="array" aca="1" ref="Q1153" ca="1">INDEX('Isaac 401k'!L:L,MATCH('Retirement Calculator'!A1153,'Isaac 401k'!N:N,0),0)</f>
        <v>-53518317.602309674</v>
      </c>
      <c r="R1153" s="25">
        <f t="array" aca="1" ref="R1153" ca="1">INDEX('Lorri 401b'!L:L,MATCH('Retirement Calculator'!A1153,'Lorri 401b'!N:N,0),0)</f>
        <v>-93554051.098166019</v>
      </c>
      <c r="S1153" s="25">
        <f t="shared" ca="1" si="1047"/>
        <v>-147072368.70047569</v>
      </c>
    </row>
    <row r="1154" spans="1:19" ht="15.75" customHeight="1" x14ac:dyDescent="0.25">
      <c r="A1154" s="37">
        <v>86077</v>
      </c>
      <c r="B1154" s="398">
        <f t="shared" ref="B1154:C1154" si="1170">($A1154-B$9)/365.25</f>
        <v>153.78781656399727</v>
      </c>
      <c r="C1154" s="398">
        <f t="shared" si="1170"/>
        <v>149.17727583846681</v>
      </c>
      <c r="E1154" s="25">
        <f>IF(C1154&gt;$B$7,0,'Combined Retirement'!$D$13/12)</f>
        <v>0</v>
      </c>
      <c r="F1154" s="25">
        <f>IF(H1154=0,'Combined Retirement'!$D$32,0)+'Combined Retirement'!$B$24</f>
        <v>2870.372285649099</v>
      </c>
      <c r="G1154" s="25">
        <f>'Combined Retirement'!$C$24</f>
        <v>3254.2644699519233</v>
      </c>
      <c r="H1154" s="25">
        <f>IF(B1154&lt;62,0,'Combined Retirement'!$I$14)</f>
        <v>2345</v>
      </c>
      <c r="I1154" s="25">
        <f>IF(C1154&lt;62,0,'Combined Retirement'!$I$13)</f>
        <v>2420</v>
      </c>
      <c r="J1154" s="25">
        <f t="shared" si="1043"/>
        <v>8395.6297298201844</v>
      </c>
      <c r="K1154" s="25">
        <f t="shared" si="1044"/>
        <v>21655.303514578787</v>
      </c>
      <c r="L1154" s="25"/>
      <c r="N1154" s="25">
        <f>'Combined Retirement'!$C$18/12</f>
        <v>40940.569999999992</v>
      </c>
      <c r="O1154" s="25">
        <f t="shared" si="1045"/>
        <v>10889.636755601023</v>
      </c>
      <c r="P1154" s="25">
        <f t="shared" si="1046"/>
        <v>30050.93324439897</v>
      </c>
      <c r="Q1154" s="25">
        <f t="array" aca="1" ref="Q1154" ca="1">INDEX('Isaac 401k'!L:L,MATCH('Retirement Calculator'!A1154,'Isaac 401k'!N:N,0),0)</f>
        <v>-53749741.20383966</v>
      </c>
      <c r="R1154" s="25">
        <f t="array" aca="1" ref="R1154" ca="1">INDEX('Lorri 401b'!L:L,MATCH('Retirement Calculator'!A1154,'Lorri 401b'!N:N,0),0)</f>
        <v>-93965605.178354278</v>
      </c>
      <c r="S1154" s="25">
        <f t="shared" ca="1" si="1047"/>
        <v>-147715346.38219392</v>
      </c>
    </row>
    <row r="1155" spans="1:19" ht="15.75" customHeight="1" x14ac:dyDescent="0.25">
      <c r="A1155" s="37">
        <v>86107</v>
      </c>
      <c r="B1155" s="398">
        <f t="shared" ref="B1155:C1155" si="1171">($A1155-B$9)/365.25</f>
        <v>153.86995208761124</v>
      </c>
      <c r="C1155" s="398">
        <f t="shared" si="1171"/>
        <v>149.25941136208075</v>
      </c>
      <c r="E1155" s="25">
        <f>IF(C1155&gt;$B$7,0,'Combined Retirement'!$D$13/12)</f>
        <v>0</v>
      </c>
      <c r="F1155" s="25">
        <f>IF(H1155=0,'Combined Retirement'!$D$32,0)+'Combined Retirement'!$B$24</f>
        <v>2870.372285649099</v>
      </c>
      <c r="G1155" s="25">
        <f>'Combined Retirement'!$C$24</f>
        <v>3254.2644699519233</v>
      </c>
      <c r="H1155" s="25">
        <f>IF(B1155&lt;62,0,'Combined Retirement'!$I$14)</f>
        <v>2345</v>
      </c>
      <c r="I1155" s="25">
        <f>IF(C1155&lt;62,0,'Combined Retirement'!$I$13)</f>
        <v>2420</v>
      </c>
      <c r="J1155" s="25">
        <f t="shared" si="1043"/>
        <v>8395.6297298201844</v>
      </c>
      <c r="K1155" s="25">
        <f t="shared" si="1044"/>
        <v>21655.303514578787</v>
      </c>
      <c r="L1155" s="25"/>
      <c r="N1155" s="25">
        <f>'Combined Retirement'!$C$18/12</f>
        <v>40940.569999999992</v>
      </c>
      <c r="O1155" s="25">
        <f t="shared" si="1045"/>
        <v>10889.636755601023</v>
      </c>
      <c r="P1155" s="25">
        <f t="shared" si="1046"/>
        <v>30050.93324439897</v>
      </c>
      <c r="Q1155" s="25">
        <f t="array" aca="1" ref="Q1155" ca="1">INDEX('Isaac 401k'!L:L,MATCH('Retirement Calculator'!A1155,'Isaac 401k'!N:N,0),0)</f>
        <v>-53982129.070376024</v>
      </c>
      <c r="R1155" s="25">
        <f t="array" aca="1" ref="R1155" ca="1">INDEX('Lorri 401b'!L:L,MATCH('Retirement Calculator'!A1155,'Lorri 401b'!N:N,0),0)</f>
        <v>-94378874.067209989</v>
      </c>
      <c r="S1155" s="25">
        <f t="shared" ca="1" si="1047"/>
        <v>-148361003.137586</v>
      </c>
    </row>
    <row r="1156" spans="1:19" ht="15.75" customHeight="1" x14ac:dyDescent="0.25">
      <c r="A1156" s="37">
        <v>86138</v>
      </c>
      <c r="B1156" s="398">
        <f t="shared" ref="B1156:C1156" si="1172">($A1156-B$9)/365.25</f>
        <v>153.95482546201231</v>
      </c>
      <c r="C1156" s="398">
        <f t="shared" si="1172"/>
        <v>149.34428473648185</v>
      </c>
      <c r="E1156" s="25">
        <f>IF(C1156&gt;$B$7,0,'Combined Retirement'!$D$13/12)</f>
        <v>0</v>
      </c>
      <c r="F1156" s="25">
        <f>IF(H1156=0,'Combined Retirement'!$D$32,0)+'Combined Retirement'!$B$24</f>
        <v>2870.372285649099</v>
      </c>
      <c r="G1156" s="25">
        <f>'Combined Retirement'!$C$24</f>
        <v>3254.2644699519233</v>
      </c>
      <c r="H1156" s="25">
        <f>IF(B1156&lt;62,0,'Combined Retirement'!$I$14)</f>
        <v>2345</v>
      </c>
      <c r="I1156" s="25">
        <f>IF(C1156&lt;62,0,'Combined Retirement'!$I$13)</f>
        <v>2420</v>
      </c>
      <c r="J1156" s="25">
        <f t="shared" si="1043"/>
        <v>8395.6297298201844</v>
      </c>
      <c r="K1156" s="25">
        <f t="shared" si="1044"/>
        <v>21655.303514578787</v>
      </c>
      <c r="L1156" s="25"/>
      <c r="N1156" s="25">
        <f>'Combined Retirement'!$C$18/12</f>
        <v>40940.569999999992</v>
      </c>
      <c r="O1156" s="25">
        <f t="shared" si="1045"/>
        <v>10889.636755601023</v>
      </c>
      <c r="P1156" s="25">
        <f t="shared" si="1046"/>
        <v>30050.93324439897</v>
      </c>
      <c r="Q1156" s="25">
        <f t="array" aca="1" ref="Q1156" ca="1">INDEX('Isaac 401k'!L:L,MATCH('Retirement Calculator'!A1156,'Isaac 401k'!N:N,0),0)</f>
        <v>-54215485.219689623</v>
      </c>
      <c r="R1156" s="25">
        <f t="array" aca="1" ref="R1156" ca="1">INDEX('Lorri 401b'!L:L,MATCH('Retirement Calculator'!A1156,'Lorri 401b'!N:N,0),0)</f>
        <v>-94793864.909769267</v>
      </c>
      <c r="S1156" s="25">
        <f t="shared" ca="1" si="1047"/>
        <v>-149009350.1294589</v>
      </c>
    </row>
    <row r="1157" spans="1:19" ht="15.75" customHeight="1" x14ac:dyDescent="0.25">
      <c r="A1157" s="37">
        <v>86168</v>
      </c>
      <c r="B1157" s="398">
        <f t="shared" ref="B1157:C1157" si="1173">($A1157-B$9)/365.25</f>
        <v>154.03696098562628</v>
      </c>
      <c r="C1157" s="398">
        <f t="shared" si="1173"/>
        <v>149.42642026009582</v>
      </c>
      <c r="E1157" s="25">
        <f>IF(C1157&gt;$B$7,0,'Combined Retirement'!$D$13/12)</f>
        <v>0</v>
      </c>
      <c r="F1157" s="25">
        <f>IF(H1157=0,'Combined Retirement'!$D$32,0)+'Combined Retirement'!$B$24</f>
        <v>2870.372285649099</v>
      </c>
      <c r="G1157" s="25">
        <f>'Combined Retirement'!$C$24</f>
        <v>3254.2644699519233</v>
      </c>
      <c r="H1157" s="25">
        <f>IF(B1157&lt;62,0,'Combined Retirement'!$I$14)</f>
        <v>2345</v>
      </c>
      <c r="I1157" s="25">
        <f>IF(C1157&lt;62,0,'Combined Retirement'!$I$13)</f>
        <v>2420</v>
      </c>
      <c r="J1157" s="25">
        <f t="shared" si="1043"/>
        <v>8395.6297298201844</v>
      </c>
      <c r="K1157" s="25">
        <f t="shared" si="1044"/>
        <v>21655.303514578787</v>
      </c>
      <c r="L1157" s="25"/>
      <c r="N1157" s="25">
        <f>'Combined Retirement'!$C$18/12</f>
        <v>40940.569999999992</v>
      </c>
      <c r="O1157" s="25">
        <f t="shared" si="1045"/>
        <v>10889.636755601023</v>
      </c>
      <c r="P1157" s="25">
        <f t="shared" si="1046"/>
        <v>30050.93324439897</v>
      </c>
      <c r="Q1157" s="25">
        <f t="array" aca="1" ref="Q1157" ca="1">INDEX('Isaac 401k'!L:L,MATCH('Retirement Calculator'!A1157,'Isaac 401k'!N:N,0),0)</f>
        <v>-54449813.686292022</v>
      </c>
      <c r="R1157" s="25">
        <f t="array" aca="1" ref="R1157" ca="1">INDEX('Lorri 401b'!L:L,MATCH('Retirement Calculator'!A1157,'Lorri 401b'!N:N,0),0)</f>
        <v>-95210584.880839199</v>
      </c>
      <c r="S1157" s="25">
        <f t="shared" ca="1" si="1047"/>
        <v>-149660398.56713122</v>
      </c>
    </row>
    <row r="1158" spans="1:19" ht="15.75" customHeight="1" x14ac:dyDescent="0.25">
      <c r="A1158" s="37">
        <v>86199</v>
      </c>
      <c r="B1158" s="398">
        <f t="shared" ref="B1158:C1158" si="1174">($A1158-B$9)/365.25</f>
        <v>154.12183436002738</v>
      </c>
      <c r="C1158" s="398">
        <f t="shared" si="1174"/>
        <v>149.51129363449692</v>
      </c>
      <c r="E1158" s="25">
        <f>IF(C1158&gt;$B$7,0,'Combined Retirement'!$D$13/12)</f>
        <v>0</v>
      </c>
      <c r="F1158" s="25">
        <f>IF(H1158=0,'Combined Retirement'!$D$32,0)+'Combined Retirement'!$B$24</f>
        <v>2870.372285649099</v>
      </c>
      <c r="G1158" s="25">
        <f>'Combined Retirement'!$C$24</f>
        <v>3254.2644699519233</v>
      </c>
      <c r="H1158" s="25">
        <f>IF(B1158&lt;62,0,'Combined Retirement'!$I$14)</f>
        <v>2345</v>
      </c>
      <c r="I1158" s="25">
        <f>IF(C1158&lt;62,0,'Combined Retirement'!$I$13)</f>
        <v>2420</v>
      </c>
      <c r="J1158" s="25">
        <f t="shared" si="1043"/>
        <v>8395.6297298201844</v>
      </c>
      <c r="K1158" s="25">
        <f t="shared" si="1044"/>
        <v>21655.303514578787</v>
      </c>
      <c r="L1158" s="25"/>
      <c r="N1158" s="25">
        <f>'Combined Retirement'!$C$18/12</f>
        <v>40940.569999999992</v>
      </c>
      <c r="O1158" s="25">
        <f t="shared" si="1045"/>
        <v>10889.636755601023</v>
      </c>
      <c r="P1158" s="25">
        <f t="shared" si="1046"/>
        <v>30050.93324439897</v>
      </c>
      <c r="Q1158" s="25">
        <f t="array" aca="1" ref="Q1158" ca="1">INDEX('Isaac 401k'!L:L,MATCH('Retirement Calculator'!A1158,'Isaac 401k'!N:N,0),0)</f>
        <v>-54685118.521505266</v>
      </c>
      <c r="R1158" s="25">
        <f t="array" aca="1" ref="R1158" ca="1">INDEX('Lorri 401b'!L:L,MATCH('Retirement Calculator'!A1158,'Lorri 401b'!N:N,0),0)</f>
        <v>-95629041.185121924</v>
      </c>
      <c r="S1158" s="25">
        <f t="shared" ca="1" si="1047"/>
        <v>-150314159.70662719</v>
      </c>
    </row>
    <row r="1159" spans="1:19" ht="15.75" customHeight="1" x14ac:dyDescent="0.25">
      <c r="A1159" s="37">
        <v>86230</v>
      </c>
      <c r="B1159" s="398">
        <f t="shared" ref="B1159:C1159" si="1175">($A1159-B$9)/365.25</f>
        <v>154.20670773442848</v>
      </c>
      <c r="C1159" s="398">
        <f t="shared" si="1175"/>
        <v>149.59616700889802</v>
      </c>
      <c r="E1159" s="25">
        <f>IF(C1159&gt;$B$7,0,'Combined Retirement'!$D$13/12)</f>
        <v>0</v>
      </c>
      <c r="F1159" s="25">
        <f>IF(H1159=0,'Combined Retirement'!$D$32,0)+'Combined Retirement'!$B$24</f>
        <v>2870.372285649099</v>
      </c>
      <c r="G1159" s="25">
        <f>'Combined Retirement'!$C$24</f>
        <v>3254.2644699519233</v>
      </c>
      <c r="H1159" s="25">
        <f>IF(B1159&lt;62,0,'Combined Retirement'!$I$14)</f>
        <v>2345</v>
      </c>
      <c r="I1159" s="25">
        <f>IF(C1159&lt;62,0,'Combined Retirement'!$I$13)</f>
        <v>2420</v>
      </c>
      <c r="J1159" s="25">
        <f t="shared" si="1043"/>
        <v>8395.6297298201844</v>
      </c>
      <c r="K1159" s="25">
        <f t="shared" si="1044"/>
        <v>21655.303514578787</v>
      </c>
      <c r="L1159" s="25"/>
      <c r="N1159" s="25">
        <f>'Combined Retirement'!$C$18/12</f>
        <v>40940.569999999992</v>
      </c>
      <c r="O1159" s="25">
        <f t="shared" si="1045"/>
        <v>10889.636755601023</v>
      </c>
      <c r="P1159" s="25">
        <f t="shared" si="1046"/>
        <v>30050.93324439897</v>
      </c>
      <c r="Q1159" s="25">
        <f t="array" aca="1" ref="Q1159" ca="1">INDEX('Isaac 401k'!L:L,MATCH('Retirement Calculator'!A1159,'Isaac 401k'!N:N,0),0)</f>
        <v>-54921403.793531902</v>
      </c>
      <c r="R1159" s="25">
        <f t="array" aca="1" ref="R1159" ca="1">INDEX('Lorri 401b'!L:L,MATCH('Retirement Calculator'!A1159,'Lorri 401b'!N:N,0),0)</f>
        <v>-96049241.057339162</v>
      </c>
      <c r="S1159" s="25">
        <f t="shared" ca="1" si="1047"/>
        <v>-150970644.85087106</v>
      </c>
    </row>
    <row r="1160" spans="1:19" ht="15.75" customHeight="1" x14ac:dyDescent="0.25">
      <c r="A1160" s="37">
        <v>86259</v>
      </c>
      <c r="B1160" s="398">
        <f t="shared" ref="B1160:C1160" si="1176">($A1160-B$9)/365.25</f>
        <v>154.28610540725529</v>
      </c>
      <c r="C1160" s="398">
        <f t="shared" si="1176"/>
        <v>149.67556468172484</v>
      </c>
      <c r="E1160" s="25">
        <f>IF(C1160&gt;$B$7,0,'Combined Retirement'!$D$13/12)</f>
        <v>0</v>
      </c>
      <c r="F1160" s="25">
        <f>IF(H1160=0,'Combined Retirement'!$D$32,0)+'Combined Retirement'!$B$24</f>
        <v>2870.372285649099</v>
      </c>
      <c r="G1160" s="25">
        <f>'Combined Retirement'!$C$24</f>
        <v>3254.2644699519233</v>
      </c>
      <c r="H1160" s="25">
        <f>IF(B1160&lt;62,0,'Combined Retirement'!$I$14)</f>
        <v>2345</v>
      </c>
      <c r="I1160" s="25">
        <f>IF(C1160&lt;62,0,'Combined Retirement'!$I$13)</f>
        <v>2420</v>
      </c>
      <c r="J1160" s="25">
        <f t="shared" si="1043"/>
        <v>8395.6297298201844</v>
      </c>
      <c r="K1160" s="25">
        <f t="shared" si="1044"/>
        <v>21655.303514578787</v>
      </c>
      <c r="L1160" s="25"/>
      <c r="N1160" s="25">
        <f>'Combined Retirement'!$C$18/12</f>
        <v>40940.569999999992</v>
      </c>
      <c r="O1160" s="25">
        <f t="shared" si="1045"/>
        <v>10889.636755601023</v>
      </c>
      <c r="P1160" s="25">
        <f t="shared" si="1046"/>
        <v>30050.93324439897</v>
      </c>
      <c r="Q1160" s="25">
        <f t="array" aca="1" ref="Q1160" ca="1">INDEX('Isaac 401k'!L:L,MATCH('Retirement Calculator'!A1160,'Isaac 401k'!N:N,0),0)</f>
        <v>-55158673.587525316</v>
      </c>
      <c r="R1160" s="25">
        <f t="array" aca="1" ref="R1160" ca="1">INDEX('Lorri 401b'!L:L,MATCH('Retirement Calculator'!A1160,'Lorri 401b'!N:N,0),0)</f>
        <v>-96471191.762357309</v>
      </c>
      <c r="S1160" s="25">
        <f t="shared" ca="1" si="1047"/>
        <v>-151629865.34988263</v>
      </c>
    </row>
    <row r="1161" spans="1:19" ht="15.75" customHeight="1" x14ac:dyDescent="0.25">
      <c r="A1161" s="37">
        <v>86290</v>
      </c>
      <c r="B1161" s="398">
        <f t="shared" ref="B1161:C1161" si="1177">($A1161-B$9)/365.25</f>
        <v>154.37097878165639</v>
      </c>
      <c r="C1161" s="398">
        <f t="shared" si="1177"/>
        <v>149.76043805612593</v>
      </c>
      <c r="E1161" s="25">
        <f>IF(C1161&gt;$B$7,0,'Combined Retirement'!$D$13/12)</f>
        <v>0</v>
      </c>
      <c r="F1161" s="25">
        <f>IF(H1161=0,'Combined Retirement'!$D$32,0)+'Combined Retirement'!$B$24</f>
        <v>2870.372285649099</v>
      </c>
      <c r="G1161" s="25">
        <f>'Combined Retirement'!$C$24</f>
        <v>3254.2644699519233</v>
      </c>
      <c r="H1161" s="25">
        <f>IF(B1161&lt;62,0,'Combined Retirement'!$I$14)</f>
        <v>2345</v>
      </c>
      <c r="I1161" s="25">
        <f>IF(C1161&lt;62,0,'Combined Retirement'!$I$13)</f>
        <v>2420</v>
      </c>
      <c r="J1161" s="25">
        <f t="shared" si="1043"/>
        <v>8395.6297298201844</v>
      </c>
      <c r="K1161" s="25">
        <f t="shared" si="1044"/>
        <v>21655.303514578787</v>
      </c>
      <c r="L1161" s="25"/>
      <c r="N1161" s="25">
        <f>'Combined Retirement'!$C$18/12</f>
        <v>40940.569999999992</v>
      </c>
      <c r="O1161" s="25">
        <f t="shared" si="1045"/>
        <v>10889.636755601023</v>
      </c>
      <c r="P1161" s="25">
        <f t="shared" si="1046"/>
        <v>30050.93324439897</v>
      </c>
      <c r="Q1161" s="25">
        <f t="array" aca="1" ref="Q1161" ca="1">INDEX('Isaac 401k'!L:L,MATCH('Retirement Calculator'!A1161,'Isaac 401k'!N:N,0),0)</f>
        <v>-55396932.00566037</v>
      </c>
      <c r="R1161" s="25">
        <f t="array" aca="1" ref="R1161" ca="1">INDEX('Lorri 401b'!L:L,MATCH('Retirement Calculator'!A1161,'Lorri 401b'!N:N,0),0)</f>
        <v>-96894900.595313028</v>
      </c>
      <c r="S1161" s="25">
        <f t="shared" ca="1" si="1047"/>
        <v>-152291832.6009734</v>
      </c>
    </row>
    <row r="1162" spans="1:19" ht="15.75" customHeight="1" x14ac:dyDescent="0.25">
      <c r="A1162" s="37">
        <v>86320</v>
      </c>
      <c r="B1162" s="398">
        <f t="shared" ref="B1162:C1162" si="1178">($A1162-B$9)/365.25</f>
        <v>154.45311430527036</v>
      </c>
      <c r="C1162" s="398">
        <f t="shared" si="1178"/>
        <v>149.84257357973991</v>
      </c>
      <c r="E1162" s="25">
        <f>IF(C1162&gt;$B$7,0,'Combined Retirement'!$D$13/12)</f>
        <v>0</v>
      </c>
      <c r="F1162" s="25">
        <f>IF(H1162=0,'Combined Retirement'!$D$32,0)+'Combined Retirement'!$B$24</f>
        <v>2870.372285649099</v>
      </c>
      <c r="G1162" s="25">
        <f>'Combined Retirement'!$C$24</f>
        <v>3254.2644699519233</v>
      </c>
      <c r="H1162" s="25">
        <f>IF(B1162&lt;62,0,'Combined Retirement'!$I$14)</f>
        <v>2345</v>
      </c>
      <c r="I1162" s="25">
        <f>IF(C1162&lt;62,0,'Combined Retirement'!$I$13)</f>
        <v>2420</v>
      </c>
      <c r="J1162" s="25">
        <f t="shared" si="1043"/>
        <v>8395.6297298201844</v>
      </c>
      <c r="K1162" s="25">
        <f t="shared" si="1044"/>
        <v>21655.303514578787</v>
      </c>
      <c r="L1162" s="25"/>
      <c r="N1162" s="25">
        <f>'Combined Retirement'!$C$18/12</f>
        <v>40940.569999999992</v>
      </c>
      <c r="O1162" s="25">
        <f t="shared" si="1045"/>
        <v>10889.636755601023</v>
      </c>
      <c r="P1162" s="25">
        <f t="shared" si="1046"/>
        <v>30050.93324439897</v>
      </c>
      <c r="Q1162" s="25">
        <f t="array" aca="1" ref="Q1162" ca="1">INDEX('Isaac 401k'!L:L,MATCH('Retirement Calculator'!A1162,'Isaac 401k'!N:N,0),0)</f>
        <v>-55636183.16720432</v>
      </c>
      <c r="R1162" s="25">
        <f t="array" aca="1" ref="R1162" ca="1">INDEX('Lorri 401b'!L:L,MATCH('Retirement Calculator'!A1162,'Lorri 401b'!N:N,0),0)</f>
        <v>-97320374.881739393</v>
      </c>
      <c r="S1162" s="25">
        <f t="shared" ca="1" si="1047"/>
        <v>-152956558.0489437</v>
      </c>
    </row>
    <row r="1163" spans="1:19" ht="15.75" customHeight="1" x14ac:dyDescent="0.25">
      <c r="A1163" s="37">
        <v>86351</v>
      </c>
      <c r="B1163" s="398">
        <f t="shared" ref="B1163:C1163" si="1179">($A1163-B$9)/365.25</f>
        <v>154.53798767967146</v>
      </c>
      <c r="C1163" s="398">
        <f t="shared" si="1179"/>
        <v>149.927446954141</v>
      </c>
      <c r="E1163" s="25">
        <f>IF(C1163&gt;$B$7,0,'Combined Retirement'!$D$13/12)</f>
        <v>0</v>
      </c>
      <c r="F1163" s="25">
        <f>IF(H1163=0,'Combined Retirement'!$D$32,0)+'Combined Retirement'!$B$24</f>
        <v>2870.372285649099</v>
      </c>
      <c r="G1163" s="25">
        <f>'Combined Retirement'!$C$24</f>
        <v>3254.2644699519233</v>
      </c>
      <c r="H1163" s="25">
        <f>IF(B1163&lt;62,0,'Combined Retirement'!$I$14)</f>
        <v>2345</v>
      </c>
      <c r="I1163" s="25">
        <f>IF(C1163&lt;62,0,'Combined Retirement'!$I$13)</f>
        <v>2420</v>
      </c>
      <c r="J1163" s="25">
        <f t="shared" si="1043"/>
        <v>8395.6297298201844</v>
      </c>
      <c r="K1163" s="25">
        <f t="shared" si="1044"/>
        <v>21655.303514578787</v>
      </c>
      <c r="L1163" s="25"/>
      <c r="N1163" s="25">
        <f>'Combined Retirement'!$C$18/12</f>
        <v>40940.569999999992</v>
      </c>
      <c r="O1163" s="25">
        <f t="shared" si="1045"/>
        <v>10889.636755601023</v>
      </c>
      <c r="P1163" s="25">
        <f t="shared" si="1046"/>
        <v>30050.93324439897</v>
      </c>
      <c r="Q1163" s="25">
        <f t="array" aca="1" ref="Q1163" ca="1">INDEX('Isaac 401k'!L:L,MATCH('Retirement Calculator'!A1163,'Isaac 401k'!N:N,0),0)</f>
        <v>-55876431.208588034</v>
      </c>
      <c r="R1163" s="25">
        <f t="array" aca="1" ref="R1163" ca="1">INDEX('Lorri 401b'!L:L,MATCH('Retirement Calculator'!A1163,'Lorri 401b'!N:N,0),0)</f>
        <v>-97747621.97769253</v>
      </c>
      <c r="S1163" s="25">
        <f t="shared" ca="1" si="1047"/>
        <v>-153624053.18628055</v>
      </c>
    </row>
    <row r="1164" spans="1:19" ht="15.75" customHeight="1" x14ac:dyDescent="0.25">
      <c r="A1164" s="37">
        <v>86381</v>
      </c>
      <c r="B1164" s="398">
        <f t="shared" ref="B1164:C1164" si="1180">($A1164-B$9)/365.25</f>
        <v>154.62012320328543</v>
      </c>
      <c r="C1164" s="398">
        <f t="shared" si="1180"/>
        <v>150.00958247775498</v>
      </c>
      <c r="E1164" s="25">
        <f>IF(C1164&gt;$B$7,0,'Combined Retirement'!$D$13/12)</f>
        <v>0</v>
      </c>
      <c r="F1164" s="25">
        <f>IF(H1164=0,'Combined Retirement'!$D$32,0)+'Combined Retirement'!$B$24</f>
        <v>2870.372285649099</v>
      </c>
      <c r="G1164" s="25">
        <f>'Combined Retirement'!$C$24</f>
        <v>3254.2644699519233</v>
      </c>
      <c r="H1164" s="25">
        <f>IF(B1164&lt;62,0,'Combined Retirement'!$I$14)</f>
        <v>2345</v>
      </c>
      <c r="I1164" s="25">
        <f>IF(C1164&lt;62,0,'Combined Retirement'!$I$13)</f>
        <v>2420</v>
      </c>
      <c r="J1164" s="25">
        <f t="shared" si="1043"/>
        <v>8395.6297298201844</v>
      </c>
      <c r="K1164" s="25">
        <f t="shared" si="1044"/>
        <v>21655.303514578787</v>
      </c>
      <c r="L1164" s="25"/>
      <c r="N1164" s="25">
        <f>'Combined Retirement'!$C$18/12</f>
        <v>40940.569999999992</v>
      </c>
      <c r="O1164" s="25">
        <f t="shared" si="1045"/>
        <v>10889.636755601023</v>
      </c>
      <c r="P1164" s="25">
        <f t="shared" si="1046"/>
        <v>30050.93324439897</v>
      </c>
      <c r="Q1164" s="25">
        <f t="array" aca="1" ref="Q1164" ca="1">INDEX('Isaac 401k'!L:L,MATCH('Retirement Calculator'!A1164,'Isaac 401k'!N:N,0),0)</f>
        <v>-56117680.283477515</v>
      </c>
      <c r="R1164" s="25">
        <f t="array" aca="1" ref="R1164" ca="1">INDEX('Lorri 401b'!L:L,MATCH('Retirement Calculator'!A1164,'Lorri 401b'!N:N,0),0)</f>
        <v>-98176649.269878805</v>
      </c>
      <c r="S1164" s="25">
        <f t="shared" ca="1" si="1047"/>
        <v>-154294329.55335632</v>
      </c>
    </row>
    <row r="1165" spans="1:19" ht="15.75" customHeight="1" x14ac:dyDescent="0.25">
      <c r="A1165" s="37">
        <v>86412</v>
      </c>
      <c r="B1165" s="398">
        <f t="shared" ref="B1165:C1165" si="1181">($A1165-B$9)/365.25</f>
        <v>154.70499657768653</v>
      </c>
      <c r="C1165" s="398">
        <f t="shared" si="1181"/>
        <v>150.09445585215605</v>
      </c>
      <c r="E1165" s="25">
        <f>IF(C1165&gt;$B$7,0,'Combined Retirement'!$D$13/12)</f>
        <v>0</v>
      </c>
      <c r="F1165" s="25">
        <f>IF(H1165=0,'Combined Retirement'!$D$32,0)+'Combined Retirement'!$B$24</f>
        <v>2870.372285649099</v>
      </c>
      <c r="G1165" s="25">
        <f>'Combined Retirement'!$C$24</f>
        <v>3254.2644699519233</v>
      </c>
      <c r="H1165" s="25">
        <f>IF(B1165&lt;62,0,'Combined Retirement'!$I$14)</f>
        <v>2345</v>
      </c>
      <c r="I1165" s="25">
        <f>IF(C1165&lt;62,0,'Combined Retirement'!$I$13)</f>
        <v>2420</v>
      </c>
      <c r="J1165" s="25">
        <f t="shared" si="1043"/>
        <v>8395.6297298201844</v>
      </c>
      <c r="K1165" s="25">
        <f t="shared" si="1044"/>
        <v>21655.303514578787</v>
      </c>
      <c r="L1165" s="25"/>
      <c r="N1165" s="25">
        <f>'Combined Retirement'!$C$18/12</f>
        <v>40940.569999999992</v>
      </c>
      <c r="O1165" s="25">
        <f t="shared" si="1045"/>
        <v>10889.636755601023</v>
      </c>
      <c r="P1165" s="25">
        <f t="shared" si="1046"/>
        <v>30050.93324439897</v>
      </c>
      <c r="Q1165" s="25">
        <f t="array" aca="1" ref="Q1165" ca="1">INDEX('Isaac 401k'!L:L,MATCH('Retirement Calculator'!A1165,'Isaac 401k'!N:N,0),0)</f>
        <v>-56359934.562845699</v>
      </c>
      <c r="R1165" s="25">
        <f t="array" aca="1" ref="R1165" ca="1">INDEX('Lorri 401b'!L:L,MATCH('Retirement Calculator'!A1165,'Lorri 401b'!N:N,0),0)</f>
        <v>-98607464.175782531</v>
      </c>
      <c r="S1165" s="25">
        <f t="shared" ca="1" si="1047"/>
        <v>-154967398.73862824</v>
      </c>
    </row>
    <row r="1166" spans="1:19" ht="15.75" customHeight="1" x14ac:dyDescent="0.25">
      <c r="A1166" s="37">
        <v>86443</v>
      </c>
      <c r="B1166" s="398">
        <f t="shared" ref="B1166:C1166" si="1182">($A1166-B$9)/365.25</f>
        <v>154.7898699520876</v>
      </c>
      <c r="C1166" s="398">
        <f t="shared" si="1182"/>
        <v>150.17932922655714</v>
      </c>
      <c r="E1166" s="25">
        <f>IF(C1166&gt;$B$7,0,'Combined Retirement'!$D$13/12)</f>
        <v>0</v>
      </c>
      <c r="F1166" s="25">
        <f>IF(H1166=0,'Combined Retirement'!$D$32,0)+'Combined Retirement'!$B$24</f>
        <v>2870.372285649099</v>
      </c>
      <c r="G1166" s="25">
        <f>'Combined Retirement'!$C$24</f>
        <v>3254.2644699519233</v>
      </c>
      <c r="H1166" s="25">
        <f>IF(B1166&lt;62,0,'Combined Retirement'!$I$14)</f>
        <v>2345</v>
      </c>
      <c r="I1166" s="25">
        <f>IF(C1166&lt;62,0,'Combined Retirement'!$I$13)</f>
        <v>2420</v>
      </c>
      <c r="J1166" s="25">
        <f t="shared" si="1043"/>
        <v>8395.6297298201844</v>
      </c>
      <c r="K1166" s="25">
        <f t="shared" si="1044"/>
        <v>21655.303514578787</v>
      </c>
      <c r="L1166" s="25"/>
      <c r="N1166" s="25">
        <f>'Combined Retirement'!$C$18/12</f>
        <v>40940.569999999992</v>
      </c>
      <c r="O1166" s="25">
        <f t="shared" si="1045"/>
        <v>10889.636755601023</v>
      </c>
      <c r="P1166" s="25">
        <f t="shared" si="1046"/>
        <v>30050.93324439897</v>
      </c>
      <c r="Q1166" s="25">
        <f t="array" aca="1" ref="Q1166" ca="1">INDEX('Isaac 401k'!L:L,MATCH('Retirement Calculator'!A1166,'Isaac 401k'!N:N,0),0)</f>
        <v>-56603198.235044584</v>
      </c>
      <c r="R1166" s="25">
        <f t="array" aca="1" ref="R1166" ca="1">INDEX('Lorri 401b'!L:L,MATCH('Retirement Calculator'!A1166,'Lorri 401b'!N:N,0),0)</f>
        <v>-99040074.143794194</v>
      </c>
      <c r="S1166" s="25">
        <f t="shared" ca="1" si="1047"/>
        <v>-155643272.37883878</v>
      </c>
    </row>
    <row r="1167" spans="1:19" ht="15.75" customHeight="1" x14ac:dyDescent="0.25">
      <c r="A1167" s="37">
        <v>86473</v>
      </c>
      <c r="B1167" s="398">
        <f t="shared" ref="B1167:C1167" si="1183">($A1167-B$9)/365.25</f>
        <v>154.87200547570157</v>
      </c>
      <c r="C1167" s="398">
        <f t="shared" si="1183"/>
        <v>150.26146475017111</v>
      </c>
      <c r="E1167" s="25">
        <f>IF(C1167&gt;$B$7,0,'Combined Retirement'!$D$13/12)</f>
        <v>0</v>
      </c>
      <c r="F1167" s="25">
        <f>IF(H1167=0,'Combined Retirement'!$D$32,0)+'Combined Retirement'!$B$24</f>
        <v>2870.372285649099</v>
      </c>
      <c r="G1167" s="25">
        <f>'Combined Retirement'!$C$24</f>
        <v>3254.2644699519233</v>
      </c>
      <c r="H1167" s="25">
        <f>IF(B1167&lt;62,0,'Combined Retirement'!$I$14)</f>
        <v>2345</v>
      </c>
      <c r="I1167" s="25">
        <f>IF(C1167&lt;62,0,'Combined Retirement'!$I$13)</f>
        <v>2420</v>
      </c>
      <c r="J1167" s="25">
        <f t="shared" si="1043"/>
        <v>8395.6297298201844</v>
      </c>
      <c r="K1167" s="25">
        <f t="shared" si="1044"/>
        <v>21655.303514578787</v>
      </c>
      <c r="L1167" s="25"/>
      <c r="N1167" s="25">
        <f>'Combined Retirement'!$C$18/12</f>
        <v>40940.569999999992</v>
      </c>
      <c r="O1167" s="25">
        <f t="shared" si="1045"/>
        <v>10889.636755601023</v>
      </c>
      <c r="P1167" s="25">
        <f t="shared" si="1046"/>
        <v>30050.93324439897</v>
      </c>
      <c r="Q1167" s="25">
        <f t="array" aca="1" ref="Q1167" ca="1">INDEX('Isaac 401k'!L:L,MATCH('Retirement Calculator'!A1167,'Isaac 401k'!N:N,0),0)</f>
        <v>-56847475.505877636</v>
      </c>
      <c r="R1167" s="25">
        <f t="array" aca="1" ref="R1167" ca="1">INDEX('Lorri 401b'!L:L,MATCH('Retirement Calculator'!A1167,'Lorri 401b'!N:N,0),0)</f>
        <v>-99474486.653339237</v>
      </c>
      <c r="S1167" s="25">
        <f t="shared" ca="1" si="1047"/>
        <v>-156321962.15921688</v>
      </c>
    </row>
    <row r="1168" spans="1:19" ht="15.75" customHeight="1" x14ac:dyDescent="0.25">
      <c r="A1168" s="37">
        <v>86504</v>
      </c>
      <c r="B1168" s="398">
        <f t="shared" ref="B1168:C1168" si="1184">($A1168-B$9)/365.25</f>
        <v>154.95687885010267</v>
      </c>
      <c r="C1168" s="398">
        <f t="shared" si="1184"/>
        <v>150.34633812457221</v>
      </c>
      <c r="E1168" s="25">
        <f>IF(C1168&gt;$B$7,0,'Combined Retirement'!$D$13/12)</f>
        <v>0</v>
      </c>
      <c r="F1168" s="25">
        <f>IF(H1168=0,'Combined Retirement'!$D$32,0)+'Combined Retirement'!$B$24</f>
        <v>2870.372285649099</v>
      </c>
      <c r="G1168" s="25">
        <f>'Combined Retirement'!$C$24</f>
        <v>3254.2644699519233</v>
      </c>
      <c r="H1168" s="25">
        <f>IF(B1168&lt;62,0,'Combined Retirement'!$I$14)</f>
        <v>2345</v>
      </c>
      <c r="I1168" s="25">
        <f>IF(C1168&lt;62,0,'Combined Retirement'!$I$13)</f>
        <v>2420</v>
      </c>
      <c r="J1168" s="25">
        <f t="shared" si="1043"/>
        <v>8395.6297298201844</v>
      </c>
      <c r="K1168" s="25">
        <f t="shared" si="1044"/>
        <v>21655.303514578787</v>
      </c>
      <c r="L1168" s="25"/>
      <c r="N1168" s="25">
        <f>'Combined Retirement'!$C$18/12</f>
        <v>40940.569999999992</v>
      </c>
      <c r="O1168" s="25">
        <f t="shared" si="1045"/>
        <v>10889.636755601023</v>
      </c>
      <c r="P1168" s="25">
        <f t="shared" si="1046"/>
        <v>30050.93324439897</v>
      </c>
      <c r="Q1168" s="25">
        <f t="array" aca="1" ref="Q1168" ca="1">INDEX('Isaac 401k'!L:L,MATCH('Retirement Calculator'!A1168,'Isaac 401k'!N:N,0),0)</f>
        <v>-57092770.598672487</v>
      </c>
      <c r="R1168" s="25">
        <f t="array" aca="1" ref="R1168" ca="1">INDEX('Lorri 401b'!L:L,MATCH('Retirement Calculator'!A1168,'Lorri 401b'!N:N,0),0)</f>
        <v>-99910709.21500738</v>
      </c>
      <c r="S1168" s="25">
        <f t="shared" ca="1" si="1047"/>
        <v>-157003479.81367987</v>
      </c>
    </row>
    <row r="1169" spans="1:19" ht="15.75" customHeight="1" x14ac:dyDescent="0.25">
      <c r="A1169" s="37">
        <v>86534</v>
      </c>
      <c r="B1169" s="398">
        <f t="shared" ref="B1169:C1169" si="1185">($A1169-B$9)/365.25</f>
        <v>155.03901437371664</v>
      </c>
      <c r="C1169" s="398">
        <f t="shared" si="1185"/>
        <v>150.42847364818618</v>
      </c>
      <c r="E1169" s="25">
        <f>IF(C1169&gt;$B$7,0,'Combined Retirement'!$D$13/12)</f>
        <v>0</v>
      </c>
      <c r="F1169" s="25">
        <f>IF(H1169=0,'Combined Retirement'!$D$32,0)+'Combined Retirement'!$B$24</f>
        <v>2870.372285649099</v>
      </c>
      <c r="G1169" s="25">
        <f>'Combined Retirement'!$C$24</f>
        <v>3254.2644699519233</v>
      </c>
      <c r="H1169" s="25">
        <f>IF(B1169&lt;62,0,'Combined Retirement'!$I$14)</f>
        <v>2345</v>
      </c>
      <c r="I1169" s="25">
        <f>IF(C1169&lt;62,0,'Combined Retirement'!$I$13)</f>
        <v>2420</v>
      </c>
      <c r="J1169" s="25">
        <f t="shared" si="1043"/>
        <v>8395.6297298201844</v>
      </c>
      <c r="K1169" s="25">
        <f t="shared" si="1044"/>
        <v>21655.303514578787</v>
      </c>
      <c r="L1169" s="25"/>
      <c r="N1169" s="25">
        <f>'Combined Retirement'!$C$18/12</f>
        <v>40940.569999999992</v>
      </c>
      <c r="O1169" s="25">
        <f t="shared" si="1045"/>
        <v>10889.636755601023</v>
      </c>
      <c r="P1169" s="25">
        <f t="shared" si="1046"/>
        <v>30050.93324439897</v>
      </c>
      <c r="Q1169" s="25">
        <f t="array" aca="1" ref="Q1169" ca="1">INDEX('Isaac 401k'!L:L,MATCH('Retirement Calculator'!A1169,'Isaac 401k'!N:N,0),0)</f>
        <v>-57339087.754353985</v>
      </c>
      <c r="R1169" s="25">
        <f t="array" aca="1" ref="R1169" ca="1">INDEX('Lorri 401b'!L:L,MATCH('Retirement Calculator'!A1169,'Lorri 401b'!N:N,0),0)</f>
        <v>-100348749.37068248</v>
      </c>
      <c r="S1169" s="25">
        <f t="shared" ca="1" si="1047"/>
        <v>-157687837.12503648</v>
      </c>
    </row>
    <row r="1170" spans="1:19" ht="15.75" customHeight="1" x14ac:dyDescent="0.25">
      <c r="A1170" s="37">
        <v>86565</v>
      </c>
      <c r="B1170" s="398">
        <f t="shared" ref="B1170:C1170" si="1186">($A1170-B$9)/365.25</f>
        <v>155.12388774811774</v>
      </c>
      <c r="C1170" s="398">
        <f t="shared" si="1186"/>
        <v>150.51334702258728</v>
      </c>
      <c r="E1170" s="25">
        <f>IF(C1170&gt;$B$7,0,'Combined Retirement'!$D$13/12)</f>
        <v>0</v>
      </c>
      <c r="F1170" s="25">
        <f>IF(H1170=0,'Combined Retirement'!$D$32,0)+'Combined Retirement'!$B$24</f>
        <v>2870.372285649099</v>
      </c>
      <c r="G1170" s="25">
        <f>'Combined Retirement'!$C$24</f>
        <v>3254.2644699519233</v>
      </c>
      <c r="H1170" s="25">
        <f>IF(B1170&lt;62,0,'Combined Retirement'!$I$14)</f>
        <v>2345</v>
      </c>
      <c r="I1170" s="25">
        <f>IF(C1170&lt;62,0,'Combined Retirement'!$I$13)</f>
        <v>2420</v>
      </c>
      <c r="J1170" s="25">
        <f t="shared" si="1043"/>
        <v>8395.6297298201844</v>
      </c>
      <c r="K1170" s="25">
        <f t="shared" si="1044"/>
        <v>21655.303514578787</v>
      </c>
      <c r="L1170" s="25"/>
      <c r="N1170" s="25">
        <f>'Combined Retirement'!$C$18/12</f>
        <v>40940.569999999992</v>
      </c>
      <c r="O1170" s="25">
        <f t="shared" si="1045"/>
        <v>10889.636755601023</v>
      </c>
      <c r="P1170" s="25">
        <f t="shared" si="1046"/>
        <v>30050.93324439897</v>
      </c>
      <c r="Q1170" s="25">
        <f t="array" aca="1" ref="Q1170" ca="1">INDEX('Isaac 401k'!L:L,MATCH('Retirement Calculator'!A1170,'Isaac 401k'!N:N,0),0)</f>
        <v>-57586431.231517494</v>
      </c>
      <c r="R1170" s="25">
        <f t="array" aca="1" ref="R1170" ca="1">INDEX('Lorri 401b'!L:L,MATCH('Retirement Calculator'!A1170,'Lorri 401b'!N:N,0),0)</f>
        <v>-100788614.69367288</v>
      </c>
      <c r="S1170" s="25">
        <f t="shared" ca="1" si="1047"/>
        <v>-158375045.92519039</v>
      </c>
    </row>
    <row r="1171" spans="1:19" ht="15.75" customHeight="1" x14ac:dyDescent="0.25">
      <c r="A1171" s="37">
        <v>86596</v>
      </c>
      <c r="B1171" s="398">
        <f t="shared" ref="B1171:C1171" si="1187">($A1171-B$9)/365.25</f>
        <v>155.20876112251884</v>
      </c>
      <c r="C1171" s="398">
        <f t="shared" si="1187"/>
        <v>150.59822039698835</v>
      </c>
      <c r="E1171" s="25">
        <f>IF(C1171&gt;$B$7,0,'Combined Retirement'!$D$13/12)</f>
        <v>0</v>
      </c>
      <c r="F1171" s="25">
        <f>IF(H1171=0,'Combined Retirement'!$D$32,0)+'Combined Retirement'!$B$24</f>
        <v>2870.372285649099</v>
      </c>
      <c r="G1171" s="25">
        <f>'Combined Retirement'!$C$24</f>
        <v>3254.2644699519233</v>
      </c>
      <c r="H1171" s="25">
        <f>IF(B1171&lt;62,0,'Combined Retirement'!$I$14)</f>
        <v>2345</v>
      </c>
      <c r="I1171" s="25">
        <f>IF(C1171&lt;62,0,'Combined Retirement'!$I$13)</f>
        <v>2420</v>
      </c>
      <c r="J1171" s="25">
        <f t="shared" si="1043"/>
        <v>8395.6297298201844</v>
      </c>
      <c r="K1171" s="25">
        <f t="shared" si="1044"/>
        <v>21655.303514578787</v>
      </c>
      <c r="L1171" s="25"/>
      <c r="N1171" s="25">
        <f>'Combined Retirement'!$C$18/12</f>
        <v>40940.569999999992</v>
      </c>
      <c r="O1171" s="25">
        <f t="shared" si="1045"/>
        <v>10889.636755601023</v>
      </c>
      <c r="P1171" s="25">
        <f t="shared" si="1046"/>
        <v>30050.93324439897</v>
      </c>
      <c r="Q1171" s="25">
        <f t="array" aca="1" ref="Q1171" ca="1">INDEX('Isaac 401k'!L:L,MATCH('Retirement Calculator'!A1171,'Isaac 401k'!N:N,0),0)</f>
        <v>-57834805.306502514</v>
      </c>
      <c r="R1171" s="25">
        <f t="array" aca="1" ref="R1171" ca="1">INDEX('Lorri 401b'!L:L,MATCH('Retirement Calculator'!A1171,'Lorri 401b'!N:N,0),0)</f>
        <v>-101230312.78884241</v>
      </c>
      <c r="S1171" s="25">
        <f t="shared" ca="1" si="1047"/>
        <v>-159065118.09534493</v>
      </c>
    </row>
  </sheetData>
  <autoFilter ref="A10:P10" xr:uid="{00000000-0009-0000-0000-000009000000}"/>
  <mergeCells count="2">
    <mergeCell ref="M1:N1"/>
    <mergeCell ref="J6:K6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2"/>
  <sheetViews>
    <sheetView workbookViewId="0">
      <pane ySplit="6" topLeftCell="A58" activePane="bottomLeft" state="frozen"/>
      <selection pane="bottomLeft" activeCell="A83" sqref="A83"/>
    </sheetView>
  </sheetViews>
  <sheetFormatPr defaultColWidth="14.42578125" defaultRowHeight="15" customHeight="1" x14ac:dyDescent="0.25"/>
  <cols>
    <col min="1" max="1" width="11.28515625" customWidth="1"/>
    <col min="2" max="3" width="11" customWidth="1"/>
    <col min="4" max="4" width="15.7109375" customWidth="1"/>
    <col min="5" max="5" width="16.140625" customWidth="1"/>
    <col min="6" max="6" width="14.140625" customWidth="1"/>
    <col min="7" max="7" width="10" customWidth="1"/>
    <col min="8" max="8" width="19.28515625" customWidth="1"/>
    <col min="9" max="9" width="16.140625" customWidth="1"/>
    <col min="10" max="10" width="13.140625" customWidth="1"/>
    <col min="11" max="11" width="8" customWidth="1"/>
    <col min="12" max="13" width="13.7109375" customWidth="1"/>
    <col min="14" max="14" width="16.140625" customWidth="1"/>
    <col min="15" max="15" width="12.7109375" customWidth="1"/>
    <col min="16" max="16" width="8" customWidth="1"/>
    <col min="17" max="17" width="19.28515625" customWidth="1"/>
    <col min="18" max="18" width="13.140625" customWidth="1"/>
    <col min="19" max="19" width="16.140625" customWidth="1"/>
    <col min="20" max="20" width="13.140625" customWidth="1"/>
    <col min="21" max="21" width="8" customWidth="1"/>
    <col min="22" max="22" width="15.140625" customWidth="1"/>
    <col min="23" max="23" width="13.140625" customWidth="1"/>
    <col min="24" max="24" width="16.140625" customWidth="1"/>
    <col min="25" max="25" width="12.7109375" customWidth="1"/>
    <col min="26" max="26" width="8" customWidth="1"/>
  </cols>
  <sheetData>
    <row r="1" spans="1:26" ht="11.25" customHeight="1" x14ac:dyDescent="0.25">
      <c r="A1" s="293"/>
      <c r="B1" s="338" t="s">
        <v>590</v>
      </c>
      <c r="C1" s="338" t="s">
        <v>591</v>
      </c>
      <c r="D1" s="399" t="s">
        <v>592</v>
      </c>
      <c r="E1" s="399" t="s">
        <v>593</v>
      </c>
      <c r="F1" s="399" t="s">
        <v>594</v>
      </c>
      <c r="G1" s="399" t="s">
        <v>595</v>
      </c>
      <c r="H1" s="296"/>
      <c r="I1" s="296"/>
      <c r="J1" s="400"/>
      <c r="K1" s="400"/>
      <c r="L1" s="296"/>
      <c r="M1" s="296"/>
      <c r="N1" s="296"/>
      <c r="O1" s="400"/>
      <c r="P1" s="400"/>
      <c r="Q1" s="401">
        <f ca="1">(TODAY()-B18)/365</f>
        <v>16.339726027397262</v>
      </c>
      <c r="R1" s="400"/>
      <c r="S1" s="400"/>
      <c r="T1" s="400"/>
      <c r="U1" s="400"/>
      <c r="V1" s="401">
        <f ca="1">(TODAY()-B16)/365</f>
        <v>16.835616438356166</v>
      </c>
      <c r="W1" s="296"/>
      <c r="X1" s="400"/>
      <c r="Y1" s="296"/>
      <c r="Z1" s="296"/>
    </row>
    <row r="2" spans="1:26" ht="11.25" customHeight="1" x14ac:dyDescent="0.25">
      <c r="A2" s="401">
        <f ca="1">(C2-B2)/365</f>
        <v>19.090410958904108</v>
      </c>
      <c r="B2" s="338">
        <v>39356</v>
      </c>
      <c r="C2" s="338">
        <f ca="1">TODAY()</f>
        <v>46324</v>
      </c>
      <c r="D2" s="399">
        <f>-(SUM(D7:D83))</f>
        <v>-456128.23000000004</v>
      </c>
      <c r="E2" s="399">
        <f>(H84+L84+Q84+V84)*-1</f>
        <v>1114222.3699999999</v>
      </c>
      <c r="F2" s="285">
        <f ca="1">D4</f>
        <v>0.10950168967247009</v>
      </c>
      <c r="G2" s="402">
        <f ca="1">(72/(F2*100))</f>
        <v>6.5752410045323328</v>
      </c>
      <c r="H2" s="401"/>
      <c r="I2" s="296"/>
      <c r="J2" s="400"/>
      <c r="K2" s="400"/>
      <c r="L2" s="296"/>
      <c r="M2" s="296"/>
      <c r="N2" s="296"/>
      <c r="O2" s="400"/>
      <c r="P2" s="400"/>
      <c r="Q2" s="400"/>
      <c r="R2" s="400"/>
      <c r="S2" s="400"/>
      <c r="T2" s="400"/>
      <c r="U2" s="400"/>
      <c r="V2" s="400"/>
      <c r="W2" s="296"/>
      <c r="X2" s="400"/>
      <c r="Y2" s="296"/>
      <c r="Z2" s="296"/>
    </row>
    <row r="3" spans="1:26" ht="11.25" customHeight="1" x14ac:dyDescent="0.25">
      <c r="A3" s="293"/>
      <c r="B3" s="403"/>
      <c r="C3" s="403"/>
      <c r="D3" s="400"/>
      <c r="E3" s="400"/>
      <c r="F3" s="296"/>
      <c r="G3" s="296"/>
      <c r="H3" s="296"/>
      <c r="I3" s="296"/>
      <c r="J3" s="400"/>
      <c r="K3" s="400"/>
      <c r="L3" s="296"/>
      <c r="M3" s="296"/>
      <c r="N3" s="296"/>
      <c r="O3" s="400"/>
      <c r="P3" s="400"/>
      <c r="Q3" s="400"/>
      <c r="R3" s="400"/>
      <c r="S3" s="400"/>
      <c r="T3" s="400"/>
      <c r="U3" s="400"/>
      <c r="V3" s="400"/>
      <c r="W3" s="296"/>
      <c r="X3" s="400"/>
      <c r="Y3" s="296"/>
      <c r="Z3" s="296"/>
    </row>
    <row r="4" spans="1:26" ht="11.25" customHeight="1" x14ac:dyDescent="0.25">
      <c r="A4" s="404"/>
      <c r="B4" s="405"/>
      <c r="C4" s="406"/>
      <c r="D4" s="296">
        <f ca="1">XIRR(D7:D84,B7:B84)</f>
        <v>0.10950168967247009</v>
      </c>
      <c r="E4" s="400"/>
      <c r="F4" s="296"/>
      <c r="G4" s="296"/>
      <c r="H4" s="296"/>
      <c r="I4" s="400"/>
      <c r="J4" s="296">
        <f ca="1">XIRR(H8:H84,B8:B84)</f>
        <v>0.11221086382865905</v>
      </c>
      <c r="K4" s="296"/>
      <c r="L4" s="296"/>
      <c r="M4" s="296"/>
      <c r="N4" s="400"/>
      <c r="O4" s="296">
        <f ca="1">XIRR(L7:L84,B7:B84)</f>
        <v>0.10819111466407777</v>
      </c>
      <c r="P4" s="296"/>
      <c r="Q4" s="296"/>
      <c r="R4" s="400"/>
      <c r="S4" s="400"/>
      <c r="T4" s="296">
        <f ca="1">XIRR(Q18:Q84,B18:B84)</f>
        <v>0.10770292878150942</v>
      </c>
      <c r="U4" s="296"/>
      <c r="V4" s="296"/>
      <c r="W4" s="296"/>
      <c r="X4" s="400"/>
      <c r="Y4" s="296">
        <f ca="1">XIRR(V16:V84,B16:B84)</f>
        <v>0.10600528120994568</v>
      </c>
      <c r="Z4" s="296"/>
    </row>
    <row r="5" spans="1:26" ht="11.25" customHeight="1" x14ac:dyDescent="0.25">
      <c r="A5" s="404"/>
      <c r="B5" s="295"/>
      <c r="C5" s="295"/>
      <c r="D5" s="567" t="s">
        <v>596</v>
      </c>
      <c r="E5" s="563"/>
      <c r="F5" s="563"/>
      <c r="G5" s="548"/>
      <c r="H5" s="568" t="s">
        <v>597</v>
      </c>
      <c r="I5" s="563"/>
      <c r="J5" s="563"/>
      <c r="K5" s="548"/>
      <c r="L5" s="569" t="s">
        <v>598</v>
      </c>
      <c r="M5" s="563"/>
      <c r="N5" s="563"/>
      <c r="O5" s="563"/>
      <c r="P5" s="548"/>
      <c r="Q5" s="568" t="s">
        <v>599</v>
      </c>
      <c r="R5" s="563"/>
      <c r="S5" s="563"/>
      <c r="T5" s="563"/>
      <c r="U5" s="548"/>
      <c r="V5" s="569" t="s">
        <v>600</v>
      </c>
      <c r="W5" s="563"/>
      <c r="X5" s="563"/>
      <c r="Y5" s="563"/>
      <c r="Z5" s="548"/>
    </row>
    <row r="6" spans="1:26" ht="11.25" customHeight="1" x14ac:dyDescent="0.25">
      <c r="A6" s="407" t="s">
        <v>601</v>
      </c>
      <c r="B6" s="407">
        <f ca="1">MAX(A:A)</f>
        <v>77</v>
      </c>
      <c r="C6" s="405"/>
      <c r="D6" s="338" t="s">
        <v>602</v>
      </c>
      <c r="E6" s="285" t="s">
        <v>603</v>
      </c>
      <c r="F6" s="285" t="s">
        <v>604</v>
      </c>
      <c r="G6" s="285" t="s">
        <v>605</v>
      </c>
      <c r="H6" s="408" t="s">
        <v>602</v>
      </c>
      <c r="I6" s="408" t="s">
        <v>603</v>
      </c>
      <c r="J6" s="408" t="s">
        <v>604</v>
      </c>
      <c r="K6" s="408" t="s">
        <v>605</v>
      </c>
      <c r="L6" s="409" t="s">
        <v>602</v>
      </c>
      <c r="M6" s="409" t="s">
        <v>606</v>
      </c>
      <c r="N6" s="409" t="s">
        <v>603</v>
      </c>
      <c r="O6" s="409" t="s">
        <v>604</v>
      </c>
      <c r="P6" s="409" t="s">
        <v>605</v>
      </c>
      <c r="Q6" s="408" t="s">
        <v>607</v>
      </c>
      <c r="R6" s="408" t="s">
        <v>608</v>
      </c>
      <c r="S6" s="408" t="s">
        <v>609</v>
      </c>
      <c r="T6" s="408" t="s">
        <v>604</v>
      </c>
      <c r="U6" s="408" t="s">
        <v>605</v>
      </c>
      <c r="V6" s="409" t="s">
        <v>610</v>
      </c>
      <c r="W6" s="409" t="s">
        <v>608</v>
      </c>
      <c r="X6" s="409" t="s">
        <v>603</v>
      </c>
      <c r="Y6" s="409" t="s">
        <v>604</v>
      </c>
      <c r="Z6" s="409" t="s">
        <v>605</v>
      </c>
    </row>
    <row r="7" spans="1:26" ht="11.25" customHeight="1" x14ac:dyDescent="0.25">
      <c r="A7" s="410">
        <f>_xlfn.RANK.EQ(G7,$G$7:$G$83)</f>
        <v>58</v>
      </c>
      <c r="B7" s="411">
        <v>39356</v>
      </c>
      <c r="C7" s="411">
        <v>39447</v>
      </c>
      <c r="D7" s="399">
        <f t="shared" ref="D7:D83" si="0">H7+L7+Q7+V7</f>
        <v>33.119999999999997</v>
      </c>
      <c r="E7" s="341">
        <f t="shared" ref="E7:F7" si="1">I7+N7+S7+X7</f>
        <v>0.05</v>
      </c>
      <c r="F7" s="341">
        <f t="shared" si="1"/>
        <v>33.17</v>
      </c>
      <c r="G7" s="285">
        <f>E7/(0+(D7/2))</f>
        <v>3.0193236714975849E-3</v>
      </c>
      <c r="H7" s="408">
        <v>0</v>
      </c>
      <c r="I7" s="408"/>
      <c r="J7" s="408"/>
      <c r="K7" s="412"/>
      <c r="L7" s="409">
        <v>33.119999999999997</v>
      </c>
      <c r="M7" s="409"/>
      <c r="N7" s="409">
        <v>0.05</v>
      </c>
      <c r="O7" s="409">
        <v>33.17</v>
      </c>
      <c r="P7" s="413">
        <f>N7/(0+(L7/2))</f>
        <v>3.0193236714975849E-3</v>
      </c>
      <c r="Q7" s="408"/>
      <c r="R7" s="408"/>
      <c r="S7" s="408"/>
      <c r="T7" s="408"/>
      <c r="U7" s="408"/>
      <c r="V7" s="409"/>
      <c r="W7" s="409"/>
      <c r="X7" s="409"/>
      <c r="Y7" s="409"/>
      <c r="Z7" s="409"/>
    </row>
    <row r="8" spans="1:26" ht="11.25" customHeight="1" x14ac:dyDescent="0.25">
      <c r="A8" s="410">
        <f t="shared" ref="A8:A71" si="2">_xlfn.RANK.EQ(G8,$G$7:$G$83)</f>
        <v>55</v>
      </c>
      <c r="B8" s="411">
        <v>39448</v>
      </c>
      <c r="C8" s="411">
        <v>39538</v>
      </c>
      <c r="D8" s="399">
        <f t="shared" si="0"/>
        <v>616.89</v>
      </c>
      <c r="E8" s="341">
        <f t="shared" ref="E8:F8" si="3">I8+N8+S8+X8</f>
        <v>2.14</v>
      </c>
      <c r="F8" s="341">
        <f t="shared" si="3"/>
        <v>652.20000000000005</v>
      </c>
      <c r="G8" s="285">
        <f t="shared" ref="G8:G83" si="4">E8/(F7+(D8/2))</f>
        <v>6.2643619279012927E-3</v>
      </c>
      <c r="H8" s="408">
        <v>479.8</v>
      </c>
      <c r="I8" s="408">
        <v>1.1200000000000001</v>
      </c>
      <c r="J8" s="408">
        <v>480.92</v>
      </c>
      <c r="K8" s="412">
        <f t="shared" ref="K8:K83" si="5">I8/(J7+(H8/2))</f>
        <v>4.6686119216340144E-3</v>
      </c>
      <c r="L8" s="409">
        <v>137.09</v>
      </c>
      <c r="M8" s="409"/>
      <c r="N8" s="409">
        <v>1.02</v>
      </c>
      <c r="O8" s="409">
        <f t="shared" ref="O8:O75" si="6">O7+L8+N8</f>
        <v>171.28</v>
      </c>
      <c r="P8" s="413">
        <f t="shared" ref="P8:P83" si="7">N8/(O7+(L8/2))</f>
        <v>1.0028019466155435E-2</v>
      </c>
      <c r="Q8" s="408"/>
      <c r="R8" s="408"/>
      <c r="S8" s="408"/>
      <c r="T8" s="408"/>
      <c r="U8" s="408"/>
      <c r="V8" s="409"/>
      <c r="W8" s="409"/>
      <c r="X8" s="409"/>
      <c r="Y8" s="409"/>
      <c r="Z8" s="409"/>
    </row>
    <row r="9" spans="1:26" ht="11.25" customHeight="1" x14ac:dyDescent="0.25">
      <c r="A9" s="410">
        <f t="shared" si="2"/>
        <v>52</v>
      </c>
      <c r="B9" s="411">
        <v>39539</v>
      </c>
      <c r="C9" s="411">
        <v>39629</v>
      </c>
      <c r="D9" s="399">
        <f t="shared" si="0"/>
        <v>1853.77</v>
      </c>
      <c r="E9" s="341">
        <f t="shared" ref="E9:F9" si="8">I9+N9+S9+X9</f>
        <v>12.58</v>
      </c>
      <c r="F9" s="341">
        <f t="shared" si="8"/>
        <v>2518.5500000000002</v>
      </c>
      <c r="G9" s="285">
        <f t="shared" si="4"/>
        <v>7.9666389079751879E-3</v>
      </c>
      <c r="H9" s="408">
        <v>1185.3800000000001</v>
      </c>
      <c r="I9" s="408">
        <v>9.18</v>
      </c>
      <c r="J9" s="408">
        <f t="shared" ref="J9:J83" si="9">J8+H9+I9</f>
        <v>1675.4800000000002</v>
      </c>
      <c r="K9" s="412">
        <f t="shared" si="5"/>
        <v>8.5505909967306549E-3</v>
      </c>
      <c r="L9" s="409">
        <v>668.39</v>
      </c>
      <c r="M9" s="409"/>
      <c r="N9" s="409">
        <v>3.4</v>
      </c>
      <c r="O9" s="409">
        <f t="shared" si="6"/>
        <v>843.06999999999994</v>
      </c>
      <c r="P9" s="413">
        <f t="shared" si="7"/>
        <v>6.7263465057619065E-3</v>
      </c>
      <c r="Q9" s="408"/>
      <c r="R9" s="408"/>
      <c r="S9" s="408"/>
      <c r="T9" s="408"/>
      <c r="U9" s="408"/>
      <c r="V9" s="409"/>
      <c r="W9" s="409"/>
      <c r="X9" s="409"/>
      <c r="Y9" s="409"/>
      <c r="Z9" s="409"/>
    </row>
    <row r="10" spans="1:26" ht="11.25" customHeight="1" x14ac:dyDescent="0.25">
      <c r="A10" s="410">
        <f t="shared" si="2"/>
        <v>49</v>
      </c>
      <c r="B10" s="411">
        <v>39630</v>
      </c>
      <c r="C10" s="411">
        <v>39721</v>
      </c>
      <c r="D10" s="399">
        <f t="shared" si="0"/>
        <v>1317.67</v>
      </c>
      <c r="E10" s="341">
        <f t="shared" ref="E10:F10" si="10">I10+N10+S10+X10</f>
        <v>32.43</v>
      </c>
      <c r="F10" s="341">
        <f t="shared" si="10"/>
        <v>3868.6500000000005</v>
      </c>
      <c r="G10" s="285">
        <f t="shared" si="4"/>
        <v>1.0206506293697489E-2</v>
      </c>
      <c r="H10" s="408">
        <v>1016.04</v>
      </c>
      <c r="I10" s="408">
        <v>22.28</v>
      </c>
      <c r="J10" s="408">
        <f t="shared" si="9"/>
        <v>2713.8000000000006</v>
      </c>
      <c r="K10" s="412">
        <f t="shared" si="5"/>
        <v>1.0203801236546829E-2</v>
      </c>
      <c r="L10" s="409">
        <v>301.63</v>
      </c>
      <c r="M10" s="409"/>
      <c r="N10" s="409">
        <v>10.15</v>
      </c>
      <c r="O10" s="409">
        <f t="shared" si="6"/>
        <v>1154.8499999999999</v>
      </c>
      <c r="P10" s="413">
        <f t="shared" si="7"/>
        <v>1.0212449126407985E-2</v>
      </c>
      <c r="Q10" s="408"/>
      <c r="R10" s="408"/>
      <c r="S10" s="408"/>
      <c r="T10" s="408"/>
      <c r="U10" s="408"/>
      <c r="V10" s="409"/>
      <c r="W10" s="409"/>
      <c r="X10" s="409"/>
      <c r="Y10" s="409"/>
      <c r="Z10" s="409"/>
    </row>
    <row r="11" spans="1:26" ht="11.25" customHeight="1" x14ac:dyDescent="0.25">
      <c r="A11" s="410">
        <f t="shared" si="2"/>
        <v>50</v>
      </c>
      <c r="B11" s="411">
        <v>39722</v>
      </c>
      <c r="C11" s="411">
        <v>39813</v>
      </c>
      <c r="D11" s="399">
        <f t="shared" si="0"/>
        <v>1523.3000000000002</v>
      </c>
      <c r="E11" s="341">
        <f t="shared" ref="E11:F11" si="11">I11+N11+S11+X11</f>
        <v>39.36</v>
      </c>
      <c r="F11" s="341">
        <f t="shared" si="11"/>
        <v>5431.31</v>
      </c>
      <c r="G11" s="285">
        <f t="shared" si="4"/>
        <v>8.5005291233829321E-3</v>
      </c>
      <c r="H11" s="408">
        <v>1255.94</v>
      </c>
      <c r="I11" s="408">
        <v>28.04</v>
      </c>
      <c r="J11" s="408">
        <f t="shared" si="9"/>
        <v>3997.7800000000007</v>
      </c>
      <c r="K11" s="412">
        <f t="shared" si="5"/>
        <v>8.3907629789004012E-3</v>
      </c>
      <c r="L11" s="409">
        <v>267.36</v>
      </c>
      <c r="M11" s="409"/>
      <c r="N11" s="409">
        <v>11.32</v>
      </c>
      <c r="O11" s="409">
        <f t="shared" si="6"/>
        <v>1433.53</v>
      </c>
      <c r="P11" s="413">
        <f t="shared" si="7"/>
        <v>8.7852048458320724E-3</v>
      </c>
      <c r="Q11" s="408"/>
      <c r="R11" s="408"/>
      <c r="S11" s="408"/>
      <c r="T11" s="408"/>
      <c r="U11" s="408"/>
      <c r="V11" s="409"/>
      <c r="W11" s="409"/>
      <c r="X11" s="409"/>
      <c r="Y11" s="409"/>
      <c r="Z11" s="409"/>
    </row>
    <row r="12" spans="1:26" ht="11.25" customHeight="1" x14ac:dyDescent="0.25">
      <c r="A12" s="410">
        <f t="shared" si="2"/>
        <v>65</v>
      </c>
      <c r="B12" s="414">
        <v>39814</v>
      </c>
      <c r="C12" s="414">
        <v>39903</v>
      </c>
      <c r="D12" s="399">
        <f t="shared" si="0"/>
        <v>1580.0299999999997</v>
      </c>
      <c r="E12" s="341">
        <f t="shared" ref="E12:F12" si="12">I12+N12+S12+X12</f>
        <v>-150.55000000000001</v>
      </c>
      <c r="F12" s="341">
        <f t="shared" si="12"/>
        <v>6860.7900000000009</v>
      </c>
      <c r="G12" s="285">
        <f t="shared" si="4"/>
        <v>-2.4199025127283978E-2</v>
      </c>
      <c r="H12" s="408">
        <v>1523.0499999999997</v>
      </c>
      <c r="I12" s="408">
        <v>-105.23</v>
      </c>
      <c r="J12" s="408">
        <f t="shared" si="9"/>
        <v>5415.6</v>
      </c>
      <c r="K12" s="412">
        <f t="shared" si="5"/>
        <v>-2.2110371157133237E-2</v>
      </c>
      <c r="L12" s="409">
        <v>56.98</v>
      </c>
      <c r="M12" s="409"/>
      <c r="N12" s="409">
        <v>-45.32</v>
      </c>
      <c r="O12" s="409">
        <f t="shared" si="6"/>
        <v>1445.19</v>
      </c>
      <c r="P12" s="413">
        <f t="shared" si="7"/>
        <v>-3.0998207958851453E-2</v>
      </c>
      <c r="Q12" s="408"/>
      <c r="R12" s="408"/>
      <c r="S12" s="408"/>
      <c r="T12" s="408"/>
      <c r="U12" s="408"/>
      <c r="V12" s="409"/>
      <c r="W12" s="409"/>
      <c r="X12" s="409"/>
      <c r="Y12" s="409"/>
      <c r="Z12" s="409"/>
    </row>
    <row r="13" spans="1:26" ht="11.25" customHeight="1" x14ac:dyDescent="0.25">
      <c r="A13" s="410">
        <f t="shared" si="2"/>
        <v>2</v>
      </c>
      <c r="B13" s="411">
        <v>39904</v>
      </c>
      <c r="C13" s="411">
        <v>39994</v>
      </c>
      <c r="D13" s="399">
        <f t="shared" si="0"/>
        <v>2024.3000000000002</v>
      </c>
      <c r="E13" s="341">
        <f t="shared" ref="E13:F13" si="13">I13+N13+S13+X13</f>
        <v>1364.23</v>
      </c>
      <c r="F13" s="341">
        <f t="shared" si="13"/>
        <v>10249.32</v>
      </c>
      <c r="G13" s="285">
        <f t="shared" si="4"/>
        <v>0.17328088363432212</v>
      </c>
      <c r="H13" s="408">
        <v>1796.41</v>
      </c>
      <c r="I13" s="408">
        <v>1083.82</v>
      </c>
      <c r="J13" s="408">
        <f t="shared" si="9"/>
        <v>8295.83</v>
      </c>
      <c r="K13" s="412">
        <f t="shared" si="5"/>
        <v>0.17165876994934115</v>
      </c>
      <c r="L13" s="409">
        <v>227.89</v>
      </c>
      <c r="M13" s="409"/>
      <c r="N13" s="409">
        <v>280.41000000000003</v>
      </c>
      <c r="O13" s="409">
        <f t="shared" si="6"/>
        <v>1953.49</v>
      </c>
      <c r="P13" s="413">
        <f t="shared" si="7"/>
        <v>0.17984972436639549</v>
      </c>
      <c r="Q13" s="408"/>
      <c r="R13" s="408"/>
      <c r="S13" s="408"/>
      <c r="T13" s="408"/>
      <c r="U13" s="408"/>
      <c r="V13" s="409"/>
      <c r="W13" s="409"/>
      <c r="X13" s="409"/>
      <c r="Y13" s="409"/>
      <c r="Z13" s="409"/>
    </row>
    <row r="14" spans="1:26" ht="11.25" customHeight="1" x14ac:dyDescent="0.25">
      <c r="A14" s="410">
        <f t="shared" si="2"/>
        <v>3</v>
      </c>
      <c r="B14" s="411">
        <v>39995</v>
      </c>
      <c r="C14" s="411">
        <v>40086</v>
      </c>
      <c r="D14" s="399">
        <f t="shared" si="0"/>
        <v>1150.5</v>
      </c>
      <c r="E14" s="341">
        <f t="shared" ref="E14:F14" si="14">I14+N14+S14+X14</f>
        <v>1817.51</v>
      </c>
      <c r="F14" s="341">
        <f t="shared" si="14"/>
        <v>13217.33</v>
      </c>
      <c r="G14" s="285">
        <f t="shared" si="4"/>
        <v>0.16790597686559375</v>
      </c>
      <c r="H14" s="408">
        <v>256.63</v>
      </c>
      <c r="I14" s="408">
        <v>1434.94</v>
      </c>
      <c r="J14" s="408">
        <f t="shared" si="9"/>
        <v>9987.4</v>
      </c>
      <c r="K14" s="412">
        <f t="shared" si="5"/>
        <v>0.17033657421613707</v>
      </c>
      <c r="L14" s="409">
        <v>893.87</v>
      </c>
      <c r="M14" s="409"/>
      <c r="N14" s="409">
        <v>382.57</v>
      </c>
      <c r="O14" s="409">
        <f t="shared" si="6"/>
        <v>3229.9300000000003</v>
      </c>
      <c r="P14" s="413">
        <f t="shared" si="7"/>
        <v>0.15937594384327775</v>
      </c>
      <c r="Q14" s="408"/>
      <c r="R14" s="408"/>
      <c r="S14" s="408"/>
      <c r="T14" s="408"/>
      <c r="U14" s="408"/>
      <c r="V14" s="409"/>
      <c r="W14" s="409"/>
      <c r="X14" s="409"/>
      <c r="Y14" s="409"/>
      <c r="Z14" s="409"/>
    </row>
    <row r="15" spans="1:26" ht="11.25" customHeight="1" x14ac:dyDescent="0.25">
      <c r="A15" s="410">
        <f t="shared" si="2"/>
        <v>37</v>
      </c>
      <c r="B15" s="411">
        <v>40087</v>
      </c>
      <c r="C15" s="411">
        <v>40178</v>
      </c>
      <c r="D15" s="399">
        <f t="shared" si="0"/>
        <v>1466</v>
      </c>
      <c r="E15" s="341">
        <f t="shared" ref="E15:F15" si="15">I15+N15+S15+X15</f>
        <v>558.29</v>
      </c>
      <c r="F15" s="341">
        <f t="shared" si="15"/>
        <v>15241.619999999999</v>
      </c>
      <c r="G15" s="285">
        <f t="shared" si="4"/>
        <v>4.0019841824530313E-2</v>
      </c>
      <c r="H15" s="408">
        <v>0</v>
      </c>
      <c r="I15" s="408">
        <v>391.74</v>
      </c>
      <c r="J15" s="408">
        <f t="shared" si="9"/>
        <v>10379.14</v>
      </c>
      <c r="K15" s="412">
        <f t="shared" si="5"/>
        <v>3.9223421511103994E-2</v>
      </c>
      <c r="L15" s="409">
        <v>1466</v>
      </c>
      <c r="M15" s="409"/>
      <c r="N15" s="409">
        <v>166.55</v>
      </c>
      <c r="O15" s="409">
        <f t="shared" si="6"/>
        <v>4862.4800000000005</v>
      </c>
      <c r="P15" s="413">
        <f t="shared" si="7"/>
        <v>4.2026985084268456E-2</v>
      </c>
      <c r="Q15" s="408"/>
      <c r="R15" s="408"/>
      <c r="S15" s="408"/>
      <c r="T15" s="408"/>
      <c r="U15" s="408"/>
      <c r="V15" s="409"/>
      <c r="W15" s="409"/>
      <c r="X15" s="409"/>
      <c r="Y15" s="409"/>
      <c r="Z15" s="409"/>
    </row>
    <row r="16" spans="1:26" ht="11.25" customHeight="1" x14ac:dyDescent="0.25">
      <c r="A16" s="410">
        <f t="shared" si="2"/>
        <v>28</v>
      </c>
      <c r="B16" s="411">
        <v>40179</v>
      </c>
      <c r="C16" s="411">
        <v>40268</v>
      </c>
      <c r="D16" s="399">
        <f t="shared" si="0"/>
        <v>1386.53</v>
      </c>
      <c r="E16" s="341">
        <f t="shared" ref="E16:F16" si="16">I16+N16+S16+X16</f>
        <v>828.7700000000001</v>
      </c>
      <c r="F16" s="341">
        <f t="shared" si="16"/>
        <v>17456.920000000002</v>
      </c>
      <c r="G16" s="285">
        <f t="shared" si="4"/>
        <v>5.2009788586488082E-2</v>
      </c>
      <c r="H16" s="408">
        <v>0</v>
      </c>
      <c r="I16" s="408">
        <v>522.48</v>
      </c>
      <c r="J16" s="408">
        <f t="shared" si="9"/>
        <v>10901.619999999999</v>
      </c>
      <c r="K16" s="412">
        <f t="shared" si="5"/>
        <v>5.0339430819894525E-2</v>
      </c>
      <c r="L16" s="409">
        <v>1090</v>
      </c>
      <c r="M16" s="409"/>
      <c r="N16" s="409">
        <v>297.17</v>
      </c>
      <c r="O16" s="409">
        <f t="shared" si="6"/>
        <v>6249.6500000000005</v>
      </c>
      <c r="P16" s="413">
        <f t="shared" si="7"/>
        <v>5.4955358133548342E-2</v>
      </c>
      <c r="Q16" s="408"/>
      <c r="R16" s="408"/>
      <c r="S16" s="408"/>
      <c r="T16" s="408"/>
      <c r="U16" s="408"/>
      <c r="V16" s="409">
        <v>296.52999999999997</v>
      </c>
      <c r="W16" s="409"/>
      <c r="X16" s="409">
        <v>9.1199999999999992</v>
      </c>
      <c r="Y16" s="409">
        <f t="shared" ref="Y16:Y83" si="17">Y15+V16+X16+W16</f>
        <v>305.64999999999998</v>
      </c>
      <c r="Z16" s="413">
        <f t="shared" ref="Z16:Z83" si="18">X16/(Y15+(V16/2))</f>
        <v>6.1511482817927357E-2</v>
      </c>
    </row>
    <row r="17" spans="1:26" ht="11.25" customHeight="1" x14ac:dyDescent="0.25">
      <c r="A17" s="410">
        <f t="shared" si="2"/>
        <v>73</v>
      </c>
      <c r="B17" s="411">
        <v>40269</v>
      </c>
      <c r="C17" s="415">
        <v>40359</v>
      </c>
      <c r="D17" s="399">
        <f t="shared" si="0"/>
        <v>1914.0600000000002</v>
      </c>
      <c r="E17" s="341">
        <f t="shared" ref="E17:F17" si="19">I17+N17+S17+X17</f>
        <v>-1649.6899999999998</v>
      </c>
      <c r="F17" s="341">
        <f t="shared" si="19"/>
        <v>17721.29</v>
      </c>
      <c r="G17" s="285">
        <f t="shared" si="4"/>
        <v>-8.9589143013856329E-2</v>
      </c>
      <c r="H17" s="408">
        <v>269.69</v>
      </c>
      <c r="I17" s="408">
        <v>-964.57</v>
      </c>
      <c r="J17" s="408">
        <f t="shared" si="9"/>
        <v>10206.74</v>
      </c>
      <c r="K17" s="412">
        <f t="shared" si="5"/>
        <v>-8.739845593675151E-2</v>
      </c>
      <c r="L17" s="409">
        <v>1324.91</v>
      </c>
      <c r="M17" s="409"/>
      <c r="N17" s="409">
        <v>-653.51</v>
      </c>
      <c r="O17" s="409">
        <f t="shared" si="6"/>
        <v>6921.05</v>
      </c>
      <c r="P17" s="413">
        <f t="shared" si="7"/>
        <v>-9.4545728110322386E-2</v>
      </c>
      <c r="Q17" s="408"/>
      <c r="R17" s="408"/>
      <c r="S17" s="408"/>
      <c r="T17" s="408"/>
      <c r="U17" s="408"/>
      <c r="V17" s="409">
        <v>319.45999999999998</v>
      </c>
      <c r="W17" s="409"/>
      <c r="X17" s="409">
        <v>-31.61</v>
      </c>
      <c r="Y17" s="409">
        <f t="shared" si="17"/>
        <v>593.49999999999989</v>
      </c>
      <c r="Z17" s="413">
        <f t="shared" si="18"/>
        <v>-6.7922987665993376E-2</v>
      </c>
    </row>
    <row r="18" spans="1:26" ht="11.25" customHeight="1" x14ac:dyDescent="0.25">
      <c r="A18" s="410">
        <f t="shared" si="2"/>
        <v>9</v>
      </c>
      <c r="B18" s="411">
        <v>40360</v>
      </c>
      <c r="C18" s="415">
        <v>40451</v>
      </c>
      <c r="D18" s="399">
        <f t="shared" si="0"/>
        <v>2547.6999999999998</v>
      </c>
      <c r="E18" s="341">
        <f t="shared" ref="E18:F18" si="20">I18+N18+S18+X18</f>
        <v>2062.5700000000002</v>
      </c>
      <c r="F18" s="341">
        <f t="shared" si="20"/>
        <v>22331.559999999998</v>
      </c>
      <c r="G18" s="285">
        <f t="shared" si="4"/>
        <v>0.10858409045682213</v>
      </c>
      <c r="H18" s="408">
        <v>1618.14</v>
      </c>
      <c r="I18" s="408">
        <v>1192.33</v>
      </c>
      <c r="J18" s="408">
        <f t="shared" si="9"/>
        <v>13017.21</v>
      </c>
      <c r="K18" s="412">
        <f t="shared" si="5"/>
        <v>0.10823806873938457</v>
      </c>
      <c r="L18" s="409">
        <v>377.78</v>
      </c>
      <c r="M18" s="409"/>
      <c r="N18" s="409">
        <v>799.23</v>
      </c>
      <c r="O18" s="409">
        <f t="shared" si="6"/>
        <v>8098.0599999999995</v>
      </c>
      <c r="P18" s="413">
        <f t="shared" si="7"/>
        <v>0.11241023130996886</v>
      </c>
      <c r="Q18" s="408">
        <v>273.5</v>
      </c>
      <c r="R18" s="408"/>
      <c r="S18" s="408">
        <v>2.15</v>
      </c>
      <c r="T18" s="408">
        <f t="shared" ref="T18:T83" si="21">T17+Q18+S18+R18</f>
        <v>275.64999999999998</v>
      </c>
      <c r="U18" s="412">
        <f t="shared" ref="U18:U83" si="22">S18/(T17+(Q18/2))</f>
        <v>1.5722120658135282E-2</v>
      </c>
      <c r="V18" s="409">
        <v>278.27999999999997</v>
      </c>
      <c r="W18" s="409"/>
      <c r="X18" s="409">
        <v>68.86</v>
      </c>
      <c r="Y18" s="409">
        <f t="shared" si="17"/>
        <v>940.63999999999987</v>
      </c>
      <c r="Z18" s="413">
        <f t="shared" si="18"/>
        <v>9.3988862196986253E-2</v>
      </c>
    </row>
    <row r="19" spans="1:26" ht="11.25" customHeight="1" x14ac:dyDescent="0.25">
      <c r="A19" s="410">
        <f t="shared" si="2"/>
        <v>11</v>
      </c>
      <c r="B19" s="411">
        <v>40452</v>
      </c>
      <c r="C19" s="415">
        <v>40543</v>
      </c>
      <c r="D19" s="399">
        <f t="shared" si="0"/>
        <v>6533.1900000000005</v>
      </c>
      <c r="E19" s="341">
        <f t="shared" ref="E19:F19" si="23">I19+N19+S19+X19</f>
        <v>2252.0500000000002</v>
      </c>
      <c r="F19" s="341">
        <f t="shared" si="23"/>
        <v>31116.799999999999</v>
      </c>
      <c r="G19" s="285">
        <f t="shared" si="4"/>
        <v>8.7977043658029275E-2</v>
      </c>
      <c r="H19" s="408">
        <v>3863.84</v>
      </c>
      <c r="I19" s="408">
        <v>1331.18</v>
      </c>
      <c r="J19" s="408">
        <f t="shared" si="9"/>
        <v>18212.23</v>
      </c>
      <c r="K19" s="412">
        <f t="shared" si="5"/>
        <v>8.9047322486325298E-2</v>
      </c>
      <c r="L19" s="409">
        <v>283.35000000000002</v>
      </c>
      <c r="M19" s="409"/>
      <c r="N19" s="409">
        <v>687.46</v>
      </c>
      <c r="O19" s="409">
        <f t="shared" si="6"/>
        <v>9068.869999999999</v>
      </c>
      <c r="P19" s="413">
        <f t="shared" si="7"/>
        <v>8.3432294849288255E-2</v>
      </c>
      <c r="Q19" s="408">
        <v>2045.16</v>
      </c>
      <c r="R19" s="408"/>
      <c r="S19" s="408">
        <v>123.52</v>
      </c>
      <c r="T19" s="408">
        <f t="shared" si="21"/>
        <v>2444.33</v>
      </c>
      <c r="U19" s="412">
        <f t="shared" si="22"/>
        <v>9.5144928094405459E-2</v>
      </c>
      <c r="V19" s="409">
        <v>340.84</v>
      </c>
      <c r="W19" s="409"/>
      <c r="X19" s="409">
        <v>109.89</v>
      </c>
      <c r="Y19" s="409">
        <f t="shared" si="17"/>
        <v>1391.37</v>
      </c>
      <c r="Z19" s="413">
        <f t="shared" si="18"/>
        <v>9.8905549655284142E-2</v>
      </c>
    </row>
    <row r="20" spans="1:26" ht="11.25" customHeight="1" x14ac:dyDescent="0.25">
      <c r="A20" s="410">
        <f t="shared" si="2"/>
        <v>31</v>
      </c>
      <c r="B20" s="411">
        <v>40544</v>
      </c>
      <c r="C20" s="415">
        <v>40633</v>
      </c>
      <c r="D20" s="399">
        <f t="shared" si="0"/>
        <v>3746.7000000000007</v>
      </c>
      <c r="E20" s="341">
        <f t="shared" ref="E20:F20" si="24">I20+N20+S20+X20</f>
        <v>1618.06</v>
      </c>
      <c r="F20" s="341">
        <f t="shared" si="24"/>
        <v>36481.56</v>
      </c>
      <c r="G20" s="285">
        <f t="shared" si="4"/>
        <v>4.9046760927125212E-2</v>
      </c>
      <c r="H20" s="408">
        <v>1660.2900000000002</v>
      </c>
      <c r="I20" s="408">
        <v>923.35</v>
      </c>
      <c r="J20" s="408">
        <f t="shared" si="9"/>
        <v>20795.87</v>
      </c>
      <c r="K20" s="412">
        <f t="shared" si="5"/>
        <v>4.8489224689672379E-2</v>
      </c>
      <c r="L20" s="409">
        <v>223.47</v>
      </c>
      <c r="M20" s="409"/>
      <c r="N20" s="409">
        <v>452.46</v>
      </c>
      <c r="O20" s="409">
        <f t="shared" si="6"/>
        <v>9744.7999999999975</v>
      </c>
      <c r="P20" s="413">
        <f t="shared" si="7"/>
        <v>4.9284333657749133E-2</v>
      </c>
      <c r="Q20" s="408">
        <v>1562.47</v>
      </c>
      <c r="R20" s="408"/>
      <c r="S20" s="408">
        <v>163.33000000000001</v>
      </c>
      <c r="T20" s="408">
        <f t="shared" si="21"/>
        <v>4170.13</v>
      </c>
      <c r="U20" s="412">
        <f t="shared" si="22"/>
        <v>5.0636090111344838E-2</v>
      </c>
      <c r="V20" s="409">
        <v>300.47000000000003</v>
      </c>
      <c r="W20" s="409"/>
      <c r="X20" s="409">
        <v>78.92</v>
      </c>
      <c r="Y20" s="409">
        <f t="shared" si="17"/>
        <v>1770.76</v>
      </c>
      <c r="Z20" s="413">
        <f t="shared" si="18"/>
        <v>5.1193399087314843E-2</v>
      </c>
    </row>
    <row r="21" spans="1:26" ht="11.25" customHeight="1" x14ac:dyDescent="0.25">
      <c r="A21" s="410">
        <f t="shared" si="2"/>
        <v>57</v>
      </c>
      <c r="B21" s="411">
        <v>40634</v>
      </c>
      <c r="C21" s="415">
        <v>40724</v>
      </c>
      <c r="D21" s="399">
        <f t="shared" si="0"/>
        <v>4581.7999999999993</v>
      </c>
      <c r="E21" s="341">
        <f t="shared" ref="E21:F21" si="25">I21+N21+S21+X21</f>
        <v>163.54999999999998</v>
      </c>
      <c r="F21" s="341">
        <f t="shared" si="25"/>
        <v>41226.910000000003</v>
      </c>
      <c r="G21" s="285">
        <f t="shared" si="4"/>
        <v>4.2182002380039847E-3</v>
      </c>
      <c r="H21" s="408">
        <v>1946.84</v>
      </c>
      <c r="I21" s="408">
        <v>143.38</v>
      </c>
      <c r="J21" s="408">
        <f t="shared" si="9"/>
        <v>22886.09</v>
      </c>
      <c r="K21" s="412">
        <f t="shared" si="5"/>
        <v>6.5863425035910684E-3</v>
      </c>
      <c r="L21" s="409">
        <v>446.92</v>
      </c>
      <c r="M21" s="409"/>
      <c r="N21" s="409">
        <v>64.150000000000006</v>
      </c>
      <c r="O21" s="409">
        <f t="shared" si="6"/>
        <v>10255.869999999997</v>
      </c>
      <c r="P21" s="413">
        <f t="shared" si="7"/>
        <v>6.4354260422581303E-3</v>
      </c>
      <c r="Q21" s="408">
        <v>1835.14</v>
      </c>
      <c r="R21" s="408"/>
      <c r="S21" s="408">
        <v>-31.3</v>
      </c>
      <c r="T21" s="408">
        <f t="shared" si="21"/>
        <v>5973.97</v>
      </c>
      <c r="U21" s="412">
        <f t="shared" si="22"/>
        <v>-6.1520923010397631E-3</v>
      </c>
      <c r="V21" s="409">
        <v>352.9</v>
      </c>
      <c r="W21" s="409"/>
      <c r="X21" s="409">
        <v>-12.68</v>
      </c>
      <c r="Y21" s="409">
        <f t="shared" si="17"/>
        <v>2110.98</v>
      </c>
      <c r="Z21" s="413">
        <f t="shared" si="18"/>
        <v>-6.5118811016788118E-3</v>
      </c>
    </row>
    <row r="22" spans="1:26" ht="11.25" customHeight="1" x14ac:dyDescent="0.25">
      <c r="A22" s="410">
        <f t="shared" si="2"/>
        <v>76</v>
      </c>
      <c r="B22" s="411">
        <v>40725</v>
      </c>
      <c r="C22" s="415">
        <v>40816</v>
      </c>
      <c r="D22" s="399">
        <f t="shared" si="0"/>
        <v>3774.6600000000008</v>
      </c>
      <c r="E22" s="341">
        <f t="shared" ref="E22:F22" si="26">I22+N22+S22+X22</f>
        <v>-6501.0899999999992</v>
      </c>
      <c r="F22" s="341">
        <f t="shared" si="26"/>
        <v>38500.479999999996</v>
      </c>
      <c r="G22" s="285">
        <f t="shared" si="4"/>
        <v>-0.15078753562628028</v>
      </c>
      <c r="H22" s="408">
        <v>1668.7200000000003</v>
      </c>
      <c r="I22" s="408">
        <v>-3546.62</v>
      </c>
      <c r="J22" s="408">
        <f t="shared" si="9"/>
        <v>21008.190000000002</v>
      </c>
      <c r="K22" s="412">
        <f t="shared" si="5"/>
        <v>-0.14951739954343193</v>
      </c>
      <c r="L22" s="409">
        <v>368.07</v>
      </c>
      <c r="M22" s="409"/>
      <c r="N22" s="409">
        <v>-1548.35</v>
      </c>
      <c r="O22" s="409">
        <f t="shared" si="6"/>
        <v>9075.5899999999965</v>
      </c>
      <c r="P22" s="413">
        <f t="shared" si="7"/>
        <v>-0.14831073654405863</v>
      </c>
      <c r="Q22" s="408">
        <v>1457.5700000000002</v>
      </c>
      <c r="R22" s="408"/>
      <c r="S22" s="408">
        <v>-1054.22</v>
      </c>
      <c r="T22" s="408">
        <f t="shared" si="21"/>
        <v>6377.3200000000006</v>
      </c>
      <c r="U22" s="412">
        <f t="shared" si="22"/>
        <v>-0.15728159540368103</v>
      </c>
      <c r="V22" s="409">
        <v>280.3</v>
      </c>
      <c r="W22" s="409"/>
      <c r="X22" s="409">
        <v>-351.9</v>
      </c>
      <c r="Y22" s="409">
        <f t="shared" si="17"/>
        <v>2039.38</v>
      </c>
      <c r="Z22" s="413">
        <f t="shared" si="18"/>
        <v>-0.15632149187297045</v>
      </c>
    </row>
    <row r="23" spans="1:26" ht="11.25" customHeight="1" x14ac:dyDescent="0.25">
      <c r="A23" s="410">
        <f t="shared" si="2"/>
        <v>12</v>
      </c>
      <c r="B23" s="411">
        <v>40817</v>
      </c>
      <c r="C23" s="415">
        <v>40908</v>
      </c>
      <c r="D23" s="399">
        <f t="shared" si="0"/>
        <v>4156.38</v>
      </c>
      <c r="E23" s="341">
        <f t="shared" ref="E23:F23" si="27">I23+N23+S23+X23</f>
        <v>3470.22</v>
      </c>
      <c r="F23" s="341">
        <f t="shared" si="27"/>
        <v>46127.079999999994</v>
      </c>
      <c r="G23" s="285">
        <f t="shared" si="4"/>
        <v>8.5518327732279048E-2</v>
      </c>
      <c r="H23" s="408">
        <v>2040.26</v>
      </c>
      <c r="I23" s="408">
        <v>1961.05</v>
      </c>
      <c r="J23" s="408">
        <f t="shared" si="9"/>
        <v>25009.5</v>
      </c>
      <c r="K23" s="412">
        <f t="shared" si="5"/>
        <v>8.9024038147257692E-2</v>
      </c>
      <c r="L23" s="409">
        <v>270.62</v>
      </c>
      <c r="M23" s="409"/>
      <c r="N23" s="409">
        <v>824.52</v>
      </c>
      <c r="O23" s="409">
        <f t="shared" si="6"/>
        <v>10170.729999999998</v>
      </c>
      <c r="P23" s="413">
        <f t="shared" si="7"/>
        <v>8.9515682506595487E-2</v>
      </c>
      <c r="Q23" s="408">
        <v>1547.8500000000001</v>
      </c>
      <c r="R23" s="408"/>
      <c r="S23" s="408">
        <v>521.65</v>
      </c>
      <c r="T23" s="408">
        <f t="shared" si="21"/>
        <v>8446.8200000000015</v>
      </c>
      <c r="U23" s="412">
        <f t="shared" si="22"/>
        <v>7.2945340286901084E-2</v>
      </c>
      <c r="V23" s="409">
        <v>297.64999999999998</v>
      </c>
      <c r="W23" s="409"/>
      <c r="X23" s="409">
        <v>163</v>
      </c>
      <c r="Y23" s="409">
        <f t="shared" si="17"/>
        <v>2500.0300000000002</v>
      </c>
      <c r="Z23" s="413">
        <f t="shared" si="18"/>
        <v>7.4490278561652135E-2</v>
      </c>
    </row>
    <row r="24" spans="1:26" ht="11.25" customHeight="1" x14ac:dyDescent="0.25">
      <c r="A24" s="410">
        <f t="shared" si="2"/>
        <v>8</v>
      </c>
      <c r="B24" s="411">
        <v>40909</v>
      </c>
      <c r="C24" s="415">
        <v>40999</v>
      </c>
      <c r="D24" s="399">
        <f t="shared" si="0"/>
        <v>4009.2599999999998</v>
      </c>
      <c r="E24" s="341">
        <f t="shared" ref="E24:F24" si="28">I24+N24+S24+X24</f>
        <v>5260.63</v>
      </c>
      <c r="F24" s="341">
        <f t="shared" si="28"/>
        <v>55396.97</v>
      </c>
      <c r="G24" s="285">
        <f t="shared" si="4"/>
        <v>0.10929655314552508</v>
      </c>
      <c r="H24" s="408">
        <v>1824.4199999999998</v>
      </c>
      <c r="I24" s="408">
        <v>2841.64</v>
      </c>
      <c r="J24" s="408">
        <f t="shared" si="9"/>
        <v>29675.559999999998</v>
      </c>
      <c r="K24" s="412">
        <f t="shared" si="5"/>
        <v>0.10962394070452913</v>
      </c>
      <c r="L24" s="409">
        <v>326.49</v>
      </c>
      <c r="M24" s="409"/>
      <c r="N24" s="409">
        <v>1133.67</v>
      </c>
      <c r="O24" s="409">
        <f t="shared" si="6"/>
        <v>11630.889999999998</v>
      </c>
      <c r="P24" s="413">
        <f t="shared" si="7"/>
        <v>0.10970318778591977</v>
      </c>
      <c r="Q24" s="408">
        <v>1558.6200000000001</v>
      </c>
      <c r="R24" s="408"/>
      <c r="S24" s="408">
        <v>996.22</v>
      </c>
      <c r="T24" s="408">
        <f t="shared" si="21"/>
        <v>11001.660000000002</v>
      </c>
      <c r="U24" s="412">
        <f t="shared" si="22"/>
        <v>0.10797810132742547</v>
      </c>
      <c r="V24" s="409">
        <v>299.73</v>
      </c>
      <c r="W24" s="409"/>
      <c r="X24" s="409">
        <v>289.10000000000002</v>
      </c>
      <c r="Y24" s="409">
        <f t="shared" si="17"/>
        <v>3088.86</v>
      </c>
      <c r="Z24" s="413">
        <f t="shared" si="18"/>
        <v>0.10909866239983093</v>
      </c>
    </row>
    <row r="25" spans="1:26" ht="11.25" customHeight="1" x14ac:dyDescent="0.25">
      <c r="A25" s="410">
        <f t="shared" si="2"/>
        <v>69</v>
      </c>
      <c r="B25" s="411">
        <v>41000</v>
      </c>
      <c r="C25" s="415">
        <v>41090</v>
      </c>
      <c r="D25" s="399">
        <f t="shared" si="0"/>
        <v>4597.21</v>
      </c>
      <c r="E25" s="341">
        <f t="shared" ref="E25:F25" si="29">I25+N25+S25+X25</f>
        <v>-1979.1799999999998</v>
      </c>
      <c r="F25" s="341">
        <f t="shared" si="29"/>
        <v>58014.999999999993</v>
      </c>
      <c r="G25" s="285">
        <f t="shared" si="4"/>
        <v>-3.4303843925639003E-2</v>
      </c>
      <c r="H25" s="408">
        <v>1946.84</v>
      </c>
      <c r="I25" s="408">
        <v>-1067.25</v>
      </c>
      <c r="J25" s="408">
        <f t="shared" si="9"/>
        <v>30555.149999999998</v>
      </c>
      <c r="K25" s="412">
        <f t="shared" si="5"/>
        <v>-3.4821713479535048E-2</v>
      </c>
      <c r="L25" s="409">
        <v>274.95999999999998</v>
      </c>
      <c r="M25" s="409"/>
      <c r="N25" s="409">
        <v>-422.87</v>
      </c>
      <c r="O25" s="409">
        <f t="shared" si="6"/>
        <v>11482.979999999996</v>
      </c>
      <c r="P25" s="413">
        <f t="shared" si="7"/>
        <v>-3.5932758742289725E-2</v>
      </c>
      <c r="Q25" s="408">
        <v>1992.29</v>
      </c>
      <c r="R25" s="408"/>
      <c r="S25" s="408">
        <v>-380.96</v>
      </c>
      <c r="T25" s="408">
        <f t="shared" si="21"/>
        <v>12612.990000000002</v>
      </c>
      <c r="U25" s="412">
        <f t="shared" si="22"/>
        <v>-3.1752474723501498E-2</v>
      </c>
      <c r="V25" s="409">
        <v>383.12</v>
      </c>
      <c r="W25" s="409"/>
      <c r="X25" s="409">
        <v>-108.1</v>
      </c>
      <c r="Y25" s="409">
        <f t="shared" si="17"/>
        <v>3363.88</v>
      </c>
      <c r="Z25" s="413">
        <f t="shared" si="18"/>
        <v>-3.2953097469226499E-2</v>
      </c>
    </row>
    <row r="26" spans="1:26" ht="11.25" customHeight="1" x14ac:dyDescent="0.25">
      <c r="A26" s="410">
        <f t="shared" si="2"/>
        <v>26</v>
      </c>
      <c r="B26" s="411">
        <v>41091</v>
      </c>
      <c r="C26" s="415">
        <v>41182</v>
      </c>
      <c r="D26" s="399">
        <f t="shared" si="0"/>
        <v>3933.5200000000004</v>
      </c>
      <c r="E26" s="341">
        <f t="shared" ref="E26:F26" si="30">I26+N26+S26+X26</f>
        <v>3440.42</v>
      </c>
      <c r="F26" s="341">
        <f t="shared" si="30"/>
        <v>65388.939999999995</v>
      </c>
      <c r="G26" s="285">
        <f t="shared" si="4"/>
        <v>5.7357770095442351E-2</v>
      </c>
      <c r="H26" s="408">
        <v>1529.66</v>
      </c>
      <c r="I26" s="408">
        <v>1808.7</v>
      </c>
      <c r="J26" s="408">
        <f t="shared" si="9"/>
        <v>33893.509999999995</v>
      </c>
      <c r="K26" s="412">
        <f t="shared" si="5"/>
        <v>5.7749079022400403E-2</v>
      </c>
      <c r="L26" s="409">
        <v>532.69000000000005</v>
      </c>
      <c r="M26" s="409"/>
      <c r="N26" s="409">
        <v>676.72</v>
      </c>
      <c r="O26" s="409">
        <f t="shared" si="6"/>
        <v>12692.389999999996</v>
      </c>
      <c r="P26" s="413">
        <f t="shared" si="7"/>
        <v>5.7596500224481005E-2</v>
      </c>
      <c r="Q26" s="408">
        <v>1569.3700000000001</v>
      </c>
      <c r="R26" s="408"/>
      <c r="S26" s="408">
        <v>756.83</v>
      </c>
      <c r="T26" s="408">
        <f t="shared" si="21"/>
        <v>14939.190000000002</v>
      </c>
      <c r="U26" s="412">
        <f t="shared" si="22"/>
        <v>5.6489652122476475E-2</v>
      </c>
      <c r="V26" s="409">
        <v>301.8</v>
      </c>
      <c r="W26" s="409"/>
      <c r="X26" s="409">
        <v>198.17</v>
      </c>
      <c r="Y26" s="409">
        <f t="shared" si="17"/>
        <v>3863.8500000000004</v>
      </c>
      <c r="Z26" s="413">
        <f t="shared" si="18"/>
        <v>5.6381907260198358E-2</v>
      </c>
    </row>
    <row r="27" spans="1:26" ht="11.25" customHeight="1" x14ac:dyDescent="0.25">
      <c r="A27" s="410">
        <f t="shared" si="2"/>
        <v>41</v>
      </c>
      <c r="B27" s="411">
        <v>41183</v>
      </c>
      <c r="C27" s="415">
        <v>41274</v>
      </c>
      <c r="D27" s="399">
        <f t="shared" si="0"/>
        <v>4615.8599999999997</v>
      </c>
      <c r="E27" s="341">
        <f t="shared" ref="E27:F27" si="31">I27+N27+S27+X27</f>
        <v>1640.4599999999998</v>
      </c>
      <c r="F27" s="341">
        <f t="shared" si="31"/>
        <v>71645.25999999998</v>
      </c>
      <c r="G27" s="285">
        <f t="shared" si="4"/>
        <v>2.4232434970774867E-2</v>
      </c>
      <c r="H27" s="408">
        <v>1946.84</v>
      </c>
      <c r="I27" s="408">
        <v>835.2</v>
      </c>
      <c r="J27" s="408">
        <f t="shared" si="9"/>
        <v>36675.549999999988</v>
      </c>
      <c r="K27" s="412">
        <f t="shared" si="5"/>
        <v>2.3953929984658822E-2</v>
      </c>
      <c r="L27" s="409">
        <v>438.25</v>
      </c>
      <c r="M27" s="409"/>
      <c r="N27" s="409">
        <v>307.38</v>
      </c>
      <c r="O27" s="409">
        <f t="shared" si="6"/>
        <v>13438.019999999995</v>
      </c>
      <c r="P27" s="413">
        <f t="shared" si="7"/>
        <v>2.380665630640557E-2</v>
      </c>
      <c r="Q27" s="408">
        <v>1870.98</v>
      </c>
      <c r="R27" s="408"/>
      <c r="S27" s="408">
        <v>398.3</v>
      </c>
      <c r="T27" s="408">
        <f t="shared" si="21"/>
        <v>17208.47</v>
      </c>
      <c r="U27" s="412">
        <f t="shared" si="22"/>
        <v>2.5090269536141827E-2</v>
      </c>
      <c r="V27" s="409">
        <v>359.79</v>
      </c>
      <c r="W27" s="409"/>
      <c r="X27" s="409">
        <v>99.58</v>
      </c>
      <c r="Y27" s="409">
        <f t="shared" si="17"/>
        <v>4323.22</v>
      </c>
      <c r="Z27" s="413">
        <f t="shared" si="18"/>
        <v>2.4625687326970416E-2</v>
      </c>
    </row>
    <row r="28" spans="1:26" ht="11.25" customHeight="1" x14ac:dyDescent="0.25">
      <c r="A28" s="410">
        <f t="shared" si="2"/>
        <v>13</v>
      </c>
      <c r="B28" s="411">
        <v>41275</v>
      </c>
      <c r="C28" s="415">
        <v>41364</v>
      </c>
      <c r="D28" s="399">
        <f t="shared" si="0"/>
        <v>3774.9599999999996</v>
      </c>
      <c r="E28" s="341">
        <f t="shared" ref="E28:F28" si="32">I28+N28+S28+X28</f>
        <v>5662.7</v>
      </c>
      <c r="F28" s="341">
        <f t="shared" si="32"/>
        <v>81082.919999999984</v>
      </c>
      <c r="G28" s="285">
        <f t="shared" si="4"/>
        <v>7.7009234254020745E-2</v>
      </c>
      <c r="H28" s="408">
        <v>1495.97</v>
      </c>
      <c r="I28" s="408">
        <v>3009.58</v>
      </c>
      <c r="J28" s="408">
        <f t="shared" si="9"/>
        <v>41181.099999999991</v>
      </c>
      <c r="K28" s="412">
        <f t="shared" si="5"/>
        <v>8.0419447280969072E-2</v>
      </c>
      <c r="L28" s="409">
        <v>406.95</v>
      </c>
      <c r="M28" s="409"/>
      <c r="N28" s="409">
        <v>1093.82</v>
      </c>
      <c r="O28" s="409">
        <f t="shared" si="6"/>
        <v>14938.789999999995</v>
      </c>
      <c r="P28" s="413">
        <f t="shared" si="7"/>
        <v>8.0183293693249919E-2</v>
      </c>
      <c r="Q28" s="408">
        <v>1570.11</v>
      </c>
      <c r="R28" s="408"/>
      <c r="S28" s="408">
        <v>1248.3</v>
      </c>
      <c r="T28" s="408">
        <f t="shared" si="21"/>
        <v>20026.88</v>
      </c>
      <c r="U28" s="412">
        <f t="shared" si="22"/>
        <v>6.9374955713235723E-2</v>
      </c>
      <c r="V28" s="409">
        <v>301.93</v>
      </c>
      <c r="W28" s="409"/>
      <c r="X28" s="409">
        <v>311</v>
      </c>
      <c r="Y28" s="409">
        <f t="shared" si="17"/>
        <v>4936.1500000000005</v>
      </c>
      <c r="Z28" s="413">
        <f t="shared" si="18"/>
        <v>6.9509866042642393E-2</v>
      </c>
    </row>
    <row r="29" spans="1:26" ht="11.25" customHeight="1" x14ac:dyDescent="0.25">
      <c r="A29" s="410">
        <f t="shared" si="2"/>
        <v>54</v>
      </c>
      <c r="B29" s="411">
        <v>41365</v>
      </c>
      <c r="C29" s="415">
        <v>41455</v>
      </c>
      <c r="D29" s="399">
        <f t="shared" si="0"/>
        <v>4436.24</v>
      </c>
      <c r="E29" s="341">
        <f t="shared" ref="E29:F29" si="33">I29+N29+S29+X29</f>
        <v>607.16</v>
      </c>
      <c r="F29" s="341">
        <f t="shared" si="33"/>
        <v>86126.319999999992</v>
      </c>
      <c r="G29" s="285">
        <f t="shared" si="4"/>
        <v>7.2887445342819266E-3</v>
      </c>
      <c r="H29" s="408">
        <v>501.47</v>
      </c>
      <c r="I29" s="408">
        <v>553.12</v>
      </c>
      <c r="J29" s="408">
        <f t="shared" si="9"/>
        <v>42235.689999999995</v>
      </c>
      <c r="K29" s="412">
        <f t="shared" si="5"/>
        <v>1.3350120746522575E-2</v>
      </c>
      <c r="L29" s="409">
        <v>1453.39</v>
      </c>
      <c r="M29" s="409"/>
      <c r="N29" s="409">
        <v>183.76</v>
      </c>
      <c r="O29" s="409">
        <f t="shared" si="6"/>
        <v>16575.939999999995</v>
      </c>
      <c r="P29" s="413">
        <f t="shared" si="7"/>
        <v>1.1730246462206568E-2</v>
      </c>
      <c r="Q29" s="408">
        <v>2081.16</v>
      </c>
      <c r="R29" s="408"/>
      <c r="S29" s="408">
        <v>-105.6</v>
      </c>
      <c r="T29" s="408">
        <f t="shared" si="21"/>
        <v>22002.440000000002</v>
      </c>
      <c r="U29" s="412">
        <f t="shared" si="22"/>
        <v>-5.0124694671308265E-3</v>
      </c>
      <c r="V29" s="409">
        <v>400.22</v>
      </c>
      <c r="W29" s="409"/>
      <c r="X29" s="409">
        <v>-24.12</v>
      </c>
      <c r="Y29" s="409">
        <f t="shared" si="17"/>
        <v>5312.2500000000009</v>
      </c>
      <c r="Z29" s="413">
        <f t="shared" si="18"/>
        <v>-4.6960239551736092E-3</v>
      </c>
    </row>
    <row r="30" spans="1:26" ht="11.25" customHeight="1" x14ac:dyDescent="0.25">
      <c r="A30" s="410">
        <f t="shared" si="2"/>
        <v>21</v>
      </c>
      <c r="B30" s="411">
        <v>41456</v>
      </c>
      <c r="C30" s="415">
        <v>41547</v>
      </c>
      <c r="D30" s="399">
        <f t="shared" si="0"/>
        <v>3950.57</v>
      </c>
      <c r="E30" s="341">
        <f t="shared" ref="E30:F30" si="34">I30+N30+S30+X30</f>
        <v>5984.2</v>
      </c>
      <c r="F30" s="341">
        <f t="shared" si="34"/>
        <v>96061.090000000011</v>
      </c>
      <c r="G30" s="285">
        <f t="shared" si="4"/>
        <v>6.7923847698347833E-2</v>
      </c>
      <c r="H30" s="408">
        <v>0</v>
      </c>
      <c r="I30" s="408">
        <v>3021.48</v>
      </c>
      <c r="J30" s="408">
        <f t="shared" si="9"/>
        <v>45257.17</v>
      </c>
      <c r="K30" s="412">
        <f t="shared" si="5"/>
        <v>7.1538549506353522E-2</v>
      </c>
      <c r="L30" s="409">
        <v>1744.08</v>
      </c>
      <c r="M30" s="409"/>
      <c r="N30" s="409">
        <v>1238.0899999999999</v>
      </c>
      <c r="O30" s="409">
        <f t="shared" si="6"/>
        <v>19558.109999999997</v>
      </c>
      <c r="P30" s="413">
        <f t="shared" si="7"/>
        <v>7.0958930489374711E-2</v>
      </c>
      <c r="Q30" s="408">
        <v>1850.59</v>
      </c>
      <c r="R30" s="408"/>
      <c r="S30" s="408">
        <v>1390.7</v>
      </c>
      <c r="T30" s="408">
        <f t="shared" si="21"/>
        <v>25243.730000000003</v>
      </c>
      <c r="U30" s="412">
        <f t="shared" si="22"/>
        <v>6.0655795262811611E-2</v>
      </c>
      <c r="V30" s="409">
        <v>355.9</v>
      </c>
      <c r="W30" s="409"/>
      <c r="X30" s="409">
        <v>333.93</v>
      </c>
      <c r="Y30" s="409">
        <f t="shared" si="17"/>
        <v>6002.0800000000008</v>
      </c>
      <c r="Z30" s="413">
        <f t="shared" si="18"/>
        <v>6.0822920840770824E-2</v>
      </c>
    </row>
    <row r="31" spans="1:26" ht="11.25" customHeight="1" x14ac:dyDescent="0.25">
      <c r="A31" s="410">
        <f t="shared" si="2"/>
        <v>17</v>
      </c>
      <c r="B31" s="411">
        <v>41548</v>
      </c>
      <c r="C31" s="415">
        <v>41639</v>
      </c>
      <c r="D31" s="399">
        <f t="shared" si="0"/>
        <v>4145.34</v>
      </c>
      <c r="E31" s="341">
        <f t="shared" ref="E31:F31" si="35">I31+N31+S31+X31</f>
        <v>6997.7899999999991</v>
      </c>
      <c r="F31" s="341">
        <f t="shared" si="35"/>
        <v>107206.51000000001</v>
      </c>
      <c r="G31" s="285">
        <f t="shared" si="4"/>
        <v>7.130869132090728E-2</v>
      </c>
      <c r="H31" s="408">
        <v>0</v>
      </c>
      <c r="I31" s="408">
        <v>3416.72</v>
      </c>
      <c r="J31" s="408">
        <f t="shared" si="9"/>
        <v>48673.89</v>
      </c>
      <c r="K31" s="412">
        <f t="shared" si="5"/>
        <v>7.549566179237456E-2</v>
      </c>
      <c r="L31" s="409">
        <v>2111.1999999999998</v>
      </c>
      <c r="M31" s="409"/>
      <c r="N31" s="409">
        <v>1555.19</v>
      </c>
      <c r="O31" s="409">
        <f t="shared" si="6"/>
        <v>23224.499999999996</v>
      </c>
      <c r="P31" s="413">
        <f t="shared" si="7"/>
        <v>7.5444449349486353E-2</v>
      </c>
      <c r="Q31" s="408">
        <v>1706.06</v>
      </c>
      <c r="R31" s="408">
        <v>2.27</v>
      </c>
      <c r="S31" s="408">
        <v>1638.4</v>
      </c>
      <c r="T31" s="408">
        <f t="shared" si="21"/>
        <v>28590.460000000006</v>
      </c>
      <c r="U31" s="412">
        <f t="shared" si="22"/>
        <v>6.2781739955458077E-2</v>
      </c>
      <c r="V31" s="409">
        <v>328.08</v>
      </c>
      <c r="W31" s="409">
        <v>0.02</v>
      </c>
      <c r="X31" s="409">
        <v>387.48</v>
      </c>
      <c r="Y31" s="409">
        <f t="shared" si="17"/>
        <v>6717.6600000000017</v>
      </c>
      <c r="Z31" s="413">
        <f t="shared" si="18"/>
        <v>6.2840165290328431E-2</v>
      </c>
    </row>
    <row r="32" spans="1:26" ht="11.25" customHeight="1" x14ac:dyDescent="0.25">
      <c r="A32" s="410">
        <f t="shared" si="2"/>
        <v>45</v>
      </c>
      <c r="B32" s="411">
        <v>41640</v>
      </c>
      <c r="C32" s="415">
        <v>41729</v>
      </c>
      <c r="D32" s="399">
        <f t="shared" si="0"/>
        <v>3846.0099999999998</v>
      </c>
      <c r="E32" s="341">
        <f t="shared" ref="E32:F32" si="36">I32+N32+S32+X32</f>
        <v>1931.0800000000002</v>
      </c>
      <c r="F32" s="341">
        <f t="shared" si="36"/>
        <v>112983.6</v>
      </c>
      <c r="G32" s="285">
        <f t="shared" si="4"/>
        <v>1.7695304519588489E-2</v>
      </c>
      <c r="H32" s="408">
        <v>0</v>
      </c>
      <c r="I32" s="408">
        <v>829.61</v>
      </c>
      <c r="J32" s="408">
        <f t="shared" si="9"/>
        <v>49503.5</v>
      </c>
      <c r="K32" s="412">
        <f t="shared" si="5"/>
        <v>1.7044251034795042E-2</v>
      </c>
      <c r="L32" s="409">
        <v>1531.6</v>
      </c>
      <c r="M32" s="409"/>
      <c r="N32" s="409">
        <v>424.27</v>
      </c>
      <c r="O32" s="409">
        <f t="shared" si="6"/>
        <v>25180.369999999995</v>
      </c>
      <c r="P32" s="413">
        <f t="shared" si="7"/>
        <v>1.7685064380186993E-2</v>
      </c>
      <c r="Q32" s="408">
        <v>1823.48</v>
      </c>
      <c r="R32" s="408">
        <v>0</v>
      </c>
      <c r="S32" s="408">
        <v>547.29</v>
      </c>
      <c r="T32" s="408">
        <f t="shared" si="21"/>
        <v>30961.230000000007</v>
      </c>
      <c r="U32" s="412">
        <f t="shared" si="22"/>
        <v>1.8550819938852013E-2</v>
      </c>
      <c r="V32" s="409">
        <v>490.93</v>
      </c>
      <c r="W32" s="409">
        <v>0</v>
      </c>
      <c r="X32" s="409">
        <v>129.91</v>
      </c>
      <c r="Y32" s="409">
        <f t="shared" si="17"/>
        <v>7338.5000000000018</v>
      </c>
      <c r="Z32" s="413">
        <f t="shared" si="18"/>
        <v>1.8656853065254459E-2</v>
      </c>
    </row>
    <row r="33" spans="1:26" ht="11.25" customHeight="1" x14ac:dyDescent="0.25">
      <c r="A33" s="410">
        <f t="shared" si="2"/>
        <v>35</v>
      </c>
      <c r="B33" s="411">
        <v>41730</v>
      </c>
      <c r="C33" s="415">
        <v>41820</v>
      </c>
      <c r="D33" s="399">
        <f t="shared" si="0"/>
        <v>6383.4399999999987</v>
      </c>
      <c r="E33" s="341">
        <f t="shared" ref="E33:F33" si="37">I33+N33+S33+X33</f>
        <v>4965.99</v>
      </c>
      <c r="F33" s="341">
        <f t="shared" si="37"/>
        <v>124333.03</v>
      </c>
      <c r="G33" s="285">
        <f t="shared" si="4"/>
        <v>4.2745653724043965E-2</v>
      </c>
      <c r="H33" s="408">
        <v>3610.98</v>
      </c>
      <c r="I33" s="408">
        <v>2055.4699999999998</v>
      </c>
      <c r="J33" s="408">
        <f t="shared" si="9"/>
        <v>55169.950000000004</v>
      </c>
      <c r="K33" s="412">
        <f t="shared" si="5"/>
        <v>4.0060620955508962E-2</v>
      </c>
      <c r="L33" s="409">
        <v>796.42</v>
      </c>
      <c r="M33" s="409"/>
      <c r="N33" s="409">
        <v>1067.98</v>
      </c>
      <c r="O33" s="409">
        <f t="shared" si="6"/>
        <v>27044.769999999993</v>
      </c>
      <c r="P33" s="413">
        <f t="shared" si="7"/>
        <v>4.1752904187800893E-2</v>
      </c>
      <c r="Q33" s="408">
        <v>1556.8899999999999</v>
      </c>
      <c r="R33" s="408">
        <v>0</v>
      </c>
      <c r="S33" s="408">
        <v>1488.41</v>
      </c>
      <c r="T33" s="408">
        <f t="shared" si="21"/>
        <v>34006.530000000006</v>
      </c>
      <c r="U33" s="412">
        <f t="shared" si="22"/>
        <v>4.6894304998397113E-2</v>
      </c>
      <c r="V33" s="409">
        <v>419.15</v>
      </c>
      <c r="W33" s="409">
        <v>0</v>
      </c>
      <c r="X33" s="409">
        <v>354.13</v>
      </c>
      <c r="Y33" s="409">
        <f t="shared" si="17"/>
        <v>8111.7800000000016</v>
      </c>
      <c r="Z33" s="413">
        <f t="shared" si="18"/>
        <v>4.6916597940534495E-2</v>
      </c>
    </row>
    <row r="34" spans="1:26" ht="11.25" customHeight="1" x14ac:dyDescent="0.25">
      <c r="A34" s="410">
        <f t="shared" si="2"/>
        <v>64</v>
      </c>
      <c r="B34" s="411">
        <v>41821</v>
      </c>
      <c r="C34" s="415">
        <v>41912</v>
      </c>
      <c r="D34" s="399">
        <f t="shared" si="0"/>
        <v>5020.3499999999995</v>
      </c>
      <c r="E34" s="341">
        <f t="shared" ref="E34:F34" si="38">I34+N34+S34+X34</f>
        <v>-2295.38</v>
      </c>
      <c r="F34" s="341">
        <f t="shared" si="38"/>
        <v>127058</v>
      </c>
      <c r="G34" s="285">
        <f t="shared" si="4"/>
        <v>-1.8096199950166824E-2</v>
      </c>
      <c r="H34" s="408">
        <v>2025.8700000000001</v>
      </c>
      <c r="I34" s="408">
        <v>-1025.43</v>
      </c>
      <c r="J34" s="408">
        <f t="shared" si="9"/>
        <v>56170.390000000007</v>
      </c>
      <c r="K34" s="412">
        <f t="shared" si="5"/>
        <v>-1.8251643716765346E-2</v>
      </c>
      <c r="L34" s="409">
        <v>592.21</v>
      </c>
      <c r="M34" s="409"/>
      <c r="N34" s="409">
        <v>-500.96</v>
      </c>
      <c r="O34" s="409">
        <f t="shared" si="6"/>
        <v>27136.019999999993</v>
      </c>
      <c r="P34" s="413">
        <f t="shared" si="7"/>
        <v>-1.8322749363361639E-2</v>
      </c>
      <c r="Q34" s="408">
        <v>1892.7</v>
      </c>
      <c r="R34" s="408">
        <v>0</v>
      </c>
      <c r="S34" s="408">
        <v>-620.16999999999996</v>
      </c>
      <c r="T34" s="408">
        <f t="shared" si="21"/>
        <v>35279.060000000005</v>
      </c>
      <c r="U34" s="412">
        <f t="shared" si="22"/>
        <v>-1.7743030045020609E-2</v>
      </c>
      <c r="V34" s="409">
        <v>509.57</v>
      </c>
      <c r="W34" s="409">
        <v>0</v>
      </c>
      <c r="X34" s="409">
        <v>-148.82</v>
      </c>
      <c r="Y34" s="409">
        <f t="shared" si="17"/>
        <v>8472.5300000000025</v>
      </c>
      <c r="Z34" s="413">
        <f t="shared" si="18"/>
        <v>-1.7787467138544906E-2</v>
      </c>
    </row>
    <row r="35" spans="1:26" ht="11.25" customHeight="1" x14ac:dyDescent="0.25">
      <c r="A35" s="410">
        <f t="shared" si="2"/>
        <v>43</v>
      </c>
      <c r="B35" s="411">
        <v>41913</v>
      </c>
      <c r="C35" s="415">
        <v>42004</v>
      </c>
      <c r="D35" s="399">
        <f t="shared" si="0"/>
        <v>4102.1200000000008</v>
      </c>
      <c r="E35" s="341">
        <f t="shared" ref="E35:F35" si="39">I35+N35+S35+X35</f>
        <v>2984.8799999999997</v>
      </c>
      <c r="F35" s="341">
        <f t="shared" si="39"/>
        <v>134145</v>
      </c>
      <c r="G35" s="285">
        <f t="shared" si="4"/>
        <v>2.3119059189184707E-2</v>
      </c>
      <c r="H35" s="408">
        <v>1736.46</v>
      </c>
      <c r="I35" s="408">
        <v>1319.31</v>
      </c>
      <c r="J35" s="408">
        <f t="shared" si="9"/>
        <v>59226.16</v>
      </c>
      <c r="K35" s="412">
        <f t="shared" si="5"/>
        <v>2.3130117804392877E-2</v>
      </c>
      <c r="L35" s="409">
        <v>326.72000000000003</v>
      </c>
      <c r="M35" s="409"/>
      <c r="N35" s="409">
        <v>634.78</v>
      </c>
      <c r="O35" s="409">
        <f t="shared" si="6"/>
        <v>28097.519999999993</v>
      </c>
      <c r="P35" s="413">
        <f t="shared" si="7"/>
        <v>2.3252542731739701E-2</v>
      </c>
      <c r="Q35" s="408">
        <v>1606.43</v>
      </c>
      <c r="R35" s="408">
        <v>0</v>
      </c>
      <c r="S35" s="408">
        <v>830.77</v>
      </c>
      <c r="T35" s="408">
        <f t="shared" si="21"/>
        <v>37716.26</v>
      </c>
      <c r="U35" s="412">
        <f t="shared" si="22"/>
        <v>2.3024324270019002E-2</v>
      </c>
      <c r="V35" s="409">
        <v>432.51</v>
      </c>
      <c r="W35" s="409">
        <v>0</v>
      </c>
      <c r="X35" s="409">
        <v>200.02</v>
      </c>
      <c r="Y35" s="409">
        <f t="shared" si="17"/>
        <v>9105.0600000000031</v>
      </c>
      <c r="Z35" s="413">
        <f t="shared" si="18"/>
        <v>2.3020479848448312E-2</v>
      </c>
    </row>
    <row r="36" spans="1:26" ht="11.25" customHeight="1" x14ac:dyDescent="0.25">
      <c r="A36" s="410">
        <f t="shared" si="2"/>
        <v>40</v>
      </c>
      <c r="B36" s="411">
        <v>42005</v>
      </c>
      <c r="C36" s="415">
        <v>42094</v>
      </c>
      <c r="D36" s="399">
        <f t="shared" si="0"/>
        <v>4793.9600000000009</v>
      </c>
      <c r="E36" s="341">
        <f t="shared" ref="E36:F36" si="40">I36+N36+S36+X36</f>
        <v>3973.43</v>
      </c>
      <c r="F36" s="341">
        <f t="shared" si="40"/>
        <v>142918.84999999998</v>
      </c>
      <c r="G36" s="285">
        <f t="shared" si="4"/>
        <v>2.910042757546067E-2</v>
      </c>
      <c r="H36" s="408">
        <v>2091.4</v>
      </c>
      <c r="I36" s="408">
        <v>1787.19</v>
      </c>
      <c r="J36" s="408">
        <f t="shared" si="9"/>
        <v>63104.750000000007</v>
      </c>
      <c r="K36" s="412">
        <f t="shared" si="5"/>
        <v>2.9652146125903531E-2</v>
      </c>
      <c r="L36" s="409">
        <v>247.5</v>
      </c>
      <c r="M36" s="409"/>
      <c r="N36" s="409">
        <v>834.13</v>
      </c>
      <c r="O36" s="409">
        <f t="shared" si="6"/>
        <v>29179.149999999994</v>
      </c>
      <c r="P36" s="413">
        <f t="shared" si="7"/>
        <v>2.9556784652143585E-2</v>
      </c>
      <c r="Q36" s="408">
        <v>1934.29</v>
      </c>
      <c r="R36" s="408">
        <v>5.54</v>
      </c>
      <c r="S36" s="408">
        <v>1088.68</v>
      </c>
      <c r="T36" s="408">
        <f t="shared" si="21"/>
        <v>40744.770000000004</v>
      </c>
      <c r="U36" s="412">
        <f t="shared" si="22"/>
        <v>2.8143334331608091E-2</v>
      </c>
      <c r="V36" s="409">
        <v>520.77</v>
      </c>
      <c r="W36" s="409">
        <v>0.92</v>
      </c>
      <c r="X36" s="409">
        <v>263.43</v>
      </c>
      <c r="Y36" s="409">
        <f t="shared" si="17"/>
        <v>9890.1800000000039</v>
      </c>
      <c r="Z36" s="413">
        <f t="shared" si="18"/>
        <v>2.8127867922987101E-2</v>
      </c>
    </row>
    <row r="37" spans="1:26" ht="11.25" customHeight="1" x14ac:dyDescent="0.25">
      <c r="A37" s="410">
        <f t="shared" si="2"/>
        <v>59</v>
      </c>
      <c r="B37" s="411">
        <v>42095</v>
      </c>
      <c r="C37" s="415">
        <v>42185</v>
      </c>
      <c r="D37" s="399">
        <f t="shared" si="0"/>
        <v>4068.3700000000003</v>
      </c>
      <c r="E37" s="341">
        <f t="shared" ref="E37:F37" si="41">I37+N37+S37+X37</f>
        <v>-226.57999999999998</v>
      </c>
      <c r="F37" s="341">
        <f t="shared" si="41"/>
        <v>146760.63999999998</v>
      </c>
      <c r="G37" s="285">
        <f t="shared" si="4"/>
        <v>-1.5631269810942559E-3</v>
      </c>
      <c r="H37" s="408">
        <v>1804.98</v>
      </c>
      <c r="I37" s="408">
        <v>123.14</v>
      </c>
      <c r="J37" s="408">
        <f t="shared" si="9"/>
        <v>65032.87000000001</v>
      </c>
      <c r="K37" s="412">
        <f t="shared" si="5"/>
        <v>1.9238448650496412E-3</v>
      </c>
      <c r="L37" s="409">
        <v>165.03</v>
      </c>
      <c r="M37" s="409"/>
      <c r="N37" s="409">
        <v>69.069999999999993</v>
      </c>
      <c r="O37" s="409">
        <f t="shared" si="6"/>
        <v>29413.249999999993</v>
      </c>
      <c r="P37" s="413">
        <f t="shared" si="7"/>
        <v>2.3604261753389635E-3</v>
      </c>
      <c r="Q37" s="408">
        <v>1653.25</v>
      </c>
      <c r="R37" s="408">
        <v>0</v>
      </c>
      <c r="S37" s="408">
        <v>-336.09</v>
      </c>
      <c r="T37" s="408">
        <f t="shared" si="21"/>
        <v>42061.930000000008</v>
      </c>
      <c r="U37" s="412">
        <f t="shared" si="22"/>
        <v>-8.0846457040953269E-3</v>
      </c>
      <c r="V37" s="409">
        <v>445.11</v>
      </c>
      <c r="W37" s="409">
        <v>0</v>
      </c>
      <c r="X37" s="409">
        <v>-82.7</v>
      </c>
      <c r="Y37" s="409">
        <f t="shared" si="17"/>
        <v>10252.590000000004</v>
      </c>
      <c r="Z37" s="413">
        <f t="shared" si="18"/>
        <v>-8.177807487292011E-3</v>
      </c>
    </row>
    <row r="38" spans="1:26" ht="11.25" customHeight="1" x14ac:dyDescent="0.25">
      <c r="A38" s="410">
        <f t="shared" si="2"/>
        <v>72</v>
      </c>
      <c r="B38" s="411">
        <v>42186</v>
      </c>
      <c r="C38" s="415">
        <v>42277</v>
      </c>
      <c r="D38" s="399">
        <f t="shared" si="0"/>
        <v>5794.38</v>
      </c>
      <c r="E38" s="341">
        <f t="shared" ref="E38:F38" si="42">I38+N38+S38+X38</f>
        <v>-10558.59</v>
      </c>
      <c r="F38" s="341">
        <f t="shared" si="42"/>
        <v>141996.43</v>
      </c>
      <c r="G38" s="285">
        <f t="shared" si="4"/>
        <v>-7.0551537463826655E-2</v>
      </c>
      <c r="H38" s="408">
        <v>2219.66</v>
      </c>
      <c r="I38" s="408">
        <v>-4630.16</v>
      </c>
      <c r="J38" s="408">
        <f t="shared" si="9"/>
        <v>62622.37000000001</v>
      </c>
      <c r="K38" s="412">
        <f t="shared" si="5"/>
        <v>-7.0002585319317162E-2</v>
      </c>
      <c r="L38" s="409">
        <v>845.66</v>
      </c>
      <c r="M38" s="409"/>
      <c r="N38" s="409">
        <v>-2066.1999999999998</v>
      </c>
      <c r="O38" s="409">
        <f t="shared" si="6"/>
        <v>28192.709999999992</v>
      </c>
      <c r="P38" s="413">
        <f t="shared" si="7"/>
        <v>-6.9251724757407818E-2</v>
      </c>
      <c r="Q38" s="408">
        <v>2150.17</v>
      </c>
      <c r="R38" s="408">
        <v>0</v>
      </c>
      <c r="S38" s="408">
        <v>-3103.52</v>
      </c>
      <c r="T38" s="408">
        <f t="shared" si="21"/>
        <v>41108.580000000009</v>
      </c>
      <c r="U38" s="412">
        <f t="shared" si="22"/>
        <v>-7.1945636479482863E-2</v>
      </c>
      <c r="V38" s="409">
        <v>578.89</v>
      </c>
      <c r="W38" s="409">
        <v>0</v>
      </c>
      <c r="X38" s="409">
        <v>-758.71</v>
      </c>
      <c r="Y38" s="409">
        <f t="shared" si="17"/>
        <v>10072.770000000004</v>
      </c>
      <c r="Z38" s="413">
        <f t="shared" si="18"/>
        <v>-7.1969975436431369E-2</v>
      </c>
    </row>
    <row r="39" spans="1:26" ht="11.25" customHeight="1" x14ac:dyDescent="0.25">
      <c r="A39" s="410">
        <f t="shared" si="2"/>
        <v>32</v>
      </c>
      <c r="B39" s="411">
        <v>42278</v>
      </c>
      <c r="C39" s="415">
        <v>42369</v>
      </c>
      <c r="D39" s="399">
        <f t="shared" si="0"/>
        <v>5396.380000000001</v>
      </c>
      <c r="E39" s="341">
        <f t="shared" ref="E39:F39" si="43">I39+N39+S39+X39</f>
        <v>6605.6100000000006</v>
      </c>
      <c r="F39" s="341">
        <f t="shared" si="43"/>
        <v>154009.28</v>
      </c>
      <c r="G39" s="285">
        <f t="shared" si="4"/>
        <v>4.565207745802851E-2</v>
      </c>
      <c r="H39" s="408">
        <v>2032.6799999999998</v>
      </c>
      <c r="I39" s="408">
        <v>2853.65</v>
      </c>
      <c r="J39" s="408">
        <f t="shared" si="9"/>
        <v>67508.700000000012</v>
      </c>
      <c r="K39" s="412">
        <f t="shared" si="5"/>
        <v>4.4841418061428329E-2</v>
      </c>
      <c r="L39" s="409">
        <v>419.55</v>
      </c>
      <c r="M39" s="409"/>
      <c r="N39" s="409">
        <v>1292.8499999999999</v>
      </c>
      <c r="O39" s="409">
        <f t="shared" si="6"/>
        <v>29905.10999999999</v>
      </c>
      <c r="P39" s="413">
        <f t="shared" si="7"/>
        <v>4.5518904419806938E-2</v>
      </c>
      <c r="Q39" s="408">
        <v>2319.63</v>
      </c>
      <c r="R39" s="408">
        <v>8.6199999999999992</v>
      </c>
      <c r="S39" s="408">
        <v>1975.43</v>
      </c>
      <c r="T39" s="408">
        <f t="shared" si="21"/>
        <v>45412.260000000009</v>
      </c>
      <c r="U39" s="412">
        <f t="shared" si="22"/>
        <v>4.6735391774397859E-2</v>
      </c>
      <c r="V39" s="409">
        <v>624.52</v>
      </c>
      <c r="W39" s="409">
        <v>2.2400000000000002</v>
      </c>
      <c r="X39" s="409">
        <v>483.68</v>
      </c>
      <c r="Y39" s="409">
        <f t="shared" si="17"/>
        <v>11183.210000000005</v>
      </c>
      <c r="Z39" s="413">
        <f t="shared" si="18"/>
        <v>4.6574733053250668E-2</v>
      </c>
    </row>
    <row r="40" spans="1:26" ht="11.25" customHeight="1" x14ac:dyDescent="0.25">
      <c r="A40" s="410">
        <f t="shared" si="2"/>
        <v>53</v>
      </c>
      <c r="B40" s="411">
        <v>42370</v>
      </c>
      <c r="C40" s="415">
        <v>42460</v>
      </c>
      <c r="D40" s="399">
        <f t="shared" si="0"/>
        <v>5972.98</v>
      </c>
      <c r="E40" s="341">
        <f t="shared" ref="E40:F40" si="44">I40+N40+S40+X40</f>
        <v>1204.92</v>
      </c>
      <c r="F40" s="341">
        <f t="shared" si="44"/>
        <v>161187.18000000002</v>
      </c>
      <c r="G40" s="285">
        <f t="shared" si="4"/>
        <v>7.6748564626932317E-3</v>
      </c>
      <c r="H40" s="408">
        <v>2391.1600000000003</v>
      </c>
      <c r="I40" s="408">
        <v>216.96</v>
      </c>
      <c r="J40" s="408">
        <f t="shared" si="9"/>
        <v>70116.820000000022</v>
      </c>
      <c r="K40" s="412">
        <f t="shared" si="5"/>
        <v>3.1578818670394328E-3</v>
      </c>
      <c r="L40" s="409">
        <v>257.87</v>
      </c>
      <c r="M40" s="409"/>
      <c r="N40" s="409">
        <v>53.78</v>
      </c>
      <c r="O40" s="409">
        <f t="shared" si="6"/>
        <v>30216.759999999987</v>
      </c>
      <c r="P40" s="413">
        <f t="shared" si="7"/>
        <v>1.7906345948406222E-3</v>
      </c>
      <c r="Q40" s="408">
        <v>2618.87</v>
      </c>
      <c r="R40" s="408">
        <v>0</v>
      </c>
      <c r="S40" s="408">
        <v>746.75</v>
      </c>
      <c r="T40" s="408">
        <f t="shared" si="21"/>
        <v>48777.880000000012</v>
      </c>
      <c r="U40" s="412">
        <f t="shared" si="22"/>
        <v>1.5982938975137778E-2</v>
      </c>
      <c r="V40" s="409">
        <v>705.08</v>
      </c>
      <c r="W40" s="409">
        <v>0</v>
      </c>
      <c r="X40" s="409">
        <v>187.43</v>
      </c>
      <c r="Y40" s="409">
        <f t="shared" si="17"/>
        <v>12075.720000000005</v>
      </c>
      <c r="Z40" s="413">
        <f t="shared" si="18"/>
        <v>1.6247751554948738E-2</v>
      </c>
    </row>
    <row r="41" spans="1:26" ht="11.25" customHeight="1" x14ac:dyDescent="0.25">
      <c r="A41" s="410">
        <f t="shared" si="2"/>
        <v>47</v>
      </c>
      <c r="B41" s="411">
        <v>42461</v>
      </c>
      <c r="C41" s="415">
        <v>42551</v>
      </c>
      <c r="D41" s="399">
        <f t="shared" si="0"/>
        <v>5490.93</v>
      </c>
      <c r="E41" s="341">
        <f t="shared" ref="E41:F41" si="45">I41+N41+S41+X41</f>
        <v>2765.2200000000003</v>
      </c>
      <c r="F41" s="341">
        <f t="shared" si="45"/>
        <v>169443.33000000005</v>
      </c>
      <c r="G41" s="285">
        <f t="shared" si="4"/>
        <v>1.6868025279528673E-2</v>
      </c>
      <c r="H41" s="408">
        <v>2056.3200000000002</v>
      </c>
      <c r="I41" s="408">
        <v>1078.08</v>
      </c>
      <c r="J41" s="408">
        <f t="shared" si="9"/>
        <v>73251.22000000003</v>
      </c>
      <c r="K41" s="412">
        <f t="shared" si="5"/>
        <v>1.5153282775538056E-2</v>
      </c>
      <c r="L41" s="409">
        <v>365.3</v>
      </c>
      <c r="M41" s="409"/>
      <c r="N41" s="409">
        <v>458.99</v>
      </c>
      <c r="O41" s="409">
        <f t="shared" si="6"/>
        <v>31041.049999999988</v>
      </c>
      <c r="P41" s="413">
        <f t="shared" si="7"/>
        <v>1.5098648296134701E-2</v>
      </c>
      <c r="Q41" s="408">
        <v>2418.2399999999998</v>
      </c>
      <c r="R41" s="408">
        <v>0</v>
      </c>
      <c r="S41" s="408">
        <v>984.08</v>
      </c>
      <c r="T41" s="408">
        <f t="shared" si="21"/>
        <v>52180.200000000012</v>
      </c>
      <c r="U41" s="412">
        <f t="shared" si="22"/>
        <v>1.968671854682217E-2</v>
      </c>
      <c r="V41" s="409">
        <v>651.07000000000005</v>
      </c>
      <c r="W41" s="409">
        <v>0</v>
      </c>
      <c r="X41" s="409">
        <v>244.07</v>
      </c>
      <c r="Y41" s="409">
        <f t="shared" si="17"/>
        <v>12970.860000000004</v>
      </c>
      <c r="Z41" s="413">
        <f t="shared" si="18"/>
        <v>1.9681072601119797E-2</v>
      </c>
    </row>
    <row r="42" spans="1:26" ht="11.25" customHeight="1" x14ac:dyDescent="0.25">
      <c r="A42" s="410">
        <f t="shared" si="2"/>
        <v>33</v>
      </c>
      <c r="B42" s="411">
        <v>42552</v>
      </c>
      <c r="C42" s="415">
        <v>42643</v>
      </c>
      <c r="D42" s="399">
        <f t="shared" si="0"/>
        <v>6394.45</v>
      </c>
      <c r="E42" s="341">
        <f t="shared" ref="E42:F42" si="46">I42+N42+S42+X42</f>
        <v>7537.78</v>
      </c>
      <c r="F42" s="341">
        <f t="shared" si="46"/>
        <v>183375.56000000003</v>
      </c>
      <c r="G42" s="285">
        <f t="shared" si="4"/>
        <v>4.3661699303503727E-2</v>
      </c>
      <c r="H42" s="408">
        <v>2432.4899999999998</v>
      </c>
      <c r="I42" s="408">
        <v>3287.43</v>
      </c>
      <c r="J42" s="408">
        <f t="shared" si="9"/>
        <v>78971.140000000029</v>
      </c>
      <c r="K42" s="412">
        <f t="shared" si="5"/>
        <v>4.4145856180279518E-2</v>
      </c>
      <c r="L42" s="409">
        <v>580.16</v>
      </c>
      <c r="M42" s="409"/>
      <c r="N42" s="409">
        <v>1388.59</v>
      </c>
      <c r="O42" s="409">
        <f t="shared" si="6"/>
        <v>33009.799999999988</v>
      </c>
      <c r="P42" s="413">
        <f t="shared" si="7"/>
        <v>4.4319818659588735E-2</v>
      </c>
      <c r="Q42" s="408">
        <v>2664.45</v>
      </c>
      <c r="R42" s="408">
        <v>0</v>
      </c>
      <c r="S42" s="408">
        <v>2291.5500000000002</v>
      </c>
      <c r="T42" s="408">
        <f t="shared" si="21"/>
        <v>57136.200000000012</v>
      </c>
      <c r="U42" s="412">
        <f t="shared" si="22"/>
        <v>4.2822764993363689E-2</v>
      </c>
      <c r="V42" s="409">
        <v>717.35</v>
      </c>
      <c r="W42" s="409">
        <v>0</v>
      </c>
      <c r="X42" s="409">
        <v>570.21</v>
      </c>
      <c r="Y42" s="409">
        <f t="shared" si="17"/>
        <v>14258.420000000006</v>
      </c>
      <c r="Z42" s="413">
        <f t="shared" si="18"/>
        <v>4.2777936364621863E-2</v>
      </c>
    </row>
    <row r="43" spans="1:26" ht="11.25" customHeight="1" x14ac:dyDescent="0.25">
      <c r="A43" s="410">
        <f t="shared" si="2"/>
        <v>48</v>
      </c>
      <c r="B43" s="411">
        <v>42644</v>
      </c>
      <c r="C43" s="415">
        <v>42735</v>
      </c>
      <c r="D43" s="399">
        <f t="shared" si="0"/>
        <v>5352.59</v>
      </c>
      <c r="E43" s="341">
        <f t="shared" ref="E43:F43" si="47">I43+N43+S43+X43</f>
        <v>3018.9100000000003</v>
      </c>
      <c r="F43" s="341">
        <f t="shared" si="47"/>
        <v>191754.43000000002</v>
      </c>
      <c r="G43" s="285">
        <f t="shared" si="4"/>
        <v>1.6226175224106201E-2</v>
      </c>
      <c r="H43" s="408">
        <v>2123.2200000000003</v>
      </c>
      <c r="I43" s="408">
        <v>1866.38</v>
      </c>
      <c r="J43" s="408">
        <f t="shared" si="9"/>
        <v>82960.740000000034</v>
      </c>
      <c r="K43" s="412">
        <f t="shared" si="5"/>
        <v>2.3320203291777423E-2</v>
      </c>
      <c r="L43" s="409">
        <v>257.85000000000002</v>
      </c>
      <c r="M43" s="409"/>
      <c r="N43" s="409">
        <v>769.01</v>
      </c>
      <c r="O43" s="409">
        <f t="shared" si="6"/>
        <v>34036.659999999989</v>
      </c>
      <c r="P43" s="413">
        <f t="shared" si="7"/>
        <v>2.320578115180956E-2</v>
      </c>
      <c r="Q43" s="408">
        <v>2341.19</v>
      </c>
      <c r="R43" s="408">
        <v>6.28</v>
      </c>
      <c r="S43" s="408">
        <v>306.20999999999998</v>
      </c>
      <c r="T43" s="408">
        <f t="shared" si="21"/>
        <v>59789.880000000012</v>
      </c>
      <c r="U43" s="412">
        <f t="shared" si="22"/>
        <v>5.2517035107143154E-3</v>
      </c>
      <c r="V43" s="409">
        <v>630.33000000000004</v>
      </c>
      <c r="W43" s="409">
        <v>1.0900000000000001</v>
      </c>
      <c r="X43" s="409">
        <v>77.31</v>
      </c>
      <c r="Y43" s="409">
        <f t="shared" si="17"/>
        <v>14967.150000000005</v>
      </c>
      <c r="Z43" s="413">
        <f t="shared" si="18"/>
        <v>5.3048031764318781E-3</v>
      </c>
    </row>
    <row r="44" spans="1:26" ht="11.25" customHeight="1" x14ac:dyDescent="0.25">
      <c r="A44" s="410">
        <f t="shared" si="2"/>
        <v>27</v>
      </c>
      <c r="B44" s="411">
        <v>42736</v>
      </c>
      <c r="C44" s="415">
        <v>42825</v>
      </c>
      <c r="D44" s="399">
        <f t="shared" si="0"/>
        <v>6321.97</v>
      </c>
      <c r="E44" s="341">
        <f t="shared" ref="E44:F44" si="48">I44+N44+S44+X44</f>
        <v>10772.96</v>
      </c>
      <c r="F44" s="341">
        <f t="shared" si="48"/>
        <v>208849.36000000004</v>
      </c>
      <c r="G44" s="285">
        <f t="shared" si="4"/>
        <v>5.5269923109980801E-2</v>
      </c>
      <c r="H44" s="408">
        <v>2507.04</v>
      </c>
      <c r="I44" s="408">
        <v>4436.24</v>
      </c>
      <c r="J44" s="408">
        <f t="shared" si="9"/>
        <v>89904.020000000033</v>
      </c>
      <c r="K44" s="412">
        <f t="shared" si="5"/>
        <v>5.2678014388537024E-2</v>
      </c>
      <c r="L44" s="409">
        <v>263.27999999999997</v>
      </c>
      <c r="M44" s="409"/>
      <c r="N44" s="409">
        <v>1801.81</v>
      </c>
      <c r="O44" s="409">
        <f t="shared" si="6"/>
        <v>36101.749999999985</v>
      </c>
      <c r="P44" s="413">
        <f t="shared" si="7"/>
        <v>5.2733381526151452E-2</v>
      </c>
      <c r="Q44" s="408">
        <v>2798.2700000000004</v>
      </c>
      <c r="R44" s="408">
        <v>0</v>
      </c>
      <c r="S44" s="408">
        <v>3626</v>
      </c>
      <c r="T44" s="408">
        <f t="shared" si="21"/>
        <v>66214.150000000009</v>
      </c>
      <c r="U44" s="412">
        <f t="shared" si="22"/>
        <v>5.9259002616727841E-2</v>
      </c>
      <c r="V44" s="409">
        <v>753.38</v>
      </c>
      <c r="W44" s="409">
        <v>0</v>
      </c>
      <c r="X44" s="409">
        <v>908.91</v>
      </c>
      <c r="Y44" s="409">
        <f t="shared" si="17"/>
        <v>16629.440000000006</v>
      </c>
      <c r="Z44" s="413">
        <f t="shared" si="18"/>
        <v>5.9236149490609888E-2</v>
      </c>
    </row>
    <row r="45" spans="1:26" ht="11.25" customHeight="1" x14ac:dyDescent="0.25">
      <c r="A45" s="410">
        <f t="shared" si="2"/>
        <v>38</v>
      </c>
      <c r="B45" s="411">
        <v>42826</v>
      </c>
      <c r="C45" s="411">
        <v>42916</v>
      </c>
      <c r="D45" s="399">
        <f t="shared" si="0"/>
        <v>6130.92</v>
      </c>
      <c r="E45" s="341">
        <f t="shared" ref="E45:F45" si="49">I45+N45+S45+X45</f>
        <v>7656.6699999999992</v>
      </c>
      <c r="F45" s="341">
        <f t="shared" si="49"/>
        <v>222636.95</v>
      </c>
      <c r="G45" s="285">
        <f t="shared" si="4"/>
        <v>3.6130885041452024E-2</v>
      </c>
      <c r="H45" s="408">
        <v>2519.0200000000004</v>
      </c>
      <c r="I45" s="408">
        <v>3138.16</v>
      </c>
      <c r="J45" s="408">
        <f t="shared" si="9"/>
        <v>95561.200000000041</v>
      </c>
      <c r="K45" s="412">
        <f t="shared" si="5"/>
        <v>3.4423414714195459E-2</v>
      </c>
      <c r="L45" s="409">
        <v>329.1</v>
      </c>
      <c r="M45" s="409"/>
      <c r="N45" s="409">
        <v>1254.71</v>
      </c>
      <c r="O45" s="409">
        <f t="shared" si="6"/>
        <v>37685.559999999983</v>
      </c>
      <c r="P45" s="413">
        <f t="shared" si="7"/>
        <v>3.4597132875424305E-2</v>
      </c>
      <c r="Q45" s="408">
        <v>2586.4499999999998</v>
      </c>
      <c r="R45" s="408">
        <v>0</v>
      </c>
      <c r="S45" s="408">
        <v>2608.19</v>
      </c>
      <c r="T45" s="408">
        <f t="shared" si="21"/>
        <v>71408.790000000008</v>
      </c>
      <c r="U45" s="412">
        <f t="shared" si="22"/>
        <v>3.8635630551476778E-2</v>
      </c>
      <c r="V45" s="409">
        <v>696.35</v>
      </c>
      <c r="W45" s="409">
        <v>0</v>
      </c>
      <c r="X45" s="409">
        <v>655.61</v>
      </c>
      <c r="Y45" s="409">
        <f t="shared" si="17"/>
        <v>17981.400000000005</v>
      </c>
      <c r="Z45" s="413">
        <f t="shared" si="18"/>
        <v>3.8616142491156726E-2</v>
      </c>
    </row>
    <row r="46" spans="1:26" ht="11.25" customHeight="1" x14ac:dyDescent="0.25">
      <c r="A46" s="410">
        <f t="shared" si="2"/>
        <v>34</v>
      </c>
      <c r="B46" s="411">
        <v>42917</v>
      </c>
      <c r="C46" s="411">
        <v>43008</v>
      </c>
      <c r="D46" s="399">
        <f t="shared" si="0"/>
        <v>6326.3899999999994</v>
      </c>
      <c r="E46" s="341">
        <f t="shared" ref="E46:F46" si="50">I46+N46+S46+X46</f>
        <v>9681.82</v>
      </c>
      <c r="F46" s="341">
        <f t="shared" si="50"/>
        <v>238645.16</v>
      </c>
      <c r="G46" s="285">
        <f t="shared" si="4"/>
        <v>4.2877828975707695E-2</v>
      </c>
      <c r="H46" s="408">
        <v>2193</v>
      </c>
      <c r="I46" s="408">
        <v>4008.93</v>
      </c>
      <c r="J46" s="408">
        <f t="shared" si="9"/>
        <v>101763.13000000003</v>
      </c>
      <c r="K46" s="412">
        <f t="shared" si="5"/>
        <v>4.1475536868764706E-2</v>
      </c>
      <c r="L46" s="409">
        <v>614.30999999999995</v>
      </c>
      <c r="M46" s="409"/>
      <c r="N46" s="409">
        <v>1571.89</v>
      </c>
      <c r="O46" s="409">
        <f t="shared" si="6"/>
        <v>39871.75999999998</v>
      </c>
      <c r="P46" s="413">
        <f t="shared" si="7"/>
        <v>4.1373458043206461E-2</v>
      </c>
      <c r="Q46" s="408">
        <v>2772.6</v>
      </c>
      <c r="R46" s="408">
        <v>0</v>
      </c>
      <c r="S46" s="408">
        <v>3275.23</v>
      </c>
      <c r="T46" s="408">
        <f t="shared" si="21"/>
        <v>77456.62000000001</v>
      </c>
      <c r="U46" s="412">
        <f t="shared" si="22"/>
        <v>4.4992457595697727E-2</v>
      </c>
      <c r="V46" s="409">
        <v>746.48</v>
      </c>
      <c r="W46" s="409">
        <v>0</v>
      </c>
      <c r="X46" s="409">
        <v>825.77</v>
      </c>
      <c r="Y46" s="409">
        <f t="shared" si="17"/>
        <v>19553.650000000005</v>
      </c>
      <c r="Z46" s="413">
        <f t="shared" si="18"/>
        <v>4.498971377264821E-2</v>
      </c>
    </row>
    <row r="47" spans="1:26" ht="11.25" customHeight="1" x14ac:dyDescent="0.25">
      <c r="A47" s="410">
        <f t="shared" si="2"/>
        <v>30</v>
      </c>
      <c r="B47" s="411">
        <v>43009</v>
      </c>
      <c r="C47" s="411">
        <v>43100</v>
      </c>
      <c r="D47" s="399">
        <f t="shared" si="0"/>
        <v>6272.63</v>
      </c>
      <c r="E47" s="341">
        <f t="shared" ref="E47:F47" si="51">I47+N47+S47+X47</f>
        <v>11946.29</v>
      </c>
      <c r="F47" s="341">
        <f t="shared" si="51"/>
        <v>256868.65000000002</v>
      </c>
      <c r="G47" s="285">
        <f t="shared" si="4"/>
        <v>4.9409451241043179E-2</v>
      </c>
      <c r="H47" s="408">
        <v>2226.84</v>
      </c>
      <c r="I47" s="408">
        <v>4866.43</v>
      </c>
      <c r="J47" s="408">
        <f t="shared" si="9"/>
        <v>108856.40000000002</v>
      </c>
      <c r="K47" s="412">
        <f t="shared" si="5"/>
        <v>4.7303588621507998E-2</v>
      </c>
      <c r="L47" s="409">
        <v>1158.25</v>
      </c>
      <c r="M47" s="409"/>
      <c r="N47" s="409">
        <v>1923.03</v>
      </c>
      <c r="O47" s="409">
        <f t="shared" si="6"/>
        <v>42953.039999999979</v>
      </c>
      <c r="P47" s="413">
        <f t="shared" si="7"/>
        <v>4.7539874591124541E-2</v>
      </c>
      <c r="Q47" s="408">
        <v>2275.04</v>
      </c>
      <c r="R47" s="408">
        <v>4.5599999999999996</v>
      </c>
      <c r="S47" s="408">
        <v>4116.6000000000004</v>
      </c>
      <c r="T47" s="408">
        <f t="shared" si="21"/>
        <v>83852.820000000007</v>
      </c>
      <c r="U47" s="412">
        <f t="shared" si="22"/>
        <v>5.2377950824323539E-2</v>
      </c>
      <c r="V47" s="409">
        <v>612.5</v>
      </c>
      <c r="W47" s="409">
        <v>0.01</v>
      </c>
      <c r="X47" s="409">
        <v>1040.23</v>
      </c>
      <c r="Y47" s="409">
        <f t="shared" si="17"/>
        <v>21206.390000000003</v>
      </c>
      <c r="Z47" s="413">
        <f t="shared" si="18"/>
        <v>5.2378410767425804E-2</v>
      </c>
    </row>
    <row r="48" spans="1:26" ht="11.25" customHeight="1" x14ac:dyDescent="0.25">
      <c r="A48" s="410">
        <f t="shared" si="2"/>
        <v>62</v>
      </c>
      <c r="B48" s="411">
        <v>43101</v>
      </c>
      <c r="C48" s="411">
        <v>43190</v>
      </c>
      <c r="D48" s="399">
        <f t="shared" si="0"/>
        <v>6576.6399999999994</v>
      </c>
      <c r="E48" s="341">
        <f t="shared" ref="E48:F48" si="52">I48+N48+S48+X48</f>
        <v>-1986.06</v>
      </c>
      <c r="F48" s="341">
        <f t="shared" si="52"/>
        <v>261459.23</v>
      </c>
      <c r="G48" s="285">
        <f t="shared" si="4"/>
        <v>-7.634083376662942E-3</v>
      </c>
      <c r="H48" s="408">
        <v>2629.98</v>
      </c>
      <c r="I48" s="408">
        <v>-625.94000000000005</v>
      </c>
      <c r="J48" s="408">
        <f t="shared" si="9"/>
        <v>110860.44000000002</v>
      </c>
      <c r="K48" s="412">
        <f t="shared" si="5"/>
        <v>-5.6815113252179162E-3</v>
      </c>
      <c r="L48" s="409">
        <v>278.63</v>
      </c>
      <c r="M48" s="409"/>
      <c r="N48" s="409">
        <v>-225.64</v>
      </c>
      <c r="O48" s="409">
        <f t="shared" si="6"/>
        <v>43006.029999999977</v>
      </c>
      <c r="P48" s="413">
        <f t="shared" si="7"/>
        <v>-5.2361956082465225E-3</v>
      </c>
      <c r="Q48" s="408">
        <v>2889.97</v>
      </c>
      <c r="R48" s="408">
        <v>0</v>
      </c>
      <c r="S48" s="408">
        <v>-904.56</v>
      </c>
      <c r="T48" s="408">
        <f t="shared" si="21"/>
        <v>85838.23000000001</v>
      </c>
      <c r="U48" s="412">
        <f t="shared" si="22"/>
        <v>-1.0604727753545356E-2</v>
      </c>
      <c r="V48" s="409">
        <v>778.06</v>
      </c>
      <c r="W48" s="409">
        <v>0</v>
      </c>
      <c r="X48" s="409">
        <v>-229.92</v>
      </c>
      <c r="Y48" s="409">
        <f t="shared" si="17"/>
        <v>21754.530000000006</v>
      </c>
      <c r="Z48" s="413">
        <f t="shared" si="18"/>
        <v>-1.0646701939577927E-2</v>
      </c>
    </row>
    <row r="49" spans="1:26" ht="11.25" customHeight="1" x14ac:dyDescent="0.25">
      <c r="A49" s="410">
        <f t="shared" si="2"/>
        <v>44</v>
      </c>
      <c r="B49" s="411">
        <v>43191</v>
      </c>
      <c r="C49" s="411">
        <v>43281</v>
      </c>
      <c r="D49" s="399">
        <f t="shared" si="0"/>
        <v>6412.6500000000005</v>
      </c>
      <c r="E49" s="341">
        <f t="shared" ref="E49:F49" si="53">I49+N49+S49+X49</f>
        <v>4812.1499999999996</v>
      </c>
      <c r="F49" s="341">
        <f t="shared" si="53"/>
        <v>272684.03000000003</v>
      </c>
      <c r="G49" s="285">
        <f t="shared" si="4"/>
        <v>1.8182003321134857E-2</v>
      </c>
      <c r="H49" s="408">
        <v>2454.0100000000002</v>
      </c>
      <c r="I49" s="408">
        <v>2306.91</v>
      </c>
      <c r="J49" s="408">
        <f t="shared" si="9"/>
        <v>115621.36000000002</v>
      </c>
      <c r="K49" s="412">
        <f t="shared" si="5"/>
        <v>2.058134164803203E-2</v>
      </c>
      <c r="L49" s="409">
        <v>633.24</v>
      </c>
      <c r="M49" s="409"/>
      <c r="N49" s="409">
        <v>892.71</v>
      </c>
      <c r="O49" s="409">
        <f t="shared" si="6"/>
        <v>44531.979999999974</v>
      </c>
      <c r="P49" s="413">
        <f t="shared" si="7"/>
        <v>2.0606080191308714E-2</v>
      </c>
      <c r="Q49" s="408">
        <v>2620.0100000000002</v>
      </c>
      <c r="R49" s="408">
        <v>0</v>
      </c>
      <c r="S49" s="408">
        <v>1286.52</v>
      </c>
      <c r="T49" s="408">
        <f t="shared" si="21"/>
        <v>89744.760000000009</v>
      </c>
      <c r="U49" s="412">
        <f t="shared" si="22"/>
        <v>1.4762433226559318E-2</v>
      </c>
      <c r="V49" s="409">
        <v>705.39</v>
      </c>
      <c r="W49" s="409">
        <v>0</v>
      </c>
      <c r="X49" s="409">
        <v>326.01</v>
      </c>
      <c r="Y49" s="409">
        <f t="shared" si="17"/>
        <v>22785.930000000004</v>
      </c>
      <c r="Z49" s="413">
        <f t="shared" si="18"/>
        <v>1.4746762653385936E-2</v>
      </c>
    </row>
    <row r="50" spans="1:26" ht="11.25" customHeight="1" x14ac:dyDescent="0.25">
      <c r="A50" s="410">
        <f t="shared" si="2"/>
        <v>36</v>
      </c>
      <c r="B50" s="411">
        <v>43282</v>
      </c>
      <c r="C50" s="411">
        <v>43373</v>
      </c>
      <c r="D50" s="399">
        <f t="shared" si="0"/>
        <v>5881.42</v>
      </c>
      <c r="E50" s="341">
        <f t="shared" ref="E50:F50" si="54">I50+N50+S50+X50</f>
        <v>11350.779999999999</v>
      </c>
      <c r="F50" s="341">
        <f t="shared" si="54"/>
        <v>289916.23</v>
      </c>
      <c r="G50" s="285">
        <f t="shared" si="4"/>
        <v>4.1182007101394441E-2</v>
      </c>
      <c r="H50" s="408">
        <v>2076.4699999999998</v>
      </c>
      <c r="I50" s="408">
        <v>5094.57</v>
      </c>
      <c r="J50" s="408">
        <f t="shared" si="9"/>
        <v>122792.40000000002</v>
      </c>
      <c r="K50" s="412">
        <f t="shared" si="5"/>
        <v>4.3670389906633904E-2</v>
      </c>
      <c r="L50" s="409">
        <v>303.95999999999998</v>
      </c>
      <c r="M50" s="409"/>
      <c r="N50" s="409">
        <v>1955.79</v>
      </c>
      <c r="O50" s="409">
        <f t="shared" si="6"/>
        <v>46791.729999999974</v>
      </c>
      <c r="P50" s="413">
        <f t="shared" si="7"/>
        <v>4.3769397340790765E-2</v>
      </c>
      <c r="Q50" s="408">
        <v>2758.34</v>
      </c>
      <c r="R50" s="408">
        <v>0</v>
      </c>
      <c r="S50" s="408">
        <v>3429.13</v>
      </c>
      <c r="T50" s="408">
        <f t="shared" si="21"/>
        <v>95932.23000000001</v>
      </c>
      <c r="U50" s="412">
        <f t="shared" si="22"/>
        <v>3.7631498114710372E-2</v>
      </c>
      <c r="V50" s="409">
        <v>742.65</v>
      </c>
      <c r="W50" s="409">
        <v>0</v>
      </c>
      <c r="X50" s="409">
        <v>871.29</v>
      </c>
      <c r="Y50" s="409">
        <f t="shared" si="17"/>
        <v>24399.870000000006</v>
      </c>
      <c r="Z50" s="413">
        <f t="shared" si="18"/>
        <v>3.7624925752210256E-2</v>
      </c>
    </row>
    <row r="51" spans="1:26" ht="11.25" customHeight="1" x14ac:dyDescent="0.25">
      <c r="A51" s="410">
        <f t="shared" si="2"/>
        <v>74</v>
      </c>
      <c r="B51" s="411">
        <v>43374</v>
      </c>
      <c r="C51" s="411">
        <v>43465</v>
      </c>
      <c r="D51" s="399">
        <f t="shared" si="0"/>
        <v>6077.6</v>
      </c>
      <c r="E51" s="341">
        <f t="shared" ref="E51:F51" si="55">I51+N51+S51+X51</f>
        <v>-33155.630000000005</v>
      </c>
      <c r="F51" s="341">
        <f t="shared" si="55"/>
        <v>262846.91000000003</v>
      </c>
      <c r="G51" s="285">
        <f t="shared" si="4"/>
        <v>-0.11317651722859992</v>
      </c>
      <c r="H51" s="408">
        <v>2265.2399999999998</v>
      </c>
      <c r="I51" s="408">
        <v>-14051.78</v>
      </c>
      <c r="J51" s="408">
        <f t="shared" si="9"/>
        <v>111005.86000000003</v>
      </c>
      <c r="K51" s="412">
        <f t="shared" si="5"/>
        <v>-0.11338937044351495</v>
      </c>
      <c r="L51" s="409">
        <v>303.95999999999998</v>
      </c>
      <c r="M51" s="409"/>
      <c r="N51" s="409">
        <v>-5317.24</v>
      </c>
      <c r="O51" s="409">
        <f t="shared" si="6"/>
        <v>41778.449999999975</v>
      </c>
      <c r="P51" s="413">
        <f t="shared" si="7"/>
        <v>-0.11326842296870022</v>
      </c>
      <c r="Q51" s="408">
        <v>2764.1800000000003</v>
      </c>
      <c r="R51" s="408">
        <v>7.98</v>
      </c>
      <c r="S51" s="408">
        <v>-10989.38</v>
      </c>
      <c r="T51" s="408">
        <f t="shared" si="21"/>
        <v>87715.01</v>
      </c>
      <c r="U51" s="412">
        <f t="shared" si="22"/>
        <v>-0.11292664841104576</v>
      </c>
      <c r="V51" s="409">
        <v>744.22</v>
      </c>
      <c r="W51" s="409">
        <v>0.73</v>
      </c>
      <c r="X51" s="409">
        <v>-2797.23</v>
      </c>
      <c r="Y51" s="409">
        <f t="shared" si="17"/>
        <v>22347.590000000007</v>
      </c>
      <c r="Z51" s="413">
        <f t="shared" si="18"/>
        <v>-0.11291911264259051</v>
      </c>
    </row>
    <row r="52" spans="1:26" ht="11.25" customHeight="1" x14ac:dyDescent="0.25">
      <c r="A52" s="410">
        <f t="shared" si="2"/>
        <v>7</v>
      </c>
      <c r="B52" s="411">
        <v>43466</v>
      </c>
      <c r="C52" s="411">
        <v>43555</v>
      </c>
      <c r="D52" s="399">
        <f t="shared" si="0"/>
        <v>6254.04</v>
      </c>
      <c r="E52" s="341">
        <f t="shared" ref="E52:F52" si="56">I52+N52+S52+X52</f>
        <v>30179.269999999997</v>
      </c>
      <c r="F52" s="341">
        <f t="shared" si="56"/>
        <v>299280.21999999997</v>
      </c>
      <c r="G52" s="285">
        <f t="shared" si="4"/>
        <v>0.11346702287701652</v>
      </c>
      <c r="H52" s="408">
        <v>2642.78</v>
      </c>
      <c r="I52" s="408">
        <v>11936.14</v>
      </c>
      <c r="J52" s="408">
        <f t="shared" si="9"/>
        <v>125584.78000000003</v>
      </c>
      <c r="K52" s="412">
        <f t="shared" si="5"/>
        <v>0.10626219372414082</v>
      </c>
      <c r="L52" s="409">
        <v>434.51</v>
      </c>
      <c r="M52" s="409"/>
      <c r="N52" s="409">
        <v>4462.8500000000004</v>
      </c>
      <c r="O52" s="409">
        <f t="shared" si="6"/>
        <v>46675.809999999976</v>
      </c>
      <c r="P52" s="413">
        <f t="shared" si="7"/>
        <v>0.10626920062420676</v>
      </c>
      <c r="Q52" s="408">
        <v>2359.86</v>
      </c>
      <c r="R52" s="408">
        <v>0</v>
      </c>
      <c r="S52" s="408">
        <v>10975.25</v>
      </c>
      <c r="T52" s="408">
        <f t="shared" si="21"/>
        <v>101050.12</v>
      </c>
      <c r="U52" s="412">
        <f t="shared" si="22"/>
        <v>0.12346315774553648</v>
      </c>
      <c r="V52" s="409">
        <v>816.89</v>
      </c>
      <c r="W52" s="409">
        <v>0</v>
      </c>
      <c r="X52" s="409">
        <v>2805.03</v>
      </c>
      <c r="Y52" s="409">
        <f t="shared" si="17"/>
        <v>25969.510000000006</v>
      </c>
      <c r="Z52" s="413">
        <f t="shared" si="18"/>
        <v>0.12326532280337939</v>
      </c>
    </row>
    <row r="53" spans="1:26" ht="11.25" customHeight="1" x14ac:dyDescent="0.25">
      <c r="A53" s="410">
        <f t="shared" si="2"/>
        <v>39</v>
      </c>
      <c r="B53" s="411">
        <v>43556</v>
      </c>
      <c r="C53" s="411">
        <v>43646</v>
      </c>
      <c r="D53" s="399">
        <f t="shared" si="0"/>
        <v>6406.14</v>
      </c>
      <c r="E53" s="341">
        <f t="shared" ref="E53:F53" si="57">I53+N53+S53+X53</f>
        <v>10419.14</v>
      </c>
      <c r="F53" s="341">
        <f t="shared" si="57"/>
        <v>316095.5</v>
      </c>
      <c r="G53" s="285">
        <f t="shared" si="4"/>
        <v>3.4445340765765935E-2</v>
      </c>
      <c r="H53" s="408">
        <v>2720.5</v>
      </c>
      <c r="I53" s="408">
        <v>4541.88</v>
      </c>
      <c r="J53" s="408">
        <f t="shared" si="9"/>
        <v>132847.16000000003</v>
      </c>
      <c r="K53" s="412">
        <f t="shared" si="5"/>
        <v>3.5778320742450485E-2</v>
      </c>
      <c r="L53" s="409">
        <v>276.60000000000002</v>
      </c>
      <c r="M53" s="409"/>
      <c r="N53" s="409">
        <v>1676.71</v>
      </c>
      <c r="O53" s="409">
        <f t="shared" si="6"/>
        <v>48629.119999999974</v>
      </c>
      <c r="P53" s="413">
        <f t="shared" si="7"/>
        <v>3.5816338279206862E-2</v>
      </c>
      <c r="Q53" s="408">
        <v>2532.42</v>
      </c>
      <c r="R53" s="408">
        <v>-5</v>
      </c>
      <c r="S53" s="408">
        <v>3336.74</v>
      </c>
      <c r="T53" s="408">
        <f t="shared" si="21"/>
        <v>106914.28</v>
      </c>
      <c r="U53" s="412">
        <f t="shared" si="22"/>
        <v>3.2611998495254861E-2</v>
      </c>
      <c r="V53" s="409">
        <v>876.62</v>
      </c>
      <c r="W53" s="409">
        <v>-5</v>
      </c>
      <c r="X53" s="409">
        <v>863.81</v>
      </c>
      <c r="Y53" s="409">
        <f t="shared" si="17"/>
        <v>27704.940000000006</v>
      </c>
      <c r="Z53" s="413">
        <f t="shared" si="18"/>
        <v>3.2710386544591706E-2</v>
      </c>
    </row>
    <row r="54" spans="1:26" ht="11.25" customHeight="1" x14ac:dyDescent="0.25">
      <c r="A54" s="410">
        <f t="shared" si="2"/>
        <v>56</v>
      </c>
      <c r="B54" s="411">
        <v>43647</v>
      </c>
      <c r="C54" s="411">
        <v>43738</v>
      </c>
      <c r="D54" s="399">
        <f t="shared" si="0"/>
        <v>7673.9400000000005</v>
      </c>
      <c r="E54" s="341">
        <f t="shared" ref="E54:F54" si="58">I54+N54+S54+X54</f>
        <v>1434.08</v>
      </c>
      <c r="F54" s="341">
        <f t="shared" si="58"/>
        <v>325193.52</v>
      </c>
      <c r="G54" s="285">
        <f t="shared" si="4"/>
        <v>4.4824459361689677E-3</v>
      </c>
      <c r="H54" s="408">
        <v>2338.65</v>
      </c>
      <c r="I54" s="408">
        <v>572.88</v>
      </c>
      <c r="J54" s="408">
        <f t="shared" si="9"/>
        <v>135758.69000000003</v>
      </c>
      <c r="K54" s="412">
        <f t="shared" si="5"/>
        <v>4.2746979970411832E-3</v>
      </c>
      <c r="L54" s="409">
        <v>774.48</v>
      </c>
      <c r="M54" s="409"/>
      <c r="N54" s="409">
        <v>197.29</v>
      </c>
      <c r="O54" s="409">
        <f t="shared" si="6"/>
        <v>49600.889999999978</v>
      </c>
      <c r="P54" s="413">
        <f t="shared" si="7"/>
        <v>4.024982679252399E-3</v>
      </c>
      <c r="Q54" s="408">
        <v>3388.01</v>
      </c>
      <c r="R54" s="408">
        <v>-5</v>
      </c>
      <c r="S54" s="408">
        <v>525.37</v>
      </c>
      <c r="T54" s="408">
        <f t="shared" si="21"/>
        <v>110822.65999999999</v>
      </c>
      <c r="U54" s="412">
        <f t="shared" si="22"/>
        <v>4.8372921089767694E-3</v>
      </c>
      <c r="V54" s="409">
        <v>1172.8</v>
      </c>
      <c r="W54" s="409">
        <v>-5</v>
      </c>
      <c r="X54" s="409">
        <v>138.54</v>
      </c>
      <c r="Y54" s="409">
        <f t="shared" si="17"/>
        <v>29011.280000000006</v>
      </c>
      <c r="Z54" s="413">
        <f t="shared" si="18"/>
        <v>4.8969048479145898E-3</v>
      </c>
    </row>
    <row r="55" spans="1:26" ht="11.25" customHeight="1" x14ac:dyDescent="0.25">
      <c r="A55" s="410">
        <f t="shared" si="2"/>
        <v>14</v>
      </c>
      <c r="B55" s="416">
        <v>43739</v>
      </c>
      <c r="C55" s="416">
        <v>43830</v>
      </c>
      <c r="D55" s="417">
        <f t="shared" si="0"/>
        <v>7170.0499999999993</v>
      </c>
      <c r="E55" s="418">
        <f t="shared" ref="E55:F55" si="59">I55+N55+S55+X55</f>
        <v>25173.34</v>
      </c>
      <c r="F55" s="418">
        <f t="shared" si="59"/>
        <v>357563.51</v>
      </c>
      <c r="G55" s="285">
        <f t="shared" si="4"/>
        <v>7.6566249175413797E-2</v>
      </c>
      <c r="H55" s="419">
        <v>2373.7199999999998</v>
      </c>
      <c r="I55" s="419">
        <v>9824.64</v>
      </c>
      <c r="J55" s="419">
        <f t="shared" si="9"/>
        <v>147957.05000000005</v>
      </c>
      <c r="K55" s="420">
        <f t="shared" si="5"/>
        <v>7.1741213935027442E-2</v>
      </c>
      <c r="L55" s="421">
        <v>342.79</v>
      </c>
      <c r="M55" s="421"/>
      <c r="N55" s="421">
        <v>3566.35</v>
      </c>
      <c r="O55" s="421">
        <f t="shared" si="6"/>
        <v>53510.029999999977</v>
      </c>
      <c r="P55" s="422">
        <f t="shared" si="7"/>
        <v>7.1653330764299888E-2</v>
      </c>
      <c r="Q55" s="419">
        <v>3308.31</v>
      </c>
      <c r="R55" s="419">
        <v>28.77</v>
      </c>
      <c r="S55" s="419">
        <v>9328.2900000000009</v>
      </c>
      <c r="T55" s="419">
        <f t="shared" si="21"/>
        <v>123488.02999999998</v>
      </c>
      <c r="U55" s="420">
        <f t="shared" si="22"/>
        <v>8.2935225361777914E-2</v>
      </c>
      <c r="V55" s="421">
        <v>1145.23</v>
      </c>
      <c r="W55" s="421">
        <v>-2.17</v>
      </c>
      <c r="X55" s="421">
        <v>2454.06</v>
      </c>
      <c r="Y55" s="421">
        <f t="shared" si="17"/>
        <v>32608.400000000009</v>
      </c>
      <c r="Z55" s="413">
        <f t="shared" si="18"/>
        <v>8.2952565914664017E-2</v>
      </c>
    </row>
    <row r="56" spans="1:26" ht="11.25" customHeight="1" x14ac:dyDescent="0.25">
      <c r="A56" s="410">
        <f t="shared" si="2"/>
        <v>77</v>
      </c>
      <c r="B56" s="411">
        <v>43831</v>
      </c>
      <c r="C56" s="411">
        <v>43921</v>
      </c>
      <c r="D56" s="399">
        <f t="shared" si="0"/>
        <v>7742.6099999999988</v>
      </c>
      <c r="E56" s="341">
        <f t="shared" ref="E56:F56" si="60">I56+N56+S56+X56</f>
        <v>-70829.37</v>
      </c>
      <c r="F56" s="341">
        <f t="shared" si="60"/>
        <v>294466.75</v>
      </c>
      <c r="G56" s="285">
        <f t="shared" si="4"/>
        <v>-0.19596720365745618</v>
      </c>
      <c r="H56" s="408">
        <v>2012.79</v>
      </c>
      <c r="I56" s="408">
        <v>-27147.94</v>
      </c>
      <c r="J56" s="408">
        <f t="shared" si="9"/>
        <v>122821.90000000005</v>
      </c>
      <c r="K56" s="412">
        <f t="shared" si="5"/>
        <v>-0.18224565093805392</v>
      </c>
      <c r="L56" s="409">
        <v>1354.74</v>
      </c>
      <c r="M56" s="409"/>
      <c r="N56" s="409">
        <v>-9790.6200000000008</v>
      </c>
      <c r="O56" s="409">
        <f t="shared" si="6"/>
        <v>45074.149999999972</v>
      </c>
      <c r="P56" s="413">
        <f t="shared" si="7"/>
        <v>-0.18068074866112796</v>
      </c>
      <c r="Q56" s="408">
        <v>3250.02</v>
      </c>
      <c r="R56" s="408">
        <v>-5</v>
      </c>
      <c r="S56" s="408">
        <v>-26778.080000000002</v>
      </c>
      <c r="T56" s="408">
        <f t="shared" si="21"/>
        <v>99954.969999999987</v>
      </c>
      <c r="U56" s="412">
        <f t="shared" si="22"/>
        <v>-0.21403108740703611</v>
      </c>
      <c r="V56" s="409">
        <v>1125.06</v>
      </c>
      <c r="W56" s="409">
        <v>-5</v>
      </c>
      <c r="X56" s="409">
        <v>-7112.73</v>
      </c>
      <c r="Y56" s="409">
        <f t="shared" si="17"/>
        <v>26615.730000000007</v>
      </c>
      <c r="Z56" s="413">
        <f t="shared" si="18"/>
        <v>-0.21442660787623374</v>
      </c>
    </row>
    <row r="57" spans="1:26" ht="11.25" customHeight="1" x14ac:dyDescent="0.25">
      <c r="A57" s="410">
        <f t="shared" si="2"/>
        <v>1</v>
      </c>
      <c r="B57" s="411">
        <v>43922</v>
      </c>
      <c r="C57" s="411">
        <v>44012</v>
      </c>
      <c r="D57" s="399">
        <f t="shared" si="0"/>
        <v>7612.45</v>
      </c>
      <c r="E57" s="341">
        <f t="shared" ref="E57:F57" si="61">I57+N57+S57+X57</f>
        <v>52103.11</v>
      </c>
      <c r="F57" s="341">
        <f t="shared" si="61"/>
        <v>354172.31000000006</v>
      </c>
      <c r="G57" s="285">
        <f t="shared" si="4"/>
        <v>0.17468263760737962</v>
      </c>
      <c r="H57" s="408">
        <v>763.49</v>
      </c>
      <c r="I57" s="408">
        <v>20618.64</v>
      </c>
      <c r="J57" s="408">
        <f t="shared" si="9"/>
        <v>144204.03000000006</v>
      </c>
      <c r="K57" s="412">
        <f t="shared" si="5"/>
        <v>0.16735413956299744</v>
      </c>
      <c r="L57" s="409">
        <v>2473.89</v>
      </c>
      <c r="M57" s="409"/>
      <c r="N57" s="409">
        <v>7704.29</v>
      </c>
      <c r="O57" s="409">
        <f t="shared" si="6"/>
        <v>55252.329999999973</v>
      </c>
      <c r="P57" s="413">
        <f t="shared" si="7"/>
        <v>0.1663594868573072</v>
      </c>
      <c r="Q57" s="408">
        <v>3250.02</v>
      </c>
      <c r="R57" s="408">
        <v>-5</v>
      </c>
      <c r="S57" s="408">
        <v>18764.759999999998</v>
      </c>
      <c r="T57" s="408">
        <f t="shared" si="21"/>
        <v>121964.74999999999</v>
      </c>
      <c r="U57" s="412">
        <f t="shared" si="22"/>
        <v>0.18472892000963184</v>
      </c>
      <c r="V57" s="409">
        <v>1125.05</v>
      </c>
      <c r="W57" s="409">
        <v>-5</v>
      </c>
      <c r="X57" s="409">
        <v>5015.42</v>
      </c>
      <c r="Y57" s="409">
        <f t="shared" si="17"/>
        <v>32751.200000000004</v>
      </c>
      <c r="Z57" s="413">
        <f t="shared" si="18"/>
        <v>0.18453796978503581</v>
      </c>
    </row>
    <row r="58" spans="1:26" ht="11.25" customHeight="1" x14ac:dyDescent="0.25">
      <c r="A58" s="410">
        <f t="shared" si="2"/>
        <v>20</v>
      </c>
      <c r="B58" s="411">
        <v>44013</v>
      </c>
      <c r="C58" s="411">
        <v>44104</v>
      </c>
      <c r="D58" s="399">
        <f t="shared" si="0"/>
        <v>7217.0099999999993</v>
      </c>
      <c r="E58" s="341">
        <f t="shared" ref="E58:F58" si="62">I58+N58+S58+X58</f>
        <v>24573.86</v>
      </c>
      <c r="F58" s="341">
        <f t="shared" si="62"/>
        <v>385953.18</v>
      </c>
      <c r="G58" s="285">
        <f t="shared" si="4"/>
        <v>6.8684118794910778E-2</v>
      </c>
      <c r="H58" s="408">
        <v>2341.29</v>
      </c>
      <c r="I58" s="408">
        <v>9153.7999999999993</v>
      </c>
      <c r="J58" s="408">
        <f t="shared" si="9"/>
        <v>155699.12000000005</v>
      </c>
      <c r="K58" s="412">
        <f t="shared" si="5"/>
        <v>6.2966950742968097E-2</v>
      </c>
      <c r="L58" s="409">
        <v>500.66</v>
      </c>
      <c r="M58" s="409"/>
      <c r="N58" s="409">
        <v>3518.08</v>
      </c>
      <c r="O58" s="409">
        <f t="shared" si="6"/>
        <v>59271.069999999978</v>
      </c>
      <c r="P58" s="413">
        <f t="shared" si="7"/>
        <v>6.3385790879211937E-2</v>
      </c>
      <c r="Q58" s="408">
        <v>3250.02</v>
      </c>
      <c r="R58" s="408">
        <v>-5</v>
      </c>
      <c r="S58" s="408">
        <v>9379.41</v>
      </c>
      <c r="T58" s="408">
        <f t="shared" si="21"/>
        <v>134589.18</v>
      </c>
      <c r="U58" s="412">
        <f t="shared" si="22"/>
        <v>7.5891481624367596E-2</v>
      </c>
      <c r="V58" s="409">
        <v>1125.04</v>
      </c>
      <c r="W58" s="409">
        <v>-5</v>
      </c>
      <c r="X58" s="409">
        <v>2522.5700000000002</v>
      </c>
      <c r="Y58" s="409">
        <f t="shared" si="17"/>
        <v>36393.810000000005</v>
      </c>
      <c r="Z58" s="413">
        <f t="shared" si="18"/>
        <v>7.5721654621579343E-2</v>
      </c>
    </row>
    <row r="59" spans="1:26" ht="11.25" customHeight="1" x14ac:dyDescent="0.25">
      <c r="A59" s="410">
        <f t="shared" si="2"/>
        <v>5</v>
      </c>
      <c r="B59" s="411">
        <v>44105</v>
      </c>
      <c r="C59" s="411">
        <v>44196</v>
      </c>
      <c r="D59" s="399">
        <f t="shared" si="0"/>
        <v>7890.2699999999995</v>
      </c>
      <c r="E59" s="341">
        <f t="shared" ref="E59:F59" si="63">I59+N59+S59+X59</f>
        <v>52550.63</v>
      </c>
      <c r="F59" s="341">
        <f t="shared" si="63"/>
        <v>446432.66000000003</v>
      </c>
      <c r="G59" s="285">
        <f t="shared" si="4"/>
        <v>0.13478034651162829</v>
      </c>
      <c r="H59" s="408">
        <v>3043.98</v>
      </c>
      <c r="I59" s="408">
        <v>20324.8</v>
      </c>
      <c r="J59" s="408">
        <f t="shared" si="9"/>
        <v>179067.90000000005</v>
      </c>
      <c r="K59" s="412">
        <f t="shared" si="5"/>
        <v>0.12927526080944216</v>
      </c>
      <c r="L59" s="409">
        <v>471.22</v>
      </c>
      <c r="M59" s="409"/>
      <c r="N59" s="409">
        <v>7727.21</v>
      </c>
      <c r="O59" s="409">
        <f t="shared" si="6"/>
        <v>67469.499999999985</v>
      </c>
      <c r="P59" s="413">
        <f t="shared" si="7"/>
        <v>0.12985449700773094</v>
      </c>
      <c r="Q59" s="408">
        <v>3250.02</v>
      </c>
      <c r="R59" s="408">
        <v>39.450000000000003</v>
      </c>
      <c r="S59" s="408">
        <v>19269.02</v>
      </c>
      <c r="T59" s="408">
        <f t="shared" si="21"/>
        <v>157147.66999999998</v>
      </c>
      <c r="U59" s="412">
        <f t="shared" si="22"/>
        <v>0.14146117963187241</v>
      </c>
      <c r="V59" s="409">
        <v>1125.05</v>
      </c>
      <c r="W59" s="409">
        <v>-0.87</v>
      </c>
      <c r="X59" s="409">
        <v>5229.6000000000004</v>
      </c>
      <c r="Y59" s="409">
        <f t="shared" si="17"/>
        <v>42747.590000000004</v>
      </c>
      <c r="Z59" s="413">
        <f t="shared" si="18"/>
        <v>0.14150753855868012</v>
      </c>
    </row>
    <row r="60" spans="1:26" ht="11.25" customHeight="1" x14ac:dyDescent="0.25">
      <c r="A60" s="410">
        <f t="shared" si="2"/>
        <v>29</v>
      </c>
      <c r="B60" s="411">
        <v>44197</v>
      </c>
      <c r="C60" s="411">
        <v>44286</v>
      </c>
      <c r="D60" s="399">
        <f t="shared" si="0"/>
        <v>7692.97</v>
      </c>
      <c r="E60" s="341">
        <f t="shared" ref="E60:F60" si="64">I60+N60+S60+X60</f>
        <v>23221.300000000003</v>
      </c>
      <c r="F60" s="341">
        <f t="shared" si="64"/>
        <v>477336.93000000005</v>
      </c>
      <c r="G60" s="285">
        <f t="shared" si="4"/>
        <v>5.1570898314644356E-2</v>
      </c>
      <c r="H60" s="408">
        <v>3135.9</v>
      </c>
      <c r="I60" s="408">
        <v>9365.5400000000009</v>
      </c>
      <c r="J60" s="408">
        <f t="shared" si="9"/>
        <v>191569.34000000005</v>
      </c>
      <c r="K60" s="412">
        <f t="shared" si="5"/>
        <v>5.1847626038795717E-2</v>
      </c>
      <c r="L60" s="409">
        <v>182</v>
      </c>
      <c r="M60" s="409"/>
      <c r="N60" s="409">
        <v>3519.58</v>
      </c>
      <c r="O60" s="409">
        <f t="shared" si="6"/>
        <v>71171.079999999987</v>
      </c>
      <c r="P60" s="413">
        <f t="shared" si="7"/>
        <v>5.2095233161388692E-2</v>
      </c>
      <c r="Q60" s="408">
        <v>3250.02</v>
      </c>
      <c r="R60" s="408">
        <v>-5</v>
      </c>
      <c r="S60" s="408">
        <v>8122.69</v>
      </c>
      <c r="T60" s="408">
        <f t="shared" si="21"/>
        <v>168515.37999999998</v>
      </c>
      <c r="U60" s="412">
        <f t="shared" si="22"/>
        <v>5.1159242257547081E-2</v>
      </c>
      <c r="V60" s="409">
        <v>1125.05</v>
      </c>
      <c r="W60" s="409">
        <v>-5</v>
      </c>
      <c r="X60" s="409">
        <v>2213.4899999999998</v>
      </c>
      <c r="Y60" s="409">
        <f t="shared" si="17"/>
        <v>46081.130000000005</v>
      </c>
      <c r="Z60" s="413">
        <f t="shared" si="18"/>
        <v>5.1107922479540852E-2</v>
      </c>
    </row>
    <row r="61" spans="1:26" ht="11.25" customHeight="1" x14ac:dyDescent="0.25">
      <c r="A61" s="410">
        <f t="shared" si="2"/>
        <v>19</v>
      </c>
      <c r="B61" s="411">
        <v>44287</v>
      </c>
      <c r="C61" s="411">
        <v>44377</v>
      </c>
      <c r="D61" s="399">
        <f t="shared" si="0"/>
        <v>9395.75</v>
      </c>
      <c r="E61" s="341">
        <f t="shared" ref="E61:F61" si="65">I61+N61+S61+X61</f>
        <v>33364.39</v>
      </c>
      <c r="F61" s="341">
        <f t="shared" si="65"/>
        <v>520087.07</v>
      </c>
      <c r="G61" s="285">
        <f t="shared" si="4"/>
        <v>6.9215728104944613E-2</v>
      </c>
      <c r="H61" s="408">
        <v>3722.18</v>
      </c>
      <c r="I61" s="408">
        <v>13315.57</v>
      </c>
      <c r="J61" s="408">
        <f t="shared" si="9"/>
        <v>208607.09000000005</v>
      </c>
      <c r="K61" s="412">
        <f t="shared" si="5"/>
        <v>6.8839065290812809E-2</v>
      </c>
      <c r="L61" s="409">
        <v>1152.69</v>
      </c>
      <c r="M61" s="409"/>
      <c r="N61" s="409">
        <v>4935.9399999999996</v>
      </c>
      <c r="O61" s="409">
        <f t="shared" si="6"/>
        <v>77259.709999999992</v>
      </c>
      <c r="P61" s="413">
        <f t="shared" si="7"/>
        <v>6.8796057837615776E-2</v>
      </c>
      <c r="Q61" s="408">
        <v>3358.36</v>
      </c>
      <c r="R61" s="408">
        <v>-5</v>
      </c>
      <c r="S61" s="408">
        <v>11862.74</v>
      </c>
      <c r="T61" s="408">
        <f t="shared" si="21"/>
        <v>183731.47999999995</v>
      </c>
      <c r="U61" s="412">
        <f t="shared" si="22"/>
        <v>6.9701052724599435E-2</v>
      </c>
      <c r="V61" s="409">
        <v>1162.52</v>
      </c>
      <c r="W61" s="409">
        <v>-5</v>
      </c>
      <c r="X61" s="409">
        <v>3250.14</v>
      </c>
      <c r="Y61" s="409">
        <f t="shared" si="17"/>
        <v>50488.79</v>
      </c>
      <c r="Z61" s="413">
        <f t="shared" si="18"/>
        <v>6.9652240273162164E-2</v>
      </c>
    </row>
    <row r="62" spans="1:26" ht="11.25" customHeight="1" x14ac:dyDescent="0.25">
      <c r="A62" s="410">
        <f t="shared" si="2"/>
        <v>60</v>
      </c>
      <c r="B62" s="411">
        <v>44378</v>
      </c>
      <c r="C62" s="411">
        <v>44469</v>
      </c>
      <c r="D62" s="399">
        <f t="shared" si="0"/>
        <v>8662.85</v>
      </c>
      <c r="E62" s="341">
        <f t="shared" ref="E62:F62" si="66">I62+N62+S62+X62</f>
        <v>-2806.3399999999997</v>
      </c>
      <c r="F62" s="341">
        <f t="shared" si="66"/>
        <v>525933.58000000007</v>
      </c>
      <c r="G62" s="285">
        <f t="shared" si="4"/>
        <v>-5.351336817363773E-3</v>
      </c>
      <c r="H62" s="408">
        <v>3263.16</v>
      </c>
      <c r="I62" s="408">
        <v>-830.29</v>
      </c>
      <c r="J62" s="408">
        <f t="shared" si="9"/>
        <v>211039.96000000005</v>
      </c>
      <c r="K62" s="412">
        <f t="shared" si="5"/>
        <v>-3.9492734614426537E-3</v>
      </c>
      <c r="L62" s="409">
        <v>667.35</v>
      </c>
      <c r="M62" s="409"/>
      <c r="N62" s="409">
        <v>-288.94</v>
      </c>
      <c r="O62" s="409">
        <f t="shared" si="6"/>
        <v>77638.12</v>
      </c>
      <c r="P62" s="413">
        <f t="shared" si="7"/>
        <v>-3.7237710405339324E-3</v>
      </c>
      <c r="Q62" s="408">
        <v>3515.44</v>
      </c>
      <c r="R62" s="408">
        <v>-5</v>
      </c>
      <c r="S62" s="408">
        <v>-1319.84</v>
      </c>
      <c r="T62" s="408">
        <f t="shared" si="21"/>
        <v>185922.07999999996</v>
      </c>
      <c r="U62" s="412">
        <f t="shared" si="22"/>
        <v>-7.1154547003275679E-3</v>
      </c>
      <c r="V62" s="409">
        <v>1216.9000000000001</v>
      </c>
      <c r="W62" s="409">
        <v>-5</v>
      </c>
      <c r="X62" s="409">
        <v>-367.27</v>
      </c>
      <c r="Y62" s="409">
        <f t="shared" si="17"/>
        <v>51333.420000000006</v>
      </c>
      <c r="Z62" s="413">
        <f t="shared" si="18"/>
        <v>-7.1876680619148902E-3</v>
      </c>
    </row>
    <row r="63" spans="1:26" ht="11.25" customHeight="1" x14ac:dyDescent="0.25">
      <c r="A63" s="410">
        <f t="shared" si="2"/>
        <v>23</v>
      </c>
      <c r="B63" s="411">
        <v>44470</v>
      </c>
      <c r="C63" s="411">
        <v>44561</v>
      </c>
      <c r="D63" s="399">
        <f t="shared" si="0"/>
        <v>9311.3900000000012</v>
      </c>
      <c r="E63" s="341">
        <f t="shared" ref="E63:F63" si="67">I63+N63+S63+X63</f>
        <v>34528.080000000002</v>
      </c>
      <c r="F63" s="341">
        <f t="shared" si="67"/>
        <v>569814.69000000006</v>
      </c>
      <c r="G63" s="285">
        <f t="shared" si="4"/>
        <v>6.507496782704475E-2</v>
      </c>
      <c r="H63" s="408">
        <v>3879.38</v>
      </c>
      <c r="I63" s="408">
        <v>13905.92</v>
      </c>
      <c r="J63" s="408">
        <f t="shared" si="9"/>
        <v>228825.26000000007</v>
      </c>
      <c r="K63" s="412">
        <f t="shared" si="5"/>
        <v>6.5292247404857673E-2</v>
      </c>
      <c r="L63" s="409">
        <v>371.59</v>
      </c>
      <c r="M63" s="409"/>
      <c r="N63" s="409">
        <v>5097.01</v>
      </c>
      <c r="O63" s="409">
        <f t="shared" si="6"/>
        <v>83106.719999999987</v>
      </c>
      <c r="P63" s="413">
        <f t="shared" si="7"/>
        <v>6.5494135061182679E-2</v>
      </c>
      <c r="Q63" s="408">
        <v>3759.15</v>
      </c>
      <c r="R63" s="408">
        <v>43.2</v>
      </c>
      <c r="S63" s="408">
        <v>12162.04</v>
      </c>
      <c r="T63" s="408">
        <f t="shared" si="21"/>
        <v>201886.46999999997</v>
      </c>
      <c r="U63" s="412">
        <f t="shared" si="22"/>
        <v>6.4760025677090022E-2</v>
      </c>
      <c r="V63" s="409">
        <v>1301.27</v>
      </c>
      <c r="W63" s="409">
        <v>-1.56</v>
      </c>
      <c r="X63" s="409">
        <v>3363.11</v>
      </c>
      <c r="Y63" s="409">
        <f t="shared" si="17"/>
        <v>55996.240000000005</v>
      </c>
      <c r="Z63" s="413">
        <f t="shared" si="18"/>
        <v>6.4695030043346938E-2</v>
      </c>
    </row>
    <row r="64" spans="1:26" ht="11.25" customHeight="1" x14ac:dyDescent="0.25">
      <c r="A64" s="410">
        <f t="shared" si="2"/>
        <v>71</v>
      </c>
      <c r="B64" s="411">
        <v>44562</v>
      </c>
      <c r="C64" s="411">
        <v>44651</v>
      </c>
      <c r="D64" s="399">
        <f t="shared" si="0"/>
        <v>8989.7800000000007</v>
      </c>
      <c r="E64" s="341">
        <f t="shared" ref="E64:F64" si="68">I64+N64+S64+X64</f>
        <v>-33020.32</v>
      </c>
      <c r="F64" s="341">
        <f t="shared" si="68"/>
        <v>545774.14999999991</v>
      </c>
      <c r="G64" s="285">
        <f t="shared" si="4"/>
        <v>-5.7495680291455339E-2</v>
      </c>
      <c r="H64" s="408">
        <v>3295.8</v>
      </c>
      <c r="I64" s="408">
        <v>-13162.7</v>
      </c>
      <c r="J64" s="408">
        <f t="shared" si="9"/>
        <v>218958.36000000004</v>
      </c>
      <c r="K64" s="412">
        <f t="shared" si="5"/>
        <v>-5.7111639377010311E-2</v>
      </c>
      <c r="L64" s="409">
        <v>508.81</v>
      </c>
      <c r="M64" s="409"/>
      <c r="N64" s="409">
        <v>-4788.0200000000004</v>
      </c>
      <c r="O64" s="409">
        <f t="shared" si="6"/>
        <v>78827.50999999998</v>
      </c>
      <c r="P64" s="413">
        <f t="shared" si="7"/>
        <v>-5.7437084732241815E-2</v>
      </c>
      <c r="Q64" s="408">
        <v>3851.81</v>
      </c>
      <c r="R64" s="408">
        <v>-5</v>
      </c>
      <c r="S64" s="408">
        <v>-11799.38</v>
      </c>
      <c r="T64" s="408">
        <f t="shared" si="21"/>
        <v>193933.89999999997</v>
      </c>
      <c r="U64" s="412">
        <f t="shared" si="22"/>
        <v>-5.7893344307478882E-2</v>
      </c>
      <c r="V64" s="409">
        <v>1333.36</v>
      </c>
      <c r="W64" s="409">
        <v>-5</v>
      </c>
      <c r="X64" s="409">
        <v>-3270.22</v>
      </c>
      <c r="Y64" s="409">
        <f t="shared" si="17"/>
        <v>54054.380000000005</v>
      </c>
      <c r="Z64" s="413">
        <f t="shared" si="18"/>
        <v>-5.7713580592034429E-2</v>
      </c>
    </row>
    <row r="65" spans="1:26" ht="11.25" customHeight="1" x14ac:dyDescent="0.25">
      <c r="A65" s="410">
        <f t="shared" si="2"/>
        <v>75</v>
      </c>
      <c r="B65" s="416">
        <v>44652</v>
      </c>
      <c r="C65" s="416">
        <v>44742</v>
      </c>
      <c r="D65" s="417">
        <f t="shared" si="0"/>
        <v>9559.6299999999992</v>
      </c>
      <c r="E65" s="418">
        <f t="shared" ref="E65:F65" si="69">I65+N65+S65+X65</f>
        <v>-81085.710000000006</v>
      </c>
      <c r="F65" s="418">
        <f t="shared" si="69"/>
        <v>474238.07</v>
      </c>
      <c r="G65" s="423">
        <f t="shared" si="4"/>
        <v>-0.14728022165819846</v>
      </c>
      <c r="H65" s="419">
        <v>3845.1</v>
      </c>
      <c r="I65" s="419">
        <v>-32359.85</v>
      </c>
      <c r="J65" s="419">
        <f t="shared" si="9"/>
        <v>190443.61000000004</v>
      </c>
      <c r="K65" s="420">
        <f t="shared" si="5"/>
        <v>-0.14650360685312278</v>
      </c>
      <c r="L65" s="421">
        <v>572.42999999999995</v>
      </c>
      <c r="M65" s="421"/>
      <c r="N65" s="421">
        <v>-11601.04</v>
      </c>
      <c r="O65" s="421">
        <f t="shared" si="6"/>
        <v>67798.899999999965</v>
      </c>
      <c r="P65" s="422">
        <f t="shared" si="7"/>
        <v>-0.14663751453998664</v>
      </c>
      <c r="Q65" s="419">
        <v>3819.84</v>
      </c>
      <c r="R65" s="419">
        <v>-5</v>
      </c>
      <c r="S65" s="419">
        <v>-29017.27</v>
      </c>
      <c r="T65" s="419">
        <f t="shared" si="21"/>
        <v>168731.46999999997</v>
      </c>
      <c r="U65" s="420">
        <f t="shared" si="22"/>
        <v>-0.14816535951964174</v>
      </c>
      <c r="V65" s="421">
        <v>1322.26</v>
      </c>
      <c r="W65" s="421">
        <v>-5</v>
      </c>
      <c r="X65" s="421">
        <v>-8107.55</v>
      </c>
      <c r="Y65" s="421">
        <f t="shared" si="17"/>
        <v>47264.090000000004</v>
      </c>
      <c r="Z65" s="422">
        <f t="shared" si="18"/>
        <v>-0.14817644941991767</v>
      </c>
    </row>
    <row r="66" spans="1:26" ht="11.25" customHeight="1" x14ac:dyDescent="0.25">
      <c r="A66" s="410">
        <f t="shared" si="2"/>
        <v>70</v>
      </c>
      <c r="B66" s="411">
        <v>44743</v>
      </c>
      <c r="C66" s="411">
        <v>44834</v>
      </c>
      <c r="D66" s="399">
        <f t="shared" si="0"/>
        <v>9265.27</v>
      </c>
      <c r="E66" s="341">
        <f t="shared" ref="E66:F66" si="70">I66+N66+S66+X66</f>
        <v>-25104.760000000002</v>
      </c>
      <c r="F66" s="341">
        <f t="shared" si="70"/>
        <v>458388.58</v>
      </c>
      <c r="G66" s="285">
        <f t="shared" si="4"/>
        <v>-5.2424923341259727E-2</v>
      </c>
      <c r="H66" s="408">
        <v>3380.7</v>
      </c>
      <c r="I66" s="408">
        <v>-9909.2900000000009</v>
      </c>
      <c r="J66" s="408">
        <f t="shared" si="9"/>
        <v>183915.02000000005</v>
      </c>
      <c r="K66" s="412">
        <f t="shared" si="5"/>
        <v>-5.1574901178323695E-2</v>
      </c>
      <c r="L66" s="409">
        <v>477.07</v>
      </c>
      <c r="M66" s="409"/>
      <c r="N66" s="409">
        <v>-3445.67</v>
      </c>
      <c r="O66" s="409">
        <f t="shared" si="6"/>
        <v>64830.299999999974</v>
      </c>
      <c r="P66" s="413">
        <f t="shared" si="7"/>
        <v>-5.0643737524790608E-2</v>
      </c>
      <c r="Q66" s="408">
        <v>4017</v>
      </c>
      <c r="R66" s="408">
        <v>-5</v>
      </c>
      <c r="S66" s="408">
        <v>-9161.0300000000007</v>
      </c>
      <c r="T66" s="408">
        <f t="shared" si="21"/>
        <v>163582.43999999997</v>
      </c>
      <c r="U66" s="412">
        <f t="shared" si="22"/>
        <v>-5.3654864763066329E-2</v>
      </c>
      <c r="V66" s="409">
        <v>1390.5</v>
      </c>
      <c r="W66" s="409">
        <v>-5</v>
      </c>
      <c r="X66" s="409">
        <v>-2588.77</v>
      </c>
      <c r="Y66" s="409">
        <f t="shared" si="17"/>
        <v>46060.820000000007</v>
      </c>
      <c r="Z66" s="413">
        <f t="shared" si="18"/>
        <v>-5.3978432563917683E-2</v>
      </c>
    </row>
    <row r="67" spans="1:26" ht="11.25" customHeight="1" x14ac:dyDescent="0.25">
      <c r="A67" s="410">
        <f t="shared" si="2"/>
        <v>16</v>
      </c>
      <c r="B67" s="411">
        <v>44835</v>
      </c>
      <c r="C67" s="411">
        <v>44926</v>
      </c>
      <c r="D67" s="399">
        <f t="shared" si="0"/>
        <v>9930.630000000001</v>
      </c>
      <c r="E67" s="341">
        <f t="shared" ref="E67:F67" si="71">I67+N67+S67+X67</f>
        <v>33263.85</v>
      </c>
      <c r="F67" s="341">
        <f t="shared" si="71"/>
        <v>501614.6</v>
      </c>
      <c r="G67" s="285">
        <f t="shared" si="4"/>
        <v>7.1789296170694752E-2</v>
      </c>
      <c r="H67" s="408">
        <v>4014.32</v>
      </c>
      <c r="I67" s="408">
        <v>13678.97</v>
      </c>
      <c r="J67" s="408">
        <f t="shared" si="9"/>
        <v>201608.31000000006</v>
      </c>
      <c r="K67" s="412">
        <f t="shared" si="5"/>
        <v>7.3573631720540253E-2</v>
      </c>
      <c r="L67" s="409">
        <v>508.81</v>
      </c>
      <c r="M67" s="409"/>
      <c r="N67" s="409">
        <v>4811.8999999999996</v>
      </c>
      <c r="O67" s="409">
        <f t="shared" si="6"/>
        <v>70151.009999999966</v>
      </c>
      <c r="P67" s="413">
        <f t="shared" si="7"/>
        <v>7.3932884845986493E-2</v>
      </c>
      <c r="Q67" s="408">
        <v>4017</v>
      </c>
      <c r="R67" s="408">
        <v>34.32</v>
      </c>
      <c r="S67" s="408">
        <v>11526.26</v>
      </c>
      <c r="T67" s="408">
        <f t="shared" si="21"/>
        <v>179160.02</v>
      </c>
      <c r="U67" s="412">
        <f t="shared" si="22"/>
        <v>6.9606827523293252E-2</v>
      </c>
      <c r="V67" s="409">
        <v>1390.5</v>
      </c>
      <c r="W67" s="409">
        <v>-2.78</v>
      </c>
      <c r="X67" s="409">
        <v>3246.72</v>
      </c>
      <c r="Y67" s="409">
        <f t="shared" si="17"/>
        <v>50695.260000000009</v>
      </c>
      <c r="Z67" s="413">
        <f t="shared" si="18"/>
        <v>6.9439540149546342E-2</v>
      </c>
    </row>
    <row r="68" spans="1:26" ht="11.25" customHeight="1" x14ac:dyDescent="0.25">
      <c r="A68" s="410">
        <f t="shared" si="2"/>
        <v>22</v>
      </c>
      <c r="B68" s="416">
        <v>44927</v>
      </c>
      <c r="C68" s="416">
        <v>45016</v>
      </c>
      <c r="D68" s="417">
        <f t="shared" si="0"/>
        <v>12386.3</v>
      </c>
      <c r="E68" s="418">
        <f t="shared" ref="E68:F68" si="72">I68+N68+S68+X68</f>
        <v>33062.86</v>
      </c>
      <c r="F68" s="418">
        <f t="shared" si="72"/>
        <v>547053.76</v>
      </c>
      <c r="G68" s="423">
        <f t="shared" si="4"/>
        <v>6.5109010250434349E-2</v>
      </c>
      <c r="H68" s="419">
        <v>4901.84</v>
      </c>
      <c r="I68" s="419">
        <v>13482.75</v>
      </c>
      <c r="J68" s="419">
        <f t="shared" si="9"/>
        <v>219992.90000000005</v>
      </c>
      <c r="K68" s="420">
        <f t="shared" si="5"/>
        <v>6.6072728001570893E-2</v>
      </c>
      <c r="L68" s="421">
        <v>531.96</v>
      </c>
      <c r="M68" s="421"/>
      <c r="N68" s="421">
        <v>4673.3</v>
      </c>
      <c r="O68" s="421">
        <f t="shared" si="6"/>
        <v>75356.269999999975</v>
      </c>
      <c r="P68" s="422">
        <f t="shared" si="7"/>
        <v>6.6366085798327965E-2</v>
      </c>
      <c r="Q68" s="419">
        <v>5562</v>
      </c>
      <c r="R68" s="419">
        <v>-5</v>
      </c>
      <c r="S68" s="419">
        <v>11622.05</v>
      </c>
      <c r="T68" s="419">
        <f t="shared" si="21"/>
        <v>196339.06999999998</v>
      </c>
      <c r="U68" s="420">
        <f t="shared" si="22"/>
        <v>6.3878118304492304E-2</v>
      </c>
      <c r="V68" s="421">
        <v>1390.5</v>
      </c>
      <c r="W68" s="421">
        <v>-5</v>
      </c>
      <c r="X68" s="421">
        <v>3284.76</v>
      </c>
      <c r="Y68" s="421">
        <f t="shared" si="17"/>
        <v>55365.520000000011</v>
      </c>
      <c r="Z68" s="422">
        <f t="shared" si="18"/>
        <v>6.3917637711709802E-2</v>
      </c>
    </row>
    <row r="69" spans="1:26" ht="11.25" customHeight="1" x14ac:dyDescent="0.25">
      <c r="A69" s="410">
        <f t="shared" si="2"/>
        <v>25</v>
      </c>
      <c r="B69" s="411">
        <v>45017</v>
      </c>
      <c r="C69" s="411">
        <v>45107</v>
      </c>
      <c r="D69" s="399">
        <f t="shared" si="0"/>
        <v>14328.099999999999</v>
      </c>
      <c r="E69" s="341">
        <f t="shared" ref="E69:F69" si="73">I69+N69+S69+X69</f>
        <v>34397.699999999997</v>
      </c>
      <c r="F69" s="341">
        <f t="shared" si="73"/>
        <v>595769.56000000006</v>
      </c>
      <c r="G69" s="285">
        <f t="shared" si="4"/>
        <v>6.2065309665887483E-2</v>
      </c>
      <c r="H69" s="408">
        <v>6041</v>
      </c>
      <c r="I69" s="408">
        <v>13966.9</v>
      </c>
      <c r="J69" s="408">
        <f t="shared" si="9"/>
        <v>240000.80000000005</v>
      </c>
      <c r="K69" s="412">
        <f t="shared" si="5"/>
        <v>6.2628075263638852E-2</v>
      </c>
      <c r="L69" s="409">
        <v>721.98</v>
      </c>
      <c r="M69" s="409"/>
      <c r="N69" s="409">
        <v>4714.47</v>
      </c>
      <c r="O69" s="409">
        <f t="shared" si="6"/>
        <v>80792.719999999972</v>
      </c>
      <c r="P69" s="413">
        <f t="shared" si="7"/>
        <v>6.2264138982313963E-2</v>
      </c>
      <c r="Q69" s="408">
        <v>6052.07</v>
      </c>
      <c r="R69" s="408">
        <v>-5</v>
      </c>
      <c r="S69" s="408">
        <v>12265.99</v>
      </c>
      <c r="T69" s="408">
        <f t="shared" si="21"/>
        <v>214652.12999999998</v>
      </c>
      <c r="U69" s="412">
        <f t="shared" si="22"/>
        <v>6.1525260401011507E-2</v>
      </c>
      <c r="V69" s="409">
        <v>1513.05</v>
      </c>
      <c r="W69" s="409">
        <v>-5</v>
      </c>
      <c r="X69" s="409">
        <v>3450.34</v>
      </c>
      <c r="Y69" s="409">
        <f t="shared" si="17"/>
        <v>60323.910000000018</v>
      </c>
      <c r="Z69" s="413">
        <f t="shared" si="18"/>
        <v>6.1479227993206577E-2</v>
      </c>
    </row>
    <row r="70" spans="1:26" ht="11.25" customHeight="1" x14ac:dyDescent="0.25">
      <c r="A70" s="410">
        <f t="shared" si="2"/>
        <v>68</v>
      </c>
      <c r="B70" s="416">
        <v>45108</v>
      </c>
      <c r="C70" s="416">
        <v>45199</v>
      </c>
      <c r="D70" s="417">
        <f t="shared" si="0"/>
        <v>8695.1500000000015</v>
      </c>
      <c r="E70" s="418">
        <f t="shared" ref="E70:F70" si="74">I70+N70+S70+X70</f>
        <v>-20377.89</v>
      </c>
      <c r="F70" s="418">
        <f t="shared" si="74"/>
        <v>584076.81999999995</v>
      </c>
      <c r="G70" s="423">
        <f t="shared" si="4"/>
        <v>-3.3956520838219359E-2</v>
      </c>
      <c r="H70" s="419">
        <v>2705.4</v>
      </c>
      <c r="I70" s="419">
        <v>-8220.6</v>
      </c>
      <c r="J70" s="419">
        <f t="shared" si="9"/>
        <v>234485.60000000003</v>
      </c>
      <c r="K70" s="420">
        <f t="shared" si="5"/>
        <v>-3.4060413459924957E-2</v>
      </c>
      <c r="L70" s="421">
        <v>569.95000000000005</v>
      </c>
      <c r="M70" s="421"/>
      <c r="N70" s="421">
        <v>-2746.93</v>
      </c>
      <c r="O70" s="421">
        <f t="shared" si="6"/>
        <v>78615.739999999976</v>
      </c>
      <c r="P70" s="422">
        <f t="shared" si="7"/>
        <v>-3.388021822771356E-2</v>
      </c>
      <c r="Q70" s="419">
        <v>3879.36</v>
      </c>
      <c r="R70" s="419">
        <v>-5</v>
      </c>
      <c r="S70" s="419">
        <v>-7333.51</v>
      </c>
      <c r="T70" s="419">
        <f t="shared" si="21"/>
        <v>211192.97999999995</v>
      </c>
      <c r="U70" s="420">
        <f t="shared" si="22"/>
        <v>-3.3858667139814759E-2</v>
      </c>
      <c r="V70" s="421">
        <v>1540.44</v>
      </c>
      <c r="W70" s="421">
        <v>-5</v>
      </c>
      <c r="X70" s="421">
        <v>-2076.85</v>
      </c>
      <c r="Y70" s="421">
        <f t="shared" si="17"/>
        <v>59782.500000000022</v>
      </c>
      <c r="Z70" s="422">
        <f t="shared" si="18"/>
        <v>-3.3994264260739933E-2</v>
      </c>
    </row>
    <row r="71" spans="1:26" ht="11.25" customHeight="1" x14ac:dyDescent="0.25">
      <c r="A71" s="410">
        <f t="shared" si="2"/>
        <v>6</v>
      </c>
      <c r="B71" s="416">
        <v>45200</v>
      </c>
      <c r="C71" s="416">
        <v>45291</v>
      </c>
      <c r="D71" s="417">
        <f t="shared" si="0"/>
        <v>7745.54</v>
      </c>
      <c r="E71" s="418">
        <f t="shared" ref="E71:F71" si="75">I71+N71+S71+X71</f>
        <v>67381.100000000006</v>
      </c>
      <c r="F71" s="418">
        <f t="shared" si="75"/>
        <v>659246.27</v>
      </c>
      <c r="G71" s="423">
        <f t="shared" si="4"/>
        <v>0.11460353259196934</v>
      </c>
      <c r="H71" s="419">
        <v>2525.04</v>
      </c>
      <c r="I71" s="419">
        <v>26988.77</v>
      </c>
      <c r="J71" s="419">
        <f t="shared" si="9"/>
        <v>263999.41000000003</v>
      </c>
      <c r="K71" s="420">
        <f t="shared" si="5"/>
        <v>0.11448137953337655</v>
      </c>
      <c r="L71" s="421">
        <v>259.39999999999998</v>
      </c>
      <c r="M71" s="421"/>
      <c r="N71" s="421">
        <v>9008.08</v>
      </c>
      <c r="O71" s="421">
        <f t="shared" si="6"/>
        <v>87883.219999999972</v>
      </c>
      <c r="P71" s="422">
        <f t="shared" si="7"/>
        <v>0.11439494147216656</v>
      </c>
      <c r="Q71" s="419">
        <v>3421.44</v>
      </c>
      <c r="R71" s="419">
        <v>43.83</v>
      </c>
      <c r="S71" s="419">
        <v>24426.68</v>
      </c>
      <c r="T71" s="419">
        <f t="shared" si="21"/>
        <v>239084.92999999993</v>
      </c>
      <c r="U71" s="420">
        <f t="shared" si="22"/>
        <v>0.11473112022008075</v>
      </c>
      <c r="V71" s="421">
        <v>1539.66</v>
      </c>
      <c r="W71" s="421">
        <v>-1.02</v>
      </c>
      <c r="X71" s="421">
        <v>6957.57</v>
      </c>
      <c r="Y71" s="421">
        <f t="shared" si="17"/>
        <v>68278.710000000021</v>
      </c>
      <c r="Z71" s="422">
        <f t="shared" si="18"/>
        <v>0.11490177174024513</v>
      </c>
    </row>
    <row r="72" spans="1:26" ht="11.25" customHeight="1" x14ac:dyDescent="0.25">
      <c r="A72" s="410">
        <f t="shared" ref="A72:A83" si="76">_xlfn.RANK.EQ(G72,$G$7:$G$83)</f>
        <v>15</v>
      </c>
      <c r="B72" s="416">
        <v>45292</v>
      </c>
      <c r="C72" s="416">
        <v>45382</v>
      </c>
      <c r="D72" s="417">
        <f t="shared" si="0"/>
        <v>7595.43</v>
      </c>
      <c r="E72" s="418">
        <f t="shared" ref="E72:F72" si="77">I72+N72+S72+X72</f>
        <v>49773.11</v>
      </c>
      <c r="F72" s="418">
        <f t="shared" si="77"/>
        <v>716604.80999999994</v>
      </c>
      <c r="G72" s="423">
        <f t="shared" si="4"/>
        <v>7.5067583940151422E-2</v>
      </c>
      <c r="H72" s="419">
        <v>2164.3200000000002</v>
      </c>
      <c r="I72" s="419">
        <v>20180.509999999998</v>
      </c>
      <c r="J72" s="419">
        <f t="shared" si="9"/>
        <v>286344.24000000005</v>
      </c>
      <c r="K72" s="420">
        <f t="shared" si="5"/>
        <v>7.6129434422770315E-2</v>
      </c>
      <c r="L72" s="421">
        <v>327.45999999999998</v>
      </c>
      <c r="M72" s="421"/>
      <c r="N72" s="421">
        <v>6689.22</v>
      </c>
      <c r="O72" s="421">
        <f t="shared" si="6"/>
        <v>94899.89999999998</v>
      </c>
      <c r="P72" s="422">
        <f t="shared" si="7"/>
        <v>7.597333013806841E-2</v>
      </c>
      <c r="Q72" s="419">
        <v>3421.44</v>
      </c>
      <c r="R72" s="419">
        <v>-5</v>
      </c>
      <c r="S72" s="419">
        <v>17786.68</v>
      </c>
      <c r="T72" s="419">
        <f t="shared" si="21"/>
        <v>260288.04999999993</v>
      </c>
      <c r="U72" s="420">
        <f t="shared" si="22"/>
        <v>7.3866284544592084E-2</v>
      </c>
      <c r="V72" s="421">
        <v>1682.21</v>
      </c>
      <c r="W72" s="421">
        <v>-5</v>
      </c>
      <c r="X72" s="421">
        <v>5116.7</v>
      </c>
      <c r="Y72" s="421">
        <f t="shared" si="17"/>
        <v>75072.620000000024</v>
      </c>
      <c r="Z72" s="422">
        <f t="shared" si="18"/>
        <v>7.402652915086648E-2</v>
      </c>
    </row>
    <row r="73" spans="1:26" ht="11.25" customHeight="1" x14ac:dyDescent="0.25">
      <c r="A73" s="410">
        <f t="shared" si="76"/>
        <v>46</v>
      </c>
      <c r="B73" s="411">
        <v>45383</v>
      </c>
      <c r="C73" s="411">
        <v>45473</v>
      </c>
      <c r="D73" s="399">
        <f t="shared" si="0"/>
        <v>8308.86</v>
      </c>
      <c r="E73" s="341">
        <f t="shared" ref="E73:F73" si="78">I73+N73+S73+X73</f>
        <v>12647.249999999998</v>
      </c>
      <c r="F73" s="341">
        <f t="shared" si="78"/>
        <v>737550.92</v>
      </c>
      <c r="G73" s="285">
        <f t="shared" si="4"/>
        <v>1.7547121560314644E-2</v>
      </c>
      <c r="H73" s="408">
        <v>2525.04</v>
      </c>
      <c r="I73" s="408">
        <v>4888.4399999999996</v>
      </c>
      <c r="J73" s="408">
        <f t="shared" si="9"/>
        <v>293757.72000000003</v>
      </c>
      <c r="K73" s="412">
        <f t="shared" si="5"/>
        <v>1.6996957929639758E-2</v>
      </c>
      <c r="L73" s="409">
        <v>600.34</v>
      </c>
      <c r="M73" s="409"/>
      <c r="N73" s="409">
        <v>1614.03</v>
      </c>
      <c r="O73" s="409">
        <f t="shared" si="6"/>
        <v>97114.269999999975</v>
      </c>
      <c r="P73" s="413">
        <f t="shared" si="7"/>
        <v>1.6954084172417103E-2</v>
      </c>
      <c r="Q73" s="408">
        <v>3455.64</v>
      </c>
      <c r="R73" s="408">
        <v>-5</v>
      </c>
      <c r="S73" s="408">
        <v>4756.29</v>
      </c>
      <c r="T73" s="408">
        <f t="shared" si="21"/>
        <v>268494.97999999992</v>
      </c>
      <c r="U73" s="412">
        <f t="shared" si="22"/>
        <v>1.8152679072454662E-2</v>
      </c>
      <c r="V73" s="409">
        <v>1727.84</v>
      </c>
      <c r="W73" s="409">
        <v>-5</v>
      </c>
      <c r="X73" s="409">
        <v>1388.49</v>
      </c>
      <c r="Y73" s="409">
        <f t="shared" si="17"/>
        <v>78183.950000000026</v>
      </c>
      <c r="Z73" s="413">
        <f t="shared" si="18"/>
        <v>1.8284873132223295E-2</v>
      </c>
    </row>
    <row r="74" spans="1:26" ht="11.25" customHeight="1" x14ac:dyDescent="0.25">
      <c r="A74" s="410">
        <f t="shared" si="76"/>
        <v>24</v>
      </c>
      <c r="B74" s="411">
        <v>45474</v>
      </c>
      <c r="C74" s="411">
        <v>45565</v>
      </c>
      <c r="D74" s="399">
        <f t="shared" si="0"/>
        <v>8470.7900000000009</v>
      </c>
      <c r="E74" s="341">
        <f t="shared" ref="E74:F74" si="79">I74+N74+S74+X74</f>
        <v>47123.93</v>
      </c>
      <c r="F74" s="341">
        <f t="shared" si="79"/>
        <v>793135.6399999999</v>
      </c>
      <c r="G74" s="285">
        <f t="shared" si="4"/>
        <v>6.3527634639633374E-2</v>
      </c>
      <c r="H74" s="408">
        <v>2651.04</v>
      </c>
      <c r="I74" s="408">
        <v>18444.8</v>
      </c>
      <c r="J74" s="408">
        <f t="shared" si="9"/>
        <v>314853.56</v>
      </c>
      <c r="K74" s="412">
        <f t="shared" si="5"/>
        <v>6.2507108163784547E-2</v>
      </c>
      <c r="L74" s="409">
        <v>518.47</v>
      </c>
      <c r="M74" s="409"/>
      <c r="N74" s="409">
        <v>6088.4</v>
      </c>
      <c r="O74" s="409">
        <f t="shared" si="6"/>
        <v>103721.13999999997</v>
      </c>
      <c r="P74" s="413">
        <f t="shared" si="7"/>
        <v>6.252624879837694E-2</v>
      </c>
      <c r="Q74" s="408">
        <v>3534.15</v>
      </c>
      <c r="R74" s="408">
        <v>-5</v>
      </c>
      <c r="S74" s="408">
        <v>17468.02</v>
      </c>
      <c r="T74" s="408">
        <f t="shared" si="21"/>
        <v>289492.14999999997</v>
      </c>
      <c r="U74" s="412">
        <f t="shared" si="22"/>
        <v>6.4633638636396831E-2</v>
      </c>
      <c r="V74" s="409">
        <v>1767.13</v>
      </c>
      <c r="W74" s="409">
        <v>-5</v>
      </c>
      <c r="X74" s="409">
        <v>5122.71</v>
      </c>
      <c r="Y74" s="409">
        <f t="shared" si="17"/>
        <v>85068.790000000037</v>
      </c>
      <c r="Z74" s="413">
        <f t="shared" si="18"/>
        <v>6.478906033659966E-2</v>
      </c>
    </row>
    <row r="75" spans="1:26" ht="11.25" customHeight="1" x14ac:dyDescent="0.25">
      <c r="A75" s="410">
        <f t="shared" si="76"/>
        <v>51</v>
      </c>
      <c r="B75" s="416">
        <v>45566</v>
      </c>
      <c r="C75" s="416">
        <v>45657</v>
      </c>
      <c r="D75" s="399">
        <f t="shared" si="0"/>
        <v>7875.74</v>
      </c>
      <c r="E75" s="341">
        <f t="shared" ref="E75:F75" si="80">I75+N75+S75+X75</f>
        <v>6634.9400000000005</v>
      </c>
      <c r="F75" s="341">
        <f t="shared" si="80"/>
        <v>807705.33</v>
      </c>
      <c r="G75" s="285">
        <f t="shared" si="4"/>
        <v>8.3241255878645382E-3</v>
      </c>
      <c r="H75" s="408">
        <v>2316.7199999999998</v>
      </c>
      <c r="I75" s="408">
        <v>2656.75</v>
      </c>
      <c r="J75" s="408">
        <f t="shared" si="9"/>
        <v>319827.02999999997</v>
      </c>
      <c r="K75" s="412">
        <f t="shared" si="5"/>
        <v>8.4071195795399119E-3</v>
      </c>
      <c r="L75" s="409">
        <v>272.89999999999998</v>
      </c>
      <c r="M75" s="409"/>
      <c r="N75" s="409">
        <v>881.97</v>
      </c>
      <c r="O75" s="409">
        <f t="shared" si="6"/>
        <v>104876.00999999997</v>
      </c>
      <c r="P75" s="413">
        <f t="shared" si="7"/>
        <v>8.4921092430509919E-3</v>
      </c>
      <c r="Q75" s="408">
        <v>3524.04</v>
      </c>
      <c r="R75" s="408">
        <v>56.15</v>
      </c>
      <c r="S75" s="408">
        <v>2399.9</v>
      </c>
      <c r="T75" s="408">
        <f t="shared" si="21"/>
        <v>295472.24</v>
      </c>
      <c r="U75" s="412">
        <f t="shared" si="22"/>
        <v>8.2398820246934162E-3</v>
      </c>
      <c r="V75" s="409">
        <v>1762.08</v>
      </c>
      <c r="W75" s="409">
        <v>2.86</v>
      </c>
      <c r="X75" s="409">
        <v>696.32</v>
      </c>
      <c r="Y75" s="409">
        <f t="shared" si="17"/>
        <v>87530.050000000047</v>
      </c>
      <c r="Z75" s="413">
        <f t="shared" si="18"/>
        <v>8.1014703577656846E-3</v>
      </c>
    </row>
    <row r="76" spans="1:26" ht="11.25" customHeight="1" x14ac:dyDescent="0.25">
      <c r="A76" s="410">
        <f t="shared" si="76"/>
        <v>67</v>
      </c>
      <c r="B76" s="411">
        <v>45658</v>
      </c>
      <c r="C76" s="411">
        <v>45747</v>
      </c>
      <c r="D76" s="399">
        <f t="shared" si="0"/>
        <v>8468.5</v>
      </c>
      <c r="E76" s="341">
        <f t="shared" ref="E76:F76" si="81">I76+N76+S76+X76</f>
        <v>-23233.47</v>
      </c>
      <c r="F76" s="341">
        <f t="shared" si="81"/>
        <v>792984.94</v>
      </c>
      <c r="G76" s="285">
        <f t="shared" si="4"/>
        <v>-2.8614776976385363E-2</v>
      </c>
      <c r="H76" s="408">
        <v>2754.64</v>
      </c>
      <c r="I76" s="408">
        <v>-9406.6200000000008</v>
      </c>
      <c r="J76" s="408">
        <f t="shared" si="9"/>
        <v>313175.05</v>
      </c>
      <c r="K76" s="412">
        <f t="shared" si="5"/>
        <v>-2.9285468892311085E-2</v>
      </c>
      <c r="L76" s="409">
        <v>427.74</v>
      </c>
      <c r="M76" s="409">
        <v>54.58</v>
      </c>
      <c r="N76" s="409">
        <v>-3072.99</v>
      </c>
      <c r="O76" s="409">
        <f t="shared" ref="O76:O83" si="82">O75+M76+L76+N76</f>
        <v>102285.33999999997</v>
      </c>
      <c r="P76" s="413">
        <f t="shared" si="7"/>
        <v>-2.9241540669758124E-2</v>
      </c>
      <c r="Q76" s="408">
        <v>3524.04</v>
      </c>
      <c r="R76" s="408">
        <v>-5</v>
      </c>
      <c r="S76" s="408">
        <v>-8273.32</v>
      </c>
      <c r="T76" s="408">
        <f t="shared" si="21"/>
        <v>290717.95999999996</v>
      </c>
      <c r="U76" s="412">
        <f t="shared" si="22"/>
        <v>-2.7834341842020497E-2</v>
      </c>
      <c r="V76" s="409">
        <v>1762.08</v>
      </c>
      <c r="W76" s="409">
        <v>-5</v>
      </c>
      <c r="X76" s="409">
        <v>-2480.54</v>
      </c>
      <c r="Y76" s="409">
        <f t="shared" si="17"/>
        <v>86806.590000000055</v>
      </c>
      <c r="Z76" s="413">
        <f t="shared" si="18"/>
        <v>-2.8056887433465631E-2</v>
      </c>
    </row>
    <row r="77" spans="1:26" ht="11.25" customHeight="1" x14ac:dyDescent="0.25">
      <c r="A77" s="410">
        <f t="shared" si="76"/>
        <v>10</v>
      </c>
      <c r="B77" s="411">
        <v>45748</v>
      </c>
      <c r="C77" s="411">
        <v>45838</v>
      </c>
      <c r="D77" s="399">
        <f t="shared" si="0"/>
        <v>8336.2599999999984</v>
      </c>
      <c r="E77" s="341">
        <f t="shared" ref="E77:F77" si="83">I77+N77+S77+X77</f>
        <v>78804.489999999991</v>
      </c>
      <c r="F77" s="341">
        <f t="shared" si="83"/>
        <v>880115.68999999983</v>
      </c>
      <c r="G77" s="285">
        <f t="shared" si="4"/>
        <v>9.885741266730616E-2</v>
      </c>
      <c r="H77" s="408">
        <v>2361.12</v>
      </c>
      <c r="I77" s="408">
        <v>31230.560000000001</v>
      </c>
      <c r="J77" s="408">
        <f t="shared" si="9"/>
        <v>346766.73</v>
      </c>
      <c r="K77" s="412">
        <f t="shared" si="5"/>
        <v>9.9347869121852173E-2</v>
      </c>
      <c r="L77" s="409">
        <v>627.36</v>
      </c>
      <c r="M77" s="409"/>
      <c r="N77" s="409">
        <v>10189.65</v>
      </c>
      <c r="O77" s="409">
        <f t="shared" si="82"/>
        <v>113102.34999999996</v>
      </c>
      <c r="P77" s="413">
        <f t="shared" si="7"/>
        <v>9.9315276110824482E-2</v>
      </c>
      <c r="Q77" s="408">
        <v>3565.16</v>
      </c>
      <c r="R77" s="408">
        <v>-5</v>
      </c>
      <c r="S77" s="408">
        <v>28737.85</v>
      </c>
      <c r="T77" s="408">
        <f t="shared" si="21"/>
        <v>323015.96999999991</v>
      </c>
      <c r="U77" s="412">
        <f t="shared" si="22"/>
        <v>9.8248878446515003E-2</v>
      </c>
      <c r="V77" s="409">
        <v>1782.62</v>
      </c>
      <c r="W77" s="409">
        <v>-5</v>
      </c>
      <c r="X77" s="409">
        <v>8646.43</v>
      </c>
      <c r="Y77" s="409">
        <f t="shared" si="17"/>
        <v>97230.640000000043</v>
      </c>
      <c r="Z77" s="413">
        <f t="shared" si="18"/>
        <v>9.8593352862497222E-2</v>
      </c>
    </row>
    <row r="78" spans="1:26" ht="11.25" customHeight="1" x14ac:dyDescent="0.25">
      <c r="A78" s="410">
        <f t="shared" si="76"/>
        <v>18</v>
      </c>
      <c r="B78" s="411">
        <v>45839</v>
      </c>
      <c r="C78" s="411">
        <v>45930</v>
      </c>
      <c r="D78" s="399">
        <f t="shared" si="0"/>
        <v>8512.1500000000015</v>
      </c>
      <c r="E78" s="341">
        <f t="shared" ref="E78:F78" si="84">I78+N78+S78+X78</f>
        <v>62574.47</v>
      </c>
      <c r="F78" s="341">
        <f t="shared" si="84"/>
        <v>951192.30999999994</v>
      </c>
      <c r="G78" s="285">
        <f t="shared" si="4"/>
        <v>7.0755843273671251E-2</v>
      </c>
      <c r="H78" s="408">
        <v>2754.64</v>
      </c>
      <c r="I78" s="408">
        <v>24277.07</v>
      </c>
      <c r="J78" s="408">
        <f t="shared" si="9"/>
        <v>373798.44</v>
      </c>
      <c r="K78" s="412">
        <f t="shared" si="5"/>
        <v>6.9732830418902755E-2</v>
      </c>
      <c r="L78" s="409">
        <v>228.13</v>
      </c>
      <c r="M78" s="409"/>
      <c r="N78" s="409">
        <v>7890.03</v>
      </c>
      <c r="O78" s="409">
        <f t="shared" si="82"/>
        <v>121220.50999999997</v>
      </c>
      <c r="P78" s="413">
        <f t="shared" si="7"/>
        <v>6.9689806023269699E-2</v>
      </c>
      <c r="Q78" s="408">
        <v>3686.25</v>
      </c>
      <c r="R78" s="408">
        <v>-5</v>
      </c>
      <c r="S78" s="408">
        <v>23348.720000000001</v>
      </c>
      <c r="T78" s="408">
        <f t="shared" si="21"/>
        <v>350045.93999999994</v>
      </c>
      <c r="U78" s="412">
        <f t="shared" si="22"/>
        <v>7.1873376363373806E-2</v>
      </c>
      <c r="V78" s="409">
        <v>1843.13</v>
      </c>
      <c r="W78" s="409">
        <v>-5</v>
      </c>
      <c r="X78" s="409">
        <v>7058.65</v>
      </c>
      <c r="Y78" s="409">
        <f t="shared" si="17"/>
        <v>106127.42000000004</v>
      </c>
      <c r="Z78" s="413">
        <f t="shared" si="18"/>
        <v>7.191534820842789E-2</v>
      </c>
    </row>
    <row r="79" spans="1:26" ht="11.25" customHeight="1" x14ac:dyDescent="0.25">
      <c r="A79" s="410">
        <f t="shared" si="76"/>
        <v>42</v>
      </c>
      <c r="B79" s="411">
        <v>45931</v>
      </c>
      <c r="C79" s="411">
        <v>46022</v>
      </c>
      <c r="D79" s="399">
        <f t="shared" si="0"/>
        <v>7950.88</v>
      </c>
      <c r="E79" s="341">
        <f t="shared" ref="E79:F79" si="85">I79+N79+S79+X79</f>
        <v>22107.989999999998</v>
      </c>
      <c r="F79" s="341">
        <f t="shared" si="85"/>
        <v>981285.71</v>
      </c>
      <c r="G79" s="285">
        <f t="shared" si="4"/>
        <v>2.3145662110137199E-2</v>
      </c>
      <c r="H79" s="408">
        <v>2362.08</v>
      </c>
      <c r="I79" s="408">
        <v>8987.66</v>
      </c>
      <c r="J79" s="408">
        <f t="shared" si="9"/>
        <v>385148.18</v>
      </c>
      <c r="K79" s="412">
        <f t="shared" si="5"/>
        <v>2.396840488444861E-2</v>
      </c>
      <c r="L79" s="409">
        <v>117.7</v>
      </c>
      <c r="M79" s="409"/>
      <c r="N79" s="409">
        <v>2907.64</v>
      </c>
      <c r="O79" s="409">
        <f t="shared" si="82"/>
        <v>124245.84999999996</v>
      </c>
      <c r="P79" s="413">
        <f t="shared" si="7"/>
        <v>2.3974730737365373E-2</v>
      </c>
      <c r="Q79" s="408">
        <v>3647.4</v>
      </c>
      <c r="R79" s="408">
        <v>33.979999999999997</v>
      </c>
      <c r="S79" s="408">
        <v>7831.87</v>
      </c>
      <c r="T79" s="408">
        <f t="shared" si="21"/>
        <v>361559.18999999994</v>
      </c>
      <c r="U79" s="412">
        <f t="shared" si="22"/>
        <v>2.2257873682992375E-2</v>
      </c>
      <c r="V79" s="409">
        <v>1823.7</v>
      </c>
      <c r="W79" s="409">
        <v>0.55000000000000004</v>
      </c>
      <c r="X79" s="409">
        <v>2380.8200000000002</v>
      </c>
      <c r="Y79" s="409">
        <f t="shared" si="17"/>
        <v>110332.49000000005</v>
      </c>
      <c r="Z79" s="413">
        <f t="shared" si="18"/>
        <v>2.2242491003535422E-2</v>
      </c>
    </row>
    <row r="80" spans="1:26" ht="11.25" customHeight="1" x14ac:dyDescent="0.25">
      <c r="A80" s="410">
        <f t="shared" si="76"/>
        <v>66</v>
      </c>
      <c r="B80" s="411">
        <v>46023</v>
      </c>
      <c r="C80" s="411">
        <v>46112</v>
      </c>
      <c r="D80" s="399">
        <f t="shared" si="0"/>
        <v>9490.0500000000011</v>
      </c>
      <c r="E80" s="341">
        <f t="shared" ref="E80:F80" si="86">I80+N80+S80+X80</f>
        <v>-26205.96</v>
      </c>
      <c r="F80" s="341">
        <f t="shared" si="86"/>
        <v>964559.79999999993</v>
      </c>
      <c r="G80" s="285">
        <f t="shared" si="4"/>
        <v>-2.6577224289058291E-2</v>
      </c>
      <c r="H80" s="408">
        <v>2898.86</v>
      </c>
      <c r="I80" s="408">
        <v>-10534.77</v>
      </c>
      <c r="J80" s="408">
        <f t="shared" si="9"/>
        <v>377512.26999999996</v>
      </c>
      <c r="K80" s="412">
        <f t="shared" si="5"/>
        <v>-2.7249961529767348E-2</v>
      </c>
      <c r="L80" s="409">
        <v>488.67</v>
      </c>
      <c r="M80" s="409"/>
      <c r="N80" s="409">
        <v>-3387.97</v>
      </c>
      <c r="O80" s="409">
        <f t="shared" si="82"/>
        <v>121346.54999999996</v>
      </c>
      <c r="P80" s="413">
        <f t="shared" si="7"/>
        <v>-2.7214755926340706E-2</v>
      </c>
      <c r="Q80" s="408">
        <v>4068.32</v>
      </c>
      <c r="R80" s="408">
        <v>-5</v>
      </c>
      <c r="S80" s="408">
        <v>-9700.08</v>
      </c>
      <c r="T80" s="408">
        <f t="shared" si="21"/>
        <v>355922.42999999993</v>
      </c>
      <c r="U80" s="412">
        <f t="shared" si="22"/>
        <v>-2.6678375718367793E-2</v>
      </c>
      <c r="V80" s="409">
        <v>2034.2</v>
      </c>
      <c r="W80" s="409">
        <v>-5</v>
      </c>
      <c r="X80" s="409">
        <v>-2583.14</v>
      </c>
      <c r="Y80" s="409">
        <f t="shared" si="17"/>
        <v>109778.55000000005</v>
      </c>
      <c r="Z80" s="413">
        <f t="shared" si="18"/>
        <v>-2.3198468894227619E-2</v>
      </c>
    </row>
    <row r="81" spans="1:26" ht="11.25" customHeight="1" x14ac:dyDescent="0.25">
      <c r="A81" s="410">
        <f t="shared" si="76"/>
        <v>4</v>
      </c>
      <c r="B81" s="411">
        <v>46113</v>
      </c>
      <c r="C81" s="411">
        <v>46203</v>
      </c>
      <c r="D81" s="399">
        <f t="shared" si="0"/>
        <v>9231.8000000000011</v>
      </c>
      <c r="E81" s="341">
        <f t="shared" ref="E81:F83" si="87">I81+N81+S81+X81</f>
        <v>149519.69</v>
      </c>
      <c r="F81" s="341">
        <f t="shared" si="87"/>
        <v>1123301.79</v>
      </c>
      <c r="G81" s="285">
        <f t="shared" si="4"/>
        <v>0.15427511234547051</v>
      </c>
      <c r="H81" s="408">
        <v>2405.7600000000002</v>
      </c>
      <c r="I81" s="408">
        <v>60676.58</v>
      </c>
      <c r="J81" s="408">
        <f t="shared" si="9"/>
        <v>440594.61</v>
      </c>
      <c r="K81" s="412">
        <f t="shared" si="5"/>
        <v>0.16021693349209823</v>
      </c>
      <c r="L81" s="409">
        <v>427.56</v>
      </c>
      <c r="M81" s="409">
        <v>0</v>
      </c>
      <c r="N81" s="409">
        <v>21370.38</v>
      </c>
      <c r="O81" s="409">
        <f t="shared" si="82"/>
        <v>143144.48999999996</v>
      </c>
      <c r="P81" s="413">
        <f t="shared" si="7"/>
        <v>0.17580060863605756</v>
      </c>
      <c r="Q81" s="408">
        <v>4265.63</v>
      </c>
      <c r="R81" s="408">
        <v>-4.75</v>
      </c>
      <c r="S81" s="408">
        <v>53200.88</v>
      </c>
      <c r="T81" s="408">
        <f t="shared" si="21"/>
        <v>413384.18999999994</v>
      </c>
      <c r="U81" s="412">
        <f t="shared" si="22"/>
        <v>0.1485828813930655</v>
      </c>
      <c r="V81" s="409">
        <v>2132.85</v>
      </c>
      <c r="W81" s="409">
        <v>-4.75</v>
      </c>
      <c r="X81" s="409">
        <v>14271.85</v>
      </c>
      <c r="Y81" s="409">
        <f t="shared" si="17"/>
        <v>126178.50000000006</v>
      </c>
      <c r="Z81" s="413">
        <f t="shared" si="18"/>
        <v>0.12875504730818871</v>
      </c>
    </row>
    <row r="82" spans="1:26" ht="11.25" customHeight="1" x14ac:dyDescent="0.25">
      <c r="A82" s="410">
        <f t="shared" si="76"/>
        <v>61</v>
      </c>
      <c r="B82" s="411">
        <v>46204</v>
      </c>
      <c r="C82" s="411">
        <v>46295</v>
      </c>
      <c r="D82" s="399">
        <f t="shared" si="0"/>
        <v>10040.169999999998</v>
      </c>
      <c r="E82" s="341">
        <f t="shared" si="87"/>
        <v>-7595.6499999999987</v>
      </c>
      <c r="F82" s="341">
        <f t="shared" si="87"/>
        <v>1125675.73</v>
      </c>
      <c r="G82" s="285">
        <f t="shared" si="4"/>
        <v>-6.731811345942397E-3</v>
      </c>
      <c r="H82" s="408">
        <v>2806.72</v>
      </c>
      <c r="I82" s="408">
        <v>-1093.21</v>
      </c>
      <c r="J82" s="408">
        <f t="shared" si="9"/>
        <v>442308.11999999994</v>
      </c>
      <c r="K82" s="412">
        <f t="shared" si="5"/>
        <v>-2.4733371512995865E-3</v>
      </c>
      <c r="L82" s="409">
        <v>580.29</v>
      </c>
      <c r="M82" s="409">
        <v>-61.08</v>
      </c>
      <c r="N82" s="409">
        <v>-3725.85</v>
      </c>
      <c r="O82" s="409">
        <f t="shared" si="82"/>
        <v>139937.84999999998</v>
      </c>
      <c r="P82" s="413">
        <f t="shared" si="7"/>
        <v>-2.5975943676365205E-2</v>
      </c>
      <c r="Q82" s="408">
        <v>4435.4399999999996</v>
      </c>
      <c r="R82" s="408">
        <v>-4.75</v>
      </c>
      <c r="S82" s="408">
        <v>-2088.39</v>
      </c>
      <c r="T82" s="408">
        <f t="shared" si="21"/>
        <v>415726.48999999993</v>
      </c>
      <c r="U82" s="412">
        <f t="shared" si="22"/>
        <v>-5.0249769063862105E-3</v>
      </c>
      <c r="V82" s="409">
        <v>2217.7199999999998</v>
      </c>
      <c r="W82" s="409">
        <v>-4.75</v>
      </c>
      <c r="X82" s="409">
        <v>-688.2</v>
      </c>
      <c r="Y82" s="409">
        <f t="shared" si="17"/>
        <v>127703.27000000006</v>
      </c>
      <c r="Z82" s="413">
        <f t="shared" si="18"/>
        <v>-5.4066641023900542E-3</v>
      </c>
    </row>
    <row r="83" spans="1:26" ht="11.25" customHeight="1" x14ac:dyDescent="0.25">
      <c r="A83" s="410">
        <f t="shared" si="76"/>
        <v>63</v>
      </c>
      <c r="B83" s="411">
        <v>46296</v>
      </c>
      <c r="C83" s="411">
        <v>46312</v>
      </c>
      <c r="D83" s="399">
        <f t="shared" si="0"/>
        <v>1631.9899999999998</v>
      </c>
      <c r="E83" s="341">
        <f t="shared" si="87"/>
        <v>-13075.85</v>
      </c>
      <c r="F83" s="341">
        <f t="shared" si="87"/>
        <v>1114222.3699999999</v>
      </c>
      <c r="G83" s="285">
        <f t="shared" si="4"/>
        <v>-1.1607586376189314E-2</v>
      </c>
      <c r="H83" s="408">
        <v>400.96</v>
      </c>
      <c r="I83" s="408">
        <v>-3560.65</v>
      </c>
      <c r="J83" s="408">
        <f t="shared" si="9"/>
        <v>439148.42999999993</v>
      </c>
      <c r="K83" s="412">
        <f t="shared" si="5"/>
        <v>-8.0465102825120257E-3</v>
      </c>
      <c r="L83" s="409">
        <v>122.17</v>
      </c>
      <c r="M83" s="409"/>
      <c r="N83" s="409">
        <v>-1695.83</v>
      </c>
      <c r="O83" s="409">
        <f t="shared" si="82"/>
        <v>138364.19</v>
      </c>
      <c r="P83" s="413">
        <f t="shared" si="7"/>
        <v>-1.2113163575137198E-2</v>
      </c>
      <c r="Q83" s="408">
        <v>739.24</v>
      </c>
      <c r="R83" s="408">
        <v>-4.75</v>
      </c>
      <c r="S83" s="408">
        <v>-5414.97</v>
      </c>
      <c r="T83" s="408">
        <f t="shared" si="21"/>
        <v>411046.00999999995</v>
      </c>
      <c r="U83" s="412">
        <f t="shared" si="22"/>
        <v>-1.3013748193896842E-2</v>
      </c>
      <c r="V83" s="409">
        <v>369.62</v>
      </c>
      <c r="W83" s="409">
        <v>-4.75</v>
      </c>
      <c r="X83" s="409">
        <v>-2404.4</v>
      </c>
      <c r="Y83" s="409">
        <f t="shared" si="17"/>
        <v>125663.74000000006</v>
      </c>
      <c r="Z83" s="413">
        <f t="shared" si="18"/>
        <v>-1.8800813961707762E-2</v>
      </c>
    </row>
    <row r="84" spans="1:26" ht="11.25" customHeight="1" x14ac:dyDescent="0.25">
      <c r="A84" s="424"/>
      <c r="B84" s="411">
        <f ca="1">TODAY()</f>
        <v>46324</v>
      </c>
      <c r="C84" s="425"/>
      <c r="D84" s="426">
        <f>-F83</f>
        <v>-1114222.3699999999</v>
      </c>
      <c r="E84" s="426"/>
      <c r="F84" s="426"/>
      <c r="G84" s="426"/>
      <c r="H84" s="426">
        <f>-J83</f>
        <v>-439148.42999999993</v>
      </c>
      <c r="I84" s="427"/>
      <c r="J84" s="426"/>
      <c r="K84" s="426"/>
      <c r="L84" s="426">
        <f>-O83</f>
        <v>-138364.19</v>
      </c>
      <c r="M84" s="426"/>
      <c r="N84" s="427"/>
      <c r="O84" s="426"/>
      <c r="P84" s="426"/>
      <c r="Q84" s="426">
        <f>-T83</f>
        <v>-411046.00999999995</v>
      </c>
      <c r="R84" s="426"/>
      <c r="S84" s="426"/>
      <c r="T84" s="426"/>
      <c r="U84" s="426"/>
      <c r="V84" s="426">
        <f>-Y83</f>
        <v>-125663.74000000006</v>
      </c>
      <c r="W84" s="428"/>
      <c r="X84" s="428"/>
      <c r="Y84" s="428"/>
      <c r="Z84" s="428"/>
    </row>
    <row r="85" spans="1:26" ht="11.25" customHeight="1" x14ac:dyDescent="0.25">
      <c r="A85" s="404"/>
      <c r="B85" s="295"/>
      <c r="C85" s="406"/>
      <c r="D85" s="400"/>
      <c r="E85" s="400"/>
      <c r="F85" s="400"/>
      <c r="G85" s="400"/>
      <c r="H85" s="400"/>
      <c r="I85" s="400"/>
      <c r="J85" s="400"/>
      <c r="K85" s="400"/>
      <c r="L85" s="400"/>
      <c r="M85" s="400"/>
      <c r="N85" s="400"/>
      <c r="O85" s="400"/>
      <c r="P85" s="400"/>
      <c r="Q85" s="400"/>
      <c r="R85" s="400"/>
      <c r="S85" s="400"/>
      <c r="T85" s="400"/>
      <c r="U85" s="400"/>
      <c r="V85" s="188"/>
      <c r="W85" s="400"/>
      <c r="X85" s="403"/>
      <c r="Y85" s="188"/>
      <c r="Z85" s="188"/>
    </row>
    <row r="86" spans="1:26" ht="11.25" customHeight="1" x14ac:dyDescent="0.25">
      <c r="A86" s="404"/>
      <c r="B86" s="295"/>
      <c r="C86" s="406"/>
      <c r="D86" s="400"/>
      <c r="E86" s="400"/>
      <c r="F86" s="400"/>
      <c r="G86" s="400"/>
      <c r="H86" s="296"/>
      <c r="I86" s="296"/>
      <c r="J86" s="400"/>
      <c r="K86" s="400"/>
      <c r="L86" s="400"/>
      <c r="M86" s="400"/>
      <c r="N86" s="403"/>
      <c r="O86" s="400"/>
      <c r="P86" s="400"/>
      <c r="Q86" s="400"/>
      <c r="R86" s="400"/>
      <c r="S86" s="400"/>
      <c r="T86" s="400"/>
      <c r="U86" s="400"/>
      <c r="V86" s="188"/>
      <c r="W86" s="400"/>
      <c r="X86" s="403"/>
      <c r="Y86" s="188"/>
      <c r="Z86" s="188"/>
    </row>
    <row r="87" spans="1:26" ht="11.25" customHeight="1" x14ac:dyDescent="0.25">
      <c r="A87" s="293" t="s">
        <v>611</v>
      </c>
      <c r="B87" s="295"/>
      <c r="C87" s="406"/>
      <c r="D87" s="400"/>
      <c r="E87" s="400"/>
      <c r="F87" s="400"/>
      <c r="G87" s="400"/>
      <c r="H87" s="401"/>
      <c r="I87" s="296"/>
      <c r="J87" s="400"/>
      <c r="K87" s="400"/>
      <c r="L87" s="400"/>
      <c r="M87" s="400"/>
      <c r="N87" s="400"/>
      <c r="O87" s="400"/>
      <c r="P87" s="400"/>
      <c r="Q87" s="400"/>
      <c r="R87" s="400"/>
      <c r="S87" s="400"/>
      <c r="T87" s="400"/>
      <c r="U87" s="400"/>
      <c r="V87" s="188"/>
      <c r="W87" s="400"/>
      <c r="X87" s="400"/>
      <c r="Y87" s="188"/>
      <c r="Z87" s="188"/>
    </row>
    <row r="88" spans="1:26" ht="11.25" customHeight="1" x14ac:dyDescent="0.25">
      <c r="A88" s="293">
        <f>COUNTIF(E7:E84,"&gt;0")</f>
        <v>58</v>
      </c>
      <c r="B88" s="295"/>
      <c r="C88" s="406"/>
      <c r="D88" s="400"/>
      <c r="E88" s="400"/>
      <c r="F88" s="400"/>
      <c r="G88" s="400"/>
      <c r="H88" s="188"/>
      <c r="I88" s="296"/>
      <c r="J88" s="400"/>
      <c r="K88" s="400"/>
      <c r="L88" s="400"/>
      <c r="M88" s="400"/>
      <c r="N88" s="400"/>
      <c r="O88" s="400"/>
      <c r="P88" s="400"/>
      <c r="Q88" s="400"/>
      <c r="R88" s="400"/>
      <c r="S88" s="400"/>
      <c r="T88" s="400"/>
      <c r="U88" s="400"/>
      <c r="V88" s="188"/>
      <c r="W88" s="400"/>
      <c r="X88" s="400"/>
      <c r="Y88" s="188"/>
      <c r="Z88" s="188"/>
    </row>
    <row r="89" spans="1:26" ht="11.25" customHeight="1" x14ac:dyDescent="0.25">
      <c r="A89" s="293" t="s">
        <v>612</v>
      </c>
      <c r="B89" s="295"/>
      <c r="C89" s="406"/>
      <c r="D89" s="400"/>
      <c r="E89" s="400"/>
      <c r="F89" s="400"/>
      <c r="G89" s="400"/>
      <c r="H89" s="188"/>
      <c r="I89" s="296"/>
      <c r="J89" s="400"/>
      <c r="K89" s="400"/>
      <c r="L89" s="400"/>
      <c r="M89" s="400"/>
      <c r="N89" s="400"/>
      <c r="O89" s="400"/>
      <c r="P89" s="400"/>
      <c r="Q89" s="400"/>
      <c r="R89" s="400"/>
      <c r="S89" s="400"/>
      <c r="T89" s="400"/>
      <c r="U89" s="400"/>
      <c r="V89" s="400"/>
      <c r="W89" s="400"/>
      <c r="X89" s="400"/>
      <c r="Y89" s="188"/>
      <c r="Z89" s="188"/>
    </row>
    <row r="90" spans="1:26" ht="11.25" customHeight="1" x14ac:dyDescent="0.25">
      <c r="A90" s="296">
        <f>(SUMIFS(G7:G84,E7:E84,"&gt;0"))/A88</f>
        <v>5.7289109105383693E-2</v>
      </c>
      <c r="B90" s="295"/>
      <c r="C90" s="406"/>
      <c r="D90" s="400"/>
      <c r="E90" s="400"/>
      <c r="F90" s="400"/>
      <c r="G90" s="400"/>
      <c r="H90" s="296"/>
      <c r="I90" s="296"/>
      <c r="J90" s="400"/>
      <c r="K90" s="400"/>
      <c r="L90" s="400"/>
      <c r="M90" s="400"/>
      <c r="N90" s="296"/>
      <c r="O90" s="400"/>
      <c r="P90" s="400"/>
      <c r="Q90" s="400"/>
      <c r="R90" s="400"/>
      <c r="S90" s="400"/>
      <c r="T90" s="400"/>
      <c r="U90" s="400"/>
      <c r="V90" s="400"/>
      <c r="W90" s="400"/>
      <c r="X90" s="296"/>
      <c r="Y90" s="188"/>
      <c r="Z90" s="188"/>
    </row>
    <row r="91" spans="1:26" ht="11.25" customHeight="1" x14ac:dyDescent="0.25">
      <c r="A91" s="293" t="s">
        <v>613</v>
      </c>
      <c r="B91" s="295"/>
      <c r="C91" s="406"/>
      <c r="D91" s="400"/>
      <c r="E91" s="400"/>
      <c r="F91" s="400"/>
      <c r="G91" s="400"/>
      <c r="H91" s="296"/>
      <c r="I91" s="296"/>
      <c r="J91" s="296"/>
      <c r="K91" s="296"/>
      <c r="L91" s="296"/>
      <c r="M91" s="296"/>
      <c r="N91" s="296"/>
      <c r="O91" s="400"/>
      <c r="P91" s="400"/>
      <c r="Q91" s="400"/>
      <c r="R91" s="400"/>
      <c r="S91" s="400"/>
      <c r="T91" s="400"/>
      <c r="U91" s="400"/>
      <c r="V91" s="188"/>
      <c r="W91" s="188"/>
      <c r="X91" s="188"/>
      <c r="Y91" s="188"/>
      <c r="Z91" s="188"/>
    </row>
    <row r="92" spans="1:26" ht="11.25" customHeight="1" x14ac:dyDescent="0.25">
      <c r="A92" s="293">
        <f>COUNTIF(E7:E84,"&lt;0")</f>
        <v>19</v>
      </c>
    </row>
    <row r="93" spans="1:26" ht="11.25" customHeight="1" x14ac:dyDescent="0.25">
      <c r="A93" s="293" t="s">
        <v>614</v>
      </c>
    </row>
    <row r="94" spans="1:26" ht="11.25" customHeight="1" x14ac:dyDescent="0.25">
      <c r="A94" s="296">
        <f>(SUMIFS(G7:G84,E7:E84,"&lt;0"))/A92</f>
        <v>-5.6626752541312546E-2</v>
      </c>
    </row>
    <row r="95" spans="1:26" ht="15.75" customHeight="1" x14ac:dyDescent="0.25"/>
    <row r="96" spans="1:26" ht="15.75" customHeight="1" x14ac:dyDescent="0.25"/>
    <row r="97" spans="1:1" ht="15" customHeight="1" x14ac:dyDescent="0.25">
      <c r="A97" s="11" t="s">
        <v>615</v>
      </c>
    </row>
    <row r="98" spans="1:1" ht="15" customHeight="1" x14ac:dyDescent="0.25">
      <c r="A98" s="50">
        <f>AVERAGE(G8,G12,G16,G20,G24,G28,G32,G36,G40,G44,G48,G52,G56,G60,G64,G68,G72,G76,G80)</f>
        <v>1.9373354324880427E-2</v>
      </c>
    </row>
    <row r="99" spans="1:1" ht="15" customHeight="1" x14ac:dyDescent="0.25">
      <c r="A99" s="50" t="s">
        <v>616</v>
      </c>
    </row>
    <row r="100" spans="1:1" ht="15" customHeight="1" x14ac:dyDescent="0.25">
      <c r="A100" s="50">
        <f>AVERAGE(G9,G13,G17,G21,G25,G29,G33,G37,G41,G45,G49,G53,G57,G61,G65,G69,G73,G77,G81)</f>
        <v>3.3949124306264407E-2</v>
      </c>
    </row>
    <row r="101" spans="1:1" ht="15" customHeight="1" x14ac:dyDescent="0.25">
      <c r="A101" s="50" t="s">
        <v>617</v>
      </c>
    </row>
    <row r="102" spans="1:1" ht="15" customHeight="1" x14ac:dyDescent="0.25">
      <c r="A102" s="50">
        <f>AVERAGE(G10,G14,G18,G22,G26,G30,G34,G38,G42,G46,G50,G54,G58,G62,G66,G70,G74,G78,G82)</f>
        <v>2.1539468634307085E-2</v>
      </c>
    </row>
    <row r="103" spans="1:1" ht="15" customHeight="1" x14ac:dyDescent="0.25">
      <c r="A103" s="50" t="s">
        <v>618</v>
      </c>
    </row>
    <row r="104" spans="1:1" ht="15" customHeight="1" x14ac:dyDescent="0.25">
      <c r="A104" s="50">
        <f>AVERAGE(G7,G11,G15,G19,G23,G27,G31,G35,G39,G43,G47,G51,G55,G59,G63,G67,G71,G75,G79)</f>
        <v>4.4004769376837713E-2</v>
      </c>
    </row>
    <row r="105" spans="1:1" ht="15.75" customHeight="1" x14ac:dyDescent="0.25"/>
    <row r="106" spans="1:1" ht="15.75" customHeight="1" x14ac:dyDescent="0.25"/>
    <row r="107" spans="1:1" ht="15.75" customHeight="1" x14ac:dyDescent="0.25"/>
    <row r="108" spans="1:1" ht="15.75" customHeight="1" x14ac:dyDescent="0.25"/>
    <row r="109" spans="1:1" ht="15.75" customHeight="1" x14ac:dyDescent="0.25"/>
    <row r="110" spans="1:1" ht="15.75" customHeight="1" x14ac:dyDescent="0.25"/>
    <row r="111" spans="1:1" ht="15.75" customHeight="1" x14ac:dyDescent="0.25"/>
    <row r="112" spans="1: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5">
    <mergeCell ref="D5:G5"/>
    <mergeCell ref="H5:K5"/>
    <mergeCell ref="L5:P5"/>
    <mergeCell ref="Q5:U5"/>
    <mergeCell ref="V5:Z5"/>
  </mergeCells>
  <conditionalFormatting sqref="A7:A8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7:E83">
    <cfRule type="cellIs" dxfId="3" priority="2" operator="lessThan">
      <formula>0</formula>
    </cfRule>
    <cfRule type="cellIs" dxfId="2" priority="3" operator="greaterThan">
      <formula>0</formula>
    </cfRule>
  </conditionalFormatting>
  <conditionalFormatting sqref="G7:G8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K3 I4:K4 J84:K84 J86:K92 I93:K1002">
    <cfRule type="cellIs" dxfId="1" priority="5" operator="lessThan">
      <formula>0</formula>
    </cfRule>
  </conditionalFormatting>
  <conditionalFormatting sqref="X1:X3">
    <cfRule type="cellIs" dxfId="0" priority="6" operator="lessThan">
      <formula>0</formula>
    </cfRule>
  </conditionalFormatting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R1000"/>
  <sheetViews>
    <sheetView workbookViewId="0">
      <selection activeCell="C4" sqref="C4"/>
    </sheetView>
  </sheetViews>
  <sheetFormatPr defaultColWidth="14.42578125" defaultRowHeight="15" customHeight="1" x14ac:dyDescent="0.25"/>
  <cols>
    <col min="1" max="1" width="4.42578125" customWidth="1"/>
    <col min="2" max="2" width="14.7109375" customWidth="1"/>
    <col min="3" max="3" width="15.5703125" customWidth="1"/>
    <col min="4" max="4" width="11" customWidth="1"/>
    <col min="5" max="5" width="11.28515625" customWidth="1"/>
    <col min="6" max="6" width="11" customWidth="1"/>
    <col min="7" max="7" width="11.28515625" customWidth="1"/>
    <col min="8" max="8" width="11" customWidth="1"/>
    <col min="9" max="9" width="12.140625" customWidth="1"/>
    <col min="10" max="10" width="15.5703125" customWidth="1"/>
    <col min="11" max="11" width="12.28515625" customWidth="1"/>
    <col min="12" max="12" width="9.140625" customWidth="1"/>
    <col min="13" max="13" width="14.7109375" customWidth="1"/>
    <col min="14" max="14" width="11" customWidth="1"/>
    <col min="15" max="15" width="12.28515625" customWidth="1"/>
    <col min="16" max="16" width="11.7109375" customWidth="1"/>
    <col min="17" max="18" width="9.5703125" customWidth="1"/>
  </cols>
  <sheetData>
    <row r="1" spans="2:18" ht="11.25" customHeight="1" x14ac:dyDescent="0.25">
      <c r="B1" s="429" t="s">
        <v>619</v>
      </c>
      <c r="C1" s="430">
        <f ca="1">TODAY()</f>
        <v>46324</v>
      </c>
      <c r="D1" s="570" t="s">
        <v>620</v>
      </c>
      <c r="E1" s="548"/>
      <c r="F1" s="570" t="s">
        <v>621</v>
      </c>
      <c r="G1" s="548"/>
      <c r="H1" s="570" t="s">
        <v>622</v>
      </c>
      <c r="I1" s="548"/>
      <c r="J1" s="570" t="s">
        <v>623</v>
      </c>
      <c r="K1" s="548"/>
      <c r="L1" s="431"/>
      <c r="M1" s="431"/>
      <c r="N1" s="432">
        <f>R1/Q1</f>
        <v>0.22415375262239876</v>
      </c>
      <c r="O1" s="571" t="s">
        <v>624</v>
      </c>
      <c r="P1" s="557"/>
      <c r="Q1" s="433">
        <f>'Retirement Calculator'!B3</f>
        <v>491286.83999999991</v>
      </c>
      <c r="R1" s="434">
        <f>SUM(R3:R9)</f>
        <v>110123.78879999998</v>
      </c>
    </row>
    <row r="2" spans="2:18" ht="11.25" customHeight="1" x14ac:dyDescent="0.25">
      <c r="B2" s="429" t="s">
        <v>625</v>
      </c>
      <c r="C2" s="430">
        <f>'Retirement Calculator'!D6</f>
        <v>51288</v>
      </c>
      <c r="D2" s="435" t="s">
        <v>546</v>
      </c>
      <c r="E2" s="436">
        <f>B13</f>
        <v>104249.60000000001</v>
      </c>
      <c r="F2" s="435" t="s">
        <v>546</v>
      </c>
      <c r="G2" s="436">
        <f>C13</f>
        <v>18000</v>
      </c>
      <c r="H2" s="435" t="s">
        <v>546</v>
      </c>
      <c r="I2" s="436">
        <f>D13</f>
        <v>175500</v>
      </c>
      <c r="J2" s="435" t="s">
        <v>546</v>
      </c>
      <c r="K2" s="436">
        <f>I2</f>
        <v>175500</v>
      </c>
      <c r="L2" s="431"/>
      <c r="M2" s="431"/>
      <c r="N2" s="437" t="s">
        <v>560</v>
      </c>
      <c r="O2" s="438" t="s">
        <v>626</v>
      </c>
      <c r="P2" s="438" t="s">
        <v>627</v>
      </c>
      <c r="Q2" s="439" t="s">
        <v>628</v>
      </c>
      <c r="R2" s="440" t="s">
        <v>629</v>
      </c>
    </row>
    <row r="3" spans="2:18" ht="11.25" customHeight="1" x14ac:dyDescent="0.25">
      <c r="B3" s="429" t="s">
        <v>630</v>
      </c>
      <c r="C3" s="438">
        <f ca="1">(C2-C1)/365.25</f>
        <v>13.59069130732375</v>
      </c>
      <c r="D3" s="429" t="s">
        <v>631</v>
      </c>
      <c r="E3" s="441">
        <f ca="1">'TSP-401K'!J4</f>
        <v>0.11221086382865905</v>
      </c>
      <c r="F3" s="429" t="s">
        <v>631</v>
      </c>
      <c r="G3" s="441">
        <f ca="1">'TSP-401K'!O4</f>
        <v>0.10819111466407777</v>
      </c>
      <c r="H3" s="429" t="s">
        <v>631</v>
      </c>
      <c r="I3" s="441">
        <f ca="1">'TSP-401K'!T4</f>
        <v>0.10770292878150942</v>
      </c>
      <c r="J3" s="429" t="s">
        <v>631</v>
      </c>
      <c r="K3" s="441">
        <f ca="1">'TSP-401K'!Y4</f>
        <v>0.10600528120994568</v>
      </c>
      <c r="L3" s="431"/>
      <c r="M3" s="431"/>
      <c r="N3" s="442">
        <v>0.1</v>
      </c>
      <c r="O3" s="436">
        <v>0</v>
      </c>
      <c r="P3" s="436">
        <v>24800</v>
      </c>
      <c r="Q3" s="436">
        <f>IF($Q$1&gt;P3,P3,$Q$1-Q3)</f>
        <v>24800</v>
      </c>
      <c r="R3" s="443">
        <f t="shared" ref="R3:R9" si="0">Q3*N3</f>
        <v>2480</v>
      </c>
    </row>
    <row r="4" spans="2:18" ht="11.25" customHeight="1" x14ac:dyDescent="0.25">
      <c r="B4" s="435" t="s">
        <v>632</v>
      </c>
      <c r="C4" s="430">
        <f>'Retirement Calculator'!D7</f>
        <v>51288</v>
      </c>
      <c r="D4" s="429"/>
      <c r="E4" s="441"/>
      <c r="F4" s="429"/>
      <c r="G4" s="441"/>
      <c r="H4" s="429"/>
      <c r="I4" s="441"/>
      <c r="J4" s="429"/>
      <c r="K4" s="441"/>
      <c r="L4" s="431"/>
      <c r="M4" s="431"/>
      <c r="N4" s="442">
        <v>0.12</v>
      </c>
      <c r="O4" s="436">
        <f t="shared" ref="O4:O9" si="1">P3+0.01</f>
        <v>24800.01</v>
      </c>
      <c r="P4" s="436">
        <v>100800</v>
      </c>
      <c r="Q4" s="436">
        <f>IF($Q$1&gt;P4,P4-Q3,$Q$1-Q3)</f>
        <v>76000</v>
      </c>
      <c r="R4" s="443">
        <f t="shared" si="0"/>
        <v>9120</v>
      </c>
    </row>
    <row r="5" spans="2:18" ht="11.25" customHeight="1" x14ac:dyDescent="0.25">
      <c r="B5" s="435" t="s">
        <v>633</v>
      </c>
      <c r="C5" s="438">
        <f ca="1">(C4-C1)/365.25</f>
        <v>13.59069130732375</v>
      </c>
      <c r="D5" s="429"/>
      <c r="E5" s="441"/>
      <c r="F5" s="429"/>
      <c r="G5" s="441"/>
      <c r="H5" s="429"/>
      <c r="I5" s="441"/>
      <c r="J5" s="429"/>
      <c r="K5" s="441"/>
      <c r="L5" s="444"/>
      <c r="M5" s="431"/>
      <c r="N5" s="442">
        <v>0.22</v>
      </c>
      <c r="O5" s="436">
        <f t="shared" si="1"/>
        <v>100800.01</v>
      </c>
      <c r="P5" s="436">
        <v>211400</v>
      </c>
      <c r="Q5" s="436">
        <f>IF($Q$1&gt;P5,P5-Q4-Q3,$Q$1-Q4-Q3)</f>
        <v>110600</v>
      </c>
      <c r="R5" s="443">
        <f t="shared" si="0"/>
        <v>24332</v>
      </c>
    </row>
    <row r="6" spans="2:18" ht="11.25" customHeight="1" x14ac:dyDescent="0.25">
      <c r="B6" s="429" t="s">
        <v>634</v>
      </c>
      <c r="C6" s="445">
        <f>E6+G6+I6+K6</f>
        <v>1114222.3699999999</v>
      </c>
      <c r="D6" s="429" t="s">
        <v>635</v>
      </c>
      <c r="E6" s="445">
        <f>'TSP-401K'!H84*-1</f>
        <v>439148.42999999993</v>
      </c>
      <c r="F6" s="429" t="s">
        <v>635</v>
      </c>
      <c r="G6" s="445">
        <f>'TSP-401K'!L84*-1</f>
        <v>138364.19</v>
      </c>
      <c r="H6" s="429" t="s">
        <v>635</v>
      </c>
      <c r="I6" s="445">
        <f>'TSP-401K'!Q84*-1</f>
        <v>411046.00999999995</v>
      </c>
      <c r="J6" s="429" t="s">
        <v>635</v>
      </c>
      <c r="K6" s="445">
        <f>'TSP-401K'!V84*-1</f>
        <v>125663.74000000006</v>
      </c>
      <c r="L6" s="446"/>
      <c r="M6" s="431"/>
      <c r="N6" s="442">
        <v>0.24</v>
      </c>
      <c r="O6" s="436">
        <f t="shared" si="1"/>
        <v>211400.01</v>
      </c>
      <c r="P6" s="436">
        <v>403550</v>
      </c>
      <c r="Q6" s="436">
        <f>IF($Q$1&gt;P6,P6-Q5-Q4-Q3,$Q$1-Q5-Q4-Q3)</f>
        <v>192150</v>
      </c>
      <c r="R6" s="443">
        <f t="shared" si="0"/>
        <v>46116</v>
      </c>
    </row>
    <row r="7" spans="2:18" ht="11.25" customHeight="1" x14ac:dyDescent="0.25">
      <c r="B7" s="429"/>
      <c r="C7" s="439"/>
      <c r="D7" s="429"/>
      <c r="E7" s="439"/>
      <c r="F7" s="429"/>
      <c r="G7" s="439"/>
      <c r="H7" s="429"/>
      <c r="I7" s="439"/>
      <c r="J7" s="429"/>
      <c r="K7" s="439"/>
      <c r="L7" s="444"/>
      <c r="M7" s="431"/>
      <c r="N7" s="442">
        <v>0.32</v>
      </c>
      <c r="O7" s="436">
        <f t="shared" si="1"/>
        <v>403550.01</v>
      </c>
      <c r="P7" s="436">
        <v>512450</v>
      </c>
      <c r="Q7" s="436">
        <f>IF($Q$1&gt;P7,P7-Q6-Q5-Q4-Q3,$Q$1-Q6-Q5-Q4-Q3)</f>
        <v>87736.839999999909</v>
      </c>
      <c r="R7" s="443">
        <f t="shared" si="0"/>
        <v>28075.788799999973</v>
      </c>
    </row>
    <row r="8" spans="2:18" ht="11.25" customHeight="1" x14ac:dyDescent="0.25">
      <c r="B8" s="429" t="s">
        <v>636</v>
      </c>
      <c r="C8" s="445">
        <f ca="1">E8+G8+I8+K8</f>
        <v>6134207.2783087557</v>
      </c>
      <c r="D8" s="429" t="s">
        <v>637</v>
      </c>
      <c r="E8" s="445">
        <f ca="1">FV(E3/26,C3*26,-(E2*0.1)/26,-E6,1)</f>
        <v>2345439.8363448153</v>
      </c>
      <c r="F8" s="429" t="s">
        <v>637</v>
      </c>
      <c r="G8" s="445">
        <f ca="1">FV(G3/12,12*C3,-(G2*0.1)/12,-G6,1)</f>
        <v>653834.11587707768</v>
      </c>
      <c r="H8" s="429" t="s">
        <v>637</v>
      </c>
      <c r="I8" s="445">
        <f ca="1">FV(I3/24,C5*24,-(I2*0.1)/24,-I6,1)</f>
        <v>2312259.9101210837</v>
      </c>
      <c r="J8" s="429" t="s">
        <v>637</v>
      </c>
      <c r="K8" s="445">
        <f ca="1">FV(K3/24,C5*24,-(K2*0.055)/24,-K6,1)</f>
        <v>822673.41596577957</v>
      </c>
      <c r="L8" s="444"/>
      <c r="M8" s="431"/>
      <c r="N8" s="442">
        <v>0.35</v>
      </c>
      <c r="O8" s="436">
        <f t="shared" si="1"/>
        <v>512450.01</v>
      </c>
      <c r="P8" s="436">
        <v>768700</v>
      </c>
      <c r="Q8" s="436">
        <f>IF($Q$1&gt;P8,P8-Q7-Q6-Q5-Q4-Q3,$Q$1-Q7-Q6-Q5-Q4-Q3)</f>
        <v>0</v>
      </c>
      <c r="R8" s="443">
        <f t="shared" si="0"/>
        <v>0</v>
      </c>
    </row>
    <row r="9" spans="2:18" ht="11.25" customHeight="1" x14ac:dyDescent="0.25">
      <c r="B9" s="446"/>
      <c r="C9" s="445"/>
      <c r="D9" s="446"/>
      <c r="E9" s="444"/>
      <c r="F9" s="446"/>
      <c r="G9" s="447"/>
      <c r="H9" s="446"/>
      <c r="I9" s="447"/>
      <c r="J9" s="446"/>
      <c r="K9" s="447"/>
      <c r="L9" s="444"/>
      <c r="M9" s="431"/>
      <c r="N9" s="448">
        <v>0.37</v>
      </c>
      <c r="O9" s="449">
        <f t="shared" si="1"/>
        <v>768700.01</v>
      </c>
      <c r="P9" s="449">
        <v>10000000</v>
      </c>
      <c r="Q9" s="449">
        <f>IF($Q$1&gt;P9,P9-Q8-Q7,$Q$1-Q8-Q7-Q6-Q5-Q4-Q3)</f>
        <v>0</v>
      </c>
      <c r="R9" s="450">
        <f t="shared" si="0"/>
        <v>0</v>
      </c>
    </row>
    <row r="10" spans="2:18" ht="11.25" customHeight="1" x14ac:dyDescent="0.25">
      <c r="B10" s="446"/>
      <c r="C10" s="444"/>
      <c r="D10" s="446"/>
      <c r="E10" s="444"/>
      <c r="F10" s="446"/>
      <c r="G10" s="447"/>
      <c r="H10" s="446"/>
      <c r="I10" s="447"/>
      <c r="J10" s="446"/>
      <c r="K10" s="447"/>
      <c r="L10" s="444"/>
      <c r="M10" s="431"/>
      <c r="N10" s="451"/>
      <c r="O10" s="451"/>
      <c r="P10" s="451"/>
      <c r="Q10" s="452"/>
      <c r="R10" s="444"/>
    </row>
    <row r="11" spans="2:18" ht="11.25" customHeight="1" x14ac:dyDescent="0.25">
      <c r="B11" s="453"/>
      <c r="C11" s="444"/>
      <c r="D11" s="431"/>
      <c r="E11" s="444"/>
      <c r="F11" s="431"/>
      <c r="G11" s="444"/>
      <c r="H11" s="431"/>
      <c r="I11" s="444"/>
      <c r="J11" s="431"/>
      <c r="K11" s="444"/>
      <c r="L11" s="444"/>
      <c r="M11" s="431"/>
      <c r="N11" s="451"/>
      <c r="O11" s="451"/>
      <c r="P11" s="451"/>
      <c r="Q11" s="452"/>
      <c r="R11" s="444"/>
    </row>
    <row r="12" spans="2:18" ht="11.25" customHeight="1" x14ac:dyDescent="0.25">
      <c r="B12" s="446" t="s">
        <v>638</v>
      </c>
      <c r="C12" s="446" t="s">
        <v>562</v>
      </c>
      <c r="D12" s="446" t="s">
        <v>639</v>
      </c>
      <c r="E12" s="454" t="s">
        <v>640</v>
      </c>
      <c r="F12" s="444"/>
      <c r="G12" s="446"/>
      <c r="H12" s="431"/>
      <c r="I12" s="446" t="s">
        <v>549</v>
      </c>
      <c r="J12" s="446" t="s">
        <v>550</v>
      </c>
      <c r="K12" s="446" t="s">
        <v>551</v>
      </c>
      <c r="L12" s="446" t="s">
        <v>552</v>
      </c>
      <c r="M12" s="431"/>
      <c r="N12" s="451"/>
      <c r="O12" s="451"/>
      <c r="P12" s="451"/>
      <c r="Q12" s="452"/>
      <c r="R12" s="444"/>
    </row>
    <row r="13" spans="2:18" ht="11.25" customHeight="1" x14ac:dyDescent="0.25">
      <c r="B13" s="455">
        <f>'Retirement Calculator'!D2</f>
        <v>104249.60000000001</v>
      </c>
      <c r="C13" s="455">
        <f>'Retirement Calculator'!D3</f>
        <v>18000</v>
      </c>
      <c r="D13" s="455">
        <f>'Retirement Calculator'!D1</f>
        <v>175500</v>
      </c>
      <c r="E13" s="452">
        <f>B13+C13+D13</f>
        <v>297749.59999999998</v>
      </c>
      <c r="F13" s="444"/>
      <c r="G13" s="456">
        <v>31590</v>
      </c>
      <c r="H13" s="431" t="s">
        <v>641</v>
      </c>
      <c r="I13" s="457">
        <f>'Retirement Calculator'!F2</f>
        <v>2420</v>
      </c>
      <c r="J13" s="457">
        <f>'Retirement Calculator'!G2</f>
        <v>3519</v>
      </c>
      <c r="K13" s="457">
        <f>'Retirement Calculator'!H2</f>
        <v>4397</v>
      </c>
      <c r="L13" s="457">
        <f>'Retirement Calculator'!I2</f>
        <v>0</v>
      </c>
      <c r="M13" s="431"/>
      <c r="N13" s="451"/>
      <c r="O13" s="451"/>
      <c r="P13" s="451"/>
      <c r="Q13" s="452"/>
      <c r="R13" s="444"/>
    </row>
    <row r="14" spans="2:18" ht="11.25" customHeight="1" x14ac:dyDescent="0.25">
      <c r="B14" s="455"/>
      <c r="C14" s="457"/>
      <c r="D14" s="457"/>
      <c r="E14" s="452"/>
      <c r="F14" s="444"/>
      <c r="G14" s="456">
        <v>29906</v>
      </c>
      <c r="H14" s="431" t="s">
        <v>642</v>
      </c>
      <c r="I14" s="457">
        <f>'Retirement Calculator'!F3</f>
        <v>2345</v>
      </c>
      <c r="J14" s="457">
        <f>'Retirement Calculator'!G3</f>
        <v>3401</v>
      </c>
      <c r="K14" s="457">
        <f>'Retirement Calculator'!H3</f>
        <v>4262</v>
      </c>
      <c r="L14" s="457">
        <f>'Retirement Calculator'!I3</f>
        <v>0</v>
      </c>
      <c r="M14" s="431"/>
      <c r="N14" s="451"/>
      <c r="O14" s="451"/>
      <c r="P14" s="451"/>
      <c r="Q14" s="452"/>
      <c r="R14" s="444"/>
    </row>
    <row r="15" spans="2:18" ht="11.25" customHeight="1" x14ac:dyDescent="0.25">
      <c r="B15" s="455"/>
      <c r="C15" s="457"/>
      <c r="D15" s="457"/>
      <c r="E15" s="452"/>
      <c r="F15" s="444"/>
      <c r="G15" s="456"/>
      <c r="H15" s="431"/>
      <c r="I15" s="457"/>
      <c r="J15" s="457"/>
      <c r="K15" s="457"/>
      <c r="L15" s="457"/>
      <c r="M15" s="431"/>
      <c r="N15" s="451"/>
      <c r="O15" s="451"/>
      <c r="P15" s="451"/>
      <c r="Q15" s="452"/>
      <c r="R15" s="444"/>
    </row>
    <row r="16" spans="2:18" ht="11.25" customHeight="1" x14ac:dyDescent="0.25">
      <c r="B16" s="455" t="s">
        <v>643</v>
      </c>
      <c r="C16" s="455" t="s">
        <v>644</v>
      </c>
      <c r="D16" s="457"/>
      <c r="E16" s="452"/>
      <c r="F16" s="444"/>
      <c r="G16" s="431"/>
      <c r="H16" s="444"/>
      <c r="I16" s="431"/>
      <c r="J16" s="431"/>
      <c r="K16" s="444"/>
      <c r="L16" s="444"/>
      <c r="M16" s="431"/>
      <c r="N16" s="451"/>
      <c r="O16" s="451"/>
      <c r="P16" s="451"/>
      <c r="Q16" s="452"/>
      <c r="R16" s="444"/>
    </row>
    <row r="17" spans="2:11" ht="11.25" customHeight="1" x14ac:dyDescent="0.25">
      <c r="B17" s="451">
        <f>(C2-B18)/365.25</f>
        <v>33.040383299110196</v>
      </c>
      <c r="C17" s="458">
        <f>'Retirement Calculator'!B2</f>
        <v>0.65</v>
      </c>
      <c r="D17" s="457"/>
      <c r="E17" s="457"/>
      <c r="F17" s="444"/>
      <c r="G17" s="431"/>
      <c r="H17" s="444"/>
      <c r="I17" s="431"/>
      <c r="J17" s="431"/>
      <c r="K17" s="444"/>
    </row>
    <row r="18" spans="2:11" ht="11.25" customHeight="1" x14ac:dyDescent="0.25">
      <c r="B18" s="456">
        <v>39220</v>
      </c>
      <c r="C18" s="455">
        <f>E13*(1+C17)</f>
        <v>491286.83999999991</v>
      </c>
      <c r="D18" s="457"/>
      <c r="E18" s="457"/>
      <c r="F18" s="444"/>
      <c r="G18" s="431"/>
      <c r="H18" s="446" t="s">
        <v>645</v>
      </c>
      <c r="I18" s="431"/>
      <c r="J18" s="431"/>
      <c r="K18" s="431"/>
    </row>
    <row r="19" spans="2:11" ht="11.25" customHeight="1" x14ac:dyDescent="0.25">
      <c r="B19" s="444"/>
      <c r="C19" s="455"/>
      <c r="D19" s="457"/>
      <c r="E19" s="457"/>
      <c r="F19" s="431"/>
      <c r="G19" s="431"/>
      <c r="H19" s="459">
        <v>71</v>
      </c>
      <c r="I19" s="457">
        <f t="shared" ref="I19:I33" si="2">(I$14*12)*($H19-62)</f>
        <v>253260</v>
      </c>
      <c r="J19" s="457">
        <f t="shared" ref="J19:J33" si="3">(J$14*12)*($H19-67)</f>
        <v>163248</v>
      </c>
      <c r="K19" s="457">
        <f t="shared" ref="K19:K33" si="4">(K$14*12)*($H19-70)</f>
        <v>51144</v>
      </c>
    </row>
    <row r="20" spans="2:11" ht="11.25" customHeight="1" x14ac:dyDescent="0.25">
      <c r="B20" s="444"/>
      <c r="C20" s="455"/>
      <c r="D20" s="457"/>
      <c r="E20" s="457"/>
      <c r="F20" s="431"/>
      <c r="G20" s="431"/>
      <c r="H20" s="459">
        <v>72</v>
      </c>
      <c r="I20" s="457">
        <f t="shared" si="2"/>
        <v>281400</v>
      </c>
      <c r="J20" s="457">
        <f t="shared" si="3"/>
        <v>204060</v>
      </c>
      <c r="K20" s="457">
        <f t="shared" si="4"/>
        <v>102288</v>
      </c>
    </row>
    <row r="21" spans="2:11" ht="11.25" customHeight="1" x14ac:dyDescent="0.25">
      <c r="B21" s="444" t="s">
        <v>646</v>
      </c>
      <c r="C21" s="455" t="s">
        <v>647</v>
      </c>
      <c r="D21" s="455" t="s">
        <v>648</v>
      </c>
      <c r="E21" s="457" t="s">
        <v>649</v>
      </c>
      <c r="F21" s="431"/>
      <c r="G21" s="431"/>
      <c r="H21" s="459">
        <v>73</v>
      </c>
      <c r="I21" s="457">
        <f t="shared" si="2"/>
        <v>309540</v>
      </c>
      <c r="J21" s="457">
        <f t="shared" si="3"/>
        <v>244872</v>
      </c>
      <c r="K21" s="457">
        <f t="shared" si="4"/>
        <v>153432</v>
      </c>
    </row>
    <row r="22" spans="2:11" ht="11.25" customHeight="1" x14ac:dyDescent="0.25">
      <c r="B22" s="444">
        <f>B13*(B17*0.01)</f>
        <v>34444.46742778919</v>
      </c>
      <c r="C22" s="455">
        <f>C24*12</f>
        <v>39051.173639423083</v>
      </c>
      <c r="D22" s="455">
        <f>B22+C22</f>
        <v>73495.641067212273</v>
      </c>
      <c r="E22" s="460">
        <f>D22/(B13+C13)</f>
        <v>0.60119330506776525</v>
      </c>
      <c r="F22" s="431"/>
      <c r="G22" s="431"/>
      <c r="H22" s="459">
        <v>74</v>
      </c>
      <c r="I22" s="457">
        <f t="shared" si="2"/>
        <v>337680</v>
      </c>
      <c r="J22" s="457">
        <f t="shared" si="3"/>
        <v>285684</v>
      </c>
      <c r="K22" s="457">
        <f t="shared" si="4"/>
        <v>204576</v>
      </c>
    </row>
    <row r="23" spans="2:11" ht="11.25" customHeight="1" x14ac:dyDescent="0.25">
      <c r="B23" s="446" t="s">
        <v>650</v>
      </c>
      <c r="C23" s="446" t="s">
        <v>651</v>
      </c>
      <c r="D23" s="446" t="s">
        <v>652</v>
      </c>
      <c r="E23" s="431"/>
      <c r="F23" s="446"/>
      <c r="G23" s="446"/>
      <c r="H23" s="459">
        <v>75</v>
      </c>
      <c r="I23" s="457">
        <f t="shared" si="2"/>
        <v>365820</v>
      </c>
      <c r="J23" s="457">
        <f t="shared" si="3"/>
        <v>326496</v>
      </c>
      <c r="K23" s="457">
        <f t="shared" si="4"/>
        <v>255720</v>
      </c>
    </row>
    <row r="24" spans="2:11" ht="11.25" customHeight="1" x14ac:dyDescent="0.25">
      <c r="B24" s="455">
        <f>B22/12</f>
        <v>2870.372285649099</v>
      </c>
      <c r="C24" s="455">
        <f>AVERAGE('Guard Ret Calc'!I23:I24)</f>
        <v>3254.2644699519233</v>
      </c>
      <c r="D24" s="455">
        <f>B24+C24</f>
        <v>6124.6367556010227</v>
      </c>
      <c r="E24" s="431"/>
      <c r="F24" s="446"/>
      <c r="G24" s="455"/>
      <c r="H24" s="459">
        <v>76</v>
      </c>
      <c r="I24" s="457">
        <f t="shared" si="2"/>
        <v>393960</v>
      </c>
      <c r="J24" s="457">
        <f t="shared" si="3"/>
        <v>367308</v>
      </c>
      <c r="K24" s="457">
        <f t="shared" si="4"/>
        <v>306864</v>
      </c>
    </row>
    <row r="25" spans="2:11" ht="11.25" customHeight="1" x14ac:dyDescent="0.25">
      <c r="B25" s="459"/>
      <c r="C25" s="455"/>
      <c r="D25" s="455"/>
      <c r="E25" s="455"/>
      <c r="F25" s="446"/>
      <c r="G25" s="455"/>
      <c r="H25" s="459">
        <v>77</v>
      </c>
      <c r="I25" s="457">
        <f t="shared" si="2"/>
        <v>422100</v>
      </c>
      <c r="J25" s="457">
        <f t="shared" si="3"/>
        <v>408120</v>
      </c>
      <c r="K25" s="457">
        <f t="shared" si="4"/>
        <v>358008</v>
      </c>
    </row>
    <row r="26" spans="2:11" ht="11.25" customHeight="1" x14ac:dyDescent="0.25">
      <c r="B26" s="459"/>
      <c r="C26" s="455"/>
      <c r="D26" s="455"/>
      <c r="E26" s="455"/>
      <c r="F26" s="446"/>
      <c r="G26" s="455"/>
      <c r="H26" s="459">
        <v>78</v>
      </c>
      <c r="I26" s="457">
        <f t="shared" si="2"/>
        <v>450240</v>
      </c>
      <c r="J26" s="461">
        <f t="shared" si="3"/>
        <v>448932</v>
      </c>
      <c r="K26" s="457">
        <f t="shared" si="4"/>
        <v>409152</v>
      </c>
    </row>
    <row r="27" spans="2:11" ht="11.25" customHeight="1" x14ac:dyDescent="0.25">
      <c r="B27" s="459"/>
      <c r="C27" s="455"/>
      <c r="D27" s="455"/>
      <c r="E27" s="455"/>
      <c r="F27" s="455"/>
      <c r="G27" s="455"/>
      <c r="H27" s="459">
        <v>79</v>
      </c>
      <c r="I27" s="457">
        <f t="shared" si="2"/>
        <v>478380</v>
      </c>
      <c r="J27" s="457">
        <f t="shared" si="3"/>
        <v>489744</v>
      </c>
      <c r="K27" s="457">
        <f t="shared" si="4"/>
        <v>460296</v>
      </c>
    </row>
    <row r="28" spans="2:11" ht="11.25" customHeight="1" x14ac:dyDescent="0.25">
      <c r="B28" s="459" t="s">
        <v>645</v>
      </c>
      <c r="C28" s="455" t="s">
        <v>653</v>
      </c>
      <c r="D28" s="455" t="s">
        <v>654</v>
      </c>
      <c r="E28" s="455" t="s">
        <v>68</v>
      </c>
      <c r="F28" s="455"/>
      <c r="G28" s="455"/>
      <c r="H28" s="459">
        <v>80</v>
      </c>
      <c r="I28" s="457">
        <f t="shared" si="2"/>
        <v>506520</v>
      </c>
      <c r="J28" s="457">
        <f t="shared" si="3"/>
        <v>530556</v>
      </c>
      <c r="K28" s="461">
        <f t="shared" si="4"/>
        <v>511440</v>
      </c>
    </row>
    <row r="29" spans="2:11" ht="11.25" customHeight="1" x14ac:dyDescent="0.25">
      <c r="B29" s="451">
        <v>57</v>
      </c>
      <c r="C29" s="455">
        <v>2185</v>
      </c>
      <c r="D29" s="455">
        <v>1319</v>
      </c>
      <c r="E29" s="455">
        <f>SUM(C29:D29)</f>
        <v>3504</v>
      </c>
      <c r="F29" s="455"/>
      <c r="G29" s="455"/>
      <c r="H29" s="459">
        <v>81</v>
      </c>
      <c r="I29" s="457">
        <f t="shared" si="2"/>
        <v>534660</v>
      </c>
      <c r="J29" s="457">
        <f t="shared" si="3"/>
        <v>571368</v>
      </c>
      <c r="K29" s="457">
        <f t="shared" si="4"/>
        <v>562584</v>
      </c>
    </row>
    <row r="30" spans="2:11" ht="11.25" customHeight="1" x14ac:dyDescent="0.25">
      <c r="B30" s="451">
        <v>57.5</v>
      </c>
      <c r="C30" s="455"/>
      <c r="D30" s="455"/>
      <c r="E30" s="455"/>
      <c r="F30" s="455"/>
      <c r="G30" s="455"/>
      <c r="H30" s="459">
        <v>82</v>
      </c>
      <c r="I30" s="457">
        <f t="shared" si="2"/>
        <v>562800</v>
      </c>
      <c r="J30" s="457">
        <f t="shared" si="3"/>
        <v>612180</v>
      </c>
      <c r="K30" s="457">
        <f t="shared" si="4"/>
        <v>613728</v>
      </c>
    </row>
    <row r="31" spans="2:11" ht="11.25" customHeight="1" x14ac:dyDescent="0.25">
      <c r="B31" s="451">
        <v>58</v>
      </c>
      <c r="C31" s="455"/>
      <c r="D31" s="455"/>
      <c r="E31" s="455"/>
      <c r="F31" s="455"/>
      <c r="G31" s="455"/>
      <c r="H31" s="459">
        <v>83</v>
      </c>
      <c r="I31" s="457">
        <f t="shared" si="2"/>
        <v>590940</v>
      </c>
      <c r="J31" s="457">
        <f t="shared" si="3"/>
        <v>652992</v>
      </c>
      <c r="K31" s="457">
        <f t="shared" si="4"/>
        <v>664872</v>
      </c>
    </row>
    <row r="32" spans="2:11" ht="11.25" customHeight="1" x14ac:dyDescent="0.25">
      <c r="B32" s="451">
        <v>58.5</v>
      </c>
      <c r="C32" s="455">
        <v>2295</v>
      </c>
      <c r="D32" s="455">
        <v>1569</v>
      </c>
      <c r="E32" s="455">
        <f>SUM(C32:D32)</f>
        <v>3864</v>
      </c>
      <c r="F32" s="455"/>
      <c r="G32" s="455"/>
      <c r="H32" s="459">
        <v>84</v>
      </c>
      <c r="I32" s="457">
        <f t="shared" si="2"/>
        <v>619080</v>
      </c>
      <c r="J32" s="457">
        <f t="shared" si="3"/>
        <v>693804</v>
      </c>
      <c r="K32" s="457">
        <f t="shared" si="4"/>
        <v>716016</v>
      </c>
    </row>
    <row r="33" spans="2:11" ht="11.25" customHeight="1" x14ac:dyDescent="0.25">
      <c r="B33" s="451">
        <v>59</v>
      </c>
      <c r="C33" s="455"/>
      <c r="D33" s="455"/>
      <c r="E33" s="455"/>
      <c r="F33" s="455"/>
      <c r="G33" s="455"/>
      <c r="H33" s="459">
        <v>85</v>
      </c>
      <c r="I33" s="457">
        <f t="shared" si="2"/>
        <v>647220</v>
      </c>
      <c r="J33" s="457">
        <f t="shared" si="3"/>
        <v>734616</v>
      </c>
      <c r="K33" s="457">
        <f t="shared" si="4"/>
        <v>767160</v>
      </c>
    </row>
    <row r="34" spans="2:11" ht="11.25" customHeight="1" x14ac:dyDescent="0.25">
      <c r="B34" s="451">
        <v>59.5</v>
      </c>
      <c r="C34" s="455"/>
      <c r="D34" s="455"/>
      <c r="E34" s="455"/>
      <c r="F34" s="455"/>
      <c r="G34" s="455"/>
      <c r="H34" s="455"/>
      <c r="I34" s="455"/>
      <c r="J34" s="455"/>
      <c r="K34" s="455"/>
    </row>
    <row r="35" spans="2:11" ht="11.25" customHeight="1" x14ac:dyDescent="0.25">
      <c r="B35" s="451">
        <v>60</v>
      </c>
      <c r="C35" s="455">
        <v>2393.65</v>
      </c>
      <c r="D35" s="455">
        <v>1467</v>
      </c>
      <c r="E35" s="455">
        <f>SUM(C35:D35)</f>
        <v>3860.65</v>
      </c>
      <c r="F35" s="455"/>
      <c r="G35" s="455"/>
      <c r="H35" s="455"/>
      <c r="I35" s="455"/>
      <c r="J35" s="455"/>
      <c r="K35" s="455"/>
    </row>
    <row r="36" spans="2:11" ht="15.75" customHeight="1" x14ac:dyDescent="0.25"/>
    <row r="37" spans="2:11" ht="15.75" customHeight="1" x14ac:dyDescent="0.25"/>
    <row r="38" spans="2:11" ht="15.75" customHeight="1" x14ac:dyDescent="0.25"/>
    <row r="39" spans="2:11" ht="15.75" customHeight="1" x14ac:dyDescent="0.25"/>
    <row r="40" spans="2:11" ht="15.75" customHeight="1" x14ac:dyDescent="0.25"/>
    <row r="41" spans="2:11" ht="15.75" customHeight="1" x14ac:dyDescent="0.25"/>
    <row r="42" spans="2:11" ht="15.75" customHeight="1" x14ac:dyDescent="0.25"/>
    <row r="43" spans="2:11" ht="15.75" customHeight="1" x14ac:dyDescent="0.25"/>
    <row r="44" spans="2:11" ht="15.75" customHeight="1" x14ac:dyDescent="0.25"/>
    <row r="45" spans="2:11" ht="15.75" customHeight="1" x14ac:dyDescent="0.25"/>
    <row r="46" spans="2:11" ht="15.75" customHeight="1" x14ac:dyDescent="0.25"/>
    <row r="47" spans="2:11" ht="15.75" customHeight="1" x14ac:dyDescent="0.25"/>
    <row r="48" spans="2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D1:E1"/>
    <mergeCell ref="F1:G1"/>
    <mergeCell ref="H1:I1"/>
    <mergeCell ref="J1:K1"/>
    <mergeCell ref="O1:P1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625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14.5703125" customWidth="1"/>
    <col min="2" max="2" width="12.28515625" customWidth="1"/>
    <col min="3" max="4" width="10.42578125" customWidth="1"/>
    <col min="5" max="5" width="12.140625" customWidth="1"/>
    <col min="6" max="6" width="14.7109375" customWidth="1"/>
    <col min="7" max="7" width="3.5703125" customWidth="1"/>
    <col min="8" max="8" width="5.42578125" customWidth="1"/>
    <col min="9" max="9" width="20.5703125" customWidth="1"/>
    <col min="10" max="10" width="9.140625" customWidth="1"/>
    <col min="11" max="11" width="18.42578125" customWidth="1"/>
    <col min="12" max="12" width="20.5703125" customWidth="1"/>
    <col min="13" max="13" width="5.140625" customWidth="1"/>
    <col min="14" max="14" width="14.7109375" customWidth="1"/>
  </cols>
  <sheetData>
    <row r="1" spans="1:14" ht="11.25" customHeight="1" x14ac:dyDescent="0.25">
      <c r="A1" s="459" t="s">
        <v>655</v>
      </c>
      <c r="B1" s="444">
        <f ca="1">'Combined Retirement'!E8+'Combined Retirement'!G8</f>
        <v>2999273.9522218928</v>
      </c>
      <c r="C1" s="446"/>
      <c r="D1" s="446"/>
      <c r="E1" s="446"/>
      <c r="F1" s="446"/>
      <c r="G1" s="459"/>
      <c r="H1" s="459"/>
      <c r="I1" s="431"/>
      <c r="J1" s="431"/>
      <c r="K1" s="431"/>
      <c r="L1" s="431"/>
      <c r="M1" s="462"/>
      <c r="N1" s="431"/>
    </row>
    <row r="2" spans="1:14" ht="11.25" customHeight="1" x14ac:dyDescent="0.25">
      <c r="A2" s="459" t="s">
        <v>656</v>
      </c>
      <c r="B2" s="460">
        <v>0.05</v>
      </c>
      <c r="C2" s="446" t="s">
        <v>657</v>
      </c>
      <c r="D2" s="446"/>
      <c r="E2" s="446"/>
      <c r="F2" s="446"/>
      <c r="G2" s="459"/>
      <c r="H2" s="459"/>
      <c r="I2" s="431"/>
      <c r="J2" s="431"/>
      <c r="K2" s="431"/>
      <c r="L2" s="431"/>
      <c r="M2" s="462"/>
      <c r="N2" s="431"/>
    </row>
    <row r="3" spans="1:14" ht="11.25" customHeight="1" x14ac:dyDescent="0.25">
      <c r="A3" s="459"/>
      <c r="B3" s="446"/>
      <c r="C3" s="446"/>
      <c r="D3" s="446"/>
      <c r="E3" s="446"/>
      <c r="F3" s="446"/>
      <c r="G3" s="459"/>
      <c r="H3" s="459"/>
      <c r="I3" s="431"/>
      <c r="J3" s="431"/>
      <c r="K3" s="431"/>
      <c r="L3" s="431"/>
      <c r="M3" s="462"/>
      <c r="N3" s="431"/>
    </row>
    <row r="4" spans="1:14" ht="11.25" customHeight="1" x14ac:dyDescent="0.25">
      <c r="A4" s="459" t="s">
        <v>658</v>
      </c>
      <c r="B4" s="451">
        <f ca="1">(SUMIFS(H:H,I:I,"&gt;0",L:L,"&lt;0"))/12</f>
        <v>28.916666666666668</v>
      </c>
      <c r="C4" s="463">
        <f ca="1">(SUMIFS(H:H,I:I,"&gt;0",L:L,"&lt;0"))</f>
        <v>347</v>
      </c>
      <c r="D4" s="456">
        <f t="array" aca="1" ref="D4" ca="1">INDEX(N:N,MATCH(C4,H:H,0),0)</f>
        <v>61819</v>
      </c>
      <c r="E4" s="446"/>
      <c r="F4" s="446"/>
      <c r="G4" s="459"/>
      <c r="H4" s="459"/>
      <c r="I4" s="446"/>
      <c r="J4" s="431"/>
      <c r="K4" s="431"/>
      <c r="L4" s="431"/>
      <c r="M4" s="462"/>
      <c r="N4" s="431"/>
    </row>
    <row r="5" spans="1:14" ht="11.25" customHeight="1" x14ac:dyDescent="0.25">
      <c r="A5" s="459"/>
      <c r="B5" s="446"/>
      <c r="C5" s="446"/>
      <c r="D5" s="446"/>
      <c r="E5" s="446"/>
      <c r="F5" s="446"/>
      <c r="G5" s="459"/>
      <c r="H5" s="459"/>
      <c r="I5" s="431"/>
      <c r="J5" s="431"/>
      <c r="K5" s="431"/>
      <c r="L5" s="431"/>
      <c r="M5" s="462"/>
      <c r="N5" s="431"/>
    </row>
    <row r="6" spans="1:14" ht="11.25" customHeight="1" x14ac:dyDescent="0.25">
      <c r="A6" s="459"/>
      <c r="B6" s="446"/>
      <c r="C6" s="446"/>
      <c r="D6" s="446"/>
      <c r="E6" s="446"/>
      <c r="F6" s="446"/>
      <c r="G6" s="459"/>
      <c r="H6" s="459"/>
      <c r="I6" s="431"/>
      <c r="J6" s="431"/>
      <c r="K6" s="431"/>
      <c r="L6" s="431"/>
      <c r="M6" s="462"/>
      <c r="N6" s="431"/>
    </row>
    <row r="7" spans="1:14" ht="11.25" customHeight="1" x14ac:dyDescent="0.25">
      <c r="A7" s="459" t="s">
        <v>659</v>
      </c>
      <c r="B7" s="446" t="s">
        <v>660</v>
      </c>
      <c r="C7" s="446" t="s">
        <v>661</v>
      </c>
      <c r="D7" s="446" t="s">
        <v>662</v>
      </c>
      <c r="E7" s="446" t="s">
        <v>663</v>
      </c>
      <c r="F7" s="446"/>
      <c r="G7" s="459" t="s">
        <v>664</v>
      </c>
      <c r="H7" s="459" t="s">
        <v>224</v>
      </c>
      <c r="I7" s="446" t="s">
        <v>660</v>
      </c>
      <c r="J7" s="446" t="s">
        <v>661</v>
      </c>
      <c r="K7" s="446" t="s">
        <v>662</v>
      </c>
      <c r="L7" s="446" t="s">
        <v>663</v>
      </c>
      <c r="M7" s="460"/>
      <c r="N7" s="431" t="s">
        <v>590</v>
      </c>
    </row>
    <row r="8" spans="1:14" ht="11.25" customHeight="1" x14ac:dyDescent="0.25">
      <c r="A8" s="459">
        <v>1</v>
      </c>
      <c r="B8" s="447">
        <f ca="1">B1</f>
        <v>2999273.9522218928</v>
      </c>
      <c r="C8" s="447">
        <f t="shared" ref="C8:C136" si="0">SUMIF(G:G,A8,J:J)</f>
        <v>398963.19893278764</v>
      </c>
      <c r="D8" s="447">
        <f ca="1">SUMIF(G:G,1,K:K)</f>
        <v>142476.48154479804</v>
      </c>
      <c r="E8" s="447">
        <f t="shared" ref="E8:E136" ca="1" si="1">B8-C8+D8</f>
        <v>2742787.2348339036</v>
      </c>
      <c r="F8" s="431"/>
      <c r="G8" s="459">
        <v>1</v>
      </c>
      <c r="H8" s="459">
        <v>1</v>
      </c>
      <c r="I8" s="444">
        <f ca="1">B1</f>
        <v>2999273.9522218928</v>
      </c>
      <c r="J8" s="444">
        <f t="array" ref="J8">IFERROR(INDEX('Retirement Calculator'!J:J,MATCH('Isaac 401k'!N8,'Retirement Calculator'!A:A,0),0),0)</f>
        <v>33246.93324439897</v>
      </c>
      <c r="K8" s="444">
        <f t="shared" ref="K8:K262" ca="1" si="2">IPMT(M8/12,1,12,-I8+J8,,0)</f>
        <v>12358.445912406225</v>
      </c>
      <c r="L8" s="444">
        <f t="shared" ref="L8:L262" ca="1" si="3">I8-J8+K8</f>
        <v>2978385.4648899003</v>
      </c>
      <c r="M8" s="460">
        <f>B2</f>
        <v>0.05</v>
      </c>
      <c r="N8" s="464">
        <f>'Retirement Calculator'!D6</f>
        <v>51288</v>
      </c>
    </row>
    <row r="9" spans="1:14" ht="11.25" customHeight="1" x14ac:dyDescent="0.25">
      <c r="A9" s="459">
        <v>2</v>
      </c>
      <c r="B9" s="447">
        <f t="shared" ref="B9:B136" ca="1" si="4">E8</f>
        <v>2742787.2348339036</v>
      </c>
      <c r="C9" s="447">
        <f t="shared" si="0"/>
        <v>398963.19893278764</v>
      </c>
      <c r="D9" s="447">
        <f ca="1">SUMIF(G:G,2,K:K)</f>
        <v>129354.13430177288</v>
      </c>
      <c r="E9" s="447">
        <f t="shared" ca="1" si="1"/>
        <v>2473178.170202889</v>
      </c>
      <c r="F9" s="431"/>
      <c r="G9" s="459">
        <v>1</v>
      </c>
      <c r="H9" s="459">
        <v>2</v>
      </c>
      <c r="I9" s="444">
        <f t="shared" ref="I9:I263" ca="1" si="5">L8</f>
        <v>2978385.4648899003</v>
      </c>
      <c r="J9" s="444">
        <f t="array" ref="J9">IFERROR(INDEX('Retirement Calculator'!J:J,MATCH('Isaac 401k'!N9,'Retirement Calculator'!A:A,0),0),0)</f>
        <v>33246.93324439897</v>
      </c>
      <c r="K9" s="444">
        <f t="shared" ca="1" si="2"/>
        <v>12271.410548522923</v>
      </c>
      <c r="L9" s="444">
        <f t="shared" ca="1" si="3"/>
        <v>2957409.9421940246</v>
      </c>
      <c r="M9" s="460">
        <f t="shared" ref="M9:M263" si="6">M8</f>
        <v>0.05</v>
      </c>
      <c r="N9" s="464">
        <f t="shared" ref="N9:N263" si="7">EDATE(N8,1)</f>
        <v>51318</v>
      </c>
    </row>
    <row r="10" spans="1:14" ht="11.25" customHeight="1" x14ac:dyDescent="0.25">
      <c r="A10" s="459">
        <v>3</v>
      </c>
      <c r="B10" s="447">
        <f t="shared" ca="1" si="4"/>
        <v>2473178.170202889</v>
      </c>
      <c r="C10" s="447">
        <f t="shared" si="0"/>
        <v>398963.19893278764</v>
      </c>
      <c r="D10" s="447">
        <f ca="1">SUMIF(G:G,3,K:K)</f>
        <v>115560.42286913141</v>
      </c>
      <c r="E10" s="447">
        <f t="shared" ca="1" si="1"/>
        <v>2189775.3941392326</v>
      </c>
      <c r="F10" s="431"/>
      <c r="G10" s="459">
        <v>1</v>
      </c>
      <c r="H10" s="459">
        <v>3</v>
      </c>
      <c r="I10" s="444">
        <f t="shared" ca="1" si="5"/>
        <v>2957409.9421940246</v>
      </c>
      <c r="J10" s="444">
        <f t="array" ref="J10">IFERROR(INDEX('Retirement Calculator'!J:J,MATCH('Isaac 401k'!N10,'Retirement Calculator'!A:A,0),0),0)</f>
        <v>33246.93324439897</v>
      </c>
      <c r="K10" s="444">
        <f t="shared" ca="1" si="2"/>
        <v>12184.012537290108</v>
      </c>
      <c r="L10" s="444">
        <f t="shared" ca="1" si="3"/>
        <v>2936347.0214869156</v>
      </c>
      <c r="M10" s="460">
        <f t="shared" si="6"/>
        <v>0.05</v>
      </c>
      <c r="N10" s="464">
        <f t="shared" si="7"/>
        <v>51349</v>
      </c>
    </row>
    <row r="11" spans="1:14" ht="11.25" customHeight="1" x14ac:dyDescent="0.25">
      <c r="A11" s="459">
        <v>4</v>
      </c>
      <c r="B11" s="447">
        <f t="shared" ca="1" si="4"/>
        <v>2189775.3941392326</v>
      </c>
      <c r="C11" s="447">
        <f t="shared" si="0"/>
        <v>394307.19893278764</v>
      </c>
      <c r="D11" s="447">
        <f ca="1">SUMIF(G:G,4,K:K)</f>
        <v>101129.37247815842</v>
      </c>
      <c r="E11" s="447">
        <f t="shared" ca="1" si="1"/>
        <v>1896597.5676846034</v>
      </c>
      <c r="F11" s="431"/>
      <c r="G11" s="459">
        <v>1</v>
      </c>
      <c r="H11" s="459">
        <v>4</v>
      </c>
      <c r="I11" s="444">
        <f t="shared" ca="1" si="5"/>
        <v>2936347.0214869156</v>
      </c>
      <c r="J11" s="444">
        <f t="array" ref="J11">IFERROR(INDEX('Retirement Calculator'!J:J,MATCH('Isaac 401k'!N11,'Retirement Calculator'!A:A,0),0),0)</f>
        <v>33246.93324439897</v>
      </c>
      <c r="K11" s="444">
        <f t="shared" ca="1" si="2"/>
        <v>12096.250367677154</v>
      </c>
      <c r="L11" s="444">
        <f t="shared" ca="1" si="3"/>
        <v>2915196.3386101942</v>
      </c>
      <c r="M11" s="460">
        <f t="shared" si="6"/>
        <v>0.05</v>
      </c>
      <c r="N11" s="464">
        <f t="shared" si="7"/>
        <v>51380</v>
      </c>
    </row>
    <row r="12" spans="1:14" ht="11.25" customHeight="1" x14ac:dyDescent="0.25">
      <c r="A12" s="459">
        <v>5</v>
      </c>
      <c r="B12" s="447">
        <f t="shared" ca="1" si="4"/>
        <v>1896597.5676846034</v>
      </c>
      <c r="C12" s="447">
        <f t="shared" si="0"/>
        <v>389651.19893278764</v>
      </c>
      <c r="D12" s="447">
        <f ca="1">SUMIF(G:G,5,K:K)</f>
        <v>86317.558456752944</v>
      </c>
      <c r="E12" s="447">
        <f t="shared" ca="1" si="1"/>
        <v>1593263.9272085687</v>
      </c>
      <c r="F12" s="431"/>
      <c r="G12" s="459">
        <v>1</v>
      </c>
      <c r="H12" s="459">
        <v>5</v>
      </c>
      <c r="I12" s="444">
        <f t="shared" ca="1" si="5"/>
        <v>2915196.3386101942</v>
      </c>
      <c r="J12" s="444">
        <f t="array" ref="J12">IFERROR(INDEX('Retirement Calculator'!J:J,MATCH('Isaac 401k'!N12,'Retirement Calculator'!A:A,0),0),0)</f>
        <v>33246.93324439897</v>
      </c>
      <c r="K12" s="444">
        <f t="shared" ca="1" si="2"/>
        <v>12008.12252235748</v>
      </c>
      <c r="L12" s="444">
        <f t="shared" ca="1" si="3"/>
        <v>2893957.5278881527</v>
      </c>
      <c r="M12" s="460">
        <f t="shared" si="6"/>
        <v>0.05</v>
      </c>
      <c r="N12" s="464">
        <f t="shared" si="7"/>
        <v>51410</v>
      </c>
    </row>
    <row r="13" spans="1:14" ht="11.25" customHeight="1" x14ac:dyDescent="0.25">
      <c r="A13" s="459">
        <v>6</v>
      </c>
      <c r="B13" s="447">
        <f t="shared" ca="1" si="4"/>
        <v>1593263.9272085687</v>
      </c>
      <c r="C13" s="447">
        <f t="shared" si="0"/>
        <v>272655.17935989378</v>
      </c>
      <c r="D13" s="447">
        <f ca="1">SUMIF(G:G,6,K:K)</f>
        <v>72269.034118973126</v>
      </c>
      <c r="E13" s="447">
        <f t="shared" ca="1" si="1"/>
        <v>1392877.7819676481</v>
      </c>
      <c r="F13" s="431"/>
      <c r="G13" s="459">
        <v>1</v>
      </c>
      <c r="H13" s="459">
        <v>6</v>
      </c>
      <c r="I13" s="444">
        <f t="shared" ca="1" si="5"/>
        <v>2893957.5278881527</v>
      </c>
      <c r="J13" s="444">
        <f t="array" ref="J13">IFERROR(INDEX('Retirement Calculator'!J:J,MATCH('Isaac 401k'!N13,'Retirement Calculator'!A:A,0),0),0)</f>
        <v>33246.93324439897</v>
      </c>
      <c r="K13" s="444">
        <f t="shared" ca="1" si="2"/>
        <v>11919.627477682308</v>
      </c>
      <c r="L13" s="444">
        <f t="shared" ca="1" si="3"/>
        <v>2872630.2221214361</v>
      </c>
      <c r="M13" s="460">
        <f t="shared" si="6"/>
        <v>0.05</v>
      </c>
      <c r="N13" s="464">
        <f t="shared" si="7"/>
        <v>51441</v>
      </c>
    </row>
    <row r="14" spans="1:14" ht="11.25" customHeight="1" x14ac:dyDescent="0.25">
      <c r="A14" s="459">
        <v>7</v>
      </c>
      <c r="B14" s="447">
        <f t="shared" ca="1" si="4"/>
        <v>1392877.7819676481</v>
      </c>
      <c r="C14" s="447">
        <f t="shared" si="0"/>
        <v>108860.75195784221</v>
      </c>
      <c r="D14" s="447">
        <f ca="1">SUMIF(G:G,7,K:K)</f>
        <v>68268.442411107113</v>
      </c>
      <c r="E14" s="447">
        <f t="shared" ca="1" si="1"/>
        <v>1352285.4724209129</v>
      </c>
      <c r="F14" s="431"/>
      <c r="G14" s="459">
        <v>1</v>
      </c>
      <c r="H14" s="459">
        <v>7</v>
      </c>
      <c r="I14" s="444">
        <f t="shared" ca="1" si="5"/>
        <v>2872630.2221214361</v>
      </c>
      <c r="J14" s="444">
        <f t="array" ref="J14">IFERROR(INDEX('Retirement Calculator'!J:J,MATCH('Isaac 401k'!N14,'Retirement Calculator'!A:A,0),0),0)</f>
        <v>33246.93324439897</v>
      </c>
      <c r="K14" s="444">
        <f t="shared" ca="1" si="2"/>
        <v>11830.763703654322</v>
      </c>
      <c r="L14" s="444">
        <f t="shared" ca="1" si="3"/>
        <v>2851214.0525806919</v>
      </c>
      <c r="M14" s="460">
        <f t="shared" si="6"/>
        <v>0.05</v>
      </c>
      <c r="N14" s="464">
        <f t="shared" si="7"/>
        <v>51471</v>
      </c>
    </row>
    <row r="15" spans="1:14" ht="11.25" customHeight="1" x14ac:dyDescent="0.25">
      <c r="A15" s="459">
        <v>8</v>
      </c>
      <c r="B15" s="447">
        <f t="shared" ca="1" si="4"/>
        <v>1352285.4724209129</v>
      </c>
      <c r="C15" s="447">
        <f t="shared" si="0"/>
        <v>108860.75195784221</v>
      </c>
      <c r="D15" s="447">
        <f ca="1">SUMIF(G:G,8,K:K)</f>
        <v>66191.662815293312</v>
      </c>
      <c r="E15" s="447">
        <f t="shared" ca="1" si="1"/>
        <v>1309616.3832783641</v>
      </c>
      <c r="F15" s="431"/>
      <c r="G15" s="459">
        <v>1</v>
      </c>
      <c r="H15" s="459">
        <v>8</v>
      </c>
      <c r="I15" s="444">
        <f t="shared" ca="1" si="5"/>
        <v>2851214.0525806919</v>
      </c>
      <c r="J15" s="444">
        <f t="array" ref="J15">IFERROR(INDEX('Retirement Calculator'!J:J,MATCH('Isaac 401k'!N15,'Retirement Calculator'!A:A,0),0),0)</f>
        <v>33246.93324439897</v>
      </c>
      <c r="K15" s="444">
        <f t="shared" ca="1" si="2"/>
        <v>11741.529663901221</v>
      </c>
      <c r="L15" s="444">
        <f t="shared" ca="1" si="3"/>
        <v>2829708.6490001944</v>
      </c>
      <c r="M15" s="460">
        <f t="shared" si="6"/>
        <v>0.05</v>
      </c>
      <c r="N15" s="464">
        <f t="shared" si="7"/>
        <v>51502</v>
      </c>
    </row>
    <row r="16" spans="1:14" ht="11.25" customHeight="1" x14ac:dyDescent="0.25">
      <c r="A16" s="459">
        <v>9</v>
      </c>
      <c r="B16" s="447">
        <f t="shared" ca="1" si="4"/>
        <v>1309616.3832783641</v>
      </c>
      <c r="C16" s="447">
        <f t="shared" si="0"/>
        <v>101423.65635784219</v>
      </c>
      <c r="D16" s="447">
        <f ca="1">SUMIF(G:G,9,K:K)</f>
        <v>64197.165320215005</v>
      </c>
      <c r="E16" s="447">
        <f t="shared" ca="1" si="1"/>
        <v>1272389.8922407369</v>
      </c>
      <c r="F16" s="431"/>
      <c r="G16" s="459">
        <v>1</v>
      </c>
      <c r="H16" s="459">
        <v>9</v>
      </c>
      <c r="I16" s="444">
        <f t="shared" ca="1" si="5"/>
        <v>2829708.6490001944</v>
      </c>
      <c r="J16" s="444">
        <f t="array" ref="J16">IFERROR(INDEX('Retirement Calculator'!J:J,MATCH('Isaac 401k'!N16,'Retirement Calculator'!A:A,0),0),0)</f>
        <v>33246.93324439897</v>
      </c>
      <c r="K16" s="444">
        <f t="shared" ca="1" si="2"/>
        <v>11651.923815649148</v>
      </c>
      <c r="L16" s="444">
        <f t="shared" ca="1" si="3"/>
        <v>2808113.6395714446</v>
      </c>
      <c r="M16" s="460">
        <f t="shared" si="6"/>
        <v>0.05</v>
      </c>
      <c r="N16" s="464">
        <f t="shared" si="7"/>
        <v>51533</v>
      </c>
    </row>
    <row r="17" spans="1:14" ht="11.25" customHeight="1" x14ac:dyDescent="0.25">
      <c r="A17" s="459">
        <v>10</v>
      </c>
      <c r="B17" s="447">
        <f t="shared" ca="1" si="4"/>
        <v>1272389.8922407369</v>
      </c>
      <c r="C17" s="447">
        <f t="shared" si="0"/>
        <v>100747.55675784221</v>
      </c>
      <c r="D17" s="447">
        <f ca="1">SUMIF(G:G,10,K:K)</f>
        <v>62327.17792594574</v>
      </c>
      <c r="E17" s="447">
        <f t="shared" ca="1" si="1"/>
        <v>1233969.5134088404</v>
      </c>
      <c r="F17" s="431"/>
      <c r="G17" s="459">
        <v>1</v>
      </c>
      <c r="H17" s="459">
        <v>10</v>
      </c>
      <c r="I17" s="444">
        <f t="shared" ca="1" si="5"/>
        <v>2808113.6395714446</v>
      </c>
      <c r="J17" s="444">
        <f t="array" ref="J17">IFERROR(INDEX('Retirement Calculator'!J:J,MATCH('Isaac 401k'!N17,'Retirement Calculator'!A:A,0),0),0)</f>
        <v>33246.93324439897</v>
      </c>
      <c r="K17" s="444">
        <f t="shared" ca="1" si="2"/>
        <v>11561.944609696024</v>
      </c>
      <c r="L17" s="444">
        <f t="shared" ca="1" si="3"/>
        <v>2786428.6509367418</v>
      </c>
      <c r="M17" s="460">
        <f t="shared" si="6"/>
        <v>0.05</v>
      </c>
      <c r="N17" s="464">
        <f t="shared" si="7"/>
        <v>51561</v>
      </c>
    </row>
    <row r="18" spans="1:14" ht="11.25" customHeight="1" x14ac:dyDescent="0.25">
      <c r="A18" s="459">
        <v>11</v>
      </c>
      <c r="B18" s="447">
        <f t="shared" ca="1" si="4"/>
        <v>1233969.5134088404</v>
      </c>
      <c r="C18" s="447">
        <f t="shared" si="0"/>
        <v>100747.55675784221</v>
      </c>
      <c r="D18" s="447">
        <f ca="1">SUMIF(G:G,11,K:K)</f>
        <v>60361.51842757078</v>
      </c>
      <c r="E18" s="447">
        <f t="shared" ca="1" si="1"/>
        <v>1193583.475078569</v>
      </c>
      <c r="F18" s="431"/>
      <c r="G18" s="459">
        <v>1</v>
      </c>
      <c r="H18" s="459">
        <v>11</v>
      </c>
      <c r="I18" s="444">
        <f t="shared" ca="1" si="5"/>
        <v>2786428.6509367418</v>
      </c>
      <c r="J18" s="444">
        <f t="array" ref="J18">IFERROR(INDEX('Retirement Calculator'!J:J,MATCH('Isaac 401k'!N18,'Retirement Calculator'!A:A,0),0),0)</f>
        <v>33246.93324439897</v>
      </c>
      <c r="K18" s="444">
        <f t="shared" ca="1" si="2"/>
        <v>11471.590490384762</v>
      </c>
      <c r="L18" s="444">
        <f t="shared" ca="1" si="3"/>
        <v>2764653.308182728</v>
      </c>
      <c r="M18" s="460">
        <f t="shared" si="6"/>
        <v>0.05</v>
      </c>
      <c r="N18" s="464">
        <f t="shared" si="7"/>
        <v>51592</v>
      </c>
    </row>
    <row r="19" spans="1:14" ht="11.25" customHeight="1" x14ac:dyDescent="0.25">
      <c r="A19" s="459">
        <v>12</v>
      </c>
      <c r="B19" s="447">
        <f t="shared" ca="1" si="4"/>
        <v>1193583.475078569</v>
      </c>
      <c r="C19" s="447">
        <f t="shared" si="0"/>
        <v>100747.55675784221</v>
      </c>
      <c r="D19" s="447">
        <f ca="1">SUMIF(G:G,12,K:K)</f>
        <v>58295.292058669686</v>
      </c>
      <c r="E19" s="447">
        <f t="shared" ca="1" si="1"/>
        <v>1151131.2103793966</v>
      </c>
      <c r="F19" s="431"/>
      <c r="G19" s="459">
        <v>1</v>
      </c>
      <c r="H19" s="459">
        <v>12</v>
      </c>
      <c r="I19" s="444">
        <f t="shared" ca="1" si="5"/>
        <v>2764653.308182728</v>
      </c>
      <c r="J19" s="444">
        <f t="array" ref="J19">IFERROR(INDEX('Retirement Calculator'!J:J,MATCH('Isaac 401k'!N19,'Retirement Calculator'!A:A,0),0),0)</f>
        <v>33246.93324439897</v>
      </c>
      <c r="K19" s="444">
        <f t="shared" ca="1" si="2"/>
        <v>11380.859895576372</v>
      </c>
      <c r="L19" s="444">
        <f t="shared" ca="1" si="3"/>
        <v>2742787.2348339055</v>
      </c>
      <c r="M19" s="460">
        <f t="shared" si="6"/>
        <v>0.05</v>
      </c>
      <c r="N19" s="464">
        <f t="shared" si="7"/>
        <v>51622</v>
      </c>
    </row>
    <row r="20" spans="1:14" ht="11.25" customHeight="1" x14ac:dyDescent="0.25">
      <c r="A20" s="459">
        <v>13</v>
      </c>
      <c r="B20" s="447">
        <f t="shared" ca="1" si="4"/>
        <v>1151131.2103793966</v>
      </c>
      <c r="C20" s="447">
        <f t="shared" si="0"/>
        <v>100747.55675784221</v>
      </c>
      <c r="D20" s="447">
        <f ca="1">SUMIF(G:G,13,K:K)</f>
        <v>56123.353627282304</v>
      </c>
      <c r="E20" s="447">
        <f t="shared" ca="1" si="1"/>
        <v>1106507.0072488366</v>
      </c>
      <c r="F20" s="431"/>
      <c r="G20" s="459">
        <v>2</v>
      </c>
      <c r="H20" s="459">
        <v>13</v>
      </c>
      <c r="I20" s="444">
        <f t="shared" ca="1" si="5"/>
        <v>2742787.2348339055</v>
      </c>
      <c r="J20" s="444">
        <f t="array" ref="J20">IFERROR(INDEX('Retirement Calculator'!J:J,MATCH('Isaac 401k'!N20,'Retirement Calculator'!A:A,0),0),0)</f>
        <v>33246.93324439897</v>
      </c>
      <c r="K20" s="444">
        <f t="shared" ca="1" si="2"/>
        <v>11289.751256622945</v>
      </c>
      <c r="L20" s="444">
        <f t="shared" ca="1" si="3"/>
        <v>2720830.0528461295</v>
      </c>
      <c r="M20" s="460">
        <f t="shared" si="6"/>
        <v>0.05</v>
      </c>
      <c r="N20" s="464">
        <f t="shared" si="7"/>
        <v>51653</v>
      </c>
    </row>
    <row r="21" spans="1:14" ht="11.25" customHeight="1" x14ac:dyDescent="0.25">
      <c r="A21" s="459">
        <v>14</v>
      </c>
      <c r="B21" s="447">
        <f t="shared" ca="1" si="4"/>
        <v>1106507.0072488366</v>
      </c>
      <c r="C21" s="447">
        <f t="shared" si="0"/>
        <v>100747.55675784221</v>
      </c>
      <c r="D21" s="447">
        <f ca="1">SUMIF(G:G,14,K:K)</f>
        <v>53840.29470366289</v>
      </c>
      <c r="E21" s="447">
        <f t="shared" ca="1" si="1"/>
        <v>1059599.7451946572</v>
      </c>
      <c r="F21" s="431"/>
      <c r="G21" s="459">
        <v>2</v>
      </c>
      <c r="H21" s="459">
        <v>14</v>
      </c>
      <c r="I21" s="444">
        <f t="shared" ca="1" si="5"/>
        <v>2720830.0528461295</v>
      </c>
      <c r="J21" s="444">
        <f t="array" ref="J21">IFERROR(INDEX('Retirement Calculator'!J:J,MATCH('Isaac 401k'!N21,'Retirement Calculator'!A:A,0),0),0)</f>
        <v>33246.93324439897</v>
      </c>
      <c r="K21" s="444">
        <f t="shared" ca="1" si="2"/>
        <v>11198.262998340544</v>
      </c>
      <c r="L21" s="444">
        <f t="shared" ca="1" si="3"/>
        <v>2698781.3826000714</v>
      </c>
      <c r="M21" s="460">
        <f t="shared" si="6"/>
        <v>0.05</v>
      </c>
      <c r="N21" s="464">
        <f t="shared" si="7"/>
        <v>51683</v>
      </c>
    </row>
    <row r="22" spans="1:14" ht="11.25" customHeight="1" x14ac:dyDescent="0.25">
      <c r="A22" s="459">
        <v>15</v>
      </c>
      <c r="B22" s="447">
        <f t="shared" ca="1" si="4"/>
        <v>1059599.7451946572</v>
      </c>
      <c r="C22" s="447">
        <f t="shared" si="0"/>
        <v>100747.55675784221</v>
      </c>
      <c r="D22" s="447">
        <f ca="1">SUMIF(G:G,15,K:K)</f>
        <v>51440.430152535271</v>
      </c>
      <c r="E22" s="447">
        <f t="shared" ca="1" si="1"/>
        <v>1010292.6185893504</v>
      </c>
      <c r="F22" s="431"/>
      <c r="G22" s="459">
        <v>2</v>
      </c>
      <c r="H22" s="459">
        <v>15</v>
      </c>
      <c r="I22" s="444">
        <f t="shared" ca="1" si="5"/>
        <v>2698781.3826000714</v>
      </c>
      <c r="J22" s="444">
        <f t="array" ref="J22">IFERROR(INDEX('Retirement Calculator'!J:J,MATCH('Isaac 401k'!N22,'Retirement Calculator'!A:A,0),0),0)</f>
        <v>33246.93324439897</v>
      </c>
      <c r="K22" s="444">
        <f t="shared" ca="1" si="2"/>
        <v>11106.393538981969</v>
      </c>
      <c r="L22" s="444">
        <f t="shared" ca="1" si="3"/>
        <v>2676640.8428946547</v>
      </c>
      <c r="M22" s="460">
        <f t="shared" si="6"/>
        <v>0.05</v>
      </c>
      <c r="N22" s="464">
        <f t="shared" si="7"/>
        <v>51714</v>
      </c>
    </row>
    <row r="23" spans="1:14" ht="11.25" customHeight="1" x14ac:dyDescent="0.25">
      <c r="A23" s="459">
        <v>16</v>
      </c>
      <c r="B23" s="447">
        <f t="shared" ca="1" si="4"/>
        <v>1010292.6185893504</v>
      </c>
      <c r="C23" s="447">
        <f t="shared" si="0"/>
        <v>100747.55675784221</v>
      </c>
      <c r="D23" s="447">
        <f ca="1">SUMIF(G:G,16,K:K)</f>
        <v>48917.78397631288</v>
      </c>
      <c r="E23" s="447">
        <f t="shared" ca="1" si="1"/>
        <v>958462.84580782102</v>
      </c>
      <c r="F23" s="431"/>
      <c r="G23" s="459">
        <v>2</v>
      </c>
      <c r="H23" s="459">
        <v>16</v>
      </c>
      <c r="I23" s="444">
        <f t="shared" ca="1" si="5"/>
        <v>2676640.8428946547</v>
      </c>
      <c r="J23" s="444">
        <f t="array" ref="J23">IFERROR(INDEX('Retirement Calculator'!J:J,MATCH('Isaac 401k'!N23,'Retirement Calculator'!A:A,0),0),0)</f>
        <v>33246.93324439897</v>
      </c>
      <c r="K23" s="444">
        <f t="shared" ca="1" si="2"/>
        <v>11014.1412902094</v>
      </c>
      <c r="L23" s="444">
        <f t="shared" ca="1" si="3"/>
        <v>2654408.0509404652</v>
      </c>
      <c r="M23" s="460">
        <f t="shared" si="6"/>
        <v>0.05</v>
      </c>
      <c r="N23" s="464">
        <f t="shared" si="7"/>
        <v>51745</v>
      </c>
    </row>
    <row r="24" spans="1:14" ht="11.25" customHeight="1" x14ac:dyDescent="0.25">
      <c r="A24" s="459">
        <v>17</v>
      </c>
      <c r="B24" s="447">
        <f t="shared" ca="1" si="4"/>
        <v>958462.84580782102</v>
      </c>
      <c r="C24" s="447">
        <f t="shared" si="0"/>
        <v>100747.55675784221</v>
      </c>
      <c r="D24" s="447">
        <f ca="1">SUMIF(G:G,17,K:K)</f>
        <v>46266.074434030845</v>
      </c>
      <c r="E24" s="447">
        <f t="shared" ca="1" si="1"/>
        <v>903981.36348400963</v>
      </c>
      <c r="F24" s="431"/>
      <c r="G24" s="459">
        <v>2</v>
      </c>
      <c r="H24" s="459">
        <v>17</v>
      </c>
      <c r="I24" s="444">
        <f t="shared" ca="1" si="5"/>
        <v>2654408.0509404652</v>
      </c>
      <c r="J24" s="444">
        <f t="array" ref="J24">IFERROR(INDEX('Retirement Calculator'!J:J,MATCH('Isaac 401k'!N24,'Retirement Calculator'!A:A,0),0),0)</f>
        <v>33246.93324439897</v>
      </c>
      <c r="K24" s="444">
        <f t="shared" ca="1" si="2"/>
        <v>10921.504657066944</v>
      </c>
      <c r="L24" s="444">
        <f t="shared" ca="1" si="3"/>
        <v>2632082.6223531333</v>
      </c>
      <c r="M24" s="460">
        <f t="shared" si="6"/>
        <v>0.05</v>
      </c>
      <c r="N24" s="464">
        <f t="shared" si="7"/>
        <v>51775</v>
      </c>
    </row>
    <row r="25" spans="1:14" ht="11.25" customHeight="1" x14ac:dyDescent="0.25">
      <c r="A25" s="459">
        <v>18</v>
      </c>
      <c r="B25" s="447">
        <f t="shared" ca="1" si="4"/>
        <v>903981.36348400963</v>
      </c>
      <c r="C25" s="447">
        <f t="shared" si="0"/>
        <v>100747.55675784221</v>
      </c>
      <c r="D25" s="447">
        <f ca="1">SUMIF(G:G,18,K:K)</f>
        <v>43478.698398934539</v>
      </c>
      <c r="E25" s="447">
        <f t="shared" ca="1" si="1"/>
        <v>846712.505125102</v>
      </c>
      <c r="F25" s="431"/>
      <c r="G25" s="459">
        <v>2</v>
      </c>
      <c r="H25" s="459">
        <v>18</v>
      </c>
      <c r="I25" s="444">
        <f t="shared" ca="1" si="5"/>
        <v>2632082.6223531333</v>
      </c>
      <c r="J25" s="444">
        <f t="array" ref="J25">IFERROR(INDEX('Retirement Calculator'!J:J,MATCH('Isaac 401k'!N25,'Retirement Calculator'!A:A,0),0),0)</f>
        <v>33246.93324439897</v>
      </c>
      <c r="K25" s="444">
        <f t="shared" ca="1" si="2"/>
        <v>10828.482037953061</v>
      </c>
      <c r="L25" s="444">
        <f t="shared" ca="1" si="3"/>
        <v>2609664.1711466876</v>
      </c>
      <c r="M25" s="460">
        <f t="shared" si="6"/>
        <v>0.05</v>
      </c>
      <c r="N25" s="464">
        <f t="shared" si="7"/>
        <v>51806</v>
      </c>
    </row>
    <row r="26" spans="1:14" ht="11.25" customHeight="1" x14ac:dyDescent="0.25">
      <c r="A26" s="459">
        <v>19</v>
      </c>
      <c r="B26" s="447">
        <f t="shared" ca="1" si="4"/>
        <v>846712.505125102</v>
      </c>
      <c r="C26" s="447">
        <f t="shared" si="0"/>
        <v>100747.55675784221</v>
      </c>
      <c r="D26" s="447">
        <f ca="1">SUMIF(G:G,19,K:K)</f>
        <v>40548.714915772674</v>
      </c>
      <c r="E26" s="447">
        <f t="shared" ca="1" si="1"/>
        <v>786513.66328303248</v>
      </c>
      <c r="F26" s="431"/>
      <c r="G26" s="459">
        <v>2</v>
      </c>
      <c r="H26" s="459">
        <v>19</v>
      </c>
      <c r="I26" s="444">
        <f t="shared" ca="1" si="5"/>
        <v>2609664.1711466876</v>
      </c>
      <c r="J26" s="444">
        <f t="array" ref="J26">IFERROR(INDEX('Retirement Calculator'!J:J,MATCH('Isaac 401k'!N26,'Retirement Calculator'!A:A,0),0),0)</f>
        <v>33246.93324439897</v>
      </c>
      <c r="K26" s="444">
        <f t="shared" ca="1" si="2"/>
        <v>10735.071824592869</v>
      </c>
      <c r="L26" s="444">
        <f t="shared" ca="1" si="3"/>
        <v>2587152.3097268818</v>
      </c>
      <c r="M26" s="460">
        <f t="shared" si="6"/>
        <v>0.05</v>
      </c>
      <c r="N26" s="464">
        <f t="shared" si="7"/>
        <v>51836</v>
      </c>
    </row>
    <row r="27" spans="1:14" ht="11.25" customHeight="1" x14ac:dyDescent="0.25">
      <c r="A27" s="459">
        <v>20</v>
      </c>
      <c r="B27" s="447">
        <f t="shared" ca="1" si="4"/>
        <v>786513.66328303248</v>
      </c>
      <c r="C27" s="447">
        <f t="shared" si="0"/>
        <v>100747.55675784221</v>
      </c>
      <c r="D27" s="447">
        <f ca="1">SUMIF(G:G,20,K:K)</f>
        <v>37468.827916850103</v>
      </c>
      <c r="E27" s="447">
        <f t="shared" ca="1" si="1"/>
        <v>723234.93444204039</v>
      </c>
      <c r="F27" s="431"/>
      <c r="G27" s="459">
        <v>2</v>
      </c>
      <c r="H27" s="459">
        <v>20</v>
      </c>
      <c r="I27" s="444">
        <f t="shared" ca="1" si="5"/>
        <v>2587152.3097268818</v>
      </c>
      <c r="J27" s="444">
        <f t="array" ref="J27">IFERROR(INDEX('Retirement Calculator'!J:J,MATCH('Isaac 401k'!N27,'Retirement Calculator'!A:A,0),0),0)</f>
        <v>33246.93324439897</v>
      </c>
      <c r="K27" s="444">
        <f t="shared" ca="1" si="2"/>
        <v>10641.272402010345</v>
      </c>
      <c r="L27" s="444">
        <f t="shared" ca="1" si="3"/>
        <v>2564546.6488844934</v>
      </c>
      <c r="M27" s="460">
        <f t="shared" si="6"/>
        <v>0.05</v>
      </c>
      <c r="N27" s="464">
        <f t="shared" si="7"/>
        <v>51867</v>
      </c>
    </row>
    <row r="28" spans="1:14" ht="11.25" customHeight="1" x14ac:dyDescent="0.25">
      <c r="A28" s="459">
        <v>21</v>
      </c>
      <c r="B28" s="447">
        <f t="shared" ca="1" si="4"/>
        <v>723234.93444204039</v>
      </c>
      <c r="C28" s="447">
        <f t="shared" si="0"/>
        <v>100747.55675784221</v>
      </c>
      <c r="D28" s="447">
        <f ca="1">SUMIF(G:G,21,K:K)</f>
        <v>34231.368053801387</v>
      </c>
      <c r="E28" s="447">
        <f t="shared" ca="1" si="1"/>
        <v>656718.74573799956</v>
      </c>
      <c r="F28" s="431"/>
      <c r="G28" s="459">
        <v>2</v>
      </c>
      <c r="H28" s="459">
        <v>21</v>
      </c>
      <c r="I28" s="444">
        <f t="shared" ca="1" si="5"/>
        <v>2564546.6488844934</v>
      </c>
      <c r="J28" s="444">
        <f t="array" ref="J28">IFERROR(INDEX('Retirement Calculator'!J:J,MATCH('Isaac 401k'!N28,'Retirement Calculator'!A:A,0),0),0)</f>
        <v>33246.93324439897</v>
      </c>
      <c r="K28" s="444">
        <f t="shared" ca="1" si="2"/>
        <v>10547.082148500394</v>
      </c>
      <c r="L28" s="444">
        <f t="shared" ca="1" si="3"/>
        <v>2541846.7977885948</v>
      </c>
      <c r="M28" s="460">
        <f t="shared" si="6"/>
        <v>0.05</v>
      </c>
      <c r="N28" s="464">
        <f t="shared" si="7"/>
        <v>51898</v>
      </c>
    </row>
    <row r="29" spans="1:14" ht="11.25" customHeight="1" x14ac:dyDescent="0.25">
      <c r="A29" s="459">
        <v>22</v>
      </c>
      <c r="B29" s="447">
        <f t="shared" ca="1" si="4"/>
        <v>656718.74573799956</v>
      </c>
      <c r="C29" s="447">
        <f t="shared" si="0"/>
        <v>100747.55675784221</v>
      </c>
      <c r="D29" s="447">
        <f ca="1">SUMIF(G:G,22,K:K)</f>
        <v>30828.273599843153</v>
      </c>
      <c r="E29" s="447">
        <f t="shared" ca="1" si="1"/>
        <v>586799.46258000052</v>
      </c>
      <c r="F29" s="431"/>
      <c r="G29" s="459">
        <v>2</v>
      </c>
      <c r="H29" s="459">
        <v>22</v>
      </c>
      <c r="I29" s="444">
        <f t="shared" ca="1" si="5"/>
        <v>2541846.7977885948</v>
      </c>
      <c r="J29" s="444">
        <f t="array" ref="J29">IFERROR(INDEX('Retirement Calculator'!J:J,MATCH('Isaac 401k'!N29,'Retirement Calculator'!A:A,0),0),0)</f>
        <v>33246.93324439897</v>
      </c>
      <c r="K29" s="444">
        <f t="shared" ca="1" si="2"/>
        <v>10452.499435600817</v>
      </c>
      <c r="L29" s="444">
        <f t="shared" ca="1" si="3"/>
        <v>2519052.3639797969</v>
      </c>
      <c r="M29" s="460">
        <f t="shared" si="6"/>
        <v>0.05</v>
      </c>
      <c r="N29" s="464">
        <f t="shared" si="7"/>
        <v>51926</v>
      </c>
    </row>
    <row r="30" spans="1:14" ht="11.25" customHeight="1" x14ac:dyDescent="0.25">
      <c r="A30" s="459">
        <v>23</v>
      </c>
      <c r="B30" s="447">
        <f t="shared" ca="1" si="4"/>
        <v>586799.46258000052</v>
      </c>
      <c r="C30" s="447">
        <f t="shared" si="0"/>
        <v>100747.55675784221</v>
      </c>
      <c r="D30" s="447">
        <f ca="1">SUMIF(G:G,23,K:K)</f>
        <v>27251.070374949613</v>
      </c>
      <c r="E30" s="447">
        <f t="shared" ca="1" si="1"/>
        <v>513302.97619710793</v>
      </c>
      <c r="F30" s="431"/>
      <c r="G30" s="459">
        <v>2</v>
      </c>
      <c r="H30" s="459">
        <v>23</v>
      </c>
      <c r="I30" s="444">
        <f t="shared" ca="1" si="5"/>
        <v>2519052.3639797969</v>
      </c>
      <c r="J30" s="444">
        <f t="array" ref="J30">IFERROR(INDEX('Retirement Calculator'!J:J,MATCH('Isaac 401k'!N30,'Retirement Calculator'!A:A,0),0),0)</f>
        <v>33246.93324439897</v>
      </c>
      <c r="K30" s="444">
        <f t="shared" ca="1" si="2"/>
        <v>10357.522628064158</v>
      </c>
      <c r="L30" s="444">
        <f t="shared" ca="1" si="3"/>
        <v>2496162.9533634624</v>
      </c>
      <c r="M30" s="460">
        <f t="shared" si="6"/>
        <v>0.05</v>
      </c>
      <c r="N30" s="464">
        <f t="shared" si="7"/>
        <v>51957</v>
      </c>
    </row>
    <row r="31" spans="1:14" ht="11.25" customHeight="1" x14ac:dyDescent="0.25">
      <c r="A31" s="459">
        <v>24</v>
      </c>
      <c r="B31" s="447">
        <f t="shared" ca="1" si="4"/>
        <v>513302.97619710793</v>
      </c>
      <c r="C31" s="447">
        <f t="shared" si="0"/>
        <v>100747.55675784221</v>
      </c>
      <c r="D31" s="447">
        <f ca="1">SUMIF(G:G,24,K:K)</f>
        <v>23490.850643961869</v>
      </c>
      <c r="E31" s="447">
        <f t="shared" ca="1" si="1"/>
        <v>436046.2700832276</v>
      </c>
      <c r="F31" s="431"/>
      <c r="G31" s="459">
        <v>2</v>
      </c>
      <c r="H31" s="459">
        <v>24</v>
      </c>
      <c r="I31" s="444">
        <f t="shared" ca="1" si="5"/>
        <v>2496162.9533634624</v>
      </c>
      <c r="J31" s="444">
        <f t="array" ref="J31">IFERROR(INDEX('Retirement Calculator'!J:J,MATCH('Isaac 401k'!N31,'Retirement Calculator'!A:A,0),0),0)</f>
        <v>33246.93324439897</v>
      </c>
      <c r="K31" s="444">
        <f t="shared" ca="1" si="2"/>
        <v>10262.150083829431</v>
      </c>
      <c r="L31" s="444">
        <f t="shared" ca="1" si="3"/>
        <v>2473178.1702028932</v>
      </c>
      <c r="M31" s="460">
        <f t="shared" si="6"/>
        <v>0.05</v>
      </c>
      <c r="N31" s="464">
        <f t="shared" si="7"/>
        <v>51987</v>
      </c>
    </row>
    <row r="32" spans="1:14" ht="11.25" customHeight="1" x14ac:dyDescent="0.25">
      <c r="A32" s="459">
        <v>25</v>
      </c>
      <c r="B32" s="447">
        <f t="shared" ca="1" si="4"/>
        <v>436046.2700832276</v>
      </c>
      <c r="C32" s="447">
        <f t="shared" si="0"/>
        <v>100747.55675784221</v>
      </c>
      <c r="D32" s="447">
        <f ca="1">SUMIF(G:G,25,K:K)</f>
        <v>19538.250935084456</v>
      </c>
      <c r="E32" s="447">
        <f t="shared" ca="1" si="1"/>
        <v>354836.96426046989</v>
      </c>
      <c r="F32" s="431"/>
      <c r="G32" s="459">
        <v>3</v>
      </c>
      <c r="H32" s="459">
        <v>25</v>
      </c>
      <c r="I32" s="444">
        <f t="shared" ca="1" si="5"/>
        <v>2473178.1702028932</v>
      </c>
      <c r="J32" s="444">
        <f t="array" ref="J32">IFERROR(INDEX('Retirement Calculator'!J:J,MATCH('Isaac 401k'!N32,'Retirement Calculator'!A:A,0),0),0)</f>
        <v>33246.93324439897</v>
      </c>
      <c r="K32" s="444">
        <f t="shared" ca="1" si="2"/>
        <v>10166.380153993727</v>
      </c>
      <c r="L32" s="444">
        <f t="shared" ca="1" si="3"/>
        <v>2450097.617112488</v>
      </c>
      <c r="M32" s="460">
        <f t="shared" si="6"/>
        <v>0.05</v>
      </c>
      <c r="N32" s="464">
        <f t="shared" si="7"/>
        <v>52018</v>
      </c>
    </row>
    <row r="33" spans="1:14" ht="11.25" customHeight="1" x14ac:dyDescent="0.25">
      <c r="A33" s="459">
        <v>26</v>
      </c>
      <c r="B33" s="447">
        <f t="shared" ca="1" si="4"/>
        <v>354836.96426046989</v>
      </c>
      <c r="C33" s="447">
        <f t="shared" si="0"/>
        <v>100747.55675784221</v>
      </c>
      <c r="D33" s="447">
        <f ca="1">SUMIF(G:G,26,K:K)</f>
        <v>15383.428723534082</v>
      </c>
      <c r="E33" s="447">
        <f t="shared" ca="1" si="1"/>
        <v>269472.8362261618</v>
      </c>
      <c r="F33" s="431"/>
      <c r="G33" s="459">
        <v>3</v>
      </c>
      <c r="H33" s="459">
        <v>26</v>
      </c>
      <c r="I33" s="444">
        <f t="shared" ca="1" si="5"/>
        <v>2450097.617112488</v>
      </c>
      <c r="J33" s="444">
        <f t="array" ref="J33">IFERROR(INDEX('Retirement Calculator'!J:J,MATCH('Isaac 401k'!N33,'Retirement Calculator'!A:A,0),0),0)</f>
        <v>33246.93324439897</v>
      </c>
      <c r="K33" s="444">
        <f t="shared" ca="1" si="2"/>
        <v>10070.211182783705</v>
      </c>
      <c r="L33" s="444">
        <f t="shared" ca="1" si="3"/>
        <v>2426920.895050873</v>
      </c>
      <c r="M33" s="460">
        <f t="shared" si="6"/>
        <v>0.05</v>
      </c>
      <c r="N33" s="464">
        <f t="shared" si="7"/>
        <v>52048</v>
      </c>
    </row>
    <row r="34" spans="1:14" ht="11.25" customHeight="1" x14ac:dyDescent="0.25">
      <c r="A34" s="459">
        <v>27</v>
      </c>
      <c r="B34" s="447">
        <f t="shared" ca="1" si="4"/>
        <v>269472.8362261618</v>
      </c>
      <c r="C34" s="447">
        <f t="shared" si="0"/>
        <v>100747.55675784221</v>
      </c>
      <c r="D34" s="447">
        <f ca="1">SUMIF(G:G,27,K:K)</f>
        <v>11016.037922279615</v>
      </c>
      <c r="E34" s="447">
        <f t="shared" ca="1" si="1"/>
        <v>179741.31739059923</v>
      </c>
      <c r="F34" s="431"/>
      <c r="G34" s="459">
        <v>3</v>
      </c>
      <c r="H34" s="459">
        <v>27</v>
      </c>
      <c r="I34" s="444">
        <f t="shared" ca="1" si="5"/>
        <v>2426920.895050873</v>
      </c>
      <c r="J34" s="444">
        <f t="array" ref="J34">IFERROR(INDEX('Retirement Calculator'!J:J,MATCH('Isaac 401k'!N34,'Retirement Calculator'!A:A,0),0),0)</f>
        <v>33246.93324439897</v>
      </c>
      <c r="K34" s="444">
        <f t="shared" ca="1" si="2"/>
        <v>9973.6415075269761</v>
      </c>
      <c r="L34" s="444">
        <f t="shared" ca="1" si="3"/>
        <v>2403647.6033140011</v>
      </c>
      <c r="M34" s="460">
        <f t="shared" si="6"/>
        <v>0.05</v>
      </c>
      <c r="N34" s="464">
        <f t="shared" si="7"/>
        <v>52079</v>
      </c>
    </row>
    <row r="35" spans="1:14" ht="11.25" customHeight="1" x14ac:dyDescent="0.25">
      <c r="A35" s="459">
        <v>28</v>
      </c>
      <c r="B35" s="447">
        <f t="shared" ca="1" si="4"/>
        <v>179741.31739059923</v>
      </c>
      <c r="C35" s="447">
        <f t="shared" si="0"/>
        <v>100747.55675784221</v>
      </c>
      <c r="D35" s="447">
        <f ca="1">SUMIF(G:G,28,K:K)</f>
        <v>6425.2031188417441</v>
      </c>
      <c r="E35" s="447">
        <f t="shared" ca="1" si="1"/>
        <v>85418.963751598771</v>
      </c>
      <c r="F35" s="431"/>
      <c r="G35" s="459">
        <v>3</v>
      </c>
      <c r="H35" s="459">
        <v>28</v>
      </c>
      <c r="I35" s="444">
        <f t="shared" ca="1" si="5"/>
        <v>2403647.6033140011</v>
      </c>
      <c r="J35" s="444">
        <f t="array" ref="J35">IFERROR(INDEX('Retirement Calculator'!J:J,MATCH('Isaac 401k'!N35,'Retirement Calculator'!A:A,0),0),0)</f>
        <v>33246.93324439897</v>
      </c>
      <c r="K35" s="444">
        <f t="shared" ca="1" si="2"/>
        <v>9876.6694586233425</v>
      </c>
      <c r="L35" s="444">
        <f t="shared" ca="1" si="3"/>
        <v>2380277.3395282258</v>
      </c>
      <c r="M35" s="460">
        <f t="shared" si="6"/>
        <v>0.05</v>
      </c>
      <c r="N35" s="464">
        <f t="shared" si="7"/>
        <v>52110</v>
      </c>
    </row>
    <row r="36" spans="1:14" ht="11.25" customHeight="1" x14ac:dyDescent="0.25">
      <c r="A36" s="459">
        <v>29</v>
      </c>
      <c r="B36" s="447">
        <f t="shared" ca="1" si="4"/>
        <v>85418.963751598771</v>
      </c>
      <c r="C36" s="447">
        <f t="shared" si="0"/>
        <v>100747.55675784221</v>
      </c>
      <c r="D36" s="447">
        <f ca="1">SUMIF(G:G,29,K:K)</f>
        <v>1599.4924939984792</v>
      </c>
      <c r="E36" s="447">
        <f t="shared" ca="1" si="1"/>
        <v>-13729.100512244955</v>
      </c>
      <c r="F36" s="431"/>
      <c r="G36" s="459">
        <v>3</v>
      </c>
      <c r="H36" s="459">
        <v>29</v>
      </c>
      <c r="I36" s="444">
        <f t="shared" ca="1" si="5"/>
        <v>2380277.3395282258</v>
      </c>
      <c r="J36" s="444">
        <f t="array" ref="J36">IFERROR(INDEX('Retirement Calculator'!J:J,MATCH('Isaac 401k'!N36,'Retirement Calculator'!A:A,0),0),0)</f>
        <v>33246.93324439897</v>
      </c>
      <c r="K36" s="444">
        <f t="shared" ca="1" si="2"/>
        <v>9779.2933595159466</v>
      </c>
      <c r="L36" s="444">
        <f t="shared" ca="1" si="3"/>
        <v>2356809.6996433428</v>
      </c>
      <c r="M36" s="460">
        <f t="shared" si="6"/>
        <v>0.05</v>
      </c>
      <c r="N36" s="464">
        <f t="shared" si="7"/>
        <v>52140</v>
      </c>
    </row>
    <row r="37" spans="1:14" ht="11.25" customHeight="1" x14ac:dyDescent="0.25">
      <c r="A37" s="459">
        <v>30</v>
      </c>
      <c r="B37" s="447">
        <f t="shared" ca="1" si="4"/>
        <v>-13729.100512244955</v>
      </c>
      <c r="C37" s="447">
        <f t="shared" si="0"/>
        <v>100747.55675784221</v>
      </c>
      <c r="D37" s="447">
        <f ca="1">SUMIF(G:G,30,K:K)</f>
        <v>-3473.1106450398133</v>
      </c>
      <c r="E37" s="447">
        <f t="shared" ca="1" si="1"/>
        <v>-117949.76791512697</v>
      </c>
      <c r="F37" s="431"/>
      <c r="G37" s="459">
        <v>3</v>
      </c>
      <c r="H37" s="459">
        <v>30</v>
      </c>
      <c r="I37" s="444">
        <f t="shared" ca="1" si="5"/>
        <v>2356809.6996433428</v>
      </c>
      <c r="J37" s="444">
        <f t="array" ref="J37">IFERROR(INDEX('Retirement Calculator'!J:J,MATCH('Isaac 401k'!N37,'Retirement Calculator'!A:A,0),0),0)</f>
        <v>33246.93324439897</v>
      </c>
      <c r="K37" s="444">
        <f t="shared" ca="1" si="2"/>
        <v>9681.511526662267</v>
      </c>
      <c r="L37" s="444">
        <f t="shared" ca="1" si="3"/>
        <v>2333244.2779256064</v>
      </c>
      <c r="M37" s="460">
        <f t="shared" si="6"/>
        <v>0.05</v>
      </c>
      <c r="N37" s="464">
        <f t="shared" si="7"/>
        <v>52171</v>
      </c>
    </row>
    <row r="38" spans="1:14" ht="11.25" customHeight="1" x14ac:dyDescent="0.25">
      <c r="A38" s="459">
        <v>31</v>
      </c>
      <c r="B38" s="447">
        <f t="shared" ca="1" si="4"/>
        <v>-117949.76791512697</v>
      </c>
      <c r="C38" s="447">
        <f t="shared" si="0"/>
        <v>100747.55675784221</v>
      </c>
      <c r="D38" s="447">
        <f ca="1">SUMIF(G:G,31,K:K)</f>
        <v>-8805.23778787214</v>
      </c>
      <c r="E38" s="447">
        <f t="shared" ca="1" si="1"/>
        <v>-227502.56246084132</v>
      </c>
      <c r="F38" s="431"/>
      <c r="G38" s="459">
        <v>3</v>
      </c>
      <c r="H38" s="459">
        <v>31</v>
      </c>
      <c r="I38" s="444">
        <f t="shared" ca="1" si="5"/>
        <v>2333244.2779256064</v>
      </c>
      <c r="J38" s="444">
        <f t="array" ref="J38">IFERROR(INDEX('Retirement Calculator'!J:J,MATCH('Isaac 401k'!N38,'Retirement Calculator'!A:A,0),0),0)</f>
        <v>33246.93324439897</v>
      </c>
      <c r="K38" s="444">
        <f t="shared" ca="1" si="2"/>
        <v>9583.3222695050317</v>
      </c>
      <c r="L38" s="444">
        <f t="shared" ca="1" si="3"/>
        <v>2309580.6669507124</v>
      </c>
      <c r="M38" s="460">
        <f t="shared" si="6"/>
        <v>0.05</v>
      </c>
      <c r="N38" s="464">
        <f t="shared" si="7"/>
        <v>52201</v>
      </c>
    </row>
    <row r="39" spans="1:14" ht="11.25" customHeight="1" x14ac:dyDescent="0.25">
      <c r="A39" s="459">
        <v>32</v>
      </c>
      <c r="B39" s="447">
        <f t="shared" ca="1" si="4"/>
        <v>-227502.56246084132</v>
      </c>
      <c r="C39" s="447">
        <f t="shared" si="0"/>
        <v>100747.55675784221</v>
      </c>
      <c r="D39" s="447">
        <f ca="1">SUMIF(G:G,32,K:K)</f>
        <v>-14410.166675078475</v>
      </c>
      <c r="E39" s="447">
        <f t="shared" ca="1" si="1"/>
        <v>-342660.28589376196</v>
      </c>
      <c r="F39" s="431"/>
      <c r="G39" s="459">
        <v>3</v>
      </c>
      <c r="H39" s="459">
        <v>32</v>
      </c>
      <c r="I39" s="444">
        <f t="shared" ca="1" si="5"/>
        <v>2309580.6669507124</v>
      </c>
      <c r="J39" s="444">
        <f t="array" ref="J39">IFERROR(INDEX('Retirement Calculator'!J:J,MATCH('Isaac 401k'!N39,'Retirement Calculator'!A:A,0),0),0)</f>
        <v>33246.93324439897</v>
      </c>
      <c r="K39" s="444">
        <f t="shared" ca="1" si="2"/>
        <v>9484.7238904429742</v>
      </c>
      <c r="L39" s="444">
        <f t="shared" ca="1" si="3"/>
        <v>2285818.4575967565</v>
      </c>
      <c r="M39" s="460">
        <f t="shared" si="6"/>
        <v>0.05</v>
      </c>
      <c r="N39" s="464">
        <f t="shared" si="7"/>
        <v>52232</v>
      </c>
    </row>
    <row r="40" spans="1:14" ht="11.25" customHeight="1" x14ac:dyDescent="0.25">
      <c r="A40" s="459">
        <v>33</v>
      </c>
      <c r="B40" s="447">
        <f t="shared" ca="1" si="4"/>
        <v>-342660.28589376196</v>
      </c>
      <c r="C40" s="447">
        <f t="shared" si="0"/>
        <v>100747.55675784221</v>
      </c>
      <c r="D40" s="447">
        <f ca="1">SUMIF(G:G,33,K:K)</f>
        <v>-20301.854361646438</v>
      </c>
      <c r="E40" s="447">
        <f t="shared" ca="1" si="1"/>
        <v>-463709.69701325061</v>
      </c>
      <c r="F40" s="431"/>
      <c r="G40" s="459">
        <v>3</v>
      </c>
      <c r="H40" s="459">
        <v>33</v>
      </c>
      <c r="I40" s="444">
        <f t="shared" ca="1" si="5"/>
        <v>2285818.4575967565</v>
      </c>
      <c r="J40" s="444">
        <f t="array" ref="J40">IFERROR(INDEX('Retirement Calculator'!J:J,MATCH('Isaac 401k'!N40,'Retirement Calculator'!A:A,0),0),0)</f>
        <v>33246.93324439897</v>
      </c>
      <c r="K40" s="444">
        <f t="shared" ca="1" si="2"/>
        <v>9385.7146848014909</v>
      </c>
      <c r="L40" s="444">
        <f t="shared" ca="1" si="3"/>
        <v>2261957.2390371594</v>
      </c>
      <c r="M40" s="460">
        <f t="shared" si="6"/>
        <v>0.05</v>
      </c>
      <c r="N40" s="464">
        <f t="shared" si="7"/>
        <v>52263</v>
      </c>
    </row>
    <row r="41" spans="1:14" ht="11.25" customHeight="1" x14ac:dyDescent="0.25">
      <c r="A41" s="459">
        <v>34</v>
      </c>
      <c r="B41" s="447">
        <f t="shared" ca="1" si="4"/>
        <v>-463709.69701325061</v>
      </c>
      <c r="C41" s="447">
        <f t="shared" si="0"/>
        <v>100747.55675784221</v>
      </c>
      <c r="D41" s="447">
        <f ca="1">SUMIF(G:G,34,K:K)</f>
        <v>-26494.971971985651</v>
      </c>
      <c r="E41" s="447">
        <f t="shared" ca="1" si="1"/>
        <v>-590952.22574307851</v>
      </c>
      <c r="F41" s="431"/>
      <c r="G41" s="459">
        <v>3</v>
      </c>
      <c r="H41" s="459">
        <v>34</v>
      </c>
      <c r="I41" s="444">
        <f t="shared" ca="1" si="5"/>
        <v>2261957.2390371594</v>
      </c>
      <c r="J41" s="444">
        <f t="array" ref="J41">IFERROR(INDEX('Retirement Calculator'!J:J,MATCH('Isaac 401k'!N41,'Retirement Calculator'!A:A,0),0),0)</f>
        <v>33246.93324439897</v>
      </c>
      <c r="K41" s="444">
        <f t="shared" ca="1" si="2"/>
        <v>9286.2929408031687</v>
      </c>
      <c r="L41" s="444">
        <f t="shared" ca="1" si="3"/>
        <v>2237996.5987335639</v>
      </c>
      <c r="M41" s="460">
        <f t="shared" si="6"/>
        <v>0.05</v>
      </c>
      <c r="N41" s="464">
        <f t="shared" si="7"/>
        <v>52291</v>
      </c>
    </row>
    <row r="42" spans="1:14" ht="11.25" customHeight="1" x14ac:dyDescent="0.25">
      <c r="A42" s="459">
        <v>35</v>
      </c>
      <c r="B42" s="447">
        <f t="shared" ca="1" si="4"/>
        <v>-590952.22574307851</v>
      </c>
      <c r="C42" s="447">
        <f t="shared" si="0"/>
        <v>100747.55675784221</v>
      </c>
      <c r="D42" s="447">
        <f ca="1">SUMIF(G:G,35,K:K)</f>
        <v>-33004.941233074605</v>
      </c>
      <c r="E42" s="447">
        <f t="shared" ca="1" si="1"/>
        <v>-724704.72373399534</v>
      </c>
      <c r="F42" s="431"/>
      <c r="G42" s="459">
        <v>3</v>
      </c>
      <c r="H42" s="459">
        <v>35</v>
      </c>
      <c r="I42" s="444">
        <f t="shared" ca="1" si="5"/>
        <v>2237996.5987335639</v>
      </c>
      <c r="J42" s="444">
        <f t="array" ref="J42">IFERROR(INDEX('Retirement Calculator'!J:J,MATCH('Isaac 401k'!N42,'Retirement Calculator'!A:A,0),0),0)</f>
        <v>33246.93324439897</v>
      </c>
      <c r="K42" s="444">
        <f t="shared" ca="1" si="2"/>
        <v>9186.4569395381877</v>
      </c>
      <c r="L42" s="444">
        <f t="shared" ca="1" si="3"/>
        <v>2213936.1224287031</v>
      </c>
      <c r="M42" s="460">
        <f t="shared" si="6"/>
        <v>0.05</v>
      </c>
      <c r="N42" s="464">
        <f t="shared" si="7"/>
        <v>52322</v>
      </c>
    </row>
    <row r="43" spans="1:14" ht="11.25" customHeight="1" x14ac:dyDescent="0.25">
      <c r="A43" s="459">
        <v>36</v>
      </c>
      <c r="B43" s="447">
        <f t="shared" ca="1" si="4"/>
        <v>-724704.72373399534</v>
      </c>
      <c r="C43" s="447">
        <f t="shared" si="0"/>
        <v>100747.55675784221</v>
      </c>
      <c r="D43" s="447">
        <f ca="1">SUMIF(G:G,36,K:K)</f>
        <v>-39847.972876712614</v>
      </c>
      <c r="E43" s="447">
        <f t="shared" ca="1" si="1"/>
        <v>-865300.2533685501</v>
      </c>
      <c r="F43" s="431"/>
      <c r="G43" s="459">
        <v>3</v>
      </c>
      <c r="H43" s="459">
        <v>36</v>
      </c>
      <c r="I43" s="444">
        <f t="shared" ca="1" si="5"/>
        <v>2213936.1224287031</v>
      </c>
      <c r="J43" s="444">
        <f t="array" ref="J43">IFERROR(INDEX('Retirement Calculator'!J:J,MATCH('Isaac 401k'!N43,'Retirement Calculator'!A:A,0),0),0)</f>
        <v>33246.93324439897</v>
      </c>
      <c r="K43" s="444">
        <f t="shared" ca="1" si="2"/>
        <v>9086.2049549346011</v>
      </c>
      <c r="L43" s="444">
        <f t="shared" ca="1" si="3"/>
        <v>2189775.3941392391</v>
      </c>
      <c r="M43" s="460">
        <f t="shared" si="6"/>
        <v>0.05</v>
      </c>
      <c r="N43" s="464">
        <f t="shared" si="7"/>
        <v>52352</v>
      </c>
    </row>
    <row r="44" spans="1:14" ht="11.25" customHeight="1" x14ac:dyDescent="0.25">
      <c r="A44" s="459">
        <v>37</v>
      </c>
      <c r="B44" s="447">
        <f t="shared" ca="1" si="4"/>
        <v>-865300.2533685501</v>
      </c>
      <c r="C44" s="447">
        <f t="shared" si="0"/>
        <v>100747.55675784221</v>
      </c>
      <c r="D44" s="447">
        <f ca="1">SUMIF(G:G,37,K:K)</f>
        <v>-47041.107006503909</v>
      </c>
      <c r="E44" s="447">
        <f t="shared" ca="1" si="1"/>
        <v>-1013088.9171328961</v>
      </c>
      <c r="F44" s="431"/>
      <c r="G44" s="459">
        <v>4</v>
      </c>
      <c r="H44" s="459">
        <v>37</v>
      </c>
      <c r="I44" s="444">
        <f t="shared" ca="1" si="5"/>
        <v>2189775.3941392391</v>
      </c>
      <c r="J44" s="444">
        <f t="array" ref="J44">IFERROR(INDEX('Retirement Calculator'!J:J,MATCH('Isaac 401k'!N44,'Retirement Calculator'!A:A,0),0),0)</f>
        <v>33246.93324439897</v>
      </c>
      <c r="K44" s="444">
        <f t="shared" ca="1" si="2"/>
        <v>8985.5352537285016</v>
      </c>
      <c r="L44" s="444">
        <f t="shared" ca="1" si="3"/>
        <v>2165513.9961485686</v>
      </c>
      <c r="M44" s="460">
        <f t="shared" si="6"/>
        <v>0.05</v>
      </c>
      <c r="N44" s="464">
        <f t="shared" si="7"/>
        <v>52383</v>
      </c>
    </row>
    <row r="45" spans="1:14" ht="11.25" customHeight="1" x14ac:dyDescent="0.25">
      <c r="A45" s="459">
        <v>38</v>
      </c>
      <c r="B45" s="447">
        <f t="shared" ca="1" si="4"/>
        <v>-1013088.9171328961</v>
      </c>
      <c r="C45" s="447">
        <f t="shared" si="0"/>
        <v>100747.55675784221</v>
      </c>
      <c r="D45" s="447">
        <f ca="1">SUMIF(G:G,38,K:K)</f>
        <v>-54602.255530093185</v>
      </c>
      <c r="E45" s="447">
        <f t="shared" ca="1" si="1"/>
        <v>-1168438.7294208314</v>
      </c>
      <c r="F45" s="431"/>
      <c r="G45" s="459">
        <v>4</v>
      </c>
      <c r="H45" s="459">
        <v>38</v>
      </c>
      <c r="I45" s="444">
        <f t="shared" ca="1" si="5"/>
        <v>2165513.9961485686</v>
      </c>
      <c r="J45" s="444">
        <f t="array" ref="J45">IFERROR(INDEX('Retirement Calculator'!J:J,MATCH('Isaac 401k'!N45,'Retirement Calculator'!A:A,0),0),0)</f>
        <v>33246.93324439897</v>
      </c>
      <c r="K45" s="444">
        <f t="shared" ca="1" si="2"/>
        <v>8884.4460954340411</v>
      </c>
      <c r="L45" s="444">
        <f t="shared" ca="1" si="3"/>
        <v>2141151.5089996038</v>
      </c>
      <c r="M45" s="460">
        <f t="shared" si="6"/>
        <v>0.05</v>
      </c>
      <c r="N45" s="464">
        <f t="shared" si="7"/>
        <v>52413</v>
      </c>
    </row>
    <row r="46" spans="1:14" ht="11.25" customHeight="1" x14ac:dyDescent="0.25">
      <c r="A46" s="459">
        <v>39</v>
      </c>
      <c r="B46" s="447">
        <f t="shared" ca="1" si="4"/>
        <v>-1168438.7294208314</v>
      </c>
      <c r="C46" s="447">
        <f t="shared" si="0"/>
        <v>100747.55675784221</v>
      </c>
      <c r="D46" s="447">
        <f ca="1">SUMIF(G:G,39,K:K)</f>
        <v>-62550.246762314964</v>
      </c>
      <c r="E46" s="447">
        <f t="shared" ca="1" si="1"/>
        <v>-1331736.5329409887</v>
      </c>
      <c r="F46" s="431"/>
      <c r="G46" s="459">
        <v>4</v>
      </c>
      <c r="H46" s="459">
        <v>39</v>
      </c>
      <c r="I46" s="444">
        <f t="shared" ca="1" si="5"/>
        <v>2141151.5089996038</v>
      </c>
      <c r="J46" s="444">
        <f t="array" ref="J46">IFERROR(INDEX('Retirement Calculator'!J:J,MATCH('Isaac 401k'!N46,'Retirement Calculator'!A:A,0),0),0)</f>
        <v>33246.93324439897</v>
      </c>
      <c r="K46" s="444">
        <f t="shared" ca="1" si="2"/>
        <v>8782.9357323133536</v>
      </c>
      <c r="L46" s="444">
        <f t="shared" ca="1" si="3"/>
        <v>2116687.5114875184</v>
      </c>
      <c r="M46" s="460">
        <f t="shared" si="6"/>
        <v>0.05</v>
      </c>
      <c r="N46" s="464">
        <f t="shared" si="7"/>
        <v>52444</v>
      </c>
    </row>
    <row r="47" spans="1:14" ht="11.25" customHeight="1" x14ac:dyDescent="0.25">
      <c r="A47" s="459">
        <v>40</v>
      </c>
      <c r="B47" s="447">
        <f t="shared" ca="1" si="4"/>
        <v>-1331736.5329409887</v>
      </c>
      <c r="C47" s="447">
        <f t="shared" si="0"/>
        <v>100747.55675784221</v>
      </c>
      <c r="D47" s="447">
        <f ca="1">SUMIF(G:G,40,K:K)</f>
        <v>-70904.872310324557</v>
      </c>
      <c r="E47" s="447">
        <f t="shared" ca="1" si="1"/>
        <v>-1503388.9620091554</v>
      </c>
      <c r="F47" s="431"/>
      <c r="G47" s="459">
        <v>4</v>
      </c>
      <c r="H47" s="459">
        <v>40</v>
      </c>
      <c r="I47" s="444">
        <f t="shared" ca="1" si="5"/>
        <v>2116687.5114875184</v>
      </c>
      <c r="J47" s="444">
        <f t="array" ref="J47">IFERROR(INDEX('Retirement Calculator'!J:J,MATCH('Isaac 401k'!N47,'Retirement Calculator'!A:A,0),0),0)</f>
        <v>33246.93324439897</v>
      </c>
      <c r="K47" s="444">
        <f t="shared" ca="1" si="2"/>
        <v>8681.0024093463308</v>
      </c>
      <c r="L47" s="444">
        <f t="shared" ca="1" si="3"/>
        <v>2092121.5806524658</v>
      </c>
      <c r="M47" s="460">
        <f t="shared" si="6"/>
        <v>0.05</v>
      </c>
      <c r="N47" s="464">
        <f t="shared" si="7"/>
        <v>52475</v>
      </c>
    </row>
    <row r="48" spans="1:14" ht="11.25" customHeight="1" x14ac:dyDescent="0.25">
      <c r="A48" s="459">
        <v>41</v>
      </c>
      <c r="B48" s="447">
        <f t="shared" ca="1" si="4"/>
        <v>-1503388.9620091554</v>
      </c>
      <c r="C48" s="447">
        <f t="shared" si="0"/>
        <v>100747.55675784221</v>
      </c>
      <c r="D48" s="447">
        <f ca="1">SUMIF(G:G,41,K:K)</f>
        <v>-79686.936357461542</v>
      </c>
      <c r="E48" s="447">
        <f t="shared" ca="1" si="1"/>
        <v>-1683823.4551244592</v>
      </c>
      <c r="F48" s="431"/>
      <c r="G48" s="459">
        <v>4</v>
      </c>
      <c r="H48" s="459">
        <v>41</v>
      </c>
      <c r="I48" s="444">
        <f t="shared" ca="1" si="5"/>
        <v>2092121.5806524658</v>
      </c>
      <c r="J48" s="444">
        <f t="array" ref="J48">IFERROR(INDEX('Retirement Calculator'!J:J,MATCH('Isaac 401k'!N48,'Retirement Calculator'!A:A,0),0),0)</f>
        <v>33246.93324439897</v>
      </c>
      <c r="K48" s="444">
        <f t="shared" ca="1" si="2"/>
        <v>8578.6443642002778</v>
      </c>
      <c r="L48" s="444">
        <f t="shared" ca="1" si="3"/>
        <v>2067453.2917722671</v>
      </c>
      <c r="M48" s="460">
        <f t="shared" si="6"/>
        <v>0.05</v>
      </c>
      <c r="N48" s="464">
        <f t="shared" si="7"/>
        <v>52505</v>
      </c>
    </row>
    <row r="49" spans="1:14" ht="11.25" customHeight="1" x14ac:dyDescent="0.25">
      <c r="A49" s="459">
        <v>42</v>
      </c>
      <c r="B49" s="447">
        <f t="shared" ca="1" si="4"/>
        <v>-1683823.4551244592</v>
      </c>
      <c r="C49" s="447">
        <f t="shared" si="0"/>
        <v>100747.55675784221</v>
      </c>
      <c r="D49" s="447">
        <f ca="1">SUMIF(G:G,42,K:K)</f>
        <v>-88918.307468568993</v>
      </c>
      <c r="E49" s="447">
        <f t="shared" ca="1" si="1"/>
        <v>-1873489.3193508703</v>
      </c>
      <c r="F49" s="431"/>
      <c r="G49" s="459">
        <v>4</v>
      </c>
      <c r="H49" s="459">
        <v>42</v>
      </c>
      <c r="I49" s="444">
        <f t="shared" ca="1" si="5"/>
        <v>2067453.2917722671</v>
      </c>
      <c r="J49" s="444">
        <f t="array" ref="J49">IFERROR(INDEX('Retirement Calculator'!J:J,MATCH('Isaac 401k'!N49,'Retirement Calculator'!A:A,0),0),0)</f>
        <v>33246.93324439897</v>
      </c>
      <c r="K49" s="444">
        <f t="shared" ca="1" si="2"/>
        <v>8475.8598271994506</v>
      </c>
      <c r="L49" s="444">
        <f t="shared" ca="1" si="3"/>
        <v>2042682.2183550675</v>
      </c>
      <c r="M49" s="460">
        <f t="shared" si="6"/>
        <v>0.05</v>
      </c>
      <c r="N49" s="464">
        <f t="shared" si="7"/>
        <v>52536</v>
      </c>
    </row>
    <row r="50" spans="1:14" ht="11.25" customHeight="1" x14ac:dyDescent="0.25">
      <c r="A50" s="459">
        <v>43</v>
      </c>
      <c r="B50" s="447">
        <f t="shared" ca="1" si="4"/>
        <v>-1873489.3193508703</v>
      </c>
      <c r="C50" s="447">
        <f t="shared" si="0"/>
        <v>100747.55675784221</v>
      </c>
      <c r="D50" s="447">
        <f ca="1">SUMIF(G:G,43,K:K)</f>
        <v>-98621.973045771316</v>
      </c>
      <c r="E50" s="447">
        <f t="shared" ca="1" si="1"/>
        <v>-2072858.8491544838</v>
      </c>
      <c r="F50" s="431"/>
      <c r="G50" s="459">
        <v>4</v>
      </c>
      <c r="H50" s="459">
        <v>43</v>
      </c>
      <c r="I50" s="444">
        <f t="shared" ca="1" si="5"/>
        <v>2042682.2183550675</v>
      </c>
      <c r="J50" s="444">
        <f t="array" ref="J50">IFERROR(INDEX('Retirement Calculator'!J:J,MATCH('Isaac 401k'!N50,'Retirement Calculator'!A:A,0),0),0)</f>
        <v>32470.93324439897</v>
      </c>
      <c r="K50" s="444">
        <f t="shared" ca="1" si="2"/>
        <v>8375.8803546277868</v>
      </c>
      <c r="L50" s="444">
        <f t="shared" ca="1" si="3"/>
        <v>2018587.1654652962</v>
      </c>
      <c r="M50" s="460">
        <f t="shared" si="6"/>
        <v>0.05</v>
      </c>
      <c r="N50" s="464">
        <f t="shared" si="7"/>
        <v>52566</v>
      </c>
    </row>
    <row r="51" spans="1:14" ht="11.25" customHeight="1" x14ac:dyDescent="0.25">
      <c r="A51" s="459">
        <v>44</v>
      </c>
      <c r="B51" s="447">
        <f t="shared" ca="1" si="4"/>
        <v>-2072858.8491544838</v>
      </c>
      <c r="C51" s="447">
        <f t="shared" si="0"/>
        <v>100747.55675784221</v>
      </c>
      <c r="D51" s="447">
        <f ca="1">SUMIF(G:G,44,K:K)</f>
        <v>-108822.09657031304</v>
      </c>
      <c r="E51" s="447">
        <f t="shared" ca="1" si="1"/>
        <v>-2282428.5024826392</v>
      </c>
      <c r="F51" s="431"/>
      <c r="G51" s="459">
        <v>4</v>
      </c>
      <c r="H51" s="459">
        <v>44</v>
      </c>
      <c r="I51" s="444">
        <f t="shared" ca="1" si="5"/>
        <v>2018587.1654652962</v>
      </c>
      <c r="J51" s="444">
        <f t="array" ref="J51">IFERROR(INDEX('Retirement Calculator'!J:J,MATCH('Isaac 401k'!N51,'Retirement Calculator'!A:A,0),0),0)</f>
        <v>32470.93324439897</v>
      </c>
      <c r="K51" s="444">
        <f t="shared" ca="1" si="2"/>
        <v>8275.4843009204051</v>
      </c>
      <c r="L51" s="444">
        <f t="shared" ca="1" si="3"/>
        <v>1994391.7165218177</v>
      </c>
      <c r="M51" s="460">
        <f t="shared" si="6"/>
        <v>0.05</v>
      </c>
      <c r="N51" s="464">
        <f t="shared" si="7"/>
        <v>52597</v>
      </c>
    </row>
    <row r="52" spans="1:14" ht="11.25" customHeight="1" x14ac:dyDescent="0.25">
      <c r="A52" s="459">
        <v>45</v>
      </c>
      <c r="B52" s="447">
        <f t="shared" ca="1" si="4"/>
        <v>-2282428.5024826392</v>
      </c>
      <c r="C52" s="447">
        <f t="shared" si="0"/>
        <v>100747.55675784221</v>
      </c>
      <c r="D52" s="447">
        <f ca="1">SUMIF(G:G,45,K:K)</f>
        <v>-119544.07777299848</v>
      </c>
      <c r="E52" s="447">
        <f t="shared" ca="1" si="1"/>
        <v>-2502720.1370134801</v>
      </c>
      <c r="F52" s="431"/>
      <c r="G52" s="459">
        <v>4</v>
      </c>
      <c r="H52" s="459">
        <v>45</v>
      </c>
      <c r="I52" s="444">
        <f t="shared" ca="1" si="5"/>
        <v>1994391.7165218177</v>
      </c>
      <c r="J52" s="444">
        <f t="array" ref="J52">IFERROR(INDEX('Retirement Calculator'!J:J,MATCH('Isaac 401k'!N52,'Retirement Calculator'!A:A,0),0),0)</f>
        <v>32470.93324439897</v>
      </c>
      <c r="K52" s="444">
        <f t="shared" ca="1" si="2"/>
        <v>8174.6699303225778</v>
      </c>
      <c r="L52" s="444">
        <f t="shared" ca="1" si="3"/>
        <v>1970095.4532077413</v>
      </c>
      <c r="M52" s="460">
        <f t="shared" si="6"/>
        <v>0.05</v>
      </c>
      <c r="N52" s="464">
        <f t="shared" si="7"/>
        <v>52628</v>
      </c>
    </row>
    <row r="53" spans="1:14" ht="11.25" customHeight="1" x14ac:dyDescent="0.25">
      <c r="A53" s="459">
        <v>46</v>
      </c>
      <c r="B53" s="447">
        <f t="shared" ca="1" si="4"/>
        <v>-2502720.1370134801</v>
      </c>
      <c r="C53" s="447">
        <f t="shared" si="0"/>
        <v>100747.55675784221</v>
      </c>
      <c r="D53" s="447">
        <f ca="1">SUMIF(G:G,46,K:K)</f>
        <v>-130814.61588306559</v>
      </c>
      <c r="E53" s="447">
        <f t="shared" ca="1" si="1"/>
        <v>-2734282.3096543876</v>
      </c>
      <c r="F53" s="431"/>
      <c r="G53" s="459">
        <v>4</v>
      </c>
      <c r="H53" s="459">
        <v>46</v>
      </c>
      <c r="I53" s="444">
        <f t="shared" ca="1" si="5"/>
        <v>1970095.4532077413</v>
      </c>
      <c r="J53" s="444">
        <f t="array" ref="J53">IFERROR(INDEX('Retirement Calculator'!J:J,MATCH('Isaac 401k'!N53,'Retirement Calculator'!A:A,0),0),0)</f>
        <v>32470.93324439897</v>
      </c>
      <c r="K53" s="444">
        <f t="shared" ca="1" si="2"/>
        <v>8073.4354998472581</v>
      </c>
      <c r="L53" s="444">
        <f t="shared" ca="1" si="3"/>
        <v>1945697.9554631894</v>
      </c>
      <c r="M53" s="460">
        <f t="shared" si="6"/>
        <v>0.05</v>
      </c>
      <c r="N53" s="464">
        <f t="shared" si="7"/>
        <v>52657</v>
      </c>
    </row>
    <row r="54" spans="1:14" ht="11.25" customHeight="1" x14ac:dyDescent="0.25">
      <c r="A54" s="459">
        <v>47</v>
      </c>
      <c r="B54" s="447">
        <f t="shared" ca="1" si="4"/>
        <v>-2734282.3096543876</v>
      </c>
      <c r="C54" s="447">
        <f t="shared" si="0"/>
        <v>100747.55675784221</v>
      </c>
      <c r="D54" s="447">
        <f ca="1">SUMIF(G:G,47,K:K)</f>
        <v>-142661.77611299214</v>
      </c>
      <c r="E54" s="447">
        <f t="shared" ca="1" si="1"/>
        <v>-2977691.6425252222</v>
      </c>
      <c r="F54" s="431"/>
      <c r="G54" s="459">
        <v>4</v>
      </c>
      <c r="H54" s="459">
        <v>47</v>
      </c>
      <c r="I54" s="444">
        <f t="shared" ca="1" si="5"/>
        <v>1945697.9554631894</v>
      </c>
      <c r="J54" s="444">
        <f t="array" ref="J54">IFERROR(INDEX('Retirement Calculator'!J:J,MATCH('Isaac 401k'!N54,'Retirement Calculator'!A:A,0),0),0)</f>
        <v>32470.93324439897</v>
      </c>
      <c r="K54" s="444">
        <f t="shared" ca="1" si="2"/>
        <v>7971.7792592449596</v>
      </c>
      <c r="L54" s="444">
        <f t="shared" ca="1" si="3"/>
        <v>1921198.8014780353</v>
      </c>
      <c r="M54" s="460">
        <f t="shared" si="6"/>
        <v>0.05</v>
      </c>
      <c r="N54" s="464">
        <f t="shared" si="7"/>
        <v>52688</v>
      </c>
    </row>
    <row r="55" spans="1:14" ht="11.25" customHeight="1" x14ac:dyDescent="0.25">
      <c r="A55" s="459">
        <v>48</v>
      </c>
      <c r="B55" s="447">
        <f t="shared" ca="1" si="4"/>
        <v>-2977691.6425252222</v>
      </c>
      <c r="C55" s="447">
        <f t="shared" si="0"/>
        <v>100747.55675784221</v>
      </c>
      <c r="D55" s="447">
        <f ca="1">SUMIF(G:G,48,K:K)</f>
        <v>-155115.05954479071</v>
      </c>
      <c r="E55" s="447">
        <f t="shared" ca="1" si="1"/>
        <v>-3233554.2588278549</v>
      </c>
      <c r="F55" s="431"/>
      <c r="G55" s="459">
        <v>4</v>
      </c>
      <c r="H55" s="459">
        <v>48</v>
      </c>
      <c r="I55" s="444">
        <f t="shared" ca="1" si="5"/>
        <v>1921198.8014780353</v>
      </c>
      <c r="J55" s="444">
        <f t="array" ref="J55">IFERROR(INDEX('Retirement Calculator'!J:J,MATCH('Isaac 401k'!N55,'Retirement Calculator'!A:A,0),0),0)</f>
        <v>32470.93324439897</v>
      </c>
      <c r="K55" s="444">
        <f t="shared" ca="1" si="2"/>
        <v>7869.6994509734832</v>
      </c>
      <c r="L55" s="444">
        <f t="shared" ca="1" si="3"/>
        <v>1896597.5676846097</v>
      </c>
      <c r="M55" s="460">
        <f t="shared" si="6"/>
        <v>0.05</v>
      </c>
      <c r="N55" s="464">
        <f t="shared" si="7"/>
        <v>52718</v>
      </c>
    </row>
    <row r="56" spans="1:14" ht="11.25" customHeight="1" x14ac:dyDescent="0.25">
      <c r="A56" s="459">
        <v>49</v>
      </c>
      <c r="B56" s="447">
        <f t="shared" ca="1" si="4"/>
        <v>-3233554.2588278549</v>
      </c>
      <c r="C56" s="447">
        <f t="shared" si="0"/>
        <v>100747.55675784221</v>
      </c>
      <c r="D56" s="447">
        <f ca="1">SUMIF(G:G,49,K:K)</f>
        <v>-168205.47659181926</v>
      </c>
      <c r="E56" s="447">
        <f t="shared" ca="1" si="1"/>
        <v>-3502507.2921775165</v>
      </c>
      <c r="F56" s="431"/>
      <c r="G56" s="459">
        <f>G55+1</f>
        <v>5</v>
      </c>
      <c r="H56" s="459">
        <v>49</v>
      </c>
      <c r="I56" s="444">
        <f t="shared" ca="1" si="5"/>
        <v>1896597.5676846097</v>
      </c>
      <c r="J56" s="444">
        <f t="array" ref="J56">IFERROR(INDEX('Retirement Calculator'!J:J,MATCH('Isaac 401k'!N56,'Retirement Calculator'!A:A,0),0),0)</f>
        <v>32470.93324439897</v>
      </c>
      <c r="K56" s="444">
        <f t="shared" ca="1" si="2"/>
        <v>7767.1943101675442</v>
      </c>
      <c r="L56" s="444">
        <f t="shared" ca="1" si="3"/>
        <v>1871893.8287503782</v>
      </c>
      <c r="M56" s="460">
        <f t="shared" si="6"/>
        <v>0.05</v>
      </c>
      <c r="N56" s="464">
        <f t="shared" si="7"/>
        <v>52749</v>
      </c>
    </row>
    <row r="57" spans="1:14" ht="11.25" customHeight="1" x14ac:dyDescent="0.25">
      <c r="A57" s="459">
        <v>50</v>
      </c>
      <c r="B57" s="447">
        <f t="shared" ca="1" si="4"/>
        <v>-3502507.2921775165</v>
      </c>
      <c r="C57" s="447">
        <f t="shared" si="0"/>
        <v>100747.55675784221</v>
      </c>
      <c r="D57" s="447">
        <f ca="1">SUMIF(G:G,50,K:K)</f>
        <v>-181965.62421903716</v>
      </c>
      <c r="E57" s="447">
        <f t="shared" ca="1" si="1"/>
        <v>-3785220.4731543958</v>
      </c>
      <c r="F57" s="431"/>
      <c r="G57" s="459">
        <f t="shared" ref="G57:G67" si="8">G56</f>
        <v>5</v>
      </c>
      <c r="H57" s="459">
        <v>50</v>
      </c>
      <c r="I57" s="444">
        <f t="shared" ca="1" si="5"/>
        <v>1871893.8287503782</v>
      </c>
      <c r="J57" s="444">
        <f t="array" ref="J57">IFERROR(INDEX('Retirement Calculator'!J:J,MATCH('Isaac 401k'!N57,'Retirement Calculator'!A:A,0),0),0)</f>
        <v>32470.93324439897</v>
      </c>
      <c r="K57" s="444">
        <f t="shared" ca="1" si="2"/>
        <v>7664.2620646082469</v>
      </c>
      <c r="L57" s="444">
        <f t="shared" ca="1" si="3"/>
        <v>1847087.1575705875</v>
      </c>
      <c r="M57" s="460">
        <f t="shared" si="6"/>
        <v>0.05</v>
      </c>
      <c r="N57" s="464">
        <f t="shared" si="7"/>
        <v>52779</v>
      </c>
    </row>
    <row r="58" spans="1:14" ht="11.25" customHeight="1" x14ac:dyDescent="0.25">
      <c r="A58" s="459">
        <v>51</v>
      </c>
      <c r="B58" s="447">
        <f t="shared" ca="1" si="4"/>
        <v>-3785220.4731543958</v>
      </c>
      <c r="C58" s="447">
        <f t="shared" si="0"/>
        <v>100747.55675784221</v>
      </c>
      <c r="D58" s="447">
        <f ca="1">SUMIF(G:G,51,K:K)</f>
        <v>-196429.76711399638</v>
      </c>
      <c r="E58" s="447">
        <f t="shared" ca="1" si="1"/>
        <v>-4082397.7970262342</v>
      </c>
      <c r="F58" s="431"/>
      <c r="G58" s="459">
        <f t="shared" si="8"/>
        <v>5</v>
      </c>
      <c r="H58" s="459">
        <v>51</v>
      </c>
      <c r="I58" s="444">
        <f t="shared" ca="1" si="5"/>
        <v>1847087.1575705875</v>
      </c>
      <c r="J58" s="444">
        <f t="array" ref="J58">IFERROR(INDEX('Retirement Calculator'!J:J,MATCH('Isaac 401k'!N58,'Retirement Calculator'!A:A,0),0),0)</f>
        <v>32470.93324439897</v>
      </c>
      <c r="K58" s="444">
        <f t="shared" ca="1" si="2"/>
        <v>7560.9009346924513</v>
      </c>
      <c r="L58" s="444">
        <f t="shared" ca="1" si="3"/>
        <v>1822177.1252608809</v>
      </c>
      <c r="M58" s="460">
        <f t="shared" si="6"/>
        <v>0.05</v>
      </c>
      <c r="N58" s="464">
        <f t="shared" si="7"/>
        <v>52810</v>
      </c>
    </row>
    <row r="59" spans="1:14" ht="11.25" customHeight="1" x14ac:dyDescent="0.25">
      <c r="A59" s="459">
        <v>52</v>
      </c>
      <c r="B59" s="447">
        <f t="shared" ca="1" si="4"/>
        <v>-4082397.7970262342</v>
      </c>
      <c r="C59" s="447">
        <f t="shared" si="0"/>
        <v>100747.55675784221</v>
      </c>
      <c r="D59" s="447">
        <f ca="1">SUMIF(G:G,52,K:K)</f>
        <v>-211633.92301069424</v>
      </c>
      <c r="E59" s="447">
        <f t="shared" ca="1" si="1"/>
        <v>-4394779.2767947707</v>
      </c>
      <c r="F59" s="431"/>
      <c r="G59" s="459">
        <f t="shared" si="8"/>
        <v>5</v>
      </c>
      <c r="H59" s="459">
        <v>52</v>
      </c>
      <c r="I59" s="444">
        <f t="shared" ca="1" si="5"/>
        <v>1822177.1252608809</v>
      </c>
      <c r="J59" s="444">
        <f t="array" ref="J59">IFERROR(INDEX('Retirement Calculator'!J:J,MATCH('Isaac 401k'!N59,'Retirement Calculator'!A:A,0),0),0)</f>
        <v>32470.93324439897</v>
      </c>
      <c r="K59" s="444">
        <f t="shared" ca="1" si="2"/>
        <v>7457.1091334020075</v>
      </c>
      <c r="L59" s="444">
        <f t="shared" ca="1" si="3"/>
        <v>1797163.301149884</v>
      </c>
      <c r="M59" s="460">
        <f t="shared" si="6"/>
        <v>0.05</v>
      </c>
      <c r="N59" s="464">
        <f t="shared" si="7"/>
        <v>52841</v>
      </c>
    </row>
    <row r="60" spans="1:14" ht="11.25" customHeight="1" x14ac:dyDescent="0.25">
      <c r="A60" s="459">
        <v>53</v>
      </c>
      <c r="B60" s="447">
        <f t="shared" ca="1" si="4"/>
        <v>-4394779.2767947707</v>
      </c>
      <c r="C60" s="447">
        <f t="shared" si="0"/>
        <v>100747.55675784221</v>
      </c>
      <c r="D60" s="447">
        <f ca="1">SUMIF(G:G,53,K:K)</f>
        <v>-227615.95237875695</v>
      </c>
      <c r="E60" s="447">
        <f t="shared" ca="1" si="1"/>
        <v>-4723142.7859313702</v>
      </c>
      <c r="F60" s="431"/>
      <c r="G60" s="459">
        <f t="shared" si="8"/>
        <v>5</v>
      </c>
      <c r="H60" s="459">
        <v>53</v>
      </c>
      <c r="I60" s="444">
        <f t="shared" ca="1" si="5"/>
        <v>1797163.301149884</v>
      </c>
      <c r="J60" s="444">
        <f t="array" ref="J60">IFERROR(INDEX('Retirement Calculator'!J:J,MATCH('Isaac 401k'!N60,'Retirement Calculator'!A:A,0),0),0)</f>
        <v>32470.93324439897</v>
      </c>
      <c r="K60" s="444">
        <f t="shared" ca="1" si="2"/>
        <v>7352.8848662728551</v>
      </c>
      <c r="L60" s="444">
        <f t="shared" ca="1" si="3"/>
        <v>1772045.2527717578</v>
      </c>
      <c r="M60" s="460">
        <f t="shared" si="6"/>
        <v>0.05</v>
      </c>
      <c r="N60" s="464">
        <f t="shared" si="7"/>
        <v>52871</v>
      </c>
    </row>
    <row r="61" spans="1:14" ht="11.25" customHeight="1" x14ac:dyDescent="0.25">
      <c r="A61" s="459">
        <v>54</v>
      </c>
      <c r="B61" s="447">
        <f t="shared" ca="1" si="4"/>
        <v>-4723142.7859313702</v>
      </c>
      <c r="C61" s="447">
        <f t="shared" si="0"/>
        <v>100747.55675784221</v>
      </c>
      <c r="D61" s="447">
        <f ca="1">SUMIF(G:G,54,K:K)</f>
        <v>-244415.65270129131</v>
      </c>
      <c r="E61" s="447">
        <f t="shared" ca="1" si="1"/>
        <v>-5068305.9953905037</v>
      </c>
      <c r="F61" s="431"/>
      <c r="G61" s="459">
        <f t="shared" si="8"/>
        <v>5</v>
      </c>
      <c r="H61" s="459">
        <v>54</v>
      </c>
      <c r="I61" s="444">
        <f t="shared" ca="1" si="5"/>
        <v>1772045.2527717578</v>
      </c>
      <c r="J61" s="444">
        <f t="array" ref="J61">IFERROR(INDEX('Retirement Calculator'!J:J,MATCH('Isaac 401k'!N61,'Retirement Calculator'!A:A,0),0),0)</f>
        <v>32470.93324439897</v>
      </c>
      <c r="K61" s="444">
        <f t="shared" ca="1" si="2"/>
        <v>7248.226331363996</v>
      </c>
      <c r="L61" s="444">
        <f t="shared" ca="1" si="3"/>
        <v>1746822.5458587226</v>
      </c>
      <c r="M61" s="460">
        <f t="shared" si="6"/>
        <v>0.05</v>
      </c>
      <c r="N61" s="464">
        <f t="shared" si="7"/>
        <v>52902</v>
      </c>
    </row>
    <row r="62" spans="1:14" ht="11.25" customHeight="1" x14ac:dyDescent="0.25">
      <c r="A62" s="459">
        <v>55</v>
      </c>
      <c r="B62" s="447">
        <f t="shared" ca="1" si="4"/>
        <v>-5068305.9953905037</v>
      </c>
      <c r="C62" s="447">
        <f t="shared" si="0"/>
        <v>100747.55675784221</v>
      </c>
      <c r="D62" s="447">
        <f ca="1">SUMIF(G:G,55,K:K)</f>
        <v>-262074.85757617091</v>
      </c>
      <c r="E62" s="447">
        <f t="shared" ca="1" si="1"/>
        <v>-5431128.4097245168</v>
      </c>
      <c r="F62" s="431"/>
      <c r="G62" s="459">
        <f t="shared" si="8"/>
        <v>5</v>
      </c>
      <c r="H62" s="459">
        <v>55</v>
      </c>
      <c r="I62" s="444">
        <f t="shared" ca="1" si="5"/>
        <v>1746822.5458587226</v>
      </c>
      <c r="J62" s="444">
        <f t="array" ref="J62">IFERROR(INDEX('Retirement Calculator'!J:J,MATCH('Isaac 401k'!N62,'Retirement Calculator'!A:A,0),0),0)</f>
        <v>32470.93324439897</v>
      </c>
      <c r="K62" s="444">
        <f t="shared" ca="1" si="2"/>
        <v>7143.1317192263487</v>
      </c>
      <c r="L62" s="444">
        <f t="shared" ca="1" si="3"/>
        <v>1721494.7443335499</v>
      </c>
      <c r="M62" s="460">
        <f t="shared" si="6"/>
        <v>0.05</v>
      </c>
      <c r="N62" s="464">
        <f t="shared" si="7"/>
        <v>52932</v>
      </c>
    </row>
    <row r="63" spans="1:14" ht="11.25" customHeight="1" x14ac:dyDescent="0.25">
      <c r="A63" s="459">
        <v>56</v>
      </c>
      <c r="B63" s="447">
        <f t="shared" ca="1" si="4"/>
        <v>-5431128.4097245168</v>
      </c>
      <c r="C63" s="447">
        <f t="shared" si="0"/>
        <v>100747.55675784221</v>
      </c>
      <c r="D63" s="447">
        <f ca="1">SUMIF(G:G,56,K:K)</f>
        <v>-280637.54088753177</v>
      </c>
      <c r="E63" s="447">
        <f t="shared" ca="1" si="1"/>
        <v>-5812513.5073698908</v>
      </c>
      <c r="F63" s="431"/>
      <c r="G63" s="459">
        <f t="shared" si="8"/>
        <v>5</v>
      </c>
      <c r="H63" s="459">
        <v>56</v>
      </c>
      <c r="I63" s="444">
        <f t="shared" ca="1" si="5"/>
        <v>1721494.7443335499</v>
      </c>
      <c r="J63" s="444">
        <f t="array" ref="J63">IFERROR(INDEX('Retirement Calculator'!J:J,MATCH('Isaac 401k'!N63,'Retirement Calculator'!A:A,0),0),0)</f>
        <v>32470.93324439897</v>
      </c>
      <c r="K63" s="444">
        <f t="shared" ca="1" si="2"/>
        <v>7037.5992128714615</v>
      </c>
      <c r="L63" s="444">
        <f t="shared" ca="1" si="3"/>
        <v>1696061.4103020222</v>
      </c>
      <c r="M63" s="460">
        <f t="shared" si="6"/>
        <v>0.05</v>
      </c>
      <c r="N63" s="464">
        <f t="shared" si="7"/>
        <v>52963</v>
      </c>
    </row>
    <row r="64" spans="1:14" ht="11.25" customHeight="1" x14ac:dyDescent="0.25">
      <c r="A64" s="459">
        <v>57</v>
      </c>
      <c r="B64" s="447">
        <f t="shared" ca="1" si="4"/>
        <v>-5812513.5073698908</v>
      </c>
      <c r="C64" s="447">
        <f t="shared" si="0"/>
        <v>100747.55675784221</v>
      </c>
      <c r="D64" s="447">
        <f ca="1">SUMIF(G:G,57,K:K)</f>
        <v>-300149.9263068795</v>
      </c>
      <c r="E64" s="447">
        <f t="shared" ca="1" si="1"/>
        <v>-6213410.9904346121</v>
      </c>
      <c r="F64" s="431"/>
      <c r="G64" s="459">
        <f t="shared" si="8"/>
        <v>5</v>
      </c>
      <c r="H64" s="459">
        <v>57</v>
      </c>
      <c r="I64" s="444">
        <f t="shared" ca="1" si="5"/>
        <v>1696061.4103020222</v>
      </c>
      <c r="J64" s="444">
        <f t="array" ref="J64">IFERROR(INDEX('Retirement Calculator'!J:J,MATCH('Isaac 401k'!N64,'Retirement Calculator'!A:A,0),0),0)</f>
        <v>32470.93324439897</v>
      </c>
      <c r="K64" s="444">
        <f t="shared" ca="1" si="2"/>
        <v>6931.6269877400964</v>
      </c>
      <c r="L64" s="444">
        <f t="shared" ca="1" si="3"/>
        <v>1670522.1040453634</v>
      </c>
      <c r="M64" s="460">
        <f t="shared" si="6"/>
        <v>0.05</v>
      </c>
      <c r="N64" s="464">
        <f t="shared" si="7"/>
        <v>52994</v>
      </c>
    </row>
    <row r="65" spans="1:14" ht="11.25" customHeight="1" x14ac:dyDescent="0.25">
      <c r="A65" s="459">
        <v>58</v>
      </c>
      <c r="B65" s="447">
        <f t="shared" ca="1" si="4"/>
        <v>-6213410.9904346121</v>
      </c>
      <c r="C65" s="447">
        <f t="shared" si="0"/>
        <v>100747.55675784221</v>
      </c>
      <c r="D65" s="447">
        <f ca="1">SUMIF(G:G,58,K:K)</f>
        <v>-320660.60239648074</v>
      </c>
      <c r="E65" s="447">
        <f t="shared" ca="1" si="1"/>
        <v>-6634819.1495889351</v>
      </c>
      <c r="F65" s="431"/>
      <c r="G65" s="459">
        <f t="shared" si="8"/>
        <v>5</v>
      </c>
      <c r="H65" s="459">
        <v>58</v>
      </c>
      <c r="I65" s="444">
        <f t="shared" ca="1" si="5"/>
        <v>1670522.1040453634</v>
      </c>
      <c r="J65" s="444">
        <f t="array" ref="J65">IFERROR(INDEX('Retirement Calculator'!J:J,MATCH('Isaac 401k'!N65,'Retirement Calculator'!A:A,0),0),0)</f>
        <v>32470.93324439897</v>
      </c>
      <c r="K65" s="444">
        <f t="shared" ca="1" si="2"/>
        <v>6825.2132116706834</v>
      </c>
      <c r="L65" s="444">
        <f t="shared" ca="1" si="3"/>
        <v>1644876.3840126351</v>
      </c>
      <c r="M65" s="460">
        <f t="shared" si="6"/>
        <v>0.05</v>
      </c>
      <c r="N65" s="464">
        <f t="shared" si="7"/>
        <v>53022</v>
      </c>
    </row>
    <row r="66" spans="1:14" ht="11.25" customHeight="1" x14ac:dyDescent="0.25">
      <c r="A66" s="459">
        <v>59</v>
      </c>
      <c r="B66" s="447">
        <f t="shared" ca="1" si="4"/>
        <v>-6634819.1495889351</v>
      </c>
      <c r="C66" s="447">
        <f t="shared" si="0"/>
        <v>100747.55675784221</v>
      </c>
      <c r="D66" s="447">
        <f ca="1">SUMIF(G:G,59,K:K)</f>
        <v>-342220.64360166353</v>
      </c>
      <c r="E66" s="447">
        <f t="shared" ca="1" si="1"/>
        <v>-7077787.3499484407</v>
      </c>
      <c r="F66" s="431"/>
      <c r="G66" s="459">
        <f t="shared" si="8"/>
        <v>5</v>
      </c>
      <c r="H66" s="459">
        <v>59</v>
      </c>
      <c r="I66" s="444">
        <f t="shared" ca="1" si="5"/>
        <v>1644876.3840126351</v>
      </c>
      <c r="J66" s="444">
        <f t="array" ref="J66">IFERROR(INDEX('Retirement Calculator'!J:J,MATCH('Isaac 401k'!N66,'Retirement Calculator'!A:A,0),0),0)</f>
        <v>32470.93324439897</v>
      </c>
      <c r="K66" s="444">
        <f t="shared" ca="1" si="2"/>
        <v>6718.3560448676499</v>
      </c>
      <c r="L66" s="444">
        <f t="shared" ca="1" si="3"/>
        <v>1619123.8068131036</v>
      </c>
      <c r="M66" s="460">
        <f t="shared" si="6"/>
        <v>0.05</v>
      </c>
      <c r="N66" s="464">
        <f t="shared" si="7"/>
        <v>53053</v>
      </c>
    </row>
    <row r="67" spans="1:14" ht="11.25" customHeight="1" x14ac:dyDescent="0.25">
      <c r="A67" s="459">
        <v>60</v>
      </c>
      <c r="B67" s="447">
        <f t="shared" ca="1" si="4"/>
        <v>-7077787.3499484407</v>
      </c>
      <c r="C67" s="447">
        <f t="shared" si="0"/>
        <v>100747.55675784221</v>
      </c>
      <c r="D67" s="447">
        <f t="shared" ref="D67:D136" ca="1" si="9">SUMIF(G:G,60,K:K)</f>
        <v>-364883.73743331182</v>
      </c>
      <c r="E67" s="447">
        <f t="shared" ca="1" si="1"/>
        <v>-7543418.6441395944</v>
      </c>
      <c r="F67" s="431"/>
      <c r="G67" s="459">
        <f t="shared" si="8"/>
        <v>5</v>
      </c>
      <c r="H67" s="459">
        <v>60</v>
      </c>
      <c r="I67" s="444">
        <f t="shared" ca="1" si="5"/>
        <v>1619123.8068131036</v>
      </c>
      <c r="J67" s="444">
        <f t="array" ref="J67">IFERROR(INDEX('Retirement Calculator'!J:J,MATCH('Isaac 401k'!N67,'Retirement Calculator'!A:A,0),0),0)</f>
        <v>32470.93324439897</v>
      </c>
      <c r="K67" s="444">
        <f t="shared" ca="1" si="2"/>
        <v>6611.0536398696022</v>
      </c>
      <c r="L67" s="444">
        <f t="shared" ca="1" si="3"/>
        <v>1593263.9272085743</v>
      </c>
      <c r="M67" s="460">
        <f t="shared" si="6"/>
        <v>0.05</v>
      </c>
      <c r="N67" s="464">
        <f t="shared" si="7"/>
        <v>53083</v>
      </c>
    </row>
    <row r="68" spans="1:14" ht="11.25" customHeight="1" x14ac:dyDescent="0.25">
      <c r="A68" s="459">
        <v>61</v>
      </c>
      <c r="B68" s="447">
        <f t="shared" ca="1" si="4"/>
        <v>-7543418.6441395944</v>
      </c>
      <c r="C68" s="447">
        <f t="shared" si="0"/>
        <v>100747.55675784221</v>
      </c>
      <c r="D68" s="447">
        <f t="shared" ca="1" si="9"/>
        <v>-364883.73743331182</v>
      </c>
      <c r="E68" s="447">
        <f t="shared" ca="1" si="1"/>
        <v>-8009049.9383307481</v>
      </c>
      <c r="F68" s="431"/>
      <c r="G68" s="459">
        <f>G67+1</f>
        <v>6</v>
      </c>
      <c r="H68" s="459">
        <v>61</v>
      </c>
      <c r="I68" s="444">
        <f t="shared" ca="1" si="5"/>
        <v>1593263.9272085743</v>
      </c>
      <c r="J68" s="444">
        <f t="array" ref="J68">IFERROR(INDEX('Retirement Calculator'!J:J,MATCH('Isaac 401k'!N68,'Retirement Calculator'!A:A,0),0),0)</f>
        <v>32470.93324439897</v>
      </c>
      <c r="K68" s="444">
        <f t="shared" ca="1" si="2"/>
        <v>6503.3041415173966</v>
      </c>
      <c r="L68" s="444">
        <f t="shared" ca="1" si="3"/>
        <v>1567296.2981056927</v>
      </c>
      <c r="M68" s="460">
        <f t="shared" si="6"/>
        <v>0.05</v>
      </c>
      <c r="N68" s="464">
        <f t="shared" si="7"/>
        <v>53114</v>
      </c>
    </row>
    <row r="69" spans="1:14" ht="11.25" customHeight="1" x14ac:dyDescent="0.25">
      <c r="A69" s="459">
        <v>62</v>
      </c>
      <c r="B69" s="447">
        <f t="shared" ca="1" si="4"/>
        <v>-8009049.9383307481</v>
      </c>
      <c r="C69" s="447">
        <f t="shared" si="0"/>
        <v>100747.55675784221</v>
      </c>
      <c r="D69" s="447">
        <f t="shared" ca="1" si="9"/>
        <v>-364883.73743331182</v>
      </c>
      <c r="E69" s="447">
        <f t="shared" ca="1" si="1"/>
        <v>-8474681.2325219028</v>
      </c>
      <c r="F69" s="431"/>
      <c r="G69" s="459">
        <f t="shared" ref="G69:G79" si="10">G68</f>
        <v>6</v>
      </c>
      <c r="H69" s="459">
        <v>62</v>
      </c>
      <c r="I69" s="444">
        <f t="shared" ca="1" si="5"/>
        <v>1567296.2981056927</v>
      </c>
      <c r="J69" s="444">
        <f t="array" ref="J69">IFERROR(INDEX('Retirement Calculator'!J:J,MATCH('Isaac 401k'!N69,'Retirement Calculator'!A:A,0),0),0)</f>
        <v>32470.93324439897</v>
      </c>
      <c r="K69" s="444">
        <f t="shared" ca="1" si="2"/>
        <v>6395.1056869220574</v>
      </c>
      <c r="L69" s="444">
        <f t="shared" ca="1" si="3"/>
        <v>1541220.4705482158</v>
      </c>
      <c r="M69" s="460">
        <f t="shared" si="6"/>
        <v>0.05</v>
      </c>
      <c r="N69" s="464">
        <f t="shared" si="7"/>
        <v>53144</v>
      </c>
    </row>
    <row r="70" spans="1:14" ht="11.25" customHeight="1" x14ac:dyDescent="0.25">
      <c r="A70" s="459">
        <v>63</v>
      </c>
      <c r="B70" s="447">
        <f t="shared" ca="1" si="4"/>
        <v>-8474681.2325219028</v>
      </c>
      <c r="C70" s="447">
        <f t="shared" si="0"/>
        <v>100747.55675784221</v>
      </c>
      <c r="D70" s="447">
        <f t="shared" ca="1" si="9"/>
        <v>-364883.73743331182</v>
      </c>
      <c r="E70" s="447">
        <f t="shared" ca="1" si="1"/>
        <v>-8940312.5267130584</v>
      </c>
      <c r="F70" s="431"/>
      <c r="G70" s="459">
        <f t="shared" si="10"/>
        <v>6</v>
      </c>
      <c r="H70" s="459">
        <v>63</v>
      </c>
      <c r="I70" s="444">
        <f t="shared" ca="1" si="5"/>
        <v>1541220.4705482158</v>
      </c>
      <c r="J70" s="444">
        <f t="array" ref="J70">IFERROR(INDEX('Retirement Calculator'!J:J,MATCH('Isaac 401k'!N70,'Retirement Calculator'!A:A,0),0),0)</f>
        <v>32470.93324439897</v>
      </c>
      <c r="K70" s="444">
        <f t="shared" ca="1" si="2"/>
        <v>6286.4564054325701</v>
      </c>
      <c r="L70" s="444">
        <f t="shared" ca="1" si="3"/>
        <v>1515035.9937092494</v>
      </c>
      <c r="M70" s="460">
        <f t="shared" si="6"/>
        <v>0.05</v>
      </c>
      <c r="N70" s="464">
        <f t="shared" si="7"/>
        <v>53175</v>
      </c>
    </row>
    <row r="71" spans="1:14" ht="11.25" customHeight="1" x14ac:dyDescent="0.25">
      <c r="A71" s="459">
        <v>64</v>
      </c>
      <c r="B71" s="447">
        <f t="shared" ca="1" si="4"/>
        <v>-8940312.5267130584</v>
      </c>
      <c r="C71" s="447">
        <f t="shared" si="0"/>
        <v>100747.55675784221</v>
      </c>
      <c r="D71" s="447">
        <f t="shared" ca="1" si="9"/>
        <v>-364883.73743331182</v>
      </c>
      <c r="E71" s="447">
        <f t="shared" ca="1" si="1"/>
        <v>-9405943.8209042139</v>
      </c>
      <c r="F71" s="431"/>
      <c r="G71" s="459">
        <f t="shared" si="10"/>
        <v>6</v>
      </c>
      <c r="H71" s="459">
        <v>64</v>
      </c>
      <c r="I71" s="444">
        <f t="shared" ca="1" si="5"/>
        <v>1515035.9937092494</v>
      </c>
      <c r="J71" s="444">
        <f t="array" ref="J71">IFERROR(INDEX('Retirement Calculator'!J:J,MATCH('Isaac 401k'!N71,'Retirement Calculator'!A:A,0),0),0)</f>
        <v>32470.93324439897</v>
      </c>
      <c r="K71" s="444">
        <f t="shared" ca="1" si="2"/>
        <v>6177.3544186035433</v>
      </c>
      <c r="L71" s="444">
        <f t="shared" ca="1" si="3"/>
        <v>1488742.4148834539</v>
      </c>
      <c r="M71" s="460">
        <f t="shared" si="6"/>
        <v>0.05</v>
      </c>
      <c r="N71" s="464">
        <f t="shared" si="7"/>
        <v>53206</v>
      </c>
    </row>
    <row r="72" spans="1:14" ht="11.25" customHeight="1" x14ac:dyDescent="0.25">
      <c r="A72" s="459">
        <v>65</v>
      </c>
      <c r="B72" s="447">
        <f t="shared" ca="1" si="4"/>
        <v>-9405943.8209042139</v>
      </c>
      <c r="C72" s="447">
        <f t="shared" si="0"/>
        <v>100747.55675784221</v>
      </c>
      <c r="D72" s="447">
        <f t="shared" ca="1" si="9"/>
        <v>-364883.73743331182</v>
      </c>
      <c r="E72" s="447">
        <f t="shared" ca="1" si="1"/>
        <v>-9871575.1150953695</v>
      </c>
      <c r="F72" s="431"/>
      <c r="G72" s="459">
        <f t="shared" si="10"/>
        <v>6</v>
      </c>
      <c r="H72" s="459">
        <v>65</v>
      </c>
      <c r="I72" s="444">
        <f t="shared" ca="1" si="5"/>
        <v>1488742.4148834539</v>
      </c>
      <c r="J72" s="444">
        <f t="array" ref="J72">IFERROR(INDEX('Retirement Calculator'!J:J,MATCH('Isaac 401k'!N72,'Retirement Calculator'!A:A,0),0),0)</f>
        <v>32470.93324439897</v>
      </c>
      <c r="K72" s="444">
        <f t="shared" ca="1" si="2"/>
        <v>6067.7978401627288</v>
      </c>
      <c r="L72" s="444">
        <f t="shared" ca="1" si="3"/>
        <v>1462339.2794792175</v>
      </c>
      <c r="M72" s="460">
        <f t="shared" si="6"/>
        <v>0.05</v>
      </c>
      <c r="N72" s="464">
        <f t="shared" si="7"/>
        <v>53236</v>
      </c>
    </row>
    <row r="73" spans="1:14" ht="11.25" customHeight="1" x14ac:dyDescent="0.25">
      <c r="A73" s="459">
        <v>66</v>
      </c>
      <c r="B73" s="447">
        <f t="shared" ca="1" si="4"/>
        <v>-9871575.1150953695</v>
      </c>
      <c r="C73" s="447">
        <f t="shared" si="0"/>
        <v>100747.55675784221</v>
      </c>
      <c r="D73" s="447">
        <f t="shared" ca="1" si="9"/>
        <v>-364883.73743331182</v>
      </c>
      <c r="E73" s="447">
        <f t="shared" ca="1" si="1"/>
        <v>-10337206.409286525</v>
      </c>
      <c r="F73" s="431"/>
      <c r="G73" s="459">
        <f t="shared" si="10"/>
        <v>6</v>
      </c>
      <c r="H73" s="459">
        <v>66</v>
      </c>
      <c r="I73" s="444">
        <f t="shared" ca="1" si="5"/>
        <v>1462339.2794792175</v>
      </c>
      <c r="J73" s="444">
        <f t="array" ref="J73">IFERROR(INDEX('Retirement Calculator'!J:J,MATCH('Isaac 401k'!N73,'Retirement Calculator'!A:A,0),0),0)</f>
        <v>32470.93324439897</v>
      </c>
      <c r="K73" s="444">
        <f t="shared" ca="1" si="2"/>
        <v>5957.7847759784099</v>
      </c>
      <c r="L73" s="444">
        <f t="shared" ca="1" si="3"/>
        <v>1435826.1310107969</v>
      </c>
      <c r="M73" s="460">
        <f t="shared" si="6"/>
        <v>0.05</v>
      </c>
      <c r="N73" s="464">
        <f t="shared" si="7"/>
        <v>53267</v>
      </c>
    </row>
    <row r="74" spans="1:14" ht="11.25" customHeight="1" x14ac:dyDescent="0.25">
      <c r="A74" s="459">
        <v>67</v>
      </c>
      <c r="B74" s="447">
        <f t="shared" ca="1" si="4"/>
        <v>-10337206.409286525</v>
      </c>
      <c r="C74" s="447">
        <f t="shared" si="0"/>
        <v>100747.55675784221</v>
      </c>
      <c r="D74" s="447">
        <f t="shared" ca="1" si="9"/>
        <v>-364883.73743331182</v>
      </c>
      <c r="E74" s="447">
        <f t="shared" ca="1" si="1"/>
        <v>-10802837.703477681</v>
      </c>
      <c r="F74" s="431"/>
      <c r="G74" s="459">
        <f t="shared" si="10"/>
        <v>6</v>
      </c>
      <c r="H74" s="459">
        <v>67</v>
      </c>
      <c r="I74" s="444">
        <f t="shared" ca="1" si="5"/>
        <v>1435826.1310107969</v>
      </c>
      <c r="J74" s="444">
        <f t="array" ref="J74">IFERROR(INDEX('Retirement Calculator'!J:J,MATCH('Isaac 401k'!N74,'Retirement Calculator'!A:A,0),0),0)</f>
        <v>32470.93324439897</v>
      </c>
      <c r="K74" s="444">
        <f t="shared" ca="1" si="2"/>
        <v>5847.3133240266579</v>
      </c>
      <c r="L74" s="444">
        <f t="shared" ca="1" si="3"/>
        <v>1409202.5110904246</v>
      </c>
      <c r="M74" s="460">
        <f t="shared" si="6"/>
        <v>0.05</v>
      </c>
      <c r="N74" s="464">
        <f t="shared" si="7"/>
        <v>53297</v>
      </c>
    </row>
    <row r="75" spans="1:14" ht="11.25" customHeight="1" x14ac:dyDescent="0.25">
      <c r="A75" s="459">
        <v>68</v>
      </c>
      <c r="B75" s="447">
        <f t="shared" ca="1" si="4"/>
        <v>-10802837.703477681</v>
      </c>
      <c r="C75" s="447">
        <f t="shared" si="0"/>
        <v>100747.55675784221</v>
      </c>
      <c r="D75" s="447">
        <f t="shared" ca="1" si="9"/>
        <v>-364883.73743331182</v>
      </c>
      <c r="E75" s="447">
        <f t="shared" ca="1" si="1"/>
        <v>-11268468.997668836</v>
      </c>
      <c r="F75" s="431"/>
      <c r="G75" s="459">
        <f t="shared" si="10"/>
        <v>6</v>
      </c>
      <c r="H75" s="459">
        <v>68</v>
      </c>
      <c r="I75" s="444">
        <f t="shared" ca="1" si="5"/>
        <v>1409202.5110904246</v>
      </c>
      <c r="J75" s="444">
        <f t="array" ref="J75">IFERROR(INDEX('Retirement Calculator'!J:J,MATCH('Isaac 401k'!N75,'Retirement Calculator'!A:A,0),0),0)</f>
        <v>9071.7293298201839</v>
      </c>
      <c r="K75" s="444">
        <f t="shared" ca="1" si="2"/>
        <v>5833.8782573358512</v>
      </c>
      <c r="L75" s="444">
        <f t="shared" ca="1" si="3"/>
        <v>1405964.6600179402</v>
      </c>
      <c r="M75" s="460">
        <f t="shared" si="6"/>
        <v>0.05</v>
      </c>
      <c r="N75" s="464">
        <f t="shared" si="7"/>
        <v>53328</v>
      </c>
    </row>
    <row r="76" spans="1:14" ht="11.25" customHeight="1" x14ac:dyDescent="0.25">
      <c r="A76" s="459">
        <v>69</v>
      </c>
      <c r="B76" s="447">
        <f t="shared" ca="1" si="4"/>
        <v>-11268468.997668836</v>
      </c>
      <c r="C76" s="447">
        <f t="shared" si="0"/>
        <v>100747.55675784221</v>
      </c>
      <c r="D76" s="447">
        <f t="shared" ca="1" si="9"/>
        <v>-364883.73743331182</v>
      </c>
      <c r="E76" s="447">
        <f t="shared" ca="1" si="1"/>
        <v>-11734100.291859992</v>
      </c>
      <c r="F76" s="431"/>
      <c r="G76" s="459">
        <f t="shared" si="10"/>
        <v>6</v>
      </c>
      <c r="H76" s="459">
        <v>69</v>
      </c>
      <c r="I76" s="444">
        <f t="shared" ca="1" si="5"/>
        <v>1405964.6600179402</v>
      </c>
      <c r="J76" s="444">
        <f t="array" ref="J76">IFERROR(INDEX('Retirement Calculator'!J:J,MATCH('Isaac 401k'!N76,'Retirement Calculator'!A:A,0),0),0)</f>
        <v>9071.7293298201839</v>
      </c>
      <c r="K76" s="444">
        <f t="shared" ca="1" si="2"/>
        <v>5820.3872112005001</v>
      </c>
      <c r="L76" s="444">
        <f t="shared" ca="1" si="3"/>
        <v>1402713.3178993205</v>
      </c>
      <c r="M76" s="460">
        <f t="shared" si="6"/>
        <v>0.05</v>
      </c>
      <c r="N76" s="464">
        <f t="shared" si="7"/>
        <v>53359</v>
      </c>
    </row>
    <row r="77" spans="1:14" ht="11.25" customHeight="1" x14ac:dyDescent="0.25">
      <c r="A77" s="459">
        <v>70</v>
      </c>
      <c r="B77" s="447">
        <f t="shared" ca="1" si="4"/>
        <v>-11734100.291859992</v>
      </c>
      <c r="C77" s="447">
        <f t="shared" si="0"/>
        <v>100747.55675784221</v>
      </c>
      <c r="D77" s="447">
        <f t="shared" ca="1" si="9"/>
        <v>-364883.73743331182</v>
      </c>
      <c r="E77" s="447">
        <f t="shared" ca="1" si="1"/>
        <v>-12199731.586051147</v>
      </c>
      <c r="F77" s="431"/>
      <c r="G77" s="459">
        <f t="shared" si="10"/>
        <v>6</v>
      </c>
      <c r="H77" s="459">
        <v>70</v>
      </c>
      <c r="I77" s="444">
        <f t="shared" ca="1" si="5"/>
        <v>1402713.3178993205</v>
      </c>
      <c r="J77" s="444">
        <f t="array" ref="J77">IFERROR(INDEX('Retirement Calculator'!J:J,MATCH('Isaac 401k'!N77,'Retirement Calculator'!A:A,0),0),0)</f>
        <v>9071.7293298201839</v>
      </c>
      <c r="K77" s="444">
        <f t="shared" ca="1" si="2"/>
        <v>5806.8399523729177</v>
      </c>
      <c r="L77" s="444">
        <f t="shared" ca="1" si="3"/>
        <v>1399448.4285218732</v>
      </c>
      <c r="M77" s="460">
        <f t="shared" si="6"/>
        <v>0.05</v>
      </c>
      <c r="N77" s="464">
        <f t="shared" si="7"/>
        <v>53387</v>
      </c>
    </row>
    <row r="78" spans="1:14" ht="11.25" customHeight="1" x14ac:dyDescent="0.25">
      <c r="A78" s="459">
        <v>71</v>
      </c>
      <c r="B78" s="447">
        <f t="shared" ca="1" si="4"/>
        <v>-12199731.586051147</v>
      </c>
      <c r="C78" s="447">
        <f t="shared" si="0"/>
        <v>100747.55675784221</v>
      </c>
      <c r="D78" s="447">
        <f t="shared" ca="1" si="9"/>
        <v>-364883.73743331182</v>
      </c>
      <c r="E78" s="447">
        <f t="shared" ca="1" si="1"/>
        <v>-12665362.880242303</v>
      </c>
      <c r="F78" s="431"/>
      <c r="G78" s="459">
        <f t="shared" si="10"/>
        <v>6</v>
      </c>
      <c r="H78" s="459">
        <v>71</v>
      </c>
      <c r="I78" s="444">
        <f t="shared" ca="1" si="5"/>
        <v>1399448.4285218732</v>
      </c>
      <c r="J78" s="444">
        <f t="array" ref="J78">IFERROR(INDEX('Retirement Calculator'!J:J,MATCH('Isaac 401k'!N78,'Retirement Calculator'!A:A,0),0),0)</f>
        <v>9071.7293298201839</v>
      </c>
      <c r="K78" s="444">
        <f t="shared" ca="1" si="2"/>
        <v>5793.2362466335535</v>
      </c>
      <c r="L78" s="444">
        <f t="shared" ca="1" si="3"/>
        <v>1396169.9354386865</v>
      </c>
      <c r="M78" s="460">
        <f t="shared" si="6"/>
        <v>0.05</v>
      </c>
      <c r="N78" s="464">
        <f t="shared" si="7"/>
        <v>53418</v>
      </c>
    </row>
    <row r="79" spans="1:14" ht="11.25" customHeight="1" x14ac:dyDescent="0.25">
      <c r="A79" s="459">
        <v>72</v>
      </c>
      <c r="B79" s="447">
        <f t="shared" ca="1" si="4"/>
        <v>-12665362.880242303</v>
      </c>
      <c r="C79" s="447">
        <f t="shared" si="0"/>
        <v>100747.55675784221</v>
      </c>
      <c r="D79" s="447">
        <f t="shared" ca="1" si="9"/>
        <v>-364883.73743331182</v>
      </c>
      <c r="E79" s="447">
        <f t="shared" ca="1" si="1"/>
        <v>-13130994.174433459</v>
      </c>
      <c r="F79" s="431"/>
      <c r="G79" s="459">
        <f t="shared" si="10"/>
        <v>6</v>
      </c>
      <c r="H79" s="459">
        <v>72</v>
      </c>
      <c r="I79" s="444">
        <f t="shared" ca="1" si="5"/>
        <v>1396169.9354386865</v>
      </c>
      <c r="J79" s="444">
        <f t="array" ref="J79">IFERROR(INDEX('Retirement Calculator'!J:J,MATCH('Isaac 401k'!N79,'Retirement Calculator'!A:A,0),0),0)</f>
        <v>9071.7293298201839</v>
      </c>
      <c r="K79" s="444">
        <f t="shared" ca="1" si="2"/>
        <v>5779.5758587869423</v>
      </c>
      <c r="L79" s="444">
        <f t="shared" ca="1" si="3"/>
        <v>1392877.7819676532</v>
      </c>
      <c r="M79" s="460">
        <f t="shared" si="6"/>
        <v>0.05</v>
      </c>
      <c r="N79" s="464">
        <f t="shared" si="7"/>
        <v>53448</v>
      </c>
    </row>
    <row r="80" spans="1:14" ht="11.25" customHeight="1" x14ac:dyDescent="0.25">
      <c r="A80" s="459">
        <v>73</v>
      </c>
      <c r="B80" s="447">
        <f t="shared" ca="1" si="4"/>
        <v>-13130994.174433459</v>
      </c>
      <c r="C80" s="447">
        <f t="shared" si="0"/>
        <v>100747.55675784221</v>
      </c>
      <c r="D80" s="447">
        <f t="shared" ca="1" si="9"/>
        <v>-364883.73743331182</v>
      </c>
      <c r="E80" s="447">
        <f t="shared" ca="1" si="1"/>
        <v>-13596625.468624614</v>
      </c>
      <c r="F80" s="431"/>
      <c r="G80" s="459">
        <f>G79+1</f>
        <v>7</v>
      </c>
      <c r="H80" s="459">
        <v>73</v>
      </c>
      <c r="I80" s="444">
        <f t="shared" ca="1" si="5"/>
        <v>1392877.7819676532</v>
      </c>
      <c r="J80" s="444">
        <f t="array" ref="J80">IFERROR(INDEX('Retirement Calculator'!J:J,MATCH('Isaac 401k'!N80,'Retirement Calculator'!A:A,0),0),0)</f>
        <v>9071.7293298201839</v>
      </c>
      <c r="K80" s="444">
        <f t="shared" ca="1" si="2"/>
        <v>5765.8585526576371</v>
      </c>
      <c r="L80" s="444">
        <f t="shared" ca="1" si="3"/>
        <v>1389571.9111904905</v>
      </c>
      <c r="M80" s="460">
        <f t="shared" si="6"/>
        <v>0.05</v>
      </c>
      <c r="N80" s="464">
        <f t="shared" si="7"/>
        <v>53479</v>
      </c>
    </row>
    <row r="81" spans="1:14" ht="11.25" customHeight="1" x14ac:dyDescent="0.25">
      <c r="A81" s="459">
        <v>74</v>
      </c>
      <c r="B81" s="447">
        <f t="shared" ca="1" si="4"/>
        <v>-13596625.468624614</v>
      </c>
      <c r="C81" s="447">
        <f t="shared" si="0"/>
        <v>100747.55675784221</v>
      </c>
      <c r="D81" s="447">
        <f t="shared" ca="1" si="9"/>
        <v>-364883.73743331182</v>
      </c>
      <c r="E81" s="447">
        <f t="shared" ca="1" si="1"/>
        <v>-14062256.76281577</v>
      </c>
      <c r="F81" s="431"/>
      <c r="G81" s="459">
        <f t="shared" ref="G81:G91" si="11">G80</f>
        <v>7</v>
      </c>
      <c r="H81" s="459">
        <v>74</v>
      </c>
      <c r="I81" s="444">
        <f t="shared" ca="1" si="5"/>
        <v>1389571.9111904905</v>
      </c>
      <c r="J81" s="444">
        <f t="array" ref="J81">IFERROR(INDEX('Retirement Calculator'!J:J,MATCH('Isaac 401k'!N81,'Retirement Calculator'!A:A,0),0),0)</f>
        <v>9071.7293298201839</v>
      </c>
      <c r="K81" s="444">
        <f t="shared" ca="1" si="2"/>
        <v>5752.0840910861261</v>
      </c>
      <c r="L81" s="444">
        <f t="shared" ca="1" si="3"/>
        <v>1386252.2659517564</v>
      </c>
      <c r="M81" s="460">
        <f t="shared" si="6"/>
        <v>0.05</v>
      </c>
      <c r="N81" s="464">
        <f t="shared" si="7"/>
        <v>53509</v>
      </c>
    </row>
    <row r="82" spans="1:14" ht="11.25" customHeight="1" x14ac:dyDescent="0.25">
      <c r="A82" s="459">
        <v>75</v>
      </c>
      <c r="B82" s="447">
        <f t="shared" ca="1" si="4"/>
        <v>-14062256.76281577</v>
      </c>
      <c r="C82" s="447">
        <f t="shared" si="0"/>
        <v>100747.55675784221</v>
      </c>
      <c r="D82" s="447">
        <f t="shared" ca="1" si="9"/>
        <v>-364883.73743331182</v>
      </c>
      <c r="E82" s="447">
        <f t="shared" ca="1" si="1"/>
        <v>-14527888.057006925</v>
      </c>
      <c r="F82" s="431"/>
      <c r="G82" s="459">
        <f t="shared" si="11"/>
        <v>7</v>
      </c>
      <c r="H82" s="459">
        <v>75</v>
      </c>
      <c r="I82" s="444">
        <f t="shared" ca="1" si="5"/>
        <v>1386252.2659517564</v>
      </c>
      <c r="J82" s="444">
        <f t="array" ref="J82">IFERROR(INDEX('Retirement Calculator'!J:J,MATCH('Isaac 401k'!N82,'Retirement Calculator'!A:A,0),0),0)</f>
        <v>9071.7293298201839</v>
      </c>
      <c r="K82" s="444">
        <f t="shared" ca="1" si="2"/>
        <v>5738.2522359247341</v>
      </c>
      <c r="L82" s="444">
        <f t="shared" ca="1" si="3"/>
        <v>1382918.788857861</v>
      </c>
      <c r="M82" s="460">
        <f t="shared" si="6"/>
        <v>0.05</v>
      </c>
      <c r="N82" s="464">
        <f t="shared" si="7"/>
        <v>53540</v>
      </c>
    </row>
    <row r="83" spans="1:14" ht="11.25" customHeight="1" x14ac:dyDescent="0.25">
      <c r="A83" s="459">
        <v>76</v>
      </c>
      <c r="B83" s="447">
        <f t="shared" ca="1" si="4"/>
        <v>-14527888.057006925</v>
      </c>
      <c r="C83" s="447">
        <f t="shared" si="0"/>
        <v>100747.55675784221</v>
      </c>
      <c r="D83" s="447">
        <f t="shared" ca="1" si="9"/>
        <v>-364883.73743331182</v>
      </c>
      <c r="E83" s="447">
        <f t="shared" ca="1" si="1"/>
        <v>-14993519.351198081</v>
      </c>
      <c r="F83" s="431"/>
      <c r="G83" s="459">
        <f t="shared" si="11"/>
        <v>7</v>
      </c>
      <c r="H83" s="459">
        <v>76</v>
      </c>
      <c r="I83" s="444">
        <f t="shared" ca="1" si="5"/>
        <v>1382918.788857861</v>
      </c>
      <c r="J83" s="444">
        <f t="array" ref="J83">IFERROR(INDEX('Retirement Calculator'!J:J,MATCH('Isaac 401k'!N83,'Retirement Calculator'!A:A,0),0),0)</f>
        <v>9071.7293298201839</v>
      </c>
      <c r="K83" s="444">
        <f t="shared" ca="1" si="2"/>
        <v>5724.3627480335026</v>
      </c>
      <c r="L83" s="444">
        <f t="shared" ca="1" si="3"/>
        <v>1379571.4222760743</v>
      </c>
      <c r="M83" s="460">
        <f t="shared" si="6"/>
        <v>0.05</v>
      </c>
      <c r="N83" s="464">
        <f t="shared" si="7"/>
        <v>53571</v>
      </c>
    </row>
    <row r="84" spans="1:14" ht="11.25" customHeight="1" x14ac:dyDescent="0.25">
      <c r="A84" s="459">
        <v>77</v>
      </c>
      <c r="B84" s="447">
        <f t="shared" ca="1" si="4"/>
        <v>-14993519.351198081</v>
      </c>
      <c r="C84" s="447">
        <f t="shared" si="0"/>
        <v>100747.55675784221</v>
      </c>
      <c r="D84" s="447">
        <f t="shared" ca="1" si="9"/>
        <v>-364883.73743331182</v>
      </c>
      <c r="E84" s="447">
        <f t="shared" ca="1" si="1"/>
        <v>-15459150.645389237</v>
      </c>
      <c r="F84" s="431"/>
      <c r="G84" s="459">
        <f t="shared" si="11"/>
        <v>7</v>
      </c>
      <c r="H84" s="459">
        <v>77</v>
      </c>
      <c r="I84" s="444">
        <f t="shared" ca="1" si="5"/>
        <v>1379571.4222760743</v>
      </c>
      <c r="J84" s="444">
        <f t="array" ref="J84">IFERROR(INDEX('Retirement Calculator'!J:J,MATCH('Isaac 401k'!N84,'Retirement Calculator'!A:A,0),0),0)</f>
        <v>9071.7293298201839</v>
      </c>
      <c r="K84" s="444">
        <f t="shared" ca="1" si="2"/>
        <v>5710.415387276058</v>
      </c>
      <c r="L84" s="444">
        <f t="shared" ca="1" si="3"/>
        <v>1376210.1083335301</v>
      </c>
      <c r="M84" s="460">
        <f t="shared" si="6"/>
        <v>0.05</v>
      </c>
      <c r="N84" s="464">
        <f t="shared" si="7"/>
        <v>53601</v>
      </c>
    </row>
    <row r="85" spans="1:14" ht="11.25" customHeight="1" x14ac:dyDescent="0.25">
      <c r="A85" s="459">
        <v>78</v>
      </c>
      <c r="B85" s="447">
        <f t="shared" ca="1" si="4"/>
        <v>-15459150.645389237</v>
      </c>
      <c r="C85" s="447">
        <f t="shared" si="0"/>
        <v>100747.55675784221</v>
      </c>
      <c r="D85" s="447">
        <f t="shared" ca="1" si="9"/>
        <v>-364883.73743331182</v>
      </c>
      <c r="E85" s="447">
        <f t="shared" ca="1" si="1"/>
        <v>-15924781.939580392</v>
      </c>
      <c r="F85" s="431"/>
      <c r="G85" s="459">
        <f t="shared" si="11"/>
        <v>7</v>
      </c>
      <c r="H85" s="459">
        <v>78</v>
      </c>
      <c r="I85" s="444">
        <f t="shared" ca="1" si="5"/>
        <v>1376210.1083335301</v>
      </c>
      <c r="J85" s="444">
        <f t="array" ref="J85">IFERROR(INDEX('Retirement Calculator'!J:J,MATCH('Isaac 401k'!N85,'Retirement Calculator'!A:A,0),0),0)</f>
        <v>9071.7293298201839</v>
      </c>
      <c r="K85" s="444">
        <f t="shared" ca="1" si="2"/>
        <v>5696.409912515458</v>
      </c>
      <c r="L85" s="444">
        <f t="shared" ca="1" si="3"/>
        <v>1372834.7889162253</v>
      </c>
      <c r="M85" s="460">
        <f t="shared" si="6"/>
        <v>0.05</v>
      </c>
      <c r="N85" s="464">
        <f t="shared" si="7"/>
        <v>53632</v>
      </c>
    </row>
    <row r="86" spans="1:14" ht="11.25" customHeight="1" x14ac:dyDescent="0.25">
      <c r="A86" s="459">
        <v>79</v>
      </c>
      <c r="B86" s="447">
        <f t="shared" ca="1" si="4"/>
        <v>-15924781.939580392</v>
      </c>
      <c r="C86" s="447">
        <f t="shared" si="0"/>
        <v>100747.55675784221</v>
      </c>
      <c r="D86" s="447">
        <f t="shared" ca="1" si="9"/>
        <v>-364883.73743331182</v>
      </c>
      <c r="E86" s="447">
        <f t="shared" ca="1" si="1"/>
        <v>-16390413.233771548</v>
      </c>
      <c r="F86" s="431"/>
      <c r="G86" s="459">
        <f t="shared" si="11"/>
        <v>7</v>
      </c>
      <c r="H86" s="459">
        <v>79</v>
      </c>
      <c r="I86" s="444">
        <f t="shared" ca="1" si="5"/>
        <v>1372834.7889162253</v>
      </c>
      <c r="J86" s="444">
        <f t="array" ref="J86">IFERROR(INDEX('Retirement Calculator'!J:J,MATCH('Isaac 401k'!N86,'Retirement Calculator'!A:A,0),0),0)</f>
        <v>9071.7293298201839</v>
      </c>
      <c r="K86" s="444">
        <f t="shared" ca="1" si="2"/>
        <v>5682.3460816100214</v>
      </c>
      <c r="L86" s="444">
        <f t="shared" ca="1" si="3"/>
        <v>1369445.4056680151</v>
      </c>
      <c r="M86" s="460">
        <f t="shared" si="6"/>
        <v>0.05</v>
      </c>
      <c r="N86" s="464">
        <f t="shared" si="7"/>
        <v>53662</v>
      </c>
    </row>
    <row r="87" spans="1:14" ht="11.25" customHeight="1" x14ac:dyDescent="0.25">
      <c r="A87" s="459">
        <v>80</v>
      </c>
      <c r="B87" s="447">
        <f t="shared" ca="1" si="4"/>
        <v>-16390413.233771548</v>
      </c>
      <c r="C87" s="447">
        <f t="shared" si="0"/>
        <v>100747.55675784221</v>
      </c>
      <c r="D87" s="447">
        <f t="shared" ca="1" si="9"/>
        <v>-364883.73743331182</v>
      </c>
      <c r="E87" s="447">
        <f t="shared" ca="1" si="1"/>
        <v>-16856044.527962703</v>
      </c>
      <c r="F87" s="431"/>
      <c r="G87" s="459">
        <f t="shared" si="11"/>
        <v>7</v>
      </c>
      <c r="H87" s="459">
        <v>80</v>
      </c>
      <c r="I87" s="444">
        <f t="shared" ca="1" si="5"/>
        <v>1369445.4056680151</v>
      </c>
      <c r="J87" s="444">
        <f t="array" ref="J87">IFERROR(INDEX('Retirement Calculator'!J:J,MATCH('Isaac 401k'!N87,'Retirement Calculator'!A:A,0),0),0)</f>
        <v>9071.7293298201839</v>
      </c>
      <c r="K87" s="444">
        <f t="shared" ca="1" si="2"/>
        <v>5668.2236514091455</v>
      </c>
      <c r="L87" s="444">
        <f t="shared" ca="1" si="3"/>
        <v>1366041.899989604</v>
      </c>
      <c r="M87" s="460">
        <f t="shared" si="6"/>
        <v>0.05</v>
      </c>
      <c r="N87" s="464">
        <f t="shared" si="7"/>
        <v>53693</v>
      </c>
    </row>
    <row r="88" spans="1:14" ht="11.25" customHeight="1" x14ac:dyDescent="0.25">
      <c r="A88" s="459">
        <v>81</v>
      </c>
      <c r="B88" s="447">
        <f t="shared" ca="1" si="4"/>
        <v>-16856044.527962703</v>
      </c>
      <c r="C88" s="447">
        <f t="shared" si="0"/>
        <v>100747.55675784221</v>
      </c>
      <c r="D88" s="447">
        <f t="shared" ca="1" si="9"/>
        <v>-364883.73743331182</v>
      </c>
      <c r="E88" s="447">
        <f t="shared" ca="1" si="1"/>
        <v>-17321675.822153855</v>
      </c>
      <c r="F88" s="431"/>
      <c r="G88" s="459">
        <f t="shared" si="11"/>
        <v>7</v>
      </c>
      <c r="H88" s="459">
        <v>81</v>
      </c>
      <c r="I88" s="444">
        <f t="shared" ca="1" si="5"/>
        <v>1366041.899989604</v>
      </c>
      <c r="J88" s="444">
        <f t="array" ref="J88">IFERROR(INDEX('Retirement Calculator'!J:J,MATCH('Isaac 401k'!N88,'Retirement Calculator'!A:A,0),0),0)</f>
        <v>9071.7293298201839</v>
      </c>
      <c r="K88" s="444">
        <f t="shared" ca="1" si="2"/>
        <v>5654.0423777490987</v>
      </c>
      <c r="L88" s="444">
        <f t="shared" ca="1" si="3"/>
        <v>1362624.2130375328</v>
      </c>
      <c r="M88" s="460">
        <f t="shared" si="6"/>
        <v>0.05</v>
      </c>
      <c r="N88" s="464">
        <f t="shared" si="7"/>
        <v>53724</v>
      </c>
    </row>
    <row r="89" spans="1:14" ht="11.25" customHeight="1" x14ac:dyDescent="0.25">
      <c r="A89" s="459">
        <v>82</v>
      </c>
      <c r="B89" s="447">
        <f t="shared" ca="1" si="4"/>
        <v>-17321675.822153855</v>
      </c>
      <c r="C89" s="447">
        <f t="shared" si="0"/>
        <v>100747.55675784221</v>
      </c>
      <c r="D89" s="447">
        <f t="shared" ca="1" si="9"/>
        <v>-364883.73743331182</v>
      </c>
      <c r="E89" s="447">
        <f t="shared" ca="1" si="1"/>
        <v>-17787307.116345007</v>
      </c>
      <c r="F89" s="431"/>
      <c r="G89" s="459">
        <f t="shared" si="11"/>
        <v>7</v>
      </c>
      <c r="H89" s="459">
        <v>82</v>
      </c>
      <c r="I89" s="444">
        <f t="shared" ca="1" si="5"/>
        <v>1362624.2130375328</v>
      </c>
      <c r="J89" s="444">
        <f t="array" ref="J89">IFERROR(INDEX('Retirement Calculator'!J:J,MATCH('Isaac 401k'!N89,'Retirement Calculator'!A:A,0),0),0)</f>
        <v>9071.7293298201839</v>
      </c>
      <c r="K89" s="444">
        <f t="shared" ca="1" si="2"/>
        <v>5639.8020154488022</v>
      </c>
      <c r="L89" s="444">
        <f t="shared" ca="1" si="3"/>
        <v>1359192.2857231612</v>
      </c>
      <c r="M89" s="460">
        <f t="shared" si="6"/>
        <v>0.05</v>
      </c>
      <c r="N89" s="464">
        <f t="shared" si="7"/>
        <v>53752</v>
      </c>
    </row>
    <row r="90" spans="1:14" ht="11.25" customHeight="1" x14ac:dyDescent="0.25">
      <c r="A90" s="459">
        <v>83</v>
      </c>
      <c r="B90" s="447">
        <f t="shared" ca="1" si="4"/>
        <v>-17787307.116345007</v>
      </c>
      <c r="C90" s="447">
        <f t="shared" si="0"/>
        <v>100747.55675784221</v>
      </c>
      <c r="D90" s="447">
        <f t="shared" ca="1" si="9"/>
        <v>-364883.73743331182</v>
      </c>
      <c r="E90" s="447">
        <f t="shared" ca="1" si="1"/>
        <v>-18252938.410536159</v>
      </c>
      <c r="F90" s="431"/>
      <c r="G90" s="459">
        <f t="shared" si="11"/>
        <v>7</v>
      </c>
      <c r="H90" s="459">
        <v>83</v>
      </c>
      <c r="I90" s="444">
        <f t="shared" ca="1" si="5"/>
        <v>1359192.2857231612</v>
      </c>
      <c r="J90" s="444">
        <f t="array" ref="J90">IFERROR(INDEX('Retirement Calculator'!J:J,MATCH('Isaac 401k'!N90,'Retirement Calculator'!A:A,0),0),0)</f>
        <v>9071.7293298201839</v>
      </c>
      <c r="K90" s="444">
        <f t="shared" ca="1" si="2"/>
        <v>5625.5023183055873</v>
      </c>
      <c r="L90" s="444">
        <f t="shared" ca="1" si="3"/>
        <v>1355746.0587116466</v>
      </c>
      <c r="M90" s="460">
        <f t="shared" si="6"/>
        <v>0.05</v>
      </c>
      <c r="N90" s="464">
        <f t="shared" si="7"/>
        <v>53783</v>
      </c>
    </row>
    <row r="91" spans="1:14" ht="11.25" customHeight="1" x14ac:dyDescent="0.25">
      <c r="A91" s="459">
        <v>84</v>
      </c>
      <c r="B91" s="447">
        <f t="shared" ca="1" si="4"/>
        <v>-18252938.410536159</v>
      </c>
      <c r="C91" s="447">
        <f t="shared" si="0"/>
        <v>100747.55675784221</v>
      </c>
      <c r="D91" s="447">
        <f t="shared" ca="1" si="9"/>
        <v>-364883.73743331182</v>
      </c>
      <c r="E91" s="447">
        <f t="shared" ca="1" si="1"/>
        <v>-18718569.704727311</v>
      </c>
      <c r="F91" s="431"/>
      <c r="G91" s="459">
        <f t="shared" si="11"/>
        <v>7</v>
      </c>
      <c r="H91" s="459">
        <v>84</v>
      </c>
      <c r="I91" s="444">
        <f t="shared" ca="1" si="5"/>
        <v>1355746.0587116466</v>
      </c>
      <c r="J91" s="444">
        <f t="array" ref="J91">IFERROR(INDEX('Retirement Calculator'!J:J,MATCH('Isaac 401k'!N91,'Retirement Calculator'!A:A,0),0),0)</f>
        <v>9071.7293298201839</v>
      </c>
      <c r="K91" s="444">
        <f t="shared" ca="1" si="2"/>
        <v>5611.1430390909427</v>
      </c>
      <c r="L91" s="444">
        <f t="shared" ca="1" si="3"/>
        <v>1352285.4724209174</v>
      </c>
      <c r="M91" s="460">
        <f t="shared" si="6"/>
        <v>0.05</v>
      </c>
      <c r="N91" s="464">
        <f t="shared" si="7"/>
        <v>53813</v>
      </c>
    </row>
    <row r="92" spans="1:14" ht="11.25" customHeight="1" x14ac:dyDescent="0.25">
      <c r="A92" s="459">
        <v>85</v>
      </c>
      <c r="B92" s="447">
        <f t="shared" ca="1" si="4"/>
        <v>-18718569.704727311</v>
      </c>
      <c r="C92" s="447">
        <f t="shared" si="0"/>
        <v>100747.55675784221</v>
      </c>
      <c r="D92" s="447">
        <f t="shared" ca="1" si="9"/>
        <v>-364883.73743331182</v>
      </c>
      <c r="E92" s="447">
        <f t="shared" ca="1" si="1"/>
        <v>-19184200.998918463</v>
      </c>
      <c r="F92" s="431"/>
      <c r="G92" s="459">
        <f>G91+1</f>
        <v>8</v>
      </c>
      <c r="H92" s="459">
        <v>85</v>
      </c>
      <c r="I92" s="444">
        <f t="shared" ca="1" si="5"/>
        <v>1352285.4724209174</v>
      </c>
      <c r="J92" s="444">
        <f t="array" ref="J92">IFERROR(INDEX('Retirement Calculator'!J:J,MATCH('Isaac 401k'!N92,'Retirement Calculator'!A:A,0),0),0)</f>
        <v>9071.7293298201839</v>
      </c>
      <c r="K92" s="444">
        <f t="shared" ca="1" si="2"/>
        <v>5596.7239295462377</v>
      </c>
      <c r="L92" s="444">
        <f t="shared" ca="1" si="3"/>
        <v>1348810.4670206434</v>
      </c>
      <c r="M92" s="460">
        <f t="shared" si="6"/>
        <v>0.05</v>
      </c>
      <c r="N92" s="464">
        <f t="shared" si="7"/>
        <v>53844</v>
      </c>
    </row>
    <row r="93" spans="1:14" ht="11.25" customHeight="1" x14ac:dyDescent="0.25">
      <c r="A93" s="459">
        <v>86</v>
      </c>
      <c r="B93" s="447">
        <f t="shared" ca="1" si="4"/>
        <v>-19184200.998918463</v>
      </c>
      <c r="C93" s="447">
        <f t="shared" si="0"/>
        <v>100747.55675784221</v>
      </c>
      <c r="D93" s="447">
        <f t="shared" ca="1" si="9"/>
        <v>-364883.73743331182</v>
      </c>
      <c r="E93" s="447">
        <f t="shared" ca="1" si="1"/>
        <v>-19649832.293109614</v>
      </c>
      <c r="F93" s="431"/>
      <c r="G93" s="459">
        <f t="shared" ref="G93:G103" si="12">G92</f>
        <v>8</v>
      </c>
      <c r="H93" s="459">
        <v>86</v>
      </c>
      <c r="I93" s="444">
        <f t="shared" ca="1" si="5"/>
        <v>1348810.4670206434</v>
      </c>
      <c r="J93" s="444">
        <f t="array" ref="J93">IFERROR(INDEX('Retirement Calculator'!J:J,MATCH('Isaac 401k'!N93,'Retirement Calculator'!A:A,0),0),0)</f>
        <v>9071.7293298201839</v>
      </c>
      <c r="K93" s="444">
        <f t="shared" ca="1" si="2"/>
        <v>5582.2447403784299</v>
      </c>
      <c r="L93" s="444">
        <f t="shared" ca="1" si="3"/>
        <v>1345320.9824312015</v>
      </c>
      <c r="M93" s="460">
        <f t="shared" si="6"/>
        <v>0.05</v>
      </c>
      <c r="N93" s="464">
        <f t="shared" si="7"/>
        <v>53874</v>
      </c>
    </row>
    <row r="94" spans="1:14" ht="11.25" customHeight="1" x14ac:dyDescent="0.25">
      <c r="A94" s="459">
        <v>87</v>
      </c>
      <c r="B94" s="447">
        <f t="shared" ca="1" si="4"/>
        <v>-19649832.293109614</v>
      </c>
      <c r="C94" s="447">
        <f t="shared" si="0"/>
        <v>100747.55675784221</v>
      </c>
      <c r="D94" s="447">
        <f t="shared" ca="1" si="9"/>
        <v>-364883.73743331182</v>
      </c>
      <c r="E94" s="447">
        <f t="shared" ca="1" si="1"/>
        <v>-20115463.587300766</v>
      </c>
      <c r="F94" s="431"/>
      <c r="G94" s="459">
        <f t="shared" si="12"/>
        <v>8</v>
      </c>
      <c r="H94" s="459">
        <v>87</v>
      </c>
      <c r="I94" s="444">
        <f t="shared" ca="1" si="5"/>
        <v>1345320.9824312015</v>
      </c>
      <c r="J94" s="444">
        <f t="array" ref="J94">IFERROR(INDEX('Retirement Calculator'!J:J,MATCH('Isaac 401k'!N94,'Retirement Calculator'!A:A,0),0),0)</f>
        <v>9071.7293298201839</v>
      </c>
      <c r="K94" s="444">
        <f t="shared" ca="1" si="2"/>
        <v>5567.7052212557555</v>
      </c>
      <c r="L94" s="444">
        <f t="shared" ca="1" si="3"/>
        <v>1341816.958322637</v>
      </c>
      <c r="M94" s="460">
        <f t="shared" si="6"/>
        <v>0.05</v>
      </c>
      <c r="N94" s="464">
        <f t="shared" si="7"/>
        <v>53905</v>
      </c>
    </row>
    <row r="95" spans="1:14" ht="11.25" customHeight="1" x14ac:dyDescent="0.25">
      <c r="A95" s="459">
        <v>88</v>
      </c>
      <c r="B95" s="447">
        <f t="shared" ca="1" si="4"/>
        <v>-20115463.587300766</v>
      </c>
      <c r="C95" s="447">
        <f t="shared" si="0"/>
        <v>100747.55675784221</v>
      </c>
      <c r="D95" s="447">
        <f t="shared" ca="1" si="9"/>
        <v>-364883.73743331182</v>
      </c>
      <c r="E95" s="447">
        <f t="shared" ca="1" si="1"/>
        <v>-20581094.881491918</v>
      </c>
      <c r="F95" s="431"/>
      <c r="G95" s="459">
        <f t="shared" si="12"/>
        <v>8</v>
      </c>
      <c r="H95" s="459">
        <v>88</v>
      </c>
      <c r="I95" s="444">
        <f t="shared" ca="1" si="5"/>
        <v>1341816.958322637</v>
      </c>
      <c r="J95" s="444">
        <f t="array" ref="J95">IFERROR(INDEX('Retirement Calculator'!J:J,MATCH('Isaac 401k'!N95,'Retirement Calculator'!A:A,0),0),0)</f>
        <v>9071.7293298201839</v>
      </c>
      <c r="K95" s="444">
        <f t="shared" ca="1" si="2"/>
        <v>5553.1051208034032</v>
      </c>
      <c r="L95" s="444">
        <f t="shared" ca="1" si="3"/>
        <v>1338298.3341136202</v>
      </c>
      <c r="M95" s="460">
        <f t="shared" si="6"/>
        <v>0.05</v>
      </c>
      <c r="N95" s="464">
        <f t="shared" si="7"/>
        <v>53936</v>
      </c>
    </row>
    <row r="96" spans="1:14" ht="11.25" customHeight="1" x14ac:dyDescent="0.25">
      <c r="A96" s="459">
        <v>89</v>
      </c>
      <c r="B96" s="447">
        <f t="shared" ca="1" si="4"/>
        <v>-20581094.881491918</v>
      </c>
      <c r="C96" s="447">
        <f t="shared" si="0"/>
        <v>100747.55675784221</v>
      </c>
      <c r="D96" s="447">
        <f t="shared" ca="1" si="9"/>
        <v>-364883.73743331182</v>
      </c>
      <c r="E96" s="447">
        <f t="shared" ca="1" si="1"/>
        <v>-21046726.17568307</v>
      </c>
      <c r="F96" s="431"/>
      <c r="G96" s="459">
        <f t="shared" si="12"/>
        <v>8</v>
      </c>
      <c r="H96" s="459">
        <v>89</v>
      </c>
      <c r="I96" s="444">
        <f t="shared" ca="1" si="5"/>
        <v>1338298.3341136202</v>
      </c>
      <c r="J96" s="444">
        <f t="array" ref="J96">IFERROR(INDEX('Retirement Calculator'!J:J,MATCH('Isaac 401k'!N96,'Retirement Calculator'!A:A,0),0),0)</f>
        <v>9071.7293298201839</v>
      </c>
      <c r="K96" s="444">
        <f t="shared" ca="1" si="2"/>
        <v>5538.4441865991666</v>
      </c>
      <c r="L96" s="444">
        <f t="shared" ca="1" si="3"/>
        <v>1334765.0489703992</v>
      </c>
      <c r="M96" s="460">
        <f t="shared" si="6"/>
        <v>0.05</v>
      </c>
      <c r="N96" s="464">
        <f t="shared" si="7"/>
        <v>53966</v>
      </c>
    </row>
    <row r="97" spans="1:14" ht="11.25" customHeight="1" x14ac:dyDescent="0.25">
      <c r="A97" s="459">
        <v>90</v>
      </c>
      <c r="B97" s="447">
        <f t="shared" ca="1" si="4"/>
        <v>-21046726.17568307</v>
      </c>
      <c r="C97" s="447">
        <f t="shared" si="0"/>
        <v>100747.55675784221</v>
      </c>
      <c r="D97" s="447">
        <f t="shared" ca="1" si="9"/>
        <v>-364883.73743331182</v>
      </c>
      <c r="E97" s="447">
        <f t="shared" ca="1" si="1"/>
        <v>-21512357.469874222</v>
      </c>
      <c r="F97" s="431"/>
      <c r="G97" s="459">
        <f t="shared" si="12"/>
        <v>8</v>
      </c>
      <c r="H97" s="459">
        <v>90</v>
      </c>
      <c r="I97" s="444">
        <f t="shared" ca="1" si="5"/>
        <v>1334765.0489703992</v>
      </c>
      <c r="J97" s="444">
        <f t="array" ref="J97">IFERROR(INDEX('Retirement Calculator'!J:J,MATCH('Isaac 401k'!N97,'Retirement Calculator'!A:A,0),0),0)</f>
        <v>9071.7293298201839</v>
      </c>
      <c r="K97" s="444">
        <f t="shared" ca="1" si="2"/>
        <v>5523.7221651690788</v>
      </c>
      <c r="L97" s="444">
        <f t="shared" ca="1" si="3"/>
        <v>1331217.0418057481</v>
      </c>
      <c r="M97" s="460">
        <f t="shared" si="6"/>
        <v>0.05</v>
      </c>
      <c r="N97" s="464">
        <f t="shared" si="7"/>
        <v>53997</v>
      </c>
    </row>
    <row r="98" spans="1:14" ht="11.25" customHeight="1" x14ac:dyDescent="0.25">
      <c r="A98" s="459">
        <v>91</v>
      </c>
      <c r="B98" s="447">
        <f t="shared" ca="1" si="4"/>
        <v>-21512357.469874222</v>
      </c>
      <c r="C98" s="447">
        <f t="shared" si="0"/>
        <v>100747.55675784221</v>
      </c>
      <c r="D98" s="447">
        <f t="shared" ca="1" si="9"/>
        <v>-364883.73743331182</v>
      </c>
      <c r="E98" s="447">
        <f t="shared" ca="1" si="1"/>
        <v>-21977988.764065374</v>
      </c>
      <c r="F98" s="431"/>
      <c r="G98" s="459">
        <f t="shared" si="12"/>
        <v>8</v>
      </c>
      <c r="H98" s="459">
        <v>91</v>
      </c>
      <c r="I98" s="444">
        <f t="shared" ca="1" si="5"/>
        <v>1331217.0418057481</v>
      </c>
      <c r="J98" s="444">
        <f t="array" ref="J98">IFERROR(INDEX('Retirement Calculator'!J:J,MATCH('Isaac 401k'!N98,'Retirement Calculator'!A:A,0),0),0)</f>
        <v>9071.7293298201839</v>
      </c>
      <c r="K98" s="444">
        <f t="shared" ca="1" si="2"/>
        <v>5508.938801983033</v>
      </c>
      <c r="L98" s="444">
        <f t="shared" ca="1" si="3"/>
        <v>1327654.251277911</v>
      </c>
      <c r="M98" s="460">
        <f t="shared" si="6"/>
        <v>0.05</v>
      </c>
      <c r="N98" s="464">
        <f t="shared" si="7"/>
        <v>54027</v>
      </c>
    </row>
    <row r="99" spans="1:14" ht="11.25" customHeight="1" x14ac:dyDescent="0.25">
      <c r="A99" s="459">
        <v>92</v>
      </c>
      <c r="B99" s="447">
        <f t="shared" ca="1" si="4"/>
        <v>-21977988.764065374</v>
      </c>
      <c r="C99" s="447">
        <f t="shared" si="0"/>
        <v>100747.55675784221</v>
      </c>
      <c r="D99" s="447">
        <f t="shared" ca="1" si="9"/>
        <v>-364883.73743331182</v>
      </c>
      <c r="E99" s="447">
        <f t="shared" ca="1" si="1"/>
        <v>-22443620.058256526</v>
      </c>
      <c r="F99" s="431"/>
      <c r="G99" s="459">
        <f t="shared" si="12"/>
        <v>8</v>
      </c>
      <c r="H99" s="459">
        <v>92</v>
      </c>
      <c r="I99" s="444">
        <f t="shared" ca="1" si="5"/>
        <v>1327654.251277911</v>
      </c>
      <c r="J99" s="444">
        <f t="array" ref="J99">IFERROR(INDEX('Retirement Calculator'!J:J,MATCH('Isaac 401k'!N99,'Retirement Calculator'!A:A,0),0),0)</f>
        <v>9071.7293298201839</v>
      </c>
      <c r="K99" s="444">
        <f t="shared" ca="1" si="2"/>
        <v>5494.093841450378</v>
      </c>
      <c r="L99" s="444">
        <f t="shared" ca="1" si="3"/>
        <v>1324076.615789541</v>
      </c>
      <c r="M99" s="460">
        <f t="shared" si="6"/>
        <v>0.05</v>
      </c>
      <c r="N99" s="464">
        <f t="shared" si="7"/>
        <v>54058</v>
      </c>
    </row>
    <row r="100" spans="1:14" ht="11.25" customHeight="1" x14ac:dyDescent="0.25">
      <c r="A100" s="459">
        <v>93</v>
      </c>
      <c r="B100" s="447">
        <f t="shared" ca="1" si="4"/>
        <v>-22443620.058256526</v>
      </c>
      <c r="C100" s="447">
        <f t="shared" si="0"/>
        <v>100747.55675784221</v>
      </c>
      <c r="D100" s="447">
        <f t="shared" ca="1" si="9"/>
        <v>-364883.73743331182</v>
      </c>
      <c r="E100" s="447">
        <f t="shared" ca="1" si="1"/>
        <v>-22909251.352447677</v>
      </c>
      <c r="F100" s="431"/>
      <c r="G100" s="459">
        <f t="shared" si="12"/>
        <v>8</v>
      </c>
      <c r="H100" s="459">
        <v>93</v>
      </c>
      <c r="I100" s="444">
        <f t="shared" ca="1" si="5"/>
        <v>1324076.615789541</v>
      </c>
      <c r="J100" s="444">
        <f t="array" ref="J100">IFERROR(INDEX('Retirement Calculator'!J:J,MATCH('Isaac 401k'!N100,'Retirement Calculator'!A:A,0),0),0)</f>
        <v>9071.7293298201839</v>
      </c>
      <c r="K100" s="444">
        <f t="shared" ca="1" si="2"/>
        <v>5479.1870269155033</v>
      </c>
      <c r="L100" s="444">
        <f t="shared" ca="1" si="3"/>
        <v>1320484.0734866364</v>
      </c>
      <c r="M100" s="460">
        <f t="shared" si="6"/>
        <v>0.05</v>
      </c>
      <c r="N100" s="464">
        <f t="shared" si="7"/>
        <v>54089</v>
      </c>
    </row>
    <row r="101" spans="1:14" ht="11.25" customHeight="1" x14ac:dyDescent="0.25">
      <c r="A101" s="459">
        <v>94</v>
      </c>
      <c r="B101" s="447">
        <f t="shared" ca="1" si="4"/>
        <v>-22909251.352447677</v>
      </c>
      <c r="C101" s="447">
        <f t="shared" si="0"/>
        <v>100747.55675784221</v>
      </c>
      <c r="D101" s="447">
        <f t="shared" ca="1" si="9"/>
        <v>-364883.73743331182</v>
      </c>
      <c r="E101" s="447">
        <f t="shared" ca="1" si="1"/>
        <v>-23374882.646638829</v>
      </c>
      <c r="F101" s="431"/>
      <c r="G101" s="459">
        <f t="shared" si="12"/>
        <v>8</v>
      </c>
      <c r="H101" s="459">
        <v>94</v>
      </c>
      <c r="I101" s="444">
        <f t="shared" ca="1" si="5"/>
        <v>1320484.0734866364</v>
      </c>
      <c r="J101" s="444">
        <f t="array" ref="J101">IFERROR(INDEX('Retirement Calculator'!J:J,MATCH('Isaac 401k'!N101,'Retirement Calculator'!A:A,0),0),0)</f>
        <v>9071.7293298201839</v>
      </c>
      <c r="K101" s="444">
        <f t="shared" ca="1" si="2"/>
        <v>5464.2181006534001</v>
      </c>
      <c r="L101" s="444">
        <f t="shared" ca="1" si="3"/>
        <v>1316876.5622574696</v>
      </c>
      <c r="M101" s="460">
        <f t="shared" si="6"/>
        <v>0.05</v>
      </c>
      <c r="N101" s="464">
        <f t="shared" si="7"/>
        <v>54118</v>
      </c>
    </row>
    <row r="102" spans="1:14" ht="11.25" customHeight="1" x14ac:dyDescent="0.25">
      <c r="A102" s="459">
        <v>95</v>
      </c>
      <c r="B102" s="447">
        <f t="shared" ca="1" si="4"/>
        <v>-23374882.646638829</v>
      </c>
      <c r="C102" s="447">
        <f t="shared" si="0"/>
        <v>100747.55675784221</v>
      </c>
      <c r="D102" s="447">
        <f t="shared" ca="1" si="9"/>
        <v>-364883.73743331182</v>
      </c>
      <c r="E102" s="447">
        <f t="shared" ca="1" si="1"/>
        <v>-23840513.940829981</v>
      </c>
      <c r="F102" s="431"/>
      <c r="G102" s="459">
        <f t="shared" si="12"/>
        <v>8</v>
      </c>
      <c r="H102" s="459">
        <v>95</v>
      </c>
      <c r="I102" s="444">
        <f t="shared" ca="1" si="5"/>
        <v>1316876.5622574696</v>
      </c>
      <c r="J102" s="444">
        <f t="array" ref="J102">IFERROR(INDEX('Retirement Calculator'!J:J,MATCH('Isaac 401k'!N102,'Retirement Calculator'!A:A,0),0),0)</f>
        <v>9071.7293298201839</v>
      </c>
      <c r="K102" s="444">
        <f t="shared" ca="1" si="2"/>
        <v>5449.1868038652055</v>
      </c>
      <c r="L102" s="444">
        <f t="shared" ca="1" si="3"/>
        <v>1313254.0197315146</v>
      </c>
      <c r="M102" s="460">
        <f t="shared" si="6"/>
        <v>0.05</v>
      </c>
      <c r="N102" s="464">
        <f t="shared" si="7"/>
        <v>54149</v>
      </c>
    </row>
    <row r="103" spans="1:14" ht="11.25" customHeight="1" x14ac:dyDescent="0.25">
      <c r="A103" s="459">
        <v>96</v>
      </c>
      <c r="B103" s="447">
        <f t="shared" ca="1" si="4"/>
        <v>-23840513.940829981</v>
      </c>
      <c r="C103" s="447">
        <f t="shared" si="0"/>
        <v>100747.55675784221</v>
      </c>
      <c r="D103" s="447">
        <f t="shared" ca="1" si="9"/>
        <v>-364883.73743331182</v>
      </c>
      <c r="E103" s="447">
        <f t="shared" ca="1" si="1"/>
        <v>-24306145.235021133</v>
      </c>
      <c r="F103" s="431"/>
      <c r="G103" s="459">
        <f t="shared" si="12"/>
        <v>8</v>
      </c>
      <c r="H103" s="459">
        <v>96</v>
      </c>
      <c r="I103" s="444">
        <f t="shared" ca="1" si="5"/>
        <v>1313254.0197315146</v>
      </c>
      <c r="J103" s="444">
        <f t="array" ref="J103">IFERROR(INDEX('Retirement Calculator'!J:J,MATCH('Isaac 401k'!N103,'Retirement Calculator'!A:A,0),0),0)</f>
        <v>9071.7293298201839</v>
      </c>
      <c r="K103" s="444">
        <f t="shared" ca="1" si="2"/>
        <v>5434.0928766737261</v>
      </c>
      <c r="L103" s="444">
        <f t="shared" ca="1" si="3"/>
        <v>1309616.383278368</v>
      </c>
      <c r="M103" s="460">
        <f t="shared" si="6"/>
        <v>0.05</v>
      </c>
      <c r="N103" s="464">
        <f t="shared" si="7"/>
        <v>54179</v>
      </c>
    </row>
    <row r="104" spans="1:14" ht="11.25" customHeight="1" x14ac:dyDescent="0.25">
      <c r="A104" s="459">
        <v>97</v>
      </c>
      <c r="B104" s="447">
        <f t="shared" ca="1" si="4"/>
        <v>-24306145.235021133</v>
      </c>
      <c r="C104" s="447">
        <f t="shared" si="0"/>
        <v>75560.667568381657</v>
      </c>
      <c r="D104" s="447">
        <f t="shared" ca="1" si="9"/>
        <v>-364883.73743331182</v>
      </c>
      <c r="E104" s="447">
        <f t="shared" ca="1" si="1"/>
        <v>-24746589.640022825</v>
      </c>
      <c r="F104" s="431"/>
      <c r="G104" s="459">
        <f>G103+1</f>
        <v>9</v>
      </c>
      <c r="H104" s="459">
        <v>97</v>
      </c>
      <c r="I104" s="444">
        <f t="shared" ca="1" si="5"/>
        <v>1309616.383278368</v>
      </c>
      <c r="J104" s="444">
        <f t="array" ref="J104">IFERROR(INDEX('Retirement Calculator'!J:J,MATCH('Isaac 401k'!N104,'Retirement Calculator'!A:A,0),0),0)</f>
        <v>9071.7293298201839</v>
      </c>
      <c r="K104" s="444">
        <f t="shared" ca="1" si="2"/>
        <v>5418.9360581189494</v>
      </c>
      <c r="L104" s="444">
        <f t="shared" ca="1" si="3"/>
        <v>1305963.5900066667</v>
      </c>
      <c r="M104" s="460">
        <f t="shared" si="6"/>
        <v>0.05</v>
      </c>
      <c r="N104" s="464">
        <f t="shared" si="7"/>
        <v>54210</v>
      </c>
    </row>
    <row r="105" spans="1:14" ht="11.25" customHeight="1" x14ac:dyDescent="0.25">
      <c r="A105" s="459">
        <v>98</v>
      </c>
      <c r="B105" s="447">
        <f t="shared" ca="1" si="4"/>
        <v>-24746589.640022825</v>
      </c>
      <c r="C105" s="447">
        <f t="shared" si="0"/>
        <v>0</v>
      </c>
      <c r="D105" s="447">
        <f t="shared" ca="1" si="9"/>
        <v>-364883.73743331182</v>
      </c>
      <c r="E105" s="447">
        <f t="shared" ca="1" si="1"/>
        <v>-25111473.377456136</v>
      </c>
      <c r="F105" s="431"/>
      <c r="G105" s="459">
        <f t="shared" ref="G105:G115" si="13">G104</f>
        <v>9</v>
      </c>
      <c r="H105" s="459">
        <v>98</v>
      </c>
      <c r="I105" s="444">
        <f t="shared" ca="1" si="5"/>
        <v>1305963.5900066667</v>
      </c>
      <c r="J105" s="444">
        <f t="array" ref="J105">IFERROR(INDEX('Retirement Calculator'!J:J,MATCH('Isaac 401k'!N105,'Retirement Calculator'!A:A,0),0),0)</f>
        <v>8395.6297298201844</v>
      </c>
      <c r="K105" s="444">
        <f t="shared" ca="1" si="2"/>
        <v>5406.5331678201937</v>
      </c>
      <c r="L105" s="444">
        <f t="shared" ca="1" si="3"/>
        <v>1302974.4934446667</v>
      </c>
      <c r="M105" s="460">
        <f t="shared" si="6"/>
        <v>0.05</v>
      </c>
      <c r="N105" s="464">
        <f t="shared" si="7"/>
        <v>54240</v>
      </c>
    </row>
    <row r="106" spans="1:14" ht="11.25" customHeight="1" x14ac:dyDescent="0.25">
      <c r="A106" s="459">
        <v>99</v>
      </c>
      <c r="B106" s="447">
        <f t="shared" ca="1" si="4"/>
        <v>-25111473.377456136</v>
      </c>
      <c r="C106" s="447">
        <f t="shared" si="0"/>
        <v>0</v>
      </c>
      <c r="D106" s="447">
        <f t="shared" ca="1" si="9"/>
        <v>-364883.73743331182</v>
      </c>
      <c r="E106" s="447">
        <f t="shared" ca="1" si="1"/>
        <v>-25476357.114889447</v>
      </c>
      <c r="F106" s="431"/>
      <c r="G106" s="459">
        <f t="shared" si="13"/>
        <v>9</v>
      </c>
      <c r="H106" s="459">
        <v>99</v>
      </c>
      <c r="I106" s="444">
        <f t="shared" ca="1" si="5"/>
        <v>1302974.4934446667</v>
      </c>
      <c r="J106" s="444">
        <f t="array" ref="J106">IFERROR(INDEX('Retirement Calculator'!J:J,MATCH('Isaac 401k'!N106,'Retirement Calculator'!A:A,0),0),0)</f>
        <v>8395.6297298201844</v>
      </c>
      <c r="K106" s="444">
        <f t="shared" ca="1" si="2"/>
        <v>5394.0785988118605</v>
      </c>
      <c r="L106" s="444">
        <f t="shared" ca="1" si="3"/>
        <v>1299972.9423136583</v>
      </c>
      <c r="M106" s="460">
        <f t="shared" si="6"/>
        <v>0.05</v>
      </c>
      <c r="N106" s="464">
        <f t="shared" si="7"/>
        <v>54271</v>
      </c>
    </row>
    <row r="107" spans="1:14" ht="11.25" customHeight="1" x14ac:dyDescent="0.25">
      <c r="A107" s="459">
        <v>100</v>
      </c>
      <c r="B107" s="447">
        <f t="shared" ca="1" si="4"/>
        <v>-25476357.114889447</v>
      </c>
      <c r="C107" s="447">
        <f t="shared" si="0"/>
        <v>0</v>
      </c>
      <c r="D107" s="447">
        <f t="shared" ca="1" si="9"/>
        <v>-364883.73743331182</v>
      </c>
      <c r="E107" s="447">
        <f t="shared" ca="1" si="1"/>
        <v>-25841240.852322757</v>
      </c>
      <c r="F107" s="431"/>
      <c r="G107" s="459">
        <f t="shared" si="13"/>
        <v>9</v>
      </c>
      <c r="H107" s="459">
        <v>100</v>
      </c>
      <c r="I107" s="444">
        <f t="shared" ca="1" si="5"/>
        <v>1299972.9423136583</v>
      </c>
      <c r="J107" s="444">
        <f t="array" ref="J107">IFERROR(INDEX('Retirement Calculator'!J:J,MATCH('Isaac 401k'!N107,'Retirement Calculator'!A:A,0),0),0)</f>
        <v>8395.6297298201844</v>
      </c>
      <c r="K107" s="444">
        <f t="shared" ca="1" si="2"/>
        <v>5381.5721357659922</v>
      </c>
      <c r="L107" s="444">
        <f t="shared" ca="1" si="3"/>
        <v>1296958.8847196042</v>
      </c>
      <c r="M107" s="460">
        <f t="shared" si="6"/>
        <v>0.05</v>
      </c>
      <c r="N107" s="464">
        <f t="shared" si="7"/>
        <v>54302</v>
      </c>
    </row>
    <row r="108" spans="1:14" ht="11.25" customHeight="1" x14ac:dyDescent="0.25">
      <c r="A108" s="459">
        <v>101</v>
      </c>
      <c r="B108" s="447">
        <f t="shared" ca="1" si="4"/>
        <v>-25841240.852322757</v>
      </c>
      <c r="C108" s="447">
        <f t="shared" si="0"/>
        <v>0</v>
      </c>
      <c r="D108" s="447">
        <f t="shared" ca="1" si="9"/>
        <v>-364883.73743331182</v>
      </c>
      <c r="E108" s="447">
        <f t="shared" ca="1" si="1"/>
        <v>-26206124.589756068</v>
      </c>
      <c r="F108" s="431"/>
      <c r="G108" s="459">
        <f t="shared" si="13"/>
        <v>9</v>
      </c>
      <c r="H108" s="459">
        <v>101</v>
      </c>
      <c r="I108" s="444">
        <f t="shared" ca="1" si="5"/>
        <v>1296958.8847196042</v>
      </c>
      <c r="J108" s="444">
        <f t="array" ref="J108">IFERROR(INDEX('Retirement Calculator'!J:J,MATCH('Isaac 401k'!N108,'Retirement Calculator'!A:A,0),0),0)</f>
        <v>8395.6297298201844</v>
      </c>
      <c r="K108" s="444">
        <f t="shared" ca="1" si="2"/>
        <v>5369.0135624574332</v>
      </c>
      <c r="L108" s="444">
        <f t="shared" ca="1" si="3"/>
        <v>1293932.2685522414</v>
      </c>
      <c r="M108" s="460">
        <f t="shared" si="6"/>
        <v>0.05</v>
      </c>
      <c r="N108" s="464">
        <f t="shared" si="7"/>
        <v>54332</v>
      </c>
    </row>
    <row r="109" spans="1:14" ht="11.25" customHeight="1" x14ac:dyDescent="0.25">
      <c r="A109" s="459">
        <v>102</v>
      </c>
      <c r="B109" s="447">
        <f t="shared" ca="1" si="4"/>
        <v>-26206124.589756068</v>
      </c>
      <c r="C109" s="447">
        <f t="shared" si="0"/>
        <v>0</v>
      </c>
      <c r="D109" s="447">
        <f t="shared" ca="1" si="9"/>
        <v>-364883.73743331182</v>
      </c>
      <c r="E109" s="447">
        <f t="shared" ca="1" si="1"/>
        <v>-26571008.327189378</v>
      </c>
      <c r="F109" s="431"/>
      <c r="G109" s="459">
        <f t="shared" si="13"/>
        <v>9</v>
      </c>
      <c r="H109" s="459">
        <v>102</v>
      </c>
      <c r="I109" s="444">
        <f t="shared" ca="1" si="5"/>
        <v>1293932.2685522414</v>
      </c>
      <c r="J109" s="444">
        <f t="array" ref="J109">IFERROR(INDEX('Retirement Calculator'!J:J,MATCH('Isaac 401k'!N109,'Retirement Calculator'!A:A,0),0),0)</f>
        <v>8395.6297298201844</v>
      </c>
      <c r="K109" s="444">
        <f t="shared" ca="1" si="2"/>
        <v>5356.4026617600884</v>
      </c>
      <c r="L109" s="444">
        <f t="shared" ca="1" si="3"/>
        <v>1290893.0414841813</v>
      </c>
      <c r="M109" s="460">
        <f t="shared" si="6"/>
        <v>0.05</v>
      </c>
      <c r="N109" s="464">
        <f t="shared" si="7"/>
        <v>54363</v>
      </c>
    </row>
    <row r="110" spans="1:14" ht="11.25" customHeight="1" x14ac:dyDescent="0.25">
      <c r="A110" s="459">
        <v>103</v>
      </c>
      <c r="B110" s="447">
        <f t="shared" ca="1" si="4"/>
        <v>-26571008.327189378</v>
      </c>
      <c r="C110" s="447">
        <f t="shared" si="0"/>
        <v>0</v>
      </c>
      <c r="D110" s="447">
        <f t="shared" ca="1" si="9"/>
        <v>-364883.73743331182</v>
      </c>
      <c r="E110" s="447">
        <f t="shared" ca="1" si="1"/>
        <v>-26935892.064622689</v>
      </c>
      <c r="F110" s="431"/>
      <c r="G110" s="459">
        <f t="shared" si="13"/>
        <v>9</v>
      </c>
      <c r="H110" s="459">
        <v>103</v>
      </c>
      <c r="I110" s="444">
        <f t="shared" ca="1" si="5"/>
        <v>1290893.0414841813</v>
      </c>
      <c r="J110" s="444">
        <f t="array" ref="J110">IFERROR(INDEX('Retirement Calculator'!J:J,MATCH('Isaac 401k'!N110,'Retirement Calculator'!A:A,0),0),0)</f>
        <v>8395.6297298201844</v>
      </c>
      <c r="K110" s="444">
        <f t="shared" ca="1" si="2"/>
        <v>5343.7392156431715</v>
      </c>
      <c r="L110" s="444">
        <f t="shared" ca="1" si="3"/>
        <v>1287841.1509700043</v>
      </c>
      <c r="M110" s="460">
        <f t="shared" si="6"/>
        <v>0.05</v>
      </c>
      <c r="N110" s="464">
        <f t="shared" si="7"/>
        <v>54393</v>
      </c>
    </row>
    <row r="111" spans="1:14" ht="11.25" customHeight="1" x14ac:dyDescent="0.25">
      <c r="A111" s="459">
        <v>104</v>
      </c>
      <c r="B111" s="447">
        <f t="shared" ca="1" si="4"/>
        <v>-26935892.064622689</v>
      </c>
      <c r="C111" s="447">
        <f t="shared" si="0"/>
        <v>0</v>
      </c>
      <c r="D111" s="447">
        <f t="shared" ca="1" si="9"/>
        <v>-364883.73743331182</v>
      </c>
      <c r="E111" s="447">
        <f t="shared" ca="1" si="1"/>
        <v>-27300775.802056</v>
      </c>
      <c r="F111" s="431"/>
      <c r="G111" s="459">
        <f t="shared" si="13"/>
        <v>9</v>
      </c>
      <c r="H111" s="459">
        <v>104</v>
      </c>
      <c r="I111" s="444">
        <f t="shared" ca="1" si="5"/>
        <v>1287841.1509700043</v>
      </c>
      <c r="J111" s="444">
        <f t="array" ref="J111">IFERROR(INDEX('Retirement Calculator'!J:J,MATCH('Isaac 401k'!N111,'Retirement Calculator'!A:A,0),0),0)</f>
        <v>8395.6297298201844</v>
      </c>
      <c r="K111" s="444">
        <f t="shared" ca="1" si="2"/>
        <v>5331.0230051674334</v>
      </c>
      <c r="L111" s="444">
        <f t="shared" ca="1" si="3"/>
        <v>1284776.5442453516</v>
      </c>
      <c r="M111" s="460">
        <f t="shared" si="6"/>
        <v>0.05</v>
      </c>
      <c r="N111" s="464">
        <f t="shared" si="7"/>
        <v>54424</v>
      </c>
    </row>
    <row r="112" spans="1:14" ht="11.25" customHeight="1" x14ac:dyDescent="0.25">
      <c r="A112" s="459">
        <v>105</v>
      </c>
      <c r="B112" s="447">
        <f t="shared" ca="1" si="4"/>
        <v>-27300775.802056</v>
      </c>
      <c r="C112" s="447">
        <f t="shared" si="0"/>
        <v>0</v>
      </c>
      <c r="D112" s="447">
        <f t="shared" ca="1" si="9"/>
        <v>-364883.73743331182</v>
      </c>
      <c r="E112" s="447">
        <f t="shared" ca="1" si="1"/>
        <v>-27665659.53948931</v>
      </c>
      <c r="F112" s="431"/>
      <c r="G112" s="459">
        <f t="shared" si="13"/>
        <v>9</v>
      </c>
      <c r="H112" s="459">
        <v>105</v>
      </c>
      <c r="I112" s="444">
        <f t="shared" ca="1" si="5"/>
        <v>1284776.5442453516</v>
      </c>
      <c r="J112" s="444">
        <f t="array" ref="J112">IFERROR(INDEX('Retirement Calculator'!J:J,MATCH('Isaac 401k'!N112,'Retirement Calculator'!A:A,0),0),0)</f>
        <v>8395.6297298201844</v>
      </c>
      <c r="K112" s="444">
        <f t="shared" ca="1" si="2"/>
        <v>5318.2538104813812</v>
      </c>
      <c r="L112" s="444">
        <f t="shared" ca="1" si="3"/>
        <v>1281699.1683260128</v>
      </c>
      <c r="M112" s="460">
        <f t="shared" si="6"/>
        <v>0.05</v>
      </c>
      <c r="N112" s="464">
        <f t="shared" si="7"/>
        <v>54455</v>
      </c>
    </row>
    <row r="113" spans="1:14" ht="11.25" customHeight="1" x14ac:dyDescent="0.25">
      <c r="A113" s="459">
        <v>106</v>
      </c>
      <c r="B113" s="447">
        <f t="shared" ca="1" si="4"/>
        <v>-27665659.53948931</v>
      </c>
      <c r="C113" s="447">
        <f t="shared" si="0"/>
        <v>0</v>
      </c>
      <c r="D113" s="447">
        <f t="shared" ca="1" si="9"/>
        <v>-364883.73743331182</v>
      </c>
      <c r="E113" s="447">
        <f t="shared" ca="1" si="1"/>
        <v>-28030543.276922621</v>
      </c>
      <c r="F113" s="431"/>
      <c r="G113" s="459">
        <f t="shared" si="13"/>
        <v>9</v>
      </c>
      <c r="H113" s="459">
        <v>106</v>
      </c>
      <c r="I113" s="444">
        <f t="shared" ca="1" si="5"/>
        <v>1281699.1683260128</v>
      </c>
      <c r="J113" s="444">
        <f t="array" ref="J113">IFERROR(INDEX('Retirement Calculator'!J:J,MATCH('Isaac 401k'!N113,'Retirement Calculator'!A:A,0),0),0)</f>
        <v>8395.6297298201844</v>
      </c>
      <c r="K113" s="444">
        <f t="shared" ca="1" si="2"/>
        <v>5305.4314108174694</v>
      </c>
      <c r="L113" s="444">
        <f t="shared" ca="1" si="3"/>
        <v>1278608.97000701</v>
      </c>
      <c r="M113" s="460">
        <f t="shared" si="6"/>
        <v>0.05</v>
      </c>
      <c r="N113" s="464">
        <f t="shared" si="7"/>
        <v>54483</v>
      </c>
    </row>
    <row r="114" spans="1:14" ht="11.25" customHeight="1" x14ac:dyDescent="0.25">
      <c r="A114" s="459">
        <v>107</v>
      </c>
      <c r="B114" s="447">
        <f t="shared" ca="1" si="4"/>
        <v>-28030543.276922621</v>
      </c>
      <c r="C114" s="447">
        <f t="shared" si="0"/>
        <v>0</v>
      </c>
      <c r="D114" s="447">
        <f t="shared" ca="1" si="9"/>
        <v>-364883.73743331182</v>
      </c>
      <c r="E114" s="447">
        <f t="shared" ca="1" si="1"/>
        <v>-28395427.014355931</v>
      </c>
      <c r="F114" s="431"/>
      <c r="G114" s="459">
        <f t="shared" si="13"/>
        <v>9</v>
      </c>
      <c r="H114" s="459">
        <v>107</v>
      </c>
      <c r="I114" s="444">
        <f t="shared" ca="1" si="5"/>
        <v>1278608.97000701</v>
      </c>
      <c r="J114" s="444">
        <f t="array" ref="J114">IFERROR(INDEX('Retirement Calculator'!J:J,MATCH('Isaac 401k'!N114,'Retirement Calculator'!A:A,0),0),0)</f>
        <v>8395.6297298201844</v>
      </c>
      <c r="K114" s="444">
        <f t="shared" ca="1" si="2"/>
        <v>5292.5555844882911</v>
      </c>
      <c r="L114" s="444">
        <f t="shared" ca="1" si="3"/>
        <v>1275505.8958616781</v>
      </c>
      <c r="M114" s="460">
        <f t="shared" si="6"/>
        <v>0.05</v>
      </c>
      <c r="N114" s="464">
        <f t="shared" si="7"/>
        <v>54514</v>
      </c>
    </row>
    <row r="115" spans="1:14" ht="11.25" customHeight="1" x14ac:dyDescent="0.25">
      <c r="A115" s="459">
        <v>108</v>
      </c>
      <c r="B115" s="447">
        <f t="shared" ca="1" si="4"/>
        <v>-28395427.014355931</v>
      </c>
      <c r="C115" s="447">
        <f t="shared" si="0"/>
        <v>0</v>
      </c>
      <c r="D115" s="447">
        <f t="shared" ca="1" si="9"/>
        <v>-364883.73743331182</v>
      </c>
      <c r="E115" s="447">
        <f t="shared" ca="1" si="1"/>
        <v>-28760310.751789242</v>
      </c>
      <c r="F115" s="431"/>
      <c r="G115" s="459">
        <f t="shared" si="13"/>
        <v>9</v>
      </c>
      <c r="H115" s="459">
        <v>108</v>
      </c>
      <c r="I115" s="444">
        <f t="shared" ca="1" si="5"/>
        <v>1275505.8958616781</v>
      </c>
      <c r="J115" s="444">
        <f t="array" ref="J115">IFERROR(INDEX('Retirement Calculator'!J:J,MATCH('Isaac 401k'!N115,'Retirement Calculator'!A:A,0),0),0)</f>
        <v>8395.6297298201844</v>
      </c>
      <c r="K115" s="444">
        <f t="shared" ca="1" si="2"/>
        <v>5279.6261088827414</v>
      </c>
      <c r="L115" s="444">
        <f t="shared" ca="1" si="3"/>
        <v>1272389.8922407406</v>
      </c>
      <c r="M115" s="460">
        <f t="shared" si="6"/>
        <v>0.05</v>
      </c>
      <c r="N115" s="464">
        <f t="shared" si="7"/>
        <v>54544</v>
      </c>
    </row>
    <row r="116" spans="1:14" ht="11.25" customHeight="1" x14ac:dyDescent="0.25">
      <c r="A116" s="459">
        <v>109</v>
      </c>
      <c r="B116" s="447">
        <f t="shared" ca="1" si="4"/>
        <v>-28760310.751789242</v>
      </c>
      <c r="C116" s="447">
        <f t="shared" si="0"/>
        <v>0</v>
      </c>
      <c r="D116" s="447">
        <f t="shared" ca="1" si="9"/>
        <v>-364883.73743331182</v>
      </c>
      <c r="E116" s="447">
        <f t="shared" ca="1" si="1"/>
        <v>-29125194.489222553</v>
      </c>
      <c r="F116" s="431"/>
      <c r="G116" s="459">
        <f>G115+1</f>
        <v>10</v>
      </c>
      <c r="H116" s="459">
        <v>109</v>
      </c>
      <c r="I116" s="444">
        <f t="shared" ca="1" si="5"/>
        <v>1272389.8922407406</v>
      </c>
      <c r="J116" s="444">
        <f t="array" ref="J116">IFERROR(INDEX('Retirement Calculator'!J:J,MATCH('Isaac 401k'!N116,'Retirement Calculator'!A:A,0),0),0)</f>
        <v>8395.6297298201844</v>
      </c>
      <c r="K116" s="444">
        <f t="shared" ca="1" si="2"/>
        <v>5266.6427604621686</v>
      </c>
      <c r="L116" s="444">
        <f t="shared" ca="1" si="3"/>
        <v>1269260.9052713825</v>
      </c>
      <c r="M116" s="460">
        <f t="shared" si="6"/>
        <v>0.05</v>
      </c>
      <c r="N116" s="464">
        <f t="shared" si="7"/>
        <v>54575</v>
      </c>
    </row>
    <row r="117" spans="1:14" ht="11.25" customHeight="1" x14ac:dyDescent="0.25">
      <c r="A117" s="459">
        <v>110</v>
      </c>
      <c r="B117" s="447">
        <f t="shared" ca="1" si="4"/>
        <v>-29125194.489222553</v>
      </c>
      <c r="C117" s="447">
        <f t="shared" si="0"/>
        <v>0</v>
      </c>
      <c r="D117" s="447">
        <f t="shared" ca="1" si="9"/>
        <v>-364883.73743331182</v>
      </c>
      <c r="E117" s="447">
        <f t="shared" ca="1" si="1"/>
        <v>-29490078.226655863</v>
      </c>
      <c r="F117" s="431"/>
      <c r="G117" s="459">
        <f t="shared" ref="G117:G127" si="14">G116</f>
        <v>10</v>
      </c>
      <c r="H117" s="459">
        <v>110</v>
      </c>
      <c r="I117" s="444">
        <f t="shared" ca="1" si="5"/>
        <v>1269260.9052713825</v>
      </c>
      <c r="J117" s="444">
        <f t="array" ref="J117">IFERROR(INDEX('Retirement Calculator'!J:J,MATCH('Isaac 401k'!N117,'Retirement Calculator'!A:A,0),0),0)</f>
        <v>8395.6297298201844</v>
      </c>
      <c r="K117" s="444">
        <f t="shared" ca="1" si="2"/>
        <v>5253.6053147565099</v>
      </c>
      <c r="L117" s="444">
        <f t="shared" ca="1" si="3"/>
        <v>1266118.8808563189</v>
      </c>
      <c r="M117" s="460">
        <f t="shared" si="6"/>
        <v>0.05</v>
      </c>
      <c r="N117" s="464">
        <f t="shared" si="7"/>
        <v>54605</v>
      </c>
    </row>
    <row r="118" spans="1:14" ht="11.25" customHeight="1" x14ac:dyDescent="0.25">
      <c r="A118" s="459">
        <v>111</v>
      </c>
      <c r="B118" s="447">
        <f t="shared" ca="1" si="4"/>
        <v>-29490078.226655863</v>
      </c>
      <c r="C118" s="447">
        <f t="shared" si="0"/>
        <v>0</v>
      </c>
      <c r="D118" s="447">
        <f t="shared" ca="1" si="9"/>
        <v>-364883.73743331182</v>
      </c>
      <c r="E118" s="447">
        <f t="shared" ca="1" si="1"/>
        <v>-29854961.964089174</v>
      </c>
      <c r="F118" s="431"/>
      <c r="G118" s="459">
        <f t="shared" si="14"/>
        <v>10</v>
      </c>
      <c r="H118" s="459">
        <v>111</v>
      </c>
      <c r="I118" s="444">
        <f t="shared" ca="1" si="5"/>
        <v>1266118.8808563189</v>
      </c>
      <c r="J118" s="444">
        <f t="array" ref="J118">IFERROR(INDEX('Retirement Calculator'!J:J,MATCH('Isaac 401k'!N118,'Retirement Calculator'!A:A,0),0),0)</f>
        <v>8395.6297298201844</v>
      </c>
      <c r="K118" s="444">
        <f t="shared" ca="1" si="2"/>
        <v>5240.5135463604111</v>
      </c>
      <c r="L118" s="444">
        <f t="shared" ca="1" si="3"/>
        <v>1262963.7646728591</v>
      </c>
      <c r="M118" s="460">
        <f t="shared" si="6"/>
        <v>0.05</v>
      </c>
      <c r="N118" s="464">
        <f t="shared" si="7"/>
        <v>54636</v>
      </c>
    </row>
    <row r="119" spans="1:14" ht="11.25" customHeight="1" x14ac:dyDescent="0.25">
      <c r="A119" s="459">
        <v>112</v>
      </c>
      <c r="B119" s="447">
        <f t="shared" ca="1" si="4"/>
        <v>-29854961.964089174</v>
      </c>
      <c r="C119" s="447">
        <f t="shared" si="0"/>
        <v>0</v>
      </c>
      <c r="D119" s="447">
        <f t="shared" ca="1" si="9"/>
        <v>-364883.73743331182</v>
      </c>
      <c r="E119" s="447">
        <f t="shared" ca="1" si="1"/>
        <v>-30219845.701522484</v>
      </c>
      <c r="F119" s="431"/>
      <c r="G119" s="459">
        <f t="shared" si="14"/>
        <v>10</v>
      </c>
      <c r="H119" s="459">
        <v>112</v>
      </c>
      <c r="I119" s="444">
        <f t="shared" ca="1" si="5"/>
        <v>1262963.7646728591</v>
      </c>
      <c r="J119" s="444">
        <f t="array" ref="J119">IFERROR(INDEX('Retirement Calculator'!J:J,MATCH('Isaac 401k'!N119,'Retirement Calculator'!A:A,0),0),0)</f>
        <v>8395.6297298201844</v>
      </c>
      <c r="K119" s="444">
        <f t="shared" ca="1" si="2"/>
        <v>5227.367228929329</v>
      </c>
      <c r="L119" s="444">
        <f t="shared" ca="1" si="3"/>
        <v>1259795.5021719683</v>
      </c>
      <c r="M119" s="460">
        <f t="shared" si="6"/>
        <v>0.05</v>
      </c>
      <c r="N119" s="464">
        <f t="shared" si="7"/>
        <v>54667</v>
      </c>
    </row>
    <row r="120" spans="1:14" ht="11.25" customHeight="1" x14ac:dyDescent="0.25">
      <c r="A120" s="459">
        <v>113</v>
      </c>
      <c r="B120" s="447">
        <f t="shared" ca="1" si="4"/>
        <v>-30219845.701522484</v>
      </c>
      <c r="C120" s="447">
        <f t="shared" si="0"/>
        <v>0</v>
      </c>
      <c r="D120" s="447">
        <f t="shared" ca="1" si="9"/>
        <v>-364883.73743331182</v>
      </c>
      <c r="E120" s="447">
        <f t="shared" ca="1" si="1"/>
        <v>-30584729.438955795</v>
      </c>
      <c r="F120" s="431"/>
      <c r="G120" s="459">
        <f t="shared" si="14"/>
        <v>10</v>
      </c>
      <c r="H120" s="459">
        <v>113</v>
      </c>
      <c r="I120" s="444">
        <f t="shared" ca="1" si="5"/>
        <v>1259795.5021719683</v>
      </c>
      <c r="J120" s="444">
        <f t="array" ref="J120">IFERROR(INDEX('Retirement Calculator'!J:J,MATCH('Isaac 401k'!N120,'Retirement Calculator'!A:A,0),0),0)</f>
        <v>8395.6297298201844</v>
      </c>
      <c r="K120" s="444">
        <f t="shared" ca="1" si="2"/>
        <v>5214.1661351756175</v>
      </c>
      <c r="L120" s="444">
        <f t="shared" ca="1" si="3"/>
        <v>1256614.0385773238</v>
      </c>
      <c r="M120" s="460">
        <f t="shared" si="6"/>
        <v>0.05</v>
      </c>
      <c r="N120" s="464">
        <f t="shared" si="7"/>
        <v>54697</v>
      </c>
    </row>
    <row r="121" spans="1:14" ht="11.25" customHeight="1" x14ac:dyDescent="0.25">
      <c r="A121" s="459">
        <v>114</v>
      </c>
      <c r="B121" s="447">
        <f t="shared" ca="1" si="4"/>
        <v>-30584729.438955795</v>
      </c>
      <c r="C121" s="447">
        <f t="shared" si="0"/>
        <v>0</v>
      </c>
      <c r="D121" s="447">
        <f t="shared" ca="1" si="9"/>
        <v>-364883.73743331182</v>
      </c>
      <c r="E121" s="447">
        <f t="shared" ca="1" si="1"/>
        <v>-30949613.176389106</v>
      </c>
      <c r="F121" s="431"/>
      <c r="G121" s="459">
        <f t="shared" si="14"/>
        <v>10</v>
      </c>
      <c r="H121" s="459">
        <v>114</v>
      </c>
      <c r="I121" s="444">
        <f t="shared" ca="1" si="5"/>
        <v>1256614.0385773238</v>
      </c>
      <c r="J121" s="444">
        <f t="array" ref="J121">IFERROR(INDEX('Retirement Calculator'!J:J,MATCH('Isaac 401k'!N121,'Retirement Calculator'!A:A,0),0),0)</f>
        <v>8395.6297298201844</v>
      </c>
      <c r="K121" s="444">
        <f t="shared" ca="1" si="2"/>
        <v>5200.9100368645986</v>
      </c>
      <c r="L121" s="444">
        <f t="shared" ca="1" si="3"/>
        <v>1253419.3188843683</v>
      </c>
      <c r="M121" s="460">
        <f t="shared" si="6"/>
        <v>0.05</v>
      </c>
      <c r="N121" s="464">
        <f t="shared" si="7"/>
        <v>54728</v>
      </c>
    </row>
    <row r="122" spans="1:14" ht="11.25" customHeight="1" x14ac:dyDescent="0.25">
      <c r="A122" s="459">
        <v>115</v>
      </c>
      <c r="B122" s="447">
        <f t="shared" ca="1" si="4"/>
        <v>-30949613.176389106</v>
      </c>
      <c r="C122" s="447">
        <f t="shared" si="0"/>
        <v>0</v>
      </c>
      <c r="D122" s="447">
        <f t="shared" ca="1" si="9"/>
        <v>-364883.73743331182</v>
      </c>
      <c r="E122" s="447">
        <f t="shared" ca="1" si="1"/>
        <v>-31314496.913822416</v>
      </c>
      <c r="F122" s="431"/>
      <c r="G122" s="459">
        <f t="shared" si="14"/>
        <v>10</v>
      </c>
      <c r="H122" s="459">
        <v>115</v>
      </c>
      <c r="I122" s="444">
        <f t="shared" ca="1" si="5"/>
        <v>1253419.3188843683</v>
      </c>
      <c r="J122" s="444">
        <f t="array" ref="J122">IFERROR(INDEX('Retirement Calculator'!J:J,MATCH('Isaac 401k'!N122,'Retirement Calculator'!A:A,0),0),0)</f>
        <v>8395.6297298201844</v>
      </c>
      <c r="K122" s="444">
        <f t="shared" ca="1" si="2"/>
        <v>5187.5987048106172</v>
      </c>
      <c r="L122" s="444">
        <f t="shared" ca="1" si="3"/>
        <v>1250211.2878593588</v>
      </c>
      <c r="M122" s="460">
        <f t="shared" si="6"/>
        <v>0.05</v>
      </c>
      <c r="N122" s="464">
        <f t="shared" si="7"/>
        <v>54758</v>
      </c>
    </row>
    <row r="123" spans="1:14" ht="11.25" customHeight="1" x14ac:dyDescent="0.25">
      <c r="A123" s="459">
        <v>116</v>
      </c>
      <c r="B123" s="447">
        <f t="shared" ca="1" si="4"/>
        <v>-31314496.913822416</v>
      </c>
      <c r="C123" s="447">
        <f t="shared" si="0"/>
        <v>0</v>
      </c>
      <c r="D123" s="447">
        <f t="shared" ca="1" si="9"/>
        <v>-364883.73743331182</v>
      </c>
      <c r="E123" s="447">
        <f t="shared" ca="1" si="1"/>
        <v>-31679380.651255727</v>
      </c>
      <c r="F123" s="431"/>
      <c r="G123" s="459">
        <f t="shared" si="14"/>
        <v>10</v>
      </c>
      <c r="H123" s="459">
        <v>116</v>
      </c>
      <c r="I123" s="444">
        <f t="shared" ca="1" si="5"/>
        <v>1250211.2878593588</v>
      </c>
      <c r="J123" s="444">
        <f t="array" ref="J123">IFERROR(INDEX('Retirement Calculator'!J:J,MATCH('Isaac 401k'!N123,'Retirement Calculator'!A:A,0),0),0)</f>
        <v>8395.6297298201844</v>
      </c>
      <c r="K123" s="444">
        <f t="shared" ca="1" si="2"/>
        <v>5174.2319088730774</v>
      </c>
      <c r="L123" s="444">
        <f t="shared" ca="1" si="3"/>
        <v>1246989.8900384118</v>
      </c>
      <c r="M123" s="460">
        <f t="shared" si="6"/>
        <v>0.05</v>
      </c>
      <c r="N123" s="464">
        <f t="shared" si="7"/>
        <v>54789</v>
      </c>
    </row>
    <row r="124" spans="1:14" ht="11.25" customHeight="1" x14ac:dyDescent="0.25">
      <c r="A124" s="459">
        <v>117</v>
      </c>
      <c r="B124" s="447">
        <f t="shared" ca="1" si="4"/>
        <v>-31679380.651255727</v>
      </c>
      <c r="C124" s="447">
        <f t="shared" si="0"/>
        <v>0</v>
      </c>
      <c r="D124" s="447">
        <f t="shared" ca="1" si="9"/>
        <v>-364883.73743331182</v>
      </c>
      <c r="E124" s="447">
        <f t="shared" ca="1" si="1"/>
        <v>-32044264.388689037</v>
      </c>
      <c r="F124" s="431"/>
      <c r="G124" s="459">
        <f t="shared" si="14"/>
        <v>10</v>
      </c>
      <c r="H124" s="459">
        <v>117</v>
      </c>
      <c r="I124" s="444">
        <f t="shared" ca="1" si="5"/>
        <v>1246989.8900384118</v>
      </c>
      <c r="J124" s="444">
        <f t="array" ref="J124">IFERROR(INDEX('Retirement Calculator'!J:J,MATCH('Isaac 401k'!N124,'Retirement Calculator'!A:A,0),0),0)</f>
        <v>8395.6297298201844</v>
      </c>
      <c r="K124" s="444">
        <f t="shared" ca="1" si="2"/>
        <v>5160.8094179524651</v>
      </c>
      <c r="L124" s="444">
        <f t="shared" ca="1" si="3"/>
        <v>1243755.0697265442</v>
      </c>
      <c r="M124" s="460">
        <f t="shared" si="6"/>
        <v>0.05</v>
      </c>
      <c r="N124" s="464">
        <f t="shared" si="7"/>
        <v>54820</v>
      </c>
    </row>
    <row r="125" spans="1:14" ht="11.25" customHeight="1" x14ac:dyDescent="0.25">
      <c r="A125" s="459">
        <v>118</v>
      </c>
      <c r="B125" s="447">
        <f t="shared" ca="1" si="4"/>
        <v>-32044264.388689037</v>
      </c>
      <c r="C125" s="447">
        <f t="shared" si="0"/>
        <v>0</v>
      </c>
      <c r="D125" s="447">
        <f t="shared" ca="1" si="9"/>
        <v>-364883.73743331182</v>
      </c>
      <c r="E125" s="447">
        <f t="shared" ca="1" si="1"/>
        <v>-32409148.126122348</v>
      </c>
      <c r="F125" s="431"/>
      <c r="G125" s="459">
        <f t="shared" si="14"/>
        <v>10</v>
      </c>
      <c r="H125" s="459">
        <v>118</v>
      </c>
      <c r="I125" s="444">
        <f t="shared" ca="1" si="5"/>
        <v>1243755.0697265442</v>
      </c>
      <c r="J125" s="444">
        <f t="array" ref="J125">IFERROR(INDEX('Retirement Calculator'!J:J,MATCH('Isaac 401k'!N125,'Retirement Calculator'!A:A,0),0),0)</f>
        <v>8395.6297298201844</v>
      </c>
      <c r="K125" s="444">
        <f t="shared" ca="1" si="2"/>
        <v>5147.3309999863504</v>
      </c>
      <c r="L125" s="444">
        <f t="shared" ca="1" si="3"/>
        <v>1240506.7709967103</v>
      </c>
      <c r="M125" s="460">
        <f t="shared" si="6"/>
        <v>0.05</v>
      </c>
      <c r="N125" s="464">
        <f t="shared" si="7"/>
        <v>54848</v>
      </c>
    </row>
    <row r="126" spans="1:14" ht="11.25" customHeight="1" x14ac:dyDescent="0.25">
      <c r="A126" s="459">
        <v>119</v>
      </c>
      <c r="B126" s="447">
        <f t="shared" ca="1" si="4"/>
        <v>-32409148.126122348</v>
      </c>
      <c r="C126" s="447">
        <f t="shared" si="0"/>
        <v>0</v>
      </c>
      <c r="D126" s="447">
        <f t="shared" ca="1" si="9"/>
        <v>-364883.73743331182</v>
      </c>
      <c r="E126" s="447">
        <f t="shared" ca="1" si="1"/>
        <v>-32774031.863555659</v>
      </c>
      <c r="F126" s="431"/>
      <c r="G126" s="459">
        <f t="shared" si="14"/>
        <v>10</v>
      </c>
      <c r="H126" s="459">
        <v>119</v>
      </c>
      <c r="I126" s="444">
        <f t="shared" ca="1" si="5"/>
        <v>1240506.7709967103</v>
      </c>
      <c r="J126" s="444">
        <f t="array" ref="J126">IFERROR(INDEX('Retirement Calculator'!J:J,MATCH('Isaac 401k'!N126,'Retirement Calculator'!A:A,0),0),0)</f>
        <v>8395.6297298201844</v>
      </c>
      <c r="K126" s="444">
        <f t="shared" ca="1" si="2"/>
        <v>5133.7964219453752</v>
      </c>
      <c r="L126" s="444">
        <f t="shared" ca="1" si="3"/>
        <v>1237244.9376888354</v>
      </c>
      <c r="M126" s="460">
        <f t="shared" si="6"/>
        <v>0.05</v>
      </c>
      <c r="N126" s="464">
        <f t="shared" si="7"/>
        <v>54879</v>
      </c>
    </row>
    <row r="127" spans="1:14" ht="11.25" customHeight="1" x14ac:dyDescent="0.25">
      <c r="A127" s="459">
        <v>120</v>
      </c>
      <c r="B127" s="447">
        <f t="shared" ca="1" si="4"/>
        <v>-32774031.863555659</v>
      </c>
      <c r="C127" s="447">
        <f t="shared" si="0"/>
        <v>0</v>
      </c>
      <c r="D127" s="447">
        <f t="shared" ca="1" si="9"/>
        <v>-364883.73743331182</v>
      </c>
      <c r="E127" s="447">
        <f t="shared" ca="1" si="1"/>
        <v>-33138915.600988969</v>
      </c>
      <c r="F127" s="431"/>
      <c r="G127" s="459">
        <f t="shared" si="14"/>
        <v>10</v>
      </c>
      <c r="H127" s="459">
        <v>120</v>
      </c>
      <c r="I127" s="444">
        <f t="shared" ca="1" si="5"/>
        <v>1237244.9376888354</v>
      </c>
      <c r="J127" s="444">
        <f t="array" ref="J127">IFERROR(INDEX('Retirement Calculator'!J:J,MATCH('Isaac 401k'!N127,'Retirement Calculator'!A:A,0),0),0)</f>
        <v>8395.6297298201844</v>
      </c>
      <c r="K127" s="444">
        <f t="shared" ca="1" si="2"/>
        <v>5120.20544982923</v>
      </c>
      <c r="L127" s="444">
        <f t="shared" ca="1" si="3"/>
        <v>1233969.5134088446</v>
      </c>
      <c r="M127" s="460">
        <f t="shared" si="6"/>
        <v>0.05</v>
      </c>
      <c r="N127" s="464">
        <f t="shared" si="7"/>
        <v>54909</v>
      </c>
    </row>
    <row r="128" spans="1:14" ht="11.25" customHeight="1" x14ac:dyDescent="0.25">
      <c r="A128" s="459">
        <v>121</v>
      </c>
      <c r="B128" s="447">
        <f t="shared" ca="1" si="4"/>
        <v>-33138915.600988969</v>
      </c>
      <c r="C128" s="447">
        <f t="shared" si="0"/>
        <v>0</v>
      </c>
      <c r="D128" s="447">
        <f t="shared" ca="1" si="9"/>
        <v>-364883.73743331182</v>
      </c>
      <c r="E128" s="447">
        <f t="shared" ca="1" si="1"/>
        <v>-33503799.33842228</v>
      </c>
      <c r="F128" s="431"/>
      <c r="G128" s="459">
        <f>G127+1</f>
        <v>11</v>
      </c>
      <c r="H128" s="459">
        <v>121</v>
      </c>
      <c r="I128" s="444">
        <f t="shared" ca="1" si="5"/>
        <v>1233969.5134088446</v>
      </c>
      <c r="J128" s="444">
        <f t="array" ref="J128">IFERROR(INDEX('Retirement Calculator'!J:J,MATCH('Isaac 401k'!N128,'Retirement Calculator'!A:A,0),0),0)</f>
        <v>8395.6297298201844</v>
      </c>
      <c r="K128" s="444">
        <f t="shared" ca="1" si="2"/>
        <v>5106.5578486626018</v>
      </c>
      <c r="L128" s="444">
        <f t="shared" ca="1" si="3"/>
        <v>1230680.441527687</v>
      </c>
      <c r="M128" s="460">
        <f t="shared" si="6"/>
        <v>0.05</v>
      </c>
      <c r="N128" s="464">
        <f t="shared" si="7"/>
        <v>54940</v>
      </c>
    </row>
    <row r="129" spans="1:14" ht="11.25" customHeight="1" x14ac:dyDescent="0.25">
      <c r="A129" s="459">
        <v>122</v>
      </c>
      <c r="B129" s="447">
        <f t="shared" ca="1" si="4"/>
        <v>-33503799.33842228</v>
      </c>
      <c r="C129" s="447">
        <f t="shared" si="0"/>
        <v>0</v>
      </c>
      <c r="D129" s="447">
        <f t="shared" ca="1" si="9"/>
        <v>-364883.73743331182</v>
      </c>
      <c r="E129" s="447">
        <f t="shared" ca="1" si="1"/>
        <v>-33868683.07585559</v>
      </c>
      <c r="F129" s="431"/>
      <c r="G129" s="459">
        <f t="shared" ref="G129:G139" si="15">G128</f>
        <v>11</v>
      </c>
      <c r="H129" s="459">
        <v>122</v>
      </c>
      <c r="I129" s="444">
        <f t="shared" ca="1" si="5"/>
        <v>1230680.441527687</v>
      </c>
      <c r="J129" s="444">
        <f t="array" ref="J129">IFERROR(INDEX('Retirement Calculator'!J:J,MATCH('Isaac 401k'!N129,'Retirement Calculator'!A:A,0),0),0)</f>
        <v>8395.6297298201844</v>
      </c>
      <c r="K129" s="444">
        <f t="shared" ca="1" si="2"/>
        <v>5092.8533824911119</v>
      </c>
      <c r="L129" s="444">
        <f t="shared" ca="1" si="3"/>
        <v>1227377.6651803579</v>
      </c>
      <c r="M129" s="460">
        <f t="shared" si="6"/>
        <v>0.05</v>
      </c>
      <c r="N129" s="464">
        <f t="shared" si="7"/>
        <v>54970</v>
      </c>
    </row>
    <row r="130" spans="1:14" ht="11.25" customHeight="1" x14ac:dyDescent="0.25">
      <c r="A130" s="459">
        <v>123</v>
      </c>
      <c r="B130" s="447">
        <f t="shared" ca="1" si="4"/>
        <v>-33868683.07585559</v>
      </c>
      <c r="C130" s="447">
        <f t="shared" si="0"/>
        <v>0</v>
      </c>
      <c r="D130" s="447">
        <f t="shared" ca="1" si="9"/>
        <v>-364883.73743331182</v>
      </c>
      <c r="E130" s="447">
        <f t="shared" ca="1" si="1"/>
        <v>-34233566.813288905</v>
      </c>
      <c r="F130" s="431"/>
      <c r="G130" s="459">
        <f t="shared" si="15"/>
        <v>11</v>
      </c>
      <c r="H130" s="459">
        <v>123</v>
      </c>
      <c r="I130" s="444">
        <f t="shared" ca="1" si="5"/>
        <v>1227377.6651803579</v>
      </c>
      <c r="J130" s="444">
        <f t="array" ref="J130">IFERROR(INDEX('Retirement Calculator'!J:J,MATCH('Isaac 401k'!N130,'Retirement Calculator'!A:A,0),0),0)</f>
        <v>8395.6297298201844</v>
      </c>
      <c r="K130" s="444">
        <f t="shared" ca="1" si="2"/>
        <v>5079.0918143772406</v>
      </c>
      <c r="L130" s="444">
        <f t="shared" ca="1" si="3"/>
        <v>1224061.127264915</v>
      </c>
      <c r="M130" s="460">
        <f t="shared" si="6"/>
        <v>0.05</v>
      </c>
      <c r="N130" s="464">
        <f t="shared" si="7"/>
        <v>55001</v>
      </c>
    </row>
    <row r="131" spans="1:14" ht="11.25" customHeight="1" x14ac:dyDescent="0.25">
      <c r="A131" s="459">
        <v>124</v>
      </c>
      <c r="B131" s="447">
        <f t="shared" ca="1" si="4"/>
        <v>-34233566.813288905</v>
      </c>
      <c r="C131" s="447">
        <f t="shared" si="0"/>
        <v>0</v>
      </c>
      <c r="D131" s="447">
        <f t="shared" ca="1" si="9"/>
        <v>-364883.73743331182</v>
      </c>
      <c r="E131" s="447">
        <f t="shared" ca="1" si="1"/>
        <v>-34598450.550722219</v>
      </c>
      <c r="F131" s="431"/>
      <c r="G131" s="459">
        <f t="shared" si="15"/>
        <v>11</v>
      </c>
      <c r="H131" s="459">
        <v>124</v>
      </c>
      <c r="I131" s="444">
        <f t="shared" ca="1" si="5"/>
        <v>1224061.127264915</v>
      </c>
      <c r="J131" s="444">
        <f t="array" ref="J131">IFERROR(INDEX('Retirement Calculator'!J:J,MATCH('Isaac 401k'!N131,'Retirement Calculator'!A:A,0),0),0)</f>
        <v>8395.6297298201844</v>
      </c>
      <c r="K131" s="444">
        <f t="shared" ca="1" si="2"/>
        <v>5065.2729063962288</v>
      </c>
      <c r="L131" s="444">
        <f t="shared" ca="1" si="3"/>
        <v>1220730.7704414912</v>
      </c>
      <c r="M131" s="460">
        <f t="shared" si="6"/>
        <v>0.05</v>
      </c>
      <c r="N131" s="464">
        <f t="shared" si="7"/>
        <v>55032</v>
      </c>
    </row>
    <row r="132" spans="1:14" ht="11.25" customHeight="1" x14ac:dyDescent="0.25">
      <c r="A132" s="459">
        <v>125</v>
      </c>
      <c r="B132" s="447">
        <f t="shared" ca="1" si="4"/>
        <v>-34598450.550722219</v>
      </c>
      <c r="C132" s="447">
        <f t="shared" si="0"/>
        <v>0</v>
      </c>
      <c r="D132" s="447">
        <f t="shared" ca="1" si="9"/>
        <v>-364883.73743331182</v>
      </c>
      <c r="E132" s="447">
        <f t="shared" ca="1" si="1"/>
        <v>-34963334.288155533</v>
      </c>
      <c r="F132" s="431"/>
      <c r="G132" s="459">
        <f t="shared" si="15"/>
        <v>11</v>
      </c>
      <c r="H132" s="459">
        <v>125</v>
      </c>
      <c r="I132" s="444">
        <f t="shared" ca="1" si="5"/>
        <v>1220730.7704414912</v>
      </c>
      <c r="J132" s="444">
        <f t="array" ref="J132">IFERROR(INDEX('Retirement Calculator'!J:J,MATCH('Isaac 401k'!N132,'Retirement Calculator'!A:A,0),0),0)</f>
        <v>8395.6297298201844</v>
      </c>
      <c r="K132" s="444">
        <f t="shared" ca="1" si="2"/>
        <v>5051.3964196319621</v>
      </c>
      <c r="L132" s="444">
        <f t="shared" ca="1" si="3"/>
        <v>1217386.537131303</v>
      </c>
      <c r="M132" s="460">
        <f t="shared" si="6"/>
        <v>0.05</v>
      </c>
      <c r="N132" s="464">
        <f t="shared" si="7"/>
        <v>55062</v>
      </c>
    </row>
    <row r="133" spans="1:14" ht="11.25" customHeight="1" x14ac:dyDescent="0.25">
      <c r="A133" s="459">
        <v>126</v>
      </c>
      <c r="B133" s="447">
        <f t="shared" ca="1" si="4"/>
        <v>-34963334.288155533</v>
      </c>
      <c r="C133" s="447">
        <f t="shared" si="0"/>
        <v>0</v>
      </c>
      <c r="D133" s="447">
        <f t="shared" ca="1" si="9"/>
        <v>-364883.73743331182</v>
      </c>
      <c r="E133" s="447">
        <f t="shared" ca="1" si="1"/>
        <v>-35328218.025588848</v>
      </c>
      <c r="F133" s="431"/>
      <c r="G133" s="459">
        <f t="shared" si="15"/>
        <v>11</v>
      </c>
      <c r="H133" s="459">
        <v>126</v>
      </c>
      <c r="I133" s="444">
        <f t="shared" ca="1" si="5"/>
        <v>1217386.537131303</v>
      </c>
      <c r="J133" s="444">
        <f t="array" ref="J133">IFERROR(INDEX('Retirement Calculator'!J:J,MATCH('Isaac 401k'!N133,'Retirement Calculator'!A:A,0),0),0)</f>
        <v>8395.6297298201844</v>
      </c>
      <c r="K133" s="444">
        <f t="shared" ca="1" si="2"/>
        <v>5037.4621141728448</v>
      </c>
      <c r="L133" s="444">
        <f t="shared" ca="1" si="3"/>
        <v>1214028.3695156556</v>
      </c>
      <c r="M133" s="460">
        <f t="shared" si="6"/>
        <v>0.05</v>
      </c>
      <c r="N133" s="464">
        <f t="shared" si="7"/>
        <v>55093</v>
      </c>
    </row>
    <row r="134" spans="1:14" ht="11.25" customHeight="1" x14ac:dyDescent="0.25">
      <c r="A134" s="459">
        <v>127</v>
      </c>
      <c r="B134" s="447">
        <f t="shared" ca="1" si="4"/>
        <v>-35328218.025588848</v>
      </c>
      <c r="C134" s="447">
        <f t="shared" si="0"/>
        <v>0</v>
      </c>
      <c r="D134" s="447">
        <f t="shared" ca="1" si="9"/>
        <v>-364883.73743331182</v>
      </c>
      <c r="E134" s="447">
        <f t="shared" ca="1" si="1"/>
        <v>-35693101.763022162</v>
      </c>
      <c r="F134" s="431"/>
      <c r="G134" s="459">
        <f t="shared" si="15"/>
        <v>11</v>
      </c>
      <c r="H134" s="459">
        <v>127</v>
      </c>
      <c r="I134" s="444">
        <f t="shared" ca="1" si="5"/>
        <v>1214028.3695156556</v>
      </c>
      <c r="J134" s="444">
        <f t="array" ref="J134">IFERROR(INDEX('Retirement Calculator'!J:J,MATCH('Isaac 401k'!N134,'Retirement Calculator'!A:A,0),0),0)</f>
        <v>8395.6297298201844</v>
      </c>
      <c r="K134" s="444">
        <f t="shared" ca="1" si="2"/>
        <v>5023.4697491076477</v>
      </c>
      <c r="L134" s="444">
        <f t="shared" ca="1" si="3"/>
        <v>1210656.2095349431</v>
      </c>
      <c r="M134" s="460">
        <f t="shared" si="6"/>
        <v>0.05</v>
      </c>
      <c r="N134" s="464">
        <f t="shared" si="7"/>
        <v>55123</v>
      </c>
    </row>
    <row r="135" spans="1:14" ht="11.25" customHeight="1" x14ac:dyDescent="0.25">
      <c r="A135" s="459">
        <v>128</v>
      </c>
      <c r="B135" s="447">
        <f t="shared" ca="1" si="4"/>
        <v>-35693101.763022162</v>
      </c>
      <c r="C135" s="447">
        <f t="shared" si="0"/>
        <v>0</v>
      </c>
      <c r="D135" s="447">
        <f t="shared" ca="1" si="9"/>
        <v>-364883.73743331182</v>
      </c>
      <c r="E135" s="447">
        <f t="shared" ca="1" si="1"/>
        <v>-36057985.500455476</v>
      </c>
      <c r="F135" s="431"/>
      <c r="G135" s="459">
        <f t="shared" si="15"/>
        <v>11</v>
      </c>
      <c r="H135" s="459">
        <v>128</v>
      </c>
      <c r="I135" s="444">
        <f t="shared" ca="1" si="5"/>
        <v>1210656.2095349431</v>
      </c>
      <c r="J135" s="444">
        <f t="array" ref="J135">IFERROR(INDEX('Retirement Calculator'!J:J,MATCH('Isaac 401k'!N135,'Retirement Calculator'!A:A,0),0),0)</f>
        <v>8395.6297298201844</v>
      </c>
      <c r="K135" s="444">
        <f t="shared" ca="1" si="2"/>
        <v>5009.4190825213454</v>
      </c>
      <c r="L135" s="444">
        <f t="shared" ca="1" si="3"/>
        <v>1207269.9988876444</v>
      </c>
      <c r="M135" s="460">
        <f t="shared" si="6"/>
        <v>0.05</v>
      </c>
      <c r="N135" s="464">
        <f t="shared" si="7"/>
        <v>55154</v>
      </c>
    </row>
    <row r="136" spans="1:14" ht="11.25" customHeight="1" x14ac:dyDescent="0.25">
      <c r="A136" s="459">
        <v>129</v>
      </c>
      <c r="B136" s="447">
        <f t="shared" ca="1" si="4"/>
        <v>-36057985.500455476</v>
      </c>
      <c r="C136" s="447">
        <f t="shared" si="0"/>
        <v>0</v>
      </c>
      <c r="D136" s="447">
        <f t="shared" ca="1" si="9"/>
        <v>-364883.73743331182</v>
      </c>
      <c r="E136" s="447">
        <f t="shared" ca="1" si="1"/>
        <v>-36422869.237888791</v>
      </c>
      <c r="F136" s="431"/>
      <c r="G136" s="459">
        <f t="shared" si="15"/>
        <v>11</v>
      </c>
      <c r="H136" s="459">
        <v>129</v>
      </c>
      <c r="I136" s="444">
        <f t="shared" ca="1" si="5"/>
        <v>1207269.9988876444</v>
      </c>
      <c r="J136" s="444">
        <f t="array" ref="J136">IFERROR(INDEX('Retirement Calculator'!J:J,MATCH('Isaac 401k'!N136,'Retirement Calculator'!A:A,0),0),0)</f>
        <v>8395.6297298201844</v>
      </c>
      <c r="K136" s="444">
        <f t="shared" ca="1" si="2"/>
        <v>4995.3098714909338</v>
      </c>
      <c r="L136" s="444">
        <f t="shared" ca="1" si="3"/>
        <v>1203869.6790293152</v>
      </c>
      <c r="M136" s="460">
        <f t="shared" si="6"/>
        <v>0.05</v>
      </c>
      <c r="N136" s="464">
        <f t="shared" si="7"/>
        <v>55185</v>
      </c>
    </row>
    <row r="137" spans="1:14" ht="11.25" customHeight="1" x14ac:dyDescent="0.25">
      <c r="A137" s="459"/>
      <c r="B137" s="431"/>
      <c r="C137" s="431"/>
      <c r="D137" s="431"/>
      <c r="E137" s="431"/>
      <c r="F137" s="431"/>
      <c r="G137" s="459">
        <f t="shared" si="15"/>
        <v>11</v>
      </c>
      <c r="H137" s="459">
        <v>130</v>
      </c>
      <c r="I137" s="444">
        <f t="shared" ca="1" si="5"/>
        <v>1203869.6790293152</v>
      </c>
      <c r="J137" s="444">
        <f t="array" ref="J137">IFERROR(INDEX('Retirement Calculator'!J:J,MATCH('Isaac 401k'!N137,'Retirement Calculator'!A:A,0),0),0)</f>
        <v>8395.6297298201844</v>
      </c>
      <c r="K137" s="444">
        <f t="shared" ca="1" si="2"/>
        <v>4981.1418720812289</v>
      </c>
      <c r="L137" s="444">
        <f t="shared" ca="1" si="3"/>
        <v>1200455.1911715763</v>
      </c>
      <c r="M137" s="460">
        <f t="shared" si="6"/>
        <v>0.05</v>
      </c>
      <c r="N137" s="464">
        <f t="shared" si="7"/>
        <v>55213</v>
      </c>
    </row>
    <row r="138" spans="1:14" ht="11.25" customHeight="1" x14ac:dyDescent="0.25">
      <c r="A138" s="459"/>
      <c r="B138" s="431"/>
      <c r="C138" s="431"/>
      <c r="D138" s="431"/>
      <c r="E138" s="431"/>
      <c r="F138" s="431"/>
      <c r="G138" s="459">
        <f t="shared" si="15"/>
        <v>11</v>
      </c>
      <c r="H138" s="459">
        <v>131</v>
      </c>
      <c r="I138" s="444">
        <f t="shared" ca="1" si="5"/>
        <v>1200455.1911715763</v>
      </c>
      <c r="J138" s="444">
        <f t="array" ref="J138">IFERROR(INDEX('Retirement Calculator'!J:J,MATCH('Isaac 401k'!N138,'Retirement Calculator'!A:A,0),0),0)</f>
        <v>8395.6297298201844</v>
      </c>
      <c r="K138" s="444">
        <f t="shared" ca="1" si="2"/>
        <v>4966.9148393406504</v>
      </c>
      <c r="L138" s="444">
        <f t="shared" ca="1" si="3"/>
        <v>1197026.4762810967</v>
      </c>
      <c r="M138" s="460">
        <f t="shared" si="6"/>
        <v>0.05</v>
      </c>
      <c r="N138" s="464">
        <f t="shared" si="7"/>
        <v>55244</v>
      </c>
    </row>
    <row r="139" spans="1:14" ht="11.25" customHeight="1" x14ac:dyDescent="0.25">
      <c r="A139" s="459"/>
      <c r="B139" s="431"/>
      <c r="C139" s="431"/>
      <c r="D139" s="431"/>
      <c r="E139" s="431"/>
      <c r="F139" s="431"/>
      <c r="G139" s="459">
        <f t="shared" si="15"/>
        <v>11</v>
      </c>
      <c r="H139" s="459">
        <v>132</v>
      </c>
      <c r="I139" s="444">
        <f t="shared" ca="1" si="5"/>
        <v>1197026.4762810967</v>
      </c>
      <c r="J139" s="444">
        <f t="array" ref="J139">IFERROR(INDEX('Retirement Calculator'!J:J,MATCH('Isaac 401k'!N139,'Retirement Calculator'!A:A,0),0),0)</f>
        <v>8395.6297298201844</v>
      </c>
      <c r="K139" s="444">
        <f t="shared" ca="1" si="2"/>
        <v>4952.6285272969853</v>
      </c>
      <c r="L139" s="444">
        <f t="shared" ca="1" si="3"/>
        <v>1193583.4750785735</v>
      </c>
      <c r="M139" s="460">
        <f t="shared" si="6"/>
        <v>0.05</v>
      </c>
      <c r="N139" s="464">
        <f t="shared" si="7"/>
        <v>55274</v>
      </c>
    </row>
    <row r="140" spans="1:14" ht="11.25" customHeight="1" x14ac:dyDescent="0.25">
      <c r="A140" s="459"/>
      <c r="B140" s="431"/>
      <c r="C140" s="431"/>
      <c r="D140" s="431"/>
      <c r="E140" s="431"/>
      <c r="F140" s="431"/>
      <c r="G140" s="459">
        <f>G139+1</f>
        <v>12</v>
      </c>
      <c r="H140" s="459">
        <v>133</v>
      </c>
      <c r="I140" s="444">
        <f t="shared" ca="1" si="5"/>
        <v>1193583.4750785735</v>
      </c>
      <c r="J140" s="444">
        <f t="array" ref="J140">IFERROR(INDEX('Retirement Calculator'!J:J,MATCH('Isaac 401k'!N140,'Retirement Calculator'!A:A,0),0),0)</f>
        <v>8395.6297298201844</v>
      </c>
      <c r="K140" s="444">
        <f t="shared" ca="1" si="2"/>
        <v>4938.2826889531389</v>
      </c>
      <c r="L140" s="444">
        <f t="shared" ca="1" si="3"/>
        <v>1190126.1280377065</v>
      </c>
      <c r="M140" s="460">
        <f t="shared" si="6"/>
        <v>0.05</v>
      </c>
      <c r="N140" s="464">
        <f t="shared" si="7"/>
        <v>55305</v>
      </c>
    </row>
    <row r="141" spans="1:14" ht="11.25" customHeight="1" x14ac:dyDescent="0.25">
      <c r="A141" s="459"/>
      <c r="B141" s="431"/>
      <c r="C141" s="431"/>
      <c r="D141" s="431"/>
      <c r="E141" s="431"/>
      <c r="F141" s="431"/>
      <c r="G141" s="459">
        <f t="shared" ref="G141:G151" si="16">G140</f>
        <v>12</v>
      </c>
      <c r="H141" s="459">
        <v>134</v>
      </c>
      <c r="I141" s="444">
        <f t="shared" ca="1" si="5"/>
        <v>1190126.1280377065</v>
      </c>
      <c r="J141" s="444">
        <f t="array" ref="J141">IFERROR(INDEX('Retirement Calculator'!J:J,MATCH('Isaac 401k'!N141,'Retirement Calculator'!A:A,0),0),0)</f>
        <v>8395.6297298201844</v>
      </c>
      <c r="K141" s="444">
        <f t="shared" ca="1" si="2"/>
        <v>4923.8770762828599</v>
      </c>
      <c r="L141" s="444">
        <f t="shared" ca="1" si="3"/>
        <v>1186654.3753841692</v>
      </c>
      <c r="M141" s="460">
        <f t="shared" si="6"/>
        <v>0.05</v>
      </c>
      <c r="N141" s="464">
        <f t="shared" si="7"/>
        <v>55335</v>
      </c>
    </row>
    <row r="142" spans="1:14" ht="11.25" customHeight="1" x14ac:dyDescent="0.25">
      <c r="A142" s="459"/>
      <c r="B142" s="431"/>
      <c r="C142" s="431"/>
      <c r="D142" s="431"/>
      <c r="E142" s="431"/>
      <c r="F142" s="431"/>
      <c r="G142" s="459">
        <f t="shared" si="16"/>
        <v>12</v>
      </c>
      <c r="H142" s="459">
        <v>135</v>
      </c>
      <c r="I142" s="444">
        <f t="shared" ca="1" si="5"/>
        <v>1186654.3753841692</v>
      </c>
      <c r="J142" s="444">
        <f t="array" ref="J142">IFERROR(INDEX('Retirement Calculator'!J:J,MATCH('Isaac 401k'!N142,'Retirement Calculator'!A:A,0),0),0)</f>
        <v>8395.6297298201844</v>
      </c>
      <c r="K142" s="444">
        <f t="shared" ca="1" si="2"/>
        <v>4909.411440226454</v>
      </c>
      <c r="L142" s="444">
        <f t="shared" ca="1" si="3"/>
        <v>1183168.1570945755</v>
      </c>
      <c r="M142" s="460">
        <f t="shared" si="6"/>
        <v>0.05</v>
      </c>
      <c r="N142" s="464">
        <f t="shared" si="7"/>
        <v>55366</v>
      </c>
    </row>
    <row r="143" spans="1:14" ht="11.25" customHeight="1" x14ac:dyDescent="0.25">
      <c r="A143" s="459"/>
      <c r="B143" s="431"/>
      <c r="C143" s="431"/>
      <c r="D143" s="431"/>
      <c r="E143" s="431"/>
      <c r="F143" s="431"/>
      <c r="G143" s="459">
        <f t="shared" si="16"/>
        <v>12</v>
      </c>
      <c r="H143" s="459">
        <v>136</v>
      </c>
      <c r="I143" s="444">
        <f t="shared" ca="1" si="5"/>
        <v>1183168.1570945755</v>
      </c>
      <c r="J143" s="444">
        <f t="array" ref="J143">IFERROR(INDEX('Retirement Calculator'!J:J,MATCH('Isaac 401k'!N143,'Retirement Calculator'!A:A,0),0),0)</f>
        <v>8395.6297298201844</v>
      </c>
      <c r="K143" s="444">
        <f t="shared" ca="1" si="2"/>
        <v>4894.8855306864807</v>
      </c>
      <c r="L143" s="444">
        <f t="shared" ca="1" si="3"/>
        <v>1179667.4128954418</v>
      </c>
      <c r="M143" s="460">
        <f t="shared" si="6"/>
        <v>0.05</v>
      </c>
      <c r="N143" s="464">
        <f t="shared" si="7"/>
        <v>55397</v>
      </c>
    </row>
    <row r="144" spans="1:14" ht="11.25" customHeight="1" x14ac:dyDescent="0.25">
      <c r="A144" s="459"/>
      <c r="B144" s="431"/>
      <c r="C144" s="431"/>
      <c r="D144" s="431"/>
      <c r="E144" s="431"/>
      <c r="F144" s="431"/>
      <c r="G144" s="459">
        <f t="shared" si="16"/>
        <v>12</v>
      </c>
      <c r="H144" s="459">
        <v>137</v>
      </c>
      <c r="I144" s="444">
        <f t="shared" ca="1" si="5"/>
        <v>1179667.4128954418</v>
      </c>
      <c r="J144" s="444">
        <f t="array" ref="J144">IFERROR(INDEX('Retirement Calculator'!J:J,MATCH('Isaac 401k'!N144,'Retirement Calculator'!A:A,0),0),0)</f>
        <v>8395.6297298201844</v>
      </c>
      <c r="K144" s="444">
        <f t="shared" ca="1" si="2"/>
        <v>4880.299096523423</v>
      </c>
      <c r="L144" s="444">
        <f t="shared" ca="1" si="3"/>
        <v>1176152.0822621449</v>
      </c>
      <c r="M144" s="460">
        <f t="shared" si="6"/>
        <v>0.05</v>
      </c>
      <c r="N144" s="464">
        <f t="shared" si="7"/>
        <v>55427</v>
      </c>
    </row>
    <row r="145" spans="7:14" ht="11.25" customHeight="1" x14ac:dyDescent="0.25">
      <c r="G145" s="459">
        <f t="shared" si="16"/>
        <v>12</v>
      </c>
      <c r="H145" s="459">
        <v>138</v>
      </c>
      <c r="I145" s="444">
        <f t="shared" ca="1" si="5"/>
        <v>1176152.0822621449</v>
      </c>
      <c r="J145" s="444">
        <f t="array" ref="J145">IFERROR(INDEX('Retirement Calculator'!J:J,MATCH('Isaac 401k'!N145,'Retirement Calculator'!A:A,0),0),0)</f>
        <v>8395.6297298201844</v>
      </c>
      <c r="K145" s="444">
        <f t="shared" ca="1" si="2"/>
        <v>4865.6518855513532</v>
      </c>
      <c r="L145" s="444">
        <f t="shared" ca="1" si="3"/>
        <v>1172622.1044178761</v>
      </c>
      <c r="M145" s="460">
        <f t="shared" si="6"/>
        <v>0.05</v>
      </c>
      <c r="N145" s="464">
        <f t="shared" si="7"/>
        <v>55458</v>
      </c>
    </row>
    <row r="146" spans="7:14" ht="11.25" customHeight="1" x14ac:dyDescent="0.25">
      <c r="G146" s="459">
        <f t="shared" si="16"/>
        <v>12</v>
      </c>
      <c r="H146" s="459">
        <v>139</v>
      </c>
      <c r="I146" s="444">
        <f t="shared" ca="1" si="5"/>
        <v>1172622.1044178761</v>
      </c>
      <c r="J146" s="444">
        <f t="array" ref="J146">IFERROR(INDEX('Retirement Calculator'!J:J,MATCH('Isaac 401k'!N146,'Retirement Calculator'!A:A,0),0),0)</f>
        <v>8395.6297298201844</v>
      </c>
      <c r="K146" s="444">
        <f t="shared" ca="1" si="2"/>
        <v>4850.9436445335659</v>
      </c>
      <c r="L146" s="444">
        <f t="shared" ca="1" si="3"/>
        <v>1169077.4183325896</v>
      </c>
      <c r="M146" s="460">
        <f t="shared" si="6"/>
        <v>0.05</v>
      </c>
      <c r="N146" s="464">
        <f t="shared" si="7"/>
        <v>55488</v>
      </c>
    </row>
    <row r="147" spans="7:14" ht="11.25" customHeight="1" x14ac:dyDescent="0.25">
      <c r="G147" s="459">
        <f t="shared" si="16"/>
        <v>12</v>
      </c>
      <c r="H147" s="459">
        <v>140</v>
      </c>
      <c r="I147" s="444">
        <f t="shared" ca="1" si="5"/>
        <v>1169077.4183325896</v>
      </c>
      <c r="J147" s="444">
        <f t="array" ref="J147">IFERROR(INDEX('Retirement Calculator'!J:J,MATCH('Isaac 401k'!N147,'Retirement Calculator'!A:A,0),0),0)</f>
        <v>8395.6297298201844</v>
      </c>
      <c r="K147" s="444">
        <f t="shared" ca="1" si="2"/>
        <v>4836.1741191782057</v>
      </c>
      <c r="L147" s="444">
        <f t="shared" ca="1" si="3"/>
        <v>1165517.9627219476</v>
      </c>
      <c r="M147" s="460">
        <f t="shared" si="6"/>
        <v>0.05</v>
      </c>
      <c r="N147" s="464">
        <f t="shared" si="7"/>
        <v>55519</v>
      </c>
    </row>
    <row r="148" spans="7:14" ht="11.25" customHeight="1" x14ac:dyDescent="0.25">
      <c r="G148" s="459">
        <f t="shared" si="16"/>
        <v>12</v>
      </c>
      <c r="H148" s="459">
        <v>141</v>
      </c>
      <c r="I148" s="444">
        <f t="shared" ca="1" si="5"/>
        <v>1165517.9627219476</v>
      </c>
      <c r="J148" s="444">
        <f t="array" ref="J148">IFERROR(INDEX('Retirement Calculator'!J:J,MATCH('Isaac 401k'!N148,'Retirement Calculator'!A:A,0),0),0)</f>
        <v>8395.6297298201844</v>
      </c>
      <c r="K148" s="444">
        <f t="shared" ca="1" si="2"/>
        <v>4821.3430541338639</v>
      </c>
      <c r="L148" s="444">
        <f t="shared" ca="1" si="3"/>
        <v>1161943.6760462613</v>
      </c>
      <c r="M148" s="460">
        <f t="shared" si="6"/>
        <v>0.05</v>
      </c>
      <c r="N148" s="464">
        <f t="shared" si="7"/>
        <v>55550</v>
      </c>
    </row>
    <row r="149" spans="7:14" ht="11.25" customHeight="1" x14ac:dyDescent="0.25">
      <c r="G149" s="459">
        <f t="shared" si="16"/>
        <v>12</v>
      </c>
      <c r="H149" s="459">
        <v>142</v>
      </c>
      <c r="I149" s="444">
        <f t="shared" ca="1" si="5"/>
        <v>1161943.6760462613</v>
      </c>
      <c r="J149" s="444">
        <f t="array" ref="J149">IFERROR(INDEX('Retirement Calculator'!J:J,MATCH('Isaac 401k'!N149,'Retirement Calculator'!A:A,0),0),0)</f>
        <v>8395.6297298201844</v>
      </c>
      <c r="K149" s="444">
        <f t="shared" ca="1" si="2"/>
        <v>4806.4501929851713</v>
      </c>
      <c r="L149" s="444">
        <f t="shared" ca="1" si="3"/>
        <v>1158354.4965094263</v>
      </c>
      <c r="M149" s="460">
        <f t="shared" si="6"/>
        <v>0.05</v>
      </c>
      <c r="N149" s="464">
        <f t="shared" si="7"/>
        <v>55579</v>
      </c>
    </row>
    <row r="150" spans="7:14" ht="11.25" customHeight="1" x14ac:dyDescent="0.25">
      <c r="G150" s="459">
        <f t="shared" si="16"/>
        <v>12</v>
      </c>
      <c r="H150" s="459">
        <v>143</v>
      </c>
      <c r="I150" s="444">
        <f t="shared" ca="1" si="5"/>
        <v>1158354.4965094263</v>
      </c>
      <c r="J150" s="444">
        <f t="array" ref="J150">IFERROR(INDEX('Retirement Calculator'!J:J,MATCH('Isaac 401k'!N150,'Retirement Calculator'!A:A,0),0),0)</f>
        <v>8395.6297298201844</v>
      </c>
      <c r="K150" s="444">
        <f t="shared" ca="1" si="2"/>
        <v>4791.4952782483588</v>
      </c>
      <c r="L150" s="444">
        <f t="shared" ca="1" si="3"/>
        <v>1154750.3620578544</v>
      </c>
      <c r="M150" s="460">
        <f t="shared" si="6"/>
        <v>0.05</v>
      </c>
      <c r="N150" s="464">
        <f t="shared" si="7"/>
        <v>55610</v>
      </c>
    </row>
    <row r="151" spans="7:14" ht="11.25" customHeight="1" x14ac:dyDescent="0.25">
      <c r="G151" s="459">
        <f t="shared" si="16"/>
        <v>12</v>
      </c>
      <c r="H151" s="459">
        <v>144</v>
      </c>
      <c r="I151" s="444">
        <f t="shared" ca="1" si="5"/>
        <v>1154750.3620578544</v>
      </c>
      <c r="J151" s="444">
        <f t="array" ref="J151">IFERROR(INDEX('Retirement Calculator'!J:J,MATCH('Isaac 401k'!N151,'Retirement Calculator'!A:A,0),0),0)</f>
        <v>8395.6297298201844</v>
      </c>
      <c r="K151" s="444">
        <f t="shared" ca="1" si="2"/>
        <v>4776.4780513668093</v>
      </c>
      <c r="L151" s="444">
        <f t="shared" ca="1" si="3"/>
        <v>1151131.210379401</v>
      </c>
      <c r="M151" s="460">
        <f t="shared" si="6"/>
        <v>0.05</v>
      </c>
      <c r="N151" s="464">
        <f t="shared" si="7"/>
        <v>55640</v>
      </c>
    </row>
    <row r="152" spans="7:14" ht="11.25" customHeight="1" x14ac:dyDescent="0.25">
      <c r="G152" s="459">
        <f>G151+1</f>
        <v>13</v>
      </c>
      <c r="H152" s="459">
        <v>145</v>
      </c>
      <c r="I152" s="444">
        <f t="shared" ca="1" si="5"/>
        <v>1151131.210379401</v>
      </c>
      <c r="J152" s="444">
        <f t="array" ref="J152">IFERROR(INDEX('Retirement Calculator'!J:J,MATCH('Isaac 401k'!N152,'Retirement Calculator'!A:A,0),0),0)</f>
        <v>8395.6297298201844</v>
      </c>
      <c r="K152" s="444">
        <f t="shared" ca="1" si="2"/>
        <v>4761.3982527065864</v>
      </c>
      <c r="L152" s="444">
        <f t="shared" ca="1" si="3"/>
        <v>1147496.9789022873</v>
      </c>
      <c r="M152" s="460">
        <f t="shared" si="6"/>
        <v>0.05</v>
      </c>
      <c r="N152" s="464">
        <f t="shared" si="7"/>
        <v>55671</v>
      </c>
    </row>
    <row r="153" spans="7:14" ht="11.25" customHeight="1" x14ac:dyDescent="0.25">
      <c r="G153" s="459">
        <f t="shared" ref="G153:G163" si="17">G152</f>
        <v>13</v>
      </c>
      <c r="H153" s="459">
        <v>146</v>
      </c>
      <c r="I153" s="444">
        <f t="shared" ca="1" si="5"/>
        <v>1147496.9789022873</v>
      </c>
      <c r="J153" s="444">
        <f t="array" ref="J153">IFERROR(INDEX('Retirement Calculator'!J:J,MATCH('Isaac 401k'!N153,'Retirement Calculator'!A:A,0),0),0)</f>
        <v>8395.6297298201844</v>
      </c>
      <c r="K153" s="444">
        <f t="shared" ca="1" si="2"/>
        <v>4746.2556215519462</v>
      </c>
      <c r="L153" s="444">
        <f t="shared" ca="1" si="3"/>
        <v>1143847.6047940191</v>
      </c>
      <c r="M153" s="460">
        <f t="shared" si="6"/>
        <v>0.05</v>
      </c>
      <c r="N153" s="464">
        <f t="shared" si="7"/>
        <v>55701</v>
      </c>
    </row>
    <row r="154" spans="7:14" ht="11.25" customHeight="1" x14ac:dyDescent="0.25">
      <c r="G154" s="459">
        <f t="shared" si="17"/>
        <v>13</v>
      </c>
      <c r="H154" s="459">
        <v>147</v>
      </c>
      <c r="I154" s="444">
        <f t="shared" ca="1" si="5"/>
        <v>1143847.6047940191</v>
      </c>
      <c r="J154" s="444">
        <f t="array" ref="J154">IFERROR(INDEX('Retirement Calculator'!J:J,MATCH('Isaac 401k'!N154,'Retirement Calculator'!A:A,0),0),0)</f>
        <v>8395.6297298201844</v>
      </c>
      <c r="K154" s="444">
        <f t="shared" ca="1" si="2"/>
        <v>4731.0498961008288</v>
      </c>
      <c r="L154" s="444">
        <f t="shared" ca="1" si="3"/>
        <v>1140183.0249602997</v>
      </c>
      <c r="M154" s="460">
        <f t="shared" si="6"/>
        <v>0.05</v>
      </c>
      <c r="N154" s="464">
        <f t="shared" si="7"/>
        <v>55732</v>
      </c>
    </row>
    <row r="155" spans="7:14" ht="11.25" customHeight="1" x14ac:dyDescent="0.25">
      <c r="G155" s="459">
        <f t="shared" si="17"/>
        <v>13</v>
      </c>
      <c r="H155" s="459">
        <v>148</v>
      </c>
      <c r="I155" s="444">
        <f t="shared" ca="1" si="5"/>
        <v>1140183.0249602997</v>
      </c>
      <c r="J155" s="444">
        <f t="array" ref="J155">IFERROR(INDEX('Retirement Calculator'!J:J,MATCH('Isaac 401k'!N155,'Retirement Calculator'!A:A,0),0),0)</f>
        <v>8395.6297298201844</v>
      </c>
      <c r="K155" s="444">
        <f t="shared" ca="1" si="2"/>
        <v>4715.780813460331</v>
      </c>
      <c r="L155" s="444">
        <f t="shared" ca="1" si="3"/>
        <v>1136503.1760439398</v>
      </c>
      <c r="M155" s="460">
        <f t="shared" si="6"/>
        <v>0.05</v>
      </c>
      <c r="N155" s="464">
        <f t="shared" si="7"/>
        <v>55763</v>
      </c>
    </row>
    <row r="156" spans="7:14" ht="11.25" customHeight="1" x14ac:dyDescent="0.25">
      <c r="G156" s="459">
        <f t="shared" si="17"/>
        <v>13</v>
      </c>
      <c r="H156" s="459">
        <v>149</v>
      </c>
      <c r="I156" s="444">
        <f t="shared" ca="1" si="5"/>
        <v>1136503.1760439398</v>
      </c>
      <c r="J156" s="444">
        <f t="array" ref="J156">IFERROR(INDEX('Retirement Calculator'!J:J,MATCH('Isaac 401k'!N156,'Retirement Calculator'!A:A,0),0),0)</f>
        <v>8395.6297298201844</v>
      </c>
      <c r="K156" s="444">
        <f t="shared" ca="1" si="2"/>
        <v>4700.448109642165</v>
      </c>
      <c r="L156" s="444">
        <f t="shared" ca="1" si="3"/>
        <v>1132807.9944237617</v>
      </c>
      <c r="M156" s="460">
        <f t="shared" si="6"/>
        <v>0.05</v>
      </c>
      <c r="N156" s="464">
        <f t="shared" si="7"/>
        <v>55793</v>
      </c>
    </row>
    <row r="157" spans="7:14" ht="11.25" customHeight="1" x14ac:dyDescent="0.25">
      <c r="G157" s="459">
        <f t="shared" si="17"/>
        <v>13</v>
      </c>
      <c r="H157" s="459">
        <v>150</v>
      </c>
      <c r="I157" s="444">
        <f t="shared" ca="1" si="5"/>
        <v>1132807.9944237617</v>
      </c>
      <c r="J157" s="444">
        <f t="array" ref="J157">IFERROR(INDEX('Retirement Calculator'!J:J,MATCH('Isaac 401k'!N157,'Retirement Calculator'!A:A,0),0),0)</f>
        <v>8395.6297298201844</v>
      </c>
      <c r="K157" s="444">
        <f t="shared" ca="1" si="2"/>
        <v>4685.0515195580901</v>
      </c>
      <c r="L157" s="444">
        <f t="shared" ca="1" si="3"/>
        <v>1129097.4162134996</v>
      </c>
      <c r="M157" s="460">
        <f t="shared" si="6"/>
        <v>0.05</v>
      </c>
      <c r="N157" s="464">
        <f t="shared" si="7"/>
        <v>55824</v>
      </c>
    </row>
    <row r="158" spans="7:14" ht="11.25" customHeight="1" x14ac:dyDescent="0.25">
      <c r="G158" s="459">
        <f t="shared" si="17"/>
        <v>13</v>
      </c>
      <c r="H158" s="459">
        <v>151</v>
      </c>
      <c r="I158" s="444">
        <f t="shared" ca="1" si="5"/>
        <v>1129097.4162134996</v>
      </c>
      <c r="J158" s="444">
        <f t="array" ref="J158">IFERROR(INDEX('Retirement Calculator'!J:J,MATCH('Isaac 401k'!N158,'Retirement Calculator'!A:A,0),0),0)</f>
        <v>8395.6297298201844</v>
      </c>
      <c r="K158" s="444">
        <f t="shared" ca="1" si="2"/>
        <v>4669.5907770153308</v>
      </c>
      <c r="L158" s="444">
        <f t="shared" ca="1" si="3"/>
        <v>1125371.3772606947</v>
      </c>
      <c r="M158" s="460">
        <f t="shared" si="6"/>
        <v>0.05</v>
      </c>
      <c r="N158" s="464">
        <f t="shared" si="7"/>
        <v>55854</v>
      </c>
    </row>
    <row r="159" spans="7:14" ht="11.25" customHeight="1" x14ac:dyDescent="0.25">
      <c r="G159" s="459">
        <f t="shared" si="17"/>
        <v>13</v>
      </c>
      <c r="H159" s="459">
        <v>152</v>
      </c>
      <c r="I159" s="444">
        <f t="shared" ca="1" si="5"/>
        <v>1125371.3772606947</v>
      </c>
      <c r="J159" s="444">
        <f t="array" ref="J159">IFERROR(INDEX('Retirement Calculator'!J:J,MATCH('Isaac 401k'!N159,'Retirement Calculator'!A:A,0),0),0)</f>
        <v>8395.6297298201844</v>
      </c>
      <c r="K159" s="444">
        <f t="shared" ca="1" si="2"/>
        <v>4654.0656147119771</v>
      </c>
      <c r="L159" s="444">
        <f t="shared" ca="1" si="3"/>
        <v>1121629.8131455865</v>
      </c>
      <c r="M159" s="460">
        <f t="shared" si="6"/>
        <v>0.05</v>
      </c>
      <c r="N159" s="464">
        <f t="shared" si="7"/>
        <v>55885</v>
      </c>
    </row>
    <row r="160" spans="7:14" ht="11.25" customHeight="1" x14ac:dyDescent="0.25">
      <c r="G160" s="459">
        <f t="shared" si="17"/>
        <v>13</v>
      </c>
      <c r="H160" s="459">
        <v>153</v>
      </c>
      <c r="I160" s="444">
        <f t="shared" ca="1" si="5"/>
        <v>1121629.8131455865</v>
      </c>
      <c r="J160" s="444">
        <f t="array" ref="J160">IFERROR(INDEX('Retirement Calculator'!J:J,MATCH('Isaac 401k'!N160,'Retirement Calculator'!A:A,0),0),0)</f>
        <v>8395.6297298201844</v>
      </c>
      <c r="K160" s="444">
        <f t="shared" ca="1" si="2"/>
        <v>4638.4757642323593</v>
      </c>
      <c r="L160" s="444">
        <f t="shared" ca="1" si="3"/>
        <v>1117872.6591799988</v>
      </c>
      <c r="M160" s="460">
        <f t="shared" si="6"/>
        <v>0.05</v>
      </c>
      <c r="N160" s="464">
        <f t="shared" si="7"/>
        <v>55916</v>
      </c>
    </row>
    <row r="161" spans="7:14" ht="11.25" customHeight="1" x14ac:dyDescent="0.25">
      <c r="G161" s="459">
        <f t="shared" si="17"/>
        <v>13</v>
      </c>
      <c r="H161" s="459">
        <v>154</v>
      </c>
      <c r="I161" s="444">
        <f t="shared" ca="1" si="5"/>
        <v>1117872.6591799988</v>
      </c>
      <c r="J161" s="444">
        <f t="array" ref="J161">IFERROR(INDEX('Retirement Calculator'!J:J,MATCH('Isaac 401k'!N161,'Retirement Calculator'!A:A,0),0),0)</f>
        <v>8395.6297298201844</v>
      </c>
      <c r="K161" s="444">
        <f t="shared" ca="1" si="2"/>
        <v>4622.8209560424111</v>
      </c>
      <c r="L161" s="444">
        <f t="shared" ca="1" si="3"/>
        <v>1114099.8504062211</v>
      </c>
      <c r="M161" s="460">
        <f t="shared" si="6"/>
        <v>0.05</v>
      </c>
      <c r="N161" s="464">
        <f t="shared" si="7"/>
        <v>55944</v>
      </c>
    </row>
    <row r="162" spans="7:14" ht="11.25" customHeight="1" x14ac:dyDescent="0.25">
      <c r="G162" s="459">
        <f t="shared" si="17"/>
        <v>13</v>
      </c>
      <c r="H162" s="459">
        <v>155</v>
      </c>
      <c r="I162" s="444">
        <f t="shared" ca="1" si="5"/>
        <v>1114099.8504062211</v>
      </c>
      <c r="J162" s="444">
        <f t="array" ref="J162">IFERROR(INDEX('Retirement Calculator'!J:J,MATCH('Isaac 401k'!N162,'Retirement Calculator'!A:A,0),0),0)</f>
        <v>8395.6297298201844</v>
      </c>
      <c r="K162" s="444">
        <f t="shared" ca="1" si="2"/>
        <v>4607.1009194850039</v>
      </c>
      <c r="L162" s="444">
        <f t="shared" ca="1" si="3"/>
        <v>1110311.321595886</v>
      </c>
      <c r="M162" s="460">
        <f t="shared" si="6"/>
        <v>0.05</v>
      </c>
      <c r="N162" s="464">
        <f t="shared" si="7"/>
        <v>55975</v>
      </c>
    </row>
    <row r="163" spans="7:14" ht="11.25" customHeight="1" x14ac:dyDescent="0.25">
      <c r="G163" s="459">
        <f t="shared" si="17"/>
        <v>13</v>
      </c>
      <c r="H163" s="459">
        <v>156</v>
      </c>
      <c r="I163" s="444">
        <f t="shared" ca="1" si="5"/>
        <v>1110311.321595886</v>
      </c>
      <c r="J163" s="444">
        <f t="array" ref="J163">IFERROR(INDEX('Retirement Calculator'!J:J,MATCH('Isaac 401k'!N163,'Retirement Calculator'!A:A,0),0),0)</f>
        <v>8395.6297298201844</v>
      </c>
      <c r="K163" s="444">
        <f t="shared" ca="1" si="2"/>
        <v>4591.315382775274</v>
      </c>
      <c r="L163" s="444">
        <f t="shared" ca="1" si="3"/>
        <v>1106507.0072488412</v>
      </c>
      <c r="M163" s="460">
        <f t="shared" si="6"/>
        <v>0.05</v>
      </c>
      <c r="N163" s="464">
        <f t="shared" si="7"/>
        <v>56005</v>
      </c>
    </row>
    <row r="164" spans="7:14" ht="11.25" customHeight="1" x14ac:dyDescent="0.25">
      <c r="G164" s="459">
        <f>G163+1</f>
        <v>14</v>
      </c>
      <c r="H164" s="459">
        <v>157</v>
      </c>
      <c r="I164" s="444">
        <f t="shared" ca="1" si="5"/>
        <v>1106507.0072488412</v>
      </c>
      <c r="J164" s="444">
        <f t="array" ref="J164">IFERROR(INDEX('Retirement Calculator'!J:J,MATCH('Isaac 401k'!N164,'Retirement Calculator'!A:A,0),0),0)</f>
        <v>8395.6297298201844</v>
      </c>
      <c r="K164" s="444">
        <f t="shared" ca="1" si="2"/>
        <v>4575.464072995921</v>
      </c>
      <c r="L164" s="444">
        <f t="shared" ca="1" si="3"/>
        <v>1102686.8415920169</v>
      </c>
      <c r="M164" s="460">
        <f t="shared" si="6"/>
        <v>0.05</v>
      </c>
      <c r="N164" s="464">
        <f t="shared" si="7"/>
        <v>56036</v>
      </c>
    </row>
    <row r="165" spans="7:14" ht="11.25" customHeight="1" x14ac:dyDescent="0.25">
      <c r="G165" s="459">
        <f t="shared" ref="G165:G175" si="18">G164</f>
        <v>14</v>
      </c>
      <c r="H165" s="459">
        <v>158</v>
      </c>
      <c r="I165" s="444">
        <f t="shared" ca="1" si="5"/>
        <v>1102686.8415920169</v>
      </c>
      <c r="J165" s="444">
        <f t="array" ref="J165">IFERROR(INDEX('Retirement Calculator'!J:J,MATCH('Isaac 401k'!N165,'Retirement Calculator'!A:A,0),0),0)</f>
        <v>8395.6297298201844</v>
      </c>
      <c r="K165" s="444">
        <f t="shared" ca="1" si="2"/>
        <v>4559.5467160924863</v>
      </c>
      <c r="L165" s="444">
        <f t="shared" ca="1" si="3"/>
        <v>1098850.7585782891</v>
      </c>
      <c r="M165" s="460">
        <f t="shared" si="6"/>
        <v>0.05</v>
      </c>
      <c r="N165" s="464">
        <f t="shared" si="7"/>
        <v>56066</v>
      </c>
    </row>
    <row r="166" spans="7:14" ht="11.25" customHeight="1" x14ac:dyDescent="0.25">
      <c r="G166" s="459">
        <f t="shared" si="18"/>
        <v>14</v>
      </c>
      <c r="H166" s="459">
        <v>159</v>
      </c>
      <c r="I166" s="444">
        <f t="shared" ca="1" si="5"/>
        <v>1098850.7585782891</v>
      </c>
      <c r="J166" s="444">
        <f t="array" ref="J166">IFERROR(INDEX('Retirement Calculator'!J:J,MATCH('Isaac 401k'!N166,'Retirement Calculator'!A:A,0),0),0)</f>
        <v>8395.6297298201844</v>
      </c>
      <c r="K166" s="444">
        <f t="shared" ca="1" si="2"/>
        <v>4543.5630368686207</v>
      </c>
      <c r="L166" s="444">
        <f t="shared" ca="1" si="3"/>
        <v>1094998.6918853375</v>
      </c>
      <c r="M166" s="460">
        <f t="shared" si="6"/>
        <v>0.05</v>
      </c>
      <c r="N166" s="464">
        <f t="shared" si="7"/>
        <v>56097</v>
      </c>
    </row>
    <row r="167" spans="7:14" ht="11.25" customHeight="1" x14ac:dyDescent="0.25">
      <c r="G167" s="459">
        <f t="shared" si="18"/>
        <v>14</v>
      </c>
      <c r="H167" s="459">
        <v>160</v>
      </c>
      <c r="I167" s="444">
        <f t="shared" ca="1" si="5"/>
        <v>1094998.6918853375</v>
      </c>
      <c r="J167" s="444">
        <f t="array" ref="J167">IFERROR(INDEX('Retirement Calculator'!J:J,MATCH('Isaac 401k'!N167,'Retirement Calculator'!A:A,0),0),0)</f>
        <v>8395.6297298201844</v>
      </c>
      <c r="K167" s="444">
        <f t="shared" ca="1" si="2"/>
        <v>4527.5127589813219</v>
      </c>
      <c r="L167" s="444">
        <f t="shared" ca="1" si="3"/>
        <v>1091130.5749144987</v>
      </c>
      <c r="M167" s="460">
        <f t="shared" si="6"/>
        <v>0.05</v>
      </c>
      <c r="N167" s="464">
        <f t="shared" si="7"/>
        <v>56128</v>
      </c>
    </row>
    <row r="168" spans="7:14" ht="11.25" customHeight="1" x14ac:dyDescent="0.25">
      <c r="G168" s="459">
        <f t="shared" si="18"/>
        <v>14</v>
      </c>
      <c r="H168" s="459">
        <v>161</v>
      </c>
      <c r="I168" s="444">
        <f t="shared" ca="1" si="5"/>
        <v>1091130.5749144987</v>
      </c>
      <c r="J168" s="444">
        <f t="array" ref="J168">IFERROR(INDEX('Retirement Calculator'!J:J,MATCH('Isaac 401k'!N168,'Retirement Calculator'!A:A,0),0),0)</f>
        <v>8395.6297298201844</v>
      </c>
      <c r="K168" s="444">
        <f t="shared" ca="1" si="2"/>
        <v>4511.3956049361605</v>
      </c>
      <c r="L168" s="444">
        <f t="shared" ca="1" si="3"/>
        <v>1087246.3407896147</v>
      </c>
      <c r="M168" s="460">
        <f t="shared" si="6"/>
        <v>0.05</v>
      </c>
      <c r="N168" s="464">
        <f t="shared" si="7"/>
        <v>56158</v>
      </c>
    </row>
    <row r="169" spans="7:14" ht="11.25" customHeight="1" x14ac:dyDescent="0.25">
      <c r="G169" s="459">
        <f t="shared" si="18"/>
        <v>14</v>
      </c>
      <c r="H169" s="459">
        <v>162</v>
      </c>
      <c r="I169" s="444">
        <f t="shared" ca="1" si="5"/>
        <v>1087246.3407896147</v>
      </c>
      <c r="J169" s="444">
        <f t="array" ref="J169">IFERROR(INDEX('Retirement Calculator'!J:J,MATCH('Isaac 401k'!N169,'Retirement Calculator'!A:A,0),0),0)</f>
        <v>8395.6297298201844</v>
      </c>
      <c r="K169" s="444">
        <f t="shared" ca="1" si="2"/>
        <v>4495.211296082477</v>
      </c>
      <c r="L169" s="444">
        <f t="shared" ca="1" si="3"/>
        <v>1083345.922355877</v>
      </c>
      <c r="M169" s="460">
        <f t="shared" si="6"/>
        <v>0.05</v>
      </c>
      <c r="N169" s="464">
        <f t="shared" si="7"/>
        <v>56189</v>
      </c>
    </row>
    <row r="170" spans="7:14" ht="11.25" customHeight="1" x14ac:dyDescent="0.25">
      <c r="G170" s="459">
        <f t="shared" si="18"/>
        <v>14</v>
      </c>
      <c r="H170" s="459">
        <v>163</v>
      </c>
      <c r="I170" s="444">
        <f t="shared" ca="1" si="5"/>
        <v>1083345.922355877</v>
      </c>
      <c r="J170" s="444">
        <f t="array" ref="J170">IFERROR(INDEX('Retirement Calculator'!J:J,MATCH('Isaac 401k'!N170,'Retirement Calculator'!A:A,0),0),0)</f>
        <v>8395.6297298201844</v>
      </c>
      <c r="K170" s="444">
        <f t="shared" ca="1" si="2"/>
        <v>4478.9595526085704</v>
      </c>
      <c r="L170" s="444">
        <f t="shared" ca="1" si="3"/>
        <v>1079429.2521786655</v>
      </c>
      <c r="M170" s="460">
        <f t="shared" si="6"/>
        <v>0.05</v>
      </c>
      <c r="N170" s="464">
        <f t="shared" si="7"/>
        <v>56219</v>
      </c>
    </row>
    <row r="171" spans="7:14" ht="11.25" customHeight="1" x14ac:dyDescent="0.25">
      <c r="G171" s="459">
        <f t="shared" si="18"/>
        <v>14</v>
      </c>
      <c r="H171" s="459">
        <v>164</v>
      </c>
      <c r="I171" s="444">
        <f t="shared" ca="1" si="5"/>
        <v>1079429.2521786655</v>
      </c>
      <c r="J171" s="444">
        <f t="array" ref="J171">IFERROR(INDEX('Retirement Calculator'!J:J,MATCH('Isaac 401k'!N171,'Retirement Calculator'!A:A,0),0),0)</f>
        <v>8395.6297298201844</v>
      </c>
      <c r="K171" s="444">
        <f t="shared" ca="1" si="2"/>
        <v>4462.6400935368556</v>
      </c>
      <c r="L171" s="444">
        <f t="shared" ca="1" si="3"/>
        <v>1075496.2625423821</v>
      </c>
      <c r="M171" s="460">
        <f t="shared" si="6"/>
        <v>0.05</v>
      </c>
      <c r="N171" s="464">
        <f t="shared" si="7"/>
        <v>56250</v>
      </c>
    </row>
    <row r="172" spans="7:14" ht="11.25" customHeight="1" x14ac:dyDescent="0.25">
      <c r="G172" s="459">
        <f t="shared" si="18"/>
        <v>14</v>
      </c>
      <c r="H172" s="459">
        <v>165</v>
      </c>
      <c r="I172" s="444">
        <f t="shared" ca="1" si="5"/>
        <v>1075496.2625423821</v>
      </c>
      <c r="J172" s="444">
        <f t="array" ref="J172">IFERROR(INDEX('Retirement Calculator'!J:J,MATCH('Isaac 401k'!N172,'Retirement Calculator'!A:A,0),0),0)</f>
        <v>8395.6297298201844</v>
      </c>
      <c r="K172" s="444">
        <f t="shared" ca="1" si="2"/>
        <v>4446.2526367190076</v>
      </c>
      <c r="L172" s="444">
        <f t="shared" ca="1" si="3"/>
        <v>1071546.885449281</v>
      </c>
      <c r="M172" s="460">
        <f t="shared" si="6"/>
        <v>0.05</v>
      </c>
      <c r="N172" s="464">
        <f t="shared" si="7"/>
        <v>56281</v>
      </c>
    </row>
    <row r="173" spans="7:14" ht="11.25" customHeight="1" x14ac:dyDescent="0.25">
      <c r="G173" s="459">
        <f t="shared" si="18"/>
        <v>14</v>
      </c>
      <c r="H173" s="459">
        <v>166</v>
      </c>
      <c r="I173" s="444">
        <f t="shared" ca="1" si="5"/>
        <v>1071546.885449281</v>
      </c>
      <c r="J173" s="444">
        <f t="array" ref="J173">IFERROR(INDEX('Retirement Calculator'!J:J,MATCH('Isaac 401k'!N173,'Retirement Calculator'!A:A,0),0),0)</f>
        <v>8395.6297298201844</v>
      </c>
      <c r="K173" s="444">
        <f t="shared" ca="1" si="2"/>
        <v>4429.7968988310868</v>
      </c>
      <c r="L173" s="444">
        <f t="shared" ca="1" si="3"/>
        <v>1067581.0526182919</v>
      </c>
      <c r="M173" s="460">
        <f t="shared" si="6"/>
        <v>0.05</v>
      </c>
      <c r="N173" s="464">
        <f t="shared" si="7"/>
        <v>56309</v>
      </c>
    </row>
    <row r="174" spans="7:14" ht="11.25" customHeight="1" x14ac:dyDescent="0.25">
      <c r="G174" s="459">
        <f t="shared" si="18"/>
        <v>14</v>
      </c>
      <c r="H174" s="459">
        <v>167</v>
      </c>
      <c r="I174" s="444">
        <f t="shared" ca="1" si="5"/>
        <v>1067581.0526182919</v>
      </c>
      <c r="J174" s="444">
        <f t="array" ref="J174">IFERROR(INDEX('Retirement Calculator'!J:J,MATCH('Isaac 401k'!N174,'Retirement Calculator'!A:A,0),0),0)</f>
        <v>8395.6297298201844</v>
      </c>
      <c r="K174" s="444">
        <f t="shared" ca="1" si="2"/>
        <v>4413.2725953686322</v>
      </c>
      <c r="L174" s="444">
        <f t="shared" ca="1" si="3"/>
        <v>1063598.6954838403</v>
      </c>
      <c r="M174" s="460">
        <f t="shared" si="6"/>
        <v>0.05</v>
      </c>
      <c r="N174" s="464">
        <f t="shared" si="7"/>
        <v>56340</v>
      </c>
    </row>
    <row r="175" spans="7:14" ht="11.25" customHeight="1" x14ac:dyDescent="0.25">
      <c r="G175" s="459">
        <f t="shared" si="18"/>
        <v>14</v>
      </c>
      <c r="H175" s="459">
        <v>168</v>
      </c>
      <c r="I175" s="444">
        <f t="shared" ca="1" si="5"/>
        <v>1063598.6954838403</v>
      </c>
      <c r="J175" s="444">
        <f t="array" ref="J175">IFERROR(INDEX('Retirement Calculator'!J:J,MATCH('Isaac 401k'!N175,'Retirement Calculator'!A:A,0),0),0)</f>
        <v>8395.6297298201844</v>
      </c>
      <c r="K175" s="444">
        <f t="shared" ca="1" si="2"/>
        <v>4396.6794406417503</v>
      </c>
      <c r="L175" s="444">
        <f t="shared" ca="1" si="3"/>
        <v>1059599.7451946619</v>
      </c>
      <c r="M175" s="460">
        <f t="shared" si="6"/>
        <v>0.05</v>
      </c>
      <c r="N175" s="464">
        <f t="shared" si="7"/>
        <v>56370</v>
      </c>
    </row>
    <row r="176" spans="7:14" ht="11.25" customHeight="1" x14ac:dyDescent="0.25">
      <c r="G176" s="459">
        <f>G175+1</f>
        <v>15</v>
      </c>
      <c r="H176" s="459">
        <v>169</v>
      </c>
      <c r="I176" s="444">
        <f t="shared" ca="1" si="5"/>
        <v>1059599.7451946619</v>
      </c>
      <c r="J176" s="444">
        <f t="array" ref="J176">IFERROR(INDEX('Retirement Calculator'!J:J,MATCH('Isaac 401k'!N176,'Retirement Calculator'!A:A,0),0),0)</f>
        <v>8395.6297298201844</v>
      </c>
      <c r="K176" s="444">
        <f t="shared" ca="1" si="2"/>
        <v>4380.0171477701733</v>
      </c>
      <c r="L176" s="444">
        <f t="shared" ca="1" si="3"/>
        <v>1055584.1326126119</v>
      </c>
      <c r="M176" s="460">
        <f t="shared" si="6"/>
        <v>0.05</v>
      </c>
      <c r="N176" s="464">
        <f t="shared" si="7"/>
        <v>56401</v>
      </c>
    </row>
    <row r="177" spans="7:14" ht="11.25" customHeight="1" x14ac:dyDescent="0.25">
      <c r="G177" s="459">
        <f t="shared" ref="G177:G187" si="19">G176</f>
        <v>15</v>
      </c>
      <c r="H177" s="459">
        <v>170</v>
      </c>
      <c r="I177" s="444">
        <f t="shared" ca="1" si="5"/>
        <v>1055584.1326126119</v>
      </c>
      <c r="J177" s="444">
        <f t="array" ref="J177">IFERROR(INDEX('Retirement Calculator'!J:J,MATCH('Isaac 401k'!N177,'Retirement Calculator'!A:A,0),0),0)</f>
        <v>8395.6297298201844</v>
      </c>
      <c r="K177" s="444">
        <f t="shared" ca="1" si="2"/>
        <v>4363.2854286782986</v>
      </c>
      <c r="L177" s="444">
        <f t="shared" ca="1" si="3"/>
        <v>1051551.7883114701</v>
      </c>
      <c r="M177" s="460">
        <f t="shared" si="6"/>
        <v>0.05</v>
      </c>
      <c r="N177" s="464">
        <f t="shared" si="7"/>
        <v>56431</v>
      </c>
    </row>
    <row r="178" spans="7:14" ht="11.25" customHeight="1" x14ac:dyDescent="0.25">
      <c r="G178" s="459">
        <f t="shared" si="19"/>
        <v>15</v>
      </c>
      <c r="H178" s="459">
        <v>171</v>
      </c>
      <c r="I178" s="444">
        <f t="shared" ca="1" si="5"/>
        <v>1051551.7883114701</v>
      </c>
      <c r="J178" s="444">
        <f t="array" ref="J178">IFERROR(INDEX('Retirement Calculator'!J:J,MATCH('Isaac 401k'!N178,'Retirement Calculator'!A:A,0),0),0)</f>
        <v>8395.6297298201844</v>
      </c>
      <c r="K178" s="444">
        <f t="shared" ca="1" si="2"/>
        <v>4346.4839940902075</v>
      </c>
      <c r="L178" s="444">
        <f t="shared" ca="1" si="3"/>
        <v>1047502.6425757401</v>
      </c>
      <c r="M178" s="460">
        <f t="shared" si="6"/>
        <v>0.05</v>
      </c>
      <c r="N178" s="464">
        <f t="shared" si="7"/>
        <v>56462</v>
      </c>
    </row>
    <row r="179" spans="7:14" ht="11.25" customHeight="1" x14ac:dyDescent="0.25">
      <c r="G179" s="459">
        <f t="shared" si="19"/>
        <v>15</v>
      </c>
      <c r="H179" s="459">
        <v>172</v>
      </c>
      <c r="I179" s="444">
        <f t="shared" ca="1" si="5"/>
        <v>1047502.6425757401</v>
      </c>
      <c r="J179" s="444">
        <f t="array" ref="J179">IFERROR(INDEX('Retirement Calculator'!J:J,MATCH('Isaac 401k'!N179,'Retirement Calculator'!A:A,0),0),0)</f>
        <v>8395.6297298201844</v>
      </c>
      <c r="K179" s="444">
        <f t="shared" ca="1" si="2"/>
        <v>4329.6125535246665</v>
      </c>
      <c r="L179" s="444">
        <f t="shared" ca="1" si="3"/>
        <v>1043436.6253994446</v>
      </c>
      <c r="M179" s="460">
        <f t="shared" si="6"/>
        <v>0.05</v>
      </c>
      <c r="N179" s="464">
        <f t="shared" si="7"/>
        <v>56493</v>
      </c>
    </row>
    <row r="180" spans="7:14" ht="11.25" customHeight="1" x14ac:dyDescent="0.25">
      <c r="G180" s="459">
        <f t="shared" si="19"/>
        <v>15</v>
      </c>
      <c r="H180" s="459">
        <v>173</v>
      </c>
      <c r="I180" s="444">
        <f t="shared" ca="1" si="5"/>
        <v>1043436.6253994446</v>
      </c>
      <c r="J180" s="444">
        <f t="array" ref="J180">IFERROR(INDEX('Retirement Calculator'!J:J,MATCH('Isaac 401k'!N180,'Retirement Calculator'!A:A,0),0),0)</f>
        <v>8395.6297298201844</v>
      </c>
      <c r="K180" s="444">
        <f t="shared" ca="1" si="2"/>
        <v>4312.6708152901019</v>
      </c>
      <c r="L180" s="444">
        <f t="shared" ca="1" si="3"/>
        <v>1039353.6664849145</v>
      </c>
      <c r="M180" s="460">
        <f t="shared" si="6"/>
        <v>0.05</v>
      </c>
      <c r="N180" s="464">
        <f t="shared" si="7"/>
        <v>56523</v>
      </c>
    </row>
    <row r="181" spans="7:14" ht="11.25" customHeight="1" x14ac:dyDescent="0.25">
      <c r="G181" s="459">
        <f t="shared" si="19"/>
        <v>15</v>
      </c>
      <c r="H181" s="459">
        <v>174</v>
      </c>
      <c r="I181" s="444">
        <f t="shared" ca="1" si="5"/>
        <v>1039353.6664849145</v>
      </c>
      <c r="J181" s="444">
        <f t="array" ref="J181">IFERROR(INDEX('Retirement Calculator'!J:J,MATCH('Isaac 401k'!N181,'Retirement Calculator'!A:A,0),0),0)</f>
        <v>8395.6297298201844</v>
      </c>
      <c r="K181" s="444">
        <f t="shared" ca="1" si="2"/>
        <v>4295.6584864795595</v>
      </c>
      <c r="L181" s="444">
        <f t="shared" ca="1" si="3"/>
        <v>1035253.6952415738</v>
      </c>
      <c r="M181" s="460">
        <f t="shared" si="6"/>
        <v>0.05</v>
      </c>
      <c r="N181" s="464">
        <f t="shared" si="7"/>
        <v>56554</v>
      </c>
    </row>
    <row r="182" spans="7:14" ht="11.25" customHeight="1" x14ac:dyDescent="0.25">
      <c r="G182" s="459">
        <f t="shared" si="19"/>
        <v>15</v>
      </c>
      <c r="H182" s="459">
        <v>175</v>
      </c>
      <c r="I182" s="444">
        <f t="shared" ca="1" si="5"/>
        <v>1035253.6952415738</v>
      </c>
      <c r="J182" s="444">
        <f t="array" ref="J182">IFERROR(INDEX('Retirement Calculator'!J:J,MATCH('Isaac 401k'!N182,'Retirement Calculator'!A:A,0),0),0)</f>
        <v>8395.6297298201844</v>
      </c>
      <c r="K182" s="444">
        <f t="shared" ca="1" si="2"/>
        <v>4278.5752729656406</v>
      </c>
      <c r="L182" s="444">
        <f t="shared" ca="1" si="3"/>
        <v>1031136.6407847193</v>
      </c>
      <c r="M182" s="460">
        <f t="shared" si="6"/>
        <v>0.05</v>
      </c>
      <c r="N182" s="464">
        <f t="shared" si="7"/>
        <v>56584</v>
      </c>
    </row>
    <row r="183" spans="7:14" ht="11.25" customHeight="1" x14ac:dyDescent="0.25">
      <c r="G183" s="459">
        <f t="shared" si="19"/>
        <v>15</v>
      </c>
      <c r="H183" s="459">
        <v>176</v>
      </c>
      <c r="I183" s="444">
        <f t="shared" ca="1" si="5"/>
        <v>1031136.6407847193</v>
      </c>
      <c r="J183" s="444">
        <f t="array" ref="J183">IFERROR(INDEX('Retirement Calculator'!J:J,MATCH('Isaac 401k'!N183,'Retirement Calculator'!A:A,0),0),0)</f>
        <v>8395.6297298201844</v>
      </c>
      <c r="K183" s="444">
        <f t="shared" ca="1" si="2"/>
        <v>4261.4208793954131</v>
      </c>
      <c r="L183" s="444">
        <f t="shared" ca="1" si="3"/>
        <v>1027002.4319342945</v>
      </c>
      <c r="M183" s="460">
        <f t="shared" si="6"/>
        <v>0.05</v>
      </c>
      <c r="N183" s="464">
        <f t="shared" si="7"/>
        <v>56615</v>
      </c>
    </row>
    <row r="184" spans="7:14" ht="11.25" customHeight="1" x14ac:dyDescent="0.25">
      <c r="G184" s="459">
        <f t="shared" si="19"/>
        <v>15</v>
      </c>
      <c r="H184" s="459">
        <v>177</v>
      </c>
      <c r="I184" s="444">
        <f t="shared" ca="1" si="5"/>
        <v>1027002.4319342945</v>
      </c>
      <c r="J184" s="444">
        <f t="array" ref="J184">IFERROR(INDEX('Retirement Calculator'!J:J,MATCH('Isaac 401k'!N184,'Retirement Calculator'!A:A,0),0),0)</f>
        <v>8395.6297298201844</v>
      </c>
      <c r="K184" s="444">
        <f t="shared" ca="1" si="2"/>
        <v>4244.1950091853096</v>
      </c>
      <c r="L184" s="444">
        <f t="shared" ca="1" si="3"/>
        <v>1022850.9972136597</v>
      </c>
      <c r="M184" s="460">
        <f t="shared" si="6"/>
        <v>0.05</v>
      </c>
      <c r="N184" s="464">
        <f t="shared" si="7"/>
        <v>56646</v>
      </c>
    </row>
    <row r="185" spans="7:14" ht="11.25" customHeight="1" x14ac:dyDescent="0.25">
      <c r="G185" s="459">
        <f t="shared" si="19"/>
        <v>15</v>
      </c>
      <c r="H185" s="459">
        <v>178</v>
      </c>
      <c r="I185" s="444">
        <f t="shared" ca="1" si="5"/>
        <v>1022850.9972136597</v>
      </c>
      <c r="J185" s="444">
        <f t="array" ref="J185">IFERROR(INDEX('Retirement Calculator'!J:J,MATCH('Isaac 401k'!N185,'Retirement Calculator'!A:A,0),0),0)</f>
        <v>8395.6297298201844</v>
      </c>
      <c r="K185" s="444">
        <f t="shared" ca="1" si="2"/>
        <v>4226.8973645159977</v>
      </c>
      <c r="L185" s="444">
        <f t="shared" ca="1" si="3"/>
        <v>1018682.2648483556</v>
      </c>
      <c r="M185" s="460">
        <f t="shared" si="6"/>
        <v>0.05</v>
      </c>
      <c r="N185" s="464">
        <f t="shared" si="7"/>
        <v>56674</v>
      </c>
    </row>
    <row r="186" spans="7:14" ht="11.25" customHeight="1" x14ac:dyDescent="0.25">
      <c r="G186" s="459">
        <f t="shared" si="19"/>
        <v>15</v>
      </c>
      <c r="H186" s="459">
        <v>179</v>
      </c>
      <c r="I186" s="444">
        <f t="shared" ca="1" si="5"/>
        <v>1018682.2648483556</v>
      </c>
      <c r="J186" s="444">
        <f t="array" ref="J186">IFERROR(INDEX('Retirement Calculator'!J:J,MATCH('Isaac 401k'!N186,'Retirement Calculator'!A:A,0),0),0)</f>
        <v>8395.6297298201844</v>
      </c>
      <c r="K186" s="444">
        <f t="shared" ca="1" si="2"/>
        <v>4209.5276463272312</v>
      </c>
      <c r="L186" s="444">
        <f t="shared" ca="1" si="3"/>
        <v>1014496.1627648626</v>
      </c>
      <c r="M186" s="460">
        <f t="shared" si="6"/>
        <v>0.05</v>
      </c>
      <c r="N186" s="464">
        <f t="shared" si="7"/>
        <v>56705</v>
      </c>
    </row>
    <row r="187" spans="7:14" ht="11.25" customHeight="1" x14ac:dyDescent="0.25">
      <c r="G187" s="459">
        <f t="shared" si="19"/>
        <v>15</v>
      </c>
      <c r="H187" s="459">
        <v>180</v>
      </c>
      <c r="I187" s="444">
        <f t="shared" ca="1" si="5"/>
        <v>1014496.1627648626</v>
      </c>
      <c r="J187" s="444">
        <f t="array" ref="J187">IFERROR(INDEX('Retirement Calculator'!J:J,MATCH('Isaac 401k'!N187,'Retirement Calculator'!A:A,0),0),0)</f>
        <v>8395.6297298201844</v>
      </c>
      <c r="K187" s="444">
        <f t="shared" ca="1" si="2"/>
        <v>4192.0855543126763</v>
      </c>
      <c r="L187" s="444">
        <f t="shared" ca="1" si="3"/>
        <v>1010292.6185893551</v>
      </c>
      <c r="M187" s="460">
        <f t="shared" si="6"/>
        <v>0.05</v>
      </c>
      <c r="N187" s="464">
        <f t="shared" si="7"/>
        <v>56735</v>
      </c>
    </row>
    <row r="188" spans="7:14" ht="11.25" customHeight="1" x14ac:dyDescent="0.25">
      <c r="G188" s="459">
        <f>G187+1</f>
        <v>16</v>
      </c>
      <c r="H188" s="459">
        <v>181</v>
      </c>
      <c r="I188" s="444">
        <f t="shared" ca="1" si="5"/>
        <v>1010292.6185893551</v>
      </c>
      <c r="J188" s="444">
        <f t="array" ref="J188">IFERROR(INDEX('Retirement Calculator'!J:J,MATCH('Isaac 401k'!N188,'Retirement Calculator'!A:A,0),0),0)</f>
        <v>8395.6297298201844</v>
      </c>
      <c r="K188" s="444">
        <f t="shared" ca="1" si="2"/>
        <v>4174.5707869147291</v>
      </c>
      <c r="L188" s="444">
        <f t="shared" ca="1" si="3"/>
        <v>1006071.5596464496</v>
      </c>
      <c r="M188" s="460">
        <f t="shared" si="6"/>
        <v>0.05</v>
      </c>
      <c r="N188" s="464">
        <f t="shared" si="7"/>
        <v>56766</v>
      </c>
    </row>
    <row r="189" spans="7:14" ht="11.25" customHeight="1" x14ac:dyDescent="0.25">
      <c r="G189" s="459">
        <f t="shared" ref="G189:G199" si="20">G188</f>
        <v>16</v>
      </c>
      <c r="H189" s="459">
        <v>182</v>
      </c>
      <c r="I189" s="444">
        <f t="shared" ca="1" si="5"/>
        <v>1006071.5596464496</v>
      </c>
      <c r="J189" s="444">
        <f t="array" ref="J189">IFERROR(INDEX('Retirement Calculator'!J:J,MATCH('Isaac 401k'!N189,'Retirement Calculator'!A:A,0),0),0)</f>
        <v>8395.6297298201844</v>
      </c>
      <c r="K189" s="444">
        <f t="shared" ca="1" si="2"/>
        <v>4156.9830413192885</v>
      </c>
      <c r="L189" s="444">
        <f t="shared" ca="1" si="3"/>
        <v>1001832.9129579487</v>
      </c>
      <c r="M189" s="460">
        <f t="shared" si="6"/>
        <v>0.05</v>
      </c>
      <c r="N189" s="464">
        <f t="shared" si="7"/>
        <v>56796</v>
      </c>
    </row>
    <row r="190" spans="7:14" ht="11.25" customHeight="1" x14ac:dyDescent="0.25">
      <c r="G190" s="459">
        <f t="shared" si="20"/>
        <v>16</v>
      </c>
      <c r="H190" s="459">
        <v>183</v>
      </c>
      <c r="I190" s="444">
        <f t="shared" ca="1" si="5"/>
        <v>1001832.9129579487</v>
      </c>
      <c r="J190" s="444">
        <f t="array" ref="J190">IFERROR(INDEX('Retirement Calculator'!J:J,MATCH('Isaac 401k'!N190,'Retirement Calculator'!A:A,0),0),0)</f>
        <v>8395.6297298201844</v>
      </c>
      <c r="K190" s="444">
        <f t="shared" ca="1" si="2"/>
        <v>4139.3220134505355</v>
      </c>
      <c r="L190" s="444">
        <f t="shared" ca="1" si="3"/>
        <v>997576.60524157912</v>
      </c>
      <c r="M190" s="460">
        <f t="shared" si="6"/>
        <v>0.05</v>
      </c>
      <c r="N190" s="464">
        <f t="shared" si="7"/>
        <v>56827</v>
      </c>
    </row>
    <row r="191" spans="7:14" ht="11.25" customHeight="1" x14ac:dyDescent="0.25">
      <c r="G191" s="459">
        <f t="shared" si="20"/>
        <v>16</v>
      </c>
      <c r="H191" s="459">
        <v>184</v>
      </c>
      <c r="I191" s="444">
        <f t="shared" ca="1" si="5"/>
        <v>997576.60524157912</v>
      </c>
      <c r="J191" s="444">
        <f t="array" ref="J191">IFERROR(INDEX('Retirement Calculator'!J:J,MATCH('Isaac 401k'!N191,'Retirement Calculator'!A:A,0),0),0)</f>
        <v>8395.6297298201844</v>
      </c>
      <c r="K191" s="444">
        <f t="shared" ca="1" si="2"/>
        <v>4121.5873979656626</v>
      </c>
      <c r="L191" s="444">
        <f t="shared" ca="1" si="3"/>
        <v>993302.56290972466</v>
      </c>
      <c r="M191" s="460">
        <f t="shared" si="6"/>
        <v>0.05</v>
      </c>
      <c r="N191" s="464">
        <f t="shared" si="7"/>
        <v>56858</v>
      </c>
    </row>
    <row r="192" spans="7:14" ht="11.25" customHeight="1" x14ac:dyDescent="0.25">
      <c r="G192" s="459">
        <f t="shared" si="20"/>
        <v>16</v>
      </c>
      <c r="H192" s="459">
        <v>185</v>
      </c>
      <c r="I192" s="444">
        <f t="shared" ca="1" si="5"/>
        <v>993302.56290972466</v>
      </c>
      <c r="J192" s="444">
        <f t="array" ref="J192">IFERROR(INDEX('Retirement Calculator'!J:J,MATCH('Isaac 401k'!N192,'Retirement Calculator'!A:A,0),0),0)</f>
        <v>8395.6297298201844</v>
      </c>
      <c r="K192" s="444">
        <f t="shared" ca="1" si="2"/>
        <v>4103.7788882496016</v>
      </c>
      <c r="L192" s="444">
        <f t="shared" ca="1" si="3"/>
        <v>989010.71206815413</v>
      </c>
      <c r="M192" s="460">
        <f t="shared" si="6"/>
        <v>0.05</v>
      </c>
      <c r="N192" s="464">
        <f t="shared" si="7"/>
        <v>56888</v>
      </c>
    </row>
    <row r="193" spans="7:14" ht="11.25" customHeight="1" x14ac:dyDescent="0.25">
      <c r="G193" s="459">
        <f t="shared" si="20"/>
        <v>16</v>
      </c>
      <c r="H193" s="459">
        <v>186</v>
      </c>
      <c r="I193" s="444">
        <f t="shared" ca="1" si="5"/>
        <v>989010.71206815413</v>
      </c>
      <c r="J193" s="444">
        <f t="array" ref="J193">IFERROR(INDEX('Retirement Calculator'!J:J,MATCH('Isaac 401k'!N193,'Retirement Calculator'!A:A,0),0),0)</f>
        <v>8395.6297298201844</v>
      </c>
      <c r="K193" s="444">
        <f t="shared" ca="1" si="2"/>
        <v>4085.8961764097244</v>
      </c>
      <c r="L193" s="444">
        <f t="shared" ca="1" si="3"/>
        <v>984700.97851474362</v>
      </c>
      <c r="M193" s="460">
        <f t="shared" si="6"/>
        <v>0.05</v>
      </c>
      <c r="N193" s="464">
        <f t="shared" si="7"/>
        <v>56919</v>
      </c>
    </row>
    <row r="194" spans="7:14" ht="11.25" customHeight="1" x14ac:dyDescent="0.25">
      <c r="G194" s="459">
        <f t="shared" si="20"/>
        <v>16</v>
      </c>
      <c r="H194" s="459">
        <v>187</v>
      </c>
      <c r="I194" s="444">
        <f t="shared" ca="1" si="5"/>
        <v>984700.97851474362</v>
      </c>
      <c r="J194" s="444">
        <f t="array" ref="J194">IFERROR(INDEX('Retirement Calculator'!J:J,MATCH('Isaac 401k'!N194,'Retirement Calculator'!A:A,0),0),0)</f>
        <v>8395.6297298201844</v>
      </c>
      <c r="K194" s="444">
        <f t="shared" ca="1" si="2"/>
        <v>4067.938953270514</v>
      </c>
      <c r="L194" s="444">
        <f t="shared" ca="1" si="3"/>
        <v>980373.28773819399</v>
      </c>
      <c r="M194" s="460">
        <f t="shared" si="6"/>
        <v>0.05</v>
      </c>
      <c r="N194" s="464">
        <f t="shared" si="7"/>
        <v>56949</v>
      </c>
    </row>
    <row r="195" spans="7:14" ht="11.25" customHeight="1" x14ac:dyDescent="0.25">
      <c r="G195" s="459">
        <f t="shared" si="20"/>
        <v>16</v>
      </c>
      <c r="H195" s="459">
        <v>188</v>
      </c>
      <c r="I195" s="444">
        <f t="shared" ca="1" si="5"/>
        <v>980373.28773819399</v>
      </c>
      <c r="J195" s="444">
        <f t="array" ref="J195">IFERROR(INDEX('Retirement Calculator'!J:J,MATCH('Isaac 401k'!N195,'Retirement Calculator'!A:A,0),0),0)</f>
        <v>8395.6297298201844</v>
      </c>
      <c r="K195" s="444">
        <f t="shared" ca="1" si="2"/>
        <v>4049.9069083682243</v>
      </c>
      <c r="L195" s="444">
        <f t="shared" ca="1" si="3"/>
        <v>976027.56491674203</v>
      </c>
      <c r="M195" s="460">
        <f t="shared" si="6"/>
        <v>0.05</v>
      </c>
      <c r="N195" s="464">
        <f t="shared" si="7"/>
        <v>56980</v>
      </c>
    </row>
    <row r="196" spans="7:14" ht="11.25" customHeight="1" x14ac:dyDescent="0.25">
      <c r="G196" s="459">
        <f t="shared" si="20"/>
        <v>16</v>
      </c>
      <c r="H196" s="459">
        <v>189</v>
      </c>
      <c r="I196" s="444">
        <f t="shared" ca="1" si="5"/>
        <v>976027.56491674203</v>
      </c>
      <c r="J196" s="444">
        <f t="array" ref="J196">IFERROR(INDEX('Retirement Calculator'!J:J,MATCH('Isaac 401k'!N196,'Retirement Calculator'!A:A,0),0),0)</f>
        <v>8395.6297298201844</v>
      </c>
      <c r="K196" s="444">
        <f t="shared" ca="1" si="2"/>
        <v>4031.7997299455078</v>
      </c>
      <c r="L196" s="444">
        <f t="shared" ca="1" si="3"/>
        <v>971663.73491686734</v>
      </c>
      <c r="M196" s="460">
        <f t="shared" si="6"/>
        <v>0.05</v>
      </c>
      <c r="N196" s="464">
        <f t="shared" si="7"/>
        <v>57011</v>
      </c>
    </row>
    <row r="197" spans="7:14" ht="11.25" customHeight="1" x14ac:dyDescent="0.25">
      <c r="G197" s="459">
        <f t="shared" si="20"/>
        <v>16</v>
      </c>
      <c r="H197" s="459">
        <v>190</v>
      </c>
      <c r="I197" s="444">
        <f t="shared" ca="1" si="5"/>
        <v>971663.73491686734</v>
      </c>
      <c r="J197" s="444">
        <f t="array" ref="J197">IFERROR(INDEX('Retirement Calculator'!J:J,MATCH('Isaac 401k'!N197,'Retirement Calculator'!A:A,0),0),0)</f>
        <v>8395.6297298201844</v>
      </c>
      <c r="K197" s="444">
        <f t="shared" ca="1" si="2"/>
        <v>4013.6171049460299</v>
      </c>
      <c r="L197" s="444">
        <f t="shared" ca="1" si="3"/>
        <v>967281.72229199321</v>
      </c>
      <c r="M197" s="460">
        <f t="shared" si="6"/>
        <v>0.05</v>
      </c>
      <c r="N197" s="464">
        <f t="shared" si="7"/>
        <v>57040</v>
      </c>
    </row>
    <row r="198" spans="7:14" ht="11.25" customHeight="1" x14ac:dyDescent="0.25">
      <c r="G198" s="459">
        <f t="shared" si="20"/>
        <v>16</v>
      </c>
      <c r="H198" s="459">
        <v>191</v>
      </c>
      <c r="I198" s="444">
        <f t="shared" ca="1" si="5"/>
        <v>967281.72229199321</v>
      </c>
      <c r="J198" s="444">
        <f t="array" ref="J198">IFERROR(INDEX('Retirement Calculator'!J:J,MATCH('Isaac 401k'!N198,'Retirement Calculator'!A:A,0),0),0)</f>
        <v>8395.6297298201844</v>
      </c>
      <c r="K198" s="444">
        <f t="shared" ca="1" si="2"/>
        <v>3995.3587190090543</v>
      </c>
      <c r="L198" s="444">
        <f t="shared" ca="1" si="3"/>
        <v>962881.45128118212</v>
      </c>
      <c r="M198" s="460">
        <f t="shared" si="6"/>
        <v>0.05</v>
      </c>
      <c r="N198" s="464">
        <f t="shared" si="7"/>
        <v>57071</v>
      </c>
    </row>
    <row r="199" spans="7:14" ht="11.25" customHeight="1" x14ac:dyDescent="0.25">
      <c r="G199" s="459">
        <f t="shared" si="20"/>
        <v>16</v>
      </c>
      <c r="H199" s="459">
        <v>192</v>
      </c>
      <c r="I199" s="444">
        <f t="shared" ca="1" si="5"/>
        <v>962881.45128118212</v>
      </c>
      <c r="J199" s="444">
        <f t="array" ref="J199">IFERROR(INDEX('Retirement Calculator'!J:J,MATCH('Isaac 401k'!N199,'Retirement Calculator'!A:A,0),0),0)</f>
        <v>8395.6297298201844</v>
      </c>
      <c r="K199" s="444">
        <f t="shared" ca="1" si="2"/>
        <v>3977.0242564640075</v>
      </c>
      <c r="L199" s="444">
        <f t="shared" ca="1" si="3"/>
        <v>958462.84580782591</v>
      </c>
      <c r="M199" s="460">
        <f t="shared" si="6"/>
        <v>0.05</v>
      </c>
      <c r="N199" s="464">
        <f t="shared" si="7"/>
        <v>57101</v>
      </c>
    </row>
    <row r="200" spans="7:14" ht="11.25" customHeight="1" x14ac:dyDescent="0.25">
      <c r="G200" s="459">
        <f>G199+1</f>
        <v>17</v>
      </c>
      <c r="H200" s="459">
        <v>193</v>
      </c>
      <c r="I200" s="444">
        <f t="shared" ca="1" si="5"/>
        <v>958462.84580782591</v>
      </c>
      <c r="J200" s="444">
        <f t="array" ref="J200">IFERROR(INDEX('Retirement Calculator'!J:J,MATCH('Isaac 401k'!N200,'Retirement Calculator'!A:A,0),0),0)</f>
        <v>8395.6297298201844</v>
      </c>
      <c r="K200" s="444">
        <f t="shared" ca="1" si="2"/>
        <v>3958.613400325024</v>
      </c>
      <c r="L200" s="444">
        <f t="shared" ca="1" si="3"/>
        <v>954025.82947833079</v>
      </c>
      <c r="M200" s="460">
        <f t="shared" si="6"/>
        <v>0.05</v>
      </c>
      <c r="N200" s="464">
        <f t="shared" si="7"/>
        <v>57132</v>
      </c>
    </row>
    <row r="201" spans="7:14" ht="11.25" customHeight="1" x14ac:dyDescent="0.25">
      <c r="G201" s="459">
        <f t="shared" ref="G201:G211" si="21">G200</f>
        <v>17</v>
      </c>
      <c r="H201" s="459">
        <v>194</v>
      </c>
      <c r="I201" s="444">
        <f t="shared" ca="1" si="5"/>
        <v>954025.82947833079</v>
      </c>
      <c r="J201" s="444">
        <f t="array" ref="J201">IFERROR(INDEX('Retirement Calculator'!J:J,MATCH('Isaac 401k'!N201,'Retirement Calculator'!A:A,0),0),0)</f>
        <v>8395.6297298201844</v>
      </c>
      <c r="K201" s="444">
        <f t="shared" ca="1" si="2"/>
        <v>3940.125832285461</v>
      </c>
      <c r="L201" s="444">
        <f t="shared" ca="1" si="3"/>
        <v>949570.32558079611</v>
      </c>
      <c r="M201" s="460">
        <f t="shared" si="6"/>
        <v>0.05</v>
      </c>
      <c r="N201" s="464">
        <f t="shared" si="7"/>
        <v>57162</v>
      </c>
    </row>
    <row r="202" spans="7:14" ht="11.25" customHeight="1" x14ac:dyDescent="0.25">
      <c r="G202" s="459">
        <f t="shared" si="21"/>
        <v>17</v>
      </c>
      <c r="H202" s="459">
        <v>195</v>
      </c>
      <c r="I202" s="444">
        <f t="shared" ca="1" si="5"/>
        <v>949570.32558079611</v>
      </c>
      <c r="J202" s="444">
        <f t="array" ref="J202">IFERROR(INDEX('Retirement Calculator'!J:J,MATCH('Isaac 401k'!N202,'Retirement Calculator'!A:A,0),0),0)</f>
        <v>8395.6297298201844</v>
      </c>
      <c r="K202" s="444">
        <f t="shared" ca="1" si="2"/>
        <v>3921.5612327123995</v>
      </c>
      <c r="L202" s="444">
        <f t="shared" ca="1" si="3"/>
        <v>945096.25708368828</v>
      </c>
      <c r="M202" s="460">
        <f t="shared" si="6"/>
        <v>0.05</v>
      </c>
      <c r="N202" s="464">
        <f t="shared" si="7"/>
        <v>57193</v>
      </c>
    </row>
    <row r="203" spans="7:14" ht="11.25" customHeight="1" x14ac:dyDescent="0.25">
      <c r="G203" s="459">
        <f t="shared" si="21"/>
        <v>17</v>
      </c>
      <c r="H203" s="459">
        <v>196</v>
      </c>
      <c r="I203" s="444">
        <f t="shared" ca="1" si="5"/>
        <v>945096.25708368828</v>
      </c>
      <c r="J203" s="444">
        <f t="array" ref="J203">IFERROR(INDEX('Retirement Calculator'!J:J,MATCH('Isaac 401k'!N203,'Retirement Calculator'!A:A,0),0),0)</f>
        <v>8395.6297298201844</v>
      </c>
      <c r="K203" s="444">
        <f t="shared" ca="1" si="2"/>
        <v>3902.919280641117</v>
      </c>
      <c r="L203" s="444">
        <f t="shared" ca="1" si="3"/>
        <v>940603.54663450923</v>
      </c>
      <c r="M203" s="460">
        <f t="shared" si="6"/>
        <v>0.05</v>
      </c>
      <c r="N203" s="464">
        <f t="shared" si="7"/>
        <v>57224</v>
      </c>
    </row>
    <row r="204" spans="7:14" ht="11.25" customHeight="1" x14ac:dyDescent="0.25">
      <c r="G204" s="459">
        <f t="shared" si="21"/>
        <v>17</v>
      </c>
      <c r="H204" s="459">
        <v>197</v>
      </c>
      <c r="I204" s="444">
        <f t="shared" ca="1" si="5"/>
        <v>940603.54663450923</v>
      </c>
      <c r="J204" s="444">
        <f t="array" ref="J204">IFERROR(INDEX('Retirement Calculator'!J:J,MATCH('Isaac 401k'!N204,'Retirement Calculator'!A:A,0),0),0)</f>
        <v>8395.6297298201844</v>
      </c>
      <c r="K204" s="444">
        <f t="shared" ca="1" si="2"/>
        <v>3884.1996537695377</v>
      </c>
      <c r="L204" s="444">
        <f t="shared" ca="1" si="3"/>
        <v>936092.11655845854</v>
      </c>
      <c r="M204" s="460">
        <f t="shared" si="6"/>
        <v>0.05</v>
      </c>
      <c r="N204" s="464">
        <f t="shared" si="7"/>
        <v>57254</v>
      </c>
    </row>
    <row r="205" spans="7:14" ht="11.25" customHeight="1" x14ac:dyDescent="0.25">
      <c r="G205" s="459">
        <f t="shared" si="21"/>
        <v>17</v>
      </c>
      <c r="H205" s="459">
        <v>198</v>
      </c>
      <c r="I205" s="444">
        <f t="shared" ca="1" si="5"/>
        <v>936092.11655845854</v>
      </c>
      <c r="J205" s="444">
        <f t="array" ref="J205">IFERROR(INDEX('Retirement Calculator'!J:J,MATCH('Isaac 401k'!N205,'Retirement Calculator'!A:A,0),0),0)</f>
        <v>8395.6297298201844</v>
      </c>
      <c r="K205" s="444">
        <f t="shared" ca="1" si="2"/>
        <v>3865.4020284526596</v>
      </c>
      <c r="L205" s="444">
        <f t="shared" ca="1" si="3"/>
        <v>931561.88885709096</v>
      </c>
      <c r="M205" s="460">
        <f t="shared" si="6"/>
        <v>0.05</v>
      </c>
      <c r="N205" s="464">
        <f t="shared" si="7"/>
        <v>57285</v>
      </c>
    </row>
    <row r="206" spans="7:14" ht="11.25" customHeight="1" x14ac:dyDescent="0.25">
      <c r="G206" s="459">
        <f t="shared" si="21"/>
        <v>17</v>
      </c>
      <c r="H206" s="459">
        <v>199</v>
      </c>
      <c r="I206" s="444">
        <f t="shared" ca="1" si="5"/>
        <v>931561.88885709096</v>
      </c>
      <c r="J206" s="444">
        <f t="array" ref="J206">IFERROR(INDEX('Retirement Calculator'!J:J,MATCH('Isaac 401k'!N206,'Retirement Calculator'!A:A,0),0),0)</f>
        <v>8395.6297298201844</v>
      </c>
      <c r="K206" s="444">
        <f t="shared" ca="1" si="2"/>
        <v>3846.5260796969615</v>
      </c>
      <c r="L206" s="444">
        <f t="shared" ca="1" si="3"/>
        <v>927012.78520696773</v>
      </c>
      <c r="M206" s="460">
        <f t="shared" si="6"/>
        <v>0.05</v>
      </c>
      <c r="N206" s="464">
        <f t="shared" si="7"/>
        <v>57315</v>
      </c>
    </row>
    <row r="207" spans="7:14" ht="11.25" customHeight="1" x14ac:dyDescent="0.25">
      <c r="G207" s="459">
        <f t="shared" si="21"/>
        <v>17</v>
      </c>
      <c r="H207" s="459">
        <v>200</v>
      </c>
      <c r="I207" s="444">
        <f t="shared" ca="1" si="5"/>
        <v>927012.78520696773</v>
      </c>
      <c r="J207" s="444">
        <f t="array" ref="J207">IFERROR(INDEX('Retirement Calculator'!J:J,MATCH('Isaac 401k'!N207,'Retirement Calculator'!A:A,0),0),0)</f>
        <v>8395.6297298201844</v>
      </c>
      <c r="K207" s="444">
        <f t="shared" ca="1" si="2"/>
        <v>3827.5714811547809</v>
      </c>
      <c r="L207" s="444">
        <f t="shared" ca="1" si="3"/>
        <v>922444.72695830232</v>
      </c>
      <c r="M207" s="460">
        <f t="shared" si="6"/>
        <v>0.05</v>
      </c>
      <c r="N207" s="464">
        <f t="shared" si="7"/>
        <v>57346</v>
      </c>
    </row>
    <row r="208" spans="7:14" ht="11.25" customHeight="1" x14ac:dyDescent="0.25">
      <c r="G208" s="459">
        <f t="shared" si="21"/>
        <v>17</v>
      </c>
      <c r="H208" s="459">
        <v>201</v>
      </c>
      <c r="I208" s="444">
        <f t="shared" ca="1" si="5"/>
        <v>922444.72695830232</v>
      </c>
      <c r="J208" s="444">
        <f t="array" ref="J208">IFERROR(INDEX('Retirement Calculator'!J:J,MATCH('Isaac 401k'!N208,'Retirement Calculator'!A:A,0),0),0)</f>
        <v>8395.6297298201844</v>
      </c>
      <c r="K208" s="444">
        <f t="shared" ca="1" si="2"/>
        <v>3808.5379051186756</v>
      </c>
      <c r="L208" s="444">
        <f t="shared" ca="1" si="3"/>
        <v>917857.63513360079</v>
      </c>
      <c r="M208" s="460">
        <f t="shared" si="6"/>
        <v>0.05</v>
      </c>
      <c r="N208" s="464">
        <f t="shared" si="7"/>
        <v>57377</v>
      </c>
    </row>
    <row r="209" spans="7:14" ht="11.25" customHeight="1" x14ac:dyDescent="0.25">
      <c r="G209" s="459">
        <f t="shared" si="21"/>
        <v>17</v>
      </c>
      <c r="H209" s="459">
        <v>202</v>
      </c>
      <c r="I209" s="444">
        <f t="shared" ca="1" si="5"/>
        <v>917857.63513360079</v>
      </c>
      <c r="J209" s="444">
        <f t="array" ref="J209">IFERROR(INDEX('Retirement Calculator'!J:J,MATCH('Isaac 401k'!N209,'Retirement Calculator'!A:A,0),0),0)</f>
        <v>8395.6297298201844</v>
      </c>
      <c r="K209" s="444">
        <f t="shared" ca="1" si="2"/>
        <v>3789.4250225157525</v>
      </c>
      <c r="L209" s="444">
        <f t="shared" ca="1" si="3"/>
        <v>913251.43042629631</v>
      </c>
      <c r="M209" s="460">
        <f t="shared" si="6"/>
        <v>0.05</v>
      </c>
      <c r="N209" s="464">
        <f t="shared" si="7"/>
        <v>57405</v>
      </c>
    </row>
    <row r="210" spans="7:14" ht="11.25" customHeight="1" x14ac:dyDescent="0.25">
      <c r="G210" s="459">
        <f t="shared" si="21"/>
        <v>17</v>
      </c>
      <c r="H210" s="459">
        <v>203</v>
      </c>
      <c r="I210" s="444">
        <f t="shared" ca="1" si="5"/>
        <v>913251.43042629631</v>
      </c>
      <c r="J210" s="444">
        <f t="array" ref="J210">IFERROR(INDEX('Retirement Calculator'!J:J,MATCH('Isaac 401k'!N210,'Retirement Calculator'!A:A,0),0),0)</f>
        <v>8395.6297298201844</v>
      </c>
      <c r="K210" s="444">
        <f t="shared" ca="1" si="2"/>
        <v>3770.2325029019839</v>
      </c>
      <c r="L210" s="444">
        <f t="shared" ca="1" si="3"/>
        <v>908626.03319937806</v>
      </c>
      <c r="M210" s="460">
        <f t="shared" si="6"/>
        <v>0.05</v>
      </c>
      <c r="N210" s="464">
        <f t="shared" si="7"/>
        <v>57436</v>
      </c>
    </row>
    <row r="211" spans="7:14" ht="11.25" customHeight="1" x14ac:dyDescent="0.25">
      <c r="G211" s="459">
        <f t="shared" si="21"/>
        <v>17</v>
      </c>
      <c r="H211" s="459">
        <v>204</v>
      </c>
      <c r="I211" s="444">
        <f t="shared" ca="1" si="5"/>
        <v>908626.03319937806</v>
      </c>
      <c r="J211" s="444">
        <f t="array" ref="J211">IFERROR(INDEX('Retirement Calculator'!J:J,MATCH('Isaac 401k'!N211,'Retirement Calculator'!A:A,0),0),0)</f>
        <v>8395.6297298201844</v>
      </c>
      <c r="K211" s="444">
        <f t="shared" ca="1" si="2"/>
        <v>3750.9600144564911</v>
      </c>
      <c r="L211" s="444">
        <f t="shared" ca="1" si="3"/>
        <v>903981.36348401441</v>
      </c>
      <c r="M211" s="460">
        <f t="shared" si="6"/>
        <v>0.05</v>
      </c>
      <c r="N211" s="464">
        <f t="shared" si="7"/>
        <v>57466</v>
      </c>
    </row>
    <row r="212" spans="7:14" ht="11.25" customHeight="1" x14ac:dyDescent="0.25">
      <c r="G212" s="459">
        <f>G211+1</f>
        <v>18</v>
      </c>
      <c r="H212" s="459">
        <v>205</v>
      </c>
      <c r="I212" s="444">
        <f t="shared" ca="1" si="5"/>
        <v>903981.36348401441</v>
      </c>
      <c r="J212" s="444">
        <f t="array" ref="J212">IFERROR(INDEX('Retirement Calculator'!J:J,MATCH('Isaac 401k'!N212,'Retirement Calculator'!A:A,0),0),0)</f>
        <v>8395.6297298201844</v>
      </c>
      <c r="K212" s="444">
        <f t="shared" ca="1" si="2"/>
        <v>3731.6072239758091</v>
      </c>
      <c r="L212" s="444">
        <f t="shared" ca="1" si="3"/>
        <v>899317.34097817005</v>
      </c>
      <c r="M212" s="460">
        <f t="shared" si="6"/>
        <v>0.05</v>
      </c>
      <c r="N212" s="464">
        <f t="shared" si="7"/>
        <v>57497</v>
      </c>
    </row>
    <row r="213" spans="7:14" ht="11.25" customHeight="1" x14ac:dyDescent="0.25">
      <c r="G213" s="459">
        <f t="shared" ref="G213:G223" si="22">G212</f>
        <v>18</v>
      </c>
      <c r="H213" s="459">
        <v>206</v>
      </c>
      <c r="I213" s="444">
        <f t="shared" ca="1" si="5"/>
        <v>899317.34097817005</v>
      </c>
      <c r="J213" s="444">
        <f t="array" ref="J213">IFERROR(INDEX('Retirement Calculator'!J:J,MATCH('Isaac 401k'!N213,'Retirement Calculator'!A:A,0),0),0)</f>
        <v>8395.6297298201844</v>
      </c>
      <c r="K213" s="444">
        <f t="shared" ca="1" si="2"/>
        <v>3712.1737968681246</v>
      </c>
      <c r="L213" s="444">
        <f t="shared" ca="1" si="3"/>
        <v>894633.88504521793</v>
      </c>
      <c r="M213" s="460">
        <f t="shared" si="6"/>
        <v>0.05</v>
      </c>
      <c r="N213" s="464">
        <f t="shared" si="7"/>
        <v>57527</v>
      </c>
    </row>
    <row r="214" spans="7:14" ht="11.25" customHeight="1" x14ac:dyDescent="0.25">
      <c r="G214" s="459">
        <f t="shared" si="22"/>
        <v>18</v>
      </c>
      <c r="H214" s="459">
        <v>207</v>
      </c>
      <c r="I214" s="444">
        <f t="shared" ca="1" si="5"/>
        <v>894633.88504521793</v>
      </c>
      <c r="J214" s="444">
        <f t="array" ref="J214">IFERROR(INDEX('Retirement Calculator'!J:J,MATCH('Isaac 401k'!N214,'Retirement Calculator'!A:A,0),0),0)</f>
        <v>8395.6297298201844</v>
      </c>
      <c r="K214" s="444">
        <f t="shared" ca="1" si="2"/>
        <v>3692.6593971474904</v>
      </c>
      <c r="L214" s="444">
        <f t="shared" ca="1" si="3"/>
        <v>889930.91471254523</v>
      </c>
      <c r="M214" s="460">
        <f t="shared" si="6"/>
        <v>0.05</v>
      </c>
      <c r="N214" s="464">
        <f t="shared" si="7"/>
        <v>57558</v>
      </c>
    </row>
    <row r="215" spans="7:14" ht="11.25" customHeight="1" x14ac:dyDescent="0.25">
      <c r="G215" s="459">
        <f t="shared" si="22"/>
        <v>18</v>
      </c>
      <c r="H215" s="459">
        <v>208</v>
      </c>
      <c r="I215" s="444">
        <f t="shared" ca="1" si="5"/>
        <v>889930.91471254523</v>
      </c>
      <c r="J215" s="444">
        <f t="array" ref="J215">IFERROR(INDEX('Retirement Calculator'!J:J,MATCH('Isaac 401k'!N215,'Retirement Calculator'!A:A,0),0),0)</f>
        <v>8395.6297298201844</v>
      </c>
      <c r="K215" s="444">
        <f t="shared" ca="1" si="2"/>
        <v>3673.0636874280212</v>
      </c>
      <c r="L215" s="444">
        <f t="shared" ca="1" si="3"/>
        <v>885208.34867015306</v>
      </c>
      <c r="M215" s="460">
        <f t="shared" si="6"/>
        <v>0.05</v>
      </c>
      <c r="N215" s="464">
        <f t="shared" si="7"/>
        <v>57589</v>
      </c>
    </row>
    <row r="216" spans="7:14" ht="11.25" customHeight="1" x14ac:dyDescent="0.25">
      <c r="G216" s="459">
        <f t="shared" si="22"/>
        <v>18</v>
      </c>
      <c r="H216" s="459">
        <v>209</v>
      </c>
      <c r="I216" s="444">
        <f t="shared" ca="1" si="5"/>
        <v>885208.34867015306</v>
      </c>
      <c r="J216" s="444">
        <f t="array" ref="J216">IFERROR(INDEX('Retirement Calculator'!J:J,MATCH('Isaac 401k'!N216,'Retirement Calculator'!A:A,0),0),0)</f>
        <v>8395.6297298201844</v>
      </c>
      <c r="K216" s="444">
        <f t="shared" ca="1" si="2"/>
        <v>3653.3863289180531</v>
      </c>
      <c r="L216" s="444">
        <f t="shared" ca="1" si="3"/>
        <v>880466.10526925093</v>
      </c>
      <c r="M216" s="460">
        <f t="shared" si="6"/>
        <v>0.05</v>
      </c>
      <c r="N216" s="464">
        <f t="shared" si="7"/>
        <v>57619</v>
      </c>
    </row>
    <row r="217" spans="7:14" ht="11.25" customHeight="1" x14ac:dyDescent="0.25">
      <c r="G217" s="459">
        <f t="shared" si="22"/>
        <v>18</v>
      </c>
      <c r="H217" s="459">
        <v>210</v>
      </c>
      <c r="I217" s="444">
        <f t="shared" ca="1" si="5"/>
        <v>880466.10526925093</v>
      </c>
      <c r="J217" s="444">
        <f t="array" ref="J217">IFERROR(INDEX('Retirement Calculator'!J:J,MATCH('Isaac 401k'!N217,'Retirement Calculator'!A:A,0),0),0)</f>
        <v>8395.6297298201844</v>
      </c>
      <c r="K217" s="444">
        <f t="shared" ca="1" si="2"/>
        <v>3633.6269814142952</v>
      </c>
      <c r="L217" s="444">
        <f t="shared" ca="1" si="3"/>
        <v>875704.10252084502</v>
      </c>
      <c r="M217" s="460">
        <f t="shared" si="6"/>
        <v>0.05</v>
      </c>
      <c r="N217" s="464">
        <f t="shared" si="7"/>
        <v>57650</v>
      </c>
    </row>
    <row r="218" spans="7:14" ht="11.25" customHeight="1" x14ac:dyDescent="0.25">
      <c r="G218" s="459">
        <f t="shared" si="22"/>
        <v>18</v>
      </c>
      <c r="H218" s="459">
        <v>211</v>
      </c>
      <c r="I218" s="444">
        <f t="shared" ca="1" si="5"/>
        <v>875704.10252084502</v>
      </c>
      <c r="J218" s="444">
        <f t="array" ref="J218">IFERROR(INDEX('Retirement Calculator'!J:J,MATCH('Isaac 401k'!N218,'Retirement Calculator'!A:A,0),0),0)</f>
        <v>8395.6297298201844</v>
      </c>
      <c r="K218" s="444">
        <f t="shared" ca="1" si="2"/>
        <v>3613.785303295937</v>
      </c>
      <c r="L218" s="444">
        <f t="shared" ca="1" si="3"/>
        <v>870922.25809432077</v>
      </c>
      <c r="M218" s="460">
        <f t="shared" si="6"/>
        <v>0.05</v>
      </c>
      <c r="N218" s="464">
        <f t="shared" si="7"/>
        <v>57680</v>
      </c>
    </row>
    <row r="219" spans="7:14" ht="11.25" customHeight="1" x14ac:dyDescent="0.25">
      <c r="G219" s="459">
        <f t="shared" si="22"/>
        <v>18</v>
      </c>
      <c r="H219" s="459">
        <v>212</v>
      </c>
      <c r="I219" s="444">
        <f t="shared" ca="1" si="5"/>
        <v>870922.25809432077</v>
      </c>
      <c r="J219" s="444">
        <f t="array" ref="J219">IFERROR(INDEX('Retirement Calculator'!J:J,MATCH('Isaac 401k'!N219,'Retirement Calculator'!A:A,0),0),0)</f>
        <v>8395.6297298201844</v>
      </c>
      <c r="K219" s="444">
        <f t="shared" ca="1" si="2"/>
        <v>3593.8609515187527</v>
      </c>
      <c r="L219" s="444">
        <f t="shared" ca="1" si="3"/>
        <v>866120.48931601935</v>
      </c>
      <c r="M219" s="460">
        <f t="shared" si="6"/>
        <v>0.05</v>
      </c>
      <c r="N219" s="464">
        <f t="shared" si="7"/>
        <v>57711</v>
      </c>
    </row>
    <row r="220" spans="7:14" ht="11.25" customHeight="1" x14ac:dyDescent="0.25">
      <c r="G220" s="459">
        <f t="shared" si="22"/>
        <v>18</v>
      </c>
      <c r="H220" s="459">
        <v>213</v>
      </c>
      <c r="I220" s="444">
        <f t="shared" ca="1" si="5"/>
        <v>866120.48931601935</v>
      </c>
      <c r="J220" s="444">
        <f t="array" ref="J220">IFERROR(INDEX('Retirement Calculator'!J:J,MATCH('Isaac 401k'!N220,'Retirement Calculator'!A:A,0),0),0)</f>
        <v>8395.6297298201844</v>
      </c>
      <c r="K220" s="444">
        <f t="shared" ca="1" si="2"/>
        <v>3573.8535816091635</v>
      </c>
      <c r="L220" s="444">
        <f t="shared" ca="1" si="3"/>
        <v>861298.71316780837</v>
      </c>
      <c r="M220" s="460">
        <f t="shared" si="6"/>
        <v>0.05</v>
      </c>
      <c r="N220" s="464">
        <f t="shared" si="7"/>
        <v>57742</v>
      </c>
    </row>
    <row r="221" spans="7:14" ht="11.25" customHeight="1" x14ac:dyDescent="0.25">
      <c r="G221" s="459">
        <f t="shared" si="22"/>
        <v>18</v>
      </c>
      <c r="H221" s="459">
        <v>214</v>
      </c>
      <c r="I221" s="444">
        <f t="shared" ca="1" si="5"/>
        <v>861298.71316780837</v>
      </c>
      <c r="J221" s="444">
        <f t="array" ref="J221">IFERROR(INDEX('Retirement Calculator'!J:J,MATCH('Isaac 401k'!N221,'Retirement Calculator'!A:A,0),0),0)</f>
        <v>8395.6297298201844</v>
      </c>
      <c r="K221" s="444">
        <f t="shared" ca="1" si="2"/>
        <v>3553.7628476582845</v>
      </c>
      <c r="L221" s="444">
        <f t="shared" ca="1" si="3"/>
        <v>856456.84628564643</v>
      </c>
      <c r="M221" s="460">
        <f t="shared" si="6"/>
        <v>0.05</v>
      </c>
      <c r="N221" s="464">
        <f t="shared" si="7"/>
        <v>57770</v>
      </c>
    </row>
    <row r="222" spans="7:14" ht="11.25" customHeight="1" x14ac:dyDescent="0.25">
      <c r="G222" s="459">
        <f t="shared" si="22"/>
        <v>18</v>
      </c>
      <c r="H222" s="459">
        <v>215</v>
      </c>
      <c r="I222" s="444">
        <f t="shared" ca="1" si="5"/>
        <v>856456.84628564643</v>
      </c>
      <c r="J222" s="444">
        <f t="array" ref="J222">IFERROR(INDEX('Retirement Calculator'!J:J,MATCH('Isaac 401k'!N222,'Retirement Calculator'!A:A,0),0),0)</f>
        <v>8395.6297298201844</v>
      </c>
      <c r="K222" s="444">
        <f t="shared" ca="1" si="2"/>
        <v>3533.5884023159433</v>
      </c>
      <c r="L222" s="444">
        <f t="shared" ca="1" si="3"/>
        <v>851594.80495814222</v>
      </c>
      <c r="M222" s="460">
        <f t="shared" si="6"/>
        <v>0.05</v>
      </c>
      <c r="N222" s="464">
        <f t="shared" si="7"/>
        <v>57801</v>
      </c>
    </row>
    <row r="223" spans="7:14" ht="11.25" customHeight="1" x14ac:dyDescent="0.25">
      <c r="G223" s="459">
        <f t="shared" si="22"/>
        <v>18</v>
      </c>
      <c r="H223" s="459">
        <v>216</v>
      </c>
      <c r="I223" s="444">
        <f t="shared" ca="1" si="5"/>
        <v>851594.80495814222</v>
      </c>
      <c r="J223" s="444">
        <f t="array" ref="J223">IFERROR(INDEX('Retirement Calculator'!J:J,MATCH('Isaac 401k'!N223,'Retirement Calculator'!A:A,0),0),0)</f>
        <v>8395.6297298201844</v>
      </c>
      <c r="K223" s="444">
        <f t="shared" ca="1" si="2"/>
        <v>3513.3298967846745</v>
      </c>
      <c r="L223" s="444">
        <f t="shared" ca="1" si="3"/>
        <v>846712.50512510666</v>
      </c>
      <c r="M223" s="460">
        <f t="shared" si="6"/>
        <v>0.05</v>
      </c>
      <c r="N223" s="464">
        <f t="shared" si="7"/>
        <v>57831</v>
      </c>
    </row>
    <row r="224" spans="7:14" ht="11.25" customHeight="1" x14ac:dyDescent="0.25">
      <c r="G224" s="459">
        <f>G223+1</f>
        <v>19</v>
      </c>
      <c r="H224" s="459">
        <v>217</v>
      </c>
      <c r="I224" s="444">
        <f t="shared" ca="1" si="5"/>
        <v>846712.50512510666</v>
      </c>
      <c r="J224" s="444">
        <f t="array" ref="J224">IFERROR(INDEX('Retirement Calculator'!J:J,MATCH('Isaac 401k'!N224,'Retirement Calculator'!A:A,0),0),0)</f>
        <v>8395.6297298201844</v>
      </c>
      <c r="K224" s="444">
        <f t="shared" ca="1" si="2"/>
        <v>3492.9869808136932</v>
      </c>
      <c r="L224" s="444">
        <f t="shared" ca="1" si="3"/>
        <v>841809.86237610015</v>
      </c>
      <c r="M224" s="460">
        <f t="shared" si="6"/>
        <v>0.05</v>
      </c>
      <c r="N224" s="464">
        <f t="shared" si="7"/>
        <v>57862</v>
      </c>
    </row>
    <row r="225" spans="7:14" ht="11.25" customHeight="1" x14ac:dyDescent="0.25">
      <c r="G225" s="459">
        <f t="shared" ref="G225:G235" si="23">G224</f>
        <v>19</v>
      </c>
      <c r="H225" s="459">
        <v>218</v>
      </c>
      <c r="I225" s="444">
        <f t="shared" ca="1" si="5"/>
        <v>841809.86237610015</v>
      </c>
      <c r="J225" s="444">
        <f t="array" ref="J225">IFERROR(INDEX('Retirement Calculator'!J:J,MATCH('Isaac 401k'!N225,'Retirement Calculator'!A:A,0),0),0)</f>
        <v>8395.6297298201844</v>
      </c>
      <c r="K225" s="444">
        <f t="shared" ca="1" si="2"/>
        <v>3472.5593026928327</v>
      </c>
      <c r="L225" s="444">
        <f t="shared" ca="1" si="3"/>
        <v>836886.79194897285</v>
      </c>
      <c r="M225" s="460">
        <f t="shared" si="6"/>
        <v>0.05</v>
      </c>
      <c r="N225" s="464">
        <f t="shared" si="7"/>
        <v>57892</v>
      </c>
    </row>
    <row r="226" spans="7:14" ht="11.25" customHeight="1" x14ac:dyDescent="0.25">
      <c r="G226" s="459">
        <f t="shared" si="23"/>
        <v>19</v>
      </c>
      <c r="H226" s="459">
        <v>219</v>
      </c>
      <c r="I226" s="444">
        <f t="shared" ca="1" si="5"/>
        <v>836886.79194897285</v>
      </c>
      <c r="J226" s="444">
        <f t="array" ref="J226">IFERROR(INDEX('Retirement Calculator'!J:J,MATCH('Isaac 401k'!N226,'Retirement Calculator'!A:A,0),0),0)</f>
        <v>8395.6297298201844</v>
      </c>
      <c r="K226" s="444">
        <f t="shared" ca="1" si="2"/>
        <v>3452.0465092464692</v>
      </c>
      <c r="L226" s="444">
        <f t="shared" ca="1" si="3"/>
        <v>831943.20872839913</v>
      </c>
      <c r="M226" s="460">
        <f t="shared" si="6"/>
        <v>0.05</v>
      </c>
      <c r="N226" s="464">
        <f t="shared" si="7"/>
        <v>57923</v>
      </c>
    </row>
    <row r="227" spans="7:14" ht="11.25" customHeight="1" x14ac:dyDescent="0.25">
      <c r="G227" s="459">
        <f t="shared" si="23"/>
        <v>19</v>
      </c>
      <c r="H227" s="459">
        <v>220</v>
      </c>
      <c r="I227" s="444">
        <f t="shared" ca="1" si="5"/>
        <v>831943.20872839913</v>
      </c>
      <c r="J227" s="444">
        <f t="array" ref="J227">IFERROR(INDEX('Retirement Calculator'!J:J,MATCH('Isaac 401k'!N227,'Retirement Calculator'!A:A,0),0),0)</f>
        <v>8395.6297298201844</v>
      </c>
      <c r="K227" s="444">
        <f t="shared" ca="1" si="2"/>
        <v>3431.4482458274124</v>
      </c>
      <c r="L227" s="444">
        <f t="shared" ca="1" si="3"/>
        <v>826979.0272444064</v>
      </c>
      <c r="M227" s="460">
        <f t="shared" si="6"/>
        <v>0.05</v>
      </c>
      <c r="N227" s="464">
        <f t="shared" si="7"/>
        <v>57954</v>
      </c>
    </row>
    <row r="228" spans="7:14" ht="11.25" customHeight="1" x14ac:dyDescent="0.25">
      <c r="G228" s="459">
        <f t="shared" si="23"/>
        <v>19</v>
      </c>
      <c r="H228" s="459">
        <v>221</v>
      </c>
      <c r="I228" s="444">
        <f t="shared" ca="1" si="5"/>
        <v>826979.0272444064</v>
      </c>
      <c r="J228" s="444">
        <f t="array" ref="J228">IFERROR(INDEX('Retirement Calculator'!J:J,MATCH('Isaac 401k'!N228,'Retirement Calculator'!A:A,0),0),0)</f>
        <v>8395.6297298201844</v>
      </c>
      <c r="K228" s="444">
        <f t="shared" ca="1" si="2"/>
        <v>3410.7641563107763</v>
      </c>
      <c r="L228" s="444">
        <f t="shared" ca="1" si="3"/>
        <v>821994.16167089704</v>
      </c>
      <c r="M228" s="460">
        <f t="shared" si="6"/>
        <v>0.05</v>
      </c>
      <c r="N228" s="464">
        <f t="shared" si="7"/>
        <v>57984</v>
      </c>
    </row>
    <row r="229" spans="7:14" ht="11.25" customHeight="1" x14ac:dyDescent="0.25">
      <c r="G229" s="459">
        <f t="shared" si="23"/>
        <v>19</v>
      </c>
      <c r="H229" s="459">
        <v>222</v>
      </c>
      <c r="I229" s="444">
        <f t="shared" ca="1" si="5"/>
        <v>821994.16167089704</v>
      </c>
      <c r="J229" s="444">
        <f t="array" ref="J229">IFERROR(INDEX('Retirement Calculator'!J:J,MATCH('Isaac 401k'!N229,'Retirement Calculator'!A:A,0),0),0)</f>
        <v>8395.6297298201844</v>
      </c>
      <c r="K229" s="444">
        <f t="shared" ca="1" si="2"/>
        <v>3389.99388308782</v>
      </c>
      <c r="L229" s="444">
        <f t="shared" ca="1" si="3"/>
        <v>816988.52582416462</v>
      </c>
      <c r="M229" s="460">
        <f t="shared" si="6"/>
        <v>0.05</v>
      </c>
      <c r="N229" s="464">
        <f t="shared" si="7"/>
        <v>58015</v>
      </c>
    </row>
    <row r="230" spans="7:14" ht="11.25" customHeight="1" x14ac:dyDescent="0.25">
      <c r="G230" s="459">
        <f t="shared" si="23"/>
        <v>19</v>
      </c>
      <c r="H230" s="459">
        <v>223</v>
      </c>
      <c r="I230" s="444">
        <f t="shared" ca="1" si="5"/>
        <v>816988.52582416462</v>
      </c>
      <c r="J230" s="444">
        <f t="array" ref="J230">IFERROR(INDEX('Retirement Calculator'!J:J,MATCH('Isaac 401k'!N230,'Retirement Calculator'!A:A,0),0),0)</f>
        <v>8395.6297298201844</v>
      </c>
      <c r="K230" s="444">
        <f t="shared" ca="1" si="2"/>
        <v>3369.1370670597685</v>
      </c>
      <c r="L230" s="444">
        <f t="shared" ca="1" si="3"/>
        <v>811962.03316140419</v>
      </c>
      <c r="M230" s="460">
        <f t="shared" si="6"/>
        <v>0.05</v>
      </c>
      <c r="N230" s="464">
        <f t="shared" si="7"/>
        <v>58045</v>
      </c>
    </row>
    <row r="231" spans="7:14" ht="11.25" customHeight="1" x14ac:dyDescent="0.25">
      <c r="G231" s="459">
        <f t="shared" si="23"/>
        <v>19</v>
      </c>
      <c r="H231" s="459">
        <v>224</v>
      </c>
      <c r="I231" s="444">
        <f t="shared" ca="1" si="5"/>
        <v>811962.03316140419</v>
      </c>
      <c r="J231" s="444">
        <f t="array" ref="J231">IFERROR(INDEX('Retirement Calculator'!J:J,MATCH('Isaac 401k'!N231,'Retirement Calculator'!A:A,0),0),0)</f>
        <v>8395.6297298201844</v>
      </c>
      <c r="K231" s="444">
        <f t="shared" ca="1" si="2"/>
        <v>3348.1933476315999</v>
      </c>
      <c r="L231" s="444">
        <f t="shared" ca="1" si="3"/>
        <v>806914.59677921562</v>
      </c>
      <c r="M231" s="460">
        <f t="shared" si="6"/>
        <v>0.05</v>
      </c>
      <c r="N231" s="464">
        <f t="shared" si="7"/>
        <v>58076</v>
      </c>
    </row>
    <row r="232" spans="7:14" ht="11.25" customHeight="1" x14ac:dyDescent="0.25">
      <c r="G232" s="459">
        <f t="shared" si="23"/>
        <v>19</v>
      </c>
      <c r="H232" s="459">
        <v>225</v>
      </c>
      <c r="I232" s="444">
        <f t="shared" ca="1" si="5"/>
        <v>806914.59677921562</v>
      </c>
      <c r="J232" s="444">
        <f t="array" ref="J232">IFERROR(INDEX('Retirement Calculator'!J:J,MATCH('Isaac 401k'!N232,'Retirement Calculator'!A:A,0),0),0)</f>
        <v>8395.6297298201844</v>
      </c>
      <c r="K232" s="444">
        <f t="shared" ca="1" si="2"/>
        <v>3327.1623627058143</v>
      </c>
      <c r="L232" s="444">
        <f t="shared" ca="1" si="3"/>
        <v>801846.12941210123</v>
      </c>
      <c r="M232" s="460">
        <f t="shared" si="6"/>
        <v>0.05</v>
      </c>
      <c r="N232" s="464">
        <f t="shared" si="7"/>
        <v>58107</v>
      </c>
    </row>
    <row r="233" spans="7:14" ht="11.25" customHeight="1" x14ac:dyDescent="0.25">
      <c r="G233" s="459">
        <f t="shared" si="23"/>
        <v>19</v>
      </c>
      <c r="H233" s="459">
        <v>226</v>
      </c>
      <c r="I233" s="444">
        <f t="shared" ca="1" si="5"/>
        <v>801846.12941210123</v>
      </c>
      <c r="J233" s="444">
        <f t="array" ref="J233">IFERROR(INDEX('Retirement Calculator'!J:J,MATCH('Isaac 401k'!N233,'Retirement Calculator'!A:A,0),0),0)</f>
        <v>8395.6297298201844</v>
      </c>
      <c r="K233" s="444">
        <f t="shared" ca="1" si="2"/>
        <v>3306.0437486761712</v>
      </c>
      <c r="L233" s="444">
        <f t="shared" ca="1" si="3"/>
        <v>796756.54343095724</v>
      </c>
      <c r="M233" s="460">
        <f t="shared" si="6"/>
        <v>0.05</v>
      </c>
      <c r="N233" s="464">
        <f t="shared" si="7"/>
        <v>58135</v>
      </c>
    </row>
    <row r="234" spans="7:14" ht="11.25" customHeight="1" x14ac:dyDescent="0.25">
      <c r="G234" s="459">
        <f t="shared" si="23"/>
        <v>19</v>
      </c>
      <c r="H234" s="459">
        <v>227</v>
      </c>
      <c r="I234" s="444">
        <f t="shared" ca="1" si="5"/>
        <v>796756.54343095724</v>
      </c>
      <c r="J234" s="444">
        <f t="array" ref="J234">IFERROR(INDEX('Retirement Calculator'!J:J,MATCH('Isaac 401k'!N234,'Retirement Calculator'!A:A,0),0),0)</f>
        <v>8395.6297298201844</v>
      </c>
      <c r="K234" s="444">
        <f t="shared" ca="1" si="2"/>
        <v>3284.8371404214045</v>
      </c>
      <c r="L234" s="444">
        <f t="shared" ca="1" si="3"/>
        <v>791645.75084155845</v>
      </c>
      <c r="M234" s="460">
        <f t="shared" si="6"/>
        <v>0.05</v>
      </c>
      <c r="N234" s="464">
        <f t="shared" si="7"/>
        <v>58166</v>
      </c>
    </row>
    <row r="235" spans="7:14" ht="11.25" customHeight="1" x14ac:dyDescent="0.25">
      <c r="G235" s="459">
        <f t="shared" si="23"/>
        <v>19</v>
      </c>
      <c r="H235" s="459">
        <v>228</v>
      </c>
      <c r="I235" s="444">
        <f t="shared" ca="1" si="5"/>
        <v>791645.75084155845</v>
      </c>
      <c r="J235" s="444">
        <f t="array" ref="J235">IFERROR(INDEX('Retirement Calculator'!J:J,MATCH('Isaac 401k'!N235,'Retirement Calculator'!A:A,0),0),0)</f>
        <v>8395.6297298201844</v>
      </c>
      <c r="K235" s="444">
        <f t="shared" ca="1" si="2"/>
        <v>3263.5421712989096</v>
      </c>
      <c r="L235" s="444">
        <f t="shared" ca="1" si="3"/>
        <v>786513.66328303714</v>
      </c>
      <c r="M235" s="460">
        <f t="shared" si="6"/>
        <v>0.05</v>
      </c>
      <c r="N235" s="464">
        <f t="shared" si="7"/>
        <v>58196</v>
      </c>
    </row>
    <row r="236" spans="7:14" ht="11.25" customHeight="1" x14ac:dyDescent="0.25">
      <c r="G236" s="459">
        <f>G235+1</f>
        <v>20</v>
      </c>
      <c r="H236" s="459">
        <v>229</v>
      </c>
      <c r="I236" s="444">
        <f t="shared" ca="1" si="5"/>
        <v>786513.66328303714</v>
      </c>
      <c r="J236" s="444">
        <f t="array" ref="J236">IFERROR(INDEX('Retirement Calculator'!J:J,MATCH('Isaac 401k'!N236,'Retirement Calculator'!A:A,0),0),0)</f>
        <v>8395.6297298201844</v>
      </c>
      <c r="K236" s="444">
        <f t="shared" ca="1" si="2"/>
        <v>3242.1584731384041</v>
      </c>
      <c r="L236" s="444">
        <f t="shared" ca="1" si="3"/>
        <v>781360.1920263553</v>
      </c>
      <c r="M236" s="460">
        <f t="shared" si="6"/>
        <v>0.05</v>
      </c>
      <c r="N236" s="464">
        <f t="shared" si="7"/>
        <v>58227</v>
      </c>
    </row>
    <row r="237" spans="7:14" ht="11.25" customHeight="1" x14ac:dyDescent="0.25">
      <c r="G237" s="459">
        <f t="shared" ref="G237:G247" si="24">G236</f>
        <v>20</v>
      </c>
      <c r="H237" s="459">
        <v>230</v>
      </c>
      <c r="I237" s="444">
        <f t="shared" ca="1" si="5"/>
        <v>781360.1920263553</v>
      </c>
      <c r="J237" s="444">
        <f t="array" ref="J237">IFERROR(INDEX('Retirement Calculator'!J:J,MATCH('Isaac 401k'!N237,'Retirement Calculator'!A:A,0),0),0)</f>
        <v>8395.6297298201844</v>
      </c>
      <c r="K237" s="444">
        <f t="shared" ca="1" si="2"/>
        <v>3220.6856762355628</v>
      </c>
      <c r="L237" s="444">
        <f t="shared" ca="1" si="3"/>
        <v>776185.24797277071</v>
      </c>
      <c r="M237" s="460">
        <f t="shared" si="6"/>
        <v>0.05</v>
      </c>
      <c r="N237" s="464">
        <f t="shared" si="7"/>
        <v>58257</v>
      </c>
    </row>
    <row r="238" spans="7:14" ht="11.25" customHeight="1" x14ac:dyDescent="0.25">
      <c r="G238" s="459">
        <f t="shared" si="24"/>
        <v>20</v>
      </c>
      <c r="H238" s="459">
        <v>231</v>
      </c>
      <c r="I238" s="444">
        <f t="shared" ca="1" si="5"/>
        <v>776185.24797277071</v>
      </c>
      <c r="J238" s="444">
        <f t="array" ref="J238">IFERROR(INDEX('Retirement Calculator'!J:J,MATCH('Isaac 401k'!N238,'Retirement Calculator'!A:A,0),0),0)</f>
        <v>8395.6297298201844</v>
      </c>
      <c r="K238" s="444">
        <f t="shared" ca="1" si="2"/>
        <v>3199.1234093456274</v>
      </c>
      <c r="L238" s="444">
        <f t="shared" ca="1" si="3"/>
        <v>770988.74165229616</v>
      </c>
      <c r="M238" s="460">
        <f t="shared" si="6"/>
        <v>0.05</v>
      </c>
      <c r="N238" s="464">
        <f t="shared" si="7"/>
        <v>58288</v>
      </c>
    </row>
    <row r="239" spans="7:14" ht="11.25" customHeight="1" x14ac:dyDescent="0.25">
      <c r="G239" s="459">
        <f t="shared" si="24"/>
        <v>20</v>
      </c>
      <c r="H239" s="459">
        <v>232</v>
      </c>
      <c r="I239" s="444">
        <f t="shared" ca="1" si="5"/>
        <v>770988.74165229616</v>
      </c>
      <c r="J239" s="444">
        <f t="array" ref="J239">IFERROR(INDEX('Retirement Calculator'!J:J,MATCH('Isaac 401k'!N239,'Retirement Calculator'!A:A,0),0),0)</f>
        <v>8395.6297298201844</v>
      </c>
      <c r="K239" s="444">
        <f t="shared" ca="1" si="2"/>
        <v>3177.4712996769831</v>
      </c>
      <c r="L239" s="444">
        <f t="shared" ca="1" si="3"/>
        <v>765770.58322215301</v>
      </c>
      <c r="M239" s="460">
        <f t="shared" si="6"/>
        <v>0.05</v>
      </c>
      <c r="N239" s="464">
        <f t="shared" si="7"/>
        <v>58319</v>
      </c>
    </row>
    <row r="240" spans="7:14" ht="11.25" customHeight="1" x14ac:dyDescent="0.25">
      <c r="G240" s="459">
        <f t="shared" si="24"/>
        <v>20</v>
      </c>
      <c r="H240" s="459">
        <v>233</v>
      </c>
      <c r="I240" s="444">
        <f t="shared" ca="1" si="5"/>
        <v>765770.58322215301</v>
      </c>
      <c r="J240" s="444">
        <f t="array" ref="J240">IFERROR(INDEX('Retirement Calculator'!J:J,MATCH('Isaac 401k'!N240,'Retirement Calculator'!A:A,0),0),0)</f>
        <v>8395.6297298201844</v>
      </c>
      <c r="K240" s="444">
        <f t="shared" ca="1" si="2"/>
        <v>3155.72897288472</v>
      </c>
      <c r="L240" s="444">
        <f t="shared" ca="1" si="3"/>
        <v>760530.68246521754</v>
      </c>
      <c r="M240" s="460">
        <f t="shared" si="6"/>
        <v>0.05</v>
      </c>
      <c r="N240" s="464">
        <f t="shared" si="7"/>
        <v>58349</v>
      </c>
    </row>
    <row r="241" spans="7:14" ht="11.25" customHeight="1" x14ac:dyDescent="0.25">
      <c r="G241" s="459">
        <f t="shared" si="24"/>
        <v>20</v>
      </c>
      <c r="H241" s="459">
        <v>234</v>
      </c>
      <c r="I241" s="444">
        <f t="shared" ca="1" si="5"/>
        <v>760530.68246521754</v>
      </c>
      <c r="J241" s="444">
        <f t="array" ref="J241">IFERROR(INDEX('Retirement Calculator'!J:J,MATCH('Isaac 401k'!N241,'Retirement Calculator'!A:A,0),0),0)</f>
        <v>8395.6297298201844</v>
      </c>
      <c r="K241" s="444">
        <f t="shared" ca="1" si="2"/>
        <v>3133.8960530641557</v>
      </c>
      <c r="L241" s="444">
        <f t="shared" ca="1" si="3"/>
        <v>755268.94878846151</v>
      </c>
      <c r="M241" s="460">
        <f t="shared" si="6"/>
        <v>0.05</v>
      </c>
      <c r="N241" s="464">
        <f t="shared" si="7"/>
        <v>58380</v>
      </c>
    </row>
    <row r="242" spans="7:14" ht="11.25" customHeight="1" x14ac:dyDescent="0.25">
      <c r="G242" s="459">
        <f t="shared" si="24"/>
        <v>20</v>
      </c>
      <c r="H242" s="459">
        <v>235</v>
      </c>
      <c r="I242" s="444">
        <f t="shared" ca="1" si="5"/>
        <v>755268.94878846151</v>
      </c>
      <c r="J242" s="444">
        <f t="array" ref="J242">IFERROR(INDEX('Retirement Calculator'!J:J,MATCH('Isaac 401k'!N242,'Retirement Calculator'!A:A,0),0),0)</f>
        <v>8395.6297298201844</v>
      </c>
      <c r="K242" s="444">
        <f t="shared" ca="1" si="2"/>
        <v>3111.9721627443387</v>
      </c>
      <c r="L242" s="444">
        <f t="shared" ca="1" si="3"/>
        <v>749985.29122138571</v>
      </c>
      <c r="M242" s="460">
        <f t="shared" si="6"/>
        <v>0.05</v>
      </c>
      <c r="N242" s="464">
        <f t="shared" si="7"/>
        <v>58410</v>
      </c>
    </row>
    <row r="243" spans="7:14" ht="11.25" customHeight="1" x14ac:dyDescent="0.25">
      <c r="G243" s="459">
        <f t="shared" si="24"/>
        <v>20</v>
      </c>
      <c r="H243" s="459">
        <v>236</v>
      </c>
      <c r="I243" s="444">
        <f t="shared" ca="1" si="5"/>
        <v>749985.29122138571</v>
      </c>
      <c r="J243" s="444">
        <f t="array" ref="J243">IFERROR(INDEX('Retirement Calculator'!J:J,MATCH('Isaac 401k'!N243,'Retirement Calculator'!A:A,0),0),0)</f>
        <v>8395.6297298201844</v>
      </c>
      <c r="K243" s="444">
        <f t="shared" ca="1" si="2"/>
        <v>3089.956922881523</v>
      </c>
      <c r="L243" s="444">
        <f t="shared" ca="1" si="3"/>
        <v>744679.61841444706</v>
      </c>
      <c r="M243" s="460">
        <f t="shared" si="6"/>
        <v>0.05</v>
      </c>
      <c r="N243" s="464">
        <f t="shared" si="7"/>
        <v>58441</v>
      </c>
    </row>
    <row r="244" spans="7:14" ht="11.25" customHeight="1" x14ac:dyDescent="0.25">
      <c r="G244" s="459">
        <f t="shared" si="24"/>
        <v>20</v>
      </c>
      <c r="H244" s="459">
        <v>237</v>
      </c>
      <c r="I244" s="444">
        <f t="shared" ca="1" si="5"/>
        <v>744679.61841444706</v>
      </c>
      <c r="J244" s="444">
        <f t="array" ref="J244">IFERROR(INDEX('Retirement Calculator'!J:J,MATCH('Isaac 401k'!N244,'Retirement Calculator'!A:A,0),0),0)</f>
        <v>8395.6297298201844</v>
      </c>
      <c r="K244" s="444">
        <f t="shared" ca="1" si="2"/>
        <v>3067.8499528526118</v>
      </c>
      <c r="L244" s="444">
        <f t="shared" ca="1" si="3"/>
        <v>739351.83863747946</v>
      </c>
      <c r="M244" s="460">
        <f t="shared" si="6"/>
        <v>0.05</v>
      </c>
      <c r="N244" s="464">
        <f t="shared" si="7"/>
        <v>58472</v>
      </c>
    </row>
    <row r="245" spans="7:14" ht="11.25" customHeight="1" x14ac:dyDescent="0.25">
      <c r="G245" s="459">
        <f t="shared" si="24"/>
        <v>20</v>
      </c>
      <c r="H245" s="459">
        <v>238</v>
      </c>
      <c r="I245" s="444">
        <f t="shared" ca="1" si="5"/>
        <v>739351.83863747946</v>
      </c>
      <c r="J245" s="444">
        <f t="array" ref="J245">IFERROR(INDEX('Retirement Calculator'!J:J,MATCH('Isaac 401k'!N245,'Retirement Calculator'!A:A,0),0),0)</f>
        <v>8395.6297298201844</v>
      </c>
      <c r="K245" s="444">
        <f t="shared" ca="1" si="2"/>
        <v>3045.6508704485805</v>
      </c>
      <c r="L245" s="444">
        <f t="shared" ca="1" si="3"/>
        <v>734001.85977810784</v>
      </c>
      <c r="M245" s="460">
        <f t="shared" si="6"/>
        <v>0.05</v>
      </c>
      <c r="N245" s="464">
        <f t="shared" si="7"/>
        <v>58501</v>
      </c>
    </row>
    <row r="246" spans="7:14" ht="11.25" customHeight="1" x14ac:dyDescent="0.25">
      <c r="G246" s="459">
        <f t="shared" si="24"/>
        <v>20</v>
      </c>
      <c r="H246" s="459">
        <v>239</v>
      </c>
      <c r="I246" s="444">
        <f t="shared" ca="1" si="5"/>
        <v>734001.85977810784</v>
      </c>
      <c r="J246" s="444">
        <f t="array" ref="J246">IFERROR(INDEX('Retirement Calculator'!J:J,MATCH('Isaac 401k'!N246,'Retirement Calculator'!A:A,0),0),0)</f>
        <v>8395.6297298201844</v>
      </c>
      <c r="K246" s="444">
        <f t="shared" ca="1" si="2"/>
        <v>3023.3592918678651</v>
      </c>
      <c r="L246" s="444">
        <f t="shared" ca="1" si="3"/>
        <v>728629.58934015548</v>
      </c>
      <c r="M246" s="460">
        <f t="shared" si="6"/>
        <v>0.05</v>
      </c>
      <c r="N246" s="464">
        <f t="shared" si="7"/>
        <v>58532</v>
      </c>
    </row>
    <row r="247" spans="7:14" ht="11.25" customHeight="1" x14ac:dyDescent="0.25">
      <c r="G247" s="459">
        <f t="shared" si="24"/>
        <v>20</v>
      </c>
      <c r="H247" s="459">
        <v>240</v>
      </c>
      <c r="I247" s="444">
        <f t="shared" ca="1" si="5"/>
        <v>728629.58934015548</v>
      </c>
      <c r="J247" s="444">
        <f t="array" ref="J247">IFERROR(INDEX('Retirement Calculator'!J:J,MATCH('Isaac 401k'!N247,'Retirement Calculator'!A:A,0),0),0)</f>
        <v>8395.6297298201844</v>
      </c>
      <c r="K247" s="444">
        <f t="shared" ca="1" si="2"/>
        <v>3000.9748317097306</v>
      </c>
      <c r="L247" s="444">
        <f t="shared" ca="1" si="3"/>
        <v>723234.93444204505</v>
      </c>
      <c r="M247" s="460">
        <f t="shared" si="6"/>
        <v>0.05</v>
      </c>
      <c r="N247" s="464">
        <f t="shared" si="7"/>
        <v>58562</v>
      </c>
    </row>
    <row r="248" spans="7:14" ht="11.25" customHeight="1" x14ac:dyDescent="0.25">
      <c r="G248" s="459">
        <f>G247+1</f>
        <v>21</v>
      </c>
      <c r="H248" s="459">
        <v>241</v>
      </c>
      <c r="I248" s="444">
        <f t="shared" ca="1" si="5"/>
        <v>723234.93444204505</v>
      </c>
      <c r="J248" s="444">
        <f t="array" ref="J248">IFERROR(INDEX('Retirement Calculator'!J:J,MATCH('Isaac 401k'!N248,'Retirement Calculator'!A:A,0),0),0)</f>
        <v>8395.6297298201844</v>
      </c>
      <c r="K248" s="444">
        <f t="shared" ca="1" si="2"/>
        <v>2978.4971029676035</v>
      </c>
      <c r="L248" s="444">
        <f t="shared" ca="1" si="3"/>
        <v>717817.80181519245</v>
      </c>
      <c r="M248" s="460">
        <f t="shared" si="6"/>
        <v>0.05</v>
      </c>
      <c r="N248" s="464">
        <f t="shared" si="7"/>
        <v>58593</v>
      </c>
    </row>
    <row r="249" spans="7:14" ht="11.25" customHeight="1" x14ac:dyDescent="0.25">
      <c r="G249" s="459">
        <f t="shared" ref="G249:G259" si="25">G248</f>
        <v>21</v>
      </c>
      <c r="H249" s="459">
        <v>242</v>
      </c>
      <c r="I249" s="444">
        <f t="shared" ca="1" si="5"/>
        <v>717817.80181519245</v>
      </c>
      <c r="J249" s="444">
        <f t="array" ref="J249">IFERROR(INDEX('Retirement Calculator'!J:J,MATCH('Isaac 401k'!N249,'Retirement Calculator'!A:A,0),0),0)</f>
        <v>8395.6297298201844</v>
      </c>
      <c r="K249" s="444">
        <f t="shared" ca="1" si="2"/>
        <v>2955.9257170223846</v>
      </c>
      <c r="L249" s="444">
        <f t="shared" ca="1" si="3"/>
        <v>712378.09780239465</v>
      </c>
      <c r="M249" s="460">
        <f t="shared" si="6"/>
        <v>0.05</v>
      </c>
      <c r="N249" s="464">
        <f t="shared" si="7"/>
        <v>58623</v>
      </c>
    </row>
    <row r="250" spans="7:14" ht="11.25" customHeight="1" x14ac:dyDescent="0.25">
      <c r="G250" s="459">
        <f t="shared" si="25"/>
        <v>21</v>
      </c>
      <c r="H250" s="459">
        <v>243</v>
      </c>
      <c r="I250" s="444">
        <f t="shared" ca="1" si="5"/>
        <v>712378.09780239465</v>
      </c>
      <c r="J250" s="444">
        <f t="array" ref="J250">IFERROR(INDEX('Retirement Calculator'!J:J,MATCH('Isaac 401k'!N250,'Retirement Calculator'!A:A,0),0),0)</f>
        <v>8395.6297298201844</v>
      </c>
      <c r="K250" s="444">
        <f t="shared" ca="1" si="2"/>
        <v>2933.2602836357269</v>
      </c>
      <c r="L250" s="444">
        <f t="shared" ca="1" si="3"/>
        <v>706915.72835621017</v>
      </c>
      <c r="M250" s="460">
        <f t="shared" si="6"/>
        <v>0.05</v>
      </c>
      <c r="N250" s="464">
        <f t="shared" si="7"/>
        <v>58654</v>
      </c>
    </row>
    <row r="251" spans="7:14" ht="11.25" customHeight="1" x14ac:dyDescent="0.25">
      <c r="G251" s="459">
        <f t="shared" si="25"/>
        <v>21</v>
      </c>
      <c r="H251" s="459">
        <v>244</v>
      </c>
      <c r="I251" s="444">
        <f t="shared" ca="1" si="5"/>
        <v>706915.72835621017</v>
      </c>
      <c r="J251" s="444">
        <f t="array" ref="J251">IFERROR(INDEX('Retirement Calculator'!J:J,MATCH('Isaac 401k'!N251,'Retirement Calculator'!A:A,0),0),0)</f>
        <v>8395.6297298201844</v>
      </c>
      <c r="K251" s="444">
        <f t="shared" ca="1" si="2"/>
        <v>2910.5004109432916</v>
      </c>
      <c r="L251" s="444">
        <f t="shared" ca="1" si="3"/>
        <v>701430.59903733328</v>
      </c>
      <c r="M251" s="460">
        <f t="shared" si="6"/>
        <v>0.05</v>
      </c>
      <c r="N251" s="464">
        <f t="shared" si="7"/>
        <v>58685</v>
      </c>
    </row>
    <row r="252" spans="7:14" ht="11.25" customHeight="1" x14ac:dyDescent="0.25">
      <c r="G252" s="459">
        <f t="shared" si="25"/>
        <v>21</v>
      </c>
      <c r="H252" s="459">
        <v>245</v>
      </c>
      <c r="I252" s="444">
        <f t="shared" ca="1" si="5"/>
        <v>701430.59903733328</v>
      </c>
      <c r="J252" s="444">
        <f t="array" ref="J252">IFERROR(INDEX('Retirement Calculator'!J:J,MATCH('Isaac 401k'!N252,'Retirement Calculator'!A:A,0),0),0)</f>
        <v>8395.6297298201844</v>
      </c>
      <c r="K252" s="444">
        <f t="shared" ca="1" si="2"/>
        <v>2887.6457054479711</v>
      </c>
      <c r="L252" s="444">
        <f t="shared" ca="1" si="3"/>
        <v>695922.61501296109</v>
      </c>
      <c r="M252" s="460">
        <f t="shared" si="6"/>
        <v>0.05</v>
      </c>
      <c r="N252" s="464">
        <f t="shared" si="7"/>
        <v>58715</v>
      </c>
    </row>
    <row r="253" spans="7:14" ht="11.25" customHeight="1" x14ac:dyDescent="0.25">
      <c r="G253" s="459">
        <f t="shared" si="25"/>
        <v>21</v>
      </c>
      <c r="H253" s="459">
        <v>246</v>
      </c>
      <c r="I253" s="444">
        <f t="shared" ca="1" si="5"/>
        <v>695922.61501296109</v>
      </c>
      <c r="J253" s="444">
        <f t="array" ref="J253">IFERROR(INDEX('Retirement Calculator'!J:J,MATCH('Isaac 401k'!N253,'Retirement Calculator'!A:A,0),0),0)</f>
        <v>8395.6297298201844</v>
      </c>
      <c r="K253" s="444">
        <f t="shared" ca="1" si="2"/>
        <v>2864.6957720130872</v>
      </c>
      <c r="L253" s="444">
        <f t="shared" ca="1" si="3"/>
        <v>690391.68105515395</v>
      </c>
      <c r="M253" s="460">
        <f t="shared" si="6"/>
        <v>0.05</v>
      </c>
      <c r="N253" s="464">
        <f t="shared" si="7"/>
        <v>58746</v>
      </c>
    </row>
    <row r="254" spans="7:14" ht="11.25" customHeight="1" x14ac:dyDescent="0.25">
      <c r="G254" s="459">
        <f t="shared" si="25"/>
        <v>21</v>
      </c>
      <c r="H254" s="459">
        <v>247</v>
      </c>
      <c r="I254" s="444">
        <f t="shared" ca="1" si="5"/>
        <v>690391.68105515395</v>
      </c>
      <c r="J254" s="444">
        <f t="array" ref="J254">IFERROR(INDEX('Retirement Calculator'!J:J,MATCH('Isaac 401k'!N254,'Retirement Calculator'!A:A,0),0),0)</f>
        <v>8395.6297298201844</v>
      </c>
      <c r="K254" s="444">
        <f t="shared" ca="1" si="2"/>
        <v>2841.6502138555575</v>
      </c>
      <c r="L254" s="444">
        <f t="shared" ca="1" si="3"/>
        <v>684837.70153918932</v>
      </c>
      <c r="M254" s="460">
        <f t="shared" si="6"/>
        <v>0.05</v>
      </c>
      <c r="N254" s="464">
        <f t="shared" si="7"/>
        <v>58776</v>
      </c>
    </row>
    <row r="255" spans="7:14" ht="11.25" customHeight="1" x14ac:dyDescent="0.25">
      <c r="G255" s="459">
        <f t="shared" si="25"/>
        <v>21</v>
      </c>
      <c r="H255" s="459">
        <v>248</v>
      </c>
      <c r="I255" s="444">
        <f t="shared" ca="1" si="5"/>
        <v>684837.70153918932</v>
      </c>
      <c r="J255" s="444">
        <f t="array" ref="J255">IFERROR(INDEX('Retirement Calculator'!J:J,MATCH('Isaac 401k'!N255,'Retirement Calculator'!A:A,0),0),0)</f>
        <v>8395.6297298201844</v>
      </c>
      <c r="K255" s="444">
        <f t="shared" ca="1" si="2"/>
        <v>2818.508632539038</v>
      </c>
      <c r="L255" s="444">
        <f t="shared" ca="1" si="3"/>
        <v>679260.58044190821</v>
      </c>
      <c r="M255" s="460">
        <f t="shared" si="6"/>
        <v>0.05</v>
      </c>
      <c r="N255" s="464">
        <f t="shared" si="7"/>
        <v>58807</v>
      </c>
    </row>
    <row r="256" spans="7:14" ht="11.25" customHeight="1" x14ac:dyDescent="0.25">
      <c r="G256" s="459">
        <f t="shared" si="25"/>
        <v>21</v>
      </c>
      <c r="H256" s="459">
        <v>249</v>
      </c>
      <c r="I256" s="444">
        <f t="shared" ca="1" si="5"/>
        <v>679260.58044190821</v>
      </c>
      <c r="J256" s="444">
        <f t="array" ref="J256">IFERROR(INDEX('Retirement Calculator'!J:J,MATCH('Isaac 401k'!N256,'Retirement Calculator'!A:A,0),0),0)</f>
        <v>8395.6297298201844</v>
      </c>
      <c r="K256" s="444">
        <f t="shared" ca="1" si="2"/>
        <v>2795.2706279670333</v>
      </c>
      <c r="L256" s="444">
        <f t="shared" ca="1" si="3"/>
        <v>673660.22134005511</v>
      </c>
      <c r="M256" s="460">
        <f t="shared" si="6"/>
        <v>0.05</v>
      </c>
      <c r="N256" s="464">
        <f t="shared" si="7"/>
        <v>58838</v>
      </c>
    </row>
    <row r="257" spans="7:14" ht="11.25" customHeight="1" x14ac:dyDescent="0.25">
      <c r="G257" s="459">
        <f t="shared" si="25"/>
        <v>21</v>
      </c>
      <c r="H257" s="459">
        <v>250</v>
      </c>
      <c r="I257" s="444">
        <f t="shared" ca="1" si="5"/>
        <v>673660.22134005511</v>
      </c>
      <c r="J257" s="444">
        <f t="array" ref="J257">IFERROR(INDEX('Retirement Calculator'!J:J,MATCH('Isaac 401k'!N257,'Retirement Calculator'!A:A,0),0),0)</f>
        <v>8395.6297298201844</v>
      </c>
      <c r="K257" s="444">
        <f t="shared" ca="1" si="2"/>
        <v>2771.9357983759787</v>
      </c>
      <c r="L257" s="444">
        <f t="shared" ca="1" si="3"/>
        <v>668036.52740861091</v>
      </c>
      <c r="M257" s="460">
        <f t="shared" si="6"/>
        <v>0.05</v>
      </c>
      <c r="N257" s="464">
        <f t="shared" si="7"/>
        <v>58866</v>
      </c>
    </row>
    <row r="258" spans="7:14" ht="11.25" customHeight="1" x14ac:dyDescent="0.25">
      <c r="G258" s="459">
        <f t="shared" si="25"/>
        <v>21</v>
      </c>
      <c r="H258" s="459">
        <v>251</v>
      </c>
      <c r="I258" s="444">
        <f t="shared" ca="1" si="5"/>
        <v>668036.52740861091</v>
      </c>
      <c r="J258" s="444">
        <f t="array" ref="J258">IFERROR(INDEX('Retirement Calculator'!J:J,MATCH('Isaac 401k'!N258,'Retirement Calculator'!A:A,0),0),0)</f>
        <v>8395.6297298201844</v>
      </c>
      <c r="K258" s="444">
        <f t="shared" ca="1" si="2"/>
        <v>2748.5037403282945</v>
      </c>
      <c r="L258" s="444">
        <f t="shared" ca="1" si="3"/>
        <v>662389.40141911898</v>
      </c>
      <c r="M258" s="460">
        <f t="shared" si="6"/>
        <v>0.05</v>
      </c>
      <c r="N258" s="464">
        <f t="shared" si="7"/>
        <v>58897</v>
      </c>
    </row>
    <row r="259" spans="7:14" ht="11.25" customHeight="1" x14ac:dyDescent="0.25">
      <c r="G259" s="459">
        <f t="shared" si="25"/>
        <v>21</v>
      </c>
      <c r="H259" s="459">
        <v>252</v>
      </c>
      <c r="I259" s="444">
        <f t="shared" ca="1" si="5"/>
        <v>662389.40141911898</v>
      </c>
      <c r="J259" s="444">
        <f t="array" ref="J259">IFERROR(INDEX('Retirement Calculator'!J:J,MATCH('Isaac 401k'!N259,'Retirement Calculator'!A:A,0),0),0)</f>
        <v>8395.6297298201844</v>
      </c>
      <c r="K259" s="444">
        <f t="shared" ca="1" si="2"/>
        <v>2724.9740487054114</v>
      </c>
      <c r="L259" s="444">
        <f t="shared" ca="1" si="3"/>
        <v>656718.74573800422</v>
      </c>
      <c r="M259" s="460">
        <f t="shared" si="6"/>
        <v>0.05</v>
      </c>
      <c r="N259" s="464">
        <f t="shared" si="7"/>
        <v>58927</v>
      </c>
    </row>
    <row r="260" spans="7:14" ht="11.25" customHeight="1" x14ac:dyDescent="0.25">
      <c r="G260" s="459">
        <f>G259+1</f>
        <v>22</v>
      </c>
      <c r="H260" s="459">
        <v>253</v>
      </c>
      <c r="I260" s="444">
        <f t="shared" ca="1" si="5"/>
        <v>656718.74573800422</v>
      </c>
      <c r="J260" s="444">
        <f t="array" ref="J260">IFERROR(INDEX('Retirement Calculator'!J:J,MATCH('Isaac 401k'!N260,'Retirement Calculator'!A:A,0),0),0)</f>
        <v>8395.6297298201844</v>
      </c>
      <c r="K260" s="444">
        <f t="shared" ca="1" si="2"/>
        <v>2701.3463167007667</v>
      </c>
      <c r="L260" s="444">
        <f t="shared" ca="1" si="3"/>
        <v>651024.46232488484</v>
      </c>
      <c r="M260" s="460">
        <f t="shared" si="6"/>
        <v>0.05</v>
      </c>
      <c r="N260" s="464">
        <f t="shared" si="7"/>
        <v>58958</v>
      </c>
    </row>
    <row r="261" spans="7:14" ht="11.25" customHeight="1" x14ac:dyDescent="0.25">
      <c r="G261" s="459">
        <f t="shared" ref="G261:G271" si="26">G260</f>
        <v>22</v>
      </c>
      <c r="H261" s="459">
        <v>254</v>
      </c>
      <c r="I261" s="444">
        <f t="shared" ca="1" si="5"/>
        <v>651024.46232488484</v>
      </c>
      <c r="J261" s="444">
        <f t="array" ref="J261">IFERROR(INDEX('Retirement Calculator'!J:J,MATCH('Isaac 401k'!N261,'Retirement Calculator'!A:A,0),0),0)</f>
        <v>8395.6297298201844</v>
      </c>
      <c r="K261" s="444">
        <f t="shared" ca="1" si="2"/>
        <v>2677.6201358127691</v>
      </c>
      <c r="L261" s="444">
        <f t="shared" ca="1" si="3"/>
        <v>645306.45273087744</v>
      </c>
      <c r="M261" s="460">
        <f t="shared" si="6"/>
        <v>0.05</v>
      </c>
      <c r="N261" s="464">
        <f t="shared" si="7"/>
        <v>58988</v>
      </c>
    </row>
    <row r="262" spans="7:14" ht="11.25" customHeight="1" x14ac:dyDescent="0.25">
      <c r="G262" s="459">
        <f t="shared" si="26"/>
        <v>22</v>
      </c>
      <c r="H262" s="459">
        <v>255</v>
      </c>
      <c r="I262" s="444">
        <f t="shared" ca="1" si="5"/>
        <v>645306.45273087744</v>
      </c>
      <c r="J262" s="444">
        <f t="array" ref="J262">IFERROR(INDEX('Retirement Calculator'!J:J,MATCH('Isaac 401k'!N262,'Retirement Calculator'!A:A,0),0),0)</f>
        <v>8395.6297298201844</v>
      </c>
      <c r="K262" s="444">
        <f t="shared" ca="1" si="2"/>
        <v>2653.7950958377387</v>
      </c>
      <c r="L262" s="444">
        <f t="shared" ca="1" si="3"/>
        <v>639564.61809689505</v>
      </c>
      <c r="M262" s="460">
        <f t="shared" si="6"/>
        <v>0.05</v>
      </c>
      <c r="N262" s="464">
        <f t="shared" si="7"/>
        <v>59019</v>
      </c>
    </row>
    <row r="263" spans="7:14" ht="11.25" customHeight="1" x14ac:dyDescent="0.25">
      <c r="G263" s="459">
        <f t="shared" si="26"/>
        <v>22</v>
      </c>
      <c r="H263" s="459">
        <v>256</v>
      </c>
      <c r="I263" s="444">
        <f t="shared" ca="1" si="5"/>
        <v>639564.61809689505</v>
      </c>
      <c r="J263" s="444">
        <f t="array" ref="J263">IFERROR(INDEX('Retirement Calculator'!J:J,MATCH('Isaac 401k'!N263,'Retirement Calculator'!A:A,0),0),0)</f>
        <v>8395.6297298201844</v>
      </c>
      <c r="K263" s="444">
        <f t="shared" ref="K263:K517" ca="1" si="27">IPMT(M263/12,1,12,-I263+J263,,0)</f>
        <v>2629.8707848628119</v>
      </c>
      <c r="L263" s="444">
        <f t="shared" ref="L263:L517" ca="1" si="28">I263-J263+K263</f>
        <v>633798.85915193765</v>
      </c>
      <c r="M263" s="460">
        <f t="shared" si="6"/>
        <v>0.05</v>
      </c>
      <c r="N263" s="464">
        <f t="shared" si="7"/>
        <v>59050</v>
      </c>
    </row>
    <row r="264" spans="7:14" ht="11.25" customHeight="1" x14ac:dyDescent="0.25">
      <c r="G264" s="459">
        <f t="shared" si="26"/>
        <v>22</v>
      </c>
      <c r="H264" s="459">
        <v>257</v>
      </c>
      <c r="I264" s="444">
        <f t="shared" ref="I264:I518" ca="1" si="29">L263</f>
        <v>633798.85915193765</v>
      </c>
      <c r="J264" s="444">
        <f t="array" ref="J264">IFERROR(INDEX('Retirement Calculator'!J:J,MATCH('Isaac 401k'!N264,'Retirement Calculator'!A:A,0),0),0)</f>
        <v>8395.6297298201844</v>
      </c>
      <c r="K264" s="444">
        <f t="shared" ca="1" si="27"/>
        <v>2605.8467892588228</v>
      </c>
      <c r="L264" s="444">
        <f t="shared" ca="1" si="28"/>
        <v>628009.07621137623</v>
      </c>
      <c r="M264" s="460">
        <f t="shared" ref="M264:M518" si="30">M263</f>
        <v>0.05</v>
      </c>
      <c r="N264" s="464">
        <f t="shared" ref="N264:N518" si="31">EDATE(N263,1)</f>
        <v>59080</v>
      </c>
    </row>
    <row r="265" spans="7:14" ht="11.25" customHeight="1" x14ac:dyDescent="0.25">
      <c r="G265" s="459">
        <f t="shared" si="26"/>
        <v>22</v>
      </c>
      <c r="H265" s="459">
        <v>258</v>
      </c>
      <c r="I265" s="444">
        <f t="shared" ca="1" si="29"/>
        <v>628009.07621137623</v>
      </c>
      <c r="J265" s="444">
        <f t="array" ref="J265">IFERROR(INDEX('Retirement Calculator'!J:J,MATCH('Isaac 401k'!N265,'Retirement Calculator'!A:A,0),0),0)</f>
        <v>8395.6297298201844</v>
      </c>
      <c r="K265" s="444">
        <f t="shared" ca="1" si="27"/>
        <v>2581.7226936731504</v>
      </c>
      <c r="L265" s="444">
        <f t="shared" ca="1" si="28"/>
        <v>622195.16917522915</v>
      </c>
      <c r="M265" s="460">
        <f t="shared" si="30"/>
        <v>0.05</v>
      </c>
      <c r="N265" s="464">
        <f t="shared" si="31"/>
        <v>59111</v>
      </c>
    </row>
    <row r="266" spans="7:14" ht="11.25" customHeight="1" x14ac:dyDescent="0.25">
      <c r="G266" s="459">
        <f t="shared" si="26"/>
        <v>22</v>
      </c>
      <c r="H266" s="459">
        <v>259</v>
      </c>
      <c r="I266" s="444">
        <f t="shared" ca="1" si="29"/>
        <v>622195.16917522915</v>
      </c>
      <c r="J266" s="444">
        <f t="array" ref="J266">IFERROR(INDEX('Retirement Calculator'!J:J,MATCH('Isaac 401k'!N266,'Retirement Calculator'!A:A,0),0),0)</f>
        <v>8395.6297298201844</v>
      </c>
      <c r="K266" s="444">
        <f t="shared" ca="1" si="27"/>
        <v>2557.4980810225375</v>
      </c>
      <c r="L266" s="444">
        <f t="shared" ca="1" si="28"/>
        <v>616357.03752643149</v>
      </c>
      <c r="M266" s="460">
        <f t="shared" si="30"/>
        <v>0.05</v>
      </c>
      <c r="N266" s="464">
        <f t="shared" si="31"/>
        <v>59141</v>
      </c>
    </row>
    <row r="267" spans="7:14" ht="11.25" customHeight="1" x14ac:dyDescent="0.25">
      <c r="G267" s="459">
        <f t="shared" si="26"/>
        <v>22</v>
      </c>
      <c r="H267" s="459">
        <v>260</v>
      </c>
      <c r="I267" s="444">
        <f t="shared" ca="1" si="29"/>
        <v>616357.03752643149</v>
      </c>
      <c r="J267" s="444">
        <f t="array" ref="J267">IFERROR(INDEX('Retirement Calculator'!J:J,MATCH('Isaac 401k'!N267,'Retirement Calculator'!A:A,0),0),0)</f>
        <v>8395.6297298201844</v>
      </c>
      <c r="K267" s="444">
        <f t="shared" ca="1" si="27"/>
        <v>2533.1725324858803</v>
      </c>
      <c r="L267" s="444">
        <f t="shared" ca="1" si="28"/>
        <v>610494.58032909723</v>
      </c>
      <c r="M267" s="460">
        <f t="shared" si="30"/>
        <v>0.05</v>
      </c>
      <c r="N267" s="464">
        <f t="shared" si="31"/>
        <v>59172</v>
      </c>
    </row>
    <row r="268" spans="7:14" ht="11.25" customHeight="1" x14ac:dyDescent="0.25">
      <c r="G268" s="459">
        <f t="shared" si="26"/>
        <v>22</v>
      </c>
      <c r="H268" s="459">
        <v>261</v>
      </c>
      <c r="I268" s="444">
        <f t="shared" ca="1" si="29"/>
        <v>610494.58032909723</v>
      </c>
      <c r="J268" s="444">
        <f t="array" ref="J268">IFERROR(INDEX('Retirement Calculator'!J:J,MATCH('Isaac 401k'!N268,'Retirement Calculator'!A:A,0),0),0)</f>
        <v>8395.6297298201844</v>
      </c>
      <c r="K268" s="444">
        <f t="shared" ca="1" si="27"/>
        <v>2508.7456274969877</v>
      </c>
      <c r="L268" s="444">
        <f t="shared" ca="1" si="28"/>
        <v>604607.69622677402</v>
      </c>
      <c r="M268" s="460">
        <f t="shared" si="30"/>
        <v>0.05</v>
      </c>
      <c r="N268" s="464">
        <f t="shared" si="31"/>
        <v>59203</v>
      </c>
    </row>
    <row r="269" spans="7:14" ht="11.25" customHeight="1" x14ac:dyDescent="0.25">
      <c r="G269" s="459">
        <f t="shared" si="26"/>
        <v>22</v>
      </c>
      <c r="H269" s="459">
        <v>262</v>
      </c>
      <c r="I269" s="444">
        <f t="shared" ca="1" si="29"/>
        <v>604607.69622677402</v>
      </c>
      <c r="J269" s="444">
        <f t="array" ref="J269">IFERROR(INDEX('Retirement Calculator'!J:J,MATCH('Isaac 401k'!N269,'Retirement Calculator'!A:A,0),0),0)</f>
        <v>8395.6297298201844</v>
      </c>
      <c r="K269" s="444">
        <f t="shared" ca="1" si="27"/>
        <v>2484.2169437373077</v>
      </c>
      <c r="L269" s="444">
        <f t="shared" ca="1" si="28"/>
        <v>598696.28344069119</v>
      </c>
      <c r="M269" s="460">
        <f t="shared" si="30"/>
        <v>0.05</v>
      </c>
      <c r="N269" s="464">
        <f t="shared" si="31"/>
        <v>59231</v>
      </c>
    </row>
    <row r="270" spans="7:14" ht="11.25" customHeight="1" x14ac:dyDescent="0.25">
      <c r="G270" s="459">
        <f t="shared" si="26"/>
        <v>22</v>
      </c>
      <c r="H270" s="459">
        <v>263</v>
      </c>
      <c r="I270" s="444">
        <f t="shared" ca="1" si="29"/>
        <v>598696.28344069119</v>
      </c>
      <c r="J270" s="444">
        <f t="array" ref="J270">IFERROR(INDEX('Retirement Calculator'!J:J,MATCH('Isaac 401k'!N270,'Retirement Calculator'!A:A,0),0),0)</f>
        <v>8395.6297298201844</v>
      </c>
      <c r="K270" s="444">
        <f t="shared" ca="1" si="27"/>
        <v>2459.5860571286294</v>
      </c>
      <c r="L270" s="444">
        <f t="shared" ca="1" si="28"/>
        <v>592760.23976799962</v>
      </c>
      <c r="M270" s="460">
        <f t="shared" si="30"/>
        <v>0.05</v>
      </c>
      <c r="N270" s="464">
        <f t="shared" si="31"/>
        <v>59262</v>
      </c>
    </row>
    <row r="271" spans="7:14" ht="11.25" customHeight="1" x14ac:dyDescent="0.25">
      <c r="G271" s="459">
        <f t="shared" si="26"/>
        <v>22</v>
      </c>
      <c r="H271" s="459">
        <v>264</v>
      </c>
      <c r="I271" s="444">
        <f t="shared" ca="1" si="29"/>
        <v>592760.23976799962</v>
      </c>
      <c r="J271" s="444">
        <f t="array" ref="J271">IFERROR(INDEX('Retirement Calculator'!J:J,MATCH('Isaac 401k'!N271,'Retirement Calculator'!A:A,0),0),0)</f>
        <v>8395.6297298201844</v>
      </c>
      <c r="K271" s="444">
        <f t="shared" ca="1" si="27"/>
        <v>2434.8525418257477</v>
      </c>
      <c r="L271" s="444">
        <f t="shared" ca="1" si="28"/>
        <v>586799.46258000517</v>
      </c>
      <c r="M271" s="460">
        <f t="shared" si="30"/>
        <v>0.05</v>
      </c>
      <c r="N271" s="464">
        <f t="shared" si="31"/>
        <v>59292</v>
      </c>
    </row>
    <row r="272" spans="7:14" ht="11.25" customHeight="1" x14ac:dyDescent="0.25">
      <c r="G272" s="459">
        <f>G271+1</f>
        <v>23</v>
      </c>
      <c r="H272" s="459">
        <v>265</v>
      </c>
      <c r="I272" s="444">
        <f t="shared" ca="1" si="29"/>
        <v>586799.46258000517</v>
      </c>
      <c r="J272" s="444">
        <f t="array" ref="J272">IFERROR(INDEX('Retirement Calculator'!J:J,MATCH('Isaac 401k'!N272,'Retirement Calculator'!A:A,0),0),0)</f>
        <v>8395.6297298201844</v>
      </c>
      <c r="K272" s="444">
        <f t="shared" ca="1" si="27"/>
        <v>2410.0159702091041</v>
      </c>
      <c r="L272" s="444">
        <f t="shared" ca="1" si="28"/>
        <v>580813.84882039414</v>
      </c>
      <c r="M272" s="460">
        <f t="shared" si="30"/>
        <v>0.05</v>
      </c>
      <c r="N272" s="464">
        <f t="shared" si="31"/>
        <v>59323</v>
      </c>
    </row>
    <row r="273" spans="7:14" ht="11.25" customHeight="1" x14ac:dyDescent="0.25">
      <c r="G273" s="459">
        <f t="shared" ref="G273:G283" si="32">G272</f>
        <v>23</v>
      </c>
      <c r="H273" s="459">
        <v>266</v>
      </c>
      <c r="I273" s="444">
        <f t="shared" ca="1" si="29"/>
        <v>580813.84882039414</v>
      </c>
      <c r="J273" s="444">
        <f t="array" ref="J273">IFERROR(INDEX('Retirement Calculator'!J:J,MATCH('Isaac 401k'!N273,'Retirement Calculator'!A:A,0),0),0)</f>
        <v>8395.6297298201844</v>
      </c>
      <c r="K273" s="444">
        <f t="shared" ca="1" si="27"/>
        <v>2385.0759128773916</v>
      </c>
      <c r="L273" s="444">
        <f t="shared" ca="1" si="28"/>
        <v>574803.29500345129</v>
      </c>
      <c r="M273" s="460">
        <f t="shared" si="30"/>
        <v>0.05</v>
      </c>
      <c r="N273" s="464">
        <f t="shared" si="31"/>
        <v>59353</v>
      </c>
    </row>
    <row r="274" spans="7:14" ht="11.25" customHeight="1" x14ac:dyDescent="0.25">
      <c r="G274" s="459">
        <f t="shared" si="32"/>
        <v>23</v>
      </c>
      <c r="H274" s="459">
        <v>267</v>
      </c>
      <c r="I274" s="444">
        <f t="shared" ca="1" si="29"/>
        <v>574803.29500345129</v>
      </c>
      <c r="J274" s="444">
        <f t="array" ref="J274">IFERROR(INDEX('Retirement Calculator'!J:J,MATCH('Isaac 401k'!N274,'Retirement Calculator'!A:A,0),0),0)</f>
        <v>8395.6297298201844</v>
      </c>
      <c r="K274" s="444">
        <f t="shared" ca="1" si="27"/>
        <v>2360.0319386401297</v>
      </c>
      <c r="L274" s="444">
        <f t="shared" ca="1" si="28"/>
        <v>568767.69721227128</v>
      </c>
      <c r="M274" s="460">
        <f t="shared" si="30"/>
        <v>0.05</v>
      </c>
      <c r="N274" s="464">
        <f t="shared" si="31"/>
        <v>59384</v>
      </c>
    </row>
    <row r="275" spans="7:14" ht="11.25" customHeight="1" x14ac:dyDescent="0.25">
      <c r="G275" s="459">
        <f t="shared" si="32"/>
        <v>23</v>
      </c>
      <c r="H275" s="459">
        <v>268</v>
      </c>
      <c r="I275" s="444">
        <f t="shared" ca="1" si="29"/>
        <v>568767.69721227128</v>
      </c>
      <c r="J275" s="444">
        <f t="array" ref="J275">IFERROR(INDEX('Retirement Calculator'!J:J,MATCH('Isaac 401k'!N275,'Retirement Calculator'!A:A,0),0),0)</f>
        <v>8395.6297298201844</v>
      </c>
      <c r="K275" s="444">
        <f t="shared" ca="1" si="27"/>
        <v>2334.8836145102127</v>
      </c>
      <c r="L275" s="444">
        <f t="shared" ca="1" si="28"/>
        <v>562706.95109696127</v>
      </c>
      <c r="M275" s="460">
        <f t="shared" si="30"/>
        <v>0.05</v>
      </c>
      <c r="N275" s="464">
        <f t="shared" si="31"/>
        <v>59415</v>
      </c>
    </row>
    <row r="276" spans="7:14" ht="11.25" customHeight="1" x14ac:dyDescent="0.25">
      <c r="G276" s="459">
        <f t="shared" si="32"/>
        <v>23</v>
      </c>
      <c r="H276" s="459">
        <v>269</v>
      </c>
      <c r="I276" s="444">
        <f t="shared" ca="1" si="29"/>
        <v>562706.95109696127</v>
      </c>
      <c r="J276" s="444">
        <f t="array" ref="J276">IFERROR(INDEX('Retirement Calculator'!J:J,MATCH('Isaac 401k'!N276,'Retirement Calculator'!A:A,0),0),0)</f>
        <v>8395.6297298201844</v>
      </c>
      <c r="K276" s="444">
        <f t="shared" ca="1" si="27"/>
        <v>2309.6305056964211</v>
      </c>
      <c r="L276" s="444">
        <f t="shared" ca="1" si="28"/>
        <v>556620.9518728375</v>
      </c>
      <c r="M276" s="460">
        <f t="shared" si="30"/>
        <v>0.05</v>
      </c>
      <c r="N276" s="464">
        <f t="shared" si="31"/>
        <v>59445</v>
      </c>
    </row>
    <row r="277" spans="7:14" ht="11.25" customHeight="1" x14ac:dyDescent="0.25">
      <c r="G277" s="459">
        <f t="shared" si="32"/>
        <v>23</v>
      </c>
      <c r="H277" s="459">
        <v>270</v>
      </c>
      <c r="I277" s="444">
        <f t="shared" ca="1" si="29"/>
        <v>556620.9518728375</v>
      </c>
      <c r="J277" s="444">
        <f t="array" ref="J277">IFERROR(INDEX('Retirement Calculator'!J:J,MATCH('Isaac 401k'!N277,'Retirement Calculator'!A:A,0),0),0)</f>
        <v>8395.6297298201844</v>
      </c>
      <c r="K277" s="444">
        <f t="shared" ca="1" si="27"/>
        <v>2284.2721755959055</v>
      </c>
      <c r="L277" s="444">
        <f t="shared" ca="1" si="28"/>
        <v>550509.59431861318</v>
      </c>
      <c r="M277" s="460">
        <f t="shared" si="30"/>
        <v>0.05</v>
      </c>
      <c r="N277" s="464">
        <f t="shared" si="31"/>
        <v>59476</v>
      </c>
    </row>
    <row r="278" spans="7:14" ht="11.25" customHeight="1" x14ac:dyDescent="0.25">
      <c r="G278" s="459">
        <f t="shared" si="32"/>
        <v>23</v>
      </c>
      <c r="H278" s="459">
        <v>271</v>
      </c>
      <c r="I278" s="444">
        <f t="shared" ca="1" si="29"/>
        <v>550509.59431861318</v>
      </c>
      <c r="J278" s="444">
        <f t="array" ref="J278">IFERROR(INDEX('Retirement Calculator'!J:J,MATCH('Isaac 401k'!N278,'Retirement Calculator'!A:A,0),0),0)</f>
        <v>8395.6297298201844</v>
      </c>
      <c r="K278" s="444">
        <f t="shared" ca="1" si="27"/>
        <v>2258.8081857866373</v>
      </c>
      <c r="L278" s="444">
        <f t="shared" ca="1" si="28"/>
        <v>544372.77277457959</v>
      </c>
      <c r="M278" s="460">
        <f t="shared" si="30"/>
        <v>0.05</v>
      </c>
      <c r="N278" s="464">
        <f t="shared" si="31"/>
        <v>59506</v>
      </c>
    </row>
    <row r="279" spans="7:14" ht="11.25" customHeight="1" x14ac:dyDescent="0.25">
      <c r="G279" s="459">
        <f t="shared" si="32"/>
        <v>23</v>
      </c>
      <c r="H279" s="459">
        <v>272</v>
      </c>
      <c r="I279" s="444">
        <f t="shared" ca="1" si="29"/>
        <v>544372.77277457959</v>
      </c>
      <c r="J279" s="444">
        <f t="array" ref="J279">IFERROR(INDEX('Retirement Calculator'!J:J,MATCH('Isaac 401k'!N279,'Retirement Calculator'!A:A,0),0),0)</f>
        <v>8395.6297298201844</v>
      </c>
      <c r="K279" s="444">
        <f t="shared" ca="1" si="27"/>
        <v>2233.2380960198307</v>
      </c>
      <c r="L279" s="444">
        <f t="shared" ca="1" si="28"/>
        <v>538210.38114077924</v>
      </c>
      <c r="M279" s="460">
        <f t="shared" si="30"/>
        <v>0.05</v>
      </c>
      <c r="N279" s="464">
        <f t="shared" si="31"/>
        <v>59537</v>
      </c>
    </row>
    <row r="280" spans="7:14" ht="11.25" customHeight="1" x14ac:dyDescent="0.25">
      <c r="G280" s="459">
        <f t="shared" si="32"/>
        <v>23</v>
      </c>
      <c r="H280" s="459">
        <v>273</v>
      </c>
      <c r="I280" s="444">
        <f t="shared" ca="1" si="29"/>
        <v>538210.38114077924</v>
      </c>
      <c r="J280" s="444">
        <f t="array" ref="J280">IFERROR(INDEX('Retirement Calculator'!J:J,MATCH('Isaac 401k'!N280,'Retirement Calculator'!A:A,0),0),0)</f>
        <v>8395.6297298201844</v>
      </c>
      <c r="K280" s="444">
        <f t="shared" ca="1" si="27"/>
        <v>2207.5614642123292</v>
      </c>
      <c r="L280" s="444">
        <f t="shared" ca="1" si="28"/>
        <v>532022.31287517142</v>
      </c>
      <c r="M280" s="460">
        <f t="shared" si="30"/>
        <v>0.05</v>
      </c>
      <c r="N280" s="464">
        <f t="shared" si="31"/>
        <v>59568</v>
      </c>
    </row>
    <row r="281" spans="7:14" ht="11.25" customHeight="1" x14ac:dyDescent="0.25">
      <c r="G281" s="459">
        <f t="shared" si="32"/>
        <v>23</v>
      </c>
      <c r="H281" s="459">
        <v>274</v>
      </c>
      <c r="I281" s="444">
        <f t="shared" ca="1" si="29"/>
        <v>532022.31287517142</v>
      </c>
      <c r="J281" s="444">
        <f t="array" ref="J281">IFERROR(INDEX('Retirement Calculator'!J:J,MATCH('Isaac 401k'!N281,'Retirement Calculator'!A:A,0),0),0)</f>
        <v>8395.6297298201844</v>
      </c>
      <c r="K281" s="444">
        <f t="shared" ca="1" si="27"/>
        <v>2181.7778464389639</v>
      </c>
      <c r="L281" s="444">
        <f t="shared" ca="1" si="28"/>
        <v>525808.46099179017</v>
      </c>
      <c r="M281" s="460">
        <f t="shared" si="30"/>
        <v>0.05</v>
      </c>
      <c r="N281" s="464">
        <f t="shared" si="31"/>
        <v>59596</v>
      </c>
    </row>
    <row r="282" spans="7:14" ht="11.25" customHeight="1" x14ac:dyDescent="0.25">
      <c r="G282" s="459">
        <f t="shared" si="32"/>
        <v>23</v>
      </c>
      <c r="H282" s="459">
        <v>275</v>
      </c>
      <c r="I282" s="444">
        <f t="shared" ca="1" si="29"/>
        <v>525808.46099179017</v>
      </c>
      <c r="J282" s="444">
        <f t="array" ref="J282">IFERROR(INDEX('Retirement Calculator'!J:J,MATCH('Isaac 401k'!N282,'Retirement Calculator'!A:A,0),0),0)</f>
        <v>8395.6297298201844</v>
      </c>
      <c r="K282" s="444">
        <f t="shared" ca="1" si="27"/>
        <v>2155.8867969248749</v>
      </c>
      <c r="L282" s="444">
        <f t="shared" ca="1" si="28"/>
        <v>519568.71805889485</v>
      </c>
      <c r="M282" s="460">
        <f t="shared" si="30"/>
        <v>0.05</v>
      </c>
      <c r="N282" s="464">
        <f t="shared" si="31"/>
        <v>59627</v>
      </c>
    </row>
    <row r="283" spans="7:14" ht="11.25" customHeight="1" x14ac:dyDescent="0.25">
      <c r="G283" s="459">
        <f t="shared" si="32"/>
        <v>23</v>
      </c>
      <c r="H283" s="459">
        <v>276</v>
      </c>
      <c r="I283" s="444">
        <f t="shared" ca="1" si="29"/>
        <v>519568.71805889485</v>
      </c>
      <c r="J283" s="444">
        <f t="array" ref="J283">IFERROR(INDEX('Retirement Calculator'!J:J,MATCH('Isaac 401k'!N283,'Retirement Calculator'!A:A,0),0),0)</f>
        <v>8395.6297298201844</v>
      </c>
      <c r="K283" s="444">
        <f t="shared" ca="1" si="27"/>
        <v>2129.8878680378107</v>
      </c>
      <c r="L283" s="444">
        <f t="shared" ca="1" si="28"/>
        <v>513302.97619711247</v>
      </c>
      <c r="M283" s="460">
        <f t="shared" si="30"/>
        <v>0.05</v>
      </c>
      <c r="N283" s="464">
        <f t="shared" si="31"/>
        <v>59657</v>
      </c>
    </row>
    <row r="284" spans="7:14" ht="11.25" customHeight="1" x14ac:dyDescent="0.25">
      <c r="G284" s="459">
        <f>G283+1</f>
        <v>24</v>
      </c>
      <c r="H284" s="459">
        <v>277</v>
      </c>
      <c r="I284" s="444">
        <f t="shared" ca="1" si="29"/>
        <v>513302.97619711247</v>
      </c>
      <c r="J284" s="444">
        <f t="array" ref="J284">IFERROR(INDEX('Retirement Calculator'!J:J,MATCH('Isaac 401k'!N284,'Retirement Calculator'!A:A,0),0),0)</f>
        <v>8395.6297298201844</v>
      </c>
      <c r="K284" s="444">
        <f t="shared" ca="1" si="27"/>
        <v>2103.7806102803843</v>
      </c>
      <c r="L284" s="444">
        <f t="shared" ca="1" si="28"/>
        <v>507011.12707757269</v>
      </c>
      <c r="M284" s="460">
        <f t="shared" si="30"/>
        <v>0.05</v>
      </c>
      <c r="N284" s="464">
        <f t="shared" si="31"/>
        <v>59688</v>
      </c>
    </row>
    <row r="285" spans="7:14" ht="11.25" customHeight="1" x14ac:dyDescent="0.25">
      <c r="G285" s="459">
        <f t="shared" ref="G285:G295" si="33">G284</f>
        <v>24</v>
      </c>
      <c r="H285" s="459">
        <v>278</v>
      </c>
      <c r="I285" s="444">
        <f t="shared" ca="1" si="29"/>
        <v>507011.12707757269</v>
      </c>
      <c r="J285" s="444">
        <f t="array" ref="J285">IFERROR(INDEX('Retirement Calculator'!J:J,MATCH('Isaac 401k'!N285,'Retirement Calculator'!A:A,0),0),0)</f>
        <v>8395.6297298201844</v>
      </c>
      <c r="K285" s="444">
        <f t="shared" ca="1" si="27"/>
        <v>2077.5645722823019</v>
      </c>
      <c r="L285" s="444">
        <f t="shared" ca="1" si="28"/>
        <v>500693.06192003482</v>
      </c>
      <c r="M285" s="460">
        <f t="shared" si="30"/>
        <v>0.05</v>
      </c>
      <c r="N285" s="464">
        <f t="shared" si="31"/>
        <v>59718</v>
      </c>
    </row>
    <row r="286" spans="7:14" ht="11.25" customHeight="1" x14ac:dyDescent="0.25">
      <c r="G286" s="459">
        <f t="shared" si="33"/>
        <v>24</v>
      </c>
      <c r="H286" s="459">
        <v>279</v>
      </c>
      <c r="I286" s="444">
        <f t="shared" ca="1" si="29"/>
        <v>500693.06192003482</v>
      </c>
      <c r="J286" s="444">
        <f t="array" ref="J286">IFERROR(INDEX('Retirement Calculator'!J:J,MATCH('Isaac 401k'!N286,'Retirement Calculator'!A:A,0),0),0)</f>
        <v>8395.6297298201844</v>
      </c>
      <c r="K286" s="444">
        <f t="shared" ca="1" si="27"/>
        <v>2051.2393007925612</v>
      </c>
      <c r="L286" s="444">
        <f t="shared" ca="1" si="28"/>
        <v>494348.6714910072</v>
      </c>
      <c r="M286" s="460">
        <f t="shared" si="30"/>
        <v>0.05</v>
      </c>
      <c r="N286" s="464">
        <f t="shared" si="31"/>
        <v>59749</v>
      </c>
    </row>
    <row r="287" spans="7:14" ht="11.25" customHeight="1" x14ac:dyDescent="0.25">
      <c r="G287" s="459">
        <f t="shared" si="33"/>
        <v>24</v>
      </c>
      <c r="H287" s="459">
        <v>280</v>
      </c>
      <c r="I287" s="444">
        <f t="shared" ca="1" si="29"/>
        <v>494348.6714910072</v>
      </c>
      <c r="J287" s="444">
        <f t="array" ref="J287">IFERROR(INDEX('Retirement Calculator'!J:J,MATCH('Isaac 401k'!N287,'Retirement Calculator'!A:A,0),0),0)</f>
        <v>8395.6297298201844</v>
      </c>
      <c r="K287" s="444">
        <f t="shared" ca="1" si="27"/>
        <v>2024.8043406716126</v>
      </c>
      <c r="L287" s="444">
        <f t="shared" ca="1" si="28"/>
        <v>487977.84610185865</v>
      </c>
      <c r="M287" s="460">
        <f t="shared" si="30"/>
        <v>0.05</v>
      </c>
      <c r="N287" s="464">
        <f t="shared" si="31"/>
        <v>59780</v>
      </c>
    </row>
    <row r="288" spans="7:14" ht="11.25" customHeight="1" x14ac:dyDescent="0.25">
      <c r="G288" s="459">
        <f t="shared" si="33"/>
        <v>24</v>
      </c>
      <c r="H288" s="459">
        <v>281</v>
      </c>
      <c r="I288" s="444">
        <f t="shared" ca="1" si="29"/>
        <v>487977.84610185865</v>
      </c>
      <c r="J288" s="444">
        <f t="array" ref="J288">IFERROR(INDEX('Retirement Calculator'!J:J,MATCH('Isaac 401k'!N288,'Retirement Calculator'!A:A,0),0),0)</f>
        <v>8395.6297298201844</v>
      </c>
      <c r="K288" s="444">
        <f t="shared" ca="1" si="27"/>
        <v>1998.2592348834935</v>
      </c>
      <c r="L288" s="444">
        <f t="shared" ca="1" si="28"/>
        <v>481580.47560692194</v>
      </c>
      <c r="M288" s="460">
        <f t="shared" si="30"/>
        <v>0.05</v>
      </c>
      <c r="N288" s="464">
        <f t="shared" si="31"/>
        <v>59810</v>
      </c>
    </row>
    <row r="289" spans="7:14" ht="11.25" customHeight="1" x14ac:dyDescent="0.25">
      <c r="G289" s="459">
        <f t="shared" si="33"/>
        <v>24</v>
      </c>
      <c r="H289" s="459">
        <v>282</v>
      </c>
      <c r="I289" s="444">
        <f t="shared" ca="1" si="29"/>
        <v>481580.47560692194</v>
      </c>
      <c r="J289" s="444">
        <f t="array" ref="J289">IFERROR(INDEX('Retirement Calculator'!J:J,MATCH('Isaac 401k'!N289,'Retirement Calculator'!A:A,0),0),0)</f>
        <v>8395.6297298201844</v>
      </c>
      <c r="K289" s="444">
        <f t="shared" ca="1" si="27"/>
        <v>1971.603524487924</v>
      </c>
      <c r="L289" s="444">
        <f t="shared" ca="1" si="28"/>
        <v>475156.44940158969</v>
      </c>
      <c r="M289" s="460">
        <f t="shared" si="30"/>
        <v>0.05</v>
      </c>
      <c r="N289" s="464">
        <f t="shared" si="31"/>
        <v>59841</v>
      </c>
    </row>
    <row r="290" spans="7:14" ht="11.25" customHeight="1" x14ac:dyDescent="0.25">
      <c r="G290" s="459">
        <f t="shared" si="33"/>
        <v>24</v>
      </c>
      <c r="H290" s="459">
        <v>283</v>
      </c>
      <c r="I290" s="444">
        <f t="shared" ca="1" si="29"/>
        <v>475156.44940158969</v>
      </c>
      <c r="J290" s="444">
        <f t="array" ref="J290">IFERROR(INDEX('Retirement Calculator'!J:J,MATCH('Isaac 401k'!N290,'Retirement Calculator'!A:A,0),0),0)</f>
        <v>8395.6297298201844</v>
      </c>
      <c r="K290" s="444">
        <f t="shared" ca="1" si="27"/>
        <v>1944.836748632373</v>
      </c>
      <c r="L290" s="444">
        <f t="shared" ca="1" si="28"/>
        <v>468705.65642040188</v>
      </c>
      <c r="M290" s="460">
        <f t="shared" si="30"/>
        <v>0.05</v>
      </c>
      <c r="N290" s="464">
        <f t="shared" si="31"/>
        <v>59871</v>
      </c>
    </row>
    <row r="291" spans="7:14" ht="11.25" customHeight="1" x14ac:dyDescent="0.25">
      <c r="G291" s="459">
        <f t="shared" si="33"/>
        <v>24</v>
      </c>
      <c r="H291" s="459">
        <v>284</v>
      </c>
      <c r="I291" s="444">
        <f t="shared" ca="1" si="29"/>
        <v>468705.65642040188</v>
      </c>
      <c r="J291" s="444">
        <f t="array" ref="J291">IFERROR(INDEX('Retirement Calculator'!J:J,MATCH('Isaac 401k'!N291,'Retirement Calculator'!A:A,0),0),0)</f>
        <v>8395.6297298201844</v>
      </c>
      <c r="K291" s="444">
        <f t="shared" ca="1" si="27"/>
        <v>1917.9584445440903</v>
      </c>
      <c r="L291" s="444">
        <f t="shared" ca="1" si="28"/>
        <v>462227.98513512581</v>
      </c>
      <c r="M291" s="460">
        <f t="shared" si="30"/>
        <v>0.05</v>
      </c>
      <c r="N291" s="464">
        <f t="shared" si="31"/>
        <v>59902</v>
      </c>
    </row>
    <row r="292" spans="7:14" ht="11.25" customHeight="1" x14ac:dyDescent="0.25">
      <c r="G292" s="459">
        <f t="shared" si="33"/>
        <v>24</v>
      </c>
      <c r="H292" s="459">
        <v>285</v>
      </c>
      <c r="I292" s="444">
        <f t="shared" ca="1" si="29"/>
        <v>462227.98513512581</v>
      </c>
      <c r="J292" s="444">
        <f t="array" ref="J292">IFERROR(INDEX('Retirement Calculator'!J:J,MATCH('Isaac 401k'!N292,'Retirement Calculator'!A:A,0),0),0)</f>
        <v>8395.6297298201844</v>
      </c>
      <c r="K292" s="444">
        <f t="shared" ca="1" si="27"/>
        <v>1890.9681475221066</v>
      </c>
      <c r="L292" s="444">
        <f t="shared" ca="1" si="28"/>
        <v>455723.32355282776</v>
      </c>
      <c r="M292" s="460">
        <f t="shared" si="30"/>
        <v>0.05</v>
      </c>
      <c r="N292" s="464">
        <f t="shared" si="31"/>
        <v>59933</v>
      </c>
    </row>
    <row r="293" spans="7:14" ht="11.25" customHeight="1" x14ac:dyDescent="0.25">
      <c r="G293" s="459">
        <f t="shared" si="33"/>
        <v>24</v>
      </c>
      <c r="H293" s="459">
        <v>286</v>
      </c>
      <c r="I293" s="444">
        <f t="shared" ca="1" si="29"/>
        <v>455723.32355282776</v>
      </c>
      <c r="J293" s="444">
        <f t="array" ref="J293">IFERROR(INDEX('Retirement Calculator'!J:J,MATCH('Isaac 401k'!N293,'Retirement Calculator'!A:A,0),0),0)</f>
        <v>8395.6297298201844</v>
      </c>
      <c r="K293" s="444">
        <f t="shared" ca="1" si="27"/>
        <v>1863.8653909291984</v>
      </c>
      <c r="L293" s="444">
        <f t="shared" ca="1" si="28"/>
        <v>449191.55921393679</v>
      </c>
      <c r="M293" s="460">
        <f t="shared" si="30"/>
        <v>0.05</v>
      </c>
      <c r="N293" s="464">
        <f t="shared" si="31"/>
        <v>59962</v>
      </c>
    </row>
    <row r="294" spans="7:14" ht="11.25" customHeight="1" x14ac:dyDescent="0.25">
      <c r="G294" s="459">
        <f t="shared" si="33"/>
        <v>24</v>
      </c>
      <c r="H294" s="459">
        <v>287</v>
      </c>
      <c r="I294" s="444">
        <f t="shared" ca="1" si="29"/>
        <v>449191.55921393679</v>
      </c>
      <c r="J294" s="444">
        <f t="array" ref="J294">IFERROR(INDEX('Retirement Calculator'!J:J,MATCH('Isaac 401k'!N294,'Retirement Calculator'!A:A,0),0),0)</f>
        <v>8395.6297298201844</v>
      </c>
      <c r="K294" s="444">
        <f t="shared" ca="1" si="27"/>
        <v>1836.6497061838193</v>
      </c>
      <c r="L294" s="444">
        <f t="shared" ca="1" si="28"/>
        <v>442632.57919030043</v>
      </c>
      <c r="M294" s="460">
        <f t="shared" si="30"/>
        <v>0.05</v>
      </c>
      <c r="N294" s="464">
        <f t="shared" si="31"/>
        <v>59993</v>
      </c>
    </row>
    <row r="295" spans="7:14" ht="11.25" customHeight="1" x14ac:dyDescent="0.25">
      <c r="G295" s="459">
        <f t="shared" si="33"/>
        <v>24</v>
      </c>
      <c r="H295" s="459">
        <v>288</v>
      </c>
      <c r="I295" s="444">
        <f t="shared" ca="1" si="29"/>
        <v>442632.57919030043</v>
      </c>
      <c r="J295" s="444">
        <f t="array" ref="J295">IFERROR(INDEX('Retirement Calculator'!J:J,MATCH('Isaac 401k'!N295,'Retirement Calculator'!A:A,0),0),0)</f>
        <v>8395.6297298201844</v>
      </c>
      <c r="K295" s="444">
        <f t="shared" ca="1" si="27"/>
        <v>1809.3206227520011</v>
      </c>
      <c r="L295" s="444">
        <f t="shared" ca="1" si="28"/>
        <v>436046.27008323226</v>
      </c>
      <c r="M295" s="460">
        <f t="shared" si="30"/>
        <v>0.05</v>
      </c>
      <c r="N295" s="464">
        <f t="shared" si="31"/>
        <v>60023</v>
      </c>
    </row>
    <row r="296" spans="7:14" ht="11.25" customHeight="1" x14ac:dyDescent="0.25">
      <c r="G296" s="459">
        <f>G295+1</f>
        <v>25</v>
      </c>
      <c r="H296" s="459">
        <v>289</v>
      </c>
      <c r="I296" s="444">
        <f t="shared" ca="1" si="29"/>
        <v>436046.27008323226</v>
      </c>
      <c r="J296" s="444">
        <f t="array" ref="J296">IFERROR(INDEX('Retirement Calculator'!J:J,MATCH('Isaac 401k'!N296,'Retirement Calculator'!A:A,0),0),0)</f>
        <v>8395.6297298201844</v>
      </c>
      <c r="K296" s="444">
        <f t="shared" ca="1" si="27"/>
        <v>1781.8776681392169</v>
      </c>
      <c r="L296" s="444">
        <f t="shared" ca="1" si="28"/>
        <v>429432.51802155131</v>
      </c>
      <c r="M296" s="460">
        <f t="shared" si="30"/>
        <v>0.05</v>
      </c>
      <c r="N296" s="464">
        <f t="shared" si="31"/>
        <v>60054</v>
      </c>
    </row>
    <row r="297" spans="7:14" ht="11.25" customHeight="1" x14ac:dyDescent="0.25">
      <c r="G297" s="459">
        <f t="shared" ref="G297:G307" si="34">G296</f>
        <v>25</v>
      </c>
      <c r="H297" s="459">
        <v>290</v>
      </c>
      <c r="I297" s="444">
        <f t="shared" ca="1" si="29"/>
        <v>429432.51802155131</v>
      </c>
      <c r="J297" s="444">
        <f t="array" ref="J297">IFERROR(INDEX('Retirement Calculator'!J:J,MATCH('Isaac 401k'!N297,'Retirement Calculator'!A:A,0),0),0)</f>
        <v>8395.6297298201844</v>
      </c>
      <c r="K297" s="444">
        <f t="shared" ca="1" si="27"/>
        <v>1754.3203678822133</v>
      </c>
      <c r="L297" s="444">
        <f t="shared" ca="1" si="28"/>
        <v>422791.20865961333</v>
      </c>
      <c r="M297" s="460">
        <f t="shared" si="30"/>
        <v>0.05</v>
      </c>
      <c r="N297" s="464">
        <f t="shared" si="31"/>
        <v>60084</v>
      </c>
    </row>
    <row r="298" spans="7:14" ht="11.25" customHeight="1" x14ac:dyDescent="0.25">
      <c r="G298" s="459">
        <f t="shared" si="34"/>
        <v>25</v>
      </c>
      <c r="H298" s="459">
        <v>291</v>
      </c>
      <c r="I298" s="444">
        <f t="shared" ca="1" si="29"/>
        <v>422791.20865961333</v>
      </c>
      <c r="J298" s="444">
        <f t="array" ref="J298">IFERROR(INDEX('Retirement Calculator'!J:J,MATCH('Isaac 401k'!N298,'Retirement Calculator'!A:A,0),0),0)</f>
        <v>8395.6297298201844</v>
      </c>
      <c r="K298" s="444">
        <f t="shared" ca="1" si="27"/>
        <v>1726.6482455408047</v>
      </c>
      <c r="L298" s="444">
        <f t="shared" ca="1" si="28"/>
        <v>416122.22717533394</v>
      </c>
      <c r="M298" s="460">
        <f t="shared" si="30"/>
        <v>0.05</v>
      </c>
      <c r="N298" s="464">
        <f t="shared" si="31"/>
        <v>60115</v>
      </c>
    </row>
    <row r="299" spans="7:14" ht="11.25" customHeight="1" x14ac:dyDescent="0.25">
      <c r="G299" s="459">
        <f t="shared" si="34"/>
        <v>25</v>
      </c>
      <c r="H299" s="459">
        <v>292</v>
      </c>
      <c r="I299" s="444">
        <f t="shared" ca="1" si="29"/>
        <v>416122.22717533394</v>
      </c>
      <c r="J299" s="444">
        <f t="array" ref="J299">IFERROR(INDEX('Retirement Calculator'!J:J,MATCH('Isaac 401k'!N299,'Retirement Calculator'!A:A,0),0),0)</f>
        <v>8395.6297298201844</v>
      </c>
      <c r="K299" s="444">
        <f t="shared" ca="1" si="27"/>
        <v>1698.8608226896406</v>
      </c>
      <c r="L299" s="444">
        <f t="shared" ca="1" si="28"/>
        <v>409425.45826820342</v>
      </c>
      <c r="M299" s="460">
        <f t="shared" si="30"/>
        <v>0.05</v>
      </c>
      <c r="N299" s="464">
        <f t="shared" si="31"/>
        <v>60146</v>
      </c>
    </row>
    <row r="300" spans="7:14" ht="11.25" customHeight="1" x14ac:dyDescent="0.25">
      <c r="G300" s="459">
        <f t="shared" si="34"/>
        <v>25</v>
      </c>
      <c r="H300" s="459">
        <v>293</v>
      </c>
      <c r="I300" s="444">
        <f t="shared" ca="1" si="29"/>
        <v>409425.45826820342</v>
      </c>
      <c r="J300" s="444">
        <f t="array" ref="J300">IFERROR(INDEX('Retirement Calculator'!J:J,MATCH('Isaac 401k'!N300,'Retirement Calculator'!A:A,0),0),0)</f>
        <v>8395.6297298201844</v>
      </c>
      <c r="K300" s="444">
        <f t="shared" ca="1" si="27"/>
        <v>1670.95761890993</v>
      </c>
      <c r="L300" s="444">
        <f t="shared" ca="1" si="28"/>
        <v>402700.78615729319</v>
      </c>
      <c r="M300" s="460">
        <f t="shared" si="30"/>
        <v>0.05</v>
      </c>
      <c r="N300" s="464">
        <f t="shared" si="31"/>
        <v>60176</v>
      </c>
    </row>
    <row r="301" spans="7:14" ht="11.25" customHeight="1" x14ac:dyDescent="0.25">
      <c r="G301" s="459">
        <f t="shared" si="34"/>
        <v>25</v>
      </c>
      <c r="H301" s="459">
        <v>294</v>
      </c>
      <c r="I301" s="444">
        <f t="shared" ca="1" si="29"/>
        <v>402700.78615729319</v>
      </c>
      <c r="J301" s="444">
        <f t="array" ref="J301">IFERROR(INDEX('Retirement Calculator'!J:J,MATCH('Isaac 401k'!N301,'Retirement Calculator'!A:A,0),0),0)</f>
        <v>8395.6297298201844</v>
      </c>
      <c r="K301" s="444">
        <f t="shared" ca="1" si="27"/>
        <v>1642.9381517811375</v>
      </c>
      <c r="L301" s="444">
        <f t="shared" ca="1" si="28"/>
        <v>395948.09457925416</v>
      </c>
      <c r="M301" s="460">
        <f t="shared" si="30"/>
        <v>0.05</v>
      </c>
      <c r="N301" s="464">
        <f t="shared" si="31"/>
        <v>60207</v>
      </c>
    </row>
    <row r="302" spans="7:14" ht="11.25" customHeight="1" x14ac:dyDescent="0.25">
      <c r="G302" s="459">
        <f t="shared" si="34"/>
        <v>25</v>
      </c>
      <c r="H302" s="459">
        <v>295</v>
      </c>
      <c r="I302" s="444">
        <f t="shared" ca="1" si="29"/>
        <v>395948.09457925416</v>
      </c>
      <c r="J302" s="444">
        <f t="array" ref="J302">IFERROR(INDEX('Retirement Calculator'!J:J,MATCH('Isaac 401k'!N302,'Retirement Calculator'!A:A,0),0),0)</f>
        <v>8395.6297298201844</v>
      </c>
      <c r="K302" s="444">
        <f t="shared" ca="1" si="27"/>
        <v>1614.8019368726416</v>
      </c>
      <c r="L302" s="444">
        <f t="shared" ca="1" si="28"/>
        <v>389167.26678630663</v>
      </c>
      <c r="M302" s="460">
        <f t="shared" si="30"/>
        <v>0.05</v>
      </c>
      <c r="N302" s="464">
        <f t="shared" si="31"/>
        <v>60237</v>
      </c>
    </row>
    <row r="303" spans="7:14" ht="11.25" customHeight="1" x14ac:dyDescent="0.25">
      <c r="G303" s="459">
        <f t="shared" si="34"/>
        <v>25</v>
      </c>
      <c r="H303" s="459">
        <v>296</v>
      </c>
      <c r="I303" s="444">
        <f t="shared" ca="1" si="29"/>
        <v>389167.26678630663</v>
      </c>
      <c r="J303" s="444">
        <f t="array" ref="J303">IFERROR(INDEX('Retirement Calculator'!J:J,MATCH('Isaac 401k'!N303,'Retirement Calculator'!A:A,0),0),0)</f>
        <v>8395.6297298201844</v>
      </c>
      <c r="K303" s="444">
        <f t="shared" ca="1" si="27"/>
        <v>1586.5484877353601</v>
      </c>
      <c r="L303" s="444">
        <f t="shared" ca="1" si="28"/>
        <v>382358.18554422184</v>
      </c>
      <c r="M303" s="460">
        <f t="shared" si="30"/>
        <v>0.05</v>
      </c>
      <c r="N303" s="464">
        <f t="shared" si="31"/>
        <v>60268</v>
      </c>
    </row>
    <row r="304" spans="7:14" ht="11.25" customHeight="1" x14ac:dyDescent="0.25">
      <c r="G304" s="459">
        <f t="shared" si="34"/>
        <v>25</v>
      </c>
      <c r="H304" s="459">
        <v>297</v>
      </c>
      <c r="I304" s="444">
        <f t="shared" ca="1" si="29"/>
        <v>382358.18554422184</v>
      </c>
      <c r="J304" s="444">
        <f t="array" ref="J304">IFERROR(INDEX('Retirement Calculator'!J:J,MATCH('Isaac 401k'!N304,'Retirement Calculator'!A:A,0),0),0)</f>
        <v>8395.6297298201844</v>
      </c>
      <c r="K304" s="444">
        <f t="shared" ca="1" si="27"/>
        <v>1558.1773158933402</v>
      </c>
      <c r="L304" s="444">
        <f t="shared" ca="1" si="28"/>
        <v>375520.733130295</v>
      </c>
      <c r="M304" s="460">
        <f t="shared" si="30"/>
        <v>0.05</v>
      </c>
      <c r="N304" s="464">
        <f t="shared" si="31"/>
        <v>60299</v>
      </c>
    </row>
    <row r="305" spans="7:14" ht="11.25" customHeight="1" x14ac:dyDescent="0.25">
      <c r="G305" s="459">
        <f t="shared" si="34"/>
        <v>25</v>
      </c>
      <c r="H305" s="459">
        <v>298</v>
      </c>
      <c r="I305" s="444">
        <f t="shared" ca="1" si="29"/>
        <v>375520.733130295</v>
      </c>
      <c r="J305" s="444">
        <f t="array" ref="J305">IFERROR(INDEX('Retirement Calculator'!J:J,MATCH('Isaac 401k'!N305,'Retirement Calculator'!A:A,0),0),0)</f>
        <v>8395.6297298201844</v>
      </c>
      <c r="K305" s="444">
        <f t="shared" ca="1" si="27"/>
        <v>1529.6879308353118</v>
      </c>
      <c r="L305" s="444">
        <f t="shared" ca="1" si="28"/>
        <v>368654.79133131012</v>
      </c>
      <c r="M305" s="460">
        <f t="shared" si="30"/>
        <v>0.05</v>
      </c>
      <c r="N305" s="464">
        <f t="shared" si="31"/>
        <v>60327</v>
      </c>
    </row>
    <row r="306" spans="7:14" ht="11.25" customHeight="1" x14ac:dyDescent="0.25">
      <c r="G306" s="459">
        <f t="shared" si="34"/>
        <v>25</v>
      </c>
      <c r="H306" s="459">
        <v>299</v>
      </c>
      <c r="I306" s="444">
        <f t="shared" ca="1" si="29"/>
        <v>368654.79133131012</v>
      </c>
      <c r="J306" s="444">
        <f t="array" ref="J306">IFERROR(INDEX('Retirement Calculator'!J:J,MATCH('Isaac 401k'!N306,'Retirement Calculator'!A:A,0),0),0)</f>
        <v>8395.6297298201844</v>
      </c>
      <c r="K306" s="444">
        <f t="shared" ca="1" si="27"/>
        <v>1501.0798400062081</v>
      </c>
      <c r="L306" s="444">
        <f t="shared" ca="1" si="28"/>
        <v>361760.24144149612</v>
      </c>
      <c r="M306" s="460">
        <f t="shared" si="30"/>
        <v>0.05</v>
      </c>
      <c r="N306" s="464">
        <f t="shared" si="31"/>
        <v>60358</v>
      </c>
    </row>
    <row r="307" spans="7:14" ht="11.25" customHeight="1" x14ac:dyDescent="0.25">
      <c r="G307" s="459">
        <f t="shared" si="34"/>
        <v>25</v>
      </c>
      <c r="H307" s="459">
        <v>300</v>
      </c>
      <c r="I307" s="444">
        <f t="shared" ca="1" si="29"/>
        <v>361760.24144149612</v>
      </c>
      <c r="J307" s="444">
        <f t="array" ref="J307">IFERROR(INDEX('Retirement Calculator'!J:J,MATCH('Isaac 401k'!N307,'Retirement Calculator'!A:A,0),0),0)</f>
        <v>8395.6297298201844</v>
      </c>
      <c r="K307" s="444">
        <f t="shared" ca="1" si="27"/>
        <v>1472.3525487986497</v>
      </c>
      <c r="L307" s="444">
        <f t="shared" ca="1" si="28"/>
        <v>354836.9642604746</v>
      </c>
      <c r="M307" s="460">
        <f t="shared" si="30"/>
        <v>0.05</v>
      </c>
      <c r="N307" s="464">
        <f t="shared" si="31"/>
        <v>60388</v>
      </c>
    </row>
    <row r="308" spans="7:14" ht="11.25" customHeight="1" x14ac:dyDescent="0.25">
      <c r="G308" s="459">
        <f>G307+1</f>
        <v>26</v>
      </c>
      <c r="H308" s="459">
        <v>301</v>
      </c>
      <c r="I308" s="444">
        <f t="shared" ca="1" si="29"/>
        <v>354836.9642604746</v>
      </c>
      <c r="J308" s="444">
        <f t="array" ref="J308">IFERROR(INDEX('Retirement Calculator'!J:J,MATCH('Isaac 401k'!N308,'Retirement Calculator'!A:A,0),0),0)</f>
        <v>8395.6297298201844</v>
      </c>
      <c r="K308" s="444">
        <f t="shared" ca="1" si="27"/>
        <v>1443.5055605443933</v>
      </c>
      <c r="L308" s="444">
        <f t="shared" ca="1" si="28"/>
        <v>347884.8400911988</v>
      </c>
      <c r="M308" s="460">
        <f t="shared" si="30"/>
        <v>0.05</v>
      </c>
      <c r="N308" s="464">
        <f t="shared" si="31"/>
        <v>60419</v>
      </c>
    </row>
    <row r="309" spans="7:14" ht="11.25" customHeight="1" x14ac:dyDescent="0.25">
      <c r="G309" s="459">
        <f t="shared" ref="G309:G319" si="35">G308</f>
        <v>26</v>
      </c>
      <c r="H309" s="459">
        <v>302</v>
      </c>
      <c r="I309" s="444">
        <f t="shared" ca="1" si="29"/>
        <v>347884.8400911988</v>
      </c>
      <c r="J309" s="444">
        <f t="array" ref="J309">IFERROR(INDEX('Retirement Calculator'!J:J,MATCH('Isaac 401k'!N309,'Retirement Calculator'!A:A,0),0),0)</f>
        <v>8395.6297298201844</v>
      </c>
      <c r="K309" s="444">
        <f t="shared" ca="1" si="27"/>
        <v>1414.5383765057443</v>
      </c>
      <c r="L309" s="444">
        <f t="shared" ca="1" si="28"/>
        <v>340903.74873788434</v>
      </c>
      <c r="M309" s="460">
        <f t="shared" si="30"/>
        <v>0.05</v>
      </c>
      <c r="N309" s="464">
        <f t="shared" si="31"/>
        <v>60449</v>
      </c>
    </row>
    <row r="310" spans="7:14" ht="11.25" customHeight="1" x14ac:dyDescent="0.25">
      <c r="G310" s="459">
        <f t="shared" si="35"/>
        <v>26</v>
      </c>
      <c r="H310" s="459">
        <v>303</v>
      </c>
      <c r="I310" s="444">
        <f t="shared" ca="1" si="29"/>
        <v>340903.74873788434</v>
      </c>
      <c r="J310" s="444">
        <f t="array" ref="J310">IFERROR(INDEX('Retirement Calculator'!J:J,MATCH('Isaac 401k'!N310,'Retirement Calculator'!A:A,0),0),0)</f>
        <v>8395.6297298201844</v>
      </c>
      <c r="K310" s="444">
        <f t="shared" ca="1" si="27"/>
        <v>1385.450495866934</v>
      </c>
      <c r="L310" s="444">
        <f t="shared" ca="1" si="28"/>
        <v>333893.5695039311</v>
      </c>
      <c r="M310" s="460">
        <f t="shared" si="30"/>
        <v>0.05</v>
      </c>
      <c r="N310" s="464">
        <f t="shared" si="31"/>
        <v>60480</v>
      </c>
    </row>
    <row r="311" spans="7:14" ht="11.25" customHeight="1" x14ac:dyDescent="0.25">
      <c r="G311" s="459">
        <f t="shared" si="35"/>
        <v>26</v>
      </c>
      <c r="H311" s="459">
        <v>304</v>
      </c>
      <c r="I311" s="444">
        <f t="shared" ca="1" si="29"/>
        <v>333893.5695039311</v>
      </c>
      <c r="J311" s="444">
        <f t="array" ref="J311">IFERROR(INDEX('Retirement Calculator'!J:J,MATCH('Isaac 401k'!N311,'Retirement Calculator'!A:A,0),0),0)</f>
        <v>8395.6297298201844</v>
      </c>
      <c r="K311" s="444">
        <f t="shared" ca="1" si="27"/>
        <v>1356.241415725462</v>
      </c>
      <c r="L311" s="444">
        <f t="shared" ca="1" si="28"/>
        <v>326854.18118983635</v>
      </c>
      <c r="M311" s="460">
        <f t="shared" si="30"/>
        <v>0.05</v>
      </c>
      <c r="N311" s="464">
        <f t="shared" si="31"/>
        <v>60511</v>
      </c>
    </row>
    <row r="312" spans="7:14" ht="11.25" customHeight="1" x14ac:dyDescent="0.25">
      <c r="G312" s="459">
        <f t="shared" si="35"/>
        <v>26</v>
      </c>
      <c r="H312" s="459">
        <v>305</v>
      </c>
      <c r="I312" s="444">
        <f t="shared" ca="1" si="29"/>
        <v>326854.18118983635</v>
      </c>
      <c r="J312" s="444">
        <f t="array" ref="J312">IFERROR(INDEX('Retirement Calculator'!J:J,MATCH('Isaac 401k'!N312,'Retirement Calculator'!A:A,0),0),0)</f>
        <v>8395.6297298201844</v>
      </c>
      <c r="K312" s="444">
        <f t="shared" ca="1" si="27"/>
        <v>1326.9106310834006</v>
      </c>
      <c r="L312" s="444">
        <f t="shared" ca="1" si="28"/>
        <v>319785.46209109959</v>
      </c>
      <c r="M312" s="460">
        <f t="shared" si="30"/>
        <v>0.05</v>
      </c>
      <c r="N312" s="464">
        <f t="shared" si="31"/>
        <v>60541</v>
      </c>
    </row>
    <row r="313" spans="7:14" ht="11.25" customHeight="1" x14ac:dyDescent="0.25">
      <c r="G313" s="459">
        <f t="shared" si="35"/>
        <v>26</v>
      </c>
      <c r="H313" s="459">
        <v>306</v>
      </c>
      <c r="I313" s="444">
        <f t="shared" ca="1" si="29"/>
        <v>319785.46209109959</v>
      </c>
      <c r="J313" s="444">
        <f t="array" ref="J313">IFERROR(INDEX('Retirement Calculator'!J:J,MATCH('Isaac 401k'!N313,'Retirement Calculator'!A:A,0),0),0)</f>
        <v>8395.6297298201844</v>
      </c>
      <c r="K313" s="444">
        <f t="shared" ca="1" si="27"/>
        <v>1297.4576348386643</v>
      </c>
      <c r="L313" s="444">
        <f t="shared" ca="1" si="28"/>
        <v>312687.28999611805</v>
      </c>
      <c r="M313" s="460">
        <f t="shared" si="30"/>
        <v>0.05</v>
      </c>
      <c r="N313" s="464">
        <f t="shared" si="31"/>
        <v>60572</v>
      </c>
    </row>
    <row r="314" spans="7:14" ht="11.25" customHeight="1" x14ac:dyDescent="0.25">
      <c r="G314" s="459">
        <f t="shared" si="35"/>
        <v>26</v>
      </c>
      <c r="H314" s="459">
        <v>307</v>
      </c>
      <c r="I314" s="444">
        <f t="shared" ca="1" si="29"/>
        <v>312687.28999611805</v>
      </c>
      <c r="J314" s="444">
        <f t="array" ref="J314">IFERROR(INDEX('Retirement Calculator'!J:J,MATCH('Isaac 401k'!N314,'Retirement Calculator'!A:A,0),0),0)</f>
        <v>8395.6297298201844</v>
      </c>
      <c r="K314" s="444">
        <f t="shared" ca="1" si="27"/>
        <v>1267.8819177762412</v>
      </c>
      <c r="L314" s="444">
        <f t="shared" ca="1" si="28"/>
        <v>305559.54218407412</v>
      </c>
      <c r="M314" s="460">
        <f t="shared" si="30"/>
        <v>0.05</v>
      </c>
      <c r="N314" s="464">
        <f t="shared" si="31"/>
        <v>60602</v>
      </c>
    </row>
    <row r="315" spans="7:14" ht="11.25" customHeight="1" x14ac:dyDescent="0.25">
      <c r="G315" s="459">
        <f t="shared" si="35"/>
        <v>26</v>
      </c>
      <c r="H315" s="459">
        <v>308</v>
      </c>
      <c r="I315" s="444">
        <f t="shared" ca="1" si="29"/>
        <v>305559.54218407412</v>
      </c>
      <c r="J315" s="444">
        <f t="array" ref="J315">IFERROR(INDEX('Retirement Calculator'!J:J,MATCH('Isaac 401k'!N315,'Retirement Calculator'!A:A,0),0),0)</f>
        <v>8395.6297298201844</v>
      </c>
      <c r="K315" s="444">
        <f t="shared" ca="1" si="27"/>
        <v>1238.1829685593914</v>
      </c>
      <c r="L315" s="444">
        <f t="shared" ca="1" si="28"/>
        <v>298402.09542281332</v>
      </c>
      <c r="M315" s="460">
        <f t="shared" si="30"/>
        <v>0.05</v>
      </c>
      <c r="N315" s="464">
        <f t="shared" si="31"/>
        <v>60633</v>
      </c>
    </row>
    <row r="316" spans="7:14" ht="11.25" customHeight="1" x14ac:dyDescent="0.25">
      <c r="G316" s="459">
        <f t="shared" si="35"/>
        <v>26</v>
      </c>
      <c r="H316" s="459">
        <v>309</v>
      </c>
      <c r="I316" s="444">
        <f t="shared" ca="1" si="29"/>
        <v>298402.09542281332</v>
      </c>
      <c r="J316" s="444">
        <f t="array" ref="J316">IFERROR(INDEX('Retirement Calculator'!J:J,MATCH('Isaac 401k'!N316,'Retirement Calculator'!A:A,0),0),0)</f>
        <v>8395.6297298201844</v>
      </c>
      <c r="K316" s="444">
        <f t="shared" ca="1" si="27"/>
        <v>1208.3602737208048</v>
      </c>
      <c r="L316" s="444">
        <f t="shared" ca="1" si="28"/>
        <v>291214.82596671395</v>
      </c>
      <c r="M316" s="460">
        <f t="shared" si="30"/>
        <v>0.05</v>
      </c>
      <c r="N316" s="464">
        <f t="shared" si="31"/>
        <v>60664</v>
      </c>
    </row>
    <row r="317" spans="7:14" ht="11.25" customHeight="1" x14ac:dyDescent="0.25">
      <c r="G317" s="459">
        <f t="shared" si="35"/>
        <v>26</v>
      </c>
      <c r="H317" s="459">
        <v>310</v>
      </c>
      <c r="I317" s="444">
        <f t="shared" ca="1" si="29"/>
        <v>291214.82596671395</v>
      </c>
      <c r="J317" s="444">
        <f t="array" ref="J317">IFERROR(INDEX('Retirement Calculator'!J:J,MATCH('Isaac 401k'!N317,'Retirement Calculator'!A:A,0),0),0)</f>
        <v>8395.6297298201844</v>
      </c>
      <c r="K317" s="444">
        <f t="shared" ca="1" si="27"/>
        <v>1178.4133176537241</v>
      </c>
      <c r="L317" s="444">
        <f t="shared" ca="1" si="28"/>
        <v>283997.60955454747</v>
      </c>
      <c r="M317" s="460">
        <f t="shared" si="30"/>
        <v>0.05</v>
      </c>
      <c r="N317" s="464">
        <f t="shared" si="31"/>
        <v>60692</v>
      </c>
    </row>
    <row r="318" spans="7:14" ht="11.25" customHeight="1" x14ac:dyDescent="0.25">
      <c r="G318" s="459">
        <f t="shared" si="35"/>
        <v>26</v>
      </c>
      <c r="H318" s="459">
        <v>311</v>
      </c>
      <c r="I318" s="444">
        <f t="shared" ca="1" si="29"/>
        <v>283997.60955454747</v>
      </c>
      <c r="J318" s="444">
        <f t="array" ref="J318">IFERROR(INDEX('Retirement Calculator'!J:J,MATCH('Isaac 401k'!N318,'Retirement Calculator'!A:A,0),0),0)</f>
        <v>8395.6297298201844</v>
      </c>
      <c r="K318" s="444">
        <f t="shared" ca="1" si="27"/>
        <v>1148.3415826030302</v>
      </c>
      <c r="L318" s="444">
        <f t="shared" ca="1" si="28"/>
        <v>276750.32140733034</v>
      </c>
      <c r="M318" s="460">
        <f t="shared" si="30"/>
        <v>0.05</v>
      </c>
      <c r="N318" s="464">
        <f t="shared" si="31"/>
        <v>60723</v>
      </c>
    </row>
    <row r="319" spans="7:14" ht="11.25" customHeight="1" x14ac:dyDescent="0.25">
      <c r="G319" s="459">
        <f t="shared" si="35"/>
        <v>26</v>
      </c>
      <c r="H319" s="459">
        <v>312</v>
      </c>
      <c r="I319" s="444">
        <f t="shared" ca="1" si="29"/>
        <v>276750.32140733034</v>
      </c>
      <c r="J319" s="444">
        <f t="array" ref="J319">IFERROR(INDEX('Retirement Calculator'!J:J,MATCH('Isaac 401k'!N319,'Retirement Calculator'!A:A,0),0),0)</f>
        <v>8395.6297298201844</v>
      </c>
      <c r="K319" s="444">
        <f t="shared" ca="1" si="27"/>
        <v>1118.1445486562923</v>
      </c>
      <c r="L319" s="444">
        <f t="shared" ca="1" si="28"/>
        <v>269472.83622616646</v>
      </c>
      <c r="M319" s="460">
        <f t="shared" si="30"/>
        <v>0.05</v>
      </c>
      <c r="N319" s="464">
        <f t="shared" si="31"/>
        <v>60753</v>
      </c>
    </row>
    <row r="320" spans="7:14" ht="11.25" customHeight="1" x14ac:dyDescent="0.25">
      <c r="G320" s="459">
        <f>G319+1</f>
        <v>27</v>
      </c>
      <c r="H320" s="459">
        <v>313</v>
      </c>
      <c r="I320" s="444">
        <f t="shared" ca="1" si="29"/>
        <v>269472.83622616646</v>
      </c>
      <c r="J320" s="444">
        <f t="array" ref="J320">IFERROR(INDEX('Retirement Calculator'!J:J,MATCH('Isaac 401k'!N320,'Retirement Calculator'!A:A,0),0),0)</f>
        <v>8395.6297298201844</v>
      </c>
      <c r="K320" s="444">
        <f t="shared" ca="1" si="27"/>
        <v>1087.8216937347761</v>
      </c>
      <c r="L320" s="444">
        <f t="shared" ca="1" si="28"/>
        <v>262165.02819008107</v>
      </c>
      <c r="M320" s="460">
        <f t="shared" si="30"/>
        <v>0.05</v>
      </c>
      <c r="N320" s="464">
        <f t="shared" si="31"/>
        <v>60784</v>
      </c>
    </row>
    <row r="321" spans="7:14" ht="11.25" customHeight="1" x14ac:dyDescent="0.25">
      <c r="G321" s="459">
        <f t="shared" ref="G321:G331" si="36">G320</f>
        <v>27</v>
      </c>
      <c r="H321" s="459">
        <v>314</v>
      </c>
      <c r="I321" s="444">
        <f t="shared" ca="1" si="29"/>
        <v>262165.02819008107</v>
      </c>
      <c r="J321" s="444">
        <f t="array" ref="J321">IFERROR(INDEX('Retirement Calculator'!J:J,MATCH('Isaac 401k'!N321,'Retirement Calculator'!A:A,0),0),0)</f>
        <v>8395.6297298201844</v>
      </c>
      <c r="K321" s="444">
        <f t="shared" ca="1" si="27"/>
        <v>1057.3724935844202</v>
      </c>
      <c r="L321" s="444">
        <f t="shared" ca="1" si="28"/>
        <v>254826.77095384529</v>
      </c>
      <c r="M321" s="460">
        <f t="shared" si="30"/>
        <v>0.05</v>
      </c>
      <c r="N321" s="464">
        <f t="shared" si="31"/>
        <v>60814</v>
      </c>
    </row>
    <row r="322" spans="7:14" ht="11.25" customHeight="1" x14ac:dyDescent="0.25">
      <c r="G322" s="459">
        <f t="shared" si="36"/>
        <v>27</v>
      </c>
      <c r="H322" s="459">
        <v>315</v>
      </c>
      <c r="I322" s="444">
        <f t="shared" ca="1" si="29"/>
        <v>254826.77095384529</v>
      </c>
      <c r="J322" s="444">
        <f t="array" ref="J322">IFERROR(INDEX('Retirement Calculator'!J:J,MATCH('Isaac 401k'!N322,'Retirement Calculator'!A:A,0),0),0)</f>
        <v>8395.6297298201844</v>
      </c>
      <c r="K322" s="444">
        <f t="shared" ca="1" si="27"/>
        <v>1026.7964217667713</v>
      </c>
      <c r="L322" s="444">
        <f t="shared" ca="1" si="28"/>
        <v>247457.93764579188</v>
      </c>
      <c r="M322" s="460">
        <f t="shared" si="30"/>
        <v>0.05</v>
      </c>
      <c r="N322" s="464">
        <f t="shared" si="31"/>
        <v>60845</v>
      </c>
    </row>
    <row r="323" spans="7:14" ht="11.25" customHeight="1" x14ac:dyDescent="0.25">
      <c r="G323" s="459">
        <f t="shared" si="36"/>
        <v>27</v>
      </c>
      <c r="H323" s="459">
        <v>316</v>
      </c>
      <c r="I323" s="444">
        <f t="shared" ca="1" si="29"/>
        <v>247457.93764579188</v>
      </c>
      <c r="J323" s="444">
        <f t="array" ref="J323">IFERROR(INDEX('Retirement Calculator'!J:J,MATCH('Isaac 401k'!N323,'Retirement Calculator'!A:A,0),0),0)</f>
        <v>8395.6297298201844</v>
      </c>
      <c r="K323" s="444">
        <f t="shared" ca="1" si="27"/>
        <v>996.09294964988203</v>
      </c>
      <c r="L323" s="444">
        <f t="shared" ca="1" si="28"/>
        <v>240058.40086562157</v>
      </c>
      <c r="M323" s="460">
        <f t="shared" si="30"/>
        <v>0.05</v>
      </c>
      <c r="N323" s="464">
        <f t="shared" si="31"/>
        <v>60876</v>
      </c>
    </row>
    <row r="324" spans="7:14" ht="11.25" customHeight="1" x14ac:dyDescent="0.25">
      <c r="G324" s="459">
        <f t="shared" si="36"/>
        <v>27</v>
      </c>
      <c r="H324" s="459">
        <v>317</v>
      </c>
      <c r="I324" s="444">
        <f t="shared" ca="1" si="29"/>
        <v>240058.40086562157</v>
      </c>
      <c r="J324" s="444">
        <f t="array" ref="J324">IFERROR(INDEX('Retirement Calculator'!J:J,MATCH('Isaac 401k'!N324,'Retirement Calculator'!A:A,0),0),0)</f>
        <v>8395.6297298201844</v>
      </c>
      <c r="K324" s="444">
        <f t="shared" ca="1" si="27"/>
        <v>965.26154639917229</v>
      </c>
      <c r="L324" s="444">
        <f t="shared" ca="1" si="28"/>
        <v>232628.03268220057</v>
      </c>
      <c r="M324" s="460">
        <f t="shared" si="30"/>
        <v>0.05</v>
      </c>
      <c r="N324" s="464">
        <f t="shared" si="31"/>
        <v>60906</v>
      </c>
    </row>
    <row r="325" spans="7:14" ht="11.25" customHeight="1" x14ac:dyDescent="0.25">
      <c r="G325" s="459">
        <f t="shared" si="36"/>
        <v>27</v>
      </c>
      <c r="H325" s="459">
        <v>318</v>
      </c>
      <c r="I325" s="444">
        <f t="shared" ca="1" si="29"/>
        <v>232628.03268220057</v>
      </c>
      <c r="J325" s="444">
        <f t="array" ref="J325">IFERROR(INDEX('Retirement Calculator'!J:J,MATCH('Isaac 401k'!N325,'Retirement Calculator'!A:A,0),0),0)</f>
        <v>8395.6297298201844</v>
      </c>
      <c r="K325" s="444">
        <f t="shared" ca="1" si="27"/>
        <v>934.30167896825162</v>
      </c>
      <c r="L325" s="444">
        <f t="shared" ca="1" si="28"/>
        <v>225166.70463134864</v>
      </c>
      <c r="M325" s="460">
        <f t="shared" si="30"/>
        <v>0.05</v>
      </c>
      <c r="N325" s="464">
        <f t="shared" si="31"/>
        <v>60937</v>
      </c>
    </row>
    <row r="326" spans="7:14" ht="11.25" customHeight="1" x14ac:dyDescent="0.25">
      <c r="G326" s="459">
        <f t="shared" si="36"/>
        <v>27</v>
      </c>
      <c r="H326" s="459">
        <v>319</v>
      </c>
      <c r="I326" s="444">
        <f t="shared" ca="1" si="29"/>
        <v>225166.70463134864</v>
      </c>
      <c r="J326" s="444">
        <f t="array" ref="J326">IFERROR(INDEX('Retirement Calculator'!J:J,MATCH('Isaac 401k'!N326,'Retirement Calculator'!A:A,0),0),0)</f>
        <v>8395.6297298201844</v>
      </c>
      <c r="K326" s="444">
        <f t="shared" ca="1" si="27"/>
        <v>903.21281208970186</v>
      </c>
      <c r="L326" s="444">
        <f t="shared" ca="1" si="28"/>
        <v>217674.28771361816</v>
      </c>
      <c r="M326" s="460">
        <f t="shared" si="30"/>
        <v>0.05</v>
      </c>
      <c r="N326" s="464">
        <f t="shared" si="31"/>
        <v>60967</v>
      </c>
    </row>
    <row r="327" spans="7:14" ht="11.25" customHeight="1" x14ac:dyDescent="0.25">
      <c r="G327" s="459">
        <f t="shared" si="36"/>
        <v>27</v>
      </c>
      <c r="H327" s="459">
        <v>320</v>
      </c>
      <c r="I327" s="444">
        <f t="shared" ca="1" si="29"/>
        <v>217674.28771361816</v>
      </c>
      <c r="J327" s="444">
        <f t="array" ref="J327">IFERROR(INDEX('Retirement Calculator'!J:J,MATCH('Isaac 401k'!N327,'Retirement Calculator'!A:A,0),0),0)</f>
        <v>8395.6297298201844</v>
      </c>
      <c r="K327" s="444">
        <f t="shared" ca="1" si="27"/>
        <v>871.99440826582486</v>
      </c>
      <c r="L327" s="444">
        <f t="shared" ca="1" si="28"/>
        <v>210150.65239206381</v>
      </c>
      <c r="M327" s="460">
        <f t="shared" si="30"/>
        <v>0.05</v>
      </c>
      <c r="N327" s="464">
        <f t="shared" si="31"/>
        <v>60998</v>
      </c>
    </row>
    <row r="328" spans="7:14" ht="11.25" customHeight="1" x14ac:dyDescent="0.25">
      <c r="G328" s="459">
        <f t="shared" si="36"/>
        <v>27</v>
      </c>
      <c r="H328" s="459">
        <v>321</v>
      </c>
      <c r="I328" s="444">
        <f t="shared" ca="1" si="29"/>
        <v>210150.65239206381</v>
      </c>
      <c r="J328" s="444">
        <f t="array" ref="J328">IFERROR(INDEX('Retirement Calculator'!J:J,MATCH('Isaac 401k'!N328,'Retirement Calculator'!A:A,0),0),0)</f>
        <v>8395.6297298201844</v>
      </c>
      <c r="K328" s="444">
        <f t="shared" ca="1" si="27"/>
        <v>840.64592775934841</v>
      </c>
      <c r="L328" s="444">
        <f t="shared" ca="1" si="28"/>
        <v>202595.66859000298</v>
      </c>
      <c r="M328" s="460">
        <f t="shared" si="30"/>
        <v>0.05</v>
      </c>
      <c r="N328" s="464">
        <f t="shared" si="31"/>
        <v>61029</v>
      </c>
    </row>
    <row r="329" spans="7:14" ht="11.25" customHeight="1" x14ac:dyDescent="0.25">
      <c r="G329" s="459">
        <f t="shared" si="36"/>
        <v>27</v>
      </c>
      <c r="H329" s="459">
        <v>322</v>
      </c>
      <c r="I329" s="444">
        <f t="shared" ca="1" si="29"/>
        <v>202595.66859000298</v>
      </c>
      <c r="J329" s="444">
        <f t="array" ref="J329">IFERROR(INDEX('Retirement Calculator'!J:J,MATCH('Isaac 401k'!N329,'Retirement Calculator'!A:A,0),0),0)</f>
        <v>8395.6297298201844</v>
      </c>
      <c r="K329" s="444">
        <f t="shared" ca="1" si="27"/>
        <v>809.16682858409501</v>
      </c>
      <c r="L329" s="444">
        <f t="shared" ca="1" si="28"/>
        <v>195009.2056887669</v>
      </c>
      <c r="M329" s="460">
        <f t="shared" si="30"/>
        <v>0.05</v>
      </c>
      <c r="N329" s="464">
        <f t="shared" si="31"/>
        <v>61057</v>
      </c>
    </row>
    <row r="330" spans="7:14" ht="11.25" customHeight="1" x14ac:dyDescent="0.25">
      <c r="G330" s="459">
        <f t="shared" si="36"/>
        <v>27</v>
      </c>
      <c r="H330" s="459">
        <v>323</v>
      </c>
      <c r="I330" s="444">
        <f t="shared" ca="1" si="29"/>
        <v>195009.2056887669</v>
      </c>
      <c r="J330" s="444">
        <f t="array" ref="J330">IFERROR(INDEX('Retirement Calculator'!J:J,MATCH('Isaac 401k'!N330,'Retirement Calculator'!A:A,0),0),0)</f>
        <v>8395.6297298201844</v>
      </c>
      <c r="K330" s="444">
        <f t="shared" ca="1" si="27"/>
        <v>777.55656649561138</v>
      </c>
      <c r="L330" s="444">
        <f t="shared" ca="1" si="28"/>
        <v>187391.13252544234</v>
      </c>
      <c r="M330" s="460">
        <f t="shared" si="30"/>
        <v>0.05</v>
      </c>
      <c r="N330" s="464">
        <f t="shared" si="31"/>
        <v>61088</v>
      </c>
    </row>
    <row r="331" spans="7:14" ht="11.25" customHeight="1" x14ac:dyDescent="0.25">
      <c r="G331" s="459">
        <f t="shared" si="36"/>
        <v>27</v>
      </c>
      <c r="H331" s="459">
        <v>324</v>
      </c>
      <c r="I331" s="444">
        <f t="shared" ca="1" si="29"/>
        <v>187391.13252544234</v>
      </c>
      <c r="J331" s="444">
        <f t="array" ref="J331">IFERROR(INDEX('Retirement Calculator'!J:J,MATCH('Isaac 401k'!N331,'Retirement Calculator'!A:A,0),0),0)</f>
        <v>8395.6297298201844</v>
      </c>
      <c r="K331" s="444">
        <f t="shared" ca="1" si="27"/>
        <v>745.814594981759</v>
      </c>
      <c r="L331" s="444">
        <f t="shared" ca="1" si="28"/>
        <v>179741.31739060392</v>
      </c>
      <c r="M331" s="460">
        <f t="shared" si="30"/>
        <v>0.05</v>
      </c>
      <c r="N331" s="464">
        <f t="shared" si="31"/>
        <v>61118</v>
      </c>
    </row>
    <row r="332" spans="7:14" ht="11.25" customHeight="1" x14ac:dyDescent="0.25">
      <c r="G332" s="459">
        <f>G331+1</f>
        <v>28</v>
      </c>
      <c r="H332" s="459">
        <v>325</v>
      </c>
      <c r="I332" s="444">
        <f t="shared" ca="1" si="29"/>
        <v>179741.31739060392</v>
      </c>
      <c r="J332" s="444">
        <f t="array" ref="J332">IFERROR(INDEX('Retirement Calculator'!J:J,MATCH('Isaac 401k'!N332,'Retirement Calculator'!A:A,0),0),0)</f>
        <v>8395.6297298201844</v>
      </c>
      <c r="K332" s="444">
        <f t="shared" ca="1" si="27"/>
        <v>713.94036525326555</v>
      </c>
      <c r="L332" s="444">
        <f t="shared" ca="1" si="28"/>
        <v>172059.62802603701</v>
      </c>
      <c r="M332" s="460">
        <f t="shared" si="30"/>
        <v>0.05</v>
      </c>
      <c r="N332" s="464">
        <f t="shared" si="31"/>
        <v>61149</v>
      </c>
    </row>
    <row r="333" spans="7:14" ht="11.25" customHeight="1" x14ac:dyDescent="0.25">
      <c r="G333" s="459">
        <f t="shared" ref="G333:G343" si="37">G332</f>
        <v>28</v>
      </c>
      <c r="H333" s="459">
        <v>326</v>
      </c>
      <c r="I333" s="444">
        <f t="shared" ca="1" si="29"/>
        <v>172059.62802603701</v>
      </c>
      <c r="J333" s="444">
        <f t="array" ref="J333">IFERROR(INDEX('Retirement Calculator'!J:J,MATCH('Isaac 401k'!N333,'Retirement Calculator'!A:A,0),0),0)</f>
        <v>8395.6297298201844</v>
      </c>
      <c r="K333" s="444">
        <f t="shared" ca="1" si="27"/>
        <v>681.9333262342368</v>
      </c>
      <c r="L333" s="444">
        <f t="shared" ca="1" si="28"/>
        <v>164345.93162245105</v>
      </c>
      <c r="M333" s="460">
        <f t="shared" si="30"/>
        <v>0.05</v>
      </c>
      <c r="N333" s="464">
        <f t="shared" si="31"/>
        <v>61179</v>
      </c>
    </row>
    <row r="334" spans="7:14" ht="11.25" customHeight="1" x14ac:dyDescent="0.25">
      <c r="G334" s="459">
        <f t="shared" si="37"/>
        <v>28</v>
      </c>
      <c r="H334" s="459">
        <v>327</v>
      </c>
      <c r="I334" s="444">
        <f t="shared" ca="1" si="29"/>
        <v>164345.93162245105</v>
      </c>
      <c r="J334" s="444">
        <f t="array" ref="J334">IFERROR(INDEX('Retirement Calculator'!J:J,MATCH('Isaac 401k'!N334,'Retirement Calculator'!A:A,0),0),0)</f>
        <v>8395.6297298201844</v>
      </c>
      <c r="K334" s="444">
        <f t="shared" ca="1" si="27"/>
        <v>649.79292455262862</v>
      </c>
      <c r="L334" s="444">
        <f t="shared" ca="1" si="28"/>
        <v>156600.0948171835</v>
      </c>
      <c r="M334" s="460">
        <f t="shared" si="30"/>
        <v>0.05</v>
      </c>
      <c r="N334" s="464">
        <f t="shared" si="31"/>
        <v>61210</v>
      </c>
    </row>
    <row r="335" spans="7:14" ht="11.25" customHeight="1" x14ac:dyDescent="0.25">
      <c r="G335" s="459">
        <f t="shared" si="37"/>
        <v>28</v>
      </c>
      <c r="H335" s="459">
        <v>328</v>
      </c>
      <c r="I335" s="444">
        <f t="shared" ca="1" si="29"/>
        <v>156600.0948171835</v>
      </c>
      <c r="J335" s="444">
        <f t="array" ref="J335">IFERROR(INDEX('Retirement Calculator'!J:J,MATCH('Isaac 401k'!N335,'Retirement Calculator'!A:A,0),0),0)</f>
        <v>8395.6297298201844</v>
      </c>
      <c r="K335" s="444">
        <f t="shared" ca="1" si="27"/>
        <v>617.51860453068048</v>
      </c>
      <c r="L335" s="444">
        <f t="shared" ca="1" si="28"/>
        <v>148821.98369189401</v>
      </c>
      <c r="M335" s="460">
        <f t="shared" si="30"/>
        <v>0.05</v>
      </c>
      <c r="N335" s="464">
        <f t="shared" si="31"/>
        <v>61241</v>
      </c>
    </row>
    <row r="336" spans="7:14" ht="11.25" customHeight="1" x14ac:dyDescent="0.25">
      <c r="G336" s="459">
        <f t="shared" si="37"/>
        <v>28</v>
      </c>
      <c r="H336" s="459">
        <v>329</v>
      </c>
      <c r="I336" s="444">
        <f t="shared" ca="1" si="29"/>
        <v>148821.98369189401</v>
      </c>
      <c r="J336" s="444">
        <f t="array" ref="J336">IFERROR(INDEX('Retirement Calculator'!J:J,MATCH('Isaac 401k'!N336,'Retirement Calculator'!A:A,0),0),0)</f>
        <v>8395.6297298201844</v>
      </c>
      <c r="K336" s="444">
        <f t="shared" ca="1" si="27"/>
        <v>585.10980817530765</v>
      </c>
      <c r="L336" s="444">
        <f t="shared" ca="1" si="28"/>
        <v>141011.46377024913</v>
      </c>
      <c r="M336" s="460">
        <f t="shared" si="30"/>
        <v>0.05</v>
      </c>
      <c r="N336" s="464">
        <f t="shared" si="31"/>
        <v>61271</v>
      </c>
    </row>
    <row r="337" spans="7:14" ht="11.25" customHeight="1" x14ac:dyDescent="0.25">
      <c r="G337" s="459">
        <f t="shared" si="37"/>
        <v>28</v>
      </c>
      <c r="H337" s="459">
        <v>330</v>
      </c>
      <c r="I337" s="444">
        <f t="shared" ca="1" si="29"/>
        <v>141011.46377024913</v>
      </c>
      <c r="J337" s="444">
        <f t="array" ref="J337">IFERROR(INDEX('Retirement Calculator'!J:J,MATCH('Isaac 401k'!N337,'Retirement Calculator'!A:A,0),0),0)</f>
        <v>8395.6297298201844</v>
      </c>
      <c r="K337" s="444">
        <f t="shared" ca="1" si="27"/>
        <v>552.56597516845397</v>
      </c>
      <c r="L337" s="444">
        <f t="shared" ca="1" si="28"/>
        <v>133168.40001559741</v>
      </c>
      <c r="M337" s="460">
        <f t="shared" si="30"/>
        <v>0.05</v>
      </c>
      <c r="N337" s="464">
        <f t="shared" si="31"/>
        <v>61302</v>
      </c>
    </row>
    <row r="338" spans="7:14" ht="11.25" customHeight="1" x14ac:dyDescent="0.25">
      <c r="G338" s="459">
        <f t="shared" si="37"/>
        <v>28</v>
      </c>
      <c r="H338" s="459">
        <v>331</v>
      </c>
      <c r="I338" s="444">
        <f t="shared" ca="1" si="29"/>
        <v>133168.40001559741</v>
      </c>
      <c r="J338" s="444">
        <f t="array" ref="J338">IFERROR(INDEX('Retirement Calculator'!J:J,MATCH('Isaac 401k'!N338,'Retirement Calculator'!A:A,0),0),0)</f>
        <v>8395.6297298201844</v>
      </c>
      <c r="K338" s="444">
        <f t="shared" ca="1" si="27"/>
        <v>519.88654285740506</v>
      </c>
      <c r="L338" s="444">
        <f t="shared" ca="1" si="28"/>
        <v>125292.65682863463</v>
      </c>
      <c r="M338" s="460">
        <f t="shared" si="30"/>
        <v>0.05</v>
      </c>
      <c r="N338" s="464">
        <f t="shared" si="31"/>
        <v>61332</v>
      </c>
    </row>
    <row r="339" spans="7:14" ht="11.25" customHeight="1" x14ac:dyDescent="0.25">
      <c r="G339" s="459">
        <f t="shared" si="37"/>
        <v>28</v>
      </c>
      <c r="H339" s="459">
        <v>332</v>
      </c>
      <c r="I339" s="444">
        <f t="shared" ca="1" si="29"/>
        <v>125292.65682863463</v>
      </c>
      <c r="J339" s="444">
        <f t="array" ref="J339">IFERROR(INDEX('Retirement Calculator'!J:J,MATCH('Isaac 401k'!N339,'Retirement Calculator'!A:A,0),0),0)</f>
        <v>8395.6297298201844</v>
      </c>
      <c r="K339" s="444">
        <f t="shared" ca="1" si="27"/>
        <v>487.07094624506021</v>
      </c>
      <c r="L339" s="444">
        <f t="shared" ca="1" si="28"/>
        <v>117384.09804505951</v>
      </c>
      <c r="M339" s="460">
        <f t="shared" si="30"/>
        <v>0.05</v>
      </c>
      <c r="N339" s="464">
        <f t="shared" si="31"/>
        <v>61363</v>
      </c>
    </row>
    <row r="340" spans="7:14" ht="11.25" customHeight="1" x14ac:dyDescent="0.25">
      <c r="G340" s="459">
        <f t="shared" si="37"/>
        <v>28</v>
      </c>
      <c r="H340" s="459">
        <v>333</v>
      </c>
      <c r="I340" s="444">
        <f t="shared" ca="1" si="29"/>
        <v>117384.09804505951</v>
      </c>
      <c r="J340" s="444">
        <f t="array" ref="J340">IFERROR(INDEX('Retirement Calculator'!J:J,MATCH('Isaac 401k'!N340,'Retirement Calculator'!A:A,0),0),0)</f>
        <v>8395.6297298201844</v>
      </c>
      <c r="K340" s="444">
        <f t="shared" ca="1" si="27"/>
        <v>454.11861798016383</v>
      </c>
      <c r="L340" s="444">
        <f t="shared" ca="1" si="28"/>
        <v>109442.58693321949</v>
      </c>
      <c r="M340" s="460">
        <f t="shared" si="30"/>
        <v>0.05</v>
      </c>
      <c r="N340" s="464">
        <f t="shared" si="31"/>
        <v>61394</v>
      </c>
    </row>
    <row r="341" spans="7:14" ht="11.25" customHeight="1" x14ac:dyDescent="0.25">
      <c r="G341" s="459">
        <f t="shared" si="37"/>
        <v>28</v>
      </c>
      <c r="H341" s="459">
        <v>334</v>
      </c>
      <c r="I341" s="444">
        <f t="shared" ca="1" si="29"/>
        <v>109442.58693321949</v>
      </c>
      <c r="J341" s="444">
        <f t="array" ref="J341">IFERROR(INDEX('Retirement Calculator'!J:J,MATCH('Isaac 401k'!N341,'Retirement Calculator'!A:A,0),0),0)</f>
        <v>8395.6297298201844</v>
      </c>
      <c r="K341" s="444">
        <f t="shared" ca="1" si="27"/>
        <v>421.02898834749709</v>
      </c>
      <c r="L341" s="444">
        <f t="shared" ca="1" si="28"/>
        <v>101467.98619174679</v>
      </c>
      <c r="M341" s="460">
        <f t="shared" si="30"/>
        <v>0.05</v>
      </c>
      <c r="N341" s="464">
        <f t="shared" si="31"/>
        <v>61423</v>
      </c>
    </row>
    <row r="342" spans="7:14" ht="11.25" customHeight="1" x14ac:dyDescent="0.25">
      <c r="G342" s="459">
        <f t="shared" si="37"/>
        <v>28</v>
      </c>
      <c r="H342" s="459">
        <v>335</v>
      </c>
      <c r="I342" s="444">
        <f t="shared" ca="1" si="29"/>
        <v>101467.98619174679</v>
      </c>
      <c r="J342" s="444">
        <f t="array" ref="J342">IFERROR(INDEX('Retirement Calculator'!J:J,MATCH('Isaac 401k'!N342,'Retirement Calculator'!A:A,0),0),0)</f>
        <v>8395.6297298201844</v>
      </c>
      <c r="K342" s="444">
        <f t="shared" ca="1" si="27"/>
        <v>387.80148525802753</v>
      </c>
      <c r="L342" s="444">
        <f t="shared" ca="1" si="28"/>
        <v>93460.157947184634</v>
      </c>
      <c r="M342" s="460">
        <f t="shared" si="30"/>
        <v>0.05</v>
      </c>
      <c r="N342" s="464">
        <f t="shared" si="31"/>
        <v>61454</v>
      </c>
    </row>
    <row r="343" spans="7:14" ht="11.25" customHeight="1" x14ac:dyDescent="0.25">
      <c r="G343" s="459">
        <f t="shared" si="37"/>
        <v>28</v>
      </c>
      <c r="H343" s="459">
        <v>336</v>
      </c>
      <c r="I343" s="444">
        <f t="shared" ca="1" si="29"/>
        <v>93460.157947184634</v>
      </c>
      <c r="J343" s="444">
        <f t="array" ref="J343">IFERROR(INDEX('Retirement Calculator'!J:J,MATCH('Isaac 401k'!N343,'Retirement Calculator'!A:A,0),0),0)</f>
        <v>8395.6297298201844</v>
      </c>
      <c r="K343" s="444">
        <f t="shared" ca="1" si="27"/>
        <v>354.43553423901852</v>
      </c>
      <c r="L343" s="444">
        <f t="shared" ca="1" si="28"/>
        <v>85418.963751603471</v>
      </c>
      <c r="M343" s="460">
        <f t="shared" si="30"/>
        <v>0.05</v>
      </c>
      <c r="N343" s="464">
        <f t="shared" si="31"/>
        <v>61484</v>
      </c>
    </row>
    <row r="344" spans="7:14" ht="11.25" customHeight="1" x14ac:dyDescent="0.25">
      <c r="G344" s="459">
        <f>G343+1</f>
        <v>29</v>
      </c>
      <c r="H344" s="459">
        <v>337</v>
      </c>
      <c r="I344" s="444">
        <f t="shared" ca="1" si="29"/>
        <v>85418.963751603471</v>
      </c>
      <c r="J344" s="444">
        <f t="array" ref="J344">IFERROR(INDEX('Retirement Calculator'!J:J,MATCH('Isaac 401k'!N344,'Retirement Calculator'!A:A,0),0),0)</f>
        <v>8395.6297298201844</v>
      </c>
      <c r="K344" s="444">
        <f t="shared" ca="1" si="27"/>
        <v>320.93055842409706</v>
      </c>
      <c r="L344" s="444">
        <f t="shared" ca="1" si="28"/>
        <v>77344.264580207382</v>
      </c>
      <c r="M344" s="460">
        <f t="shared" si="30"/>
        <v>0.05</v>
      </c>
      <c r="N344" s="464">
        <f t="shared" si="31"/>
        <v>61515</v>
      </c>
    </row>
    <row r="345" spans="7:14" ht="11.25" customHeight="1" x14ac:dyDescent="0.25">
      <c r="G345" s="459">
        <f t="shared" ref="G345:G355" si="38">G344</f>
        <v>29</v>
      </c>
      <c r="H345" s="459">
        <v>338</v>
      </c>
      <c r="I345" s="444">
        <f t="shared" ca="1" si="29"/>
        <v>77344.264580207382</v>
      </c>
      <c r="J345" s="444">
        <f t="array" ref="J345">IFERROR(INDEX('Retirement Calculator'!J:J,MATCH('Isaac 401k'!N345,'Retirement Calculator'!A:A,0),0),0)</f>
        <v>8395.6297298201844</v>
      </c>
      <c r="K345" s="444">
        <f t="shared" ca="1" si="27"/>
        <v>287.28597854328001</v>
      </c>
      <c r="L345" s="444">
        <f t="shared" ca="1" si="28"/>
        <v>69235.920828930481</v>
      </c>
      <c r="M345" s="460">
        <f t="shared" si="30"/>
        <v>0.05</v>
      </c>
      <c r="N345" s="464">
        <f t="shared" si="31"/>
        <v>61545</v>
      </c>
    </row>
    <row r="346" spans="7:14" ht="11.25" customHeight="1" x14ac:dyDescent="0.25">
      <c r="G346" s="459">
        <f t="shared" si="38"/>
        <v>29</v>
      </c>
      <c r="H346" s="459">
        <v>339</v>
      </c>
      <c r="I346" s="444">
        <f t="shared" ca="1" si="29"/>
        <v>69235.920828930481</v>
      </c>
      <c r="J346" s="444">
        <f t="array" ref="J346">IFERROR(INDEX('Retirement Calculator'!J:J,MATCH('Isaac 401k'!N346,'Retirement Calculator'!A:A,0),0),0)</f>
        <v>8395.6297298201844</v>
      </c>
      <c r="K346" s="444">
        <f t="shared" ca="1" si="27"/>
        <v>253.50121291295957</v>
      </c>
      <c r="L346" s="444">
        <f t="shared" ca="1" si="28"/>
        <v>61093.792312023259</v>
      </c>
      <c r="M346" s="460">
        <f t="shared" si="30"/>
        <v>0.05</v>
      </c>
      <c r="N346" s="464">
        <f t="shared" si="31"/>
        <v>61576</v>
      </c>
    </row>
    <row r="347" spans="7:14" ht="11.25" customHeight="1" x14ac:dyDescent="0.25">
      <c r="G347" s="459">
        <f t="shared" si="38"/>
        <v>29</v>
      </c>
      <c r="H347" s="459">
        <v>340</v>
      </c>
      <c r="I347" s="444">
        <f t="shared" ca="1" si="29"/>
        <v>61093.792312023259</v>
      </c>
      <c r="J347" s="444">
        <f t="array" ref="J347">IFERROR(INDEX('Retirement Calculator'!J:J,MATCH('Isaac 401k'!N347,'Retirement Calculator'!A:A,0),0),0)</f>
        <v>8395.6297298201844</v>
      </c>
      <c r="K347" s="444">
        <f t="shared" ca="1" si="27"/>
        <v>219.57567742584615</v>
      </c>
      <c r="L347" s="444">
        <f t="shared" ca="1" si="28"/>
        <v>52917.738259628924</v>
      </c>
      <c r="M347" s="460">
        <f t="shared" si="30"/>
        <v>0.05</v>
      </c>
      <c r="N347" s="464">
        <f t="shared" si="31"/>
        <v>61607</v>
      </c>
    </row>
    <row r="348" spans="7:14" ht="11.25" customHeight="1" x14ac:dyDescent="0.25">
      <c r="G348" s="459">
        <f t="shared" si="38"/>
        <v>29</v>
      </c>
      <c r="H348" s="459">
        <v>341</v>
      </c>
      <c r="I348" s="444">
        <f t="shared" ca="1" si="29"/>
        <v>52917.738259628924</v>
      </c>
      <c r="J348" s="444">
        <f t="array" ref="J348">IFERROR(INDEX('Retirement Calculator'!J:J,MATCH('Isaac 401k'!N348,'Retirement Calculator'!A:A,0),0),0)</f>
        <v>8395.6297298201844</v>
      </c>
      <c r="K348" s="444">
        <f t="shared" ca="1" si="27"/>
        <v>185.50878554086975</v>
      </c>
      <c r="L348" s="444">
        <f t="shared" ca="1" si="28"/>
        <v>44707.617315349613</v>
      </c>
      <c r="M348" s="460">
        <f t="shared" si="30"/>
        <v>0.05</v>
      </c>
      <c r="N348" s="464">
        <f t="shared" si="31"/>
        <v>61637</v>
      </c>
    </row>
    <row r="349" spans="7:14" ht="11.25" customHeight="1" x14ac:dyDescent="0.25">
      <c r="G349" s="459">
        <f t="shared" si="38"/>
        <v>29</v>
      </c>
      <c r="H349" s="459">
        <v>342</v>
      </c>
      <c r="I349" s="444">
        <f t="shared" ca="1" si="29"/>
        <v>44707.617315349613</v>
      </c>
      <c r="J349" s="444">
        <f t="array" ref="J349">IFERROR(INDEX('Retirement Calculator'!J:J,MATCH('Isaac 401k'!N349,'Retirement Calculator'!A:A,0),0),0)</f>
        <v>8395.6297298201844</v>
      </c>
      <c r="K349" s="444">
        <f t="shared" ca="1" si="27"/>
        <v>151.29994827303929</v>
      </c>
      <c r="L349" s="444">
        <f t="shared" ca="1" si="28"/>
        <v>36463.287533802468</v>
      </c>
      <c r="M349" s="460">
        <f t="shared" si="30"/>
        <v>0.05</v>
      </c>
      <c r="N349" s="464">
        <f t="shared" si="31"/>
        <v>61668</v>
      </c>
    </row>
    <row r="350" spans="7:14" ht="11.25" customHeight="1" x14ac:dyDescent="0.25">
      <c r="G350" s="459">
        <f t="shared" si="38"/>
        <v>29</v>
      </c>
      <c r="H350" s="459">
        <v>343</v>
      </c>
      <c r="I350" s="444">
        <f t="shared" ca="1" si="29"/>
        <v>36463.287533802468</v>
      </c>
      <c r="J350" s="444">
        <f t="array" ref="J350">IFERROR(INDEX('Retirement Calculator'!J:J,MATCH('Isaac 401k'!N350,'Retirement Calculator'!A:A,0),0),0)</f>
        <v>8395.6297298201844</v>
      </c>
      <c r="K350" s="444">
        <f t="shared" ca="1" si="27"/>
        <v>116.94857418325954</v>
      </c>
      <c r="L350" s="444">
        <f t="shared" ca="1" si="28"/>
        <v>28184.606378165543</v>
      </c>
      <c r="M350" s="460">
        <f t="shared" si="30"/>
        <v>0.05</v>
      </c>
      <c r="N350" s="464">
        <f t="shared" si="31"/>
        <v>61698</v>
      </c>
    </row>
    <row r="351" spans="7:14" ht="11.25" customHeight="1" x14ac:dyDescent="0.25">
      <c r="G351" s="459">
        <f t="shared" si="38"/>
        <v>29</v>
      </c>
      <c r="H351" s="459">
        <v>344</v>
      </c>
      <c r="I351" s="444">
        <f t="shared" ca="1" si="29"/>
        <v>28184.606378165543</v>
      </c>
      <c r="J351" s="444">
        <f t="array" ref="J351">IFERROR(INDEX('Retirement Calculator'!J:J,MATCH('Isaac 401k'!N351,'Retirement Calculator'!A:A,0),0),0)</f>
        <v>8395.6297298201844</v>
      </c>
      <c r="K351" s="444">
        <f t="shared" ca="1" si="27"/>
        <v>82.45406936810565</v>
      </c>
      <c r="L351" s="444">
        <f t="shared" ca="1" si="28"/>
        <v>19871.430717713461</v>
      </c>
      <c r="M351" s="460">
        <f t="shared" si="30"/>
        <v>0.05</v>
      </c>
      <c r="N351" s="464">
        <f t="shared" si="31"/>
        <v>61729</v>
      </c>
    </row>
    <row r="352" spans="7:14" ht="11.25" customHeight="1" x14ac:dyDescent="0.25">
      <c r="G352" s="459">
        <f t="shared" si="38"/>
        <v>29</v>
      </c>
      <c r="H352" s="459">
        <v>345</v>
      </c>
      <c r="I352" s="444">
        <f t="shared" ca="1" si="29"/>
        <v>19871.430717713461</v>
      </c>
      <c r="J352" s="444">
        <f t="array" ref="J352">IFERROR(INDEX('Retirement Calculator'!J:J,MATCH('Isaac 401k'!N352,'Retirement Calculator'!A:A,0),0),0)</f>
        <v>8395.6297298201844</v>
      </c>
      <c r="K352" s="444">
        <f t="shared" ca="1" si="27"/>
        <v>47.815837449555318</v>
      </c>
      <c r="L352" s="444">
        <f t="shared" ca="1" si="28"/>
        <v>11523.616825342833</v>
      </c>
      <c r="M352" s="460">
        <f t="shared" si="30"/>
        <v>0.05</v>
      </c>
      <c r="N352" s="464">
        <f t="shared" si="31"/>
        <v>61760</v>
      </c>
    </row>
    <row r="353" spans="7:14" ht="11.25" customHeight="1" x14ac:dyDescent="0.25">
      <c r="G353" s="459">
        <f t="shared" si="38"/>
        <v>29</v>
      </c>
      <c r="H353" s="459">
        <v>346</v>
      </c>
      <c r="I353" s="444">
        <f t="shared" ca="1" si="29"/>
        <v>11523.616825342833</v>
      </c>
      <c r="J353" s="444">
        <f t="array" ref="J353">IFERROR(INDEX('Retirement Calculator'!J:J,MATCH('Isaac 401k'!N353,'Retirement Calculator'!A:A,0),0),0)</f>
        <v>8395.6297298201844</v>
      </c>
      <c r="K353" s="444">
        <f t="shared" ca="1" si="27"/>
        <v>13.033279564677704</v>
      </c>
      <c r="L353" s="444">
        <f t="shared" ca="1" si="28"/>
        <v>3141.0203750873266</v>
      </c>
      <c r="M353" s="460">
        <f t="shared" si="30"/>
        <v>0.05</v>
      </c>
      <c r="N353" s="464">
        <f t="shared" si="31"/>
        <v>61788</v>
      </c>
    </row>
    <row r="354" spans="7:14" ht="11.25" customHeight="1" x14ac:dyDescent="0.25">
      <c r="G354" s="459">
        <f t="shared" si="38"/>
        <v>29</v>
      </c>
      <c r="H354" s="459">
        <v>347</v>
      </c>
      <c r="I354" s="444">
        <f t="shared" ca="1" si="29"/>
        <v>3141.0203750873266</v>
      </c>
      <c r="J354" s="444">
        <f t="array" ref="J354">IFERROR(INDEX('Retirement Calculator'!J:J,MATCH('Isaac 401k'!N354,'Retirement Calculator'!A:A,0),0),0)</f>
        <v>8395.6297298201844</v>
      </c>
      <c r="K354" s="444">
        <f t="shared" ca="1" si="27"/>
        <v>-21.894205644720241</v>
      </c>
      <c r="L354" s="444">
        <f t="shared" ca="1" si="28"/>
        <v>-5276.5035603775787</v>
      </c>
      <c r="M354" s="460">
        <f t="shared" si="30"/>
        <v>0.05</v>
      </c>
      <c r="N354" s="464">
        <f t="shared" si="31"/>
        <v>61819</v>
      </c>
    </row>
    <row r="355" spans="7:14" ht="11.25" customHeight="1" x14ac:dyDescent="0.25">
      <c r="G355" s="459">
        <f t="shared" si="38"/>
        <v>29</v>
      </c>
      <c r="H355" s="459">
        <v>348</v>
      </c>
      <c r="I355" s="444">
        <f t="shared" ca="1" si="29"/>
        <v>-5276.5035603775787</v>
      </c>
      <c r="J355" s="444">
        <f t="array" ref="J355">IFERROR(INDEX('Retirement Calculator'!J:J,MATCH('Isaac 401k'!N355,'Retirement Calculator'!A:A,0),0),0)</f>
        <v>8395.6297298201844</v>
      </c>
      <c r="K355" s="444">
        <f t="shared" ca="1" si="27"/>
        <v>-56.967222042490668</v>
      </c>
      <c r="L355" s="444">
        <f t="shared" ca="1" si="28"/>
        <v>-13729.100512240253</v>
      </c>
      <c r="M355" s="460">
        <f t="shared" si="30"/>
        <v>0.05</v>
      </c>
      <c r="N355" s="464">
        <f t="shared" si="31"/>
        <v>61849</v>
      </c>
    </row>
    <row r="356" spans="7:14" ht="11.25" customHeight="1" x14ac:dyDescent="0.25">
      <c r="G356" s="459">
        <f>G355+1</f>
        <v>30</v>
      </c>
      <c r="H356" s="459">
        <v>349</v>
      </c>
      <c r="I356" s="444">
        <f t="shared" ca="1" si="29"/>
        <v>-13729.100512240253</v>
      </c>
      <c r="J356" s="444">
        <f t="array" ref="J356">IFERROR(INDEX('Retirement Calculator'!J:J,MATCH('Isaac 401k'!N356,'Retirement Calculator'!A:A,0),0),0)</f>
        <v>8395.6297298201844</v>
      </c>
      <c r="K356" s="444">
        <f t="shared" ca="1" si="27"/>
        <v>-92.186376008585157</v>
      </c>
      <c r="L356" s="444">
        <f t="shared" ca="1" si="28"/>
        <v>-22216.916618069023</v>
      </c>
      <c r="M356" s="460">
        <f t="shared" si="30"/>
        <v>0.05</v>
      </c>
      <c r="N356" s="464">
        <f t="shared" si="31"/>
        <v>61880</v>
      </c>
    </row>
    <row r="357" spans="7:14" ht="11.25" customHeight="1" x14ac:dyDescent="0.25">
      <c r="G357" s="459">
        <f t="shared" ref="G357:G367" si="39">G356</f>
        <v>30</v>
      </c>
      <c r="H357" s="459">
        <v>350</v>
      </c>
      <c r="I357" s="444">
        <f t="shared" ca="1" si="29"/>
        <v>-22216.916618069023</v>
      </c>
      <c r="J357" s="444">
        <f t="array" ref="J357">IFERROR(INDEX('Retirement Calculator'!J:J,MATCH('Isaac 401k'!N357,'Retirement Calculator'!A:A,0),0),0)</f>
        <v>8395.6297298201844</v>
      </c>
      <c r="K357" s="444">
        <f t="shared" ca="1" si="27"/>
        <v>-127.55227644953834</v>
      </c>
      <c r="L357" s="444">
        <f t="shared" ca="1" si="28"/>
        <v>-30740.098624338745</v>
      </c>
      <c r="M357" s="460">
        <f t="shared" si="30"/>
        <v>0.05</v>
      </c>
      <c r="N357" s="464">
        <f t="shared" si="31"/>
        <v>61910</v>
      </c>
    </row>
    <row r="358" spans="7:14" ht="11.25" customHeight="1" x14ac:dyDescent="0.25">
      <c r="G358" s="459">
        <f t="shared" si="39"/>
        <v>30</v>
      </c>
      <c r="H358" s="459">
        <v>351</v>
      </c>
      <c r="I358" s="444">
        <f t="shared" ca="1" si="29"/>
        <v>-30740.098624338745</v>
      </c>
      <c r="J358" s="444">
        <f t="array" ref="J358">IFERROR(INDEX('Retirement Calculator'!J:J,MATCH('Isaac 401k'!N358,'Retirement Calculator'!A:A,0),0),0)</f>
        <v>8395.6297298201844</v>
      </c>
      <c r="K358" s="444">
        <f t="shared" ca="1" si="27"/>
        <v>-163.06553480899552</v>
      </c>
      <c r="L358" s="444">
        <f t="shared" ca="1" si="28"/>
        <v>-39298.793888967921</v>
      </c>
      <c r="M358" s="460">
        <f t="shared" si="30"/>
        <v>0.05</v>
      </c>
      <c r="N358" s="464">
        <f t="shared" si="31"/>
        <v>61941</v>
      </c>
    </row>
    <row r="359" spans="7:14" ht="11.25" customHeight="1" x14ac:dyDescent="0.25">
      <c r="G359" s="459">
        <f t="shared" si="39"/>
        <v>30</v>
      </c>
      <c r="H359" s="459">
        <v>352</v>
      </c>
      <c r="I359" s="444">
        <f t="shared" ca="1" si="29"/>
        <v>-39298.793888967921</v>
      </c>
      <c r="J359" s="444">
        <f t="array" ref="J359">IFERROR(INDEX('Retirement Calculator'!J:J,MATCH('Isaac 401k'!N359,'Retirement Calculator'!A:A,0),0),0)</f>
        <v>8395.6297298201844</v>
      </c>
      <c r="K359" s="444">
        <f t="shared" ca="1" si="27"/>
        <v>-198.72676507828376</v>
      </c>
      <c r="L359" s="444">
        <f t="shared" ca="1" si="28"/>
        <v>-47893.150383866385</v>
      </c>
      <c r="M359" s="460">
        <f t="shared" si="30"/>
        <v>0.05</v>
      </c>
      <c r="N359" s="464">
        <f t="shared" si="31"/>
        <v>61972</v>
      </c>
    </row>
    <row r="360" spans="7:14" ht="11.25" customHeight="1" x14ac:dyDescent="0.25">
      <c r="G360" s="459">
        <f t="shared" si="39"/>
        <v>30</v>
      </c>
      <c r="H360" s="459">
        <v>353</v>
      </c>
      <c r="I360" s="444">
        <f t="shared" ca="1" si="29"/>
        <v>-47893.150383866385</v>
      </c>
      <c r="J360" s="444">
        <f t="array" ref="J360">IFERROR(INDEX('Retirement Calculator'!J:J,MATCH('Isaac 401k'!N360,'Retirement Calculator'!A:A,0),0),0)</f>
        <v>8395.6297298201844</v>
      </c>
      <c r="K360" s="444">
        <f t="shared" ca="1" si="27"/>
        <v>-234.53658380702734</v>
      </c>
      <c r="L360" s="444">
        <f t="shared" ca="1" si="28"/>
        <v>-56523.316697493596</v>
      </c>
      <c r="M360" s="460">
        <f t="shared" si="30"/>
        <v>0.05</v>
      </c>
      <c r="N360" s="464">
        <f t="shared" si="31"/>
        <v>62002</v>
      </c>
    </row>
    <row r="361" spans="7:14" ht="11.25" customHeight="1" x14ac:dyDescent="0.25">
      <c r="G361" s="459">
        <f t="shared" si="39"/>
        <v>30</v>
      </c>
      <c r="H361" s="459">
        <v>354</v>
      </c>
      <c r="I361" s="444">
        <f t="shared" ca="1" si="29"/>
        <v>-56523.316697493596</v>
      </c>
      <c r="J361" s="444">
        <f t="array" ref="J361">IFERROR(INDEX('Retirement Calculator'!J:J,MATCH('Isaac 401k'!N361,'Retirement Calculator'!A:A,0),0),0)</f>
        <v>8395.6297298201844</v>
      </c>
      <c r="K361" s="444">
        <f t="shared" ca="1" si="27"/>
        <v>-270.4956101138074</v>
      </c>
      <c r="L361" s="444">
        <f t="shared" ca="1" si="28"/>
        <v>-65189.442037427587</v>
      </c>
      <c r="M361" s="460">
        <f t="shared" si="30"/>
        <v>0.05</v>
      </c>
      <c r="N361" s="464">
        <f t="shared" si="31"/>
        <v>62033</v>
      </c>
    </row>
    <row r="362" spans="7:14" ht="11.25" customHeight="1" x14ac:dyDescent="0.25">
      <c r="G362" s="459">
        <f t="shared" si="39"/>
        <v>30</v>
      </c>
      <c r="H362" s="459">
        <v>355</v>
      </c>
      <c r="I362" s="444">
        <f t="shared" ca="1" si="29"/>
        <v>-65189.442037427587</v>
      </c>
      <c r="J362" s="444">
        <f t="array" ref="J362">IFERROR(INDEX('Retirement Calculator'!J:J,MATCH('Isaac 401k'!N362,'Retirement Calculator'!A:A,0),0),0)</f>
        <v>8395.6297298201844</v>
      </c>
      <c r="K362" s="444">
        <f t="shared" ca="1" si="27"/>
        <v>-306.60446569686576</v>
      </c>
      <c r="L362" s="444">
        <f t="shared" ca="1" si="28"/>
        <v>-73891.676232944636</v>
      </c>
      <c r="M362" s="460">
        <f t="shared" si="30"/>
        <v>0.05</v>
      </c>
      <c r="N362" s="464">
        <f t="shared" si="31"/>
        <v>62063</v>
      </c>
    </row>
    <row r="363" spans="7:14" ht="11.25" customHeight="1" x14ac:dyDescent="0.25">
      <c r="G363" s="459">
        <f t="shared" si="39"/>
        <v>30</v>
      </c>
      <c r="H363" s="459">
        <v>356</v>
      </c>
      <c r="I363" s="444">
        <f t="shared" ca="1" si="29"/>
        <v>-73891.676232944636</v>
      </c>
      <c r="J363" s="444">
        <f t="array" ref="J363">IFERROR(INDEX('Retirement Calculator'!J:J,MATCH('Isaac 401k'!N363,'Retirement Calculator'!A:A,0),0),0)</f>
        <v>8395.6297298201844</v>
      </c>
      <c r="K363" s="444">
        <f t="shared" ca="1" si="27"/>
        <v>-342.86377484485342</v>
      </c>
      <c r="L363" s="444">
        <f t="shared" ca="1" si="28"/>
        <v>-82630.169737609671</v>
      </c>
      <c r="M363" s="460">
        <f t="shared" si="30"/>
        <v>0.05</v>
      </c>
      <c r="N363" s="464">
        <f t="shared" si="31"/>
        <v>62094</v>
      </c>
    </row>
    <row r="364" spans="7:14" ht="11.25" customHeight="1" x14ac:dyDescent="0.25">
      <c r="G364" s="459">
        <f t="shared" si="39"/>
        <v>30</v>
      </c>
      <c r="H364" s="459">
        <v>357</v>
      </c>
      <c r="I364" s="444">
        <f t="shared" ca="1" si="29"/>
        <v>-82630.169737609671</v>
      </c>
      <c r="J364" s="444">
        <f t="array" ref="J364">IFERROR(INDEX('Retirement Calculator'!J:J,MATCH('Isaac 401k'!N364,'Retirement Calculator'!A:A,0),0),0)</f>
        <v>8395.6297298201844</v>
      </c>
      <c r="K364" s="444">
        <f t="shared" ca="1" si="27"/>
        <v>-379.2741644476244</v>
      </c>
      <c r="L364" s="444">
        <f t="shared" ca="1" si="28"/>
        <v>-91405.073631877473</v>
      </c>
      <c r="M364" s="460">
        <f t="shared" si="30"/>
        <v>0.05</v>
      </c>
      <c r="N364" s="464">
        <f t="shared" si="31"/>
        <v>62125</v>
      </c>
    </row>
    <row r="365" spans="7:14" ht="11.25" customHeight="1" x14ac:dyDescent="0.25">
      <c r="G365" s="459">
        <f t="shared" si="39"/>
        <v>30</v>
      </c>
      <c r="H365" s="459">
        <v>358</v>
      </c>
      <c r="I365" s="444">
        <f t="shared" ca="1" si="29"/>
        <v>-91405.073631877473</v>
      </c>
      <c r="J365" s="444">
        <f t="array" ref="J365">IFERROR(INDEX('Retirement Calculator'!J:J,MATCH('Isaac 401k'!N365,'Retirement Calculator'!A:A,0),0),0)</f>
        <v>8395.6297298201844</v>
      </c>
      <c r="K365" s="444">
        <f t="shared" ca="1" si="27"/>
        <v>-415.83626400707357</v>
      </c>
      <c r="L365" s="444">
        <f t="shared" ca="1" si="28"/>
        <v>-100216.53962570473</v>
      </c>
      <c r="M365" s="460">
        <f t="shared" si="30"/>
        <v>0.05</v>
      </c>
      <c r="N365" s="464">
        <f t="shared" si="31"/>
        <v>62153</v>
      </c>
    </row>
    <row r="366" spans="7:14" ht="11.25" customHeight="1" x14ac:dyDescent="0.25">
      <c r="G366" s="459">
        <f t="shared" si="39"/>
        <v>30</v>
      </c>
      <c r="H366" s="459">
        <v>359</v>
      </c>
      <c r="I366" s="444">
        <f t="shared" ca="1" si="29"/>
        <v>-100216.53962570473</v>
      </c>
      <c r="J366" s="444">
        <f t="array" ref="J366">IFERROR(INDEX('Retirement Calculator'!J:J,MATCH('Isaac 401k'!N366,'Retirement Calculator'!A:A,0),0),0)</f>
        <v>8395.6297298201844</v>
      </c>
      <c r="K366" s="444">
        <f t="shared" ca="1" si="27"/>
        <v>-452.55070564802043</v>
      </c>
      <c r="L366" s="444">
        <f t="shared" ca="1" si="28"/>
        <v>-109064.72006117293</v>
      </c>
      <c r="M366" s="460">
        <f t="shared" si="30"/>
        <v>0.05</v>
      </c>
      <c r="N366" s="464">
        <f t="shared" si="31"/>
        <v>62184</v>
      </c>
    </row>
    <row r="367" spans="7:14" ht="11.25" customHeight="1" x14ac:dyDescent="0.25">
      <c r="G367" s="459">
        <f t="shared" si="39"/>
        <v>30</v>
      </c>
      <c r="H367" s="459">
        <v>360</v>
      </c>
      <c r="I367" s="444">
        <f t="shared" ca="1" si="29"/>
        <v>-109064.72006117293</v>
      </c>
      <c r="J367" s="444">
        <f t="array" ref="J367">IFERROR(INDEX('Retirement Calculator'!J:J,MATCH('Isaac 401k'!N367,'Retirement Calculator'!A:A,0),0),0)</f>
        <v>8395.6297298201844</v>
      </c>
      <c r="K367" s="444">
        <f t="shared" ca="1" si="27"/>
        <v>-489.41812412913794</v>
      </c>
      <c r="L367" s="444">
        <f t="shared" ca="1" si="28"/>
        <v>-117949.76791512225</v>
      </c>
      <c r="M367" s="460">
        <f t="shared" si="30"/>
        <v>0.05</v>
      </c>
      <c r="N367" s="464">
        <f t="shared" si="31"/>
        <v>62214</v>
      </c>
    </row>
    <row r="368" spans="7:14" ht="11.25" customHeight="1" x14ac:dyDescent="0.25">
      <c r="G368" s="459">
        <f>G367+1</f>
        <v>31</v>
      </c>
      <c r="H368" s="459">
        <v>361</v>
      </c>
      <c r="I368" s="444">
        <f t="shared" ca="1" si="29"/>
        <v>-117949.76791512225</v>
      </c>
      <c r="J368" s="444">
        <f t="array" ref="J368">IFERROR(INDEX('Retirement Calculator'!J:J,MATCH('Isaac 401k'!N368,'Retirement Calculator'!A:A,0),0),0)</f>
        <v>8395.6297298201844</v>
      </c>
      <c r="K368" s="444">
        <f t="shared" ca="1" si="27"/>
        <v>-526.43915685392687</v>
      </c>
      <c r="L368" s="444">
        <f t="shared" ca="1" si="28"/>
        <v>-126871.83680179637</v>
      </c>
      <c r="M368" s="460">
        <f t="shared" si="30"/>
        <v>0.05</v>
      </c>
      <c r="N368" s="464">
        <f t="shared" si="31"/>
        <v>62245</v>
      </c>
    </row>
    <row r="369" spans="7:14" ht="11.25" customHeight="1" x14ac:dyDescent="0.25">
      <c r="G369" s="459">
        <f t="shared" ref="G369:G379" si="40">G368</f>
        <v>31</v>
      </c>
      <c r="H369" s="459">
        <v>362</v>
      </c>
      <c r="I369" s="444">
        <f t="shared" ca="1" si="29"/>
        <v>-126871.83680179637</v>
      </c>
      <c r="J369" s="444">
        <f t="array" ref="J369">IFERROR(INDEX('Retirement Calculator'!J:J,MATCH('Isaac 401k'!N369,'Retirement Calculator'!A:A,0),0),0)</f>
        <v>8395.6297298201844</v>
      </c>
      <c r="K369" s="444">
        <f t="shared" ca="1" si="27"/>
        <v>-563.61444388173561</v>
      </c>
      <c r="L369" s="444">
        <f t="shared" ca="1" si="28"/>
        <v>-135831.08097549828</v>
      </c>
      <c r="M369" s="460">
        <f t="shared" si="30"/>
        <v>0.05</v>
      </c>
      <c r="N369" s="464">
        <f t="shared" si="31"/>
        <v>62275</v>
      </c>
    </row>
    <row r="370" spans="7:14" ht="11.25" customHeight="1" x14ac:dyDescent="0.25">
      <c r="G370" s="459">
        <f t="shared" si="40"/>
        <v>31</v>
      </c>
      <c r="H370" s="459">
        <v>363</v>
      </c>
      <c r="I370" s="444">
        <f t="shared" ca="1" si="29"/>
        <v>-135831.08097549828</v>
      </c>
      <c r="J370" s="444">
        <f t="array" ref="J370">IFERROR(INDEX('Retirement Calculator'!J:J,MATCH('Isaac 401k'!N370,'Retirement Calculator'!A:A,0),0),0)</f>
        <v>8395.6297298201844</v>
      </c>
      <c r="K370" s="444">
        <f t="shared" ca="1" si="27"/>
        <v>-600.9446279388269</v>
      </c>
      <c r="L370" s="444">
        <f t="shared" ca="1" si="28"/>
        <v>-144827.65533325728</v>
      </c>
      <c r="M370" s="460">
        <f t="shared" si="30"/>
        <v>0.05</v>
      </c>
      <c r="N370" s="464">
        <f t="shared" si="31"/>
        <v>62306</v>
      </c>
    </row>
    <row r="371" spans="7:14" ht="11.25" customHeight="1" x14ac:dyDescent="0.25">
      <c r="G371" s="459">
        <f t="shared" si="40"/>
        <v>31</v>
      </c>
      <c r="H371" s="459">
        <v>364</v>
      </c>
      <c r="I371" s="444">
        <f t="shared" ca="1" si="29"/>
        <v>-144827.65533325728</v>
      </c>
      <c r="J371" s="444">
        <f t="array" ref="J371">IFERROR(INDEX('Retirement Calculator'!J:J,MATCH('Isaac 401k'!N371,'Retirement Calculator'!A:A,0),0),0)</f>
        <v>8395.6297298201844</v>
      </c>
      <c r="K371" s="444">
        <f t="shared" ca="1" si="27"/>
        <v>-638.4303544294894</v>
      </c>
      <c r="L371" s="444">
        <f t="shared" ca="1" si="28"/>
        <v>-153861.71541750696</v>
      </c>
      <c r="M371" s="460">
        <f t="shared" si="30"/>
        <v>0.05</v>
      </c>
      <c r="N371" s="464">
        <f t="shared" si="31"/>
        <v>62337</v>
      </c>
    </row>
    <row r="372" spans="7:14" ht="11.25" customHeight="1" x14ac:dyDescent="0.25">
      <c r="G372" s="459">
        <f t="shared" si="40"/>
        <v>31</v>
      </c>
      <c r="H372" s="459">
        <v>365</v>
      </c>
      <c r="I372" s="444">
        <f t="shared" ca="1" si="29"/>
        <v>-153861.71541750696</v>
      </c>
      <c r="J372" s="444">
        <f t="array" ref="J372">IFERROR(INDEX('Retirement Calculator'!J:J,MATCH('Isaac 401k'!N372,'Retirement Calculator'!A:A,0),0),0)</f>
        <v>8395.6297298201844</v>
      </c>
      <c r="K372" s="444">
        <f t="shared" ca="1" si="27"/>
        <v>-676.07227144719639</v>
      </c>
      <c r="L372" s="444">
        <f t="shared" ca="1" si="28"/>
        <v>-162933.41741877433</v>
      </c>
      <c r="M372" s="460">
        <f t="shared" si="30"/>
        <v>0.05</v>
      </c>
      <c r="N372" s="464">
        <f t="shared" si="31"/>
        <v>62367</v>
      </c>
    </row>
    <row r="373" spans="7:14" ht="11.25" customHeight="1" x14ac:dyDescent="0.25">
      <c r="G373" s="459">
        <f t="shared" si="40"/>
        <v>31</v>
      </c>
      <c r="H373" s="459">
        <v>366</v>
      </c>
      <c r="I373" s="444">
        <f t="shared" ca="1" si="29"/>
        <v>-162933.41741877433</v>
      </c>
      <c r="J373" s="444">
        <f t="array" ref="J373">IFERROR(INDEX('Retirement Calculator'!J:J,MATCH('Isaac 401k'!N373,'Retirement Calculator'!A:A,0),0),0)</f>
        <v>8395.6297298201844</v>
      </c>
      <c r="K373" s="444">
        <f t="shared" ca="1" si="27"/>
        <v>-713.87102978581049</v>
      </c>
      <c r="L373" s="444">
        <f t="shared" ca="1" si="28"/>
        <v>-172042.91817838032</v>
      </c>
      <c r="M373" s="460">
        <f t="shared" si="30"/>
        <v>0.05</v>
      </c>
      <c r="N373" s="464">
        <f t="shared" si="31"/>
        <v>62398</v>
      </c>
    </row>
    <row r="374" spans="7:14" ht="11.25" customHeight="1" x14ac:dyDescent="0.25">
      <c r="G374" s="459">
        <f t="shared" si="40"/>
        <v>31</v>
      </c>
      <c r="H374" s="459">
        <v>367</v>
      </c>
      <c r="I374" s="444">
        <f t="shared" ca="1" si="29"/>
        <v>-172042.91817838032</v>
      </c>
      <c r="J374" s="444">
        <f t="array" ref="J374">IFERROR(INDEX('Retirement Calculator'!J:J,MATCH('Isaac 401k'!N374,'Retirement Calculator'!A:A,0),0),0)</f>
        <v>8395.6297298201844</v>
      </c>
      <c r="K374" s="444">
        <f t="shared" ca="1" si="27"/>
        <v>-751.82728295083541</v>
      </c>
      <c r="L374" s="444">
        <f t="shared" ca="1" si="28"/>
        <v>-181190.37519115134</v>
      </c>
      <c r="M374" s="460">
        <f t="shared" si="30"/>
        <v>0.05</v>
      </c>
      <c r="N374" s="464">
        <f t="shared" si="31"/>
        <v>62428</v>
      </c>
    </row>
    <row r="375" spans="7:14" ht="11.25" customHeight="1" x14ac:dyDescent="0.25">
      <c r="G375" s="459">
        <f t="shared" si="40"/>
        <v>31</v>
      </c>
      <c r="H375" s="459">
        <v>368</v>
      </c>
      <c r="I375" s="444">
        <f t="shared" ca="1" si="29"/>
        <v>-181190.37519115134</v>
      </c>
      <c r="J375" s="444">
        <f t="array" ref="J375">IFERROR(INDEX('Retirement Calculator'!J:J,MATCH('Isaac 401k'!N375,'Retirement Calculator'!A:A,0),0),0)</f>
        <v>8395.6297298201844</v>
      </c>
      <c r="K375" s="444">
        <f t="shared" ca="1" si="27"/>
        <v>-789.94168717071466</v>
      </c>
      <c r="L375" s="444">
        <f t="shared" ca="1" si="28"/>
        <v>-190375.94660814223</v>
      </c>
      <c r="M375" s="460">
        <f t="shared" si="30"/>
        <v>0.05</v>
      </c>
      <c r="N375" s="464">
        <f t="shared" si="31"/>
        <v>62459</v>
      </c>
    </row>
    <row r="376" spans="7:14" ht="11.25" customHeight="1" x14ac:dyDescent="0.25">
      <c r="G376" s="459">
        <f t="shared" si="40"/>
        <v>31</v>
      </c>
      <c r="H376" s="459">
        <v>369</v>
      </c>
      <c r="I376" s="444">
        <f t="shared" ca="1" si="29"/>
        <v>-190375.94660814223</v>
      </c>
      <c r="J376" s="444">
        <f t="array" ref="J376">IFERROR(INDEX('Retirement Calculator'!J:J,MATCH('Isaac 401k'!N376,'Retirement Calculator'!A:A,0),0),0)</f>
        <v>8395.6297298201844</v>
      </c>
      <c r="K376" s="444">
        <f t="shared" ca="1" si="27"/>
        <v>-828.21490140817673</v>
      </c>
      <c r="L376" s="444">
        <f t="shared" ca="1" si="28"/>
        <v>-199599.79123937059</v>
      </c>
      <c r="M376" s="460">
        <f t="shared" si="30"/>
        <v>0.05</v>
      </c>
      <c r="N376" s="464">
        <f t="shared" si="31"/>
        <v>62490</v>
      </c>
    </row>
    <row r="377" spans="7:14" ht="11.25" customHeight="1" x14ac:dyDescent="0.25">
      <c r="G377" s="459">
        <f t="shared" si="40"/>
        <v>31</v>
      </c>
      <c r="H377" s="459">
        <v>370</v>
      </c>
      <c r="I377" s="444">
        <f t="shared" ca="1" si="29"/>
        <v>-199599.79123937059</v>
      </c>
      <c r="J377" s="444">
        <f t="array" ref="J377">IFERROR(INDEX('Retirement Calculator'!J:J,MATCH('Isaac 401k'!N377,'Retirement Calculator'!A:A,0),0),0)</f>
        <v>8395.6297298201844</v>
      </c>
      <c r="K377" s="444">
        <f t="shared" ca="1" si="27"/>
        <v>-866.64758737162833</v>
      </c>
      <c r="L377" s="444">
        <f t="shared" ca="1" si="28"/>
        <v>-208862.06855656242</v>
      </c>
      <c r="M377" s="460">
        <f t="shared" si="30"/>
        <v>0.05</v>
      </c>
      <c r="N377" s="464">
        <f t="shared" si="31"/>
        <v>62518</v>
      </c>
    </row>
    <row r="378" spans="7:14" ht="11.25" customHeight="1" x14ac:dyDescent="0.25">
      <c r="G378" s="459">
        <f t="shared" si="40"/>
        <v>31</v>
      </c>
      <c r="H378" s="459">
        <v>371</v>
      </c>
      <c r="I378" s="444">
        <f t="shared" ca="1" si="29"/>
        <v>-208862.06855656242</v>
      </c>
      <c r="J378" s="444">
        <f t="array" ref="J378">IFERROR(INDEX('Retirement Calculator'!J:J,MATCH('Isaac 401k'!N378,'Retirement Calculator'!A:A,0),0),0)</f>
        <v>8395.6297298201844</v>
      </c>
      <c r="K378" s="444">
        <f t="shared" ca="1" si="27"/>
        <v>-905.24040952659425</v>
      </c>
      <c r="L378" s="444">
        <f t="shared" ca="1" si="28"/>
        <v>-218162.93869590919</v>
      </c>
      <c r="M378" s="460">
        <f t="shared" si="30"/>
        <v>0.05</v>
      </c>
      <c r="N378" s="464">
        <f t="shared" si="31"/>
        <v>62549</v>
      </c>
    </row>
    <row r="379" spans="7:14" ht="11.25" customHeight="1" x14ac:dyDescent="0.25">
      <c r="G379" s="459">
        <f t="shared" si="40"/>
        <v>31</v>
      </c>
      <c r="H379" s="459">
        <v>372</v>
      </c>
      <c r="I379" s="444">
        <f t="shared" ca="1" si="29"/>
        <v>-218162.93869590919</v>
      </c>
      <c r="J379" s="444">
        <f t="array" ref="J379">IFERROR(INDEX('Retirement Calculator'!J:J,MATCH('Isaac 401k'!N379,'Retirement Calculator'!A:A,0),0),0)</f>
        <v>8395.6297298201844</v>
      </c>
      <c r="K379" s="444">
        <f t="shared" ca="1" si="27"/>
        <v>-943.99403510720572</v>
      </c>
      <c r="L379" s="444">
        <f t="shared" ca="1" si="28"/>
        <v>-227502.56246083658</v>
      </c>
      <c r="M379" s="460">
        <f t="shared" si="30"/>
        <v>0.05</v>
      </c>
      <c r="N379" s="464">
        <f t="shared" si="31"/>
        <v>62579</v>
      </c>
    </row>
    <row r="380" spans="7:14" ht="11.25" customHeight="1" x14ac:dyDescent="0.25">
      <c r="G380" s="459">
        <f>G379+1</f>
        <v>32</v>
      </c>
      <c r="H380" s="459">
        <v>373</v>
      </c>
      <c r="I380" s="444">
        <f t="shared" ca="1" si="29"/>
        <v>-227502.56246083658</v>
      </c>
      <c r="J380" s="444">
        <f t="array" ref="J380">IFERROR(INDEX('Retirement Calculator'!J:J,MATCH('Isaac 401k'!N380,'Retirement Calculator'!A:A,0),0),0)</f>
        <v>8395.6297298201844</v>
      </c>
      <c r="K380" s="444">
        <f t="shared" ca="1" si="27"/>
        <v>-982.90913412773648</v>
      </c>
      <c r="L380" s="444">
        <f t="shared" ca="1" si="28"/>
        <v>-236881.10132478448</v>
      </c>
      <c r="M380" s="460">
        <f t="shared" si="30"/>
        <v>0.05</v>
      </c>
      <c r="N380" s="464">
        <f t="shared" si="31"/>
        <v>62610</v>
      </c>
    </row>
    <row r="381" spans="7:14" ht="11.25" customHeight="1" x14ac:dyDescent="0.25">
      <c r="G381" s="459">
        <f t="shared" ref="G381:G391" si="41">G380</f>
        <v>32</v>
      </c>
      <c r="H381" s="459">
        <v>374</v>
      </c>
      <c r="I381" s="444">
        <f t="shared" ca="1" si="29"/>
        <v>-236881.10132478448</v>
      </c>
      <c r="J381" s="444">
        <f t="array" ref="J381">IFERROR(INDEX('Retirement Calculator'!J:J,MATCH('Isaac 401k'!N381,'Retirement Calculator'!A:A,0),0),0)</f>
        <v>8395.6297298201844</v>
      </c>
      <c r="K381" s="444">
        <f t="shared" ca="1" si="27"/>
        <v>-1021.9863793941861</v>
      </c>
      <c r="L381" s="444">
        <f t="shared" ca="1" si="28"/>
        <v>-246298.71743399886</v>
      </c>
      <c r="M381" s="460">
        <f t="shared" si="30"/>
        <v>0.05</v>
      </c>
      <c r="N381" s="464">
        <f t="shared" si="31"/>
        <v>62640</v>
      </c>
    </row>
    <row r="382" spans="7:14" ht="11.25" customHeight="1" x14ac:dyDescent="0.25">
      <c r="G382" s="459">
        <f t="shared" si="41"/>
        <v>32</v>
      </c>
      <c r="H382" s="459">
        <v>375</v>
      </c>
      <c r="I382" s="444">
        <f t="shared" ca="1" si="29"/>
        <v>-246298.71743399886</v>
      </c>
      <c r="J382" s="444">
        <f t="array" ref="J382">IFERROR(INDEX('Retirement Calculator'!J:J,MATCH('Isaac 401k'!N382,'Retirement Calculator'!A:A,0),0),0)</f>
        <v>8395.6297298201844</v>
      </c>
      <c r="K382" s="444">
        <f t="shared" ca="1" si="27"/>
        <v>-1061.2264465159128</v>
      </c>
      <c r="L382" s="444">
        <f t="shared" ca="1" si="28"/>
        <v>-255755.57361033495</v>
      </c>
      <c r="M382" s="460">
        <f t="shared" si="30"/>
        <v>0.05</v>
      </c>
      <c r="N382" s="464">
        <f t="shared" si="31"/>
        <v>62671</v>
      </c>
    </row>
    <row r="383" spans="7:14" ht="11.25" customHeight="1" x14ac:dyDescent="0.25">
      <c r="G383" s="459">
        <f t="shared" si="41"/>
        <v>32</v>
      </c>
      <c r="H383" s="459">
        <v>376</v>
      </c>
      <c r="I383" s="444">
        <f t="shared" ca="1" si="29"/>
        <v>-255755.57361033495</v>
      </c>
      <c r="J383" s="444">
        <f t="array" ref="J383">IFERROR(INDEX('Retirement Calculator'!J:J,MATCH('Isaac 401k'!N383,'Retirement Calculator'!A:A,0),0),0)</f>
        <v>8395.6297298201844</v>
      </c>
      <c r="K383" s="444">
        <f t="shared" ca="1" si="27"/>
        <v>-1100.6300139173131</v>
      </c>
      <c r="L383" s="444">
        <f t="shared" ca="1" si="28"/>
        <v>-265251.83335407247</v>
      </c>
      <c r="M383" s="460">
        <f t="shared" si="30"/>
        <v>0.05</v>
      </c>
      <c r="N383" s="464">
        <f t="shared" si="31"/>
        <v>62702</v>
      </c>
    </row>
    <row r="384" spans="7:14" ht="11.25" customHeight="1" x14ac:dyDescent="0.25">
      <c r="G384" s="459">
        <f t="shared" si="41"/>
        <v>32</v>
      </c>
      <c r="H384" s="459">
        <v>377</v>
      </c>
      <c r="I384" s="444">
        <f t="shared" ca="1" si="29"/>
        <v>-265251.83335407247</v>
      </c>
      <c r="J384" s="444">
        <f t="array" ref="J384">IFERROR(INDEX('Retirement Calculator'!J:J,MATCH('Isaac 401k'!N384,'Retirement Calculator'!A:A,0),0),0)</f>
        <v>8395.6297298201844</v>
      </c>
      <c r="K384" s="444">
        <f t="shared" ca="1" si="27"/>
        <v>-1140.1977628495526</v>
      </c>
      <c r="L384" s="444">
        <f t="shared" ca="1" si="28"/>
        <v>-274787.66084674222</v>
      </c>
      <c r="M384" s="460">
        <f t="shared" si="30"/>
        <v>0.05</v>
      </c>
      <c r="N384" s="464">
        <f t="shared" si="31"/>
        <v>62732</v>
      </c>
    </row>
    <row r="385" spans="7:14" ht="11.25" customHeight="1" x14ac:dyDescent="0.25">
      <c r="G385" s="459">
        <f t="shared" si="41"/>
        <v>32</v>
      </c>
      <c r="H385" s="459">
        <v>378</v>
      </c>
      <c r="I385" s="444">
        <f t="shared" ca="1" si="29"/>
        <v>-274787.66084674222</v>
      </c>
      <c r="J385" s="444">
        <f t="array" ref="J385">IFERROR(INDEX('Retirement Calculator'!J:J,MATCH('Isaac 401k'!N385,'Retirement Calculator'!A:A,0),0),0)</f>
        <v>8395.6297298201844</v>
      </c>
      <c r="K385" s="444">
        <f t="shared" ca="1" si="27"/>
        <v>-1179.9303774023433</v>
      </c>
      <c r="L385" s="444">
        <f t="shared" ca="1" si="28"/>
        <v>-284363.22095396474</v>
      </c>
      <c r="M385" s="460">
        <f t="shared" si="30"/>
        <v>0.05</v>
      </c>
      <c r="N385" s="464">
        <f t="shared" si="31"/>
        <v>62763</v>
      </c>
    </row>
    <row r="386" spans="7:14" ht="11.25" customHeight="1" x14ac:dyDescent="0.25">
      <c r="G386" s="459">
        <f t="shared" si="41"/>
        <v>32</v>
      </c>
      <c r="H386" s="459">
        <v>379</v>
      </c>
      <c r="I386" s="444">
        <f t="shared" ca="1" si="29"/>
        <v>-284363.22095396474</v>
      </c>
      <c r="J386" s="444">
        <f t="array" ref="J386">IFERROR(INDEX('Retirement Calculator'!J:J,MATCH('Isaac 401k'!N386,'Retirement Calculator'!A:A,0),0),0)</f>
        <v>8395.6297298201844</v>
      </c>
      <c r="K386" s="444">
        <f t="shared" ca="1" si="27"/>
        <v>-1219.8285445157705</v>
      </c>
      <c r="L386" s="444">
        <f t="shared" ca="1" si="28"/>
        <v>-293978.67922830069</v>
      </c>
      <c r="M386" s="460">
        <f t="shared" si="30"/>
        <v>0.05</v>
      </c>
      <c r="N386" s="464">
        <f t="shared" si="31"/>
        <v>62793</v>
      </c>
    </row>
    <row r="387" spans="7:14" ht="11.25" customHeight="1" x14ac:dyDescent="0.25">
      <c r="G387" s="459">
        <f t="shared" si="41"/>
        <v>32</v>
      </c>
      <c r="H387" s="459">
        <v>380</v>
      </c>
      <c r="I387" s="444">
        <f t="shared" ca="1" si="29"/>
        <v>-293978.67922830069</v>
      </c>
      <c r="J387" s="444">
        <f t="array" ref="J387">IFERROR(INDEX('Retirement Calculator'!J:J,MATCH('Isaac 401k'!N387,'Retirement Calculator'!A:A,0),0),0)</f>
        <v>8395.6297298201844</v>
      </c>
      <c r="K387" s="444">
        <f t="shared" ca="1" si="27"/>
        <v>-1259.8929539921703</v>
      </c>
      <c r="L387" s="444">
        <f t="shared" ca="1" si="28"/>
        <v>-303634.20191211306</v>
      </c>
      <c r="M387" s="460">
        <f t="shared" si="30"/>
        <v>0.05</v>
      </c>
      <c r="N387" s="464">
        <f t="shared" si="31"/>
        <v>62824</v>
      </c>
    </row>
    <row r="388" spans="7:14" ht="11.25" customHeight="1" x14ac:dyDescent="0.25">
      <c r="G388" s="459">
        <f t="shared" si="41"/>
        <v>32</v>
      </c>
      <c r="H388" s="459">
        <v>381</v>
      </c>
      <c r="I388" s="444">
        <f t="shared" ca="1" si="29"/>
        <v>-303634.20191211306</v>
      </c>
      <c r="J388" s="444">
        <f t="array" ref="J388">IFERROR(INDEX('Retirement Calculator'!J:J,MATCH('Isaac 401k'!N388,'Retirement Calculator'!A:A,0),0),0)</f>
        <v>8395.6297298201844</v>
      </c>
      <c r="K388" s="444">
        <f t="shared" ca="1" si="27"/>
        <v>-1300.1242985080551</v>
      </c>
      <c r="L388" s="444">
        <f t="shared" ca="1" si="28"/>
        <v>-313329.95594044129</v>
      </c>
      <c r="M388" s="460">
        <f t="shared" si="30"/>
        <v>0.05</v>
      </c>
      <c r="N388" s="464">
        <f t="shared" si="31"/>
        <v>62855</v>
      </c>
    </row>
    <row r="389" spans="7:14" ht="11.25" customHeight="1" x14ac:dyDescent="0.25">
      <c r="G389" s="459">
        <f t="shared" si="41"/>
        <v>32</v>
      </c>
      <c r="H389" s="459">
        <v>382</v>
      </c>
      <c r="I389" s="444">
        <f t="shared" ca="1" si="29"/>
        <v>-313329.95594044129</v>
      </c>
      <c r="J389" s="444">
        <f t="array" ref="J389">IFERROR(INDEX('Retirement Calculator'!J:J,MATCH('Isaac 401k'!N389,'Retirement Calculator'!A:A,0),0),0)</f>
        <v>8395.6297298201844</v>
      </c>
      <c r="K389" s="444">
        <f t="shared" ca="1" si="27"/>
        <v>-1340.5232736260893</v>
      </c>
      <c r="L389" s="444">
        <f t="shared" ca="1" si="28"/>
        <v>-323066.10894388758</v>
      </c>
      <c r="M389" s="460">
        <f t="shared" si="30"/>
        <v>0.05</v>
      </c>
      <c r="N389" s="464">
        <f t="shared" si="31"/>
        <v>62884</v>
      </c>
    </row>
    <row r="390" spans="7:14" ht="11.25" customHeight="1" x14ac:dyDescent="0.25">
      <c r="G390" s="459">
        <f t="shared" si="41"/>
        <v>32</v>
      </c>
      <c r="H390" s="459">
        <v>383</v>
      </c>
      <c r="I390" s="444">
        <f t="shared" ca="1" si="29"/>
        <v>-323066.10894388758</v>
      </c>
      <c r="J390" s="444">
        <f t="array" ref="J390">IFERROR(INDEX('Retirement Calculator'!J:J,MATCH('Isaac 401k'!N390,'Retirement Calculator'!A:A,0),0),0)</f>
        <v>8395.6297298201844</v>
      </c>
      <c r="K390" s="444">
        <f t="shared" ca="1" si="27"/>
        <v>-1381.0905778071156</v>
      </c>
      <c r="L390" s="444">
        <f t="shared" ca="1" si="28"/>
        <v>-332842.82925151486</v>
      </c>
      <c r="M390" s="460">
        <f t="shared" si="30"/>
        <v>0.05</v>
      </c>
      <c r="N390" s="464">
        <f t="shared" si="31"/>
        <v>62915</v>
      </c>
    </row>
    <row r="391" spans="7:14" ht="11.25" customHeight="1" x14ac:dyDescent="0.25">
      <c r="G391" s="459">
        <f t="shared" si="41"/>
        <v>32</v>
      </c>
      <c r="H391" s="459">
        <v>384</v>
      </c>
      <c r="I391" s="444">
        <f t="shared" ca="1" si="29"/>
        <v>-332842.82925151486</v>
      </c>
      <c r="J391" s="444">
        <f t="array" ref="J391">IFERROR(INDEX('Retirement Calculator'!J:J,MATCH('Isaac 401k'!N391,'Retirement Calculator'!A:A,0),0),0)</f>
        <v>8395.6297298201844</v>
      </c>
      <c r="K391" s="444">
        <f t="shared" ca="1" si="27"/>
        <v>-1421.8269124222293</v>
      </c>
      <c r="L391" s="444">
        <f t="shared" ca="1" si="28"/>
        <v>-342660.2858937573</v>
      </c>
      <c r="M391" s="460">
        <f t="shared" si="30"/>
        <v>0.05</v>
      </c>
      <c r="N391" s="464">
        <f t="shared" si="31"/>
        <v>62945</v>
      </c>
    </row>
    <row r="392" spans="7:14" ht="11.25" customHeight="1" x14ac:dyDescent="0.25">
      <c r="G392" s="459">
        <f>G391+1</f>
        <v>33</v>
      </c>
      <c r="H392" s="459">
        <v>385</v>
      </c>
      <c r="I392" s="444">
        <f t="shared" ca="1" si="29"/>
        <v>-342660.2858937573</v>
      </c>
      <c r="J392" s="444">
        <f t="array" ref="J392">IFERROR(INDEX('Retirement Calculator'!J:J,MATCH('Isaac 401k'!N392,'Retirement Calculator'!A:A,0),0),0)</f>
        <v>8395.6297298201844</v>
      </c>
      <c r="K392" s="444">
        <f t="shared" ca="1" si="27"/>
        <v>-1462.7329817649061</v>
      </c>
      <c r="L392" s="444">
        <f t="shared" ca="1" si="28"/>
        <v>-352518.64860534237</v>
      </c>
      <c r="M392" s="460">
        <f t="shared" si="30"/>
        <v>0.05</v>
      </c>
      <c r="N392" s="464">
        <f t="shared" si="31"/>
        <v>62976</v>
      </c>
    </row>
    <row r="393" spans="7:14" ht="11.25" customHeight="1" x14ac:dyDescent="0.25">
      <c r="G393" s="459">
        <f t="shared" ref="G393:G403" si="42">G392</f>
        <v>33</v>
      </c>
      <c r="H393" s="459">
        <v>386</v>
      </c>
      <c r="I393" s="444">
        <f t="shared" ca="1" si="29"/>
        <v>-352518.64860534237</v>
      </c>
      <c r="J393" s="444">
        <f t="array" ref="J393">IFERROR(INDEX('Retirement Calculator'!J:J,MATCH('Isaac 401k'!N393,'Retirement Calculator'!A:A,0),0),0)</f>
        <v>8395.6297298201844</v>
      </c>
      <c r="K393" s="444">
        <f t="shared" ca="1" si="27"/>
        <v>-1503.8094930631773</v>
      </c>
      <c r="L393" s="444">
        <f t="shared" ca="1" si="28"/>
        <v>-362418.08782822575</v>
      </c>
      <c r="M393" s="460">
        <f t="shared" si="30"/>
        <v>0.05</v>
      </c>
      <c r="N393" s="464">
        <f t="shared" si="31"/>
        <v>63006</v>
      </c>
    </row>
    <row r="394" spans="7:14" ht="11.25" customHeight="1" x14ac:dyDescent="0.25">
      <c r="G394" s="459">
        <f t="shared" si="42"/>
        <v>33</v>
      </c>
      <c r="H394" s="459">
        <v>387</v>
      </c>
      <c r="I394" s="444">
        <f t="shared" ca="1" si="29"/>
        <v>-362418.08782822575</v>
      </c>
      <c r="J394" s="444">
        <f t="array" ref="J394">IFERROR(INDEX('Retirement Calculator'!J:J,MATCH('Isaac 401k'!N394,'Retirement Calculator'!A:A,0),0),0)</f>
        <v>8395.6297298201844</v>
      </c>
      <c r="K394" s="444">
        <f t="shared" ca="1" si="27"/>
        <v>-1545.057156491858</v>
      </c>
      <c r="L394" s="444">
        <f t="shared" ca="1" si="28"/>
        <v>-372358.77471453778</v>
      </c>
      <c r="M394" s="460">
        <f t="shared" si="30"/>
        <v>0.05</v>
      </c>
      <c r="N394" s="464">
        <f t="shared" si="31"/>
        <v>63037</v>
      </c>
    </row>
    <row r="395" spans="7:14" ht="11.25" customHeight="1" x14ac:dyDescent="0.25">
      <c r="G395" s="459">
        <f t="shared" si="42"/>
        <v>33</v>
      </c>
      <c r="H395" s="459">
        <v>388</v>
      </c>
      <c r="I395" s="444">
        <f t="shared" ca="1" si="29"/>
        <v>-372358.77471453778</v>
      </c>
      <c r="J395" s="444">
        <f t="array" ref="J395">IFERROR(INDEX('Retirement Calculator'!J:J,MATCH('Isaac 401k'!N395,'Retirement Calculator'!A:A,0),0),0)</f>
        <v>8395.6297298201844</v>
      </c>
      <c r="K395" s="444">
        <f t="shared" ca="1" si="27"/>
        <v>-1586.4766851848249</v>
      </c>
      <c r="L395" s="444">
        <f t="shared" ca="1" si="28"/>
        <v>-382340.88112954277</v>
      </c>
      <c r="M395" s="460">
        <f t="shared" si="30"/>
        <v>0.05</v>
      </c>
      <c r="N395" s="464">
        <f t="shared" si="31"/>
        <v>63068</v>
      </c>
    </row>
    <row r="396" spans="7:14" ht="11.25" customHeight="1" x14ac:dyDescent="0.25">
      <c r="G396" s="459">
        <f t="shared" si="42"/>
        <v>33</v>
      </c>
      <c r="H396" s="459">
        <v>389</v>
      </c>
      <c r="I396" s="444">
        <f t="shared" ca="1" si="29"/>
        <v>-382340.88112954277</v>
      </c>
      <c r="J396" s="444">
        <f t="array" ref="J396">IFERROR(INDEX('Retirement Calculator'!J:J,MATCH('Isaac 401k'!N396,'Retirement Calculator'!A:A,0),0),0)</f>
        <v>8395.6297298201844</v>
      </c>
      <c r="K396" s="444">
        <f t="shared" ca="1" si="27"/>
        <v>-1628.0687952473456</v>
      </c>
      <c r="L396" s="444">
        <f t="shared" ca="1" si="28"/>
        <v>-392364.57965461031</v>
      </c>
      <c r="M396" s="460">
        <f t="shared" si="30"/>
        <v>0.05</v>
      </c>
      <c r="N396" s="464">
        <f t="shared" si="31"/>
        <v>63098</v>
      </c>
    </row>
    <row r="397" spans="7:14" ht="11.25" customHeight="1" x14ac:dyDescent="0.25">
      <c r="G397" s="459">
        <f t="shared" si="42"/>
        <v>33</v>
      </c>
      <c r="H397" s="459">
        <v>390</v>
      </c>
      <c r="I397" s="444">
        <f t="shared" ca="1" si="29"/>
        <v>-392364.57965461031</v>
      </c>
      <c r="J397" s="444">
        <f t="array" ref="J397">IFERROR(INDEX('Retirement Calculator'!J:J,MATCH('Isaac 401k'!N397,'Retirement Calculator'!A:A,0),0),0)</f>
        <v>8395.6297298201844</v>
      </c>
      <c r="K397" s="444">
        <f t="shared" ca="1" si="27"/>
        <v>-1669.8342057684604</v>
      </c>
      <c r="L397" s="444">
        <f t="shared" ca="1" si="28"/>
        <v>-402430.04359019897</v>
      </c>
      <c r="M397" s="460">
        <f t="shared" si="30"/>
        <v>0.05</v>
      </c>
      <c r="N397" s="464">
        <f t="shared" si="31"/>
        <v>63129</v>
      </c>
    </row>
    <row r="398" spans="7:14" ht="11.25" customHeight="1" x14ac:dyDescent="0.25">
      <c r="G398" s="459">
        <f t="shared" si="42"/>
        <v>33</v>
      </c>
      <c r="H398" s="459">
        <v>391</v>
      </c>
      <c r="I398" s="444">
        <f t="shared" ca="1" si="29"/>
        <v>-402430.04359019897</v>
      </c>
      <c r="J398" s="444">
        <f t="array" ref="J398">IFERROR(INDEX('Retirement Calculator'!J:J,MATCH('Isaac 401k'!N398,'Retirement Calculator'!A:A,0),0),0)</f>
        <v>8395.6297298201844</v>
      </c>
      <c r="K398" s="444">
        <f t="shared" ca="1" si="27"/>
        <v>-1711.7736388334133</v>
      </c>
      <c r="L398" s="444">
        <f t="shared" ca="1" si="28"/>
        <v>-412537.44695885258</v>
      </c>
      <c r="M398" s="460">
        <f t="shared" si="30"/>
        <v>0.05</v>
      </c>
      <c r="N398" s="464">
        <f t="shared" si="31"/>
        <v>63159</v>
      </c>
    </row>
    <row r="399" spans="7:14" ht="11.25" customHeight="1" x14ac:dyDescent="0.25">
      <c r="G399" s="459">
        <f t="shared" si="42"/>
        <v>33</v>
      </c>
      <c r="H399" s="459">
        <v>392</v>
      </c>
      <c r="I399" s="444">
        <f t="shared" ca="1" si="29"/>
        <v>-412537.44695885258</v>
      </c>
      <c r="J399" s="444">
        <f t="array" ref="J399">IFERROR(INDEX('Retirement Calculator'!J:J,MATCH('Isaac 401k'!N399,'Retirement Calculator'!A:A,0),0),0)</f>
        <v>8395.6297298201844</v>
      </c>
      <c r="K399" s="444">
        <f t="shared" ca="1" si="27"/>
        <v>-1753.8878195361362</v>
      </c>
      <c r="L399" s="444">
        <f t="shared" ca="1" si="28"/>
        <v>-422686.96450820891</v>
      </c>
      <c r="M399" s="460">
        <f t="shared" si="30"/>
        <v>0.05</v>
      </c>
      <c r="N399" s="464">
        <f t="shared" si="31"/>
        <v>63190</v>
      </c>
    </row>
    <row r="400" spans="7:14" ht="11.25" customHeight="1" x14ac:dyDescent="0.25">
      <c r="G400" s="459">
        <f t="shared" si="42"/>
        <v>33</v>
      </c>
      <c r="H400" s="459">
        <v>393</v>
      </c>
      <c r="I400" s="444">
        <f t="shared" ca="1" si="29"/>
        <v>-422686.96450820891</v>
      </c>
      <c r="J400" s="444">
        <f t="array" ref="J400">IFERROR(INDEX('Retirement Calculator'!J:J,MATCH('Isaac 401k'!N400,'Retirement Calculator'!A:A,0),0),0)</f>
        <v>8395.6297298201844</v>
      </c>
      <c r="K400" s="444">
        <f t="shared" ca="1" si="27"/>
        <v>-1796.1774759917878</v>
      </c>
      <c r="L400" s="444">
        <f t="shared" ca="1" si="28"/>
        <v>-432878.77171402087</v>
      </c>
      <c r="M400" s="460">
        <f t="shared" si="30"/>
        <v>0.05</v>
      </c>
      <c r="N400" s="464">
        <f t="shared" si="31"/>
        <v>63221</v>
      </c>
    </row>
    <row r="401" spans="7:14" ht="11.25" customHeight="1" x14ac:dyDescent="0.25">
      <c r="G401" s="459">
        <f t="shared" si="42"/>
        <v>33</v>
      </c>
      <c r="H401" s="459">
        <v>394</v>
      </c>
      <c r="I401" s="444">
        <f t="shared" ca="1" si="29"/>
        <v>-432878.77171402087</v>
      </c>
      <c r="J401" s="444">
        <f t="array" ref="J401">IFERROR(INDEX('Retirement Calculator'!J:J,MATCH('Isaac 401k'!N401,'Retirement Calculator'!A:A,0),0),0)</f>
        <v>8395.6297298201844</v>
      </c>
      <c r="K401" s="444">
        <f t="shared" ca="1" si="27"/>
        <v>-1838.6433393493378</v>
      </c>
      <c r="L401" s="444">
        <f t="shared" ca="1" si="28"/>
        <v>-443113.04478319042</v>
      </c>
      <c r="M401" s="460">
        <f t="shared" si="30"/>
        <v>0.05</v>
      </c>
      <c r="N401" s="464">
        <f t="shared" si="31"/>
        <v>63249</v>
      </c>
    </row>
    <row r="402" spans="7:14" ht="11.25" customHeight="1" x14ac:dyDescent="0.25">
      <c r="G402" s="459">
        <f t="shared" si="42"/>
        <v>33</v>
      </c>
      <c r="H402" s="459">
        <v>395</v>
      </c>
      <c r="I402" s="444">
        <f t="shared" ca="1" si="29"/>
        <v>-443113.04478319042</v>
      </c>
      <c r="J402" s="444">
        <f t="array" ref="J402">IFERROR(INDEX('Retirement Calculator'!J:J,MATCH('Isaac 401k'!N402,'Retirement Calculator'!A:A,0),0),0)</f>
        <v>8395.6297298201844</v>
      </c>
      <c r="K402" s="444">
        <f t="shared" ca="1" si="27"/>
        <v>-1881.286143804211</v>
      </c>
      <c r="L402" s="444">
        <f t="shared" ca="1" si="28"/>
        <v>-453389.9606568148</v>
      </c>
      <c r="M402" s="460">
        <f t="shared" si="30"/>
        <v>0.05</v>
      </c>
      <c r="N402" s="464">
        <f t="shared" si="31"/>
        <v>63280</v>
      </c>
    </row>
    <row r="403" spans="7:14" ht="11.25" customHeight="1" x14ac:dyDescent="0.25">
      <c r="G403" s="459">
        <f t="shared" si="42"/>
        <v>33</v>
      </c>
      <c r="H403" s="459">
        <v>396</v>
      </c>
      <c r="I403" s="444">
        <f t="shared" ca="1" si="29"/>
        <v>-453389.9606568148</v>
      </c>
      <c r="J403" s="444">
        <f t="array" ref="J403">IFERROR(INDEX('Retirement Calculator'!J:J,MATCH('Isaac 401k'!N403,'Retirement Calculator'!A:A,0),0),0)</f>
        <v>8395.6297298201844</v>
      </c>
      <c r="K403" s="444">
        <f t="shared" ca="1" si="27"/>
        <v>-1924.1066266109788</v>
      </c>
      <c r="L403" s="444">
        <f t="shared" ca="1" si="28"/>
        <v>-463709.69701324595</v>
      </c>
      <c r="M403" s="460">
        <f t="shared" si="30"/>
        <v>0.05</v>
      </c>
      <c r="N403" s="464">
        <f t="shared" si="31"/>
        <v>63310</v>
      </c>
    </row>
    <row r="404" spans="7:14" ht="11.25" customHeight="1" x14ac:dyDescent="0.25">
      <c r="G404" s="459">
        <f>G403+1</f>
        <v>34</v>
      </c>
      <c r="H404" s="459">
        <v>397</v>
      </c>
      <c r="I404" s="444">
        <f t="shared" ca="1" si="29"/>
        <v>-463709.69701324595</v>
      </c>
      <c r="J404" s="444">
        <f t="array" ref="J404">IFERROR(INDEX('Retirement Calculator'!J:J,MATCH('Isaac 401k'!N404,'Retirement Calculator'!A:A,0),0),0)</f>
        <v>8395.6297298201844</v>
      </c>
      <c r="K404" s="444">
        <f t="shared" ca="1" si="27"/>
        <v>-1967.1055280961089</v>
      </c>
      <c r="L404" s="444">
        <f t="shared" ca="1" si="28"/>
        <v>-474072.43227116222</v>
      </c>
      <c r="M404" s="460">
        <f t="shared" si="30"/>
        <v>0.05</v>
      </c>
      <c r="N404" s="464">
        <f t="shared" si="31"/>
        <v>63341</v>
      </c>
    </row>
    <row r="405" spans="7:14" ht="11.25" customHeight="1" x14ac:dyDescent="0.25">
      <c r="G405" s="459">
        <f t="shared" ref="G405:G415" si="43">G404</f>
        <v>34</v>
      </c>
      <c r="H405" s="459">
        <v>398</v>
      </c>
      <c r="I405" s="444">
        <f t="shared" ca="1" si="29"/>
        <v>-474072.43227116222</v>
      </c>
      <c r="J405" s="444">
        <f t="array" ref="J405">IFERROR(INDEX('Retirement Calculator'!J:J,MATCH('Isaac 401k'!N405,'Retirement Calculator'!A:A,0),0),0)</f>
        <v>8395.6297298201844</v>
      </c>
      <c r="K405" s="444">
        <f t="shared" ca="1" si="27"/>
        <v>-2010.2835916707597</v>
      </c>
      <c r="L405" s="444">
        <f t="shared" ca="1" si="28"/>
        <v>-484478.34559265315</v>
      </c>
      <c r="M405" s="460">
        <f t="shared" si="30"/>
        <v>0.05</v>
      </c>
      <c r="N405" s="464">
        <f t="shared" si="31"/>
        <v>63371</v>
      </c>
    </row>
    <row r="406" spans="7:14" ht="11.25" customHeight="1" x14ac:dyDescent="0.25">
      <c r="G406" s="459">
        <f t="shared" si="43"/>
        <v>34</v>
      </c>
      <c r="H406" s="459">
        <v>399</v>
      </c>
      <c r="I406" s="444">
        <f t="shared" ca="1" si="29"/>
        <v>-484478.34559265315</v>
      </c>
      <c r="J406" s="444">
        <f t="array" ref="J406">IFERROR(INDEX('Retirement Calculator'!J:J,MATCH('Isaac 401k'!N406,'Retirement Calculator'!A:A,0),0),0)</f>
        <v>8395.6297298201844</v>
      </c>
      <c r="K406" s="444">
        <f t="shared" ca="1" si="27"/>
        <v>-2053.6415638436388</v>
      </c>
      <c r="L406" s="444">
        <f t="shared" ca="1" si="28"/>
        <v>-494927.61688631697</v>
      </c>
      <c r="M406" s="460">
        <f t="shared" si="30"/>
        <v>0.05</v>
      </c>
      <c r="N406" s="464">
        <f t="shared" si="31"/>
        <v>63402</v>
      </c>
    </row>
    <row r="407" spans="7:14" ht="11.25" customHeight="1" x14ac:dyDescent="0.25">
      <c r="G407" s="459">
        <f t="shared" si="43"/>
        <v>34</v>
      </c>
      <c r="H407" s="459">
        <v>400</v>
      </c>
      <c r="I407" s="444">
        <f t="shared" ca="1" si="29"/>
        <v>-494927.61688631697</v>
      </c>
      <c r="J407" s="444">
        <f t="array" ref="J407">IFERROR(INDEX('Retirement Calculator'!J:J,MATCH('Isaac 401k'!N407,'Retirement Calculator'!A:A,0),0),0)</f>
        <v>8395.6297298201844</v>
      </c>
      <c r="K407" s="444">
        <f t="shared" ca="1" si="27"/>
        <v>-2097.1801942339048</v>
      </c>
      <c r="L407" s="444">
        <f t="shared" ca="1" si="28"/>
        <v>-505420.42681037105</v>
      </c>
      <c r="M407" s="460">
        <f t="shared" si="30"/>
        <v>0.05</v>
      </c>
      <c r="N407" s="464">
        <f t="shared" si="31"/>
        <v>63433</v>
      </c>
    </row>
    <row r="408" spans="7:14" ht="11.25" customHeight="1" x14ac:dyDescent="0.25">
      <c r="G408" s="459">
        <f t="shared" si="43"/>
        <v>34</v>
      </c>
      <c r="H408" s="459">
        <v>401</v>
      </c>
      <c r="I408" s="444">
        <f t="shared" ca="1" si="29"/>
        <v>-505420.42681037105</v>
      </c>
      <c r="J408" s="444">
        <f t="array" ref="J408">IFERROR(INDEX('Retirement Calculator'!J:J,MATCH('Isaac 401k'!N408,'Retirement Calculator'!A:A,0),0),0)</f>
        <v>8395.6297298201844</v>
      </c>
      <c r="K408" s="444">
        <f t="shared" ca="1" si="27"/>
        <v>-2140.9002355841303</v>
      </c>
      <c r="L408" s="444">
        <f t="shared" ca="1" si="28"/>
        <v>-515956.95677577535</v>
      </c>
      <c r="M408" s="460">
        <f t="shared" si="30"/>
        <v>0.05</v>
      </c>
      <c r="N408" s="464">
        <f t="shared" si="31"/>
        <v>63463</v>
      </c>
    </row>
    <row r="409" spans="7:14" ht="11.25" customHeight="1" x14ac:dyDescent="0.25">
      <c r="G409" s="459">
        <f t="shared" si="43"/>
        <v>34</v>
      </c>
      <c r="H409" s="459">
        <v>402</v>
      </c>
      <c r="I409" s="444">
        <f t="shared" ca="1" si="29"/>
        <v>-515956.95677577535</v>
      </c>
      <c r="J409" s="444">
        <f t="array" ref="J409">IFERROR(INDEX('Retirement Calculator'!J:J,MATCH('Isaac 401k'!N409,'Retirement Calculator'!A:A,0),0),0)</f>
        <v>8395.6297298201844</v>
      </c>
      <c r="K409" s="444">
        <f t="shared" ca="1" si="27"/>
        <v>-2184.8024437733147</v>
      </c>
      <c r="L409" s="444">
        <f t="shared" ca="1" si="28"/>
        <v>-526537.38894936896</v>
      </c>
      <c r="M409" s="460">
        <f t="shared" si="30"/>
        <v>0.05</v>
      </c>
      <c r="N409" s="464">
        <f t="shared" si="31"/>
        <v>63494</v>
      </c>
    </row>
    <row r="410" spans="7:14" ht="11.25" customHeight="1" x14ac:dyDescent="0.25">
      <c r="G410" s="459">
        <f t="shared" si="43"/>
        <v>34</v>
      </c>
      <c r="H410" s="459">
        <v>403</v>
      </c>
      <c r="I410" s="444">
        <f t="shared" ca="1" si="29"/>
        <v>-526537.38894936896</v>
      </c>
      <c r="J410" s="444">
        <f t="array" ref="J410">IFERROR(INDEX('Retirement Calculator'!J:J,MATCH('Isaac 401k'!N410,'Retirement Calculator'!A:A,0),0),0)</f>
        <v>8395.6297298201844</v>
      </c>
      <c r="K410" s="444">
        <f t="shared" ca="1" si="27"/>
        <v>-2228.8875778299548</v>
      </c>
      <c r="L410" s="444">
        <f t="shared" ca="1" si="28"/>
        <v>-537161.90625701915</v>
      </c>
      <c r="M410" s="460">
        <f t="shared" si="30"/>
        <v>0.05</v>
      </c>
      <c r="N410" s="464">
        <f t="shared" si="31"/>
        <v>63524</v>
      </c>
    </row>
    <row r="411" spans="7:14" ht="11.25" customHeight="1" x14ac:dyDescent="0.25">
      <c r="G411" s="459">
        <f t="shared" si="43"/>
        <v>34</v>
      </c>
      <c r="H411" s="459">
        <v>404</v>
      </c>
      <c r="I411" s="444">
        <f t="shared" ca="1" si="29"/>
        <v>-537161.90625701915</v>
      </c>
      <c r="J411" s="444">
        <f t="array" ref="J411">IFERROR(INDEX('Retirement Calculator'!J:J,MATCH('Isaac 401k'!N411,'Retirement Calculator'!A:A,0),0),0)</f>
        <v>8395.6297298201844</v>
      </c>
      <c r="K411" s="444">
        <f t="shared" ca="1" si="27"/>
        <v>-2273.1563999451637</v>
      </c>
      <c r="L411" s="444">
        <f t="shared" ca="1" si="28"/>
        <v>-547830.69238678447</v>
      </c>
      <c r="M411" s="460">
        <f t="shared" si="30"/>
        <v>0.05</v>
      </c>
      <c r="N411" s="464">
        <f t="shared" si="31"/>
        <v>63555</v>
      </c>
    </row>
    <row r="412" spans="7:14" ht="11.25" customHeight="1" x14ac:dyDescent="0.25">
      <c r="G412" s="459">
        <f t="shared" si="43"/>
        <v>34</v>
      </c>
      <c r="H412" s="459">
        <v>405</v>
      </c>
      <c r="I412" s="444">
        <f t="shared" ca="1" si="29"/>
        <v>-547830.69238678447</v>
      </c>
      <c r="J412" s="444">
        <f t="array" ref="J412">IFERROR(INDEX('Retirement Calculator'!J:J,MATCH('Isaac 401k'!N412,'Retirement Calculator'!A:A,0),0),0)</f>
        <v>8395.6297298201844</v>
      </c>
      <c r="K412" s="444">
        <f t="shared" ca="1" si="27"/>
        <v>-2317.6096754858527</v>
      </c>
      <c r="L412" s="444">
        <f t="shared" ca="1" si="28"/>
        <v>-558543.93179209053</v>
      </c>
      <c r="M412" s="460">
        <f t="shared" si="30"/>
        <v>0.05</v>
      </c>
      <c r="N412" s="464">
        <f t="shared" si="31"/>
        <v>63586</v>
      </c>
    </row>
    <row r="413" spans="7:14" ht="11.25" customHeight="1" x14ac:dyDescent="0.25">
      <c r="G413" s="459">
        <f t="shared" si="43"/>
        <v>34</v>
      </c>
      <c r="H413" s="459">
        <v>406</v>
      </c>
      <c r="I413" s="444">
        <f t="shared" ca="1" si="29"/>
        <v>-558543.93179209053</v>
      </c>
      <c r="J413" s="444">
        <f t="array" ref="J413">IFERROR(INDEX('Retirement Calculator'!J:J,MATCH('Isaac 401k'!N413,'Retirement Calculator'!A:A,0),0),0)</f>
        <v>8395.6297298201844</v>
      </c>
      <c r="K413" s="444">
        <f t="shared" ca="1" si="27"/>
        <v>-2362.2481730079612</v>
      </c>
      <c r="L413" s="444">
        <f t="shared" ca="1" si="28"/>
        <v>-569301.80969491869</v>
      </c>
      <c r="M413" s="460">
        <f t="shared" si="30"/>
        <v>0.05</v>
      </c>
      <c r="N413" s="464">
        <f t="shared" si="31"/>
        <v>63614</v>
      </c>
    </row>
    <row r="414" spans="7:14" ht="11.25" customHeight="1" x14ac:dyDescent="0.25">
      <c r="G414" s="459">
        <f t="shared" si="43"/>
        <v>34</v>
      </c>
      <c r="H414" s="459">
        <v>407</v>
      </c>
      <c r="I414" s="444">
        <f t="shared" ca="1" si="29"/>
        <v>-569301.80969491869</v>
      </c>
      <c r="J414" s="444">
        <f t="array" ref="J414">IFERROR(INDEX('Retirement Calculator'!J:J,MATCH('Isaac 401k'!N414,'Retirement Calculator'!A:A,0),0),0)</f>
        <v>8395.6297298201844</v>
      </c>
      <c r="K414" s="444">
        <f t="shared" ca="1" si="27"/>
        <v>-2407.0726642697455</v>
      </c>
      <c r="L414" s="444">
        <f t="shared" ca="1" si="28"/>
        <v>-580104.51208900858</v>
      </c>
      <c r="M414" s="460">
        <f t="shared" si="30"/>
        <v>0.05</v>
      </c>
      <c r="N414" s="464">
        <f t="shared" si="31"/>
        <v>63645</v>
      </c>
    </row>
    <row r="415" spans="7:14" ht="11.25" customHeight="1" x14ac:dyDescent="0.25">
      <c r="G415" s="459">
        <f t="shared" si="43"/>
        <v>34</v>
      </c>
      <c r="H415" s="459">
        <v>408</v>
      </c>
      <c r="I415" s="444">
        <f t="shared" ca="1" si="29"/>
        <v>-580104.51208900858</v>
      </c>
      <c r="J415" s="444">
        <f t="array" ref="J415">IFERROR(INDEX('Retirement Calculator'!J:J,MATCH('Isaac 401k'!N415,'Retirement Calculator'!A:A,0),0),0)</f>
        <v>8395.6297298201844</v>
      </c>
      <c r="K415" s="444">
        <f t="shared" ca="1" si="27"/>
        <v>-2452.0839242451198</v>
      </c>
      <c r="L415" s="444">
        <f t="shared" ca="1" si="28"/>
        <v>-590952.22574307385</v>
      </c>
      <c r="M415" s="460">
        <f t="shared" si="30"/>
        <v>0.05</v>
      </c>
      <c r="N415" s="464">
        <f t="shared" si="31"/>
        <v>63675</v>
      </c>
    </row>
    <row r="416" spans="7:14" ht="11.25" customHeight="1" x14ac:dyDescent="0.25">
      <c r="G416" s="459">
        <f>G415+1</f>
        <v>35</v>
      </c>
      <c r="H416" s="459">
        <v>409</v>
      </c>
      <c r="I416" s="444">
        <f t="shared" ca="1" si="29"/>
        <v>-590952.22574307385</v>
      </c>
      <c r="J416" s="444">
        <f t="array" ref="J416">IFERROR(INDEX('Retirement Calculator'!J:J,MATCH('Isaac 401k'!N416,'Retirement Calculator'!A:A,0),0),0)</f>
        <v>8395.6297298201844</v>
      </c>
      <c r="K416" s="444">
        <f t="shared" ca="1" si="27"/>
        <v>-2497.2827311370584</v>
      </c>
      <c r="L416" s="444">
        <f t="shared" ca="1" si="28"/>
        <v>-601845.13820403104</v>
      </c>
      <c r="M416" s="460">
        <f t="shared" si="30"/>
        <v>0.05</v>
      </c>
      <c r="N416" s="464">
        <f t="shared" si="31"/>
        <v>63706</v>
      </c>
    </row>
    <row r="417" spans="7:14" ht="11.25" customHeight="1" x14ac:dyDescent="0.25">
      <c r="G417" s="459">
        <f t="shared" ref="G417:G427" si="44">G416</f>
        <v>35</v>
      </c>
      <c r="H417" s="459">
        <v>410</v>
      </c>
      <c r="I417" s="444">
        <f t="shared" ca="1" si="29"/>
        <v>-601845.13820403104</v>
      </c>
      <c r="J417" s="444">
        <f t="array" ref="J417">IFERROR(INDEX('Retirement Calculator'!J:J,MATCH('Isaac 401k'!N417,'Retirement Calculator'!A:A,0),0),0)</f>
        <v>8395.6297298201844</v>
      </c>
      <c r="K417" s="444">
        <f t="shared" ca="1" si="27"/>
        <v>-2542.6698663910465</v>
      </c>
      <c r="L417" s="444">
        <f t="shared" ca="1" si="28"/>
        <v>-612783.43780024222</v>
      </c>
      <c r="M417" s="460">
        <f t="shared" si="30"/>
        <v>0.05</v>
      </c>
      <c r="N417" s="464">
        <f t="shared" si="31"/>
        <v>63736</v>
      </c>
    </row>
    <row r="418" spans="7:14" ht="11.25" customHeight="1" x14ac:dyDescent="0.25">
      <c r="G418" s="459">
        <f t="shared" si="44"/>
        <v>35</v>
      </c>
      <c r="H418" s="459">
        <v>411</v>
      </c>
      <c r="I418" s="444">
        <f t="shared" ca="1" si="29"/>
        <v>-612783.43780024222</v>
      </c>
      <c r="J418" s="444">
        <f t="array" ref="J418">IFERROR(INDEX('Retirement Calculator'!J:J,MATCH('Isaac 401k'!N418,'Retirement Calculator'!A:A,0),0),0)</f>
        <v>8395.6297298201844</v>
      </c>
      <c r="K418" s="444">
        <f t="shared" ca="1" si="27"/>
        <v>-2588.2461147085933</v>
      </c>
      <c r="L418" s="444">
        <f t="shared" ca="1" si="28"/>
        <v>-623767.313644771</v>
      </c>
      <c r="M418" s="460">
        <f t="shared" si="30"/>
        <v>0.05</v>
      </c>
      <c r="N418" s="464">
        <f t="shared" si="31"/>
        <v>63767</v>
      </c>
    </row>
    <row r="419" spans="7:14" ht="11.25" customHeight="1" x14ac:dyDescent="0.25">
      <c r="G419" s="459">
        <f t="shared" si="44"/>
        <v>35</v>
      </c>
      <c r="H419" s="459">
        <v>412</v>
      </c>
      <c r="I419" s="444">
        <f t="shared" ca="1" si="29"/>
        <v>-623767.313644771</v>
      </c>
      <c r="J419" s="444">
        <f t="array" ref="J419">IFERROR(INDEX('Retirement Calculator'!J:J,MATCH('Isaac 401k'!N419,'Retirement Calculator'!A:A,0),0),0)</f>
        <v>8395.6297298201844</v>
      </c>
      <c r="K419" s="444">
        <f t="shared" ca="1" si="27"/>
        <v>-2634.0122640607965</v>
      </c>
      <c r="L419" s="444">
        <f t="shared" ca="1" si="28"/>
        <v>-634796.95563865197</v>
      </c>
      <c r="M419" s="460">
        <f t="shared" si="30"/>
        <v>0.05</v>
      </c>
      <c r="N419" s="464">
        <f t="shared" si="31"/>
        <v>63798</v>
      </c>
    </row>
    <row r="420" spans="7:14" ht="11.25" customHeight="1" x14ac:dyDescent="0.25">
      <c r="G420" s="459">
        <f t="shared" si="44"/>
        <v>35</v>
      </c>
      <c r="H420" s="459">
        <v>413</v>
      </c>
      <c r="I420" s="444">
        <f t="shared" ca="1" si="29"/>
        <v>-634796.95563865197</v>
      </c>
      <c r="J420" s="444">
        <f t="array" ref="J420">IFERROR(INDEX('Retirement Calculator'!J:J,MATCH('Isaac 401k'!N420,'Retirement Calculator'!A:A,0),0),0)</f>
        <v>8395.6297298201844</v>
      </c>
      <c r="K420" s="444">
        <f t="shared" ca="1" si="27"/>
        <v>-2679.9691057019672</v>
      </c>
      <c r="L420" s="444">
        <f t="shared" ca="1" si="28"/>
        <v>-645872.55447417416</v>
      </c>
      <c r="M420" s="460">
        <f t="shared" si="30"/>
        <v>0.05</v>
      </c>
      <c r="N420" s="464">
        <f t="shared" si="31"/>
        <v>63828</v>
      </c>
    </row>
    <row r="421" spans="7:14" ht="11.25" customHeight="1" x14ac:dyDescent="0.25">
      <c r="G421" s="459">
        <f t="shared" si="44"/>
        <v>35</v>
      </c>
      <c r="H421" s="459">
        <v>414</v>
      </c>
      <c r="I421" s="444">
        <f t="shared" ca="1" si="29"/>
        <v>-645872.55447417416</v>
      </c>
      <c r="J421" s="444">
        <f t="array" ref="J421">IFERROR(INDEX('Retirement Calculator'!J:J,MATCH('Isaac 401k'!N421,'Retirement Calculator'!A:A,0),0),0)</f>
        <v>8395.6297298201844</v>
      </c>
      <c r="K421" s="444">
        <f t="shared" ca="1" si="27"/>
        <v>-2726.1174341833098</v>
      </c>
      <c r="L421" s="444">
        <f t="shared" ca="1" si="28"/>
        <v>-656994.3016381776</v>
      </c>
      <c r="M421" s="460">
        <f t="shared" si="30"/>
        <v>0.05</v>
      </c>
      <c r="N421" s="464">
        <f t="shared" si="31"/>
        <v>63859</v>
      </c>
    </row>
    <row r="422" spans="7:14" ht="11.25" customHeight="1" x14ac:dyDescent="0.25">
      <c r="G422" s="459">
        <f t="shared" si="44"/>
        <v>35</v>
      </c>
      <c r="H422" s="459">
        <v>415</v>
      </c>
      <c r="I422" s="444">
        <f t="shared" ca="1" si="29"/>
        <v>-656994.3016381776</v>
      </c>
      <c r="J422" s="444">
        <f t="array" ref="J422">IFERROR(INDEX('Retirement Calculator'!J:J,MATCH('Isaac 401k'!N422,'Retirement Calculator'!A:A,0),0),0)</f>
        <v>8395.6297298201844</v>
      </c>
      <c r="K422" s="444">
        <f t="shared" ca="1" si="27"/>
        <v>-2772.4580473666574</v>
      </c>
      <c r="L422" s="444">
        <f t="shared" ca="1" si="28"/>
        <v>-668162.38941536448</v>
      </c>
      <c r="M422" s="460">
        <f t="shared" si="30"/>
        <v>0.05</v>
      </c>
      <c r="N422" s="464">
        <f t="shared" si="31"/>
        <v>63889</v>
      </c>
    </row>
    <row r="423" spans="7:14" ht="11.25" customHeight="1" x14ac:dyDescent="0.25">
      <c r="G423" s="459">
        <f t="shared" si="44"/>
        <v>35</v>
      </c>
      <c r="H423" s="459">
        <v>416</v>
      </c>
      <c r="I423" s="444">
        <f t="shared" ca="1" si="29"/>
        <v>-668162.38941536448</v>
      </c>
      <c r="J423" s="444">
        <f t="array" ref="J423">IFERROR(INDEX('Retirement Calculator'!J:J,MATCH('Isaac 401k'!N423,'Retirement Calculator'!A:A,0),0),0)</f>
        <v>8395.6297298201844</v>
      </c>
      <c r="K423" s="444">
        <f t="shared" ca="1" si="27"/>
        <v>-2818.9917464382693</v>
      </c>
      <c r="L423" s="444">
        <f t="shared" ca="1" si="28"/>
        <v>-679377.01089162298</v>
      </c>
      <c r="M423" s="460">
        <f t="shared" si="30"/>
        <v>0.05</v>
      </c>
      <c r="N423" s="464">
        <f t="shared" si="31"/>
        <v>63920</v>
      </c>
    </row>
    <row r="424" spans="7:14" ht="11.25" customHeight="1" x14ac:dyDescent="0.25">
      <c r="G424" s="459">
        <f t="shared" si="44"/>
        <v>35</v>
      </c>
      <c r="H424" s="459">
        <v>417</v>
      </c>
      <c r="I424" s="444">
        <f t="shared" ca="1" si="29"/>
        <v>-679377.01089162298</v>
      </c>
      <c r="J424" s="444">
        <f t="array" ref="J424">IFERROR(INDEX('Retirement Calculator'!J:J,MATCH('Isaac 401k'!N424,'Retirement Calculator'!A:A,0),0),0)</f>
        <v>8395.6297298201844</v>
      </c>
      <c r="K424" s="444">
        <f t="shared" ca="1" si="27"/>
        <v>-2865.7193359226799</v>
      </c>
      <c r="L424" s="444">
        <f t="shared" ca="1" si="28"/>
        <v>-690638.35995736578</v>
      </c>
      <c r="M424" s="460">
        <f t="shared" si="30"/>
        <v>0.05</v>
      </c>
      <c r="N424" s="464">
        <f t="shared" si="31"/>
        <v>63951</v>
      </c>
    </row>
    <row r="425" spans="7:14" ht="11.25" customHeight="1" x14ac:dyDescent="0.25">
      <c r="G425" s="459">
        <f t="shared" si="44"/>
        <v>35</v>
      </c>
      <c r="H425" s="459">
        <v>418</v>
      </c>
      <c r="I425" s="444">
        <f t="shared" ca="1" si="29"/>
        <v>-690638.35995736578</v>
      </c>
      <c r="J425" s="444">
        <f t="array" ref="J425">IFERROR(INDEX('Retirement Calculator'!J:J,MATCH('Isaac 401k'!N425,'Retirement Calculator'!A:A,0),0),0)</f>
        <v>8395.6297298201844</v>
      </c>
      <c r="K425" s="444">
        <f t="shared" ca="1" si="27"/>
        <v>-2912.6416236966083</v>
      </c>
      <c r="L425" s="444">
        <f t="shared" ca="1" si="28"/>
        <v>-701946.63131088263</v>
      </c>
      <c r="M425" s="460">
        <f t="shared" si="30"/>
        <v>0.05</v>
      </c>
      <c r="N425" s="464">
        <f t="shared" si="31"/>
        <v>63979</v>
      </c>
    </row>
    <row r="426" spans="7:14" ht="11.25" customHeight="1" x14ac:dyDescent="0.25">
      <c r="G426" s="459">
        <f t="shared" si="44"/>
        <v>35</v>
      </c>
      <c r="H426" s="459">
        <v>419</v>
      </c>
      <c r="I426" s="444">
        <f t="shared" ca="1" si="29"/>
        <v>-701946.63131088263</v>
      </c>
      <c r="J426" s="444">
        <f t="array" ref="J426">IFERROR(INDEX('Retirement Calculator'!J:J,MATCH('Isaac 401k'!N426,'Retirement Calculator'!A:A,0),0),0)</f>
        <v>8395.6297298201844</v>
      </c>
      <c r="K426" s="444">
        <f t="shared" ca="1" si="27"/>
        <v>-2959.7594210029283</v>
      </c>
      <c r="L426" s="444">
        <f t="shared" ca="1" si="28"/>
        <v>-713302.02046170575</v>
      </c>
      <c r="M426" s="460">
        <f t="shared" si="30"/>
        <v>0.05</v>
      </c>
      <c r="N426" s="464">
        <f t="shared" si="31"/>
        <v>64010</v>
      </c>
    </row>
    <row r="427" spans="7:14" ht="11.25" customHeight="1" x14ac:dyDescent="0.25">
      <c r="G427" s="459">
        <f t="shared" si="44"/>
        <v>35</v>
      </c>
      <c r="H427" s="459">
        <v>420</v>
      </c>
      <c r="I427" s="444">
        <f t="shared" ca="1" si="29"/>
        <v>-713302.02046170575</v>
      </c>
      <c r="J427" s="444">
        <f t="array" ref="J427">IFERROR(INDEX('Retirement Calculator'!J:J,MATCH('Isaac 401k'!N427,'Retirement Calculator'!A:A,0),0),0)</f>
        <v>8395.6297298201844</v>
      </c>
      <c r="K427" s="444">
        <f t="shared" ca="1" si="27"/>
        <v>-3007.0735424646914</v>
      </c>
      <c r="L427" s="444">
        <f t="shared" ca="1" si="28"/>
        <v>-724704.72373399057</v>
      </c>
      <c r="M427" s="460">
        <f t="shared" si="30"/>
        <v>0.05</v>
      </c>
      <c r="N427" s="464">
        <f t="shared" si="31"/>
        <v>64040</v>
      </c>
    </row>
    <row r="428" spans="7:14" ht="11.25" customHeight="1" x14ac:dyDescent="0.25">
      <c r="G428" s="459">
        <f>G427+1</f>
        <v>36</v>
      </c>
      <c r="H428" s="459">
        <v>421</v>
      </c>
      <c r="I428" s="444">
        <f t="shared" ca="1" si="29"/>
        <v>-724704.72373399057</v>
      </c>
      <c r="J428" s="444">
        <f t="array" ref="J428">IFERROR(INDEX('Retirement Calculator'!J:J,MATCH('Isaac 401k'!N428,'Retirement Calculator'!A:A,0),0),0)</f>
        <v>8395.6297298201844</v>
      </c>
      <c r="K428" s="444">
        <f t="shared" ca="1" si="27"/>
        <v>-3054.5848060992116</v>
      </c>
      <c r="L428" s="444">
        <f t="shared" ca="1" si="28"/>
        <v>-736154.93826990994</v>
      </c>
      <c r="M428" s="460">
        <f t="shared" si="30"/>
        <v>0.05</v>
      </c>
      <c r="N428" s="464">
        <f t="shared" si="31"/>
        <v>64071</v>
      </c>
    </row>
    <row r="429" spans="7:14" ht="11.25" customHeight="1" x14ac:dyDescent="0.25">
      <c r="G429" s="459">
        <f t="shared" ref="G429:G439" si="45">G428</f>
        <v>36</v>
      </c>
      <c r="H429" s="459">
        <v>422</v>
      </c>
      <c r="I429" s="444">
        <f t="shared" ca="1" si="29"/>
        <v>-736154.93826990994</v>
      </c>
      <c r="J429" s="444">
        <f t="array" ref="J429">IFERROR(INDEX('Retirement Calculator'!J:J,MATCH('Isaac 401k'!N429,'Retirement Calculator'!A:A,0),0),0)</f>
        <v>8395.6297298201844</v>
      </c>
      <c r="K429" s="444">
        <f t="shared" ca="1" si="27"/>
        <v>-3102.294033332209</v>
      </c>
      <c r="L429" s="444">
        <f t="shared" ca="1" si="28"/>
        <v>-747652.86203306238</v>
      </c>
      <c r="M429" s="460">
        <f t="shared" si="30"/>
        <v>0.05</v>
      </c>
      <c r="N429" s="464">
        <f t="shared" si="31"/>
        <v>64101</v>
      </c>
    </row>
    <row r="430" spans="7:14" ht="11.25" customHeight="1" x14ac:dyDescent="0.25">
      <c r="G430" s="459">
        <f t="shared" si="45"/>
        <v>36</v>
      </c>
      <c r="H430" s="459">
        <v>423</v>
      </c>
      <c r="I430" s="444">
        <f t="shared" ca="1" si="29"/>
        <v>-747652.86203306238</v>
      </c>
      <c r="J430" s="444">
        <f t="array" ref="J430">IFERROR(INDEX('Retirement Calculator'!J:J,MATCH('Isaac 401k'!N430,'Retirement Calculator'!A:A,0),0),0)</f>
        <v>8395.6297298201844</v>
      </c>
      <c r="K430" s="444">
        <f t="shared" ca="1" si="27"/>
        <v>-3150.2020490120108</v>
      </c>
      <c r="L430" s="444">
        <f t="shared" ca="1" si="28"/>
        <v>-759198.69381189463</v>
      </c>
      <c r="M430" s="460">
        <f t="shared" si="30"/>
        <v>0.05</v>
      </c>
      <c r="N430" s="464">
        <f t="shared" si="31"/>
        <v>64132</v>
      </c>
    </row>
    <row r="431" spans="7:14" ht="11.25" customHeight="1" x14ac:dyDescent="0.25">
      <c r="G431" s="459">
        <f t="shared" si="45"/>
        <v>36</v>
      </c>
      <c r="H431" s="459">
        <v>424</v>
      </c>
      <c r="I431" s="444">
        <f t="shared" ca="1" si="29"/>
        <v>-759198.69381189463</v>
      </c>
      <c r="J431" s="444">
        <f t="array" ref="J431">IFERROR(INDEX('Retirement Calculator'!J:J,MATCH('Isaac 401k'!N431,'Retirement Calculator'!A:A,0),0),0)</f>
        <v>8395.6297298201844</v>
      </c>
      <c r="K431" s="444">
        <f t="shared" ca="1" si="27"/>
        <v>-3198.3096814238115</v>
      </c>
      <c r="L431" s="444">
        <f t="shared" ca="1" si="28"/>
        <v>-770792.63322313863</v>
      </c>
      <c r="M431" s="460">
        <f t="shared" si="30"/>
        <v>0.05</v>
      </c>
      <c r="N431" s="464">
        <f t="shared" si="31"/>
        <v>64163</v>
      </c>
    </row>
    <row r="432" spans="7:14" ht="11.25" customHeight="1" x14ac:dyDescent="0.25">
      <c r="G432" s="459">
        <f t="shared" si="45"/>
        <v>36</v>
      </c>
      <c r="H432" s="459">
        <v>425</v>
      </c>
      <c r="I432" s="444">
        <f t="shared" ca="1" si="29"/>
        <v>-770792.63322313863</v>
      </c>
      <c r="J432" s="444">
        <f t="array" ref="J432">IFERROR(INDEX('Retirement Calculator'!J:J,MATCH('Isaac 401k'!N432,'Retirement Calculator'!A:A,0),0),0)</f>
        <v>8395.6297298201844</v>
      </c>
      <c r="K432" s="444">
        <f t="shared" ca="1" si="27"/>
        <v>-3246.6177623039948</v>
      </c>
      <c r="L432" s="444">
        <f t="shared" ca="1" si="28"/>
        <v>-782434.88071526284</v>
      </c>
      <c r="M432" s="460">
        <f t="shared" si="30"/>
        <v>0.05</v>
      </c>
      <c r="N432" s="464">
        <f t="shared" si="31"/>
        <v>64193</v>
      </c>
    </row>
    <row r="433" spans="7:14" ht="11.25" customHeight="1" x14ac:dyDescent="0.25">
      <c r="G433" s="459">
        <f t="shared" si="45"/>
        <v>36</v>
      </c>
      <c r="H433" s="459">
        <v>426</v>
      </c>
      <c r="I433" s="444">
        <f t="shared" ca="1" si="29"/>
        <v>-782434.88071526284</v>
      </c>
      <c r="J433" s="444">
        <f t="array" ref="J433">IFERROR(INDEX('Retirement Calculator'!J:J,MATCH('Isaac 401k'!N433,'Retirement Calculator'!A:A,0),0),0)</f>
        <v>8395.6297298201844</v>
      </c>
      <c r="K433" s="444">
        <f t="shared" ca="1" si="27"/>
        <v>-3295.1271268545124</v>
      </c>
      <c r="L433" s="444">
        <f t="shared" ca="1" si="28"/>
        <v>-794125.63757193752</v>
      </c>
      <c r="M433" s="460">
        <f t="shared" si="30"/>
        <v>0.05</v>
      </c>
      <c r="N433" s="464">
        <f t="shared" si="31"/>
        <v>64224</v>
      </c>
    </row>
    <row r="434" spans="7:14" ht="11.25" customHeight="1" x14ac:dyDescent="0.25">
      <c r="G434" s="459">
        <f t="shared" si="45"/>
        <v>36</v>
      </c>
      <c r="H434" s="459">
        <v>427</v>
      </c>
      <c r="I434" s="444">
        <f t="shared" ca="1" si="29"/>
        <v>-794125.63757193752</v>
      </c>
      <c r="J434" s="444">
        <f t="array" ref="J434">IFERROR(INDEX('Retirement Calculator'!J:J,MATCH('Isaac 401k'!N434,'Retirement Calculator'!A:A,0),0),0)</f>
        <v>8395.6297298201844</v>
      </c>
      <c r="K434" s="444">
        <f t="shared" ca="1" si="27"/>
        <v>-3343.8386137573239</v>
      </c>
      <c r="L434" s="444">
        <f t="shared" ca="1" si="28"/>
        <v>-805865.10591551499</v>
      </c>
      <c r="M434" s="460">
        <f t="shared" si="30"/>
        <v>0.05</v>
      </c>
      <c r="N434" s="464">
        <f t="shared" si="31"/>
        <v>64254</v>
      </c>
    </row>
    <row r="435" spans="7:14" ht="11.25" customHeight="1" x14ac:dyDescent="0.25">
      <c r="G435" s="459">
        <f t="shared" si="45"/>
        <v>36</v>
      </c>
      <c r="H435" s="459">
        <v>428</v>
      </c>
      <c r="I435" s="444">
        <f t="shared" ca="1" si="29"/>
        <v>-805865.10591551499</v>
      </c>
      <c r="J435" s="444">
        <f t="array" ref="J435">IFERROR(INDEX('Retirement Calculator'!J:J,MATCH('Isaac 401k'!N435,'Retirement Calculator'!A:A,0),0),0)</f>
        <v>8395.6297298201844</v>
      </c>
      <c r="K435" s="444">
        <f t="shared" ca="1" si="27"/>
        <v>-3392.7530651888965</v>
      </c>
      <c r="L435" s="444">
        <f t="shared" ca="1" si="28"/>
        <v>-817653.48871052405</v>
      </c>
      <c r="M435" s="460">
        <f t="shared" si="30"/>
        <v>0.05</v>
      </c>
      <c r="N435" s="464">
        <f t="shared" si="31"/>
        <v>64285</v>
      </c>
    </row>
    <row r="436" spans="7:14" ht="11.25" customHeight="1" x14ac:dyDescent="0.25">
      <c r="G436" s="459">
        <f t="shared" si="45"/>
        <v>36</v>
      </c>
      <c r="H436" s="459">
        <v>429</v>
      </c>
      <c r="I436" s="444">
        <f t="shared" ca="1" si="29"/>
        <v>-817653.48871052405</v>
      </c>
      <c r="J436" s="444">
        <f t="array" ref="J436">IFERROR(INDEX('Retirement Calculator'!J:J,MATCH('Isaac 401k'!N436,'Retirement Calculator'!A:A,0),0),0)</f>
        <v>8395.6297298201844</v>
      </c>
      <c r="K436" s="444">
        <f t="shared" ca="1" si="27"/>
        <v>-3441.8713268347678</v>
      </c>
      <c r="L436" s="444">
        <f t="shared" ca="1" si="28"/>
        <v>-829490.98976717901</v>
      </c>
      <c r="M436" s="460">
        <f t="shared" si="30"/>
        <v>0.05</v>
      </c>
      <c r="N436" s="464">
        <f t="shared" si="31"/>
        <v>64316</v>
      </c>
    </row>
    <row r="437" spans="7:14" ht="11.25" customHeight="1" x14ac:dyDescent="0.25">
      <c r="G437" s="459">
        <f t="shared" si="45"/>
        <v>36</v>
      </c>
      <c r="H437" s="459">
        <v>430</v>
      </c>
      <c r="I437" s="444">
        <f t="shared" ca="1" si="29"/>
        <v>-829490.98976717901</v>
      </c>
      <c r="J437" s="444">
        <f t="array" ref="J437">IFERROR(INDEX('Retirement Calculator'!J:J,MATCH('Isaac 401k'!N437,'Retirement Calculator'!A:A,0),0),0)</f>
        <v>8395.6297298201844</v>
      </c>
      <c r="K437" s="444">
        <f t="shared" ca="1" si="27"/>
        <v>-3491.1942479041631</v>
      </c>
      <c r="L437" s="444">
        <f t="shared" ca="1" si="28"/>
        <v>-841377.81374490331</v>
      </c>
      <c r="M437" s="460">
        <f t="shared" si="30"/>
        <v>0.05</v>
      </c>
      <c r="N437" s="464">
        <f t="shared" si="31"/>
        <v>64345</v>
      </c>
    </row>
    <row r="438" spans="7:14" ht="11.25" customHeight="1" x14ac:dyDescent="0.25">
      <c r="G438" s="459">
        <f t="shared" si="45"/>
        <v>36</v>
      </c>
      <c r="H438" s="459">
        <v>431</v>
      </c>
      <c r="I438" s="444">
        <f t="shared" ca="1" si="29"/>
        <v>-841377.81374490331</v>
      </c>
      <c r="J438" s="444">
        <f t="array" ref="J438">IFERROR(INDEX('Retirement Calculator'!J:J,MATCH('Isaac 401k'!N438,'Retirement Calculator'!A:A,0),0),0)</f>
        <v>8395.6297298201844</v>
      </c>
      <c r="K438" s="444">
        <f t="shared" ca="1" si="27"/>
        <v>-3540.7226811446808</v>
      </c>
      <c r="L438" s="444">
        <f t="shared" ca="1" si="28"/>
        <v>-853314.16615586821</v>
      </c>
      <c r="M438" s="460">
        <f t="shared" si="30"/>
        <v>0.05</v>
      </c>
      <c r="N438" s="464">
        <f t="shared" si="31"/>
        <v>64376</v>
      </c>
    </row>
    <row r="439" spans="7:14" ht="11.25" customHeight="1" x14ac:dyDescent="0.25">
      <c r="G439" s="459">
        <f t="shared" si="45"/>
        <v>36</v>
      </c>
      <c r="H439" s="459">
        <v>432</v>
      </c>
      <c r="I439" s="444">
        <f t="shared" ca="1" si="29"/>
        <v>-853314.16615586821</v>
      </c>
      <c r="J439" s="444">
        <f t="array" ref="J439">IFERROR(INDEX('Retirement Calculator'!J:J,MATCH('Isaac 401k'!N439,'Retirement Calculator'!A:A,0),0),0)</f>
        <v>8395.6297298201844</v>
      </c>
      <c r="K439" s="444">
        <f t="shared" ca="1" si="27"/>
        <v>-3590.4574828570348</v>
      </c>
      <c r="L439" s="444">
        <f t="shared" ca="1" si="28"/>
        <v>-865300.25336854544</v>
      </c>
      <c r="M439" s="460">
        <f t="shared" si="30"/>
        <v>0.05</v>
      </c>
      <c r="N439" s="464">
        <f t="shared" si="31"/>
        <v>64406</v>
      </c>
    </row>
    <row r="440" spans="7:14" ht="11.25" customHeight="1" x14ac:dyDescent="0.25">
      <c r="G440" s="459">
        <f>G439+1</f>
        <v>37</v>
      </c>
      <c r="H440" s="459">
        <v>433</v>
      </c>
      <c r="I440" s="444">
        <f t="shared" ca="1" si="29"/>
        <v>-865300.25336854544</v>
      </c>
      <c r="J440" s="444">
        <f t="array" ref="J440">IFERROR(INDEX('Retirement Calculator'!J:J,MATCH('Isaac 401k'!N440,'Retirement Calculator'!A:A,0),0),0)</f>
        <v>8395.6297298201844</v>
      </c>
      <c r="K440" s="444">
        <f t="shared" ca="1" si="27"/>
        <v>-3640.3995129098571</v>
      </c>
      <c r="L440" s="444">
        <f t="shared" ca="1" si="28"/>
        <v>-877336.28261127544</v>
      </c>
      <c r="M440" s="460">
        <f t="shared" si="30"/>
        <v>0.05</v>
      </c>
      <c r="N440" s="464">
        <f t="shared" si="31"/>
        <v>64437</v>
      </c>
    </row>
    <row r="441" spans="7:14" ht="11.25" customHeight="1" x14ac:dyDescent="0.25">
      <c r="G441" s="459">
        <f t="shared" ref="G441:G451" si="46">G440</f>
        <v>37</v>
      </c>
      <c r="H441" s="459">
        <v>434</v>
      </c>
      <c r="I441" s="444">
        <f t="shared" ca="1" si="29"/>
        <v>-877336.28261127544</v>
      </c>
      <c r="J441" s="444">
        <f t="array" ref="J441">IFERROR(INDEX('Retirement Calculator'!J:J,MATCH('Isaac 401k'!N441,'Retirement Calculator'!A:A,0),0),0)</f>
        <v>8395.6297298201844</v>
      </c>
      <c r="K441" s="444">
        <f t="shared" ca="1" si="27"/>
        <v>-3690.5496347545645</v>
      </c>
      <c r="L441" s="444">
        <f t="shared" ca="1" si="28"/>
        <v>-889422.46197585016</v>
      </c>
      <c r="M441" s="460">
        <f t="shared" si="30"/>
        <v>0.05</v>
      </c>
      <c r="N441" s="464">
        <f t="shared" si="31"/>
        <v>64467</v>
      </c>
    </row>
    <row r="442" spans="7:14" ht="11.25" customHeight="1" x14ac:dyDescent="0.25">
      <c r="G442" s="459">
        <f t="shared" si="46"/>
        <v>37</v>
      </c>
      <c r="H442" s="459">
        <v>435</v>
      </c>
      <c r="I442" s="444">
        <f t="shared" ca="1" si="29"/>
        <v>-889422.46197585016</v>
      </c>
      <c r="J442" s="444">
        <f t="array" ref="J442">IFERROR(INDEX('Retirement Calculator'!J:J,MATCH('Isaac 401k'!N442,'Retirement Calculator'!A:A,0),0),0)</f>
        <v>8395.6297298201844</v>
      </c>
      <c r="K442" s="444">
        <f t="shared" ca="1" si="27"/>
        <v>-3740.9087154402932</v>
      </c>
      <c r="L442" s="444">
        <f t="shared" ca="1" si="28"/>
        <v>-901559.00042111066</v>
      </c>
      <c r="M442" s="460">
        <f t="shared" si="30"/>
        <v>0.05</v>
      </c>
      <c r="N442" s="464">
        <f t="shared" si="31"/>
        <v>64498</v>
      </c>
    </row>
    <row r="443" spans="7:14" ht="11.25" customHeight="1" x14ac:dyDescent="0.25">
      <c r="G443" s="459">
        <f t="shared" si="46"/>
        <v>37</v>
      </c>
      <c r="H443" s="459">
        <v>436</v>
      </c>
      <c r="I443" s="444">
        <f t="shared" ca="1" si="29"/>
        <v>-901559.00042111066</v>
      </c>
      <c r="J443" s="444">
        <f t="array" ref="J443">IFERROR(INDEX('Retirement Calculator'!J:J,MATCH('Isaac 401k'!N443,'Retirement Calculator'!A:A,0),0),0)</f>
        <v>8395.6297298201844</v>
      </c>
      <c r="K443" s="444">
        <f t="shared" ca="1" si="27"/>
        <v>-3791.4776256288783</v>
      </c>
      <c r="L443" s="444">
        <f t="shared" ca="1" si="28"/>
        <v>-913746.10777655977</v>
      </c>
      <c r="M443" s="460">
        <f t="shared" si="30"/>
        <v>0.05</v>
      </c>
      <c r="N443" s="464">
        <f t="shared" si="31"/>
        <v>64529</v>
      </c>
    </row>
    <row r="444" spans="7:14" ht="11.25" customHeight="1" x14ac:dyDescent="0.25">
      <c r="G444" s="459">
        <f t="shared" si="46"/>
        <v>37</v>
      </c>
      <c r="H444" s="459">
        <v>437</v>
      </c>
      <c r="I444" s="444">
        <f t="shared" ca="1" si="29"/>
        <v>-913746.10777655977</v>
      </c>
      <c r="J444" s="444">
        <f t="array" ref="J444">IFERROR(INDEX('Retirement Calculator'!J:J,MATCH('Isaac 401k'!N444,'Retirement Calculator'!A:A,0),0),0)</f>
        <v>8395.6297298201844</v>
      </c>
      <c r="K444" s="444">
        <f t="shared" ca="1" si="27"/>
        <v>-3842.2572396099163</v>
      </c>
      <c r="L444" s="444">
        <f t="shared" ca="1" si="28"/>
        <v>-925983.99474598991</v>
      </c>
      <c r="M444" s="460">
        <f t="shared" si="30"/>
        <v>0.05</v>
      </c>
      <c r="N444" s="464">
        <f t="shared" si="31"/>
        <v>64559</v>
      </c>
    </row>
    <row r="445" spans="7:14" ht="11.25" customHeight="1" x14ac:dyDescent="0.25">
      <c r="G445" s="459">
        <f t="shared" si="46"/>
        <v>37</v>
      </c>
      <c r="H445" s="459">
        <v>438</v>
      </c>
      <c r="I445" s="444">
        <f t="shared" ca="1" si="29"/>
        <v>-925983.99474598991</v>
      </c>
      <c r="J445" s="444">
        <f t="array" ref="J445">IFERROR(INDEX('Retirement Calculator'!J:J,MATCH('Isaac 401k'!N445,'Retirement Calculator'!A:A,0),0),0)</f>
        <v>8395.6297298201844</v>
      </c>
      <c r="K445" s="444">
        <f t="shared" ca="1" si="27"/>
        <v>-3893.2484353158752</v>
      </c>
      <c r="L445" s="444">
        <f t="shared" ca="1" si="28"/>
        <v>-938272.872911126</v>
      </c>
      <c r="M445" s="460">
        <f t="shared" si="30"/>
        <v>0.05</v>
      </c>
      <c r="N445" s="464">
        <f t="shared" si="31"/>
        <v>64590</v>
      </c>
    </row>
    <row r="446" spans="7:14" ht="11.25" customHeight="1" x14ac:dyDescent="0.25">
      <c r="G446" s="459">
        <f t="shared" si="46"/>
        <v>37</v>
      </c>
      <c r="H446" s="459">
        <v>439</v>
      </c>
      <c r="I446" s="444">
        <f t="shared" ca="1" si="29"/>
        <v>-938272.872911126</v>
      </c>
      <c r="J446" s="444">
        <f t="array" ref="J446">IFERROR(INDEX('Retirement Calculator'!J:J,MATCH('Isaac 401k'!N446,'Retirement Calculator'!A:A,0),0),0)</f>
        <v>8395.6297298201844</v>
      </c>
      <c r="K446" s="444">
        <f t="shared" ca="1" si="27"/>
        <v>-3944.4520943372759</v>
      </c>
      <c r="L446" s="444">
        <f t="shared" ca="1" si="28"/>
        <v>-950612.95473528351</v>
      </c>
      <c r="M446" s="460">
        <f t="shared" si="30"/>
        <v>0.05</v>
      </c>
      <c r="N446" s="464">
        <f t="shared" si="31"/>
        <v>64620</v>
      </c>
    </row>
    <row r="447" spans="7:14" ht="11.25" customHeight="1" x14ac:dyDescent="0.25">
      <c r="G447" s="459">
        <f t="shared" si="46"/>
        <v>37</v>
      </c>
      <c r="H447" s="459">
        <v>440</v>
      </c>
      <c r="I447" s="444">
        <f t="shared" ca="1" si="29"/>
        <v>-950612.95473528351</v>
      </c>
      <c r="J447" s="444">
        <f t="array" ref="J447">IFERROR(INDEX('Retirement Calculator'!J:J,MATCH('Isaac 401k'!N447,'Retirement Calculator'!A:A,0),0),0)</f>
        <v>8395.6297298201844</v>
      </c>
      <c r="K447" s="444">
        <f t="shared" ca="1" si="27"/>
        <v>-3995.8691019379321</v>
      </c>
      <c r="L447" s="444">
        <f t="shared" ca="1" si="28"/>
        <v>-963004.45356704167</v>
      </c>
      <c r="M447" s="460">
        <f t="shared" si="30"/>
        <v>0.05</v>
      </c>
      <c r="N447" s="464">
        <f t="shared" si="31"/>
        <v>64651</v>
      </c>
    </row>
    <row r="448" spans="7:14" ht="11.25" customHeight="1" x14ac:dyDescent="0.25">
      <c r="G448" s="459">
        <f t="shared" si="46"/>
        <v>37</v>
      </c>
      <c r="H448" s="459">
        <v>441</v>
      </c>
      <c r="I448" s="444">
        <f t="shared" ca="1" si="29"/>
        <v>-963004.45356704167</v>
      </c>
      <c r="J448" s="444">
        <f t="array" ref="J448">IFERROR(INDEX('Retirement Calculator'!J:J,MATCH('Isaac 401k'!N448,'Retirement Calculator'!A:A,0),0),0)</f>
        <v>8395.6297298201844</v>
      </c>
      <c r="K448" s="444">
        <f t="shared" ca="1" si="27"/>
        <v>-4047.5003470702577</v>
      </c>
      <c r="L448" s="444">
        <f t="shared" ca="1" si="28"/>
        <v>-975447.58364393213</v>
      </c>
      <c r="M448" s="460">
        <f t="shared" si="30"/>
        <v>0.05</v>
      </c>
      <c r="N448" s="464">
        <f t="shared" si="31"/>
        <v>64682</v>
      </c>
    </row>
    <row r="449" spans="7:14" ht="11.25" customHeight="1" x14ac:dyDescent="0.25">
      <c r="G449" s="459">
        <f t="shared" si="46"/>
        <v>37</v>
      </c>
      <c r="H449" s="459">
        <v>442</v>
      </c>
      <c r="I449" s="444">
        <f t="shared" ca="1" si="29"/>
        <v>-975447.58364393213</v>
      </c>
      <c r="J449" s="444">
        <f t="array" ref="J449">IFERROR(INDEX('Retirement Calculator'!J:J,MATCH('Isaac 401k'!N449,'Retirement Calculator'!A:A,0),0),0)</f>
        <v>8395.6297298201844</v>
      </c>
      <c r="K449" s="444">
        <f t="shared" ca="1" si="27"/>
        <v>-4099.3467223906355</v>
      </c>
      <c r="L449" s="444">
        <f t="shared" ca="1" si="28"/>
        <v>-987942.56009614293</v>
      </c>
      <c r="M449" s="460">
        <f t="shared" si="30"/>
        <v>0.05</v>
      </c>
      <c r="N449" s="464">
        <f t="shared" si="31"/>
        <v>64710</v>
      </c>
    </row>
    <row r="450" spans="7:14" ht="11.25" customHeight="1" x14ac:dyDescent="0.25">
      <c r="G450" s="459">
        <f t="shared" si="46"/>
        <v>37</v>
      </c>
      <c r="H450" s="459">
        <v>443</v>
      </c>
      <c r="I450" s="444">
        <f t="shared" ca="1" si="29"/>
        <v>-987942.56009614293</v>
      </c>
      <c r="J450" s="444">
        <f t="array" ref="J450">IFERROR(INDEX('Retirement Calculator'!J:J,MATCH('Isaac 401k'!N450,'Retirement Calculator'!A:A,0),0),0)</f>
        <v>8395.6297298201844</v>
      </c>
      <c r="K450" s="444">
        <f t="shared" ca="1" si="27"/>
        <v>-4151.4091242748464</v>
      </c>
      <c r="L450" s="444">
        <f t="shared" ca="1" si="28"/>
        <v>-1000489.598950238</v>
      </c>
      <c r="M450" s="460">
        <f t="shared" si="30"/>
        <v>0.05</v>
      </c>
      <c r="N450" s="464">
        <f t="shared" si="31"/>
        <v>64741</v>
      </c>
    </row>
    <row r="451" spans="7:14" ht="11.25" customHeight="1" x14ac:dyDescent="0.25">
      <c r="G451" s="459">
        <f t="shared" si="46"/>
        <v>37</v>
      </c>
      <c r="H451" s="459">
        <v>444</v>
      </c>
      <c r="I451" s="444">
        <f t="shared" ca="1" si="29"/>
        <v>-1000489.598950238</v>
      </c>
      <c r="J451" s="444">
        <f t="array" ref="J451">IFERROR(INDEX('Retirement Calculator'!J:J,MATCH('Isaac 401k'!N451,'Retirement Calculator'!A:A,0),0),0)</f>
        <v>8395.6297298201844</v>
      </c>
      <c r="K451" s="444">
        <f t="shared" ca="1" si="27"/>
        <v>-4203.6884528335759</v>
      </c>
      <c r="L451" s="444">
        <f t="shared" ca="1" si="28"/>
        <v>-1013088.9171328917</v>
      </c>
      <c r="M451" s="460">
        <f t="shared" si="30"/>
        <v>0.05</v>
      </c>
      <c r="N451" s="464">
        <f t="shared" si="31"/>
        <v>64771</v>
      </c>
    </row>
    <row r="452" spans="7:14" ht="11.25" customHeight="1" x14ac:dyDescent="0.25">
      <c r="G452" s="459">
        <f>G451+1</f>
        <v>38</v>
      </c>
      <c r="H452" s="459">
        <v>445</v>
      </c>
      <c r="I452" s="444">
        <f t="shared" ca="1" si="29"/>
        <v>-1013088.9171328917</v>
      </c>
      <c r="J452" s="444">
        <f t="array" ref="J452">IFERROR(INDEX('Retirement Calculator'!J:J,MATCH('Isaac 401k'!N452,'Retirement Calculator'!A:A,0),0),0)</f>
        <v>8395.6297298201844</v>
      </c>
      <c r="K452" s="444">
        <f t="shared" ca="1" si="27"/>
        <v>-4256.1856119279664</v>
      </c>
      <c r="L452" s="444">
        <f t="shared" ca="1" si="28"/>
        <v>-1025740.7324746399</v>
      </c>
      <c r="M452" s="460">
        <f t="shared" si="30"/>
        <v>0.05</v>
      </c>
      <c r="N452" s="464">
        <f t="shared" si="31"/>
        <v>64802</v>
      </c>
    </row>
    <row r="453" spans="7:14" ht="11.25" customHeight="1" x14ac:dyDescent="0.25">
      <c r="G453" s="459">
        <f t="shared" ref="G453:G463" si="47">G452</f>
        <v>38</v>
      </c>
      <c r="H453" s="459">
        <v>446</v>
      </c>
      <c r="I453" s="444">
        <f t="shared" ca="1" si="29"/>
        <v>-1025740.7324746399</v>
      </c>
      <c r="J453" s="444">
        <f t="array" ref="J453">IFERROR(INDEX('Retirement Calculator'!J:J,MATCH('Isaac 401k'!N453,'Retirement Calculator'!A:A,0),0),0)</f>
        <v>8395.6297298201844</v>
      </c>
      <c r="K453" s="444">
        <f t="shared" ca="1" si="27"/>
        <v>-4308.9015091852507</v>
      </c>
      <c r="L453" s="444">
        <f t="shared" ca="1" si="28"/>
        <v>-1038445.2637136453</v>
      </c>
      <c r="M453" s="460">
        <f t="shared" si="30"/>
        <v>0.05</v>
      </c>
      <c r="N453" s="464">
        <f t="shared" si="31"/>
        <v>64832</v>
      </c>
    </row>
    <row r="454" spans="7:14" ht="11.25" customHeight="1" x14ac:dyDescent="0.25">
      <c r="G454" s="459">
        <f t="shared" si="47"/>
        <v>38</v>
      </c>
      <c r="H454" s="459">
        <v>447</v>
      </c>
      <c r="I454" s="444">
        <f t="shared" ca="1" si="29"/>
        <v>-1038445.2637136453</v>
      </c>
      <c r="J454" s="444">
        <f t="array" ref="J454">IFERROR(INDEX('Retirement Calculator'!J:J,MATCH('Isaac 401k'!N454,'Retirement Calculator'!A:A,0),0),0)</f>
        <v>8395.6297298201844</v>
      </c>
      <c r="K454" s="444">
        <f t="shared" ca="1" si="27"/>
        <v>-4361.8370560144394</v>
      </c>
      <c r="L454" s="444">
        <f t="shared" ca="1" si="28"/>
        <v>-1051202.7304994799</v>
      </c>
      <c r="M454" s="460">
        <f t="shared" si="30"/>
        <v>0.05</v>
      </c>
      <c r="N454" s="464">
        <f t="shared" si="31"/>
        <v>64863</v>
      </c>
    </row>
    <row r="455" spans="7:14" ht="11.25" customHeight="1" x14ac:dyDescent="0.25">
      <c r="G455" s="459">
        <f t="shared" si="47"/>
        <v>38</v>
      </c>
      <c r="H455" s="459">
        <v>448</v>
      </c>
      <c r="I455" s="444">
        <f t="shared" ca="1" si="29"/>
        <v>-1051202.7304994799</v>
      </c>
      <c r="J455" s="444">
        <f t="array" ref="J455">IFERROR(INDEX('Retirement Calculator'!J:J,MATCH('Isaac 401k'!N455,'Retirement Calculator'!A:A,0),0),0)</f>
        <v>8395.6297298201844</v>
      </c>
      <c r="K455" s="444">
        <f t="shared" ca="1" si="27"/>
        <v>-4414.993167622084</v>
      </c>
      <c r="L455" s="444">
        <f t="shared" ca="1" si="28"/>
        <v>-1064013.3533969221</v>
      </c>
      <c r="M455" s="460">
        <f t="shared" si="30"/>
        <v>0.05</v>
      </c>
      <c r="N455" s="464">
        <f t="shared" si="31"/>
        <v>64894</v>
      </c>
    </row>
    <row r="456" spans="7:14" ht="11.25" customHeight="1" x14ac:dyDescent="0.25">
      <c r="G456" s="459">
        <f t="shared" si="47"/>
        <v>38</v>
      </c>
      <c r="H456" s="459">
        <v>449</v>
      </c>
      <c r="I456" s="444">
        <f t="shared" ca="1" si="29"/>
        <v>-1064013.3533969221</v>
      </c>
      <c r="J456" s="444">
        <f t="array" ref="J456">IFERROR(INDEX('Retirement Calculator'!J:J,MATCH('Isaac 401k'!N456,'Retirement Calculator'!A:A,0),0),0)</f>
        <v>8395.6297298201844</v>
      </c>
      <c r="K456" s="444">
        <f t="shared" ca="1" si="27"/>
        <v>-4468.3707630280933</v>
      </c>
      <c r="L456" s="444">
        <f t="shared" ca="1" si="28"/>
        <v>-1076877.3538897703</v>
      </c>
      <c r="M456" s="460">
        <f t="shared" si="30"/>
        <v>0.05</v>
      </c>
      <c r="N456" s="464">
        <f t="shared" si="31"/>
        <v>64924</v>
      </c>
    </row>
    <row r="457" spans="7:14" ht="11.25" customHeight="1" x14ac:dyDescent="0.25">
      <c r="G457" s="459">
        <f t="shared" si="47"/>
        <v>38</v>
      </c>
      <c r="H457" s="459">
        <v>450</v>
      </c>
      <c r="I457" s="444">
        <f t="shared" ca="1" si="29"/>
        <v>-1076877.3538897703</v>
      </c>
      <c r="J457" s="444">
        <f t="array" ref="J457">IFERROR(INDEX('Retirement Calculator'!J:J,MATCH('Isaac 401k'!N457,'Retirement Calculator'!A:A,0),0),0)</f>
        <v>8395.6297298201844</v>
      </c>
      <c r="K457" s="444">
        <f t="shared" ca="1" si="27"/>
        <v>-4521.9707650816272</v>
      </c>
      <c r="L457" s="444">
        <f t="shared" ca="1" si="28"/>
        <v>-1089794.9543846722</v>
      </c>
      <c r="M457" s="460">
        <f t="shared" si="30"/>
        <v>0.05</v>
      </c>
      <c r="N457" s="464">
        <f t="shared" si="31"/>
        <v>64955</v>
      </c>
    </row>
    <row r="458" spans="7:14" ht="11.25" customHeight="1" x14ac:dyDescent="0.25">
      <c r="G458" s="459">
        <f t="shared" si="47"/>
        <v>38</v>
      </c>
      <c r="H458" s="459">
        <v>451</v>
      </c>
      <c r="I458" s="444">
        <f t="shared" ca="1" si="29"/>
        <v>-1089794.9543846722</v>
      </c>
      <c r="J458" s="444">
        <f t="array" ref="J458">IFERROR(INDEX('Retirement Calculator'!J:J,MATCH('Isaac 401k'!N458,'Retirement Calculator'!A:A,0),0),0)</f>
        <v>8395.6297298201844</v>
      </c>
      <c r="K458" s="444">
        <f t="shared" ca="1" si="27"/>
        <v>-4575.7941004770519</v>
      </c>
      <c r="L458" s="444">
        <f t="shared" ca="1" si="28"/>
        <v>-1102766.3782149695</v>
      </c>
      <c r="M458" s="460">
        <f t="shared" si="30"/>
        <v>0.05</v>
      </c>
      <c r="N458" s="464">
        <f t="shared" si="31"/>
        <v>64985</v>
      </c>
    </row>
    <row r="459" spans="7:14" ht="11.25" customHeight="1" x14ac:dyDescent="0.25">
      <c r="G459" s="459">
        <f t="shared" si="47"/>
        <v>38</v>
      </c>
      <c r="H459" s="459">
        <v>452</v>
      </c>
      <c r="I459" s="444">
        <f t="shared" ca="1" si="29"/>
        <v>-1102766.3782149695</v>
      </c>
      <c r="J459" s="444">
        <f t="array" ref="J459">IFERROR(INDEX('Retirement Calculator'!J:J,MATCH('Isaac 401k'!N459,'Retirement Calculator'!A:A,0),0),0)</f>
        <v>8395.6297298201844</v>
      </c>
      <c r="K459" s="444">
        <f t="shared" ca="1" si="27"/>
        <v>-4629.8416997699569</v>
      </c>
      <c r="L459" s="444">
        <f t="shared" ca="1" si="28"/>
        <v>-1115791.8496445597</v>
      </c>
      <c r="M459" s="460">
        <f t="shared" si="30"/>
        <v>0.05</v>
      </c>
      <c r="N459" s="464">
        <f t="shared" si="31"/>
        <v>65016</v>
      </c>
    </row>
    <row r="460" spans="7:14" ht="11.25" customHeight="1" x14ac:dyDescent="0.25">
      <c r="G460" s="459">
        <f t="shared" si="47"/>
        <v>38</v>
      </c>
      <c r="H460" s="459">
        <v>453</v>
      </c>
      <c r="I460" s="444">
        <f t="shared" ca="1" si="29"/>
        <v>-1115791.8496445597</v>
      </c>
      <c r="J460" s="444">
        <f t="array" ref="J460">IFERROR(INDEX('Retirement Calculator'!J:J,MATCH('Isaac 401k'!N460,'Retirement Calculator'!A:A,0),0),0)</f>
        <v>8395.6297298201844</v>
      </c>
      <c r="K460" s="444">
        <f t="shared" ca="1" si="27"/>
        <v>-4684.1144973932496</v>
      </c>
      <c r="L460" s="444">
        <f t="shared" ca="1" si="28"/>
        <v>-1128871.593871773</v>
      </c>
      <c r="M460" s="460">
        <f t="shared" si="30"/>
        <v>0.05</v>
      </c>
      <c r="N460" s="464">
        <f t="shared" si="31"/>
        <v>65047</v>
      </c>
    </row>
    <row r="461" spans="7:14" ht="11.25" customHeight="1" x14ac:dyDescent="0.25">
      <c r="G461" s="459">
        <f t="shared" si="47"/>
        <v>38</v>
      </c>
      <c r="H461" s="459">
        <v>454</v>
      </c>
      <c r="I461" s="444">
        <f t="shared" ca="1" si="29"/>
        <v>-1128871.593871773</v>
      </c>
      <c r="J461" s="444">
        <f t="array" ref="J461">IFERROR(INDEX('Retirement Calculator'!J:J,MATCH('Isaac 401k'!N461,'Retirement Calculator'!A:A,0),0),0)</f>
        <v>8395.6297298201844</v>
      </c>
      <c r="K461" s="444">
        <f t="shared" ca="1" si="27"/>
        <v>-4738.6134316733051</v>
      </c>
      <c r="L461" s="444">
        <f t="shared" ca="1" si="28"/>
        <v>-1142005.8370332664</v>
      </c>
      <c r="M461" s="460">
        <f t="shared" si="30"/>
        <v>0.05</v>
      </c>
      <c r="N461" s="464">
        <f t="shared" si="31"/>
        <v>65075</v>
      </c>
    </row>
    <row r="462" spans="7:14" ht="11.25" customHeight="1" x14ac:dyDescent="0.25">
      <c r="G462" s="459">
        <f t="shared" si="47"/>
        <v>38</v>
      </c>
      <c r="H462" s="459">
        <v>455</v>
      </c>
      <c r="I462" s="444">
        <f t="shared" ca="1" si="29"/>
        <v>-1142005.8370332664</v>
      </c>
      <c r="J462" s="444">
        <f t="array" ref="J462">IFERROR(INDEX('Retirement Calculator'!J:J,MATCH('Isaac 401k'!N462,'Retirement Calculator'!A:A,0),0),0)</f>
        <v>8395.6297298201844</v>
      </c>
      <c r="K462" s="444">
        <f t="shared" ca="1" si="27"/>
        <v>-4793.3394448461941</v>
      </c>
      <c r="L462" s="444">
        <f t="shared" ca="1" si="28"/>
        <v>-1155194.8062079328</v>
      </c>
      <c r="M462" s="460">
        <f t="shared" si="30"/>
        <v>0.05</v>
      </c>
      <c r="N462" s="464">
        <f t="shared" si="31"/>
        <v>65106</v>
      </c>
    </row>
    <row r="463" spans="7:14" ht="11.25" customHeight="1" x14ac:dyDescent="0.25">
      <c r="G463" s="459">
        <f t="shared" si="47"/>
        <v>38</v>
      </c>
      <c r="H463" s="459">
        <v>456</v>
      </c>
      <c r="I463" s="444">
        <f t="shared" ca="1" si="29"/>
        <v>-1155194.8062079328</v>
      </c>
      <c r="J463" s="444">
        <f t="array" ref="J463">IFERROR(INDEX('Retirement Calculator'!J:J,MATCH('Isaac 401k'!N463,'Retirement Calculator'!A:A,0),0),0)</f>
        <v>8395.6297298201844</v>
      </c>
      <c r="K463" s="444">
        <f t="shared" ca="1" si="27"/>
        <v>-4848.2934830739705</v>
      </c>
      <c r="L463" s="444">
        <f t="shared" ca="1" si="28"/>
        <v>-1168438.729420827</v>
      </c>
      <c r="M463" s="460">
        <f t="shared" si="30"/>
        <v>0.05</v>
      </c>
      <c r="N463" s="464">
        <f t="shared" si="31"/>
        <v>65136</v>
      </c>
    </row>
    <row r="464" spans="7:14" ht="11.25" customHeight="1" x14ac:dyDescent="0.25">
      <c r="G464" s="459">
        <f>G463+1</f>
        <v>39</v>
      </c>
      <c r="H464" s="459">
        <v>457</v>
      </c>
      <c r="I464" s="444">
        <f t="shared" ca="1" si="29"/>
        <v>-1168438.729420827</v>
      </c>
      <c r="J464" s="444">
        <f t="array" ref="J464">IFERROR(INDEX('Retirement Calculator'!J:J,MATCH('Isaac 401k'!N464,'Retirement Calculator'!A:A,0),0),0)</f>
        <v>8395.6297298201844</v>
      </c>
      <c r="K464" s="444">
        <f t="shared" ca="1" si="27"/>
        <v>-4903.4764964610295</v>
      </c>
      <c r="L464" s="444">
        <f t="shared" ca="1" si="28"/>
        <v>-1181737.8356471083</v>
      </c>
      <c r="M464" s="460">
        <f t="shared" si="30"/>
        <v>0.05</v>
      </c>
      <c r="N464" s="464">
        <f t="shared" si="31"/>
        <v>65167</v>
      </c>
    </row>
    <row r="465" spans="7:14" ht="11.25" customHeight="1" x14ac:dyDescent="0.25">
      <c r="G465" s="459">
        <f t="shared" ref="G465:G475" si="48">G464</f>
        <v>39</v>
      </c>
      <c r="H465" s="459">
        <v>458</v>
      </c>
      <c r="I465" s="444">
        <f t="shared" ca="1" si="29"/>
        <v>-1181737.8356471083</v>
      </c>
      <c r="J465" s="444">
        <f t="array" ref="J465">IFERROR(INDEX('Retirement Calculator'!J:J,MATCH('Isaac 401k'!N465,'Retirement Calculator'!A:A,0),0),0)</f>
        <v>8395.6297298201844</v>
      </c>
      <c r="K465" s="444">
        <f t="shared" ca="1" si="27"/>
        <v>-4958.8894390705354</v>
      </c>
      <c r="L465" s="444">
        <f t="shared" ca="1" si="28"/>
        <v>-1195092.354815999</v>
      </c>
      <c r="M465" s="460">
        <f t="shared" si="30"/>
        <v>0.05</v>
      </c>
      <c r="N465" s="464">
        <f t="shared" si="31"/>
        <v>65197</v>
      </c>
    </row>
    <row r="466" spans="7:14" ht="11.25" customHeight="1" x14ac:dyDescent="0.25">
      <c r="G466" s="459">
        <f t="shared" si="48"/>
        <v>39</v>
      </c>
      <c r="H466" s="459">
        <v>459</v>
      </c>
      <c r="I466" s="444">
        <f t="shared" ca="1" si="29"/>
        <v>-1195092.354815999</v>
      </c>
      <c r="J466" s="444">
        <f t="array" ref="J466">IFERROR(INDEX('Retirement Calculator'!J:J,MATCH('Isaac 401k'!N466,'Retirement Calculator'!A:A,0),0),0)</f>
        <v>8395.6297298201844</v>
      </c>
      <c r="K466" s="444">
        <f t="shared" ca="1" si="27"/>
        <v>-5014.5332689409133</v>
      </c>
      <c r="L466" s="444">
        <f t="shared" ca="1" si="28"/>
        <v>-1208502.5178147601</v>
      </c>
      <c r="M466" s="460">
        <f t="shared" si="30"/>
        <v>0.05</v>
      </c>
      <c r="N466" s="464">
        <f t="shared" si="31"/>
        <v>65228</v>
      </c>
    </row>
    <row r="467" spans="7:14" ht="11.25" customHeight="1" x14ac:dyDescent="0.25">
      <c r="G467" s="459">
        <f t="shared" si="48"/>
        <v>39</v>
      </c>
      <c r="H467" s="459">
        <v>460</v>
      </c>
      <c r="I467" s="444">
        <f t="shared" ca="1" si="29"/>
        <v>-1208502.5178147601</v>
      </c>
      <c r="J467" s="444">
        <f t="array" ref="J467">IFERROR(INDEX('Retirement Calculator'!J:J,MATCH('Isaac 401k'!N467,'Retirement Calculator'!A:A,0),0),0)</f>
        <v>8395.6297298201844</v>
      </c>
      <c r="K467" s="444">
        <f t="shared" ca="1" si="27"/>
        <v>-5070.4089481024175</v>
      </c>
      <c r="L467" s="444">
        <f t="shared" ca="1" si="28"/>
        <v>-1221968.5564926828</v>
      </c>
      <c r="M467" s="460">
        <f t="shared" si="30"/>
        <v>0.05</v>
      </c>
      <c r="N467" s="464">
        <f t="shared" si="31"/>
        <v>65259</v>
      </c>
    </row>
    <row r="468" spans="7:14" ht="11.25" customHeight="1" x14ac:dyDescent="0.25">
      <c r="G468" s="459">
        <f t="shared" si="48"/>
        <v>39</v>
      </c>
      <c r="H468" s="459">
        <v>461</v>
      </c>
      <c r="I468" s="444">
        <f t="shared" ca="1" si="29"/>
        <v>-1221968.5564926828</v>
      </c>
      <c r="J468" s="444">
        <f t="array" ref="J468">IFERROR(INDEX('Retirement Calculator'!J:J,MATCH('Isaac 401k'!N468,'Retirement Calculator'!A:A,0),0),0)</f>
        <v>8395.6297298201844</v>
      </c>
      <c r="K468" s="444">
        <f t="shared" ca="1" si="27"/>
        <v>-5126.5174425937621</v>
      </c>
      <c r="L468" s="444">
        <f t="shared" ca="1" si="28"/>
        <v>-1235490.7036650968</v>
      </c>
      <c r="M468" s="460">
        <f t="shared" si="30"/>
        <v>0.05</v>
      </c>
      <c r="N468" s="464">
        <f t="shared" si="31"/>
        <v>65289</v>
      </c>
    </row>
    <row r="469" spans="7:14" ht="11.25" customHeight="1" x14ac:dyDescent="0.25">
      <c r="G469" s="459">
        <f t="shared" si="48"/>
        <v>39</v>
      </c>
      <c r="H469" s="459">
        <v>462</v>
      </c>
      <c r="I469" s="444">
        <f t="shared" ca="1" si="29"/>
        <v>-1235490.7036650968</v>
      </c>
      <c r="J469" s="444">
        <f t="array" ref="J469">IFERROR(INDEX('Retirement Calculator'!J:J,MATCH('Isaac 401k'!N469,'Retirement Calculator'!A:A,0),0),0)</f>
        <v>8395.6297298201844</v>
      </c>
      <c r="K469" s="444">
        <f t="shared" ca="1" si="27"/>
        <v>-5182.8597224788209</v>
      </c>
      <c r="L469" s="444">
        <f t="shared" ca="1" si="28"/>
        <v>-1249069.1931173957</v>
      </c>
      <c r="M469" s="460">
        <f t="shared" si="30"/>
        <v>0.05</v>
      </c>
      <c r="N469" s="464">
        <f t="shared" si="31"/>
        <v>65320</v>
      </c>
    </row>
    <row r="470" spans="7:14" ht="11.25" customHeight="1" x14ac:dyDescent="0.25">
      <c r="G470" s="459">
        <f t="shared" si="48"/>
        <v>39</v>
      </c>
      <c r="H470" s="459">
        <v>463</v>
      </c>
      <c r="I470" s="444">
        <f t="shared" ca="1" si="29"/>
        <v>-1249069.1931173957</v>
      </c>
      <c r="J470" s="444">
        <f t="array" ref="J470">IFERROR(INDEX('Retirement Calculator'!J:J,MATCH('Isaac 401k'!N470,'Retirement Calculator'!A:A,0),0),0)</f>
        <v>8395.6297298201844</v>
      </c>
      <c r="K470" s="444">
        <f t="shared" ca="1" si="27"/>
        <v>-5239.4367618633996</v>
      </c>
      <c r="L470" s="444">
        <f t="shared" ca="1" si="28"/>
        <v>-1262704.2596090792</v>
      </c>
      <c r="M470" s="460">
        <f t="shared" si="30"/>
        <v>0.05</v>
      </c>
      <c r="N470" s="464">
        <f t="shared" si="31"/>
        <v>65350</v>
      </c>
    </row>
    <row r="471" spans="7:14" ht="11.25" customHeight="1" x14ac:dyDescent="0.25">
      <c r="G471" s="459">
        <f t="shared" si="48"/>
        <v>39</v>
      </c>
      <c r="H471" s="459">
        <v>464</v>
      </c>
      <c r="I471" s="444">
        <f t="shared" ca="1" si="29"/>
        <v>-1262704.2596090792</v>
      </c>
      <c r="J471" s="444">
        <f t="array" ref="J471">IFERROR(INDEX('Retirement Calculator'!J:J,MATCH('Isaac 401k'!N471,'Retirement Calculator'!A:A,0),0),0)</f>
        <v>8395.6297298201844</v>
      </c>
      <c r="K471" s="444">
        <f t="shared" ca="1" si="27"/>
        <v>-5296.2495389120804</v>
      </c>
      <c r="L471" s="444">
        <f t="shared" ca="1" si="28"/>
        <v>-1276396.1388778114</v>
      </c>
      <c r="M471" s="460">
        <f t="shared" si="30"/>
        <v>0.05</v>
      </c>
      <c r="N471" s="464">
        <f t="shared" si="31"/>
        <v>65381</v>
      </c>
    </row>
    <row r="472" spans="7:14" ht="11.25" customHeight="1" x14ac:dyDescent="0.25">
      <c r="G472" s="459">
        <f t="shared" si="48"/>
        <v>39</v>
      </c>
      <c r="H472" s="459">
        <v>465</v>
      </c>
      <c r="I472" s="444">
        <f t="shared" ca="1" si="29"/>
        <v>-1276396.1388778114</v>
      </c>
      <c r="J472" s="444">
        <f t="array" ref="J472">IFERROR(INDEX('Retirement Calculator'!J:J,MATCH('Isaac 401k'!N472,'Retirement Calculator'!A:A,0),0),0)</f>
        <v>8395.6297298201844</v>
      </c>
      <c r="K472" s="444">
        <f t="shared" ca="1" si="27"/>
        <v>-5353.2990358651314</v>
      </c>
      <c r="L472" s="444">
        <f t="shared" ca="1" si="28"/>
        <v>-1290145.0676434967</v>
      </c>
      <c r="M472" s="460">
        <f t="shared" si="30"/>
        <v>0.05</v>
      </c>
      <c r="N472" s="464">
        <f t="shared" si="31"/>
        <v>65412</v>
      </c>
    </row>
    <row r="473" spans="7:14" ht="11.25" customHeight="1" x14ac:dyDescent="0.25">
      <c r="G473" s="459">
        <f t="shared" si="48"/>
        <v>39</v>
      </c>
      <c r="H473" s="459">
        <v>466</v>
      </c>
      <c r="I473" s="444">
        <f t="shared" ca="1" si="29"/>
        <v>-1290145.0676434967</v>
      </c>
      <c r="J473" s="444">
        <f t="array" ref="J473">IFERROR(INDEX('Retirement Calculator'!J:J,MATCH('Isaac 401k'!N473,'Retirement Calculator'!A:A,0),0),0)</f>
        <v>8395.6297298201844</v>
      </c>
      <c r="K473" s="444">
        <f t="shared" ca="1" si="27"/>
        <v>-5410.5862390554867</v>
      </c>
      <c r="L473" s="444">
        <f t="shared" ca="1" si="28"/>
        <v>-1303951.2836123724</v>
      </c>
      <c r="M473" s="460">
        <f t="shared" si="30"/>
        <v>0.05</v>
      </c>
      <c r="N473" s="464">
        <f t="shared" si="31"/>
        <v>65440</v>
      </c>
    </row>
    <row r="474" spans="7:14" ht="11.25" customHeight="1" x14ac:dyDescent="0.25">
      <c r="G474" s="459">
        <f t="shared" si="48"/>
        <v>39</v>
      </c>
      <c r="H474" s="459">
        <v>467</v>
      </c>
      <c r="I474" s="444">
        <f t="shared" ca="1" si="29"/>
        <v>-1303951.2836123724</v>
      </c>
      <c r="J474" s="444">
        <f t="array" ref="J474">IFERROR(INDEX('Retirement Calculator'!J:J,MATCH('Isaac 401k'!N474,'Retirement Calculator'!A:A,0),0),0)</f>
        <v>8395.6297298201844</v>
      </c>
      <c r="K474" s="444">
        <f t="shared" ca="1" si="27"/>
        <v>-5468.1121389258024</v>
      </c>
      <c r="L474" s="444">
        <f t="shared" ca="1" si="28"/>
        <v>-1317815.0254811184</v>
      </c>
      <c r="M474" s="460">
        <f t="shared" si="30"/>
        <v>0.05</v>
      </c>
      <c r="N474" s="464">
        <f t="shared" si="31"/>
        <v>65471</v>
      </c>
    </row>
    <row r="475" spans="7:14" ht="11.25" customHeight="1" x14ac:dyDescent="0.25">
      <c r="G475" s="459">
        <f t="shared" si="48"/>
        <v>39</v>
      </c>
      <c r="H475" s="459">
        <v>468</v>
      </c>
      <c r="I475" s="444">
        <f t="shared" ca="1" si="29"/>
        <v>-1317815.0254811184</v>
      </c>
      <c r="J475" s="444">
        <f t="array" ref="J475">IFERROR(INDEX('Retirement Calculator'!J:J,MATCH('Isaac 401k'!N475,'Retirement Calculator'!A:A,0),0),0)</f>
        <v>8395.6297298201844</v>
      </c>
      <c r="K475" s="444">
        <f t="shared" ca="1" si="27"/>
        <v>-5525.8777300455768</v>
      </c>
      <c r="L475" s="444">
        <f t="shared" ca="1" si="28"/>
        <v>-1331736.532940984</v>
      </c>
      <c r="M475" s="460">
        <f t="shared" si="30"/>
        <v>0.05</v>
      </c>
      <c r="N475" s="464">
        <f t="shared" si="31"/>
        <v>65501</v>
      </c>
    </row>
    <row r="476" spans="7:14" ht="11.25" customHeight="1" x14ac:dyDescent="0.25">
      <c r="G476" s="459">
        <f>G475+1</f>
        <v>40</v>
      </c>
      <c r="H476" s="459">
        <v>469</v>
      </c>
      <c r="I476" s="444">
        <f t="shared" ca="1" si="29"/>
        <v>-1331736.532940984</v>
      </c>
      <c r="J476" s="444">
        <f t="array" ref="J476">IFERROR(INDEX('Retirement Calculator'!J:J,MATCH('Isaac 401k'!N476,'Retirement Calculator'!A:A,0),0),0)</f>
        <v>8395.6297298201844</v>
      </c>
      <c r="K476" s="444">
        <f t="shared" ca="1" si="27"/>
        <v>-5583.8840111283507</v>
      </c>
      <c r="L476" s="444">
        <f t="shared" ca="1" si="28"/>
        <v>-1345716.0466819326</v>
      </c>
      <c r="M476" s="460">
        <f t="shared" si="30"/>
        <v>0.05</v>
      </c>
      <c r="N476" s="464">
        <f t="shared" si="31"/>
        <v>65532</v>
      </c>
    </row>
    <row r="477" spans="7:14" ht="11.25" customHeight="1" x14ac:dyDescent="0.25">
      <c r="G477" s="459">
        <f t="shared" ref="G477:G487" si="49">G476</f>
        <v>40</v>
      </c>
      <c r="H477" s="459">
        <v>470</v>
      </c>
      <c r="I477" s="444">
        <f t="shared" ca="1" si="29"/>
        <v>-1345716.0466819326</v>
      </c>
      <c r="J477" s="444">
        <f t="array" ref="J477">IFERROR(INDEX('Retirement Calculator'!J:J,MATCH('Isaac 401k'!N477,'Retirement Calculator'!A:A,0),0),0)</f>
        <v>8395.6297298201844</v>
      </c>
      <c r="K477" s="444">
        <f t="shared" ca="1" si="27"/>
        <v>-5642.1319850489699</v>
      </c>
      <c r="L477" s="444">
        <f t="shared" ca="1" si="28"/>
        <v>-1359753.8083968018</v>
      </c>
      <c r="M477" s="460">
        <f t="shared" si="30"/>
        <v>0.05</v>
      </c>
      <c r="N477" s="464">
        <f t="shared" si="31"/>
        <v>65562</v>
      </c>
    </row>
    <row r="478" spans="7:14" ht="11.25" customHeight="1" x14ac:dyDescent="0.25">
      <c r="G478" s="459">
        <f t="shared" si="49"/>
        <v>40</v>
      </c>
      <c r="H478" s="459">
        <v>471</v>
      </c>
      <c r="I478" s="444">
        <f t="shared" ca="1" si="29"/>
        <v>-1359753.8083968018</v>
      </c>
      <c r="J478" s="444">
        <f t="array" ref="J478">IFERROR(INDEX('Retirement Calculator'!J:J,MATCH('Isaac 401k'!N478,'Retirement Calculator'!A:A,0),0),0)</f>
        <v>8395.6297298201844</v>
      </c>
      <c r="K478" s="444">
        <f t="shared" ca="1" si="27"/>
        <v>-5700.6226588609252</v>
      </c>
      <c r="L478" s="444">
        <f t="shared" ca="1" si="28"/>
        <v>-1373850.0607854829</v>
      </c>
      <c r="M478" s="460">
        <f t="shared" si="30"/>
        <v>0.05</v>
      </c>
      <c r="N478" s="464">
        <f t="shared" si="31"/>
        <v>65593</v>
      </c>
    </row>
    <row r="479" spans="7:14" ht="11.25" customHeight="1" x14ac:dyDescent="0.25">
      <c r="G479" s="459">
        <f t="shared" si="49"/>
        <v>40</v>
      </c>
      <c r="H479" s="459">
        <v>472</v>
      </c>
      <c r="I479" s="444">
        <f t="shared" ca="1" si="29"/>
        <v>-1373850.0607854829</v>
      </c>
      <c r="J479" s="444">
        <f t="array" ref="J479">IFERROR(INDEX('Retirement Calculator'!J:J,MATCH('Isaac 401k'!N479,'Retirement Calculator'!A:A,0),0),0)</f>
        <v>8395.6297298201844</v>
      </c>
      <c r="K479" s="444">
        <f t="shared" ca="1" si="27"/>
        <v>-5759.3570438137631</v>
      </c>
      <c r="L479" s="444">
        <f t="shared" ca="1" si="28"/>
        <v>-1388005.0475591167</v>
      </c>
      <c r="M479" s="460">
        <f t="shared" si="30"/>
        <v>0.05</v>
      </c>
      <c r="N479" s="464">
        <f t="shared" si="31"/>
        <v>65624</v>
      </c>
    </row>
    <row r="480" spans="7:14" ht="11.25" customHeight="1" x14ac:dyDescent="0.25">
      <c r="G480" s="459">
        <f t="shared" si="49"/>
        <v>40</v>
      </c>
      <c r="H480" s="459">
        <v>473</v>
      </c>
      <c r="I480" s="444">
        <f t="shared" ca="1" si="29"/>
        <v>-1388005.0475591167</v>
      </c>
      <c r="J480" s="444">
        <f t="array" ref="J480">IFERROR(INDEX('Retirement Calculator'!J:J,MATCH('Isaac 401k'!N480,'Retirement Calculator'!A:A,0),0),0)</f>
        <v>8395.6297298201844</v>
      </c>
      <c r="K480" s="444">
        <f t="shared" ca="1" si="27"/>
        <v>-5818.3361553705709</v>
      </c>
      <c r="L480" s="444">
        <f t="shared" ca="1" si="28"/>
        <v>-1402219.0134443075</v>
      </c>
      <c r="M480" s="460">
        <f t="shared" si="30"/>
        <v>0.05</v>
      </c>
      <c r="N480" s="464">
        <f t="shared" si="31"/>
        <v>65654</v>
      </c>
    </row>
    <row r="481" spans="7:14" ht="11.25" customHeight="1" x14ac:dyDescent="0.25">
      <c r="G481" s="459">
        <f t="shared" si="49"/>
        <v>40</v>
      </c>
      <c r="H481" s="459">
        <v>474</v>
      </c>
      <c r="I481" s="444">
        <f t="shared" ca="1" si="29"/>
        <v>-1402219.0134443075</v>
      </c>
      <c r="J481" s="444">
        <f t="array" ref="J481">IFERROR(INDEX('Retirement Calculator'!J:J,MATCH('Isaac 401k'!N481,'Retirement Calculator'!A:A,0),0),0)</f>
        <v>8395.6297298201844</v>
      </c>
      <c r="K481" s="444">
        <f t="shared" ca="1" si="27"/>
        <v>-5877.5610132255315</v>
      </c>
      <c r="L481" s="444">
        <f t="shared" ca="1" si="28"/>
        <v>-1416492.2041873531</v>
      </c>
      <c r="M481" s="460">
        <f t="shared" si="30"/>
        <v>0.05</v>
      </c>
      <c r="N481" s="464">
        <f t="shared" si="31"/>
        <v>65685</v>
      </c>
    </row>
    <row r="482" spans="7:14" ht="11.25" customHeight="1" x14ac:dyDescent="0.25">
      <c r="G482" s="459">
        <f t="shared" si="49"/>
        <v>40</v>
      </c>
      <c r="H482" s="459">
        <v>475</v>
      </c>
      <c r="I482" s="444">
        <f t="shared" ca="1" si="29"/>
        <v>-1416492.2041873531</v>
      </c>
      <c r="J482" s="444">
        <f t="array" ref="J482">IFERROR(INDEX('Retirement Calculator'!J:J,MATCH('Isaac 401k'!N482,'Retirement Calculator'!A:A,0),0),0)</f>
        <v>8395.6297298201844</v>
      </c>
      <c r="K482" s="444">
        <f t="shared" ca="1" si="27"/>
        <v>-5937.0326413215553</v>
      </c>
      <c r="L482" s="444">
        <f t="shared" ca="1" si="28"/>
        <v>-1430824.866558495</v>
      </c>
      <c r="M482" s="460">
        <f t="shared" si="30"/>
        <v>0.05</v>
      </c>
      <c r="N482" s="464">
        <f t="shared" si="31"/>
        <v>65715</v>
      </c>
    </row>
    <row r="483" spans="7:14" ht="11.25" customHeight="1" x14ac:dyDescent="0.25">
      <c r="G483" s="459">
        <f t="shared" si="49"/>
        <v>40</v>
      </c>
      <c r="H483" s="459">
        <v>476</v>
      </c>
      <c r="I483" s="444">
        <f t="shared" ca="1" si="29"/>
        <v>-1430824.866558495</v>
      </c>
      <c r="J483" s="444">
        <f t="array" ref="J483">IFERROR(INDEX('Retirement Calculator'!J:J,MATCH('Isaac 401k'!N483,'Retirement Calculator'!A:A,0),0),0)</f>
        <v>8395.6297298201844</v>
      </c>
      <c r="K483" s="444">
        <f t="shared" ca="1" si="27"/>
        <v>-5996.7520678679793</v>
      </c>
      <c r="L483" s="444">
        <f t="shared" ca="1" si="28"/>
        <v>-1445217.2483561831</v>
      </c>
      <c r="M483" s="460">
        <f t="shared" si="30"/>
        <v>0.05</v>
      </c>
      <c r="N483" s="464">
        <f t="shared" si="31"/>
        <v>65746</v>
      </c>
    </row>
    <row r="484" spans="7:14" ht="11.25" customHeight="1" x14ac:dyDescent="0.25">
      <c r="G484" s="459">
        <f t="shared" si="49"/>
        <v>40</v>
      </c>
      <c r="H484" s="459">
        <v>477</v>
      </c>
      <c r="I484" s="444">
        <f t="shared" ca="1" si="29"/>
        <v>-1445217.2483561831</v>
      </c>
      <c r="J484" s="444">
        <f t="array" ref="J484">IFERROR(INDEX('Retirement Calculator'!J:J,MATCH('Isaac 401k'!N484,'Retirement Calculator'!A:A,0),0),0)</f>
        <v>8395.6297298201844</v>
      </c>
      <c r="K484" s="444">
        <f t="shared" ca="1" si="27"/>
        <v>-6056.7203253583466</v>
      </c>
      <c r="L484" s="444">
        <f t="shared" ca="1" si="28"/>
        <v>-1459669.5984113617</v>
      </c>
      <c r="M484" s="460">
        <f t="shared" si="30"/>
        <v>0.05</v>
      </c>
      <c r="N484" s="464">
        <f t="shared" si="31"/>
        <v>65777</v>
      </c>
    </row>
    <row r="485" spans="7:14" ht="11.25" customHeight="1" x14ac:dyDescent="0.25">
      <c r="G485" s="459">
        <f t="shared" si="49"/>
        <v>40</v>
      </c>
      <c r="H485" s="459">
        <v>478</v>
      </c>
      <c r="I485" s="444">
        <f t="shared" ca="1" si="29"/>
        <v>-1459669.5984113617</v>
      </c>
      <c r="J485" s="444">
        <f t="array" ref="J485">IFERROR(INDEX('Retirement Calculator'!J:J,MATCH('Isaac 401k'!N485,'Retirement Calculator'!A:A,0),0),0)</f>
        <v>8395.6297298201844</v>
      </c>
      <c r="K485" s="444">
        <f t="shared" ca="1" si="27"/>
        <v>-6116.9384505882581</v>
      </c>
      <c r="L485" s="444">
        <f t="shared" ca="1" si="28"/>
        <v>-1474182.16659177</v>
      </c>
      <c r="M485" s="460">
        <f t="shared" si="30"/>
        <v>0.05</v>
      </c>
      <c r="N485" s="464">
        <f t="shared" si="31"/>
        <v>65806</v>
      </c>
    </row>
    <row r="486" spans="7:14" ht="11.25" customHeight="1" x14ac:dyDescent="0.25">
      <c r="G486" s="459">
        <f t="shared" si="49"/>
        <v>40</v>
      </c>
      <c r="H486" s="459">
        <v>479</v>
      </c>
      <c r="I486" s="444">
        <f t="shared" ca="1" si="29"/>
        <v>-1474182.16659177</v>
      </c>
      <c r="J486" s="444">
        <f t="array" ref="J486">IFERROR(INDEX('Retirement Calculator'!J:J,MATCH('Isaac 401k'!N486,'Retirement Calculator'!A:A,0),0),0)</f>
        <v>8395.6297298201844</v>
      </c>
      <c r="K486" s="444">
        <f t="shared" ca="1" si="27"/>
        <v>-6177.4074846732929</v>
      </c>
      <c r="L486" s="444">
        <f t="shared" ca="1" si="28"/>
        <v>-1488755.2038062634</v>
      </c>
      <c r="M486" s="460">
        <f t="shared" si="30"/>
        <v>0.05</v>
      </c>
      <c r="N486" s="464">
        <f t="shared" si="31"/>
        <v>65837</v>
      </c>
    </row>
    <row r="487" spans="7:14" ht="11.25" customHeight="1" x14ac:dyDescent="0.25">
      <c r="G487" s="459">
        <f t="shared" si="49"/>
        <v>40</v>
      </c>
      <c r="H487" s="459">
        <v>480</v>
      </c>
      <c r="I487" s="444">
        <f t="shared" ca="1" si="29"/>
        <v>-1488755.2038062634</v>
      </c>
      <c r="J487" s="444">
        <f t="array" ref="J487">IFERROR(INDEX('Retirement Calculator'!J:J,MATCH('Isaac 401k'!N487,'Retirement Calculator'!A:A,0),0),0)</f>
        <v>8395.6297298201844</v>
      </c>
      <c r="K487" s="444">
        <f t="shared" ca="1" si="27"/>
        <v>-6238.128473067015</v>
      </c>
      <c r="L487" s="444">
        <f t="shared" ca="1" si="28"/>
        <v>-1503388.9620091505</v>
      </c>
      <c r="M487" s="460">
        <f t="shared" si="30"/>
        <v>0.05</v>
      </c>
      <c r="N487" s="464">
        <f t="shared" si="31"/>
        <v>65867</v>
      </c>
    </row>
    <row r="488" spans="7:14" ht="11.25" customHeight="1" x14ac:dyDescent="0.25">
      <c r="G488" s="459">
        <f>G487+1</f>
        <v>41</v>
      </c>
      <c r="H488" s="459">
        <v>481</v>
      </c>
      <c r="I488" s="444">
        <f t="shared" ca="1" si="29"/>
        <v>-1503388.9620091505</v>
      </c>
      <c r="J488" s="444">
        <f t="array" ref="J488">IFERROR(INDEX('Retirement Calculator'!J:J,MATCH('Isaac 401k'!N488,'Retirement Calculator'!A:A,0),0),0)</f>
        <v>8395.6297298201844</v>
      </c>
      <c r="K488" s="444">
        <f t="shared" ca="1" si="27"/>
        <v>-6299.1024655790443</v>
      </c>
      <c r="L488" s="444">
        <f t="shared" ca="1" si="28"/>
        <v>-1518083.6942045498</v>
      </c>
      <c r="M488" s="460">
        <f t="shared" si="30"/>
        <v>0.05</v>
      </c>
      <c r="N488" s="464">
        <f t="shared" si="31"/>
        <v>65898</v>
      </c>
    </row>
    <row r="489" spans="7:14" ht="11.25" customHeight="1" x14ac:dyDescent="0.25">
      <c r="G489" s="459">
        <f t="shared" ref="G489:G499" si="50">G488</f>
        <v>41</v>
      </c>
      <c r="H489" s="459">
        <v>482</v>
      </c>
      <c r="I489" s="444">
        <f t="shared" ca="1" si="29"/>
        <v>-1518083.6942045498</v>
      </c>
      <c r="J489" s="444">
        <f t="array" ref="J489">IFERROR(INDEX('Retirement Calculator'!J:J,MATCH('Isaac 401k'!N489,'Retirement Calculator'!A:A,0),0),0)</f>
        <v>8395.6297298201844</v>
      </c>
      <c r="K489" s="444">
        <f t="shared" ca="1" si="27"/>
        <v>-6360.3305163932082</v>
      </c>
      <c r="L489" s="444">
        <f t="shared" ca="1" si="28"/>
        <v>-1532839.6544507632</v>
      </c>
      <c r="M489" s="460">
        <f t="shared" si="30"/>
        <v>0.05</v>
      </c>
      <c r="N489" s="464">
        <f t="shared" si="31"/>
        <v>65928</v>
      </c>
    </row>
    <row r="490" spans="7:14" ht="11.25" customHeight="1" x14ac:dyDescent="0.25">
      <c r="G490" s="459">
        <f t="shared" si="50"/>
        <v>41</v>
      </c>
      <c r="H490" s="459">
        <v>483</v>
      </c>
      <c r="I490" s="444">
        <f t="shared" ca="1" si="29"/>
        <v>-1532839.6544507632</v>
      </c>
      <c r="J490" s="444">
        <f t="array" ref="J490">IFERROR(INDEX('Retirement Calculator'!J:J,MATCH('Isaac 401k'!N490,'Retirement Calculator'!A:A,0),0),0)</f>
        <v>8395.6297298201844</v>
      </c>
      <c r="K490" s="444">
        <f t="shared" ca="1" si="27"/>
        <v>-6421.8136840857642</v>
      </c>
      <c r="L490" s="444">
        <f t="shared" ca="1" si="28"/>
        <v>-1547657.0978646693</v>
      </c>
      <c r="M490" s="460">
        <f t="shared" si="30"/>
        <v>0.05</v>
      </c>
      <c r="N490" s="464">
        <f t="shared" si="31"/>
        <v>65959</v>
      </c>
    </row>
    <row r="491" spans="7:14" ht="11.25" customHeight="1" x14ac:dyDescent="0.25">
      <c r="G491" s="459">
        <f t="shared" si="50"/>
        <v>41</v>
      </c>
      <c r="H491" s="459">
        <v>484</v>
      </c>
      <c r="I491" s="444">
        <f t="shared" ca="1" si="29"/>
        <v>-1547657.0978646693</v>
      </c>
      <c r="J491" s="444">
        <f t="array" ref="J491">IFERROR(INDEX('Retirement Calculator'!J:J,MATCH('Isaac 401k'!N491,'Retirement Calculator'!A:A,0),0),0)</f>
        <v>8395.6297298201844</v>
      </c>
      <c r="K491" s="444">
        <f t="shared" ca="1" si="27"/>
        <v>-6483.5530316437062</v>
      </c>
      <c r="L491" s="444">
        <f t="shared" ca="1" si="28"/>
        <v>-1562536.2806261331</v>
      </c>
      <c r="M491" s="460">
        <f t="shared" si="30"/>
        <v>0.05</v>
      </c>
      <c r="N491" s="464">
        <f t="shared" si="31"/>
        <v>65990</v>
      </c>
    </row>
    <row r="492" spans="7:14" ht="11.25" customHeight="1" x14ac:dyDescent="0.25">
      <c r="G492" s="459">
        <f t="shared" si="50"/>
        <v>41</v>
      </c>
      <c r="H492" s="459">
        <v>485</v>
      </c>
      <c r="I492" s="444">
        <f t="shared" ca="1" si="29"/>
        <v>-1562536.2806261331</v>
      </c>
      <c r="J492" s="444">
        <f t="array" ref="J492">IFERROR(INDEX('Retirement Calculator'!J:J,MATCH('Isaac 401k'!N492,'Retirement Calculator'!A:A,0),0),0)</f>
        <v>8395.6297298201844</v>
      </c>
      <c r="K492" s="444">
        <f t="shared" ca="1" si="27"/>
        <v>-6545.5496264831381</v>
      </c>
      <c r="L492" s="444">
        <f t="shared" ca="1" si="28"/>
        <v>-1577477.4599824364</v>
      </c>
      <c r="M492" s="460">
        <f t="shared" si="30"/>
        <v>0.05</v>
      </c>
      <c r="N492" s="464">
        <f t="shared" si="31"/>
        <v>66020</v>
      </c>
    </row>
    <row r="493" spans="7:14" ht="11.25" customHeight="1" x14ac:dyDescent="0.25">
      <c r="G493" s="459">
        <f t="shared" si="50"/>
        <v>41</v>
      </c>
      <c r="H493" s="459">
        <v>486</v>
      </c>
      <c r="I493" s="444">
        <f t="shared" ca="1" si="29"/>
        <v>-1577477.4599824364</v>
      </c>
      <c r="J493" s="444">
        <f t="array" ref="J493">IFERROR(INDEX('Retirement Calculator'!J:J,MATCH('Isaac 401k'!N493,'Retirement Calculator'!A:A,0),0),0)</f>
        <v>8395.6297298201844</v>
      </c>
      <c r="K493" s="444">
        <f t="shared" ca="1" si="27"/>
        <v>-6607.8045404677359</v>
      </c>
      <c r="L493" s="444">
        <f t="shared" ca="1" si="28"/>
        <v>-1592480.8942527242</v>
      </c>
      <c r="M493" s="460">
        <f t="shared" si="30"/>
        <v>0.05</v>
      </c>
      <c r="N493" s="464">
        <f t="shared" si="31"/>
        <v>66051</v>
      </c>
    </row>
    <row r="494" spans="7:14" ht="11.25" customHeight="1" x14ac:dyDescent="0.25">
      <c r="G494" s="459">
        <f t="shared" si="50"/>
        <v>41</v>
      </c>
      <c r="H494" s="459">
        <v>487</v>
      </c>
      <c r="I494" s="444">
        <f t="shared" ca="1" si="29"/>
        <v>-1592480.8942527242</v>
      </c>
      <c r="J494" s="444">
        <f t="array" ref="J494">IFERROR(INDEX('Retirement Calculator'!J:J,MATCH('Isaac 401k'!N494,'Retirement Calculator'!A:A,0),0),0)</f>
        <v>8395.6297298201844</v>
      </c>
      <c r="K494" s="444">
        <f t="shared" ca="1" si="27"/>
        <v>-6670.3188499272683</v>
      </c>
      <c r="L494" s="444">
        <f t="shared" ca="1" si="28"/>
        <v>-1607546.8428324717</v>
      </c>
      <c r="M494" s="460">
        <f t="shared" si="30"/>
        <v>0.05</v>
      </c>
      <c r="N494" s="464">
        <f t="shared" si="31"/>
        <v>66081</v>
      </c>
    </row>
    <row r="495" spans="7:14" ht="11.25" customHeight="1" x14ac:dyDescent="0.25">
      <c r="G495" s="459">
        <f t="shared" si="50"/>
        <v>41</v>
      </c>
      <c r="H495" s="459">
        <v>488</v>
      </c>
      <c r="I495" s="444">
        <f t="shared" ca="1" si="29"/>
        <v>-1607546.8428324717</v>
      </c>
      <c r="J495" s="444">
        <f t="array" ref="J495">IFERROR(INDEX('Retirement Calculator'!J:J,MATCH('Isaac 401k'!N495,'Retirement Calculator'!A:A,0),0),0)</f>
        <v>8395.6297298201844</v>
      </c>
      <c r="K495" s="444">
        <f t="shared" ca="1" si="27"/>
        <v>-6733.0936356762159</v>
      </c>
      <c r="L495" s="444">
        <f t="shared" ca="1" si="28"/>
        <v>-1622675.5661979681</v>
      </c>
      <c r="M495" s="460">
        <f t="shared" si="30"/>
        <v>0.05</v>
      </c>
      <c r="N495" s="464">
        <f t="shared" si="31"/>
        <v>66112</v>
      </c>
    </row>
    <row r="496" spans="7:14" ht="11.25" customHeight="1" x14ac:dyDescent="0.25">
      <c r="G496" s="459">
        <f t="shared" si="50"/>
        <v>41</v>
      </c>
      <c r="H496" s="459">
        <v>489</v>
      </c>
      <c r="I496" s="444">
        <f t="shared" ca="1" si="29"/>
        <v>-1622675.5661979681</v>
      </c>
      <c r="J496" s="444">
        <f t="array" ref="J496">IFERROR(INDEX('Retirement Calculator'!J:J,MATCH('Isaac 401k'!N496,'Retirement Calculator'!A:A,0),0),0)</f>
        <v>8395.6297298201844</v>
      </c>
      <c r="K496" s="444">
        <f t="shared" ca="1" si="27"/>
        <v>-6796.1299830324506</v>
      </c>
      <c r="L496" s="444">
        <f t="shared" ca="1" si="28"/>
        <v>-1637867.3259108206</v>
      </c>
      <c r="M496" s="460">
        <f t="shared" si="30"/>
        <v>0.05</v>
      </c>
      <c r="N496" s="464">
        <f t="shared" si="31"/>
        <v>66143</v>
      </c>
    </row>
    <row r="497" spans="7:14" ht="11.25" customHeight="1" x14ac:dyDescent="0.25">
      <c r="G497" s="459">
        <f t="shared" si="50"/>
        <v>41</v>
      </c>
      <c r="H497" s="459">
        <v>490</v>
      </c>
      <c r="I497" s="444">
        <f t="shared" ca="1" si="29"/>
        <v>-1637867.3259108206</v>
      </c>
      <c r="J497" s="444">
        <f t="array" ref="J497">IFERROR(INDEX('Retirement Calculator'!J:J,MATCH('Isaac 401k'!N497,'Retirement Calculator'!A:A,0),0),0)</f>
        <v>8395.6297298201844</v>
      </c>
      <c r="K497" s="444">
        <f t="shared" ca="1" si="27"/>
        <v>-6859.428981836003</v>
      </c>
      <c r="L497" s="444">
        <f t="shared" ca="1" si="28"/>
        <v>-1653122.3846224768</v>
      </c>
      <c r="M497" s="460">
        <f t="shared" si="30"/>
        <v>0.05</v>
      </c>
      <c r="N497" s="464">
        <f t="shared" si="31"/>
        <v>66171</v>
      </c>
    </row>
    <row r="498" spans="7:14" ht="11.25" customHeight="1" x14ac:dyDescent="0.25">
      <c r="G498" s="459">
        <f t="shared" si="50"/>
        <v>41</v>
      </c>
      <c r="H498" s="459">
        <v>491</v>
      </c>
      <c r="I498" s="444">
        <f t="shared" ca="1" si="29"/>
        <v>-1653122.3846224768</v>
      </c>
      <c r="J498" s="444">
        <f t="array" ref="J498">IFERROR(INDEX('Retirement Calculator'!J:J,MATCH('Isaac 401k'!N498,'Retirement Calculator'!A:A,0),0),0)</f>
        <v>8395.6297298201844</v>
      </c>
      <c r="K498" s="444">
        <f t="shared" ca="1" si="27"/>
        <v>-6922.9917264679034</v>
      </c>
      <c r="L498" s="444">
        <f t="shared" ca="1" si="28"/>
        <v>-1668441.0060787648</v>
      </c>
      <c r="M498" s="460">
        <f t="shared" si="30"/>
        <v>0.05</v>
      </c>
      <c r="N498" s="464">
        <f t="shared" si="31"/>
        <v>66202</v>
      </c>
    </row>
    <row r="499" spans="7:14" ht="11.25" customHeight="1" x14ac:dyDescent="0.25">
      <c r="G499" s="459">
        <f t="shared" si="50"/>
        <v>41</v>
      </c>
      <c r="H499" s="459">
        <v>492</v>
      </c>
      <c r="I499" s="444">
        <f t="shared" ca="1" si="29"/>
        <v>-1668441.0060787648</v>
      </c>
      <c r="J499" s="444">
        <f t="array" ref="J499">IFERROR(INDEX('Retirement Calculator'!J:J,MATCH('Isaac 401k'!N499,'Retirement Calculator'!A:A,0),0),0)</f>
        <v>8395.6297298201844</v>
      </c>
      <c r="K499" s="444">
        <f t="shared" ca="1" si="27"/>
        <v>-6986.8193158691038</v>
      </c>
      <c r="L499" s="444">
        <f t="shared" ca="1" si="28"/>
        <v>-1683823.4551244541</v>
      </c>
      <c r="M499" s="460">
        <f t="shared" si="30"/>
        <v>0.05</v>
      </c>
      <c r="N499" s="464">
        <f t="shared" si="31"/>
        <v>66232</v>
      </c>
    </row>
    <row r="500" spans="7:14" ht="11.25" customHeight="1" x14ac:dyDescent="0.25">
      <c r="G500" s="459">
        <f>G499+1</f>
        <v>42</v>
      </c>
      <c r="H500" s="459">
        <v>493</v>
      </c>
      <c r="I500" s="444">
        <f t="shared" ca="1" si="29"/>
        <v>-1683823.4551244541</v>
      </c>
      <c r="J500" s="444">
        <f t="array" ref="J500">IFERROR(INDEX('Retirement Calculator'!J:J,MATCH('Isaac 401k'!N500,'Retirement Calculator'!A:A,0),0),0)</f>
        <v>8395.6297298201844</v>
      </c>
      <c r="K500" s="444">
        <f t="shared" ca="1" si="27"/>
        <v>-7050.9128535594764</v>
      </c>
      <c r="L500" s="444">
        <f t="shared" ca="1" si="28"/>
        <v>-1699269.9977078338</v>
      </c>
      <c r="M500" s="460">
        <f t="shared" si="30"/>
        <v>0.05</v>
      </c>
      <c r="N500" s="464">
        <f t="shared" si="31"/>
        <v>66263</v>
      </c>
    </row>
    <row r="501" spans="7:14" ht="11.25" customHeight="1" x14ac:dyDescent="0.25">
      <c r="G501" s="459">
        <f t="shared" ref="G501:G511" si="51">G500</f>
        <v>42</v>
      </c>
      <c r="H501" s="459">
        <v>494</v>
      </c>
      <c r="I501" s="444">
        <f t="shared" ca="1" si="29"/>
        <v>-1699269.9977078338</v>
      </c>
      <c r="J501" s="444">
        <f t="array" ref="J501">IFERROR(INDEX('Retirement Calculator'!J:J,MATCH('Isaac 401k'!N501,'Retirement Calculator'!A:A,0),0),0)</f>
        <v>8395.6297298201844</v>
      </c>
      <c r="K501" s="444">
        <f t="shared" ca="1" si="27"/>
        <v>-7115.2734476568912</v>
      </c>
      <c r="L501" s="444">
        <f t="shared" ca="1" si="28"/>
        <v>-1714780.900885311</v>
      </c>
      <c r="M501" s="460">
        <f t="shared" si="30"/>
        <v>0.05</v>
      </c>
      <c r="N501" s="464">
        <f t="shared" si="31"/>
        <v>66293</v>
      </c>
    </row>
    <row r="502" spans="7:14" ht="11.25" customHeight="1" x14ac:dyDescent="0.25">
      <c r="G502" s="459">
        <f t="shared" si="51"/>
        <v>42</v>
      </c>
      <c r="H502" s="459">
        <v>495</v>
      </c>
      <c r="I502" s="444">
        <f t="shared" ca="1" si="29"/>
        <v>-1714780.900885311</v>
      </c>
      <c r="J502" s="444">
        <f t="array" ref="J502">IFERROR(INDEX('Retirement Calculator'!J:J,MATCH('Isaac 401k'!N502,'Retirement Calculator'!A:A,0),0),0)</f>
        <v>8395.6297298201844</v>
      </c>
      <c r="K502" s="444">
        <f t="shared" ca="1" si="27"/>
        <v>-7179.90221089638</v>
      </c>
      <c r="L502" s="444">
        <f t="shared" ca="1" si="28"/>
        <v>-1730356.4328260275</v>
      </c>
      <c r="M502" s="460">
        <f t="shared" si="30"/>
        <v>0.05</v>
      </c>
      <c r="N502" s="464">
        <f t="shared" si="31"/>
        <v>66324</v>
      </c>
    </row>
    <row r="503" spans="7:14" ht="11.25" customHeight="1" x14ac:dyDescent="0.25">
      <c r="G503" s="459">
        <f t="shared" si="51"/>
        <v>42</v>
      </c>
      <c r="H503" s="459">
        <v>496</v>
      </c>
      <c r="I503" s="444">
        <f t="shared" ca="1" si="29"/>
        <v>-1730356.4328260275</v>
      </c>
      <c r="J503" s="444">
        <f t="array" ref="J503">IFERROR(INDEX('Retirement Calculator'!J:J,MATCH('Isaac 401k'!N503,'Retirement Calculator'!A:A,0),0),0)</f>
        <v>8395.6297298201844</v>
      </c>
      <c r="K503" s="444">
        <f t="shared" ca="1" si="27"/>
        <v>-7244.8002606493646</v>
      </c>
      <c r="L503" s="444">
        <f t="shared" ca="1" si="28"/>
        <v>-1745996.862816497</v>
      </c>
      <c r="M503" s="460">
        <f t="shared" si="30"/>
        <v>0.05</v>
      </c>
      <c r="N503" s="464">
        <f t="shared" si="31"/>
        <v>66355</v>
      </c>
    </row>
    <row r="504" spans="7:14" ht="11.25" customHeight="1" x14ac:dyDescent="0.25">
      <c r="G504" s="459">
        <f t="shared" si="51"/>
        <v>42</v>
      </c>
      <c r="H504" s="459">
        <v>497</v>
      </c>
      <c r="I504" s="444">
        <f t="shared" ca="1" si="29"/>
        <v>-1745996.862816497</v>
      </c>
      <c r="J504" s="444">
        <f t="array" ref="J504">IFERROR(INDEX('Retirement Calculator'!J:J,MATCH('Isaac 401k'!N504,'Retirement Calculator'!A:A,0),0),0)</f>
        <v>8395.6297298201844</v>
      </c>
      <c r="K504" s="444">
        <f t="shared" ca="1" si="27"/>
        <v>-7309.9687189429878</v>
      </c>
      <c r="L504" s="444">
        <f t="shared" ca="1" si="28"/>
        <v>-1761702.4612652601</v>
      </c>
      <c r="M504" s="460">
        <f t="shared" si="30"/>
        <v>0.05</v>
      </c>
      <c r="N504" s="464">
        <f t="shared" si="31"/>
        <v>66385</v>
      </c>
    </row>
    <row r="505" spans="7:14" ht="11.25" customHeight="1" x14ac:dyDescent="0.25">
      <c r="G505" s="459">
        <f t="shared" si="51"/>
        <v>42</v>
      </c>
      <c r="H505" s="459">
        <v>498</v>
      </c>
      <c r="I505" s="444">
        <f t="shared" ca="1" si="29"/>
        <v>-1761702.4612652601</v>
      </c>
      <c r="J505" s="444">
        <f t="array" ref="J505">IFERROR(INDEX('Retirement Calculator'!J:J,MATCH('Isaac 401k'!N505,'Retirement Calculator'!A:A,0),0),0)</f>
        <v>8395.6297298201844</v>
      </c>
      <c r="K505" s="444">
        <f t="shared" ca="1" si="27"/>
        <v>-7375.4087124795014</v>
      </c>
      <c r="L505" s="444">
        <f t="shared" ca="1" si="28"/>
        <v>-1777473.4997075598</v>
      </c>
      <c r="M505" s="460">
        <f t="shared" si="30"/>
        <v>0.05</v>
      </c>
      <c r="N505" s="464">
        <f t="shared" si="31"/>
        <v>66416</v>
      </c>
    </row>
    <row r="506" spans="7:14" ht="11.25" customHeight="1" x14ac:dyDescent="0.25">
      <c r="G506" s="459">
        <f t="shared" si="51"/>
        <v>42</v>
      </c>
      <c r="H506" s="459">
        <v>499</v>
      </c>
      <c r="I506" s="444">
        <f t="shared" ca="1" si="29"/>
        <v>-1777473.4997075598</v>
      </c>
      <c r="J506" s="444">
        <f t="array" ref="J506">IFERROR(INDEX('Retirement Calculator'!J:J,MATCH('Isaac 401k'!N506,'Retirement Calculator'!A:A,0),0),0)</f>
        <v>8395.6297298201844</v>
      </c>
      <c r="K506" s="444">
        <f t="shared" ca="1" si="27"/>
        <v>-7441.1213726557498</v>
      </c>
      <c r="L506" s="444">
        <f t="shared" ca="1" si="28"/>
        <v>-1793310.2508100357</v>
      </c>
      <c r="M506" s="460">
        <f t="shared" si="30"/>
        <v>0.05</v>
      </c>
      <c r="N506" s="464">
        <f t="shared" si="31"/>
        <v>66446</v>
      </c>
    </row>
    <row r="507" spans="7:14" ht="11.25" customHeight="1" x14ac:dyDescent="0.25">
      <c r="G507" s="459">
        <f t="shared" si="51"/>
        <v>42</v>
      </c>
      <c r="H507" s="459">
        <v>500</v>
      </c>
      <c r="I507" s="444">
        <f t="shared" ca="1" si="29"/>
        <v>-1793310.2508100357</v>
      </c>
      <c r="J507" s="444">
        <f t="array" ref="J507">IFERROR(INDEX('Retirement Calculator'!J:J,MATCH('Isaac 401k'!N507,'Retirement Calculator'!A:A,0),0),0)</f>
        <v>8395.6297298201844</v>
      </c>
      <c r="K507" s="444">
        <f t="shared" ca="1" si="27"/>
        <v>-7507.1078355827331</v>
      </c>
      <c r="L507" s="444">
        <f t="shared" ca="1" si="28"/>
        <v>-1809212.9883754386</v>
      </c>
      <c r="M507" s="460">
        <f t="shared" si="30"/>
        <v>0.05</v>
      </c>
      <c r="N507" s="464">
        <f t="shared" si="31"/>
        <v>66477</v>
      </c>
    </row>
    <row r="508" spans="7:14" ht="11.25" customHeight="1" x14ac:dyDescent="0.25">
      <c r="G508" s="459">
        <f t="shared" si="51"/>
        <v>42</v>
      </c>
      <c r="H508" s="459">
        <v>501</v>
      </c>
      <c r="I508" s="444">
        <f t="shared" ca="1" si="29"/>
        <v>-1809212.9883754386</v>
      </c>
      <c r="J508" s="444">
        <f t="array" ref="J508">IFERROR(INDEX('Retirement Calculator'!J:J,MATCH('Isaac 401k'!N508,'Retirement Calculator'!A:A,0),0),0)</f>
        <v>8395.6297298201844</v>
      </c>
      <c r="K508" s="444">
        <f t="shared" ca="1" si="27"/>
        <v>-7573.3692421052447</v>
      </c>
      <c r="L508" s="444">
        <f t="shared" ca="1" si="28"/>
        <v>-1825181.987347364</v>
      </c>
      <c r="M508" s="460">
        <f t="shared" si="30"/>
        <v>0.05</v>
      </c>
      <c r="N508" s="464">
        <f t="shared" si="31"/>
        <v>66508</v>
      </c>
    </row>
    <row r="509" spans="7:14" ht="11.25" customHeight="1" x14ac:dyDescent="0.25">
      <c r="G509" s="459">
        <f t="shared" si="51"/>
        <v>42</v>
      </c>
      <c r="H509" s="459">
        <v>502</v>
      </c>
      <c r="I509" s="444">
        <f t="shared" ca="1" si="29"/>
        <v>-1825181.987347364</v>
      </c>
      <c r="J509" s="444">
        <f t="array" ref="J509">IFERROR(INDEX('Retirement Calculator'!J:J,MATCH('Isaac 401k'!N509,'Retirement Calculator'!A:A,0),0),0)</f>
        <v>8395.6297298201844</v>
      </c>
      <c r="K509" s="444">
        <f t="shared" ca="1" si="27"/>
        <v>-7639.9067378215996</v>
      </c>
      <c r="L509" s="444">
        <f t="shared" ca="1" si="28"/>
        <v>-1841217.5238150058</v>
      </c>
      <c r="M509" s="460">
        <f t="shared" si="30"/>
        <v>0.05</v>
      </c>
      <c r="N509" s="464">
        <f t="shared" si="31"/>
        <v>66536</v>
      </c>
    </row>
    <row r="510" spans="7:14" ht="11.25" customHeight="1" x14ac:dyDescent="0.25">
      <c r="G510" s="459">
        <f t="shared" si="51"/>
        <v>42</v>
      </c>
      <c r="H510" s="459">
        <v>503</v>
      </c>
      <c r="I510" s="444">
        <f t="shared" ca="1" si="29"/>
        <v>-1841217.5238150058</v>
      </c>
      <c r="J510" s="444">
        <f t="array" ref="J510">IFERROR(INDEX('Retirement Calculator'!J:J,MATCH('Isaac 401k'!N510,'Retirement Calculator'!A:A,0),0),0)</f>
        <v>8395.6297298201844</v>
      </c>
      <c r="K510" s="444">
        <f t="shared" ca="1" si="27"/>
        <v>-7706.721473103441</v>
      </c>
      <c r="L510" s="444">
        <f t="shared" ca="1" si="28"/>
        <v>-1857319.8750179294</v>
      </c>
      <c r="M510" s="460">
        <f t="shared" si="30"/>
        <v>0.05</v>
      </c>
      <c r="N510" s="464">
        <f t="shared" si="31"/>
        <v>66567</v>
      </c>
    </row>
    <row r="511" spans="7:14" ht="11.25" customHeight="1" x14ac:dyDescent="0.25">
      <c r="G511" s="459">
        <f t="shared" si="51"/>
        <v>42</v>
      </c>
      <c r="H511" s="459">
        <v>504</v>
      </c>
      <c r="I511" s="444">
        <f t="shared" ca="1" si="29"/>
        <v>-1857319.8750179294</v>
      </c>
      <c r="J511" s="444">
        <f t="array" ref="J511">IFERROR(INDEX('Retirement Calculator'!J:J,MATCH('Isaac 401k'!N511,'Retirement Calculator'!A:A,0),0),0)</f>
        <v>8395.6297298201844</v>
      </c>
      <c r="K511" s="444">
        <f t="shared" ca="1" si="27"/>
        <v>-7773.814603115622</v>
      </c>
      <c r="L511" s="444">
        <f t="shared" ca="1" si="28"/>
        <v>-1873489.3193508652</v>
      </c>
      <c r="M511" s="460">
        <f t="shared" si="30"/>
        <v>0.05</v>
      </c>
      <c r="N511" s="464">
        <f t="shared" si="31"/>
        <v>66597</v>
      </c>
    </row>
    <row r="512" spans="7:14" ht="11.25" customHeight="1" x14ac:dyDescent="0.25">
      <c r="G512" s="459">
        <f>G511+1</f>
        <v>43</v>
      </c>
      <c r="H512" s="459">
        <v>505</v>
      </c>
      <c r="I512" s="444">
        <f t="shared" ca="1" si="29"/>
        <v>-1873489.3193508652</v>
      </c>
      <c r="J512" s="444">
        <f t="array" ref="J512">IFERROR(INDEX('Retirement Calculator'!J:J,MATCH('Isaac 401k'!N512,'Retirement Calculator'!A:A,0),0),0)</f>
        <v>8395.6297298201844</v>
      </c>
      <c r="K512" s="444">
        <f t="shared" ca="1" si="27"/>
        <v>-7841.1872878361901</v>
      </c>
      <c r="L512" s="444">
        <f t="shared" ca="1" si="28"/>
        <v>-1889726.1363685215</v>
      </c>
      <c r="M512" s="460">
        <f t="shared" si="30"/>
        <v>0.05</v>
      </c>
      <c r="N512" s="464">
        <f t="shared" si="31"/>
        <v>66628</v>
      </c>
    </row>
    <row r="513" spans="7:14" ht="11.25" customHeight="1" x14ac:dyDescent="0.25">
      <c r="G513" s="459">
        <f t="shared" ref="G513:G523" si="52">G512</f>
        <v>43</v>
      </c>
      <c r="H513" s="459">
        <v>506</v>
      </c>
      <c r="I513" s="444">
        <f t="shared" ca="1" si="29"/>
        <v>-1889726.1363685215</v>
      </c>
      <c r="J513" s="444">
        <f t="array" ref="J513">IFERROR(INDEX('Retirement Calculator'!J:J,MATCH('Isaac 401k'!N513,'Retirement Calculator'!A:A,0),0),0)</f>
        <v>8395.6297298201844</v>
      </c>
      <c r="K513" s="444">
        <f t="shared" ca="1" si="27"/>
        <v>-7908.8406920764237</v>
      </c>
      <c r="L513" s="444">
        <f t="shared" ca="1" si="28"/>
        <v>-1906030.606790418</v>
      </c>
      <c r="M513" s="460">
        <f t="shared" si="30"/>
        <v>0.05</v>
      </c>
      <c r="N513" s="464">
        <f t="shared" si="31"/>
        <v>66658</v>
      </c>
    </row>
    <row r="514" spans="7:14" ht="11.25" customHeight="1" x14ac:dyDescent="0.25">
      <c r="G514" s="459">
        <f t="shared" si="52"/>
        <v>43</v>
      </c>
      <c r="H514" s="459">
        <v>507</v>
      </c>
      <c r="I514" s="444">
        <f t="shared" ca="1" si="29"/>
        <v>-1906030.606790418</v>
      </c>
      <c r="J514" s="444">
        <f t="array" ref="J514">IFERROR(INDEX('Retirement Calculator'!J:J,MATCH('Isaac 401k'!N514,'Retirement Calculator'!A:A,0),0),0)</f>
        <v>8395.6297298201844</v>
      </c>
      <c r="K514" s="444">
        <f t="shared" ca="1" si="27"/>
        <v>-7976.7759855009926</v>
      </c>
      <c r="L514" s="444">
        <f t="shared" ca="1" si="28"/>
        <v>-1922403.0125057392</v>
      </c>
      <c r="M514" s="460">
        <f t="shared" si="30"/>
        <v>0.05</v>
      </c>
      <c r="N514" s="464">
        <f t="shared" si="31"/>
        <v>66689</v>
      </c>
    </row>
    <row r="515" spans="7:14" ht="11.25" customHeight="1" x14ac:dyDescent="0.25">
      <c r="G515" s="459">
        <f t="shared" si="52"/>
        <v>43</v>
      </c>
      <c r="H515" s="459">
        <v>508</v>
      </c>
      <c r="I515" s="444">
        <f t="shared" ca="1" si="29"/>
        <v>-1922403.0125057392</v>
      </c>
      <c r="J515" s="444">
        <f t="array" ref="J515">IFERROR(INDEX('Retirement Calculator'!J:J,MATCH('Isaac 401k'!N515,'Retirement Calculator'!A:A,0),0),0)</f>
        <v>8395.6297298201844</v>
      </c>
      <c r="K515" s="444">
        <f t="shared" ca="1" si="27"/>
        <v>-8044.9943426481641</v>
      </c>
      <c r="L515" s="444">
        <f t="shared" ca="1" si="28"/>
        <v>-1938843.6365782076</v>
      </c>
      <c r="M515" s="460">
        <f t="shared" si="30"/>
        <v>0.05</v>
      </c>
      <c r="N515" s="464">
        <f t="shared" si="31"/>
        <v>66720</v>
      </c>
    </row>
    <row r="516" spans="7:14" ht="11.25" customHeight="1" x14ac:dyDescent="0.25">
      <c r="G516" s="459">
        <f t="shared" si="52"/>
        <v>43</v>
      </c>
      <c r="H516" s="459">
        <v>509</v>
      </c>
      <c r="I516" s="444">
        <f t="shared" ca="1" si="29"/>
        <v>-1938843.6365782076</v>
      </c>
      <c r="J516" s="444">
        <f t="array" ref="J516">IFERROR(INDEX('Retirement Calculator'!J:J,MATCH('Isaac 401k'!N516,'Retirement Calculator'!A:A,0),0),0)</f>
        <v>8395.6297298201844</v>
      </c>
      <c r="K516" s="444">
        <f t="shared" ca="1" si="27"/>
        <v>-8113.4969429501143</v>
      </c>
      <c r="L516" s="444">
        <f t="shared" ca="1" si="28"/>
        <v>-1955352.763250978</v>
      </c>
      <c r="M516" s="460">
        <f t="shared" si="30"/>
        <v>0.05</v>
      </c>
      <c r="N516" s="464">
        <f t="shared" si="31"/>
        <v>66750</v>
      </c>
    </row>
    <row r="517" spans="7:14" ht="11.25" customHeight="1" x14ac:dyDescent="0.25">
      <c r="G517" s="459">
        <f t="shared" si="52"/>
        <v>43</v>
      </c>
      <c r="H517" s="459">
        <v>510</v>
      </c>
      <c r="I517" s="444">
        <f t="shared" ca="1" si="29"/>
        <v>-1955352.763250978</v>
      </c>
      <c r="J517" s="444">
        <f t="array" ref="J517">IFERROR(INDEX('Retirement Calculator'!J:J,MATCH('Isaac 401k'!N517,'Retirement Calculator'!A:A,0),0),0)</f>
        <v>8395.6297298201844</v>
      </c>
      <c r="K517" s="444">
        <f t="shared" ca="1" si="27"/>
        <v>-8182.2849707533242</v>
      </c>
      <c r="L517" s="444">
        <f t="shared" ca="1" si="28"/>
        <v>-1971930.6779515515</v>
      </c>
      <c r="M517" s="460">
        <f t="shared" si="30"/>
        <v>0.05</v>
      </c>
      <c r="N517" s="464">
        <f t="shared" si="31"/>
        <v>66781</v>
      </c>
    </row>
    <row r="518" spans="7:14" ht="11.25" customHeight="1" x14ac:dyDescent="0.25">
      <c r="G518" s="459">
        <f t="shared" si="52"/>
        <v>43</v>
      </c>
      <c r="H518" s="459">
        <v>511</v>
      </c>
      <c r="I518" s="444">
        <f t="shared" ca="1" si="29"/>
        <v>-1971930.6779515515</v>
      </c>
      <c r="J518" s="444">
        <f t="array" ref="J518">IFERROR(INDEX('Retirement Calculator'!J:J,MATCH('Isaac 401k'!N518,'Retirement Calculator'!A:A,0),0),0)</f>
        <v>8395.6297298201844</v>
      </c>
      <c r="K518" s="444">
        <f t="shared" ref="K518:K772" ca="1" si="53">IPMT(M518/12,1,12,-I518+J518,,0)</f>
        <v>-8251.3596153390481</v>
      </c>
      <c r="L518" s="444">
        <f t="shared" ref="L518:L772" ca="1" si="54">I518-J518+K518</f>
        <v>-1988577.6672967107</v>
      </c>
      <c r="M518" s="460">
        <f t="shared" si="30"/>
        <v>0.05</v>
      </c>
      <c r="N518" s="464">
        <f t="shared" si="31"/>
        <v>66811</v>
      </c>
    </row>
    <row r="519" spans="7:14" ht="11.25" customHeight="1" x14ac:dyDescent="0.25">
      <c r="G519" s="459">
        <f t="shared" si="52"/>
        <v>43</v>
      </c>
      <c r="H519" s="459">
        <v>512</v>
      </c>
      <c r="I519" s="444">
        <f t="shared" ref="I519:I773" ca="1" si="55">L518</f>
        <v>-1988577.6672967107</v>
      </c>
      <c r="J519" s="444">
        <f t="array" ref="J519">IFERROR(INDEX('Retirement Calculator'!J:J,MATCH('Isaac 401k'!N519,'Retirement Calculator'!A:A,0),0),0)</f>
        <v>8395.6297298201844</v>
      </c>
      <c r="K519" s="444">
        <f t="shared" ca="1" si="53"/>
        <v>-8320.7220709438789</v>
      </c>
      <c r="L519" s="444">
        <f t="shared" ca="1" si="54"/>
        <v>-2005294.0190974746</v>
      </c>
      <c r="M519" s="460">
        <f t="shared" ref="M519:M773" si="56">M518</f>
        <v>0.05</v>
      </c>
      <c r="N519" s="464">
        <f t="shared" ref="N519:N773" si="57">EDATE(N518,1)</f>
        <v>66842</v>
      </c>
    </row>
    <row r="520" spans="7:14" ht="11.25" customHeight="1" x14ac:dyDescent="0.25">
      <c r="G520" s="459">
        <f t="shared" si="52"/>
        <v>43</v>
      </c>
      <c r="H520" s="459">
        <v>513</v>
      </c>
      <c r="I520" s="444">
        <f t="shared" ca="1" si="55"/>
        <v>-2005294.0190974746</v>
      </c>
      <c r="J520" s="444">
        <f t="array" ref="J520">IFERROR(INDEX('Retirement Calculator'!J:J,MATCH('Isaac 401k'!N520,'Retirement Calculator'!A:A,0),0),0)</f>
        <v>8395.6297298201844</v>
      </c>
      <c r="K520" s="444">
        <f t="shared" ca="1" si="53"/>
        <v>-8390.3735367803965</v>
      </c>
      <c r="L520" s="444">
        <f t="shared" ca="1" si="54"/>
        <v>-2022080.0223640753</v>
      </c>
      <c r="M520" s="460">
        <f t="shared" si="56"/>
        <v>0.05</v>
      </c>
      <c r="N520" s="464">
        <f t="shared" si="57"/>
        <v>66873</v>
      </c>
    </row>
    <row r="521" spans="7:14" ht="11.25" customHeight="1" x14ac:dyDescent="0.25">
      <c r="G521" s="459">
        <f t="shared" si="52"/>
        <v>43</v>
      </c>
      <c r="H521" s="459">
        <v>514</v>
      </c>
      <c r="I521" s="444">
        <f t="shared" ca="1" si="55"/>
        <v>-2022080.0223640753</v>
      </c>
      <c r="J521" s="444">
        <f t="array" ref="J521">IFERROR(INDEX('Retirement Calculator'!J:J,MATCH('Isaac 401k'!N521,'Retirement Calculator'!A:A,0),0),0)</f>
        <v>8395.6297298201844</v>
      </c>
      <c r="K521" s="444">
        <f t="shared" ca="1" si="53"/>
        <v>-8460.3152170578978</v>
      </c>
      <c r="L521" s="444">
        <f t="shared" ca="1" si="54"/>
        <v>-2038935.9673109534</v>
      </c>
      <c r="M521" s="460">
        <f t="shared" si="56"/>
        <v>0.05</v>
      </c>
      <c r="N521" s="464">
        <f t="shared" si="57"/>
        <v>66901</v>
      </c>
    </row>
    <row r="522" spans="7:14" ht="11.25" customHeight="1" x14ac:dyDescent="0.25">
      <c r="G522" s="459">
        <f t="shared" si="52"/>
        <v>43</v>
      </c>
      <c r="H522" s="459">
        <v>515</v>
      </c>
      <c r="I522" s="444">
        <f t="shared" ca="1" si="55"/>
        <v>-2038935.9673109534</v>
      </c>
      <c r="J522" s="444">
        <f t="array" ref="J522">IFERROR(INDEX('Retirement Calculator'!J:J,MATCH('Isaac 401k'!N522,'Retirement Calculator'!A:A,0),0),0)</f>
        <v>8395.6297298201844</v>
      </c>
      <c r="K522" s="444">
        <f t="shared" ca="1" si="53"/>
        <v>-8530.5483210032216</v>
      </c>
      <c r="L522" s="444">
        <f t="shared" ca="1" si="54"/>
        <v>-2055862.1453617769</v>
      </c>
      <c r="M522" s="460">
        <f t="shared" si="56"/>
        <v>0.05</v>
      </c>
      <c r="N522" s="464">
        <f t="shared" si="57"/>
        <v>66932</v>
      </c>
    </row>
    <row r="523" spans="7:14" ht="11.25" customHeight="1" x14ac:dyDescent="0.25">
      <c r="G523" s="459">
        <f t="shared" si="52"/>
        <v>43</v>
      </c>
      <c r="H523" s="459">
        <v>516</v>
      </c>
      <c r="I523" s="444">
        <f t="shared" ca="1" si="55"/>
        <v>-2055862.1453617769</v>
      </c>
      <c r="J523" s="444">
        <f t="array" ref="J523">IFERROR(INDEX('Retirement Calculator'!J:J,MATCH('Isaac 401k'!N523,'Retirement Calculator'!A:A,0),0),0)</f>
        <v>8395.6297298201844</v>
      </c>
      <c r="K523" s="444">
        <f t="shared" ca="1" si="53"/>
        <v>-8601.0740628816529</v>
      </c>
      <c r="L523" s="444">
        <f t="shared" ca="1" si="54"/>
        <v>-2072858.8491544789</v>
      </c>
      <c r="M523" s="460">
        <f t="shared" si="56"/>
        <v>0.05</v>
      </c>
      <c r="N523" s="464">
        <f t="shared" si="57"/>
        <v>66962</v>
      </c>
    </row>
    <row r="524" spans="7:14" ht="11.25" customHeight="1" x14ac:dyDescent="0.25">
      <c r="G524" s="459">
        <f>G523+1</f>
        <v>44</v>
      </c>
      <c r="H524" s="459">
        <v>517</v>
      </c>
      <c r="I524" s="444">
        <f t="shared" ca="1" si="55"/>
        <v>-2072858.8491544789</v>
      </c>
      <c r="J524" s="444">
        <f t="array" ref="J524">IFERROR(INDEX('Retirement Calculator'!J:J,MATCH('Isaac 401k'!N524,'Retirement Calculator'!A:A,0),0),0)</f>
        <v>8395.6297298201844</v>
      </c>
      <c r="K524" s="444">
        <f t="shared" ca="1" si="53"/>
        <v>-8671.893662017912</v>
      </c>
      <c r="L524" s="444">
        <f t="shared" ca="1" si="54"/>
        <v>-2089926.3725463171</v>
      </c>
      <c r="M524" s="460">
        <f t="shared" si="56"/>
        <v>0.05</v>
      </c>
      <c r="N524" s="464">
        <f t="shared" si="57"/>
        <v>66993</v>
      </c>
    </row>
    <row r="525" spans="7:14" ht="11.25" customHeight="1" x14ac:dyDescent="0.25">
      <c r="G525" s="459">
        <f t="shared" ref="G525:G535" si="58">G524</f>
        <v>44</v>
      </c>
      <c r="H525" s="459">
        <v>518</v>
      </c>
      <c r="I525" s="444">
        <f t="shared" ca="1" si="55"/>
        <v>-2089926.3725463171</v>
      </c>
      <c r="J525" s="444">
        <f t="array" ref="J525">IFERROR(INDEX('Retirement Calculator'!J:J,MATCH('Isaac 401k'!N525,'Retirement Calculator'!A:A,0),0),0)</f>
        <v>8395.6297298201844</v>
      </c>
      <c r="K525" s="444">
        <f t="shared" ca="1" si="53"/>
        <v>-8743.0083428172402</v>
      </c>
      <c r="L525" s="444">
        <f t="shared" ca="1" si="54"/>
        <v>-2107065.0106189549</v>
      </c>
      <c r="M525" s="460">
        <f t="shared" si="56"/>
        <v>0.05</v>
      </c>
      <c r="N525" s="464">
        <f t="shared" si="57"/>
        <v>67023</v>
      </c>
    </row>
    <row r="526" spans="7:14" ht="11.25" customHeight="1" x14ac:dyDescent="0.25">
      <c r="G526" s="459">
        <f t="shared" si="58"/>
        <v>44</v>
      </c>
      <c r="H526" s="459">
        <v>519</v>
      </c>
      <c r="I526" s="444">
        <f t="shared" ca="1" si="55"/>
        <v>-2107065.0106189549</v>
      </c>
      <c r="J526" s="444">
        <f t="array" ref="J526">IFERROR(INDEX('Retirement Calculator'!J:J,MATCH('Isaac 401k'!N526,'Retirement Calculator'!A:A,0),0),0)</f>
        <v>8395.6297298201844</v>
      </c>
      <c r="K526" s="444">
        <f t="shared" ca="1" si="53"/>
        <v>-8814.4193347865639</v>
      </c>
      <c r="L526" s="444">
        <f t="shared" ca="1" si="54"/>
        <v>-2124275.0596835618</v>
      </c>
      <c r="M526" s="460">
        <f t="shared" si="56"/>
        <v>0.05</v>
      </c>
      <c r="N526" s="464">
        <f t="shared" si="57"/>
        <v>67054</v>
      </c>
    </row>
    <row r="527" spans="7:14" ht="11.25" customHeight="1" x14ac:dyDescent="0.25">
      <c r="G527" s="459">
        <f t="shared" si="58"/>
        <v>44</v>
      </c>
      <c r="H527" s="459">
        <v>520</v>
      </c>
      <c r="I527" s="444">
        <f t="shared" ca="1" si="55"/>
        <v>-2124275.0596835618</v>
      </c>
      <c r="J527" s="444">
        <f t="array" ref="J527">IFERROR(INDEX('Retirement Calculator'!J:J,MATCH('Isaac 401k'!N527,'Retirement Calculator'!A:A,0),0),0)</f>
        <v>8395.6297298201844</v>
      </c>
      <c r="K527" s="444">
        <f t="shared" ca="1" si="53"/>
        <v>-8886.1278725557586</v>
      </c>
      <c r="L527" s="444">
        <f t="shared" ca="1" si="54"/>
        <v>-2141556.8172859382</v>
      </c>
      <c r="M527" s="460">
        <f t="shared" si="56"/>
        <v>0.05</v>
      </c>
      <c r="N527" s="464">
        <f t="shared" si="57"/>
        <v>67085</v>
      </c>
    </row>
    <row r="528" spans="7:14" ht="11.25" customHeight="1" x14ac:dyDescent="0.25">
      <c r="G528" s="459">
        <f t="shared" si="58"/>
        <v>44</v>
      </c>
      <c r="H528" s="459">
        <v>521</v>
      </c>
      <c r="I528" s="444">
        <f t="shared" ca="1" si="55"/>
        <v>-2141556.8172859382</v>
      </c>
      <c r="J528" s="444">
        <f t="array" ref="J528">IFERROR(INDEX('Retirement Calculator'!J:J,MATCH('Isaac 401k'!N528,'Retirement Calculator'!A:A,0),0),0)</f>
        <v>8395.6297298201844</v>
      </c>
      <c r="K528" s="444">
        <f t="shared" ca="1" si="53"/>
        <v>-8958.1351958989944</v>
      </c>
      <c r="L528" s="444">
        <f t="shared" ca="1" si="54"/>
        <v>-2158910.5822116574</v>
      </c>
      <c r="M528" s="460">
        <f t="shared" si="56"/>
        <v>0.05</v>
      </c>
      <c r="N528" s="464">
        <f t="shared" si="57"/>
        <v>67115</v>
      </c>
    </row>
    <row r="529" spans="7:14" ht="11.25" customHeight="1" x14ac:dyDescent="0.25">
      <c r="G529" s="459">
        <f t="shared" si="58"/>
        <v>44</v>
      </c>
      <c r="H529" s="459">
        <v>522</v>
      </c>
      <c r="I529" s="444">
        <f t="shared" ca="1" si="55"/>
        <v>-2158910.5822116574</v>
      </c>
      <c r="J529" s="444">
        <f t="array" ref="J529">IFERROR(INDEX('Retirement Calculator'!J:J,MATCH('Isaac 401k'!N529,'Retirement Calculator'!A:A,0),0),0)</f>
        <v>8395.6297298201844</v>
      </c>
      <c r="K529" s="444">
        <f t="shared" ca="1" si="53"/>
        <v>-9030.442549756157</v>
      </c>
      <c r="L529" s="444">
        <f t="shared" ca="1" si="54"/>
        <v>-2176336.6544912341</v>
      </c>
      <c r="M529" s="460">
        <f t="shared" si="56"/>
        <v>0.05</v>
      </c>
      <c r="N529" s="464">
        <f t="shared" si="57"/>
        <v>67146</v>
      </c>
    </row>
    <row r="530" spans="7:14" ht="11.25" customHeight="1" x14ac:dyDescent="0.25">
      <c r="G530" s="459">
        <f t="shared" si="58"/>
        <v>44</v>
      </c>
      <c r="H530" s="459">
        <v>523</v>
      </c>
      <c r="I530" s="444">
        <f t="shared" ca="1" si="55"/>
        <v>-2176336.6544912341</v>
      </c>
      <c r="J530" s="444">
        <f t="array" ref="J530">IFERROR(INDEX('Retirement Calculator'!J:J,MATCH('Isaac 401k'!N530,'Retirement Calculator'!A:A,0),0),0)</f>
        <v>8395.6297298201844</v>
      </c>
      <c r="K530" s="444">
        <f t="shared" ca="1" si="53"/>
        <v>-9103.0511842543929</v>
      </c>
      <c r="L530" s="444">
        <f t="shared" ca="1" si="54"/>
        <v>-2193835.3354053088</v>
      </c>
      <c r="M530" s="460">
        <f t="shared" si="56"/>
        <v>0.05</v>
      </c>
      <c r="N530" s="464">
        <f t="shared" si="57"/>
        <v>67176</v>
      </c>
    </row>
    <row r="531" spans="7:14" ht="11.25" customHeight="1" x14ac:dyDescent="0.25">
      <c r="G531" s="459">
        <f t="shared" si="58"/>
        <v>44</v>
      </c>
      <c r="H531" s="459">
        <v>524</v>
      </c>
      <c r="I531" s="444">
        <f t="shared" ca="1" si="55"/>
        <v>-2193835.3354053088</v>
      </c>
      <c r="J531" s="444">
        <f t="array" ref="J531">IFERROR(INDEX('Retirement Calculator'!J:J,MATCH('Isaac 401k'!N531,'Retirement Calculator'!A:A,0),0),0)</f>
        <v>8395.6297298201844</v>
      </c>
      <c r="K531" s="444">
        <f t="shared" ca="1" si="53"/>
        <v>-9175.9623547297051</v>
      </c>
      <c r="L531" s="444">
        <f t="shared" ca="1" si="54"/>
        <v>-2211406.9274898591</v>
      </c>
      <c r="M531" s="460">
        <f t="shared" si="56"/>
        <v>0.05</v>
      </c>
      <c r="N531" s="464">
        <f t="shared" si="57"/>
        <v>67207</v>
      </c>
    </row>
    <row r="532" spans="7:14" ht="11.25" customHeight="1" x14ac:dyDescent="0.25">
      <c r="G532" s="459">
        <f t="shared" si="58"/>
        <v>44</v>
      </c>
      <c r="H532" s="459">
        <v>525</v>
      </c>
      <c r="I532" s="444">
        <f t="shared" ca="1" si="55"/>
        <v>-2211406.9274898591</v>
      </c>
      <c r="J532" s="444">
        <f t="array" ref="J532">IFERROR(INDEX('Retirement Calculator'!J:J,MATCH('Isaac 401k'!N532,'Retirement Calculator'!A:A,0),0),0)</f>
        <v>8395.6297298201844</v>
      </c>
      <c r="K532" s="444">
        <f t="shared" ca="1" si="53"/>
        <v>-9249.1773217486643</v>
      </c>
      <c r="L532" s="444">
        <f t="shared" ca="1" si="54"/>
        <v>-2229051.7345414283</v>
      </c>
      <c r="M532" s="460">
        <f t="shared" si="56"/>
        <v>0.05</v>
      </c>
      <c r="N532" s="464">
        <f t="shared" si="57"/>
        <v>67238</v>
      </c>
    </row>
    <row r="533" spans="7:14" ht="11.25" customHeight="1" x14ac:dyDescent="0.25">
      <c r="G533" s="459">
        <f t="shared" si="58"/>
        <v>44</v>
      </c>
      <c r="H533" s="459">
        <v>526</v>
      </c>
      <c r="I533" s="444">
        <f t="shared" ca="1" si="55"/>
        <v>-2229051.7345414283</v>
      </c>
      <c r="J533" s="444">
        <f t="array" ref="J533">IFERROR(INDEX('Retirement Calculator'!J:J,MATCH('Isaac 401k'!N533,'Retirement Calculator'!A:A,0),0),0)</f>
        <v>8395.6297298201844</v>
      </c>
      <c r="K533" s="444">
        <f t="shared" ca="1" si="53"/>
        <v>-9322.6973511302022</v>
      </c>
      <c r="L533" s="444">
        <f t="shared" ca="1" si="54"/>
        <v>-2246770.0616223789</v>
      </c>
      <c r="M533" s="460">
        <f t="shared" si="56"/>
        <v>0.05</v>
      </c>
      <c r="N533" s="464">
        <f t="shared" si="57"/>
        <v>67267</v>
      </c>
    </row>
    <row r="534" spans="7:14" ht="11.25" customHeight="1" x14ac:dyDescent="0.25">
      <c r="G534" s="459">
        <f t="shared" si="58"/>
        <v>44</v>
      </c>
      <c r="H534" s="459">
        <v>527</v>
      </c>
      <c r="I534" s="444">
        <f t="shared" ca="1" si="55"/>
        <v>-2246770.0616223789</v>
      </c>
      <c r="J534" s="444">
        <f t="array" ref="J534">IFERROR(INDEX('Retirement Calculator'!J:J,MATCH('Isaac 401k'!N534,'Retirement Calculator'!A:A,0),0),0)</f>
        <v>8395.6297298201844</v>
      </c>
      <c r="K534" s="444">
        <f t="shared" ca="1" si="53"/>
        <v>-9396.5237139674973</v>
      </c>
      <c r="L534" s="444">
        <f t="shared" ca="1" si="54"/>
        <v>-2264562.2150661666</v>
      </c>
      <c r="M534" s="460">
        <f t="shared" si="56"/>
        <v>0.05</v>
      </c>
      <c r="N534" s="464">
        <f t="shared" si="57"/>
        <v>67298</v>
      </c>
    </row>
    <row r="535" spans="7:14" ht="11.25" customHeight="1" x14ac:dyDescent="0.25">
      <c r="G535" s="459">
        <f t="shared" si="58"/>
        <v>44</v>
      </c>
      <c r="H535" s="459">
        <v>528</v>
      </c>
      <c r="I535" s="444">
        <f t="shared" ca="1" si="55"/>
        <v>-2264562.2150661666</v>
      </c>
      <c r="J535" s="444">
        <f t="array" ref="J535">IFERROR(INDEX('Retirement Calculator'!J:J,MATCH('Isaac 401k'!N535,'Retirement Calculator'!A:A,0),0),0)</f>
        <v>8395.6297298201844</v>
      </c>
      <c r="K535" s="444">
        <f t="shared" ca="1" si="53"/>
        <v>-9470.6576866499454</v>
      </c>
      <c r="L535" s="444">
        <f t="shared" ca="1" si="54"/>
        <v>-2282428.5024826368</v>
      </c>
      <c r="M535" s="460">
        <f t="shared" si="56"/>
        <v>0.05</v>
      </c>
      <c r="N535" s="464">
        <f t="shared" si="57"/>
        <v>67328</v>
      </c>
    </row>
    <row r="536" spans="7:14" ht="11.25" customHeight="1" x14ac:dyDescent="0.25">
      <c r="G536" s="459">
        <f>G535+1</f>
        <v>45</v>
      </c>
      <c r="H536" s="459">
        <v>529</v>
      </c>
      <c r="I536" s="444">
        <f t="shared" ca="1" si="55"/>
        <v>-2282428.5024826368</v>
      </c>
      <c r="J536" s="444">
        <f t="array" ref="J536">IFERROR(INDEX('Retirement Calculator'!J:J,MATCH('Isaac 401k'!N536,'Retirement Calculator'!A:A,0),0),0)</f>
        <v>8395.6297298201844</v>
      </c>
      <c r="K536" s="444">
        <f t="shared" ca="1" si="53"/>
        <v>-9545.1005508852377</v>
      </c>
      <c r="L536" s="444">
        <f t="shared" ca="1" si="54"/>
        <v>-2300369.2327633426</v>
      </c>
      <c r="M536" s="460">
        <f t="shared" si="56"/>
        <v>0.05</v>
      </c>
      <c r="N536" s="464">
        <f t="shared" si="57"/>
        <v>67359</v>
      </c>
    </row>
    <row r="537" spans="7:14" ht="11.25" customHeight="1" x14ac:dyDescent="0.25">
      <c r="G537" s="459">
        <f t="shared" ref="G537:G547" si="59">G536</f>
        <v>45</v>
      </c>
      <c r="H537" s="459">
        <v>530</v>
      </c>
      <c r="I537" s="444">
        <f t="shared" ca="1" si="55"/>
        <v>-2300369.2327633426</v>
      </c>
      <c r="J537" s="444">
        <f t="array" ref="J537">IFERROR(INDEX('Retirement Calculator'!J:J,MATCH('Isaac 401k'!N537,'Retirement Calculator'!A:A,0),0),0)</f>
        <v>8395.6297298201844</v>
      </c>
      <c r="K537" s="444">
        <f t="shared" ca="1" si="53"/>
        <v>-9619.8535937215129</v>
      </c>
      <c r="L537" s="444">
        <f t="shared" ca="1" si="54"/>
        <v>-2318384.7160868845</v>
      </c>
      <c r="M537" s="460">
        <f t="shared" si="56"/>
        <v>0.05</v>
      </c>
      <c r="N537" s="464">
        <f t="shared" si="57"/>
        <v>67389</v>
      </c>
    </row>
    <row r="538" spans="7:14" ht="11.25" customHeight="1" x14ac:dyDescent="0.25">
      <c r="G538" s="459">
        <f t="shared" si="59"/>
        <v>45</v>
      </c>
      <c r="H538" s="459">
        <v>531</v>
      </c>
      <c r="I538" s="444">
        <f t="shared" ca="1" si="55"/>
        <v>-2318384.7160868845</v>
      </c>
      <c r="J538" s="444">
        <f t="array" ref="J538">IFERROR(INDEX('Retirement Calculator'!J:J,MATCH('Isaac 401k'!N538,'Retirement Calculator'!A:A,0),0),0)</f>
        <v>8395.6297298201844</v>
      </c>
      <c r="K538" s="444">
        <f t="shared" ca="1" si="53"/>
        <v>-9694.9181075696033</v>
      </c>
      <c r="L538" s="444">
        <f t="shared" ca="1" si="54"/>
        <v>-2336475.2639242746</v>
      </c>
      <c r="M538" s="460">
        <f t="shared" si="56"/>
        <v>0.05</v>
      </c>
      <c r="N538" s="464">
        <f t="shared" si="57"/>
        <v>67420</v>
      </c>
    </row>
    <row r="539" spans="7:14" ht="11.25" customHeight="1" x14ac:dyDescent="0.25">
      <c r="G539" s="459">
        <f t="shared" si="59"/>
        <v>45</v>
      </c>
      <c r="H539" s="459">
        <v>532</v>
      </c>
      <c r="I539" s="444">
        <f t="shared" ca="1" si="55"/>
        <v>-2336475.2639242746</v>
      </c>
      <c r="J539" s="444">
        <f t="array" ref="J539">IFERROR(INDEX('Retirement Calculator'!J:J,MATCH('Isaac 401k'!N539,'Retirement Calculator'!A:A,0),0),0)</f>
        <v>8395.6297298201844</v>
      </c>
      <c r="K539" s="444">
        <f t="shared" ca="1" si="53"/>
        <v>-9770.2953902253957</v>
      </c>
      <c r="L539" s="444">
        <f t="shared" ca="1" si="54"/>
        <v>-2354641.1890443205</v>
      </c>
      <c r="M539" s="460">
        <f t="shared" si="56"/>
        <v>0.05</v>
      </c>
      <c r="N539" s="464">
        <f t="shared" si="57"/>
        <v>67451</v>
      </c>
    </row>
    <row r="540" spans="7:14" ht="11.25" customHeight="1" x14ac:dyDescent="0.25">
      <c r="G540" s="459">
        <f t="shared" si="59"/>
        <v>45</v>
      </c>
      <c r="H540" s="459">
        <v>533</v>
      </c>
      <c r="I540" s="444">
        <f t="shared" ca="1" si="55"/>
        <v>-2354641.1890443205</v>
      </c>
      <c r="J540" s="444">
        <f t="array" ref="J540">IFERROR(INDEX('Retirement Calculator'!J:J,MATCH('Isaac 401k'!N540,'Retirement Calculator'!A:A,0),0),0)</f>
        <v>8395.6297298201844</v>
      </c>
      <c r="K540" s="444">
        <f t="shared" ca="1" si="53"/>
        <v>-9845.9867448922541</v>
      </c>
      <c r="L540" s="444">
        <f t="shared" ca="1" si="54"/>
        <v>-2372882.8055190332</v>
      </c>
      <c r="M540" s="460">
        <f t="shared" si="56"/>
        <v>0.05</v>
      </c>
      <c r="N540" s="464">
        <f t="shared" si="57"/>
        <v>67481</v>
      </c>
    </row>
    <row r="541" spans="7:14" ht="11.25" customHeight="1" x14ac:dyDescent="0.25">
      <c r="G541" s="459">
        <f t="shared" si="59"/>
        <v>45</v>
      </c>
      <c r="H541" s="459">
        <v>534</v>
      </c>
      <c r="I541" s="444">
        <f t="shared" ca="1" si="55"/>
        <v>-2372882.8055190332</v>
      </c>
      <c r="J541" s="444">
        <f t="array" ref="J541">IFERROR(INDEX('Retirement Calculator'!J:J,MATCH('Isaac 401k'!N541,'Retirement Calculator'!A:A,0),0),0)</f>
        <v>8395.6297298201844</v>
      </c>
      <c r="K541" s="444">
        <f t="shared" ca="1" si="53"/>
        <v>-9921.9934802035568</v>
      </c>
      <c r="L541" s="444">
        <f t="shared" ca="1" si="54"/>
        <v>-2391200.4287290573</v>
      </c>
      <c r="M541" s="460">
        <f t="shared" si="56"/>
        <v>0.05</v>
      </c>
      <c r="N541" s="464">
        <f t="shared" si="57"/>
        <v>67512</v>
      </c>
    </row>
    <row r="542" spans="7:14" ht="11.25" customHeight="1" x14ac:dyDescent="0.25">
      <c r="G542" s="459">
        <f t="shared" si="59"/>
        <v>45</v>
      </c>
      <c r="H542" s="459">
        <v>535</v>
      </c>
      <c r="I542" s="444">
        <f t="shared" ca="1" si="55"/>
        <v>-2391200.4287290573</v>
      </c>
      <c r="J542" s="444">
        <f t="array" ref="J542">IFERROR(INDEX('Retirement Calculator'!J:J,MATCH('Isaac 401k'!N542,'Retirement Calculator'!A:A,0),0),0)</f>
        <v>8395.6297298201844</v>
      </c>
      <c r="K542" s="444">
        <f t="shared" ca="1" si="53"/>
        <v>-9998.316910245323</v>
      </c>
      <c r="L542" s="444">
        <f t="shared" ca="1" si="54"/>
        <v>-2409594.3753691232</v>
      </c>
      <c r="M542" s="460">
        <f t="shared" si="56"/>
        <v>0.05</v>
      </c>
      <c r="N542" s="464">
        <f t="shared" si="57"/>
        <v>67542</v>
      </c>
    </row>
    <row r="543" spans="7:14" ht="11.25" customHeight="1" x14ac:dyDescent="0.25">
      <c r="G543" s="459">
        <f t="shared" si="59"/>
        <v>45</v>
      </c>
      <c r="H543" s="459">
        <v>536</v>
      </c>
      <c r="I543" s="444">
        <f t="shared" ca="1" si="55"/>
        <v>-2409594.3753691232</v>
      </c>
      <c r="J543" s="444">
        <f t="array" ref="J543">IFERROR(INDEX('Retirement Calculator'!J:J,MATCH('Isaac 401k'!N543,'Retirement Calculator'!A:A,0),0),0)</f>
        <v>8395.6297298201844</v>
      </c>
      <c r="K543" s="444">
        <f t="shared" ca="1" si="53"/>
        <v>-10074.958354578932</v>
      </c>
      <c r="L543" s="444">
        <f t="shared" ca="1" si="54"/>
        <v>-2428064.9634535224</v>
      </c>
      <c r="M543" s="460">
        <f t="shared" si="56"/>
        <v>0.05</v>
      </c>
      <c r="N543" s="464">
        <f t="shared" si="57"/>
        <v>67573</v>
      </c>
    </row>
    <row r="544" spans="7:14" ht="11.25" customHeight="1" x14ac:dyDescent="0.25">
      <c r="G544" s="459">
        <f t="shared" si="59"/>
        <v>45</v>
      </c>
      <c r="H544" s="459">
        <v>537</v>
      </c>
      <c r="I544" s="444">
        <f t="shared" ca="1" si="55"/>
        <v>-2428064.9634535224</v>
      </c>
      <c r="J544" s="444">
        <f t="array" ref="J544">IFERROR(INDEX('Retirement Calculator'!J:J,MATCH('Isaac 401k'!N544,'Retirement Calculator'!A:A,0),0),0)</f>
        <v>8395.6297298201844</v>
      </c>
      <c r="K544" s="444">
        <f t="shared" ca="1" si="53"/>
        <v>-10151.919138263929</v>
      </c>
      <c r="L544" s="444">
        <f t="shared" ca="1" si="54"/>
        <v>-2446612.5123216067</v>
      </c>
      <c r="M544" s="460">
        <f t="shared" si="56"/>
        <v>0.05</v>
      </c>
      <c r="N544" s="464">
        <f t="shared" si="57"/>
        <v>67604</v>
      </c>
    </row>
    <row r="545" spans="7:14" ht="11.25" customHeight="1" x14ac:dyDescent="0.25">
      <c r="G545" s="459">
        <f t="shared" si="59"/>
        <v>45</v>
      </c>
      <c r="H545" s="459">
        <v>538</v>
      </c>
      <c r="I545" s="444">
        <f t="shared" ca="1" si="55"/>
        <v>-2446612.5123216067</v>
      </c>
      <c r="J545" s="444">
        <f t="array" ref="J545">IFERROR(INDEX('Retirement Calculator'!J:J,MATCH('Isaac 401k'!N545,'Retirement Calculator'!A:A,0),0),0)</f>
        <v>8395.6297298201844</v>
      </c>
      <c r="K545" s="444">
        <f t="shared" ca="1" si="53"/>
        <v>-10229.200591880946</v>
      </c>
      <c r="L545" s="444">
        <f t="shared" ca="1" si="54"/>
        <v>-2465237.342643308</v>
      </c>
      <c r="M545" s="460">
        <f t="shared" si="56"/>
        <v>0.05</v>
      </c>
      <c r="N545" s="464">
        <f t="shared" si="57"/>
        <v>67632</v>
      </c>
    </row>
    <row r="546" spans="7:14" ht="11.25" customHeight="1" x14ac:dyDescent="0.25">
      <c r="G546" s="459">
        <f t="shared" si="59"/>
        <v>45</v>
      </c>
      <c r="H546" s="459">
        <v>539</v>
      </c>
      <c r="I546" s="444">
        <f t="shared" ca="1" si="55"/>
        <v>-2465237.342643308</v>
      </c>
      <c r="J546" s="444">
        <f t="array" ref="J546">IFERROR(INDEX('Retirement Calculator'!J:J,MATCH('Isaac 401k'!N546,'Retirement Calculator'!A:A,0),0),0)</f>
        <v>8395.6297298201844</v>
      </c>
      <c r="K546" s="444">
        <f t="shared" ca="1" si="53"/>
        <v>-10306.804051554702</v>
      </c>
      <c r="L546" s="444">
        <f t="shared" ca="1" si="54"/>
        <v>-2483939.7764246832</v>
      </c>
      <c r="M546" s="460">
        <f t="shared" si="56"/>
        <v>0.05</v>
      </c>
      <c r="N546" s="464">
        <f t="shared" si="57"/>
        <v>67663</v>
      </c>
    </row>
    <row r="547" spans="7:14" ht="11.25" customHeight="1" x14ac:dyDescent="0.25">
      <c r="G547" s="459">
        <f t="shared" si="59"/>
        <v>45</v>
      </c>
      <c r="H547" s="459">
        <v>540</v>
      </c>
      <c r="I547" s="444">
        <f t="shared" ca="1" si="55"/>
        <v>-2483939.7764246832</v>
      </c>
      <c r="J547" s="444">
        <f t="array" ref="J547">IFERROR(INDEX('Retirement Calculator'!J:J,MATCH('Isaac 401k'!N547,'Retirement Calculator'!A:A,0),0),0)</f>
        <v>8395.6297298201844</v>
      </c>
      <c r="K547" s="444">
        <f t="shared" ca="1" si="53"/>
        <v>-10384.730858977098</v>
      </c>
      <c r="L547" s="444">
        <f t="shared" ca="1" si="54"/>
        <v>-2502720.1370134805</v>
      </c>
      <c r="M547" s="460">
        <f t="shared" si="56"/>
        <v>0.05</v>
      </c>
      <c r="N547" s="464">
        <f t="shared" si="57"/>
        <v>67693</v>
      </c>
    </row>
    <row r="548" spans="7:14" ht="11.25" customHeight="1" x14ac:dyDescent="0.25">
      <c r="G548" s="459">
        <f>G547+1</f>
        <v>46</v>
      </c>
      <c r="H548" s="459">
        <v>541</v>
      </c>
      <c r="I548" s="444">
        <f t="shared" ca="1" si="55"/>
        <v>-2502720.1370134805</v>
      </c>
      <c r="J548" s="444">
        <f t="array" ref="J548">IFERROR(INDEX('Retirement Calculator'!J:J,MATCH('Isaac 401k'!N548,'Retirement Calculator'!A:A,0),0),0)</f>
        <v>8395.6297298201844</v>
      </c>
      <c r="K548" s="444">
        <f t="shared" ca="1" si="53"/>
        <v>-10462.98236143042</v>
      </c>
      <c r="L548" s="444">
        <f t="shared" ca="1" si="54"/>
        <v>-2521578.7491047313</v>
      </c>
      <c r="M548" s="460">
        <f t="shared" si="56"/>
        <v>0.05</v>
      </c>
      <c r="N548" s="464">
        <f t="shared" si="57"/>
        <v>67724</v>
      </c>
    </row>
    <row r="549" spans="7:14" ht="11.25" customHeight="1" x14ac:dyDescent="0.25">
      <c r="G549" s="459">
        <f t="shared" ref="G549:G559" si="60">G548</f>
        <v>46</v>
      </c>
      <c r="H549" s="459">
        <v>542</v>
      </c>
      <c r="I549" s="444">
        <f t="shared" ca="1" si="55"/>
        <v>-2521578.7491047313</v>
      </c>
      <c r="J549" s="444">
        <f t="array" ref="J549">IFERROR(INDEX('Retirement Calculator'!J:J,MATCH('Isaac 401k'!N549,'Retirement Calculator'!A:A,0),0),0)</f>
        <v>8395.6297298201844</v>
      </c>
      <c r="K549" s="444">
        <f t="shared" ca="1" si="53"/>
        <v>-10541.559911810631</v>
      </c>
      <c r="L549" s="444">
        <f t="shared" ca="1" si="54"/>
        <v>-2540515.9387463625</v>
      </c>
      <c r="M549" s="460">
        <f t="shared" si="56"/>
        <v>0.05</v>
      </c>
      <c r="N549" s="464">
        <f t="shared" si="57"/>
        <v>67754</v>
      </c>
    </row>
    <row r="550" spans="7:14" ht="11.25" customHeight="1" x14ac:dyDescent="0.25">
      <c r="G550" s="459">
        <f t="shared" si="60"/>
        <v>46</v>
      </c>
      <c r="H550" s="459">
        <v>543</v>
      </c>
      <c r="I550" s="444">
        <f t="shared" ca="1" si="55"/>
        <v>-2540515.9387463625</v>
      </c>
      <c r="J550" s="444">
        <f t="array" ref="J550">IFERROR(INDEX('Retirement Calculator'!J:J,MATCH('Isaac 401k'!N550,'Retirement Calculator'!A:A,0),0),0)</f>
        <v>8395.6297298201844</v>
      </c>
      <c r="K550" s="444">
        <f t="shared" ca="1" si="53"/>
        <v>-10620.464868650763</v>
      </c>
      <c r="L550" s="444">
        <f t="shared" ca="1" si="54"/>
        <v>-2559532.0333448336</v>
      </c>
      <c r="M550" s="460">
        <f t="shared" si="56"/>
        <v>0.05</v>
      </c>
      <c r="N550" s="464">
        <f t="shared" si="57"/>
        <v>67785</v>
      </c>
    </row>
    <row r="551" spans="7:14" ht="11.25" customHeight="1" x14ac:dyDescent="0.25">
      <c r="G551" s="459">
        <f t="shared" si="60"/>
        <v>46</v>
      </c>
      <c r="H551" s="459">
        <v>544</v>
      </c>
      <c r="I551" s="444">
        <f t="shared" ca="1" si="55"/>
        <v>-2559532.0333448336</v>
      </c>
      <c r="J551" s="444">
        <f t="array" ref="J551">IFERROR(INDEX('Retirement Calculator'!J:J,MATCH('Isaac 401k'!N551,'Retirement Calculator'!A:A,0),0),0)</f>
        <v>8395.6297298201844</v>
      </c>
      <c r="K551" s="444">
        <f t="shared" ca="1" si="53"/>
        <v>-10699.698596144392</v>
      </c>
      <c r="L551" s="444">
        <f t="shared" ca="1" si="54"/>
        <v>-2578627.3616707986</v>
      </c>
      <c r="M551" s="460">
        <f t="shared" si="56"/>
        <v>0.05</v>
      </c>
      <c r="N551" s="464">
        <f t="shared" si="57"/>
        <v>67816</v>
      </c>
    </row>
    <row r="552" spans="7:14" ht="11.25" customHeight="1" x14ac:dyDescent="0.25">
      <c r="G552" s="459">
        <f t="shared" si="60"/>
        <v>46</v>
      </c>
      <c r="H552" s="459">
        <v>545</v>
      </c>
      <c r="I552" s="444">
        <f t="shared" ca="1" si="55"/>
        <v>-2578627.3616707986</v>
      </c>
      <c r="J552" s="444">
        <f t="array" ref="J552">IFERROR(INDEX('Retirement Calculator'!J:J,MATCH('Isaac 401k'!N552,'Retirement Calculator'!A:A,0),0),0)</f>
        <v>8395.6297298201844</v>
      </c>
      <c r="K552" s="444">
        <f t="shared" ca="1" si="53"/>
        <v>-10779.262464169246</v>
      </c>
      <c r="L552" s="444">
        <f t="shared" ca="1" si="54"/>
        <v>-2597802.2538647885</v>
      </c>
      <c r="M552" s="460">
        <f t="shared" si="56"/>
        <v>0.05</v>
      </c>
      <c r="N552" s="464">
        <f t="shared" si="57"/>
        <v>67846</v>
      </c>
    </row>
    <row r="553" spans="7:14" ht="11.25" customHeight="1" x14ac:dyDescent="0.25">
      <c r="G553" s="459">
        <f t="shared" si="60"/>
        <v>46</v>
      </c>
      <c r="H553" s="459">
        <v>546</v>
      </c>
      <c r="I553" s="444">
        <f t="shared" ca="1" si="55"/>
        <v>-2597802.2538647885</v>
      </c>
      <c r="J553" s="444">
        <f t="array" ref="J553">IFERROR(INDEX('Retirement Calculator'!J:J,MATCH('Isaac 401k'!N553,'Retirement Calculator'!A:A,0),0),0)</f>
        <v>8395.6297298201844</v>
      </c>
      <c r="K553" s="444">
        <f t="shared" ca="1" si="53"/>
        <v>-10859.15784831087</v>
      </c>
      <c r="L553" s="444">
        <f t="shared" ca="1" si="54"/>
        <v>-2617057.0414429195</v>
      </c>
      <c r="M553" s="460">
        <f t="shared" si="56"/>
        <v>0.05</v>
      </c>
      <c r="N553" s="464">
        <f t="shared" si="57"/>
        <v>67877</v>
      </c>
    </row>
    <row r="554" spans="7:14" ht="11.25" customHeight="1" x14ac:dyDescent="0.25">
      <c r="G554" s="459">
        <f t="shared" si="60"/>
        <v>46</v>
      </c>
      <c r="H554" s="459">
        <v>547</v>
      </c>
      <c r="I554" s="444">
        <f t="shared" ca="1" si="55"/>
        <v>-2617057.0414429195</v>
      </c>
      <c r="J554" s="444">
        <f t="array" ref="J554">IFERROR(INDEX('Retirement Calculator'!J:J,MATCH('Isaac 401k'!N554,'Retirement Calculator'!A:A,0),0),0)</f>
        <v>8395.6297298201844</v>
      </c>
      <c r="K554" s="444">
        <f t="shared" ca="1" si="53"/>
        <v>-10939.386129886416</v>
      </c>
      <c r="L554" s="444">
        <f t="shared" ca="1" si="54"/>
        <v>-2636392.0573026263</v>
      </c>
      <c r="M554" s="460">
        <f t="shared" si="56"/>
        <v>0.05</v>
      </c>
      <c r="N554" s="464">
        <f t="shared" si="57"/>
        <v>67907</v>
      </c>
    </row>
    <row r="555" spans="7:14" ht="11.25" customHeight="1" x14ac:dyDescent="0.25">
      <c r="G555" s="459">
        <f t="shared" si="60"/>
        <v>46</v>
      </c>
      <c r="H555" s="459">
        <v>548</v>
      </c>
      <c r="I555" s="444">
        <f t="shared" ca="1" si="55"/>
        <v>-2636392.0573026263</v>
      </c>
      <c r="J555" s="444">
        <f t="array" ref="J555">IFERROR(INDEX('Retirement Calculator'!J:J,MATCH('Isaac 401k'!N555,'Retirement Calculator'!A:A,0),0),0)</f>
        <v>8395.6297298201844</v>
      </c>
      <c r="K555" s="444">
        <f t="shared" ca="1" si="53"/>
        <v>-11019.948695968527</v>
      </c>
      <c r="L555" s="444">
        <f t="shared" ca="1" si="54"/>
        <v>-2655807.6357284151</v>
      </c>
      <c r="M555" s="460">
        <f t="shared" si="56"/>
        <v>0.05</v>
      </c>
      <c r="N555" s="464">
        <f t="shared" si="57"/>
        <v>67938</v>
      </c>
    </row>
    <row r="556" spans="7:14" ht="11.25" customHeight="1" x14ac:dyDescent="0.25">
      <c r="G556" s="459">
        <f t="shared" si="60"/>
        <v>46</v>
      </c>
      <c r="H556" s="459">
        <v>549</v>
      </c>
      <c r="I556" s="444">
        <f t="shared" ca="1" si="55"/>
        <v>-2655807.6357284151</v>
      </c>
      <c r="J556" s="444">
        <f t="array" ref="J556">IFERROR(INDEX('Retirement Calculator'!J:J,MATCH('Isaac 401k'!N556,'Retirement Calculator'!A:A,0),0),0)</f>
        <v>8395.6297298201844</v>
      </c>
      <c r="K556" s="444">
        <f t="shared" ca="1" si="53"/>
        <v>-11100.846939409315</v>
      </c>
      <c r="L556" s="444">
        <f t="shared" ca="1" si="54"/>
        <v>-2675304.1123976447</v>
      </c>
      <c r="M556" s="460">
        <f t="shared" si="56"/>
        <v>0.05</v>
      </c>
      <c r="N556" s="464">
        <f t="shared" si="57"/>
        <v>67969</v>
      </c>
    </row>
    <row r="557" spans="7:14" ht="11.25" customHeight="1" x14ac:dyDescent="0.25">
      <c r="G557" s="459">
        <f t="shared" si="60"/>
        <v>46</v>
      </c>
      <c r="H557" s="459">
        <v>550</v>
      </c>
      <c r="I557" s="444">
        <f t="shared" ca="1" si="55"/>
        <v>-2675304.1123976447</v>
      </c>
      <c r="J557" s="444">
        <f t="array" ref="J557">IFERROR(INDEX('Retirement Calculator'!J:J,MATCH('Isaac 401k'!N557,'Retirement Calculator'!A:A,0),0),0)</f>
        <v>8395.6297298201844</v>
      </c>
      <c r="K557" s="444">
        <f t="shared" ca="1" si="53"/>
        <v>-11182.082258864437</v>
      </c>
      <c r="L557" s="444">
        <f t="shared" ca="1" si="54"/>
        <v>-2694881.8243863294</v>
      </c>
      <c r="M557" s="460">
        <f t="shared" si="56"/>
        <v>0.05</v>
      </c>
      <c r="N557" s="464">
        <f t="shared" si="57"/>
        <v>67997</v>
      </c>
    </row>
    <row r="558" spans="7:14" ht="11.25" customHeight="1" x14ac:dyDescent="0.25">
      <c r="G558" s="459">
        <f t="shared" si="60"/>
        <v>46</v>
      </c>
      <c r="H558" s="459">
        <v>551</v>
      </c>
      <c r="I558" s="444">
        <f t="shared" ca="1" si="55"/>
        <v>-2694881.8243863294</v>
      </c>
      <c r="J558" s="444">
        <f t="array" ref="J558">IFERROR(INDEX('Retirement Calculator'!J:J,MATCH('Isaac 401k'!N558,'Retirement Calculator'!A:A,0),0),0)</f>
        <v>8395.6297298201844</v>
      </c>
      <c r="K558" s="444">
        <f t="shared" ca="1" si="53"/>
        <v>-11263.656058817291</v>
      </c>
      <c r="L558" s="444">
        <f t="shared" ca="1" si="54"/>
        <v>-2714541.110174967</v>
      </c>
      <c r="M558" s="460">
        <f t="shared" si="56"/>
        <v>0.05</v>
      </c>
      <c r="N558" s="464">
        <f t="shared" si="57"/>
        <v>68028</v>
      </c>
    </row>
    <row r="559" spans="7:14" ht="11.25" customHeight="1" x14ac:dyDescent="0.25">
      <c r="G559" s="459">
        <f t="shared" si="60"/>
        <v>46</v>
      </c>
      <c r="H559" s="459">
        <v>552</v>
      </c>
      <c r="I559" s="444">
        <f t="shared" ca="1" si="55"/>
        <v>-2714541.110174967</v>
      </c>
      <c r="J559" s="444">
        <f t="array" ref="J559">IFERROR(INDEX('Retirement Calculator'!J:J,MATCH('Isaac 401k'!N559,'Retirement Calculator'!A:A,0),0),0)</f>
        <v>8395.6297298201844</v>
      </c>
      <c r="K559" s="444">
        <f t="shared" ca="1" si="53"/>
        <v>-11345.569749603281</v>
      </c>
      <c r="L559" s="444">
        <f t="shared" ca="1" si="54"/>
        <v>-2734282.3096543904</v>
      </c>
      <c r="M559" s="460">
        <f t="shared" si="56"/>
        <v>0.05</v>
      </c>
      <c r="N559" s="464">
        <f t="shared" si="57"/>
        <v>68058</v>
      </c>
    </row>
    <row r="560" spans="7:14" ht="11.25" customHeight="1" x14ac:dyDescent="0.25">
      <c r="G560" s="459">
        <f>G559+1</f>
        <v>47</v>
      </c>
      <c r="H560" s="459">
        <v>553</v>
      </c>
      <c r="I560" s="444">
        <f t="shared" ca="1" si="55"/>
        <v>-2734282.3096543904</v>
      </c>
      <c r="J560" s="444">
        <f t="array" ref="J560">IFERROR(INDEX('Retirement Calculator'!J:J,MATCH('Isaac 401k'!N560,'Retirement Calculator'!A:A,0),0),0)</f>
        <v>8395.6297298201844</v>
      </c>
      <c r="K560" s="444">
        <f t="shared" ca="1" si="53"/>
        <v>-11427.824747434212</v>
      </c>
      <c r="L560" s="444">
        <f t="shared" ca="1" si="54"/>
        <v>-2754105.7641316452</v>
      </c>
      <c r="M560" s="460">
        <f t="shared" si="56"/>
        <v>0.05</v>
      </c>
      <c r="N560" s="464">
        <f t="shared" si="57"/>
        <v>68089</v>
      </c>
    </row>
    <row r="561" spans="7:14" ht="11.25" customHeight="1" x14ac:dyDescent="0.25">
      <c r="G561" s="459">
        <f t="shared" ref="G561:G571" si="61">G560</f>
        <v>47</v>
      </c>
      <c r="H561" s="459">
        <v>554</v>
      </c>
      <c r="I561" s="444">
        <f t="shared" ca="1" si="55"/>
        <v>-2754105.7641316452</v>
      </c>
      <c r="J561" s="444">
        <f t="array" ref="J561">IFERROR(INDEX('Retirement Calculator'!J:J,MATCH('Isaac 401k'!N561,'Retirement Calculator'!A:A,0),0),0)</f>
        <v>8395.6297298201844</v>
      </c>
      <c r="K561" s="444">
        <f t="shared" ca="1" si="53"/>
        <v>-11510.422474422774</v>
      </c>
      <c r="L561" s="444">
        <f t="shared" ca="1" si="54"/>
        <v>-2774011.8163358886</v>
      </c>
      <c r="M561" s="460">
        <f t="shared" si="56"/>
        <v>0.05</v>
      </c>
      <c r="N561" s="464">
        <f t="shared" si="57"/>
        <v>68119</v>
      </c>
    </row>
    <row r="562" spans="7:14" ht="11.25" customHeight="1" x14ac:dyDescent="0.25">
      <c r="G562" s="459">
        <f t="shared" si="61"/>
        <v>47</v>
      </c>
      <c r="H562" s="459">
        <v>555</v>
      </c>
      <c r="I562" s="444">
        <f t="shared" ca="1" si="55"/>
        <v>-2774011.8163358886</v>
      </c>
      <c r="J562" s="444">
        <f t="array" ref="J562">IFERROR(INDEX('Retirement Calculator'!J:J,MATCH('Isaac 401k'!N562,'Retirement Calculator'!A:A,0),0),0)</f>
        <v>8395.6297298201844</v>
      </c>
      <c r="K562" s="444">
        <f t="shared" ca="1" si="53"/>
        <v>-11593.364358607121</v>
      </c>
      <c r="L562" s="444">
        <f t="shared" ca="1" si="54"/>
        <v>-2794000.8104243162</v>
      </c>
      <c r="M562" s="460">
        <f t="shared" si="56"/>
        <v>0.05</v>
      </c>
      <c r="N562" s="464">
        <f t="shared" si="57"/>
        <v>68150</v>
      </c>
    </row>
    <row r="563" spans="7:14" ht="11.25" customHeight="1" x14ac:dyDescent="0.25">
      <c r="G563" s="459">
        <f t="shared" si="61"/>
        <v>47</v>
      </c>
      <c r="H563" s="459">
        <v>556</v>
      </c>
      <c r="I563" s="444">
        <f t="shared" ca="1" si="55"/>
        <v>-2794000.8104243162</v>
      </c>
      <c r="J563" s="444">
        <f t="array" ref="J563">IFERROR(INDEX('Retirement Calculator'!J:J,MATCH('Isaac 401k'!N563,'Retirement Calculator'!A:A,0),0),0)</f>
        <v>8395.6297298201844</v>
      </c>
      <c r="K563" s="444">
        <f t="shared" ca="1" si="53"/>
        <v>-11676.651833975569</v>
      </c>
      <c r="L563" s="444">
        <f t="shared" ca="1" si="54"/>
        <v>-2814073.0919881123</v>
      </c>
      <c r="M563" s="460">
        <f t="shared" si="56"/>
        <v>0.05</v>
      </c>
      <c r="N563" s="464">
        <f t="shared" si="57"/>
        <v>68181</v>
      </c>
    </row>
    <row r="564" spans="7:14" ht="11.25" customHeight="1" x14ac:dyDescent="0.25">
      <c r="G564" s="459">
        <f t="shared" si="61"/>
        <v>47</v>
      </c>
      <c r="H564" s="459">
        <v>557</v>
      </c>
      <c r="I564" s="444">
        <f t="shared" ca="1" si="55"/>
        <v>-2814073.0919881123</v>
      </c>
      <c r="J564" s="444">
        <f t="array" ref="J564">IFERROR(INDEX('Retirement Calculator'!J:J,MATCH('Isaac 401k'!N564,'Retirement Calculator'!A:A,0),0),0)</f>
        <v>8395.6297298201844</v>
      </c>
      <c r="K564" s="444">
        <f t="shared" ca="1" si="53"/>
        <v>-11760.286340491386</v>
      </c>
      <c r="L564" s="444">
        <f t="shared" ca="1" si="54"/>
        <v>-2834229.0080584241</v>
      </c>
      <c r="M564" s="460">
        <f t="shared" si="56"/>
        <v>0.05</v>
      </c>
      <c r="N564" s="464">
        <f t="shared" si="57"/>
        <v>68211</v>
      </c>
    </row>
    <row r="565" spans="7:14" ht="11.25" customHeight="1" x14ac:dyDescent="0.25">
      <c r="G565" s="459">
        <f t="shared" si="61"/>
        <v>47</v>
      </c>
      <c r="H565" s="459">
        <v>558</v>
      </c>
      <c r="I565" s="444">
        <f t="shared" ca="1" si="55"/>
        <v>-2834229.0080584241</v>
      </c>
      <c r="J565" s="444">
        <f t="array" ref="J565">IFERROR(INDEX('Retirement Calculator'!J:J,MATCH('Isaac 401k'!N565,'Retirement Calculator'!A:A,0),0),0)</f>
        <v>8395.6297298201844</v>
      </c>
      <c r="K565" s="444">
        <f t="shared" ca="1" si="53"/>
        <v>-11844.269324117686</v>
      </c>
      <c r="L565" s="444">
        <f t="shared" ca="1" si="54"/>
        <v>-2854468.9071123623</v>
      </c>
      <c r="M565" s="460">
        <f t="shared" si="56"/>
        <v>0.05</v>
      </c>
      <c r="N565" s="464">
        <f t="shared" si="57"/>
        <v>68242</v>
      </c>
    </row>
    <row r="566" spans="7:14" ht="11.25" customHeight="1" x14ac:dyDescent="0.25">
      <c r="G566" s="459">
        <f t="shared" si="61"/>
        <v>47</v>
      </c>
      <c r="H566" s="459">
        <v>559</v>
      </c>
      <c r="I566" s="444">
        <f t="shared" ca="1" si="55"/>
        <v>-2854468.9071123623</v>
      </c>
      <c r="J566" s="444">
        <f t="array" ref="J566">IFERROR(INDEX('Retirement Calculator'!J:J,MATCH('Isaac 401k'!N566,'Retirement Calculator'!A:A,0),0),0)</f>
        <v>8395.6297298201844</v>
      </c>
      <c r="K566" s="444">
        <f t="shared" ca="1" si="53"/>
        <v>-11928.602236842427</v>
      </c>
      <c r="L566" s="444">
        <f t="shared" ca="1" si="54"/>
        <v>-2874793.139079025</v>
      </c>
      <c r="M566" s="460">
        <f t="shared" si="56"/>
        <v>0.05</v>
      </c>
      <c r="N566" s="464">
        <f t="shared" si="57"/>
        <v>68272</v>
      </c>
    </row>
    <row r="567" spans="7:14" ht="11.25" customHeight="1" x14ac:dyDescent="0.25">
      <c r="G567" s="459">
        <f t="shared" si="61"/>
        <v>47</v>
      </c>
      <c r="H567" s="459">
        <v>560</v>
      </c>
      <c r="I567" s="444">
        <f t="shared" ca="1" si="55"/>
        <v>-2874793.139079025</v>
      </c>
      <c r="J567" s="444">
        <f t="array" ref="J567">IFERROR(INDEX('Retirement Calculator'!J:J,MATCH('Isaac 401k'!N567,'Retirement Calculator'!A:A,0),0),0)</f>
        <v>8395.6297298201844</v>
      </c>
      <c r="K567" s="444">
        <f t="shared" ca="1" si="53"/>
        <v>-12013.286536703523</v>
      </c>
      <c r="L567" s="444">
        <f t="shared" ca="1" si="54"/>
        <v>-2895202.0553455488</v>
      </c>
      <c r="M567" s="460">
        <f t="shared" si="56"/>
        <v>0.05</v>
      </c>
      <c r="N567" s="464">
        <f t="shared" si="57"/>
        <v>68303</v>
      </c>
    </row>
    <row r="568" spans="7:14" ht="11.25" customHeight="1" x14ac:dyDescent="0.25">
      <c r="G568" s="459">
        <f t="shared" si="61"/>
        <v>47</v>
      </c>
      <c r="H568" s="459">
        <v>561</v>
      </c>
      <c r="I568" s="444">
        <f t="shared" ca="1" si="55"/>
        <v>-2895202.0553455488</v>
      </c>
      <c r="J568" s="444">
        <f t="array" ref="J568">IFERROR(INDEX('Retirement Calculator'!J:J,MATCH('Isaac 401k'!N568,'Retirement Calculator'!A:A,0),0),0)</f>
        <v>8395.6297298201844</v>
      </c>
      <c r="K568" s="444">
        <f t="shared" ca="1" si="53"/>
        <v>-12098.323687814038</v>
      </c>
      <c r="L568" s="444">
        <f t="shared" ca="1" si="54"/>
        <v>-2915696.0087631834</v>
      </c>
      <c r="M568" s="460">
        <f t="shared" si="56"/>
        <v>0.05</v>
      </c>
      <c r="N568" s="464">
        <f t="shared" si="57"/>
        <v>68334</v>
      </c>
    </row>
    <row r="569" spans="7:14" ht="11.25" customHeight="1" x14ac:dyDescent="0.25">
      <c r="G569" s="459">
        <f t="shared" si="61"/>
        <v>47</v>
      </c>
      <c r="H569" s="459">
        <v>562</v>
      </c>
      <c r="I569" s="444">
        <f t="shared" ca="1" si="55"/>
        <v>-2915696.0087631834</v>
      </c>
      <c r="J569" s="444">
        <f t="array" ref="J569">IFERROR(INDEX('Retirement Calculator'!J:J,MATCH('Isaac 401k'!N569,'Retirement Calculator'!A:A,0),0),0)</f>
        <v>8395.6297298201844</v>
      </c>
      <c r="K569" s="444">
        <f t="shared" ca="1" si="53"/>
        <v>-12183.715160387515</v>
      </c>
      <c r="L569" s="444">
        <f t="shared" ca="1" si="54"/>
        <v>-2936275.3536533914</v>
      </c>
      <c r="M569" s="460">
        <f t="shared" si="56"/>
        <v>0.05</v>
      </c>
      <c r="N569" s="464">
        <f t="shared" si="57"/>
        <v>68362</v>
      </c>
    </row>
    <row r="570" spans="7:14" ht="11.25" customHeight="1" x14ac:dyDescent="0.25">
      <c r="G570" s="459">
        <f t="shared" si="61"/>
        <v>47</v>
      </c>
      <c r="H570" s="459">
        <v>563</v>
      </c>
      <c r="I570" s="444">
        <f t="shared" ca="1" si="55"/>
        <v>-2936275.3536533914</v>
      </c>
      <c r="J570" s="444">
        <f t="array" ref="J570">IFERROR(INDEX('Retirement Calculator'!J:J,MATCH('Isaac 401k'!N570,'Retirement Calculator'!A:A,0),0),0)</f>
        <v>8395.6297298201844</v>
      </c>
      <c r="K570" s="444">
        <f t="shared" ca="1" si="53"/>
        <v>-12269.462430763382</v>
      </c>
      <c r="L570" s="444">
        <f t="shared" ca="1" si="54"/>
        <v>-2956940.4458139753</v>
      </c>
      <c r="M570" s="460">
        <f t="shared" si="56"/>
        <v>0.05</v>
      </c>
      <c r="N570" s="464">
        <f t="shared" si="57"/>
        <v>68393</v>
      </c>
    </row>
    <row r="571" spans="7:14" ht="11.25" customHeight="1" x14ac:dyDescent="0.25">
      <c r="G571" s="459">
        <f t="shared" si="61"/>
        <v>47</v>
      </c>
      <c r="H571" s="459">
        <v>564</v>
      </c>
      <c r="I571" s="444">
        <f t="shared" ca="1" si="55"/>
        <v>-2956940.4458139753</v>
      </c>
      <c r="J571" s="444">
        <f t="array" ref="J571">IFERROR(INDEX('Retirement Calculator'!J:J,MATCH('Isaac 401k'!N571,'Retirement Calculator'!A:A,0),0),0)</f>
        <v>8395.6297298201844</v>
      </c>
      <c r="K571" s="444">
        <f t="shared" ca="1" si="53"/>
        <v>-12355.566981432483</v>
      </c>
      <c r="L571" s="444">
        <f t="shared" ca="1" si="54"/>
        <v>-2977691.6425252282</v>
      </c>
      <c r="M571" s="460">
        <f t="shared" si="56"/>
        <v>0.05</v>
      </c>
      <c r="N571" s="464">
        <f t="shared" si="57"/>
        <v>68423</v>
      </c>
    </row>
    <row r="572" spans="7:14" ht="11.25" customHeight="1" x14ac:dyDescent="0.25">
      <c r="G572" s="459">
        <f>G571+1</f>
        <v>48</v>
      </c>
      <c r="H572" s="459">
        <v>565</v>
      </c>
      <c r="I572" s="444">
        <f t="shared" ca="1" si="55"/>
        <v>-2977691.6425252282</v>
      </c>
      <c r="J572" s="444">
        <f t="array" ref="J572">IFERROR(INDEX('Retirement Calculator'!J:J,MATCH('Isaac 401k'!N572,'Retirement Calculator'!A:A,0),0),0)</f>
        <v>8395.6297298201844</v>
      </c>
      <c r="K572" s="444">
        <f t="shared" ca="1" si="53"/>
        <v>-12442.030301062703</v>
      </c>
      <c r="L572" s="444">
        <f t="shared" ca="1" si="54"/>
        <v>-2998529.3025561115</v>
      </c>
      <c r="M572" s="460">
        <f t="shared" si="56"/>
        <v>0.05</v>
      </c>
      <c r="N572" s="464">
        <f t="shared" si="57"/>
        <v>68454</v>
      </c>
    </row>
    <row r="573" spans="7:14" ht="11.25" customHeight="1" x14ac:dyDescent="0.25">
      <c r="G573" s="459">
        <f t="shared" ref="G573:G583" si="62">G572</f>
        <v>48</v>
      </c>
      <c r="H573" s="459">
        <v>566</v>
      </c>
      <c r="I573" s="444">
        <f t="shared" ca="1" si="55"/>
        <v>-2998529.3025561115</v>
      </c>
      <c r="J573" s="444">
        <f t="array" ref="J573">IFERROR(INDEX('Retirement Calculator'!J:J,MATCH('Isaac 401k'!N573,'Retirement Calculator'!A:A,0),0),0)</f>
        <v>8395.6297298201844</v>
      </c>
      <c r="K573" s="444">
        <f t="shared" ca="1" si="53"/>
        <v>-12528.853884524717</v>
      </c>
      <c r="L573" s="444">
        <f t="shared" ca="1" si="54"/>
        <v>-3019453.7861704566</v>
      </c>
      <c r="M573" s="460">
        <f t="shared" si="56"/>
        <v>0.05</v>
      </c>
      <c r="N573" s="464">
        <f t="shared" si="57"/>
        <v>68484</v>
      </c>
    </row>
    <row r="574" spans="7:14" ht="11.25" customHeight="1" x14ac:dyDescent="0.25">
      <c r="G574" s="459">
        <f t="shared" si="62"/>
        <v>48</v>
      </c>
      <c r="H574" s="459">
        <v>567</v>
      </c>
      <c r="I574" s="444">
        <f t="shared" ca="1" si="55"/>
        <v>-3019453.7861704566</v>
      </c>
      <c r="J574" s="444">
        <f t="array" ref="J574">IFERROR(INDEX('Retirement Calculator'!J:J,MATCH('Isaac 401k'!N574,'Retirement Calculator'!A:A,0),0),0)</f>
        <v>8395.6297298201844</v>
      </c>
      <c r="K574" s="444">
        <f t="shared" ca="1" si="53"/>
        <v>-12616.039232917821</v>
      </c>
      <c r="L574" s="444">
        <f t="shared" ca="1" si="54"/>
        <v>-3040465.4551331946</v>
      </c>
      <c r="M574" s="460">
        <f t="shared" si="56"/>
        <v>0.05</v>
      </c>
      <c r="N574" s="464">
        <f t="shared" si="57"/>
        <v>68515</v>
      </c>
    </row>
    <row r="575" spans="7:14" ht="11.25" customHeight="1" x14ac:dyDescent="0.25">
      <c r="G575" s="459">
        <f t="shared" si="62"/>
        <v>48</v>
      </c>
      <c r="H575" s="459">
        <v>568</v>
      </c>
      <c r="I575" s="444">
        <f t="shared" ca="1" si="55"/>
        <v>-3040465.4551331946</v>
      </c>
      <c r="J575" s="444">
        <f t="array" ref="J575">IFERROR(INDEX('Retirement Calculator'!J:J,MATCH('Isaac 401k'!N575,'Retirement Calculator'!A:A,0),0),0)</f>
        <v>8395.6297298201844</v>
      </c>
      <c r="K575" s="444">
        <f t="shared" ca="1" si="53"/>
        <v>-12703.587853595896</v>
      </c>
      <c r="L575" s="444">
        <f t="shared" ca="1" si="54"/>
        <v>-3061564.6727166111</v>
      </c>
      <c r="M575" s="460">
        <f t="shared" si="56"/>
        <v>0.05</v>
      </c>
      <c r="N575" s="464">
        <f t="shared" si="57"/>
        <v>68546</v>
      </c>
    </row>
    <row r="576" spans="7:14" ht="11.25" customHeight="1" x14ac:dyDescent="0.25">
      <c r="G576" s="459">
        <f t="shared" si="62"/>
        <v>48</v>
      </c>
      <c r="H576" s="459">
        <v>569</v>
      </c>
      <c r="I576" s="444">
        <f t="shared" ca="1" si="55"/>
        <v>-3061564.6727166111</v>
      </c>
      <c r="J576" s="444">
        <f t="array" ref="J576">IFERROR(INDEX('Retirement Calculator'!J:J,MATCH('Isaac 401k'!N576,'Retirement Calculator'!A:A,0),0),0)</f>
        <v>8395.6297298201844</v>
      </c>
      <c r="K576" s="444">
        <f t="shared" ca="1" si="53"/>
        <v>-12791.501260193465</v>
      </c>
      <c r="L576" s="444">
        <f t="shared" ca="1" si="54"/>
        <v>-3082751.803706625</v>
      </c>
      <c r="M576" s="460">
        <f t="shared" si="56"/>
        <v>0.05</v>
      </c>
      <c r="N576" s="464">
        <f t="shared" si="57"/>
        <v>68576</v>
      </c>
    </row>
    <row r="577" spans="7:14" ht="11.25" customHeight="1" x14ac:dyDescent="0.25">
      <c r="G577" s="459">
        <f t="shared" si="62"/>
        <v>48</v>
      </c>
      <c r="H577" s="459">
        <v>570</v>
      </c>
      <c r="I577" s="444">
        <f t="shared" ca="1" si="55"/>
        <v>-3082751.803706625</v>
      </c>
      <c r="J577" s="444">
        <f t="array" ref="J577">IFERROR(INDEX('Retirement Calculator'!J:J,MATCH('Isaac 401k'!N577,'Retirement Calculator'!A:A,0),0),0)</f>
        <v>8395.6297298201844</v>
      </c>
      <c r="K577" s="444">
        <f t="shared" ca="1" si="53"/>
        <v>-12879.780972651855</v>
      </c>
      <c r="L577" s="444">
        <f t="shared" ca="1" si="54"/>
        <v>-3104027.2144090971</v>
      </c>
      <c r="M577" s="460">
        <f t="shared" si="56"/>
        <v>0.05</v>
      </c>
      <c r="N577" s="464">
        <f t="shared" si="57"/>
        <v>68607</v>
      </c>
    </row>
    <row r="578" spans="7:14" ht="11.25" customHeight="1" x14ac:dyDescent="0.25">
      <c r="G578" s="459">
        <f t="shared" si="62"/>
        <v>48</v>
      </c>
      <c r="H578" s="459">
        <v>571</v>
      </c>
      <c r="I578" s="444">
        <f t="shared" ca="1" si="55"/>
        <v>-3104027.2144090971</v>
      </c>
      <c r="J578" s="444">
        <f t="array" ref="J578">IFERROR(INDEX('Retirement Calculator'!J:J,MATCH('Isaac 401k'!N578,'Retirement Calculator'!A:A,0),0),0)</f>
        <v>8395.6297298201844</v>
      </c>
      <c r="K578" s="444">
        <f t="shared" ca="1" si="53"/>
        <v>-12968.428517245489</v>
      </c>
      <c r="L578" s="444">
        <f t="shared" ca="1" si="54"/>
        <v>-3125391.2726561632</v>
      </c>
      <c r="M578" s="460">
        <f t="shared" si="56"/>
        <v>0.05</v>
      </c>
      <c r="N578" s="464">
        <f t="shared" si="57"/>
        <v>68637</v>
      </c>
    </row>
    <row r="579" spans="7:14" ht="11.25" customHeight="1" x14ac:dyDescent="0.25">
      <c r="G579" s="459">
        <f t="shared" si="62"/>
        <v>48</v>
      </c>
      <c r="H579" s="459">
        <v>572</v>
      </c>
      <c r="I579" s="444">
        <f t="shared" ca="1" si="55"/>
        <v>-3125391.2726561632</v>
      </c>
      <c r="J579" s="444">
        <f t="array" ref="J579">IFERROR(INDEX('Retirement Calculator'!J:J,MATCH('Isaac 401k'!N579,'Retirement Calculator'!A:A,0),0),0)</f>
        <v>8395.6297298201844</v>
      </c>
      <c r="K579" s="444">
        <f t="shared" ca="1" si="53"/>
        <v>-13057.445426608265</v>
      </c>
      <c r="L579" s="444">
        <f t="shared" ca="1" si="54"/>
        <v>-3146844.3478125921</v>
      </c>
      <c r="M579" s="460">
        <f t="shared" si="56"/>
        <v>0.05</v>
      </c>
      <c r="N579" s="464">
        <f t="shared" si="57"/>
        <v>68668</v>
      </c>
    </row>
    <row r="580" spans="7:14" ht="11.25" customHeight="1" x14ac:dyDescent="0.25">
      <c r="G580" s="459">
        <f t="shared" si="62"/>
        <v>48</v>
      </c>
      <c r="H580" s="459">
        <v>573</v>
      </c>
      <c r="I580" s="444">
        <f t="shared" ca="1" si="55"/>
        <v>-3146844.3478125921</v>
      </c>
      <c r="J580" s="444">
        <f t="array" ref="J580">IFERROR(INDEX('Retirement Calculator'!J:J,MATCH('Isaac 401k'!N580,'Retirement Calculator'!A:A,0),0),0)</f>
        <v>8395.6297298201844</v>
      </c>
      <c r="K580" s="444">
        <f t="shared" ca="1" si="53"/>
        <v>-13146.833239760052</v>
      </c>
      <c r="L580" s="444">
        <f t="shared" ca="1" si="54"/>
        <v>-3168386.8107821727</v>
      </c>
      <c r="M580" s="460">
        <f t="shared" si="56"/>
        <v>0.05</v>
      </c>
      <c r="N580" s="464">
        <f t="shared" si="57"/>
        <v>68699</v>
      </c>
    </row>
    <row r="581" spans="7:14" ht="11.25" customHeight="1" x14ac:dyDescent="0.25">
      <c r="G581" s="459">
        <f t="shared" si="62"/>
        <v>48</v>
      </c>
      <c r="H581" s="459">
        <v>574</v>
      </c>
      <c r="I581" s="444">
        <f t="shared" ca="1" si="55"/>
        <v>-3168386.8107821727</v>
      </c>
      <c r="J581" s="444">
        <f t="array" ref="J581">IFERROR(INDEX('Retirement Calculator'!J:J,MATCH('Isaac 401k'!N581,'Retirement Calculator'!A:A,0),0),0)</f>
        <v>8395.6297298201844</v>
      </c>
      <c r="K581" s="444">
        <f t="shared" ca="1" si="53"/>
        <v>-13236.593502133304</v>
      </c>
      <c r="L581" s="444">
        <f t="shared" ca="1" si="54"/>
        <v>-3190019.0340141263</v>
      </c>
      <c r="M581" s="460">
        <f t="shared" si="56"/>
        <v>0.05</v>
      </c>
      <c r="N581" s="464">
        <f t="shared" si="57"/>
        <v>68728</v>
      </c>
    </row>
    <row r="582" spans="7:14" ht="11.25" customHeight="1" x14ac:dyDescent="0.25">
      <c r="G582" s="459">
        <f t="shared" si="62"/>
        <v>48</v>
      </c>
      <c r="H582" s="459">
        <v>575</v>
      </c>
      <c r="I582" s="444">
        <f t="shared" ca="1" si="55"/>
        <v>-3190019.0340141263</v>
      </c>
      <c r="J582" s="444">
        <f t="array" ref="J582">IFERROR(INDEX('Retirement Calculator'!J:J,MATCH('Isaac 401k'!N582,'Retirement Calculator'!A:A,0),0),0)</f>
        <v>8395.6297298201844</v>
      </c>
      <c r="K582" s="444">
        <f t="shared" ca="1" si="53"/>
        <v>-13326.727765599777</v>
      </c>
      <c r="L582" s="444">
        <f t="shared" ca="1" si="54"/>
        <v>-3211741.3915095464</v>
      </c>
      <c r="M582" s="460">
        <f t="shared" si="56"/>
        <v>0.05</v>
      </c>
      <c r="N582" s="464">
        <f t="shared" si="57"/>
        <v>68759</v>
      </c>
    </row>
    <row r="583" spans="7:14" ht="11.25" customHeight="1" x14ac:dyDescent="0.25">
      <c r="G583" s="459">
        <f t="shared" si="62"/>
        <v>48</v>
      </c>
      <c r="H583" s="459">
        <v>576</v>
      </c>
      <c r="I583" s="444">
        <f t="shared" ca="1" si="55"/>
        <v>-3211741.3915095464</v>
      </c>
      <c r="J583" s="444">
        <f t="array" ref="J583">IFERROR(INDEX('Retirement Calculator'!J:J,MATCH('Isaac 401k'!N583,'Retirement Calculator'!A:A,0),0),0)</f>
        <v>8395.6297298201844</v>
      </c>
      <c r="K583" s="444">
        <f t="shared" ca="1" si="53"/>
        <v>-13417.237588497361</v>
      </c>
      <c r="L583" s="444">
        <f t="shared" ca="1" si="54"/>
        <v>-3233554.2588278642</v>
      </c>
      <c r="M583" s="460">
        <f t="shared" si="56"/>
        <v>0.05</v>
      </c>
      <c r="N583" s="464">
        <f t="shared" si="57"/>
        <v>68789</v>
      </c>
    </row>
    <row r="584" spans="7:14" ht="11.25" customHeight="1" x14ac:dyDescent="0.25">
      <c r="G584" s="459">
        <f>G583+1</f>
        <v>49</v>
      </c>
      <c r="H584" s="459">
        <v>577</v>
      </c>
      <c r="I584" s="444">
        <f t="shared" ca="1" si="55"/>
        <v>-3233554.2588278642</v>
      </c>
      <c r="J584" s="444">
        <f t="array" ref="J584">IFERROR(INDEX('Retirement Calculator'!J:J,MATCH('Isaac 401k'!N584,'Retirement Calculator'!A:A,0),0),0)</f>
        <v>8395.6297298201844</v>
      </c>
      <c r="K584" s="444">
        <f t="shared" ca="1" si="53"/>
        <v>-13508.12453565702</v>
      </c>
      <c r="L584" s="444">
        <f t="shared" ca="1" si="54"/>
        <v>-3255458.0130933416</v>
      </c>
      <c r="M584" s="460">
        <f t="shared" si="56"/>
        <v>0.05</v>
      </c>
      <c r="N584" s="464">
        <f t="shared" si="57"/>
        <v>68820</v>
      </c>
    </row>
    <row r="585" spans="7:14" ht="11.25" customHeight="1" x14ac:dyDescent="0.25">
      <c r="G585" s="459">
        <f t="shared" ref="G585:G595" si="63">G584</f>
        <v>49</v>
      </c>
      <c r="H585" s="459">
        <v>578</v>
      </c>
      <c r="I585" s="444">
        <f t="shared" ca="1" si="55"/>
        <v>-3255458.0130933416</v>
      </c>
      <c r="J585" s="444">
        <f t="array" ref="J585">IFERROR(INDEX('Retirement Calculator'!J:J,MATCH('Isaac 401k'!N585,'Retirement Calculator'!A:A,0),0),0)</f>
        <v>8395.6297298201844</v>
      </c>
      <c r="K585" s="444">
        <f t="shared" ca="1" si="53"/>
        <v>-13599.390178429841</v>
      </c>
      <c r="L585" s="444">
        <f t="shared" ca="1" si="54"/>
        <v>-3277453.0330015919</v>
      </c>
      <c r="M585" s="460">
        <f t="shared" si="56"/>
        <v>0.05</v>
      </c>
      <c r="N585" s="464">
        <f t="shared" si="57"/>
        <v>68850</v>
      </c>
    </row>
    <row r="586" spans="7:14" ht="11.25" customHeight="1" x14ac:dyDescent="0.25">
      <c r="G586" s="459">
        <f t="shared" si="63"/>
        <v>49</v>
      </c>
      <c r="H586" s="459">
        <v>579</v>
      </c>
      <c r="I586" s="444">
        <f t="shared" ca="1" si="55"/>
        <v>-3277453.0330015919</v>
      </c>
      <c r="J586" s="444">
        <f t="array" ref="J586">IFERROR(INDEX('Retirement Calculator'!J:J,MATCH('Isaac 401k'!N586,'Retirement Calculator'!A:A,0),0),0)</f>
        <v>8395.6297298201844</v>
      </c>
      <c r="K586" s="444">
        <f t="shared" ca="1" si="53"/>
        <v>-13691.036094714218</v>
      </c>
      <c r="L586" s="444">
        <f t="shared" ca="1" si="54"/>
        <v>-3299539.6988261268</v>
      </c>
      <c r="M586" s="460">
        <f t="shared" si="56"/>
        <v>0.05</v>
      </c>
      <c r="N586" s="464">
        <f t="shared" si="57"/>
        <v>68881</v>
      </c>
    </row>
    <row r="587" spans="7:14" ht="11.25" customHeight="1" x14ac:dyDescent="0.25">
      <c r="G587" s="459">
        <f t="shared" si="63"/>
        <v>49</v>
      </c>
      <c r="H587" s="459">
        <v>580</v>
      </c>
      <c r="I587" s="444">
        <f t="shared" ca="1" si="55"/>
        <v>-3299539.6988261268</v>
      </c>
      <c r="J587" s="444">
        <f t="array" ref="J587">IFERROR(INDEX('Retirement Calculator'!J:J,MATCH('Isaac 401k'!N587,'Retirement Calculator'!A:A,0),0),0)</f>
        <v>8395.6297298201844</v>
      </c>
      <c r="K587" s="444">
        <f t="shared" ca="1" si="53"/>
        <v>-13783.06386898311</v>
      </c>
      <c r="L587" s="444">
        <f t="shared" ca="1" si="54"/>
        <v>-3321718.3924249304</v>
      </c>
      <c r="M587" s="460">
        <f t="shared" si="56"/>
        <v>0.05</v>
      </c>
      <c r="N587" s="464">
        <f t="shared" si="57"/>
        <v>68912</v>
      </c>
    </row>
    <row r="588" spans="7:14" ht="11.25" customHeight="1" x14ac:dyDescent="0.25">
      <c r="G588" s="459">
        <f t="shared" si="63"/>
        <v>49</v>
      </c>
      <c r="H588" s="459">
        <v>581</v>
      </c>
      <c r="I588" s="444">
        <f t="shared" ca="1" si="55"/>
        <v>-3321718.3924249304</v>
      </c>
      <c r="J588" s="444">
        <f t="array" ref="J588">IFERROR(INDEX('Retirement Calculator'!J:J,MATCH('Isaac 401k'!N588,'Retirement Calculator'!A:A,0),0),0)</f>
        <v>8395.6297298201844</v>
      </c>
      <c r="K588" s="444">
        <f t="shared" ca="1" si="53"/>
        <v>-13875.475092311461</v>
      </c>
      <c r="L588" s="444">
        <f t="shared" ca="1" si="54"/>
        <v>-3343989.4972470622</v>
      </c>
      <c r="M588" s="460">
        <f t="shared" si="56"/>
        <v>0.05</v>
      </c>
      <c r="N588" s="464">
        <f t="shared" si="57"/>
        <v>68942</v>
      </c>
    </row>
    <row r="589" spans="7:14" ht="11.25" customHeight="1" x14ac:dyDescent="0.25">
      <c r="G589" s="459">
        <f t="shared" si="63"/>
        <v>49</v>
      </c>
      <c r="H589" s="459">
        <v>582</v>
      </c>
      <c r="I589" s="444">
        <f t="shared" ca="1" si="55"/>
        <v>-3343989.4972470622</v>
      </c>
      <c r="J589" s="444">
        <f t="array" ref="J589">IFERROR(INDEX('Retirement Calculator'!J:J,MATCH('Isaac 401k'!N589,'Retirement Calculator'!A:A,0),0),0)</f>
        <v>8395.6297298201844</v>
      </c>
      <c r="K589" s="444">
        <f t="shared" ca="1" si="53"/>
        <v>-13968.271362403679</v>
      </c>
      <c r="L589" s="444">
        <f t="shared" ca="1" si="54"/>
        <v>-3366353.3983392864</v>
      </c>
      <c r="M589" s="460">
        <f t="shared" si="56"/>
        <v>0.05</v>
      </c>
      <c r="N589" s="464">
        <f t="shared" si="57"/>
        <v>68973</v>
      </c>
    </row>
    <row r="590" spans="7:14" ht="11.25" customHeight="1" x14ac:dyDescent="0.25">
      <c r="G590" s="459">
        <f t="shared" si="63"/>
        <v>49</v>
      </c>
      <c r="H590" s="459">
        <v>583</v>
      </c>
      <c r="I590" s="444">
        <f t="shared" ca="1" si="55"/>
        <v>-3366353.3983392864</v>
      </c>
      <c r="J590" s="444">
        <f t="array" ref="J590">IFERROR(INDEX('Retirement Calculator'!J:J,MATCH('Isaac 401k'!N590,'Retirement Calculator'!A:A,0),0),0)</f>
        <v>8395.6297298201844</v>
      </c>
      <c r="K590" s="444">
        <f t="shared" ca="1" si="53"/>
        <v>-14061.454283621279</v>
      </c>
      <c r="L590" s="444">
        <f t="shared" ca="1" si="54"/>
        <v>-3388810.482352728</v>
      </c>
      <c r="M590" s="460">
        <f t="shared" si="56"/>
        <v>0.05</v>
      </c>
      <c r="N590" s="464">
        <f t="shared" si="57"/>
        <v>69003</v>
      </c>
    </row>
    <row r="591" spans="7:14" ht="11.25" customHeight="1" x14ac:dyDescent="0.25">
      <c r="G591" s="459">
        <f t="shared" si="63"/>
        <v>49</v>
      </c>
      <c r="H591" s="459">
        <v>584</v>
      </c>
      <c r="I591" s="444">
        <f t="shared" ca="1" si="55"/>
        <v>-3388810.482352728</v>
      </c>
      <c r="J591" s="444">
        <f t="array" ref="J591">IFERROR(INDEX('Retirement Calculator'!J:J,MATCH('Isaac 401k'!N591,'Retirement Calculator'!A:A,0),0),0)</f>
        <v>8395.6297298201844</v>
      </c>
      <c r="K591" s="444">
        <f t="shared" ca="1" si="53"/>
        <v>-14155.025467010619</v>
      </c>
      <c r="L591" s="444">
        <f t="shared" ca="1" si="54"/>
        <v>-3411361.1375495591</v>
      </c>
      <c r="M591" s="460">
        <f t="shared" si="56"/>
        <v>0.05</v>
      </c>
      <c r="N591" s="464">
        <f t="shared" si="57"/>
        <v>69034</v>
      </c>
    </row>
    <row r="592" spans="7:14" ht="11.25" customHeight="1" x14ac:dyDescent="0.25">
      <c r="G592" s="459">
        <f t="shared" si="63"/>
        <v>49</v>
      </c>
      <c r="H592" s="459">
        <v>585</v>
      </c>
      <c r="I592" s="444">
        <f t="shared" ca="1" si="55"/>
        <v>-3411361.1375495591</v>
      </c>
      <c r="J592" s="444">
        <f t="array" ref="J592">IFERROR(INDEX('Retirement Calculator'!J:J,MATCH('Isaac 401k'!N592,'Retirement Calculator'!A:A,0),0),0)</f>
        <v>8395.6297298201844</v>
      </c>
      <c r="K592" s="444">
        <f t="shared" ca="1" si="53"/>
        <v>-14248.986530330747</v>
      </c>
      <c r="L592" s="444">
        <f t="shared" ca="1" si="54"/>
        <v>-3434005.7538097105</v>
      </c>
      <c r="M592" s="460">
        <f t="shared" si="56"/>
        <v>0.05</v>
      </c>
      <c r="N592" s="464">
        <f t="shared" si="57"/>
        <v>69065</v>
      </c>
    </row>
    <row r="593" spans="7:14" ht="11.25" customHeight="1" x14ac:dyDescent="0.25">
      <c r="G593" s="459">
        <f t="shared" si="63"/>
        <v>49</v>
      </c>
      <c r="H593" s="459">
        <v>586</v>
      </c>
      <c r="I593" s="444">
        <f t="shared" ca="1" si="55"/>
        <v>-3434005.7538097105</v>
      </c>
      <c r="J593" s="444">
        <f t="array" ref="J593">IFERROR(INDEX('Retirement Calculator'!J:J,MATCH('Isaac 401k'!N593,'Retirement Calculator'!A:A,0),0),0)</f>
        <v>8395.6297298201844</v>
      </c>
      <c r="K593" s="444">
        <f t="shared" ca="1" si="53"/>
        <v>-14343.339098081377</v>
      </c>
      <c r="L593" s="444">
        <f t="shared" ca="1" si="54"/>
        <v>-3456744.7226376124</v>
      </c>
      <c r="M593" s="460">
        <f t="shared" si="56"/>
        <v>0.05</v>
      </c>
      <c r="N593" s="464">
        <f t="shared" si="57"/>
        <v>69093</v>
      </c>
    </row>
    <row r="594" spans="7:14" ht="11.25" customHeight="1" x14ac:dyDescent="0.25">
      <c r="G594" s="459">
        <f t="shared" si="63"/>
        <v>49</v>
      </c>
      <c r="H594" s="459">
        <v>587</v>
      </c>
      <c r="I594" s="444">
        <f t="shared" ca="1" si="55"/>
        <v>-3456744.7226376124</v>
      </c>
      <c r="J594" s="444">
        <f t="array" ref="J594">IFERROR(INDEX('Retirement Calculator'!J:J,MATCH('Isaac 401k'!N594,'Retirement Calculator'!A:A,0),0),0)</f>
        <v>8395.6297298201844</v>
      </c>
      <c r="K594" s="444">
        <f t="shared" ca="1" si="53"/>
        <v>-14438.084801530969</v>
      </c>
      <c r="L594" s="444">
        <f t="shared" ca="1" si="54"/>
        <v>-3479578.4371689637</v>
      </c>
      <c r="M594" s="460">
        <f t="shared" si="56"/>
        <v>0.05</v>
      </c>
      <c r="N594" s="464">
        <f t="shared" si="57"/>
        <v>69124</v>
      </c>
    </row>
    <row r="595" spans="7:14" ht="11.25" customHeight="1" x14ac:dyDescent="0.25">
      <c r="G595" s="459">
        <f t="shared" si="63"/>
        <v>49</v>
      </c>
      <c r="H595" s="459">
        <v>588</v>
      </c>
      <c r="I595" s="444">
        <f t="shared" ca="1" si="55"/>
        <v>-3479578.4371689637</v>
      </c>
      <c r="J595" s="444">
        <f t="array" ref="J595">IFERROR(INDEX('Retirement Calculator'!J:J,MATCH('Isaac 401k'!N595,'Retirement Calculator'!A:A,0),0),0)</f>
        <v>8395.6297298201844</v>
      </c>
      <c r="K595" s="444">
        <f t="shared" ca="1" si="53"/>
        <v>-14533.225278744934</v>
      </c>
      <c r="L595" s="444">
        <f t="shared" ca="1" si="54"/>
        <v>-3502507.2921775291</v>
      </c>
      <c r="M595" s="460">
        <f t="shared" si="56"/>
        <v>0.05</v>
      </c>
      <c r="N595" s="464">
        <f t="shared" si="57"/>
        <v>69154</v>
      </c>
    </row>
    <row r="596" spans="7:14" ht="11.25" customHeight="1" x14ac:dyDescent="0.25">
      <c r="G596" s="459">
        <f>G595+1</f>
        <v>50</v>
      </c>
      <c r="H596" s="459">
        <v>589</v>
      </c>
      <c r="I596" s="444">
        <f t="shared" ca="1" si="55"/>
        <v>-3502507.2921775291</v>
      </c>
      <c r="J596" s="444">
        <f t="array" ref="J596">IFERROR(INDEX('Retirement Calculator'!J:J,MATCH('Isaac 401k'!N596,'Retirement Calculator'!A:A,0),0),0)</f>
        <v>8395.6297298201844</v>
      </c>
      <c r="K596" s="444">
        <f t="shared" ca="1" si="53"/>
        <v>-14628.762174613956</v>
      </c>
      <c r="L596" s="444">
        <f t="shared" ca="1" si="54"/>
        <v>-3525531.6840819633</v>
      </c>
      <c r="M596" s="460">
        <f t="shared" si="56"/>
        <v>0.05</v>
      </c>
      <c r="N596" s="464">
        <f t="shared" si="57"/>
        <v>69185</v>
      </c>
    </row>
    <row r="597" spans="7:14" ht="11.25" customHeight="1" x14ac:dyDescent="0.25">
      <c r="G597" s="459">
        <f t="shared" ref="G597:G607" si="64">G596</f>
        <v>50</v>
      </c>
      <c r="H597" s="459">
        <v>590</v>
      </c>
      <c r="I597" s="444">
        <f t="shared" ca="1" si="55"/>
        <v>-3525531.6840819633</v>
      </c>
      <c r="J597" s="444">
        <f t="array" ref="J597">IFERROR(INDEX('Retirement Calculator'!J:J,MATCH('Isaac 401k'!N597,'Retirement Calculator'!A:A,0),0),0)</f>
        <v>8395.6297298201844</v>
      </c>
      <c r="K597" s="444">
        <f t="shared" ca="1" si="53"/>
        <v>-14724.69714088243</v>
      </c>
      <c r="L597" s="444">
        <f t="shared" ca="1" si="54"/>
        <v>-3548652.0109526659</v>
      </c>
      <c r="M597" s="460">
        <f t="shared" si="56"/>
        <v>0.05</v>
      </c>
      <c r="N597" s="464">
        <f t="shared" si="57"/>
        <v>69215</v>
      </c>
    </row>
    <row r="598" spans="7:14" ht="11.25" customHeight="1" x14ac:dyDescent="0.25">
      <c r="G598" s="459">
        <f t="shared" si="64"/>
        <v>50</v>
      </c>
      <c r="H598" s="459">
        <v>591</v>
      </c>
      <c r="I598" s="444">
        <f t="shared" ca="1" si="55"/>
        <v>-3548652.0109526659</v>
      </c>
      <c r="J598" s="444">
        <f t="array" ref="J598">IFERROR(INDEX('Retirement Calculator'!J:J,MATCH('Isaac 401k'!N598,'Retirement Calculator'!A:A,0),0),0)</f>
        <v>8395.6297298201844</v>
      </c>
      <c r="K598" s="444">
        <f t="shared" ca="1" si="53"/>
        <v>-14821.031836177026</v>
      </c>
      <c r="L598" s="444">
        <f t="shared" ca="1" si="54"/>
        <v>-3571868.6725186636</v>
      </c>
      <c r="M598" s="460">
        <f t="shared" si="56"/>
        <v>0.05</v>
      </c>
      <c r="N598" s="464">
        <f t="shared" si="57"/>
        <v>69246</v>
      </c>
    </row>
    <row r="599" spans="7:14" ht="11.25" customHeight="1" x14ac:dyDescent="0.25">
      <c r="G599" s="459">
        <f t="shared" si="64"/>
        <v>50</v>
      </c>
      <c r="H599" s="459">
        <v>592</v>
      </c>
      <c r="I599" s="444">
        <f t="shared" ca="1" si="55"/>
        <v>-3571868.6725186636</v>
      </c>
      <c r="J599" s="444">
        <f t="array" ref="J599">IFERROR(INDEX('Retirement Calculator'!J:J,MATCH('Isaac 401k'!N599,'Retirement Calculator'!A:A,0),0),0)</f>
        <v>8395.6297298201844</v>
      </c>
      <c r="K599" s="444">
        <f t="shared" ca="1" si="53"/>
        <v>-14917.767926035349</v>
      </c>
      <c r="L599" s="444">
        <f t="shared" ca="1" si="54"/>
        <v>-3595182.0701745194</v>
      </c>
      <c r="M599" s="460">
        <f t="shared" si="56"/>
        <v>0.05</v>
      </c>
      <c r="N599" s="464">
        <f t="shared" si="57"/>
        <v>69277</v>
      </c>
    </row>
    <row r="600" spans="7:14" ht="11.25" customHeight="1" x14ac:dyDescent="0.25">
      <c r="G600" s="459">
        <f t="shared" si="64"/>
        <v>50</v>
      </c>
      <c r="H600" s="459">
        <v>593</v>
      </c>
      <c r="I600" s="444">
        <f t="shared" ca="1" si="55"/>
        <v>-3595182.0701745194</v>
      </c>
      <c r="J600" s="444">
        <f t="array" ref="J600">IFERROR(INDEX('Retirement Calculator'!J:J,MATCH('Isaac 401k'!N600,'Retirement Calculator'!A:A,0),0),0)</f>
        <v>8395.6297298201844</v>
      </c>
      <c r="K600" s="444">
        <f t="shared" ca="1" si="53"/>
        <v>-15014.907082934747</v>
      </c>
      <c r="L600" s="444">
        <f t="shared" ca="1" si="54"/>
        <v>-3618592.6069872747</v>
      </c>
      <c r="M600" s="460">
        <f t="shared" si="56"/>
        <v>0.05</v>
      </c>
      <c r="N600" s="464">
        <f t="shared" si="57"/>
        <v>69307</v>
      </c>
    </row>
    <row r="601" spans="7:14" ht="11.25" customHeight="1" x14ac:dyDescent="0.25">
      <c r="G601" s="459">
        <f t="shared" si="64"/>
        <v>50</v>
      </c>
      <c r="H601" s="459">
        <v>594</v>
      </c>
      <c r="I601" s="444">
        <f t="shared" ca="1" si="55"/>
        <v>-3618592.6069872747</v>
      </c>
      <c r="J601" s="444">
        <f t="array" ref="J601">IFERROR(INDEX('Retirement Calculator'!J:J,MATCH('Isaac 401k'!N601,'Retirement Calculator'!A:A,0),0),0)</f>
        <v>8395.6297298201844</v>
      </c>
      <c r="K601" s="444">
        <f t="shared" ca="1" si="53"/>
        <v>-15112.450986321232</v>
      </c>
      <c r="L601" s="444">
        <f t="shared" ca="1" si="54"/>
        <v>-3642100.6877034162</v>
      </c>
      <c r="M601" s="460">
        <f t="shared" si="56"/>
        <v>0.05</v>
      </c>
      <c r="N601" s="464">
        <f t="shared" si="57"/>
        <v>69338</v>
      </c>
    </row>
    <row r="602" spans="7:14" ht="11.25" customHeight="1" x14ac:dyDescent="0.25">
      <c r="G602" s="459">
        <f t="shared" si="64"/>
        <v>50</v>
      </c>
      <c r="H602" s="459">
        <v>595</v>
      </c>
      <c r="I602" s="444">
        <f t="shared" ca="1" si="55"/>
        <v>-3642100.6877034162</v>
      </c>
      <c r="J602" s="444">
        <f t="array" ref="J602">IFERROR(INDEX('Retirement Calculator'!J:J,MATCH('Isaac 401k'!N602,'Retirement Calculator'!A:A,0),0),0)</f>
        <v>8395.6297298201844</v>
      </c>
      <c r="K602" s="444">
        <f t="shared" ca="1" si="53"/>
        <v>-15210.401322638485</v>
      </c>
      <c r="L602" s="444">
        <f t="shared" ca="1" si="54"/>
        <v>-3665706.7187558752</v>
      </c>
      <c r="M602" s="460">
        <f t="shared" si="56"/>
        <v>0.05</v>
      </c>
      <c r="N602" s="464">
        <f t="shared" si="57"/>
        <v>69368</v>
      </c>
    </row>
    <row r="603" spans="7:14" ht="11.25" customHeight="1" x14ac:dyDescent="0.25">
      <c r="G603" s="459">
        <f t="shared" si="64"/>
        <v>50</v>
      </c>
      <c r="H603" s="459">
        <v>596</v>
      </c>
      <c r="I603" s="444">
        <f t="shared" ca="1" si="55"/>
        <v>-3665706.7187558752</v>
      </c>
      <c r="J603" s="444">
        <f t="array" ref="J603">IFERROR(INDEX('Retirement Calculator'!J:J,MATCH('Isaac 401k'!N603,'Retirement Calculator'!A:A,0),0),0)</f>
        <v>8395.6297298201844</v>
      </c>
      <c r="K603" s="444">
        <f t="shared" ca="1" si="53"/>
        <v>-15308.759785357064</v>
      </c>
      <c r="L603" s="444">
        <f t="shared" ca="1" si="54"/>
        <v>-3689411.1082710526</v>
      </c>
      <c r="M603" s="460">
        <f t="shared" si="56"/>
        <v>0.05</v>
      </c>
      <c r="N603" s="464">
        <f t="shared" si="57"/>
        <v>69399</v>
      </c>
    </row>
    <row r="604" spans="7:14" ht="11.25" customHeight="1" x14ac:dyDescent="0.25">
      <c r="G604" s="459">
        <f t="shared" si="64"/>
        <v>50</v>
      </c>
      <c r="H604" s="459">
        <v>597</v>
      </c>
      <c r="I604" s="444">
        <f t="shared" ca="1" si="55"/>
        <v>-3689411.1082710526</v>
      </c>
      <c r="J604" s="444">
        <f t="array" ref="J604">IFERROR(INDEX('Retirement Calculator'!J:J,MATCH('Isaac 401k'!N604,'Retirement Calculator'!A:A,0),0),0)</f>
        <v>8395.6297298201844</v>
      </c>
      <c r="K604" s="444">
        <f t="shared" ca="1" si="53"/>
        <v>-15407.528075003635</v>
      </c>
      <c r="L604" s="444">
        <f t="shared" ca="1" si="54"/>
        <v>-3713214.2660758765</v>
      </c>
      <c r="M604" s="460">
        <f t="shared" si="56"/>
        <v>0.05</v>
      </c>
      <c r="N604" s="464">
        <f t="shared" si="57"/>
        <v>69430</v>
      </c>
    </row>
    <row r="605" spans="7:14" ht="11.25" customHeight="1" x14ac:dyDescent="0.25">
      <c r="G605" s="459">
        <f t="shared" si="64"/>
        <v>50</v>
      </c>
      <c r="H605" s="459">
        <v>598</v>
      </c>
      <c r="I605" s="444">
        <f t="shared" ca="1" si="55"/>
        <v>-3713214.2660758765</v>
      </c>
      <c r="J605" s="444">
        <f t="array" ref="J605">IFERROR(INDEX('Retirement Calculator'!J:J,MATCH('Isaac 401k'!N605,'Retirement Calculator'!A:A,0),0),0)</f>
        <v>8395.6297298201844</v>
      </c>
      <c r="K605" s="444">
        <f t="shared" ca="1" si="53"/>
        <v>-15506.707899190404</v>
      </c>
      <c r="L605" s="444">
        <f t="shared" ca="1" si="54"/>
        <v>-3737116.6037048874</v>
      </c>
      <c r="M605" s="460">
        <f t="shared" si="56"/>
        <v>0.05</v>
      </c>
      <c r="N605" s="464">
        <f t="shared" si="57"/>
        <v>69458</v>
      </c>
    </row>
    <row r="606" spans="7:14" ht="11.25" customHeight="1" x14ac:dyDescent="0.25">
      <c r="G606" s="459">
        <f t="shared" si="64"/>
        <v>50</v>
      </c>
      <c r="H606" s="459">
        <v>599</v>
      </c>
      <c r="I606" s="444">
        <f t="shared" ca="1" si="55"/>
        <v>-3737116.6037048874</v>
      </c>
      <c r="J606" s="444">
        <f t="array" ref="J606">IFERROR(INDEX('Retirement Calculator'!J:J,MATCH('Isaac 401k'!N606,'Retirement Calculator'!A:A,0),0),0)</f>
        <v>8395.6297298201844</v>
      </c>
      <c r="K606" s="444">
        <f t="shared" ca="1" si="53"/>
        <v>-15606.300972644616</v>
      </c>
      <c r="L606" s="444">
        <f t="shared" ca="1" si="54"/>
        <v>-3761118.5344073526</v>
      </c>
      <c r="M606" s="460">
        <f t="shared" si="56"/>
        <v>0.05</v>
      </c>
      <c r="N606" s="464">
        <f t="shared" si="57"/>
        <v>69489</v>
      </c>
    </row>
    <row r="607" spans="7:14" ht="11.25" customHeight="1" x14ac:dyDescent="0.25">
      <c r="G607" s="459">
        <f t="shared" si="64"/>
        <v>50</v>
      </c>
      <c r="H607" s="459">
        <v>600</v>
      </c>
      <c r="I607" s="444">
        <f t="shared" ca="1" si="55"/>
        <v>-3761118.5344073526</v>
      </c>
      <c r="J607" s="444">
        <f t="array" ref="J607">IFERROR(INDEX('Retirement Calculator'!J:J,MATCH('Isaac 401k'!N607,'Retirement Calculator'!A:A,0),0),0)</f>
        <v>8395.6297298201844</v>
      </c>
      <c r="K607" s="444">
        <f t="shared" ca="1" si="53"/>
        <v>-15706.30901723822</v>
      </c>
      <c r="L607" s="444">
        <f t="shared" ca="1" si="54"/>
        <v>-3785220.4731544112</v>
      </c>
      <c r="M607" s="460">
        <f t="shared" si="56"/>
        <v>0.05</v>
      </c>
      <c r="N607" s="464">
        <f t="shared" si="57"/>
        <v>69519</v>
      </c>
    </row>
    <row r="608" spans="7:14" ht="11.25" customHeight="1" x14ac:dyDescent="0.25">
      <c r="G608" s="459">
        <f>G607+1</f>
        <v>51</v>
      </c>
      <c r="H608" s="459">
        <v>601</v>
      </c>
      <c r="I608" s="444">
        <f t="shared" ca="1" si="55"/>
        <v>-3785220.4731544112</v>
      </c>
      <c r="J608" s="444">
        <f t="array" ref="J608">IFERROR(INDEX('Retirement Calculator'!J:J,MATCH('Isaac 401k'!N608,'Retirement Calculator'!A:A,0),0),0)</f>
        <v>8395.6297298201844</v>
      </c>
      <c r="K608" s="444">
        <f t="shared" ca="1" si="53"/>
        <v>-15806.733762017631</v>
      </c>
      <c r="L608" s="444">
        <f t="shared" ca="1" si="54"/>
        <v>-3809422.8366462491</v>
      </c>
      <c r="M608" s="460">
        <f t="shared" si="56"/>
        <v>0.05</v>
      </c>
      <c r="N608" s="464">
        <f t="shared" si="57"/>
        <v>69550</v>
      </c>
    </row>
    <row r="609" spans="7:14" ht="11.25" customHeight="1" x14ac:dyDescent="0.25">
      <c r="G609" s="459">
        <f t="shared" ref="G609:G619" si="65">G608</f>
        <v>51</v>
      </c>
      <c r="H609" s="459">
        <v>602</v>
      </c>
      <c r="I609" s="444">
        <f t="shared" ca="1" si="55"/>
        <v>-3809422.8366462491</v>
      </c>
      <c r="J609" s="444">
        <f t="array" ref="J609">IFERROR(INDEX('Retirement Calculator'!J:J,MATCH('Isaac 401k'!N609,'Retirement Calculator'!A:A,0),0),0)</f>
        <v>8395.6297298201844</v>
      </c>
      <c r="K609" s="444">
        <f t="shared" ca="1" si="53"/>
        <v>-15907.576943233624</v>
      </c>
      <c r="L609" s="444">
        <f t="shared" ca="1" si="54"/>
        <v>-3833726.0433193031</v>
      </c>
      <c r="M609" s="460">
        <f t="shared" si="56"/>
        <v>0.05</v>
      </c>
      <c r="N609" s="464">
        <f t="shared" si="57"/>
        <v>69580</v>
      </c>
    </row>
    <row r="610" spans="7:14" ht="11.25" customHeight="1" x14ac:dyDescent="0.25">
      <c r="G610" s="459">
        <f t="shared" si="65"/>
        <v>51</v>
      </c>
      <c r="H610" s="459">
        <v>603</v>
      </c>
      <c r="I610" s="444">
        <f t="shared" ca="1" si="55"/>
        <v>-3833726.0433193031</v>
      </c>
      <c r="J610" s="444">
        <f t="array" ref="J610">IFERROR(INDEX('Retirement Calculator'!J:J,MATCH('Isaac 401k'!N610,'Retirement Calculator'!A:A,0),0),0)</f>
        <v>8395.6297298201844</v>
      </c>
      <c r="K610" s="444">
        <f t="shared" ca="1" si="53"/>
        <v>-16008.840304371346</v>
      </c>
      <c r="L610" s="444">
        <f t="shared" ca="1" si="54"/>
        <v>-3858130.5133534949</v>
      </c>
      <c r="M610" s="460">
        <f t="shared" si="56"/>
        <v>0.05</v>
      </c>
      <c r="N610" s="464">
        <f t="shared" si="57"/>
        <v>69611</v>
      </c>
    </row>
    <row r="611" spans="7:14" ht="11.25" customHeight="1" x14ac:dyDescent="0.25">
      <c r="G611" s="459">
        <f t="shared" si="65"/>
        <v>51</v>
      </c>
      <c r="H611" s="459">
        <v>604</v>
      </c>
      <c r="I611" s="444">
        <f t="shared" ca="1" si="55"/>
        <v>-3858130.5133534949</v>
      </c>
      <c r="J611" s="444">
        <f t="array" ref="J611">IFERROR(INDEX('Retirement Calculator'!J:J,MATCH('Isaac 401k'!N611,'Retirement Calculator'!A:A,0),0),0)</f>
        <v>8395.6297298201844</v>
      </c>
      <c r="K611" s="444">
        <f t="shared" ca="1" si="53"/>
        <v>-16110.52559618048</v>
      </c>
      <c r="L611" s="444">
        <f t="shared" ca="1" si="54"/>
        <v>-3882636.6686794958</v>
      </c>
      <c r="M611" s="460">
        <f t="shared" si="56"/>
        <v>0.05</v>
      </c>
      <c r="N611" s="464">
        <f t="shared" si="57"/>
        <v>69642</v>
      </c>
    </row>
    <row r="612" spans="7:14" ht="11.25" customHeight="1" x14ac:dyDescent="0.25">
      <c r="G612" s="459">
        <f t="shared" si="65"/>
        <v>51</v>
      </c>
      <c r="H612" s="459">
        <v>605</v>
      </c>
      <c r="I612" s="444">
        <f t="shared" ca="1" si="55"/>
        <v>-3882636.6686794958</v>
      </c>
      <c r="J612" s="444">
        <f t="array" ref="J612">IFERROR(INDEX('Retirement Calculator'!J:J,MATCH('Isaac 401k'!N612,'Retirement Calculator'!A:A,0),0),0)</f>
        <v>8395.6297298201844</v>
      </c>
      <c r="K612" s="444">
        <f t="shared" ca="1" si="53"/>
        <v>-16212.634576705486</v>
      </c>
      <c r="L612" s="444">
        <f t="shared" ca="1" si="54"/>
        <v>-3907244.9329860215</v>
      </c>
      <c r="M612" s="460">
        <f t="shared" si="56"/>
        <v>0.05</v>
      </c>
      <c r="N612" s="464">
        <f t="shared" si="57"/>
        <v>69672</v>
      </c>
    </row>
    <row r="613" spans="7:14" ht="11.25" customHeight="1" x14ac:dyDescent="0.25">
      <c r="G613" s="459">
        <f t="shared" si="65"/>
        <v>51</v>
      </c>
      <c r="H613" s="459">
        <v>606</v>
      </c>
      <c r="I613" s="444">
        <f t="shared" ca="1" si="55"/>
        <v>-3907244.9329860215</v>
      </c>
      <c r="J613" s="444">
        <f t="array" ref="J613">IFERROR(INDEX('Retirement Calculator'!J:J,MATCH('Isaac 401k'!N613,'Retirement Calculator'!A:A,0),0),0)</f>
        <v>8395.6297298201844</v>
      </c>
      <c r="K613" s="444">
        <f t="shared" ca="1" si="53"/>
        <v>-16315.169011316008</v>
      </c>
      <c r="L613" s="444">
        <f t="shared" ca="1" si="54"/>
        <v>-3931955.7317271577</v>
      </c>
      <c r="M613" s="460">
        <f t="shared" si="56"/>
        <v>0.05</v>
      </c>
      <c r="N613" s="464">
        <f t="shared" si="57"/>
        <v>69703</v>
      </c>
    </row>
    <row r="614" spans="7:14" ht="11.25" customHeight="1" x14ac:dyDescent="0.25">
      <c r="G614" s="459">
        <f t="shared" si="65"/>
        <v>51</v>
      </c>
      <c r="H614" s="459">
        <v>607</v>
      </c>
      <c r="I614" s="444">
        <f t="shared" ca="1" si="55"/>
        <v>-3931955.7317271577</v>
      </c>
      <c r="J614" s="444">
        <f t="array" ref="J614">IFERROR(INDEX('Retirement Calculator'!J:J,MATCH('Isaac 401k'!N614,'Retirement Calculator'!A:A,0),0),0)</f>
        <v>8395.6297298201844</v>
      </c>
      <c r="K614" s="444">
        <f t="shared" ca="1" si="53"/>
        <v>-16418.13067273741</v>
      </c>
      <c r="L614" s="444">
        <f t="shared" ca="1" si="54"/>
        <v>-3956769.4921297156</v>
      </c>
      <c r="M614" s="460">
        <f t="shared" si="56"/>
        <v>0.05</v>
      </c>
      <c r="N614" s="464">
        <f t="shared" si="57"/>
        <v>69733</v>
      </c>
    </row>
    <row r="615" spans="7:14" ht="11.25" customHeight="1" x14ac:dyDescent="0.25">
      <c r="G615" s="459">
        <f t="shared" si="65"/>
        <v>51</v>
      </c>
      <c r="H615" s="459">
        <v>608</v>
      </c>
      <c r="I615" s="444">
        <f t="shared" ca="1" si="55"/>
        <v>-3956769.4921297156</v>
      </c>
      <c r="J615" s="444">
        <f t="array" ref="J615">IFERROR(INDEX('Retirement Calculator'!J:J,MATCH('Isaac 401k'!N615,'Retirement Calculator'!A:A,0),0),0)</f>
        <v>8395.6297298201844</v>
      </c>
      <c r="K615" s="444">
        <f t="shared" ca="1" si="53"/>
        <v>-16521.521341081399</v>
      </c>
      <c r="L615" s="444">
        <f t="shared" ca="1" si="54"/>
        <v>-3981686.6432006173</v>
      </c>
      <c r="M615" s="460">
        <f t="shared" si="56"/>
        <v>0.05</v>
      </c>
      <c r="N615" s="464">
        <f t="shared" si="57"/>
        <v>69764</v>
      </c>
    </row>
    <row r="616" spans="7:14" ht="11.25" customHeight="1" x14ac:dyDescent="0.25">
      <c r="G616" s="459">
        <f t="shared" si="65"/>
        <v>51</v>
      </c>
      <c r="H616" s="459">
        <v>609</v>
      </c>
      <c r="I616" s="444">
        <f t="shared" ca="1" si="55"/>
        <v>-3981686.6432006173</v>
      </c>
      <c r="J616" s="444">
        <f t="array" ref="J616">IFERROR(INDEX('Retirement Calculator'!J:J,MATCH('Isaac 401k'!N616,'Retirement Calculator'!A:A,0),0),0)</f>
        <v>8395.6297298201844</v>
      </c>
      <c r="K616" s="444">
        <f t="shared" ca="1" si="53"/>
        <v>-16625.342803876822</v>
      </c>
      <c r="L616" s="444">
        <f t="shared" ca="1" si="54"/>
        <v>-4006707.6157343145</v>
      </c>
      <c r="M616" s="460">
        <f t="shared" si="56"/>
        <v>0.05</v>
      </c>
      <c r="N616" s="464">
        <f t="shared" si="57"/>
        <v>69795</v>
      </c>
    </row>
    <row r="617" spans="7:14" ht="11.25" customHeight="1" x14ac:dyDescent="0.25">
      <c r="G617" s="459">
        <f t="shared" si="65"/>
        <v>51</v>
      </c>
      <c r="H617" s="459">
        <v>610</v>
      </c>
      <c r="I617" s="444">
        <f t="shared" ca="1" si="55"/>
        <v>-4006707.6157343145</v>
      </c>
      <c r="J617" s="444">
        <f t="array" ref="J617">IFERROR(INDEX('Retirement Calculator'!J:J,MATCH('Isaac 401k'!N617,'Retirement Calculator'!A:A,0),0),0)</f>
        <v>8395.6297298201844</v>
      </c>
      <c r="K617" s="444">
        <f t="shared" ca="1" si="53"/>
        <v>-16729.596856100561</v>
      </c>
      <c r="L617" s="444">
        <f t="shared" ca="1" si="54"/>
        <v>-4031832.8423202354</v>
      </c>
      <c r="M617" s="460">
        <f t="shared" si="56"/>
        <v>0.05</v>
      </c>
      <c r="N617" s="464">
        <f t="shared" si="57"/>
        <v>69823</v>
      </c>
    </row>
    <row r="618" spans="7:14" ht="11.25" customHeight="1" x14ac:dyDescent="0.25">
      <c r="G618" s="459">
        <f t="shared" si="65"/>
        <v>51</v>
      </c>
      <c r="H618" s="459">
        <v>611</v>
      </c>
      <c r="I618" s="444">
        <f t="shared" ca="1" si="55"/>
        <v>-4031832.8423202354</v>
      </c>
      <c r="J618" s="444">
        <f t="array" ref="J618">IFERROR(INDEX('Retirement Calculator'!J:J,MATCH('Isaac 401k'!N618,'Retirement Calculator'!A:A,0),0),0)</f>
        <v>8395.6297298201844</v>
      </c>
      <c r="K618" s="444">
        <f t="shared" ca="1" si="53"/>
        <v>-16834.285300208569</v>
      </c>
      <c r="L618" s="444">
        <f t="shared" ca="1" si="54"/>
        <v>-4057062.7573502646</v>
      </c>
      <c r="M618" s="460">
        <f t="shared" si="56"/>
        <v>0.05</v>
      </c>
      <c r="N618" s="464">
        <f t="shared" si="57"/>
        <v>69854</v>
      </c>
    </row>
    <row r="619" spans="7:14" ht="11.25" customHeight="1" x14ac:dyDescent="0.25">
      <c r="G619" s="459">
        <f t="shared" si="65"/>
        <v>51</v>
      </c>
      <c r="H619" s="459">
        <v>612</v>
      </c>
      <c r="I619" s="444">
        <f t="shared" ca="1" si="55"/>
        <v>-4057062.7573502646</v>
      </c>
      <c r="J619" s="444">
        <f t="array" ref="J619">IFERROR(INDEX('Retirement Calculator'!J:J,MATCH('Isaac 401k'!N619,'Retirement Calculator'!A:A,0),0),0)</f>
        <v>8395.6297298201844</v>
      </c>
      <c r="K619" s="444">
        <f t="shared" ca="1" si="53"/>
        <v>-16939.409946167019</v>
      </c>
      <c r="L619" s="444">
        <f t="shared" ca="1" si="54"/>
        <v>-4082397.7970262519</v>
      </c>
      <c r="M619" s="460">
        <f t="shared" si="56"/>
        <v>0.05</v>
      </c>
      <c r="N619" s="464">
        <f t="shared" si="57"/>
        <v>69884</v>
      </c>
    </row>
    <row r="620" spans="7:14" ht="11.25" customHeight="1" x14ac:dyDescent="0.25">
      <c r="G620" s="459">
        <f>G619+1</f>
        <v>52</v>
      </c>
      <c r="H620" s="459">
        <v>613</v>
      </c>
      <c r="I620" s="444">
        <f t="shared" ca="1" si="55"/>
        <v>-4082397.7970262519</v>
      </c>
      <c r="J620" s="444">
        <f t="array" ref="J620">IFERROR(INDEX('Retirement Calculator'!J:J,MATCH('Isaac 401k'!N620,'Retirement Calculator'!A:A,0),0),0)</f>
        <v>8395.6297298201844</v>
      </c>
      <c r="K620" s="444">
        <f t="shared" ca="1" si="53"/>
        <v>-17044.972611483634</v>
      </c>
      <c r="L620" s="444">
        <f t="shared" ca="1" si="54"/>
        <v>-4107838.399367556</v>
      </c>
      <c r="M620" s="460">
        <f t="shared" si="56"/>
        <v>0.05</v>
      </c>
      <c r="N620" s="464">
        <f t="shared" si="57"/>
        <v>69915</v>
      </c>
    </row>
    <row r="621" spans="7:14" ht="11.25" customHeight="1" x14ac:dyDescent="0.25">
      <c r="G621" s="459">
        <f t="shared" ref="G621:G631" si="66">G620</f>
        <v>52</v>
      </c>
      <c r="H621" s="459">
        <v>614</v>
      </c>
      <c r="I621" s="444">
        <f t="shared" ca="1" si="55"/>
        <v>-4107838.399367556</v>
      </c>
      <c r="J621" s="444">
        <f t="array" ref="J621">IFERROR(INDEX('Retirement Calculator'!J:J,MATCH('Isaac 401k'!N621,'Retirement Calculator'!A:A,0),0),0)</f>
        <v>8395.6297298201844</v>
      </c>
      <c r="K621" s="444">
        <f t="shared" ca="1" si="53"/>
        <v>-17150.975121239069</v>
      </c>
      <c r="L621" s="444">
        <f t="shared" ca="1" si="54"/>
        <v>-4133385.0042186156</v>
      </c>
      <c r="M621" s="460">
        <f t="shared" si="56"/>
        <v>0.05</v>
      </c>
      <c r="N621" s="464">
        <f t="shared" si="57"/>
        <v>69945</v>
      </c>
    </row>
    <row r="622" spans="7:14" ht="11.25" customHeight="1" x14ac:dyDescent="0.25">
      <c r="G622" s="459">
        <f t="shared" si="66"/>
        <v>52</v>
      </c>
      <c r="H622" s="459">
        <v>615</v>
      </c>
      <c r="I622" s="444">
        <f t="shared" ca="1" si="55"/>
        <v>-4133385.0042186156</v>
      </c>
      <c r="J622" s="444">
        <f t="array" ref="J622">IFERROR(INDEX('Retirement Calculator'!J:J,MATCH('Isaac 401k'!N622,'Retirement Calculator'!A:A,0),0),0)</f>
        <v>8395.6297298201844</v>
      </c>
      <c r="K622" s="444">
        <f t="shared" ca="1" si="53"/>
        <v>-17257.419308118482</v>
      </c>
      <c r="L622" s="444">
        <f t="shared" ca="1" si="54"/>
        <v>-4159038.0532565545</v>
      </c>
      <c r="M622" s="460">
        <f t="shared" si="56"/>
        <v>0.05</v>
      </c>
      <c r="N622" s="464">
        <f t="shared" si="57"/>
        <v>69976</v>
      </c>
    </row>
    <row r="623" spans="7:14" ht="11.25" customHeight="1" x14ac:dyDescent="0.25">
      <c r="G623" s="459">
        <f t="shared" si="66"/>
        <v>52</v>
      </c>
      <c r="H623" s="459">
        <v>616</v>
      </c>
      <c r="I623" s="444">
        <f t="shared" ca="1" si="55"/>
        <v>-4159038.0532565545</v>
      </c>
      <c r="J623" s="444">
        <f t="array" ref="J623">IFERROR(INDEX('Retirement Calculator'!J:J,MATCH('Isaac 401k'!N623,'Retirement Calculator'!A:A,0),0),0)</f>
        <v>8395.6297298201844</v>
      </c>
      <c r="K623" s="444">
        <f t="shared" ca="1" si="53"/>
        <v>-17364.307012443227</v>
      </c>
      <c r="L623" s="444">
        <f t="shared" ca="1" si="54"/>
        <v>-4184797.9899988184</v>
      </c>
      <c r="M623" s="460">
        <f t="shared" si="56"/>
        <v>0.05</v>
      </c>
      <c r="N623" s="464">
        <f t="shared" si="57"/>
        <v>70007</v>
      </c>
    </row>
    <row r="624" spans="7:14" ht="11.25" customHeight="1" x14ac:dyDescent="0.25">
      <c r="G624" s="459">
        <f t="shared" si="66"/>
        <v>52</v>
      </c>
      <c r="H624" s="459">
        <v>617</v>
      </c>
      <c r="I624" s="444">
        <f t="shared" ca="1" si="55"/>
        <v>-4184797.9899988184</v>
      </c>
      <c r="J624" s="444">
        <f t="array" ref="J624">IFERROR(INDEX('Retirement Calculator'!J:J,MATCH('Isaac 401k'!N624,'Retirement Calculator'!A:A,0),0),0)</f>
        <v>8395.6297298201844</v>
      </c>
      <c r="K624" s="444">
        <f t="shared" ca="1" si="53"/>
        <v>-17471.640082202659</v>
      </c>
      <c r="L624" s="444">
        <f t="shared" ca="1" si="54"/>
        <v>-4210665.2598108416</v>
      </c>
      <c r="M624" s="460">
        <f t="shared" si="56"/>
        <v>0.05</v>
      </c>
      <c r="N624" s="464">
        <f t="shared" si="57"/>
        <v>70037</v>
      </c>
    </row>
    <row r="625" spans="7:14" ht="11.25" customHeight="1" x14ac:dyDescent="0.25">
      <c r="G625" s="459">
        <f t="shared" si="66"/>
        <v>52</v>
      </c>
      <c r="H625" s="459">
        <v>618</v>
      </c>
      <c r="I625" s="444">
        <f t="shared" ca="1" si="55"/>
        <v>-4210665.2598108416</v>
      </c>
      <c r="J625" s="444">
        <f t="array" ref="J625">IFERROR(INDEX('Retirement Calculator'!J:J,MATCH('Isaac 401k'!N625,'Retirement Calculator'!A:A,0),0),0)</f>
        <v>8395.6297298201844</v>
      </c>
      <c r="K625" s="444">
        <f t="shared" ca="1" si="53"/>
        <v>-17579.42037308609</v>
      </c>
      <c r="L625" s="444">
        <f t="shared" ca="1" si="54"/>
        <v>-4236640.3099137479</v>
      </c>
      <c r="M625" s="460">
        <f t="shared" si="56"/>
        <v>0.05</v>
      </c>
      <c r="N625" s="464">
        <f t="shared" si="57"/>
        <v>70068</v>
      </c>
    </row>
    <row r="626" spans="7:14" ht="11.25" customHeight="1" x14ac:dyDescent="0.25">
      <c r="G626" s="459">
        <f t="shared" si="66"/>
        <v>52</v>
      </c>
      <c r="H626" s="459">
        <v>619</v>
      </c>
      <c r="I626" s="444">
        <f t="shared" ca="1" si="55"/>
        <v>-4236640.3099137479</v>
      </c>
      <c r="J626" s="444">
        <f t="array" ref="J626">IFERROR(INDEX('Retirement Calculator'!J:J,MATCH('Isaac 401k'!N626,'Retirement Calculator'!A:A,0),0),0)</f>
        <v>8395.6297298201844</v>
      </c>
      <c r="K626" s="444">
        <f t="shared" ca="1" si="53"/>
        <v>-17687.649748514868</v>
      </c>
      <c r="L626" s="444">
        <f t="shared" ca="1" si="54"/>
        <v>-4262723.5893920828</v>
      </c>
      <c r="M626" s="460">
        <f t="shared" si="56"/>
        <v>0.05</v>
      </c>
      <c r="N626" s="464">
        <f t="shared" si="57"/>
        <v>70098</v>
      </c>
    </row>
    <row r="627" spans="7:14" ht="11.25" customHeight="1" x14ac:dyDescent="0.25">
      <c r="G627" s="459">
        <f t="shared" si="66"/>
        <v>52</v>
      </c>
      <c r="H627" s="459">
        <v>620</v>
      </c>
      <c r="I627" s="444">
        <f t="shared" ca="1" si="55"/>
        <v>-4262723.5893920828</v>
      </c>
      <c r="J627" s="444">
        <f t="array" ref="J627">IFERROR(INDEX('Retirement Calculator'!J:J,MATCH('Isaac 401k'!N627,'Retirement Calculator'!A:A,0),0),0)</f>
        <v>8395.6297298201844</v>
      </c>
      <c r="K627" s="444">
        <f t="shared" ca="1" si="53"/>
        <v>-17796.330079674597</v>
      </c>
      <c r="L627" s="444">
        <f t="shared" ca="1" si="54"/>
        <v>-4288915.5492015779</v>
      </c>
      <c r="M627" s="460">
        <f t="shared" si="56"/>
        <v>0.05</v>
      </c>
      <c r="N627" s="464">
        <f t="shared" si="57"/>
        <v>70129</v>
      </c>
    </row>
    <row r="628" spans="7:14" ht="11.25" customHeight="1" x14ac:dyDescent="0.25">
      <c r="G628" s="459">
        <f t="shared" si="66"/>
        <v>52</v>
      </c>
      <c r="H628" s="459">
        <v>621</v>
      </c>
      <c r="I628" s="444">
        <f t="shared" ca="1" si="55"/>
        <v>-4288915.5492015779</v>
      </c>
      <c r="J628" s="444">
        <f t="array" ref="J628">IFERROR(INDEX('Retirement Calculator'!J:J,MATCH('Isaac 401k'!N628,'Retirement Calculator'!A:A,0),0),0)</f>
        <v>8395.6297298201844</v>
      </c>
      <c r="K628" s="444">
        <f t="shared" ca="1" si="53"/>
        <v>-17905.463245547493</v>
      </c>
      <c r="L628" s="444">
        <f t="shared" ca="1" si="54"/>
        <v>-4315216.6421769457</v>
      </c>
      <c r="M628" s="460">
        <f t="shared" si="56"/>
        <v>0.05</v>
      </c>
      <c r="N628" s="464">
        <f t="shared" si="57"/>
        <v>70160</v>
      </c>
    </row>
    <row r="629" spans="7:14" ht="11.25" customHeight="1" x14ac:dyDescent="0.25">
      <c r="G629" s="459">
        <f t="shared" si="66"/>
        <v>52</v>
      </c>
      <c r="H629" s="459">
        <v>622</v>
      </c>
      <c r="I629" s="444">
        <f t="shared" ca="1" si="55"/>
        <v>-4315216.6421769457</v>
      </c>
      <c r="J629" s="444">
        <f t="array" ref="J629">IFERROR(INDEX('Retirement Calculator'!J:J,MATCH('Isaac 401k'!N629,'Retirement Calculator'!A:A,0),0),0)</f>
        <v>8395.6297298201844</v>
      </c>
      <c r="K629" s="444">
        <f t="shared" ca="1" si="53"/>
        <v>-18015.05113294486</v>
      </c>
      <c r="L629" s="444">
        <f t="shared" ca="1" si="54"/>
        <v>-4341627.3230397105</v>
      </c>
      <c r="M629" s="460">
        <f t="shared" si="56"/>
        <v>0.05</v>
      </c>
      <c r="N629" s="464">
        <f t="shared" si="57"/>
        <v>70189</v>
      </c>
    </row>
    <row r="630" spans="7:14" ht="11.25" customHeight="1" x14ac:dyDescent="0.25">
      <c r="G630" s="459">
        <f t="shared" si="66"/>
        <v>52</v>
      </c>
      <c r="H630" s="459">
        <v>623</v>
      </c>
      <c r="I630" s="444">
        <f t="shared" ca="1" si="55"/>
        <v>-4341627.3230397105</v>
      </c>
      <c r="J630" s="444">
        <f t="array" ref="J630">IFERROR(INDEX('Retirement Calculator'!J:J,MATCH('Isaac 401k'!N630,'Retirement Calculator'!A:A,0),0),0)</f>
        <v>8395.6297298201844</v>
      </c>
      <c r="K630" s="444">
        <f t="shared" ca="1" si="53"/>
        <v>-18125.095636539711</v>
      </c>
      <c r="L630" s="444">
        <f t="shared" ca="1" si="54"/>
        <v>-4368148.048406071</v>
      </c>
      <c r="M630" s="460">
        <f t="shared" si="56"/>
        <v>0.05</v>
      </c>
      <c r="N630" s="464">
        <f t="shared" si="57"/>
        <v>70220</v>
      </c>
    </row>
    <row r="631" spans="7:14" ht="11.25" customHeight="1" x14ac:dyDescent="0.25">
      <c r="G631" s="459">
        <f t="shared" si="66"/>
        <v>52</v>
      </c>
      <c r="H631" s="459">
        <v>624</v>
      </c>
      <c r="I631" s="444">
        <f t="shared" ca="1" si="55"/>
        <v>-4368148.048406071</v>
      </c>
      <c r="J631" s="444">
        <f t="array" ref="J631">IFERROR(INDEX('Retirement Calculator'!J:J,MATCH('Isaac 401k'!N631,'Retirement Calculator'!A:A,0),0),0)</f>
        <v>8395.6297298201844</v>
      </c>
      <c r="K631" s="444">
        <f t="shared" ca="1" si="53"/>
        <v>-18235.598658899547</v>
      </c>
      <c r="L631" s="444">
        <f t="shared" ca="1" si="54"/>
        <v>-4394779.2767947912</v>
      </c>
      <c r="M631" s="460">
        <f t="shared" si="56"/>
        <v>0.05</v>
      </c>
      <c r="N631" s="464">
        <f t="shared" si="57"/>
        <v>70250</v>
      </c>
    </row>
    <row r="632" spans="7:14" ht="11.25" customHeight="1" x14ac:dyDescent="0.25">
      <c r="G632" s="459">
        <f>G631+1</f>
        <v>53</v>
      </c>
      <c r="H632" s="459">
        <v>625</v>
      </c>
      <c r="I632" s="444">
        <f t="shared" ca="1" si="55"/>
        <v>-4394779.2767947912</v>
      </c>
      <c r="J632" s="444">
        <f t="array" ref="J632">IFERROR(INDEX('Retirement Calculator'!J:J,MATCH('Isaac 401k'!N632,'Retirement Calculator'!A:A,0),0),0)</f>
        <v>8395.6297298201844</v>
      </c>
      <c r="K632" s="444">
        <f t="shared" ca="1" si="53"/>
        <v>-18346.562110519215</v>
      </c>
      <c r="L632" s="444">
        <f t="shared" ca="1" si="54"/>
        <v>-4421521.4686351307</v>
      </c>
      <c r="M632" s="460">
        <f t="shared" si="56"/>
        <v>0.05</v>
      </c>
      <c r="N632" s="464">
        <f t="shared" si="57"/>
        <v>70281</v>
      </c>
    </row>
    <row r="633" spans="7:14" ht="11.25" customHeight="1" x14ac:dyDescent="0.25">
      <c r="G633" s="459">
        <f t="shared" ref="G633:G643" si="67">G632</f>
        <v>53</v>
      </c>
      <c r="H633" s="459">
        <v>626</v>
      </c>
      <c r="I633" s="444">
        <f t="shared" ca="1" si="55"/>
        <v>-4421521.4686351307</v>
      </c>
      <c r="J633" s="444">
        <f t="array" ref="J633">IFERROR(INDEX('Retirement Calculator'!J:J,MATCH('Isaac 401k'!N633,'Retirement Calculator'!A:A,0),0),0)</f>
        <v>8395.6297298201844</v>
      </c>
      <c r="K633" s="444">
        <f t="shared" ca="1" si="53"/>
        <v>-18457.987909853964</v>
      </c>
      <c r="L633" s="444">
        <f t="shared" ca="1" si="54"/>
        <v>-4448375.0862748055</v>
      </c>
      <c r="M633" s="460">
        <f t="shared" si="56"/>
        <v>0.05</v>
      </c>
      <c r="N633" s="464">
        <f t="shared" si="57"/>
        <v>70311</v>
      </c>
    </row>
    <row r="634" spans="7:14" ht="11.25" customHeight="1" x14ac:dyDescent="0.25">
      <c r="G634" s="459">
        <f t="shared" si="67"/>
        <v>53</v>
      </c>
      <c r="H634" s="459">
        <v>627</v>
      </c>
      <c r="I634" s="444">
        <f t="shared" ca="1" si="55"/>
        <v>-4448375.0862748055</v>
      </c>
      <c r="J634" s="444">
        <f t="array" ref="J634">IFERROR(INDEX('Retirement Calculator'!J:J,MATCH('Isaac 401k'!N634,'Retirement Calculator'!A:A,0),0),0)</f>
        <v>8395.6297298201844</v>
      </c>
      <c r="K634" s="444">
        <f t="shared" ca="1" si="53"/>
        <v>-18569.877983352606</v>
      </c>
      <c r="L634" s="444">
        <f t="shared" ca="1" si="54"/>
        <v>-4475340.5939879781</v>
      </c>
      <c r="M634" s="460">
        <f t="shared" si="56"/>
        <v>0.05</v>
      </c>
      <c r="N634" s="464">
        <f t="shared" si="57"/>
        <v>70342</v>
      </c>
    </row>
    <row r="635" spans="7:14" ht="11.25" customHeight="1" x14ac:dyDescent="0.25">
      <c r="G635" s="459">
        <f t="shared" si="67"/>
        <v>53</v>
      </c>
      <c r="H635" s="459">
        <v>628</v>
      </c>
      <c r="I635" s="444">
        <f t="shared" ca="1" si="55"/>
        <v>-4475340.5939879781</v>
      </c>
      <c r="J635" s="444">
        <f t="array" ref="J635">IFERROR(INDEX('Retirement Calculator'!J:J,MATCH('Isaac 401k'!N635,'Retirement Calculator'!A:A,0),0),0)</f>
        <v>8395.6297298201844</v>
      </c>
      <c r="K635" s="444">
        <f t="shared" ca="1" si="53"/>
        <v>-18682.234265490828</v>
      </c>
      <c r="L635" s="444">
        <f t="shared" ca="1" si="54"/>
        <v>-4502418.4579832889</v>
      </c>
      <c r="M635" s="460">
        <f t="shared" si="56"/>
        <v>0.05</v>
      </c>
      <c r="N635" s="464">
        <f t="shared" si="57"/>
        <v>70373</v>
      </c>
    </row>
    <row r="636" spans="7:14" ht="11.25" customHeight="1" x14ac:dyDescent="0.25">
      <c r="G636" s="459">
        <f t="shared" si="67"/>
        <v>53</v>
      </c>
      <c r="H636" s="459">
        <v>629</v>
      </c>
      <c r="I636" s="444">
        <f t="shared" ca="1" si="55"/>
        <v>-4502418.4579832889</v>
      </c>
      <c r="J636" s="444">
        <f t="array" ref="J636">IFERROR(INDEX('Retirement Calculator'!J:J,MATCH('Isaac 401k'!N636,'Retirement Calculator'!A:A,0),0),0)</f>
        <v>8395.6297298201844</v>
      </c>
      <c r="K636" s="444">
        <f t="shared" ca="1" si="53"/>
        <v>-18795.058698804623</v>
      </c>
      <c r="L636" s="444">
        <f t="shared" ca="1" si="54"/>
        <v>-4529609.1464119144</v>
      </c>
      <c r="M636" s="460">
        <f t="shared" si="56"/>
        <v>0.05</v>
      </c>
      <c r="N636" s="464">
        <f t="shared" si="57"/>
        <v>70403</v>
      </c>
    </row>
    <row r="637" spans="7:14" ht="11.25" customHeight="1" x14ac:dyDescent="0.25">
      <c r="G637" s="459">
        <f t="shared" si="67"/>
        <v>53</v>
      </c>
      <c r="H637" s="459">
        <v>630</v>
      </c>
      <c r="I637" s="444">
        <f t="shared" ca="1" si="55"/>
        <v>-4529609.1464119144</v>
      </c>
      <c r="J637" s="444">
        <f t="array" ref="J637">IFERROR(INDEX('Retirement Calculator'!J:J,MATCH('Isaac 401k'!N637,'Retirement Calculator'!A:A,0),0),0)</f>
        <v>8395.6297298201844</v>
      </c>
      <c r="K637" s="444">
        <f t="shared" ca="1" si="53"/>
        <v>-18908.353233923895</v>
      </c>
      <c r="L637" s="444">
        <f t="shared" ca="1" si="54"/>
        <v>-4556913.1293756589</v>
      </c>
      <c r="M637" s="460">
        <f t="shared" si="56"/>
        <v>0.05</v>
      </c>
      <c r="N637" s="464">
        <f t="shared" si="57"/>
        <v>70434</v>
      </c>
    </row>
    <row r="638" spans="7:14" ht="11.25" customHeight="1" x14ac:dyDescent="0.25">
      <c r="G638" s="459">
        <f t="shared" si="67"/>
        <v>53</v>
      </c>
      <c r="H638" s="459">
        <v>631</v>
      </c>
      <c r="I638" s="444">
        <f t="shared" ca="1" si="55"/>
        <v>-4556913.1293756589</v>
      </c>
      <c r="J638" s="444">
        <f t="array" ref="J638">IFERROR(INDEX('Retirement Calculator'!J:J,MATCH('Isaac 401k'!N638,'Retirement Calculator'!A:A,0),0),0)</f>
        <v>8395.6297298201844</v>
      </c>
      <c r="K638" s="444">
        <f t="shared" ca="1" si="53"/>
        <v>-19022.119829606163</v>
      </c>
      <c r="L638" s="444">
        <f t="shared" ca="1" si="54"/>
        <v>-4584330.8789350856</v>
      </c>
      <c r="M638" s="460">
        <f t="shared" si="56"/>
        <v>0.05</v>
      </c>
      <c r="N638" s="464">
        <f t="shared" si="57"/>
        <v>70464</v>
      </c>
    </row>
    <row r="639" spans="7:14" ht="11.25" customHeight="1" x14ac:dyDescent="0.25">
      <c r="G639" s="459">
        <f t="shared" si="67"/>
        <v>53</v>
      </c>
      <c r="H639" s="459">
        <v>632</v>
      </c>
      <c r="I639" s="444">
        <f t="shared" ca="1" si="55"/>
        <v>-4584330.8789350856</v>
      </c>
      <c r="J639" s="444">
        <f t="array" ref="J639">IFERROR(INDEX('Retirement Calculator'!J:J,MATCH('Isaac 401k'!N639,'Retirement Calculator'!A:A,0),0),0)</f>
        <v>8395.6297298201844</v>
      </c>
      <c r="K639" s="444">
        <f t="shared" ca="1" si="53"/>
        <v>-19136.360452770441</v>
      </c>
      <c r="L639" s="444">
        <f t="shared" ca="1" si="54"/>
        <v>-4611862.8691176763</v>
      </c>
      <c r="M639" s="460">
        <f t="shared" si="56"/>
        <v>0.05</v>
      </c>
      <c r="N639" s="464">
        <f t="shared" si="57"/>
        <v>70495</v>
      </c>
    </row>
    <row r="640" spans="7:14" ht="11.25" customHeight="1" x14ac:dyDescent="0.25">
      <c r="G640" s="459">
        <f t="shared" si="67"/>
        <v>53</v>
      </c>
      <c r="H640" s="459">
        <v>633</v>
      </c>
      <c r="I640" s="444">
        <f t="shared" ca="1" si="55"/>
        <v>-4611862.8691176763</v>
      </c>
      <c r="J640" s="444">
        <f t="array" ref="J640">IFERROR(INDEX('Retirement Calculator'!J:J,MATCH('Isaac 401k'!N640,'Retirement Calculator'!A:A,0),0),0)</f>
        <v>8395.6297298201844</v>
      </c>
      <c r="K640" s="444">
        <f t="shared" ca="1" si="53"/>
        <v>-19251.077078531234</v>
      </c>
      <c r="L640" s="444">
        <f t="shared" ca="1" si="54"/>
        <v>-4639509.5759260282</v>
      </c>
      <c r="M640" s="460">
        <f t="shared" si="56"/>
        <v>0.05</v>
      </c>
      <c r="N640" s="464">
        <f t="shared" si="57"/>
        <v>70526</v>
      </c>
    </row>
    <row r="641" spans="7:14" ht="11.25" customHeight="1" x14ac:dyDescent="0.25">
      <c r="G641" s="459">
        <f t="shared" si="67"/>
        <v>53</v>
      </c>
      <c r="H641" s="459">
        <v>634</v>
      </c>
      <c r="I641" s="444">
        <f t="shared" ca="1" si="55"/>
        <v>-4639509.5759260282</v>
      </c>
      <c r="J641" s="444">
        <f t="array" ref="J641">IFERROR(INDEX('Retirement Calculator'!J:J,MATCH('Isaac 401k'!N641,'Retirement Calculator'!A:A,0),0),0)</f>
        <v>8395.6297298201844</v>
      </c>
      <c r="K641" s="444">
        <f t="shared" ca="1" si="53"/>
        <v>-19366.271690232701</v>
      </c>
      <c r="L641" s="444">
        <f t="shared" ca="1" si="54"/>
        <v>-4667271.4773460813</v>
      </c>
      <c r="M641" s="460">
        <f t="shared" si="56"/>
        <v>0.05</v>
      </c>
      <c r="N641" s="464">
        <f t="shared" si="57"/>
        <v>70554</v>
      </c>
    </row>
    <row r="642" spans="7:14" ht="11.25" customHeight="1" x14ac:dyDescent="0.25">
      <c r="G642" s="459">
        <f t="shared" si="67"/>
        <v>53</v>
      </c>
      <c r="H642" s="459">
        <v>635</v>
      </c>
      <c r="I642" s="444">
        <f t="shared" ca="1" si="55"/>
        <v>-4667271.4773460813</v>
      </c>
      <c r="J642" s="444">
        <f t="array" ref="J642">IFERROR(INDEX('Retirement Calculator'!J:J,MATCH('Isaac 401k'!N642,'Retirement Calculator'!A:A,0),0),0)</f>
        <v>8395.6297298201844</v>
      </c>
      <c r="K642" s="444">
        <f t="shared" ca="1" si="53"/>
        <v>-19481.946279482923</v>
      </c>
      <c r="L642" s="444">
        <f t="shared" ca="1" si="54"/>
        <v>-4695149.0533553846</v>
      </c>
      <c r="M642" s="460">
        <f t="shared" si="56"/>
        <v>0.05</v>
      </c>
      <c r="N642" s="464">
        <f t="shared" si="57"/>
        <v>70585</v>
      </c>
    </row>
    <row r="643" spans="7:14" ht="11.25" customHeight="1" x14ac:dyDescent="0.25">
      <c r="G643" s="459">
        <f t="shared" si="67"/>
        <v>53</v>
      </c>
      <c r="H643" s="459">
        <v>636</v>
      </c>
      <c r="I643" s="444">
        <f t="shared" ca="1" si="55"/>
        <v>-4695149.0533553846</v>
      </c>
      <c r="J643" s="444">
        <f t="array" ref="J643">IFERROR(INDEX('Retirement Calculator'!J:J,MATCH('Isaac 401k'!N643,'Retirement Calculator'!A:A,0),0),0)</f>
        <v>8395.6297298201844</v>
      </c>
      <c r="K643" s="444">
        <f t="shared" ca="1" si="53"/>
        <v>-19598.102846188354</v>
      </c>
      <c r="L643" s="444">
        <f t="shared" ca="1" si="54"/>
        <v>-4723142.7859313935</v>
      </c>
      <c r="M643" s="460">
        <f t="shared" si="56"/>
        <v>0.05</v>
      </c>
      <c r="N643" s="464">
        <f t="shared" si="57"/>
        <v>70615</v>
      </c>
    </row>
    <row r="644" spans="7:14" ht="11.25" customHeight="1" x14ac:dyDescent="0.25">
      <c r="G644" s="459">
        <f>G643+1</f>
        <v>54</v>
      </c>
      <c r="H644" s="459">
        <v>637</v>
      </c>
      <c r="I644" s="444">
        <f t="shared" ca="1" si="55"/>
        <v>-4723142.7859313935</v>
      </c>
      <c r="J644" s="444">
        <f t="array" ref="J644">IFERROR(INDEX('Retirement Calculator'!J:J,MATCH('Isaac 401k'!N644,'Retirement Calculator'!A:A,0),0),0)</f>
        <v>8395.6297298201844</v>
      </c>
      <c r="K644" s="444">
        <f t="shared" ca="1" si="53"/>
        <v>-19714.743398588391</v>
      </c>
      <c r="L644" s="444">
        <f t="shared" ca="1" si="54"/>
        <v>-4751253.1590598021</v>
      </c>
      <c r="M644" s="460">
        <f t="shared" si="56"/>
        <v>0.05</v>
      </c>
      <c r="N644" s="464">
        <f t="shared" si="57"/>
        <v>70646</v>
      </c>
    </row>
    <row r="645" spans="7:14" ht="11.25" customHeight="1" x14ac:dyDescent="0.25">
      <c r="G645" s="459">
        <f t="shared" ref="G645:G655" si="68">G644</f>
        <v>54</v>
      </c>
      <c r="H645" s="459">
        <v>638</v>
      </c>
      <c r="I645" s="444">
        <f t="shared" ca="1" si="55"/>
        <v>-4751253.1590598021</v>
      </c>
      <c r="J645" s="444">
        <f t="array" ref="J645">IFERROR(INDEX('Retirement Calculator'!J:J,MATCH('Isaac 401k'!N645,'Retirement Calculator'!A:A,0),0),0)</f>
        <v>8395.6297298201844</v>
      </c>
      <c r="K645" s="444">
        <f t="shared" ca="1" si="53"/>
        <v>-19831.869953290094</v>
      </c>
      <c r="L645" s="444">
        <f t="shared" ca="1" si="54"/>
        <v>-4779480.6587429121</v>
      </c>
      <c r="M645" s="460">
        <f t="shared" si="56"/>
        <v>0.05</v>
      </c>
      <c r="N645" s="464">
        <f t="shared" si="57"/>
        <v>70676</v>
      </c>
    </row>
    <row r="646" spans="7:14" ht="11.25" customHeight="1" x14ac:dyDescent="0.25">
      <c r="G646" s="459">
        <f t="shared" si="68"/>
        <v>54</v>
      </c>
      <c r="H646" s="459">
        <v>639</v>
      </c>
      <c r="I646" s="444">
        <f t="shared" ca="1" si="55"/>
        <v>-4779480.6587429121</v>
      </c>
      <c r="J646" s="444">
        <f t="array" ref="J646">IFERROR(INDEX('Retirement Calculator'!J:J,MATCH('Isaac 401k'!N646,'Retirement Calculator'!A:A,0),0),0)</f>
        <v>8395.6297298201844</v>
      </c>
      <c r="K646" s="444">
        <f t="shared" ca="1" si="53"/>
        <v>-19949.484535303051</v>
      </c>
      <c r="L646" s="444">
        <f t="shared" ca="1" si="54"/>
        <v>-4807825.7730080355</v>
      </c>
      <c r="M646" s="460">
        <f t="shared" si="56"/>
        <v>0.05</v>
      </c>
      <c r="N646" s="464">
        <f t="shared" si="57"/>
        <v>70707</v>
      </c>
    </row>
    <row r="647" spans="7:14" ht="11.25" customHeight="1" x14ac:dyDescent="0.25">
      <c r="G647" s="459">
        <f t="shared" si="68"/>
        <v>54</v>
      </c>
      <c r="H647" s="459">
        <v>640</v>
      </c>
      <c r="I647" s="444">
        <f t="shared" ca="1" si="55"/>
        <v>-4807825.7730080355</v>
      </c>
      <c r="J647" s="444">
        <f t="array" ref="J647">IFERROR(INDEX('Retirement Calculator'!J:J,MATCH('Isaac 401k'!N647,'Retirement Calculator'!A:A,0),0),0)</f>
        <v>8395.6297298201844</v>
      </c>
      <c r="K647" s="444">
        <f t="shared" ca="1" si="53"/>
        <v>-20067.589178074399</v>
      </c>
      <c r="L647" s="444">
        <f t="shared" ca="1" si="54"/>
        <v>-4836288.9919159301</v>
      </c>
      <c r="M647" s="460">
        <f t="shared" si="56"/>
        <v>0.05</v>
      </c>
      <c r="N647" s="464">
        <f t="shared" si="57"/>
        <v>70738</v>
      </c>
    </row>
    <row r="648" spans="7:14" ht="11.25" customHeight="1" x14ac:dyDescent="0.25">
      <c r="G648" s="459">
        <f t="shared" si="68"/>
        <v>54</v>
      </c>
      <c r="H648" s="459">
        <v>641</v>
      </c>
      <c r="I648" s="444">
        <f t="shared" ca="1" si="55"/>
        <v>-4836288.9919159301</v>
      </c>
      <c r="J648" s="444">
        <f t="array" ref="J648">IFERROR(INDEX('Retirement Calculator'!J:J,MATCH('Isaac 401k'!N648,'Retirement Calculator'!A:A,0),0),0)</f>
        <v>8395.6297298201844</v>
      </c>
      <c r="K648" s="444">
        <f t="shared" ca="1" si="53"/>
        <v>-20186.185923523961</v>
      </c>
      <c r="L648" s="444">
        <f t="shared" ca="1" si="54"/>
        <v>-4864870.8075692747</v>
      </c>
      <c r="M648" s="460">
        <f t="shared" si="56"/>
        <v>0.05</v>
      </c>
      <c r="N648" s="464">
        <f t="shared" si="57"/>
        <v>70768</v>
      </c>
    </row>
    <row r="649" spans="7:14" ht="11.25" customHeight="1" x14ac:dyDescent="0.25">
      <c r="G649" s="459">
        <f t="shared" si="68"/>
        <v>54</v>
      </c>
      <c r="H649" s="459">
        <v>642</v>
      </c>
      <c r="I649" s="444">
        <f t="shared" ca="1" si="55"/>
        <v>-4864870.8075692747</v>
      </c>
      <c r="J649" s="444">
        <f t="array" ref="J649">IFERROR(INDEX('Retirement Calculator'!J:J,MATCH('Isaac 401k'!N649,'Retirement Calculator'!A:A,0),0),0)</f>
        <v>8395.6297298201844</v>
      </c>
      <c r="K649" s="444">
        <f t="shared" ca="1" si="53"/>
        <v>-20305.276822079562</v>
      </c>
      <c r="L649" s="444">
        <f t="shared" ca="1" si="54"/>
        <v>-4893571.714121175</v>
      </c>
      <c r="M649" s="460">
        <f t="shared" si="56"/>
        <v>0.05</v>
      </c>
      <c r="N649" s="464">
        <f t="shared" si="57"/>
        <v>70799</v>
      </c>
    </row>
    <row r="650" spans="7:14" ht="11.25" customHeight="1" x14ac:dyDescent="0.25">
      <c r="G650" s="459">
        <f t="shared" si="68"/>
        <v>54</v>
      </c>
      <c r="H650" s="459">
        <v>643</v>
      </c>
      <c r="I650" s="444">
        <f t="shared" ca="1" si="55"/>
        <v>-4893571.714121175</v>
      </c>
      <c r="J650" s="444">
        <f t="array" ref="J650">IFERROR(INDEX('Retirement Calculator'!J:J,MATCH('Isaac 401k'!N650,'Retirement Calculator'!A:A,0),0),0)</f>
        <v>8395.6297298201844</v>
      </c>
      <c r="K650" s="444">
        <f t="shared" ca="1" si="53"/>
        <v>-20424.86393271248</v>
      </c>
      <c r="L650" s="444">
        <f t="shared" ca="1" si="54"/>
        <v>-4922392.2077837083</v>
      </c>
      <c r="M650" s="460">
        <f t="shared" si="56"/>
        <v>0.05</v>
      </c>
      <c r="N650" s="464">
        <f t="shared" si="57"/>
        <v>70829</v>
      </c>
    </row>
    <row r="651" spans="7:14" ht="11.25" customHeight="1" x14ac:dyDescent="0.25">
      <c r="G651" s="459">
        <f t="shared" si="68"/>
        <v>54</v>
      </c>
      <c r="H651" s="459">
        <v>644</v>
      </c>
      <c r="I651" s="444">
        <f t="shared" ca="1" si="55"/>
        <v>-4922392.2077837083</v>
      </c>
      <c r="J651" s="444">
        <f t="array" ref="J651">IFERROR(INDEX('Retirement Calculator'!J:J,MATCH('Isaac 401k'!N651,'Retirement Calculator'!A:A,0),0),0)</f>
        <v>8395.6297298201844</v>
      </c>
      <c r="K651" s="444">
        <f t="shared" ca="1" si="53"/>
        <v>-20544.949322973036</v>
      </c>
      <c r="L651" s="444">
        <f t="shared" ca="1" si="54"/>
        <v>-4951332.7868365021</v>
      </c>
      <c r="M651" s="460">
        <f t="shared" si="56"/>
        <v>0.05</v>
      </c>
      <c r="N651" s="464">
        <f t="shared" si="57"/>
        <v>70860</v>
      </c>
    </row>
    <row r="652" spans="7:14" ht="11.25" customHeight="1" x14ac:dyDescent="0.25">
      <c r="G652" s="459">
        <f t="shared" si="68"/>
        <v>54</v>
      </c>
      <c r="H652" s="459">
        <v>645</v>
      </c>
      <c r="I652" s="444">
        <f t="shared" ca="1" si="55"/>
        <v>-4951332.7868365021</v>
      </c>
      <c r="J652" s="444">
        <f t="array" ref="J652">IFERROR(INDEX('Retirement Calculator'!J:J,MATCH('Isaac 401k'!N652,'Retirement Calculator'!A:A,0),0),0)</f>
        <v>8395.6297298201844</v>
      </c>
      <c r="K652" s="444">
        <f t="shared" ca="1" si="53"/>
        <v>-20665.535069026344</v>
      </c>
      <c r="L652" s="444">
        <f t="shared" ca="1" si="54"/>
        <v>-4980393.9516353486</v>
      </c>
      <c r="M652" s="460">
        <f t="shared" si="56"/>
        <v>0.05</v>
      </c>
      <c r="N652" s="464">
        <f t="shared" si="57"/>
        <v>70891</v>
      </c>
    </row>
    <row r="653" spans="7:14" ht="11.25" customHeight="1" x14ac:dyDescent="0.25">
      <c r="G653" s="459">
        <f t="shared" si="68"/>
        <v>54</v>
      </c>
      <c r="H653" s="459">
        <v>646</v>
      </c>
      <c r="I653" s="444">
        <f t="shared" ca="1" si="55"/>
        <v>-4980393.9516353486</v>
      </c>
      <c r="J653" s="444">
        <f t="array" ref="J653">IFERROR(INDEX('Retirement Calculator'!J:J,MATCH('Isaac 401k'!N653,'Retirement Calculator'!A:A,0),0),0)</f>
        <v>8395.6297298201844</v>
      </c>
      <c r="K653" s="444">
        <f t="shared" ca="1" si="53"/>
        <v>-20786.623255688202</v>
      </c>
      <c r="L653" s="444">
        <f t="shared" ca="1" si="54"/>
        <v>-5009576.2046208568</v>
      </c>
      <c r="M653" s="460">
        <f t="shared" si="56"/>
        <v>0.05</v>
      </c>
      <c r="N653" s="464">
        <f t="shared" si="57"/>
        <v>70919</v>
      </c>
    </row>
    <row r="654" spans="7:14" ht="11.25" customHeight="1" x14ac:dyDescent="0.25">
      <c r="G654" s="459">
        <f t="shared" si="68"/>
        <v>54</v>
      </c>
      <c r="H654" s="459">
        <v>647</v>
      </c>
      <c r="I654" s="444">
        <f t="shared" ca="1" si="55"/>
        <v>-5009576.2046208568</v>
      </c>
      <c r="J654" s="444">
        <f t="array" ref="J654">IFERROR(INDEX('Retirement Calculator'!J:J,MATCH('Isaac 401k'!N654,'Retirement Calculator'!A:A,0),0),0)</f>
        <v>8395.6297298201844</v>
      </c>
      <c r="K654" s="444">
        <f t="shared" ca="1" si="53"/>
        <v>-20908.215976461153</v>
      </c>
      <c r="L654" s="444">
        <f t="shared" ca="1" si="54"/>
        <v>-5038880.050327138</v>
      </c>
      <c r="M654" s="460">
        <f t="shared" si="56"/>
        <v>0.05</v>
      </c>
      <c r="N654" s="464">
        <f t="shared" si="57"/>
        <v>70950</v>
      </c>
    </row>
    <row r="655" spans="7:14" ht="11.25" customHeight="1" x14ac:dyDescent="0.25">
      <c r="G655" s="459">
        <f t="shared" si="68"/>
        <v>54</v>
      </c>
      <c r="H655" s="459">
        <v>648</v>
      </c>
      <c r="I655" s="444">
        <f t="shared" ca="1" si="55"/>
        <v>-5038880.050327138</v>
      </c>
      <c r="J655" s="444">
        <f t="array" ref="J655">IFERROR(INDEX('Retirement Calculator'!J:J,MATCH('Isaac 401k'!N655,'Retirement Calculator'!A:A,0),0),0)</f>
        <v>8395.6297298201844</v>
      </c>
      <c r="K655" s="444">
        <f t="shared" ca="1" si="53"/>
        <v>-21030.315333570659</v>
      </c>
      <c r="L655" s="444">
        <f t="shared" ca="1" si="54"/>
        <v>-5068305.9953905288</v>
      </c>
      <c r="M655" s="460">
        <f t="shared" si="56"/>
        <v>0.05</v>
      </c>
      <c r="N655" s="464">
        <f t="shared" si="57"/>
        <v>70980</v>
      </c>
    </row>
    <row r="656" spans="7:14" ht="11.25" customHeight="1" x14ac:dyDescent="0.25">
      <c r="G656" s="459">
        <f>G655+1</f>
        <v>55</v>
      </c>
      <c r="H656" s="459">
        <v>649</v>
      </c>
      <c r="I656" s="444">
        <f t="shared" ca="1" si="55"/>
        <v>-5068305.9953905288</v>
      </c>
      <c r="J656" s="444">
        <f t="array" ref="J656">IFERROR(INDEX('Retirement Calculator'!J:J,MATCH('Isaac 401k'!N656,'Retirement Calculator'!A:A,0),0),0)</f>
        <v>8395.6297298201844</v>
      </c>
      <c r="K656" s="444">
        <f t="shared" ca="1" si="53"/>
        <v>-21152.923438001453</v>
      </c>
      <c r="L656" s="444">
        <f t="shared" ca="1" si="54"/>
        <v>-5097854.5485583507</v>
      </c>
      <c r="M656" s="460">
        <f t="shared" si="56"/>
        <v>0.05</v>
      </c>
      <c r="N656" s="464">
        <f t="shared" si="57"/>
        <v>71011</v>
      </c>
    </row>
    <row r="657" spans="7:14" ht="11.25" customHeight="1" x14ac:dyDescent="0.25">
      <c r="G657" s="459">
        <f t="shared" ref="G657:G667" si="69">G656</f>
        <v>55</v>
      </c>
      <c r="H657" s="459">
        <v>650</v>
      </c>
      <c r="I657" s="444">
        <f t="shared" ca="1" si="55"/>
        <v>-5097854.5485583507</v>
      </c>
      <c r="J657" s="444">
        <f t="array" ref="J657">IFERROR(INDEX('Retirement Calculator'!J:J,MATCH('Isaac 401k'!N657,'Retirement Calculator'!A:A,0),0),0)</f>
        <v>8395.6297298201844</v>
      </c>
      <c r="K657" s="444">
        <f t="shared" ca="1" si="53"/>
        <v>-21276.042409534046</v>
      </c>
      <c r="L657" s="444">
        <f t="shared" ca="1" si="54"/>
        <v>-5127526.2206977047</v>
      </c>
      <c r="M657" s="460">
        <f t="shared" si="56"/>
        <v>0.05</v>
      </c>
      <c r="N657" s="464">
        <f t="shared" si="57"/>
        <v>71041</v>
      </c>
    </row>
    <row r="658" spans="7:14" ht="11.25" customHeight="1" x14ac:dyDescent="0.25">
      <c r="G658" s="459">
        <f t="shared" si="69"/>
        <v>55</v>
      </c>
      <c r="H658" s="459">
        <v>651</v>
      </c>
      <c r="I658" s="444">
        <f t="shared" ca="1" si="55"/>
        <v>-5127526.2206977047</v>
      </c>
      <c r="J658" s="444">
        <f t="array" ref="J658">IFERROR(INDEX('Retirement Calculator'!J:J,MATCH('Isaac 401k'!N658,'Retirement Calculator'!A:A,0),0),0)</f>
        <v>8395.6297298201844</v>
      </c>
      <c r="K658" s="444">
        <f t="shared" ca="1" si="53"/>
        <v>-21399.674376781353</v>
      </c>
      <c r="L658" s="444">
        <f t="shared" ca="1" si="54"/>
        <v>-5157321.5248043062</v>
      </c>
      <c r="M658" s="460">
        <f t="shared" si="56"/>
        <v>0.05</v>
      </c>
      <c r="N658" s="464">
        <f t="shared" si="57"/>
        <v>71072</v>
      </c>
    </row>
    <row r="659" spans="7:14" ht="11.25" customHeight="1" x14ac:dyDescent="0.25">
      <c r="G659" s="459">
        <f t="shared" si="69"/>
        <v>55</v>
      </c>
      <c r="H659" s="459">
        <v>652</v>
      </c>
      <c r="I659" s="444">
        <f t="shared" ca="1" si="55"/>
        <v>-5157321.5248043062</v>
      </c>
      <c r="J659" s="444">
        <f t="array" ref="J659">IFERROR(INDEX('Retirement Calculator'!J:J,MATCH('Isaac 401k'!N659,'Retirement Calculator'!A:A,0),0),0)</f>
        <v>8395.6297298201844</v>
      </c>
      <c r="K659" s="444">
        <f t="shared" ca="1" si="53"/>
        <v>-21523.821477225527</v>
      </c>
      <c r="L659" s="444">
        <f t="shared" ca="1" si="54"/>
        <v>-5187240.9760113526</v>
      </c>
      <c r="M659" s="460">
        <f t="shared" si="56"/>
        <v>0.05</v>
      </c>
      <c r="N659" s="464">
        <f t="shared" si="57"/>
        <v>71103</v>
      </c>
    </row>
    <row r="660" spans="7:14" ht="11.25" customHeight="1" x14ac:dyDescent="0.25">
      <c r="G660" s="459">
        <f t="shared" si="69"/>
        <v>55</v>
      </c>
      <c r="H660" s="459">
        <v>653</v>
      </c>
      <c r="I660" s="444">
        <f t="shared" ca="1" si="55"/>
        <v>-5187240.9760113526</v>
      </c>
      <c r="J660" s="444">
        <f t="array" ref="J660">IFERROR(INDEX('Retirement Calculator'!J:J,MATCH('Isaac 401k'!N660,'Retirement Calculator'!A:A,0),0),0)</f>
        <v>8395.6297298201844</v>
      </c>
      <c r="K660" s="444">
        <f t="shared" ca="1" si="53"/>
        <v>-21648.485857254887</v>
      </c>
      <c r="L660" s="444">
        <f t="shared" ca="1" si="54"/>
        <v>-5217285.0915984279</v>
      </c>
      <c r="M660" s="460">
        <f t="shared" si="56"/>
        <v>0.05</v>
      </c>
      <c r="N660" s="464">
        <f t="shared" si="57"/>
        <v>71133</v>
      </c>
    </row>
    <row r="661" spans="7:14" ht="11.25" customHeight="1" x14ac:dyDescent="0.25">
      <c r="G661" s="459">
        <f t="shared" si="69"/>
        <v>55</v>
      </c>
      <c r="H661" s="459">
        <v>654</v>
      </c>
      <c r="I661" s="444">
        <f t="shared" ca="1" si="55"/>
        <v>-5217285.0915984279</v>
      </c>
      <c r="J661" s="444">
        <f t="array" ref="J661">IFERROR(INDEX('Retirement Calculator'!J:J,MATCH('Isaac 401k'!N661,'Retirement Calculator'!A:A,0),0),0)</f>
        <v>8395.6297298201844</v>
      </c>
      <c r="K661" s="444">
        <f t="shared" ca="1" si="53"/>
        <v>-21773.669672201035</v>
      </c>
      <c r="L661" s="444">
        <f t="shared" ca="1" si="54"/>
        <v>-5247454.3910004497</v>
      </c>
      <c r="M661" s="460">
        <f t="shared" si="56"/>
        <v>0.05</v>
      </c>
      <c r="N661" s="464">
        <f t="shared" si="57"/>
        <v>71164</v>
      </c>
    </row>
    <row r="662" spans="7:14" ht="11.25" customHeight="1" x14ac:dyDescent="0.25">
      <c r="G662" s="459">
        <f t="shared" si="69"/>
        <v>55</v>
      </c>
      <c r="H662" s="459">
        <v>655</v>
      </c>
      <c r="I662" s="444">
        <f t="shared" ca="1" si="55"/>
        <v>-5247454.3910004497</v>
      </c>
      <c r="J662" s="444">
        <f t="array" ref="J662">IFERROR(INDEX('Retirement Calculator'!J:J,MATCH('Isaac 401k'!N662,'Retirement Calculator'!A:A,0),0),0)</f>
        <v>8395.6297298201844</v>
      </c>
      <c r="K662" s="444">
        <f t="shared" ca="1" si="53"/>
        <v>-21899.375086376123</v>
      </c>
      <c r="L662" s="444">
        <f t="shared" ca="1" si="54"/>
        <v>-5277749.3958166465</v>
      </c>
      <c r="M662" s="460">
        <f t="shared" si="56"/>
        <v>0.05</v>
      </c>
      <c r="N662" s="464">
        <f t="shared" si="57"/>
        <v>71194</v>
      </c>
    </row>
    <row r="663" spans="7:14" ht="11.25" customHeight="1" x14ac:dyDescent="0.25">
      <c r="G663" s="459">
        <f t="shared" si="69"/>
        <v>55</v>
      </c>
      <c r="H663" s="459">
        <v>656</v>
      </c>
      <c r="I663" s="444">
        <f t="shared" ca="1" si="55"/>
        <v>-5277749.3958166465</v>
      </c>
      <c r="J663" s="444">
        <f t="array" ref="J663">IFERROR(INDEX('Retirement Calculator'!J:J,MATCH('Isaac 401k'!N663,'Retirement Calculator'!A:A,0),0),0)</f>
        <v>8395.6297298201844</v>
      </c>
      <c r="K663" s="444">
        <f t="shared" ca="1" si="53"/>
        <v>-22025.604273110279</v>
      </c>
      <c r="L663" s="444">
        <f t="shared" ca="1" si="54"/>
        <v>-5308170.6298195776</v>
      </c>
      <c r="M663" s="460">
        <f t="shared" si="56"/>
        <v>0.05</v>
      </c>
      <c r="N663" s="464">
        <f t="shared" si="57"/>
        <v>71225</v>
      </c>
    </row>
    <row r="664" spans="7:14" ht="11.25" customHeight="1" x14ac:dyDescent="0.25">
      <c r="G664" s="459">
        <f t="shared" si="69"/>
        <v>55</v>
      </c>
      <c r="H664" s="459">
        <v>657</v>
      </c>
      <c r="I664" s="444">
        <f t="shared" ca="1" si="55"/>
        <v>-5308170.6298195776</v>
      </c>
      <c r="J664" s="444">
        <f t="array" ref="J664">IFERROR(INDEX('Retirement Calculator'!J:J,MATCH('Isaac 401k'!N664,'Retirement Calculator'!A:A,0),0),0)</f>
        <v>8395.6297298201844</v>
      </c>
      <c r="K664" s="444">
        <f t="shared" ca="1" si="53"/>
        <v>-22152.359414789156</v>
      </c>
      <c r="L664" s="444">
        <f t="shared" ca="1" si="54"/>
        <v>-5338718.6189641869</v>
      </c>
      <c r="M664" s="460">
        <f t="shared" si="56"/>
        <v>0.05</v>
      </c>
      <c r="N664" s="464">
        <f t="shared" si="57"/>
        <v>71256</v>
      </c>
    </row>
    <row r="665" spans="7:14" ht="11.25" customHeight="1" x14ac:dyDescent="0.25">
      <c r="G665" s="459">
        <f t="shared" si="69"/>
        <v>55</v>
      </c>
      <c r="H665" s="459">
        <v>658</v>
      </c>
      <c r="I665" s="444">
        <f t="shared" ca="1" si="55"/>
        <v>-5338718.6189641869</v>
      </c>
      <c r="J665" s="444">
        <f t="array" ref="J665">IFERROR(INDEX('Retirement Calculator'!J:J,MATCH('Isaac 401k'!N665,'Retirement Calculator'!A:A,0),0),0)</f>
        <v>8395.6297298201844</v>
      </c>
      <c r="K665" s="444">
        <f t="shared" ca="1" si="53"/>
        <v>-22279.642702891695</v>
      </c>
      <c r="L665" s="444">
        <f t="shared" ca="1" si="54"/>
        <v>-5369393.8913968988</v>
      </c>
      <c r="M665" s="460">
        <f t="shared" si="56"/>
        <v>0.05</v>
      </c>
      <c r="N665" s="464">
        <f t="shared" si="57"/>
        <v>71284</v>
      </c>
    </row>
    <row r="666" spans="7:14" ht="11.25" customHeight="1" x14ac:dyDescent="0.25">
      <c r="G666" s="459">
        <f t="shared" si="69"/>
        <v>55</v>
      </c>
      <c r="H666" s="459">
        <v>659</v>
      </c>
      <c r="I666" s="444">
        <f t="shared" ca="1" si="55"/>
        <v>-5369393.8913968988</v>
      </c>
      <c r="J666" s="444">
        <f t="array" ref="J666">IFERROR(INDEX('Retirement Calculator'!J:J,MATCH('Isaac 401k'!N666,'Retirement Calculator'!A:A,0),0),0)</f>
        <v>8395.6297298201844</v>
      </c>
      <c r="K666" s="444">
        <f t="shared" ca="1" si="53"/>
        <v>-22407.456338027998</v>
      </c>
      <c r="L666" s="444">
        <f t="shared" ca="1" si="54"/>
        <v>-5400196.9774647476</v>
      </c>
      <c r="M666" s="460">
        <f t="shared" si="56"/>
        <v>0.05</v>
      </c>
      <c r="N666" s="464">
        <f t="shared" si="57"/>
        <v>71315</v>
      </c>
    </row>
    <row r="667" spans="7:14" ht="11.25" customHeight="1" x14ac:dyDescent="0.25">
      <c r="G667" s="459">
        <f t="shared" si="69"/>
        <v>55</v>
      </c>
      <c r="H667" s="459">
        <v>660</v>
      </c>
      <c r="I667" s="444">
        <f t="shared" ca="1" si="55"/>
        <v>-5400196.9774647476</v>
      </c>
      <c r="J667" s="444">
        <f t="array" ref="J667">IFERROR(INDEX('Retirement Calculator'!J:J,MATCH('Isaac 401k'!N667,'Retirement Calculator'!A:A,0),0),0)</f>
        <v>8395.6297298201844</v>
      </c>
      <c r="K667" s="444">
        <f t="shared" ca="1" si="53"/>
        <v>-22535.802529977365</v>
      </c>
      <c r="L667" s="444">
        <f t="shared" ca="1" si="54"/>
        <v>-5431128.4097245457</v>
      </c>
      <c r="M667" s="460">
        <f t="shared" si="56"/>
        <v>0.05</v>
      </c>
      <c r="N667" s="464">
        <f t="shared" si="57"/>
        <v>71345</v>
      </c>
    </row>
    <row r="668" spans="7:14" ht="11.25" customHeight="1" x14ac:dyDescent="0.25">
      <c r="G668" s="459">
        <f>G667+1</f>
        <v>56</v>
      </c>
      <c r="H668" s="459">
        <v>661</v>
      </c>
      <c r="I668" s="444">
        <f t="shared" ca="1" si="55"/>
        <v>-5431128.4097245457</v>
      </c>
      <c r="J668" s="444">
        <f t="array" ref="J668">IFERROR(INDEX('Retirement Calculator'!J:J,MATCH('Isaac 401k'!N668,'Retirement Calculator'!A:A,0),0),0)</f>
        <v>8395.6297298201844</v>
      </c>
      <c r="K668" s="444">
        <f t="shared" ca="1" si="53"/>
        <v>-22664.683497726524</v>
      </c>
      <c r="L668" s="444">
        <f t="shared" ca="1" si="54"/>
        <v>-5462188.722952093</v>
      </c>
      <c r="M668" s="460">
        <f t="shared" si="56"/>
        <v>0.05</v>
      </c>
      <c r="N668" s="464">
        <f t="shared" si="57"/>
        <v>71376</v>
      </c>
    </row>
    <row r="669" spans="7:14" ht="11.25" customHeight="1" x14ac:dyDescent="0.25">
      <c r="G669" s="459">
        <f t="shared" ref="G669:G679" si="70">G668</f>
        <v>56</v>
      </c>
      <c r="H669" s="459">
        <v>662</v>
      </c>
      <c r="I669" s="444">
        <f t="shared" ca="1" si="55"/>
        <v>-5462188.722952093</v>
      </c>
      <c r="J669" s="444">
        <f t="array" ref="J669">IFERROR(INDEX('Retirement Calculator'!J:J,MATCH('Isaac 401k'!N669,'Retirement Calculator'!A:A,0),0),0)</f>
        <v>8395.6297298201844</v>
      </c>
      <c r="K669" s="444">
        <f t="shared" ca="1" si="53"/>
        <v>-22794.101469507972</v>
      </c>
      <c r="L669" s="444">
        <f t="shared" ca="1" si="54"/>
        <v>-5493378.4541514218</v>
      </c>
      <c r="M669" s="460">
        <f t="shared" si="56"/>
        <v>0.05</v>
      </c>
      <c r="N669" s="464">
        <f t="shared" si="57"/>
        <v>71406</v>
      </c>
    </row>
    <row r="670" spans="7:14" ht="11.25" customHeight="1" x14ac:dyDescent="0.25">
      <c r="G670" s="459">
        <f t="shared" si="70"/>
        <v>56</v>
      </c>
      <c r="H670" s="459">
        <v>663</v>
      </c>
      <c r="I670" s="444">
        <f t="shared" ca="1" si="55"/>
        <v>-5493378.4541514218</v>
      </c>
      <c r="J670" s="444">
        <f t="array" ref="J670">IFERROR(INDEX('Retirement Calculator'!J:J,MATCH('Isaac 401k'!N670,'Retirement Calculator'!A:A,0),0),0)</f>
        <v>8395.6297298201844</v>
      </c>
      <c r="K670" s="444">
        <f t="shared" ca="1" si="53"/>
        <v>-22924.058682838509</v>
      </c>
      <c r="L670" s="444">
        <f t="shared" ca="1" si="54"/>
        <v>-5524698.1425640807</v>
      </c>
      <c r="M670" s="460">
        <f t="shared" si="56"/>
        <v>0.05</v>
      </c>
      <c r="N670" s="464">
        <f t="shared" si="57"/>
        <v>71437</v>
      </c>
    </row>
    <row r="671" spans="7:14" ht="11.25" customHeight="1" x14ac:dyDescent="0.25">
      <c r="G671" s="459">
        <f t="shared" si="70"/>
        <v>56</v>
      </c>
      <c r="H671" s="459">
        <v>664</v>
      </c>
      <c r="I671" s="444">
        <f t="shared" ca="1" si="55"/>
        <v>-5524698.1425640807</v>
      </c>
      <c r="J671" s="444">
        <f t="array" ref="J671">IFERROR(INDEX('Retirement Calculator'!J:J,MATCH('Isaac 401k'!N671,'Retirement Calculator'!A:A,0),0),0)</f>
        <v>8395.6297298201844</v>
      </c>
      <c r="K671" s="444">
        <f t="shared" ca="1" si="53"/>
        <v>-23054.55738455792</v>
      </c>
      <c r="L671" s="444">
        <f t="shared" ca="1" si="54"/>
        <v>-5556148.3296784591</v>
      </c>
      <c r="M671" s="460">
        <f t="shared" si="56"/>
        <v>0.05</v>
      </c>
      <c r="N671" s="464">
        <f t="shared" si="57"/>
        <v>71468</v>
      </c>
    </row>
    <row r="672" spans="7:14" ht="11.25" customHeight="1" x14ac:dyDescent="0.25">
      <c r="G672" s="459">
        <f t="shared" si="70"/>
        <v>56</v>
      </c>
      <c r="H672" s="459">
        <v>665</v>
      </c>
      <c r="I672" s="444">
        <f t="shared" ca="1" si="55"/>
        <v>-5556148.3296784591</v>
      </c>
      <c r="J672" s="444">
        <f t="array" ref="J672">IFERROR(INDEX('Retirement Calculator'!J:J,MATCH('Isaac 401k'!N672,'Retirement Calculator'!A:A,0),0),0)</f>
        <v>8395.6297298201844</v>
      </c>
      <c r="K672" s="444">
        <f t="shared" ca="1" si="53"/>
        <v>-23185.599830867832</v>
      </c>
      <c r="L672" s="444">
        <f t="shared" ca="1" si="54"/>
        <v>-5587729.5592391472</v>
      </c>
      <c r="M672" s="460">
        <f t="shared" si="56"/>
        <v>0.05</v>
      </c>
      <c r="N672" s="464">
        <f t="shared" si="57"/>
        <v>71498</v>
      </c>
    </row>
    <row r="673" spans="7:14" ht="11.25" customHeight="1" x14ac:dyDescent="0.25">
      <c r="G673" s="459">
        <f t="shared" si="70"/>
        <v>56</v>
      </c>
      <c r="H673" s="459">
        <v>666</v>
      </c>
      <c r="I673" s="444">
        <f t="shared" ca="1" si="55"/>
        <v>-5587729.5592391472</v>
      </c>
      <c r="J673" s="444">
        <f t="array" ref="J673">IFERROR(INDEX('Retirement Calculator'!J:J,MATCH('Isaac 401k'!N673,'Retirement Calculator'!A:A,0),0),0)</f>
        <v>8395.6297298201844</v>
      </c>
      <c r="K673" s="444">
        <f t="shared" ca="1" si="53"/>
        <v>-23317.1882873707</v>
      </c>
      <c r="L673" s="444">
        <f t="shared" ca="1" si="54"/>
        <v>-5619442.3772563385</v>
      </c>
      <c r="M673" s="460">
        <f t="shared" si="56"/>
        <v>0.05</v>
      </c>
      <c r="N673" s="464">
        <f t="shared" si="57"/>
        <v>71529</v>
      </c>
    </row>
    <row r="674" spans="7:14" ht="11.25" customHeight="1" x14ac:dyDescent="0.25">
      <c r="G674" s="459">
        <f t="shared" si="70"/>
        <v>56</v>
      </c>
      <c r="H674" s="459">
        <v>667</v>
      </c>
      <c r="I674" s="444">
        <f t="shared" ca="1" si="55"/>
        <v>-5619442.3772563385</v>
      </c>
      <c r="J674" s="444">
        <f t="array" ref="J674">IFERROR(INDEX('Retirement Calculator'!J:J,MATCH('Isaac 401k'!N674,'Retirement Calculator'!A:A,0),0),0)</f>
        <v>8395.6297298201844</v>
      </c>
      <c r="K674" s="444">
        <f t="shared" ca="1" si="53"/>
        <v>-23449.325029108993</v>
      </c>
      <c r="L674" s="444">
        <f t="shared" ca="1" si="54"/>
        <v>-5651287.3320152676</v>
      </c>
      <c r="M674" s="460">
        <f t="shared" si="56"/>
        <v>0.05</v>
      </c>
      <c r="N674" s="464">
        <f t="shared" si="57"/>
        <v>71559</v>
      </c>
    </row>
    <row r="675" spans="7:14" ht="11.25" customHeight="1" x14ac:dyDescent="0.25">
      <c r="G675" s="459">
        <f t="shared" si="70"/>
        <v>56</v>
      </c>
      <c r="H675" s="459">
        <v>668</v>
      </c>
      <c r="I675" s="444">
        <f t="shared" ca="1" si="55"/>
        <v>-5651287.3320152676</v>
      </c>
      <c r="J675" s="444">
        <f t="array" ref="J675">IFERROR(INDEX('Retirement Calculator'!J:J,MATCH('Isaac 401k'!N675,'Retirement Calculator'!A:A,0),0),0)</f>
        <v>8395.6297298201844</v>
      </c>
      <c r="K675" s="444">
        <f t="shared" ca="1" si="53"/>
        <v>-23582.012340604531</v>
      </c>
      <c r="L675" s="444">
        <f t="shared" ca="1" si="54"/>
        <v>-5683264.9740856923</v>
      </c>
      <c r="M675" s="460">
        <f t="shared" si="56"/>
        <v>0.05</v>
      </c>
      <c r="N675" s="464">
        <f t="shared" si="57"/>
        <v>71590</v>
      </c>
    </row>
    <row r="676" spans="7:14" ht="11.25" customHeight="1" x14ac:dyDescent="0.25">
      <c r="G676" s="459">
        <f t="shared" si="70"/>
        <v>56</v>
      </c>
      <c r="H676" s="459">
        <v>669</v>
      </c>
      <c r="I676" s="444">
        <f t="shared" ca="1" si="55"/>
        <v>-5683264.9740856923</v>
      </c>
      <c r="J676" s="444">
        <f t="array" ref="J676">IFERROR(INDEX('Retirement Calculator'!J:J,MATCH('Isaac 401k'!N676,'Retirement Calculator'!A:A,0),0),0)</f>
        <v>8395.6297298201844</v>
      </c>
      <c r="K676" s="444">
        <f t="shared" ca="1" si="53"/>
        <v>-23715.25251589797</v>
      </c>
      <c r="L676" s="444">
        <f t="shared" ca="1" si="54"/>
        <v>-5715375.8563314108</v>
      </c>
      <c r="M676" s="460">
        <f t="shared" si="56"/>
        <v>0.05</v>
      </c>
      <c r="N676" s="464">
        <f t="shared" si="57"/>
        <v>71621</v>
      </c>
    </row>
    <row r="677" spans="7:14" ht="11.25" customHeight="1" x14ac:dyDescent="0.25">
      <c r="G677" s="459">
        <f t="shared" si="70"/>
        <v>56</v>
      </c>
      <c r="H677" s="459">
        <v>670</v>
      </c>
      <c r="I677" s="444">
        <f t="shared" ca="1" si="55"/>
        <v>-5715375.8563314108</v>
      </c>
      <c r="J677" s="444">
        <f t="array" ref="J677">IFERROR(INDEX('Retirement Calculator'!J:J,MATCH('Isaac 401k'!N677,'Retirement Calculator'!A:A,0),0),0)</f>
        <v>8395.6297298201844</v>
      </c>
      <c r="K677" s="444">
        <f t="shared" ca="1" si="53"/>
        <v>-23849.047858588463</v>
      </c>
      <c r="L677" s="444">
        <f t="shared" ca="1" si="54"/>
        <v>-5747620.5339198196</v>
      </c>
      <c r="M677" s="460">
        <f t="shared" si="56"/>
        <v>0.05</v>
      </c>
      <c r="N677" s="464">
        <f t="shared" si="57"/>
        <v>71650</v>
      </c>
    </row>
    <row r="678" spans="7:14" ht="11.25" customHeight="1" x14ac:dyDescent="0.25">
      <c r="G678" s="459">
        <f t="shared" si="70"/>
        <v>56</v>
      </c>
      <c r="H678" s="459">
        <v>671</v>
      </c>
      <c r="I678" s="444">
        <f t="shared" ca="1" si="55"/>
        <v>-5747620.5339198196</v>
      </c>
      <c r="J678" s="444">
        <f t="array" ref="J678">IFERROR(INDEX('Retirement Calculator'!J:J,MATCH('Isaac 401k'!N678,'Retirement Calculator'!A:A,0),0),0)</f>
        <v>8395.6297298201844</v>
      </c>
      <c r="K678" s="444">
        <f t="shared" ca="1" si="53"/>
        <v>-23983.4006818735</v>
      </c>
      <c r="L678" s="444">
        <f t="shared" ca="1" si="54"/>
        <v>-5779999.5643315138</v>
      </c>
      <c r="M678" s="460">
        <f t="shared" si="56"/>
        <v>0.05</v>
      </c>
      <c r="N678" s="464">
        <f t="shared" si="57"/>
        <v>71681</v>
      </c>
    </row>
    <row r="679" spans="7:14" ht="11.25" customHeight="1" x14ac:dyDescent="0.25">
      <c r="G679" s="459">
        <f t="shared" si="70"/>
        <v>56</v>
      </c>
      <c r="H679" s="459">
        <v>672</v>
      </c>
      <c r="I679" s="444">
        <f t="shared" ca="1" si="55"/>
        <v>-5779999.5643315138</v>
      </c>
      <c r="J679" s="444">
        <f t="array" ref="J679">IFERROR(INDEX('Retirement Calculator'!J:J,MATCH('Isaac 401k'!N679,'Retirement Calculator'!A:A,0),0),0)</f>
        <v>8395.6297298201844</v>
      </c>
      <c r="K679" s="444">
        <f t="shared" ca="1" si="53"/>
        <v>-24118.313308588891</v>
      </c>
      <c r="L679" s="444">
        <f t="shared" ca="1" si="54"/>
        <v>-5812513.5073699234</v>
      </c>
      <c r="M679" s="460">
        <f t="shared" si="56"/>
        <v>0.05</v>
      </c>
      <c r="N679" s="464">
        <f t="shared" si="57"/>
        <v>71711</v>
      </c>
    </row>
    <row r="680" spans="7:14" ht="11.25" customHeight="1" x14ac:dyDescent="0.25">
      <c r="G680" s="459">
        <f>G679+1</f>
        <v>57</v>
      </c>
      <c r="H680" s="459">
        <v>673</v>
      </c>
      <c r="I680" s="444">
        <f t="shared" ca="1" si="55"/>
        <v>-5812513.5073699234</v>
      </c>
      <c r="J680" s="444">
        <f t="array" ref="J680">IFERROR(INDEX('Retirement Calculator'!J:J,MATCH('Isaac 401k'!N680,'Retirement Calculator'!A:A,0),0),0)</f>
        <v>8395.6297298201844</v>
      </c>
      <c r="K680" s="444">
        <f t="shared" ca="1" si="53"/>
        <v>-24253.788071248931</v>
      </c>
      <c r="L680" s="444">
        <f t="shared" ca="1" si="54"/>
        <v>-5845162.9251709925</v>
      </c>
      <c r="M680" s="460">
        <f t="shared" si="56"/>
        <v>0.05</v>
      </c>
      <c r="N680" s="464">
        <f t="shared" si="57"/>
        <v>71742</v>
      </c>
    </row>
    <row r="681" spans="7:14" ht="11.25" customHeight="1" x14ac:dyDescent="0.25">
      <c r="G681" s="459">
        <f t="shared" ref="G681:G691" si="71">G680</f>
        <v>57</v>
      </c>
      <c r="H681" s="459">
        <v>674</v>
      </c>
      <c r="I681" s="444">
        <f t="shared" ca="1" si="55"/>
        <v>-5845162.9251709925</v>
      </c>
      <c r="J681" s="444">
        <f t="array" ref="J681">IFERROR(INDEX('Retirement Calculator'!J:J,MATCH('Isaac 401k'!N681,'Retirement Calculator'!A:A,0),0),0)</f>
        <v>8395.6297298201844</v>
      </c>
      <c r="K681" s="444">
        <f t="shared" ca="1" si="53"/>
        <v>-24389.82731208672</v>
      </c>
      <c r="L681" s="444">
        <f t="shared" ca="1" si="54"/>
        <v>-5877948.3822128996</v>
      </c>
      <c r="M681" s="460">
        <f t="shared" si="56"/>
        <v>0.05</v>
      </c>
      <c r="N681" s="464">
        <f t="shared" si="57"/>
        <v>71772</v>
      </c>
    </row>
    <row r="682" spans="7:14" ht="11.25" customHeight="1" x14ac:dyDescent="0.25">
      <c r="G682" s="459">
        <f t="shared" si="71"/>
        <v>57</v>
      </c>
      <c r="H682" s="459">
        <v>675</v>
      </c>
      <c r="I682" s="444">
        <f t="shared" ca="1" si="55"/>
        <v>-5877948.3822128996</v>
      </c>
      <c r="J682" s="444">
        <f t="array" ref="J682">IFERROR(INDEX('Retirement Calculator'!J:J,MATCH('Isaac 401k'!N682,'Retirement Calculator'!A:A,0),0),0)</f>
        <v>8395.6297298201844</v>
      </c>
      <c r="K682" s="444">
        <f t="shared" ca="1" si="53"/>
        <v>-24526.433383094667</v>
      </c>
      <c r="L682" s="444">
        <f t="shared" ca="1" si="54"/>
        <v>-5910870.4453258151</v>
      </c>
      <c r="M682" s="460">
        <f t="shared" si="56"/>
        <v>0.05</v>
      </c>
      <c r="N682" s="464">
        <f t="shared" si="57"/>
        <v>71803</v>
      </c>
    </row>
    <row r="683" spans="7:14" ht="11.25" customHeight="1" x14ac:dyDescent="0.25">
      <c r="G683" s="459">
        <f t="shared" si="71"/>
        <v>57</v>
      </c>
      <c r="H683" s="459">
        <v>676</v>
      </c>
      <c r="I683" s="444">
        <f t="shared" ca="1" si="55"/>
        <v>-5910870.4453258151</v>
      </c>
      <c r="J683" s="444">
        <f t="array" ref="J683">IFERROR(INDEX('Retirement Calculator'!J:J,MATCH('Isaac 401k'!N683,'Retirement Calculator'!A:A,0),0),0)</f>
        <v>8395.6297298201844</v>
      </c>
      <c r="K683" s="444">
        <f t="shared" ca="1" si="53"/>
        <v>-24663.60864606515</v>
      </c>
      <c r="L683" s="444">
        <f t="shared" ca="1" si="54"/>
        <v>-5943929.6837017005</v>
      </c>
      <c r="M683" s="460">
        <f t="shared" si="56"/>
        <v>0.05</v>
      </c>
      <c r="N683" s="464">
        <f t="shared" si="57"/>
        <v>71834</v>
      </c>
    </row>
    <row r="684" spans="7:14" ht="11.25" customHeight="1" x14ac:dyDescent="0.25">
      <c r="G684" s="459">
        <f t="shared" si="71"/>
        <v>57</v>
      </c>
      <c r="H684" s="459">
        <v>677</v>
      </c>
      <c r="I684" s="444">
        <f t="shared" ca="1" si="55"/>
        <v>-5943929.6837017005</v>
      </c>
      <c r="J684" s="444">
        <f t="array" ref="J684">IFERROR(INDEX('Retirement Calculator'!J:J,MATCH('Isaac 401k'!N684,'Retirement Calculator'!A:A,0),0),0)</f>
        <v>8395.6297298201844</v>
      </c>
      <c r="K684" s="444">
        <f t="shared" ca="1" si="53"/>
        <v>-24801.355472631338</v>
      </c>
      <c r="L684" s="444">
        <f t="shared" ca="1" si="54"/>
        <v>-5977126.6689041527</v>
      </c>
      <c r="M684" s="460">
        <f t="shared" si="56"/>
        <v>0.05</v>
      </c>
      <c r="N684" s="464">
        <f t="shared" si="57"/>
        <v>71864</v>
      </c>
    </row>
    <row r="685" spans="7:14" ht="11.25" customHeight="1" x14ac:dyDescent="0.25">
      <c r="G685" s="459">
        <f t="shared" si="71"/>
        <v>57</v>
      </c>
      <c r="H685" s="459">
        <v>678</v>
      </c>
      <c r="I685" s="444">
        <f t="shared" ca="1" si="55"/>
        <v>-5977126.6689041527</v>
      </c>
      <c r="J685" s="444">
        <f t="array" ref="J685">IFERROR(INDEX('Retirement Calculator'!J:J,MATCH('Isaac 401k'!N685,'Retirement Calculator'!A:A,0),0),0)</f>
        <v>8395.6297298201844</v>
      </c>
      <c r="K685" s="444">
        <f t="shared" ca="1" si="53"/>
        <v>-24939.676244308223</v>
      </c>
      <c r="L685" s="444">
        <f t="shared" ca="1" si="54"/>
        <v>-6010461.9748782814</v>
      </c>
      <c r="M685" s="460">
        <f t="shared" si="56"/>
        <v>0.05</v>
      </c>
      <c r="N685" s="464">
        <f t="shared" si="57"/>
        <v>71895</v>
      </c>
    </row>
    <row r="686" spans="7:14" ht="11.25" customHeight="1" x14ac:dyDescent="0.25">
      <c r="G686" s="459">
        <f t="shared" si="71"/>
        <v>57</v>
      </c>
      <c r="H686" s="459">
        <v>679</v>
      </c>
      <c r="I686" s="444">
        <f t="shared" ca="1" si="55"/>
        <v>-6010461.9748782814</v>
      </c>
      <c r="J686" s="444">
        <f t="array" ref="J686">IFERROR(INDEX('Retirement Calculator'!J:J,MATCH('Isaac 401k'!N686,'Retirement Calculator'!A:A,0),0),0)</f>
        <v>8395.6297298201844</v>
      </c>
      <c r="K686" s="444">
        <f t="shared" ca="1" si="53"/>
        <v>-25078.573352533756</v>
      </c>
      <c r="L686" s="444">
        <f t="shared" ca="1" si="54"/>
        <v>-6043936.1779606352</v>
      </c>
      <c r="M686" s="460">
        <f t="shared" si="56"/>
        <v>0.05</v>
      </c>
      <c r="N686" s="464">
        <f t="shared" si="57"/>
        <v>71925</v>
      </c>
    </row>
    <row r="687" spans="7:14" ht="11.25" customHeight="1" x14ac:dyDescent="0.25">
      <c r="G687" s="459">
        <f t="shared" si="71"/>
        <v>57</v>
      </c>
      <c r="H687" s="459">
        <v>680</v>
      </c>
      <c r="I687" s="444">
        <f t="shared" ca="1" si="55"/>
        <v>-6043936.1779606352</v>
      </c>
      <c r="J687" s="444">
        <f t="array" ref="J687">IFERROR(INDEX('Retirement Calculator'!J:J,MATCH('Isaac 401k'!N687,'Retirement Calculator'!A:A,0),0),0)</f>
        <v>8395.6297298201844</v>
      </c>
      <c r="K687" s="444">
        <f t="shared" ca="1" si="53"/>
        <v>-25218.049198710232</v>
      </c>
      <c r="L687" s="444">
        <f t="shared" ca="1" si="54"/>
        <v>-6077549.8568891659</v>
      </c>
      <c r="M687" s="460">
        <f t="shared" si="56"/>
        <v>0.05</v>
      </c>
      <c r="N687" s="464">
        <f t="shared" si="57"/>
        <v>71956</v>
      </c>
    </row>
    <row r="688" spans="7:14" ht="11.25" customHeight="1" x14ac:dyDescent="0.25">
      <c r="G688" s="459">
        <f t="shared" si="71"/>
        <v>57</v>
      </c>
      <c r="H688" s="459">
        <v>681</v>
      </c>
      <c r="I688" s="444">
        <f t="shared" ca="1" si="55"/>
        <v>-6077549.8568891659</v>
      </c>
      <c r="J688" s="444">
        <f t="array" ref="J688">IFERROR(INDEX('Retirement Calculator'!J:J,MATCH('Isaac 401k'!N688,'Retirement Calculator'!A:A,0),0),0)</f>
        <v>8395.6297298201844</v>
      </c>
      <c r="K688" s="444">
        <f t="shared" ca="1" si="53"/>
        <v>-25358.106194245775</v>
      </c>
      <c r="L688" s="444">
        <f t="shared" ca="1" si="54"/>
        <v>-6111303.592813232</v>
      </c>
      <c r="M688" s="460">
        <f t="shared" si="56"/>
        <v>0.05</v>
      </c>
      <c r="N688" s="464">
        <f t="shared" si="57"/>
        <v>71987</v>
      </c>
    </row>
    <row r="689" spans="7:14" ht="11.25" customHeight="1" x14ac:dyDescent="0.25">
      <c r="G689" s="459">
        <f t="shared" si="71"/>
        <v>57</v>
      </c>
      <c r="H689" s="459">
        <v>682</v>
      </c>
      <c r="I689" s="444">
        <f t="shared" ca="1" si="55"/>
        <v>-6111303.592813232</v>
      </c>
      <c r="J689" s="444">
        <f t="array" ref="J689">IFERROR(INDEX('Retirement Calculator'!J:J,MATCH('Isaac 401k'!N689,'Retirement Calculator'!A:A,0),0),0)</f>
        <v>8395.6297298201844</v>
      </c>
      <c r="K689" s="444">
        <f t="shared" ca="1" si="53"/>
        <v>-25498.746760596052</v>
      </c>
      <c r="L689" s="444">
        <f t="shared" ca="1" si="54"/>
        <v>-6145197.969303648</v>
      </c>
      <c r="M689" s="460">
        <f t="shared" si="56"/>
        <v>0.05</v>
      </c>
      <c r="N689" s="464">
        <f t="shared" si="57"/>
        <v>72015</v>
      </c>
    </row>
    <row r="690" spans="7:14" ht="11.25" customHeight="1" x14ac:dyDescent="0.25">
      <c r="G690" s="459">
        <f t="shared" si="71"/>
        <v>57</v>
      </c>
      <c r="H690" s="459">
        <v>683</v>
      </c>
      <c r="I690" s="444">
        <f t="shared" ca="1" si="55"/>
        <v>-6145197.969303648</v>
      </c>
      <c r="J690" s="444">
        <f t="array" ref="J690">IFERROR(INDEX('Retirement Calculator'!J:J,MATCH('Isaac 401k'!N690,'Retirement Calculator'!A:A,0),0),0)</f>
        <v>8395.6297298201844</v>
      </c>
      <c r="K690" s="444">
        <f t="shared" ca="1" si="53"/>
        <v>-25639.973329306118</v>
      </c>
      <c r="L690" s="444">
        <f t="shared" ca="1" si="54"/>
        <v>-6179233.572362775</v>
      </c>
      <c r="M690" s="460">
        <f t="shared" si="56"/>
        <v>0.05</v>
      </c>
      <c r="N690" s="464">
        <f t="shared" si="57"/>
        <v>72046</v>
      </c>
    </row>
    <row r="691" spans="7:14" ht="11.25" customHeight="1" x14ac:dyDescent="0.25">
      <c r="G691" s="459">
        <f t="shared" si="71"/>
        <v>57</v>
      </c>
      <c r="H691" s="459">
        <v>684</v>
      </c>
      <c r="I691" s="444">
        <f t="shared" ca="1" si="55"/>
        <v>-6179233.572362775</v>
      </c>
      <c r="J691" s="444">
        <f t="array" ref="J691">IFERROR(INDEX('Retirement Calculator'!J:J,MATCH('Isaac 401k'!N691,'Retirement Calculator'!A:A,0),0),0)</f>
        <v>8395.6297298201844</v>
      </c>
      <c r="K691" s="444">
        <f t="shared" ca="1" si="53"/>
        <v>-25781.788342052481</v>
      </c>
      <c r="L691" s="444">
        <f t="shared" ca="1" si="54"/>
        <v>-6213410.9904346475</v>
      </c>
      <c r="M691" s="460">
        <f t="shared" si="56"/>
        <v>0.05</v>
      </c>
      <c r="N691" s="464">
        <f t="shared" si="57"/>
        <v>72076</v>
      </c>
    </row>
    <row r="692" spans="7:14" ht="11.25" customHeight="1" x14ac:dyDescent="0.25">
      <c r="G692" s="459">
        <f>G691+1</f>
        <v>58</v>
      </c>
      <c r="H692" s="459">
        <v>685</v>
      </c>
      <c r="I692" s="444">
        <f t="shared" ca="1" si="55"/>
        <v>-6213410.9904346475</v>
      </c>
      <c r="J692" s="444">
        <f t="array" ref="J692">IFERROR(INDEX('Retirement Calculator'!J:J,MATCH('Isaac 401k'!N692,'Retirement Calculator'!A:A,0),0),0)</f>
        <v>8395.6297298201844</v>
      </c>
      <c r="K692" s="444">
        <f t="shared" ca="1" si="53"/>
        <v>-25924.194250685283</v>
      </c>
      <c r="L692" s="444">
        <f t="shared" ca="1" si="54"/>
        <v>-6247730.8144151531</v>
      </c>
      <c r="M692" s="460">
        <f t="shared" si="56"/>
        <v>0.05</v>
      </c>
      <c r="N692" s="464">
        <f t="shared" si="57"/>
        <v>72107</v>
      </c>
    </row>
    <row r="693" spans="7:14" ht="11.25" customHeight="1" x14ac:dyDescent="0.25">
      <c r="G693" s="459">
        <f t="shared" ref="G693:G703" si="72">G692</f>
        <v>58</v>
      </c>
      <c r="H693" s="459">
        <v>686</v>
      </c>
      <c r="I693" s="444">
        <f t="shared" ca="1" si="55"/>
        <v>-6247730.8144151531</v>
      </c>
      <c r="J693" s="444">
        <f t="array" ref="J693">IFERROR(INDEX('Retirement Calculator'!J:J,MATCH('Isaac 401k'!N693,'Retirement Calculator'!A:A,0),0),0)</f>
        <v>8395.6297298201844</v>
      </c>
      <c r="K693" s="444">
        <f t="shared" ca="1" si="53"/>
        <v>-26067.193517270724</v>
      </c>
      <c r="L693" s="444">
        <f t="shared" ca="1" si="54"/>
        <v>-6282193.637662244</v>
      </c>
      <c r="M693" s="460">
        <f t="shared" si="56"/>
        <v>0.05</v>
      </c>
      <c r="N693" s="464">
        <f t="shared" si="57"/>
        <v>72137</v>
      </c>
    </row>
    <row r="694" spans="7:14" ht="11.25" customHeight="1" x14ac:dyDescent="0.25">
      <c r="G694" s="459">
        <f t="shared" si="72"/>
        <v>58</v>
      </c>
      <c r="H694" s="459">
        <v>687</v>
      </c>
      <c r="I694" s="444">
        <f t="shared" ca="1" si="55"/>
        <v>-6282193.637662244</v>
      </c>
      <c r="J694" s="444">
        <f t="array" ref="J694">IFERROR(INDEX('Retirement Calculator'!J:J,MATCH('Isaac 401k'!N694,'Retirement Calculator'!A:A,0),0),0)</f>
        <v>8395.6297298201844</v>
      </c>
      <c r="K694" s="444">
        <f t="shared" ca="1" si="53"/>
        <v>-26210.788614133602</v>
      </c>
      <c r="L694" s="444">
        <f t="shared" ca="1" si="54"/>
        <v>-6316800.0560061978</v>
      </c>
      <c r="M694" s="460">
        <f t="shared" si="56"/>
        <v>0.05</v>
      </c>
      <c r="N694" s="464">
        <f t="shared" si="57"/>
        <v>72168</v>
      </c>
    </row>
    <row r="695" spans="7:14" ht="11.25" customHeight="1" x14ac:dyDescent="0.25">
      <c r="G695" s="459">
        <f t="shared" si="72"/>
        <v>58</v>
      </c>
      <c r="H695" s="459">
        <v>688</v>
      </c>
      <c r="I695" s="444">
        <f t="shared" ca="1" si="55"/>
        <v>-6316800.0560061978</v>
      </c>
      <c r="J695" s="444">
        <f t="array" ref="J695">IFERROR(INDEX('Retirement Calculator'!J:J,MATCH('Isaac 401k'!N695,'Retirement Calculator'!A:A,0),0),0)</f>
        <v>8395.6297298201844</v>
      </c>
      <c r="K695" s="444">
        <f t="shared" ca="1" si="53"/>
        <v>-26354.982023900076</v>
      </c>
      <c r="L695" s="444">
        <f t="shared" ca="1" si="54"/>
        <v>-6351550.6677599186</v>
      </c>
      <c r="M695" s="460">
        <f t="shared" si="56"/>
        <v>0.05</v>
      </c>
      <c r="N695" s="464">
        <f t="shared" si="57"/>
        <v>72199</v>
      </c>
    </row>
    <row r="696" spans="7:14" ht="11.25" customHeight="1" x14ac:dyDescent="0.25">
      <c r="G696" s="459">
        <f t="shared" si="72"/>
        <v>58</v>
      </c>
      <c r="H696" s="459">
        <v>689</v>
      </c>
      <c r="I696" s="444">
        <f t="shared" ca="1" si="55"/>
        <v>-6351550.6677599186</v>
      </c>
      <c r="J696" s="444">
        <f t="array" ref="J696">IFERROR(INDEX('Retirement Calculator'!J:J,MATCH('Isaac 401k'!N696,'Retirement Calculator'!A:A,0),0),0)</f>
        <v>8395.6297298201844</v>
      </c>
      <c r="K696" s="444">
        <f t="shared" ca="1" si="53"/>
        <v>-26499.776239540577</v>
      </c>
      <c r="L696" s="444">
        <f t="shared" ca="1" si="54"/>
        <v>-6386446.0737292795</v>
      </c>
      <c r="M696" s="460">
        <f t="shared" si="56"/>
        <v>0.05</v>
      </c>
      <c r="N696" s="464">
        <f t="shared" si="57"/>
        <v>72229</v>
      </c>
    </row>
    <row r="697" spans="7:14" ht="11.25" customHeight="1" x14ac:dyDescent="0.25">
      <c r="G697" s="459">
        <f t="shared" si="72"/>
        <v>58</v>
      </c>
      <c r="H697" s="459">
        <v>690</v>
      </c>
      <c r="I697" s="444">
        <f t="shared" ca="1" si="55"/>
        <v>-6386446.0737292795</v>
      </c>
      <c r="J697" s="444">
        <f t="array" ref="J697">IFERROR(INDEX('Retirement Calculator'!J:J,MATCH('Isaac 401k'!N697,'Retirement Calculator'!A:A,0),0),0)</f>
        <v>8395.6297298201844</v>
      </c>
      <c r="K697" s="444">
        <f t="shared" ca="1" si="53"/>
        <v>-26645.173764412917</v>
      </c>
      <c r="L697" s="444">
        <f t="shared" ca="1" si="54"/>
        <v>-6421486.8772235131</v>
      </c>
      <c r="M697" s="460">
        <f t="shared" si="56"/>
        <v>0.05</v>
      </c>
      <c r="N697" s="464">
        <f t="shared" si="57"/>
        <v>72260</v>
      </c>
    </row>
    <row r="698" spans="7:14" ht="11.25" customHeight="1" x14ac:dyDescent="0.25">
      <c r="G698" s="459">
        <f t="shared" si="72"/>
        <v>58</v>
      </c>
      <c r="H698" s="459">
        <v>691</v>
      </c>
      <c r="I698" s="444">
        <f t="shared" ca="1" si="55"/>
        <v>-6421486.8772235131</v>
      </c>
      <c r="J698" s="444">
        <f t="array" ref="J698">IFERROR(INDEX('Retirement Calculator'!J:J,MATCH('Isaac 401k'!N698,'Retirement Calculator'!A:A,0),0),0)</f>
        <v>8395.6297298201844</v>
      </c>
      <c r="K698" s="444">
        <f t="shared" ca="1" si="53"/>
        <v>-26791.177112305555</v>
      </c>
      <c r="L698" s="444">
        <f t="shared" ca="1" si="54"/>
        <v>-6456673.684065639</v>
      </c>
      <c r="M698" s="460">
        <f t="shared" si="56"/>
        <v>0.05</v>
      </c>
      <c r="N698" s="464">
        <f t="shared" si="57"/>
        <v>72290</v>
      </c>
    </row>
    <row r="699" spans="7:14" ht="11.25" customHeight="1" x14ac:dyDescent="0.25">
      <c r="G699" s="459">
        <f t="shared" si="72"/>
        <v>58</v>
      </c>
      <c r="H699" s="459">
        <v>692</v>
      </c>
      <c r="I699" s="444">
        <f t="shared" ca="1" si="55"/>
        <v>-6456673.684065639</v>
      </c>
      <c r="J699" s="444">
        <f t="array" ref="J699">IFERROR(INDEX('Retirement Calculator'!J:J,MATCH('Isaac 401k'!N699,'Retirement Calculator'!A:A,0),0),0)</f>
        <v>8395.6297298201844</v>
      </c>
      <c r="K699" s="444">
        <f t="shared" ca="1" si="53"/>
        <v>-26937.78880748108</v>
      </c>
      <c r="L699" s="444">
        <f t="shared" ca="1" si="54"/>
        <v>-6492007.102602941</v>
      </c>
      <c r="M699" s="460">
        <f t="shared" si="56"/>
        <v>0.05</v>
      </c>
      <c r="N699" s="464">
        <f t="shared" si="57"/>
        <v>72321</v>
      </c>
    </row>
    <row r="700" spans="7:14" ht="11.25" customHeight="1" x14ac:dyDescent="0.25">
      <c r="G700" s="459">
        <f t="shared" si="72"/>
        <v>58</v>
      </c>
      <c r="H700" s="459">
        <v>693</v>
      </c>
      <c r="I700" s="444">
        <f t="shared" ca="1" si="55"/>
        <v>-6492007.102602941</v>
      </c>
      <c r="J700" s="444">
        <f t="array" ref="J700">IFERROR(INDEX('Retirement Calculator'!J:J,MATCH('Isaac 401k'!N700,'Retirement Calculator'!A:A,0),0),0)</f>
        <v>8395.6297298201844</v>
      </c>
      <c r="K700" s="444">
        <f t="shared" ca="1" si="53"/>
        <v>-27085.011384719837</v>
      </c>
      <c r="L700" s="444">
        <f t="shared" ca="1" si="54"/>
        <v>-6527487.7437174814</v>
      </c>
      <c r="M700" s="460">
        <f t="shared" si="56"/>
        <v>0.05</v>
      </c>
      <c r="N700" s="464">
        <f t="shared" si="57"/>
        <v>72352</v>
      </c>
    </row>
    <row r="701" spans="7:14" ht="11.25" customHeight="1" x14ac:dyDescent="0.25">
      <c r="G701" s="459">
        <f t="shared" si="72"/>
        <v>58</v>
      </c>
      <c r="H701" s="459">
        <v>694</v>
      </c>
      <c r="I701" s="444">
        <f t="shared" ca="1" si="55"/>
        <v>-6527487.7437174814</v>
      </c>
      <c r="J701" s="444">
        <f t="array" ref="J701">IFERROR(INDEX('Retirement Calculator'!J:J,MATCH('Isaac 401k'!N701,'Retirement Calculator'!A:A,0),0),0)</f>
        <v>8395.6297298201844</v>
      </c>
      <c r="K701" s="444">
        <f t="shared" ca="1" si="53"/>
        <v>-27232.847389363753</v>
      </c>
      <c r="L701" s="444">
        <f t="shared" ca="1" si="54"/>
        <v>-6563116.2208366655</v>
      </c>
      <c r="M701" s="460">
        <f t="shared" si="56"/>
        <v>0.05</v>
      </c>
      <c r="N701" s="464">
        <f t="shared" si="57"/>
        <v>72380</v>
      </c>
    </row>
    <row r="702" spans="7:14" ht="11.25" customHeight="1" x14ac:dyDescent="0.25">
      <c r="G702" s="459">
        <f t="shared" si="72"/>
        <v>58</v>
      </c>
      <c r="H702" s="459">
        <v>695</v>
      </c>
      <c r="I702" s="444">
        <f t="shared" ca="1" si="55"/>
        <v>-6563116.2208366655</v>
      </c>
      <c r="J702" s="444">
        <f t="array" ref="J702">IFERROR(INDEX('Retirement Calculator'!J:J,MATCH('Isaac 401k'!N702,'Retirement Calculator'!A:A,0),0),0)</f>
        <v>8395.6297298201844</v>
      </c>
      <c r="K702" s="444">
        <f t="shared" ca="1" si="53"/>
        <v>-27381.299377360356</v>
      </c>
      <c r="L702" s="444">
        <f t="shared" ca="1" si="54"/>
        <v>-6598893.1499438463</v>
      </c>
      <c r="M702" s="460">
        <f t="shared" si="56"/>
        <v>0.05</v>
      </c>
      <c r="N702" s="464">
        <f t="shared" si="57"/>
        <v>72411</v>
      </c>
    </row>
    <row r="703" spans="7:14" ht="11.25" customHeight="1" x14ac:dyDescent="0.25">
      <c r="G703" s="459">
        <f t="shared" si="72"/>
        <v>58</v>
      </c>
      <c r="H703" s="459">
        <v>696</v>
      </c>
      <c r="I703" s="444">
        <f t="shared" ca="1" si="55"/>
        <v>-6598893.1499438463</v>
      </c>
      <c r="J703" s="444">
        <f t="array" ref="J703">IFERROR(INDEX('Retirement Calculator'!J:J,MATCH('Isaac 401k'!N703,'Retirement Calculator'!A:A,0),0),0)</f>
        <v>8395.6297298201844</v>
      </c>
      <c r="K703" s="444">
        <f t="shared" ca="1" si="53"/>
        <v>-27530.369915306943</v>
      </c>
      <c r="L703" s="444">
        <f t="shared" ca="1" si="54"/>
        <v>-6634819.1495889733</v>
      </c>
      <c r="M703" s="460">
        <f t="shared" si="56"/>
        <v>0.05</v>
      </c>
      <c r="N703" s="464">
        <f t="shared" si="57"/>
        <v>72441</v>
      </c>
    </row>
    <row r="704" spans="7:14" ht="11.25" customHeight="1" x14ac:dyDescent="0.25">
      <c r="G704" s="459">
        <f>G703+1</f>
        <v>59</v>
      </c>
      <c r="H704" s="459">
        <v>697</v>
      </c>
      <c r="I704" s="444">
        <f t="shared" ca="1" si="55"/>
        <v>-6634819.1495889733</v>
      </c>
      <c r="J704" s="444">
        <f t="array" ref="J704">IFERROR(INDEX('Retirement Calculator'!J:J,MATCH('Isaac 401k'!N704,'Retirement Calculator'!A:A,0),0),0)</f>
        <v>8395.6297298201844</v>
      </c>
      <c r="K704" s="444">
        <f t="shared" ca="1" si="53"/>
        <v>-27680.061580494974</v>
      </c>
      <c r="L704" s="444">
        <f t="shared" ca="1" si="54"/>
        <v>-6670894.8408992887</v>
      </c>
      <c r="M704" s="460">
        <f t="shared" si="56"/>
        <v>0.05</v>
      </c>
      <c r="N704" s="464">
        <f t="shared" si="57"/>
        <v>72472</v>
      </c>
    </row>
    <row r="705" spans="7:14" ht="11.25" customHeight="1" x14ac:dyDescent="0.25">
      <c r="G705" s="459">
        <f t="shared" ref="G705:G715" si="73">G704</f>
        <v>59</v>
      </c>
      <c r="H705" s="459">
        <v>698</v>
      </c>
      <c r="I705" s="444">
        <f t="shared" ca="1" si="55"/>
        <v>-6670894.8408992887</v>
      </c>
      <c r="J705" s="444">
        <f t="array" ref="J705">IFERROR(INDEX('Retirement Calculator'!J:J,MATCH('Isaac 401k'!N705,'Retirement Calculator'!A:A,0),0),0)</f>
        <v>8395.6297298201844</v>
      </c>
      <c r="K705" s="444">
        <f t="shared" ca="1" si="53"/>
        <v>-27830.376960954622</v>
      </c>
      <c r="L705" s="444">
        <f t="shared" ca="1" si="54"/>
        <v>-6707120.8475900637</v>
      </c>
      <c r="M705" s="460">
        <f t="shared" si="56"/>
        <v>0.05</v>
      </c>
      <c r="N705" s="464">
        <f t="shared" si="57"/>
        <v>72502</v>
      </c>
    </row>
    <row r="706" spans="7:14" ht="11.25" customHeight="1" x14ac:dyDescent="0.25">
      <c r="G706" s="459">
        <f t="shared" si="73"/>
        <v>59</v>
      </c>
      <c r="H706" s="459">
        <v>699</v>
      </c>
      <c r="I706" s="444">
        <f t="shared" ca="1" si="55"/>
        <v>-6707120.8475900637</v>
      </c>
      <c r="J706" s="444">
        <f t="array" ref="J706">IFERROR(INDEX('Retirement Calculator'!J:J,MATCH('Isaac 401k'!N706,'Retirement Calculator'!A:A,0),0),0)</f>
        <v>8395.6297298201844</v>
      </c>
      <c r="K706" s="444">
        <f t="shared" ca="1" si="53"/>
        <v>-27981.318655499512</v>
      </c>
      <c r="L706" s="444">
        <f t="shared" ca="1" si="54"/>
        <v>-6743497.7959753834</v>
      </c>
      <c r="M706" s="460">
        <f t="shared" si="56"/>
        <v>0.05</v>
      </c>
      <c r="N706" s="464">
        <f t="shared" si="57"/>
        <v>72533</v>
      </c>
    </row>
    <row r="707" spans="7:14" ht="11.25" customHeight="1" x14ac:dyDescent="0.25">
      <c r="G707" s="459">
        <f t="shared" si="73"/>
        <v>59</v>
      </c>
      <c r="H707" s="459">
        <v>700</v>
      </c>
      <c r="I707" s="444">
        <f t="shared" ca="1" si="55"/>
        <v>-6743497.7959753834</v>
      </c>
      <c r="J707" s="444">
        <f t="array" ref="J707">IFERROR(INDEX('Retirement Calculator'!J:J,MATCH('Isaac 401k'!N707,'Retirement Calculator'!A:A,0),0),0)</f>
        <v>8395.6297298201844</v>
      </c>
      <c r="K707" s="444">
        <f t="shared" ca="1" si="53"/>
        <v>-28132.889273771681</v>
      </c>
      <c r="L707" s="444">
        <f t="shared" ca="1" si="54"/>
        <v>-6780026.3149789758</v>
      </c>
      <c r="M707" s="460">
        <f t="shared" si="56"/>
        <v>0.05</v>
      </c>
      <c r="N707" s="464">
        <f t="shared" si="57"/>
        <v>72564</v>
      </c>
    </row>
    <row r="708" spans="7:14" ht="11.25" customHeight="1" x14ac:dyDescent="0.25">
      <c r="G708" s="459">
        <f t="shared" si="73"/>
        <v>59</v>
      </c>
      <c r="H708" s="459">
        <v>701</v>
      </c>
      <c r="I708" s="444">
        <f t="shared" ca="1" si="55"/>
        <v>-6780026.3149789758</v>
      </c>
      <c r="J708" s="444">
        <f t="array" ref="J708">IFERROR(INDEX('Retirement Calculator'!J:J,MATCH('Isaac 401k'!N708,'Retirement Calculator'!A:A,0),0),0)</f>
        <v>8395.6297298201844</v>
      </c>
      <c r="K708" s="444">
        <f t="shared" ca="1" si="53"/>
        <v>-28285.091436286653</v>
      </c>
      <c r="L708" s="444">
        <f t="shared" ca="1" si="54"/>
        <v>-6816707.0361450827</v>
      </c>
      <c r="M708" s="460">
        <f t="shared" si="56"/>
        <v>0.05</v>
      </c>
      <c r="N708" s="464">
        <f t="shared" si="57"/>
        <v>72594</v>
      </c>
    </row>
    <row r="709" spans="7:14" ht="11.25" customHeight="1" x14ac:dyDescent="0.25">
      <c r="G709" s="459">
        <f t="shared" si="73"/>
        <v>59</v>
      </c>
      <c r="H709" s="459">
        <v>702</v>
      </c>
      <c r="I709" s="444">
        <f t="shared" ca="1" si="55"/>
        <v>-6816707.0361450827</v>
      </c>
      <c r="J709" s="444">
        <f t="array" ref="J709">IFERROR(INDEX('Retirement Calculator'!J:J,MATCH('Isaac 401k'!N709,'Retirement Calculator'!A:A,0),0),0)</f>
        <v>8395.6297298201844</v>
      </c>
      <c r="K709" s="444">
        <f t="shared" ca="1" si="53"/>
        <v>-28437.927774478761</v>
      </c>
      <c r="L709" s="444">
        <f t="shared" ca="1" si="54"/>
        <v>-6853540.5936493818</v>
      </c>
      <c r="M709" s="460">
        <f t="shared" si="56"/>
        <v>0.05</v>
      </c>
      <c r="N709" s="464">
        <f t="shared" si="57"/>
        <v>72625</v>
      </c>
    </row>
    <row r="710" spans="7:14" ht="11.25" customHeight="1" x14ac:dyDescent="0.25">
      <c r="G710" s="459">
        <f t="shared" si="73"/>
        <v>59</v>
      </c>
      <c r="H710" s="459">
        <v>703</v>
      </c>
      <c r="I710" s="444">
        <f t="shared" ca="1" si="55"/>
        <v>-6853540.5936493818</v>
      </c>
      <c r="J710" s="444">
        <f t="array" ref="J710">IFERROR(INDEX('Retirement Calculator'!J:J,MATCH('Isaac 401k'!N710,'Retirement Calculator'!A:A,0),0),0)</f>
        <v>8395.6297298201844</v>
      </c>
      <c r="K710" s="444">
        <f t="shared" ca="1" si="53"/>
        <v>-28591.400930746677</v>
      </c>
      <c r="L710" s="444">
        <f t="shared" ca="1" si="54"/>
        <v>-6890527.6243099486</v>
      </c>
      <c r="M710" s="460">
        <f t="shared" si="56"/>
        <v>0.05</v>
      </c>
      <c r="N710" s="464">
        <f t="shared" si="57"/>
        <v>72655</v>
      </c>
    </row>
    <row r="711" spans="7:14" ht="11.25" customHeight="1" x14ac:dyDescent="0.25">
      <c r="G711" s="459">
        <f t="shared" si="73"/>
        <v>59</v>
      </c>
      <c r="H711" s="459">
        <v>704</v>
      </c>
      <c r="I711" s="444">
        <f t="shared" ca="1" si="55"/>
        <v>-6890527.6243099486</v>
      </c>
      <c r="J711" s="444">
        <f t="array" ref="J711">IFERROR(INDEX('Retirement Calculator'!J:J,MATCH('Isaac 401k'!N711,'Retirement Calculator'!A:A,0),0),0)</f>
        <v>8395.6297298201844</v>
      </c>
      <c r="K711" s="444">
        <f t="shared" ca="1" si="53"/>
        <v>-28745.513558499038</v>
      </c>
      <c r="L711" s="444">
        <f t="shared" ca="1" si="54"/>
        <v>-6927668.7675982676</v>
      </c>
      <c r="M711" s="460">
        <f t="shared" si="56"/>
        <v>0.05</v>
      </c>
      <c r="N711" s="464">
        <f t="shared" si="57"/>
        <v>72686</v>
      </c>
    </row>
    <row r="712" spans="7:14" ht="11.25" customHeight="1" x14ac:dyDescent="0.25">
      <c r="G712" s="459">
        <f t="shared" si="73"/>
        <v>59</v>
      </c>
      <c r="H712" s="459">
        <v>705</v>
      </c>
      <c r="I712" s="444">
        <f t="shared" ca="1" si="55"/>
        <v>-6927668.7675982676</v>
      </c>
      <c r="J712" s="444">
        <f t="array" ref="J712">IFERROR(INDEX('Retirement Calculator'!J:J,MATCH('Isaac 401k'!N712,'Retirement Calculator'!A:A,0),0),0)</f>
        <v>8395.6297298201844</v>
      </c>
      <c r="K712" s="444">
        <f t="shared" ca="1" si="53"/>
        <v>-28900.268322200365</v>
      </c>
      <c r="L712" s="444">
        <f t="shared" ca="1" si="54"/>
        <v>-6964964.6656502886</v>
      </c>
      <c r="M712" s="460">
        <f t="shared" si="56"/>
        <v>0.05</v>
      </c>
      <c r="N712" s="464">
        <f t="shared" si="57"/>
        <v>72717</v>
      </c>
    </row>
    <row r="713" spans="7:14" ht="11.25" customHeight="1" x14ac:dyDescent="0.25">
      <c r="G713" s="459">
        <f t="shared" si="73"/>
        <v>59</v>
      </c>
      <c r="H713" s="459">
        <v>706</v>
      </c>
      <c r="I713" s="444">
        <f t="shared" ca="1" si="55"/>
        <v>-6964964.6656502886</v>
      </c>
      <c r="J713" s="444">
        <f t="array" ref="J713">IFERROR(INDEX('Retirement Calculator'!J:J,MATCH('Isaac 401k'!N713,'Retirement Calculator'!A:A,0),0),0)</f>
        <v>8395.6297298201844</v>
      </c>
      <c r="K713" s="444">
        <f t="shared" ca="1" si="53"/>
        <v>-29055.667897417115</v>
      </c>
      <c r="L713" s="444">
        <f t="shared" ca="1" si="54"/>
        <v>-7002415.9632775262</v>
      </c>
      <c r="M713" s="460">
        <f t="shared" si="56"/>
        <v>0.05</v>
      </c>
      <c r="N713" s="464">
        <f t="shared" si="57"/>
        <v>72745</v>
      </c>
    </row>
    <row r="714" spans="7:14" ht="11.25" customHeight="1" x14ac:dyDescent="0.25">
      <c r="G714" s="459">
        <f t="shared" si="73"/>
        <v>59</v>
      </c>
      <c r="H714" s="459">
        <v>707</v>
      </c>
      <c r="I714" s="444">
        <f t="shared" ca="1" si="55"/>
        <v>-7002415.9632775262</v>
      </c>
      <c r="J714" s="444">
        <f t="array" ref="J714">IFERROR(INDEX('Retirement Calculator'!J:J,MATCH('Isaac 401k'!N714,'Retirement Calculator'!A:A,0),0),0)</f>
        <v>8395.6297298201844</v>
      </c>
      <c r="K714" s="444">
        <f t="shared" ca="1" si="53"/>
        <v>-29211.714970863944</v>
      </c>
      <c r="L714" s="444">
        <f t="shared" ca="1" si="54"/>
        <v>-7040023.307978211</v>
      </c>
      <c r="M714" s="460">
        <f t="shared" si="56"/>
        <v>0.05</v>
      </c>
      <c r="N714" s="464">
        <f t="shared" si="57"/>
        <v>72776</v>
      </c>
    </row>
    <row r="715" spans="7:14" ht="11.25" customHeight="1" x14ac:dyDescent="0.25">
      <c r="G715" s="459">
        <f t="shared" si="73"/>
        <v>59</v>
      </c>
      <c r="H715" s="459">
        <v>708</v>
      </c>
      <c r="I715" s="444">
        <f t="shared" ca="1" si="55"/>
        <v>-7040023.307978211</v>
      </c>
      <c r="J715" s="444">
        <f t="array" ref="J715">IFERROR(INDEX('Retirement Calculator'!J:J,MATCH('Isaac 401k'!N715,'Retirement Calculator'!A:A,0),0),0)</f>
        <v>8395.6297298201844</v>
      </c>
      <c r="K715" s="444">
        <f t="shared" ca="1" si="53"/>
        <v>-29368.412240450129</v>
      </c>
      <c r="L715" s="444">
        <f t="shared" ca="1" si="54"/>
        <v>-7077787.3499484817</v>
      </c>
      <c r="M715" s="460">
        <f t="shared" si="56"/>
        <v>0.05</v>
      </c>
      <c r="N715" s="464">
        <f t="shared" si="57"/>
        <v>72806</v>
      </c>
    </row>
    <row r="716" spans="7:14" ht="11.25" customHeight="1" x14ac:dyDescent="0.25">
      <c r="G716" s="459">
        <f>G715+1</f>
        <v>60</v>
      </c>
      <c r="H716" s="459">
        <v>709</v>
      </c>
      <c r="I716" s="444">
        <f t="shared" ca="1" si="55"/>
        <v>-7077787.3499484817</v>
      </c>
      <c r="J716" s="444">
        <f t="array" ref="J716">IFERROR(INDEX('Retirement Calculator'!J:J,MATCH('Isaac 401k'!N716,'Retirement Calculator'!A:A,0),0),0)</f>
        <v>8395.6297298201844</v>
      </c>
      <c r="K716" s="444">
        <f t="shared" ca="1" si="53"/>
        <v>-29525.762415326259</v>
      </c>
      <c r="L716" s="444">
        <f t="shared" ca="1" si="54"/>
        <v>-7115708.7420936283</v>
      </c>
      <c r="M716" s="460">
        <f t="shared" si="56"/>
        <v>0.05</v>
      </c>
      <c r="N716" s="464">
        <f t="shared" si="57"/>
        <v>72837</v>
      </c>
    </row>
    <row r="717" spans="7:14" ht="11.25" customHeight="1" x14ac:dyDescent="0.25">
      <c r="G717" s="459">
        <f t="shared" ref="G717:G727" si="74">G716</f>
        <v>60</v>
      </c>
      <c r="H717" s="459">
        <v>710</v>
      </c>
      <c r="I717" s="444">
        <f t="shared" ca="1" si="55"/>
        <v>-7115708.7420936283</v>
      </c>
      <c r="J717" s="444">
        <f t="array" ref="J717">IFERROR(INDEX('Retirement Calculator'!J:J,MATCH('Isaac 401k'!N717,'Retirement Calculator'!A:A,0),0),0)</f>
        <v>8395.6297298201844</v>
      </c>
      <c r="K717" s="444">
        <f t="shared" ca="1" si="53"/>
        <v>-29683.768215931032</v>
      </c>
      <c r="L717" s="444">
        <f t="shared" ca="1" si="54"/>
        <v>-7153788.1400393797</v>
      </c>
      <c r="M717" s="460">
        <f t="shared" si="56"/>
        <v>0.05</v>
      </c>
      <c r="N717" s="464">
        <f t="shared" si="57"/>
        <v>72867</v>
      </c>
    </row>
    <row r="718" spans="7:14" ht="11.25" customHeight="1" x14ac:dyDescent="0.25">
      <c r="G718" s="459">
        <f t="shared" si="74"/>
        <v>60</v>
      </c>
      <c r="H718" s="459">
        <v>711</v>
      </c>
      <c r="I718" s="444">
        <f t="shared" ca="1" si="55"/>
        <v>-7153788.1400393797</v>
      </c>
      <c r="J718" s="444">
        <f t="array" ref="J718">IFERROR(INDEX('Retirement Calculator'!J:J,MATCH('Isaac 401k'!N718,'Retirement Calculator'!A:A,0),0),0)</f>
        <v>8395.6297298201844</v>
      </c>
      <c r="K718" s="444">
        <f t="shared" ca="1" si="53"/>
        <v>-29842.432374038333</v>
      </c>
      <c r="L718" s="444">
        <f t="shared" ca="1" si="54"/>
        <v>-7192026.2021432389</v>
      </c>
      <c r="M718" s="460">
        <f t="shared" si="56"/>
        <v>0.05</v>
      </c>
      <c r="N718" s="464">
        <f t="shared" si="57"/>
        <v>72898</v>
      </c>
    </row>
    <row r="719" spans="7:14" ht="11.25" customHeight="1" x14ac:dyDescent="0.25">
      <c r="G719" s="459">
        <f t="shared" si="74"/>
        <v>60</v>
      </c>
      <c r="H719" s="459">
        <v>712</v>
      </c>
      <c r="I719" s="444">
        <f t="shared" ca="1" si="55"/>
        <v>-7192026.2021432389</v>
      </c>
      <c r="J719" s="444">
        <f t="array" ref="J719">IFERROR(INDEX('Retirement Calculator'!J:J,MATCH('Isaac 401k'!N719,'Retirement Calculator'!A:A,0),0),0)</f>
        <v>8395.6297298201844</v>
      </c>
      <c r="K719" s="444">
        <f t="shared" ca="1" si="53"/>
        <v>-30001.757632804412</v>
      </c>
      <c r="L719" s="444">
        <f t="shared" ca="1" si="54"/>
        <v>-7230423.5895058634</v>
      </c>
      <c r="M719" s="460">
        <f t="shared" si="56"/>
        <v>0.05</v>
      </c>
      <c r="N719" s="464">
        <f t="shared" si="57"/>
        <v>72929</v>
      </c>
    </row>
    <row r="720" spans="7:14" ht="11.25" customHeight="1" x14ac:dyDescent="0.25">
      <c r="G720" s="459">
        <f t="shared" si="74"/>
        <v>60</v>
      </c>
      <c r="H720" s="459">
        <v>713</v>
      </c>
      <c r="I720" s="444">
        <f t="shared" ca="1" si="55"/>
        <v>-7230423.5895058634</v>
      </c>
      <c r="J720" s="444">
        <f t="array" ref="J720">IFERROR(INDEX('Retirement Calculator'!J:J,MATCH('Isaac 401k'!N720,'Retirement Calculator'!A:A,0),0),0)</f>
        <v>8395.6297298201844</v>
      </c>
      <c r="K720" s="444">
        <f t="shared" ca="1" si="53"/>
        <v>-30161.746746815348</v>
      </c>
      <c r="L720" s="444">
        <f t="shared" ca="1" si="54"/>
        <v>-7268980.9659824995</v>
      </c>
      <c r="M720" s="460">
        <f t="shared" si="56"/>
        <v>0.05</v>
      </c>
      <c r="N720" s="464">
        <f t="shared" si="57"/>
        <v>72959</v>
      </c>
    </row>
    <row r="721" spans="7:14" ht="11.25" customHeight="1" x14ac:dyDescent="0.25">
      <c r="G721" s="459">
        <f t="shared" si="74"/>
        <v>60</v>
      </c>
      <c r="H721" s="459">
        <v>714</v>
      </c>
      <c r="I721" s="444">
        <f t="shared" ca="1" si="55"/>
        <v>-7268980.9659824995</v>
      </c>
      <c r="J721" s="444">
        <f t="array" ref="J721">IFERROR(INDEX('Retirement Calculator'!J:J,MATCH('Isaac 401k'!N721,'Retirement Calculator'!A:A,0),0),0)</f>
        <v>8395.6297298201844</v>
      </c>
      <c r="K721" s="444">
        <f t="shared" ca="1" si="53"/>
        <v>-30322.402482134665</v>
      </c>
      <c r="L721" s="444">
        <f t="shared" ca="1" si="54"/>
        <v>-7307698.9981944542</v>
      </c>
      <c r="M721" s="460">
        <f t="shared" si="56"/>
        <v>0.05</v>
      </c>
      <c r="N721" s="464">
        <f t="shared" si="57"/>
        <v>72990</v>
      </c>
    </row>
    <row r="722" spans="7:14" ht="11.25" customHeight="1" x14ac:dyDescent="0.25">
      <c r="G722" s="459">
        <f t="shared" si="74"/>
        <v>60</v>
      </c>
      <c r="H722" s="459">
        <v>715</v>
      </c>
      <c r="I722" s="444">
        <f t="shared" ca="1" si="55"/>
        <v>-7307698.9981944542</v>
      </c>
      <c r="J722" s="444">
        <f t="array" ref="J722">IFERROR(INDEX('Retirement Calculator'!J:J,MATCH('Isaac 401k'!N722,'Retirement Calculator'!A:A,0),0),0)</f>
        <v>8395.6297298201844</v>
      </c>
      <c r="K722" s="444">
        <f t="shared" ca="1" si="53"/>
        <v>-30483.727616351145</v>
      </c>
      <c r="L722" s="444">
        <f t="shared" ca="1" si="54"/>
        <v>-7346578.3555406258</v>
      </c>
      <c r="M722" s="460">
        <f t="shared" si="56"/>
        <v>0.05</v>
      </c>
      <c r="N722" s="464">
        <f t="shared" si="57"/>
        <v>73020</v>
      </c>
    </row>
    <row r="723" spans="7:14" ht="11.25" customHeight="1" x14ac:dyDescent="0.25">
      <c r="G723" s="459">
        <f t="shared" si="74"/>
        <v>60</v>
      </c>
      <c r="H723" s="459">
        <v>716</v>
      </c>
      <c r="I723" s="444">
        <f t="shared" ca="1" si="55"/>
        <v>-7346578.3555406258</v>
      </c>
      <c r="J723" s="444">
        <f t="array" ref="J723">IFERROR(INDEX('Retirement Calculator'!J:J,MATCH('Isaac 401k'!N723,'Retirement Calculator'!A:A,0),0),0)</f>
        <v>8395.6297298201844</v>
      </c>
      <c r="K723" s="444">
        <f t="shared" ca="1" si="53"/>
        <v>-30645.72493862686</v>
      </c>
      <c r="L723" s="444">
        <f t="shared" ca="1" si="54"/>
        <v>-7385619.7102090726</v>
      </c>
      <c r="M723" s="460">
        <f t="shared" si="56"/>
        <v>0.05</v>
      </c>
      <c r="N723" s="464">
        <f t="shared" si="57"/>
        <v>73051</v>
      </c>
    </row>
    <row r="724" spans="7:14" ht="11.25" customHeight="1" x14ac:dyDescent="0.25">
      <c r="G724" s="459">
        <f t="shared" si="74"/>
        <v>60</v>
      </c>
      <c r="H724" s="459">
        <v>717</v>
      </c>
      <c r="I724" s="444">
        <f t="shared" ca="1" si="55"/>
        <v>-7385619.7102090726</v>
      </c>
      <c r="J724" s="444">
        <f t="array" ref="J724">IFERROR(INDEX('Retirement Calculator'!J:J,MATCH('Isaac 401k'!N724,'Retirement Calculator'!A:A,0),0),0)</f>
        <v>8395.6297298201844</v>
      </c>
      <c r="K724" s="444">
        <f t="shared" ca="1" si="53"/>
        <v>-30808.397249745391</v>
      </c>
      <c r="L724" s="444">
        <f t="shared" ca="1" si="54"/>
        <v>-7424823.7371886382</v>
      </c>
      <c r="M724" s="460">
        <f t="shared" si="56"/>
        <v>0.05</v>
      </c>
      <c r="N724" s="464">
        <f t="shared" si="57"/>
        <v>73082</v>
      </c>
    </row>
    <row r="725" spans="7:14" ht="11.25" customHeight="1" x14ac:dyDescent="0.25">
      <c r="G725" s="459">
        <f t="shared" si="74"/>
        <v>60</v>
      </c>
      <c r="H725" s="459">
        <v>718</v>
      </c>
      <c r="I725" s="444">
        <f t="shared" ca="1" si="55"/>
        <v>-7424823.7371886382</v>
      </c>
      <c r="J725" s="444">
        <f t="array" ref="J725">IFERROR(INDEX('Retirement Calculator'!J:J,MATCH('Isaac 401k'!N725,'Retirement Calculator'!A:A,0),0),0)</f>
        <v>8395.6297298201844</v>
      </c>
      <c r="K725" s="444">
        <f t="shared" ca="1" si="53"/>
        <v>-30971.747362160244</v>
      </c>
      <c r="L725" s="444">
        <f t="shared" ca="1" si="54"/>
        <v>-7464191.1142806187</v>
      </c>
      <c r="M725" s="460">
        <f t="shared" si="56"/>
        <v>0.05</v>
      </c>
      <c r="N725" s="464">
        <f t="shared" si="57"/>
        <v>73110</v>
      </c>
    </row>
    <row r="726" spans="7:14" ht="11.25" customHeight="1" x14ac:dyDescent="0.25">
      <c r="G726" s="459">
        <f t="shared" si="74"/>
        <v>60</v>
      </c>
      <c r="H726" s="459">
        <v>719</v>
      </c>
      <c r="I726" s="444">
        <f t="shared" ca="1" si="55"/>
        <v>-7464191.1142806187</v>
      </c>
      <c r="J726" s="444">
        <f t="array" ref="J726">IFERROR(INDEX('Retirement Calculator'!J:J,MATCH('Isaac 401k'!N726,'Retirement Calculator'!A:A,0),0),0)</f>
        <v>8395.6297298201844</v>
      </c>
      <c r="K726" s="444">
        <f t="shared" ca="1" si="53"/>
        <v>-31135.778100043499</v>
      </c>
      <c r="L726" s="444">
        <f t="shared" ca="1" si="54"/>
        <v>-7503722.5221104827</v>
      </c>
      <c r="M726" s="460">
        <f t="shared" si="56"/>
        <v>0.05</v>
      </c>
      <c r="N726" s="464">
        <f t="shared" si="57"/>
        <v>73141</v>
      </c>
    </row>
    <row r="727" spans="7:14" ht="11.25" customHeight="1" x14ac:dyDescent="0.25">
      <c r="G727" s="459">
        <f t="shared" si="74"/>
        <v>60</v>
      </c>
      <c r="H727" s="459">
        <v>720</v>
      </c>
      <c r="I727" s="444">
        <f t="shared" ca="1" si="55"/>
        <v>-7503722.5221104827</v>
      </c>
      <c r="J727" s="444">
        <f t="array" ref="J727">IFERROR(INDEX('Retirement Calculator'!J:J,MATCH('Isaac 401k'!N727,'Retirement Calculator'!A:A,0),0),0)</f>
        <v>8395.6297298201844</v>
      </c>
      <c r="K727" s="444">
        <f t="shared" ca="1" si="53"/>
        <v>-31300.492299334597</v>
      </c>
      <c r="L727" s="444">
        <f t="shared" ca="1" si="54"/>
        <v>-7543418.6441396372</v>
      </c>
      <c r="M727" s="460">
        <f t="shared" si="56"/>
        <v>0.05</v>
      </c>
      <c r="N727" s="464">
        <f t="shared" si="57"/>
        <v>73171</v>
      </c>
    </row>
    <row r="728" spans="7:14" ht="11.25" customHeight="1" x14ac:dyDescent="0.25">
      <c r="G728" s="459">
        <f>G727+1</f>
        <v>61</v>
      </c>
      <c r="H728" s="459">
        <v>721</v>
      </c>
      <c r="I728" s="444">
        <f t="shared" ca="1" si="55"/>
        <v>-7543418.6441396372</v>
      </c>
      <c r="J728" s="444">
        <f t="array" ref="J728">IFERROR(INDEX('Retirement Calculator'!J:J,MATCH('Isaac 401k'!N728,'Retirement Calculator'!A:A,0),0),0)</f>
        <v>8395.6297298201844</v>
      </c>
      <c r="K728" s="444">
        <f t="shared" ca="1" si="53"/>
        <v>-31465.892807789402</v>
      </c>
      <c r="L728" s="444">
        <f t="shared" ca="1" si="54"/>
        <v>-7583280.1666772468</v>
      </c>
      <c r="M728" s="460">
        <f t="shared" si="56"/>
        <v>0.05</v>
      </c>
      <c r="N728" s="464">
        <f t="shared" si="57"/>
        <v>73202</v>
      </c>
    </row>
    <row r="729" spans="7:14" ht="11.25" customHeight="1" x14ac:dyDescent="0.25">
      <c r="G729" s="459">
        <f t="shared" ref="G729:G739" si="75">G728</f>
        <v>61</v>
      </c>
      <c r="H729" s="459">
        <v>722</v>
      </c>
      <c r="I729" s="444">
        <f t="shared" ca="1" si="55"/>
        <v>-7583280.1666772468</v>
      </c>
      <c r="J729" s="444">
        <f t="array" ref="J729">IFERROR(INDEX('Retirement Calculator'!J:J,MATCH('Isaac 401k'!N729,'Retirement Calculator'!A:A,0),0),0)</f>
        <v>8395.6297298201844</v>
      </c>
      <c r="K729" s="444">
        <f t="shared" ca="1" si="53"/>
        <v>-31631.982485029446</v>
      </c>
      <c r="L729" s="444">
        <f t="shared" ca="1" si="54"/>
        <v>-7623307.7788920971</v>
      </c>
      <c r="M729" s="460">
        <f t="shared" si="56"/>
        <v>0.05</v>
      </c>
      <c r="N729" s="464">
        <f t="shared" si="57"/>
        <v>73232</v>
      </c>
    </row>
    <row r="730" spans="7:14" ht="11.25" customHeight="1" x14ac:dyDescent="0.25">
      <c r="G730" s="459">
        <f t="shared" si="75"/>
        <v>61</v>
      </c>
      <c r="H730" s="459">
        <v>723</v>
      </c>
      <c r="I730" s="444">
        <f t="shared" ca="1" si="55"/>
        <v>-7623307.7788920971</v>
      </c>
      <c r="J730" s="444">
        <f t="array" ref="J730">IFERROR(INDEX('Retirement Calculator'!J:J,MATCH('Isaac 401k'!N730,'Retirement Calculator'!A:A,0),0),0)</f>
        <v>8395.6297298201844</v>
      </c>
      <c r="K730" s="444">
        <f t="shared" ca="1" si="53"/>
        <v>-31798.764202591319</v>
      </c>
      <c r="L730" s="444">
        <f t="shared" ca="1" si="54"/>
        <v>-7663502.1728245085</v>
      </c>
      <c r="M730" s="460">
        <f t="shared" si="56"/>
        <v>0.05</v>
      </c>
      <c r="N730" s="464">
        <f t="shared" si="57"/>
        <v>73263</v>
      </c>
    </row>
    <row r="731" spans="7:14" ht="11.25" customHeight="1" x14ac:dyDescent="0.25">
      <c r="G731" s="459">
        <f t="shared" si="75"/>
        <v>61</v>
      </c>
      <c r="H731" s="459">
        <v>724</v>
      </c>
      <c r="I731" s="444">
        <f t="shared" ca="1" si="55"/>
        <v>-7663502.1728245085</v>
      </c>
      <c r="J731" s="444">
        <f t="array" ref="J731">IFERROR(INDEX('Retirement Calculator'!J:J,MATCH('Isaac 401k'!N731,'Retirement Calculator'!A:A,0),0),0)</f>
        <v>8395.6297298201844</v>
      </c>
      <c r="K731" s="444">
        <f t="shared" ca="1" si="53"/>
        <v>-31966.240843976371</v>
      </c>
      <c r="L731" s="444">
        <f t="shared" ca="1" si="54"/>
        <v>-7703864.0433983048</v>
      </c>
      <c r="M731" s="460">
        <f t="shared" si="56"/>
        <v>0.05</v>
      </c>
      <c r="N731" s="464">
        <f t="shared" si="57"/>
        <v>73294</v>
      </c>
    </row>
    <row r="732" spans="7:14" ht="11.25" customHeight="1" x14ac:dyDescent="0.25">
      <c r="G732" s="459">
        <f t="shared" si="75"/>
        <v>61</v>
      </c>
      <c r="H732" s="459">
        <v>725</v>
      </c>
      <c r="I732" s="444">
        <f t="shared" ca="1" si="55"/>
        <v>-7703864.0433983048</v>
      </c>
      <c r="J732" s="444">
        <f t="array" ref="J732">IFERROR(INDEX('Retirement Calculator'!J:J,MATCH('Isaac 401k'!N732,'Retirement Calculator'!A:A,0),0),0)</f>
        <v>8395.6297298201844</v>
      </c>
      <c r="K732" s="444">
        <f t="shared" ca="1" si="53"/>
        <v>-32134.41530470052</v>
      </c>
      <c r="L732" s="444">
        <f t="shared" ca="1" si="54"/>
        <v>-7744394.0884328261</v>
      </c>
      <c r="M732" s="460">
        <f t="shared" si="56"/>
        <v>0.05</v>
      </c>
      <c r="N732" s="464">
        <f t="shared" si="57"/>
        <v>73324</v>
      </c>
    </row>
    <row r="733" spans="7:14" ht="11.25" customHeight="1" x14ac:dyDescent="0.25">
      <c r="G733" s="459">
        <f t="shared" si="75"/>
        <v>61</v>
      </c>
      <c r="H733" s="459">
        <v>726</v>
      </c>
      <c r="I733" s="444">
        <f t="shared" ca="1" si="55"/>
        <v>-7744394.0884328261</v>
      </c>
      <c r="J733" s="444">
        <f t="array" ref="J733">IFERROR(INDEX('Retirement Calculator'!J:J,MATCH('Isaac 401k'!N733,'Retirement Calculator'!A:A,0),0),0)</f>
        <v>8395.6297298201844</v>
      </c>
      <c r="K733" s="444">
        <f t="shared" ca="1" si="53"/>
        <v>-32303.290492344364</v>
      </c>
      <c r="L733" s="444">
        <f t="shared" ca="1" si="54"/>
        <v>-7785093.0086549912</v>
      </c>
      <c r="M733" s="460">
        <f t="shared" si="56"/>
        <v>0.05</v>
      </c>
      <c r="N733" s="464">
        <f t="shared" si="57"/>
        <v>73355</v>
      </c>
    </row>
    <row r="734" spans="7:14" ht="11.25" customHeight="1" x14ac:dyDescent="0.25">
      <c r="G734" s="459">
        <f t="shared" si="75"/>
        <v>61</v>
      </c>
      <c r="H734" s="459">
        <v>727</v>
      </c>
      <c r="I734" s="444">
        <f t="shared" ca="1" si="55"/>
        <v>-7785093.0086549912</v>
      </c>
      <c r="J734" s="444">
        <f t="array" ref="J734">IFERROR(INDEX('Retirement Calculator'!J:J,MATCH('Isaac 401k'!N734,'Retirement Calculator'!A:A,0),0),0)</f>
        <v>8395.6297298201844</v>
      </c>
      <c r="K734" s="444">
        <f t="shared" ca="1" si="53"/>
        <v>-32472.869326603381</v>
      </c>
      <c r="L734" s="444">
        <f t="shared" ca="1" si="54"/>
        <v>-7825961.5077114152</v>
      </c>
      <c r="M734" s="460">
        <f t="shared" si="56"/>
        <v>0.05</v>
      </c>
      <c r="N734" s="464">
        <f t="shared" si="57"/>
        <v>73385</v>
      </c>
    </row>
    <row r="735" spans="7:14" ht="11.25" customHeight="1" x14ac:dyDescent="0.25">
      <c r="G735" s="459">
        <f t="shared" si="75"/>
        <v>61</v>
      </c>
      <c r="H735" s="459">
        <v>728</v>
      </c>
      <c r="I735" s="444">
        <f t="shared" ca="1" si="55"/>
        <v>-7825961.5077114152</v>
      </c>
      <c r="J735" s="444">
        <f t="array" ref="J735">IFERROR(INDEX('Retirement Calculator'!J:J,MATCH('Isaac 401k'!N735,'Retirement Calculator'!A:A,0),0),0)</f>
        <v>8395.6297298201844</v>
      </c>
      <c r="K735" s="444">
        <f t="shared" ca="1" si="53"/>
        <v>-32643.154739338483</v>
      </c>
      <c r="L735" s="444">
        <f t="shared" ca="1" si="54"/>
        <v>-7867000.2921805745</v>
      </c>
      <c r="M735" s="460">
        <f t="shared" si="56"/>
        <v>0.05</v>
      </c>
      <c r="N735" s="464">
        <f t="shared" si="57"/>
        <v>73416</v>
      </c>
    </row>
    <row r="736" spans="7:14" ht="11.25" customHeight="1" x14ac:dyDescent="0.25">
      <c r="G736" s="459">
        <f t="shared" si="75"/>
        <v>61</v>
      </c>
      <c r="H736" s="459">
        <v>729</v>
      </c>
      <c r="I736" s="444">
        <f t="shared" ca="1" si="55"/>
        <v>-7867000.2921805745</v>
      </c>
      <c r="J736" s="444">
        <f t="array" ref="J736">IFERROR(INDEX('Retirement Calculator'!J:J,MATCH('Isaac 401k'!N736,'Retirement Calculator'!A:A,0),0),0)</f>
        <v>8395.6297298201844</v>
      </c>
      <c r="K736" s="444">
        <f t="shared" ca="1" si="53"/>
        <v>-32814.149674626642</v>
      </c>
      <c r="L736" s="444">
        <f t="shared" ca="1" si="54"/>
        <v>-7908210.0715850219</v>
      </c>
      <c r="M736" s="460">
        <f t="shared" si="56"/>
        <v>0.05</v>
      </c>
      <c r="N736" s="464">
        <f t="shared" si="57"/>
        <v>73447</v>
      </c>
    </row>
    <row r="737" spans="7:14" ht="11.25" customHeight="1" x14ac:dyDescent="0.25">
      <c r="G737" s="459">
        <f t="shared" si="75"/>
        <v>61</v>
      </c>
      <c r="H737" s="459">
        <v>730</v>
      </c>
      <c r="I737" s="444">
        <f t="shared" ca="1" si="55"/>
        <v>-7908210.0715850219</v>
      </c>
      <c r="J737" s="444">
        <f t="array" ref="J737">IFERROR(INDEX('Retirement Calculator'!J:J,MATCH('Isaac 401k'!N737,'Retirement Calculator'!A:A,0),0),0)</f>
        <v>8395.6297298201844</v>
      </c>
      <c r="K737" s="444">
        <f t="shared" ca="1" si="53"/>
        <v>-32985.857088811848</v>
      </c>
      <c r="L737" s="444">
        <f t="shared" ca="1" si="54"/>
        <v>-7949591.558403654</v>
      </c>
      <c r="M737" s="460">
        <f t="shared" si="56"/>
        <v>0.05</v>
      </c>
      <c r="N737" s="464">
        <f t="shared" si="57"/>
        <v>73475</v>
      </c>
    </row>
    <row r="738" spans="7:14" ht="11.25" customHeight="1" x14ac:dyDescent="0.25">
      <c r="G738" s="459">
        <f t="shared" si="75"/>
        <v>61</v>
      </c>
      <c r="H738" s="459">
        <v>731</v>
      </c>
      <c r="I738" s="444">
        <f t="shared" ca="1" si="55"/>
        <v>-7949591.558403654</v>
      </c>
      <c r="J738" s="444">
        <f t="array" ref="J738">IFERROR(INDEX('Retirement Calculator'!J:J,MATCH('Isaac 401k'!N738,'Retirement Calculator'!A:A,0),0),0)</f>
        <v>8395.6297298201844</v>
      </c>
      <c r="K738" s="444">
        <f t="shared" ca="1" si="53"/>
        <v>-33158.279950556142</v>
      </c>
      <c r="L738" s="444">
        <f t="shared" ca="1" si="54"/>
        <v>-7991145.4680840308</v>
      </c>
      <c r="M738" s="460">
        <f t="shared" si="56"/>
        <v>0.05</v>
      </c>
      <c r="N738" s="464">
        <f t="shared" si="57"/>
        <v>73506</v>
      </c>
    </row>
    <row r="739" spans="7:14" ht="11.25" customHeight="1" x14ac:dyDescent="0.25">
      <c r="G739" s="459">
        <f t="shared" si="75"/>
        <v>61</v>
      </c>
      <c r="H739" s="459">
        <v>732</v>
      </c>
      <c r="I739" s="444">
        <f t="shared" ca="1" si="55"/>
        <v>-7991145.4680840308</v>
      </c>
      <c r="J739" s="444">
        <f t="array" ref="J739">IFERROR(INDEX('Retirement Calculator'!J:J,MATCH('Isaac 401k'!N739,'Retirement Calculator'!A:A,0),0),0)</f>
        <v>8395.6297298201844</v>
      </c>
      <c r="K739" s="444">
        <f t="shared" ca="1" si="53"/>
        <v>-33331.421240891039</v>
      </c>
      <c r="L739" s="444">
        <f t="shared" ca="1" si="54"/>
        <v>-8032872.5190547425</v>
      </c>
      <c r="M739" s="460">
        <f t="shared" si="56"/>
        <v>0.05</v>
      </c>
      <c r="N739" s="464">
        <f t="shared" si="57"/>
        <v>73536</v>
      </c>
    </row>
    <row r="740" spans="7:14" ht="11.25" customHeight="1" x14ac:dyDescent="0.25">
      <c r="G740" s="459">
        <f>G739+1</f>
        <v>62</v>
      </c>
      <c r="H740" s="459">
        <v>733</v>
      </c>
      <c r="I740" s="444">
        <f t="shared" ca="1" si="55"/>
        <v>-8032872.5190547425</v>
      </c>
      <c r="J740" s="444">
        <f t="array" ref="J740">IFERROR(INDEX('Retirement Calculator'!J:J,MATCH('Isaac 401k'!N740,'Retirement Calculator'!A:A,0),0),0)</f>
        <v>8395.6297298201844</v>
      </c>
      <c r="K740" s="444">
        <f t="shared" ca="1" si="53"/>
        <v>-33505.283953269012</v>
      </c>
      <c r="L740" s="444">
        <f t="shared" ca="1" si="54"/>
        <v>-8074773.432737832</v>
      </c>
      <c r="M740" s="460">
        <f t="shared" si="56"/>
        <v>0.05</v>
      </c>
      <c r="N740" s="464">
        <f t="shared" si="57"/>
        <v>73567</v>
      </c>
    </row>
    <row r="741" spans="7:14" ht="11.25" customHeight="1" x14ac:dyDescent="0.25">
      <c r="G741" s="459">
        <f t="shared" ref="G741:G751" si="76">G740</f>
        <v>62</v>
      </c>
      <c r="H741" s="459">
        <v>734</v>
      </c>
      <c r="I741" s="444">
        <f t="shared" ca="1" si="55"/>
        <v>-8074773.432737832</v>
      </c>
      <c r="J741" s="444">
        <f t="array" ref="J741">IFERROR(INDEX('Retirement Calculator'!J:J,MATCH('Isaac 401k'!N741,'Retirement Calculator'!A:A,0),0),0)</f>
        <v>8395.6297298201844</v>
      </c>
      <c r="K741" s="444">
        <f t="shared" ca="1" si="53"/>
        <v>-33679.87109361522</v>
      </c>
      <c r="L741" s="444">
        <f t="shared" ca="1" si="54"/>
        <v>-8116848.9335612673</v>
      </c>
      <c r="M741" s="460">
        <f t="shared" si="56"/>
        <v>0.05</v>
      </c>
      <c r="N741" s="464">
        <f t="shared" si="57"/>
        <v>73597</v>
      </c>
    </row>
    <row r="742" spans="7:14" ht="11.25" customHeight="1" x14ac:dyDescent="0.25">
      <c r="G742" s="459">
        <f t="shared" si="76"/>
        <v>62</v>
      </c>
      <c r="H742" s="459">
        <v>735</v>
      </c>
      <c r="I742" s="444">
        <f t="shared" ca="1" si="55"/>
        <v>-8116848.9335612673</v>
      </c>
      <c r="J742" s="444">
        <f t="array" ref="J742">IFERROR(INDEX('Retirement Calculator'!J:J,MATCH('Isaac 401k'!N742,'Retirement Calculator'!A:A,0),0),0)</f>
        <v>8395.6297298201844</v>
      </c>
      <c r="K742" s="444">
        <f t="shared" ca="1" si="53"/>
        <v>-33855.185680379538</v>
      </c>
      <c r="L742" s="444">
        <f t="shared" ca="1" si="54"/>
        <v>-8159099.7489714669</v>
      </c>
      <c r="M742" s="460">
        <f t="shared" si="56"/>
        <v>0.05</v>
      </c>
      <c r="N742" s="464">
        <f t="shared" si="57"/>
        <v>73628</v>
      </c>
    </row>
    <row r="743" spans="7:14" ht="11.25" customHeight="1" x14ac:dyDescent="0.25">
      <c r="G743" s="459">
        <f t="shared" si="76"/>
        <v>62</v>
      </c>
      <c r="H743" s="459">
        <v>736</v>
      </c>
      <c r="I743" s="444">
        <f t="shared" ca="1" si="55"/>
        <v>-8159099.7489714669</v>
      </c>
      <c r="J743" s="444">
        <f t="array" ref="J743">IFERROR(INDEX('Retirement Calculator'!J:J,MATCH('Isaac 401k'!N743,'Retirement Calculator'!A:A,0),0),0)</f>
        <v>8395.6297298201844</v>
      </c>
      <c r="K743" s="444">
        <f t="shared" ca="1" si="53"/>
        <v>-34031.230744588698</v>
      </c>
      <c r="L743" s="444">
        <f t="shared" ca="1" si="54"/>
        <v>-8201526.6094458764</v>
      </c>
      <c r="M743" s="460">
        <f t="shared" si="56"/>
        <v>0.05</v>
      </c>
      <c r="N743" s="464">
        <f t="shared" si="57"/>
        <v>73659</v>
      </c>
    </row>
    <row r="744" spans="7:14" ht="11.25" customHeight="1" x14ac:dyDescent="0.25">
      <c r="G744" s="459">
        <f t="shared" si="76"/>
        <v>62</v>
      </c>
      <c r="H744" s="459">
        <v>737</v>
      </c>
      <c r="I744" s="444">
        <f t="shared" ca="1" si="55"/>
        <v>-8201526.6094458764</v>
      </c>
      <c r="J744" s="444">
        <f t="array" ref="J744">IFERROR(INDEX('Retirement Calculator'!J:J,MATCH('Isaac 401k'!N744,'Retirement Calculator'!A:A,0),0),0)</f>
        <v>8395.6297298201844</v>
      </c>
      <c r="K744" s="444">
        <f t="shared" ca="1" si="53"/>
        <v>-34208.009329898734</v>
      </c>
      <c r="L744" s="444">
        <f t="shared" ca="1" si="54"/>
        <v>-8244130.2485055951</v>
      </c>
      <c r="M744" s="460">
        <f t="shared" si="56"/>
        <v>0.05</v>
      </c>
      <c r="N744" s="464">
        <f t="shared" si="57"/>
        <v>73689</v>
      </c>
    </row>
    <row r="745" spans="7:14" ht="11.25" customHeight="1" x14ac:dyDescent="0.25">
      <c r="G745" s="459">
        <f t="shared" si="76"/>
        <v>62</v>
      </c>
      <c r="H745" s="459">
        <v>738</v>
      </c>
      <c r="I745" s="444">
        <f t="shared" ca="1" si="55"/>
        <v>-8244130.2485055951</v>
      </c>
      <c r="J745" s="444">
        <f t="array" ref="J745">IFERROR(INDEX('Retirement Calculator'!J:J,MATCH('Isaac 401k'!N745,'Retirement Calculator'!A:A,0),0),0)</f>
        <v>8395.6297298201844</v>
      </c>
      <c r="K745" s="444">
        <f t="shared" ca="1" si="53"/>
        <v>-34385.524492647564</v>
      </c>
      <c r="L745" s="444">
        <f t="shared" ca="1" si="54"/>
        <v>-8286911.4027280631</v>
      </c>
      <c r="M745" s="460">
        <f t="shared" si="56"/>
        <v>0.05</v>
      </c>
      <c r="N745" s="464">
        <f t="shared" si="57"/>
        <v>73720</v>
      </c>
    </row>
    <row r="746" spans="7:14" ht="11.25" customHeight="1" x14ac:dyDescent="0.25">
      <c r="G746" s="459">
        <f t="shared" si="76"/>
        <v>62</v>
      </c>
      <c r="H746" s="459">
        <v>739</v>
      </c>
      <c r="I746" s="444">
        <f t="shared" ca="1" si="55"/>
        <v>-8286911.4027280631</v>
      </c>
      <c r="J746" s="444">
        <f t="array" ref="J746">IFERROR(INDEX('Retirement Calculator'!J:J,MATCH('Isaac 401k'!N746,'Retirement Calculator'!A:A,0),0),0)</f>
        <v>8395.6297298201844</v>
      </c>
      <c r="K746" s="444">
        <f t="shared" ca="1" si="53"/>
        <v>-34563.779301907845</v>
      </c>
      <c r="L746" s="444">
        <f t="shared" ca="1" si="54"/>
        <v>-8329870.8117597913</v>
      </c>
      <c r="M746" s="460">
        <f t="shared" si="56"/>
        <v>0.05</v>
      </c>
      <c r="N746" s="464">
        <f t="shared" si="57"/>
        <v>73750</v>
      </c>
    </row>
    <row r="747" spans="7:14" ht="11.25" customHeight="1" x14ac:dyDescent="0.25">
      <c r="G747" s="459">
        <f t="shared" si="76"/>
        <v>62</v>
      </c>
      <c r="H747" s="459">
        <v>740</v>
      </c>
      <c r="I747" s="444">
        <f t="shared" ca="1" si="55"/>
        <v>-8329870.8117597913</v>
      </c>
      <c r="J747" s="444">
        <f t="array" ref="J747">IFERROR(INDEX('Retirement Calculator'!J:J,MATCH('Isaac 401k'!N747,'Retirement Calculator'!A:A,0),0),0)</f>
        <v>8395.6297298201844</v>
      </c>
      <c r="K747" s="444">
        <f t="shared" ca="1" si="53"/>
        <v>-34742.776839540049</v>
      </c>
      <c r="L747" s="444">
        <f t="shared" ca="1" si="54"/>
        <v>-8373009.2183291521</v>
      </c>
      <c r="M747" s="460">
        <f t="shared" si="56"/>
        <v>0.05</v>
      </c>
      <c r="N747" s="464">
        <f t="shared" si="57"/>
        <v>73781</v>
      </c>
    </row>
    <row r="748" spans="7:14" ht="11.25" customHeight="1" x14ac:dyDescent="0.25">
      <c r="G748" s="459">
        <f t="shared" si="76"/>
        <v>62</v>
      </c>
      <c r="H748" s="459">
        <v>741</v>
      </c>
      <c r="I748" s="444">
        <f t="shared" ca="1" si="55"/>
        <v>-8373009.2183291521</v>
      </c>
      <c r="J748" s="444">
        <f t="array" ref="J748">IFERROR(INDEX('Retirement Calculator'!J:J,MATCH('Isaac 401k'!N748,'Retirement Calculator'!A:A,0),0),0)</f>
        <v>8395.6297298201844</v>
      </c>
      <c r="K748" s="444">
        <f t="shared" ca="1" si="53"/>
        <v>-34922.520200245723</v>
      </c>
      <c r="L748" s="444">
        <f t="shared" ca="1" si="54"/>
        <v>-8416327.3682592176</v>
      </c>
      <c r="M748" s="460">
        <f t="shared" si="56"/>
        <v>0.05</v>
      </c>
      <c r="N748" s="464">
        <f t="shared" si="57"/>
        <v>73812</v>
      </c>
    </row>
    <row r="749" spans="7:14" ht="11.25" customHeight="1" x14ac:dyDescent="0.25">
      <c r="G749" s="459">
        <f t="shared" si="76"/>
        <v>62</v>
      </c>
      <c r="H749" s="459">
        <v>742</v>
      </c>
      <c r="I749" s="444">
        <f t="shared" ca="1" si="55"/>
        <v>-8416327.3682592176</v>
      </c>
      <c r="J749" s="444">
        <f t="array" ref="J749">IFERROR(INDEX('Retirement Calculator'!J:J,MATCH('Isaac 401k'!N749,'Retirement Calculator'!A:A,0),0),0)</f>
        <v>8395.6297298201844</v>
      </c>
      <c r="K749" s="444">
        <f t="shared" ca="1" si="53"/>
        <v>-35103.01249162099</v>
      </c>
      <c r="L749" s="444">
        <f t="shared" ca="1" si="54"/>
        <v>-8459826.0104806591</v>
      </c>
      <c r="M749" s="460">
        <f t="shared" si="56"/>
        <v>0.05</v>
      </c>
      <c r="N749" s="464">
        <f t="shared" si="57"/>
        <v>73840</v>
      </c>
    </row>
    <row r="750" spans="7:14" ht="11.25" customHeight="1" x14ac:dyDescent="0.25">
      <c r="G750" s="459">
        <f t="shared" si="76"/>
        <v>62</v>
      </c>
      <c r="H750" s="459">
        <v>743</v>
      </c>
      <c r="I750" s="444">
        <f t="shared" ca="1" si="55"/>
        <v>-8459826.0104806591</v>
      </c>
      <c r="J750" s="444">
        <f t="array" ref="J750">IFERROR(INDEX('Retirement Calculator'!J:J,MATCH('Isaac 401k'!N750,'Retirement Calculator'!A:A,0),0),0)</f>
        <v>8395.6297298201844</v>
      </c>
      <c r="K750" s="444">
        <f t="shared" ca="1" si="53"/>
        <v>-35284.256834210333</v>
      </c>
      <c r="L750" s="444">
        <f t="shared" ca="1" si="54"/>
        <v>-8503505.8970446903</v>
      </c>
      <c r="M750" s="460">
        <f t="shared" si="56"/>
        <v>0.05</v>
      </c>
      <c r="N750" s="464">
        <f t="shared" si="57"/>
        <v>73871</v>
      </c>
    </row>
    <row r="751" spans="7:14" ht="11.25" customHeight="1" x14ac:dyDescent="0.25">
      <c r="G751" s="459">
        <f t="shared" si="76"/>
        <v>62</v>
      </c>
      <c r="H751" s="459">
        <v>744</v>
      </c>
      <c r="I751" s="444">
        <f t="shared" ca="1" si="55"/>
        <v>-8503505.8970446903</v>
      </c>
      <c r="J751" s="444">
        <f t="array" ref="J751">IFERROR(INDEX('Retirement Calculator'!J:J,MATCH('Isaac 401k'!N751,'Retirement Calculator'!A:A,0),0),0)</f>
        <v>8395.6297298201844</v>
      </c>
      <c r="K751" s="444">
        <f t="shared" ca="1" si="53"/>
        <v>-35466.256361560459</v>
      </c>
      <c r="L751" s="444">
        <f t="shared" ca="1" si="54"/>
        <v>-8547367.7831360716</v>
      </c>
      <c r="M751" s="460">
        <f t="shared" si="56"/>
        <v>0.05</v>
      </c>
      <c r="N751" s="464">
        <f t="shared" si="57"/>
        <v>73901</v>
      </c>
    </row>
    <row r="752" spans="7:14" ht="11.25" customHeight="1" x14ac:dyDescent="0.25">
      <c r="G752" s="459">
        <f>G751+1</f>
        <v>63</v>
      </c>
      <c r="H752" s="459">
        <v>745</v>
      </c>
      <c r="I752" s="444">
        <f t="shared" ca="1" si="55"/>
        <v>-8547367.7831360716</v>
      </c>
      <c r="J752" s="444">
        <f t="array" ref="J752">IFERROR(INDEX('Retirement Calculator'!J:J,MATCH('Isaac 401k'!N752,'Retirement Calculator'!A:A,0),0),0)</f>
        <v>8395.6297298201844</v>
      </c>
      <c r="K752" s="444">
        <f t="shared" ca="1" si="53"/>
        <v>-35649.014220274548</v>
      </c>
      <c r="L752" s="444">
        <f t="shared" ca="1" si="54"/>
        <v>-8591412.427086167</v>
      </c>
      <c r="M752" s="460">
        <f t="shared" si="56"/>
        <v>0.05</v>
      </c>
      <c r="N752" s="464">
        <f t="shared" si="57"/>
        <v>73932</v>
      </c>
    </row>
    <row r="753" spans="7:14" ht="11.25" customHeight="1" x14ac:dyDescent="0.25">
      <c r="G753" s="459">
        <f t="shared" ref="G753:G763" si="77">G752</f>
        <v>63</v>
      </c>
      <c r="H753" s="459">
        <v>746</v>
      </c>
      <c r="I753" s="444">
        <f t="shared" ca="1" si="55"/>
        <v>-8591412.427086167</v>
      </c>
      <c r="J753" s="444">
        <f t="array" ref="J753">IFERROR(INDEX('Retirement Calculator'!J:J,MATCH('Isaac 401k'!N753,'Retirement Calculator'!A:A,0),0),0)</f>
        <v>8395.6297298201844</v>
      </c>
      <c r="K753" s="444">
        <f t="shared" ca="1" si="53"/>
        <v>-35832.533570066611</v>
      </c>
      <c r="L753" s="444">
        <f t="shared" ca="1" si="54"/>
        <v>-8635640.5903860535</v>
      </c>
      <c r="M753" s="460">
        <f t="shared" si="56"/>
        <v>0.05</v>
      </c>
      <c r="N753" s="464">
        <f t="shared" si="57"/>
        <v>73962</v>
      </c>
    </row>
    <row r="754" spans="7:14" ht="11.25" customHeight="1" x14ac:dyDescent="0.25">
      <c r="G754" s="459">
        <f t="shared" si="77"/>
        <v>63</v>
      </c>
      <c r="H754" s="459">
        <v>747</v>
      </c>
      <c r="I754" s="444">
        <f t="shared" ca="1" si="55"/>
        <v>-8635640.5903860535</v>
      </c>
      <c r="J754" s="444">
        <f t="array" ref="J754">IFERROR(INDEX('Retirement Calculator'!J:J,MATCH('Isaac 401k'!N754,'Retirement Calculator'!A:A,0),0),0)</f>
        <v>8395.6297298201844</v>
      </c>
      <c r="K754" s="444">
        <f t="shared" ca="1" si="53"/>
        <v>-36016.817583816141</v>
      </c>
      <c r="L754" s="444">
        <f t="shared" ca="1" si="54"/>
        <v>-8680053.0376996901</v>
      </c>
      <c r="M754" s="460">
        <f t="shared" si="56"/>
        <v>0.05</v>
      </c>
      <c r="N754" s="464">
        <f t="shared" si="57"/>
        <v>73993</v>
      </c>
    </row>
    <row r="755" spans="7:14" ht="11.25" customHeight="1" x14ac:dyDescent="0.25">
      <c r="G755" s="459">
        <f t="shared" si="77"/>
        <v>63</v>
      </c>
      <c r="H755" s="459">
        <v>748</v>
      </c>
      <c r="I755" s="444">
        <f t="shared" ca="1" si="55"/>
        <v>-8680053.0376996901</v>
      </c>
      <c r="J755" s="444">
        <f t="array" ref="J755">IFERROR(INDEX('Retirement Calculator'!J:J,MATCH('Isaac 401k'!N755,'Retirement Calculator'!A:A,0),0),0)</f>
        <v>8395.6297298201844</v>
      </c>
      <c r="K755" s="444">
        <f t="shared" ca="1" si="53"/>
        <v>-36201.869447622958</v>
      </c>
      <c r="L755" s="444">
        <f t="shared" ca="1" si="54"/>
        <v>-8724650.536877133</v>
      </c>
      <c r="M755" s="460">
        <f t="shared" si="56"/>
        <v>0.05</v>
      </c>
      <c r="N755" s="464">
        <f t="shared" si="57"/>
        <v>74024</v>
      </c>
    </row>
    <row r="756" spans="7:14" ht="11.25" customHeight="1" x14ac:dyDescent="0.25">
      <c r="G756" s="459">
        <f t="shared" si="77"/>
        <v>63</v>
      </c>
      <c r="H756" s="459">
        <v>749</v>
      </c>
      <c r="I756" s="444">
        <f t="shared" ca="1" si="55"/>
        <v>-8724650.536877133</v>
      </c>
      <c r="J756" s="444">
        <f t="array" ref="J756">IFERROR(INDEX('Retirement Calculator'!J:J,MATCH('Isaac 401k'!N756,'Retirement Calculator'!A:A,0),0),0)</f>
        <v>8395.6297298201844</v>
      </c>
      <c r="K756" s="444">
        <f t="shared" ca="1" si="53"/>
        <v>-36387.692360862304</v>
      </c>
      <c r="L756" s="444">
        <f t="shared" ca="1" si="54"/>
        <v>-8769433.8589678165</v>
      </c>
      <c r="M756" s="460">
        <f t="shared" si="56"/>
        <v>0.05</v>
      </c>
      <c r="N756" s="464">
        <f t="shared" si="57"/>
        <v>74054</v>
      </c>
    </row>
    <row r="757" spans="7:14" ht="11.25" customHeight="1" x14ac:dyDescent="0.25">
      <c r="G757" s="459">
        <f t="shared" si="77"/>
        <v>63</v>
      </c>
      <c r="H757" s="459">
        <v>750</v>
      </c>
      <c r="I757" s="444">
        <f t="shared" ca="1" si="55"/>
        <v>-8769433.8589678165</v>
      </c>
      <c r="J757" s="444">
        <f t="array" ref="J757">IFERROR(INDEX('Retirement Calculator'!J:J,MATCH('Isaac 401k'!N757,'Retirement Calculator'!A:A,0),0),0)</f>
        <v>8395.6297298201844</v>
      </c>
      <c r="K757" s="444">
        <f t="shared" ca="1" si="53"/>
        <v>-36574.289536240154</v>
      </c>
      <c r="L757" s="444">
        <f t="shared" ca="1" si="54"/>
        <v>-8814403.7782338765</v>
      </c>
      <c r="M757" s="460">
        <f t="shared" si="56"/>
        <v>0.05</v>
      </c>
      <c r="N757" s="464">
        <f t="shared" si="57"/>
        <v>74085</v>
      </c>
    </row>
    <row r="758" spans="7:14" ht="11.25" customHeight="1" x14ac:dyDescent="0.25">
      <c r="G758" s="459">
        <f t="shared" si="77"/>
        <v>63</v>
      </c>
      <c r="H758" s="459">
        <v>751</v>
      </c>
      <c r="I758" s="444">
        <f t="shared" ca="1" si="55"/>
        <v>-8814403.7782338765</v>
      </c>
      <c r="J758" s="444">
        <f t="array" ref="J758">IFERROR(INDEX('Retirement Calculator'!J:J,MATCH('Isaac 401k'!N758,'Retirement Calculator'!A:A,0),0),0)</f>
        <v>8395.6297298201844</v>
      </c>
      <c r="K758" s="444">
        <f t="shared" ca="1" si="53"/>
        <v>-36761.664199848739</v>
      </c>
      <c r="L758" s="444">
        <f t="shared" ca="1" si="54"/>
        <v>-8859561.0721635465</v>
      </c>
      <c r="M758" s="460">
        <f t="shared" si="56"/>
        <v>0.05</v>
      </c>
      <c r="N758" s="464">
        <f t="shared" si="57"/>
        <v>74115</v>
      </c>
    </row>
    <row r="759" spans="7:14" ht="11.25" customHeight="1" x14ac:dyDescent="0.25">
      <c r="G759" s="459">
        <f t="shared" si="77"/>
        <v>63</v>
      </c>
      <c r="H759" s="459">
        <v>752</v>
      </c>
      <c r="I759" s="444">
        <f t="shared" ca="1" si="55"/>
        <v>-8859561.0721635465</v>
      </c>
      <c r="J759" s="444">
        <f t="array" ref="J759">IFERROR(INDEX('Retirement Calculator'!J:J,MATCH('Isaac 401k'!N759,'Retirement Calculator'!A:A,0),0),0)</f>
        <v>8395.6297298201844</v>
      </c>
      <c r="K759" s="444">
        <f t="shared" ca="1" si="53"/>
        <v>-36949.81959122236</v>
      </c>
      <c r="L759" s="444">
        <f t="shared" ca="1" si="54"/>
        <v>-8904906.5214845892</v>
      </c>
      <c r="M759" s="460">
        <f t="shared" si="56"/>
        <v>0.05</v>
      </c>
      <c r="N759" s="464">
        <f t="shared" si="57"/>
        <v>74146</v>
      </c>
    </row>
    <row r="760" spans="7:14" ht="11.25" customHeight="1" x14ac:dyDescent="0.25">
      <c r="G760" s="459">
        <f t="shared" si="77"/>
        <v>63</v>
      </c>
      <c r="H760" s="459">
        <v>753</v>
      </c>
      <c r="I760" s="444">
        <f t="shared" ca="1" si="55"/>
        <v>-8904906.5214845892</v>
      </c>
      <c r="J760" s="444">
        <f t="array" ref="J760">IFERROR(INDEX('Retirement Calculator'!J:J,MATCH('Isaac 401k'!N760,'Retirement Calculator'!A:A,0),0),0)</f>
        <v>8395.6297298201844</v>
      </c>
      <c r="K760" s="444">
        <f t="shared" ca="1" si="53"/>
        <v>-37138.758963393375</v>
      </c>
      <c r="L760" s="444">
        <f t="shared" ca="1" si="54"/>
        <v>-8950440.9101778027</v>
      </c>
      <c r="M760" s="460">
        <f t="shared" si="56"/>
        <v>0.05</v>
      </c>
      <c r="N760" s="464">
        <f t="shared" si="57"/>
        <v>74177</v>
      </c>
    </row>
    <row r="761" spans="7:14" ht="11.25" customHeight="1" x14ac:dyDescent="0.25">
      <c r="G761" s="459">
        <f t="shared" si="77"/>
        <v>63</v>
      </c>
      <c r="H761" s="459">
        <v>754</v>
      </c>
      <c r="I761" s="444">
        <f t="shared" ca="1" si="55"/>
        <v>-8950440.9101778027</v>
      </c>
      <c r="J761" s="444">
        <f t="array" ref="J761">IFERROR(INDEX('Retirement Calculator'!J:J,MATCH('Isaac 401k'!N761,'Retirement Calculator'!A:A,0),0),0)</f>
        <v>8395.6297298201844</v>
      </c>
      <c r="K761" s="444">
        <f t="shared" ca="1" si="53"/>
        <v>-37328.48558294843</v>
      </c>
      <c r="L761" s="444">
        <f t="shared" ca="1" si="54"/>
        <v>-8996165.0254905708</v>
      </c>
      <c r="M761" s="460">
        <f t="shared" si="56"/>
        <v>0.05</v>
      </c>
      <c r="N761" s="464">
        <f t="shared" si="57"/>
        <v>74205</v>
      </c>
    </row>
    <row r="762" spans="7:14" ht="11.25" customHeight="1" x14ac:dyDescent="0.25">
      <c r="G762" s="459">
        <f t="shared" si="77"/>
        <v>63</v>
      </c>
      <c r="H762" s="459">
        <v>755</v>
      </c>
      <c r="I762" s="444">
        <f t="shared" ca="1" si="55"/>
        <v>-8996165.0254905708</v>
      </c>
      <c r="J762" s="444">
        <f t="array" ref="J762">IFERROR(INDEX('Retirement Calculator'!J:J,MATCH('Isaac 401k'!N762,'Retirement Calculator'!A:A,0),0),0)</f>
        <v>8395.6297298201844</v>
      </c>
      <c r="K762" s="444">
        <f t="shared" ca="1" si="53"/>
        <v>-37519.002730084962</v>
      </c>
      <c r="L762" s="444">
        <f t="shared" ca="1" si="54"/>
        <v>-9042079.6579504758</v>
      </c>
      <c r="M762" s="460">
        <f t="shared" si="56"/>
        <v>0.05</v>
      </c>
      <c r="N762" s="464">
        <f t="shared" si="57"/>
        <v>74236</v>
      </c>
    </row>
    <row r="763" spans="7:14" ht="11.25" customHeight="1" x14ac:dyDescent="0.25">
      <c r="G763" s="459">
        <f t="shared" si="77"/>
        <v>63</v>
      </c>
      <c r="H763" s="459">
        <v>756</v>
      </c>
      <c r="I763" s="444">
        <f t="shared" ca="1" si="55"/>
        <v>-9042079.6579504758</v>
      </c>
      <c r="J763" s="444">
        <f t="array" ref="J763">IFERROR(INDEX('Retirement Calculator'!J:J,MATCH('Isaac 401k'!N763,'Retirement Calculator'!A:A,0),0),0)</f>
        <v>8395.6297298201844</v>
      </c>
      <c r="K763" s="444">
        <f t="shared" ca="1" si="53"/>
        <v>-37710.313698667902</v>
      </c>
      <c r="L763" s="444">
        <f t="shared" ca="1" si="54"/>
        <v>-9088185.6013789643</v>
      </c>
      <c r="M763" s="460">
        <f t="shared" si="56"/>
        <v>0.05</v>
      </c>
      <c r="N763" s="464">
        <f t="shared" si="57"/>
        <v>74266</v>
      </c>
    </row>
    <row r="764" spans="7:14" ht="11.25" customHeight="1" x14ac:dyDescent="0.25">
      <c r="G764" s="459">
        <f>G763+1</f>
        <v>64</v>
      </c>
      <c r="H764" s="459">
        <v>757</v>
      </c>
      <c r="I764" s="444">
        <f t="shared" ca="1" si="55"/>
        <v>-9088185.6013789643</v>
      </c>
      <c r="J764" s="444">
        <f t="array" ref="J764">IFERROR(INDEX('Retirement Calculator'!J:J,MATCH('Isaac 401k'!N764,'Retirement Calculator'!A:A,0),0),0)</f>
        <v>8395.6297298201844</v>
      </c>
      <c r="K764" s="444">
        <f t="shared" ca="1" si="53"/>
        <v>-37902.421796286602</v>
      </c>
      <c r="L764" s="444">
        <f t="shared" ca="1" si="54"/>
        <v>-9134483.6529050712</v>
      </c>
      <c r="M764" s="460">
        <f t="shared" si="56"/>
        <v>0.05</v>
      </c>
      <c r="N764" s="464">
        <f t="shared" si="57"/>
        <v>74297</v>
      </c>
    </row>
    <row r="765" spans="7:14" ht="11.25" customHeight="1" x14ac:dyDescent="0.25">
      <c r="G765" s="459">
        <f t="shared" ref="G765:G775" si="78">G764</f>
        <v>64</v>
      </c>
      <c r="H765" s="459">
        <v>758</v>
      </c>
      <c r="I765" s="444">
        <f t="shared" ca="1" si="55"/>
        <v>-9134483.6529050712</v>
      </c>
      <c r="J765" s="444">
        <f t="array" ref="J765">IFERROR(INDEX('Retirement Calculator'!J:J,MATCH('Isaac 401k'!N765,'Retirement Calculator'!A:A,0),0),0)</f>
        <v>8395.6297298201844</v>
      </c>
      <c r="K765" s="444">
        <f t="shared" ca="1" si="53"/>
        <v>-38095.330344312046</v>
      </c>
      <c r="L765" s="444">
        <f t="shared" ca="1" si="54"/>
        <v>-9180974.6129792035</v>
      </c>
      <c r="M765" s="460">
        <f t="shared" si="56"/>
        <v>0.05</v>
      </c>
      <c r="N765" s="464">
        <f t="shared" si="57"/>
        <v>74327</v>
      </c>
    </row>
    <row r="766" spans="7:14" ht="11.25" customHeight="1" x14ac:dyDescent="0.25">
      <c r="G766" s="459">
        <f t="shared" si="78"/>
        <v>64</v>
      </c>
      <c r="H766" s="459">
        <v>759</v>
      </c>
      <c r="I766" s="444">
        <f t="shared" ca="1" si="55"/>
        <v>-9180974.6129792035</v>
      </c>
      <c r="J766" s="444">
        <f t="array" ref="J766">IFERROR(INDEX('Retirement Calculator'!J:J,MATCH('Isaac 401k'!N766,'Retirement Calculator'!A:A,0),0),0)</f>
        <v>8395.6297298201844</v>
      </c>
      <c r="K766" s="444">
        <f t="shared" ca="1" si="53"/>
        <v>-38289.042677954269</v>
      </c>
      <c r="L766" s="444">
        <f t="shared" ca="1" si="54"/>
        <v>-9227659.2853869777</v>
      </c>
      <c r="M766" s="460">
        <f t="shared" si="56"/>
        <v>0.05</v>
      </c>
      <c r="N766" s="464">
        <f t="shared" si="57"/>
        <v>74358</v>
      </c>
    </row>
    <row r="767" spans="7:14" ht="11.25" customHeight="1" x14ac:dyDescent="0.25">
      <c r="G767" s="459">
        <f t="shared" si="78"/>
        <v>64</v>
      </c>
      <c r="H767" s="459">
        <v>760</v>
      </c>
      <c r="I767" s="444">
        <f t="shared" ca="1" si="55"/>
        <v>-9227659.2853869777</v>
      </c>
      <c r="J767" s="444">
        <f t="array" ref="J767">IFERROR(INDEX('Retirement Calculator'!J:J,MATCH('Isaac 401k'!N767,'Retirement Calculator'!A:A,0),0),0)</f>
        <v>8395.6297298201844</v>
      </c>
      <c r="K767" s="444">
        <f t="shared" ca="1" si="53"/>
        <v>-38483.562146319993</v>
      </c>
      <c r="L767" s="444">
        <f t="shared" ca="1" si="54"/>
        <v>-9274538.4772631172</v>
      </c>
      <c r="M767" s="460">
        <f t="shared" si="56"/>
        <v>0.05</v>
      </c>
      <c r="N767" s="464">
        <f t="shared" si="57"/>
        <v>74389</v>
      </c>
    </row>
    <row r="768" spans="7:14" ht="11.25" customHeight="1" x14ac:dyDescent="0.25">
      <c r="G768" s="459">
        <f t="shared" si="78"/>
        <v>64</v>
      </c>
      <c r="H768" s="459">
        <v>761</v>
      </c>
      <c r="I768" s="444">
        <f t="shared" ca="1" si="55"/>
        <v>-9274538.4772631172</v>
      </c>
      <c r="J768" s="444">
        <f t="array" ref="J768">IFERROR(INDEX('Retirement Calculator'!J:J,MATCH('Isaac 401k'!N768,'Retirement Calculator'!A:A,0),0),0)</f>
        <v>8395.6297298201844</v>
      </c>
      <c r="K768" s="444">
        <f t="shared" ca="1" si="53"/>
        <v>-38678.892112470574</v>
      </c>
      <c r="L768" s="444">
        <f t="shared" ca="1" si="54"/>
        <v>-9321612.9991054088</v>
      </c>
      <c r="M768" s="460">
        <f t="shared" si="56"/>
        <v>0.05</v>
      </c>
      <c r="N768" s="464">
        <f t="shared" si="57"/>
        <v>74419</v>
      </c>
    </row>
    <row r="769" spans="7:14" ht="11.25" customHeight="1" x14ac:dyDescent="0.25">
      <c r="G769" s="459">
        <f t="shared" si="78"/>
        <v>64</v>
      </c>
      <c r="H769" s="459">
        <v>762</v>
      </c>
      <c r="I769" s="444">
        <f t="shared" ca="1" si="55"/>
        <v>-9321612.9991054088</v>
      </c>
      <c r="J769" s="444">
        <f t="array" ref="J769">IFERROR(INDEX('Retirement Calculator'!J:J,MATCH('Isaac 401k'!N769,'Retirement Calculator'!A:A,0),0),0)</f>
        <v>8395.6297298201844</v>
      </c>
      <c r="K769" s="444">
        <f t="shared" ca="1" si="53"/>
        <v>-38875.035953480125</v>
      </c>
      <c r="L769" s="444">
        <f t="shared" ca="1" si="54"/>
        <v>-9368883.66478871</v>
      </c>
      <c r="M769" s="460">
        <f t="shared" si="56"/>
        <v>0.05</v>
      </c>
      <c r="N769" s="464">
        <f t="shared" si="57"/>
        <v>74450</v>
      </c>
    </row>
    <row r="770" spans="7:14" ht="11.25" customHeight="1" x14ac:dyDescent="0.25">
      <c r="G770" s="459">
        <f t="shared" si="78"/>
        <v>64</v>
      </c>
      <c r="H770" s="459">
        <v>763</v>
      </c>
      <c r="I770" s="444">
        <f t="shared" ca="1" si="55"/>
        <v>-9368883.66478871</v>
      </c>
      <c r="J770" s="444">
        <f t="array" ref="J770">IFERROR(INDEX('Retirement Calculator'!J:J,MATCH('Isaac 401k'!N770,'Retirement Calculator'!A:A,0),0),0)</f>
        <v>8395.6297298201844</v>
      </c>
      <c r="K770" s="444">
        <f t="shared" ca="1" si="53"/>
        <v>-39071.997060493879</v>
      </c>
      <c r="L770" s="444">
        <f t="shared" ca="1" si="54"/>
        <v>-9416351.2915790249</v>
      </c>
      <c r="M770" s="460">
        <f t="shared" si="56"/>
        <v>0.05</v>
      </c>
      <c r="N770" s="464">
        <f t="shared" si="57"/>
        <v>74480</v>
      </c>
    </row>
    <row r="771" spans="7:14" ht="11.25" customHeight="1" x14ac:dyDescent="0.25">
      <c r="G771" s="459">
        <f t="shared" si="78"/>
        <v>64</v>
      </c>
      <c r="H771" s="459">
        <v>764</v>
      </c>
      <c r="I771" s="444">
        <f t="shared" ca="1" si="55"/>
        <v>-9416351.2915790249</v>
      </c>
      <c r="J771" s="444">
        <f t="array" ref="J771">IFERROR(INDEX('Retirement Calculator'!J:J,MATCH('Isaac 401k'!N771,'Retirement Calculator'!A:A,0),0),0)</f>
        <v>8395.6297298201844</v>
      </c>
      <c r="K771" s="444">
        <f t="shared" ca="1" si="53"/>
        <v>-39269.778838786857</v>
      </c>
      <c r="L771" s="444">
        <f t="shared" ca="1" si="54"/>
        <v>-9464016.7001476325</v>
      </c>
      <c r="M771" s="460">
        <f t="shared" si="56"/>
        <v>0.05</v>
      </c>
      <c r="N771" s="464">
        <f t="shared" si="57"/>
        <v>74511</v>
      </c>
    </row>
    <row r="772" spans="7:14" ht="11.25" customHeight="1" x14ac:dyDescent="0.25">
      <c r="G772" s="459">
        <f t="shared" si="78"/>
        <v>64</v>
      </c>
      <c r="H772" s="459">
        <v>765</v>
      </c>
      <c r="I772" s="444">
        <f t="shared" ca="1" si="55"/>
        <v>-9464016.7001476325</v>
      </c>
      <c r="J772" s="444">
        <f t="array" ref="J772">IFERROR(INDEX('Retirement Calculator'!J:J,MATCH('Isaac 401k'!N772,'Retirement Calculator'!A:A,0),0),0)</f>
        <v>8395.6297298201844</v>
      </c>
      <c r="K772" s="444">
        <f t="shared" ca="1" si="53"/>
        <v>-39468.384707822719</v>
      </c>
      <c r="L772" s="444">
        <f t="shared" ca="1" si="54"/>
        <v>-9511880.7145852763</v>
      </c>
      <c r="M772" s="460">
        <f t="shared" si="56"/>
        <v>0.05</v>
      </c>
      <c r="N772" s="464">
        <f t="shared" si="57"/>
        <v>74542</v>
      </c>
    </row>
    <row r="773" spans="7:14" ht="11.25" customHeight="1" x14ac:dyDescent="0.25">
      <c r="G773" s="459">
        <f t="shared" si="78"/>
        <v>64</v>
      </c>
      <c r="H773" s="459">
        <v>766</v>
      </c>
      <c r="I773" s="444">
        <f t="shared" ca="1" si="55"/>
        <v>-9511880.7145852763</v>
      </c>
      <c r="J773" s="444">
        <f t="array" ref="J773">IFERROR(INDEX('Retirement Calculator'!J:J,MATCH('Isaac 401k'!N773,'Retirement Calculator'!A:A,0),0),0)</f>
        <v>8395.6297298201844</v>
      </c>
      <c r="K773" s="444">
        <f t="shared" ref="K773:K1027" ca="1" si="79">IPMT(M773/12,1,12,-I773+J773,,0)</f>
        <v>-39667.8181013129</v>
      </c>
      <c r="L773" s="444">
        <f t="shared" ref="L773:L1027" ca="1" si="80">I773-J773+K773</f>
        <v>-9559944.1624164097</v>
      </c>
      <c r="M773" s="460">
        <f t="shared" si="56"/>
        <v>0.05</v>
      </c>
      <c r="N773" s="464">
        <f t="shared" si="57"/>
        <v>74571</v>
      </c>
    </row>
    <row r="774" spans="7:14" ht="11.25" customHeight="1" x14ac:dyDescent="0.25">
      <c r="G774" s="459">
        <f t="shared" si="78"/>
        <v>64</v>
      </c>
      <c r="H774" s="459">
        <v>767</v>
      </c>
      <c r="I774" s="444">
        <f t="shared" ref="I774:I1028" ca="1" si="81">L773</f>
        <v>-9559944.1624164097</v>
      </c>
      <c r="J774" s="444">
        <f t="array" ref="J774">IFERROR(INDEX('Retirement Calculator'!J:J,MATCH('Isaac 401k'!N774,'Retirement Calculator'!A:A,0),0),0)</f>
        <v>8395.6297298201844</v>
      </c>
      <c r="K774" s="444">
        <f t="shared" ca="1" si="79"/>
        <v>-39868.082467275955</v>
      </c>
      <c r="L774" s="444">
        <f t="shared" ca="1" si="80"/>
        <v>-9608207.8746135067</v>
      </c>
      <c r="M774" s="460">
        <f t="shared" ref="M774:M1028" si="82">M773</f>
        <v>0.05</v>
      </c>
      <c r="N774" s="464">
        <f t="shared" ref="N774:N1028" si="83">EDATE(N773,1)</f>
        <v>74602</v>
      </c>
    </row>
    <row r="775" spans="7:14" ht="11.25" customHeight="1" x14ac:dyDescent="0.25">
      <c r="G775" s="459">
        <f t="shared" si="78"/>
        <v>64</v>
      </c>
      <c r="H775" s="459">
        <v>768</v>
      </c>
      <c r="I775" s="444">
        <f t="shared" ca="1" si="81"/>
        <v>-9608207.8746135067</v>
      </c>
      <c r="J775" s="444">
        <f t="array" ref="J775">IFERROR(INDEX('Retirement Calculator'!J:J,MATCH('Isaac 401k'!N775,'Retirement Calculator'!A:A,0),0),0)</f>
        <v>8395.6297298201844</v>
      </c>
      <c r="K775" s="444">
        <f t="shared" ca="1" si="79"/>
        <v>-40069.181268097193</v>
      </c>
      <c r="L775" s="444">
        <f t="shared" ca="1" si="80"/>
        <v>-9656672.685611425</v>
      </c>
      <c r="M775" s="460">
        <f t="shared" si="82"/>
        <v>0.05</v>
      </c>
      <c r="N775" s="464">
        <f t="shared" si="83"/>
        <v>74632</v>
      </c>
    </row>
    <row r="776" spans="7:14" ht="11.25" customHeight="1" x14ac:dyDescent="0.25">
      <c r="G776" s="459">
        <f>G775+1</f>
        <v>65</v>
      </c>
      <c r="H776" s="459">
        <v>769</v>
      </c>
      <c r="I776" s="444">
        <f t="shared" ca="1" si="81"/>
        <v>-9656672.685611425</v>
      </c>
      <c r="J776" s="444">
        <f t="array" ref="J776">IFERROR(INDEX('Retirement Calculator'!J:J,MATCH('Isaac 401k'!N776,'Retirement Calculator'!A:A,0),0),0)</f>
        <v>8395.6297298201844</v>
      </c>
      <c r="K776" s="444">
        <f t="shared" ca="1" si="79"/>
        <v>-40271.117980588519</v>
      </c>
      <c r="L776" s="444">
        <f t="shared" ca="1" si="80"/>
        <v>-9705339.4333218336</v>
      </c>
      <c r="M776" s="460">
        <f t="shared" si="82"/>
        <v>0.05</v>
      </c>
      <c r="N776" s="464">
        <f t="shared" si="83"/>
        <v>74663</v>
      </c>
    </row>
    <row r="777" spans="7:14" ht="11.25" customHeight="1" x14ac:dyDescent="0.25">
      <c r="G777" s="459">
        <f t="shared" ref="G777:G787" si="84">G776</f>
        <v>65</v>
      </c>
      <c r="H777" s="459">
        <v>770</v>
      </c>
      <c r="I777" s="444">
        <f t="shared" ca="1" si="81"/>
        <v>-9705339.4333218336</v>
      </c>
      <c r="J777" s="444">
        <f t="array" ref="J777">IFERROR(INDEX('Retirement Calculator'!J:J,MATCH('Isaac 401k'!N777,'Retirement Calculator'!A:A,0),0),0)</f>
        <v>8395.6297298201844</v>
      </c>
      <c r="K777" s="444">
        <f t="shared" ca="1" si="79"/>
        <v>-40473.896096048557</v>
      </c>
      <c r="L777" s="444">
        <f t="shared" ca="1" si="80"/>
        <v>-9754208.9591477029</v>
      </c>
      <c r="M777" s="460">
        <f t="shared" si="82"/>
        <v>0.05</v>
      </c>
      <c r="N777" s="464">
        <f t="shared" si="83"/>
        <v>74693</v>
      </c>
    </row>
    <row r="778" spans="7:14" ht="11.25" customHeight="1" x14ac:dyDescent="0.25">
      <c r="G778" s="459">
        <f t="shared" si="84"/>
        <v>65</v>
      </c>
      <c r="H778" s="459">
        <v>771</v>
      </c>
      <c r="I778" s="444">
        <f t="shared" ca="1" si="81"/>
        <v>-9754208.9591477029</v>
      </c>
      <c r="J778" s="444">
        <f t="array" ref="J778">IFERROR(INDEX('Retirement Calculator'!J:J,MATCH('Isaac 401k'!N778,'Retirement Calculator'!A:A,0),0),0)</f>
        <v>8395.6297298201844</v>
      </c>
      <c r="K778" s="444">
        <f t="shared" ca="1" si="79"/>
        <v>-40677.519120323013</v>
      </c>
      <c r="L778" s="444">
        <f t="shared" ca="1" si="80"/>
        <v>-9803282.1079978459</v>
      </c>
      <c r="M778" s="460">
        <f t="shared" si="82"/>
        <v>0.05</v>
      </c>
      <c r="N778" s="464">
        <f t="shared" si="83"/>
        <v>74724</v>
      </c>
    </row>
    <row r="779" spans="7:14" ht="11.25" customHeight="1" x14ac:dyDescent="0.25">
      <c r="G779" s="459">
        <f t="shared" si="84"/>
        <v>65</v>
      </c>
      <c r="H779" s="459">
        <v>772</v>
      </c>
      <c r="I779" s="444">
        <f t="shared" ca="1" si="81"/>
        <v>-9803282.1079978459</v>
      </c>
      <c r="J779" s="444">
        <f t="array" ref="J779">IFERROR(INDEX('Retirement Calculator'!J:J,MATCH('Isaac 401k'!N779,'Retirement Calculator'!A:A,0),0),0)</f>
        <v>8395.6297298201844</v>
      </c>
      <c r="K779" s="444">
        <f t="shared" ca="1" si="79"/>
        <v>-40881.990573865274</v>
      </c>
      <c r="L779" s="444">
        <f t="shared" ca="1" si="80"/>
        <v>-9852559.7283015307</v>
      </c>
      <c r="M779" s="460">
        <f t="shared" si="82"/>
        <v>0.05</v>
      </c>
      <c r="N779" s="464">
        <f t="shared" si="83"/>
        <v>74755</v>
      </c>
    </row>
    <row r="780" spans="7:14" ht="11.25" customHeight="1" x14ac:dyDescent="0.25">
      <c r="G780" s="459">
        <f t="shared" si="84"/>
        <v>65</v>
      </c>
      <c r="H780" s="459">
        <v>773</v>
      </c>
      <c r="I780" s="444">
        <f t="shared" ca="1" si="81"/>
        <v>-9852559.7283015307</v>
      </c>
      <c r="J780" s="444">
        <f t="array" ref="J780">IFERROR(INDEX('Retirement Calculator'!J:J,MATCH('Isaac 401k'!N780,'Retirement Calculator'!A:A,0),0),0)</f>
        <v>8395.6297298201844</v>
      </c>
      <c r="K780" s="444">
        <f t="shared" ca="1" si="79"/>
        <v>-41087.313991797295</v>
      </c>
      <c r="L780" s="444">
        <f t="shared" ca="1" si="80"/>
        <v>-9902042.6720231492</v>
      </c>
      <c r="M780" s="460">
        <f t="shared" si="82"/>
        <v>0.05</v>
      </c>
      <c r="N780" s="464">
        <f t="shared" si="83"/>
        <v>74785</v>
      </c>
    </row>
    <row r="781" spans="7:14" ht="11.25" customHeight="1" x14ac:dyDescent="0.25">
      <c r="G781" s="459">
        <f t="shared" si="84"/>
        <v>65</v>
      </c>
      <c r="H781" s="459">
        <v>774</v>
      </c>
      <c r="I781" s="444">
        <f t="shared" ca="1" si="81"/>
        <v>-9902042.6720231492</v>
      </c>
      <c r="J781" s="444">
        <f t="array" ref="J781">IFERROR(INDEX('Retirement Calculator'!J:J,MATCH('Isaac 401k'!N781,'Retirement Calculator'!A:A,0),0),0)</f>
        <v>8395.6297298201844</v>
      </c>
      <c r="K781" s="444">
        <f t="shared" ca="1" si="79"/>
        <v>-41293.492923970705</v>
      </c>
      <c r="L781" s="444">
        <f t="shared" ca="1" si="80"/>
        <v>-9951731.7946769409</v>
      </c>
      <c r="M781" s="460">
        <f t="shared" si="82"/>
        <v>0.05</v>
      </c>
      <c r="N781" s="464">
        <f t="shared" si="83"/>
        <v>74816</v>
      </c>
    </row>
    <row r="782" spans="7:14" ht="11.25" customHeight="1" x14ac:dyDescent="0.25">
      <c r="G782" s="459">
        <f t="shared" si="84"/>
        <v>65</v>
      </c>
      <c r="H782" s="459">
        <v>775</v>
      </c>
      <c r="I782" s="444">
        <f t="shared" ca="1" si="81"/>
        <v>-9951731.7946769409</v>
      </c>
      <c r="J782" s="444">
        <f t="array" ref="J782">IFERROR(INDEX('Retirement Calculator'!J:J,MATCH('Isaac 401k'!N782,'Retirement Calculator'!A:A,0),0),0)</f>
        <v>8395.6297298201844</v>
      </c>
      <c r="K782" s="444">
        <f t="shared" ca="1" si="79"/>
        <v>-41500.530935028175</v>
      </c>
      <c r="L782" s="444">
        <f t="shared" ca="1" si="80"/>
        <v>-10001627.95534179</v>
      </c>
      <c r="M782" s="460">
        <f t="shared" si="82"/>
        <v>0.05</v>
      </c>
      <c r="N782" s="464">
        <f t="shared" si="83"/>
        <v>74846</v>
      </c>
    </row>
    <row r="783" spans="7:14" ht="11.25" customHeight="1" x14ac:dyDescent="0.25">
      <c r="G783" s="459">
        <f t="shared" si="84"/>
        <v>65</v>
      </c>
      <c r="H783" s="459">
        <v>776</v>
      </c>
      <c r="I783" s="444">
        <f t="shared" ca="1" si="81"/>
        <v>-10001627.95534179</v>
      </c>
      <c r="J783" s="444">
        <f t="array" ref="J783">IFERROR(INDEX('Retirement Calculator'!J:J,MATCH('Isaac 401k'!N783,'Retirement Calculator'!A:A,0),0),0)</f>
        <v>8395.6297298201844</v>
      </c>
      <c r="K783" s="444">
        <f t="shared" ca="1" si="79"/>
        <v>-41708.43160446504</v>
      </c>
      <c r="L783" s="444">
        <f t="shared" ca="1" si="80"/>
        <v>-10051732.016676076</v>
      </c>
      <c r="M783" s="460">
        <f t="shared" si="82"/>
        <v>0.05</v>
      </c>
      <c r="N783" s="464">
        <f t="shared" si="83"/>
        <v>74877</v>
      </c>
    </row>
    <row r="784" spans="7:14" ht="11.25" customHeight="1" x14ac:dyDescent="0.25">
      <c r="G784" s="459">
        <f t="shared" si="84"/>
        <v>65</v>
      </c>
      <c r="H784" s="459">
        <v>777</v>
      </c>
      <c r="I784" s="444">
        <f t="shared" ca="1" si="81"/>
        <v>-10051732.016676076</v>
      </c>
      <c r="J784" s="444">
        <f t="array" ref="J784">IFERROR(INDEX('Retirement Calculator'!J:J,MATCH('Isaac 401k'!N784,'Retirement Calculator'!A:A,0),0),0)</f>
        <v>8395.6297298201844</v>
      </c>
      <c r="K784" s="444">
        <f t="shared" ca="1" si="79"/>
        <v>-41917.198526691231</v>
      </c>
      <c r="L784" s="444">
        <f t="shared" ca="1" si="80"/>
        <v>-10102044.844932588</v>
      </c>
      <c r="M784" s="460">
        <f t="shared" si="82"/>
        <v>0.05</v>
      </c>
      <c r="N784" s="464">
        <f t="shared" si="83"/>
        <v>74908</v>
      </c>
    </row>
    <row r="785" spans="7:14" ht="11.25" customHeight="1" x14ac:dyDescent="0.25">
      <c r="G785" s="459">
        <f t="shared" si="84"/>
        <v>65</v>
      </c>
      <c r="H785" s="459">
        <v>778</v>
      </c>
      <c r="I785" s="444">
        <f t="shared" ca="1" si="81"/>
        <v>-10102044.844932588</v>
      </c>
      <c r="J785" s="444">
        <f t="array" ref="J785">IFERROR(INDEX('Retirement Calculator'!J:J,MATCH('Isaac 401k'!N785,'Retirement Calculator'!A:A,0),0),0)</f>
        <v>8395.6297298201844</v>
      </c>
      <c r="K785" s="444">
        <f t="shared" ca="1" si="79"/>
        <v>-42126.835311093368</v>
      </c>
      <c r="L785" s="444">
        <f t="shared" ca="1" si="80"/>
        <v>-10152567.309973501</v>
      </c>
      <c r="M785" s="460">
        <f t="shared" si="82"/>
        <v>0.05</v>
      </c>
      <c r="N785" s="464">
        <f t="shared" si="83"/>
        <v>74936</v>
      </c>
    </row>
    <row r="786" spans="7:14" ht="11.25" customHeight="1" x14ac:dyDescent="0.25">
      <c r="G786" s="459">
        <f t="shared" si="84"/>
        <v>65</v>
      </c>
      <c r="H786" s="459">
        <v>779</v>
      </c>
      <c r="I786" s="444">
        <f t="shared" ca="1" si="81"/>
        <v>-10152567.309973501</v>
      </c>
      <c r="J786" s="444">
        <f t="array" ref="J786">IFERROR(INDEX('Retirement Calculator'!J:J,MATCH('Isaac 401k'!N786,'Retirement Calculator'!A:A,0),0),0)</f>
        <v>8395.6297298201844</v>
      </c>
      <c r="K786" s="444">
        <f t="shared" ca="1" si="79"/>
        <v>-42337.345582097172</v>
      </c>
      <c r="L786" s="444">
        <f t="shared" ca="1" si="80"/>
        <v>-10203300.285285419</v>
      </c>
      <c r="M786" s="460">
        <f t="shared" si="82"/>
        <v>0.05</v>
      </c>
      <c r="N786" s="464">
        <f t="shared" si="83"/>
        <v>74967</v>
      </c>
    </row>
    <row r="787" spans="7:14" ht="11.25" customHeight="1" x14ac:dyDescent="0.25">
      <c r="G787" s="459">
        <f t="shared" si="84"/>
        <v>65</v>
      </c>
      <c r="H787" s="459">
        <v>780</v>
      </c>
      <c r="I787" s="444">
        <f t="shared" ca="1" si="81"/>
        <v>-10203300.285285419</v>
      </c>
      <c r="J787" s="444">
        <f t="array" ref="J787">IFERROR(INDEX('Retirement Calculator'!J:J,MATCH('Isaac 401k'!N787,'Retirement Calculator'!A:A,0),0),0)</f>
        <v>8395.6297298201844</v>
      </c>
      <c r="K787" s="444">
        <f t="shared" ca="1" si="79"/>
        <v>-42548.732979230161</v>
      </c>
      <c r="L787" s="444">
        <f t="shared" ca="1" si="80"/>
        <v>-10254244.64799447</v>
      </c>
      <c r="M787" s="460">
        <f t="shared" si="82"/>
        <v>0.05</v>
      </c>
      <c r="N787" s="464">
        <f t="shared" si="83"/>
        <v>74997</v>
      </c>
    </row>
    <row r="788" spans="7:14" ht="11.25" customHeight="1" x14ac:dyDescent="0.25">
      <c r="G788" s="459">
        <f>G787+1</f>
        <v>66</v>
      </c>
      <c r="H788" s="459">
        <v>781</v>
      </c>
      <c r="I788" s="444">
        <f t="shared" ca="1" si="81"/>
        <v>-10254244.64799447</v>
      </c>
      <c r="J788" s="444">
        <f t="array" ref="J788">IFERROR(INDEX('Retirement Calculator'!J:J,MATCH('Isaac 401k'!N788,'Retirement Calculator'!A:A,0),0),0)</f>
        <v>8395.6297298201844</v>
      </c>
      <c r="K788" s="444">
        <f t="shared" ca="1" si="79"/>
        <v>-42761.001157184539</v>
      </c>
      <c r="L788" s="444">
        <f t="shared" ca="1" si="80"/>
        <v>-10305401.278881475</v>
      </c>
      <c r="M788" s="460">
        <f t="shared" si="82"/>
        <v>0.05</v>
      </c>
      <c r="N788" s="464">
        <f t="shared" si="83"/>
        <v>75028</v>
      </c>
    </row>
    <row r="789" spans="7:14" ht="11.25" customHeight="1" x14ac:dyDescent="0.25">
      <c r="G789" s="459">
        <f t="shared" ref="G789:G799" si="85">G788</f>
        <v>66</v>
      </c>
      <c r="H789" s="459">
        <v>782</v>
      </c>
      <c r="I789" s="444">
        <f t="shared" ca="1" si="81"/>
        <v>-10305401.278881475</v>
      </c>
      <c r="J789" s="444">
        <f t="array" ref="J789">IFERROR(INDEX('Retirement Calculator'!J:J,MATCH('Isaac 401k'!N789,'Retirement Calculator'!A:A,0),0),0)</f>
        <v>8395.6297298201844</v>
      </c>
      <c r="K789" s="444">
        <f t="shared" ca="1" si="79"/>
        <v>-42974.1537858804</v>
      </c>
      <c r="L789" s="444">
        <f t="shared" ca="1" si="80"/>
        <v>-10356771.062397176</v>
      </c>
      <c r="M789" s="460">
        <f t="shared" si="82"/>
        <v>0.05</v>
      </c>
      <c r="N789" s="464">
        <f t="shared" si="83"/>
        <v>75058</v>
      </c>
    </row>
    <row r="790" spans="7:14" ht="11.25" customHeight="1" x14ac:dyDescent="0.25">
      <c r="G790" s="459">
        <f t="shared" si="85"/>
        <v>66</v>
      </c>
      <c r="H790" s="459">
        <v>783</v>
      </c>
      <c r="I790" s="444">
        <f t="shared" ca="1" si="81"/>
        <v>-10356771.062397176</v>
      </c>
      <c r="J790" s="444">
        <f t="array" ref="J790">IFERROR(INDEX('Retirement Calculator'!J:J,MATCH('Isaac 401k'!N790,'Retirement Calculator'!A:A,0),0),0)</f>
        <v>8395.6297298201844</v>
      </c>
      <c r="K790" s="444">
        <f t="shared" ca="1" si="79"/>
        <v>-43188.194550529151</v>
      </c>
      <c r="L790" s="444">
        <f t="shared" ca="1" si="80"/>
        <v>-10408354.886677526</v>
      </c>
      <c r="M790" s="460">
        <f t="shared" si="82"/>
        <v>0.05</v>
      </c>
      <c r="N790" s="464">
        <f t="shared" si="83"/>
        <v>75089</v>
      </c>
    </row>
    <row r="791" spans="7:14" ht="11.25" customHeight="1" x14ac:dyDescent="0.25">
      <c r="G791" s="459">
        <f t="shared" si="85"/>
        <v>66</v>
      </c>
      <c r="H791" s="459">
        <v>784</v>
      </c>
      <c r="I791" s="444">
        <f t="shared" ca="1" si="81"/>
        <v>-10408354.886677526</v>
      </c>
      <c r="J791" s="444">
        <f t="array" ref="J791">IFERROR(INDEX('Retirement Calculator'!J:J,MATCH('Isaac 401k'!N791,'Retirement Calculator'!A:A,0),0),0)</f>
        <v>8395.6297298201844</v>
      </c>
      <c r="K791" s="444">
        <f t="shared" ca="1" si="79"/>
        <v>-43403.127151697277</v>
      </c>
      <c r="L791" s="444">
        <f t="shared" ca="1" si="80"/>
        <v>-10460153.643559044</v>
      </c>
      <c r="M791" s="460">
        <f t="shared" si="82"/>
        <v>0.05</v>
      </c>
      <c r="N791" s="464">
        <f t="shared" si="83"/>
        <v>75120</v>
      </c>
    </row>
    <row r="792" spans="7:14" ht="11.25" customHeight="1" x14ac:dyDescent="0.25">
      <c r="G792" s="459">
        <f t="shared" si="85"/>
        <v>66</v>
      </c>
      <c r="H792" s="459">
        <v>785</v>
      </c>
      <c r="I792" s="444">
        <f t="shared" ca="1" si="81"/>
        <v>-10460153.643559044</v>
      </c>
      <c r="J792" s="444">
        <f t="array" ref="J792">IFERROR(INDEX('Retirement Calculator'!J:J,MATCH('Isaac 401k'!N792,'Retirement Calculator'!A:A,0),0),0)</f>
        <v>8395.6297298201844</v>
      </c>
      <c r="K792" s="444">
        <f t="shared" ca="1" si="79"/>
        <v>-43618.955305370269</v>
      </c>
      <c r="L792" s="444">
        <f t="shared" ca="1" si="80"/>
        <v>-10512168.228594234</v>
      </c>
      <c r="M792" s="460">
        <f t="shared" si="82"/>
        <v>0.05</v>
      </c>
      <c r="N792" s="464">
        <f t="shared" si="83"/>
        <v>75150</v>
      </c>
    </row>
    <row r="793" spans="7:14" ht="11.25" customHeight="1" x14ac:dyDescent="0.25">
      <c r="G793" s="459">
        <f t="shared" si="85"/>
        <v>66</v>
      </c>
      <c r="H793" s="459">
        <v>786</v>
      </c>
      <c r="I793" s="444">
        <f t="shared" ca="1" si="81"/>
        <v>-10512168.228594234</v>
      </c>
      <c r="J793" s="444">
        <f t="array" ref="J793">IFERROR(INDEX('Retirement Calculator'!J:J,MATCH('Isaac 401k'!N793,'Retirement Calculator'!A:A,0),0),0)</f>
        <v>8395.6297298201844</v>
      </c>
      <c r="K793" s="444">
        <f t="shared" ca="1" si="79"/>
        <v>-43835.682743016892</v>
      </c>
      <c r="L793" s="444">
        <f t="shared" ca="1" si="80"/>
        <v>-10564399.541067071</v>
      </c>
      <c r="M793" s="460">
        <f t="shared" si="82"/>
        <v>0.05</v>
      </c>
      <c r="N793" s="464">
        <f t="shared" si="83"/>
        <v>75181</v>
      </c>
    </row>
    <row r="794" spans="7:14" ht="11.25" customHeight="1" x14ac:dyDescent="0.25">
      <c r="G794" s="459">
        <f t="shared" si="85"/>
        <v>66</v>
      </c>
      <c r="H794" s="459">
        <v>787</v>
      </c>
      <c r="I794" s="444">
        <f t="shared" ca="1" si="81"/>
        <v>-10564399.541067071</v>
      </c>
      <c r="J794" s="444">
        <f t="array" ref="J794">IFERROR(INDEX('Retirement Calculator'!J:J,MATCH('Isaac 401k'!N794,'Retirement Calculator'!A:A,0),0),0)</f>
        <v>8395.6297298201844</v>
      </c>
      <c r="K794" s="444">
        <f t="shared" ca="1" si="79"/>
        <v>-44053.313211653716</v>
      </c>
      <c r="L794" s="444">
        <f t="shared" ca="1" si="80"/>
        <v>-10616848.484008545</v>
      </c>
      <c r="M794" s="460">
        <f t="shared" si="82"/>
        <v>0.05</v>
      </c>
      <c r="N794" s="464">
        <f t="shared" si="83"/>
        <v>75211</v>
      </c>
    </row>
    <row r="795" spans="7:14" ht="11.25" customHeight="1" x14ac:dyDescent="0.25">
      <c r="G795" s="459">
        <f t="shared" si="85"/>
        <v>66</v>
      </c>
      <c r="H795" s="459">
        <v>788</v>
      </c>
      <c r="I795" s="444">
        <f t="shared" ca="1" si="81"/>
        <v>-10616848.484008545</v>
      </c>
      <c r="J795" s="444">
        <f t="array" ref="J795">IFERROR(INDEX('Retirement Calculator'!J:J,MATCH('Isaac 401k'!N795,'Retirement Calculator'!A:A,0),0),0)</f>
        <v>8395.6297298201844</v>
      </c>
      <c r="K795" s="444">
        <f t="shared" ca="1" si="79"/>
        <v>-44271.850473909857</v>
      </c>
      <c r="L795" s="444">
        <f t="shared" ca="1" si="80"/>
        <v>-10669515.964212276</v>
      </c>
      <c r="M795" s="460">
        <f t="shared" si="82"/>
        <v>0.05</v>
      </c>
      <c r="N795" s="464">
        <f t="shared" si="83"/>
        <v>75242</v>
      </c>
    </row>
    <row r="796" spans="7:14" ht="11.25" customHeight="1" x14ac:dyDescent="0.25">
      <c r="G796" s="459">
        <f t="shared" si="85"/>
        <v>66</v>
      </c>
      <c r="H796" s="459">
        <v>789</v>
      </c>
      <c r="I796" s="444">
        <f t="shared" ca="1" si="81"/>
        <v>-10669515.964212276</v>
      </c>
      <c r="J796" s="444">
        <f t="array" ref="J796">IFERROR(INDEX('Retirement Calculator'!J:J,MATCH('Isaac 401k'!N796,'Retirement Calculator'!A:A,0),0),0)</f>
        <v>8395.6297298201844</v>
      </c>
      <c r="K796" s="444">
        <f t="shared" ca="1" si="79"/>
        <v>-44491.298308092068</v>
      </c>
      <c r="L796" s="444">
        <f t="shared" ca="1" si="80"/>
        <v>-10722402.892250188</v>
      </c>
      <c r="M796" s="460">
        <f t="shared" si="82"/>
        <v>0.05</v>
      </c>
      <c r="N796" s="464">
        <f t="shared" si="83"/>
        <v>75273</v>
      </c>
    </row>
    <row r="797" spans="7:14" ht="11.25" customHeight="1" x14ac:dyDescent="0.25">
      <c r="G797" s="459">
        <f t="shared" si="85"/>
        <v>66</v>
      </c>
      <c r="H797" s="459">
        <v>790</v>
      </c>
      <c r="I797" s="444">
        <f t="shared" ca="1" si="81"/>
        <v>-10722402.892250188</v>
      </c>
      <c r="J797" s="444">
        <f t="array" ref="J797">IFERROR(INDEX('Retirement Calculator'!J:J,MATCH('Isaac 401k'!N797,'Retirement Calculator'!A:A,0),0),0)</f>
        <v>8395.6297298201844</v>
      </c>
      <c r="K797" s="444">
        <f t="shared" ca="1" si="79"/>
        <v>-44711.660508250032</v>
      </c>
      <c r="L797" s="444">
        <f t="shared" ca="1" si="80"/>
        <v>-10775510.182488259</v>
      </c>
      <c r="M797" s="460">
        <f t="shared" si="82"/>
        <v>0.05</v>
      </c>
      <c r="N797" s="464">
        <f t="shared" si="83"/>
        <v>75301</v>
      </c>
    </row>
    <row r="798" spans="7:14" ht="11.25" customHeight="1" x14ac:dyDescent="0.25">
      <c r="G798" s="459">
        <f t="shared" si="85"/>
        <v>66</v>
      </c>
      <c r="H798" s="459">
        <v>791</v>
      </c>
      <c r="I798" s="444">
        <f t="shared" ca="1" si="81"/>
        <v>-10775510.182488259</v>
      </c>
      <c r="J798" s="444">
        <f t="array" ref="J798">IFERROR(INDEX('Retirement Calculator'!J:J,MATCH('Isaac 401k'!N798,'Retirement Calculator'!A:A,0),0),0)</f>
        <v>8395.6297298201844</v>
      </c>
      <c r="K798" s="444">
        <f t="shared" ca="1" si="79"/>
        <v>-44932.940884241994</v>
      </c>
      <c r="L798" s="444">
        <f t="shared" ca="1" si="80"/>
        <v>-10828838.753102321</v>
      </c>
      <c r="M798" s="460">
        <f t="shared" si="82"/>
        <v>0.05</v>
      </c>
      <c r="N798" s="464">
        <f t="shared" si="83"/>
        <v>75332</v>
      </c>
    </row>
    <row r="799" spans="7:14" ht="11.25" customHeight="1" x14ac:dyDescent="0.25">
      <c r="G799" s="459">
        <f t="shared" si="85"/>
        <v>66</v>
      </c>
      <c r="H799" s="459">
        <v>792</v>
      </c>
      <c r="I799" s="444">
        <f t="shared" ca="1" si="81"/>
        <v>-10828838.753102321</v>
      </c>
      <c r="J799" s="444">
        <f t="array" ref="J799">IFERROR(INDEX('Retirement Calculator'!J:J,MATCH('Isaac 401k'!N799,'Retirement Calculator'!A:A,0),0),0)</f>
        <v>8395.6297298201844</v>
      </c>
      <c r="K799" s="444">
        <f t="shared" ca="1" si="79"/>
        <v>-45155.143261800593</v>
      </c>
      <c r="L799" s="444">
        <f t="shared" ca="1" si="80"/>
        <v>-10882389.526093943</v>
      </c>
      <c r="M799" s="460">
        <f t="shared" si="82"/>
        <v>0.05</v>
      </c>
      <c r="N799" s="464">
        <f t="shared" si="83"/>
        <v>75362</v>
      </c>
    </row>
    <row r="800" spans="7:14" ht="11.25" customHeight="1" x14ac:dyDescent="0.25">
      <c r="G800" s="459">
        <f>G799+1</f>
        <v>67</v>
      </c>
      <c r="H800" s="459">
        <v>793</v>
      </c>
      <c r="I800" s="444">
        <f t="shared" ca="1" si="81"/>
        <v>-10882389.526093943</v>
      </c>
      <c r="J800" s="444">
        <f t="array" ref="J800">IFERROR(INDEX('Retirement Calculator'!J:J,MATCH('Isaac 401k'!N800,'Retirement Calculator'!A:A,0),0),0)</f>
        <v>8395.6297298201844</v>
      </c>
      <c r="K800" s="444">
        <f t="shared" ca="1" si="79"/>
        <v>-45378.271482599012</v>
      </c>
      <c r="L800" s="444">
        <f t="shared" ca="1" si="80"/>
        <v>-10936163.427306363</v>
      </c>
      <c r="M800" s="460">
        <f t="shared" si="82"/>
        <v>0.05</v>
      </c>
      <c r="N800" s="464">
        <f t="shared" si="83"/>
        <v>75393</v>
      </c>
    </row>
    <row r="801" spans="7:14" ht="11.25" customHeight="1" x14ac:dyDescent="0.25">
      <c r="G801" s="459">
        <f t="shared" ref="G801:G811" si="86">G800</f>
        <v>67</v>
      </c>
      <c r="H801" s="459">
        <v>794</v>
      </c>
      <c r="I801" s="444">
        <f t="shared" ca="1" si="81"/>
        <v>-10936163.427306363</v>
      </c>
      <c r="J801" s="444">
        <f t="array" ref="J801">IFERROR(INDEX('Retirement Calculator'!J:J,MATCH('Isaac 401k'!N801,'Retirement Calculator'!A:A,0),0),0)</f>
        <v>8395.6297298201844</v>
      </c>
      <c r="K801" s="444">
        <f t="shared" ca="1" si="79"/>
        <v>-45602.329404317432</v>
      </c>
      <c r="L801" s="444">
        <f t="shared" ca="1" si="80"/>
        <v>-10990161.386440501</v>
      </c>
      <c r="M801" s="460">
        <f t="shared" si="82"/>
        <v>0.05</v>
      </c>
      <c r="N801" s="464">
        <f t="shared" si="83"/>
        <v>75423</v>
      </c>
    </row>
    <row r="802" spans="7:14" ht="11.25" customHeight="1" x14ac:dyDescent="0.25">
      <c r="G802" s="459">
        <f t="shared" si="86"/>
        <v>67</v>
      </c>
      <c r="H802" s="459">
        <v>795</v>
      </c>
      <c r="I802" s="444">
        <f t="shared" ca="1" si="81"/>
        <v>-10990161.386440501</v>
      </c>
      <c r="J802" s="444">
        <f t="array" ref="J802">IFERROR(INDEX('Retirement Calculator'!J:J,MATCH('Isaac 401k'!N802,'Retirement Calculator'!A:A,0),0),0)</f>
        <v>8395.6297298201844</v>
      </c>
      <c r="K802" s="444">
        <f t="shared" ca="1" si="79"/>
        <v>-45827.320900709674</v>
      </c>
      <c r="L802" s="444">
        <f t="shared" ca="1" si="80"/>
        <v>-11044384.337071031</v>
      </c>
      <c r="M802" s="460">
        <f t="shared" si="82"/>
        <v>0.05</v>
      </c>
      <c r="N802" s="464">
        <f t="shared" si="83"/>
        <v>75454</v>
      </c>
    </row>
    <row r="803" spans="7:14" ht="11.25" customHeight="1" x14ac:dyDescent="0.25">
      <c r="G803" s="459">
        <f t="shared" si="86"/>
        <v>67</v>
      </c>
      <c r="H803" s="459">
        <v>796</v>
      </c>
      <c r="I803" s="444">
        <f t="shared" ca="1" si="81"/>
        <v>-11044384.337071031</v>
      </c>
      <c r="J803" s="444">
        <f t="array" ref="J803">IFERROR(INDEX('Retirement Calculator'!J:J,MATCH('Isaac 401k'!N803,'Retirement Calculator'!A:A,0),0),0)</f>
        <v>8395.6297298201844</v>
      </c>
      <c r="K803" s="444">
        <f t="shared" ca="1" si="79"/>
        <v>-46053.249861670214</v>
      </c>
      <c r="L803" s="444">
        <f t="shared" ca="1" si="80"/>
        <v>-11098833.216662522</v>
      </c>
      <c r="M803" s="460">
        <f t="shared" si="82"/>
        <v>0.05</v>
      </c>
      <c r="N803" s="464">
        <f t="shared" si="83"/>
        <v>75485</v>
      </c>
    </row>
    <row r="804" spans="7:14" ht="11.25" customHeight="1" x14ac:dyDescent="0.25">
      <c r="G804" s="459">
        <f t="shared" si="86"/>
        <v>67</v>
      </c>
      <c r="H804" s="459">
        <v>797</v>
      </c>
      <c r="I804" s="444">
        <f t="shared" ca="1" si="81"/>
        <v>-11098833.216662522</v>
      </c>
      <c r="J804" s="444">
        <f t="array" ref="J804">IFERROR(INDEX('Retirement Calculator'!J:J,MATCH('Isaac 401k'!N804,'Retirement Calculator'!A:A,0),0),0)</f>
        <v>8395.6297298201844</v>
      </c>
      <c r="K804" s="444">
        <f t="shared" ca="1" si="79"/>
        <v>-46280.120193301431</v>
      </c>
      <c r="L804" s="444">
        <f t="shared" ca="1" si="80"/>
        <v>-11153508.966585644</v>
      </c>
      <c r="M804" s="460">
        <f t="shared" si="82"/>
        <v>0.05</v>
      </c>
      <c r="N804" s="464">
        <f t="shared" si="83"/>
        <v>75515</v>
      </c>
    </row>
    <row r="805" spans="7:14" ht="11.25" customHeight="1" x14ac:dyDescent="0.25">
      <c r="G805" s="459">
        <f t="shared" si="86"/>
        <v>67</v>
      </c>
      <c r="H805" s="459">
        <v>798</v>
      </c>
      <c r="I805" s="444">
        <f t="shared" ca="1" si="81"/>
        <v>-11153508.966585644</v>
      </c>
      <c r="J805" s="444">
        <f t="array" ref="J805">IFERROR(INDEX('Retirement Calculator'!J:J,MATCH('Isaac 401k'!N805,'Retirement Calculator'!A:A,0),0),0)</f>
        <v>8395.6297298201844</v>
      </c>
      <c r="K805" s="444">
        <f t="shared" ca="1" si="79"/>
        <v>-46507.935817981102</v>
      </c>
      <c r="L805" s="444">
        <f t="shared" ca="1" si="80"/>
        <v>-11208412.532133445</v>
      </c>
      <c r="M805" s="460">
        <f t="shared" si="82"/>
        <v>0.05</v>
      </c>
      <c r="N805" s="464">
        <f t="shared" si="83"/>
        <v>75546</v>
      </c>
    </row>
    <row r="806" spans="7:14" ht="11.25" customHeight="1" x14ac:dyDescent="0.25">
      <c r="G806" s="459">
        <f t="shared" si="86"/>
        <v>67</v>
      </c>
      <c r="H806" s="459">
        <v>799</v>
      </c>
      <c r="I806" s="444">
        <f t="shared" ca="1" si="81"/>
        <v>-11208412.532133445</v>
      </c>
      <c r="J806" s="444">
        <f t="array" ref="J806">IFERROR(INDEX('Retirement Calculator'!J:J,MATCH('Isaac 401k'!N806,'Retirement Calculator'!A:A,0),0),0)</f>
        <v>8395.6297298201844</v>
      </c>
      <c r="K806" s="444">
        <f t="shared" ca="1" si="79"/>
        <v>-46736.700674430271</v>
      </c>
      <c r="L806" s="444">
        <f t="shared" ca="1" si="80"/>
        <v>-11263544.862537695</v>
      </c>
      <c r="M806" s="460">
        <f t="shared" si="82"/>
        <v>0.05</v>
      </c>
      <c r="N806" s="464">
        <f t="shared" si="83"/>
        <v>75576</v>
      </c>
    </row>
    <row r="807" spans="7:14" ht="11.25" customHeight="1" x14ac:dyDescent="0.25">
      <c r="G807" s="459">
        <f t="shared" si="86"/>
        <v>67</v>
      </c>
      <c r="H807" s="459">
        <v>800</v>
      </c>
      <c r="I807" s="444">
        <f t="shared" ca="1" si="81"/>
        <v>-11263544.862537695</v>
      </c>
      <c r="J807" s="444">
        <f t="array" ref="J807">IFERROR(INDEX('Retirement Calculator'!J:J,MATCH('Isaac 401k'!N807,'Retirement Calculator'!A:A,0),0),0)</f>
        <v>8395.6297298201844</v>
      </c>
      <c r="K807" s="444">
        <f t="shared" ca="1" si="79"/>
        <v>-46966.418717781315</v>
      </c>
      <c r="L807" s="444">
        <f t="shared" ca="1" si="80"/>
        <v>-11318906.910985297</v>
      </c>
      <c r="M807" s="460">
        <f t="shared" si="82"/>
        <v>0.05</v>
      </c>
      <c r="N807" s="464">
        <f t="shared" si="83"/>
        <v>75607</v>
      </c>
    </row>
    <row r="808" spans="7:14" ht="11.25" customHeight="1" x14ac:dyDescent="0.25">
      <c r="G808" s="459">
        <f t="shared" si="86"/>
        <v>67</v>
      </c>
      <c r="H808" s="459">
        <v>801</v>
      </c>
      <c r="I808" s="444">
        <f t="shared" ca="1" si="81"/>
        <v>-11318906.910985297</v>
      </c>
      <c r="J808" s="444">
        <f t="array" ref="J808">IFERROR(INDEX('Retirement Calculator'!J:J,MATCH('Isaac 401k'!N808,'Retirement Calculator'!A:A,0),0),0)</f>
        <v>8395.6297298201844</v>
      </c>
      <c r="K808" s="444">
        <f t="shared" ca="1" si="79"/>
        <v>-47197.093919646322</v>
      </c>
      <c r="L808" s="444">
        <f t="shared" ca="1" si="80"/>
        <v>-11374499.634634763</v>
      </c>
      <c r="M808" s="460">
        <f t="shared" si="82"/>
        <v>0.05</v>
      </c>
      <c r="N808" s="464">
        <f t="shared" si="83"/>
        <v>75638</v>
      </c>
    </row>
    <row r="809" spans="7:14" ht="11.25" customHeight="1" x14ac:dyDescent="0.25">
      <c r="G809" s="459">
        <f t="shared" si="86"/>
        <v>67</v>
      </c>
      <c r="H809" s="459">
        <v>802</v>
      </c>
      <c r="I809" s="444">
        <f t="shared" ca="1" si="81"/>
        <v>-11374499.634634763</v>
      </c>
      <c r="J809" s="444">
        <f t="array" ref="J809">IFERROR(INDEX('Retirement Calculator'!J:J,MATCH('Isaac 401k'!N809,'Retirement Calculator'!A:A,0),0),0)</f>
        <v>8395.6297298201844</v>
      </c>
      <c r="K809" s="444">
        <f t="shared" ca="1" si="79"/>
        <v>-47428.730268185762</v>
      </c>
      <c r="L809" s="444">
        <f t="shared" ca="1" si="80"/>
        <v>-11430323.994632769</v>
      </c>
      <c r="M809" s="460">
        <f t="shared" si="82"/>
        <v>0.05</v>
      </c>
      <c r="N809" s="464">
        <f t="shared" si="83"/>
        <v>75666</v>
      </c>
    </row>
    <row r="810" spans="7:14" ht="11.25" customHeight="1" x14ac:dyDescent="0.25">
      <c r="G810" s="459">
        <f t="shared" si="86"/>
        <v>67</v>
      </c>
      <c r="H810" s="459">
        <v>803</v>
      </c>
      <c r="I810" s="444">
        <f t="shared" ca="1" si="81"/>
        <v>-11430323.994632769</v>
      </c>
      <c r="J810" s="444">
        <f t="array" ref="J810">IFERROR(INDEX('Retirement Calculator'!J:J,MATCH('Isaac 401k'!N810,'Retirement Calculator'!A:A,0),0),0)</f>
        <v>8395.6297298201844</v>
      </c>
      <c r="K810" s="444">
        <f t="shared" ca="1" si="79"/>
        <v>-47661.331768177457</v>
      </c>
      <c r="L810" s="444">
        <f t="shared" ca="1" si="80"/>
        <v>-11486380.956130767</v>
      </c>
      <c r="M810" s="460">
        <f t="shared" si="82"/>
        <v>0.05</v>
      </c>
      <c r="N810" s="464">
        <f t="shared" si="83"/>
        <v>75697</v>
      </c>
    </row>
    <row r="811" spans="7:14" ht="11.25" customHeight="1" x14ac:dyDescent="0.25">
      <c r="G811" s="459">
        <f t="shared" si="86"/>
        <v>67</v>
      </c>
      <c r="H811" s="459">
        <v>804</v>
      </c>
      <c r="I811" s="444">
        <f t="shared" ca="1" si="81"/>
        <v>-11486380.956130767</v>
      </c>
      <c r="J811" s="444">
        <f t="array" ref="J811">IFERROR(INDEX('Retirement Calculator'!J:J,MATCH('Isaac 401k'!N811,'Retirement Calculator'!A:A,0),0),0)</f>
        <v>8395.6297298201844</v>
      </c>
      <c r="K811" s="444">
        <f t="shared" ca="1" si="79"/>
        <v>-47894.902441085782</v>
      </c>
      <c r="L811" s="444">
        <f t="shared" ca="1" si="80"/>
        <v>-11542671.488301674</v>
      </c>
      <c r="M811" s="460">
        <f t="shared" si="82"/>
        <v>0.05</v>
      </c>
      <c r="N811" s="464">
        <f t="shared" si="83"/>
        <v>75727</v>
      </c>
    </row>
    <row r="812" spans="7:14" ht="11.25" customHeight="1" x14ac:dyDescent="0.25">
      <c r="G812" s="459">
        <f>G811+1</f>
        <v>68</v>
      </c>
      <c r="H812" s="459">
        <v>805</v>
      </c>
      <c r="I812" s="444">
        <f t="shared" ca="1" si="81"/>
        <v>-11542671.488301674</v>
      </c>
      <c r="J812" s="444">
        <f t="array" ref="J812">IFERROR(INDEX('Retirement Calculator'!J:J,MATCH('Isaac 401k'!N812,'Retirement Calculator'!A:A,0),0),0)</f>
        <v>8395.6297298201844</v>
      </c>
      <c r="K812" s="444">
        <f t="shared" ca="1" si="79"/>
        <v>-48129.446325131226</v>
      </c>
      <c r="L812" s="444">
        <f t="shared" ca="1" si="80"/>
        <v>-11599196.564356625</v>
      </c>
      <c r="M812" s="460">
        <f t="shared" si="82"/>
        <v>0.05</v>
      </c>
      <c r="N812" s="464">
        <f t="shared" si="83"/>
        <v>75758</v>
      </c>
    </row>
    <row r="813" spans="7:14" ht="11.25" customHeight="1" x14ac:dyDescent="0.25">
      <c r="G813" s="459">
        <f t="shared" ref="G813:G823" si="87">G812</f>
        <v>68</v>
      </c>
      <c r="H813" s="459">
        <v>806</v>
      </c>
      <c r="I813" s="444">
        <f t="shared" ca="1" si="81"/>
        <v>-11599196.564356625</v>
      </c>
      <c r="J813" s="444">
        <f t="array" ref="J813">IFERROR(INDEX('Retirement Calculator'!J:J,MATCH('Isaac 401k'!N813,'Retirement Calculator'!A:A,0),0),0)</f>
        <v>8395.6297298201844</v>
      </c>
      <c r="K813" s="444">
        <f t="shared" ca="1" si="79"/>
        <v>-48364.967475360187</v>
      </c>
      <c r="L813" s="444">
        <f t="shared" ca="1" si="80"/>
        <v>-11655957.161561806</v>
      </c>
      <c r="M813" s="460">
        <f t="shared" si="82"/>
        <v>0.05</v>
      </c>
      <c r="N813" s="464">
        <f t="shared" si="83"/>
        <v>75788</v>
      </c>
    </row>
    <row r="814" spans="7:14" ht="11.25" customHeight="1" x14ac:dyDescent="0.25">
      <c r="G814" s="459">
        <f t="shared" si="87"/>
        <v>68</v>
      </c>
      <c r="H814" s="459">
        <v>807</v>
      </c>
      <c r="I814" s="444">
        <f t="shared" ca="1" si="81"/>
        <v>-11655957.161561806</v>
      </c>
      <c r="J814" s="444">
        <f t="array" ref="J814">IFERROR(INDEX('Retirement Calculator'!J:J,MATCH('Isaac 401k'!N814,'Retirement Calculator'!A:A,0),0),0)</f>
        <v>8395.6297298201844</v>
      </c>
      <c r="K814" s="444">
        <f t="shared" ca="1" si="79"/>
        <v>-48601.469963715106</v>
      </c>
      <c r="L814" s="444">
        <f t="shared" ca="1" si="80"/>
        <v>-11712954.261255341</v>
      </c>
      <c r="M814" s="460">
        <f t="shared" si="82"/>
        <v>0.05</v>
      </c>
      <c r="N814" s="464">
        <f t="shared" si="83"/>
        <v>75819</v>
      </c>
    </row>
    <row r="815" spans="7:14" ht="11.25" customHeight="1" x14ac:dyDescent="0.25">
      <c r="G815" s="459">
        <f t="shared" si="87"/>
        <v>68</v>
      </c>
      <c r="H815" s="459">
        <v>808</v>
      </c>
      <c r="I815" s="444">
        <f t="shared" ca="1" si="81"/>
        <v>-11712954.261255341</v>
      </c>
      <c r="J815" s="444">
        <f t="array" ref="J815">IFERROR(INDEX('Retirement Calculator'!J:J,MATCH('Isaac 401k'!N815,'Retirement Calculator'!A:A,0),0),0)</f>
        <v>8395.6297298201844</v>
      </c>
      <c r="K815" s="444">
        <f t="shared" ca="1" si="79"/>
        <v>-48838.957879104841</v>
      </c>
      <c r="L815" s="444">
        <f t="shared" ca="1" si="80"/>
        <v>-11770188.848864267</v>
      </c>
      <c r="M815" s="460">
        <f t="shared" si="82"/>
        <v>0.05</v>
      </c>
      <c r="N815" s="464">
        <f t="shared" si="83"/>
        <v>75850</v>
      </c>
    </row>
    <row r="816" spans="7:14" ht="11.25" customHeight="1" x14ac:dyDescent="0.25">
      <c r="G816" s="459">
        <f t="shared" si="87"/>
        <v>68</v>
      </c>
      <c r="H816" s="459">
        <v>809</v>
      </c>
      <c r="I816" s="444">
        <f t="shared" ca="1" si="81"/>
        <v>-11770188.848864267</v>
      </c>
      <c r="J816" s="444">
        <f t="array" ref="J816">IFERROR(INDEX('Retirement Calculator'!J:J,MATCH('Isaac 401k'!N816,'Retirement Calculator'!A:A,0),0),0)</f>
        <v>8395.6297298201844</v>
      </c>
      <c r="K816" s="444">
        <f t="shared" ca="1" si="79"/>
        <v>-49077.435327475359</v>
      </c>
      <c r="L816" s="444">
        <f t="shared" ca="1" si="80"/>
        <v>-11827661.913921563</v>
      </c>
      <c r="M816" s="460">
        <f t="shared" si="82"/>
        <v>0.05</v>
      </c>
      <c r="N816" s="464">
        <f t="shared" si="83"/>
        <v>75880</v>
      </c>
    </row>
    <row r="817" spans="7:14" ht="11.25" customHeight="1" x14ac:dyDescent="0.25">
      <c r="G817" s="459">
        <f t="shared" si="87"/>
        <v>68</v>
      </c>
      <c r="H817" s="459">
        <v>810</v>
      </c>
      <c r="I817" s="444">
        <f t="shared" ca="1" si="81"/>
        <v>-11827661.913921563</v>
      </c>
      <c r="J817" s="444">
        <f t="array" ref="J817">IFERROR(INDEX('Retirement Calculator'!J:J,MATCH('Isaac 401k'!N817,'Retirement Calculator'!A:A,0),0),0)</f>
        <v>8395.6297298201844</v>
      </c>
      <c r="K817" s="444">
        <f t="shared" ca="1" si="79"/>
        <v>-49316.906431880765</v>
      </c>
      <c r="L817" s="444">
        <f t="shared" ca="1" si="80"/>
        <v>-11885374.450083263</v>
      </c>
      <c r="M817" s="460">
        <f t="shared" si="82"/>
        <v>0.05</v>
      </c>
      <c r="N817" s="464">
        <f t="shared" si="83"/>
        <v>75911</v>
      </c>
    </row>
    <row r="818" spans="7:14" ht="11.25" customHeight="1" x14ac:dyDescent="0.25">
      <c r="G818" s="459">
        <f t="shared" si="87"/>
        <v>68</v>
      </c>
      <c r="H818" s="459">
        <v>811</v>
      </c>
      <c r="I818" s="444">
        <f t="shared" ca="1" si="81"/>
        <v>-11885374.450083263</v>
      </c>
      <c r="J818" s="444">
        <f t="array" ref="J818">IFERROR(INDEX('Retirement Calculator'!J:J,MATCH('Isaac 401k'!N818,'Retirement Calculator'!A:A,0),0),0)</f>
        <v>8395.6297298201844</v>
      </c>
      <c r="K818" s="444">
        <f t="shared" ca="1" si="79"/>
        <v>-49557.375332554511</v>
      </c>
      <c r="L818" s="444">
        <f t="shared" ca="1" si="80"/>
        <v>-11943327.455145638</v>
      </c>
      <c r="M818" s="460">
        <f t="shared" si="82"/>
        <v>0.05</v>
      </c>
      <c r="N818" s="464">
        <f t="shared" si="83"/>
        <v>75941</v>
      </c>
    </row>
    <row r="819" spans="7:14" ht="11.25" customHeight="1" x14ac:dyDescent="0.25">
      <c r="G819" s="459">
        <f t="shared" si="87"/>
        <v>68</v>
      </c>
      <c r="H819" s="459">
        <v>812</v>
      </c>
      <c r="I819" s="444">
        <f t="shared" ca="1" si="81"/>
        <v>-11943327.455145638</v>
      </c>
      <c r="J819" s="444">
        <f t="array" ref="J819">IFERROR(INDEX('Retirement Calculator'!J:J,MATCH('Isaac 401k'!N819,'Retirement Calculator'!A:A,0),0),0)</f>
        <v>8395.6297298201844</v>
      </c>
      <c r="K819" s="444">
        <f t="shared" ca="1" si="79"/>
        <v>-49798.846186981078</v>
      </c>
      <c r="L819" s="444">
        <f t="shared" ca="1" si="80"/>
        <v>-12001521.931062439</v>
      </c>
      <c r="M819" s="460">
        <f t="shared" si="82"/>
        <v>0.05</v>
      </c>
      <c r="N819" s="464">
        <f t="shared" si="83"/>
        <v>75972</v>
      </c>
    </row>
    <row r="820" spans="7:14" ht="11.25" customHeight="1" x14ac:dyDescent="0.25">
      <c r="G820" s="459">
        <f t="shared" si="87"/>
        <v>68</v>
      </c>
      <c r="H820" s="459">
        <v>813</v>
      </c>
      <c r="I820" s="444">
        <f t="shared" ca="1" si="81"/>
        <v>-12001521.931062439</v>
      </c>
      <c r="J820" s="444">
        <f t="array" ref="J820">IFERROR(INDEX('Retirement Calculator'!J:J,MATCH('Isaac 401k'!N820,'Retirement Calculator'!A:A,0),0),0)</f>
        <v>8395.6297298201844</v>
      </c>
      <c r="K820" s="444">
        <f t="shared" ca="1" si="79"/>
        <v>-50041.323169967749</v>
      </c>
      <c r="L820" s="444">
        <f t="shared" ca="1" si="80"/>
        <v>-12059958.883962227</v>
      </c>
      <c r="M820" s="460">
        <f t="shared" si="82"/>
        <v>0.05</v>
      </c>
      <c r="N820" s="464">
        <f t="shared" si="83"/>
        <v>76003</v>
      </c>
    </row>
    <row r="821" spans="7:14" ht="11.25" customHeight="1" x14ac:dyDescent="0.25">
      <c r="G821" s="459">
        <f t="shared" si="87"/>
        <v>68</v>
      </c>
      <c r="H821" s="459">
        <v>814</v>
      </c>
      <c r="I821" s="444">
        <f t="shared" ca="1" si="81"/>
        <v>-12059958.883962227</v>
      </c>
      <c r="J821" s="444">
        <f t="array" ref="J821">IFERROR(INDEX('Retirement Calculator'!J:J,MATCH('Isaac 401k'!N821,'Retirement Calculator'!A:A,0),0),0)</f>
        <v>8395.6297298201844</v>
      </c>
      <c r="K821" s="444">
        <f t="shared" ca="1" si="79"/>
        <v>-50284.810473716861</v>
      </c>
      <c r="L821" s="444">
        <f t="shared" ca="1" si="80"/>
        <v>-12118639.324165765</v>
      </c>
      <c r="M821" s="460">
        <f t="shared" si="82"/>
        <v>0.05</v>
      </c>
      <c r="N821" s="464">
        <f t="shared" si="83"/>
        <v>76032</v>
      </c>
    </row>
    <row r="822" spans="7:14" ht="11.25" customHeight="1" x14ac:dyDescent="0.25">
      <c r="G822" s="459">
        <f t="shared" si="87"/>
        <v>68</v>
      </c>
      <c r="H822" s="459">
        <v>815</v>
      </c>
      <c r="I822" s="444">
        <f t="shared" ca="1" si="81"/>
        <v>-12118639.324165765</v>
      </c>
      <c r="J822" s="444">
        <f t="array" ref="J822">IFERROR(INDEX('Retirement Calculator'!J:J,MATCH('Isaac 401k'!N822,'Retirement Calculator'!A:A,0),0),0)</f>
        <v>8395.6297298201844</v>
      </c>
      <c r="K822" s="444">
        <f t="shared" ca="1" si="79"/>
        <v>-50529.312307898275</v>
      </c>
      <c r="L822" s="444">
        <f t="shared" ca="1" si="80"/>
        <v>-12177564.266203484</v>
      </c>
      <c r="M822" s="460">
        <f t="shared" si="82"/>
        <v>0.05</v>
      </c>
      <c r="N822" s="464">
        <f t="shared" si="83"/>
        <v>76063</v>
      </c>
    </row>
    <row r="823" spans="7:14" ht="11.25" customHeight="1" x14ac:dyDescent="0.25">
      <c r="G823" s="459">
        <f t="shared" si="87"/>
        <v>68</v>
      </c>
      <c r="H823" s="459">
        <v>816</v>
      </c>
      <c r="I823" s="444">
        <f t="shared" ca="1" si="81"/>
        <v>-12177564.266203484</v>
      </c>
      <c r="J823" s="444">
        <f t="array" ref="J823">IFERROR(INDEX('Retirement Calculator'!J:J,MATCH('Isaac 401k'!N823,'Retirement Calculator'!A:A,0),0),0)</f>
        <v>8395.6297298201844</v>
      </c>
      <c r="K823" s="444">
        <f t="shared" ca="1" si="79"/>
        <v>-50774.832899722096</v>
      </c>
      <c r="L823" s="444">
        <f t="shared" ca="1" si="80"/>
        <v>-12236734.728833025</v>
      </c>
      <c r="M823" s="460">
        <f t="shared" si="82"/>
        <v>0.05</v>
      </c>
      <c r="N823" s="464">
        <f t="shared" si="83"/>
        <v>76093</v>
      </c>
    </row>
    <row r="824" spans="7:14" ht="11.25" customHeight="1" x14ac:dyDescent="0.25">
      <c r="G824" s="459">
        <f>G823+1</f>
        <v>69</v>
      </c>
      <c r="H824" s="459">
        <v>817</v>
      </c>
      <c r="I824" s="444">
        <f t="shared" ca="1" si="81"/>
        <v>-12236734.728833025</v>
      </c>
      <c r="J824" s="444">
        <f t="array" ref="J824">IFERROR(INDEX('Retirement Calculator'!J:J,MATCH('Isaac 401k'!N824,'Retirement Calculator'!A:A,0),0),0)</f>
        <v>8395.6297298201844</v>
      </c>
      <c r="K824" s="444">
        <f t="shared" ca="1" si="79"/>
        <v>-51021.376494011856</v>
      </c>
      <c r="L824" s="444">
        <f t="shared" ca="1" si="80"/>
        <v>-12296151.735056859</v>
      </c>
      <c r="M824" s="460">
        <f t="shared" si="82"/>
        <v>0.05</v>
      </c>
      <c r="N824" s="464">
        <f t="shared" si="83"/>
        <v>76124</v>
      </c>
    </row>
    <row r="825" spans="7:14" ht="11.25" customHeight="1" x14ac:dyDescent="0.25">
      <c r="G825" s="459">
        <f t="shared" ref="G825:G835" si="88">G824</f>
        <v>69</v>
      </c>
      <c r="H825" s="459">
        <v>818</v>
      </c>
      <c r="I825" s="444">
        <f t="shared" ca="1" si="81"/>
        <v>-12296151.735056859</v>
      </c>
      <c r="J825" s="444">
        <f t="array" ref="J825">IFERROR(INDEX('Retirement Calculator'!J:J,MATCH('Isaac 401k'!N825,'Retirement Calculator'!A:A,0),0),0)</f>
        <v>8395.6297298201844</v>
      </c>
      <c r="K825" s="444">
        <f t="shared" ca="1" si="79"/>
        <v>-51268.947353277828</v>
      </c>
      <c r="L825" s="444">
        <f t="shared" ca="1" si="80"/>
        <v>-12355816.312139956</v>
      </c>
      <c r="M825" s="460">
        <f t="shared" si="82"/>
        <v>0.05</v>
      </c>
      <c r="N825" s="464">
        <f t="shared" si="83"/>
        <v>76154</v>
      </c>
    </row>
    <row r="826" spans="7:14" ht="11.25" customHeight="1" x14ac:dyDescent="0.25">
      <c r="G826" s="459">
        <f t="shared" si="88"/>
        <v>69</v>
      </c>
      <c r="H826" s="459">
        <v>819</v>
      </c>
      <c r="I826" s="444">
        <f t="shared" ca="1" si="81"/>
        <v>-12355816.312139956</v>
      </c>
      <c r="J826" s="444">
        <f t="array" ref="J826">IFERROR(INDEX('Retirement Calculator'!J:J,MATCH('Isaac 401k'!N826,'Retirement Calculator'!A:A,0),0),0)</f>
        <v>8395.6297298201844</v>
      </c>
      <c r="K826" s="444">
        <f t="shared" ca="1" si="79"/>
        <v>-51517.549757790737</v>
      </c>
      <c r="L826" s="444">
        <f t="shared" ca="1" si="80"/>
        <v>-12415729.491627567</v>
      </c>
      <c r="M826" s="460">
        <f t="shared" si="82"/>
        <v>0.05</v>
      </c>
      <c r="N826" s="464">
        <f t="shared" si="83"/>
        <v>76185</v>
      </c>
    </row>
    <row r="827" spans="7:14" ht="11.25" customHeight="1" x14ac:dyDescent="0.25">
      <c r="G827" s="459">
        <f t="shared" si="88"/>
        <v>69</v>
      </c>
      <c r="H827" s="459">
        <v>820</v>
      </c>
      <c r="I827" s="444">
        <f t="shared" ca="1" si="81"/>
        <v>-12415729.491627567</v>
      </c>
      <c r="J827" s="444">
        <f t="array" ref="J827">IFERROR(INDEX('Retirement Calculator'!J:J,MATCH('Isaac 401k'!N827,'Retirement Calculator'!A:A,0),0),0)</f>
        <v>8395.6297298201844</v>
      </c>
      <c r="K827" s="444">
        <f t="shared" ca="1" si="79"/>
        <v>-51767.188005655778</v>
      </c>
      <c r="L827" s="444">
        <f t="shared" ca="1" si="80"/>
        <v>-12475892.309363043</v>
      </c>
      <c r="M827" s="460">
        <f t="shared" si="82"/>
        <v>0.05</v>
      </c>
      <c r="N827" s="464">
        <f t="shared" si="83"/>
        <v>76216</v>
      </c>
    </row>
    <row r="828" spans="7:14" ht="11.25" customHeight="1" x14ac:dyDescent="0.25">
      <c r="G828" s="459">
        <f t="shared" si="88"/>
        <v>69</v>
      </c>
      <c r="H828" s="459">
        <v>821</v>
      </c>
      <c r="I828" s="444">
        <f t="shared" ca="1" si="81"/>
        <v>-12475892.309363043</v>
      </c>
      <c r="J828" s="444">
        <f t="array" ref="J828">IFERROR(INDEX('Retirement Calculator'!J:J,MATCH('Isaac 401k'!N828,'Retirement Calculator'!A:A,0),0),0)</f>
        <v>8395.6297298201844</v>
      </c>
      <c r="K828" s="444">
        <f t="shared" ca="1" si="79"/>
        <v>-52017.866412886928</v>
      </c>
      <c r="L828" s="444">
        <f t="shared" ca="1" si="80"/>
        <v>-12536305.805505751</v>
      </c>
      <c r="M828" s="460">
        <f t="shared" si="82"/>
        <v>0.05</v>
      </c>
      <c r="N828" s="464">
        <f t="shared" si="83"/>
        <v>76246</v>
      </c>
    </row>
    <row r="829" spans="7:14" ht="11.25" customHeight="1" x14ac:dyDescent="0.25">
      <c r="G829" s="459">
        <f t="shared" si="88"/>
        <v>69</v>
      </c>
      <c r="H829" s="459">
        <v>822</v>
      </c>
      <c r="I829" s="444">
        <f t="shared" ca="1" si="81"/>
        <v>-12536305.805505751</v>
      </c>
      <c r="J829" s="444">
        <f t="array" ref="J829">IFERROR(INDEX('Retirement Calculator'!J:J,MATCH('Isaac 401k'!N829,'Retirement Calculator'!A:A,0),0),0)</f>
        <v>8395.6297298201844</v>
      </c>
      <c r="K829" s="444">
        <f t="shared" ca="1" si="79"/>
        <v>-52269.589313481549</v>
      </c>
      <c r="L829" s="444">
        <f t="shared" ca="1" si="80"/>
        <v>-12596971.024549052</v>
      </c>
      <c r="M829" s="460">
        <f t="shared" si="82"/>
        <v>0.05</v>
      </c>
      <c r="N829" s="464">
        <f t="shared" si="83"/>
        <v>76277</v>
      </c>
    </row>
    <row r="830" spans="7:14" ht="11.25" customHeight="1" x14ac:dyDescent="0.25">
      <c r="G830" s="459">
        <f t="shared" si="88"/>
        <v>69</v>
      </c>
      <c r="H830" s="459">
        <v>823</v>
      </c>
      <c r="I830" s="444">
        <f t="shared" ca="1" si="81"/>
        <v>-12596971.024549052</v>
      </c>
      <c r="J830" s="444">
        <f t="array" ref="J830">IFERROR(INDEX('Retirement Calculator'!J:J,MATCH('Isaac 401k'!N830,'Retirement Calculator'!A:A,0),0),0)</f>
        <v>8395.6297298201844</v>
      </c>
      <c r="K830" s="444">
        <f t="shared" ca="1" si="79"/>
        <v>-52522.361059495299</v>
      </c>
      <c r="L830" s="444">
        <f t="shared" ca="1" si="80"/>
        <v>-12657889.015338369</v>
      </c>
      <c r="M830" s="460">
        <f t="shared" si="82"/>
        <v>0.05</v>
      </c>
      <c r="N830" s="464">
        <f t="shared" si="83"/>
        <v>76307</v>
      </c>
    </row>
    <row r="831" spans="7:14" ht="11.25" customHeight="1" x14ac:dyDescent="0.25">
      <c r="G831" s="459">
        <f t="shared" si="88"/>
        <v>69</v>
      </c>
      <c r="H831" s="459">
        <v>824</v>
      </c>
      <c r="I831" s="444">
        <f t="shared" ca="1" si="81"/>
        <v>-12657889.015338369</v>
      </c>
      <c r="J831" s="444">
        <f t="array" ref="J831">IFERROR(INDEX('Retirement Calculator'!J:J,MATCH('Isaac 401k'!N831,'Retirement Calculator'!A:A,0),0),0)</f>
        <v>8395.6297298201844</v>
      </c>
      <c r="K831" s="444">
        <f t="shared" ca="1" si="79"/>
        <v>-52776.186021117457</v>
      </c>
      <c r="L831" s="444">
        <f t="shared" ca="1" si="80"/>
        <v>-12719060.831089307</v>
      </c>
      <c r="M831" s="460">
        <f t="shared" si="82"/>
        <v>0.05</v>
      </c>
      <c r="N831" s="464">
        <f t="shared" si="83"/>
        <v>76338</v>
      </c>
    </row>
    <row r="832" spans="7:14" ht="11.25" customHeight="1" x14ac:dyDescent="0.25">
      <c r="G832" s="459">
        <f t="shared" si="88"/>
        <v>69</v>
      </c>
      <c r="H832" s="459">
        <v>825</v>
      </c>
      <c r="I832" s="444">
        <f t="shared" ca="1" si="81"/>
        <v>-12719060.831089307</v>
      </c>
      <c r="J832" s="444">
        <f t="array" ref="J832">IFERROR(INDEX('Retirement Calculator'!J:J,MATCH('Isaac 401k'!N832,'Retirement Calculator'!A:A,0),0),0)</f>
        <v>8395.6297298201844</v>
      </c>
      <c r="K832" s="444">
        <f t="shared" ca="1" si="79"/>
        <v>-53031.068586746362</v>
      </c>
      <c r="L832" s="444">
        <f t="shared" ca="1" si="80"/>
        <v>-12780487.529405873</v>
      </c>
      <c r="M832" s="460">
        <f t="shared" si="82"/>
        <v>0.05</v>
      </c>
      <c r="N832" s="464">
        <f t="shared" si="83"/>
        <v>76369</v>
      </c>
    </row>
    <row r="833" spans="7:14" ht="11.25" customHeight="1" x14ac:dyDescent="0.25">
      <c r="G833" s="459">
        <f t="shared" si="88"/>
        <v>69</v>
      </c>
      <c r="H833" s="459">
        <v>826</v>
      </c>
      <c r="I833" s="444">
        <f t="shared" ca="1" si="81"/>
        <v>-12780487.529405873</v>
      </c>
      <c r="J833" s="444">
        <f t="array" ref="J833">IFERROR(INDEX('Retirement Calculator'!J:J,MATCH('Isaac 401k'!N833,'Retirement Calculator'!A:A,0),0),0)</f>
        <v>8395.6297298201844</v>
      </c>
      <c r="K833" s="444">
        <f t="shared" ca="1" si="79"/>
        <v>-53287.013163065392</v>
      </c>
      <c r="L833" s="444">
        <f t="shared" ca="1" si="80"/>
        <v>-12842170.172298759</v>
      </c>
      <c r="M833" s="460">
        <f t="shared" si="82"/>
        <v>0.05</v>
      </c>
      <c r="N833" s="464">
        <f t="shared" si="83"/>
        <v>76397</v>
      </c>
    </row>
    <row r="834" spans="7:14" ht="11.25" customHeight="1" x14ac:dyDescent="0.25">
      <c r="G834" s="459">
        <f t="shared" si="88"/>
        <v>69</v>
      </c>
      <c r="H834" s="459">
        <v>827</v>
      </c>
      <c r="I834" s="444">
        <f t="shared" ca="1" si="81"/>
        <v>-12842170.172298759</v>
      </c>
      <c r="J834" s="444">
        <f t="array" ref="J834">IFERROR(INDEX('Retirement Calculator'!J:J,MATCH('Isaac 401k'!N834,'Retirement Calculator'!A:A,0),0),0)</f>
        <v>8395.6297298201844</v>
      </c>
      <c r="K834" s="444">
        <f t="shared" ca="1" si="79"/>
        <v>-53544.024175119084</v>
      </c>
      <c r="L834" s="444">
        <f t="shared" ca="1" si="80"/>
        <v>-12904109.826203698</v>
      </c>
      <c r="M834" s="460">
        <f t="shared" si="82"/>
        <v>0.05</v>
      </c>
      <c r="N834" s="464">
        <f t="shared" si="83"/>
        <v>76428</v>
      </c>
    </row>
    <row r="835" spans="7:14" ht="11.25" customHeight="1" x14ac:dyDescent="0.25">
      <c r="G835" s="459">
        <f t="shared" si="88"/>
        <v>69</v>
      </c>
      <c r="H835" s="459">
        <v>828</v>
      </c>
      <c r="I835" s="444">
        <f t="shared" ca="1" si="81"/>
        <v>-12904109.826203698</v>
      </c>
      <c r="J835" s="444">
        <f t="array" ref="J835">IFERROR(INDEX('Retirement Calculator'!J:J,MATCH('Isaac 401k'!N835,'Retirement Calculator'!A:A,0),0),0)</f>
        <v>8395.6297298201844</v>
      </c>
      <c r="K835" s="444">
        <f t="shared" ca="1" si="79"/>
        <v>-53802.106066389657</v>
      </c>
      <c r="L835" s="444">
        <f t="shared" ca="1" si="80"/>
        <v>-12966307.561999908</v>
      </c>
      <c r="M835" s="460">
        <f t="shared" si="82"/>
        <v>0.05</v>
      </c>
      <c r="N835" s="464">
        <f t="shared" si="83"/>
        <v>76458</v>
      </c>
    </row>
    <row r="836" spans="7:14" ht="11.25" customHeight="1" x14ac:dyDescent="0.25">
      <c r="G836" s="459">
        <f>G835+1</f>
        <v>70</v>
      </c>
      <c r="H836" s="459">
        <v>829</v>
      </c>
      <c r="I836" s="444">
        <f t="shared" ca="1" si="81"/>
        <v>-12966307.561999908</v>
      </c>
      <c r="J836" s="444">
        <f t="array" ref="J836">IFERROR(INDEX('Retirement Calculator'!J:J,MATCH('Isaac 401k'!N836,'Retirement Calculator'!A:A,0),0),0)</f>
        <v>8395.6297298201844</v>
      </c>
      <c r="K836" s="444">
        <f t="shared" ca="1" si="79"/>
        <v>-54061.26329887387</v>
      </c>
      <c r="L836" s="444">
        <f t="shared" ca="1" si="80"/>
        <v>-13028764.455028603</v>
      </c>
      <c r="M836" s="460">
        <f t="shared" si="82"/>
        <v>0.05</v>
      </c>
      <c r="N836" s="464">
        <f t="shared" si="83"/>
        <v>76489</v>
      </c>
    </row>
    <row r="837" spans="7:14" ht="11.25" customHeight="1" x14ac:dyDescent="0.25">
      <c r="G837" s="459">
        <f t="shared" ref="G837:G847" si="89">G836</f>
        <v>70</v>
      </c>
      <c r="H837" s="459">
        <v>830</v>
      </c>
      <c r="I837" s="444">
        <f t="shared" ca="1" si="81"/>
        <v>-13028764.455028603</v>
      </c>
      <c r="J837" s="444">
        <f t="array" ref="J837">IFERROR(INDEX('Retirement Calculator'!J:J,MATCH('Isaac 401k'!N837,'Retirement Calculator'!A:A,0),0),0)</f>
        <v>8395.6297298201844</v>
      </c>
      <c r="K837" s="444">
        <f t="shared" ca="1" si="79"/>
        <v>-54321.500353160096</v>
      </c>
      <c r="L837" s="444">
        <f t="shared" ca="1" si="80"/>
        <v>-13091481.585111583</v>
      </c>
      <c r="M837" s="460">
        <f t="shared" si="82"/>
        <v>0.05</v>
      </c>
      <c r="N837" s="464">
        <f t="shared" si="83"/>
        <v>76519</v>
      </c>
    </row>
    <row r="838" spans="7:14" ht="11.25" customHeight="1" x14ac:dyDescent="0.25">
      <c r="G838" s="459">
        <f t="shared" si="89"/>
        <v>70</v>
      </c>
      <c r="H838" s="459">
        <v>831</v>
      </c>
      <c r="I838" s="444">
        <f t="shared" ca="1" si="81"/>
        <v>-13091481.585111583</v>
      </c>
      <c r="J838" s="444">
        <f t="array" ref="J838">IFERROR(INDEX('Retirement Calculator'!J:J,MATCH('Isaac 401k'!N838,'Retirement Calculator'!A:A,0),0),0)</f>
        <v>8395.6297298201844</v>
      </c>
      <c r="K838" s="444">
        <f t="shared" ca="1" si="79"/>
        <v>-54582.821728505842</v>
      </c>
      <c r="L838" s="444">
        <f t="shared" ca="1" si="80"/>
        <v>-13154460.036569908</v>
      </c>
      <c r="M838" s="460">
        <f t="shared" si="82"/>
        <v>0.05</v>
      </c>
      <c r="N838" s="464">
        <f t="shared" si="83"/>
        <v>76550</v>
      </c>
    </row>
    <row r="839" spans="7:14" ht="11.25" customHeight="1" x14ac:dyDescent="0.25">
      <c r="G839" s="459">
        <f t="shared" si="89"/>
        <v>70</v>
      </c>
      <c r="H839" s="459">
        <v>832</v>
      </c>
      <c r="I839" s="444">
        <f t="shared" ca="1" si="81"/>
        <v>-13154460.036569908</v>
      </c>
      <c r="J839" s="444">
        <f t="array" ref="J839">IFERROR(INDEX('Retirement Calculator'!J:J,MATCH('Isaac 401k'!N839,'Retirement Calculator'!A:A,0),0),0)</f>
        <v>8395.6297298201844</v>
      </c>
      <c r="K839" s="444">
        <f t="shared" ca="1" si="79"/>
        <v>-54845.231942915532</v>
      </c>
      <c r="L839" s="444">
        <f t="shared" ca="1" si="80"/>
        <v>-13217700.898242645</v>
      </c>
      <c r="M839" s="460">
        <f t="shared" si="82"/>
        <v>0.05</v>
      </c>
      <c r="N839" s="464">
        <f t="shared" si="83"/>
        <v>76581</v>
      </c>
    </row>
    <row r="840" spans="7:14" ht="11.25" customHeight="1" x14ac:dyDescent="0.25">
      <c r="G840" s="459">
        <f t="shared" si="89"/>
        <v>70</v>
      </c>
      <c r="H840" s="459">
        <v>833</v>
      </c>
      <c r="I840" s="444">
        <f t="shared" ca="1" si="81"/>
        <v>-13217700.898242645</v>
      </c>
      <c r="J840" s="444">
        <f t="array" ref="J840">IFERROR(INDEX('Retirement Calculator'!J:J,MATCH('Isaac 401k'!N840,'Retirement Calculator'!A:A,0),0),0)</f>
        <v>8395.6297298201844</v>
      </c>
      <c r="K840" s="444">
        <f t="shared" ca="1" si="79"/>
        <v>-55108.735533218605</v>
      </c>
      <c r="L840" s="444">
        <f t="shared" ca="1" si="80"/>
        <v>-13281205.263505684</v>
      </c>
      <c r="M840" s="460">
        <f t="shared" si="82"/>
        <v>0.05</v>
      </c>
      <c r="N840" s="464">
        <f t="shared" si="83"/>
        <v>76611</v>
      </c>
    </row>
    <row r="841" spans="7:14" ht="11.25" customHeight="1" x14ac:dyDescent="0.25">
      <c r="G841" s="459">
        <f t="shared" si="89"/>
        <v>70</v>
      </c>
      <c r="H841" s="459">
        <v>834</v>
      </c>
      <c r="I841" s="444">
        <f t="shared" ca="1" si="81"/>
        <v>-13281205.263505684</v>
      </c>
      <c r="J841" s="444">
        <f t="array" ref="J841">IFERROR(INDEX('Retirement Calculator'!J:J,MATCH('Isaac 401k'!N841,'Retirement Calculator'!A:A,0),0),0)</f>
        <v>8395.6297298201844</v>
      </c>
      <c r="K841" s="444">
        <f t="shared" ca="1" si="79"/>
        <v>-55373.337055147938</v>
      </c>
      <c r="L841" s="444">
        <f t="shared" ca="1" si="80"/>
        <v>-13344974.230290653</v>
      </c>
      <c r="M841" s="460">
        <f t="shared" si="82"/>
        <v>0.05</v>
      </c>
      <c r="N841" s="464">
        <f t="shared" si="83"/>
        <v>76642</v>
      </c>
    </row>
    <row r="842" spans="7:14" ht="11.25" customHeight="1" x14ac:dyDescent="0.25">
      <c r="G842" s="459">
        <f t="shared" si="89"/>
        <v>70</v>
      </c>
      <c r="H842" s="459">
        <v>835</v>
      </c>
      <c r="I842" s="444">
        <f t="shared" ca="1" si="81"/>
        <v>-13344974.230290653</v>
      </c>
      <c r="J842" s="444">
        <f t="array" ref="J842">IFERROR(INDEX('Retirement Calculator'!J:J,MATCH('Isaac 401k'!N842,'Retirement Calculator'!A:A,0),0),0)</f>
        <v>8395.6297298201844</v>
      </c>
      <c r="K842" s="444">
        <f t="shared" ca="1" si="79"/>
        <v>-55639.041083418648</v>
      </c>
      <c r="L842" s="444">
        <f t="shared" ca="1" si="80"/>
        <v>-13409008.901103891</v>
      </c>
      <c r="M842" s="460">
        <f t="shared" si="82"/>
        <v>0.05</v>
      </c>
      <c r="N842" s="464">
        <f t="shared" si="83"/>
        <v>76672</v>
      </c>
    </row>
    <row r="843" spans="7:14" ht="11.25" customHeight="1" x14ac:dyDescent="0.25">
      <c r="G843" s="459">
        <f t="shared" si="89"/>
        <v>70</v>
      </c>
      <c r="H843" s="459">
        <v>836</v>
      </c>
      <c r="I843" s="444">
        <f t="shared" ca="1" si="81"/>
        <v>-13409008.901103891</v>
      </c>
      <c r="J843" s="444">
        <f t="array" ref="J843">IFERROR(INDEX('Retirement Calculator'!J:J,MATCH('Isaac 401k'!N843,'Retirement Calculator'!A:A,0),0),0)</f>
        <v>8395.6297298201844</v>
      </c>
      <c r="K843" s="444">
        <f t="shared" ca="1" si="79"/>
        <v>-55905.852211807141</v>
      </c>
      <c r="L843" s="444">
        <f t="shared" ca="1" si="80"/>
        <v>-13473310.383045519</v>
      </c>
      <c r="M843" s="460">
        <f t="shared" si="82"/>
        <v>0.05</v>
      </c>
      <c r="N843" s="464">
        <f t="shared" si="83"/>
        <v>76703</v>
      </c>
    </row>
    <row r="844" spans="7:14" ht="11.25" customHeight="1" x14ac:dyDescent="0.25">
      <c r="G844" s="459">
        <f t="shared" si="89"/>
        <v>70</v>
      </c>
      <c r="H844" s="459">
        <v>837</v>
      </c>
      <c r="I844" s="444">
        <f t="shared" ca="1" si="81"/>
        <v>-13473310.383045519</v>
      </c>
      <c r="J844" s="444">
        <f t="array" ref="J844">IFERROR(INDEX('Retirement Calculator'!J:J,MATCH('Isaac 401k'!N844,'Retirement Calculator'!A:A,0),0),0)</f>
        <v>8395.6297298201844</v>
      </c>
      <c r="K844" s="444">
        <f t="shared" ca="1" si="79"/>
        <v>-56173.77505323058</v>
      </c>
      <c r="L844" s="444">
        <f t="shared" ca="1" si="80"/>
        <v>-13537879.78782857</v>
      </c>
      <c r="M844" s="460">
        <f t="shared" si="82"/>
        <v>0.05</v>
      </c>
      <c r="N844" s="464">
        <f t="shared" si="83"/>
        <v>76734</v>
      </c>
    </row>
    <row r="845" spans="7:14" ht="11.25" customHeight="1" x14ac:dyDescent="0.25">
      <c r="G845" s="459">
        <f t="shared" si="89"/>
        <v>70</v>
      </c>
      <c r="H845" s="459">
        <v>838</v>
      </c>
      <c r="I845" s="444">
        <f t="shared" ca="1" si="81"/>
        <v>-13537879.78782857</v>
      </c>
      <c r="J845" s="444">
        <f t="array" ref="J845">IFERROR(INDEX('Retirement Calculator'!J:J,MATCH('Isaac 401k'!N845,'Retirement Calculator'!A:A,0),0),0)</f>
        <v>8395.6297298201844</v>
      </c>
      <c r="K845" s="444">
        <f t="shared" ca="1" si="79"/>
        <v>-56442.814239826628</v>
      </c>
      <c r="L845" s="444">
        <f t="shared" ca="1" si="80"/>
        <v>-13602718.231798217</v>
      </c>
      <c r="M845" s="460">
        <f t="shared" si="82"/>
        <v>0.05</v>
      </c>
      <c r="N845" s="464">
        <f t="shared" si="83"/>
        <v>76762</v>
      </c>
    </row>
    <row r="846" spans="7:14" ht="11.25" customHeight="1" x14ac:dyDescent="0.25">
      <c r="G846" s="459">
        <f t="shared" si="89"/>
        <v>70</v>
      </c>
      <c r="H846" s="459">
        <v>839</v>
      </c>
      <c r="I846" s="444">
        <f t="shared" ca="1" si="81"/>
        <v>-13602718.231798217</v>
      </c>
      <c r="J846" s="444">
        <f t="array" ref="J846">IFERROR(INDEX('Retirement Calculator'!J:J,MATCH('Isaac 401k'!N846,'Retirement Calculator'!A:A,0),0),0)</f>
        <v>8395.6297298201844</v>
      </c>
      <c r="K846" s="444">
        <f t="shared" ca="1" si="79"/>
        <v>-56712.974423033476</v>
      </c>
      <c r="L846" s="444">
        <f t="shared" ca="1" si="80"/>
        <v>-13667826.835951071</v>
      </c>
      <c r="M846" s="460">
        <f t="shared" si="82"/>
        <v>0.05</v>
      </c>
      <c r="N846" s="464">
        <f t="shared" si="83"/>
        <v>76793</v>
      </c>
    </row>
    <row r="847" spans="7:14" ht="11.25" customHeight="1" x14ac:dyDescent="0.25">
      <c r="G847" s="459">
        <f t="shared" si="89"/>
        <v>70</v>
      </c>
      <c r="H847" s="459">
        <v>840</v>
      </c>
      <c r="I847" s="444">
        <f t="shared" ca="1" si="81"/>
        <v>-13667826.835951071</v>
      </c>
      <c r="J847" s="444">
        <f t="array" ref="J847">IFERROR(INDEX('Retirement Calculator'!J:J,MATCH('Isaac 401k'!N847,'Retirement Calculator'!A:A,0),0),0)</f>
        <v>8395.6297298201844</v>
      </c>
      <c r="K847" s="444">
        <f t="shared" ca="1" si="79"/>
        <v>-56984.26027367037</v>
      </c>
      <c r="L847" s="444">
        <f t="shared" ca="1" si="80"/>
        <v>-13733206.725954562</v>
      </c>
      <c r="M847" s="460">
        <f t="shared" si="82"/>
        <v>0.05</v>
      </c>
      <c r="N847" s="464">
        <f t="shared" si="83"/>
        <v>76823</v>
      </c>
    </row>
    <row r="848" spans="7:14" ht="11.25" customHeight="1" x14ac:dyDescent="0.25">
      <c r="G848" s="459">
        <f>G847+1</f>
        <v>71</v>
      </c>
      <c r="H848" s="459">
        <v>841</v>
      </c>
      <c r="I848" s="444">
        <f t="shared" ca="1" si="81"/>
        <v>-13733206.725954562</v>
      </c>
      <c r="J848" s="444">
        <f t="array" ref="J848">IFERROR(INDEX('Retirement Calculator'!J:J,MATCH('Isaac 401k'!N848,'Retirement Calculator'!A:A,0),0),0)</f>
        <v>8395.6297298201844</v>
      </c>
      <c r="K848" s="444">
        <f t="shared" ca="1" si="79"/>
        <v>-57256.676482018265</v>
      </c>
      <c r="L848" s="444">
        <f t="shared" ca="1" si="80"/>
        <v>-13798859.032166401</v>
      </c>
      <c r="M848" s="460">
        <f t="shared" si="82"/>
        <v>0.05</v>
      </c>
      <c r="N848" s="464">
        <f t="shared" si="83"/>
        <v>76854</v>
      </c>
    </row>
    <row r="849" spans="7:14" ht="11.25" customHeight="1" x14ac:dyDescent="0.25">
      <c r="G849" s="459">
        <f t="shared" ref="G849:G859" si="90">G848</f>
        <v>71</v>
      </c>
      <c r="H849" s="459">
        <v>842</v>
      </c>
      <c r="I849" s="444">
        <f t="shared" ca="1" si="81"/>
        <v>-13798859.032166401</v>
      </c>
      <c r="J849" s="444">
        <f t="array" ref="J849">IFERROR(INDEX('Retirement Calculator'!J:J,MATCH('Isaac 401k'!N849,'Retirement Calculator'!A:A,0),0),0)</f>
        <v>8395.6297298201844</v>
      </c>
      <c r="K849" s="444">
        <f t="shared" ca="1" si="79"/>
        <v>-57530.227757900931</v>
      </c>
      <c r="L849" s="444">
        <f t="shared" ca="1" si="80"/>
        <v>-13864784.889654122</v>
      </c>
      <c r="M849" s="460">
        <f t="shared" si="82"/>
        <v>0.05</v>
      </c>
      <c r="N849" s="464">
        <f t="shared" si="83"/>
        <v>76884</v>
      </c>
    </row>
    <row r="850" spans="7:14" ht="11.25" customHeight="1" x14ac:dyDescent="0.25">
      <c r="G850" s="459">
        <f t="shared" si="90"/>
        <v>71</v>
      </c>
      <c r="H850" s="459">
        <v>843</v>
      </c>
      <c r="I850" s="444">
        <f t="shared" ca="1" si="81"/>
        <v>-13864784.889654122</v>
      </c>
      <c r="J850" s="444">
        <f t="array" ref="J850">IFERROR(INDEX('Retirement Calculator'!J:J,MATCH('Isaac 401k'!N850,'Retirement Calculator'!A:A,0),0),0)</f>
        <v>8395.6297298201844</v>
      </c>
      <c r="K850" s="444">
        <f t="shared" ca="1" si="79"/>
        <v>-57804.918830766437</v>
      </c>
      <c r="L850" s="444">
        <f t="shared" ca="1" si="80"/>
        <v>-13930985.43821471</v>
      </c>
      <c r="M850" s="460">
        <f t="shared" si="82"/>
        <v>0.05</v>
      </c>
      <c r="N850" s="464">
        <f t="shared" si="83"/>
        <v>76915</v>
      </c>
    </row>
    <row r="851" spans="7:14" ht="11.25" customHeight="1" x14ac:dyDescent="0.25">
      <c r="G851" s="459">
        <f t="shared" si="90"/>
        <v>71</v>
      </c>
      <c r="H851" s="459">
        <v>844</v>
      </c>
      <c r="I851" s="444">
        <f t="shared" ca="1" si="81"/>
        <v>-13930985.43821471</v>
      </c>
      <c r="J851" s="444">
        <f t="array" ref="J851">IFERROR(INDEX('Retirement Calculator'!J:J,MATCH('Isaac 401k'!N851,'Retirement Calculator'!A:A,0),0),0)</f>
        <v>8395.6297298201844</v>
      </c>
      <c r="K851" s="444">
        <f t="shared" ca="1" si="79"/>
        <v>-58080.754449768872</v>
      </c>
      <c r="L851" s="444">
        <f t="shared" ca="1" si="80"/>
        <v>-13997461.822394298</v>
      </c>
      <c r="M851" s="460">
        <f t="shared" si="82"/>
        <v>0.05</v>
      </c>
      <c r="N851" s="464">
        <f t="shared" si="83"/>
        <v>76946</v>
      </c>
    </row>
    <row r="852" spans="7:14" ht="11.25" customHeight="1" x14ac:dyDescent="0.25">
      <c r="G852" s="459">
        <f t="shared" si="90"/>
        <v>71</v>
      </c>
      <c r="H852" s="459">
        <v>845</v>
      </c>
      <c r="I852" s="444">
        <f t="shared" ca="1" si="81"/>
        <v>-13997461.822394298</v>
      </c>
      <c r="J852" s="444">
        <f t="array" ref="J852">IFERROR(INDEX('Retirement Calculator'!J:J,MATCH('Isaac 401k'!N852,'Retirement Calculator'!A:A,0),0),0)</f>
        <v>8395.6297298201844</v>
      </c>
      <c r="K852" s="444">
        <f t="shared" ca="1" si="79"/>
        <v>-58357.739383850501</v>
      </c>
      <c r="L852" s="444">
        <f t="shared" ca="1" si="80"/>
        <v>-14064215.191507969</v>
      </c>
      <c r="M852" s="460">
        <f t="shared" si="82"/>
        <v>0.05</v>
      </c>
      <c r="N852" s="464">
        <f t="shared" si="83"/>
        <v>76976</v>
      </c>
    </row>
    <row r="853" spans="7:14" ht="11.25" customHeight="1" x14ac:dyDescent="0.25">
      <c r="G853" s="459">
        <f t="shared" si="90"/>
        <v>71</v>
      </c>
      <c r="H853" s="459">
        <v>846</v>
      </c>
      <c r="I853" s="444">
        <f t="shared" ca="1" si="81"/>
        <v>-14064215.191507969</v>
      </c>
      <c r="J853" s="444">
        <f t="array" ref="J853">IFERROR(INDEX('Retirement Calculator'!J:J,MATCH('Isaac 401k'!N853,'Retirement Calculator'!A:A,0),0),0)</f>
        <v>8395.6297298201844</v>
      </c>
      <c r="K853" s="444">
        <f t="shared" ca="1" si="79"/>
        <v>-58635.878421824127</v>
      </c>
      <c r="L853" s="444">
        <f t="shared" ca="1" si="80"/>
        <v>-14131246.699659614</v>
      </c>
      <c r="M853" s="460">
        <f t="shared" si="82"/>
        <v>0.05</v>
      </c>
      <c r="N853" s="464">
        <f t="shared" si="83"/>
        <v>77007</v>
      </c>
    </row>
    <row r="854" spans="7:14" ht="11.25" customHeight="1" x14ac:dyDescent="0.25">
      <c r="G854" s="459">
        <f t="shared" si="90"/>
        <v>71</v>
      </c>
      <c r="H854" s="459">
        <v>847</v>
      </c>
      <c r="I854" s="444">
        <f t="shared" ca="1" si="81"/>
        <v>-14131246.699659614</v>
      </c>
      <c r="J854" s="444">
        <f t="array" ref="J854">IFERROR(INDEX('Retirement Calculator'!J:J,MATCH('Isaac 401k'!N854,'Retirement Calculator'!A:A,0),0),0)</f>
        <v>8395.6297298201844</v>
      </c>
      <c r="K854" s="444">
        <f t="shared" ca="1" si="79"/>
        <v>-58915.176372455979</v>
      </c>
      <c r="L854" s="444">
        <f t="shared" ca="1" si="80"/>
        <v>-14198557.50576189</v>
      </c>
      <c r="M854" s="460">
        <f t="shared" si="82"/>
        <v>0.05</v>
      </c>
      <c r="N854" s="464">
        <f t="shared" si="83"/>
        <v>77037</v>
      </c>
    </row>
    <row r="855" spans="7:14" ht="11.25" customHeight="1" x14ac:dyDescent="0.25">
      <c r="G855" s="459">
        <f t="shared" si="90"/>
        <v>71</v>
      </c>
      <c r="H855" s="459">
        <v>848</v>
      </c>
      <c r="I855" s="444">
        <f t="shared" ca="1" si="81"/>
        <v>-14198557.50576189</v>
      </c>
      <c r="J855" s="444">
        <f t="array" ref="J855">IFERROR(INDEX('Retirement Calculator'!J:J,MATCH('Isaac 401k'!N855,'Retirement Calculator'!A:A,0),0),0)</f>
        <v>8395.6297298201844</v>
      </c>
      <c r="K855" s="444">
        <f t="shared" ca="1" si="79"/>
        <v>-59195.638064548788</v>
      </c>
      <c r="L855" s="444">
        <f t="shared" ca="1" si="80"/>
        <v>-14266148.773556259</v>
      </c>
      <c r="M855" s="460">
        <f t="shared" si="82"/>
        <v>0.05</v>
      </c>
      <c r="N855" s="464">
        <f t="shared" si="83"/>
        <v>77068</v>
      </c>
    </row>
    <row r="856" spans="7:14" ht="11.25" customHeight="1" x14ac:dyDescent="0.25">
      <c r="G856" s="459">
        <f t="shared" si="90"/>
        <v>71</v>
      </c>
      <c r="H856" s="459">
        <v>849</v>
      </c>
      <c r="I856" s="444">
        <f t="shared" ca="1" si="81"/>
        <v>-14266148.773556259</v>
      </c>
      <c r="J856" s="444">
        <f t="array" ref="J856">IFERROR(INDEX('Retirement Calculator'!J:J,MATCH('Isaac 401k'!N856,'Retirement Calculator'!A:A,0),0),0)</f>
        <v>8395.6297298201844</v>
      </c>
      <c r="K856" s="444">
        <f t="shared" ca="1" si="79"/>
        <v>-59477.268347025325</v>
      </c>
      <c r="L856" s="444">
        <f t="shared" ca="1" si="80"/>
        <v>-14334021.671633104</v>
      </c>
      <c r="M856" s="460">
        <f t="shared" si="82"/>
        <v>0.05</v>
      </c>
      <c r="N856" s="464">
        <f t="shared" si="83"/>
        <v>77099</v>
      </c>
    </row>
    <row r="857" spans="7:14" ht="11.25" customHeight="1" x14ac:dyDescent="0.25">
      <c r="G857" s="459">
        <f t="shared" si="90"/>
        <v>71</v>
      </c>
      <c r="H857" s="459">
        <v>850</v>
      </c>
      <c r="I857" s="444">
        <f t="shared" ca="1" si="81"/>
        <v>-14334021.671633104</v>
      </c>
      <c r="J857" s="444">
        <f t="array" ref="J857">IFERROR(INDEX('Retirement Calculator'!J:J,MATCH('Isaac 401k'!N857,'Retirement Calculator'!A:A,0),0),0)</f>
        <v>8395.6297298201844</v>
      </c>
      <c r="K857" s="444">
        <f t="shared" ca="1" si="79"/>
        <v>-59760.072089012181</v>
      </c>
      <c r="L857" s="444">
        <f t="shared" ca="1" si="80"/>
        <v>-14402177.373451937</v>
      </c>
      <c r="M857" s="460">
        <f t="shared" si="82"/>
        <v>0.05</v>
      </c>
      <c r="N857" s="464">
        <f t="shared" si="83"/>
        <v>77127</v>
      </c>
    </row>
    <row r="858" spans="7:14" ht="11.25" customHeight="1" x14ac:dyDescent="0.25">
      <c r="G858" s="459">
        <f t="shared" si="90"/>
        <v>71</v>
      </c>
      <c r="H858" s="459">
        <v>851</v>
      </c>
      <c r="I858" s="444">
        <f t="shared" ca="1" si="81"/>
        <v>-14402177.373451937</v>
      </c>
      <c r="J858" s="444">
        <f t="array" ref="J858">IFERROR(INDEX('Retirement Calculator'!J:J,MATCH('Isaac 401k'!N858,'Retirement Calculator'!A:A,0),0),0)</f>
        <v>8395.6297298201844</v>
      </c>
      <c r="K858" s="444">
        <f t="shared" ca="1" si="79"/>
        <v>-60044.054179923987</v>
      </c>
      <c r="L858" s="444">
        <f t="shared" ca="1" si="80"/>
        <v>-14470617.057361681</v>
      </c>
      <c r="M858" s="460">
        <f t="shared" si="82"/>
        <v>0.05</v>
      </c>
      <c r="N858" s="464">
        <f t="shared" si="83"/>
        <v>77158</v>
      </c>
    </row>
    <row r="859" spans="7:14" ht="11.25" customHeight="1" x14ac:dyDescent="0.25">
      <c r="G859" s="459">
        <f t="shared" si="90"/>
        <v>71</v>
      </c>
      <c r="H859" s="459">
        <v>852</v>
      </c>
      <c r="I859" s="444">
        <f t="shared" ca="1" si="81"/>
        <v>-14470617.057361681</v>
      </c>
      <c r="J859" s="444">
        <f t="array" ref="J859">IFERROR(INDEX('Retirement Calculator'!J:J,MATCH('Isaac 401k'!N859,'Retirement Calculator'!A:A,0),0),0)</f>
        <v>8395.6297298201844</v>
      </c>
      <c r="K859" s="444">
        <f t="shared" ca="1" si="79"/>
        <v>-60329.219529547925</v>
      </c>
      <c r="L859" s="444">
        <f t="shared" ca="1" si="80"/>
        <v>-14539341.90662105</v>
      </c>
      <c r="M859" s="460">
        <f t="shared" si="82"/>
        <v>0.05</v>
      </c>
      <c r="N859" s="464">
        <f t="shared" si="83"/>
        <v>77188</v>
      </c>
    </row>
    <row r="860" spans="7:14" ht="11.25" customHeight="1" x14ac:dyDescent="0.25">
      <c r="G860" s="459">
        <f>G859+1</f>
        <v>72</v>
      </c>
      <c r="H860" s="459">
        <v>853</v>
      </c>
      <c r="I860" s="444">
        <f t="shared" ca="1" si="81"/>
        <v>-14539341.90662105</v>
      </c>
      <c r="J860" s="444">
        <f t="array" ref="J860">IFERROR(INDEX('Retirement Calculator'!J:J,MATCH('Isaac 401k'!N860,'Retirement Calculator'!A:A,0),0),0)</f>
        <v>8395.6297298201844</v>
      </c>
      <c r="K860" s="444">
        <f t="shared" ca="1" si="79"/>
        <v>-60615.573068128615</v>
      </c>
      <c r="L860" s="444">
        <f t="shared" ca="1" si="80"/>
        <v>-14608353.109418999</v>
      </c>
      <c r="M860" s="460">
        <f t="shared" si="82"/>
        <v>0.05</v>
      </c>
      <c r="N860" s="464">
        <f t="shared" si="83"/>
        <v>77219</v>
      </c>
    </row>
    <row r="861" spans="7:14" ht="11.25" customHeight="1" x14ac:dyDescent="0.25">
      <c r="G861" s="459">
        <f t="shared" ref="G861:G871" si="91">G860</f>
        <v>72</v>
      </c>
      <c r="H861" s="459">
        <v>854</v>
      </c>
      <c r="I861" s="444">
        <f t="shared" ca="1" si="81"/>
        <v>-14608353.109418999</v>
      </c>
      <c r="J861" s="444">
        <f t="array" ref="J861">IFERROR(INDEX('Retirement Calculator'!J:J,MATCH('Isaac 401k'!N861,'Retirement Calculator'!A:A,0),0),0)</f>
        <v>8395.6297298201844</v>
      </c>
      <c r="K861" s="444">
        <f t="shared" ca="1" si="79"/>
        <v>-60903.119746453405</v>
      </c>
      <c r="L861" s="444">
        <f t="shared" ca="1" si="80"/>
        <v>-14677651.858895274</v>
      </c>
      <c r="M861" s="460">
        <f t="shared" si="82"/>
        <v>0.05</v>
      </c>
      <c r="N861" s="464">
        <f t="shared" si="83"/>
        <v>77249</v>
      </c>
    </row>
    <row r="862" spans="7:14" ht="11.25" customHeight="1" x14ac:dyDescent="0.25">
      <c r="G862" s="459">
        <f t="shared" si="91"/>
        <v>72</v>
      </c>
      <c r="H862" s="459">
        <v>855</v>
      </c>
      <c r="I862" s="444">
        <f t="shared" ca="1" si="81"/>
        <v>-14677651.858895274</v>
      </c>
      <c r="J862" s="444">
        <f t="array" ref="J862">IFERROR(INDEX('Retirement Calculator'!J:J,MATCH('Isaac 401k'!N862,'Retirement Calculator'!A:A,0),0),0)</f>
        <v>8395.6297298201844</v>
      </c>
      <c r="K862" s="444">
        <f t="shared" ca="1" si="79"/>
        <v>-61191.864535937893</v>
      </c>
      <c r="L862" s="444">
        <f t="shared" ca="1" si="80"/>
        <v>-14747239.353161031</v>
      </c>
      <c r="M862" s="460">
        <f t="shared" si="82"/>
        <v>0.05</v>
      </c>
      <c r="N862" s="464">
        <f t="shared" si="83"/>
        <v>77280</v>
      </c>
    </row>
    <row r="863" spans="7:14" ht="11.25" customHeight="1" x14ac:dyDescent="0.25">
      <c r="G863" s="459">
        <f t="shared" si="91"/>
        <v>72</v>
      </c>
      <c r="H863" s="459">
        <v>856</v>
      </c>
      <c r="I863" s="444">
        <f t="shared" ca="1" si="81"/>
        <v>-14747239.353161031</v>
      </c>
      <c r="J863" s="444">
        <f t="array" ref="J863">IFERROR(INDEX('Retirement Calculator'!J:J,MATCH('Isaac 401k'!N863,'Retirement Calculator'!A:A,0),0),0)</f>
        <v>8395.6297298201844</v>
      </c>
      <c r="K863" s="444">
        <f t="shared" ca="1" si="79"/>
        <v>-61481.812428711884</v>
      </c>
      <c r="L863" s="444">
        <f t="shared" ca="1" si="80"/>
        <v>-14817116.795319563</v>
      </c>
      <c r="M863" s="460">
        <f t="shared" si="82"/>
        <v>0.05</v>
      </c>
      <c r="N863" s="464">
        <f t="shared" si="83"/>
        <v>77311</v>
      </c>
    </row>
    <row r="864" spans="7:14" ht="11.25" customHeight="1" x14ac:dyDescent="0.25">
      <c r="G864" s="459">
        <f t="shared" si="91"/>
        <v>72</v>
      </c>
      <c r="H864" s="459">
        <v>857</v>
      </c>
      <c r="I864" s="444">
        <f t="shared" ca="1" si="81"/>
        <v>-14817116.795319563</v>
      </c>
      <c r="J864" s="444">
        <f t="array" ref="J864">IFERROR(INDEX('Retirement Calculator'!J:J,MATCH('Isaac 401k'!N864,'Retirement Calculator'!A:A,0),0),0)</f>
        <v>8395.6297298201844</v>
      </c>
      <c r="K864" s="444">
        <f t="shared" ca="1" si="79"/>
        <v>-61772.968437705764</v>
      </c>
      <c r="L864" s="444">
        <f t="shared" ca="1" si="80"/>
        <v>-14887285.393487088</v>
      </c>
      <c r="M864" s="460">
        <f t="shared" si="82"/>
        <v>0.05</v>
      </c>
      <c r="N864" s="464">
        <f t="shared" si="83"/>
        <v>77341</v>
      </c>
    </row>
    <row r="865" spans="7:14" ht="11.25" customHeight="1" x14ac:dyDescent="0.25">
      <c r="G865" s="459">
        <f t="shared" si="91"/>
        <v>72</v>
      </c>
      <c r="H865" s="459">
        <v>858</v>
      </c>
      <c r="I865" s="444">
        <f t="shared" ca="1" si="81"/>
        <v>-14887285.393487088</v>
      </c>
      <c r="J865" s="444">
        <f t="array" ref="J865">IFERROR(INDEX('Retirement Calculator'!J:J,MATCH('Isaac 401k'!N865,'Retirement Calculator'!A:A,0),0),0)</f>
        <v>8395.6297298201844</v>
      </c>
      <c r="K865" s="444">
        <f t="shared" ca="1" si="79"/>
        <v>-62065.337596737118</v>
      </c>
      <c r="L865" s="444">
        <f t="shared" ca="1" si="80"/>
        <v>-14957746.360813646</v>
      </c>
      <c r="M865" s="460">
        <f t="shared" si="82"/>
        <v>0.05</v>
      </c>
      <c r="N865" s="464">
        <f t="shared" si="83"/>
        <v>77372</v>
      </c>
    </row>
    <row r="866" spans="7:14" ht="11.25" customHeight="1" x14ac:dyDescent="0.25">
      <c r="G866" s="459">
        <f t="shared" si="91"/>
        <v>72</v>
      </c>
      <c r="H866" s="459">
        <v>859</v>
      </c>
      <c r="I866" s="444">
        <f t="shared" ca="1" si="81"/>
        <v>-14957746.360813646</v>
      </c>
      <c r="J866" s="444">
        <f t="array" ref="J866">IFERROR(INDEX('Retirement Calculator'!J:J,MATCH('Isaac 401k'!N866,'Retirement Calculator'!A:A,0),0),0)</f>
        <v>8395.6297298201844</v>
      </c>
      <c r="K866" s="444">
        <f t="shared" ca="1" si="79"/>
        <v>-62358.924960597767</v>
      </c>
      <c r="L866" s="444">
        <f t="shared" ca="1" si="80"/>
        <v>-15028500.915504064</v>
      </c>
      <c r="M866" s="460">
        <f t="shared" si="82"/>
        <v>0.05</v>
      </c>
      <c r="N866" s="464">
        <f t="shared" si="83"/>
        <v>77402</v>
      </c>
    </row>
    <row r="867" spans="7:14" ht="11.25" customHeight="1" x14ac:dyDescent="0.25">
      <c r="G867" s="459">
        <f t="shared" si="91"/>
        <v>72</v>
      </c>
      <c r="H867" s="459">
        <v>860</v>
      </c>
      <c r="I867" s="444">
        <f t="shared" ca="1" si="81"/>
        <v>-15028500.915504064</v>
      </c>
      <c r="J867" s="444">
        <f t="array" ref="J867">IFERROR(INDEX('Retirement Calculator'!J:J,MATCH('Isaac 401k'!N867,'Retirement Calculator'!A:A,0),0),0)</f>
        <v>8395.6297298201844</v>
      </c>
      <c r="K867" s="444">
        <f t="shared" ca="1" si="79"/>
        <v>-62653.735605141184</v>
      </c>
      <c r="L867" s="444">
        <f t="shared" ca="1" si="80"/>
        <v>-15099550.280839026</v>
      </c>
      <c r="M867" s="460">
        <f t="shared" si="82"/>
        <v>0.05</v>
      </c>
      <c r="N867" s="464">
        <f t="shared" si="83"/>
        <v>77433</v>
      </c>
    </row>
    <row r="868" spans="7:14" ht="11.25" customHeight="1" x14ac:dyDescent="0.25">
      <c r="G868" s="459">
        <f t="shared" si="91"/>
        <v>72</v>
      </c>
      <c r="H868" s="459">
        <v>861</v>
      </c>
      <c r="I868" s="444">
        <f t="shared" ca="1" si="81"/>
        <v>-15099550.280839026</v>
      </c>
      <c r="J868" s="444">
        <f t="array" ref="J868">IFERROR(INDEX('Retirement Calculator'!J:J,MATCH('Isaac 401k'!N868,'Retirement Calculator'!A:A,0),0),0)</f>
        <v>8395.6297298201844</v>
      </c>
      <c r="K868" s="444">
        <f t="shared" ca="1" si="79"/>
        <v>-62949.774627370185</v>
      </c>
      <c r="L868" s="444">
        <f t="shared" ca="1" si="80"/>
        <v>-15170895.685196217</v>
      </c>
      <c r="M868" s="460">
        <f t="shared" si="82"/>
        <v>0.05</v>
      </c>
      <c r="N868" s="464">
        <f t="shared" si="83"/>
        <v>77464</v>
      </c>
    </row>
    <row r="869" spans="7:14" ht="11.25" customHeight="1" x14ac:dyDescent="0.25">
      <c r="G869" s="459">
        <f t="shared" si="91"/>
        <v>72</v>
      </c>
      <c r="H869" s="459">
        <v>862</v>
      </c>
      <c r="I869" s="444">
        <f t="shared" ca="1" si="81"/>
        <v>-15170895.685196217</v>
      </c>
      <c r="J869" s="444">
        <f t="array" ref="J869">IFERROR(INDEX('Retirement Calculator'!J:J,MATCH('Isaac 401k'!N869,'Retirement Calculator'!A:A,0),0),0)</f>
        <v>8395.6297298201844</v>
      </c>
      <c r="K869" s="444">
        <f t="shared" ca="1" si="79"/>
        <v>-63247.047145525154</v>
      </c>
      <c r="L869" s="444">
        <f t="shared" ca="1" si="80"/>
        <v>-15242538.362071563</v>
      </c>
      <c r="M869" s="460">
        <f t="shared" si="82"/>
        <v>0.05</v>
      </c>
      <c r="N869" s="464">
        <f t="shared" si="83"/>
        <v>77493</v>
      </c>
    </row>
    <row r="870" spans="7:14" ht="11.25" customHeight="1" x14ac:dyDescent="0.25">
      <c r="G870" s="459">
        <f t="shared" si="91"/>
        <v>72</v>
      </c>
      <c r="H870" s="459">
        <v>863</v>
      </c>
      <c r="I870" s="444">
        <f t="shared" ca="1" si="81"/>
        <v>-15242538.362071563</v>
      </c>
      <c r="J870" s="444">
        <f t="array" ref="J870">IFERROR(INDEX('Retirement Calculator'!J:J,MATCH('Isaac 401k'!N870,'Retirement Calculator'!A:A,0),0),0)</f>
        <v>8395.6297298201844</v>
      </c>
      <c r="K870" s="444">
        <f t="shared" ca="1" si="79"/>
        <v>-63545.558299172437</v>
      </c>
      <c r="L870" s="444">
        <f t="shared" ca="1" si="80"/>
        <v>-15314479.550100556</v>
      </c>
      <c r="M870" s="460">
        <f t="shared" si="82"/>
        <v>0.05</v>
      </c>
      <c r="N870" s="464">
        <f t="shared" si="83"/>
        <v>77524</v>
      </c>
    </row>
    <row r="871" spans="7:14" ht="11.25" customHeight="1" x14ac:dyDescent="0.25">
      <c r="G871" s="459">
        <f t="shared" si="91"/>
        <v>72</v>
      </c>
      <c r="H871" s="459">
        <v>864</v>
      </c>
      <c r="I871" s="444">
        <f t="shared" ca="1" si="81"/>
        <v>-15314479.550100556</v>
      </c>
      <c r="J871" s="444">
        <f t="array" ref="J871">IFERROR(INDEX('Retirement Calculator'!J:J,MATCH('Isaac 401k'!N871,'Retirement Calculator'!A:A,0),0),0)</f>
        <v>8395.6297298201844</v>
      </c>
      <c r="K871" s="444">
        <f t="shared" ca="1" si="79"/>
        <v>-63845.313249293235</v>
      </c>
      <c r="L871" s="444">
        <f t="shared" ca="1" si="80"/>
        <v>-15386720.49307967</v>
      </c>
      <c r="M871" s="460">
        <f t="shared" si="82"/>
        <v>0.05</v>
      </c>
      <c r="N871" s="464">
        <f t="shared" si="83"/>
        <v>77554</v>
      </c>
    </row>
    <row r="872" spans="7:14" ht="11.25" customHeight="1" x14ac:dyDescent="0.25">
      <c r="G872" s="459">
        <f>G871+1</f>
        <v>73</v>
      </c>
      <c r="H872" s="459">
        <v>865</v>
      </c>
      <c r="I872" s="444">
        <f t="shared" ca="1" si="81"/>
        <v>-15386720.49307967</v>
      </c>
      <c r="J872" s="444">
        <f t="array" ref="J872">IFERROR(INDEX('Retirement Calculator'!J:J,MATCH('Isaac 401k'!N872,'Retirement Calculator'!A:A,0),0),0)</f>
        <v>8395.6297298201844</v>
      </c>
      <c r="K872" s="444">
        <f t="shared" ca="1" si="79"/>
        <v>-64146.317178372876</v>
      </c>
      <c r="L872" s="444">
        <f t="shared" ca="1" si="80"/>
        <v>-15459262.439987862</v>
      </c>
      <c r="M872" s="460">
        <f t="shared" si="82"/>
        <v>0.05</v>
      </c>
      <c r="N872" s="464">
        <f t="shared" si="83"/>
        <v>77585</v>
      </c>
    </row>
    <row r="873" spans="7:14" ht="11.25" customHeight="1" x14ac:dyDescent="0.25">
      <c r="G873" s="459">
        <f t="shared" ref="G873:G883" si="92">G872</f>
        <v>73</v>
      </c>
      <c r="H873" s="459">
        <v>866</v>
      </c>
      <c r="I873" s="444">
        <f t="shared" ca="1" si="81"/>
        <v>-15459262.439987862</v>
      </c>
      <c r="J873" s="444">
        <f t="array" ref="J873">IFERROR(INDEX('Retirement Calculator'!J:J,MATCH('Isaac 401k'!N873,'Retirement Calculator'!A:A,0),0),0)</f>
        <v>8395.6297298201844</v>
      </c>
      <c r="K873" s="444">
        <f t="shared" ca="1" si="79"/>
        <v>-64448.575290490342</v>
      </c>
      <c r="L873" s="444">
        <f t="shared" ca="1" si="80"/>
        <v>-15532106.645008173</v>
      </c>
      <c r="M873" s="460">
        <f t="shared" si="82"/>
        <v>0.05</v>
      </c>
      <c r="N873" s="464">
        <f t="shared" si="83"/>
        <v>77615</v>
      </c>
    </row>
    <row r="874" spans="7:14" ht="11.25" customHeight="1" x14ac:dyDescent="0.25">
      <c r="G874" s="459">
        <f t="shared" si="92"/>
        <v>73</v>
      </c>
      <c r="H874" s="459">
        <v>867</v>
      </c>
      <c r="I874" s="444">
        <f t="shared" ca="1" si="81"/>
        <v>-15532106.645008173</v>
      </c>
      <c r="J874" s="444">
        <f t="array" ref="J874">IFERROR(INDEX('Retirement Calculator'!J:J,MATCH('Isaac 401k'!N874,'Retirement Calculator'!A:A,0),0),0)</f>
        <v>8395.6297298201844</v>
      </c>
      <c r="K874" s="444">
        <f t="shared" ca="1" si="79"/>
        <v>-64752.092811408314</v>
      </c>
      <c r="L874" s="444">
        <f t="shared" ca="1" si="80"/>
        <v>-15605254.367549401</v>
      </c>
      <c r="M874" s="460">
        <f t="shared" si="82"/>
        <v>0.05</v>
      </c>
      <c r="N874" s="464">
        <f t="shared" si="83"/>
        <v>77646</v>
      </c>
    </row>
    <row r="875" spans="7:14" ht="11.25" customHeight="1" x14ac:dyDescent="0.25">
      <c r="G875" s="459">
        <f t="shared" si="92"/>
        <v>73</v>
      </c>
      <c r="H875" s="459">
        <v>868</v>
      </c>
      <c r="I875" s="444">
        <f t="shared" ca="1" si="81"/>
        <v>-15605254.367549401</v>
      </c>
      <c r="J875" s="444">
        <f t="array" ref="J875">IFERROR(INDEX('Retirement Calculator'!J:J,MATCH('Isaac 401k'!N875,'Retirement Calculator'!A:A,0),0),0)</f>
        <v>8395.6297298201844</v>
      </c>
      <c r="K875" s="444">
        <f t="shared" ca="1" si="79"/>
        <v>-65056.874988663418</v>
      </c>
      <c r="L875" s="444">
        <f t="shared" ca="1" si="80"/>
        <v>-15678706.872267885</v>
      </c>
      <c r="M875" s="460">
        <f t="shared" si="82"/>
        <v>0.05</v>
      </c>
      <c r="N875" s="464">
        <f t="shared" si="83"/>
        <v>77677</v>
      </c>
    </row>
    <row r="876" spans="7:14" ht="11.25" customHeight="1" x14ac:dyDescent="0.25">
      <c r="G876" s="459">
        <f t="shared" si="92"/>
        <v>73</v>
      </c>
      <c r="H876" s="459">
        <v>869</v>
      </c>
      <c r="I876" s="444">
        <f t="shared" ca="1" si="81"/>
        <v>-15678706.872267885</v>
      </c>
      <c r="J876" s="444">
        <f t="array" ref="J876">IFERROR(INDEX('Retirement Calculator'!J:J,MATCH('Isaac 401k'!N876,'Retirement Calculator'!A:A,0),0),0)</f>
        <v>8395.6297298201844</v>
      </c>
      <c r="K876" s="444">
        <f t="shared" ca="1" si="79"/>
        <v>-65362.927091657097</v>
      </c>
      <c r="L876" s="444">
        <f t="shared" ca="1" si="80"/>
        <v>-15752465.429089362</v>
      </c>
      <c r="M876" s="460">
        <f t="shared" si="82"/>
        <v>0.05</v>
      </c>
      <c r="N876" s="464">
        <f t="shared" si="83"/>
        <v>77707</v>
      </c>
    </row>
    <row r="877" spans="7:14" ht="11.25" customHeight="1" x14ac:dyDescent="0.25">
      <c r="G877" s="459">
        <f t="shared" si="92"/>
        <v>73</v>
      </c>
      <c r="H877" s="459">
        <v>870</v>
      </c>
      <c r="I877" s="444">
        <f t="shared" ca="1" si="81"/>
        <v>-15752465.429089362</v>
      </c>
      <c r="J877" s="444">
        <f t="array" ref="J877">IFERROR(INDEX('Retirement Calculator'!J:J,MATCH('Isaac 401k'!N877,'Retirement Calculator'!A:A,0),0),0)</f>
        <v>8395.6297298201844</v>
      </c>
      <c r="K877" s="444">
        <f t="shared" ca="1" si="79"/>
        <v>-65670.254411746588</v>
      </c>
      <c r="L877" s="444">
        <f t="shared" ca="1" si="80"/>
        <v>-15826531.313230928</v>
      </c>
      <c r="M877" s="460">
        <f t="shared" si="82"/>
        <v>0.05</v>
      </c>
      <c r="N877" s="464">
        <f t="shared" si="83"/>
        <v>77738</v>
      </c>
    </row>
    <row r="878" spans="7:14" ht="11.25" customHeight="1" x14ac:dyDescent="0.25">
      <c r="G878" s="459">
        <f t="shared" si="92"/>
        <v>73</v>
      </c>
      <c r="H878" s="459">
        <v>871</v>
      </c>
      <c r="I878" s="444">
        <f t="shared" ca="1" si="81"/>
        <v>-15826531.313230928</v>
      </c>
      <c r="J878" s="444">
        <f t="array" ref="J878">IFERROR(INDEX('Retirement Calculator'!J:J,MATCH('Isaac 401k'!N878,'Retirement Calculator'!A:A,0),0),0)</f>
        <v>8395.6297298201844</v>
      </c>
      <c r="K878" s="444">
        <f t="shared" ca="1" si="79"/>
        <v>-65978.862262336464</v>
      </c>
      <c r="L878" s="444">
        <f t="shared" ca="1" si="80"/>
        <v>-15900905.805223085</v>
      </c>
      <c r="M878" s="460">
        <f t="shared" si="82"/>
        <v>0.05</v>
      </c>
      <c r="N878" s="464">
        <f t="shared" si="83"/>
        <v>77768</v>
      </c>
    </row>
    <row r="879" spans="7:14" ht="11.25" customHeight="1" x14ac:dyDescent="0.25">
      <c r="G879" s="459">
        <f t="shared" si="92"/>
        <v>73</v>
      </c>
      <c r="H879" s="459">
        <v>872</v>
      </c>
      <c r="I879" s="444">
        <f t="shared" ca="1" si="81"/>
        <v>-15900905.805223085</v>
      </c>
      <c r="J879" s="444">
        <f t="array" ref="J879">IFERROR(INDEX('Retirement Calculator'!J:J,MATCH('Isaac 401k'!N879,'Retirement Calculator'!A:A,0),0),0)</f>
        <v>8395.6297298201844</v>
      </c>
      <c r="K879" s="444">
        <f t="shared" ca="1" si="79"/>
        <v>-66288.755978970439</v>
      </c>
      <c r="L879" s="444">
        <f t="shared" ca="1" si="80"/>
        <v>-15975590.190931875</v>
      </c>
      <c r="M879" s="460">
        <f t="shared" si="82"/>
        <v>0.05</v>
      </c>
      <c r="N879" s="464">
        <f t="shared" si="83"/>
        <v>77799</v>
      </c>
    </row>
    <row r="880" spans="7:14" ht="11.25" customHeight="1" x14ac:dyDescent="0.25">
      <c r="G880" s="459">
        <f t="shared" si="92"/>
        <v>73</v>
      </c>
      <c r="H880" s="459">
        <v>873</v>
      </c>
      <c r="I880" s="444">
        <f t="shared" ca="1" si="81"/>
        <v>-15975590.190931875</v>
      </c>
      <c r="J880" s="444">
        <f t="array" ref="J880">IFERROR(INDEX('Retirement Calculator'!J:J,MATCH('Isaac 401k'!N880,'Retirement Calculator'!A:A,0),0),0)</f>
        <v>8395.6297298201844</v>
      </c>
      <c r="K880" s="444">
        <f t="shared" ca="1" si="79"/>
        <v>-66599.940919423738</v>
      </c>
      <c r="L880" s="444">
        <f t="shared" ca="1" si="80"/>
        <v>-16050585.761581119</v>
      </c>
      <c r="M880" s="460">
        <f t="shared" si="82"/>
        <v>0.05</v>
      </c>
      <c r="N880" s="464">
        <f t="shared" si="83"/>
        <v>77830</v>
      </c>
    </row>
    <row r="881" spans="7:14" ht="11.25" customHeight="1" x14ac:dyDescent="0.25">
      <c r="G881" s="459">
        <f t="shared" si="92"/>
        <v>73</v>
      </c>
      <c r="H881" s="459">
        <v>874</v>
      </c>
      <c r="I881" s="444">
        <f t="shared" ca="1" si="81"/>
        <v>-16050585.761581119</v>
      </c>
      <c r="J881" s="444">
        <f t="array" ref="J881">IFERROR(INDEX('Retirement Calculator'!J:J,MATCH('Isaac 401k'!N881,'Retirement Calculator'!A:A,0),0),0)</f>
        <v>8395.6297298201844</v>
      </c>
      <c r="K881" s="444">
        <f t="shared" ca="1" si="79"/>
        <v>-66912.422463795592</v>
      </c>
      <c r="L881" s="444">
        <f t="shared" ca="1" si="80"/>
        <v>-16125893.813774735</v>
      </c>
      <c r="M881" s="460">
        <f t="shared" si="82"/>
        <v>0.05</v>
      </c>
      <c r="N881" s="464">
        <f t="shared" si="83"/>
        <v>77858</v>
      </c>
    </row>
    <row r="882" spans="7:14" ht="11.25" customHeight="1" x14ac:dyDescent="0.25">
      <c r="G882" s="459">
        <f t="shared" si="92"/>
        <v>73</v>
      </c>
      <c r="H882" s="459">
        <v>875</v>
      </c>
      <c r="I882" s="444">
        <f t="shared" ca="1" si="81"/>
        <v>-16125893.813774735</v>
      </c>
      <c r="J882" s="444">
        <f t="array" ref="J882">IFERROR(INDEX('Retirement Calculator'!J:J,MATCH('Isaac 401k'!N882,'Retirement Calculator'!A:A,0),0),0)</f>
        <v>8395.6297298201844</v>
      </c>
      <c r="K882" s="444">
        <f t="shared" ca="1" si="79"/>
        <v>-67226.206014602314</v>
      </c>
      <c r="L882" s="444">
        <f t="shared" ca="1" si="80"/>
        <v>-16201515.649519157</v>
      </c>
      <c r="M882" s="460">
        <f t="shared" si="82"/>
        <v>0.05</v>
      </c>
      <c r="N882" s="464">
        <f t="shared" si="83"/>
        <v>77889</v>
      </c>
    </row>
    <row r="883" spans="7:14" ht="11.25" customHeight="1" x14ac:dyDescent="0.25">
      <c r="G883" s="459">
        <f t="shared" si="92"/>
        <v>73</v>
      </c>
      <c r="H883" s="459">
        <v>876</v>
      </c>
      <c r="I883" s="444">
        <f t="shared" ca="1" si="81"/>
        <v>-16201515.649519157</v>
      </c>
      <c r="J883" s="444">
        <f t="array" ref="J883">IFERROR(INDEX('Retirement Calculator'!J:J,MATCH('Isaac 401k'!N883,'Retirement Calculator'!A:A,0),0),0)</f>
        <v>8395.6297298201844</v>
      </c>
      <c r="K883" s="444">
        <f t="shared" ca="1" si="79"/>
        <v>-67541.296996870733</v>
      </c>
      <c r="L883" s="444">
        <f t="shared" ca="1" si="80"/>
        <v>-16277452.576245848</v>
      </c>
      <c r="M883" s="460">
        <f t="shared" si="82"/>
        <v>0.05</v>
      </c>
      <c r="N883" s="464">
        <f t="shared" si="83"/>
        <v>77919</v>
      </c>
    </row>
    <row r="884" spans="7:14" ht="11.25" customHeight="1" x14ac:dyDescent="0.25">
      <c r="G884" s="459">
        <f>G883+1</f>
        <v>74</v>
      </c>
      <c r="H884" s="459">
        <v>877</v>
      </c>
      <c r="I884" s="444">
        <f t="shared" ca="1" si="81"/>
        <v>-16277452.576245848</v>
      </c>
      <c r="J884" s="444">
        <f t="array" ref="J884">IFERROR(INDEX('Retirement Calculator'!J:J,MATCH('Isaac 401k'!N884,'Retirement Calculator'!A:A,0),0),0)</f>
        <v>8395.6297298201844</v>
      </c>
      <c r="K884" s="444">
        <f t="shared" ca="1" si="79"/>
        <v>-67857.700858231954</v>
      </c>
      <c r="L884" s="444">
        <f t="shared" ca="1" si="80"/>
        <v>-16353705.9068339</v>
      </c>
      <c r="M884" s="460">
        <f t="shared" si="82"/>
        <v>0.05</v>
      </c>
      <c r="N884" s="464">
        <f t="shared" si="83"/>
        <v>77950</v>
      </c>
    </row>
    <row r="885" spans="7:14" ht="11.25" customHeight="1" x14ac:dyDescent="0.25">
      <c r="G885" s="459">
        <f t="shared" ref="G885:G895" si="93">G884</f>
        <v>74</v>
      </c>
      <c r="H885" s="459">
        <v>878</v>
      </c>
      <c r="I885" s="444">
        <f t="shared" ca="1" si="81"/>
        <v>-16353705.9068339</v>
      </c>
      <c r="J885" s="444">
        <f t="array" ref="J885">IFERROR(INDEX('Retirement Calculator'!J:J,MATCH('Isaac 401k'!N885,'Retirement Calculator'!A:A,0),0),0)</f>
        <v>8395.6297298201844</v>
      </c>
      <c r="K885" s="444">
        <f t="shared" ca="1" si="79"/>
        <v>-68175.423069015495</v>
      </c>
      <c r="L885" s="444">
        <f t="shared" ca="1" si="80"/>
        <v>-16430276.959632736</v>
      </c>
      <c r="M885" s="460">
        <f t="shared" si="82"/>
        <v>0.05</v>
      </c>
      <c r="N885" s="464">
        <f t="shared" si="83"/>
        <v>77980</v>
      </c>
    </row>
    <row r="886" spans="7:14" ht="11.25" customHeight="1" x14ac:dyDescent="0.25">
      <c r="G886" s="459">
        <f t="shared" si="93"/>
        <v>74</v>
      </c>
      <c r="H886" s="459">
        <v>879</v>
      </c>
      <c r="I886" s="444">
        <f t="shared" ca="1" si="81"/>
        <v>-16430276.959632736</v>
      </c>
      <c r="J886" s="444">
        <f t="array" ref="J886">IFERROR(INDEX('Retirement Calculator'!J:J,MATCH('Isaac 401k'!N886,'Retirement Calculator'!A:A,0),0),0)</f>
        <v>8395.6297298201844</v>
      </c>
      <c r="K886" s="444">
        <f t="shared" ca="1" si="79"/>
        <v>-68494.469122343988</v>
      </c>
      <c r="L886" s="444">
        <f t="shared" ca="1" si="80"/>
        <v>-16507167.058484901</v>
      </c>
      <c r="M886" s="460">
        <f t="shared" si="82"/>
        <v>0.05</v>
      </c>
      <c r="N886" s="464">
        <f t="shared" si="83"/>
        <v>78011</v>
      </c>
    </row>
    <row r="887" spans="7:14" ht="11.25" customHeight="1" x14ac:dyDescent="0.25">
      <c r="G887" s="459">
        <f t="shared" si="93"/>
        <v>74</v>
      </c>
      <c r="H887" s="459">
        <v>880</v>
      </c>
      <c r="I887" s="444">
        <f t="shared" ca="1" si="81"/>
        <v>-16507167.058484901</v>
      </c>
      <c r="J887" s="444">
        <f t="array" ref="J887">IFERROR(INDEX('Retirement Calculator'!J:J,MATCH('Isaac 401k'!N887,'Retirement Calculator'!A:A,0),0),0)</f>
        <v>8395.6297298201844</v>
      </c>
      <c r="K887" s="444">
        <f t="shared" ca="1" si="79"/>
        <v>-68814.844534228003</v>
      </c>
      <c r="L887" s="444">
        <f t="shared" ca="1" si="80"/>
        <v>-16584377.532748949</v>
      </c>
      <c r="M887" s="460">
        <f t="shared" si="82"/>
        <v>0.05</v>
      </c>
      <c r="N887" s="464">
        <f t="shared" si="83"/>
        <v>78042</v>
      </c>
    </row>
    <row r="888" spans="7:14" ht="11.25" customHeight="1" x14ac:dyDescent="0.25">
      <c r="G888" s="459">
        <f t="shared" si="93"/>
        <v>74</v>
      </c>
      <c r="H888" s="459">
        <v>881</v>
      </c>
      <c r="I888" s="444">
        <f t="shared" ca="1" si="81"/>
        <v>-16584377.532748949</v>
      </c>
      <c r="J888" s="444">
        <f t="array" ref="J888">IFERROR(INDEX('Retirement Calculator'!J:J,MATCH('Isaac 401k'!N888,'Retirement Calculator'!A:A,0),0),0)</f>
        <v>8395.6297298201844</v>
      </c>
      <c r="K888" s="444">
        <f t="shared" ca="1" si="79"/>
        <v>-69136.554843661535</v>
      </c>
      <c r="L888" s="444">
        <f t="shared" ca="1" si="80"/>
        <v>-16661909.717322432</v>
      </c>
      <c r="M888" s="460">
        <f t="shared" si="82"/>
        <v>0.05</v>
      </c>
      <c r="N888" s="464">
        <f t="shared" si="83"/>
        <v>78072</v>
      </c>
    </row>
    <row r="889" spans="7:14" ht="11.25" customHeight="1" x14ac:dyDescent="0.25">
      <c r="G889" s="459">
        <f t="shared" si="93"/>
        <v>74</v>
      </c>
      <c r="H889" s="459">
        <v>882</v>
      </c>
      <c r="I889" s="444">
        <f t="shared" ca="1" si="81"/>
        <v>-16661909.717322432</v>
      </c>
      <c r="J889" s="444">
        <f t="array" ref="J889">IFERROR(INDEX('Retirement Calculator'!J:J,MATCH('Isaac 401k'!N889,'Retirement Calculator'!A:A,0),0),0)</f>
        <v>8395.6297298201844</v>
      </c>
      <c r="K889" s="444">
        <f t="shared" ca="1" si="79"/>
        <v>-69459.605612717729</v>
      </c>
      <c r="L889" s="444">
        <f t="shared" ca="1" si="80"/>
        <v>-16739764.952664969</v>
      </c>
      <c r="M889" s="460">
        <f t="shared" si="82"/>
        <v>0.05</v>
      </c>
      <c r="N889" s="464">
        <f t="shared" si="83"/>
        <v>78103</v>
      </c>
    </row>
    <row r="890" spans="7:14" ht="11.25" customHeight="1" x14ac:dyDescent="0.25">
      <c r="G890" s="459">
        <f t="shared" si="93"/>
        <v>74</v>
      </c>
      <c r="H890" s="459">
        <v>883</v>
      </c>
      <c r="I890" s="444">
        <f t="shared" ca="1" si="81"/>
        <v>-16739764.952664969</v>
      </c>
      <c r="J890" s="444">
        <f t="array" ref="J890">IFERROR(INDEX('Retirement Calculator'!J:J,MATCH('Isaac 401k'!N890,'Retirement Calculator'!A:A,0),0),0)</f>
        <v>8395.6297298201844</v>
      </c>
      <c r="K890" s="444">
        <f t="shared" ca="1" si="79"/>
        <v>-69784.002426644962</v>
      </c>
      <c r="L890" s="444">
        <f t="shared" ca="1" si="80"/>
        <v>-16817944.584821437</v>
      </c>
      <c r="M890" s="460">
        <f t="shared" si="82"/>
        <v>0.05</v>
      </c>
      <c r="N890" s="464">
        <f t="shared" si="83"/>
        <v>78133</v>
      </c>
    </row>
    <row r="891" spans="7:14" ht="11.25" customHeight="1" x14ac:dyDescent="0.25">
      <c r="G891" s="459">
        <f t="shared" si="93"/>
        <v>74</v>
      </c>
      <c r="H891" s="459">
        <v>884</v>
      </c>
      <c r="I891" s="444">
        <f t="shared" ca="1" si="81"/>
        <v>-16817944.584821437</v>
      </c>
      <c r="J891" s="444">
        <f t="array" ref="J891">IFERROR(INDEX('Retirement Calculator'!J:J,MATCH('Isaac 401k'!N891,'Retirement Calculator'!A:A,0),0),0)</f>
        <v>8395.6297298201844</v>
      </c>
      <c r="K891" s="444">
        <f t="shared" ca="1" si="79"/>
        <v>-70109.750893963559</v>
      </c>
      <c r="L891" s="444">
        <f t="shared" ca="1" si="80"/>
        <v>-16896449.96544522</v>
      </c>
      <c r="M891" s="460">
        <f t="shared" si="82"/>
        <v>0.05</v>
      </c>
      <c r="N891" s="464">
        <f t="shared" si="83"/>
        <v>78164</v>
      </c>
    </row>
    <row r="892" spans="7:14" ht="11.25" customHeight="1" x14ac:dyDescent="0.25">
      <c r="G892" s="459">
        <f t="shared" si="93"/>
        <v>74</v>
      </c>
      <c r="H892" s="459">
        <v>885</v>
      </c>
      <c r="I892" s="444">
        <f t="shared" ca="1" si="81"/>
        <v>-16896449.96544522</v>
      </c>
      <c r="J892" s="444">
        <f t="array" ref="J892">IFERROR(INDEX('Retirement Calculator'!J:J,MATCH('Isaac 401k'!N892,'Retirement Calculator'!A:A,0),0),0)</f>
        <v>8395.6297298201844</v>
      </c>
      <c r="K892" s="444">
        <f t="shared" ca="1" si="79"/>
        <v>-70436.856646562665</v>
      </c>
      <c r="L892" s="444">
        <f t="shared" ca="1" si="80"/>
        <v>-16975282.451821603</v>
      </c>
      <c r="M892" s="460">
        <f t="shared" si="82"/>
        <v>0.05</v>
      </c>
      <c r="N892" s="464">
        <f t="shared" si="83"/>
        <v>78195</v>
      </c>
    </row>
    <row r="893" spans="7:14" ht="11.25" customHeight="1" x14ac:dyDescent="0.25">
      <c r="G893" s="459">
        <f t="shared" si="93"/>
        <v>74</v>
      </c>
      <c r="H893" s="459">
        <v>886</v>
      </c>
      <c r="I893" s="444">
        <f t="shared" ca="1" si="81"/>
        <v>-16975282.451821603</v>
      </c>
      <c r="J893" s="444">
        <f t="array" ref="J893">IFERROR(INDEX('Retirement Calculator'!J:J,MATCH('Isaac 401k'!N893,'Retirement Calculator'!A:A,0),0),0)</f>
        <v>8395.6297298201844</v>
      </c>
      <c r="K893" s="444">
        <f t="shared" ca="1" si="79"/>
        <v>-70765.325339797593</v>
      </c>
      <c r="L893" s="444">
        <f t="shared" ca="1" si="80"/>
        <v>-17054443.406891219</v>
      </c>
      <c r="M893" s="460">
        <f t="shared" si="82"/>
        <v>0.05</v>
      </c>
      <c r="N893" s="464">
        <f t="shared" si="83"/>
        <v>78223</v>
      </c>
    </row>
    <row r="894" spans="7:14" ht="11.25" customHeight="1" x14ac:dyDescent="0.25">
      <c r="G894" s="459">
        <f t="shared" si="93"/>
        <v>74</v>
      </c>
      <c r="H894" s="459">
        <v>887</v>
      </c>
      <c r="I894" s="444">
        <f t="shared" ca="1" si="81"/>
        <v>-17054443.406891219</v>
      </c>
      <c r="J894" s="444">
        <f t="array" ref="J894">IFERROR(INDEX('Retirement Calculator'!J:J,MATCH('Isaac 401k'!N894,'Retirement Calculator'!A:A,0),0),0)</f>
        <v>8395.6297298201844</v>
      </c>
      <c r="K894" s="444">
        <f t="shared" ca="1" si="79"/>
        <v>-71095.162652587664</v>
      </c>
      <c r="L894" s="444">
        <f t="shared" ca="1" si="80"/>
        <v>-17133934.199273627</v>
      </c>
      <c r="M894" s="460">
        <f t="shared" si="82"/>
        <v>0.05</v>
      </c>
      <c r="N894" s="464">
        <f t="shared" si="83"/>
        <v>78254</v>
      </c>
    </row>
    <row r="895" spans="7:14" ht="11.25" customHeight="1" x14ac:dyDescent="0.25">
      <c r="G895" s="459">
        <f t="shared" si="93"/>
        <v>74</v>
      </c>
      <c r="H895" s="459">
        <v>888</v>
      </c>
      <c r="I895" s="444">
        <f t="shared" ca="1" si="81"/>
        <v>-17133934.199273627</v>
      </c>
      <c r="J895" s="444">
        <f t="array" ref="J895">IFERROR(INDEX('Retirement Calculator'!J:J,MATCH('Isaac 401k'!N895,'Retirement Calculator'!A:A,0),0),0)</f>
        <v>8395.6297298201844</v>
      </c>
      <c r="K895" s="444">
        <f t="shared" ca="1" si="79"/>
        <v>-71426.374287514351</v>
      </c>
      <c r="L895" s="444">
        <f t="shared" ca="1" si="80"/>
        <v>-17213756.203290962</v>
      </c>
      <c r="M895" s="460">
        <f t="shared" si="82"/>
        <v>0.05</v>
      </c>
      <c r="N895" s="464">
        <f t="shared" si="83"/>
        <v>78284</v>
      </c>
    </row>
    <row r="896" spans="7:14" ht="11.25" customHeight="1" x14ac:dyDescent="0.25">
      <c r="G896" s="459">
        <f>G895+1</f>
        <v>75</v>
      </c>
      <c r="H896" s="459">
        <v>889</v>
      </c>
      <c r="I896" s="444">
        <f t="shared" ca="1" si="81"/>
        <v>-17213756.203290962</v>
      </c>
      <c r="J896" s="444">
        <f t="array" ref="J896">IFERROR(INDEX('Retirement Calculator'!J:J,MATCH('Isaac 401k'!N896,'Retirement Calculator'!A:A,0),0),0)</f>
        <v>8395.6297298201844</v>
      </c>
      <c r="K896" s="444">
        <f t="shared" ca="1" si="79"/>
        <v>-71758.965970919919</v>
      </c>
      <c r="L896" s="444">
        <f t="shared" ca="1" si="80"/>
        <v>-17293910.798991699</v>
      </c>
      <c r="M896" s="460">
        <f t="shared" si="82"/>
        <v>0.05</v>
      </c>
      <c r="N896" s="464">
        <f t="shared" si="83"/>
        <v>78315</v>
      </c>
    </row>
    <row r="897" spans="7:14" ht="11.25" customHeight="1" x14ac:dyDescent="0.25">
      <c r="G897" s="459">
        <f t="shared" ref="G897:G907" si="94">G896</f>
        <v>75</v>
      </c>
      <c r="H897" s="459">
        <v>890</v>
      </c>
      <c r="I897" s="444">
        <f t="shared" ca="1" si="81"/>
        <v>-17293910.798991699</v>
      </c>
      <c r="J897" s="444">
        <f t="array" ref="J897">IFERROR(INDEX('Retirement Calculator'!J:J,MATCH('Isaac 401k'!N897,'Retirement Calculator'!A:A,0),0),0)</f>
        <v>8395.6297298201844</v>
      </c>
      <c r="K897" s="444">
        <f t="shared" ca="1" si="79"/>
        <v>-72092.943453006315</v>
      </c>
      <c r="L897" s="444">
        <f t="shared" ca="1" si="80"/>
        <v>-17374399.372174524</v>
      </c>
      <c r="M897" s="460">
        <f t="shared" si="82"/>
        <v>0.05</v>
      </c>
      <c r="N897" s="464">
        <f t="shared" si="83"/>
        <v>78345</v>
      </c>
    </row>
    <row r="898" spans="7:14" ht="11.25" customHeight="1" x14ac:dyDescent="0.25">
      <c r="G898" s="459">
        <f t="shared" si="94"/>
        <v>75</v>
      </c>
      <c r="H898" s="459">
        <v>891</v>
      </c>
      <c r="I898" s="444">
        <f t="shared" ca="1" si="81"/>
        <v>-17374399.372174524</v>
      </c>
      <c r="J898" s="444">
        <f t="array" ref="J898">IFERROR(INDEX('Retirement Calculator'!J:J,MATCH('Isaac 401k'!N898,'Retirement Calculator'!A:A,0),0),0)</f>
        <v>8395.6297298201844</v>
      </c>
      <c r="K898" s="444">
        <f t="shared" ca="1" si="79"/>
        <v>-72428.312507934752</v>
      </c>
      <c r="L898" s="444">
        <f t="shared" ca="1" si="80"/>
        <v>-17455223.314412277</v>
      </c>
      <c r="M898" s="460">
        <f t="shared" si="82"/>
        <v>0.05</v>
      </c>
      <c r="N898" s="464">
        <f t="shared" si="83"/>
        <v>78376</v>
      </c>
    </row>
    <row r="899" spans="7:14" ht="11.25" customHeight="1" x14ac:dyDescent="0.25">
      <c r="G899" s="459">
        <f t="shared" si="94"/>
        <v>75</v>
      </c>
      <c r="H899" s="459">
        <v>892</v>
      </c>
      <c r="I899" s="444">
        <f t="shared" ca="1" si="81"/>
        <v>-17455223.314412277</v>
      </c>
      <c r="J899" s="444">
        <f t="array" ref="J899">IFERROR(INDEX('Retirement Calculator'!J:J,MATCH('Isaac 401k'!N899,'Retirement Calculator'!A:A,0),0),0)</f>
        <v>8395.6297298201844</v>
      </c>
      <c r="K899" s="444">
        <f t="shared" ca="1" si="79"/>
        <v>-72765.078933925397</v>
      </c>
      <c r="L899" s="444">
        <f t="shared" ca="1" si="80"/>
        <v>-17536384.02307602</v>
      </c>
      <c r="M899" s="460">
        <f t="shared" si="82"/>
        <v>0.05</v>
      </c>
      <c r="N899" s="464">
        <f t="shared" si="83"/>
        <v>78407</v>
      </c>
    </row>
    <row r="900" spans="7:14" ht="11.25" customHeight="1" x14ac:dyDescent="0.25">
      <c r="G900" s="459">
        <f t="shared" si="94"/>
        <v>75</v>
      </c>
      <c r="H900" s="459">
        <v>893</v>
      </c>
      <c r="I900" s="444">
        <f t="shared" ca="1" si="81"/>
        <v>-17536384.02307602</v>
      </c>
      <c r="J900" s="444">
        <f t="array" ref="J900">IFERROR(INDEX('Retirement Calculator'!J:J,MATCH('Isaac 401k'!N900,'Retirement Calculator'!A:A,0),0),0)</f>
        <v>8395.6297298201844</v>
      </c>
      <c r="K900" s="444">
        <f t="shared" ca="1" si="79"/>
        <v>-73103.248553357655</v>
      </c>
      <c r="L900" s="444">
        <f t="shared" ca="1" si="80"/>
        <v>-17617882.901359197</v>
      </c>
      <c r="M900" s="460">
        <f t="shared" si="82"/>
        <v>0.05</v>
      </c>
      <c r="N900" s="464">
        <f t="shared" si="83"/>
        <v>78437</v>
      </c>
    </row>
    <row r="901" spans="7:14" ht="11.25" customHeight="1" x14ac:dyDescent="0.25">
      <c r="G901" s="459">
        <f t="shared" si="94"/>
        <v>75</v>
      </c>
      <c r="H901" s="459">
        <v>894</v>
      </c>
      <c r="I901" s="444">
        <f t="shared" ca="1" si="81"/>
        <v>-17617882.901359197</v>
      </c>
      <c r="J901" s="444">
        <f t="array" ref="J901">IFERROR(INDEX('Retirement Calculator'!J:J,MATCH('Isaac 401k'!N901,'Retirement Calculator'!A:A,0),0),0)</f>
        <v>8395.6297298201844</v>
      </c>
      <c r="K901" s="444">
        <f t="shared" ca="1" si="79"/>
        <v>-73442.827212870892</v>
      </c>
      <c r="L901" s="444">
        <f t="shared" ca="1" si="80"/>
        <v>-17699721.358301885</v>
      </c>
      <c r="M901" s="460">
        <f t="shared" si="82"/>
        <v>0.05</v>
      </c>
      <c r="N901" s="464">
        <f t="shared" si="83"/>
        <v>78468</v>
      </c>
    </row>
    <row r="902" spans="7:14" ht="11.25" customHeight="1" x14ac:dyDescent="0.25">
      <c r="G902" s="459">
        <f t="shared" si="94"/>
        <v>75</v>
      </c>
      <c r="H902" s="459">
        <v>895</v>
      </c>
      <c r="I902" s="444">
        <f t="shared" ca="1" si="81"/>
        <v>-17699721.358301885</v>
      </c>
      <c r="J902" s="444">
        <f t="array" ref="J902">IFERROR(INDEX('Retirement Calculator'!J:J,MATCH('Isaac 401k'!N902,'Retirement Calculator'!A:A,0),0),0)</f>
        <v>8395.6297298201844</v>
      </c>
      <c r="K902" s="444">
        <f t="shared" ca="1" si="79"/>
        <v>-73783.820783465431</v>
      </c>
      <c r="L902" s="444">
        <f t="shared" ca="1" si="80"/>
        <v>-17781900.80881517</v>
      </c>
      <c r="M902" s="460">
        <f t="shared" si="82"/>
        <v>0.05</v>
      </c>
      <c r="N902" s="464">
        <f t="shared" si="83"/>
        <v>78498</v>
      </c>
    </row>
    <row r="903" spans="7:14" ht="11.25" customHeight="1" x14ac:dyDescent="0.25">
      <c r="G903" s="459">
        <f t="shared" si="94"/>
        <v>75</v>
      </c>
      <c r="H903" s="459">
        <v>896</v>
      </c>
      <c r="I903" s="444">
        <f t="shared" ca="1" si="81"/>
        <v>-17781900.80881517</v>
      </c>
      <c r="J903" s="444">
        <f t="array" ref="J903">IFERROR(INDEX('Retirement Calculator'!J:J,MATCH('Isaac 401k'!N903,'Retirement Calculator'!A:A,0),0),0)</f>
        <v>8395.6297298201844</v>
      </c>
      <c r="K903" s="444">
        <f t="shared" ca="1" si="79"/>
        <v>-74126.235160604119</v>
      </c>
      <c r="L903" s="444">
        <f t="shared" ca="1" si="80"/>
        <v>-17864422.673705593</v>
      </c>
      <c r="M903" s="460">
        <f t="shared" si="82"/>
        <v>0.05</v>
      </c>
      <c r="N903" s="464">
        <f t="shared" si="83"/>
        <v>78529</v>
      </c>
    </row>
    <row r="904" spans="7:14" ht="11.25" customHeight="1" x14ac:dyDescent="0.25">
      <c r="G904" s="459">
        <f t="shared" si="94"/>
        <v>75</v>
      </c>
      <c r="H904" s="459">
        <v>897</v>
      </c>
      <c r="I904" s="444">
        <f t="shared" ca="1" si="81"/>
        <v>-17864422.673705593</v>
      </c>
      <c r="J904" s="444">
        <f t="array" ref="J904">IFERROR(INDEX('Retirement Calculator'!J:J,MATCH('Isaac 401k'!N904,'Retirement Calculator'!A:A,0),0),0)</f>
        <v>8395.6297298201844</v>
      </c>
      <c r="K904" s="444">
        <f t="shared" ca="1" si="79"/>
        <v>-74470.076264314208</v>
      </c>
      <c r="L904" s="444">
        <f t="shared" ca="1" si="80"/>
        <v>-17947288.379699726</v>
      </c>
      <c r="M904" s="460">
        <f t="shared" si="82"/>
        <v>0.05</v>
      </c>
      <c r="N904" s="464">
        <f t="shared" si="83"/>
        <v>78560</v>
      </c>
    </row>
    <row r="905" spans="7:14" ht="11.25" customHeight="1" x14ac:dyDescent="0.25">
      <c r="G905" s="459">
        <f t="shared" si="94"/>
        <v>75</v>
      </c>
      <c r="H905" s="459">
        <v>898</v>
      </c>
      <c r="I905" s="444">
        <f t="shared" ca="1" si="81"/>
        <v>-17947288.379699726</v>
      </c>
      <c r="J905" s="444">
        <f t="array" ref="J905">IFERROR(INDEX('Retirement Calculator'!J:J,MATCH('Isaac 401k'!N905,'Retirement Calculator'!A:A,0),0),0)</f>
        <v>8395.6297298201844</v>
      </c>
      <c r="K905" s="444">
        <f t="shared" ca="1" si="79"/>
        <v>-74815.350039289769</v>
      </c>
      <c r="L905" s="444">
        <f t="shared" ca="1" si="80"/>
        <v>-18030499.359468833</v>
      </c>
      <c r="M905" s="460">
        <f t="shared" si="82"/>
        <v>0.05</v>
      </c>
      <c r="N905" s="464">
        <f t="shared" si="83"/>
        <v>78588</v>
      </c>
    </row>
    <row r="906" spans="7:14" ht="11.25" customHeight="1" x14ac:dyDescent="0.25">
      <c r="G906" s="459">
        <f t="shared" si="94"/>
        <v>75</v>
      </c>
      <c r="H906" s="459">
        <v>899</v>
      </c>
      <c r="I906" s="444">
        <f t="shared" ca="1" si="81"/>
        <v>-18030499.359468833</v>
      </c>
      <c r="J906" s="444">
        <f t="array" ref="J906">IFERROR(INDEX('Retirement Calculator'!J:J,MATCH('Isaac 401k'!N906,'Retirement Calculator'!A:A,0),0),0)</f>
        <v>8395.6297298201844</v>
      </c>
      <c r="K906" s="444">
        <f t="shared" ca="1" si="79"/>
        <v>-75162.062454994375</v>
      </c>
      <c r="L906" s="444">
        <f t="shared" ca="1" si="80"/>
        <v>-18114057.051653646</v>
      </c>
      <c r="M906" s="460">
        <f t="shared" si="82"/>
        <v>0.05</v>
      </c>
      <c r="N906" s="464">
        <f t="shared" si="83"/>
        <v>78619</v>
      </c>
    </row>
    <row r="907" spans="7:14" ht="11.25" customHeight="1" x14ac:dyDescent="0.25">
      <c r="G907" s="459">
        <f t="shared" si="94"/>
        <v>75</v>
      </c>
      <c r="H907" s="459">
        <v>900</v>
      </c>
      <c r="I907" s="444">
        <f t="shared" ca="1" si="81"/>
        <v>-18114057.051653646</v>
      </c>
      <c r="J907" s="444">
        <f t="array" ref="J907">IFERROR(INDEX('Retirement Calculator'!J:J,MATCH('Isaac 401k'!N907,'Retirement Calculator'!A:A,0),0),0)</f>
        <v>8395.6297298201844</v>
      </c>
      <c r="K907" s="444">
        <f t="shared" ca="1" si="79"/>
        <v>-75510.219505764428</v>
      </c>
      <c r="L907" s="444">
        <f t="shared" ca="1" si="80"/>
        <v>-18197962.900889229</v>
      </c>
      <c r="M907" s="460">
        <f t="shared" si="82"/>
        <v>0.05</v>
      </c>
      <c r="N907" s="464">
        <f t="shared" si="83"/>
        <v>78649</v>
      </c>
    </row>
    <row r="908" spans="7:14" ht="11.25" customHeight="1" x14ac:dyDescent="0.25">
      <c r="G908" s="459">
        <f>G907+1</f>
        <v>76</v>
      </c>
      <c r="H908" s="459">
        <v>901</v>
      </c>
      <c r="I908" s="444">
        <f t="shared" ca="1" si="81"/>
        <v>-18197962.900889229</v>
      </c>
      <c r="J908" s="444">
        <f t="array" ref="J908">IFERROR(INDEX('Retirement Calculator'!J:J,MATCH('Isaac 401k'!N908,'Retirement Calculator'!A:A,0),0),0)</f>
        <v>8395.6297298201844</v>
      </c>
      <c r="K908" s="444">
        <f t="shared" ca="1" si="79"/>
        <v>-75859.827210912699</v>
      </c>
      <c r="L908" s="444">
        <f t="shared" ca="1" si="80"/>
        <v>-18282218.357829962</v>
      </c>
      <c r="M908" s="460">
        <f t="shared" si="82"/>
        <v>0.05</v>
      </c>
      <c r="N908" s="464">
        <f t="shared" si="83"/>
        <v>78680</v>
      </c>
    </row>
    <row r="909" spans="7:14" ht="11.25" customHeight="1" x14ac:dyDescent="0.25">
      <c r="G909" s="459">
        <f t="shared" ref="G909:G919" si="95">G908</f>
        <v>76</v>
      </c>
      <c r="H909" s="459">
        <v>902</v>
      </c>
      <c r="I909" s="444">
        <f t="shared" ca="1" si="81"/>
        <v>-18282218.357829962</v>
      </c>
      <c r="J909" s="444">
        <f t="array" ref="J909">IFERROR(INDEX('Retirement Calculator'!J:J,MATCH('Isaac 401k'!N909,'Retirement Calculator'!A:A,0),0),0)</f>
        <v>8395.6297298201844</v>
      </c>
      <c r="K909" s="444">
        <f t="shared" ca="1" si="79"/>
        <v>-76210.891614832421</v>
      </c>
      <c r="L909" s="444">
        <f t="shared" ca="1" si="80"/>
        <v>-18366824.879174612</v>
      </c>
      <c r="M909" s="460">
        <f t="shared" si="82"/>
        <v>0.05</v>
      </c>
      <c r="N909" s="464">
        <f t="shared" si="83"/>
        <v>78710</v>
      </c>
    </row>
    <row r="910" spans="7:14" ht="11.25" customHeight="1" x14ac:dyDescent="0.25">
      <c r="G910" s="459">
        <f t="shared" si="95"/>
        <v>76</v>
      </c>
      <c r="H910" s="459">
        <v>903</v>
      </c>
      <c r="I910" s="444">
        <f t="shared" ca="1" si="81"/>
        <v>-18366824.879174612</v>
      </c>
      <c r="J910" s="444">
        <f t="array" ref="J910">IFERROR(INDEX('Retirement Calculator'!J:J,MATCH('Isaac 401k'!N910,'Retirement Calculator'!A:A,0),0),0)</f>
        <v>8395.6297298201844</v>
      </c>
      <c r="K910" s="444">
        <f t="shared" ca="1" si="79"/>
        <v>-76563.418787101793</v>
      </c>
      <c r="L910" s="444">
        <f t="shared" ca="1" si="80"/>
        <v>-18451783.927691534</v>
      </c>
      <c r="M910" s="460">
        <f t="shared" si="82"/>
        <v>0.05</v>
      </c>
      <c r="N910" s="464">
        <f t="shared" si="83"/>
        <v>78741</v>
      </c>
    </row>
    <row r="911" spans="7:14" ht="11.25" customHeight="1" x14ac:dyDescent="0.25">
      <c r="G911" s="459">
        <f t="shared" si="95"/>
        <v>76</v>
      </c>
      <c r="H911" s="459">
        <v>904</v>
      </c>
      <c r="I911" s="444">
        <f t="shared" ca="1" si="81"/>
        <v>-18451783.927691534</v>
      </c>
      <c r="J911" s="444">
        <f t="array" ref="J911">IFERROR(INDEX('Retirement Calculator'!J:J,MATCH('Isaac 401k'!N911,'Retirement Calculator'!A:A,0),0),0)</f>
        <v>8395.6297298201844</v>
      </c>
      <c r="K911" s="444">
        <f t="shared" ca="1" si="79"/>
        <v>-76917.414822588966</v>
      </c>
      <c r="L911" s="444">
        <f t="shared" ca="1" si="80"/>
        <v>-18537096.972243942</v>
      </c>
      <c r="M911" s="460">
        <f t="shared" si="82"/>
        <v>0.05</v>
      </c>
      <c r="N911" s="464">
        <f t="shared" si="83"/>
        <v>78772</v>
      </c>
    </row>
    <row r="912" spans="7:14" ht="11.25" customHeight="1" x14ac:dyDescent="0.25">
      <c r="G912" s="459">
        <f t="shared" si="95"/>
        <v>76</v>
      </c>
      <c r="H912" s="459">
        <v>905</v>
      </c>
      <c r="I912" s="444">
        <f t="shared" ca="1" si="81"/>
        <v>-18537096.972243942</v>
      </c>
      <c r="J912" s="444">
        <f t="array" ref="J912">IFERROR(INDEX('Retirement Calculator'!J:J,MATCH('Isaac 401k'!N912,'Retirement Calculator'!A:A,0),0),0)</f>
        <v>8395.6297298201844</v>
      </c>
      <c r="K912" s="444">
        <f t="shared" ca="1" si="79"/>
        <v>-77272.885841557334</v>
      </c>
      <c r="L912" s="444">
        <f t="shared" ca="1" si="80"/>
        <v>-18622765.487815317</v>
      </c>
      <c r="M912" s="460">
        <f t="shared" si="82"/>
        <v>0.05</v>
      </c>
      <c r="N912" s="464">
        <f t="shared" si="83"/>
        <v>78802</v>
      </c>
    </row>
    <row r="913" spans="7:14" ht="11.25" customHeight="1" x14ac:dyDescent="0.25">
      <c r="G913" s="459">
        <f t="shared" si="95"/>
        <v>76</v>
      </c>
      <c r="H913" s="459">
        <v>906</v>
      </c>
      <c r="I913" s="444">
        <f t="shared" ca="1" si="81"/>
        <v>-18622765.487815317</v>
      </c>
      <c r="J913" s="444">
        <f t="array" ref="J913">IFERROR(INDEX('Retirement Calculator'!J:J,MATCH('Isaac 401k'!N913,'Retirement Calculator'!A:A,0),0),0)</f>
        <v>8395.6297298201844</v>
      </c>
      <c r="K913" s="444">
        <f t="shared" ca="1" si="79"/>
        <v>-77629.837989771389</v>
      </c>
      <c r="L913" s="444">
        <f t="shared" ca="1" si="80"/>
        <v>-18708790.955534905</v>
      </c>
      <c r="M913" s="460">
        <f t="shared" si="82"/>
        <v>0.05</v>
      </c>
      <c r="N913" s="464">
        <f t="shared" si="83"/>
        <v>78833</v>
      </c>
    </row>
    <row r="914" spans="7:14" ht="11.25" customHeight="1" x14ac:dyDescent="0.25">
      <c r="G914" s="459">
        <f t="shared" si="95"/>
        <v>76</v>
      </c>
      <c r="H914" s="459">
        <v>907</v>
      </c>
      <c r="I914" s="444">
        <f t="shared" ca="1" si="81"/>
        <v>-18708790.955534905</v>
      </c>
      <c r="J914" s="444">
        <f t="array" ref="J914">IFERROR(INDEX('Retirement Calculator'!J:J,MATCH('Isaac 401k'!N914,'Retirement Calculator'!A:A,0),0),0)</f>
        <v>8395.6297298201844</v>
      </c>
      <c r="K914" s="444">
        <f t="shared" ca="1" si="79"/>
        <v>-77988.277438603021</v>
      </c>
      <c r="L914" s="444">
        <f t="shared" ca="1" si="80"/>
        <v>-18795174.862703327</v>
      </c>
      <c r="M914" s="460">
        <f t="shared" si="82"/>
        <v>0.05</v>
      </c>
      <c r="N914" s="464">
        <f t="shared" si="83"/>
        <v>78863</v>
      </c>
    </row>
    <row r="915" spans="7:14" ht="11.25" customHeight="1" x14ac:dyDescent="0.25">
      <c r="G915" s="459">
        <f t="shared" si="95"/>
        <v>76</v>
      </c>
      <c r="H915" s="459">
        <v>908</v>
      </c>
      <c r="I915" s="444">
        <f t="shared" ca="1" si="81"/>
        <v>-18795174.862703327</v>
      </c>
      <c r="J915" s="444">
        <f t="array" ref="J915">IFERROR(INDEX('Retirement Calculator'!J:J,MATCH('Isaac 401k'!N915,'Retirement Calculator'!A:A,0),0),0)</f>
        <v>8395.6297298201844</v>
      </c>
      <c r="K915" s="444">
        <f t="shared" ca="1" si="79"/>
        <v>-78348.210385138111</v>
      </c>
      <c r="L915" s="444">
        <f t="shared" ca="1" si="80"/>
        <v>-18881918.702818282</v>
      </c>
      <c r="M915" s="460">
        <f t="shared" si="82"/>
        <v>0.05</v>
      </c>
      <c r="N915" s="464">
        <f t="shared" si="83"/>
        <v>78894</v>
      </c>
    </row>
    <row r="916" spans="7:14" ht="11.25" customHeight="1" x14ac:dyDescent="0.25">
      <c r="G916" s="459">
        <f t="shared" si="95"/>
        <v>76</v>
      </c>
      <c r="H916" s="459">
        <v>909</v>
      </c>
      <c r="I916" s="444">
        <f t="shared" ca="1" si="81"/>
        <v>-18881918.702818282</v>
      </c>
      <c r="J916" s="444">
        <f t="array" ref="J916">IFERROR(INDEX('Retirement Calculator'!J:J,MATCH('Isaac 401k'!N916,'Retirement Calculator'!A:A,0),0),0)</f>
        <v>8395.6297298201844</v>
      </c>
      <c r="K916" s="444">
        <f t="shared" ca="1" si="79"/>
        <v>-78709.643052283747</v>
      </c>
      <c r="L916" s="444">
        <f t="shared" ca="1" si="80"/>
        <v>-18969023.975600384</v>
      </c>
      <c r="M916" s="460">
        <f t="shared" si="82"/>
        <v>0.05</v>
      </c>
      <c r="N916" s="464">
        <f t="shared" si="83"/>
        <v>78925</v>
      </c>
    </row>
    <row r="917" spans="7:14" ht="11.25" customHeight="1" x14ac:dyDescent="0.25">
      <c r="G917" s="459">
        <f t="shared" si="95"/>
        <v>76</v>
      </c>
      <c r="H917" s="459">
        <v>910</v>
      </c>
      <c r="I917" s="444">
        <f t="shared" ca="1" si="81"/>
        <v>-18969023.975600384</v>
      </c>
      <c r="J917" s="444">
        <f t="array" ref="J917">IFERROR(INDEX('Retirement Calculator'!J:J,MATCH('Isaac 401k'!N917,'Retirement Calculator'!A:A,0),0),0)</f>
        <v>8395.6297298201844</v>
      </c>
      <c r="K917" s="444">
        <f t="shared" ca="1" si="79"/>
        <v>-79072.581688875842</v>
      </c>
      <c r="L917" s="444">
        <f t="shared" ca="1" si="80"/>
        <v>-19056492.18701908</v>
      </c>
      <c r="M917" s="460">
        <f t="shared" si="82"/>
        <v>0.05</v>
      </c>
      <c r="N917" s="464">
        <f t="shared" si="83"/>
        <v>78954</v>
      </c>
    </row>
    <row r="918" spans="7:14" ht="11.25" customHeight="1" x14ac:dyDescent="0.25">
      <c r="G918" s="459">
        <f t="shared" si="95"/>
        <v>76</v>
      </c>
      <c r="H918" s="459">
        <v>911</v>
      </c>
      <c r="I918" s="444">
        <f t="shared" ca="1" si="81"/>
        <v>-19056492.18701908</v>
      </c>
      <c r="J918" s="444">
        <f t="array" ref="J918">IFERROR(INDEX('Retirement Calculator'!J:J,MATCH('Isaac 401k'!N918,'Retirement Calculator'!A:A,0),0),0)</f>
        <v>8395.6297298201844</v>
      </c>
      <c r="K918" s="444">
        <f t="shared" ca="1" si="79"/>
        <v>-79437.032569787072</v>
      </c>
      <c r="L918" s="444">
        <f t="shared" ca="1" si="80"/>
        <v>-19144324.849318687</v>
      </c>
      <c r="M918" s="460">
        <f t="shared" si="82"/>
        <v>0.05</v>
      </c>
      <c r="N918" s="464">
        <f t="shared" si="83"/>
        <v>78985</v>
      </c>
    </row>
    <row r="919" spans="7:14" ht="11.25" customHeight="1" x14ac:dyDescent="0.25">
      <c r="G919" s="459">
        <f t="shared" si="95"/>
        <v>76</v>
      </c>
      <c r="H919" s="459">
        <v>912</v>
      </c>
      <c r="I919" s="444">
        <f t="shared" ca="1" si="81"/>
        <v>-19144324.849318687</v>
      </c>
      <c r="J919" s="444">
        <f t="array" ref="J919">IFERROR(INDEX('Retirement Calculator'!J:J,MATCH('Isaac 401k'!N919,'Retirement Calculator'!A:A,0),0),0)</f>
        <v>8395.6297298201844</v>
      </c>
      <c r="K919" s="444">
        <f t="shared" ca="1" si="79"/>
        <v>-79803.00199603544</v>
      </c>
      <c r="L919" s="444">
        <f t="shared" ca="1" si="80"/>
        <v>-19232523.481044542</v>
      </c>
      <c r="M919" s="460">
        <f t="shared" si="82"/>
        <v>0.05</v>
      </c>
      <c r="N919" s="464">
        <f t="shared" si="83"/>
        <v>79015</v>
      </c>
    </row>
    <row r="920" spans="7:14" ht="11.25" customHeight="1" x14ac:dyDescent="0.25">
      <c r="G920" s="459">
        <f>G919+1</f>
        <v>77</v>
      </c>
      <c r="H920" s="459">
        <v>913</v>
      </c>
      <c r="I920" s="444">
        <f t="shared" ca="1" si="81"/>
        <v>-19232523.481044542</v>
      </c>
      <c r="J920" s="444">
        <f t="array" ref="J920">IFERROR(INDEX('Retirement Calculator'!J:J,MATCH('Isaac 401k'!N920,'Retirement Calculator'!A:A,0),0),0)</f>
        <v>8395.6297298201844</v>
      </c>
      <c r="K920" s="444">
        <f t="shared" ca="1" si="79"/>
        <v>-80170.496294893164</v>
      </c>
      <c r="L920" s="444">
        <f t="shared" ca="1" si="80"/>
        <v>-19321089.607069254</v>
      </c>
      <c r="M920" s="460">
        <f t="shared" si="82"/>
        <v>0.05</v>
      </c>
      <c r="N920" s="464">
        <f t="shared" si="83"/>
        <v>79046</v>
      </c>
    </row>
    <row r="921" spans="7:14" ht="11.25" customHeight="1" x14ac:dyDescent="0.25">
      <c r="G921" s="459">
        <f t="shared" ref="G921:G931" si="96">G920</f>
        <v>77</v>
      </c>
      <c r="H921" s="459">
        <v>914</v>
      </c>
      <c r="I921" s="444">
        <f t="shared" ca="1" si="81"/>
        <v>-19321089.607069254</v>
      </c>
      <c r="J921" s="444">
        <f t="array" ref="J921">IFERROR(INDEX('Retirement Calculator'!J:J,MATCH('Isaac 401k'!N921,'Retirement Calculator'!A:A,0),0),0)</f>
        <v>8395.6297298201844</v>
      </c>
      <c r="K921" s="444">
        <f t="shared" ca="1" si="79"/>
        <v>-80539.521819996138</v>
      </c>
      <c r="L921" s="444">
        <f t="shared" ca="1" si="80"/>
        <v>-19410024.75861907</v>
      </c>
      <c r="M921" s="460">
        <f t="shared" si="82"/>
        <v>0.05</v>
      </c>
      <c r="N921" s="464">
        <f t="shared" si="83"/>
        <v>79076</v>
      </c>
    </row>
    <row r="922" spans="7:14" ht="11.25" customHeight="1" x14ac:dyDescent="0.25">
      <c r="G922" s="459">
        <f t="shared" si="96"/>
        <v>77</v>
      </c>
      <c r="H922" s="459">
        <v>915</v>
      </c>
      <c r="I922" s="444">
        <f t="shared" ca="1" si="81"/>
        <v>-19410024.75861907</v>
      </c>
      <c r="J922" s="444">
        <f t="array" ref="J922">IFERROR(INDEX('Retirement Calculator'!J:J,MATCH('Isaac 401k'!N922,'Retirement Calculator'!A:A,0),0),0)</f>
        <v>8395.6297298201844</v>
      </c>
      <c r="K922" s="444">
        <f t="shared" ca="1" si="79"/>
        <v>-80910.084951453697</v>
      </c>
      <c r="L922" s="444">
        <f t="shared" ca="1" si="80"/>
        <v>-19499330.473300342</v>
      </c>
      <c r="M922" s="460">
        <f t="shared" si="82"/>
        <v>0.05</v>
      </c>
      <c r="N922" s="464">
        <f t="shared" si="83"/>
        <v>79107</v>
      </c>
    </row>
    <row r="923" spans="7:14" ht="11.25" customHeight="1" x14ac:dyDescent="0.25">
      <c r="G923" s="459">
        <f t="shared" si="96"/>
        <v>77</v>
      </c>
      <c r="H923" s="459">
        <v>916</v>
      </c>
      <c r="I923" s="444">
        <f t="shared" ca="1" si="81"/>
        <v>-19499330.473300342</v>
      </c>
      <c r="J923" s="444">
        <f t="array" ref="J923">IFERROR(INDEX('Retirement Calculator'!J:J,MATCH('Isaac 401k'!N923,'Retirement Calculator'!A:A,0),0),0)</f>
        <v>8395.6297298201844</v>
      </c>
      <c r="K923" s="444">
        <f t="shared" ca="1" si="79"/>
        <v>-81282.192095959006</v>
      </c>
      <c r="L923" s="444">
        <f t="shared" ca="1" si="80"/>
        <v>-19589008.295126118</v>
      </c>
      <c r="M923" s="460">
        <f t="shared" si="82"/>
        <v>0.05</v>
      </c>
      <c r="N923" s="464">
        <f t="shared" si="83"/>
        <v>79138</v>
      </c>
    </row>
    <row r="924" spans="7:14" ht="11.25" customHeight="1" x14ac:dyDescent="0.25">
      <c r="G924" s="459">
        <f t="shared" si="96"/>
        <v>77</v>
      </c>
      <c r="H924" s="459">
        <v>917</v>
      </c>
      <c r="I924" s="444">
        <f t="shared" ca="1" si="81"/>
        <v>-19589008.295126118</v>
      </c>
      <c r="J924" s="444">
        <f t="array" ref="J924">IFERROR(INDEX('Retirement Calculator'!J:J,MATCH('Isaac 401k'!N924,'Retirement Calculator'!A:A,0),0),0)</f>
        <v>8395.6297298201844</v>
      </c>
      <c r="K924" s="444">
        <f t="shared" ca="1" si="79"/>
        <v>-81655.849686899732</v>
      </c>
      <c r="L924" s="444">
        <f t="shared" ca="1" si="80"/>
        <v>-19679059.774542835</v>
      </c>
      <c r="M924" s="460">
        <f t="shared" si="82"/>
        <v>0.05</v>
      </c>
      <c r="N924" s="464">
        <f t="shared" si="83"/>
        <v>79168</v>
      </c>
    </row>
    <row r="925" spans="7:14" ht="11.25" customHeight="1" x14ac:dyDescent="0.25">
      <c r="G925" s="459">
        <f t="shared" si="96"/>
        <v>77</v>
      </c>
      <c r="H925" s="459">
        <v>918</v>
      </c>
      <c r="I925" s="444">
        <f t="shared" ca="1" si="81"/>
        <v>-19679059.774542835</v>
      </c>
      <c r="J925" s="444">
        <f t="array" ref="J925">IFERROR(INDEX('Retirement Calculator'!J:J,MATCH('Isaac 401k'!N925,'Retirement Calculator'!A:A,0),0),0)</f>
        <v>8395.6297298201844</v>
      </c>
      <c r="K925" s="444">
        <f t="shared" ca="1" si="79"/>
        <v>-82031.064184469389</v>
      </c>
      <c r="L925" s="444">
        <f t="shared" ca="1" si="80"/>
        <v>-19769486.468457121</v>
      </c>
      <c r="M925" s="460">
        <f t="shared" si="82"/>
        <v>0.05</v>
      </c>
      <c r="N925" s="464">
        <f t="shared" si="83"/>
        <v>79199</v>
      </c>
    </row>
    <row r="926" spans="7:14" ht="11.25" customHeight="1" x14ac:dyDescent="0.25">
      <c r="G926" s="459">
        <f t="shared" si="96"/>
        <v>77</v>
      </c>
      <c r="H926" s="459">
        <v>919</v>
      </c>
      <c r="I926" s="444">
        <f t="shared" ca="1" si="81"/>
        <v>-19769486.468457121</v>
      </c>
      <c r="J926" s="444">
        <f t="array" ref="J926">IFERROR(INDEX('Retirement Calculator'!J:J,MATCH('Isaac 401k'!N926,'Retirement Calculator'!A:A,0),0),0)</f>
        <v>8395.6297298201844</v>
      </c>
      <c r="K926" s="444">
        <f t="shared" ca="1" si="79"/>
        <v>-82407.842075778914</v>
      </c>
      <c r="L926" s="444">
        <f t="shared" ca="1" si="80"/>
        <v>-19860289.94026272</v>
      </c>
      <c r="M926" s="460">
        <f t="shared" si="82"/>
        <v>0.05</v>
      </c>
      <c r="N926" s="464">
        <f t="shared" si="83"/>
        <v>79229</v>
      </c>
    </row>
    <row r="927" spans="7:14" ht="11.25" customHeight="1" x14ac:dyDescent="0.25">
      <c r="G927" s="459">
        <f t="shared" si="96"/>
        <v>77</v>
      </c>
      <c r="H927" s="459">
        <v>920</v>
      </c>
      <c r="I927" s="444">
        <f t="shared" ca="1" si="81"/>
        <v>-19860289.94026272</v>
      </c>
      <c r="J927" s="444">
        <f t="array" ref="J927">IFERROR(INDEX('Retirement Calculator'!J:J,MATCH('Isaac 401k'!N927,'Retirement Calculator'!A:A,0),0),0)</f>
        <v>8395.6297298201844</v>
      </c>
      <c r="K927" s="444">
        <f t="shared" ca="1" si="79"/>
        <v>-82786.189874968914</v>
      </c>
      <c r="L927" s="444">
        <f t="shared" ca="1" si="80"/>
        <v>-19951471.759867508</v>
      </c>
      <c r="M927" s="460">
        <f t="shared" si="82"/>
        <v>0.05</v>
      </c>
      <c r="N927" s="464">
        <f t="shared" si="83"/>
        <v>79260</v>
      </c>
    </row>
    <row r="928" spans="7:14" ht="11.25" customHeight="1" x14ac:dyDescent="0.25">
      <c r="G928" s="459">
        <f t="shared" si="96"/>
        <v>77</v>
      </c>
      <c r="H928" s="459">
        <v>921</v>
      </c>
      <c r="I928" s="444">
        <f t="shared" ca="1" si="81"/>
        <v>-19951471.759867508</v>
      </c>
      <c r="J928" s="444">
        <f t="array" ref="J928">IFERROR(INDEX('Retirement Calculator'!J:J,MATCH('Isaac 401k'!N928,'Retirement Calculator'!A:A,0),0),0)</f>
        <v>8395.6297298201844</v>
      </c>
      <c r="K928" s="444">
        <f t="shared" ca="1" si="79"/>
        <v>-83166.114123322186</v>
      </c>
      <c r="L928" s="444">
        <f t="shared" ca="1" si="80"/>
        <v>-20043033.503720649</v>
      </c>
      <c r="M928" s="460">
        <f t="shared" si="82"/>
        <v>0.05</v>
      </c>
      <c r="N928" s="464">
        <f t="shared" si="83"/>
        <v>79291</v>
      </c>
    </row>
    <row r="929" spans="7:14" ht="11.25" customHeight="1" x14ac:dyDescent="0.25">
      <c r="G929" s="459">
        <f t="shared" si="96"/>
        <v>77</v>
      </c>
      <c r="H929" s="459">
        <v>922</v>
      </c>
      <c r="I929" s="444">
        <f t="shared" ca="1" si="81"/>
        <v>-20043033.503720649</v>
      </c>
      <c r="J929" s="444">
        <f t="array" ref="J929">IFERROR(INDEX('Retirement Calculator'!J:J,MATCH('Isaac 401k'!N929,'Retirement Calculator'!A:A,0),0),0)</f>
        <v>8395.6297298201844</v>
      </c>
      <c r="K929" s="444">
        <f t="shared" ca="1" si="79"/>
        <v>-83547.621389376945</v>
      </c>
      <c r="L929" s="444">
        <f t="shared" ca="1" si="80"/>
        <v>-20134976.754839845</v>
      </c>
      <c r="M929" s="460">
        <f t="shared" si="82"/>
        <v>0.05</v>
      </c>
      <c r="N929" s="464">
        <f t="shared" si="83"/>
        <v>79319</v>
      </c>
    </row>
    <row r="930" spans="7:14" ht="11.25" customHeight="1" x14ac:dyDescent="0.25">
      <c r="G930" s="459">
        <f t="shared" si="96"/>
        <v>77</v>
      </c>
      <c r="H930" s="459">
        <v>923</v>
      </c>
      <c r="I930" s="444">
        <f t="shared" ca="1" si="81"/>
        <v>-20134976.754839845</v>
      </c>
      <c r="J930" s="444">
        <f t="array" ref="J930">IFERROR(INDEX('Retirement Calculator'!J:J,MATCH('Isaac 401k'!N930,'Retirement Calculator'!A:A,0),0),0)</f>
        <v>8395.6297298201844</v>
      </c>
      <c r="K930" s="444">
        <f t="shared" ca="1" si="79"/>
        <v>-83930.71826904027</v>
      </c>
      <c r="L930" s="444">
        <f t="shared" ca="1" si="80"/>
        <v>-20227303.102838702</v>
      </c>
      <c r="M930" s="460">
        <f t="shared" si="82"/>
        <v>0.05</v>
      </c>
      <c r="N930" s="464">
        <f t="shared" si="83"/>
        <v>79350</v>
      </c>
    </row>
    <row r="931" spans="7:14" ht="11.25" customHeight="1" x14ac:dyDescent="0.25">
      <c r="G931" s="459">
        <f t="shared" si="96"/>
        <v>77</v>
      </c>
      <c r="H931" s="459">
        <v>924</v>
      </c>
      <c r="I931" s="444">
        <f t="shared" ca="1" si="81"/>
        <v>-20227303.102838702</v>
      </c>
      <c r="J931" s="444">
        <f t="array" ref="J931">IFERROR(INDEX('Retirement Calculator'!J:J,MATCH('Isaac 401k'!N931,'Retirement Calculator'!A:A,0),0),0)</f>
        <v>8395.6297298201844</v>
      </c>
      <c r="K931" s="444">
        <f t="shared" ca="1" si="79"/>
        <v>-84315.411385702173</v>
      </c>
      <c r="L931" s="444">
        <f t="shared" ca="1" si="80"/>
        <v>-20320014.143954225</v>
      </c>
      <c r="M931" s="460">
        <f t="shared" si="82"/>
        <v>0.05</v>
      </c>
      <c r="N931" s="464">
        <f t="shared" si="83"/>
        <v>79380</v>
      </c>
    </row>
    <row r="932" spans="7:14" ht="11.25" customHeight="1" x14ac:dyDescent="0.25">
      <c r="G932" s="459">
        <f>G931+1</f>
        <v>78</v>
      </c>
      <c r="H932" s="459">
        <v>925</v>
      </c>
      <c r="I932" s="444">
        <f t="shared" ca="1" si="81"/>
        <v>-20320014.143954225</v>
      </c>
      <c r="J932" s="444">
        <f t="array" ref="J932">IFERROR(INDEX('Retirement Calculator'!J:J,MATCH('Isaac 401k'!N932,'Retirement Calculator'!A:A,0),0),0)</f>
        <v>8395.6297298201844</v>
      </c>
      <c r="K932" s="444">
        <f t="shared" ca="1" si="79"/>
        <v>-84701.707390350173</v>
      </c>
      <c r="L932" s="444">
        <f t="shared" ca="1" si="80"/>
        <v>-20413111.481074393</v>
      </c>
      <c r="M932" s="460">
        <f t="shared" si="82"/>
        <v>0.05</v>
      </c>
      <c r="N932" s="464">
        <f t="shared" si="83"/>
        <v>79411</v>
      </c>
    </row>
    <row r="933" spans="7:14" ht="11.25" customHeight="1" x14ac:dyDescent="0.25">
      <c r="G933" s="459">
        <f t="shared" ref="G933:G943" si="97">G932</f>
        <v>78</v>
      </c>
      <c r="H933" s="459">
        <v>926</v>
      </c>
      <c r="I933" s="444">
        <f t="shared" ca="1" si="81"/>
        <v>-20413111.481074393</v>
      </c>
      <c r="J933" s="444">
        <f t="array" ref="J933">IFERROR(INDEX('Retirement Calculator'!J:J,MATCH('Isaac 401k'!N933,'Retirement Calculator'!A:A,0),0),0)</f>
        <v>8395.6297298201844</v>
      </c>
      <c r="K933" s="444">
        <f t="shared" ca="1" si="79"/>
        <v>-85089.612961684208</v>
      </c>
      <c r="L933" s="444">
        <f t="shared" ca="1" si="80"/>
        <v>-20506596.723765895</v>
      </c>
      <c r="M933" s="460">
        <f t="shared" si="82"/>
        <v>0.05</v>
      </c>
      <c r="N933" s="464">
        <f t="shared" si="83"/>
        <v>79441</v>
      </c>
    </row>
    <row r="934" spans="7:14" ht="11.25" customHeight="1" x14ac:dyDescent="0.25">
      <c r="G934" s="459">
        <f t="shared" si="97"/>
        <v>78</v>
      </c>
      <c r="H934" s="459">
        <v>927</v>
      </c>
      <c r="I934" s="444">
        <f t="shared" ca="1" si="81"/>
        <v>-20506596.723765895</v>
      </c>
      <c r="J934" s="444">
        <f t="array" ref="J934">IFERROR(INDEX('Retirement Calculator'!J:J,MATCH('Isaac 401k'!N934,'Retirement Calculator'!A:A,0),0),0)</f>
        <v>8395.6297298201844</v>
      </c>
      <c r="K934" s="444">
        <f t="shared" ca="1" si="79"/>
        <v>-85479.134806232134</v>
      </c>
      <c r="L934" s="444">
        <f t="shared" ca="1" si="80"/>
        <v>-20600471.488301944</v>
      </c>
      <c r="M934" s="460">
        <f t="shared" si="82"/>
        <v>0.05</v>
      </c>
      <c r="N934" s="464">
        <f t="shared" si="83"/>
        <v>79472</v>
      </c>
    </row>
    <row r="935" spans="7:14" ht="11.25" customHeight="1" x14ac:dyDescent="0.25">
      <c r="G935" s="459">
        <f t="shared" si="97"/>
        <v>78</v>
      </c>
      <c r="H935" s="459">
        <v>928</v>
      </c>
      <c r="I935" s="444">
        <f t="shared" ca="1" si="81"/>
        <v>-20600471.488301944</v>
      </c>
      <c r="J935" s="444">
        <f t="array" ref="J935">IFERROR(INDEX('Retirement Calculator'!J:J,MATCH('Isaac 401k'!N935,'Retirement Calculator'!A:A,0),0),0)</f>
        <v>8395.6297298201844</v>
      </c>
      <c r="K935" s="444">
        <f t="shared" ca="1" si="79"/>
        <v>-85870.279658465675</v>
      </c>
      <c r="L935" s="444">
        <f t="shared" ca="1" si="80"/>
        <v>-20694737.397690229</v>
      </c>
      <c r="M935" s="460">
        <f t="shared" si="82"/>
        <v>0.05</v>
      </c>
      <c r="N935" s="464">
        <f t="shared" si="83"/>
        <v>79503</v>
      </c>
    </row>
    <row r="936" spans="7:14" ht="11.25" customHeight="1" x14ac:dyDescent="0.25">
      <c r="G936" s="459">
        <f t="shared" si="97"/>
        <v>78</v>
      </c>
      <c r="H936" s="459">
        <v>929</v>
      </c>
      <c r="I936" s="444">
        <f t="shared" ca="1" si="81"/>
        <v>-20694737.397690229</v>
      </c>
      <c r="J936" s="444">
        <f t="array" ref="J936">IFERROR(INDEX('Retirement Calculator'!J:J,MATCH('Isaac 401k'!N936,'Retirement Calculator'!A:A,0),0),0)</f>
        <v>8395.6297298201844</v>
      </c>
      <c r="K936" s="444">
        <f t="shared" ca="1" si="79"/>
        <v>-86263.054280916869</v>
      </c>
      <c r="L936" s="444">
        <f t="shared" ca="1" si="80"/>
        <v>-20789396.081700966</v>
      </c>
      <c r="M936" s="460">
        <f t="shared" si="82"/>
        <v>0.05</v>
      </c>
      <c r="N936" s="464">
        <f t="shared" si="83"/>
        <v>79533</v>
      </c>
    </row>
    <row r="937" spans="7:14" ht="11.25" customHeight="1" x14ac:dyDescent="0.25">
      <c r="G937" s="459">
        <f t="shared" si="97"/>
        <v>78</v>
      </c>
      <c r="H937" s="459">
        <v>930</v>
      </c>
      <c r="I937" s="444">
        <f t="shared" ca="1" si="81"/>
        <v>-20789396.081700966</v>
      </c>
      <c r="J937" s="444">
        <f t="array" ref="J937">IFERROR(INDEX('Retirement Calculator'!J:J,MATCH('Isaac 401k'!N937,'Retirement Calculator'!A:A,0),0),0)</f>
        <v>8395.6297298201844</v>
      </c>
      <c r="K937" s="444">
        <f t="shared" ca="1" si="79"/>
        <v>-86657.465464294932</v>
      </c>
      <c r="L937" s="444">
        <f t="shared" ca="1" si="80"/>
        <v>-20884449.176895078</v>
      </c>
      <c r="M937" s="460">
        <f t="shared" si="82"/>
        <v>0.05</v>
      </c>
      <c r="N937" s="464">
        <f t="shared" si="83"/>
        <v>79564</v>
      </c>
    </row>
    <row r="938" spans="7:14" ht="11.25" customHeight="1" x14ac:dyDescent="0.25">
      <c r="G938" s="459">
        <f t="shared" si="97"/>
        <v>78</v>
      </c>
      <c r="H938" s="459">
        <v>931</v>
      </c>
      <c r="I938" s="444">
        <f t="shared" ca="1" si="81"/>
        <v>-20884449.176895078</v>
      </c>
      <c r="J938" s="444">
        <f t="array" ref="J938">IFERROR(INDEX('Retirement Calculator'!J:J,MATCH('Isaac 401k'!N938,'Retirement Calculator'!A:A,0),0),0)</f>
        <v>8395.6297298201844</v>
      </c>
      <c r="K938" s="444">
        <f t="shared" ca="1" si="79"/>
        <v>-87053.520027603736</v>
      </c>
      <c r="L938" s="444">
        <f t="shared" ca="1" si="80"/>
        <v>-20979898.326652501</v>
      </c>
      <c r="M938" s="460">
        <f t="shared" si="82"/>
        <v>0.05</v>
      </c>
      <c r="N938" s="464">
        <f t="shared" si="83"/>
        <v>79594</v>
      </c>
    </row>
    <row r="939" spans="7:14" ht="11.25" customHeight="1" x14ac:dyDescent="0.25">
      <c r="G939" s="459">
        <f t="shared" si="97"/>
        <v>78</v>
      </c>
      <c r="H939" s="459">
        <v>932</v>
      </c>
      <c r="I939" s="444">
        <f t="shared" ca="1" si="81"/>
        <v>-20979898.326652501</v>
      </c>
      <c r="J939" s="444">
        <f t="array" ref="J939">IFERROR(INDEX('Retirement Calculator'!J:J,MATCH('Isaac 401k'!N939,'Retirement Calculator'!A:A,0),0),0)</f>
        <v>8395.6297298201844</v>
      </c>
      <c r="K939" s="444">
        <f t="shared" ca="1" si="79"/>
        <v>-87451.224818259667</v>
      </c>
      <c r="L939" s="444">
        <f t="shared" ca="1" si="80"/>
        <v>-21075745.181200579</v>
      </c>
      <c r="M939" s="460">
        <f t="shared" si="82"/>
        <v>0.05</v>
      </c>
      <c r="N939" s="464">
        <f t="shared" si="83"/>
        <v>79625</v>
      </c>
    </row>
    <row r="940" spans="7:14" ht="11.25" customHeight="1" x14ac:dyDescent="0.25">
      <c r="G940" s="459">
        <f t="shared" si="97"/>
        <v>78</v>
      </c>
      <c r="H940" s="459">
        <v>933</v>
      </c>
      <c r="I940" s="444">
        <f t="shared" ca="1" si="81"/>
        <v>-21075745.181200579</v>
      </c>
      <c r="J940" s="444">
        <f t="array" ref="J940">IFERROR(INDEX('Retirement Calculator'!J:J,MATCH('Isaac 401k'!N940,'Retirement Calculator'!A:A,0),0),0)</f>
        <v>8395.6297298201844</v>
      </c>
      <c r="K940" s="444">
        <f t="shared" ca="1" si="79"/>
        <v>-87850.586712209988</v>
      </c>
      <c r="L940" s="444">
        <f t="shared" ca="1" si="80"/>
        <v>-21171991.397642609</v>
      </c>
      <c r="M940" s="460">
        <f t="shared" si="82"/>
        <v>0.05</v>
      </c>
      <c r="N940" s="464">
        <f t="shared" si="83"/>
        <v>79656</v>
      </c>
    </row>
    <row r="941" spans="7:14" ht="11.25" customHeight="1" x14ac:dyDescent="0.25">
      <c r="G941" s="459">
        <f t="shared" si="97"/>
        <v>78</v>
      </c>
      <c r="H941" s="459">
        <v>934</v>
      </c>
      <c r="I941" s="444">
        <f t="shared" ca="1" si="81"/>
        <v>-21171991.397642609</v>
      </c>
      <c r="J941" s="444">
        <f t="array" ref="J941">IFERROR(INDEX('Retirement Calculator'!J:J,MATCH('Isaac 401k'!N941,'Retirement Calculator'!A:A,0),0),0)</f>
        <v>8395.6297298201844</v>
      </c>
      <c r="K941" s="444">
        <f t="shared" ca="1" si="79"/>
        <v>-88251.612614051774</v>
      </c>
      <c r="L941" s="444">
        <f t="shared" ca="1" si="80"/>
        <v>-21268638.639986478</v>
      </c>
      <c r="M941" s="460">
        <f t="shared" si="82"/>
        <v>0.05</v>
      </c>
      <c r="N941" s="464">
        <f t="shared" si="83"/>
        <v>79684</v>
      </c>
    </row>
    <row r="942" spans="7:14" ht="11.25" customHeight="1" x14ac:dyDescent="0.25">
      <c r="G942" s="459">
        <f t="shared" si="97"/>
        <v>78</v>
      </c>
      <c r="H942" s="459">
        <v>935</v>
      </c>
      <c r="I942" s="444">
        <f t="shared" ca="1" si="81"/>
        <v>-21268638.639986478</v>
      </c>
      <c r="J942" s="444">
        <f t="array" ref="J942">IFERROR(INDEX('Retirement Calculator'!J:J,MATCH('Isaac 401k'!N942,'Retirement Calculator'!A:A,0),0),0)</f>
        <v>8395.6297298201844</v>
      </c>
      <c r="K942" s="444">
        <f t="shared" ca="1" si="79"/>
        <v>-88654.309457151234</v>
      </c>
      <c r="L942" s="444">
        <f t="shared" ca="1" si="80"/>
        <v>-21365688.579173449</v>
      </c>
      <c r="M942" s="460">
        <f t="shared" si="82"/>
        <v>0.05</v>
      </c>
      <c r="N942" s="464">
        <f t="shared" si="83"/>
        <v>79715</v>
      </c>
    </row>
    <row r="943" spans="7:14" ht="11.25" customHeight="1" x14ac:dyDescent="0.25">
      <c r="G943" s="459">
        <f t="shared" si="97"/>
        <v>78</v>
      </c>
      <c r="H943" s="459">
        <v>936</v>
      </c>
      <c r="I943" s="444">
        <f t="shared" ca="1" si="81"/>
        <v>-21365688.579173449</v>
      </c>
      <c r="J943" s="444">
        <f t="array" ref="J943">IFERROR(INDEX('Retirement Calculator'!J:J,MATCH('Isaac 401k'!N943,'Retirement Calculator'!A:A,0),0),0)</f>
        <v>8395.6297298201844</v>
      </c>
      <c r="K943" s="444">
        <f t="shared" ca="1" si="79"/>
        <v>-89058.684203763609</v>
      </c>
      <c r="L943" s="444">
        <f t="shared" ca="1" si="80"/>
        <v>-21463142.893107031</v>
      </c>
      <c r="M943" s="460">
        <f t="shared" si="82"/>
        <v>0.05</v>
      </c>
      <c r="N943" s="464">
        <f t="shared" si="83"/>
        <v>79745</v>
      </c>
    </row>
    <row r="944" spans="7:14" ht="11.25" customHeight="1" x14ac:dyDescent="0.25">
      <c r="G944" s="459">
        <f>G943+1</f>
        <v>79</v>
      </c>
      <c r="H944" s="459">
        <v>937</v>
      </c>
      <c r="I944" s="444">
        <f t="shared" ca="1" si="81"/>
        <v>-21463142.893107031</v>
      </c>
      <c r="J944" s="444">
        <f t="array" ref="J944">IFERROR(INDEX('Retirement Calculator'!J:J,MATCH('Isaac 401k'!N944,'Retirement Calculator'!A:A,0),0),0)</f>
        <v>8395.6297298201844</v>
      </c>
      <c r="K944" s="444">
        <f t="shared" ca="1" si="79"/>
        <v>-89464.743845153542</v>
      </c>
      <c r="L944" s="444">
        <f t="shared" ca="1" si="80"/>
        <v>-21561003.266682003</v>
      </c>
      <c r="M944" s="460">
        <f t="shared" si="82"/>
        <v>0.05</v>
      </c>
      <c r="N944" s="464">
        <f t="shared" si="83"/>
        <v>79776</v>
      </c>
    </row>
    <row r="945" spans="7:14" ht="11.25" customHeight="1" x14ac:dyDescent="0.25">
      <c r="G945" s="459">
        <f t="shared" ref="G945:G955" si="98">G944</f>
        <v>79</v>
      </c>
      <c r="H945" s="459">
        <v>938</v>
      </c>
      <c r="I945" s="444">
        <f t="shared" ca="1" si="81"/>
        <v>-21561003.266682003</v>
      </c>
      <c r="J945" s="444">
        <f t="array" ref="J945">IFERROR(INDEX('Retirement Calculator'!J:J,MATCH('Isaac 401k'!N945,'Retirement Calculator'!A:A,0),0),0)</f>
        <v>8395.6297298201844</v>
      </c>
      <c r="K945" s="444">
        <f t="shared" ca="1" si="79"/>
        <v>-89872.495401715918</v>
      </c>
      <c r="L945" s="444">
        <f t="shared" ca="1" si="80"/>
        <v>-21659271.391813539</v>
      </c>
      <c r="M945" s="460">
        <f t="shared" si="82"/>
        <v>0.05</v>
      </c>
      <c r="N945" s="464">
        <f t="shared" si="83"/>
        <v>79806</v>
      </c>
    </row>
    <row r="946" spans="7:14" ht="11.25" customHeight="1" x14ac:dyDescent="0.25">
      <c r="G946" s="459">
        <f t="shared" si="98"/>
        <v>79</v>
      </c>
      <c r="H946" s="459">
        <v>939</v>
      </c>
      <c r="I946" s="444">
        <f t="shared" ca="1" si="81"/>
        <v>-21659271.391813539</v>
      </c>
      <c r="J946" s="444">
        <f t="array" ref="J946">IFERROR(INDEX('Retirement Calculator'!J:J,MATCH('Isaac 401k'!N946,'Retirement Calculator'!A:A,0),0),0)</f>
        <v>8395.6297298201844</v>
      </c>
      <c r="K946" s="444">
        <f t="shared" ca="1" si="79"/>
        <v>-90281.945923097315</v>
      </c>
      <c r="L946" s="444">
        <f t="shared" ca="1" si="80"/>
        <v>-21757948.967466455</v>
      </c>
      <c r="M946" s="460">
        <f t="shared" si="82"/>
        <v>0.05</v>
      </c>
      <c r="N946" s="464">
        <f t="shared" si="83"/>
        <v>79837</v>
      </c>
    </row>
    <row r="947" spans="7:14" ht="11.25" customHeight="1" x14ac:dyDescent="0.25">
      <c r="G947" s="459">
        <f t="shared" si="98"/>
        <v>79</v>
      </c>
      <c r="H947" s="459">
        <v>940</v>
      </c>
      <c r="I947" s="444">
        <f t="shared" ca="1" si="81"/>
        <v>-21757948.967466455</v>
      </c>
      <c r="J947" s="444">
        <f t="array" ref="J947">IFERROR(INDEX('Retirement Calculator'!J:J,MATCH('Isaac 401k'!N947,'Retirement Calculator'!A:A,0),0),0)</f>
        <v>8395.6297298201844</v>
      </c>
      <c r="K947" s="444">
        <f t="shared" ca="1" si="79"/>
        <v>-90693.102488317803</v>
      </c>
      <c r="L947" s="444">
        <f t="shared" ca="1" si="80"/>
        <v>-21857037.69968459</v>
      </c>
      <c r="M947" s="460">
        <f t="shared" si="82"/>
        <v>0.05</v>
      </c>
      <c r="N947" s="464">
        <f t="shared" si="83"/>
        <v>79868</v>
      </c>
    </row>
    <row r="948" spans="7:14" ht="11.25" customHeight="1" x14ac:dyDescent="0.25">
      <c r="G948" s="459">
        <f t="shared" si="98"/>
        <v>79</v>
      </c>
      <c r="H948" s="459">
        <v>941</v>
      </c>
      <c r="I948" s="444">
        <f t="shared" ca="1" si="81"/>
        <v>-21857037.69968459</v>
      </c>
      <c r="J948" s="444">
        <f t="array" ref="J948">IFERROR(INDEX('Retirement Calculator'!J:J,MATCH('Isaac 401k'!N948,'Retirement Calculator'!A:A,0),0),0)</f>
        <v>8395.6297298201844</v>
      </c>
      <c r="K948" s="444">
        <f t="shared" ca="1" si="79"/>
        <v>-91105.972205893369</v>
      </c>
      <c r="L948" s="444">
        <f t="shared" ca="1" si="80"/>
        <v>-21956539.301620301</v>
      </c>
      <c r="M948" s="460">
        <f t="shared" si="82"/>
        <v>0.05</v>
      </c>
      <c r="N948" s="464">
        <f t="shared" si="83"/>
        <v>79898</v>
      </c>
    </row>
    <row r="949" spans="7:14" ht="11.25" customHeight="1" x14ac:dyDescent="0.25">
      <c r="G949" s="459">
        <f t="shared" si="98"/>
        <v>79</v>
      </c>
      <c r="H949" s="459">
        <v>942</v>
      </c>
      <c r="I949" s="444">
        <f t="shared" ca="1" si="81"/>
        <v>-21956539.301620301</v>
      </c>
      <c r="J949" s="444">
        <f t="array" ref="J949">IFERROR(INDEX('Retirement Calculator'!J:J,MATCH('Isaac 401k'!N949,'Retirement Calculator'!A:A,0),0),0)</f>
        <v>8395.6297298201844</v>
      </c>
      <c r="K949" s="444">
        <f t="shared" ca="1" si="79"/>
        <v>-91520.562213958823</v>
      </c>
      <c r="L949" s="444">
        <f t="shared" ca="1" si="80"/>
        <v>-22056455.493564077</v>
      </c>
      <c r="M949" s="460">
        <f t="shared" si="82"/>
        <v>0.05</v>
      </c>
      <c r="N949" s="464">
        <f t="shared" si="83"/>
        <v>79929</v>
      </c>
    </row>
    <row r="950" spans="7:14" ht="11.25" customHeight="1" x14ac:dyDescent="0.25">
      <c r="G950" s="459">
        <f t="shared" si="98"/>
        <v>79</v>
      </c>
      <c r="H950" s="459">
        <v>943</v>
      </c>
      <c r="I950" s="444">
        <f t="shared" ca="1" si="81"/>
        <v>-22056455.493564077</v>
      </c>
      <c r="J950" s="444">
        <f t="array" ref="J950">IFERROR(INDEX('Retirement Calculator'!J:J,MATCH('Isaac 401k'!N950,'Retirement Calculator'!A:A,0),0),0)</f>
        <v>8395.6297298201844</v>
      </c>
      <c r="K950" s="444">
        <f t="shared" ca="1" si="79"/>
        <v>-91936.879680391226</v>
      </c>
      <c r="L950" s="444">
        <f t="shared" ca="1" si="80"/>
        <v>-22156788.002974287</v>
      </c>
      <c r="M950" s="460">
        <f t="shared" si="82"/>
        <v>0.05</v>
      </c>
      <c r="N950" s="464">
        <f t="shared" si="83"/>
        <v>79959</v>
      </c>
    </row>
    <row r="951" spans="7:14" ht="11.25" customHeight="1" x14ac:dyDescent="0.25">
      <c r="G951" s="459">
        <f t="shared" si="98"/>
        <v>79</v>
      </c>
      <c r="H951" s="459">
        <v>944</v>
      </c>
      <c r="I951" s="444">
        <f t="shared" ca="1" si="81"/>
        <v>-22156788.002974287</v>
      </c>
      <c r="J951" s="444">
        <f t="array" ref="J951">IFERROR(INDEX('Retirement Calculator'!J:J,MATCH('Isaac 401k'!N951,'Retirement Calculator'!A:A,0),0),0)</f>
        <v>8395.6297298201844</v>
      </c>
      <c r="K951" s="444">
        <f t="shared" ca="1" si="79"/>
        <v>-92354.931802933774</v>
      </c>
      <c r="L951" s="444">
        <f t="shared" ca="1" si="80"/>
        <v>-22257538.564507037</v>
      </c>
      <c r="M951" s="460">
        <f t="shared" si="82"/>
        <v>0.05</v>
      </c>
      <c r="N951" s="464">
        <f t="shared" si="83"/>
        <v>79990</v>
      </c>
    </row>
    <row r="952" spans="7:14" ht="11.25" customHeight="1" x14ac:dyDescent="0.25">
      <c r="G952" s="459">
        <f t="shared" si="98"/>
        <v>79</v>
      </c>
      <c r="H952" s="459">
        <v>945</v>
      </c>
      <c r="I952" s="444">
        <f t="shared" ca="1" si="81"/>
        <v>-22257538.564507037</v>
      </c>
      <c r="J952" s="444">
        <f t="array" ref="J952">IFERROR(INDEX('Retirement Calculator'!J:J,MATCH('Isaac 401k'!N952,'Retirement Calculator'!A:A,0),0),0)</f>
        <v>8395.6297298201844</v>
      </c>
      <c r="K952" s="444">
        <f t="shared" ca="1" si="79"/>
        <v>-92774.725809320225</v>
      </c>
      <c r="L952" s="444">
        <f t="shared" ca="1" si="80"/>
        <v>-22358708.920046177</v>
      </c>
      <c r="M952" s="460">
        <f t="shared" si="82"/>
        <v>0.05</v>
      </c>
      <c r="N952" s="464">
        <f t="shared" si="83"/>
        <v>80021</v>
      </c>
    </row>
    <row r="953" spans="7:14" ht="11.25" customHeight="1" x14ac:dyDescent="0.25">
      <c r="G953" s="459">
        <f t="shared" si="98"/>
        <v>79</v>
      </c>
      <c r="H953" s="459">
        <v>946</v>
      </c>
      <c r="I953" s="444">
        <f t="shared" ca="1" si="81"/>
        <v>-22358708.920046177</v>
      </c>
      <c r="J953" s="444">
        <f t="array" ref="J953">IFERROR(INDEX('Retirement Calculator'!J:J,MATCH('Isaac 401k'!N953,'Retirement Calculator'!A:A,0),0),0)</f>
        <v>8395.6297298201844</v>
      </c>
      <c r="K953" s="444">
        <f t="shared" ca="1" si="79"/>
        <v>-93196.268957399981</v>
      </c>
      <c r="L953" s="444">
        <f t="shared" ca="1" si="80"/>
        <v>-22460300.818733394</v>
      </c>
      <c r="M953" s="460">
        <f t="shared" si="82"/>
        <v>0.05</v>
      </c>
      <c r="N953" s="464">
        <f t="shared" si="83"/>
        <v>80049</v>
      </c>
    </row>
    <row r="954" spans="7:14" ht="11.25" customHeight="1" x14ac:dyDescent="0.25">
      <c r="G954" s="459">
        <f t="shared" si="98"/>
        <v>79</v>
      </c>
      <c r="H954" s="459">
        <v>947</v>
      </c>
      <c r="I954" s="444">
        <f t="shared" ca="1" si="81"/>
        <v>-22460300.818733394</v>
      </c>
      <c r="J954" s="444">
        <f t="array" ref="J954">IFERROR(INDEX('Retirement Calculator'!J:J,MATCH('Isaac 401k'!N954,'Retirement Calculator'!A:A,0),0),0)</f>
        <v>8395.6297298201844</v>
      </c>
      <c r="K954" s="444">
        <f t="shared" ca="1" si="79"/>
        <v>-93619.568535263388</v>
      </c>
      <c r="L954" s="444">
        <f t="shared" ca="1" si="80"/>
        <v>-22562316.016998477</v>
      </c>
      <c r="M954" s="460">
        <f t="shared" si="82"/>
        <v>0.05</v>
      </c>
      <c r="N954" s="464">
        <f t="shared" si="83"/>
        <v>80080</v>
      </c>
    </row>
    <row r="955" spans="7:14" ht="11.25" customHeight="1" x14ac:dyDescent="0.25">
      <c r="G955" s="459">
        <f t="shared" si="98"/>
        <v>79</v>
      </c>
      <c r="H955" s="459">
        <v>948</v>
      </c>
      <c r="I955" s="444">
        <f t="shared" ca="1" si="81"/>
        <v>-22562316.016998477</v>
      </c>
      <c r="J955" s="444">
        <f t="array" ref="J955">IFERROR(INDEX('Retirement Calculator'!J:J,MATCH('Isaac 401k'!N955,'Retirement Calculator'!A:A,0),0),0)</f>
        <v>8395.6297298201844</v>
      </c>
      <c r="K955" s="444">
        <f t="shared" ca="1" si="79"/>
        <v>-94044.631861367903</v>
      </c>
      <c r="L955" s="444">
        <f t="shared" ca="1" si="80"/>
        <v>-22664756.278589662</v>
      </c>
      <c r="M955" s="460">
        <f t="shared" si="82"/>
        <v>0.05</v>
      </c>
      <c r="N955" s="464">
        <f t="shared" si="83"/>
        <v>80110</v>
      </c>
    </row>
    <row r="956" spans="7:14" ht="11.25" customHeight="1" x14ac:dyDescent="0.25">
      <c r="G956" s="459">
        <f>G955+1</f>
        <v>80</v>
      </c>
      <c r="H956" s="459">
        <v>949</v>
      </c>
      <c r="I956" s="444">
        <f t="shared" ca="1" si="81"/>
        <v>-22664756.278589662</v>
      </c>
      <c r="J956" s="444">
        <f t="array" ref="J956">IFERROR(INDEX('Retirement Calculator'!J:J,MATCH('Isaac 401k'!N956,'Retirement Calculator'!A:A,0),0),0)</f>
        <v>8395.6297298201844</v>
      </c>
      <c r="K956" s="444">
        <f t="shared" ca="1" si="79"/>
        <v>-94471.466284664508</v>
      </c>
      <c r="L956" s="444">
        <f t="shared" ca="1" si="80"/>
        <v>-22767623.374604147</v>
      </c>
      <c r="M956" s="460">
        <f t="shared" si="82"/>
        <v>0.05</v>
      </c>
      <c r="N956" s="464">
        <f t="shared" si="83"/>
        <v>80141</v>
      </c>
    </row>
    <row r="957" spans="7:14" ht="11.25" customHeight="1" x14ac:dyDescent="0.25">
      <c r="G957" s="459">
        <f t="shared" ref="G957:G967" si="99">G956</f>
        <v>80</v>
      </c>
      <c r="H957" s="459">
        <v>950</v>
      </c>
      <c r="I957" s="444">
        <f t="shared" ca="1" si="81"/>
        <v>-22767623.374604147</v>
      </c>
      <c r="J957" s="444">
        <f t="array" ref="J957">IFERROR(INDEX('Retirement Calculator'!J:J,MATCH('Isaac 401k'!N957,'Retirement Calculator'!A:A,0),0),0)</f>
        <v>8395.6297298201844</v>
      </c>
      <c r="K957" s="444">
        <f t="shared" ca="1" si="79"/>
        <v>-94900.079184724862</v>
      </c>
      <c r="L957" s="444">
        <f t="shared" ca="1" si="80"/>
        <v>-22870919.083518691</v>
      </c>
      <c r="M957" s="460">
        <f t="shared" si="82"/>
        <v>0.05</v>
      </c>
      <c r="N957" s="464">
        <f t="shared" si="83"/>
        <v>80171</v>
      </c>
    </row>
    <row r="958" spans="7:14" ht="11.25" customHeight="1" x14ac:dyDescent="0.25">
      <c r="G958" s="459">
        <f t="shared" si="99"/>
        <v>80</v>
      </c>
      <c r="H958" s="459">
        <v>951</v>
      </c>
      <c r="I958" s="444">
        <f t="shared" ca="1" si="81"/>
        <v>-22870919.083518691</v>
      </c>
      <c r="J958" s="444">
        <f t="array" ref="J958">IFERROR(INDEX('Retirement Calculator'!J:J,MATCH('Isaac 401k'!N958,'Retirement Calculator'!A:A,0),0),0)</f>
        <v>8395.6297298201844</v>
      </c>
      <c r="K958" s="444">
        <f t="shared" ca="1" si="79"/>
        <v>-95330.477971868793</v>
      </c>
      <c r="L958" s="444">
        <f t="shared" ca="1" si="80"/>
        <v>-22974645.19122038</v>
      </c>
      <c r="M958" s="460">
        <f t="shared" si="82"/>
        <v>0.05</v>
      </c>
      <c r="N958" s="464">
        <f t="shared" si="83"/>
        <v>80202</v>
      </c>
    </row>
    <row r="959" spans="7:14" ht="11.25" customHeight="1" x14ac:dyDescent="0.25">
      <c r="G959" s="459">
        <f t="shared" si="99"/>
        <v>80</v>
      </c>
      <c r="H959" s="459">
        <v>952</v>
      </c>
      <c r="I959" s="444">
        <f t="shared" ca="1" si="81"/>
        <v>-22974645.19122038</v>
      </c>
      <c r="J959" s="444">
        <f t="array" ref="J959">IFERROR(INDEX('Retirement Calculator'!J:J,MATCH('Isaac 401k'!N959,'Retirement Calculator'!A:A,0),0),0)</f>
        <v>8395.6297298201844</v>
      </c>
      <c r="K959" s="444">
        <f t="shared" ca="1" si="79"/>
        <v>-95762.670087292499</v>
      </c>
      <c r="L959" s="444">
        <f t="shared" ca="1" si="80"/>
        <v>-23078803.491037492</v>
      </c>
      <c r="M959" s="460">
        <f t="shared" si="82"/>
        <v>0.05</v>
      </c>
      <c r="N959" s="464">
        <f t="shared" si="83"/>
        <v>80233</v>
      </c>
    </row>
    <row r="960" spans="7:14" ht="11.25" customHeight="1" x14ac:dyDescent="0.25">
      <c r="G960" s="459">
        <f t="shared" si="99"/>
        <v>80</v>
      </c>
      <c r="H960" s="459">
        <v>953</v>
      </c>
      <c r="I960" s="444">
        <f t="shared" ca="1" si="81"/>
        <v>-23078803.491037492</v>
      </c>
      <c r="J960" s="444">
        <f t="array" ref="J960">IFERROR(INDEX('Retirement Calculator'!J:J,MATCH('Isaac 401k'!N960,'Retirement Calculator'!A:A,0),0),0)</f>
        <v>8395.6297298201844</v>
      </c>
      <c r="K960" s="444">
        <f t="shared" ca="1" si="79"/>
        <v>-96196.663003197129</v>
      </c>
      <c r="L960" s="444">
        <f t="shared" ca="1" si="80"/>
        <v>-23183395.783770509</v>
      </c>
      <c r="M960" s="460">
        <f t="shared" si="82"/>
        <v>0.05</v>
      </c>
      <c r="N960" s="464">
        <f t="shared" si="83"/>
        <v>80263</v>
      </c>
    </row>
    <row r="961" spans="7:14" ht="11.25" customHeight="1" x14ac:dyDescent="0.25">
      <c r="G961" s="459">
        <f t="shared" si="99"/>
        <v>80</v>
      </c>
      <c r="H961" s="459">
        <v>954</v>
      </c>
      <c r="I961" s="444">
        <f t="shared" ca="1" si="81"/>
        <v>-23183395.783770509</v>
      </c>
      <c r="J961" s="444">
        <f t="array" ref="J961">IFERROR(INDEX('Retirement Calculator'!J:J,MATCH('Isaac 401k'!N961,'Retirement Calculator'!A:A,0),0),0)</f>
        <v>8395.6297298201844</v>
      </c>
      <c r="K961" s="444">
        <f t="shared" ca="1" si="79"/>
        <v>-96632.464222918032</v>
      </c>
      <c r="L961" s="444">
        <f t="shared" ca="1" si="80"/>
        <v>-23288423.877723247</v>
      </c>
      <c r="M961" s="460">
        <f t="shared" si="82"/>
        <v>0.05</v>
      </c>
      <c r="N961" s="464">
        <f t="shared" si="83"/>
        <v>80294</v>
      </c>
    </row>
    <row r="962" spans="7:14" ht="11.25" customHeight="1" x14ac:dyDescent="0.25">
      <c r="G962" s="459">
        <f t="shared" si="99"/>
        <v>80</v>
      </c>
      <c r="H962" s="459">
        <v>955</v>
      </c>
      <c r="I962" s="444">
        <f t="shared" ca="1" si="81"/>
        <v>-23288423.877723247</v>
      </c>
      <c r="J962" s="444">
        <f t="array" ref="J962">IFERROR(INDEX('Retirement Calculator'!J:J,MATCH('Isaac 401k'!N962,'Retirement Calculator'!A:A,0),0),0)</f>
        <v>8395.6297298201844</v>
      </c>
      <c r="K962" s="444">
        <f t="shared" ca="1" si="79"/>
        <v>-97070.081281054445</v>
      </c>
      <c r="L962" s="444">
        <f t="shared" ca="1" si="80"/>
        <v>-23393889.58873412</v>
      </c>
      <c r="M962" s="460">
        <f t="shared" si="82"/>
        <v>0.05</v>
      </c>
      <c r="N962" s="464">
        <f t="shared" si="83"/>
        <v>80324</v>
      </c>
    </row>
    <row r="963" spans="7:14" ht="11.25" customHeight="1" x14ac:dyDescent="0.25">
      <c r="G963" s="459">
        <f t="shared" si="99"/>
        <v>80</v>
      </c>
      <c r="H963" s="459">
        <v>956</v>
      </c>
      <c r="I963" s="444">
        <f t="shared" ca="1" si="81"/>
        <v>-23393889.58873412</v>
      </c>
      <c r="J963" s="444">
        <f t="array" ref="J963">IFERROR(INDEX('Retirement Calculator'!J:J,MATCH('Isaac 401k'!N963,'Retirement Calculator'!A:A,0),0),0)</f>
        <v>8395.6297298201844</v>
      </c>
      <c r="K963" s="444">
        <f t="shared" ca="1" si="79"/>
        <v>-97509.521743599747</v>
      </c>
      <c r="L963" s="444">
        <f t="shared" ca="1" si="80"/>
        <v>-23499794.740207538</v>
      </c>
      <c r="M963" s="460">
        <f t="shared" si="82"/>
        <v>0.05</v>
      </c>
      <c r="N963" s="464">
        <f t="shared" si="83"/>
        <v>80355</v>
      </c>
    </row>
    <row r="964" spans="7:14" ht="11.25" customHeight="1" x14ac:dyDescent="0.25">
      <c r="G964" s="459">
        <f t="shared" si="99"/>
        <v>80</v>
      </c>
      <c r="H964" s="459">
        <v>957</v>
      </c>
      <c r="I964" s="444">
        <f t="shared" ca="1" si="81"/>
        <v>-23499794.740207538</v>
      </c>
      <c r="J964" s="444">
        <f t="array" ref="J964">IFERROR(INDEX('Retirement Calculator'!J:J,MATCH('Isaac 401k'!N964,'Retirement Calculator'!A:A,0),0),0)</f>
        <v>8395.6297298201844</v>
      </c>
      <c r="K964" s="444">
        <f t="shared" ca="1" si="79"/>
        <v>-97950.793208072311</v>
      </c>
      <c r="L964" s="444">
        <f t="shared" ca="1" si="80"/>
        <v>-23606141.16314543</v>
      </c>
      <c r="M964" s="460">
        <f t="shared" si="82"/>
        <v>0.05</v>
      </c>
      <c r="N964" s="464">
        <f t="shared" si="83"/>
        <v>80386</v>
      </c>
    </row>
    <row r="965" spans="7:14" ht="11.25" customHeight="1" x14ac:dyDescent="0.25">
      <c r="G965" s="459">
        <f t="shared" si="99"/>
        <v>80</v>
      </c>
      <c r="H965" s="459">
        <v>958</v>
      </c>
      <c r="I965" s="444">
        <f t="shared" ca="1" si="81"/>
        <v>-23606141.16314543</v>
      </c>
      <c r="J965" s="444">
        <f t="array" ref="J965">IFERROR(INDEX('Retirement Calculator'!J:J,MATCH('Isaac 401k'!N965,'Retirement Calculator'!A:A,0),0),0)</f>
        <v>8395.6297298201844</v>
      </c>
      <c r="K965" s="444">
        <f t="shared" ca="1" si="79"/>
        <v>-98393.903303646875</v>
      </c>
      <c r="L965" s="444">
        <f t="shared" ca="1" si="80"/>
        <v>-23712930.696178894</v>
      </c>
      <c r="M965" s="460">
        <f t="shared" si="82"/>
        <v>0.05</v>
      </c>
      <c r="N965" s="464">
        <f t="shared" si="83"/>
        <v>80415</v>
      </c>
    </row>
    <row r="966" spans="7:14" ht="11.25" customHeight="1" x14ac:dyDescent="0.25">
      <c r="G966" s="459">
        <f t="shared" si="99"/>
        <v>80</v>
      </c>
      <c r="H966" s="459">
        <v>959</v>
      </c>
      <c r="I966" s="444">
        <f t="shared" ca="1" si="81"/>
        <v>-23712930.696178894</v>
      </c>
      <c r="J966" s="444">
        <f t="array" ref="J966">IFERROR(INDEX('Retirement Calculator'!J:J,MATCH('Isaac 401k'!N966,'Retirement Calculator'!A:A,0),0),0)</f>
        <v>8395.6297298201844</v>
      </c>
      <c r="K966" s="444">
        <f t="shared" ca="1" si="79"/>
        <v>-98838.859691286299</v>
      </c>
      <c r="L966" s="444">
        <f t="shared" ca="1" si="80"/>
        <v>-23820165.185599998</v>
      </c>
      <c r="M966" s="460">
        <f t="shared" si="82"/>
        <v>0.05</v>
      </c>
      <c r="N966" s="464">
        <f t="shared" si="83"/>
        <v>80446</v>
      </c>
    </row>
    <row r="967" spans="7:14" ht="11.25" customHeight="1" x14ac:dyDescent="0.25">
      <c r="G967" s="459">
        <f t="shared" si="99"/>
        <v>80</v>
      </c>
      <c r="H967" s="459">
        <v>960</v>
      </c>
      <c r="I967" s="444">
        <f t="shared" ca="1" si="81"/>
        <v>-23820165.185599998</v>
      </c>
      <c r="J967" s="444">
        <f t="array" ref="J967">IFERROR(INDEX('Retirement Calculator'!J:J,MATCH('Isaac 401k'!N967,'Retirement Calculator'!A:A,0),0),0)</f>
        <v>8395.6297298201844</v>
      </c>
      <c r="K967" s="444">
        <f t="shared" ca="1" si="79"/>
        <v>-99285.670063874233</v>
      </c>
      <c r="L967" s="444">
        <f t="shared" ca="1" si="80"/>
        <v>-23927846.485393692</v>
      </c>
      <c r="M967" s="460">
        <f t="shared" si="82"/>
        <v>0.05</v>
      </c>
      <c r="N967" s="464">
        <f t="shared" si="83"/>
        <v>80476</v>
      </c>
    </row>
    <row r="968" spans="7:14" ht="11.25" customHeight="1" x14ac:dyDescent="0.25">
      <c r="G968" s="459">
        <f>G967+1</f>
        <v>81</v>
      </c>
      <c r="H968" s="459">
        <v>961</v>
      </c>
      <c r="I968" s="444">
        <f t="shared" ca="1" si="81"/>
        <v>-23927846.485393692</v>
      </c>
      <c r="J968" s="444">
        <f t="array" ref="J968">IFERROR(INDEX('Retirement Calculator'!J:J,MATCH('Isaac 401k'!N968,'Retirement Calculator'!A:A,0),0),0)</f>
        <v>8395.6297298201844</v>
      </c>
      <c r="K968" s="444">
        <f t="shared" ca="1" si="79"/>
        <v>-99734.342146347961</v>
      </c>
      <c r="L968" s="444">
        <f t="shared" ca="1" si="80"/>
        <v>-24035976.457269859</v>
      </c>
      <c r="M968" s="460">
        <f t="shared" si="82"/>
        <v>0.05</v>
      </c>
      <c r="N968" s="464">
        <f t="shared" si="83"/>
        <v>80507</v>
      </c>
    </row>
    <row r="969" spans="7:14" ht="11.25" customHeight="1" x14ac:dyDescent="0.25">
      <c r="G969" s="459">
        <f t="shared" ref="G969:G979" si="100">G968</f>
        <v>81</v>
      </c>
      <c r="H969" s="459">
        <v>962</v>
      </c>
      <c r="I969" s="444">
        <f t="shared" ca="1" si="81"/>
        <v>-24035976.457269859</v>
      </c>
      <c r="J969" s="444">
        <f t="array" ref="J969">IFERROR(INDEX('Retirement Calculator'!J:J,MATCH('Isaac 401k'!N969,'Retirement Calculator'!A:A,0),0),0)</f>
        <v>8395.6297298201844</v>
      </c>
      <c r="K969" s="444">
        <f t="shared" ca="1" si="79"/>
        <v>-100184.88369583199</v>
      </c>
      <c r="L969" s="444">
        <f t="shared" ca="1" si="80"/>
        <v>-24144556.970695511</v>
      </c>
      <c r="M969" s="460">
        <f t="shared" si="82"/>
        <v>0.05</v>
      </c>
      <c r="N969" s="464">
        <f t="shared" si="83"/>
        <v>80537</v>
      </c>
    </row>
    <row r="970" spans="7:14" ht="11.25" customHeight="1" x14ac:dyDescent="0.25">
      <c r="G970" s="459">
        <f t="shared" si="100"/>
        <v>81</v>
      </c>
      <c r="H970" s="459">
        <v>963</v>
      </c>
      <c r="I970" s="444">
        <f t="shared" ca="1" si="81"/>
        <v>-24144556.970695511</v>
      </c>
      <c r="J970" s="444">
        <f t="array" ref="J970">IFERROR(INDEX('Retirement Calculator'!J:J,MATCH('Isaac 401k'!N970,'Retirement Calculator'!A:A,0),0),0)</f>
        <v>8395.6297298201844</v>
      </c>
      <c r="K970" s="444">
        <f t="shared" ca="1" si="79"/>
        <v>-100637.30250177221</v>
      </c>
      <c r="L970" s="444">
        <f t="shared" ca="1" si="80"/>
        <v>-24253589.902927101</v>
      </c>
      <c r="M970" s="460">
        <f t="shared" si="82"/>
        <v>0.05</v>
      </c>
      <c r="N970" s="464">
        <f t="shared" si="83"/>
        <v>80568</v>
      </c>
    </row>
    <row r="971" spans="7:14" ht="11.25" customHeight="1" x14ac:dyDescent="0.25">
      <c r="G971" s="459">
        <f t="shared" si="100"/>
        <v>81</v>
      </c>
      <c r="H971" s="459">
        <v>964</v>
      </c>
      <c r="I971" s="444">
        <f t="shared" ca="1" si="81"/>
        <v>-24253589.902927101</v>
      </c>
      <c r="J971" s="444">
        <f t="array" ref="J971">IFERROR(INDEX('Retirement Calculator'!J:J,MATCH('Isaac 401k'!N971,'Retirement Calculator'!A:A,0),0),0)</f>
        <v>8395.6297298201844</v>
      </c>
      <c r="K971" s="444">
        <f t="shared" ca="1" si="79"/>
        <v>-101091.60638607049</v>
      </c>
      <c r="L971" s="444">
        <f t="shared" ca="1" si="80"/>
        <v>-24363077.139042988</v>
      </c>
      <c r="M971" s="460">
        <f t="shared" si="82"/>
        <v>0.05</v>
      </c>
      <c r="N971" s="464">
        <f t="shared" si="83"/>
        <v>80599</v>
      </c>
    </row>
    <row r="972" spans="7:14" ht="11.25" customHeight="1" x14ac:dyDescent="0.25">
      <c r="G972" s="459">
        <f t="shared" si="100"/>
        <v>81</v>
      </c>
      <c r="H972" s="459">
        <v>965</v>
      </c>
      <c r="I972" s="444">
        <f t="shared" ca="1" si="81"/>
        <v>-24363077.139042988</v>
      </c>
      <c r="J972" s="444">
        <f t="array" ref="J972">IFERROR(INDEX('Retirement Calculator'!J:J,MATCH('Isaac 401k'!N972,'Retirement Calculator'!A:A,0),0),0)</f>
        <v>8395.6297298201844</v>
      </c>
      <c r="K972" s="444">
        <f t="shared" ca="1" si="79"/>
        <v>-101547.80320322003</v>
      </c>
      <c r="L972" s="444">
        <f t="shared" ca="1" si="80"/>
        <v>-24473020.571976028</v>
      </c>
      <c r="M972" s="460">
        <f t="shared" si="82"/>
        <v>0.05</v>
      </c>
      <c r="N972" s="464">
        <f t="shared" si="83"/>
        <v>80629</v>
      </c>
    </row>
    <row r="973" spans="7:14" ht="11.25" customHeight="1" x14ac:dyDescent="0.25">
      <c r="G973" s="459">
        <f t="shared" si="100"/>
        <v>81</v>
      </c>
      <c r="H973" s="459">
        <v>966</v>
      </c>
      <c r="I973" s="444">
        <f t="shared" ca="1" si="81"/>
        <v>-24473020.571976028</v>
      </c>
      <c r="J973" s="444">
        <f t="array" ref="J973">IFERROR(INDEX('Retirement Calculator'!J:J,MATCH('Isaac 401k'!N973,'Retirement Calculator'!A:A,0),0),0)</f>
        <v>8395.6297298201844</v>
      </c>
      <c r="K973" s="444">
        <f t="shared" ca="1" si="79"/>
        <v>-102005.90084044103</v>
      </c>
      <c r="L973" s="444">
        <f t="shared" ca="1" si="80"/>
        <v>-24583422.10254629</v>
      </c>
      <c r="M973" s="460">
        <f t="shared" si="82"/>
        <v>0.05</v>
      </c>
      <c r="N973" s="464">
        <f t="shared" si="83"/>
        <v>80660</v>
      </c>
    </row>
    <row r="974" spans="7:14" ht="11.25" customHeight="1" x14ac:dyDescent="0.25">
      <c r="G974" s="459">
        <f t="shared" si="100"/>
        <v>81</v>
      </c>
      <c r="H974" s="459">
        <v>967</v>
      </c>
      <c r="I974" s="444">
        <f t="shared" ca="1" si="81"/>
        <v>-24583422.10254629</v>
      </c>
      <c r="J974" s="444">
        <f t="array" ref="J974">IFERROR(INDEX('Retirement Calculator'!J:J,MATCH('Isaac 401k'!N974,'Retirement Calculator'!A:A,0),0),0)</f>
        <v>8395.6297298201844</v>
      </c>
      <c r="K974" s="444">
        <f t="shared" ca="1" si="79"/>
        <v>-102465.90721781712</v>
      </c>
      <c r="L974" s="444">
        <f t="shared" ca="1" si="80"/>
        <v>-24694283.639493924</v>
      </c>
      <c r="M974" s="460">
        <f t="shared" si="82"/>
        <v>0.05</v>
      </c>
      <c r="N974" s="464">
        <f t="shared" si="83"/>
        <v>80690</v>
      </c>
    </row>
    <row r="975" spans="7:14" ht="11.25" customHeight="1" x14ac:dyDescent="0.25">
      <c r="G975" s="459">
        <f t="shared" si="100"/>
        <v>81</v>
      </c>
      <c r="H975" s="459">
        <v>968</v>
      </c>
      <c r="I975" s="444">
        <f t="shared" ca="1" si="81"/>
        <v>-24694283.639493924</v>
      </c>
      <c r="J975" s="444">
        <f t="array" ref="J975">IFERROR(INDEX('Retirement Calculator'!J:J,MATCH('Isaac 401k'!N975,'Retirement Calculator'!A:A,0),0),0)</f>
        <v>8395.6297298201844</v>
      </c>
      <c r="K975" s="444">
        <f t="shared" ca="1" si="79"/>
        <v>-102927.83028843226</v>
      </c>
      <c r="L975" s="444">
        <f t="shared" ca="1" si="80"/>
        <v>-24805607.099512175</v>
      </c>
      <c r="M975" s="460">
        <f t="shared" si="82"/>
        <v>0.05</v>
      </c>
      <c r="N975" s="464">
        <f t="shared" si="83"/>
        <v>80721</v>
      </c>
    </row>
    <row r="976" spans="7:14" ht="11.25" customHeight="1" x14ac:dyDescent="0.25">
      <c r="G976" s="459">
        <f t="shared" si="100"/>
        <v>81</v>
      </c>
      <c r="H976" s="459">
        <v>969</v>
      </c>
      <c r="I976" s="444">
        <f t="shared" ca="1" si="81"/>
        <v>-24805607.099512175</v>
      </c>
      <c r="J976" s="444">
        <f t="array" ref="J976">IFERROR(INDEX('Retirement Calculator'!J:J,MATCH('Isaac 401k'!N976,'Retirement Calculator'!A:A,0),0),0)</f>
        <v>8395.6297298201844</v>
      </c>
      <c r="K976" s="444">
        <f t="shared" ca="1" si="79"/>
        <v>-103391.67803850831</v>
      </c>
      <c r="L976" s="444">
        <f t="shared" ca="1" si="80"/>
        <v>-24917394.407280501</v>
      </c>
      <c r="M976" s="460">
        <f t="shared" si="82"/>
        <v>0.05</v>
      </c>
      <c r="N976" s="464">
        <f t="shared" si="83"/>
        <v>80752</v>
      </c>
    </row>
    <row r="977" spans="7:14" ht="11.25" customHeight="1" x14ac:dyDescent="0.25">
      <c r="G977" s="459">
        <f t="shared" si="100"/>
        <v>81</v>
      </c>
      <c r="H977" s="459">
        <v>970</v>
      </c>
      <c r="I977" s="444">
        <f t="shared" ca="1" si="81"/>
        <v>-24917394.407280501</v>
      </c>
      <c r="J977" s="444">
        <f t="array" ref="J977">IFERROR(INDEX('Retirement Calculator'!J:J,MATCH('Isaac 401k'!N977,'Retirement Calculator'!A:A,0),0),0)</f>
        <v>8395.6297298201844</v>
      </c>
      <c r="K977" s="444">
        <f t="shared" ca="1" si="79"/>
        <v>-103857.458487543</v>
      </c>
      <c r="L977" s="444">
        <f t="shared" ca="1" si="80"/>
        <v>-25029647.495497864</v>
      </c>
      <c r="M977" s="460">
        <f t="shared" si="82"/>
        <v>0.05</v>
      </c>
      <c r="N977" s="464">
        <f t="shared" si="83"/>
        <v>80780</v>
      </c>
    </row>
    <row r="978" spans="7:14" ht="11.25" customHeight="1" x14ac:dyDescent="0.25">
      <c r="G978" s="459">
        <f t="shared" si="100"/>
        <v>81</v>
      </c>
      <c r="H978" s="459">
        <v>971</v>
      </c>
      <c r="I978" s="444">
        <f t="shared" ca="1" si="81"/>
        <v>-25029647.495497864</v>
      </c>
      <c r="J978" s="444">
        <f t="array" ref="J978">IFERROR(INDEX('Retirement Calculator'!J:J,MATCH('Isaac 401k'!N978,'Retirement Calculator'!A:A,0),0),0)</f>
        <v>8395.6297298201844</v>
      </c>
      <c r="K978" s="444">
        <f t="shared" ca="1" si="79"/>
        <v>-104325.17968844867</v>
      </c>
      <c r="L978" s="444">
        <f t="shared" ca="1" si="80"/>
        <v>-25142368.304916132</v>
      </c>
      <c r="M978" s="460">
        <f t="shared" si="82"/>
        <v>0.05</v>
      </c>
      <c r="N978" s="464">
        <f t="shared" si="83"/>
        <v>80811</v>
      </c>
    </row>
    <row r="979" spans="7:14" ht="11.25" customHeight="1" x14ac:dyDescent="0.25">
      <c r="G979" s="459">
        <f t="shared" si="100"/>
        <v>81</v>
      </c>
      <c r="H979" s="459">
        <v>972</v>
      </c>
      <c r="I979" s="444">
        <f t="shared" ca="1" si="81"/>
        <v>-25142368.304916132</v>
      </c>
      <c r="J979" s="444">
        <f t="array" ref="J979">IFERROR(INDEX('Retirement Calculator'!J:J,MATCH('Isaac 401k'!N979,'Retirement Calculator'!A:A,0),0),0)</f>
        <v>8395.6297298201844</v>
      </c>
      <c r="K979" s="444">
        <f t="shared" ca="1" si="79"/>
        <v>-104794.84972769146</v>
      </c>
      <c r="L979" s="444">
        <f t="shared" ca="1" si="80"/>
        <v>-25255558.784373641</v>
      </c>
      <c r="M979" s="460">
        <f t="shared" si="82"/>
        <v>0.05</v>
      </c>
      <c r="N979" s="464">
        <f t="shared" si="83"/>
        <v>80841</v>
      </c>
    </row>
    <row r="980" spans="7:14" ht="11.25" customHeight="1" x14ac:dyDescent="0.25">
      <c r="G980" s="459">
        <f>G979+1</f>
        <v>82</v>
      </c>
      <c r="H980" s="459">
        <v>973</v>
      </c>
      <c r="I980" s="444">
        <f t="shared" ca="1" si="81"/>
        <v>-25255558.784373641</v>
      </c>
      <c r="J980" s="444">
        <f t="array" ref="J980">IFERROR(INDEX('Retirement Calculator'!J:J,MATCH('Isaac 401k'!N980,'Retirement Calculator'!A:A,0),0),0)</f>
        <v>8395.6297298201844</v>
      </c>
      <c r="K980" s="444">
        <f t="shared" ca="1" si="79"/>
        <v>-105266.47672543109</v>
      </c>
      <c r="L980" s="444">
        <f t="shared" ca="1" si="80"/>
        <v>-25369220.890828889</v>
      </c>
      <c r="M980" s="460">
        <f t="shared" si="82"/>
        <v>0.05</v>
      </c>
      <c r="N980" s="464">
        <f t="shared" si="83"/>
        <v>80872</v>
      </c>
    </row>
    <row r="981" spans="7:14" ht="11.25" customHeight="1" x14ac:dyDescent="0.25">
      <c r="G981" s="459">
        <f t="shared" ref="G981:G991" si="101">G980</f>
        <v>82</v>
      </c>
      <c r="H981" s="459">
        <v>974</v>
      </c>
      <c r="I981" s="444">
        <f t="shared" ca="1" si="81"/>
        <v>-25369220.890828889</v>
      </c>
      <c r="J981" s="444">
        <f t="array" ref="J981">IFERROR(INDEX('Retirement Calculator'!J:J,MATCH('Isaac 401k'!N981,'Retirement Calculator'!A:A,0),0),0)</f>
        <v>8395.6297298201844</v>
      </c>
      <c r="K981" s="444">
        <f t="shared" ca="1" si="79"/>
        <v>-105740.06883566128</v>
      </c>
      <c r="L981" s="444">
        <f t="shared" ca="1" si="80"/>
        <v>-25483356.589394368</v>
      </c>
      <c r="M981" s="460">
        <f t="shared" si="82"/>
        <v>0.05</v>
      </c>
      <c r="N981" s="464">
        <f t="shared" si="83"/>
        <v>80902</v>
      </c>
    </row>
    <row r="982" spans="7:14" ht="11.25" customHeight="1" x14ac:dyDescent="0.25">
      <c r="G982" s="459">
        <f t="shared" si="101"/>
        <v>82</v>
      </c>
      <c r="H982" s="459">
        <v>975</v>
      </c>
      <c r="I982" s="444">
        <f t="shared" ca="1" si="81"/>
        <v>-25483356.589394368</v>
      </c>
      <c r="J982" s="444">
        <f t="array" ref="J982">IFERROR(INDEX('Retirement Calculator'!J:J,MATCH('Isaac 401k'!N982,'Retirement Calculator'!A:A,0),0),0)</f>
        <v>8395.6297298201844</v>
      </c>
      <c r="K982" s="444">
        <f t="shared" ca="1" si="79"/>
        <v>-106215.63424635078</v>
      </c>
      <c r="L982" s="444">
        <f t="shared" ca="1" si="80"/>
        <v>-25597967.853370536</v>
      </c>
      <c r="M982" s="460">
        <f t="shared" si="82"/>
        <v>0.05</v>
      </c>
      <c r="N982" s="464">
        <f t="shared" si="83"/>
        <v>80933</v>
      </c>
    </row>
    <row r="983" spans="7:14" ht="11.25" customHeight="1" x14ac:dyDescent="0.25">
      <c r="G983" s="459">
        <f t="shared" si="101"/>
        <v>82</v>
      </c>
      <c r="H983" s="459">
        <v>976</v>
      </c>
      <c r="I983" s="444">
        <f t="shared" ca="1" si="81"/>
        <v>-25597967.853370536</v>
      </c>
      <c r="J983" s="444">
        <f t="array" ref="J983">IFERROR(INDEX('Retirement Calculator'!J:J,MATCH('Isaac 401k'!N983,'Retirement Calculator'!A:A,0),0),0)</f>
        <v>8395.6297298201844</v>
      </c>
      <c r="K983" s="444">
        <f t="shared" ca="1" si="79"/>
        <v>-106693.1811795848</v>
      </c>
      <c r="L983" s="444">
        <f t="shared" ca="1" si="80"/>
        <v>-25713056.664279938</v>
      </c>
      <c r="M983" s="460">
        <f t="shared" si="82"/>
        <v>0.05</v>
      </c>
      <c r="N983" s="464">
        <f t="shared" si="83"/>
        <v>80964</v>
      </c>
    </row>
    <row r="984" spans="7:14" ht="11.25" customHeight="1" x14ac:dyDescent="0.25">
      <c r="G984" s="459">
        <f t="shared" si="101"/>
        <v>82</v>
      </c>
      <c r="H984" s="459">
        <v>977</v>
      </c>
      <c r="I984" s="444">
        <f t="shared" ca="1" si="81"/>
        <v>-25713056.664279938</v>
      </c>
      <c r="J984" s="444">
        <f t="array" ref="J984">IFERROR(INDEX('Retirement Calculator'!J:J,MATCH('Isaac 401k'!N984,'Retirement Calculator'!A:A,0),0),0)</f>
        <v>8395.6297298201844</v>
      </c>
      <c r="K984" s="444">
        <f t="shared" ca="1" si="79"/>
        <v>-107172.71789170732</v>
      </c>
      <c r="L984" s="444">
        <f t="shared" ca="1" si="80"/>
        <v>-25828625.011901464</v>
      </c>
      <c r="M984" s="460">
        <f t="shared" si="82"/>
        <v>0.05</v>
      </c>
      <c r="N984" s="464">
        <f t="shared" si="83"/>
        <v>80994</v>
      </c>
    </row>
    <row r="985" spans="7:14" ht="11.25" customHeight="1" x14ac:dyDescent="0.25">
      <c r="G985" s="459">
        <f t="shared" si="101"/>
        <v>82</v>
      </c>
      <c r="H985" s="459">
        <v>978</v>
      </c>
      <c r="I985" s="444">
        <f t="shared" ca="1" si="81"/>
        <v>-25828625.011901464</v>
      </c>
      <c r="J985" s="444">
        <f t="array" ref="J985">IFERROR(INDEX('Retirement Calculator'!J:J,MATCH('Isaac 401k'!N985,'Retirement Calculator'!A:A,0),0),0)</f>
        <v>8395.6297298201844</v>
      </c>
      <c r="K985" s="444">
        <f t="shared" ca="1" si="79"/>
        <v>-107654.25267346368</v>
      </c>
      <c r="L985" s="444">
        <f t="shared" ca="1" si="80"/>
        <v>-25944674.894304745</v>
      </c>
      <c r="M985" s="460">
        <f t="shared" si="82"/>
        <v>0.05</v>
      </c>
      <c r="N985" s="464">
        <f t="shared" si="83"/>
        <v>81025</v>
      </c>
    </row>
    <row r="986" spans="7:14" ht="11.25" customHeight="1" x14ac:dyDescent="0.25">
      <c r="G986" s="459">
        <f t="shared" si="101"/>
        <v>82</v>
      </c>
      <c r="H986" s="459">
        <v>979</v>
      </c>
      <c r="I986" s="444">
        <f t="shared" ca="1" si="81"/>
        <v>-25944674.894304745</v>
      </c>
      <c r="J986" s="444">
        <f t="array" ref="J986">IFERROR(INDEX('Retirement Calculator'!J:J,MATCH('Isaac 401k'!N986,'Retirement Calculator'!A:A,0),0),0)</f>
        <v>8395.6297298201844</v>
      </c>
      <c r="K986" s="444">
        <f t="shared" ca="1" si="79"/>
        <v>-108137.79385014401</v>
      </c>
      <c r="L986" s="444">
        <f t="shared" ca="1" si="80"/>
        <v>-26061208.317884706</v>
      </c>
      <c r="M986" s="460">
        <f t="shared" si="82"/>
        <v>0.05</v>
      </c>
      <c r="N986" s="464">
        <f t="shared" si="83"/>
        <v>81055</v>
      </c>
    </row>
    <row r="987" spans="7:14" ht="11.25" customHeight="1" x14ac:dyDescent="0.25">
      <c r="G987" s="459">
        <f t="shared" si="101"/>
        <v>82</v>
      </c>
      <c r="H987" s="459">
        <v>980</v>
      </c>
      <c r="I987" s="444">
        <f t="shared" ca="1" si="81"/>
        <v>-26061208.317884706</v>
      </c>
      <c r="J987" s="444">
        <f t="array" ref="J987">IFERROR(INDEX('Retirement Calculator'!J:J,MATCH('Isaac 401k'!N987,'Retirement Calculator'!A:A,0),0),0)</f>
        <v>8395.6297298201844</v>
      </c>
      <c r="K987" s="444">
        <f t="shared" ca="1" si="79"/>
        <v>-108623.34978172719</v>
      </c>
      <c r="L987" s="444">
        <f t="shared" ca="1" si="80"/>
        <v>-26178227.29739625</v>
      </c>
      <c r="M987" s="460">
        <f t="shared" si="82"/>
        <v>0.05</v>
      </c>
      <c r="N987" s="464">
        <f t="shared" si="83"/>
        <v>81086</v>
      </c>
    </row>
    <row r="988" spans="7:14" ht="11.25" customHeight="1" x14ac:dyDescent="0.25">
      <c r="G988" s="459">
        <f t="shared" si="101"/>
        <v>82</v>
      </c>
      <c r="H988" s="459">
        <v>981</v>
      </c>
      <c r="I988" s="444">
        <f t="shared" ca="1" si="81"/>
        <v>-26178227.29739625</v>
      </c>
      <c r="J988" s="444">
        <f t="array" ref="J988">IFERROR(INDEX('Retirement Calculator'!J:J,MATCH('Isaac 401k'!N988,'Retirement Calculator'!A:A,0),0),0)</f>
        <v>8395.6297298201844</v>
      </c>
      <c r="K988" s="444">
        <f t="shared" ca="1" si="79"/>
        <v>-109110.92886302528</v>
      </c>
      <c r="L988" s="444">
        <f t="shared" ca="1" si="80"/>
        <v>-26295733.855989095</v>
      </c>
      <c r="M988" s="460">
        <f t="shared" si="82"/>
        <v>0.05</v>
      </c>
      <c r="N988" s="464">
        <f t="shared" si="83"/>
        <v>81117</v>
      </c>
    </row>
    <row r="989" spans="7:14" ht="11.25" customHeight="1" x14ac:dyDescent="0.25">
      <c r="G989" s="459">
        <f t="shared" si="101"/>
        <v>82</v>
      </c>
      <c r="H989" s="459">
        <v>982</v>
      </c>
      <c r="I989" s="444">
        <f t="shared" ca="1" si="81"/>
        <v>-26295733.855989095</v>
      </c>
      <c r="J989" s="444">
        <f t="array" ref="J989">IFERROR(INDEX('Retirement Calculator'!J:J,MATCH('Isaac 401k'!N989,'Retirement Calculator'!A:A,0),0),0)</f>
        <v>8395.6297298201844</v>
      </c>
      <c r="K989" s="444">
        <f t="shared" ca="1" si="79"/>
        <v>-109600.53952382882</v>
      </c>
      <c r="L989" s="444">
        <f t="shared" ca="1" si="80"/>
        <v>-26413730.025242742</v>
      </c>
      <c r="M989" s="460">
        <f t="shared" si="82"/>
        <v>0.05</v>
      </c>
      <c r="N989" s="464">
        <f t="shared" si="83"/>
        <v>81145</v>
      </c>
    </row>
    <row r="990" spans="7:14" ht="11.25" customHeight="1" x14ac:dyDescent="0.25">
      <c r="G990" s="459">
        <f t="shared" si="101"/>
        <v>82</v>
      </c>
      <c r="H990" s="459">
        <v>983</v>
      </c>
      <c r="I990" s="444">
        <f t="shared" ca="1" si="81"/>
        <v>-26413730.025242742</v>
      </c>
      <c r="J990" s="444">
        <f t="array" ref="J990">IFERROR(INDEX('Retirement Calculator'!J:J,MATCH('Isaac 401k'!N990,'Retirement Calculator'!A:A,0),0),0)</f>
        <v>8395.6297298201844</v>
      </c>
      <c r="K990" s="444">
        <f t="shared" ca="1" si="79"/>
        <v>-110092.19022905233</v>
      </c>
      <c r="L990" s="444">
        <f t="shared" ca="1" si="80"/>
        <v>-26532217.845201612</v>
      </c>
      <c r="M990" s="460">
        <f t="shared" si="82"/>
        <v>0.05</v>
      </c>
      <c r="N990" s="464">
        <f t="shared" si="83"/>
        <v>81176</v>
      </c>
    </row>
    <row r="991" spans="7:14" ht="11.25" customHeight="1" x14ac:dyDescent="0.25">
      <c r="G991" s="459">
        <f t="shared" si="101"/>
        <v>82</v>
      </c>
      <c r="H991" s="459">
        <v>984</v>
      </c>
      <c r="I991" s="444">
        <f t="shared" ca="1" si="81"/>
        <v>-26532217.845201612</v>
      </c>
      <c r="J991" s="444">
        <f t="array" ref="J991">IFERROR(INDEX('Retirement Calculator'!J:J,MATCH('Isaac 401k'!N991,'Retirement Calculator'!A:A,0),0),0)</f>
        <v>8395.6297298201844</v>
      </c>
      <c r="K991" s="444">
        <f t="shared" ca="1" si="79"/>
        <v>-110585.88947888097</v>
      </c>
      <c r="L991" s="444">
        <f t="shared" ca="1" si="80"/>
        <v>-26651199.364410311</v>
      </c>
      <c r="M991" s="460">
        <f t="shared" si="82"/>
        <v>0.05</v>
      </c>
      <c r="N991" s="464">
        <f t="shared" si="83"/>
        <v>81206</v>
      </c>
    </row>
    <row r="992" spans="7:14" ht="11.25" customHeight="1" x14ac:dyDescent="0.25">
      <c r="G992" s="459">
        <f>G991+1</f>
        <v>83</v>
      </c>
      <c r="H992" s="459">
        <v>985</v>
      </c>
      <c r="I992" s="444">
        <f t="shared" ca="1" si="81"/>
        <v>-26651199.364410311</v>
      </c>
      <c r="J992" s="444">
        <f t="array" ref="J992">IFERROR(INDEX('Retirement Calculator'!J:J,MATCH('Isaac 401k'!N992,'Retirement Calculator'!A:A,0),0),0)</f>
        <v>8395.6297298201844</v>
      </c>
      <c r="K992" s="444">
        <f t="shared" ca="1" si="79"/>
        <v>-111081.64580891721</v>
      </c>
      <c r="L992" s="444">
        <f t="shared" ca="1" si="80"/>
        <v>-26770676.639949046</v>
      </c>
      <c r="M992" s="460">
        <f t="shared" si="82"/>
        <v>0.05</v>
      </c>
      <c r="N992" s="464">
        <f t="shared" si="83"/>
        <v>81237</v>
      </c>
    </row>
    <row r="993" spans="7:14" ht="11.25" customHeight="1" x14ac:dyDescent="0.25">
      <c r="G993" s="459">
        <f t="shared" ref="G993:G1003" si="102">G992</f>
        <v>83</v>
      </c>
      <c r="H993" s="459">
        <v>986</v>
      </c>
      <c r="I993" s="444">
        <f t="shared" ca="1" si="81"/>
        <v>-26770676.639949046</v>
      </c>
      <c r="J993" s="444">
        <f t="array" ref="J993">IFERROR(INDEX('Retirement Calculator'!J:J,MATCH('Isaac 401k'!N993,'Retirement Calculator'!A:A,0),0),0)</f>
        <v>8395.6297298201844</v>
      </c>
      <c r="K993" s="444">
        <f t="shared" ca="1" si="79"/>
        <v>-111579.46779032861</v>
      </c>
      <c r="L993" s="444">
        <f t="shared" ca="1" si="80"/>
        <v>-26890651.737469193</v>
      </c>
      <c r="M993" s="460">
        <f t="shared" si="82"/>
        <v>0.05</v>
      </c>
      <c r="N993" s="464">
        <f t="shared" si="83"/>
        <v>81267</v>
      </c>
    </row>
    <row r="994" spans="7:14" ht="11.25" customHeight="1" x14ac:dyDescent="0.25">
      <c r="G994" s="459">
        <f t="shared" si="102"/>
        <v>83</v>
      </c>
      <c r="H994" s="459">
        <v>987</v>
      </c>
      <c r="I994" s="444">
        <f t="shared" ca="1" si="81"/>
        <v>-26890651.737469193</v>
      </c>
      <c r="J994" s="444">
        <f t="array" ref="J994">IFERROR(INDEX('Retirement Calculator'!J:J,MATCH('Isaac 401k'!N994,'Retirement Calculator'!A:A,0),0),0)</f>
        <v>8395.6297298201844</v>
      </c>
      <c r="K994" s="444">
        <f t="shared" ca="1" si="79"/>
        <v>-112079.36402999588</v>
      </c>
      <c r="L994" s="444">
        <f t="shared" ca="1" si="80"/>
        <v>-27011126.731229007</v>
      </c>
      <c r="M994" s="460">
        <f t="shared" si="82"/>
        <v>0.05</v>
      </c>
      <c r="N994" s="464">
        <f t="shared" si="83"/>
        <v>81298</v>
      </c>
    </row>
    <row r="995" spans="7:14" ht="11.25" customHeight="1" x14ac:dyDescent="0.25">
      <c r="G995" s="459">
        <f t="shared" si="102"/>
        <v>83</v>
      </c>
      <c r="H995" s="459">
        <v>988</v>
      </c>
      <c r="I995" s="444">
        <f t="shared" ca="1" si="81"/>
        <v>-27011126.731229007</v>
      </c>
      <c r="J995" s="444">
        <f t="array" ref="J995">IFERROR(INDEX('Retirement Calculator'!J:J,MATCH('Isaac 401k'!N995,'Retirement Calculator'!A:A,0),0),0)</f>
        <v>8395.6297298201844</v>
      </c>
      <c r="K995" s="444">
        <f t="shared" ca="1" si="79"/>
        <v>-112581.34317066177</v>
      </c>
      <c r="L995" s="444">
        <f t="shared" ca="1" si="80"/>
        <v>-27132103.704129487</v>
      </c>
      <c r="M995" s="460">
        <f t="shared" si="82"/>
        <v>0.05</v>
      </c>
      <c r="N995" s="464">
        <f t="shared" si="83"/>
        <v>81329</v>
      </c>
    </row>
    <row r="996" spans="7:14" ht="11.25" customHeight="1" x14ac:dyDescent="0.25">
      <c r="G996" s="459">
        <f t="shared" si="102"/>
        <v>83</v>
      </c>
      <c r="H996" s="459">
        <v>989</v>
      </c>
      <c r="I996" s="444">
        <f t="shared" ca="1" si="81"/>
        <v>-27132103.704129487</v>
      </c>
      <c r="J996" s="444">
        <f t="array" ref="J996">IFERROR(INDEX('Retirement Calculator'!J:J,MATCH('Isaac 401k'!N996,'Retirement Calculator'!A:A,0),0),0)</f>
        <v>8395.6297298201844</v>
      </c>
      <c r="K996" s="444">
        <f t="shared" ca="1" si="79"/>
        <v>-113085.41389108042</v>
      </c>
      <c r="L996" s="444">
        <f t="shared" ca="1" si="80"/>
        <v>-27253584.747750387</v>
      </c>
      <c r="M996" s="460">
        <f t="shared" si="82"/>
        <v>0.05</v>
      </c>
      <c r="N996" s="464">
        <f t="shared" si="83"/>
        <v>81359</v>
      </c>
    </row>
    <row r="997" spans="7:14" ht="11.25" customHeight="1" x14ac:dyDescent="0.25">
      <c r="G997" s="459">
        <f t="shared" si="102"/>
        <v>83</v>
      </c>
      <c r="H997" s="459">
        <v>990</v>
      </c>
      <c r="I997" s="444">
        <f t="shared" ca="1" si="81"/>
        <v>-27253584.747750387</v>
      </c>
      <c r="J997" s="444">
        <f t="array" ref="J997">IFERROR(INDEX('Retirement Calculator'!J:J,MATCH('Isaac 401k'!N997,'Retirement Calculator'!A:A,0),0),0)</f>
        <v>8395.6297298201844</v>
      </c>
      <c r="K997" s="444">
        <f t="shared" ca="1" si="79"/>
        <v>-113591.58490616753</v>
      </c>
      <c r="L997" s="444">
        <f t="shared" ca="1" si="80"/>
        <v>-27375571.962386373</v>
      </c>
      <c r="M997" s="460">
        <f t="shared" si="82"/>
        <v>0.05</v>
      </c>
      <c r="N997" s="464">
        <f t="shared" si="83"/>
        <v>81390</v>
      </c>
    </row>
    <row r="998" spans="7:14" ht="11.25" customHeight="1" x14ac:dyDescent="0.25">
      <c r="G998" s="459">
        <f t="shared" si="102"/>
        <v>83</v>
      </c>
      <c r="H998" s="459">
        <v>991</v>
      </c>
      <c r="I998" s="444">
        <f t="shared" ca="1" si="81"/>
        <v>-27375571.962386373</v>
      </c>
      <c r="J998" s="444">
        <f t="array" ref="J998">IFERROR(INDEX('Retirement Calculator'!J:J,MATCH('Isaac 401k'!N998,'Retirement Calculator'!A:A,0),0),0)</f>
        <v>8395.6297298201844</v>
      </c>
      <c r="K998" s="444">
        <f t="shared" ca="1" si="79"/>
        <v>-114099.8649671508</v>
      </c>
      <c r="L998" s="444">
        <f t="shared" ca="1" si="80"/>
        <v>-27498067.457083344</v>
      </c>
      <c r="M998" s="460">
        <f t="shared" si="82"/>
        <v>0.05</v>
      </c>
      <c r="N998" s="464">
        <f t="shared" si="83"/>
        <v>81420</v>
      </c>
    </row>
    <row r="999" spans="7:14" ht="11.25" customHeight="1" x14ac:dyDescent="0.25">
      <c r="G999" s="459">
        <f t="shared" si="102"/>
        <v>83</v>
      </c>
      <c r="H999" s="459">
        <v>992</v>
      </c>
      <c r="I999" s="444">
        <f t="shared" ca="1" si="81"/>
        <v>-27498067.457083344</v>
      </c>
      <c r="J999" s="444">
        <f t="array" ref="J999">IFERROR(INDEX('Retirement Calculator'!J:J,MATCH('Isaac 401k'!N999,'Retirement Calculator'!A:A,0),0),0)</f>
        <v>8395.6297298201844</v>
      </c>
      <c r="K999" s="444">
        <f t="shared" ca="1" si="79"/>
        <v>-114610.26286172152</v>
      </c>
      <c r="L999" s="444">
        <f t="shared" ca="1" si="80"/>
        <v>-27621073.349674884</v>
      </c>
      <c r="M999" s="460">
        <f t="shared" si="82"/>
        <v>0.05</v>
      </c>
      <c r="N999" s="464">
        <f t="shared" si="83"/>
        <v>81451</v>
      </c>
    </row>
    <row r="1000" spans="7:14" ht="11.25" customHeight="1" x14ac:dyDescent="0.25">
      <c r="G1000" s="459">
        <f t="shared" si="102"/>
        <v>83</v>
      </c>
      <c r="H1000" s="459">
        <v>993</v>
      </c>
      <c r="I1000" s="444">
        <f t="shared" ca="1" si="81"/>
        <v>-27621073.349674884</v>
      </c>
      <c r="J1000" s="444">
        <f t="array" ref="J1000">IFERROR(INDEX('Retirement Calculator'!J:J,MATCH('Isaac 401k'!N1000,'Retirement Calculator'!A:A,0),0),0)</f>
        <v>8395.6297298201844</v>
      </c>
      <c r="K1000" s="444">
        <f t="shared" ca="1" si="79"/>
        <v>-115122.78741418626</v>
      </c>
      <c r="L1000" s="444">
        <f t="shared" ca="1" si="80"/>
        <v>-27744591.766818888</v>
      </c>
      <c r="M1000" s="460">
        <f t="shared" si="82"/>
        <v>0.05</v>
      </c>
      <c r="N1000" s="464">
        <f t="shared" si="83"/>
        <v>81482</v>
      </c>
    </row>
    <row r="1001" spans="7:14" ht="11.25" customHeight="1" x14ac:dyDescent="0.25">
      <c r="G1001" s="459">
        <f t="shared" si="102"/>
        <v>83</v>
      </c>
      <c r="H1001" s="459">
        <v>994</v>
      </c>
      <c r="I1001" s="444">
        <f t="shared" ca="1" si="81"/>
        <v>-27744591.766818888</v>
      </c>
      <c r="J1001" s="444">
        <f t="array" ref="J1001">IFERROR(INDEX('Retirement Calculator'!J:J,MATCH('Isaac 401k'!N1001,'Retirement Calculator'!A:A,0),0),0)</f>
        <v>8395.6297298201844</v>
      </c>
      <c r="K1001" s="444">
        <f t="shared" ca="1" si="79"/>
        <v>-115637.44748561963</v>
      </c>
      <c r="L1001" s="444">
        <f t="shared" ca="1" si="80"/>
        <v>-27868624.844034325</v>
      </c>
      <c r="M1001" s="460">
        <f t="shared" si="82"/>
        <v>0.05</v>
      </c>
      <c r="N1001" s="464">
        <f t="shared" si="83"/>
        <v>81510</v>
      </c>
    </row>
    <row r="1002" spans="7:14" ht="11.25" customHeight="1" x14ac:dyDescent="0.25">
      <c r="G1002" s="459">
        <f t="shared" si="102"/>
        <v>83</v>
      </c>
      <c r="H1002" s="459">
        <v>995</v>
      </c>
      <c r="I1002" s="444">
        <f t="shared" ca="1" si="81"/>
        <v>-27868624.844034325</v>
      </c>
      <c r="J1002" s="444">
        <f t="array" ref="J1002">IFERROR(INDEX('Retirement Calculator'!J:J,MATCH('Isaac 401k'!N1002,'Retirement Calculator'!A:A,0),0),0)</f>
        <v>8395.6297298201844</v>
      </c>
      <c r="K1002" s="444">
        <f t="shared" ca="1" si="79"/>
        <v>-116154.25197401729</v>
      </c>
      <c r="L1002" s="444">
        <f t="shared" ca="1" si="80"/>
        <v>-27993174.72573816</v>
      </c>
      <c r="M1002" s="460">
        <f t="shared" si="82"/>
        <v>0.05</v>
      </c>
      <c r="N1002" s="464">
        <f t="shared" si="83"/>
        <v>81541</v>
      </c>
    </row>
    <row r="1003" spans="7:14" ht="11.25" customHeight="1" x14ac:dyDescent="0.25">
      <c r="G1003" s="459">
        <f t="shared" si="102"/>
        <v>83</v>
      </c>
      <c r="H1003" s="459">
        <v>996</v>
      </c>
      <c r="I1003" s="444">
        <f t="shared" ca="1" si="81"/>
        <v>-27993174.72573816</v>
      </c>
      <c r="J1003" s="444">
        <f t="array" ref="J1003">IFERROR(INDEX('Retirement Calculator'!J:J,MATCH('Isaac 401k'!N1003,'Retirement Calculator'!A:A,0),0),0)</f>
        <v>8395.6297298201844</v>
      </c>
      <c r="K1003" s="444">
        <f t="shared" ca="1" si="79"/>
        <v>-116673.20981444989</v>
      </c>
      <c r="L1003" s="444">
        <f t="shared" ca="1" si="80"/>
        <v>-28118243.56528243</v>
      </c>
      <c r="M1003" s="460">
        <f t="shared" si="82"/>
        <v>0.05</v>
      </c>
      <c r="N1003" s="464">
        <f t="shared" si="83"/>
        <v>81571</v>
      </c>
    </row>
    <row r="1004" spans="7:14" ht="11.25" customHeight="1" x14ac:dyDescent="0.25">
      <c r="G1004" s="459">
        <f>G1003+1</f>
        <v>84</v>
      </c>
      <c r="H1004" s="459">
        <v>997</v>
      </c>
      <c r="I1004" s="444">
        <f t="shared" ca="1" si="81"/>
        <v>-28118243.56528243</v>
      </c>
      <c r="J1004" s="444">
        <f t="array" ref="J1004">IFERROR(INDEX('Retirement Calculator'!J:J,MATCH('Isaac 401k'!N1004,'Retirement Calculator'!A:A,0),0),0)</f>
        <v>8395.6297298201844</v>
      </c>
      <c r="K1004" s="444">
        <f t="shared" ca="1" si="79"/>
        <v>-117194.3299792177</v>
      </c>
      <c r="L1004" s="444">
        <f t="shared" ca="1" si="80"/>
        <v>-28243833.524991468</v>
      </c>
      <c r="M1004" s="460">
        <f t="shared" si="82"/>
        <v>0.05</v>
      </c>
      <c r="N1004" s="464">
        <f t="shared" si="83"/>
        <v>81602</v>
      </c>
    </row>
    <row r="1005" spans="7:14" ht="11.25" customHeight="1" x14ac:dyDescent="0.25">
      <c r="G1005" s="459">
        <f t="shared" ref="G1005:G1015" si="103">G1004</f>
        <v>84</v>
      </c>
      <c r="H1005" s="459">
        <v>998</v>
      </c>
      <c r="I1005" s="444">
        <f t="shared" ca="1" si="81"/>
        <v>-28243833.524991468</v>
      </c>
      <c r="J1005" s="444">
        <f t="array" ref="J1005">IFERROR(INDEX('Retirement Calculator'!J:J,MATCH('Isaac 401k'!N1005,'Retirement Calculator'!A:A,0),0),0)</f>
        <v>8395.6297298201844</v>
      </c>
      <c r="K1005" s="444">
        <f t="shared" ca="1" si="79"/>
        <v>-117717.62147800536</v>
      </c>
      <c r="L1005" s="444">
        <f t="shared" ca="1" si="80"/>
        <v>-28369946.776199292</v>
      </c>
      <c r="M1005" s="460">
        <f t="shared" si="82"/>
        <v>0.05</v>
      </c>
      <c r="N1005" s="464">
        <f t="shared" si="83"/>
        <v>81632</v>
      </c>
    </row>
    <row r="1006" spans="7:14" ht="11.25" customHeight="1" x14ac:dyDescent="0.25">
      <c r="G1006" s="459">
        <f t="shared" si="103"/>
        <v>84</v>
      </c>
      <c r="H1006" s="459">
        <v>999</v>
      </c>
      <c r="I1006" s="444">
        <f t="shared" ca="1" si="81"/>
        <v>-28369946.776199292</v>
      </c>
      <c r="J1006" s="444">
        <f t="array" ref="J1006">IFERROR(INDEX('Retirement Calculator'!J:J,MATCH('Isaac 401k'!N1006,'Retirement Calculator'!A:A,0),0),0)</f>
        <v>8395.6297298201844</v>
      </c>
      <c r="K1006" s="444">
        <f t="shared" ca="1" si="79"/>
        <v>-118243.09335803796</v>
      </c>
      <c r="L1006" s="444">
        <f t="shared" ca="1" si="80"/>
        <v>-28496585.499287147</v>
      </c>
      <c r="M1006" s="460">
        <f t="shared" si="82"/>
        <v>0.05</v>
      </c>
      <c r="N1006" s="464">
        <f t="shared" si="83"/>
        <v>81663</v>
      </c>
    </row>
    <row r="1007" spans="7:14" ht="11.25" customHeight="1" x14ac:dyDescent="0.25">
      <c r="G1007" s="459">
        <f t="shared" si="103"/>
        <v>84</v>
      </c>
      <c r="H1007" s="459">
        <v>1000</v>
      </c>
      <c r="I1007" s="444">
        <f t="shared" ca="1" si="81"/>
        <v>-28496585.499287147</v>
      </c>
      <c r="J1007" s="444">
        <f t="array" ref="J1007">IFERROR(INDEX('Retirement Calculator'!J:J,MATCH('Isaac 401k'!N1007,'Retirement Calculator'!A:A,0),0),0)</f>
        <v>8395.6297298201844</v>
      </c>
      <c r="K1007" s="444">
        <f t="shared" ca="1" si="79"/>
        <v>-118770.75470423735</v>
      </c>
      <c r="L1007" s="444">
        <f t="shared" ca="1" si="80"/>
        <v>-28623751.883721203</v>
      </c>
      <c r="M1007" s="460">
        <f t="shared" si="82"/>
        <v>0.05</v>
      </c>
      <c r="N1007" s="464">
        <f t="shared" si="83"/>
        <v>81694</v>
      </c>
    </row>
    <row r="1008" spans="7:14" ht="11.25" customHeight="1" x14ac:dyDescent="0.25">
      <c r="G1008" s="459">
        <f t="shared" si="103"/>
        <v>84</v>
      </c>
      <c r="H1008" s="459">
        <v>1001</v>
      </c>
      <c r="I1008" s="444">
        <f t="shared" ca="1" si="81"/>
        <v>-28623751.883721203</v>
      </c>
      <c r="J1008" s="444">
        <f t="array" ref="J1008">IFERROR(INDEX('Retirement Calculator'!J:J,MATCH('Isaac 401k'!N1008,'Retirement Calculator'!A:A,0),0),0)</f>
        <v>8395.6297298201844</v>
      </c>
      <c r="K1008" s="444">
        <f t="shared" ca="1" si="79"/>
        <v>-119300.61463937924</v>
      </c>
      <c r="L1008" s="444">
        <f t="shared" ca="1" si="80"/>
        <v>-28751448.1280904</v>
      </c>
      <c r="M1008" s="460">
        <f t="shared" si="82"/>
        <v>0.05</v>
      </c>
      <c r="N1008" s="464">
        <f t="shared" si="83"/>
        <v>81724</v>
      </c>
    </row>
    <row r="1009" spans="7:14" ht="11.25" customHeight="1" x14ac:dyDescent="0.25">
      <c r="G1009" s="459">
        <f t="shared" si="103"/>
        <v>84</v>
      </c>
      <c r="H1009" s="459">
        <v>1002</v>
      </c>
      <c r="I1009" s="444">
        <f t="shared" ca="1" si="81"/>
        <v>-28751448.1280904</v>
      </c>
      <c r="J1009" s="444">
        <f t="array" ref="J1009">IFERROR(INDEX('Retirement Calculator'!J:J,MATCH('Isaac 401k'!N1009,'Retirement Calculator'!A:A,0),0),0)</f>
        <v>8395.6297298201844</v>
      </c>
      <c r="K1009" s="444">
        <f t="shared" ca="1" si="79"/>
        <v>-119832.68232425093</v>
      </c>
      <c r="L1009" s="444">
        <f t="shared" ca="1" si="80"/>
        <v>-28879676.440144468</v>
      </c>
      <c r="M1009" s="460">
        <f t="shared" si="82"/>
        <v>0.05</v>
      </c>
      <c r="N1009" s="464">
        <f t="shared" si="83"/>
        <v>81755</v>
      </c>
    </row>
    <row r="1010" spans="7:14" ht="11.25" customHeight="1" x14ac:dyDescent="0.25">
      <c r="G1010" s="459">
        <f t="shared" si="103"/>
        <v>84</v>
      </c>
      <c r="H1010" s="459">
        <v>1003</v>
      </c>
      <c r="I1010" s="444">
        <f t="shared" ca="1" si="81"/>
        <v>-28879676.440144468</v>
      </c>
      <c r="J1010" s="444">
        <f t="array" ref="J1010">IFERROR(INDEX('Retirement Calculator'!J:J,MATCH('Isaac 401k'!N1010,'Retirement Calculator'!A:A,0),0),0)</f>
        <v>8395.6297298201844</v>
      </c>
      <c r="K1010" s="444">
        <f t="shared" ca="1" si="79"/>
        <v>-120366.96695780952</v>
      </c>
      <c r="L1010" s="444">
        <f t="shared" ca="1" si="80"/>
        <v>-29008439.036832098</v>
      </c>
      <c r="M1010" s="460">
        <f t="shared" si="82"/>
        <v>0.05</v>
      </c>
      <c r="N1010" s="464">
        <f t="shared" si="83"/>
        <v>81785</v>
      </c>
    </row>
    <row r="1011" spans="7:14" ht="11.25" customHeight="1" x14ac:dyDescent="0.25">
      <c r="G1011" s="459">
        <f t="shared" si="103"/>
        <v>84</v>
      </c>
      <c r="H1011" s="459">
        <v>1004</v>
      </c>
      <c r="I1011" s="444">
        <f t="shared" ca="1" si="81"/>
        <v>-29008439.036832098</v>
      </c>
      <c r="J1011" s="444">
        <f t="array" ref="J1011">IFERROR(INDEX('Retirement Calculator'!J:J,MATCH('Isaac 401k'!N1011,'Retirement Calculator'!A:A,0),0),0)</f>
        <v>8395.6297298201844</v>
      </c>
      <c r="K1011" s="444">
        <f t="shared" ca="1" si="79"/>
        <v>-120903.47777734131</v>
      </c>
      <c r="L1011" s="444">
        <f t="shared" ca="1" si="80"/>
        <v>-29137738.144339256</v>
      </c>
      <c r="M1011" s="460">
        <f t="shared" si="82"/>
        <v>0.05</v>
      </c>
      <c r="N1011" s="464">
        <f t="shared" si="83"/>
        <v>81816</v>
      </c>
    </row>
    <row r="1012" spans="7:14" ht="11.25" customHeight="1" x14ac:dyDescent="0.25">
      <c r="G1012" s="459">
        <f t="shared" si="103"/>
        <v>84</v>
      </c>
      <c r="H1012" s="459">
        <v>1005</v>
      </c>
      <c r="I1012" s="444">
        <f t="shared" ca="1" si="81"/>
        <v>-29137738.144339256</v>
      </c>
      <c r="J1012" s="444">
        <f t="array" ref="J1012">IFERROR(INDEX('Retirement Calculator'!J:J,MATCH('Isaac 401k'!N1012,'Retirement Calculator'!A:A,0),0),0)</f>
        <v>8395.6297298201844</v>
      </c>
      <c r="K1012" s="444">
        <f t="shared" ca="1" si="79"/>
        <v>-121442.22405862114</v>
      </c>
      <c r="L1012" s="444">
        <f t="shared" ca="1" si="80"/>
        <v>-29267575.998127695</v>
      </c>
      <c r="M1012" s="460">
        <f t="shared" si="82"/>
        <v>0.05</v>
      </c>
      <c r="N1012" s="464">
        <f t="shared" si="83"/>
        <v>81847</v>
      </c>
    </row>
    <row r="1013" spans="7:14" ht="11.25" customHeight="1" x14ac:dyDescent="0.25">
      <c r="G1013" s="459">
        <f t="shared" si="103"/>
        <v>84</v>
      </c>
      <c r="H1013" s="459">
        <v>1006</v>
      </c>
      <c r="I1013" s="444">
        <f t="shared" ca="1" si="81"/>
        <v>-29267575.998127695</v>
      </c>
      <c r="J1013" s="444">
        <f t="array" ref="J1013">IFERROR(INDEX('Retirement Calculator'!J:J,MATCH('Isaac 401k'!N1013,'Retirement Calculator'!A:A,0),0),0)</f>
        <v>8395.6297298201844</v>
      </c>
      <c r="K1013" s="444">
        <f t="shared" ca="1" si="79"/>
        <v>-121983.21511607297</v>
      </c>
      <c r="L1013" s="444">
        <f t="shared" ca="1" si="80"/>
        <v>-29397954.842973586</v>
      </c>
      <c r="M1013" s="460">
        <f t="shared" si="82"/>
        <v>0.05</v>
      </c>
      <c r="N1013" s="464">
        <f t="shared" si="83"/>
        <v>81876</v>
      </c>
    </row>
    <row r="1014" spans="7:14" ht="11.25" customHeight="1" x14ac:dyDescent="0.25">
      <c r="G1014" s="459">
        <f t="shared" si="103"/>
        <v>84</v>
      </c>
      <c r="H1014" s="459">
        <v>1007</v>
      </c>
      <c r="I1014" s="444">
        <f t="shared" ca="1" si="81"/>
        <v>-29397954.842973586</v>
      </c>
      <c r="J1014" s="444">
        <f t="array" ref="J1014">IFERROR(INDEX('Retirement Calculator'!J:J,MATCH('Isaac 401k'!N1014,'Retirement Calculator'!A:A,0),0),0)</f>
        <v>8395.6297298201844</v>
      </c>
      <c r="K1014" s="444">
        <f t="shared" ca="1" si="79"/>
        <v>-122526.46030293085</v>
      </c>
      <c r="L1014" s="444">
        <f t="shared" ca="1" si="80"/>
        <v>-29528876.933006335</v>
      </c>
      <c r="M1014" s="460">
        <f t="shared" si="82"/>
        <v>0.05</v>
      </c>
      <c r="N1014" s="464">
        <f t="shared" si="83"/>
        <v>81907</v>
      </c>
    </row>
    <row r="1015" spans="7:14" ht="11.25" customHeight="1" x14ac:dyDescent="0.25">
      <c r="G1015" s="459">
        <f t="shared" si="103"/>
        <v>84</v>
      </c>
      <c r="H1015" s="459">
        <v>1008</v>
      </c>
      <c r="I1015" s="444">
        <f t="shared" ca="1" si="81"/>
        <v>-29528876.933006335</v>
      </c>
      <c r="J1015" s="444">
        <f t="array" ref="J1015">IFERROR(INDEX('Retirement Calculator'!J:J,MATCH('Isaac 401k'!N1015,'Retirement Calculator'!A:A,0),0),0)</f>
        <v>8395.6297298201844</v>
      </c>
      <c r="K1015" s="444">
        <f t="shared" ca="1" si="79"/>
        <v>-123071.96901140065</v>
      </c>
      <c r="L1015" s="444">
        <f t="shared" ca="1" si="80"/>
        <v>-29660344.531747553</v>
      </c>
      <c r="M1015" s="460">
        <f t="shared" si="82"/>
        <v>0.05</v>
      </c>
      <c r="N1015" s="464">
        <f t="shared" si="83"/>
        <v>81937</v>
      </c>
    </row>
    <row r="1016" spans="7:14" ht="11.25" customHeight="1" x14ac:dyDescent="0.25">
      <c r="G1016" s="459">
        <f>G1015+1</f>
        <v>85</v>
      </c>
      <c r="H1016" s="459">
        <v>1009</v>
      </c>
      <c r="I1016" s="444">
        <f t="shared" ca="1" si="81"/>
        <v>-29660344.531747553</v>
      </c>
      <c r="J1016" s="444">
        <f t="array" ref="J1016">IFERROR(INDEX('Retirement Calculator'!J:J,MATCH('Isaac 401k'!N1016,'Retirement Calculator'!A:A,0),0),0)</f>
        <v>8395.6297298201844</v>
      </c>
      <c r="K1016" s="444">
        <f t="shared" ca="1" si="79"/>
        <v>-123619.75067282238</v>
      </c>
      <c r="L1016" s="444">
        <f t="shared" ca="1" si="80"/>
        <v>-29792359.912150193</v>
      </c>
      <c r="M1016" s="460">
        <f t="shared" si="82"/>
        <v>0.05</v>
      </c>
      <c r="N1016" s="464">
        <f t="shared" si="83"/>
        <v>81968</v>
      </c>
    </row>
    <row r="1017" spans="7:14" ht="11.25" customHeight="1" x14ac:dyDescent="0.25">
      <c r="G1017" s="459">
        <f t="shared" ref="G1017:G1027" si="104">G1016</f>
        <v>85</v>
      </c>
      <c r="H1017" s="459">
        <v>1010</v>
      </c>
      <c r="I1017" s="444">
        <f t="shared" ca="1" si="81"/>
        <v>-29792359.912150193</v>
      </c>
      <c r="J1017" s="444">
        <f t="array" ref="J1017">IFERROR(INDEX('Retirement Calculator'!J:J,MATCH('Isaac 401k'!N1017,'Retirement Calculator'!A:A,0),0),0)</f>
        <v>8395.6297298201844</v>
      </c>
      <c r="K1017" s="444">
        <f t="shared" ca="1" si="79"/>
        <v>-124169.81475783339</v>
      </c>
      <c r="L1017" s="444">
        <f t="shared" ca="1" si="80"/>
        <v>-29924925.356637847</v>
      </c>
      <c r="M1017" s="460">
        <f t="shared" si="82"/>
        <v>0.05</v>
      </c>
      <c r="N1017" s="464">
        <f t="shared" si="83"/>
        <v>81998</v>
      </c>
    </row>
    <row r="1018" spans="7:14" ht="11.25" customHeight="1" x14ac:dyDescent="0.25">
      <c r="G1018" s="459">
        <f t="shared" si="104"/>
        <v>85</v>
      </c>
      <c r="H1018" s="459">
        <v>1011</v>
      </c>
      <c r="I1018" s="444">
        <f t="shared" ca="1" si="81"/>
        <v>-29924925.356637847</v>
      </c>
      <c r="J1018" s="444">
        <f t="array" ref="J1018">IFERROR(INDEX('Retirement Calculator'!J:J,MATCH('Isaac 401k'!N1018,'Retirement Calculator'!A:A,0),0),0)</f>
        <v>8395.6297298201844</v>
      </c>
      <c r="K1018" s="444">
        <f t="shared" ca="1" si="79"/>
        <v>-124722.17077653193</v>
      </c>
      <c r="L1018" s="444">
        <f t="shared" ca="1" si="80"/>
        <v>-30058043.157144196</v>
      </c>
      <c r="M1018" s="460">
        <f t="shared" si="82"/>
        <v>0.05</v>
      </c>
      <c r="N1018" s="464">
        <f t="shared" si="83"/>
        <v>82029</v>
      </c>
    </row>
    <row r="1019" spans="7:14" ht="11.25" customHeight="1" x14ac:dyDescent="0.25">
      <c r="G1019" s="459">
        <f t="shared" si="104"/>
        <v>85</v>
      </c>
      <c r="H1019" s="459">
        <v>1012</v>
      </c>
      <c r="I1019" s="444">
        <f t="shared" ca="1" si="81"/>
        <v>-30058043.157144196</v>
      </c>
      <c r="J1019" s="444">
        <f t="array" ref="J1019">IFERROR(INDEX('Retirement Calculator'!J:J,MATCH('Isaac 401k'!N1019,'Retirement Calculator'!A:A,0),0),0)</f>
        <v>8395.6297298201844</v>
      </c>
      <c r="K1019" s="444">
        <f t="shared" ca="1" si="79"/>
        <v>-125276.82827864173</v>
      </c>
      <c r="L1019" s="444">
        <f t="shared" ca="1" si="80"/>
        <v>-30191715.615152657</v>
      </c>
      <c r="M1019" s="460">
        <f t="shared" si="82"/>
        <v>0.05</v>
      </c>
      <c r="N1019" s="464">
        <f t="shared" si="83"/>
        <v>82060</v>
      </c>
    </row>
    <row r="1020" spans="7:14" ht="11.25" customHeight="1" x14ac:dyDescent="0.25">
      <c r="G1020" s="459">
        <f t="shared" si="104"/>
        <v>85</v>
      </c>
      <c r="H1020" s="459">
        <v>1013</v>
      </c>
      <c r="I1020" s="444">
        <f t="shared" ca="1" si="81"/>
        <v>-30191715.615152657</v>
      </c>
      <c r="J1020" s="444">
        <f t="array" ref="J1020">IFERROR(INDEX('Retirement Calculator'!J:J,MATCH('Isaac 401k'!N1020,'Retirement Calculator'!A:A,0),0),0)</f>
        <v>8395.6297298201844</v>
      </c>
      <c r="K1020" s="444">
        <f t="shared" ca="1" si="79"/>
        <v>-125833.79685367696</v>
      </c>
      <c r="L1020" s="444">
        <f t="shared" ca="1" si="80"/>
        <v>-30325945.041736152</v>
      </c>
      <c r="M1020" s="460">
        <f t="shared" si="82"/>
        <v>0.05</v>
      </c>
      <c r="N1020" s="464">
        <f t="shared" si="83"/>
        <v>82090</v>
      </c>
    </row>
    <row r="1021" spans="7:14" ht="11.25" customHeight="1" x14ac:dyDescent="0.25">
      <c r="G1021" s="459">
        <f t="shared" si="104"/>
        <v>85</v>
      </c>
      <c r="H1021" s="459">
        <v>1014</v>
      </c>
      <c r="I1021" s="444">
        <f t="shared" ca="1" si="81"/>
        <v>-30325945.041736152</v>
      </c>
      <c r="J1021" s="444">
        <f t="array" ref="J1021">IFERROR(INDEX('Retirement Calculator'!J:J,MATCH('Isaac 401k'!N1021,'Retirement Calculator'!A:A,0),0),0)</f>
        <v>8395.6297298201844</v>
      </c>
      <c r="K1021" s="444">
        <f t="shared" ca="1" si="79"/>
        <v>-126393.08613110821</v>
      </c>
      <c r="L1021" s="444">
        <f t="shared" ca="1" si="80"/>
        <v>-30460733.757597078</v>
      </c>
      <c r="M1021" s="460">
        <f t="shared" si="82"/>
        <v>0.05</v>
      </c>
      <c r="N1021" s="464">
        <f t="shared" si="83"/>
        <v>82121</v>
      </c>
    </row>
    <row r="1022" spans="7:14" ht="11.25" customHeight="1" x14ac:dyDescent="0.25">
      <c r="G1022" s="459">
        <f t="shared" si="104"/>
        <v>85</v>
      </c>
      <c r="H1022" s="459">
        <v>1015</v>
      </c>
      <c r="I1022" s="444">
        <f t="shared" ca="1" si="81"/>
        <v>-30460733.757597078</v>
      </c>
      <c r="J1022" s="444">
        <f t="array" ref="J1022">IFERROR(INDEX('Retirement Calculator'!J:J,MATCH('Isaac 401k'!N1022,'Retirement Calculator'!A:A,0),0),0)</f>
        <v>8395.6297298201844</v>
      </c>
      <c r="K1022" s="444">
        <f t="shared" ca="1" si="79"/>
        <v>-126954.70578052873</v>
      </c>
      <c r="L1022" s="444">
        <f t="shared" ca="1" si="80"/>
        <v>-30596084.093107425</v>
      </c>
      <c r="M1022" s="460">
        <f t="shared" si="82"/>
        <v>0.05</v>
      </c>
      <c r="N1022" s="464">
        <f t="shared" si="83"/>
        <v>82151</v>
      </c>
    </row>
    <row r="1023" spans="7:14" ht="11.25" customHeight="1" x14ac:dyDescent="0.25">
      <c r="G1023" s="459">
        <f t="shared" si="104"/>
        <v>85</v>
      </c>
      <c r="H1023" s="459">
        <v>1016</v>
      </c>
      <c r="I1023" s="444">
        <f t="shared" ca="1" si="81"/>
        <v>-30596084.093107425</v>
      </c>
      <c r="J1023" s="444">
        <f t="array" ref="J1023">IFERROR(INDEX('Retirement Calculator'!J:J,MATCH('Isaac 401k'!N1023,'Retirement Calculator'!A:A,0),0),0)</f>
        <v>8395.6297298201844</v>
      </c>
      <c r="K1023" s="444">
        <f t="shared" ca="1" si="79"/>
        <v>-127518.66551182185</v>
      </c>
      <c r="L1023" s="444">
        <f t="shared" ca="1" si="80"/>
        <v>-30731998.388349064</v>
      </c>
      <c r="M1023" s="460">
        <f t="shared" si="82"/>
        <v>0.05</v>
      </c>
      <c r="N1023" s="464">
        <f t="shared" si="83"/>
        <v>82182</v>
      </c>
    </row>
    <row r="1024" spans="7:14" ht="11.25" customHeight="1" x14ac:dyDescent="0.25">
      <c r="G1024" s="459">
        <f t="shared" si="104"/>
        <v>85</v>
      </c>
      <c r="H1024" s="459">
        <v>1017</v>
      </c>
      <c r="I1024" s="444">
        <f t="shared" ca="1" si="81"/>
        <v>-30731998.388349064</v>
      </c>
      <c r="J1024" s="444">
        <f t="array" ref="J1024">IFERROR(INDEX('Retirement Calculator'!J:J,MATCH('Isaac 401k'!N1024,'Retirement Calculator'!A:A,0),0),0)</f>
        <v>8395.6297298201844</v>
      </c>
      <c r="K1024" s="444">
        <f t="shared" ca="1" si="79"/>
        <v>-128084.97507532868</v>
      </c>
      <c r="L1024" s="444">
        <f t="shared" ca="1" si="80"/>
        <v>-30868478.993154209</v>
      </c>
      <c r="M1024" s="460">
        <f t="shared" si="82"/>
        <v>0.05</v>
      </c>
      <c r="N1024" s="464">
        <f t="shared" si="83"/>
        <v>82213</v>
      </c>
    </row>
    <row r="1025" spans="7:14" ht="11.25" customHeight="1" x14ac:dyDescent="0.25">
      <c r="G1025" s="459">
        <f t="shared" si="104"/>
        <v>85</v>
      </c>
      <c r="H1025" s="459">
        <v>1018</v>
      </c>
      <c r="I1025" s="444">
        <f t="shared" ca="1" si="81"/>
        <v>-30868478.993154209</v>
      </c>
      <c r="J1025" s="444">
        <f t="array" ref="J1025">IFERROR(INDEX('Retirement Calculator'!J:J,MATCH('Isaac 401k'!N1025,'Retirement Calculator'!A:A,0),0),0)</f>
        <v>8395.6297298201844</v>
      </c>
      <c r="K1025" s="444">
        <f t="shared" ca="1" si="79"/>
        <v>-128653.64426201677</v>
      </c>
      <c r="L1025" s="444">
        <f t="shared" ca="1" si="80"/>
        <v>-31005528.267146043</v>
      </c>
      <c r="M1025" s="460">
        <f t="shared" si="82"/>
        <v>0.05</v>
      </c>
      <c r="N1025" s="464">
        <f t="shared" si="83"/>
        <v>82241</v>
      </c>
    </row>
    <row r="1026" spans="7:14" ht="11.25" customHeight="1" x14ac:dyDescent="0.25">
      <c r="G1026" s="459">
        <f t="shared" si="104"/>
        <v>85</v>
      </c>
      <c r="H1026" s="459">
        <v>1019</v>
      </c>
      <c r="I1026" s="444">
        <f t="shared" ca="1" si="81"/>
        <v>-31005528.267146043</v>
      </c>
      <c r="J1026" s="444">
        <f t="array" ref="J1026">IFERROR(INDEX('Retirement Calculator'!J:J,MATCH('Isaac 401k'!N1026,'Retirement Calculator'!A:A,0),0),0)</f>
        <v>8395.6297298201844</v>
      </c>
      <c r="K1026" s="444">
        <f t="shared" ca="1" si="79"/>
        <v>-129224.68290364945</v>
      </c>
      <c r="L1026" s="444">
        <f t="shared" ca="1" si="80"/>
        <v>-31143148.579779513</v>
      </c>
      <c r="M1026" s="460">
        <f t="shared" si="82"/>
        <v>0.05</v>
      </c>
      <c r="N1026" s="464">
        <f t="shared" si="83"/>
        <v>82272</v>
      </c>
    </row>
    <row r="1027" spans="7:14" ht="11.25" customHeight="1" x14ac:dyDescent="0.25">
      <c r="G1027" s="459">
        <f t="shared" si="104"/>
        <v>85</v>
      </c>
      <c r="H1027" s="459">
        <v>1020</v>
      </c>
      <c r="I1027" s="444">
        <f t="shared" ca="1" si="81"/>
        <v>-31143148.579779513</v>
      </c>
      <c r="J1027" s="444">
        <f t="array" ref="J1027">IFERROR(INDEX('Retirement Calculator'!J:J,MATCH('Isaac 401k'!N1027,'Retirement Calculator'!A:A,0),0),0)</f>
        <v>8395.6297298201844</v>
      </c>
      <c r="K1027" s="444">
        <f t="shared" ca="1" si="79"/>
        <v>-129798.10087295555</v>
      </c>
      <c r="L1027" s="444">
        <f t="shared" ca="1" si="80"/>
        <v>-31281342.310382288</v>
      </c>
      <c r="M1027" s="460">
        <f t="shared" si="82"/>
        <v>0.05</v>
      </c>
      <c r="N1027" s="464">
        <f t="shared" si="83"/>
        <v>82302</v>
      </c>
    </row>
    <row r="1028" spans="7:14" ht="11.25" customHeight="1" x14ac:dyDescent="0.25">
      <c r="G1028" s="459">
        <f>G1027+1</f>
        <v>86</v>
      </c>
      <c r="H1028" s="459">
        <v>1021</v>
      </c>
      <c r="I1028" s="444">
        <f t="shared" ca="1" si="81"/>
        <v>-31281342.310382288</v>
      </c>
      <c r="J1028" s="444">
        <f t="array" ref="J1028">IFERROR(INDEX('Retirement Calculator'!J:J,MATCH('Isaac 401k'!N1028,'Retirement Calculator'!A:A,0),0),0)</f>
        <v>8395.6297298201844</v>
      </c>
      <c r="K1028" s="444">
        <f t="shared" ref="K1028:K1282" ca="1" si="105">IPMT(M1028/12,1,12,-I1028+J1028,,0)</f>
        <v>-130373.90808380044</v>
      </c>
      <c r="L1028" s="444">
        <f t="shared" ref="L1028:L1282" ca="1" si="106">I1028-J1028+K1028</f>
        <v>-31420111.848195907</v>
      </c>
      <c r="M1028" s="460">
        <f t="shared" si="82"/>
        <v>0.05</v>
      </c>
      <c r="N1028" s="464">
        <f t="shared" si="83"/>
        <v>82333</v>
      </c>
    </row>
    <row r="1029" spans="7:14" ht="11.25" customHeight="1" x14ac:dyDescent="0.25">
      <c r="G1029" s="459">
        <f t="shared" ref="G1029:G1039" si="107">G1028</f>
        <v>86</v>
      </c>
      <c r="H1029" s="459">
        <v>1022</v>
      </c>
      <c r="I1029" s="444">
        <f t="shared" ref="I1029:I1283" ca="1" si="108">L1028</f>
        <v>-31420111.848195907</v>
      </c>
      <c r="J1029" s="444">
        <f t="array" ref="J1029">IFERROR(INDEX('Retirement Calculator'!J:J,MATCH('Isaac 401k'!N1029,'Retirement Calculator'!A:A,0),0),0)</f>
        <v>8395.6297298201844</v>
      </c>
      <c r="K1029" s="444">
        <f t="shared" ca="1" si="105"/>
        <v>-130952.11449135719</v>
      </c>
      <c r="L1029" s="444">
        <f t="shared" ca="1" si="106"/>
        <v>-31559459.592417084</v>
      </c>
      <c r="M1029" s="460">
        <f t="shared" ref="M1029:M1283" si="109">M1028</f>
        <v>0.05</v>
      </c>
      <c r="N1029" s="464">
        <f t="shared" ref="N1029:N1283" si="110">EDATE(N1028,1)</f>
        <v>82363</v>
      </c>
    </row>
    <row r="1030" spans="7:14" ht="11.25" customHeight="1" x14ac:dyDescent="0.25">
      <c r="G1030" s="459">
        <f t="shared" si="107"/>
        <v>86</v>
      </c>
      <c r="H1030" s="459">
        <v>1023</v>
      </c>
      <c r="I1030" s="444">
        <f t="shared" ca="1" si="108"/>
        <v>-31559459.592417084</v>
      </c>
      <c r="J1030" s="444">
        <f t="array" ref="J1030">IFERROR(INDEX('Retirement Calculator'!J:J,MATCH('Isaac 401k'!N1030,'Retirement Calculator'!A:A,0),0),0)</f>
        <v>8395.6297298201844</v>
      </c>
      <c r="K1030" s="444">
        <f t="shared" ca="1" si="105"/>
        <v>-131532.73009227877</v>
      </c>
      <c r="L1030" s="444">
        <f t="shared" ca="1" si="106"/>
        <v>-31699387.952239182</v>
      </c>
      <c r="M1030" s="460">
        <f t="shared" si="109"/>
        <v>0.05</v>
      </c>
      <c r="N1030" s="464">
        <f t="shared" si="110"/>
        <v>82394</v>
      </c>
    </row>
    <row r="1031" spans="7:14" ht="11.25" customHeight="1" x14ac:dyDescent="0.25">
      <c r="G1031" s="459">
        <f t="shared" si="107"/>
        <v>86</v>
      </c>
      <c r="H1031" s="459">
        <v>1024</v>
      </c>
      <c r="I1031" s="444">
        <f t="shared" ca="1" si="108"/>
        <v>-31699387.952239182</v>
      </c>
      <c r="J1031" s="444">
        <f t="array" ref="J1031">IFERROR(INDEX('Retirement Calculator'!J:J,MATCH('Isaac 401k'!N1031,'Retirement Calculator'!A:A,0),0),0)</f>
        <v>8395.6297298201844</v>
      </c>
      <c r="K1031" s="444">
        <f t="shared" ca="1" si="105"/>
        <v>-132115.76492487083</v>
      </c>
      <c r="L1031" s="444">
        <f t="shared" ca="1" si="106"/>
        <v>-31839899.346893873</v>
      </c>
      <c r="M1031" s="460">
        <f t="shared" si="109"/>
        <v>0.05</v>
      </c>
      <c r="N1031" s="464">
        <f t="shared" si="110"/>
        <v>82425</v>
      </c>
    </row>
    <row r="1032" spans="7:14" ht="11.25" customHeight="1" x14ac:dyDescent="0.25">
      <c r="G1032" s="459">
        <f t="shared" si="107"/>
        <v>86</v>
      </c>
      <c r="H1032" s="459">
        <v>1025</v>
      </c>
      <c r="I1032" s="444">
        <f t="shared" ca="1" si="108"/>
        <v>-31839899.346893873</v>
      </c>
      <c r="J1032" s="444">
        <f t="array" ref="J1032">IFERROR(INDEX('Retirement Calculator'!J:J,MATCH('Isaac 401k'!N1032,'Retirement Calculator'!A:A,0),0),0)</f>
        <v>8395.6297298201844</v>
      </c>
      <c r="K1032" s="444">
        <f t="shared" ca="1" si="105"/>
        <v>-132701.22906926539</v>
      </c>
      <c r="L1032" s="444">
        <f t="shared" ca="1" si="106"/>
        <v>-31980996.205692958</v>
      </c>
      <c r="M1032" s="460">
        <f t="shared" si="109"/>
        <v>0.05</v>
      </c>
      <c r="N1032" s="464">
        <f t="shared" si="110"/>
        <v>82455</v>
      </c>
    </row>
    <row r="1033" spans="7:14" ht="11.25" customHeight="1" x14ac:dyDescent="0.25">
      <c r="G1033" s="459">
        <f t="shared" si="107"/>
        <v>86</v>
      </c>
      <c r="H1033" s="459">
        <v>1026</v>
      </c>
      <c r="I1033" s="444">
        <f t="shared" ca="1" si="108"/>
        <v>-31980996.205692958</v>
      </c>
      <c r="J1033" s="444">
        <f t="array" ref="J1033">IFERROR(INDEX('Retirement Calculator'!J:J,MATCH('Isaac 401k'!N1033,'Retirement Calculator'!A:A,0),0),0)</f>
        <v>8395.6297298201844</v>
      </c>
      <c r="K1033" s="444">
        <f t="shared" ca="1" si="105"/>
        <v>-133289.1326475949</v>
      </c>
      <c r="L1033" s="444">
        <f t="shared" ca="1" si="106"/>
        <v>-32122680.968070373</v>
      </c>
      <c r="M1033" s="460">
        <f t="shared" si="109"/>
        <v>0.05</v>
      </c>
      <c r="N1033" s="464">
        <f t="shared" si="110"/>
        <v>82486</v>
      </c>
    </row>
    <row r="1034" spans="7:14" ht="11.25" customHeight="1" x14ac:dyDescent="0.25">
      <c r="G1034" s="459">
        <f t="shared" si="107"/>
        <v>86</v>
      </c>
      <c r="H1034" s="459">
        <v>1027</v>
      </c>
      <c r="I1034" s="444">
        <f t="shared" ca="1" si="108"/>
        <v>-32122680.968070373</v>
      </c>
      <c r="J1034" s="444">
        <f t="array" ref="J1034">IFERROR(INDEX('Retirement Calculator'!J:J,MATCH('Isaac 401k'!N1034,'Retirement Calculator'!A:A,0),0),0)</f>
        <v>8395.6297298201844</v>
      </c>
      <c r="K1034" s="444">
        <f t="shared" ca="1" si="105"/>
        <v>-133879.48582416747</v>
      </c>
      <c r="L1034" s="444">
        <f t="shared" ca="1" si="106"/>
        <v>-32264956.083624359</v>
      </c>
      <c r="M1034" s="460">
        <f t="shared" si="109"/>
        <v>0.05</v>
      </c>
      <c r="N1034" s="464">
        <f t="shared" si="110"/>
        <v>82516</v>
      </c>
    </row>
    <row r="1035" spans="7:14" ht="11.25" customHeight="1" x14ac:dyDescent="0.25">
      <c r="G1035" s="459">
        <f t="shared" si="107"/>
        <v>86</v>
      </c>
      <c r="H1035" s="459">
        <v>1028</v>
      </c>
      <c r="I1035" s="444">
        <f t="shared" ca="1" si="108"/>
        <v>-32264956.083624359</v>
      </c>
      <c r="J1035" s="444">
        <f t="array" ref="J1035">IFERROR(INDEX('Retirement Calculator'!J:J,MATCH('Isaac 401k'!N1035,'Retirement Calculator'!A:A,0),0),0)</f>
        <v>8395.6297298201844</v>
      </c>
      <c r="K1035" s="444">
        <f t="shared" ca="1" si="105"/>
        <v>-134472.29880564241</v>
      </c>
      <c r="L1035" s="444">
        <f t="shared" ca="1" si="106"/>
        <v>-32407824.012159821</v>
      </c>
      <c r="M1035" s="460">
        <f t="shared" si="109"/>
        <v>0.05</v>
      </c>
      <c r="N1035" s="464">
        <f t="shared" si="110"/>
        <v>82547</v>
      </c>
    </row>
    <row r="1036" spans="7:14" ht="11.25" customHeight="1" x14ac:dyDescent="0.25">
      <c r="G1036" s="459">
        <f t="shared" si="107"/>
        <v>86</v>
      </c>
      <c r="H1036" s="459">
        <v>1029</v>
      </c>
      <c r="I1036" s="444">
        <f t="shared" ca="1" si="108"/>
        <v>-32407824.012159821</v>
      </c>
      <c r="J1036" s="444">
        <f t="array" ref="J1036">IFERROR(INDEX('Retirement Calculator'!J:J,MATCH('Isaac 401k'!N1036,'Retirement Calculator'!A:A,0),0),0)</f>
        <v>8395.6297298201844</v>
      </c>
      <c r="K1036" s="444">
        <f t="shared" ca="1" si="105"/>
        <v>-135067.58184120682</v>
      </c>
      <c r="L1036" s="444">
        <f t="shared" ca="1" si="106"/>
        <v>-32551287.223730847</v>
      </c>
      <c r="M1036" s="460">
        <f t="shared" si="109"/>
        <v>0.05</v>
      </c>
      <c r="N1036" s="464">
        <f t="shared" si="110"/>
        <v>82578</v>
      </c>
    </row>
    <row r="1037" spans="7:14" ht="11.25" customHeight="1" x14ac:dyDescent="0.25">
      <c r="G1037" s="459">
        <f t="shared" si="107"/>
        <v>86</v>
      </c>
      <c r="H1037" s="459">
        <v>1030</v>
      </c>
      <c r="I1037" s="444">
        <f t="shared" ca="1" si="108"/>
        <v>-32551287.223730847</v>
      </c>
      <c r="J1037" s="444">
        <f t="array" ref="J1037">IFERROR(INDEX('Retirement Calculator'!J:J,MATCH('Isaac 401k'!N1037,'Retirement Calculator'!A:A,0),0),0)</f>
        <v>8395.6297298201844</v>
      </c>
      <c r="K1037" s="444">
        <f t="shared" ca="1" si="105"/>
        <v>-135665.34522275277</v>
      </c>
      <c r="L1037" s="444">
        <f t="shared" ca="1" si="106"/>
        <v>-32695348.198683418</v>
      </c>
      <c r="M1037" s="460">
        <f t="shared" si="109"/>
        <v>0.05</v>
      </c>
      <c r="N1037" s="464">
        <f t="shared" si="110"/>
        <v>82606</v>
      </c>
    </row>
    <row r="1038" spans="7:14" ht="11.25" customHeight="1" x14ac:dyDescent="0.25">
      <c r="G1038" s="459">
        <f t="shared" si="107"/>
        <v>86</v>
      </c>
      <c r="H1038" s="459">
        <v>1031</v>
      </c>
      <c r="I1038" s="444">
        <f t="shared" ca="1" si="108"/>
        <v>-32695348.198683418</v>
      </c>
      <c r="J1038" s="444">
        <f t="array" ref="J1038">IFERROR(INDEX('Retirement Calculator'!J:J,MATCH('Isaac 401k'!N1038,'Retirement Calculator'!A:A,0),0),0)</f>
        <v>8395.6297298201844</v>
      </c>
      <c r="K1038" s="444">
        <f t="shared" ca="1" si="105"/>
        <v>-136265.59928505516</v>
      </c>
      <c r="L1038" s="444">
        <f t="shared" ca="1" si="106"/>
        <v>-32840009.427698292</v>
      </c>
      <c r="M1038" s="460">
        <f t="shared" si="109"/>
        <v>0.05</v>
      </c>
      <c r="N1038" s="464">
        <f t="shared" si="110"/>
        <v>82637</v>
      </c>
    </row>
    <row r="1039" spans="7:14" ht="11.25" customHeight="1" x14ac:dyDescent="0.25">
      <c r="G1039" s="459">
        <f t="shared" si="107"/>
        <v>86</v>
      </c>
      <c r="H1039" s="459">
        <v>1032</v>
      </c>
      <c r="I1039" s="444">
        <f t="shared" ca="1" si="108"/>
        <v>-32840009.427698292</v>
      </c>
      <c r="J1039" s="444">
        <f t="array" ref="J1039">IFERROR(INDEX('Retirement Calculator'!J:J,MATCH('Isaac 401k'!N1039,'Retirement Calculator'!A:A,0),0),0)</f>
        <v>8395.6297298201844</v>
      </c>
      <c r="K1039" s="444">
        <f t="shared" ca="1" si="105"/>
        <v>-136868.35440595046</v>
      </c>
      <c r="L1039" s="444">
        <f t="shared" ca="1" si="106"/>
        <v>-32985273.411834061</v>
      </c>
      <c r="M1039" s="460">
        <f t="shared" si="109"/>
        <v>0.05</v>
      </c>
      <c r="N1039" s="464">
        <f t="shared" si="110"/>
        <v>82667</v>
      </c>
    </row>
    <row r="1040" spans="7:14" ht="11.25" customHeight="1" x14ac:dyDescent="0.25">
      <c r="G1040" s="459">
        <f>G1039+1</f>
        <v>87</v>
      </c>
      <c r="H1040" s="459">
        <v>1033</v>
      </c>
      <c r="I1040" s="444">
        <f t="shared" ca="1" si="108"/>
        <v>-32985273.411834061</v>
      </c>
      <c r="J1040" s="444">
        <f t="array" ref="J1040">IFERROR(INDEX('Retirement Calculator'!J:J,MATCH('Isaac 401k'!N1040,'Retirement Calculator'!A:A,0),0),0)</f>
        <v>8395.6297298201844</v>
      </c>
      <c r="K1040" s="444">
        <f t="shared" ca="1" si="105"/>
        <v>-137473.62100651616</v>
      </c>
      <c r="L1040" s="444">
        <f t="shared" ca="1" si="106"/>
        <v>-33131142.662570395</v>
      </c>
      <c r="M1040" s="460">
        <f t="shared" si="109"/>
        <v>0.05</v>
      </c>
      <c r="N1040" s="464">
        <f t="shared" si="110"/>
        <v>82698</v>
      </c>
    </row>
    <row r="1041" spans="7:14" ht="11.25" customHeight="1" x14ac:dyDescent="0.25">
      <c r="G1041" s="459">
        <f t="shared" ref="G1041:G1051" si="111">G1040</f>
        <v>87</v>
      </c>
      <c r="H1041" s="459">
        <v>1034</v>
      </c>
      <c r="I1041" s="444">
        <f t="shared" ca="1" si="108"/>
        <v>-33131142.662570395</v>
      </c>
      <c r="J1041" s="444">
        <f t="array" ref="J1041">IFERROR(INDEX('Retirement Calculator'!J:J,MATCH('Isaac 401k'!N1041,'Retirement Calculator'!A:A,0),0),0)</f>
        <v>8395.6297298201844</v>
      </c>
      <c r="K1041" s="444">
        <f t="shared" ca="1" si="105"/>
        <v>-138081.40955125089</v>
      </c>
      <c r="L1041" s="444">
        <f t="shared" ca="1" si="106"/>
        <v>-33277619.701851465</v>
      </c>
      <c r="M1041" s="460">
        <f t="shared" si="109"/>
        <v>0.05</v>
      </c>
      <c r="N1041" s="464">
        <f t="shared" si="110"/>
        <v>82728</v>
      </c>
    </row>
    <row r="1042" spans="7:14" ht="11.25" customHeight="1" x14ac:dyDescent="0.25">
      <c r="G1042" s="459">
        <f t="shared" si="111"/>
        <v>87</v>
      </c>
      <c r="H1042" s="459">
        <v>1035</v>
      </c>
      <c r="I1042" s="444">
        <f t="shared" ca="1" si="108"/>
        <v>-33277619.701851465</v>
      </c>
      <c r="J1042" s="444">
        <f t="array" ref="J1042">IFERROR(INDEX('Retirement Calculator'!J:J,MATCH('Isaac 401k'!N1042,'Retirement Calculator'!A:A,0),0),0)</f>
        <v>8395.6297298201844</v>
      </c>
      <c r="K1042" s="444">
        <f t="shared" ca="1" si="105"/>
        <v>-138691.73054825535</v>
      </c>
      <c r="L1042" s="444">
        <f t="shared" ca="1" si="106"/>
        <v>-33424707.062129539</v>
      </c>
      <c r="M1042" s="460">
        <f t="shared" si="109"/>
        <v>0.05</v>
      </c>
      <c r="N1042" s="464">
        <f t="shared" si="110"/>
        <v>82759</v>
      </c>
    </row>
    <row r="1043" spans="7:14" ht="11.25" customHeight="1" x14ac:dyDescent="0.25">
      <c r="G1043" s="459">
        <f t="shared" si="111"/>
        <v>87</v>
      </c>
      <c r="H1043" s="459">
        <v>1036</v>
      </c>
      <c r="I1043" s="444">
        <f t="shared" ca="1" si="108"/>
        <v>-33424707.062129539</v>
      </c>
      <c r="J1043" s="444">
        <f t="array" ref="J1043">IFERROR(INDEX('Retirement Calculator'!J:J,MATCH('Isaac 401k'!N1043,'Retirement Calculator'!A:A,0),0),0)</f>
        <v>8395.6297298201844</v>
      </c>
      <c r="K1043" s="444">
        <f t="shared" ca="1" si="105"/>
        <v>-139304.594549414</v>
      </c>
      <c r="L1043" s="444">
        <f t="shared" ca="1" si="106"/>
        <v>-33572407.286408775</v>
      </c>
      <c r="M1043" s="460">
        <f t="shared" si="109"/>
        <v>0.05</v>
      </c>
      <c r="N1043" s="464">
        <f t="shared" si="110"/>
        <v>82790</v>
      </c>
    </row>
    <row r="1044" spans="7:14" ht="11.25" customHeight="1" x14ac:dyDescent="0.25">
      <c r="G1044" s="459">
        <f t="shared" si="111"/>
        <v>87</v>
      </c>
      <c r="H1044" s="459">
        <v>1037</v>
      </c>
      <c r="I1044" s="444">
        <f t="shared" ca="1" si="108"/>
        <v>-33572407.286408775</v>
      </c>
      <c r="J1044" s="444">
        <f t="array" ref="J1044">IFERROR(INDEX('Retirement Calculator'!J:J,MATCH('Isaac 401k'!N1044,'Retirement Calculator'!A:A,0),0),0)</f>
        <v>8395.6297298201844</v>
      </c>
      <c r="K1044" s="444">
        <f t="shared" ca="1" si="105"/>
        <v>-139920.01215057747</v>
      </c>
      <c r="L1044" s="444">
        <f t="shared" ca="1" si="106"/>
        <v>-33720722.928289175</v>
      </c>
      <c r="M1044" s="460">
        <f t="shared" si="109"/>
        <v>0.05</v>
      </c>
      <c r="N1044" s="464">
        <f t="shared" si="110"/>
        <v>82820</v>
      </c>
    </row>
    <row r="1045" spans="7:14" ht="11.25" customHeight="1" x14ac:dyDescent="0.25">
      <c r="G1045" s="459">
        <f t="shared" si="111"/>
        <v>87</v>
      </c>
      <c r="H1045" s="459">
        <v>1038</v>
      </c>
      <c r="I1045" s="444">
        <f t="shared" ca="1" si="108"/>
        <v>-33720722.928289175</v>
      </c>
      <c r="J1045" s="444">
        <f t="array" ref="J1045">IFERROR(INDEX('Retirement Calculator'!J:J,MATCH('Isaac 401k'!N1045,'Retirement Calculator'!A:A,0),0),0)</f>
        <v>8395.6297298201844</v>
      </c>
      <c r="K1045" s="444">
        <f t="shared" ca="1" si="105"/>
        <v>-140537.99399174581</v>
      </c>
      <c r="L1045" s="444">
        <f t="shared" ca="1" si="106"/>
        <v>-33869656.552010745</v>
      </c>
      <c r="M1045" s="460">
        <f t="shared" si="109"/>
        <v>0.05</v>
      </c>
      <c r="N1045" s="464">
        <f t="shared" si="110"/>
        <v>82851</v>
      </c>
    </row>
    <row r="1046" spans="7:14" ht="11.25" customHeight="1" x14ac:dyDescent="0.25">
      <c r="G1046" s="459">
        <f t="shared" si="111"/>
        <v>87</v>
      </c>
      <c r="H1046" s="459">
        <v>1039</v>
      </c>
      <c r="I1046" s="444">
        <f t="shared" ca="1" si="108"/>
        <v>-33869656.552010745</v>
      </c>
      <c r="J1046" s="444">
        <f t="array" ref="J1046">IFERROR(INDEX('Retirement Calculator'!J:J,MATCH('Isaac 401k'!N1046,'Retirement Calculator'!A:A,0),0),0)</f>
        <v>8395.6297298201844</v>
      </c>
      <c r="K1046" s="444">
        <f t="shared" ca="1" si="105"/>
        <v>-141158.55075725235</v>
      </c>
      <c r="L1046" s="444">
        <f t="shared" ca="1" si="106"/>
        <v>-34019210.732497819</v>
      </c>
      <c r="M1046" s="460">
        <f t="shared" si="109"/>
        <v>0.05</v>
      </c>
      <c r="N1046" s="464">
        <f t="shared" si="110"/>
        <v>82881</v>
      </c>
    </row>
    <row r="1047" spans="7:14" ht="11.25" customHeight="1" x14ac:dyDescent="0.25">
      <c r="G1047" s="459">
        <f t="shared" si="111"/>
        <v>87</v>
      </c>
      <c r="H1047" s="459">
        <v>1040</v>
      </c>
      <c r="I1047" s="444">
        <f t="shared" ca="1" si="108"/>
        <v>-34019210.732497819</v>
      </c>
      <c r="J1047" s="444">
        <f t="array" ref="J1047">IFERROR(INDEX('Retirement Calculator'!J:J,MATCH('Isaac 401k'!N1047,'Retirement Calculator'!A:A,0),0),0)</f>
        <v>8395.6297298201844</v>
      </c>
      <c r="K1047" s="444">
        <f t="shared" ca="1" si="105"/>
        <v>-141781.69317594852</v>
      </c>
      <c r="L1047" s="444">
        <f t="shared" ca="1" si="106"/>
        <v>-34169388.05540359</v>
      </c>
      <c r="M1047" s="460">
        <f t="shared" si="109"/>
        <v>0.05</v>
      </c>
      <c r="N1047" s="464">
        <f t="shared" si="110"/>
        <v>82912</v>
      </c>
    </row>
    <row r="1048" spans="7:14" ht="11.25" customHeight="1" x14ac:dyDescent="0.25">
      <c r="G1048" s="459">
        <f t="shared" si="111"/>
        <v>87</v>
      </c>
      <c r="H1048" s="459">
        <v>1041</v>
      </c>
      <c r="I1048" s="444">
        <f t="shared" ca="1" si="108"/>
        <v>-34169388.05540359</v>
      </c>
      <c r="J1048" s="444">
        <f t="array" ref="J1048">IFERROR(INDEX('Retirement Calculator'!J:J,MATCH('Isaac 401k'!N1048,'Retirement Calculator'!A:A,0),0),0)</f>
        <v>8395.6297298201844</v>
      </c>
      <c r="K1048" s="444">
        <f t="shared" ca="1" si="105"/>
        <v>-142407.43202138922</v>
      </c>
      <c r="L1048" s="444">
        <f t="shared" ca="1" si="106"/>
        <v>-34320191.117154799</v>
      </c>
      <c r="M1048" s="460">
        <f t="shared" si="109"/>
        <v>0.05</v>
      </c>
      <c r="N1048" s="464">
        <f t="shared" si="110"/>
        <v>82943</v>
      </c>
    </row>
    <row r="1049" spans="7:14" ht="11.25" customHeight="1" x14ac:dyDescent="0.25">
      <c r="G1049" s="459">
        <f t="shared" si="111"/>
        <v>87</v>
      </c>
      <c r="H1049" s="459">
        <v>1042</v>
      </c>
      <c r="I1049" s="444">
        <f t="shared" ca="1" si="108"/>
        <v>-34320191.117154799</v>
      </c>
      <c r="J1049" s="444">
        <f t="array" ref="J1049">IFERROR(INDEX('Retirement Calculator'!J:J,MATCH('Isaac 401k'!N1049,'Retirement Calculator'!A:A,0),0),0)</f>
        <v>8395.6297298201844</v>
      </c>
      <c r="K1049" s="444">
        <f t="shared" ca="1" si="105"/>
        <v>-143035.77811201927</v>
      </c>
      <c r="L1049" s="444">
        <f t="shared" ca="1" si="106"/>
        <v>-34471622.524996638</v>
      </c>
      <c r="M1049" s="460">
        <f t="shared" si="109"/>
        <v>0.05</v>
      </c>
      <c r="N1049" s="464">
        <f t="shared" si="110"/>
        <v>82971</v>
      </c>
    </row>
    <row r="1050" spans="7:14" ht="11.25" customHeight="1" x14ac:dyDescent="0.25">
      <c r="G1050" s="459">
        <f t="shared" si="111"/>
        <v>87</v>
      </c>
      <c r="H1050" s="459">
        <v>1043</v>
      </c>
      <c r="I1050" s="444">
        <f t="shared" ca="1" si="108"/>
        <v>-34471622.524996638</v>
      </c>
      <c r="J1050" s="444">
        <f t="array" ref="J1050">IFERROR(INDEX('Retirement Calculator'!J:J,MATCH('Isaac 401k'!N1050,'Retirement Calculator'!A:A,0),0),0)</f>
        <v>8395.6297298201844</v>
      </c>
      <c r="K1050" s="444">
        <f t="shared" ca="1" si="105"/>
        <v>-143666.74231136026</v>
      </c>
      <c r="L1050" s="444">
        <f t="shared" ca="1" si="106"/>
        <v>-34623684.897037819</v>
      </c>
      <c r="M1050" s="460">
        <f t="shared" si="109"/>
        <v>0.05</v>
      </c>
      <c r="N1050" s="464">
        <f t="shared" si="110"/>
        <v>83002</v>
      </c>
    </row>
    <row r="1051" spans="7:14" ht="11.25" customHeight="1" x14ac:dyDescent="0.25">
      <c r="G1051" s="459">
        <f t="shared" si="111"/>
        <v>87</v>
      </c>
      <c r="H1051" s="459">
        <v>1044</v>
      </c>
      <c r="I1051" s="444">
        <f t="shared" ca="1" si="108"/>
        <v>-34623684.897037819</v>
      </c>
      <c r="J1051" s="444">
        <f t="array" ref="J1051">IFERROR(INDEX('Retirement Calculator'!J:J,MATCH('Isaac 401k'!N1051,'Retirement Calculator'!A:A,0),0),0)</f>
        <v>8395.6297298201844</v>
      </c>
      <c r="K1051" s="444">
        <f t="shared" ca="1" si="105"/>
        <v>-144300.33552819851</v>
      </c>
      <c r="L1051" s="444">
        <f t="shared" ca="1" si="106"/>
        <v>-34776380.862295836</v>
      </c>
      <c r="M1051" s="460">
        <f t="shared" si="109"/>
        <v>0.05</v>
      </c>
      <c r="N1051" s="464">
        <f t="shared" si="110"/>
        <v>83032</v>
      </c>
    </row>
    <row r="1052" spans="7:14" ht="11.25" customHeight="1" x14ac:dyDescent="0.25">
      <c r="G1052" s="459">
        <f>G1051+1</f>
        <v>88</v>
      </c>
      <c r="H1052" s="459">
        <v>1045</v>
      </c>
      <c r="I1052" s="444">
        <f t="shared" ca="1" si="108"/>
        <v>-34776380.862295836</v>
      </c>
      <c r="J1052" s="444">
        <f t="array" ref="J1052">IFERROR(INDEX('Retirement Calculator'!J:J,MATCH('Isaac 401k'!N1052,'Retirement Calculator'!A:A,0),0),0)</f>
        <v>8395.6297298201844</v>
      </c>
      <c r="K1052" s="444">
        <f t="shared" ca="1" si="105"/>
        <v>-144936.56871677359</v>
      </c>
      <c r="L1052" s="444">
        <f t="shared" ca="1" si="106"/>
        <v>-34929713.06074243</v>
      </c>
      <c r="M1052" s="460">
        <f t="shared" si="109"/>
        <v>0.05</v>
      </c>
      <c r="N1052" s="464">
        <f t="shared" si="110"/>
        <v>83063</v>
      </c>
    </row>
    <row r="1053" spans="7:14" ht="11.25" customHeight="1" x14ac:dyDescent="0.25">
      <c r="G1053" s="459">
        <f t="shared" ref="G1053:G1063" si="112">G1052</f>
        <v>88</v>
      </c>
      <c r="H1053" s="459">
        <v>1046</v>
      </c>
      <c r="I1053" s="444">
        <f t="shared" ca="1" si="108"/>
        <v>-34929713.06074243</v>
      </c>
      <c r="J1053" s="444">
        <f t="array" ref="J1053">IFERROR(INDEX('Retirement Calculator'!J:J,MATCH('Isaac 401k'!N1053,'Retirement Calculator'!A:A,0),0),0)</f>
        <v>8395.6297298201844</v>
      </c>
      <c r="K1053" s="444">
        <f t="shared" ca="1" si="105"/>
        <v>-145575.45287696773</v>
      </c>
      <c r="L1053" s="444">
        <f t="shared" ca="1" si="106"/>
        <v>-35083684.143349223</v>
      </c>
      <c r="M1053" s="460">
        <f t="shared" si="109"/>
        <v>0.05</v>
      </c>
      <c r="N1053" s="464">
        <f t="shared" si="110"/>
        <v>83093</v>
      </c>
    </row>
    <row r="1054" spans="7:14" ht="11.25" customHeight="1" x14ac:dyDescent="0.25">
      <c r="G1054" s="459">
        <f t="shared" si="112"/>
        <v>88</v>
      </c>
      <c r="H1054" s="459">
        <v>1047</v>
      </c>
      <c r="I1054" s="444">
        <f t="shared" ca="1" si="108"/>
        <v>-35083684.143349223</v>
      </c>
      <c r="J1054" s="444">
        <f t="array" ref="J1054">IFERROR(INDEX('Retirement Calculator'!J:J,MATCH('Isaac 401k'!N1054,'Retirement Calculator'!A:A,0),0),0)</f>
        <v>8395.6297298201844</v>
      </c>
      <c r="K1054" s="444">
        <f t="shared" ca="1" si="105"/>
        <v>-146216.99905449603</v>
      </c>
      <c r="L1054" s="444">
        <f t="shared" ca="1" si="106"/>
        <v>-35238296.772133544</v>
      </c>
      <c r="M1054" s="460">
        <f t="shared" si="109"/>
        <v>0.05</v>
      </c>
      <c r="N1054" s="464">
        <f t="shared" si="110"/>
        <v>83124</v>
      </c>
    </row>
    <row r="1055" spans="7:14" ht="11.25" customHeight="1" x14ac:dyDescent="0.25">
      <c r="G1055" s="459">
        <f t="shared" si="112"/>
        <v>88</v>
      </c>
      <c r="H1055" s="459">
        <v>1048</v>
      </c>
      <c r="I1055" s="444">
        <f t="shared" ca="1" si="108"/>
        <v>-35238296.772133544</v>
      </c>
      <c r="J1055" s="444">
        <f t="array" ref="J1055">IFERROR(INDEX('Retirement Calculator'!J:J,MATCH('Isaac 401k'!N1055,'Retirement Calculator'!A:A,0),0),0)</f>
        <v>8395.6297298201844</v>
      </c>
      <c r="K1055" s="444">
        <f t="shared" ca="1" si="105"/>
        <v>-146861.21834109735</v>
      </c>
      <c r="L1055" s="444">
        <f t="shared" ca="1" si="106"/>
        <v>-35393553.620204464</v>
      </c>
      <c r="M1055" s="460">
        <f t="shared" si="109"/>
        <v>0.05</v>
      </c>
      <c r="N1055" s="464">
        <f t="shared" si="110"/>
        <v>83155</v>
      </c>
    </row>
    <row r="1056" spans="7:14" ht="11.25" customHeight="1" x14ac:dyDescent="0.25">
      <c r="G1056" s="459">
        <f t="shared" si="112"/>
        <v>88</v>
      </c>
      <c r="H1056" s="459">
        <v>1049</v>
      </c>
      <c r="I1056" s="444">
        <f t="shared" ca="1" si="108"/>
        <v>-35393553.620204464</v>
      </c>
      <c r="J1056" s="444">
        <f t="array" ref="J1056">IFERROR(INDEX('Retirement Calculator'!J:J,MATCH('Isaac 401k'!N1056,'Retirement Calculator'!A:A,0),0),0)</f>
        <v>8395.6297298201844</v>
      </c>
      <c r="K1056" s="444">
        <f t="shared" ca="1" si="105"/>
        <v>-147508.1218747262</v>
      </c>
      <c r="L1056" s="444">
        <f t="shared" ca="1" si="106"/>
        <v>-35549457.371809013</v>
      </c>
      <c r="M1056" s="460">
        <f t="shared" si="109"/>
        <v>0.05</v>
      </c>
      <c r="N1056" s="464">
        <f t="shared" si="110"/>
        <v>83185</v>
      </c>
    </row>
    <row r="1057" spans="7:14" ht="11.25" customHeight="1" x14ac:dyDescent="0.25">
      <c r="G1057" s="459">
        <f t="shared" si="112"/>
        <v>88</v>
      </c>
      <c r="H1057" s="459">
        <v>1050</v>
      </c>
      <c r="I1057" s="444">
        <f t="shared" ca="1" si="108"/>
        <v>-35549457.371809013</v>
      </c>
      <c r="J1057" s="444">
        <f t="array" ref="J1057">IFERROR(INDEX('Retirement Calculator'!J:J,MATCH('Isaac 401k'!N1057,'Retirement Calculator'!A:A,0),0),0)</f>
        <v>8395.6297298201844</v>
      </c>
      <c r="K1057" s="444">
        <f t="shared" ca="1" si="105"/>
        <v>-148157.72083974513</v>
      </c>
      <c r="L1057" s="444">
        <f t="shared" ca="1" si="106"/>
        <v>-35706010.722378582</v>
      </c>
      <c r="M1057" s="460">
        <f t="shared" si="109"/>
        <v>0.05</v>
      </c>
      <c r="N1057" s="464">
        <f t="shared" si="110"/>
        <v>83216</v>
      </c>
    </row>
    <row r="1058" spans="7:14" ht="11.25" customHeight="1" x14ac:dyDescent="0.25">
      <c r="G1058" s="459">
        <f t="shared" si="112"/>
        <v>88</v>
      </c>
      <c r="H1058" s="459">
        <v>1051</v>
      </c>
      <c r="I1058" s="444">
        <f t="shared" ca="1" si="108"/>
        <v>-35706010.722378582</v>
      </c>
      <c r="J1058" s="444">
        <f t="array" ref="J1058">IFERROR(INDEX('Retirement Calculator'!J:J,MATCH('Isaac 401k'!N1058,'Retirement Calculator'!A:A,0),0),0)</f>
        <v>8395.6297298201844</v>
      </c>
      <c r="K1058" s="444">
        <f t="shared" ca="1" si="105"/>
        <v>-148810.02646711835</v>
      </c>
      <c r="L1058" s="444">
        <f t="shared" ca="1" si="106"/>
        <v>-35863216.378575519</v>
      </c>
      <c r="M1058" s="460">
        <f t="shared" si="109"/>
        <v>0.05</v>
      </c>
      <c r="N1058" s="464">
        <f t="shared" si="110"/>
        <v>83246</v>
      </c>
    </row>
    <row r="1059" spans="7:14" ht="11.25" customHeight="1" x14ac:dyDescent="0.25">
      <c r="G1059" s="459">
        <f t="shared" si="112"/>
        <v>88</v>
      </c>
      <c r="H1059" s="459">
        <v>1052</v>
      </c>
      <c r="I1059" s="444">
        <f t="shared" ca="1" si="108"/>
        <v>-35863216.378575519</v>
      </c>
      <c r="J1059" s="444">
        <f t="array" ref="J1059">IFERROR(INDEX('Retirement Calculator'!J:J,MATCH('Isaac 401k'!N1059,'Retirement Calculator'!A:A,0),0),0)</f>
        <v>8395.6297298201844</v>
      </c>
      <c r="K1059" s="444">
        <f t="shared" ca="1" si="105"/>
        <v>-149465.05003460558</v>
      </c>
      <c r="L1059" s="444">
        <f t="shared" ca="1" si="106"/>
        <v>-36021077.058339946</v>
      </c>
      <c r="M1059" s="460">
        <f t="shared" si="109"/>
        <v>0.05</v>
      </c>
      <c r="N1059" s="464">
        <f t="shared" si="110"/>
        <v>83277</v>
      </c>
    </row>
    <row r="1060" spans="7:14" ht="11.25" customHeight="1" x14ac:dyDescent="0.25">
      <c r="G1060" s="459">
        <f t="shared" si="112"/>
        <v>88</v>
      </c>
      <c r="H1060" s="459">
        <v>1053</v>
      </c>
      <c r="I1060" s="444">
        <f t="shared" ca="1" si="108"/>
        <v>-36021077.058339946</v>
      </c>
      <c r="J1060" s="444">
        <f t="array" ref="J1060">IFERROR(INDEX('Retirement Calculator'!J:J,MATCH('Isaac 401k'!N1060,'Retirement Calculator'!A:A,0),0),0)</f>
        <v>8395.6297298201844</v>
      </c>
      <c r="K1060" s="444">
        <f t="shared" ca="1" si="105"/>
        <v>-150122.80286695735</v>
      </c>
      <c r="L1060" s="444">
        <f t="shared" ca="1" si="106"/>
        <v>-36179595.490936726</v>
      </c>
      <c r="M1060" s="460">
        <f t="shared" si="109"/>
        <v>0.05</v>
      </c>
      <c r="N1060" s="464">
        <f t="shared" si="110"/>
        <v>83308</v>
      </c>
    </row>
    <row r="1061" spans="7:14" ht="11.25" customHeight="1" x14ac:dyDescent="0.25">
      <c r="G1061" s="459">
        <f t="shared" si="112"/>
        <v>88</v>
      </c>
      <c r="H1061" s="459">
        <v>1054</v>
      </c>
      <c r="I1061" s="444">
        <f t="shared" ca="1" si="108"/>
        <v>-36179595.490936726</v>
      </c>
      <c r="J1061" s="444">
        <f t="array" ref="J1061">IFERROR(INDEX('Retirement Calculator'!J:J,MATCH('Isaac 401k'!N1061,'Retirement Calculator'!A:A,0),0),0)</f>
        <v>8395.6297298201844</v>
      </c>
      <c r="K1061" s="444">
        <f t="shared" ca="1" si="105"/>
        <v>-150783.29633611062</v>
      </c>
      <c r="L1061" s="444">
        <f t="shared" ca="1" si="106"/>
        <v>-36338774.417002656</v>
      </c>
      <c r="M1061" s="460">
        <f t="shared" si="109"/>
        <v>0.05</v>
      </c>
      <c r="N1061" s="464">
        <f t="shared" si="110"/>
        <v>83337</v>
      </c>
    </row>
    <row r="1062" spans="7:14" ht="11.25" customHeight="1" x14ac:dyDescent="0.25">
      <c r="G1062" s="459">
        <f t="shared" si="112"/>
        <v>88</v>
      </c>
      <c r="H1062" s="459">
        <v>1055</v>
      </c>
      <c r="I1062" s="444">
        <f t="shared" ca="1" si="108"/>
        <v>-36338774.417002656</v>
      </c>
      <c r="J1062" s="444">
        <f t="array" ref="J1062">IFERROR(INDEX('Retirement Calculator'!J:J,MATCH('Isaac 401k'!N1062,'Retirement Calculator'!A:A,0),0),0)</f>
        <v>8395.6297298201844</v>
      </c>
      <c r="K1062" s="444">
        <f t="shared" ca="1" si="105"/>
        <v>-151446.54186138531</v>
      </c>
      <c r="L1062" s="444">
        <f t="shared" ca="1" si="106"/>
        <v>-36498616.588593863</v>
      </c>
      <c r="M1062" s="460">
        <f t="shared" si="109"/>
        <v>0.05</v>
      </c>
      <c r="N1062" s="464">
        <f t="shared" si="110"/>
        <v>83368</v>
      </c>
    </row>
    <row r="1063" spans="7:14" ht="11.25" customHeight="1" x14ac:dyDescent="0.25">
      <c r="G1063" s="459">
        <f t="shared" si="112"/>
        <v>88</v>
      </c>
      <c r="H1063" s="459">
        <v>1056</v>
      </c>
      <c r="I1063" s="444">
        <f t="shared" ca="1" si="108"/>
        <v>-36498616.588593863</v>
      </c>
      <c r="J1063" s="444">
        <f t="array" ref="J1063">IFERROR(INDEX('Retirement Calculator'!J:J,MATCH('Isaac 401k'!N1063,'Retirement Calculator'!A:A,0),0),0)</f>
        <v>8395.6297298201844</v>
      </c>
      <c r="K1063" s="444">
        <f t="shared" ca="1" si="105"/>
        <v>-152112.55090968203</v>
      </c>
      <c r="L1063" s="444">
        <f t="shared" ca="1" si="106"/>
        <v>-36659124.769233368</v>
      </c>
      <c r="M1063" s="460">
        <f t="shared" si="109"/>
        <v>0.05</v>
      </c>
      <c r="N1063" s="464">
        <f t="shared" si="110"/>
        <v>83398</v>
      </c>
    </row>
    <row r="1064" spans="7:14" ht="11.25" customHeight="1" x14ac:dyDescent="0.25">
      <c r="G1064" s="459">
        <f>G1063+1</f>
        <v>89</v>
      </c>
      <c r="H1064" s="459">
        <v>1057</v>
      </c>
      <c r="I1064" s="444">
        <f t="shared" ca="1" si="108"/>
        <v>-36659124.769233368</v>
      </c>
      <c r="J1064" s="444">
        <f t="array" ref="J1064">IFERROR(INDEX('Retirement Calculator'!J:J,MATCH('Isaac 401k'!N1064,'Retirement Calculator'!A:A,0),0),0)</f>
        <v>8395.6297298201844</v>
      </c>
      <c r="K1064" s="444">
        <f t="shared" ca="1" si="105"/>
        <v>-152781.33499567996</v>
      </c>
      <c r="L1064" s="444">
        <f t="shared" ca="1" si="106"/>
        <v>-36820301.73395887</v>
      </c>
      <c r="M1064" s="460">
        <f t="shared" si="109"/>
        <v>0.05</v>
      </c>
      <c r="N1064" s="464">
        <f t="shared" si="110"/>
        <v>83429</v>
      </c>
    </row>
    <row r="1065" spans="7:14" ht="11.25" customHeight="1" x14ac:dyDescent="0.25">
      <c r="G1065" s="459">
        <f t="shared" ref="G1065:G1075" si="113">G1064</f>
        <v>89</v>
      </c>
      <c r="H1065" s="459">
        <v>1058</v>
      </c>
      <c r="I1065" s="444">
        <f t="shared" ca="1" si="108"/>
        <v>-36820301.73395887</v>
      </c>
      <c r="J1065" s="444">
        <f t="array" ref="J1065">IFERROR(INDEX('Retirement Calculator'!J:J,MATCH('Isaac 401k'!N1065,'Retirement Calculator'!A:A,0),0),0)</f>
        <v>8395.6297298201844</v>
      </c>
      <c r="K1065" s="444">
        <f t="shared" ca="1" si="105"/>
        <v>-153452.90568203622</v>
      </c>
      <c r="L1065" s="444">
        <f t="shared" ca="1" si="106"/>
        <v>-36982150.269370727</v>
      </c>
      <c r="M1065" s="460">
        <f t="shared" si="109"/>
        <v>0.05</v>
      </c>
      <c r="N1065" s="464">
        <f t="shared" si="110"/>
        <v>83459</v>
      </c>
    </row>
    <row r="1066" spans="7:14" ht="11.25" customHeight="1" x14ac:dyDescent="0.25">
      <c r="G1066" s="459">
        <f t="shared" si="113"/>
        <v>89</v>
      </c>
      <c r="H1066" s="459">
        <v>1059</v>
      </c>
      <c r="I1066" s="444">
        <f t="shared" ca="1" si="108"/>
        <v>-36982150.269370727</v>
      </c>
      <c r="J1066" s="444">
        <f t="array" ref="J1066">IFERROR(INDEX('Retirement Calculator'!J:J,MATCH('Isaac 401k'!N1066,'Retirement Calculator'!A:A,0),0),0)</f>
        <v>8395.6297298201844</v>
      </c>
      <c r="K1066" s="444">
        <f t="shared" ca="1" si="105"/>
        <v>-154127.27457958562</v>
      </c>
      <c r="L1066" s="444">
        <f t="shared" ca="1" si="106"/>
        <v>-37144673.173680134</v>
      </c>
      <c r="M1066" s="460">
        <f t="shared" si="109"/>
        <v>0.05</v>
      </c>
      <c r="N1066" s="464">
        <f t="shared" si="110"/>
        <v>83490</v>
      </c>
    </row>
    <row r="1067" spans="7:14" ht="11.25" customHeight="1" x14ac:dyDescent="0.25">
      <c r="G1067" s="459">
        <f t="shared" si="113"/>
        <v>89</v>
      </c>
      <c r="H1067" s="459">
        <v>1060</v>
      </c>
      <c r="I1067" s="444">
        <f t="shared" ca="1" si="108"/>
        <v>-37144673.173680134</v>
      </c>
      <c r="J1067" s="444">
        <f t="array" ref="J1067">IFERROR(INDEX('Retirement Calculator'!J:J,MATCH('Isaac 401k'!N1067,'Retirement Calculator'!A:A,0),0),0)</f>
        <v>8395.6297298201844</v>
      </c>
      <c r="K1067" s="444">
        <f t="shared" ca="1" si="105"/>
        <v>-154804.45334754148</v>
      </c>
      <c r="L1067" s="444">
        <f t="shared" ca="1" si="106"/>
        <v>-37307873.256757498</v>
      </c>
      <c r="M1067" s="460">
        <f t="shared" si="109"/>
        <v>0.05</v>
      </c>
      <c r="N1067" s="464">
        <f t="shared" si="110"/>
        <v>83521</v>
      </c>
    </row>
    <row r="1068" spans="7:14" ht="11.25" customHeight="1" x14ac:dyDescent="0.25">
      <c r="G1068" s="459">
        <f t="shared" si="113"/>
        <v>89</v>
      </c>
      <c r="H1068" s="459">
        <v>1061</v>
      </c>
      <c r="I1068" s="444">
        <f t="shared" ca="1" si="108"/>
        <v>-37307873.256757498</v>
      </c>
      <c r="J1068" s="444">
        <f t="array" ref="J1068">IFERROR(INDEX('Retirement Calculator'!J:J,MATCH('Isaac 401k'!N1068,'Retirement Calculator'!A:A,0),0),0)</f>
        <v>8395.6297298201844</v>
      </c>
      <c r="K1068" s="444">
        <f t="shared" ca="1" si="105"/>
        <v>-155484.45369369717</v>
      </c>
      <c r="L1068" s="444">
        <f t="shared" ca="1" si="106"/>
        <v>-37471753.340181015</v>
      </c>
      <c r="M1068" s="460">
        <f t="shared" si="109"/>
        <v>0.05</v>
      </c>
      <c r="N1068" s="464">
        <f t="shared" si="110"/>
        <v>83551</v>
      </c>
    </row>
    <row r="1069" spans="7:14" ht="11.25" customHeight="1" x14ac:dyDescent="0.25">
      <c r="G1069" s="459">
        <f t="shared" si="113"/>
        <v>89</v>
      </c>
      <c r="H1069" s="459">
        <v>1062</v>
      </c>
      <c r="I1069" s="444">
        <f t="shared" ca="1" si="108"/>
        <v>-37471753.340181015</v>
      </c>
      <c r="J1069" s="444">
        <f t="array" ref="J1069">IFERROR(INDEX('Retirement Calculator'!J:J,MATCH('Isaac 401k'!N1069,'Retirement Calculator'!A:A,0),0),0)</f>
        <v>8395.6297298201844</v>
      </c>
      <c r="K1069" s="444">
        <f t="shared" ca="1" si="105"/>
        <v>-156167.28737462847</v>
      </c>
      <c r="L1069" s="444">
        <f t="shared" ca="1" si="106"/>
        <v>-37636316.257285468</v>
      </c>
      <c r="M1069" s="460">
        <f t="shared" si="109"/>
        <v>0.05</v>
      </c>
      <c r="N1069" s="464">
        <f t="shared" si="110"/>
        <v>83582</v>
      </c>
    </row>
    <row r="1070" spans="7:14" ht="11.25" customHeight="1" x14ac:dyDescent="0.25">
      <c r="G1070" s="459">
        <f t="shared" si="113"/>
        <v>89</v>
      </c>
      <c r="H1070" s="459">
        <v>1063</v>
      </c>
      <c r="I1070" s="444">
        <f t="shared" ca="1" si="108"/>
        <v>-37636316.257285468</v>
      </c>
      <c r="J1070" s="444">
        <f t="array" ref="J1070">IFERROR(INDEX('Retirement Calculator'!J:J,MATCH('Isaac 401k'!N1070,'Retirement Calculator'!A:A,0),0),0)</f>
        <v>8395.6297298201844</v>
      </c>
      <c r="K1070" s="444">
        <f t="shared" ca="1" si="105"/>
        <v>-156852.96619589705</v>
      </c>
      <c r="L1070" s="444">
        <f t="shared" ca="1" si="106"/>
        <v>-37801564.853211187</v>
      </c>
      <c r="M1070" s="460">
        <f t="shared" si="109"/>
        <v>0.05</v>
      </c>
      <c r="N1070" s="464">
        <f t="shared" si="110"/>
        <v>83612</v>
      </c>
    </row>
    <row r="1071" spans="7:14" ht="11.25" customHeight="1" x14ac:dyDescent="0.25">
      <c r="G1071" s="459">
        <f t="shared" si="113"/>
        <v>89</v>
      </c>
      <c r="H1071" s="459">
        <v>1064</v>
      </c>
      <c r="I1071" s="444">
        <f t="shared" ca="1" si="108"/>
        <v>-37801564.853211187</v>
      </c>
      <c r="J1071" s="444">
        <f t="array" ref="J1071">IFERROR(INDEX('Retirement Calculator'!J:J,MATCH('Isaac 401k'!N1071,'Retirement Calculator'!A:A,0),0),0)</f>
        <v>8395.6297298201844</v>
      </c>
      <c r="K1071" s="444">
        <f t="shared" ca="1" si="105"/>
        <v>-157541.5020122542</v>
      </c>
      <c r="L1071" s="444">
        <f t="shared" ca="1" si="106"/>
        <v>-37967501.984953262</v>
      </c>
      <c r="M1071" s="460">
        <f t="shared" si="109"/>
        <v>0.05</v>
      </c>
      <c r="N1071" s="464">
        <f t="shared" si="110"/>
        <v>83643</v>
      </c>
    </row>
    <row r="1072" spans="7:14" ht="11.25" customHeight="1" x14ac:dyDescent="0.25">
      <c r="G1072" s="459">
        <f t="shared" si="113"/>
        <v>89</v>
      </c>
      <c r="H1072" s="459">
        <v>1065</v>
      </c>
      <c r="I1072" s="444">
        <f t="shared" ca="1" si="108"/>
        <v>-37967501.984953262</v>
      </c>
      <c r="J1072" s="444">
        <f t="array" ref="J1072">IFERROR(INDEX('Retirement Calculator'!J:J,MATCH('Isaac 401k'!N1072,'Retirement Calculator'!A:A,0),0),0)</f>
        <v>8395.6297298201844</v>
      </c>
      <c r="K1072" s="444">
        <f t="shared" ca="1" si="105"/>
        <v>-158232.90672784619</v>
      </c>
      <c r="L1072" s="444">
        <f t="shared" ca="1" si="106"/>
        <v>-38134130.521410927</v>
      </c>
      <c r="M1072" s="460">
        <f t="shared" si="109"/>
        <v>0.05</v>
      </c>
      <c r="N1072" s="464">
        <f t="shared" si="110"/>
        <v>83674</v>
      </c>
    </row>
    <row r="1073" spans="7:14" ht="11.25" customHeight="1" x14ac:dyDescent="0.25">
      <c r="G1073" s="459">
        <f t="shared" si="113"/>
        <v>89</v>
      </c>
      <c r="H1073" s="459">
        <v>1066</v>
      </c>
      <c r="I1073" s="444">
        <f t="shared" ca="1" si="108"/>
        <v>-38134130.521410927</v>
      </c>
      <c r="J1073" s="444">
        <f t="array" ref="J1073">IFERROR(INDEX('Retirement Calculator'!J:J,MATCH('Isaac 401k'!N1073,'Retirement Calculator'!A:A,0),0),0)</f>
        <v>8395.6297298201844</v>
      </c>
      <c r="K1073" s="444">
        <f t="shared" ca="1" si="105"/>
        <v>-158927.19229641979</v>
      </c>
      <c r="L1073" s="444">
        <f t="shared" ca="1" si="106"/>
        <v>-38301453.343437172</v>
      </c>
      <c r="M1073" s="460">
        <f t="shared" si="109"/>
        <v>0.05</v>
      </c>
      <c r="N1073" s="464">
        <f t="shared" si="110"/>
        <v>83702</v>
      </c>
    </row>
    <row r="1074" spans="7:14" ht="11.25" customHeight="1" x14ac:dyDescent="0.25">
      <c r="G1074" s="459">
        <f t="shared" si="113"/>
        <v>89</v>
      </c>
      <c r="H1074" s="459">
        <v>1067</v>
      </c>
      <c r="I1074" s="444">
        <f t="shared" ca="1" si="108"/>
        <v>-38301453.343437172</v>
      </c>
      <c r="J1074" s="444">
        <f t="array" ref="J1074">IFERROR(INDEX('Retirement Calculator'!J:J,MATCH('Isaac 401k'!N1074,'Retirement Calculator'!A:A,0),0),0)</f>
        <v>8395.6297298201844</v>
      </c>
      <c r="K1074" s="444">
        <f t="shared" ca="1" si="105"/>
        <v>-159624.37072152915</v>
      </c>
      <c r="L1074" s="444">
        <f t="shared" ca="1" si="106"/>
        <v>-38469473.343888521</v>
      </c>
      <c r="M1074" s="460">
        <f t="shared" si="109"/>
        <v>0.05</v>
      </c>
      <c r="N1074" s="464">
        <f t="shared" si="110"/>
        <v>83733</v>
      </c>
    </row>
    <row r="1075" spans="7:14" ht="11.25" customHeight="1" x14ac:dyDescent="0.25">
      <c r="G1075" s="459">
        <f t="shared" si="113"/>
        <v>89</v>
      </c>
      <c r="H1075" s="459">
        <v>1068</v>
      </c>
      <c r="I1075" s="444">
        <f t="shared" ca="1" si="108"/>
        <v>-38469473.343888521</v>
      </c>
      <c r="J1075" s="444">
        <f t="array" ref="J1075">IFERROR(INDEX('Retirement Calculator'!J:J,MATCH('Isaac 401k'!N1075,'Retirement Calculator'!A:A,0),0),0)</f>
        <v>8395.6297298201844</v>
      </c>
      <c r="K1075" s="444">
        <f t="shared" ca="1" si="105"/>
        <v>-160324.4540567431</v>
      </c>
      <c r="L1075" s="444">
        <f t="shared" ca="1" si="106"/>
        <v>-38638193.427675083</v>
      </c>
      <c r="M1075" s="460">
        <f t="shared" si="109"/>
        <v>0.05</v>
      </c>
      <c r="N1075" s="464">
        <f t="shared" si="110"/>
        <v>83763</v>
      </c>
    </row>
    <row r="1076" spans="7:14" ht="11.25" customHeight="1" x14ac:dyDescent="0.25">
      <c r="G1076" s="459">
        <f>G1075+1</f>
        <v>90</v>
      </c>
      <c r="H1076" s="459">
        <v>1069</v>
      </c>
      <c r="I1076" s="444">
        <f t="shared" ca="1" si="108"/>
        <v>-38638193.427675083</v>
      </c>
      <c r="J1076" s="444">
        <f t="array" ref="J1076">IFERROR(INDEX('Retirement Calculator'!J:J,MATCH('Isaac 401k'!N1076,'Retirement Calculator'!A:A,0),0),0)</f>
        <v>8395.6297298201844</v>
      </c>
      <c r="K1076" s="444">
        <f t="shared" ca="1" si="105"/>
        <v>-161027.45440585376</v>
      </c>
      <c r="L1076" s="444">
        <f t="shared" ca="1" si="106"/>
        <v>-38807616.511810757</v>
      </c>
      <c r="M1076" s="460">
        <f t="shared" si="109"/>
        <v>0.05</v>
      </c>
      <c r="N1076" s="464">
        <f t="shared" si="110"/>
        <v>83794</v>
      </c>
    </row>
    <row r="1077" spans="7:14" ht="11.25" customHeight="1" x14ac:dyDescent="0.25">
      <c r="G1077" s="459">
        <f t="shared" ref="G1077:G1087" si="114">G1076</f>
        <v>90</v>
      </c>
      <c r="H1077" s="459">
        <v>1070</v>
      </c>
      <c r="I1077" s="444">
        <f t="shared" ca="1" si="108"/>
        <v>-38807616.511810757</v>
      </c>
      <c r="J1077" s="444">
        <f t="array" ref="J1077">IFERROR(INDEX('Retirement Calculator'!J:J,MATCH('Isaac 401k'!N1077,'Retirement Calculator'!A:A,0),0),0)</f>
        <v>8395.6297298201844</v>
      </c>
      <c r="K1077" s="444">
        <f t="shared" ca="1" si="105"/>
        <v>-161733.38392308576</v>
      </c>
      <c r="L1077" s="444">
        <f t="shared" ca="1" si="106"/>
        <v>-38977745.525463663</v>
      </c>
      <c r="M1077" s="460">
        <f t="shared" si="109"/>
        <v>0.05</v>
      </c>
      <c r="N1077" s="464">
        <f t="shared" si="110"/>
        <v>83824</v>
      </c>
    </row>
    <row r="1078" spans="7:14" ht="11.25" customHeight="1" x14ac:dyDescent="0.25">
      <c r="G1078" s="459">
        <f t="shared" si="114"/>
        <v>90</v>
      </c>
      <c r="H1078" s="459">
        <v>1071</v>
      </c>
      <c r="I1078" s="444">
        <f t="shared" ca="1" si="108"/>
        <v>-38977745.525463663</v>
      </c>
      <c r="J1078" s="444">
        <f t="array" ref="J1078">IFERROR(INDEX('Retirement Calculator'!J:J,MATCH('Isaac 401k'!N1078,'Retirement Calculator'!A:A,0),0),0)</f>
        <v>8395.6297298201844</v>
      </c>
      <c r="K1078" s="444">
        <f t="shared" ca="1" si="105"/>
        <v>-162442.25481330618</v>
      </c>
      <c r="L1078" s="444">
        <f t="shared" ca="1" si="106"/>
        <v>-39148583.410006791</v>
      </c>
      <c r="M1078" s="460">
        <f t="shared" si="109"/>
        <v>0.05</v>
      </c>
      <c r="N1078" s="464">
        <f t="shared" si="110"/>
        <v>83855</v>
      </c>
    </row>
    <row r="1079" spans="7:14" ht="11.25" customHeight="1" x14ac:dyDescent="0.25">
      <c r="G1079" s="459">
        <f t="shared" si="114"/>
        <v>90</v>
      </c>
      <c r="H1079" s="459">
        <v>1072</v>
      </c>
      <c r="I1079" s="444">
        <f t="shared" ca="1" si="108"/>
        <v>-39148583.410006791</v>
      </c>
      <c r="J1079" s="444">
        <f t="array" ref="J1079">IFERROR(INDEX('Retirement Calculator'!J:J,MATCH('Isaac 401k'!N1079,'Retirement Calculator'!A:A,0),0),0)</f>
        <v>8395.6297298201844</v>
      </c>
      <c r="K1079" s="444">
        <f t="shared" ca="1" si="105"/>
        <v>-163154.07933223588</v>
      </c>
      <c r="L1079" s="444">
        <f t="shared" ca="1" si="106"/>
        <v>-39320133.119068846</v>
      </c>
      <c r="M1079" s="460">
        <f t="shared" si="109"/>
        <v>0.05</v>
      </c>
      <c r="N1079" s="464">
        <f t="shared" si="110"/>
        <v>83886</v>
      </c>
    </row>
    <row r="1080" spans="7:14" ht="11.25" customHeight="1" x14ac:dyDescent="0.25">
      <c r="G1080" s="459">
        <f t="shared" si="114"/>
        <v>90</v>
      </c>
      <c r="H1080" s="459">
        <v>1073</v>
      </c>
      <c r="I1080" s="444">
        <f t="shared" ca="1" si="108"/>
        <v>-39320133.119068846</v>
      </c>
      <c r="J1080" s="444">
        <f t="array" ref="J1080">IFERROR(INDEX('Retirement Calculator'!J:J,MATCH('Isaac 401k'!N1080,'Retirement Calculator'!A:A,0),0),0)</f>
        <v>8395.6297298201844</v>
      </c>
      <c r="K1080" s="444">
        <f t="shared" ca="1" si="105"/>
        <v>-163868.86978666112</v>
      </c>
      <c r="L1080" s="444">
        <f t="shared" ca="1" si="106"/>
        <v>-39492397.618585333</v>
      </c>
      <c r="M1080" s="460">
        <f t="shared" si="109"/>
        <v>0.05</v>
      </c>
      <c r="N1080" s="464">
        <f t="shared" si="110"/>
        <v>83916</v>
      </c>
    </row>
    <row r="1081" spans="7:14" ht="11.25" customHeight="1" x14ac:dyDescent="0.25">
      <c r="G1081" s="459">
        <f t="shared" si="114"/>
        <v>90</v>
      </c>
      <c r="H1081" s="459">
        <v>1074</v>
      </c>
      <c r="I1081" s="444">
        <f t="shared" ca="1" si="108"/>
        <v>-39492397.618585333</v>
      </c>
      <c r="J1081" s="444">
        <f t="array" ref="J1081">IFERROR(INDEX('Retirement Calculator'!J:J,MATCH('Isaac 401k'!N1081,'Retirement Calculator'!A:A,0),0),0)</f>
        <v>8395.6297298201844</v>
      </c>
      <c r="K1081" s="444">
        <f t="shared" ca="1" si="105"/>
        <v>-164586.63853464648</v>
      </c>
      <c r="L1081" s="444">
        <f t="shared" ca="1" si="106"/>
        <v>-39665379.886849806</v>
      </c>
      <c r="M1081" s="460">
        <f t="shared" si="109"/>
        <v>0.05</v>
      </c>
      <c r="N1081" s="464">
        <f t="shared" si="110"/>
        <v>83947</v>
      </c>
    </row>
    <row r="1082" spans="7:14" ht="11.25" customHeight="1" x14ac:dyDescent="0.25">
      <c r="G1082" s="459">
        <f t="shared" si="114"/>
        <v>90</v>
      </c>
      <c r="H1082" s="459">
        <v>1075</v>
      </c>
      <c r="I1082" s="444">
        <f t="shared" ca="1" si="108"/>
        <v>-39665379.886849806</v>
      </c>
      <c r="J1082" s="444">
        <f t="array" ref="J1082">IFERROR(INDEX('Retirement Calculator'!J:J,MATCH('Isaac 401k'!N1082,'Retirement Calculator'!A:A,0),0),0)</f>
        <v>8395.6297298201844</v>
      </c>
      <c r="K1082" s="444">
        <f t="shared" ca="1" si="105"/>
        <v>-165307.39798574845</v>
      </c>
      <c r="L1082" s="444">
        <f t="shared" ca="1" si="106"/>
        <v>-39839082.914565377</v>
      </c>
      <c r="M1082" s="460">
        <f t="shared" si="109"/>
        <v>0.05</v>
      </c>
      <c r="N1082" s="464">
        <f t="shared" si="110"/>
        <v>83977</v>
      </c>
    </row>
    <row r="1083" spans="7:14" ht="11.25" customHeight="1" x14ac:dyDescent="0.25">
      <c r="G1083" s="459">
        <f t="shared" si="114"/>
        <v>90</v>
      </c>
      <c r="H1083" s="459">
        <v>1076</v>
      </c>
      <c r="I1083" s="444">
        <f t="shared" ca="1" si="108"/>
        <v>-39839082.914565377</v>
      </c>
      <c r="J1083" s="444">
        <f t="array" ref="J1083">IFERROR(INDEX('Retirement Calculator'!J:J,MATCH('Isaac 401k'!N1083,'Retirement Calculator'!A:A,0),0),0)</f>
        <v>8395.6297298201844</v>
      </c>
      <c r="K1083" s="444">
        <f t="shared" ca="1" si="105"/>
        <v>-166031.16060122999</v>
      </c>
      <c r="L1083" s="444">
        <f t="shared" ca="1" si="106"/>
        <v>-40013509.704896428</v>
      </c>
      <c r="M1083" s="460">
        <f t="shared" si="109"/>
        <v>0.05</v>
      </c>
      <c r="N1083" s="464">
        <f t="shared" si="110"/>
        <v>84008</v>
      </c>
    </row>
    <row r="1084" spans="7:14" ht="11.25" customHeight="1" x14ac:dyDescent="0.25">
      <c r="G1084" s="459">
        <f t="shared" si="114"/>
        <v>90</v>
      </c>
      <c r="H1084" s="459">
        <v>1077</v>
      </c>
      <c r="I1084" s="444">
        <f t="shared" ca="1" si="108"/>
        <v>-40013509.704896428</v>
      </c>
      <c r="J1084" s="444">
        <f t="array" ref="J1084">IFERROR(INDEX('Retirement Calculator'!J:J,MATCH('Isaac 401k'!N1084,'Retirement Calculator'!A:A,0),0),0)</f>
        <v>8395.6297298201844</v>
      </c>
      <c r="K1084" s="444">
        <f t="shared" ca="1" si="105"/>
        <v>-166757.93889427604</v>
      </c>
      <c r="L1084" s="444">
        <f t="shared" ca="1" si="106"/>
        <v>-40188663.273520529</v>
      </c>
      <c r="M1084" s="460">
        <f t="shared" si="109"/>
        <v>0.05</v>
      </c>
      <c r="N1084" s="464">
        <f t="shared" si="110"/>
        <v>84039</v>
      </c>
    </row>
    <row r="1085" spans="7:14" ht="11.25" customHeight="1" x14ac:dyDescent="0.25">
      <c r="G1085" s="459">
        <f t="shared" si="114"/>
        <v>90</v>
      </c>
      <c r="H1085" s="459">
        <v>1078</v>
      </c>
      <c r="I1085" s="444">
        <f t="shared" ca="1" si="108"/>
        <v>-40188663.273520529</v>
      </c>
      <c r="J1085" s="444">
        <f t="array" ref="J1085">IFERROR(INDEX('Retirement Calculator'!J:J,MATCH('Isaac 401k'!N1085,'Retirement Calculator'!A:A,0),0),0)</f>
        <v>8395.6297298201844</v>
      </c>
      <c r="K1085" s="444">
        <f t="shared" ca="1" si="105"/>
        <v>-167487.74543020979</v>
      </c>
      <c r="L1085" s="444">
        <f t="shared" ca="1" si="106"/>
        <v>-40364546.64868056</v>
      </c>
      <c r="M1085" s="460">
        <f t="shared" si="109"/>
        <v>0.05</v>
      </c>
      <c r="N1085" s="464">
        <f t="shared" si="110"/>
        <v>84067</v>
      </c>
    </row>
    <row r="1086" spans="7:14" ht="11.25" customHeight="1" x14ac:dyDescent="0.25">
      <c r="G1086" s="459">
        <f t="shared" si="114"/>
        <v>90</v>
      </c>
      <c r="H1086" s="459">
        <v>1079</v>
      </c>
      <c r="I1086" s="444">
        <f t="shared" ca="1" si="108"/>
        <v>-40364546.64868056</v>
      </c>
      <c r="J1086" s="444">
        <f t="array" ref="J1086">IFERROR(INDEX('Retirement Calculator'!J:J,MATCH('Isaac 401k'!N1086,'Retirement Calculator'!A:A,0),0),0)</f>
        <v>8395.6297298201844</v>
      </c>
      <c r="K1086" s="444">
        <f t="shared" ca="1" si="105"/>
        <v>-168220.59282670994</v>
      </c>
      <c r="L1086" s="444">
        <f t="shared" ca="1" si="106"/>
        <v>-40541162.871237092</v>
      </c>
      <c r="M1086" s="460">
        <f t="shared" si="109"/>
        <v>0.05</v>
      </c>
      <c r="N1086" s="464">
        <f t="shared" si="110"/>
        <v>84098</v>
      </c>
    </row>
    <row r="1087" spans="7:14" ht="11.25" customHeight="1" x14ac:dyDescent="0.25">
      <c r="G1087" s="459">
        <f t="shared" si="114"/>
        <v>90</v>
      </c>
      <c r="H1087" s="459">
        <v>1080</v>
      </c>
      <c r="I1087" s="444">
        <f t="shared" ca="1" si="108"/>
        <v>-40541162.871237092</v>
      </c>
      <c r="J1087" s="444">
        <f t="array" ref="J1087">IFERROR(INDEX('Retirement Calculator'!J:J,MATCH('Isaac 401k'!N1087,'Retirement Calculator'!A:A,0),0),0)</f>
        <v>8395.6297298201844</v>
      </c>
      <c r="K1087" s="444">
        <f t="shared" ca="1" si="105"/>
        <v>-168956.49375402881</v>
      </c>
      <c r="L1087" s="444">
        <f t="shared" ca="1" si="106"/>
        <v>-40718514.994720943</v>
      </c>
      <c r="M1087" s="460">
        <f t="shared" si="109"/>
        <v>0.05</v>
      </c>
      <c r="N1087" s="464">
        <f t="shared" si="110"/>
        <v>84128</v>
      </c>
    </row>
    <row r="1088" spans="7:14" ht="11.25" customHeight="1" x14ac:dyDescent="0.25">
      <c r="G1088" s="459">
        <f>G1087+1</f>
        <v>91</v>
      </c>
      <c r="H1088" s="459">
        <v>1081</v>
      </c>
      <c r="I1088" s="444">
        <f t="shared" ca="1" si="108"/>
        <v>-40718514.994720943</v>
      </c>
      <c r="J1088" s="444">
        <f t="array" ref="J1088">IFERROR(INDEX('Retirement Calculator'!J:J,MATCH('Isaac 401k'!N1088,'Retirement Calculator'!A:A,0),0),0)</f>
        <v>8395.6297298201844</v>
      </c>
      <c r="K1088" s="444">
        <f t="shared" ca="1" si="105"/>
        <v>-169695.46093521151</v>
      </c>
      <c r="L1088" s="444">
        <f t="shared" ca="1" si="106"/>
        <v>-40896606.085385978</v>
      </c>
      <c r="M1088" s="460">
        <f t="shared" si="109"/>
        <v>0.05</v>
      </c>
      <c r="N1088" s="464">
        <f t="shared" si="110"/>
        <v>84159</v>
      </c>
    </row>
    <row r="1089" spans="7:14" ht="11.25" customHeight="1" x14ac:dyDescent="0.25">
      <c r="G1089" s="459">
        <f t="shared" ref="G1089:G1099" si="115">G1088</f>
        <v>91</v>
      </c>
      <c r="H1089" s="459">
        <v>1082</v>
      </c>
      <c r="I1089" s="444">
        <f t="shared" ca="1" si="108"/>
        <v>-40896606.085385978</v>
      </c>
      <c r="J1089" s="444">
        <f t="array" ref="J1089">IFERROR(INDEX('Retirement Calculator'!J:J,MATCH('Isaac 401k'!N1089,'Retirement Calculator'!A:A,0),0),0)</f>
        <v>8395.6297298201844</v>
      </c>
      <c r="K1089" s="444">
        <f t="shared" ca="1" si="105"/>
        <v>-170437.50714631582</v>
      </c>
      <c r="L1089" s="444">
        <f t="shared" ca="1" si="106"/>
        <v>-41075439.222262114</v>
      </c>
      <c r="M1089" s="460">
        <f t="shared" si="109"/>
        <v>0.05</v>
      </c>
      <c r="N1089" s="464">
        <f t="shared" si="110"/>
        <v>84189</v>
      </c>
    </row>
    <row r="1090" spans="7:14" ht="11.25" customHeight="1" x14ac:dyDescent="0.25">
      <c r="G1090" s="459">
        <f t="shared" si="115"/>
        <v>91</v>
      </c>
      <c r="H1090" s="459">
        <v>1083</v>
      </c>
      <c r="I1090" s="444">
        <f t="shared" ca="1" si="108"/>
        <v>-41075439.222262114</v>
      </c>
      <c r="J1090" s="444">
        <f t="array" ref="J1090">IFERROR(INDEX('Retirement Calculator'!J:J,MATCH('Isaac 401k'!N1090,'Retirement Calculator'!A:A,0),0),0)</f>
        <v>8395.6297298201844</v>
      </c>
      <c r="K1090" s="444">
        <f t="shared" ca="1" si="105"/>
        <v>-171182.64521663307</v>
      </c>
      <c r="L1090" s="444">
        <f t="shared" ca="1" si="106"/>
        <v>-41255017.497208573</v>
      </c>
      <c r="M1090" s="460">
        <f t="shared" si="109"/>
        <v>0.05</v>
      </c>
      <c r="N1090" s="464">
        <f t="shared" si="110"/>
        <v>84220</v>
      </c>
    </row>
    <row r="1091" spans="7:14" ht="11.25" customHeight="1" x14ac:dyDescent="0.25">
      <c r="G1091" s="459">
        <f t="shared" si="115"/>
        <v>91</v>
      </c>
      <c r="H1091" s="459">
        <v>1084</v>
      </c>
      <c r="I1091" s="444">
        <f t="shared" ca="1" si="108"/>
        <v>-41255017.497208573</v>
      </c>
      <c r="J1091" s="444">
        <f t="array" ref="J1091">IFERROR(INDEX('Retirement Calculator'!J:J,MATCH('Isaac 401k'!N1091,'Retirement Calculator'!A:A,0),0),0)</f>
        <v>8395.6297298201844</v>
      </c>
      <c r="K1091" s="444">
        <f t="shared" ca="1" si="105"/>
        <v>-171930.88802890998</v>
      </c>
      <c r="L1091" s="444">
        <f t="shared" ca="1" si="106"/>
        <v>-41435344.014967307</v>
      </c>
      <c r="M1091" s="460">
        <f t="shared" si="109"/>
        <v>0.05</v>
      </c>
      <c r="N1091" s="464">
        <f t="shared" si="110"/>
        <v>84251</v>
      </c>
    </row>
    <row r="1092" spans="7:14" ht="11.25" customHeight="1" x14ac:dyDescent="0.25">
      <c r="G1092" s="459">
        <f t="shared" si="115"/>
        <v>91</v>
      </c>
      <c r="H1092" s="459">
        <v>1085</v>
      </c>
      <c r="I1092" s="444">
        <f t="shared" ca="1" si="108"/>
        <v>-41435344.014967307</v>
      </c>
      <c r="J1092" s="444">
        <f t="array" ref="J1092">IFERROR(INDEX('Retirement Calculator'!J:J,MATCH('Isaac 401k'!N1092,'Retirement Calculator'!A:A,0),0),0)</f>
        <v>8395.6297298201844</v>
      </c>
      <c r="K1092" s="444">
        <f t="shared" ca="1" si="105"/>
        <v>-172682.24851957138</v>
      </c>
      <c r="L1092" s="444">
        <f t="shared" ca="1" si="106"/>
        <v>-41616421.893216699</v>
      </c>
      <c r="M1092" s="460">
        <f t="shared" si="109"/>
        <v>0.05</v>
      </c>
      <c r="N1092" s="464">
        <f t="shared" si="110"/>
        <v>84281</v>
      </c>
    </row>
    <row r="1093" spans="7:14" ht="11.25" customHeight="1" x14ac:dyDescent="0.25">
      <c r="G1093" s="459">
        <f t="shared" si="115"/>
        <v>91</v>
      </c>
      <c r="H1093" s="459">
        <v>1086</v>
      </c>
      <c r="I1093" s="444">
        <f t="shared" ca="1" si="108"/>
        <v>-41616421.893216699</v>
      </c>
      <c r="J1093" s="444">
        <f t="array" ref="J1093">IFERROR(INDEX('Retirement Calculator'!J:J,MATCH('Isaac 401k'!N1093,'Retirement Calculator'!A:A,0),0),0)</f>
        <v>8395.6297298201844</v>
      </c>
      <c r="K1093" s="444">
        <f t="shared" ca="1" si="105"/>
        <v>-173436.73967894385</v>
      </c>
      <c r="L1093" s="444">
        <f t="shared" ca="1" si="106"/>
        <v>-41798254.262625463</v>
      </c>
      <c r="M1093" s="460">
        <f t="shared" si="109"/>
        <v>0.05</v>
      </c>
      <c r="N1093" s="464">
        <f t="shared" si="110"/>
        <v>84312</v>
      </c>
    </row>
    <row r="1094" spans="7:14" ht="11.25" customHeight="1" x14ac:dyDescent="0.25">
      <c r="G1094" s="459">
        <f t="shared" si="115"/>
        <v>91</v>
      </c>
      <c r="H1094" s="459">
        <v>1087</v>
      </c>
      <c r="I1094" s="444">
        <f t="shared" ca="1" si="108"/>
        <v>-41798254.262625463</v>
      </c>
      <c r="J1094" s="444">
        <f t="array" ref="J1094">IFERROR(INDEX('Retirement Calculator'!J:J,MATCH('Isaac 401k'!N1094,'Retirement Calculator'!A:A,0),0),0)</f>
        <v>8395.6297298201844</v>
      </c>
      <c r="K1094" s="444">
        <f t="shared" ca="1" si="105"/>
        <v>-174194.37455148034</v>
      </c>
      <c r="L1094" s="444">
        <f t="shared" ca="1" si="106"/>
        <v>-41980844.266906768</v>
      </c>
      <c r="M1094" s="460">
        <f t="shared" si="109"/>
        <v>0.05</v>
      </c>
      <c r="N1094" s="464">
        <f t="shared" si="110"/>
        <v>84342</v>
      </c>
    </row>
    <row r="1095" spans="7:14" ht="11.25" customHeight="1" x14ac:dyDescent="0.25">
      <c r="G1095" s="459">
        <f t="shared" si="115"/>
        <v>91</v>
      </c>
      <c r="H1095" s="459">
        <v>1088</v>
      </c>
      <c r="I1095" s="444">
        <f t="shared" ca="1" si="108"/>
        <v>-41980844.266906768</v>
      </c>
      <c r="J1095" s="444">
        <f t="array" ref="J1095">IFERROR(INDEX('Retirement Calculator'!J:J,MATCH('Isaac 401k'!N1095,'Retirement Calculator'!A:A,0),0),0)</f>
        <v>8395.6297298201844</v>
      </c>
      <c r="K1095" s="444">
        <f t="shared" ca="1" si="105"/>
        <v>-174955.16623598579</v>
      </c>
      <c r="L1095" s="444">
        <f t="shared" ca="1" si="106"/>
        <v>-42164195.062872574</v>
      </c>
      <c r="M1095" s="460">
        <f t="shared" si="109"/>
        <v>0.05</v>
      </c>
      <c r="N1095" s="464">
        <f t="shared" si="110"/>
        <v>84373</v>
      </c>
    </row>
    <row r="1096" spans="7:14" ht="11.25" customHeight="1" x14ac:dyDescent="0.25">
      <c r="G1096" s="459">
        <f t="shared" si="115"/>
        <v>91</v>
      </c>
      <c r="H1096" s="459">
        <v>1089</v>
      </c>
      <c r="I1096" s="444">
        <f t="shared" ca="1" si="108"/>
        <v>-42164195.062872574</v>
      </c>
      <c r="J1096" s="444">
        <f t="array" ref="J1096">IFERROR(INDEX('Retirement Calculator'!J:J,MATCH('Isaac 401k'!N1096,'Retirement Calculator'!A:A,0),0),0)</f>
        <v>8395.6297298201844</v>
      </c>
      <c r="K1096" s="444">
        <f t="shared" ca="1" si="105"/>
        <v>-175719.12788584331</v>
      </c>
      <c r="L1096" s="444">
        <f t="shared" ca="1" si="106"/>
        <v>-42348309.820488237</v>
      </c>
      <c r="M1096" s="460">
        <f t="shared" si="109"/>
        <v>0.05</v>
      </c>
      <c r="N1096" s="464">
        <f t="shared" si="110"/>
        <v>84404</v>
      </c>
    </row>
    <row r="1097" spans="7:14" ht="11.25" customHeight="1" x14ac:dyDescent="0.25">
      <c r="G1097" s="459">
        <f t="shared" si="115"/>
        <v>91</v>
      </c>
      <c r="H1097" s="459">
        <v>1090</v>
      </c>
      <c r="I1097" s="444">
        <f t="shared" ca="1" si="108"/>
        <v>-42348309.820488237</v>
      </c>
      <c r="J1097" s="444">
        <f t="array" ref="J1097">IFERROR(INDEX('Retirement Calculator'!J:J,MATCH('Isaac 401k'!N1097,'Retirement Calculator'!A:A,0),0),0)</f>
        <v>8395.6297298201844</v>
      </c>
      <c r="K1097" s="444">
        <f t="shared" ca="1" si="105"/>
        <v>-176486.27270924192</v>
      </c>
      <c r="L1097" s="444">
        <f t="shared" ca="1" si="106"/>
        <v>-42533191.722927302</v>
      </c>
      <c r="M1097" s="460">
        <f t="shared" si="109"/>
        <v>0.05</v>
      </c>
      <c r="N1097" s="464">
        <f t="shared" si="110"/>
        <v>84432</v>
      </c>
    </row>
    <row r="1098" spans="7:14" ht="11.25" customHeight="1" x14ac:dyDescent="0.25">
      <c r="G1098" s="459">
        <f t="shared" si="115"/>
        <v>91</v>
      </c>
      <c r="H1098" s="459">
        <v>1091</v>
      </c>
      <c r="I1098" s="444">
        <f t="shared" ca="1" si="108"/>
        <v>-42533191.722927302</v>
      </c>
      <c r="J1098" s="444">
        <f t="array" ref="J1098">IFERROR(INDEX('Retirement Calculator'!J:J,MATCH('Isaac 401k'!N1098,'Retirement Calculator'!A:A,0),0),0)</f>
        <v>8395.6297298201844</v>
      </c>
      <c r="K1098" s="444">
        <f t="shared" ca="1" si="105"/>
        <v>-177256.61396940469</v>
      </c>
      <c r="L1098" s="444">
        <f t="shared" ca="1" si="106"/>
        <v>-42718843.966626532</v>
      </c>
      <c r="M1098" s="460">
        <f t="shared" si="109"/>
        <v>0.05</v>
      </c>
      <c r="N1098" s="464">
        <f t="shared" si="110"/>
        <v>84463</v>
      </c>
    </row>
    <row r="1099" spans="7:14" ht="11.25" customHeight="1" x14ac:dyDescent="0.25">
      <c r="G1099" s="459">
        <f t="shared" si="115"/>
        <v>91</v>
      </c>
      <c r="H1099" s="459">
        <v>1092</v>
      </c>
      <c r="I1099" s="444">
        <f t="shared" ca="1" si="108"/>
        <v>-42718843.966626532</v>
      </c>
      <c r="J1099" s="444">
        <f t="array" ref="J1099">IFERROR(INDEX('Retirement Calculator'!J:J,MATCH('Isaac 401k'!N1099,'Retirement Calculator'!A:A,0),0),0)</f>
        <v>8395.6297298201844</v>
      </c>
      <c r="K1099" s="444">
        <f t="shared" ca="1" si="105"/>
        <v>-178030.16498481814</v>
      </c>
      <c r="L1099" s="444">
        <f t="shared" ca="1" si="106"/>
        <v>-42905269.761341169</v>
      </c>
      <c r="M1099" s="460">
        <f t="shared" si="109"/>
        <v>0.05</v>
      </c>
      <c r="N1099" s="464">
        <f t="shared" si="110"/>
        <v>84493</v>
      </c>
    </row>
    <row r="1100" spans="7:14" ht="11.25" customHeight="1" x14ac:dyDescent="0.25">
      <c r="G1100" s="459">
        <f>G1099+1</f>
        <v>92</v>
      </c>
      <c r="H1100" s="459">
        <v>1093</v>
      </c>
      <c r="I1100" s="444">
        <f t="shared" ca="1" si="108"/>
        <v>-42905269.761341169</v>
      </c>
      <c r="J1100" s="444">
        <f t="array" ref="J1100">IFERROR(INDEX('Retirement Calculator'!J:J,MATCH('Isaac 401k'!N1100,'Retirement Calculator'!A:A,0),0),0)</f>
        <v>8395.6297298201844</v>
      </c>
      <c r="K1100" s="444">
        <f t="shared" ca="1" si="105"/>
        <v>-178806.93912946247</v>
      </c>
      <c r="L1100" s="444">
        <f t="shared" ca="1" si="106"/>
        <v>-43092472.330200456</v>
      </c>
      <c r="M1100" s="460">
        <f t="shared" si="109"/>
        <v>0.05</v>
      </c>
      <c r="N1100" s="464">
        <f t="shared" si="110"/>
        <v>84524</v>
      </c>
    </row>
    <row r="1101" spans="7:14" ht="11.25" customHeight="1" x14ac:dyDescent="0.25">
      <c r="G1101" s="459">
        <f t="shared" ref="G1101:G1111" si="116">G1100</f>
        <v>92</v>
      </c>
      <c r="H1101" s="459">
        <v>1094</v>
      </c>
      <c r="I1101" s="444">
        <f t="shared" ca="1" si="108"/>
        <v>-43092472.330200456</v>
      </c>
      <c r="J1101" s="444">
        <f t="array" ref="J1101">IFERROR(INDEX('Retirement Calculator'!J:J,MATCH('Isaac 401k'!N1101,'Retirement Calculator'!A:A,0),0),0)</f>
        <v>8395.6297298201844</v>
      </c>
      <c r="K1101" s="444">
        <f t="shared" ca="1" si="105"/>
        <v>-179586.94983304283</v>
      </c>
      <c r="L1101" s="444">
        <f t="shared" ca="1" si="106"/>
        <v>-43280454.909763321</v>
      </c>
      <c r="M1101" s="460">
        <f t="shared" si="109"/>
        <v>0.05</v>
      </c>
      <c r="N1101" s="464">
        <f t="shared" si="110"/>
        <v>84554</v>
      </c>
    </row>
    <row r="1102" spans="7:14" ht="11.25" customHeight="1" x14ac:dyDescent="0.25">
      <c r="G1102" s="459">
        <f t="shared" si="116"/>
        <v>92</v>
      </c>
      <c r="H1102" s="459">
        <v>1095</v>
      </c>
      <c r="I1102" s="444">
        <f t="shared" ca="1" si="108"/>
        <v>-43280454.909763321</v>
      </c>
      <c r="J1102" s="444">
        <f t="array" ref="J1102">IFERROR(INDEX('Retirement Calculator'!J:J,MATCH('Isaac 401k'!N1102,'Retirement Calculator'!A:A,0),0),0)</f>
        <v>8395.6297298201844</v>
      </c>
      <c r="K1102" s="444">
        <f t="shared" ca="1" si="105"/>
        <v>-180370.21058122144</v>
      </c>
      <c r="L1102" s="444">
        <f t="shared" ca="1" si="106"/>
        <v>-43469220.750074364</v>
      </c>
      <c r="M1102" s="460">
        <f t="shared" si="109"/>
        <v>0.05</v>
      </c>
      <c r="N1102" s="464">
        <f t="shared" si="110"/>
        <v>84585</v>
      </c>
    </row>
    <row r="1103" spans="7:14" ht="11.25" customHeight="1" x14ac:dyDescent="0.25">
      <c r="G1103" s="459">
        <f t="shared" si="116"/>
        <v>92</v>
      </c>
      <c r="H1103" s="459">
        <v>1096</v>
      </c>
      <c r="I1103" s="444">
        <f t="shared" ca="1" si="108"/>
        <v>-43469220.750074364</v>
      </c>
      <c r="J1103" s="444">
        <f t="array" ref="J1103">IFERROR(INDEX('Retirement Calculator'!J:J,MATCH('Isaac 401k'!N1103,'Retirement Calculator'!A:A,0),0),0)</f>
        <v>8395.6297298201844</v>
      </c>
      <c r="K1103" s="444">
        <f t="shared" ca="1" si="105"/>
        <v>-181156.73491585077</v>
      </c>
      <c r="L1103" s="444">
        <f t="shared" ca="1" si="106"/>
        <v>-43658773.114720039</v>
      </c>
      <c r="M1103" s="460">
        <f t="shared" si="109"/>
        <v>0.05</v>
      </c>
      <c r="N1103" s="464">
        <f t="shared" si="110"/>
        <v>84616</v>
      </c>
    </row>
    <row r="1104" spans="7:14" ht="11.25" customHeight="1" x14ac:dyDescent="0.25">
      <c r="G1104" s="459">
        <f t="shared" si="116"/>
        <v>92</v>
      </c>
      <c r="H1104" s="459">
        <v>1097</v>
      </c>
      <c r="I1104" s="444">
        <f t="shared" ca="1" si="108"/>
        <v>-43658773.114720039</v>
      </c>
      <c r="J1104" s="444">
        <f t="array" ref="J1104">IFERROR(INDEX('Retirement Calculator'!J:J,MATCH('Isaac 401k'!N1104,'Retirement Calculator'!A:A,0),0),0)</f>
        <v>8395.6297298201844</v>
      </c>
      <c r="K1104" s="444">
        <f t="shared" ca="1" si="105"/>
        <v>-181946.53643520776</v>
      </c>
      <c r="L1104" s="444">
        <f t="shared" ca="1" si="106"/>
        <v>-43849115.280885071</v>
      </c>
      <c r="M1104" s="460">
        <f t="shared" si="109"/>
        <v>0.05</v>
      </c>
      <c r="N1104" s="464">
        <f t="shared" si="110"/>
        <v>84646</v>
      </c>
    </row>
    <row r="1105" spans="7:14" ht="11.25" customHeight="1" x14ac:dyDescent="0.25">
      <c r="G1105" s="459">
        <f t="shared" si="116"/>
        <v>92</v>
      </c>
      <c r="H1105" s="459">
        <v>1098</v>
      </c>
      <c r="I1105" s="444">
        <f t="shared" ca="1" si="108"/>
        <v>-43849115.280885071</v>
      </c>
      <c r="J1105" s="444">
        <f t="array" ref="J1105">IFERROR(INDEX('Retirement Calculator'!J:J,MATCH('Isaac 401k'!N1105,'Retirement Calculator'!A:A,0),0),0)</f>
        <v>8395.6297298201844</v>
      </c>
      <c r="K1105" s="444">
        <f t="shared" ca="1" si="105"/>
        <v>-182739.62879422872</v>
      </c>
      <c r="L1105" s="444">
        <f t="shared" ca="1" si="106"/>
        <v>-44040250.539409123</v>
      </c>
      <c r="M1105" s="460">
        <f t="shared" si="109"/>
        <v>0.05</v>
      </c>
      <c r="N1105" s="464">
        <f t="shared" si="110"/>
        <v>84677</v>
      </c>
    </row>
    <row r="1106" spans="7:14" ht="11.25" customHeight="1" x14ac:dyDescent="0.25">
      <c r="G1106" s="459">
        <f t="shared" si="116"/>
        <v>92</v>
      </c>
      <c r="H1106" s="459">
        <v>1099</v>
      </c>
      <c r="I1106" s="444">
        <f t="shared" ca="1" si="108"/>
        <v>-44040250.539409123</v>
      </c>
      <c r="J1106" s="444">
        <f t="array" ref="J1106">IFERROR(INDEX('Retirement Calculator'!J:J,MATCH('Isaac 401k'!N1106,'Retirement Calculator'!A:A,0),0),0)</f>
        <v>8395.6297298201844</v>
      </c>
      <c r="K1106" s="444">
        <f t="shared" ca="1" si="105"/>
        <v>-183536.02570474561</v>
      </c>
      <c r="L1106" s="444">
        <f t="shared" ca="1" si="106"/>
        <v>-44232182.194843695</v>
      </c>
      <c r="M1106" s="460">
        <f t="shared" si="109"/>
        <v>0.05</v>
      </c>
      <c r="N1106" s="464">
        <f t="shared" si="110"/>
        <v>84707</v>
      </c>
    </row>
    <row r="1107" spans="7:14" ht="11.25" customHeight="1" x14ac:dyDescent="0.25">
      <c r="G1107" s="459">
        <f t="shared" si="116"/>
        <v>92</v>
      </c>
      <c r="H1107" s="459">
        <v>1100</v>
      </c>
      <c r="I1107" s="444">
        <f t="shared" ca="1" si="108"/>
        <v>-44232182.194843695</v>
      </c>
      <c r="J1107" s="444">
        <f t="array" ref="J1107">IFERROR(INDEX('Retirement Calculator'!J:J,MATCH('Isaac 401k'!N1107,'Retirement Calculator'!A:A,0),0),0)</f>
        <v>8395.6297298201844</v>
      </c>
      <c r="K1107" s="444">
        <f t="shared" ca="1" si="105"/>
        <v>-184335.74093572298</v>
      </c>
      <c r="L1107" s="444">
        <f t="shared" ca="1" si="106"/>
        <v>-44424913.565509237</v>
      </c>
      <c r="M1107" s="460">
        <f t="shared" si="109"/>
        <v>0.05</v>
      </c>
      <c r="N1107" s="464">
        <f t="shared" si="110"/>
        <v>84738</v>
      </c>
    </row>
    <row r="1108" spans="7:14" ht="11.25" customHeight="1" x14ac:dyDescent="0.25">
      <c r="G1108" s="459">
        <f t="shared" si="116"/>
        <v>92</v>
      </c>
      <c r="H1108" s="459">
        <v>1101</v>
      </c>
      <c r="I1108" s="444">
        <f t="shared" ca="1" si="108"/>
        <v>-44424913.565509237</v>
      </c>
      <c r="J1108" s="444">
        <f t="array" ref="J1108">IFERROR(INDEX('Retirement Calculator'!J:J,MATCH('Isaac 401k'!N1108,'Retirement Calculator'!A:A,0),0),0)</f>
        <v>8395.6297298201844</v>
      </c>
      <c r="K1108" s="444">
        <f t="shared" ca="1" si="105"/>
        <v>-185138.78831349607</v>
      </c>
      <c r="L1108" s="444">
        <f t="shared" ca="1" si="106"/>
        <v>-44618447.983552553</v>
      </c>
      <c r="M1108" s="460">
        <f t="shared" si="109"/>
        <v>0.05</v>
      </c>
      <c r="N1108" s="464">
        <f t="shared" si="110"/>
        <v>84769</v>
      </c>
    </row>
    <row r="1109" spans="7:14" ht="11.25" customHeight="1" x14ac:dyDescent="0.25">
      <c r="G1109" s="459">
        <f t="shared" si="116"/>
        <v>92</v>
      </c>
      <c r="H1109" s="459">
        <v>1102</v>
      </c>
      <c r="I1109" s="444">
        <f t="shared" ca="1" si="108"/>
        <v>-44618447.983552553</v>
      </c>
      <c r="J1109" s="444">
        <f t="array" ref="J1109">IFERROR(INDEX('Retirement Calculator'!J:J,MATCH('Isaac 401k'!N1109,'Retirement Calculator'!A:A,0),0),0)</f>
        <v>8395.6297298201844</v>
      </c>
      <c r="K1109" s="444">
        <f t="shared" ca="1" si="105"/>
        <v>-185945.1817220099</v>
      </c>
      <c r="L1109" s="444">
        <f t="shared" ca="1" si="106"/>
        <v>-44812788.795004383</v>
      </c>
      <c r="M1109" s="460">
        <f t="shared" si="109"/>
        <v>0.05</v>
      </c>
      <c r="N1109" s="464">
        <f t="shared" si="110"/>
        <v>84798</v>
      </c>
    </row>
    <row r="1110" spans="7:14" ht="11.25" customHeight="1" x14ac:dyDescent="0.25">
      <c r="G1110" s="459">
        <f t="shared" si="116"/>
        <v>92</v>
      </c>
      <c r="H1110" s="459">
        <v>1103</v>
      </c>
      <c r="I1110" s="444">
        <f t="shared" ca="1" si="108"/>
        <v>-44812788.795004383</v>
      </c>
      <c r="J1110" s="444">
        <f t="array" ref="J1110">IFERROR(INDEX('Retirement Calculator'!J:J,MATCH('Isaac 401k'!N1110,'Retirement Calculator'!A:A,0),0),0)</f>
        <v>8395.6297298201844</v>
      </c>
      <c r="K1110" s="444">
        <f t="shared" ca="1" si="105"/>
        <v>-186754.93510305919</v>
      </c>
      <c r="L1110" s="444">
        <f t="shared" ca="1" si="106"/>
        <v>-45007939.359837264</v>
      </c>
      <c r="M1110" s="460">
        <f t="shared" si="109"/>
        <v>0.05</v>
      </c>
      <c r="N1110" s="464">
        <f t="shared" si="110"/>
        <v>84829</v>
      </c>
    </row>
    <row r="1111" spans="7:14" ht="11.25" customHeight="1" x14ac:dyDescent="0.25">
      <c r="G1111" s="459">
        <f t="shared" si="116"/>
        <v>92</v>
      </c>
      <c r="H1111" s="459">
        <v>1104</v>
      </c>
      <c r="I1111" s="444">
        <f t="shared" ca="1" si="108"/>
        <v>-45007939.359837264</v>
      </c>
      <c r="J1111" s="444">
        <f t="array" ref="J1111">IFERROR(INDEX('Retirement Calculator'!J:J,MATCH('Isaac 401k'!N1111,'Retirement Calculator'!A:A,0),0),0)</f>
        <v>8395.6297298201844</v>
      </c>
      <c r="K1111" s="444">
        <f t="shared" ca="1" si="105"/>
        <v>-187568.06245652953</v>
      </c>
      <c r="L1111" s="444">
        <f t="shared" ca="1" si="106"/>
        <v>-45203903.052023612</v>
      </c>
      <c r="M1111" s="460">
        <f t="shared" si="109"/>
        <v>0.05</v>
      </c>
      <c r="N1111" s="464">
        <f t="shared" si="110"/>
        <v>84859</v>
      </c>
    </row>
    <row r="1112" spans="7:14" ht="11.25" customHeight="1" x14ac:dyDescent="0.25">
      <c r="G1112" s="459">
        <f>G1111+1</f>
        <v>93</v>
      </c>
      <c r="H1112" s="459">
        <v>1105</v>
      </c>
      <c r="I1112" s="444">
        <f t="shared" ca="1" si="108"/>
        <v>-45203903.052023612</v>
      </c>
      <c r="J1112" s="444">
        <f t="array" ref="J1112">IFERROR(INDEX('Retirement Calculator'!J:J,MATCH('Isaac 401k'!N1112,'Retirement Calculator'!A:A,0),0),0)</f>
        <v>8395.6297298201844</v>
      </c>
      <c r="K1112" s="444">
        <f t="shared" ca="1" si="105"/>
        <v>-188384.57784063931</v>
      </c>
      <c r="L1112" s="444">
        <f t="shared" ca="1" si="106"/>
        <v>-45400683.259594075</v>
      </c>
      <c r="M1112" s="460">
        <f t="shared" si="109"/>
        <v>0.05</v>
      </c>
      <c r="N1112" s="464">
        <f t="shared" si="110"/>
        <v>84890</v>
      </c>
    </row>
    <row r="1113" spans="7:14" ht="11.25" customHeight="1" x14ac:dyDescent="0.25">
      <c r="G1113" s="459">
        <f t="shared" ref="G1113:G1123" si="117">G1112</f>
        <v>93</v>
      </c>
      <c r="H1113" s="459">
        <v>1106</v>
      </c>
      <c r="I1113" s="444">
        <f t="shared" ca="1" si="108"/>
        <v>-45400683.259594075</v>
      </c>
      <c r="J1113" s="444">
        <f t="array" ref="J1113">IFERROR(INDEX('Retirement Calculator'!J:J,MATCH('Isaac 401k'!N1113,'Retirement Calculator'!A:A,0),0),0)</f>
        <v>8395.6297298201844</v>
      </c>
      <c r="K1113" s="444">
        <f t="shared" ca="1" si="105"/>
        <v>-189204.49537218289</v>
      </c>
      <c r="L1113" s="444">
        <f t="shared" ca="1" si="106"/>
        <v>-45598283.384696081</v>
      </c>
      <c r="M1113" s="460">
        <f t="shared" si="109"/>
        <v>0.05</v>
      </c>
      <c r="N1113" s="464">
        <f t="shared" si="110"/>
        <v>84920</v>
      </c>
    </row>
    <row r="1114" spans="7:14" ht="11.25" customHeight="1" x14ac:dyDescent="0.25">
      <c r="G1114" s="459">
        <f t="shared" si="117"/>
        <v>93</v>
      </c>
      <c r="H1114" s="459">
        <v>1107</v>
      </c>
      <c r="I1114" s="444">
        <f t="shared" ca="1" si="108"/>
        <v>-45598283.384696081</v>
      </c>
      <c r="J1114" s="444">
        <f t="array" ref="J1114">IFERROR(INDEX('Retirement Calculator'!J:J,MATCH('Isaac 401k'!N1114,'Retirement Calculator'!A:A,0),0),0)</f>
        <v>8395.6297298201844</v>
      </c>
      <c r="K1114" s="444">
        <f t="shared" ca="1" si="105"/>
        <v>-190027.8292267746</v>
      </c>
      <c r="L1114" s="444">
        <f t="shared" ca="1" si="106"/>
        <v>-45796706.843652681</v>
      </c>
      <c r="M1114" s="460">
        <f t="shared" si="109"/>
        <v>0.05</v>
      </c>
      <c r="N1114" s="464">
        <f t="shared" si="110"/>
        <v>84951</v>
      </c>
    </row>
    <row r="1115" spans="7:14" ht="11.25" customHeight="1" x14ac:dyDescent="0.25">
      <c r="G1115" s="459">
        <f t="shared" si="117"/>
        <v>93</v>
      </c>
      <c r="H1115" s="459">
        <v>1108</v>
      </c>
      <c r="I1115" s="444">
        <f t="shared" ca="1" si="108"/>
        <v>-45796706.843652681</v>
      </c>
      <c r="J1115" s="444">
        <f t="array" ref="J1115">IFERROR(INDEX('Retirement Calculator'!J:J,MATCH('Isaac 401k'!N1115,'Retirement Calculator'!A:A,0),0),0)</f>
        <v>8395.6297298201844</v>
      </c>
      <c r="K1115" s="444">
        <f t="shared" ca="1" si="105"/>
        <v>-190854.59363909377</v>
      </c>
      <c r="L1115" s="444">
        <f t="shared" ca="1" si="106"/>
        <v>-45995957.067021593</v>
      </c>
      <c r="M1115" s="460">
        <f t="shared" si="109"/>
        <v>0.05</v>
      </c>
      <c r="N1115" s="464">
        <f t="shared" si="110"/>
        <v>84982</v>
      </c>
    </row>
    <row r="1116" spans="7:14" ht="11.25" customHeight="1" x14ac:dyDescent="0.25">
      <c r="G1116" s="459">
        <f t="shared" si="117"/>
        <v>93</v>
      </c>
      <c r="H1116" s="459">
        <v>1109</v>
      </c>
      <c r="I1116" s="444">
        <f t="shared" ca="1" si="108"/>
        <v>-45995957.067021593</v>
      </c>
      <c r="J1116" s="444">
        <f t="array" ref="J1116">IFERROR(INDEX('Retirement Calculator'!J:J,MATCH('Isaac 401k'!N1116,'Retirement Calculator'!A:A,0),0),0)</f>
        <v>8395.6297298201844</v>
      </c>
      <c r="K1116" s="444">
        <f t="shared" ca="1" si="105"/>
        <v>-191684.80290313088</v>
      </c>
      <c r="L1116" s="444">
        <f t="shared" ca="1" si="106"/>
        <v>-46196037.499654546</v>
      </c>
      <c r="M1116" s="460">
        <f t="shared" si="109"/>
        <v>0.05</v>
      </c>
      <c r="N1116" s="464">
        <f t="shared" si="110"/>
        <v>85012</v>
      </c>
    </row>
    <row r="1117" spans="7:14" ht="11.25" customHeight="1" x14ac:dyDescent="0.25">
      <c r="G1117" s="459">
        <f t="shared" si="117"/>
        <v>93</v>
      </c>
      <c r="H1117" s="459">
        <v>1110</v>
      </c>
      <c r="I1117" s="444">
        <f t="shared" ca="1" si="108"/>
        <v>-46196037.499654546</v>
      </c>
      <c r="J1117" s="444">
        <f t="array" ref="J1117">IFERROR(INDEX('Retirement Calculator'!J:J,MATCH('Isaac 401k'!N1117,'Retirement Calculator'!A:A,0),0),0)</f>
        <v>8395.6297298201844</v>
      </c>
      <c r="K1117" s="444">
        <f t="shared" ca="1" si="105"/>
        <v>-192518.47137243487</v>
      </c>
      <c r="L1117" s="444">
        <f t="shared" ca="1" si="106"/>
        <v>-46396951.600756802</v>
      </c>
      <c r="M1117" s="460">
        <f t="shared" si="109"/>
        <v>0.05</v>
      </c>
      <c r="N1117" s="464">
        <f t="shared" si="110"/>
        <v>85043</v>
      </c>
    </row>
    <row r="1118" spans="7:14" ht="11.25" customHeight="1" x14ac:dyDescent="0.25">
      <c r="G1118" s="459">
        <f t="shared" si="117"/>
        <v>93</v>
      </c>
      <c r="H1118" s="459">
        <v>1111</v>
      </c>
      <c r="I1118" s="444">
        <f t="shared" ca="1" si="108"/>
        <v>-46396951.600756802</v>
      </c>
      <c r="J1118" s="444">
        <f t="array" ref="J1118">IFERROR(INDEX('Retirement Calculator'!J:J,MATCH('Isaac 401k'!N1118,'Retirement Calculator'!A:A,0),0),0)</f>
        <v>8395.6297298201844</v>
      </c>
      <c r="K1118" s="444">
        <f t="shared" ca="1" si="105"/>
        <v>-193355.61346036094</v>
      </c>
      <c r="L1118" s="444">
        <f t="shared" ca="1" si="106"/>
        <v>-46598702.843946986</v>
      </c>
      <c r="M1118" s="460">
        <f t="shared" si="109"/>
        <v>0.05</v>
      </c>
      <c r="N1118" s="464">
        <f t="shared" si="110"/>
        <v>85073</v>
      </c>
    </row>
    <row r="1119" spans="7:14" ht="11.25" customHeight="1" x14ac:dyDescent="0.25">
      <c r="G1119" s="459">
        <f t="shared" si="117"/>
        <v>93</v>
      </c>
      <c r="H1119" s="459">
        <v>1112</v>
      </c>
      <c r="I1119" s="444">
        <f t="shared" ca="1" si="108"/>
        <v>-46598702.843946986</v>
      </c>
      <c r="J1119" s="444">
        <f t="array" ref="J1119">IFERROR(INDEX('Retirement Calculator'!J:J,MATCH('Isaac 401k'!N1119,'Retirement Calculator'!A:A,0),0),0)</f>
        <v>8395.6297298201844</v>
      </c>
      <c r="K1119" s="444">
        <f t="shared" ca="1" si="105"/>
        <v>-194196.24364032003</v>
      </c>
      <c r="L1119" s="444">
        <f t="shared" ca="1" si="106"/>
        <v>-46801294.717317127</v>
      </c>
      <c r="M1119" s="460">
        <f t="shared" si="109"/>
        <v>0.05</v>
      </c>
      <c r="N1119" s="464">
        <f t="shared" si="110"/>
        <v>85104</v>
      </c>
    </row>
    <row r="1120" spans="7:14" ht="11.25" customHeight="1" x14ac:dyDescent="0.25">
      <c r="G1120" s="459">
        <f t="shared" si="117"/>
        <v>93</v>
      </c>
      <c r="H1120" s="459">
        <v>1113</v>
      </c>
      <c r="I1120" s="444">
        <f t="shared" ca="1" si="108"/>
        <v>-46801294.717317127</v>
      </c>
      <c r="J1120" s="444">
        <f t="array" ref="J1120">IFERROR(INDEX('Retirement Calculator'!J:J,MATCH('Isaac 401k'!N1120,'Retirement Calculator'!A:A,0),0),0)</f>
        <v>8395.6297298201844</v>
      </c>
      <c r="K1120" s="444">
        <f t="shared" ca="1" si="105"/>
        <v>-195040.37644602894</v>
      </c>
      <c r="L1120" s="444">
        <f t="shared" ca="1" si="106"/>
        <v>-47004730.72349298</v>
      </c>
      <c r="M1120" s="460">
        <f t="shared" si="109"/>
        <v>0.05</v>
      </c>
      <c r="N1120" s="464">
        <f t="shared" si="110"/>
        <v>85135</v>
      </c>
    </row>
    <row r="1121" spans="7:14" ht="11.25" customHeight="1" x14ac:dyDescent="0.25">
      <c r="G1121" s="459">
        <f t="shared" si="117"/>
        <v>93</v>
      </c>
      <c r="H1121" s="459">
        <v>1114</v>
      </c>
      <c r="I1121" s="444">
        <f t="shared" ca="1" si="108"/>
        <v>-47004730.72349298</v>
      </c>
      <c r="J1121" s="444">
        <f t="array" ref="J1121">IFERROR(INDEX('Retirement Calculator'!J:J,MATCH('Isaac 401k'!N1121,'Retirement Calculator'!A:A,0),0),0)</f>
        <v>8395.6297298201844</v>
      </c>
      <c r="K1121" s="444">
        <f t="shared" ca="1" si="105"/>
        <v>-195888.02647176167</v>
      </c>
      <c r="L1121" s="444">
        <f t="shared" ca="1" si="106"/>
        <v>-47209014.379694566</v>
      </c>
      <c r="M1121" s="460">
        <f t="shared" si="109"/>
        <v>0.05</v>
      </c>
      <c r="N1121" s="464">
        <f t="shared" si="110"/>
        <v>85163</v>
      </c>
    </row>
    <row r="1122" spans="7:14" ht="11.25" customHeight="1" x14ac:dyDescent="0.25">
      <c r="G1122" s="459">
        <f t="shared" si="117"/>
        <v>93</v>
      </c>
      <c r="H1122" s="459">
        <v>1115</v>
      </c>
      <c r="I1122" s="444">
        <f t="shared" ca="1" si="108"/>
        <v>-47209014.379694566</v>
      </c>
      <c r="J1122" s="444">
        <f t="array" ref="J1122">IFERROR(INDEX('Retirement Calculator'!J:J,MATCH('Isaac 401k'!N1122,'Retirement Calculator'!A:A,0),0),0)</f>
        <v>8395.6297298201844</v>
      </c>
      <c r="K1122" s="444">
        <f t="shared" ca="1" si="105"/>
        <v>-196739.20837260163</v>
      </c>
      <c r="L1122" s="444">
        <f t="shared" ca="1" si="106"/>
        <v>-47414149.217796989</v>
      </c>
      <c r="M1122" s="460">
        <f t="shared" si="109"/>
        <v>0.05</v>
      </c>
      <c r="N1122" s="464">
        <f t="shared" si="110"/>
        <v>85194</v>
      </c>
    </row>
    <row r="1123" spans="7:14" ht="11.25" customHeight="1" x14ac:dyDescent="0.25">
      <c r="G1123" s="459">
        <f t="shared" si="117"/>
        <v>93</v>
      </c>
      <c r="H1123" s="459">
        <v>1116</v>
      </c>
      <c r="I1123" s="444">
        <f t="shared" ca="1" si="108"/>
        <v>-47414149.217796989</v>
      </c>
      <c r="J1123" s="444">
        <f t="array" ref="J1123">IFERROR(INDEX('Retirement Calculator'!J:J,MATCH('Isaac 401k'!N1123,'Retirement Calculator'!A:A,0),0),0)</f>
        <v>8395.6297298201844</v>
      </c>
      <c r="K1123" s="444">
        <f t="shared" ca="1" si="105"/>
        <v>-197593.93686469505</v>
      </c>
      <c r="L1123" s="444">
        <f t="shared" ca="1" si="106"/>
        <v>-47620138.784391508</v>
      </c>
      <c r="M1123" s="460">
        <f t="shared" si="109"/>
        <v>0.05</v>
      </c>
      <c r="N1123" s="464">
        <f t="shared" si="110"/>
        <v>85224</v>
      </c>
    </row>
    <row r="1124" spans="7:14" ht="11.25" customHeight="1" x14ac:dyDescent="0.25">
      <c r="G1124" s="459">
        <f>G1123+1</f>
        <v>94</v>
      </c>
      <c r="H1124" s="459">
        <v>1117</v>
      </c>
      <c r="I1124" s="444">
        <f t="shared" ca="1" si="108"/>
        <v>-47620138.784391508</v>
      </c>
      <c r="J1124" s="444">
        <f t="array" ref="J1124">IFERROR(INDEX('Retirement Calculator'!J:J,MATCH('Isaac 401k'!N1124,'Retirement Calculator'!A:A,0),0),0)</f>
        <v>8395.6297298201844</v>
      </c>
      <c r="K1124" s="444">
        <f t="shared" ca="1" si="105"/>
        <v>-198452.22672550555</v>
      </c>
      <c r="L1124" s="444">
        <f t="shared" ca="1" si="106"/>
        <v>-47826986.640846834</v>
      </c>
      <c r="M1124" s="460">
        <f t="shared" si="109"/>
        <v>0.05</v>
      </c>
      <c r="N1124" s="464">
        <f t="shared" si="110"/>
        <v>85255</v>
      </c>
    </row>
    <row r="1125" spans="7:14" ht="11.25" customHeight="1" x14ac:dyDescent="0.25">
      <c r="G1125" s="459">
        <f t="shared" ref="G1125:G1135" si="118">G1124</f>
        <v>94</v>
      </c>
      <c r="H1125" s="459">
        <v>1118</v>
      </c>
      <c r="I1125" s="444">
        <f t="shared" ca="1" si="108"/>
        <v>-47826986.640846834</v>
      </c>
      <c r="J1125" s="444">
        <f t="array" ref="J1125">IFERROR(INDEX('Retirement Calculator'!J:J,MATCH('Isaac 401k'!N1125,'Retirement Calculator'!A:A,0),0),0)</f>
        <v>8395.6297298201844</v>
      </c>
      <c r="K1125" s="444">
        <f t="shared" ca="1" si="105"/>
        <v>-199314.09279406941</v>
      </c>
      <c r="L1125" s="444">
        <f t="shared" ca="1" si="106"/>
        <v>-48034696.363370724</v>
      </c>
      <c r="M1125" s="460">
        <f t="shared" si="109"/>
        <v>0.05</v>
      </c>
      <c r="N1125" s="464">
        <f t="shared" si="110"/>
        <v>85285</v>
      </c>
    </row>
    <row r="1126" spans="7:14" ht="11.25" customHeight="1" x14ac:dyDescent="0.25">
      <c r="G1126" s="459">
        <f t="shared" si="118"/>
        <v>94</v>
      </c>
      <c r="H1126" s="459">
        <v>1119</v>
      </c>
      <c r="I1126" s="444">
        <f t="shared" ca="1" si="108"/>
        <v>-48034696.363370724</v>
      </c>
      <c r="J1126" s="444">
        <f t="array" ref="J1126">IFERROR(INDEX('Retirement Calculator'!J:J,MATCH('Isaac 401k'!N1126,'Retirement Calculator'!A:A,0),0),0)</f>
        <v>8395.6297298201844</v>
      </c>
      <c r="K1126" s="444">
        <f t="shared" ca="1" si="105"/>
        <v>-200179.54997125227</v>
      </c>
      <c r="L1126" s="444">
        <f t="shared" ca="1" si="106"/>
        <v>-48243271.543071799</v>
      </c>
      <c r="M1126" s="460">
        <f t="shared" si="109"/>
        <v>0.05</v>
      </c>
      <c r="N1126" s="464">
        <f t="shared" si="110"/>
        <v>85316</v>
      </c>
    </row>
    <row r="1127" spans="7:14" ht="11.25" customHeight="1" x14ac:dyDescent="0.25">
      <c r="G1127" s="459">
        <f t="shared" si="118"/>
        <v>94</v>
      </c>
      <c r="H1127" s="459">
        <v>1120</v>
      </c>
      <c r="I1127" s="444">
        <f t="shared" ca="1" si="108"/>
        <v>-48243271.543071799</v>
      </c>
      <c r="J1127" s="444">
        <f t="array" ref="J1127">IFERROR(INDEX('Retirement Calculator'!J:J,MATCH('Isaac 401k'!N1127,'Retirement Calculator'!A:A,0),0),0)</f>
        <v>8395.6297298201844</v>
      </c>
      <c r="K1127" s="444">
        <f t="shared" ca="1" si="105"/>
        <v>-201048.61322000675</v>
      </c>
      <c r="L1127" s="444">
        <f t="shared" ca="1" si="106"/>
        <v>-48452715.786021627</v>
      </c>
      <c r="M1127" s="460">
        <f t="shared" si="109"/>
        <v>0.05</v>
      </c>
      <c r="N1127" s="464">
        <f t="shared" si="110"/>
        <v>85347</v>
      </c>
    </row>
    <row r="1128" spans="7:14" ht="11.25" customHeight="1" x14ac:dyDescent="0.25">
      <c r="G1128" s="459">
        <f t="shared" si="118"/>
        <v>94</v>
      </c>
      <c r="H1128" s="459">
        <v>1121</v>
      </c>
      <c r="I1128" s="444">
        <f t="shared" ca="1" si="108"/>
        <v>-48452715.786021627</v>
      </c>
      <c r="J1128" s="444">
        <f t="array" ref="J1128">IFERROR(INDEX('Retirement Calculator'!J:J,MATCH('Isaac 401k'!N1128,'Retirement Calculator'!A:A,0),0),0)</f>
        <v>8395.6297298201844</v>
      </c>
      <c r="K1128" s="444">
        <f t="shared" ca="1" si="105"/>
        <v>-201921.29756563104</v>
      </c>
      <c r="L1128" s="444">
        <f t="shared" ca="1" si="106"/>
        <v>-48663032.713317081</v>
      </c>
      <c r="M1128" s="460">
        <f t="shared" si="109"/>
        <v>0.05</v>
      </c>
      <c r="N1128" s="464">
        <f t="shared" si="110"/>
        <v>85377</v>
      </c>
    </row>
    <row r="1129" spans="7:14" ht="11.25" customHeight="1" x14ac:dyDescent="0.25">
      <c r="G1129" s="459">
        <f t="shared" si="118"/>
        <v>94</v>
      </c>
      <c r="H1129" s="459">
        <v>1122</v>
      </c>
      <c r="I1129" s="444">
        <f t="shared" ca="1" si="108"/>
        <v>-48663032.713317081</v>
      </c>
      <c r="J1129" s="444">
        <f t="array" ref="J1129">IFERROR(INDEX('Retirement Calculator'!J:J,MATCH('Isaac 401k'!N1129,'Retirement Calculator'!A:A,0),0),0)</f>
        <v>8395.6297298201844</v>
      </c>
      <c r="K1129" s="444">
        <f t="shared" ca="1" si="105"/>
        <v>-202797.61809602877</v>
      </c>
      <c r="L1129" s="444">
        <f t="shared" ca="1" si="106"/>
        <v>-48874225.961142935</v>
      </c>
      <c r="M1129" s="460">
        <f t="shared" si="109"/>
        <v>0.05</v>
      </c>
      <c r="N1129" s="464">
        <f t="shared" si="110"/>
        <v>85408</v>
      </c>
    </row>
    <row r="1130" spans="7:14" ht="11.25" customHeight="1" x14ac:dyDescent="0.25">
      <c r="G1130" s="459">
        <f t="shared" si="118"/>
        <v>94</v>
      </c>
      <c r="H1130" s="459">
        <v>1123</v>
      </c>
      <c r="I1130" s="444">
        <f t="shared" ca="1" si="108"/>
        <v>-48874225.961142935</v>
      </c>
      <c r="J1130" s="444">
        <f t="array" ref="J1130">IFERROR(INDEX('Retirement Calculator'!J:J,MATCH('Isaac 401k'!N1130,'Retirement Calculator'!A:A,0),0),0)</f>
        <v>8395.6297298201844</v>
      </c>
      <c r="K1130" s="444">
        <f t="shared" ca="1" si="105"/>
        <v>-203677.58996196982</v>
      </c>
      <c r="L1130" s="444">
        <f t="shared" ca="1" si="106"/>
        <v>-49086299.180834725</v>
      </c>
      <c r="M1130" s="460">
        <f t="shared" si="109"/>
        <v>0.05</v>
      </c>
      <c r="N1130" s="464">
        <f t="shared" si="110"/>
        <v>85438</v>
      </c>
    </row>
    <row r="1131" spans="7:14" ht="11.25" customHeight="1" x14ac:dyDescent="0.25">
      <c r="G1131" s="459">
        <f t="shared" si="118"/>
        <v>94</v>
      </c>
      <c r="H1131" s="459">
        <v>1124</v>
      </c>
      <c r="I1131" s="444">
        <f t="shared" ca="1" si="108"/>
        <v>-49086299.180834725</v>
      </c>
      <c r="J1131" s="444">
        <f t="array" ref="J1131">IFERROR(INDEX('Retirement Calculator'!J:J,MATCH('Isaac 401k'!N1131,'Retirement Calculator'!A:A,0),0),0)</f>
        <v>8395.6297298201844</v>
      </c>
      <c r="K1131" s="444">
        <f t="shared" ca="1" si="105"/>
        <v>-204561.22837735229</v>
      </c>
      <c r="L1131" s="444">
        <f t="shared" ca="1" si="106"/>
        <v>-49299256.038941897</v>
      </c>
      <c r="M1131" s="460">
        <f t="shared" si="109"/>
        <v>0.05</v>
      </c>
      <c r="N1131" s="464">
        <f t="shared" si="110"/>
        <v>85469</v>
      </c>
    </row>
    <row r="1132" spans="7:14" ht="11.25" customHeight="1" x14ac:dyDescent="0.25">
      <c r="G1132" s="459">
        <f t="shared" si="118"/>
        <v>94</v>
      </c>
      <c r="H1132" s="459">
        <v>1125</v>
      </c>
      <c r="I1132" s="444">
        <f t="shared" ca="1" si="108"/>
        <v>-49299256.038941897</v>
      </c>
      <c r="J1132" s="444">
        <f t="array" ref="J1132">IFERROR(INDEX('Retirement Calculator'!J:J,MATCH('Isaac 401k'!N1132,'Retirement Calculator'!A:A,0),0),0)</f>
        <v>8395.6297298201844</v>
      </c>
      <c r="K1132" s="444">
        <f t="shared" ca="1" si="105"/>
        <v>-205448.54861946549</v>
      </c>
      <c r="L1132" s="444">
        <f t="shared" ca="1" si="106"/>
        <v>-49513100.217291184</v>
      </c>
      <c r="M1132" s="460">
        <f t="shared" si="109"/>
        <v>0.05</v>
      </c>
      <c r="N1132" s="464">
        <f t="shared" si="110"/>
        <v>85500</v>
      </c>
    </row>
    <row r="1133" spans="7:14" ht="11.25" customHeight="1" x14ac:dyDescent="0.25">
      <c r="G1133" s="459">
        <f t="shared" si="118"/>
        <v>94</v>
      </c>
      <c r="H1133" s="459">
        <v>1126</v>
      </c>
      <c r="I1133" s="444">
        <f t="shared" ca="1" si="108"/>
        <v>-49513100.217291184</v>
      </c>
      <c r="J1133" s="444">
        <f t="array" ref="J1133">IFERROR(INDEX('Retirement Calculator'!J:J,MATCH('Isaac 401k'!N1133,'Retirement Calculator'!A:A,0),0),0)</f>
        <v>8395.6297298201844</v>
      </c>
      <c r="K1133" s="444">
        <f t="shared" ca="1" si="105"/>
        <v>-206339.5660292542</v>
      </c>
      <c r="L1133" s="444">
        <f t="shared" ca="1" si="106"/>
        <v>-49727835.413050257</v>
      </c>
      <c r="M1133" s="460">
        <f t="shared" si="109"/>
        <v>0.05</v>
      </c>
      <c r="N1133" s="464">
        <f t="shared" si="110"/>
        <v>85528</v>
      </c>
    </row>
    <row r="1134" spans="7:14" ht="11.25" customHeight="1" x14ac:dyDescent="0.25">
      <c r="G1134" s="459">
        <f t="shared" si="118"/>
        <v>94</v>
      </c>
      <c r="H1134" s="459">
        <v>1127</v>
      </c>
      <c r="I1134" s="444">
        <f t="shared" ca="1" si="108"/>
        <v>-49727835.413050257</v>
      </c>
      <c r="J1134" s="444">
        <f t="array" ref="J1134">IFERROR(INDEX('Retirement Calculator'!J:J,MATCH('Isaac 401k'!N1134,'Retirement Calculator'!A:A,0),0),0)</f>
        <v>8395.6297298201844</v>
      </c>
      <c r="K1134" s="444">
        <f t="shared" ca="1" si="105"/>
        <v>-207234.29601158365</v>
      </c>
      <c r="L1134" s="444">
        <f t="shared" ca="1" si="106"/>
        <v>-49943465.338791661</v>
      </c>
      <c r="M1134" s="460">
        <f t="shared" si="109"/>
        <v>0.05</v>
      </c>
      <c r="N1134" s="464">
        <f t="shared" si="110"/>
        <v>85559</v>
      </c>
    </row>
    <row r="1135" spans="7:14" ht="11.25" customHeight="1" x14ac:dyDescent="0.25">
      <c r="G1135" s="459">
        <f t="shared" si="118"/>
        <v>94</v>
      </c>
      <c r="H1135" s="459">
        <v>1128</v>
      </c>
      <c r="I1135" s="444">
        <f t="shared" ca="1" si="108"/>
        <v>-49943465.338791661</v>
      </c>
      <c r="J1135" s="444">
        <f t="array" ref="J1135">IFERROR(INDEX('Retirement Calculator'!J:J,MATCH('Isaac 401k'!N1135,'Retirement Calculator'!A:A,0),0),0)</f>
        <v>8395.6297298201844</v>
      </c>
      <c r="K1135" s="444">
        <f t="shared" ca="1" si="105"/>
        <v>-208132.75403550616</v>
      </c>
      <c r="L1135" s="444">
        <f t="shared" ca="1" si="106"/>
        <v>-50159993.722556986</v>
      </c>
      <c r="M1135" s="460">
        <f t="shared" si="109"/>
        <v>0.05</v>
      </c>
      <c r="N1135" s="464">
        <f t="shared" si="110"/>
        <v>85589</v>
      </c>
    </row>
    <row r="1136" spans="7:14" ht="11.25" customHeight="1" x14ac:dyDescent="0.25">
      <c r="G1136" s="459">
        <f>G1135+1</f>
        <v>95</v>
      </c>
      <c r="H1136" s="459">
        <v>1129</v>
      </c>
      <c r="I1136" s="444">
        <f t="shared" ca="1" si="108"/>
        <v>-50159993.722556986</v>
      </c>
      <c r="J1136" s="444">
        <f t="array" ref="J1136">IFERROR(INDEX('Retirement Calculator'!J:J,MATCH('Isaac 401k'!N1136,'Retirement Calculator'!A:A,0),0),0)</f>
        <v>8395.6297298201844</v>
      </c>
      <c r="K1136" s="444">
        <f t="shared" ca="1" si="105"/>
        <v>-209034.95563452836</v>
      </c>
      <c r="L1136" s="444">
        <f t="shared" ca="1" si="106"/>
        <v>-50377424.307921335</v>
      </c>
      <c r="M1136" s="460">
        <f t="shared" si="109"/>
        <v>0.05</v>
      </c>
      <c r="N1136" s="464">
        <f t="shared" si="110"/>
        <v>85620</v>
      </c>
    </row>
    <row r="1137" spans="7:14" ht="11.25" customHeight="1" x14ac:dyDescent="0.25">
      <c r="G1137" s="459">
        <f t="shared" ref="G1137:G1147" si="119">G1136</f>
        <v>95</v>
      </c>
      <c r="H1137" s="459">
        <v>1130</v>
      </c>
      <c r="I1137" s="444">
        <f t="shared" ca="1" si="108"/>
        <v>-50377424.307921335</v>
      </c>
      <c r="J1137" s="444">
        <f t="array" ref="J1137">IFERROR(INDEX('Retirement Calculator'!J:J,MATCH('Isaac 401k'!N1137,'Retirement Calculator'!A:A,0),0),0)</f>
        <v>8395.6297298201844</v>
      </c>
      <c r="K1137" s="444">
        <f t="shared" ca="1" si="105"/>
        <v>-209940.91640687981</v>
      </c>
      <c r="L1137" s="444">
        <f t="shared" ca="1" si="106"/>
        <v>-50595760.854058035</v>
      </c>
      <c r="M1137" s="460">
        <f t="shared" si="109"/>
        <v>0.05</v>
      </c>
      <c r="N1137" s="464">
        <f t="shared" si="110"/>
        <v>85650</v>
      </c>
    </row>
    <row r="1138" spans="7:14" ht="11.25" customHeight="1" x14ac:dyDescent="0.25">
      <c r="G1138" s="459">
        <f t="shared" si="119"/>
        <v>95</v>
      </c>
      <c r="H1138" s="459">
        <v>1131</v>
      </c>
      <c r="I1138" s="444">
        <f t="shared" ca="1" si="108"/>
        <v>-50595760.854058035</v>
      </c>
      <c r="J1138" s="444">
        <f t="array" ref="J1138">IFERROR(INDEX('Retirement Calculator'!J:J,MATCH('Isaac 401k'!N1138,'Retirement Calculator'!A:A,0),0),0)</f>
        <v>8395.6297298201844</v>
      </c>
      <c r="K1138" s="444">
        <f t="shared" ca="1" si="105"/>
        <v>-210850.65201578275</v>
      </c>
      <c r="L1138" s="444">
        <f t="shared" ca="1" si="106"/>
        <v>-50815007.13580364</v>
      </c>
      <c r="M1138" s="460">
        <f t="shared" si="109"/>
        <v>0.05</v>
      </c>
      <c r="N1138" s="464">
        <f t="shared" si="110"/>
        <v>85681</v>
      </c>
    </row>
    <row r="1139" spans="7:14" ht="11.25" customHeight="1" x14ac:dyDescent="0.25">
      <c r="G1139" s="459">
        <f t="shared" si="119"/>
        <v>95</v>
      </c>
      <c r="H1139" s="459">
        <v>1132</v>
      </c>
      <c r="I1139" s="444">
        <f t="shared" ca="1" si="108"/>
        <v>-50815007.13580364</v>
      </c>
      <c r="J1139" s="444">
        <f t="array" ref="J1139">IFERROR(INDEX('Retirement Calculator'!J:J,MATCH('Isaac 401k'!N1139,'Retirement Calculator'!A:A,0),0),0)</f>
        <v>8395.6297298201844</v>
      </c>
      <c r="K1139" s="444">
        <f t="shared" ca="1" si="105"/>
        <v>-211764.17818972276</v>
      </c>
      <c r="L1139" s="444">
        <f t="shared" ca="1" si="106"/>
        <v>-51035166.943723187</v>
      </c>
      <c r="M1139" s="460">
        <f t="shared" si="109"/>
        <v>0.05</v>
      </c>
      <c r="N1139" s="464">
        <f t="shared" si="110"/>
        <v>85712</v>
      </c>
    </row>
    <row r="1140" spans="7:14" ht="11.25" customHeight="1" x14ac:dyDescent="0.25">
      <c r="G1140" s="459">
        <f t="shared" si="119"/>
        <v>95</v>
      </c>
      <c r="H1140" s="459">
        <v>1133</v>
      </c>
      <c r="I1140" s="444">
        <f t="shared" ca="1" si="108"/>
        <v>-51035166.943723187</v>
      </c>
      <c r="J1140" s="444">
        <f t="array" ref="J1140">IFERROR(INDEX('Retirement Calculator'!J:J,MATCH('Isaac 401k'!N1140,'Retirement Calculator'!A:A,0),0),0)</f>
        <v>8395.6297298201844</v>
      </c>
      <c r="K1140" s="444">
        <f t="shared" ca="1" si="105"/>
        <v>-212681.51072272088</v>
      </c>
      <c r="L1140" s="444">
        <f t="shared" ca="1" si="106"/>
        <v>-51256244.084175728</v>
      </c>
      <c r="M1140" s="460">
        <f t="shared" si="109"/>
        <v>0.05</v>
      </c>
      <c r="N1140" s="464">
        <f t="shared" si="110"/>
        <v>85742</v>
      </c>
    </row>
    <row r="1141" spans="7:14" ht="11.25" customHeight="1" x14ac:dyDescent="0.25">
      <c r="G1141" s="459">
        <f t="shared" si="119"/>
        <v>95</v>
      </c>
      <c r="H1141" s="459">
        <v>1134</v>
      </c>
      <c r="I1141" s="444">
        <f t="shared" ca="1" si="108"/>
        <v>-51256244.084175728</v>
      </c>
      <c r="J1141" s="444">
        <f t="array" ref="J1141">IFERROR(INDEX('Retirement Calculator'!J:J,MATCH('Isaac 401k'!N1141,'Retirement Calculator'!A:A,0),0),0)</f>
        <v>8395.6297298201844</v>
      </c>
      <c r="K1141" s="444">
        <f t="shared" ca="1" si="105"/>
        <v>-213602.66547460645</v>
      </c>
      <c r="L1141" s="444">
        <f t="shared" ca="1" si="106"/>
        <v>-51478242.379380159</v>
      </c>
      <c r="M1141" s="460">
        <f t="shared" si="109"/>
        <v>0.05</v>
      </c>
      <c r="N1141" s="464">
        <f t="shared" si="110"/>
        <v>85773</v>
      </c>
    </row>
    <row r="1142" spans="7:14" ht="11.25" customHeight="1" x14ac:dyDescent="0.25">
      <c r="G1142" s="459">
        <f t="shared" si="119"/>
        <v>95</v>
      </c>
      <c r="H1142" s="459">
        <v>1135</v>
      </c>
      <c r="I1142" s="444">
        <f t="shared" ca="1" si="108"/>
        <v>-51478242.379380159</v>
      </c>
      <c r="J1142" s="444">
        <f t="array" ref="J1142">IFERROR(INDEX('Retirement Calculator'!J:J,MATCH('Isaac 401k'!N1142,'Retirement Calculator'!A:A,0),0),0)</f>
        <v>8395.6297298201844</v>
      </c>
      <c r="K1142" s="444">
        <f t="shared" ca="1" si="105"/>
        <v>-214527.65837129159</v>
      </c>
      <c r="L1142" s="444">
        <f t="shared" ca="1" si="106"/>
        <v>-51701165.667481273</v>
      </c>
      <c r="M1142" s="460">
        <f t="shared" si="109"/>
        <v>0.05</v>
      </c>
      <c r="N1142" s="464">
        <f t="shared" si="110"/>
        <v>85803</v>
      </c>
    </row>
    <row r="1143" spans="7:14" ht="11.25" customHeight="1" x14ac:dyDescent="0.25">
      <c r="G1143" s="459">
        <f t="shared" si="119"/>
        <v>95</v>
      </c>
      <c r="H1143" s="459">
        <v>1136</v>
      </c>
      <c r="I1143" s="444">
        <f t="shared" ca="1" si="108"/>
        <v>-51701165.667481273</v>
      </c>
      <c r="J1143" s="444">
        <f t="array" ref="J1143">IFERROR(INDEX('Retirement Calculator'!J:J,MATCH('Isaac 401k'!N1143,'Retirement Calculator'!A:A,0),0),0)</f>
        <v>8395.6297298201844</v>
      </c>
      <c r="K1143" s="444">
        <f t="shared" ca="1" si="105"/>
        <v>-215456.50540504622</v>
      </c>
      <c r="L1143" s="444">
        <f t="shared" ca="1" si="106"/>
        <v>-51925017.802616142</v>
      </c>
      <c r="M1143" s="460">
        <f t="shared" si="109"/>
        <v>0.05</v>
      </c>
      <c r="N1143" s="464">
        <f t="shared" si="110"/>
        <v>85834</v>
      </c>
    </row>
    <row r="1144" spans="7:14" ht="11.25" customHeight="1" x14ac:dyDescent="0.25">
      <c r="G1144" s="459">
        <f t="shared" si="119"/>
        <v>95</v>
      </c>
      <c r="H1144" s="459">
        <v>1137</v>
      </c>
      <c r="I1144" s="444">
        <f t="shared" ca="1" si="108"/>
        <v>-51925017.802616142</v>
      </c>
      <c r="J1144" s="444">
        <f t="array" ref="J1144">IFERROR(INDEX('Retirement Calculator'!J:J,MATCH('Isaac 401k'!N1144,'Retirement Calculator'!A:A,0),0),0)</f>
        <v>8395.6297298201844</v>
      </c>
      <c r="K1144" s="444">
        <f t="shared" ca="1" si="105"/>
        <v>-216389.22263477484</v>
      </c>
      <c r="L1144" s="444">
        <f t="shared" ca="1" si="106"/>
        <v>-52149802.654980741</v>
      </c>
      <c r="M1144" s="460">
        <f t="shared" si="109"/>
        <v>0.05</v>
      </c>
      <c r="N1144" s="464">
        <f t="shared" si="110"/>
        <v>85865</v>
      </c>
    </row>
    <row r="1145" spans="7:14" ht="11.25" customHeight="1" x14ac:dyDescent="0.25">
      <c r="G1145" s="459">
        <f t="shared" si="119"/>
        <v>95</v>
      </c>
      <c r="H1145" s="459">
        <v>1138</v>
      </c>
      <c r="I1145" s="444">
        <f t="shared" ca="1" si="108"/>
        <v>-52149802.654980741</v>
      </c>
      <c r="J1145" s="444">
        <f t="array" ref="J1145">IFERROR(INDEX('Retirement Calculator'!J:J,MATCH('Isaac 401k'!N1145,'Retirement Calculator'!A:A,0),0),0)</f>
        <v>8395.6297298201844</v>
      </c>
      <c r="K1145" s="444">
        <f t="shared" ca="1" si="105"/>
        <v>-217325.826186294</v>
      </c>
      <c r="L1145" s="444">
        <f t="shared" ca="1" si="106"/>
        <v>-52375524.110896856</v>
      </c>
      <c r="M1145" s="460">
        <f t="shared" si="109"/>
        <v>0.05</v>
      </c>
      <c r="N1145" s="464">
        <f t="shared" si="110"/>
        <v>85893</v>
      </c>
    </row>
    <row r="1146" spans="7:14" ht="11.25" customHeight="1" x14ac:dyDescent="0.25">
      <c r="G1146" s="459">
        <f t="shared" si="119"/>
        <v>95</v>
      </c>
      <c r="H1146" s="459">
        <v>1139</v>
      </c>
      <c r="I1146" s="444">
        <f t="shared" ca="1" si="108"/>
        <v>-52375524.110896856</v>
      </c>
      <c r="J1146" s="444">
        <f t="array" ref="J1146">IFERROR(INDEX('Retirement Calculator'!J:J,MATCH('Isaac 401k'!N1146,'Retirement Calculator'!A:A,0),0),0)</f>
        <v>8395.6297298201844</v>
      </c>
      <c r="K1146" s="444">
        <f t="shared" ca="1" si="105"/>
        <v>-218266.33225261112</v>
      </c>
      <c r="L1146" s="444">
        <f t="shared" ca="1" si="106"/>
        <v>-52602186.072879292</v>
      </c>
      <c r="M1146" s="460">
        <f t="shared" si="109"/>
        <v>0.05</v>
      </c>
      <c r="N1146" s="464">
        <f t="shared" si="110"/>
        <v>85924</v>
      </c>
    </row>
    <row r="1147" spans="7:14" ht="11.25" customHeight="1" x14ac:dyDescent="0.25">
      <c r="G1147" s="459">
        <f t="shared" si="119"/>
        <v>95</v>
      </c>
      <c r="H1147" s="459">
        <v>1140</v>
      </c>
      <c r="I1147" s="444">
        <f t="shared" ca="1" si="108"/>
        <v>-52602186.072879292</v>
      </c>
      <c r="J1147" s="444">
        <f t="array" ref="J1147">IFERROR(INDEX('Retirement Calculator'!J:J,MATCH('Isaac 401k'!N1147,'Retirement Calculator'!A:A,0),0),0)</f>
        <v>8395.6297298201844</v>
      </c>
      <c r="K1147" s="444">
        <f t="shared" ca="1" si="105"/>
        <v>-219210.7570942046</v>
      </c>
      <c r="L1147" s="444">
        <f t="shared" ca="1" si="106"/>
        <v>-52829792.459703319</v>
      </c>
      <c r="M1147" s="460">
        <f t="shared" si="109"/>
        <v>0.05</v>
      </c>
      <c r="N1147" s="464">
        <f t="shared" si="110"/>
        <v>85954</v>
      </c>
    </row>
    <row r="1148" spans="7:14" ht="11.25" customHeight="1" x14ac:dyDescent="0.25">
      <c r="G1148" s="459">
        <f>G1147+1</f>
        <v>96</v>
      </c>
      <c r="H1148" s="459">
        <v>1141</v>
      </c>
      <c r="I1148" s="444">
        <f t="shared" ca="1" si="108"/>
        <v>-52829792.459703319</v>
      </c>
      <c r="J1148" s="444">
        <f t="array" ref="J1148">IFERROR(INDEX('Retirement Calculator'!J:J,MATCH('Isaac 401k'!N1148,'Retirement Calculator'!A:A,0),0),0)</f>
        <v>8395.6297298201844</v>
      </c>
      <c r="K1148" s="444">
        <f t="shared" ca="1" si="105"/>
        <v>-220159.11703930475</v>
      </c>
      <c r="L1148" s="444">
        <f t="shared" ca="1" si="106"/>
        <v>-53058347.206472449</v>
      </c>
      <c r="M1148" s="460">
        <f t="shared" si="109"/>
        <v>0.05</v>
      </c>
      <c r="N1148" s="464">
        <f t="shared" si="110"/>
        <v>85985</v>
      </c>
    </row>
    <row r="1149" spans="7:14" ht="11.25" customHeight="1" x14ac:dyDescent="0.25">
      <c r="G1149" s="459">
        <f t="shared" ref="G1149:G1159" si="120">G1148</f>
        <v>96</v>
      </c>
      <c r="H1149" s="459">
        <v>1142</v>
      </c>
      <c r="I1149" s="444">
        <f t="shared" ca="1" si="108"/>
        <v>-53058347.206472449</v>
      </c>
      <c r="J1149" s="444">
        <f t="array" ref="J1149">IFERROR(INDEX('Retirement Calculator'!J:J,MATCH('Isaac 401k'!N1149,'Retirement Calculator'!A:A,0),0),0)</f>
        <v>8395.6297298201844</v>
      </c>
      <c r="K1149" s="444">
        <f t="shared" ca="1" si="105"/>
        <v>-221111.42848417614</v>
      </c>
      <c r="L1149" s="444">
        <f t="shared" ca="1" si="106"/>
        <v>-53287854.26468645</v>
      </c>
      <c r="M1149" s="460">
        <f t="shared" si="109"/>
        <v>0.05</v>
      </c>
      <c r="N1149" s="464">
        <f t="shared" si="110"/>
        <v>86015</v>
      </c>
    </row>
    <row r="1150" spans="7:14" ht="11.25" customHeight="1" x14ac:dyDescent="0.25">
      <c r="G1150" s="459">
        <f t="shared" si="120"/>
        <v>96</v>
      </c>
      <c r="H1150" s="459">
        <v>1143</v>
      </c>
      <c r="I1150" s="444">
        <f t="shared" ca="1" si="108"/>
        <v>-53287854.26468645</v>
      </c>
      <c r="J1150" s="444">
        <f t="array" ref="J1150">IFERROR(INDEX('Retirement Calculator'!J:J,MATCH('Isaac 401k'!N1150,'Retirement Calculator'!A:A,0),0),0)</f>
        <v>8395.6297298201844</v>
      </c>
      <c r="K1150" s="444">
        <f t="shared" ca="1" si="105"/>
        <v>-222067.70789340112</v>
      </c>
      <c r="L1150" s="444">
        <f t="shared" ca="1" si="106"/>
        <v>-53518317.602309674</v>
      </c>
      <c r="M1150" s="460">
        <f t="shared" si="109"/>
        <v>0.05</v>
      </c>
      <c r="N1150" s="464">
        <f t="shared" si="110"/>
        <v>86046</v>
      </c>
    </row>
    <row r="1151" spans="7:14" ht="11.25" customHeight="1" x14ac:dyDescent="0.25">
      <c r="G1151" s="459">
        <f t="shared" si="120"/>
        <v>96</v>
      </c>
      <c r="H1151" s="459">
        <v>1144</v>
      </c>
      <c r="I1151" s="444">
        <f t="shared" ca="1" si="108"/>
        <v>-53518317.602309674</v>
      </c>
      <c r="J1151" s="444">
        <f t="array" ref="J1151">IFERROR(INDEX('Retirement Calculator'!J:J,MATCH('Isaac 401k'!N1151,'Retirement Calculator'!A:A,0),0),0)</f>
        <v>8395.6297298201844</v>
      </c>
      <c r="K1151" s="444">
        <f t="shared" ca="1" si="105"/>
        <v>-223027.97180016452</v>
      </c>
      <c r="L1151" s="444">
        <f t="shared" ca="1" si="106"/>
        <v>-53749741.20383966</v>
      </c>
      <c r="M1151" s="460">
        <f t="shared" si="109"/>
        <v>0.05</v>
      </c>
      <c r="N1151" s="464">
        <f t="shared" si="110"/>
        <v>86077</v>
      </c>
    </row>
    <row r="1152" spans="7:14" ht="11.25" customHeight="1" x14ac:dyDescent="0.25">
      <c r="G1152" s="459">
        <f t="shared" si="120"/>
        <v>96</v>
      </c>
      <c r="H1152" s="459">
        <v>1145</v>
      </c>
      <c r="I1152" s="444">
        <f t="shared" ca="1" si="108"/>
        <v>-53749741.20383966</v>
      </c>
      <c r="J1152" s="444">
        <f t="array" ref="J1152">IFERROR(INDEX('Retirement Calculator'!J:J,MATCH('Isaac 401k'!N1152,'Retirement Calculator'!A:A,0),0),0)</f>
        <v>8395.6297298201844</v>
      </c>
      <c r="K1152" s="444">
        <f t="shared" ca="1" si="105"/>
        <v>-223992.2368065395</v>
      </c>
      <c r="L1152" s="444">
        <f t="shared" ca="1" si="106"/>
        <v>-53982129.070376024</v>
      </c>
      <c r="M1152" s="460">
        <f t="shared" si="109"/>
        <v>0.05</v>
      </c>
      <c r="N1152" s="464">
        <f t="shared" si="110"/>
        <v>86107</v>
      </c>
    </row>
    <row r="1153" spans="7:14" ht="11.25" customHeight="1" x14ac:dyDescent="0.25">
      <c r="G1153" s="459">
        <f t="shared" si="120"/>
        <v>96</v>
      </c>
      <c r="H1153" s="459">
        <v>1146</v>
      </c>
      <c r="I1153" s="444">
        <f t="shared" ca="1" si="108"/>
        <v>-53982129.070376024</v>
      </c>
      <c r="J1153" s="444">
        <f t="array" ref="J1153">IFERROR(INDEX('Retirement Calculator'!J:J,MATCH('Isaac 401k'!N1153,'Retirement Calculator'!A:A,0),0),0)</f>
        <v>8395.6297298201844</v>
      </c>
      <c r="K1153" s="444">
        <f t="shared" ca="1" si="105"/>
        <v>-224960.51958377435</v>
      </c>
      <c r="L1153" s="444">
        <f t="shared" ca="1" si="106"/>
        <v>-54215485.219689623</v>
      </c>
      <c r="M1153" s="460">
        <f t="shared" si="109"/>
        <v>0.05</v>
      </c>
      <c r="N1153" s="464">
        <f t="shared" si="110"/>
        <v>86138</v>
      </c>
    </row>
    <row r="1154" spans="7:14" ht="11.25" customHeight="1" x14ac:dyDescent="0.25">
      <c r="G1154" s="459">
        <f t="shared" si="120"/>
        <v>96</v>
      </c>
      <c r="H1154" s="459">
        <v>1147</v>
      </c>
      <c r="I1154" s="444">
        <f t="shared" ca="1" si="108"/>
        <v>-54215485.219689623</v>
      </c>
      <c r="J1154" s="444">
        <f t="array" ref="J1154">IFERROR(INDEX('Retirement Calculator'!J:J,MATCH('Isaac 401k'!N1154,'Retirement Calculator'!A:A,0),0),0)</f>
        <v>8395.6297298201844</v>
      </c>
      <c r="K1154" s="444">
        <f t="shared" ca="1" si="105"/>
        <v>-225932.83687258104</v>
      </c>
      <c r="L1154" s="444">
        <f t="shared" ca="1" si="106"/>
        <v>-54449813.686292022</v>
      </c>
      <c r="M1154" s="460">
        <f t="shared" si="109"/>
        <v>0.05</v>
      </c>
      <c r="N1154" s="464">
        <f t="shared" si="110"/>
        <v>86168</v>
      </c>
    </row>
    <row r="1155" spans="7:14" ht="11.25" customHeight="1" x14ac:dyDescent="0.25">
      <c r="G1155" s="459">
        <f t="shared" si="120"/>
        <v>96</v>
      </c>
      <c r="H1155" s="459">
        <v>1148</v>
      </c>
      <c r="I1155" s="444">
        <f t="shared" ca="1" si="108"/>
        <v>-54449813.686292022</v>
      </c>
      <c r="J1155" s="444">
        <f t="array" ref="J1155">IFERROR(INDEX('Retirement Calculator'!J:J,MATCH('Isaac 401k'!N1155,'Retirement Calculator'!A:A,0),0),0)</f>
        <v>8395.6297298201844</v>
      </c>
      <c r="K1155" s="444">
        <f t="shared" ca="1" si="105"/>
        <v>-226909.20548342433</v>
      </c>
      <c r="L1155" s="444">
        <f t="shared" ca="1" si="106"/>
        <v>-54685118.521505266</v>
      </c>
      <c r="M1155" s="460">
        <f t="shared" si="109"/>
        <v>0.05</v>
      </c>
      <c r="N1155" s="464">
        <f t="shared" si="110"/>
        <v>86199</v>
      </c>
    </row>
    <row r="1156" spans="7:14" ht="11.25" customHeight="1" x14ac:dyDescent="0.25">
      <c r="G1156" s="459">
        <f t="shared" si="120"/>
        <v>96</v>
      </c>
      <c r="H1156" s="459">
        <v>1149</v>
      </c>
      <c r="I1156" s="444">
        <f t="shared" ca="1" si="108"/>
        <v>-54685118.521505266</v>
      </c>
      <c r="J1156" s="444">
        <f t="array" ref="J1156">IFERROR(INDEX('Retirement Calculator'!J:J,MATCH('Isaac 401k'!N1156,'Retirement Calculator'!A:A,0),0),0)</f>
        <v>8395.6297298201844</v>
      </c>
      <c r="K1156" s="444">
        <f t="shared" ca="1" si="105"/>
        <v>-227889.64229681288</v>
      </c>
      <c r="L1156" s="444">
        <f t="shared" ca="1" si="106"/>
        <v>-54921403.793531902</v>
      </c>
      <c r="M1156" s="460">
        <f t="shared" si="109"/>
        <v>0.05</v>
      </c>
      <c r="N1156" s="464">
        <f t="shared" si="110"/>
        <v>86230</v>
      </c>
    </row>
    <row r="1157" spans="7:14" ht="11.25" customHeight="1" x14ac:dyDescent="0.25">
      <c r="G1157" s="459">
        <f t="shared" si="120"/>
        <v>96</v>
      </c>
      <c r="H1157" s="459">
        <v>1150</v>
      </c>
      <c r="I1157" s="444">
        <f t="shared" ca="1" si="108"/>
        <v>-54921403.793531902</v>
      </c>
      <c r="J1157" s="444">
        <f t="array" ref="J1157">IFERROR(INDEX('Retirement Calculator'!J:J,MATCH('Isaac 401k'!N1157,'Retirement Calculator'!A:A,0),0),0)</f>
        <v>8395.6297298201844</v>
      </c>
      <c r="K1157" s="444">
        <f t="shared" ca="1" si="105"/>
        <v>-228874.16426359047</v>
      </c>
      <c r="L1157" s="444">
        <f t="shared" ca="1" si="106"/>
        <v>-55158673.587525316</v>
      </c>
      <c r="M1157" s="460">
        <f t="shared" si="109"/>
        <v>0.05</v>
      </c>
      <c r="N1157" s="464">
        <f t="shared" si="110"/>
        <v>86259</v>
      </c>
    </row>
    <row r="1158" spans="7:14" ht="11.25" customHeight="1" x14ac:dyDescent="0.25">
      <c r="G1158" s="459">
        <f t="shared" si="120"/>
        <v>96</v>
      </c>
      <c r="H1158" s="459">
        <v>1151</v>
      </c>
      <c r="I1158" s="444">
        <f t="shared" ca="1" si="108"/>
        <v>-55158673.587525316</v>
      </c>
      <c r="J1158" s="444">
        <f t="array" ref="J1158">IFERROR(INDEX('Retirement Calculator'!J:J,MATCH('Isaac 401k'!N1158,'Retirement Calculator'!A:A,0),0),0)</f>
        <v>8395.6297298201844</v>
      </c>
      <c r="K1158" s="444">
        <f t="shared" ca="1" si="105"/>
        <v>-229862.78840522974</v>
      </c>
      <c r="L1158" s="444">
        <f t="shared" ca="1" si="106"/>
        <v>-55396932.00566037</v>
      </c>
      <c r="M1158" s="460">
        <f t="shared" si="109"/>
        <v>0.05</v>
      </c>
      <c r="N1158" s="464">
        <f t="shared" si="110"/>
        <v>86290</v>
      </c>
    </row>
    <row r="1159" spans="7:14" ht="11.25" customHeight="1" x14ac:dyDescent="0.25">
      <c r="G1159" s="459">
        <f t="shared" si="120"/>
        <v>96</v>
      </c>
      <c r="H1159" s="459">
        <v>1152</v>
      </c>
      <c r="I1159" s="444">
        <f t="shared" ca="1" si="108"/>
        <v>-55396932.00566037</v>
      </c>
      <c r="J1159" s="444">
        <f t="array" ref="J1159">IFERROR(INDEX('Retirement Calculator'!J:J,MATCH('Isaac 401k'!N1159,'Retirement Calculator'!A:A,0),0),0)</f>
        <v>8395.6297298201844</v>
      </c>
      <c r="K1159" s="444">
        <f t="shared" ca="1" si="105"/>
        <v>-230855.53181412583</v>
      </c>
      <c r="L1159" s="444">
        <f t="shared" ca="1" si="106"/>
        <v>-55636183.16720432</v>
      </c>
      <c r="M1159" s="460">
        <f t="shared" si="109"/>
        <v>0.05</v>
      </c>
      <c r="N1159" s="464">
        <f t="shared" si="110"/>
        <v>86320</v>
      </c>
    </row>
    <row r="1160" spans="7:14" ht="11.25" customHeight="1" x14ac:dyDescent="0.25">
      <c r="G1160" s="459">
        <f>G1159+1</f>
        <v>97</v>
      </c>
      <c r="H1160" s="459">
        <v>1153</v>
      </c>
      <c r="I1160" s="444">
        <f t="shared" ca="1" si="108"/>
        <v>-55636183.16720432</v>
      </c>
      <c r="J1160" s="444">
        <f t="array" ref="J1160">IFERROR(INDEX('Retirement Calculator'!J:J,MATCH('Isaac 401k'!N1160,'Retirement Calculator'!A:A,0),0),0)</f>
        <v>8395.6297298201844</v>
      </c>
      <c r="K1160" s="444">
        <f t="shared" ca="1" si="105"/>
        <v>-231852.41165389225</v>
      </c>
      <c r="L1160" s="444">
        <f t="shared" ca="1" si="106"/>
        <v>-55876431.208588034</v>
      </c>
      <c r="M1160" s="460">
        <f t="shared" si="109"/>
        <v>0.05</v>
      </c>
      <c r="N1160" s="464">
        <f t="shared" si="110"/>
        <v>86351</v>
      </c>
    </row>
    <row r="1161" spans="7:14" ht="11.25" customHeight="1" x14ac:dyDescent="0.25">
      <c r="G1161" s="459">
        <f t="shared" ref="G1161:G1171" si="121">G1160</f>
        <v>97</v>
      </c>
      <c r="H1161" s="459">
        <v>1154</v>
      </c>
      <c r="I1161" s="444">
        <f t="shared" ca="1" si="108"/>
        <v>-55876431.208588034</v>
      </c>
      <c r="J1161" s="444">
        <f t="array" ref="J1161">IFERROR(INDEX('Retirement Calculator'!J:J,MATCH('Isaac 401k'!N1161,'Retirement Calculator'!A:A,0),0),0)</f>
        <v>8395.6297298201844</v>
      </c>
      <c r="K1161" s="444">
        <f t="shared" ca="1" si="105"/>
        <v>-232853.44515965774</v>
      </c>
      <c r="L1161" s="444">
        <f t="shared" ca="1" si="106"/>
        <v>-56117680.283477515</v>
      </c>
      <c r="M1161" s="460">
        <f t="shared" si="109"/>
        <v>0.05</v>
      </c>
      <c r="N1161" s="464">
        <f t="shared" si="110"/>
        <v>86381</v>
      </c>
    </row>
    <row r="1162" spans="7:14" ht="11.25" customHeight="1" x14ac:dyDescent="0.25">
      <c r="G1162" s="459">
        <f t="shared" si="121"/>
        <v>97</v>
      </c>
      <c r="H1162" s="459">
        <v>1155</v>
      </c>
      <c r="I1162" s="444">
        <f t="shared" ca="1" si="108"/>
        <v>-56117680.283477515</v>
      </c>
      <c r="J1162" s="444">
        <f t="array" ref="J1162">IFERROR(INDEX('Retirement Calculator'!J:J,MATCH('Isaac 401k'!N1162,'Retirement Calculator'!A:A,0),0),0)</f>
        <v>8395.6297298201844</v>
      </c>
      <c r="K1162" s="444">
        <f t="shared" ca="1" si="105"/>
        <v>-233858.64963836395</v>
      </c>
      <c r="L1162" s="444">
        <f t="shared" ca="1" si="106"/>
        <v>-56359934.562845699</v>
      </c>
      <c r="M1162" s="460">
        <f t="shared" si="109"/>
        <v>0.05</v>
      </c>
      <c r="N1162" s="464">
        <f t="shared" si="110"/>
        <v>86412</v>
      </c>
    </row>
    <row r="1163" spans="7:14" ht="11.25" customHeight="1" x14ac:dyDescent="0.25">
      <c r="G1163" s="459">
        <f t="shared" si="121"/>
        <v>97</v>
      </c>
      <c r="H1163" s="459">
        <v>1156</v>
      </c>
      <c r="I1163" s="444">
        <f t="shared" ca="1" si="108"/>
        <v>-56359934.562845699</v>
      </c>
      <c r="J1163" s="444">
        <f t="array" ref="J1163">IFERROR(INDEX('Retirement Calculator'!J:J,MATCH('Isaac 401k'!N1163,'Retirement Calculator'!A:A,0),0),0)</f>
        <v>8395.6297298201844</v>
      </c>
      <c r="K1163" s="444">
        <f t="shared" ca="1" si="105"/>
        <v>-234868.04246906468</v>
      </c>
      <c r="L1163" s="444">
        <f t="shared" ca="1" si="106"/>
        <v>-56603198.235044584</v>
      </c>
      <c r="M1163" s="460">
        <f t="shared" si="109"/>
        <v>0.05</v>
      </c>
      <c r="N1163" s="464">
        <f t="shared" si="110"/>
        <v>86443</v>
      </c>
    </row>
    <row r="1164" spans="7:14" ht="11.25" customHeight="1" x14ac:dyDescent="0.25">
      <c r="G1164" s="459">
        <f t="shared" si="121"/>
        <v>97</v>
      </c>
      <c r="H1164" s="459">
        <v>1157</v>
      </c>
      <c r="I1164" s="444">
        <f t="shared" ca="1" si="108"/>
        <v>-56603198.235044584</v>
      </c>
      <c r="J1164" s="444">
        <f t="array" ref="J1164">IFERROR(INDEX('Retirement Calculator'!J:J,MATCH('Isaac 401k'!N1164,'Retirement Calculator'!A:A,0),0),0)</f>
        <v>8395.6297298201844</v>
      </c>
      <c r="K1164" s="444">
        <f t="shared" ca="1" si="105"/>
        <v>-235881.64110322672</v>
      </c>
      <c r="L1164" s="444">
        <f t="shared" ca="1" si="106"/>
        <v>-56847475.505877636</v>
      </c>
      <c r="M1164" s="460">
        <f t="shared" si="109"/>
        <v>0.05</v>
      </c>
      <c r="N1164" s="464">
        <f t="shared" si="110"/>
        <v>86473</v>
      </c>
    </row>
    <row r="1165" spans="7:14" ht="11.25" customHeight="1" x14ac:dyDescent="0.25">
      <c r="G1165" s="459">
        <f t="shared" si="121"/>
        <v>97</v>
      </c>
      <c r="H1165" s="459">
        <v>1158</v>
      </c>
      <c r="I1165" s="444">
        <f t="shared" ca="1" si="108"/>
        <v>-56847475.505877636</v>
      </c>
      <c r="J1165" s="444">
        <f t="array" ref="J1165">IFERROR(INDEX('Retirement Calculator'!J:J,MATCH('Isaac 401k'!N1165,'Retirement Calculator'!A:A,0),0),0)</f>
        <v>8395.6297298201844</v>
      </c>
      <c r="K1165" s="444">
        <f t="shared" ca="1" si="105"/>
        <v>-236899.46306503107</v>
      </c>
      <c r="L1165" s="444">
        <f t="shared" ca="1" si="106"/>
        <v>-57092770.598672487</v>
      </c>
      <c r="M1165" s="460">
        <f t="shared" si="109"/>
        <v>0.05</v>
      </c>
      <c r="N1165" s="464">
        <f t="shared" si="110"/>
        <v>86504</v>
      </c>
    </row>
    <row r="1166" spans="7:14" ht="11.25" customHeight="1" x14ac:dyDescent="0.25">
      <c r="G1166" s="459">
        <f t="shared" si="121"/>
        <v>97</v>
      </c>
      <c r="H1166" s="459">
        <v>1159</v>
      </c>
      <c r="I1166" s="444">
        <f t="shared" ca="1" si="108"/>
        <v>-57092770.598672487</v>
      </c>
      <c r="J1166" s="444">
        <f t="array" ref="J1166">IFERROR(INDEX('Retirement Calculator'!J:J,MATCH('Isaac 401k'!N1166,'Retirement Calculator'!A:A,0),0),0)</f>
        <v>8395.6297298201844</v>
      </c>
      <c r="K1166" s="444">
        <f t="shared" ca="1" si="105"/>
        <v>-237921.52595167627</v>
      </c>
      <c r="L1166" s="444">
        <f t="shared" ca="1" si="106"/>
        <v>-57339087.754353985</v>
      </c>
      <c r="M1166" s="460">
        <f t="shared" si="109"/>
        <v>0.05</v>
      </c>
      <c r="N1166" s="464">
        <f t="shared" si="110"/>
        <v>86534</v>
      </c>
    </row>
    <row r="1167" spans="7:14" ht="11.25" customHeight="1" x14ac:dyDescent="0.25">
      <c r="G1167" s="459">
        <f t="shared" si="121"/>
        <v>97</v>
      </c>
      <c r="H1167" s="459">
        <v>1160</v>
      </c>
      <c r="I1167" s="444">
        <f t="shared" ca="1" si="108"/>
        <v>-57339087.754353985</v>
      </c>
      <c r="J1167" s="444">
        <f t="array" ref="J1167">IFERROR(INDEX('Retirement Calculator'!J:J,MATCH('Isaac 401k'!N1167,'Retirement Calculator'!A:A,0),0),0)</f>
        <v>8395.6297298201844</v>
      </c>
      <c r="K1167" s="444">
        <f t="shared" ca="1" si="105"/>
        <v>-238947.84743368253</v>
      </c>
      <c r="L1167" s="444">
        <f t="shared" ca="1" si="106"/>
        <v>-57586431.231517494</v>
      </c>
      <c r="M1167" s="460">
        <f t="shared" si="109"/>
        <v>0.05</v>
      </c>
      <c r="N1167" s="464">
        <f t="shared" si="110"/>
        <v>86565</v>
      </c>
    </row>
    <row r="1168" spans="7:14" ht="11.25" customHeight="1" x14ac:dyDescent="0.25">
      <c r="G1168" s="459">
        <f t="shared" si="121"/>
        <v>97</v>
      </c>
      <c r="H1168" s="459">
        <v>1161</v>
      </c>
      <c r="I1168" s="444">
        <f t="shared" ca="1" si="108"/>
        <v>-57586431.231517494</v>
      </c>
      <c r="J1168" s="444">
        <f t="array" ref="J1168">IFERROR(INDEX('Retirement Calculator'!J:J,MATCH('Isaac 401k'!N1168,'Retirement Calculator'!A:A,0),0),0)</f>
        <v>8395.6297298201844</v>
      </c>
      <c r="K1168" s="444">
        <f t="shared" ca="1" si="105"/>
        <v>-239978.44525519718</v>
      </c>
      <c r="L1168" s="444">
        <f t="shared" ca="1" si="106"/>
        <v>-57834805.306502514</v>
      </c>
      <c r="M1168" s="460">
        <f t="shared" si="109"/>
        <v>0.05</v>
      </c>
      <c r="N1168" s="464">
        <f t="shared" si="110"/>
        <v>86596</v>
      </c>
    </row>
    <row r="1169" spans="7:14" ht="11.25" customHeight="1" x14ac:dyDescent="0.25">
      <c r="G1169" s="459">
        <f t="shared" si="121"/>
        <v>97</v>
      </c>
      <c r="H1169" s="459">
        <v>1162</v>
      </c>
      <c r="I1169" s="444">
        <f t="shared" ca="1" si="108"/>
        <v>-57834805.306502514</v>
      </c>
      <c r="J1169" s="444">
        <f t="array" ref="J1169">IFERROR(INDEX('Retirement Calculator'!J:J,MATCH('Isaac 401k'!N1169,'Retirement Calculator'!A:A,0),0),0)</f>
        <v>0</v>
      </c>
      <c r="K1169" s="444">
        <f t="shared" ca="1" si="105"/>
        <v>-240978.35544376046</v>
      </c>
      <c r="L1169" s="444">
        <f t="shared" ca="1" si="106"/>
        <v>-58075783.661946274</v>
      </c>
      <c r="M1169" s="460">
        <f t="shared" si="109"/>
        <v>0.05</v>
      </c>
      <c r="N1169" s="464">
        <f t="shared" si="110"/>
        <v>86624</v>
      </c>
    </row>
    <row r="1170" spans="7:14" ht="11.25" customHeight="1" x14ac:dyDescent="0.25">
      <c r="G1170" s="459">
        <f t="shared" si="121"/>
        <v>97</v>
      </c>
      <c r="H1170" s="459">
        <v>1163</v>
      </c>
      <c r="I1170" s="444">
        <f t="shared" ca="1" si="108"/>
        <v>-58075783.661946274</v>
      </c>
      <c r="J1170" s="444">
        <f t="array" ref="J1170">IFERROR(INDEX('Retirement Calculator'!J:J,MATCH('Isaac 401k'!N1170,'Retirement Calculator'!A:A,0),0),0)</f>
        <v>0</v>
      </c>
      <c r="K1170" s="444">
        <f t="shared" ca="1" si="105"/>
        <v>-241982.43192477615</v>
      </c>
      <c r="L1170" s="444">
        <f t="shared" ca="1" si="106"/>
        <v>-58317766.09387105</v>
      </c>
      <c r="M1170" s="460">
        <f t="shared" si="109"/>
        <v>0.05</v>
      </c>
      <c r="N1170" s="464">
        <f t="shared" si="110"/>
        <v>86655</v>
      </c>
    </row>
    <row r="1171" spans="7:14" ht="11.25" customHeight="1" x14ac:dyDescent="0.25">
      <c r="G1171" s="459">
        <f t="shared" si="121"/>
        <v>97</v>
      </c>
      <c r="H1171" s="459">
        <v>1164</v>
      </c>
      <c r="I1171" s="444">
        <f t="shared" ca="1" si="108"/>
        <v>-58317766.09387105</v>
      </c>
      <c r="J1171" s="444">
        <f t="array" ref="J1171">IFERROR(INDEX('Retirement Calculator'!J:J,MATCH('Isaac 401k'!N1171,'Retirement Calculator'!A:A,0),0),0)</f>
        <v>0</v>
      </c>
      <c r="K1171" s="444">
        <f t="shared" ca="1" si="105"/>
        <v>-242990.69205779603</v>
      </c>
      <c r="L1171" s="444">
        <f t="shared" ca="1" si="106"/>
        <v>-58560756.785928845</v>
      </c>
      <c r="M1171" s="460">
        <f t="shared" si="109"/>
        <v>0.05</v>
      </c>
      <c r="N1171" s="464">
        <f t="shared" si="110"/>
        <v>86685</v>
      </c>
    </row>
    <row r="1172" spans="7:14" ht="11.25" customHeight="1" x14ac:dyDescent="0.25">
      <c r="G1172" s="459">
        <f>G1171+1</f>
        <v>98</v>
      </c>
      <c r="H1172" s="459">
        <v>1165</v>
      </c>
      <c r="I1172" s="444">
        <f t="shared" ca="1" si="108"/>
        <v>-58560756.785928845</v>
      </c>
      <c r="J1172" s="444">
        <f t="array" ref="J1172">IFERROR(INDEX('Retirement Calculator'!J:J,MATCH('Isaac 401k'!N1172,'Retirement Calculator'!A:A,0),0),0)</f>
        <v>0</v>
      </c>
      <c r="K1172" s="444">
        <f t="shared" ca="1" si="105"/>
        <v>-244003.15327470351</v>
      </c>
      <c r="L1172" s="444">
        <f t="shared" ca="1" si="106"/>
        <v>-58804759.939203545</v>
      </c>
      <c r="M1172" s="460">
        <f t="shared" si="109"/>
        <v>0.05</v>
      </c>
      <c r="N1172" s="464">
        <f t="shared" si="110"/>
        <v>86716</v>
      </c>
    </row>
    <row r="1173" spans="7:14" ht="11.25" customHeight="1" x14ac:dyDescent="0.25">
      <c r="G1173" s="459">
        <f t="shared" ref="G1173:G1183" si="122">G1172</f>
        <v>98</v>
      </c>
      <c r="H1173" s="459">
        <v>1166</v>
      </c>
      <c r="I1173" s="444">
        <f t="shared" ca="1" si="108"/>
        <v>-58804759.939203545</v>
      </c>
      <c r="J1173" s="444">
        <f t="array" ref="J1173">IFERROR(INDEX('Retirement Calculator'!J:J,MATCH('Isaac 401k'!N1173,'Retirement Calculator'!A:A,0),0),0)</f>
        <v>0</v>
      </c>
      <c r="K1173" s="444">
        <f t="shared" ca="1" si="105"/>
        <v>-245019.83308001477</v>
      </c>
      <c r="L1173" s="444">
        <f t="shared" ca="1" si="106"/>
        <v>-59049779.772283562</v>
      </c>
      <c r="M1173" s="460">
        <f t="shared" si="109"/>
        <v>0.05</v>
      </c>
      <c r="N1173" s="464">
        <f t="shared" si="110"/>
        <v>86746</v>
      </c>
    </row>
    <row r="1174" spans="7:14" ht="11.25" customHeight="1" x14ac:dyDescent="0.25">
      <c r="G1174" s="459">
        <f t="shared" si="122"/>
        <v>98</v>
      </c>
      <c r="H1174" s="459">
        <v>1167</v>
      </c>
      <c r="I1174" s="444">
        <f t="shared" ca="1" si="108"/>
        <v>-59049779.772283562</v>
      </c>
      <c r="J1174" s="444">
        <f t="array" ref="J1174">IFERROR(INDEX('Retirement Calculator'!J:J,MATCH('Isaac 401k'!N1174,'Retirement Calculator'!A:A,0),0),0)</f>
        <v>0</v>
      </c>
      <c r="K1174" s="444">
        <f t="shared" ca="1" si="105"/>
        <v>-246040.74905118151</v>
      </c>
      <c r="L1174" s="444">
        <f t="shared" ca="1" si="106"/>
        <v>-59295820.521334745</v>
      </c>
      <c r="M1174" s="460">
        <f t="shared" si="109"/>
        <v>0.05</v>
      </c>
      <c r="N1174" s="464">
        <f t="shared" si="110"/>
        <v>86777</v>
      </c>
    </row>
    <row r="1175" spans="7:14" ht="11.25" customHeight="1" x14ac:dyDescent="0.25">
      <c r="G1175" s="459">
        <f t="shared" si="122"/>
        <v>98</v>
      </c>
      <c r="H1175" s="459">
        <v>1168</v>
      </c>
      <c r="I1175" s="444">
        <f t="shared" ca="1" si="108"/>
        <v>-59295820.521334745</v>
      </c>
      <c r="J1175" s="444">
        <f t="array" ref="J1175">IFERROR(INDEX('Retirement Calculator'!J:J,MATCH('Isaac 401k'!N1175,'Retirement Calculator'!A:A,0),0),0)</f>
        <v>0</v>
      </c>
      <c r="K1175" s="444">
        <f t="shared" ca="1" si="105"/>
        <v>-247065.91883889478</v>
      </c>
      <c r="L1175" s="444">
        <f t="shared" ca="1" si="106"/>
        <v>-59542886.440173641</v>
      </c>
      <c r="M1175" s="460">
        <f t="shared" si="109"/>
        <v>0.05</v>
      </c>
      <c r="N1175" s="464">
        <f t="shared" si="110"/>
        <v>86808</v>
      </c>
    </row>
    <row r="1176" spans="7:14" ht="11.25" customHeight="1" x14ac:dyDescent="0.25">
      <c r="G1176" s="459">
        <f t="shared" si="122"/>
        <v>98</v>
      </c>
      <c r="H1176" s="459">
        <v>1169</v>
      </c>
      <c r="I1176" s="444">
        <f t="shared" ca="1" si="108"/>
        <v>-59542886.440173641</v>
      </c>
      <c r="J1176" s="444">
        <f t="array" ref="J1176">IFERROR(INDEX('Retirement Calculator'!J:J,MATCH('Isaac 401k'!N1176,'Retirement Calculator'!A:A,0),0),0)</f>
        <v>0</v>
      </c>
      <c r="K1176" s="444">
        <f t="shared" ca="1" si="105"/>
        <v>-248095.36016739017</v>
      </c>
      <c r="L1176" s="444">
        <f t="shared" ca="1" si="106"/>
        <v>-59790981.800341032</v>
      </c>
      <c r="M1176" s="460">
        <f t="shared" si="109"/>
        <v>0.05</v>
      </c>
      <c r="N1176" s="464">
        <f t="shared" si="110"/>
        <v>86838</v>
      </c>
    </row>
    <row r="1177" spans="7:14" ht="11.25" customHeight="1" x14ac:dyDescent="0.25">
      <c r="G1177" s="459">
        <f t="shared" si="122"/>
        <v>98</v>
      </c>
      <c r="H1177" s="459">
        <v>1170</v>
      </c>
      <c r="I1177" s="444">
        <f t="shared" ca="1" si="108"/>
        <v>-59790981.800341032</v>
      </c>
      <c r="J1177" s="444">
        <f t="array" ref="J1177">IFERROR(INDEX('Retirement Calculator'!J:J,MATCH('Isaac 401k'!N1177,'Retirement Calculator'!A:A,0),0),0)</f>
        <v>0</v>
      </c>
      <c r="K1177" s="444">
        <f t="shared" ca="1" si="105"/>
        <v>-249129.09083475426</v>
      </c>
      <c r="L1177" s="444">
        <f t="shared" ca="1" si="106"/>
        <v>-60040110.891175784</v>
      </c>
      <c r="M1177" s="460">
        <f t="shared" si="109"/>
        <v>0.05</v>
      </c>
      <c r="N1177" s="464">
        <f t="shared" si="110"/>
        <v>86869</v>
      </c>
    </row>
    <row r="1178" spans="7:14" ht="11.25" customHeight="1" x14ac:dyDescent="0.25">
      <c r="G1178" s="459">
        <f t="shared" si="122"/>
        <v>98</v>
      </c>
      <c r="H1178" s="459">
        <v>1171</v>
      </c>
      <c r="I1178" s="444">
        <f t="shared" ca="1" si="108"/>
        <v>-60040110.891175784</v>
      </c>
      <c r="J1178" s="444">
        <f t="array" ref="J1178">IFERROR(INDEX('Retirement Calculator'!J:J,MATCH('Isaac 401k'!N1178,'Retirement Calculator'!A:A,0),0),0)</f>
        <v>0</v>
      </c>
      <c r="K1178" s="444">
        <f t="shared" ca="1" si="105"/>
        <v>-250167.12871323241</v>
      </c>
      <c r="L1178" s="444">
        <f t="shared" ca="1" si="106"/>
        <v>-60290278.019889019</v>
      </c>
      <c r="M1178" s="460">
        <f t="shared" si="109"/>
        <v>0.05</v>
      </c>
      <c r="N1178" s="464">
        <f t="shared" si="110"/>
        <v>86899</v>
      </c>
    </row>
    <row r="1179" spans="7:14" ht="11.25" customHeight="1" x14ac:dyDescent="0.25">
      <c r="G1179" s="459">
        <f t="shared" si="122"/>
        <v>98</v>
      </c>
      <c r="H1179" s="459">
        <v>1172</v>
      </c>
      <c r="I1179" s="444">
        <f t="shared" ca="1" si="108"/>
        <v>-60290278.019889019</v>
      </c>
      <c r="J1179" s="444">
        <f t="array" ref="J1179">IFERROR(INDEX('Retirement Calculator'!J:J,MATCH('Isaac 401k'!N1179,'Retirement Calculator'!A:A,0),0),0)</f>
        <v>0</v>
      </c>
      <c r="K1179" s="444">
        <f t="shared" ca="1" si="105"/>
        <v>-251209.49174953756</v>
      </c>
      <c r="L1179" s="444">
        <f t="shared" ca="1" si="106"/>
        <v>-60541487.511638559</v>
      </c>
      <c r="M1179" s="460">
        <f t="shared" si="109"/>
        <v>0.05</v>
      </c>
      <c r="N1179" s="464">
        <f t="shared" si="110"/>
        <v>86930</v>
      </c>
    </row>
    <row r="1180" spans="7:14" ht="11.25" customHeight="1" x14ac:dyDescent="0.25">
      <c r="G1180" s="459">
        <f t="shared" si="122"/>
        <v>98</v>
      </c>
      <c r="H1180" s="459">
        <v>1173</v>
      </c>
      <c r="I1180" s="444">
        <f t="shared" ca="1" si="108"/>
        <v>-60541487.511638559</v>
      </c>
      <c r="J1180" s="444">
        <f t="array" ref="J1180">IFERROR(INDEX('Retirement Calculator'!J:J,MATCH('Isaac 401k'!N1180,'Retirement Calculator'!A:A,0),0),0)</f>
        <v>0</v>
      </c>
      <c r="K1180" s="444">
        <f t="shared" ca="1" si="105"/>
        <v>-252256.19796516065</v>
      </c>
      <c r="L1180" s="444">
        <f t="shared" ca="1" si="106"/>
        <v>-60793743.709603719</v>
      </c>
      <c r="M1180" s="460">
        <f t="shared" si="109"/>
        <v>0.05</v>
      </c>
      <c r="N1180" s="464">
        <f t="shared" si="110"/>
        <v>86961</v>
      </c>
    </row>
    <row r="1181" spans="7:14" ht="11.25" customHeight="1" x14ac:dyDescent="0.25">
      <c r="G1181" s="459">
        <f t="shared" si="122"/>
        <v>98</v>
      </c>
      <c r="H1181" s="459">
        <v>1174</v>
      </c>
      <c r="I1181" s="444">
        <f t="shared" ca="1" si="108"/>
        <v>-60793743.709603719</v>
      </c>
      <c r="J1181" s="444">
        <f t="array" ref="J1181">IFERROR(INDEX('Retirement Calculator'!J:J,MATCH('Isaac 401k'!N1181,'Retirement Calculator'!A:A,0),0),0)</f>
        <v>0</v>
      </c>
      <c r="K1181" s="444">
        <f t="shared" ca="1" si="105"/>
        <v>-253307.26545668216</v>
      </c>
      <c r="L1181" s="444">
        <f t="shared" ca="1" si="106"/>
        <v>-61047050.975060403</v>
      </c>
      <c r="M1181" s="460">
        <f t="shared" si="109"/>
        <v>0.05</v>
      </c>
      <c r="N1181" s="464">
        <f t="shared" si="110"/>
        <v>86989</v>
      </c>
    </row>
    <row r="1182" spans="7:14" ht="11.25" customHeight="1" x14ac:dyDescent="0.25">
      <c r="G1182" s="459">
        <f t="shared" si="122"/>
        <v>98</v>
      </c>
      <c r="H1182" s="459">
        <v>1175</v>
      </c>
      <c r="I1182" s="444">
        <f t="shared" ca="1" si="108"/>
        <v>-61047050.975060403</v>
      </c>
      <c r="J1182" s="444">
        <f t="array" ref="J1182">IFERROR(INDEX('Retirement Calculator'!J:J,MATCH('Isaac 401k'!N1182,'Retirement Calculator'!A:A,0),0),0)</f>
        <v>0</v>
      </c>
      <c r="K1182" s="444">
        <f t="shared" ca="1" si="105"/>
        <v>-254362.712396085</v>
      </c>
      <c r="L1182" s="444">
        <f t="shared" ca="1" si="106"/>
        <v>-61301413.687456489</v>
      </c>
      <c r="M1182" s="460">
        <f t="shared" si="109"/>
        <v>0.05</v>
      </c>
      <c r="N1182" s="464">
        <f t="shared" si="110"/>
        <v>87020</v>
      </c>
    </row>
    <row r="1183" spans="7:14" ht="11.25" customHeight="1" x14ac:dyDescent="0.25">
      <c r="G1183" s="459">
        <f t="shared" si="122"/>
        <v>98</v>
      </c>
      <c r="H1183" s="459">
        <v>1176</v>
      </c>
      <c r="I1183" s="444">
        <f t="shared" ca="1" si="108"/>
        <v>-61301413.687456489</v>
      </c>
      <c r="J1183" s="444">
        <f t="array" ref="J1183">IFERROR(INDEX('Retirement Calculator'!J:J,MATCH('Isaac 401k'!N1183,'Retirement Calculator'!A:A,0),0),0)</f>
        <v>0</v>
      </c>
      <c r="K1183" s="444">
        <f t="shared" ca="1" si="105"/>
        <v>-255422.55703106869</v>
      </c>
      <c r="L1183" s="444">
        <f t="shared" ca="1" si="106"/>
        <v>-61556836.244487554</v>
      </c>
      <c r="M1183" s="460">
        <f t="shared" si="109"/>
        <v>0.05</v>
      </c>
      <c r="N1183" s="464">
        <f t="shared" si="110"/>
        <v>87050</v>
      </c>
    </row>
    <row r="1184" spans="7:14" ht="11.25" customHeight="1" x14ac:dyDescent="0.25">
      <c r="G1184" s="459">
        <f>G1183+1</f>
        <v>99</v>
      </c>
      <c r="H1184" s="459">
        <v>1177</v>
      </c>
      <c r="I1184" s="444">
        <f t="shared" ca="1" si="108"/>
        <v>-61556836.244487554</v>
      </c>
      <c r="J1184" s="444">
        <f t="array" ref="J1184">IFERROR(INDEX('Retirement Calculator'!J:J,MATCH('Isaac 401k'!N1184,'Retirement Calculator'!A:A,0),0),0)</f>
        <v>0</v>
      </c>
      <c r="K1184" s="444">
        <f t="shared" ca="1" si="105"/>
        <v>-256486.8176853648</v>
      </c>
      <c r="L1184" s="444">
        <f t="shared" ca="1" si="106"/>
        <v>-61813323.06217292</v>
      </c>
      <c r="M1184" s="460">
        <f t="shared" si="109"/>
        <v>0.05</v>
      </c>
      <c r="N1184" s="464">
        <f t="shared" si="110"/>
        <v>87081</v>
      </c>
    </row>
    <row r="1185" spans="7:14" ht="11.25" customHeight="1" x14ac:dyDescent="0.25">
      <c r="G1185" s="459">
        <f t="shared" ref="G1185:G1195" si="123">G1184</f>
        <v>99</v>
      </c>
      <c r="H1185" s="459">
        <v>1178</v>
      </c>
      <c r="I1185" s="444">
        <f t="shared" ca="1" si="108"/>
        <v>-61813323.06217292</v>
      </c>
      <c r="J1185" s="444">
        <f t="array" ref="J1185">IFERROR(INDEX('Retirement Calculator'!J:J,MATCH('Isaac 401k'!N1185,'Retirement Calculator'!A:A,0),0),0)</f>
        <v>0</v>
      </c>
      <c r="K1185" s="444">
        <f t="shared" ca="1" si="105"/>
        <v>-257555.51275905385</v>
      </c>
      <c r="L1185" s="444">
        <f t="shared" ca="1" si="106"/>
        <v>-62070878.574931972</v>
      </c>
      <c r="M1185" s="460">
        <f t="shared" si="109"/>
        <v>0.05</v>
      </c>
      <c r="N1185" s="464">
        <f t="shared" si="110"/>
        <v>87111</v>
      </c>
    </row>
    <row r="1186" spans="7:14" ht="11.25" customHeight="1" x14ac:dyDescent="0.25">
      <c r="G1186" s="459">
        <f t="shared" si="123"/>
        <v>99</v>
      </c>
      <c r="H1186" s="459">
        <v>1179</v>
      </c>
      <c r="I1186" s="444">
        <f t="shared" ca="1" si="108"/>
        <v>-62070878.574931972</v>
      </c>
      <c r="J1186" s="444">
        <f t="array" ref="J1186">IFERROR(INDEX('Retirement Calculator'!J:J,MATCH('Isaac 401k'!N1186,'Retirement Calculator'!A:A,0),0),0)</f>
        <v>0</v>
      </c>
      <c r="K1186" s="444">
        <f t="shared" ca="1" si="105"/>
        <v>-258628.6607288832</v>
      </c>
      <c r="L1186" s="444">
        <f t="shared" ca="1" si="106"/>
        <v>-62329507.235660858</v>
      </c>
      <c r="M1186" s="460">
        <f t="shared" si="109"/>
        <v>0.05</v>
      </c>
      <c r="N1186" s="464">
        <f t="shared" si="110"/>
        <v>87142</v>
      </c>
    </row>
    <row r="1187" spans="7:14" ht="11.25" customHeight="1" x14ac:dyDescent="0.25">
      <c r="G1187" s="459">
        <f t="shared" si="123"/>
        <v>99</v>
      </c>
      <c r="H1187" s="459">
        <v>1180</v>
      </c>
      <c r="I1187" s="444">
        <f t="shared" ca="1" si="108"/>
        <v>-62329507.235660858</v>
      </c>
      <c r="J1187" s="444">
        <f t="array" ref="J1187">IFERROR(INDEX('Retirement Calculator'!J:J,MATCH('Isaac 401k'!N1187,'Retirement Calculator'!A:A,0),0),0)</f>
        <v>0</v>
      </c>
      <c r="K1187" s="444">
        <f t="shared" ca="1" si="105"/>
        <v>-259706.2801485869</v>
      </c>
      <c r="L1187" s="444">
        <f t="shared" ca="1" si="106"/>
        <v>-62589213.515809447</v>
      </c>
      <c r="M1187" s="460">
        <f t="shared" si="109"/>
        <v>0.05</v>
      </c>
      <c r="N1187" s="464">
        <f t="shared" si="110"/>
        <v>87173</v>
      </c>
    </row>
    <row r="1188" spans="7:14" ht="11.25" customHeight="1" x14ac:dyDescent="0.25">
      <c r="G1188" s="459">
        <f t="shared" si="123"/>
        <v>99</v>
      </c>
      <c r="H1188" s="459">
        <v>1181</v>
      </c>
      <c r="I1188" s="444">
        <f t="shared" ca="1" si="108"/>
        <v>-62589213.515809447</v>
      </c>
      <c r="J1188" s="444">
        <f t="array" ref="J1188">IFERROR(INDEX('Retirement Calculator'!J:J,MATCH('Isaac 401k'!N1188,'Retirement Calculator'!A:A,0),0),0)</f>
        <v>0</v>
      </c>
      <c r="K1188" s="444">
        <f t="shared" ca="1" si="105"/>
        <v>-260788.38964920602</v>
      </c>
      <c r="L1188" s="444">
        <f t="shared" ca="1" si="106"/>
        <v>-62850001.905458651</v>
      </c>
      <c r="M1188" s="460">
        <f t="shared" si="109"/>
        <v>0.05</v>
      </c>
      <c r="N1188" s="464">
        <f t="shared" si="110"/>
        <v>87203</v>
      </c>
    </row>
    <row r="1189" spans="7:14" ht="11.25" customHeight="1" x14ac:dyDescent="0.25">
      <c r="G1189" s="459">
        <f t="shared" si="123"/>
        <v>99</v>
      </c>
      <c r="H1189" s="459">
        <v>1182</v>
      </c>
      <c r="I1189" s="444">
        <f t="shared" ca="1" si="108"/>
        <v>-62850001.905458651</v>
      </c>
      <c r="J1189" s="444">
        <f t="array" ref="J1189">IFERROR(INDEX('Retirement Calculator'!J:J,MATCH('Isaac 401k'!N1189,'Retirement Calculator'!A:A,0),0),0)</f>
        <v>0</v>
      </c>
      <c r="K1189" s="444">
        <f t="shared" ca="1" si="105"/>
        <v>-261875.00793941107</v>
      </c>
      <c r="L1189" s="444">
        <f t="shared" ca="1" si="106"/>
        <v>-63111876.913398065</v>
      </c>
      <c r="M1189" s="460">
        <f t="shared" si="109"/>
        <v>0.05</v>
      </c>
      <c r="N1189" s="464">
        <f t="shared" si="110"/>
        <v>87234</v>
      </c>
    </row>
    <row r="1190" spans="7:14" ht="11.25" customHeight="1" x14ac:dyDescent="0.25">
      <c r="G1190" s="459">
        <f t="shared" si="123"/>
        <v>99</v>
      </c>
      <c r="H1190" s="459">
        <v>1183</v>
      </c>
      <c r="I1190" s="444">
        <f t="shared" ca="1" si="108"/>
        <v>-63111876.913398065</v>
      </c>
      <c r="J1190" s="444">
        <f t="array" ref="J1190">IFERROR(INDEX('Retirement Calculator'!J:J,MATCH('Isaac 401k'!N1190,'Retirement Calculator'!A:A,0),0),0)</f>
        <v>0</v>
      </c>
      <c r="K1190" s="444">
        <f t="shared" ca="1" si="105"/>
        <v>-262966.15380582528</v>
      </c>
      <c r="L1190" s="444">
        <f t="shared" ca="1" si="106"/>
        <v>-63374843.067203887</v>
      </c>
      <c r="M1190" s="460">
        <f t="shared" si="109"/>
        <v>0.05</v>
      </c>
      <c r="N1190" s="464">
        <f t="shared" si="110"/>
        <v>87264</v>
      </c>
    </row>
    <row r="1191" spans="7:14" ht="11.25" customHeight="1" x14ac:dyDescent="0.25">
      <c r="G1191" s="459">
        <f t="shared" si="123"/>
        <v>99</v>
      </c>
      <c r="H1191" s="459">
        <v>1184</v>
      </c>
      <c r="I1191" s="444">
        <f t="shared" ca="1" si="108"/>
        <v>-63374843.067203887</v>
      </c>
      <c r="J1191" s="444">
        <f t="array" ref="J1191">IFERROR(INDEX('Retirement Calculator'!J:J,MATCH('Isaac 401k'!N1191,'Retirement Calculator'!A:A,0),0),0)</f>
        <v>0</v>
      </c>
      <c r="K1191" s="444">
        <f t="shared" ca="1" si="105"/>
        <v>-264061.84611334954</v>
      </c>
      <c r="L1191" s="444">
        <f t="shared" ca="1" si="106"/>
        <v>-63638904.913317233</v>
      </c>
      <c r="M1191" s="460">
        <f t="shared" si="109"/>
        <v>0.05</v>
      </c>
      <c r="N1191" s="464">
        <f t="shared" si="110"/>
        <v>87295</v>
      </c>
    </row>
    <row r="1192" spans="7:14" ht="11.25" customHeight="1" x14ac:dyDescent="0.25">
      <c r="G1192" s="459">
        <f t="shared" si="123"/>
        <v>99</v>
      </c>
      <c r="H1192" s="459">
        <v>1185</v>
      </c>
      <c r="I1192" s="444">
        <f t="shared" ca="1" si="108"/>
        <v>-63638904.913317233</v>
      </c>
      <c r="J1192" s="444">
        <f t="array" ref="J1192">IFERROR(INDEX('Retirement Calculator'!J:J,MATCH('Isaac 401k'!N1192,'Retirement Calculator'!A:A,0),0),0)</f>
        <v>0</v>
      </c>
      <c r="K1192" s="444">
        <f t="shared" ca="1" si="105"/>
        <v>-265162.1038054885</v>
      </c>
      <c r="L1192" s="444">
        <f t="shared" ca="1" si="106"/>
        <v>-63904067.017122723</v>
      </c>
      <c r="M1192" s="460">
        <f t="shared" si="109"/>
        <v>0.05</v>
      </c>
      <c r="N1192" s="464">
        <f t="shared" si="110"/>
        <v>87326</v>
      </c>
    </row>
    <row r="1193" spans="7:14" ht="11.25" customHeight="1" x14ac:dyDescent="0.25">
      <c r="G1193" s="459">
        <f t="shared" si="123"/>
        <v>99</v>
      </c>
      <c r="H1193" s="459">
        <v>1186</v>
      </c>
      <c r="I1193" s="444">
        <f t="shared" ca="1" si="108"/>
        <v>-63904067.017122723</v>
      </c>
      <c r="J1193" s="444">
        <f t="array" ref="J1193">IFERROR(INDEX('Retirement Calculator'!J:J,MATCH('Isaac 401k'!N1193,'Retirement Calculator'!A:A,0),0),0)</f>
        <v>0</v>
      </c>
      <c r="K1193" s="444">
        <f t="shared" ca="1" si="105"/>
        <v>-266266.94590467802</v>
      </c>
      <c r="L1193" s="444">
        <f t="shared" ca="1" si="106"/>
        <v>-64170333.963027403</v>
      </c>
      <c r="M1193" s="460">
        <f t="shared" si="109"/>
        <v>0.05</v>
      </c>
      <c r="N1193" s="464">
        <f t="shared" si="110"/>
        <v>87354</v>
      </c>
    </row>
    <row r="1194" spans="7:14" ht="11.25" customHeight="1" x14ac:dyDescent="0.25">
      <c r="G1194" s="459">
        <f t="shared" si="123"/>
        <v>99</v>
      </c>
      <c r="H1194" s="459">
        <v>1187</v>
      </c>
      <c r="I1194" s="444">
        <f t="shared" ca="1" si="108"/>
        <v>-64170333.963027403</v>
      </c>
      <c r="J1194" s="444">
        <f t="array" ref="J1194">IFERROR(INDEX('Retirement Calculator'!J:J,MATCH('Isaac 401k'!N1194,'Retirement Calculator'!A:A,0),0),0)</f>
        <v>0</v>
      </c>
      <c r="K1194" s="444">
        <f t="shared" ca="1" si="105"/>
        <v>-267376.39151261415</v>
      </c>
      <c r="L1194" s="444">
        <f t="shared" ca="1" si="106"/>
        <v>-64437710.35454002</v>
      </c>
      <c r="M1194" s="460">
        <f t="shared" si="109"/>
        <v>0.05</v>
      </c>
      <c r="N1194" s="464">
        <f t="shared" si="110"/>
        <v>87385</v>
      </c>
    </row>
    <row r="1195" spans="7:14" ht="11.25" customHeight="1" x14ac:dyDescent="0.25">
      <c r="G1195" s="459">
        <f t="shared" si="123"/>
        <v>99</v>
      </c>
      <c r="H1195" s="459">
        <v>1188</v>
      </c>
      <c r="I1195" s="444">
        <f t="shared" ca="1" si="108"/>
        <v>-64437710.35454002</v>
      </c>
      <c r="J1195" s="444">
        <f t="array" ref="J1195">IFERROR(INDEX('Retirement Calculator'!J:J,MATCH('Isaac 401k'!N1195,'Retirement Calculator'!A:A,0),0),0)</f>
        <v>0</v>
      </c>
      <c r="K1195" s="444">
        <f t="shared" ca="1" si="105"/>
        <v>-268490.45981058339</v>
      </c>
      <c r="L1195" s="444">
        <f t="shared" ca="1" si="106"/>
        <v>-64706200.814350605</v>
      </c>
      <c r="M1195" s="460">
        <f t="shared" si="109"/>
        <v>0.05</v>
      </c>
      <c r="N1195" s="464">
        <f t="shared" si="110"/>
        <v>87415</v>
      </c>
    </row>
    <row r="1196" spans="7:14" ht="11.25" customHeight="1" x14ac:dyDescent="0.25">
      <c r="G1196" s="459">
        <f>G1195+1</f>
        <v>100</v>
      </c>
      <c r="H1196" s="459">
        <v>1189</v>
      </c>
      <c r="I1196" s="444">
        <f t="shared" ca="1" si="108"/>
        <v>-64706200.814350605</v>
      </c>
      <c r="J1196" s="444">
        <f t="array" ref="J1196">IFERROR(INDEX('Retirement Calculator'!J:J,MATCH('Isaac 401k'!N1196,'Retirement Calculator'!A:A,0),0),0)</f>
        <v>0</v>
      </c>
      <c r="K1196" s="444">
        <f t="shared" ca="1" si="105"/>
        <v>-269609.17005979421</v>
      </c>
      <c r="L1196" s="444">
        <f t="shared" ca="1" si="106"/>
        <v>-64975809.984410398</v>
      </c>
      <c r="M1196" s="460">
        <f t="shared" si="109"/>
        <v>0.05</v>
      </c>
      <c r="N1196" s="464">
        <f t="shared" si="110"/>
        <v>87446</v>
      </c>
    </row>
    <row r="1197" spans="7:14" ht="11.25" customHeight="1" x14ac:dyDescent="0.25">
      <c r="G1197" s="459">
        <f t="shared" ref="G1197:G1207" si="124">G1196</f>
        <v>100</v>
      </c>
      <c r="H1197" s="459">
        <v>1190</v>
      </c>
      <c r="I1197" s="444">
        <f t="shared" ca="1" si="108"/>
        <v>-64975809.984410398</v>
      </c>
      <c r="J1197" s="444">
        <f t="array" ref="J1197">IFERROR(INDEX('Retirement Calculator'!J:J,MATCH('Isaac 401k'!N1197,'Retirement Calculator'!A:A,0),0),0)</f>
        <v>0</v>
      </c>
      <c r="K1197" s="444">
        <f t="shared" ca="1" si="105"/>
        <v>-270732.54160170996</v>
      </c>
      <c r="L1197" s="444">
        <f t="shared" ca="1" si="106"/>
        <v>-65246542.526012108</v>
      </c>
      <c r="M1197" s="460">
        <f t="shared" si="109"/>
        <v>0.05</v>
      </c>
      <c r="N1197" s="464">
        <f t="shared" si="110"/>
        <v>87476</v>
      </c>
    </row>
    <row r="1198" spans="7:14" ht="11.25" customHeight="1" x14ac:dyDescent="0.25">
      <c r="G1198" s="459">
        <f t="shared" si="124"/>
        <v>100</v>
      </c>
      <c r="H1198" s="459">
        <v>1191</v>
      </c>
      <c r="I1198" s="444">
        <f t="shared" ca="1" si="108"/>
        <v>-65246542.526012108</v>
      </c>
      <c r="J1198" s="444">
        <f t="array" ref="J1198">IFERROR(INDEX('Retirement Calculator'!J:J,MATCH('Isaac 401k'!N1198,'Retirement Calculator'!A:A,0),0),0)</f>
        <v>0</v>
      </c>
      <c r="K1198" s="444">
        <f t="shared" ca="1" si="105"/>
        <v>-271860.59385838377</v>
      </c>
      <c r="L1198" s="444">
        <f t="shared" ca="1" si="106"/>
        <v>-65518403.119870491</v>
      </c>
      <c r="M1198" s="460">
        <f t="shared" si="109"/>
        <v>0.05</v>
      </c>
      <c r="N1198" s="464">
        <f t="shared" si="110"/>
        <v>87507</v>
      </c>
    </row>
    <row r="1199" spans="7:14" ht="11.25" customHeight="1" x14ac:dyDescent="0.25">
      <c r="G1199" s="459">
        <f t="shared" si="124"/>
        <v>100</v>
      </c>
      <c r="H1199" s="459">
        <v>1192</v>
      </c>
      <c r="I1199" s="444">
        <f t="shared" ca="1" si="108"/>
        <v>-65518403.119870491</v>
      </c>
      <c r="J1199" s="444">
        <f t="array" ref="J1199">IFERROR(INDEX('Retirement Calculator'!J:J,MATCH('Isaac 401k'!N1199,'Retirement Calculator'!A:A,0),0),0)</f>
        <v>0</v>
      </c>
      <c r="K1199" s="444">
        <f t="shared" ca="1" si="105"/>
        <v>-272993.34633279371</v>
      </c>
      <c r="L1199" s="444">
        <f t="shared" ca="1" si="106"/>
        <v>-65791396.466203287</v>
      </c>
      <c r="M1199" s="460">
        <f t="shared" si="109"/>
        <v>0.05</v>
      </c>
      <c r="N1199" s="464">
        <f t="shared" si="110"/>
        <v>87538</v>
      </c>
    </row>
    <row r="1200" spans="7:14" ht="11.25" customHeight="1" x14ac:dyDescent="0.25">
      <c r="G1200" s="459">
        <f t="shared" si="124"/>
        <v>100</v>
      </c>
      <c r="H1200" s="459">
        <v>1193</v>
      </c>
      <c r="I1200" s="444">
        <f t="shared" ca="1" si="108"/>
        <v>-65791396.466203287</v>
      </c>
      <c r="J1200" s="444">
        <f t="array" ref="J1200">IFERROR(INDEX('Retirement Calculator'!J:J,MATCH('Isaac 401k'!N1200,'Retirement Calculator'!A:A,0),0),0)</f>
        <v>0</v>
      </c>
      <c r="K1200" s="444">
        <f t="shared" ca="1" si="105"/>
        <v>-274130.81860918034</v>
      </c>
      <c r="L1200" s="444">
        <f t="shared" ca="1" si="106"/>
        <v>-66065527.284812465</v>
      </c>
      <c r="M1200" s="460">
        <f t="shared" si="109"/>
        <v>0.05</v>
      </c>
      <c r="N1200" s="464">
        <f t="shared" si="110"/>
        <v>87568</v>
      </c>
    </row>
    <row r="1201" spans="7:14" ht="11.25" customHeight="1" x14ac:dyDescent="0.25">
      <c r="G1201" s="459">
        <f t="shared" si="124"/>
        <v>100</v>
      </c>
      <c r="H1201" s="459">
        <v>1194</v>
      </c>
      <c r="I1201" s="444">
        <f t="shared" ca="1" si="108"/>
        <v>-66065527.284812465</v>
      </c>
      <c r="J1201" s="444">
        <f t="array" ref="J1201">IFERROR(INDEX('Retirement Calculator'!J:J,MATCH('Isaac 401k'!N1201,'Retirement Calculator'!A:A,0),0),0)</f>
        <v>0</v>
      </c>
      <c r="K1201" s="444">
        <f t="shared" ca="1" si="105"/>
        <v>-275273.03035338526</v>
      </c>
      <c r="L1201" s="444">
        <f t="shared" ca="1" si="106"/>
        <v>-66340800.315165848</v>
      </c>
      <c r="M1201" s="460">
        <f t="shared" si="109"/>
        <v>0.05</v>
      </c>
      <c r="N1201" s="464">
        <f t="shared" si="110"/>
        <v>87599</v>
      </c>
    </row>
    <row r="1202" spans="7:14" ht="11.25" customHeight="1" x14ac:dyDescent="0.25">
      <c r="G1202" s="459">
        <f t="shared" si="124"/>
        <v>100</v>
      </c>
      <c r="H1202" s="459">
        <v>1195</v>
      </c>
      <c r="I1202" s="444">
        <f t="shared" ca="1" si="108"/>
        <v>-66340800.315165848</v>
      </c>
      <c r="J1202" s="444">
        <f t="array" ref="J1202">IFERROR(INDEX('Retirement Calculator'!J:J,MATCH('Isaac 401k'!N1202,'Retirement Calculator'!A:A,0),0),0)</f>
        <v>0</v>
      </c>
      <c r="K1202" s="444">
        <f t="shared" ca="1" si="105"/>
        <v>-276420.00131319102</v>
      </c>
      <c r="L1202" s="444">
        <f t="shared" ca="1" si="106"/>
        <v>-66617220.316479042</v>
      </c>
      <c r="M1202" s="460">
        <f t="shared" si="109"/>
        <v>0.05</v>
      </c>
      <c r="N1202" s="464">
        <f t="shared" si="110"/>
        <v>87629</v>
      </c>
    </row>
    <row r="1203" spans="7:14" ht="11.25" customHeight="1" x14ac:dyDescent="0.25">
      <c r="G1203" s="459">
        <f t="shared" si="124"/>
        <v>100</v>
      </c>
      <c r="H1203" s="459">
        <v>1196</v>
      </c>
      <c r="I1203" s="444">
        <f t="shared" ca="1" si="108"/>
        <v>-66617220.316479042</v>
      </c>
      <c r="J1203" s="444">
        <f t="array" ref="J1203">IFERROR(INDEX('Retirement Calculator'!J:J,MATCH('Isaac 401k'!N1203,'Retirement Calculator'!A:A,0),0),0)</f>
        <v>0</v>
      </c>
      <c r="K1203" s="444">
        <f t="shared" ca="1" si="105"/>
        <v>-277571.75131866266</v>
      </c>
      <c r="L1203" s="444">
        <f t="shared" ca="1" si="106"/>
        <v>-66894792.067797706</v>
      </c>
      <c r="M1203" s="460">
        <f t="shared" si="109"/>
        <v>0.05</v>
      </c>
      <c r="N1203" s="464">
        <f t="shared" si="110"/>
        <v>87660</v>
      </c>
    </row>
    <row r="1204" spans="7:14" ht="11.25" customHeight="1" x14ac:dyDescent="0.25">
      <c r="G1204" s="459">
        <f t="shared" si="124"/>
        <v>100</v>
      </c>
      <c r="H1204" s="459">
        <v>1197</v>
      </c>
      <c r="I1204" s="444">
        <f t="shared" ca="1" si="108"/>
        <v>-66894792.067797706</v>
      </c>
      <c r="J1204" s="444">
        <f t="array" ref="J1204">IFERROR(INDEX('Retirement Calculator'!J:J,MATCH('Isaac 401k'!N1204,'Retirement Calculator'!A:A,0),0),0)</f>
        <v>0</v>
      </c>
      <c r="K1204" s="444">
        <f t="shared" ca="1" si="105"/>
        <v>-278728.30028249038</v>
      </c>
      <c r="L1204" s="444">
        <f t="shared" ca="1" si="106"/>
        <v>-67173520.368080199</v>
      </c>
      <c r="M1204" s="460">
        <f t="shared" si="109"/>
        <v>0.05</v>
      </c>
      <c r="N1204" s="464">
        <f t="shared" si="110"/>
        <v>87691</v>
      </c>
    </row>
    <row r="1205" spans="7:14" ht="11.25" customHeight="1" x14ac:dyDescent="0.25">
      <c r="G1205" s="459">
        <f t="shared" si="124"/>
        <v>100</v>
      </c>
      <c r="H1205" s="459">
        <v>1198</v>
      </c>
      <c r="I1205" s="444">
        <f t="shared" ca="1" si="108"/>
        <v>-67173520.368080199</v>
      </c>
      <c r="J1205" s="444">
        <f t="array" ref="J1205">IFERROR(INDEX('Retirement Calculator'!J:J,MATCH('Isaac 401k'!N1205,'Retirement Calculator'!A:A,0),0),0)</f>
        <v>0</v>
      </c>
      <c r="K1205" s="444">
        <f t="shared" ca="1" si="105"/>
        <v>-279889.66820033418</v>
      </c>
      <c r="L1205" s="444">
        <f t="shared" ca="1" si="106"/>
        <v>-67453410.036280528</v>
      </c>
      <c r="M1205" s="460">
        <f t="shared" si="109"/>
        <v>0.05</v>
      </c>
      <c r="N1205" s="464">
        <f t="shared" si="110"/>
        <v>87720</v>
      </c>
    </row>
    <row r="1206" spans="7:14" ht="11.25" customHeight="1" x14ac:dyDescent="0.25">
      <c r="G1206" s="459">
        <f t="shared" si="124"/>
        <v>100</v>
      </c>
      <c r="H1206" s="459">
        <v>1199</v>
      </c>
      <c r="I1206" s="444">
        <f t="shared" ca="1" si="108"/>
        <v>-67453410.036280528</v>
      </c>
      <c r="J1206" s="444">
        <f t="array" ref="J1206">IFERROR(INDEX('Retirement Calculator'!J:J,MATCH('Isaac 401k'!N1206,'Retirement Calculator'!A:A,0),0),0)</f>
        <v>0</v>
      </c>
      <c r="K1206" s="444">
        <f t="shared" ca="1" si="105"/>
        <v>-281055.87515116885</v>
      </c>
      <c r="L1206" s="444">
        <f t="shared" ca="1" si="106"/>
        <v>-67734465.9114317</v>
      </c>
      <c r="M1206" s="460">
        <f t="shared" si="109"/>
        <v>0.05</v>
      </c>
      <c r="N1206" s="464">
        <f t="shared" si="110"/>
        <v>87751</v>
      </c>
    </row>
    <row r="1207" spans="7:14" ht="11.25" customHeight="1" x14ac:dyDescent="0.25">
      <c r="G1207" s="459">
        <f t="shared" si="124"/>
        <v>100</v>
      </c>
      <c r="H1207" s="459">
        <v>1200</v>
      </c>
      <c r="I1207" s="444">
        <f t="shared" ca="1" si="108"/>
        <v>-67734465.9114317</v>
      </c>
      <c r="J1207" s="444">
        <f t="array" ref="J1207">IFERROR(INDEX('Retirement Calculator'!J:J,MATCH('Isaac 401k'!N1207,'Retirement Calculator'!A:A,0),0),0)</f>
        <v>0</v>
      </c>
      <c r="K1207" s="444">
        <f t="shared" ca="1" si="105"/>
        <v>-282226.94129763206</v>
      </c>
      <c r="L1207" s="444">
        <f t="shared" ca="1" si="106"/>
        <v>-68016692.852729335</v>
      </c>
      <c r="M1207" s="460">
        <f t="shared" si="109"/>
        <v>0.05</v>
      </c>
      <c r="N1207" s="464">
        <f t="shared" si="110"/>
        <v>87781</v>
      </c>
    </row>
    <row r="1208" spans="7:14" ht="11.25" customHeight="1" x14ac:dyDescent="0.25">
      <c r="G1208" s="459">
        <f>G1207+1</f>
        <v>101</v>
      </c>
      <c r="H1208" s="459">
        <v>1201</v>
      </c>
      <c r="I1208" s="444">
        <f t="shared" ca="1" si="108"/>
        <v>-68016692.852729335</v>
      </c>
      <c r="J1208" s="444">
        <f t="array" ref="J1208">IFERROR(INDEX('Retirement Calculator'!J:J,MATCH('Isaac 401k'!N1208,'Retirement Calculator'!A:A,0),0),0)</f>
        <v>0</v>
      </c>
      <c r="K1208" s="444">
        <f t="shared" ca="1" si="105"/>
        <v>-283402.88688637223</v>
      </c>
      <c r="L1208" s="444">
        <f t="shared" ca="1" si="106"/>
        <v>-68300095.739615709</v>
      </c>
      <c r="M1208" s="460">
        <f t="shared" si="109"/>
        <v>0.05</v>
      </c>
      <c r="N1208" s="464">
        <f t="shared" si="110"/>
        <v>87812</v>
      </c>
    </row>
    <row r="1209" spans="7:14" ht="11.25" customHeight="1" x14ac:dyDescent="0.25">
      <c r="G1209" s="459">
        <f t="shared" ref="G1209:G1219" si="125">G1208</f>
        <v>101</v>
      </c>
      <c r="H1209" s="459">
        <v>1202</v>
      </c>
      <c r="I1209" s="444">
        <f t="shared" ca="1" si="108"/>
        <v>-68300095.739615709</v>
      </c>
      <c r="J1209" s="444">
        <f t="array" ref="J1209">IFERROR(INDEX('Retirement Calculator'!J:J,MATCH('Isaac 401k'!N1209,'Retirement Calculator'!A:A,0),0),0)</f>
        <v>0</v>
      </c>
      <c r="K1209" s="444">
        <f t="shared" ca="1" si="105"/>
        <v>-284583.73224839877</v>
      </c>
      <c r="L1209" s="444">
        <f t="shared" ca="1" si="106"/>
        <v>-68584679.471864104</v>
      </c>
      <c r="M1209" s="460">
        <f t="shared" si="109"/>
        <v>0.05</v>
      </c>
      <c r="N1209" s="464">
        <f t="shared" si="110"/>
        <v>87842</v>
      </c>
    </row>
    <row r="1210" spans="7:14" ht="11.25" customHeight="1" x14ac:dyDescent="0.25">
      <c r="G1210" s="459">
        <f t="shared" si="125"/>
        <v>101</v>
      </c>
      <c r="H1210" s="459">
        <v>1203</v>
      </c>
      <c r="I1210" s="444">
        <f t="shared" ca="1" si="108"/>
        <v>-68584679.471864104</v>
      </c>
      <c r="J1210" s="444">
        <f t="array" ref="J1210">IFERROR(INDEX('Retirement Calculator'!J:J,MATCH('Isaac 401k'!N1210,'Retirement Calculator'!A:A,0),0),0)</f>
        <v>0</v>
      </c>
      <c r="K1210" s="444">
        <f t="shared" ca="1" si="105"/>
        <v>-285769.49779943377</v>
      </c>
      <c r="L1210" s="444">
        <f t="shared" ca="1" si="106"/>
        <v>-68870448.969663531</v>
      </c>
      <c r="M1210" s="460">
        <f t="shared" si="109"/>
        <v>0.05</v>
      </c>
      <c r="N1210" s="464">
        <f t="shared" si="110"/>
        <v>87873</v>
      </c>
    </row>
    <row r="1211" spans="7:14" ht="11.25" customHeight="1" x14ac:dyDescent="0.25">
      <c r="G1211" s="459">
        <f t="shared" si="125"/>
        <v>101</v>
      </c>
      <c r="H1211" s="459">
        <v>1204</v>
      </c>
      <c r="I1211" s="444">
        <f t="shared" ca="1" si="108"/>
        <v>-68870448.969663531</v>
      </c>
      <c r="J1211" s="444">
        <f t="array" ref="J1211">IFERROR(INDEX('Retirement Calculator'!J:J,MATCH('Isaac 401k'!N1211,'Retirement Calculator'!A:A,0),0),0)</f>
        <v>0</v>
      </c>
      <c r="K1211" s="444">
        <f t="shared" ca="1" si="105"/>
        <v>-286960.20404026471</v>
      </c>
      <c r="L1211" s="444">
        <f t="shared" ca="1" si="106"/>
        <v>-69157409.17370379</v>
      </c>
      <c r="M1211" s="460">
        <f t="shared" si="109"/>
        <v>0.05</v>
      </c>
      <c r="N1211" s="464">
        <f t="shared" si="110"/>
        <v>87904</v>
      </c>
    </row>
    <row r="1212" spans="7:14" ht="11.25" customHeight="1" x14ac:dyDescent="0.25">
      <c r="G1212" s="459">
        <f t="shared" si="125"/>
        <v>101</v>
      </c>
      <c r="H1212" s="459">
        <v>1205</v>
      </c>
      <c r="I1212" s="444">
        <f t="shared" ca="1" si="108"/>
        <v>-69157409.17370379</v>
      </c>
      <c r="J1212" s="444">
        <f t="array" ref="J1212">IFERROR(INDEX('Retirement Calculator'!J:J,MATCH('Isaac 401k'!N1212,'Retirement Calculator'!A:A,0),0),0)</f>
        <v>0</v>
      </c>
      <c r="K1212" s="444">
        <f t="shared" ca="1" si="105"/>
        <v>-288155.8715570991</v>
      </c>
      <c r="L1212" s="444">
        <f t="shared" ca="1" si="106"/>
        <v>-69445565.045260891</v>
      </c>
      <c r="M1212" s="460">
        <f t="shared" si="109"/>
        <v>0.05</v>
      </c>
      <c r="N1212" s="464">
        <f t="shared" si="110"/>
        <v>87934</v>
      </c>
    </row>
    <row r="1213" spans="7:14" ht="11.25" customHeight="1" x14ac:dyDescent="0.25">
      <c r="G1213" s="459">
        <f t="shared" si="125"/>
        <v>101</v>
      </c>
      <c r="H1213" s="459">
        <v>1206</v>
      </c>
      <c r="I1213" s="444">
        <f t="shared" ca="1" si="108"/>
        <v>-69445565.045260891</v>
      </c>
      <c r="J1213" s="444">
        <f t="array" ref="J1213">IFERROR(INDEX('Retirement Calculator'!J:J,MATCH('Isaac 401k'!N1213,'Retirement Calculator'!A:A,0),0),0)</f>
        <v>0</v>
      </c>
      <c r="K1213" s="444">
        <f t="shared" ca="1" si="105"/>
        <v>-289356.52102192037</v>
      </c>
      <c r="L1213" s="444">
        <f t="shared" ca="1" si="106"/>
        <v>-69734921.566282809</v>
      </c>
      <c r="M1213" s="460">
        <f t="shared" si="109"/>
        <v>0.05</v>
      </c>
      <c r="N1213" s="464">
        <f t="shared" si="110"/>
        <v>87965</v>
      </c>
    </row>
    <row r="1214" spans="7:14" ht="11.25" customHeight="1" x14ac:dyDescent="0.25">
      <c r="G1214" s="459">
        <f t="shared" si="125"/>
        <v>101</v>
      </c>
      <c r="H1214" s="459">
        <v>1207</v>
      </c>
      <c r="I1214" s="444">
        <f t="shared" ca="1" si="108"/>
        <v>-69734921.566282809</v>
      </c>
      <c r="J1214" s="444">
        <f t="array" ref="J1214">IFERROR(INDEX('Retirement Calculator'!J:J,MATCH('Isaac 401k'!N1214,'Retirement Calculator'!A:A,0),0),0)</f>
        <v>0</v>
      </c>
      <c r="K1214" s="444">
        <f t="shared" ca="1" si="105"/>
        <v>-290562.17319284502</v>
      </c>
      <c r="L1214" s="444">
        <f t="shared" ca="1" si="106"/>
        <v>-70025483.739475653</v>
      </c>
      <c r="M1214" s="460">
        <f t="shared" si="109"/>
        <v>0.05</v>
      </c>
      <c r="N1214" s="464">
        <f t="shared" si="110"/>
        <v>87995</v>
      </c>
    </row>
    <row r="1215" spans="7:14" ht="11.25" customHeight="1" x14ac:dyDescent="0.25">
      <c r="G1215" s="459">
        <f t="shared" si="125"/>
        <v>101</v>
      </c>
      <c r="H1215" s="459">
        <v>1208</v>
      </c>
      <c r="I1215" s="444">
        <f t="shared" ca="1" si="108"/>
        <v>-70025483.739475653</v>
      </c>
      <c r="J1215" s="444">
        <f t="array" ref="J1215">IFERROR(INDEX('Retirement Calculator'!J:J,MATCH('Isaac 401k'!N1215,'Retirement Calculator'!A:A,0),0),0)</f>
        <v>0</v>
      </c>
      <c r="K1215" s="444">
        <f t="shared" ca="1" si="105"/>
        <v>-291772.84891448187</v>
      </c>
      <c r="L1215" s="444">
        <f t="shared" ca="1" si="106"/>
        <v>-70317256.588390142</v>
      </c>
      <c r="M1215" s="460">
        <f t="shared" si="109"/>
        <v>0.05</v>
      </c>
      <c r="N1215" s="464">
        <f t="shared" si="110"/>
        <v>88026</v>
      </c>
    </row>
    <row r="1216" spans="7:14" ht="11.25" customHeight="1" x14ac:dyDescent="0.25">
      <c r="G1216" s="459">
        <f t="shared" si="125"/>
        <v>101</v>
      </c>
      <c r="H1216" s="459">
        <v>1209</v>
      </c>
      <c r="I1216" s="444">
        <f t="shared" ca="1" si="108"/>
        <v>-70317256.588390142</v>
      </c>
      <c r="J1216" s="444">
        <f t="array" ref="J1216">IFERROR(INDEX('Retirement Calculator'!J:J,MATCH('Isaac 401k'!N1216,'Retirement Calculator'!A:A,0),0),0)</f>
        <v>0</v>
      </c>
      <c r="K1216" s="444">
        <f t="shared" ca="1" si="105"/>
        <v>-292988.56911829225</v>
      </c>
      <c r="L1216" s="444">
        <f t="shared" ca="1" si="106"/>
        <v>-70610245.157508433</v>
      </c>
      <c r="M1216" s="460">
        <f t="shared" si="109"/>
        <v>0.05</v>
      </c>
      <c r="N1216" s="464">
        <f t="shared" si="110"/>
        <v>88057</v>
      </c>
    </row>
    <row r="1217" spans="7:14" ht="11.25" customHeight="1" x14ac:dyDescent="0.25">
      <c r="G1217" s="459">
        <f t="shared" si="125"/>
        <v>101</v>
      </c>
      <c r="H1217" s="459">
        <v>1210</v>
      </c>
      <c r="I1217" s="444">
        <f t="shared" ca="1" si="108"/>
        <v>-70610245.157508433</v>
      </c>
      <c r="J1217" s="444">
        <f t="array" ref="J1217">IFERROR(INDEX('Retirement Calculator'!J:J,MATCH('Isaac 401k'!N1217,'Retirement Calculator'!A:A,0),0),0)</f>
        <v>0</v>
      </c>
      <c r="K1217" s="444">
        <f t="shared" ca="1" si="105"/>
        <v>-294209.35482295178</v>
      </c>
      <c r="L1217" s="444">
        <f t="shared" ca="1" si="106"/>
        <v>-70904454.512331381</v>
      </c>
      <c r="M1217" s="460">
        <f t="shared" si="109"/>
        <v>0.05</v>
      </c>
      <c r="N1217" s="464">
        <f t="shared" si="110"/>
        <v>88085</v>
      </c>
    </row>
    <row r="1218" spans="7:14" ht="11.25" customHeight="1" x14ac:dyDescent="0.25">
      <c r="G1218" s="459">
        <f t="shared" si="125"/>
        <v>101</v>
      </c>
      <c r="H1218" s="459">
        <v>1211</v>
      </c>
      <c r="I1218" s="444">
        <f t="shared" ca="1" si="108"/>
        <v>-70904454.512331381</v>
      </c>
      <c r="J1218" s="444">
        <f t="array" ref="J1218">IFERROR(INDEX('Retirement Calculator'!J:J,MATCH('Isaac 401k'!N1218,'Retirement Calculator'!A:A,0),0),0)</f>
        <v>0</v>
      </c>
      <c r="K1218" s="444">
        <f t="shared" ca="1" si="105"/>
        <v>-295435.22713471408</v>
      </c>
      <c r="L1218" s="444">
        <f t="shared" ca="1" si="106"/>
        <v>-71199889.739466101</v>
      </c>
      <c r="M1218" s="460">
        <f t="shared" si="109"/>
        <v>0.05</v>
      </c>
      <c r="N1218" s="464">
        <f t="shared" si="110"/>
        <v>88116</v>
      </c>
    </row>
    <row r="1219" spans="7:14" ht="11.25" customHeight="1" x14ac:dyDescent="0.25">
      <c r="G1219" s="459">
        <f t="shared" si="125"/>
        <v>101</v>
      </c>
      <c r="H1219" s="459">
        <v>1212</v>
      </c>
      <c r="I1219" s="444">
        <f t="shared" ca="1" si="108"/>
        <v>-71199889.739466101</v>
      </c>
      <c r="J1219" s="444">
        <f t="array" ref="J1219">IFERROR(INDEX('Retirement Calculator'!J:J,MATCH('Isaac 401k'!N1219,'Retirement Calculator'!A:A,0),0),0)</f>
        <v>0</v>
      </c>
      <c r="K1219" s="444">
        <f t="shared" ca="1" si="105"/>
        <v>-296666.2072477754</v>
      </c>
      <c r="L1219" s="444">
        <f t="shared" ca="1" si="106"/>
        <v>-71496555.94671388</v>
      </c>
      <c r="M1219" s="460">
        <f t="shared" si="109"/>
        <v>0.05</v>
      </c>
      <c r="N1219" s="464">
        <f t="shared" si="110"/>
        <v>88146</v>
      </c>
    </row>
    <row r="1220" spans="7:14" ht="11.25" customHeight="1" x14ac:dyDescent="0.25">
      <c r="G1220" s="459"/>
      <c r="H1220" s="459">
        <v>1213</v>
      </c>
      <c r="I1220" s="444">
        <f t="shared" ca="1" si="108"/>
        <v>-71496555.94671388</v>
      </c>
      <c r="J1220" s="444">
        <f t="array" ref="J1220">IFERROR(INDEX('Retirement Calculator'!J:J,MATCH('Isaac 401k'!N1220,'Retirement Calculator'!A:A,0),0),0)</f>
        <v>0</v>
      </c>
      <c r="K1220" s="444">
        <f t="shared" ca="1" si="105"/>
        <v>-297902.31644464115</v>
      </c>
      <c r="L1220" s="444">
        <f t="shared" ca="1" si="106"/>
        <v>-71794458.263158515</v>
      </c>
      <c r="M1220" s="460">
        <f t="shared" si="109"/>
        <v>0.05</v>
      </c>
      <c r="N1220" s="464">
        <f t="shared" si="110"/>
        <v>88177</v>
      </c>
    </row>
    <row r="1221" spans="7:14" ht="11.25" customHeight="1" x14ac:dyDescent="0.25">
      <c r="G1221" s="459"/>
      <c r="H1221" s="459">
        <v>1214</v>
      </c>
      <c r="I1221" s="444">
        <f t="shared" ca="1" si="108"/>
        <v>-71794458.263158515</v>
      </c>
      <c r="J1221" s="444">
        <f t="array" ref="J1221">IFERROR(INDEX('Retirement Calculator'!J:J,MATCH('Isaac 401k'!N1221,'Retirement Calculator'!A:A,0),0),0)</f>
        <v>0</v>
      </c>
      <c r="K1221" s="444">
        <f t="shared" ca="1" si="105"/>
        <v>-299143.57609649381</v>
      </c>
      <c r="L1221" s="444">
        <f t="shared" ca="1" si="106"/>
        <v>-72093601.839255005</v>
      </c>
      <c r="M1221" s="460">
        <f t="shared" si="109"/>
        <v>0.05</v>
      </c>
      <c r="N1221" s="464">
        <f t="shared" si="110"/>
        <v>88207</v>
      </c>
    </row>
    <row r="1222" spans="7:14" ht="11.25" customHeight="1" x14ac:dyDescent="0.25">
      <c r="G1222" s="459"/>
      <c r="H1222" s="459">
        <v>1215</v>
      </c>
      <c r="I1222" s="444">
        <f t="shared" ca="1" si="108"/>
        <v>-72093601.839255005</v>
      </c>
      <c r="J1222" s="444">
        <f t="array" ref="J1222">IFERROR(INDEX('Retirement Calculator'!J:J,MATCH('Isaac 401k'!N1222,'Retirement Calculator'!A:A,0),0),0)</f>
        <v>0</v>
      </c>
      <c r="K1222" s="444">
        <f t="shared" ca="1" si="105"/>
        <v>-300390.00766356254</v>
      </c>
      <c r="L1222" s="444">
        <f t="shared" ca="1" si="106"/>
        <v>-72393991.846918568</v>
      </c>
      <c r="M1222" s="460">
        <f t="shared" si="109"/>
        <v>0.05</v>
      </c>
      <c r="N1222" s="464">
        <f t="shared" si="110"/>
        <v>88238</v>
      </c>
    </row>
    <row r="1223" spans="7:14" ht="11.25" customHeight="1" x14ac:dyDescent="0.25">
      <c r="G1223" s="459"/>
      <c r="H1223" s="459">
        <v>1216</v>
      </c>
      <c r="I1223" s="444">
        <f t="shared" ca="1" si="108"/>
        <v>-72393991.846918568</v>
      </c>
      <c r="J1223" s="444">
        <f t="array" ref="J1223">IFERROR(INDEX('Retirement Calculator'!J:J,MATCH('Isaac 401k'!N1223,'Retirement Calculator'!A:A,0),0),0)</f>
        <v>0</v>
      </c>
      <c r="K1223" s="444">
        <f t="shared" ca="1" si="105"/>
        <v>-301641.63269549405</v>
      </c>
      <c r="L1223" s="444">
        <f t="shared" ca="1" si="106"/>
        <v>-72695633.479614064</v>
      </c>
      <c r="M1223" s="460">
        <f t="shared" si="109"/>
        <v>0.05</v>
      </c>
      <c r="N1223" s="464">
        <f t="shared" si="110"/>
        <v>88269</v>
      </c>
    </row>
    <row r="1224" spans="7:14" ht="11.25" customHeight="1" x14ac:dyDescent="0.25">
      <c r="G1224" s="459"/>
      <c r="H1224" s="459">
        <v>1217</v>
      </c>
      <c r="I1224" s="444">
        <f t="shared" ca="1" si="108"/>
        <v>-72695633.479614064</v>
      </c>
      <c r="J1224" s="444">
        <f t="array" ref="J1224">IFERROR(INDEX('Retirement Calculator'!J:J,MATCH('Isaac 401k'!N1224,'Retirement Calculator'!A:A,0),0),0)</f>
        <v>0</v>
      </c>
      <c r="K1224" s="444">
        <f t="shared" ca="1" si="105"/>
        <v>-302898.47283172526</v>
      </c>
      <c r="L1224" s="444">
        <f t="shared" ca="1" si="106"/>
        <v>-72998531.95244579</v>
      </c>
      <c r="M1224" s="460">
        <f t="shared" si="109"/>
        <v>0.05</v>
      </c>
      <c r="N1224" s="464">
        <f t="shared" si="110"/>
        <v>88299</v>
      </c>
    </row>
    <row r="1225" spans="7:14" ht="11.25" customHeight="1" x14ac:dyDescent="0.25">
      <c r="G1225" s="459"/>
      <c r="H1225" s="459">
        <v>1218</v>
      </c>
      <c r="I1225" s="444">
        <f t="shared" ca="1" si="108"/>
        <v>-72998531.95244579</v>
      </c>
      <c r="J1225" s="444">
        <f t="array" ref="J1225">IFERROR(INDEX('Retirement Calculator'!J:J,MATCH('Isaac 401k'!N1225,'Retirement Calculator'!A:A,0),0),0)</f>
        <v>0</v>
      </c>
      <c r="K1225" s="444">
        <f t="shared" ca="1" si="105"/>
        <v>-304160.54980185744</v>
      </c>
      <c r="L1225" s="444">
        <f t="shared" ca="1" si="106"/>
        <v>-73302692.502247646</v>
      </c>
      <c r="M1225" s="460">
        <f t="shared" si="109"/>
        <v>0.05</v>
      </c>
      <c r="N1225" s="464">
        <f t="shared" si="110"/>
        <v>88330</v>
      </c>
    </row>
    <row r="1226" spans="7:14" ht="11.25" customHeight="1" x14ac:dyDescent="0.25">
      <c r="G1226" s="459"/>
      <c r="H1226" s="459">
        <v>1219</v>
      </c>
      <c r="I1226" s="444">
        <f t="shared" ca="1" si="108"/>
        <v>-73302692.502247646</v>
      </c>
      <c r="J1226" s="444">
        <f t="array" ref="J1226">IFERROR(INDEX('Retirement Calculator'!J:J,MATCH('Isaac 401k'!N1226,'Retirement Calculator'!A:A,0),0),0)</f>
        <v>0</v>
      </c>
      <c r="K1226" s="444">
        <f t="shared" ca="1" si="105"/>
        <v>-305427.88542603183</v>
      </c>
      <c r="L1226" s="444">
        <f t="shared" ca="1" si="106"/>
        <v>-73608120.387673676</v>
      </c>
      <c r="M1226" s="460">
        <f t="shared" si="109"/>
        <v>0.05</v>
      </c>
      <c r="N1226" s="464">
        <f t="shared" si="110"/>
        <v>88360</v>
      </c>
    </row>
    <row r="1227" spans="7:14" ht="11.25" customHeight="1" x14ac:dyDescent="0.25">
      <c r="G1227" s="459"/>
      <c r="H1227" s="459">
        <v>1220</v>
      </c>
      <c r="I1227" s="444">
        <f t="shared" ca="1" si="108"/>
        <v>-73608120.387673676</v>
      </c>
      <c r="J1227" s="444">
        <f t="array" ref="J1227">IFERROR(INDEX('Retirement Calculator'!J:J,MATCH('Isaac 401k'!N1227,'Retirement Calculator'!A:A,0),0),0)</f>
        <v>0</v>
      </c>
      <c r="K1227" s="444">
        <f t="shared" ca="1" si="105"/>
        <v>-306700.501615307</v>
      </c>
      <c r="L1227" s="444">
        <f t="shared" ca="1" si="106"/>
        <v>-73914820.889288977</v>
      </c>
      <c r="M1227" s="460">
        <f t="shared" si="109"/>
        <v>0.05</v>
      </c>
      <c r="N1227" s="464">
        <f t="shared" si="110"/>
        <v>88391</v>
      </c>
    </row>
    <row r="1228" spans="7:14" ht="11.25" customHeight="1" x14ac:dyDescent="0.25">
      <c r="G1228" s="459"/>
      <c r="H1228" s="459">
        <v>1221</v>
      </c>
      <c r="I1228" s="444">
        <f t="shared" ca="1" si="108"/>
        <v>-73914820.889288977</v>
      </c>
      <c r="J1228" s="444">
        <f t="array" ref="J1228">IFERROR(INDEX('Retirement Calculator'!J:J,MATCH('Isaac 401k'!N1228,'Retirement Calculator'!A:A,0),0),0)</f>
        <v>0</v>
      </c>
      <c r="K1228" s="444">
        <f t="shared" ca="1" si="105"/>
        <v>-307978.42037203739</v>
      </c>
      <c r="L1228" s="444">
        <f t="shared" ca="1" si="106"/>
        <v>-74222799.309661016</v>
      </c>
      <c r="M1228" s="460">
        <f t="shared" si="109"/>
        <v>0.05</v>
      </c>
      <c r="N1228" s="464">
        <f t="shared" si="110"/>
        <v>88422</v>
      </c>
    </row>
    <row r="1229" spans="7:14" ht="11.25" customHeight="1" x14ac:dyDescent="0.25">
      <c r="G1229" s="459"/>
      <c r="H1229" s="459">
        <v>1222</v>
      </c>
      <c r="I1229" s="444">
        <f t="shared" ca="1" si="108"/>
        <v>-74222799.309661016</v>
      </c>
      <c r="J1229" s="444">
        <f t="array" ref="J1229">IFERROR(INDEX('Retirement Calculator'!J:J,MATCH('Isaac 401k'!N1229,'Retirement Calculator'!A:A,0),0),0)</f>
        <v>0</v>
      </c>
      <c r="K1229" s="444">
        <f t="shared" ca="1" si="105"/>
        <v>-309261.66379025421</v>
      </c>
      <c r="L1229" s="444">
        <f t="shared" ca="1" si="106"/>
        <v>-74532060.973451272</v>
      </c>
      <c r="M1229" s="460">
        <f t="shared" si="109"/>
        <v>0.05</v>
      </c>
      <c r="N1229" s="464">
        <f t="shared" si="110"/>
        <v>88450</v>
      </c>
    </row>
    <row r="1230" spans="7:14" ht="11.25" customHeight="1" x14ac:dyDescent="0.25">
      <c r="G1230" s="459"/>
      <c r="H1230" s="459">
        <v>1223</v>
      </c>
      <c r="I1230" s="444">
        <f t="shared" ca="1" si="108"/>
        <v>-74532060.973451272</v>
      </c>
      <c r="J1230" s="444">
        <f t="array" ref="J1230">IFERROR(INDEX('Retirement Calculator'!J:J,MATCH('Isaac 401k'!N1230,'Retirement Calculator'!A:A,0),0),0)</f>
        <v>0</v>
      </c>
      <c r="K1230" s="444">
        <f t="shared" ca="1" si="105"/>
        <v>-310550.25405604695</v>
      </c>
      <c r="L1230" s="444">
        <f t="shared" ca="1" si="106"/>
        <v>-74842611.227507323</v>
      </c>
      <c r="M1230" s="460">
        <f t="shared" si="109"/>
        <v>0.05</v>
      </c>
      <c r="N1230" s="464">
        <f t="shared" si="110"/>
        <v>88481</v>
      </c>
    </row>
    <row r="1231" spans="7:14" ht="11.25" customHeight="1" x14ac:dyDescent="0.25">
      <c r="G1231" s="459"/>
      <c r="H1231" s="459">
        <v>1224</v>
      </c>
      <c r="I1231" s="444">
        <f t="shared" ca="1" si="108"/>
        <v>-74842611.227507323</v>
      </c>
      <c r="J1231" s="444">
        <f t="array" ref="J1231">IFERROR(INDEX('Retirement Calculator'!J:J,MATCH('Isaac 401k'!N1231,'Retirement Calculator'!A:A,0),0),0)</f>
        <v>0</v>
      </c>
      <c r="K1231" s="444">
        <f t="shared" ca="1" si="105"/>
        <v>-311844.21344794717</v>
      </c>
      <c r="L1231" s="444">
        <f t="shared" ca="1" si="106"/>
        <v>-75154455.440955266</v>
      </c>
      <c r="M1231" s="460">
        <f t="shared" si="109"/>
        <v>0.05</v>
      </c>
      <c r="N1231" s="464">
        <f t="shared" si="110"/>
        <v>88511</v>
      </c>
    </row>
    <row r="1232" spans="7:14" ht="11.25" customHeight="1" x14ac:dyDescent="0.25">
      <c r="G1232" s="459"/>
      <c r="H1232" s="459">
        <v>1225</v>
      </c>
      <c r="I1232" s="444">
        <f t="shared" ca="1" si="108"/>
        <v>-75154455.440955266</v>
      </c>
      <c r="J1232" s="444">
        <f t="array" ref="J1232">IFERROR(INDEX('Retirement Calculator'!J:J,MATCH('Isaac 401k'!N1232,'Retirement Calculator'!A:A,0),0),0)</f>
        <v>0</v>
      </c>
      <c r="K1232" s="444">
        <f t="shared" ca="1" si="105"/>
        <v>-313143.56433731358</v>
      </c>
      <c r="L1232" s="444">
        <f t="shared" ca="1" si="106"/>
        <v>-75467599.00529258</v>
      </c>
      <c r="M1232" s="460">
        <f t="shared" si="109"/>
        <v>0.05</v>
      </c>
      <c r="N1232" s="464">
        <f t="shared" si="110"/>
        <v>88542</v>
      </c>
    </row>
    <row r="1233" spans="7:14" ht="11.25" customHeight="1" x14ac:dyDescent="0.25">
      <c r="G1233" s="459"/>
      <c r="H1233" s="459">
        <v>1226</v>
      </c>
      <c r="I1233" s="444">
        <f t="shared" ca="1" si="108"/>
        <v>-75467599.00529258</v>
      </c>
      <c r="J1233" s="444">
        <f t="array" ref="J1233">IFERROR(INDEX('Retirement Calculator'!J:J,MATCH('Isaac 401k'!N1233,'Retirement Calculator'!A:A,0),0),0)</f>
        <v>0</v>
      </c>
      <c r="K1233" s="444">
        <f t="shared" ca="1" si="105"/>
        <v>-314448.3291887191</v>
      </c>
      <c r="L1233" s="444">
        <f t="shared" ca="1" si="106"/>
        <v>-75782047.334481299</v>
      </c>
      <c r="M1233" s="460">
        <f t="shared" si="109"/>
        <v>0.05</v>
      </c>
      <c r="N1233" s="464">
        <f t="shared" si="110"/>
        <v>88572</v>
      </c>
    </row>
    <row r="1234" spans="7:14" ht="11.25" customHeight="1" x14ac:dyDescent="0.25">
      <c r="G1234" s="459"/>
      <c r="H1234" s="459">
        <v>1227</v>
      </c>
      <c r="I1234" s="444">
        <f t="shared" ca="1" si="108"/>
        <v>-75782047.334481299</v>
      </c>
      <c r="J1234" s="444">
        <f t="array" ref="J1234">IFERROR(INDEX('Retirement Calculator'!J:J,MATCH('Isaac 401k'!N1234,'Retirement Calculator'!A:A,0),0),0)</f>
        <v>0</v>
      </c>
      <c r="K1234" s="444">
        <f t="shared" ca="1" si="105"/>
        <v>-315758.53056033875</v>
      </c>
      <c r="L1234" s="444">
        <f t="shared" ca="1" si="106"/>
        <v>-76097805.865041643</v>
      </c>
      <c r="M1234" s="460">
        <f t="shared" si="109"/>
        <v>0.05</v>
      </c>
      <c r="N1234" s="464">
        <f t="shared" si="110"/>
        <v>88603</v>
      </c>
    </row>
    <row r="1235" spans="7:14" ht="11.25" customHeight="1" x14ac:dyDescent="0.25">
      <c r="G1235" s="459"/>
      <c r="H1235" s="459">
        <v>1228</v>
      </c>
      <c r="I1235" s="444">
        <f t="shared" ca="1" si="108"/>
        <v>-76097805.865041643</v>
      </c>
      <c r="J1235" s="444">
        <f t="array" ref="J1235">IFERROR(INDEX('Retirement Calculator'!J:J,MATCH('Isaac 401k'!N1235,'Retirement Calculator'!A:A,0),0),0)</f>
        <v>0</v>
      </c>
      <c r="K1235" s="444">
        <f t="shared" ca="1" si="105"/>
        <v>-317074.19110434019</v>
      </c>
      <c r="L1235" s="444">
        <f t="shared" ca="1" si="106"/>
        <v>-76414880.056145981</v>
      </c>
      <c r="M1235" s="460">
        <f t="shared" si="109"/>
        <v>0.05</v>
      </c>
      <c r="N1235" s="464">
        <f t="shared" si="110"/>
        <v>88634</v>
      </c>
    </row>
    <row r="1236" spans="7:14" ht="11.25" customHeight="1" x14ac:dyDescent="0.25">
      <c r="G1236" s="459"/>
      <c r="H1236" s="459">
        <v>1229</v>
      </c>
      <c r="I1236" s="444">
        <f t="shared" ca="1" si="108"/>
        <v>-76414880.056145981</v>
      </c>
      <c r="J1236" s="444">
        <f t="array" ref="J1236">IFERROR(INDEX('Retirement Calculator'!J:J,MATCH('Isaac 401k'!N1236,'Retirement Calculator'!A:A,0),0),0)</f>
        <v>0</v>
      </c>
      <c r="K1236" s="444">
        <f t="shared" ca="1" si="105"/>
        <v>-318395.33356727491</v>
      </c>
      <c r="L1236" s="444">
        <f t="shared" ca="1" si="106"/>
        <v>-76733275.389713258</v>
      </c>
      <c r="M1236" s="460">
        <f t="shared" si="109"/>
        <v>0.05</v>
      </c>
      <c r="N1236" s="464">
        <f t="shared" si="110"/>
        <v>88664</v>
      </c>
    </row>
    <row r="1237" spans="7:14" ht="11.25" customHeight="1" x14ac:dyDescent="0.25">
      <c r="G1237" s="459"/>
      <c r="H1237" s="459">
        <v>1230</v>
      </c>
      <c r="I1237" s="444">
        <f t="shared" ca="1" si="108"/>
        <v>-76733275.389713258</v>
      </c>
      <c r="J1237" s="444">
        <f t="array" ref="J1237">IFERROR(INDEX('Retirement Calculator'!J:J,MATCH('Isaac 401k'!N1237,'Retirement Calculator'!A:A,0),0),0)</f>
        <v>0</v>
      </c>
      <c r="K1237" s="444">
        <f t="shared" ca="1" si="105"/>
        <v>-319721.98079047189</v>
      </c>
      <c r="L1237" s="444">
        <f t="shared" ca="1" si="106"/>
        <v>-77052997.370503724</v>
      </c>
      <c r="M1237" s="460">
        <f t="shared" si="109"/>
        <v>0.05</v>
      </c>
      <c r="N1237" s="464">
        <f t="shared" si="110"/>
        <v>88695</v>
      </c>
    </row>
    <row r="1238" spans="7:14" ht="11.25" customHeight="1" x14ac:dyDescent="0.25">
      <c r="G1238" s="459"/>
      <c r="H1238" s="459">
        <v>1231</v>
      </c>
      <c r="I1238" s="444">
        <f t="shared" ca="1" si="108"/>
        <v>-77052997.370503724</v>
      </c>
      <c r="J1238" s="444">
        <f t="array" ref="J1238">IFERROR(INDEX('Retirement Calculator'!J:J,MATCH('Isaac 401k'!N1238,'Retirement Calculator'!A:A,0),0),0)</f>
        <v>0</v>
      </c>
      <c r="K1238" s="444">
        <f t="shared" ca="1" si="105"/>
        <v>-321054.15571043215</v>
      </c>
      <c r="L1238" s="444">
        <f t="shared" ca="1" si="106"/>
        <v>-77374051.526214153</v>
      </c>
      <c r="M1238" s="460">
        <f t="shared" si="109"/>
        <v>0.05</v>
      </c>
      <c r="N1238" s="464">
        <f t="shared" si="110"/>
        <v>88725</v>
      </c>
    </row>
    <row r="1239" spans="7:14" ht="11.25" customHeight="1" x14ac:dyDescent="0.25">
      <c r="G1239" s="459"/>
      <c r="H1239" s="459">
        <v>1232</v>
      </c>
      <c r="I1239" s="444">
        <f t="shared" ca="1" si="108"/>
        <v>-77374051.526214153</v>
      </c>
      <c r="J1239" s="444">
        <f t="array" ref="J1239">IFERROR(INDEX('Retirement Calculator'!J:J,MATCH('Isaac 401k'!N1239,'Retirement Calculator'!A:A,0),0),0)</f>
        <v>0</v>
      </c>
      <c r="K1239" s="444">
        <f t="shared" ca="1" si="105"/>
        <v>-322391.8813592256</v>
      </c>
      <c r="L1239" s="444">
        <f t="shared" ca="1" si="106"/>
        <v>-77696443.407573372</v>
      </c>
      <c r="M1239" s="460">
        <f t="shared" si="109"/>
        <v>0.05</v>
      </c>
      <c r="N1239" s="464">
        <f t="shared" si="110"/>
        <v>88756</v>
      </c>
    </row>
    <row r="1240" spans="7:14" ht="11.25" customHeight="1" x14ac:dyDescent="0.25">
      <c r="G1240" s="459"/>
      <c r="H1240" s="459">
        <v>1233</v>
      </c>
      <c r="I1240" s="444">
        <f t="shared" ca="1" si="108"/>
        <v>-77696443.407573372</v>
      </c>
      <c r="J1240" s="444">
        <f t="array" ref="J1240">IFERROR(INDEX('Retirement Calculator'!J:J,MATCH('Isaac 401k'!N1240,'Retirement Calculator'!A:A,0),0),0)</f>
        <v>0</v>
      </c>
      <c r="K1240" s="444">
        <f t="shared" ca="1" si="105"/>
        <v>-323735.18086488906</v>
      </c>
      <c r="L1240" s="444">
        <f t="shared" ca="1" si="106"/>
        <v>-78020178.588438258</v>
      </c>
      <c r="M1240" s="460">
        <f t="shared" si="109"/>
        <v>0.05</v>
      </c>
      <c r="N1240" s="464">
        <f t="shared" si="110"/>
        <v>88787</v>
      </c>
    </row>
    <row r="1241" spans="7:14" ht="11.25" customHeight="1" x14ac:dyDescent="0.25">
      <c r="G1241" s="459"/>
      <c r="H1241" s="459">
        <v>1234</v>
      </c>
      <c r="I1241" s="444">
        <f t="shared" ca="1" si="108"/>
        <v>-78020178.588438258</v>
      </c>
      <c r="J1241" s="444">
        <f t="array" ref="J1241">IFERROR(INDEX('Retirement Calculator'!J:J,MATCH('Isaac 401k'!N1241,'Retirement Calculator'!A:A,0),0),0)</f>
        <v>0</v>
      </c>
      <c r="K1241" s="444">
        <f t="shared" ca="1" si="105"/>
        <v>-325084.07745182607</v>
      </c>
      <c r="L1241" s="444">
        <f t="shared" ca="1" si="106"/>
        <v>-78345262.665890083</v>
      </c>
      <c r="M1241" s="460">
        <f t="shared" si="109"/>
        <v>0.05</v>
      </c>
      <c r="N1241" s="464">
        <f t="shared" si="110"/>
        <v>88815</v>
      </c>
    </row>
    <row r="1242" spans="7:14" ht="11.25" customHeight="1" x14ac:dyDescent="0.25">
      <c r="G1242" s="459"/>
      <c r="H1242" s="459">
        <v>1235</v>
      </c>
      <c r="I1242" s="444">
        <f t="shared" ca="1" si="108"/>
        <v>-78345262.665890083</v>
      </c>
      <c r="J1242" s="444">
        <f t="array" ref="J1242">IFERROR(INDEX('Retirement Calculator'!J:J,MATCH('Isaac 401k'!N1242,'Retirement Calculator'!A:A,0),0),0)</f>
        <v>0</v>
      </c>
      <c r="K1242" s="444">
        <f t="shared" ca="1" si="105"/>
        <v>-326438.5944412087</v>
      </c>
      <c r="L1242" s="444">
        <f t="shared" ca="1" si="106"/>
        <v>-78671701.260331288</v>
      </c>
      <c r="M1242" s="460">
        <f t="shared" si="109"/>
        <v>0.05</v>
      </c>
      <c r="N1242" s="464">
        <f t="shared" si="110"/>
        <v>88846</v>
      </c>
    </row>
    <row r="1243" spans="7:14" ht="11.25" customHeight="1" x14ac:dyDescent="0.25">
      <c r="G1243" s="459"/>
      <c r="H1243" s="459">
        <v>1236</v>
      </c>
      <c r="I1243" s="444">
        <f t="shared" ca="1" si="108"/>
        <v>-78671701.260331288</v>
      </c>
      <c r="J1243" s="444">
        <f t="array" ref="J1243">IFERROR(INDEX('Retirement Calculator'!J:J,MATCH('Isaac 401k'!N1243,'Retirement Calculator'!A:A,0),0),0)</f>
        <v>0</v>
      </c>
      <c r="K1243" s="444">
        <f t="shared" ca="1" si="105"/>
        <v>-327798.75525138038</v>
      </c>
      <c r="L1243" s="444">
        <f t="shared" ca="1" si="106"/>
        <v>-78999500.015582666</v>
      </c>
      <c r="M1243" s="460">
        <f t="shared" si="109"/>
        <v>0.05</v>
      </c>
      <c r="N1243" s="464">
        <f t="shared" si="110"/>
        <v>88876</v>
      </c>
    </row>
    <row r="1244" spans="7:14" ht="11.25" customHeight="1" x14ac:dyDescent="0.25">
      <c r="G1244" s="459"/>
      <c r="H1244" s="459">
        <v>1237</v>
      </c>
      <c r="I1244" s="444">
        <f t="shared" ca="1" si="108"/>
        <v>-78999500.015582666</v>
      </c>
      <c r="J1244" s="444">
        <f t="array" ref="J1244">IFERROR(INDEX('Retirement Calculator'!J:J,MATCH('Isaac 401k'!N1244,'Retirement Calculator'!A:A,0),0),0)</f>
        <v>0</v>
      </c>
      <c r="K1244" s="444">
        <f t="shared" ca="1" si="105"/>
        <v>-329164.58339826111</v>
      </c>
      <c r="L1244" s="444">
        <f t="shared" ca="1" si="106"/>
        <v>-79328664.598980933</v>
      </c>
      <c r="M1244" s="460">
        <f t="shared" si="109"/>
        <v>0.05</v>
      </c>
      <c r="N1244" s="464">
        <f t="shared" si="110"/>
        <v>88907</v>
      </c>
    </row>
    <row r="1245" spans="7:14" ht="11.25" customHeight="1" x14ac:dyDescent="0.25">
      <c r="G1245" s="459"/>
      <c r="H1245" s="459">
        <v>1238</v>
      </c>
      <c r="I1245" s="444">
        <f t="shared" ca="1" si="108"/>
        <v>-79328664.598980933</v>
      </c>
      <c r="J1245" s="444">
        <f t="array" ref="J1245">IFERROR(INDEX('Retirement Calculator'!J:J,MATCH('Isaac 401k'!N1245,'Retirement Calculator'!A:A,0),0),0)</f>
        <v>0</v>
      </c>
      <c r="K1245" s="444">
        <f t="shared" ca="1" si="105"/>
        <v>-330536.1024957539</v>
      </c>
      <c r="L1245" s="444">
        <f t="shared" ca="1" si="106"/>
        <v>-79659200.701476693</v>
      </c>
      <c r="M1245" s="460">
        <f t="shared" si="109"/>
        <v>0.05</v>
      </c>
      <c r="N1245" s="464">
        <f t="shared" si="110"/>
        <v>88937</v>
      </c>
    </row>
    <row r="1246" spans="7:14" ht="11.25" customHeight="1" x14ac:dyDescent="0.25">
      <c r="G1246" s="459"/>
      <c r="H1246" s="459">
        <v>1239</v>
      </c>
      <c r="I1246" s="444">
        <f t="shared" ca="1" si="108"/>
        <v>-79659200.701476693</v>
      </c>
      <c r="J1246" s="444">
        <f t="array" ref="J1246">IFERROR(INDEX('Retirement Calculator'!J:J,MATCH('Isaac 401k'!N1246,'Retirement Calculator'!A:A,0),0),0)</f>
        <v>0</v>
      </c>
      <c r="K1246" s="444">
        <f t="shared" ca="1" si="105"/>
        <v>-331913.33625615289</v>
      </c>
      <c r="L1246" s="444">
        <f t="shared" ca="1" si="106"/>
        <v>-79991114.03773284</v>
      </c>
      <c r="M1246" s="460">
        <f t="shared" si="109"/>
        <v>0.05</v>
      </c>
      <c r="N1246" s="464">
        <f t="shared" si="110"/>
        <v>88968</v>
      </c>
    </row>
    <row r="1247" spans="7:14" ht="11.25" customHeight="1" x14ac:dyDescent="0.25">
      <c r="G1247" s="459"/>
      <c r="H1247" s="459">
        <v>1240</v>
      </c>
      <c r="I1247" s="444">
        <f t="shared" ca="1" si="108"/>
        <v>-79991114.03773284</v>
      </c>
      <c r="J1247" s="444">
        <f t="array" ref="J1247">IFERROR(INDEX('Retirement Calculator'!J:J,MATCH('Isaac 401k'!N1247,'Retirement Calculator'!A:A,0),0),0)</f>
        <v>0</v>
      </c>
      <c r="K1247" s="444">
        <f t="shared" ca="1" si="105"/>
        <v>-333296.30849055352</v>
      </c>
      <c r="L1247" s="444">
        <f t="shared" ca="1" si="106"/>
        <v>-80324410.346223399</v>
      </c>
      <c r="M1247" s="460">
        <f t="shared" si="109"/>
        <v>0.05</v>
      </c>
      <c r="N1247" s="464">
        <f t="shared" si="110"/>
        <v>88999</v>
      </c>
    </row>
    <row r="1248" spans="7:14" ht="11.25" customHeight="1" x14ac:dyDescent="0.25">
      <c r="G1248" s="459"/>
      <c r="H1248" s="459">
        <v>1241</v>
      </c>
      <c r="I1248" s="444">
        <f t="shared" ca="1" si="108"/>
        <v>-80324410.346223399</v>
      </c>
      <c r="J1248" s="444">
        <f t="array" ref="J1248">IFERROR(INDEX('Retirement Calculator'!J:J,MATCH('Isaac 401k'!N1248,'Retirement Calculator'!A:A,0),0),0)</f>
        <v>0</v>
      </c>
      <c r="K1248" s="444">
        <f t="shared" ca="1" si="105"/>
        <v>-334685.04310926417</v>
      </c>
      <c r="L1248" s="444">
        <f t="shared" ca="1" si="106"/>
        <v>-80659095.389332667</v>
      </c>
      <c r="M1248" s="460">
        <f t="shared" si="109"/>
        <v>0.05</v>
      </c>
      <c r="N1248" s="464">
        <f t="shared" si="110"/>
        <v>89029</v>
      </c>
    </row>
    <row r="1249" spans="7:14" ht="11.25" customHeight="1" x14ac:dyDescent="0.25">
      <c r="G1249" s="459"/>
      <c r="H1249" s="459">
        <v>1242</v>
      </c>
      <c r="I1249" s="444">
        <f t="shared" ca="1" si="108"/>
        <v>-80659095.389332667</v>
      </c>
      <c r="J1249" s="444">
        <f t="array" ref="J1249">IFERROR(INDEX('Retirement Calculator'!J:J,MATCH('Isaac 401k'!N1249,'Retirement Calculator'!A:A,0),0),0)</f>
        <v>0</v>
      </c>
      <c r="K1249" s="444">
        <f t="shared" ca="1" si="105"/>
        <v>-336079.56412221945</v>
      </c>
      <c r="L1249" s="444">
        <f t="shared" ca="1" si="106"/>
        <v>-80995174.953454882</v>
      </c>
      <c r="M1249" s="460">
        <f t="shared" si="109"/>
        <v>0.05</v>
      </c>
      <c r="N1249" s="464">
        <f t="shared" si="110"/>
        <v>89060</v>
      </c>
    </row>
    <row r="1250" spans="7:14" ht="11.25" customHeight="1" x14ac:dyDescent="0.25">
      <c r="G1250" s="459"/>
      <c r="H1250" s="459">
        <v>1243</v>
      </c>
      <c r="I1250" s="444">
        <f t="shared" ca="1" si="108"/>
        <v>-80995174.953454882</v>
      </c>
      <c r="J1250" s="444">
        <f t="array" ref="J1250">IFERROR(INDEX('Retirement Calculator'!J:J,MATCH('Isaac 401k'!N1250,'Retirement Calculator'!A:A,0),0),0)</f>
        <v>0</v>
      </c>
      <c r="K1250" s="444">
        <f t="shared" ca="1" si="105"/>
        <v>-337479.89563939534</v>
      </c>
      <c r="L1250" s="444">
        <f t="shared" ca="1" si="106"/>
        <v>-81332654.849094272</v>
      </c>
      <c r="M1250" s="460">
        <f t="shared" si="109"/>
        <v>0.05</v>
      </c>
      <c r="N1250" s="464">
        <f t="shared" si="110"/>
        <v>89090</v>
      </c>
    </row>
    <row r="1251" spans="7:14" ht="11.25" customHeight="1" x14ac:dyDescent="0.25">
      <c r="G1251" s="459"/>
      <c r="H1251" s="459">
        <v>1244</v>
      </c>
      <c r="I1251" s="444">
        <f t="shared" ca="1" si="108"/>
        <v>-81332654.849094272</v>
      </c>
      <c r="J1251" s="444">
        <f t="array" ref="J1251">IFERROR(INDEX('Retirement Calculator'!J:J,MATCH('Isaac 401k'!N1251,'Retirement Calculator'!A:A,0),0),0)</f>
        <v>0</v>
      </c>
      <c r="K1251" s="444">
        <f t="shared" ca="1" si="105"/>
        <v>-338886.06187122612</v>
      </c>
      <c r="L1251" s="444">
        <f t="shared" ca="1" si="106"/>
        <v>-81671540.910965502</v>
      </c>
      <c r="M1251" s="460">
        <f t="shared" si="109"/>
        <v>0.05</v>
      </c>
      <c r="N1251" s="464">
        <f t="shared" si="110"/>
        <v>89121</v>
      </c>
    </row>
    <row r="1252" spans="7:14" ht="11.25" customHeight="1" x14ac:dyDescent="0.25">
      <c r="G1252" s="459"/>
      <c r="H1252" s="459">
        <v>1245</v>
      </c>
      <c r="I1252" s="444">
        <f t="shared" ca="1" si="108"/>
        <v>-81671540.910965502</v>
      </c>
      <c r="J1252" s="444">
        <f t="array" ref="J1252">IFERROR(INDEX('Retirement Calculator'!J:J,MATCH('Isaac 401k'!N1252,'Retirement Calculator'!A:A,0),0),0)</f>
        <v>0</v>
      </c>
      <c r="K1252" s="444">
        <f t="shared" ca="1" si="105"/>
        <v>-340298.08712902293</v>
      </c>
      <c r="L1252" s="444">
        <f t="shared" ca="1" si="106"/>
        <v>-82011838.998094529</v>
      </c>
      <c r="M1252" s="460">
        <f t="shared" si="109"/>
        <v>0.05</v>
      </c>
      <c r="N1252" s="464">
        <f t="shared" si="110"/>
        <v>89152</v>
      </c>
    </row>
    <row r="1253" spans="7:14" ht="11.25" customHeight="1" x14ac:dyDescent="0.25">
      <c r="G1253" s="459"/>
      <c r="H1253" s="459">
        <v>1246</v>
      </c>
      <c r="I1253" s="444">
        <f t="shared" ca="1" si="108"/>
        <v>-82011838.998094529</v>
      </c>
      <c r="J1253" s="444">
        <f t="array" ref="J1253">IFERROR(INDEX('Retirement Calculator'!J:J,MATCH('Isaac 401k'!N1253,'Retirement Calculator'!A:A,0),0),0)</f>
        <v>0</v>
      </c>
      <c r="K1253" s="444">
        <f t="shared" ca="1" si="105"/>
        <v>-341715.99582539388</v>
      </c>
      <c r="L1253" s="444">
        <f t="shared" ca="1" si="106"/>
        <v>-82353554.993919924</v>
      </c>
      <c r="M1253" s="460">
        <f t="shared" si="109"/>
        <v>0.05</v>
      </c>
      <c r="N1253" s="464">
        <f t="shared" si="110"/>
        <v>89181</v>
      </c>
    </row>
    <row r="1254" spans="7:14" ht="11.25" customHeight="1" x14ac:dyDescent="0.25">
      <c r="G1254" s="459"/>
      <c r="H1254" s="459">
        <v>1247</v>
      </c>
      <c r="I1254" s="444">
        <f t="shared" ca="1" si="108"/>
        <v>-82353554.993919924</v>
      </c>
      <c r="J1254" s="444">
        <f t="array" ref="J1254">IFERROR(INDEX('Retirement Calculator'!J:J,MATCH('Isaac 401k'!N1254,'Retirement Calculator'!A:A,0),0),0)</f>
        <v>0</v>
      </c>
      <c r="K1254" s="444">
        <f t="shared" ca="1" si="105"/>
        <v>-343139.81247466634</v>
      </c>
      <c r="L1254" s="444">
        <f t="shared" ca="1" si="106"/>
        <v>-82696694.806394592</v>
      </c>
      <c r="M1254" s="460">
        <f t="shared" si="109"/>
        <v>0.05</v>
      </c>
      <c r="N1254" s="464">
        <f t="shared" si="110"/>
        <v>89212</v>
      </c>
    </row>
    <row r="1255" spans="7:14" ht="11.25" customHeight="1" x14ac:dyDescent="0.25">
      <c r="G1255" s="459"/>
      <c r="H1255" s="459">
        <v>1248</v>
      </c>
      <c r="I1255" s="444">
        <f t="shared" ca="1" si="108"/>
        <v>-82696694.806394592</v>
      </c>
      <c r="J1255" s="444">
        <f t="array" ref="J1255">IFERROR(INDEX('Retirement Calculator'!J:J,MATCH('Isaac 401k'!N1255,'Retirement Calculator'!A:A,0),0),0)</f>
        <v>0</v>
      </c>
      <c r="K1255" s="444">
        <f t="shared" ca="1" si="105"/>
        <v>-344569.5616933108</v>
      </c>
      <c r="L1255" s="444">
        <f t="shared" ca="1" si="106"/>
        <v>-83041264.368087903</v>
      </c>
      <c r="M1255" s="460">
        <f t="shared" si="109"/>
        <v>0.05</v>
      </c>
      <c r="N1255" s="464">
        <f t="shared" si="110"/>
        <v>89242</v>
      </c>
    </row>
    <row r="1256" spans="7:14" ht="11.25" customHeight="1" x14ac:dyDescent="0.25">
      <c r="G1256" s="459"/>
      <c r="H1256" s="459">
        <v>1249</v>
      </c>
      <c r="I1256" s="444">
        <f t="shared" ca="1" si="108"/>
        <v>-83041264.368087903</v>
      </c>
      <c r="J1256" s="444">
        <f t="array" ref="J1256">IFERROR(INDEX('Retirement Calculator'!J:J,MATCH('Isaac 401k'!N1256,'Retirement Calculator'!A:A,0),0),0)</f>
        <v>0</v>
      </c>
      <c r="K1256" s="444">
        <f t="shared" ca="1" si="105"/>
        <v>-346005.26820036623</v>
      </c>
      <c r="L1256" s="444">
        <f t="shared" ca="1" si="106"/>
        <v>-83387269.63628827</v>
      </c>
      <c r="M1256" s="460">
        <f t="shared" si="109"/>
        <v>0.05</v>
      </c>
      <c r="N1256" s="464">
        <f t="shared" si="110"/>
        <v>89273</v>
      </c>
    </row>
    <row r="1257" spans="7:14" ht="11.25" customHeight="1" x14ac:dyDescent="0.25">
      <c r="G1257" s="459"/>
      <c r="H1257" s="459">
        <v>1250</v>
      </c>
      <c r="I1257" s="444">
        <f t="shared" ca="1" si="108"/>
        <v>-83387269.63628827</v>
      </c>
      <c r="J1257" s="444">
        <f t="array" ref="J1257">IFERROR(INDEX('Retirement Calculator'!J:J,MATCH('Isaac 401k'!N1257,'Retirement Calculator'!A:A,0),0),0)</f>
        <v>0</v>
      </c>
      <c r="K1257" s="444">
        <f t="shared" ca="1" si="105"/>
        <v>-347446.95681786782</v>
      </c>
      <c r="L1257" s="444">
        <f t="shared" ca="1" si="106"/>
        <v>-83734716.593106136</v>
      </c>
      <c r="M1257" s="460">
        <f t="shared" si="109"/>
        <v>0.05</v>
      </c>
      <c r="N1257" s="464">
        <f t="shared" si="110"/>
        <v>89303</v>
      </c>
    </row>
    <row r="1258" spans="7:14" ht="11.25" customHeight="1" x14ac:dyDescent="0.25">
      <c r="G1258" s="459"/>
      <c r="H1258" s="459">
        <v>1251</v>
      </c>
      <c r="I1258" s="444">
        <f t="shared" ca="1" si="108"/>
        <v>-83734716.593106136</v>
      </c>
      <c r="J1258" s="444">
        <f t="array" ref="J1258">IFERROR(INDEX('Retirement Calculator'!J:J,MATCH('Isaac 401k'!N1258,'Retirement Calculator'!A:A,0),0),0)</f>
        <v>0</v>
      </c>
      <c r="K1258" s="444">
        <f t="shared" ca="1" si="105"/>
        <v>-348894.65247127553</v>
      </c>
      <c r="L1258" s="444">
        <f t="shared" ca="1" si="106"/>
        <v>-84083611.24557741</v>
      </c>
      <c r="M1258" s="460">
        <f t="shared" si="109"/>
        <v>0.05</v>
      </c>
      <c r="N1258" s="464">
        <f t="shared" si="110"/>
        <v>89334</v>
      </c>
    </row>
    <row r="1259" spans="7:14" ht="11.25" customHeight="1" x14ac:dyDescent="0.25">
      <c r="G1259" s="459"/>
      <c r="H1259" s="459">
        <v>1252</v>
      </c>
      <c r="I1259" s="444">
        <f t="shared" ca="1" si="108"/>
        <v>-84083611.24557741</v>
      </c>
      <c r="J1259" s="444">
        <f t="array" ref="J1259">IFERROR(INDEX('Retirement Calculator'!J:J,MATCH('Isaac 401k'!N1259,'Retirement Calculator'!A:A,0),0),0)</f>
        <v>0</v>
      </c>
      <c r="K1259" s="444">
        <f t="shared" ca="1" si="105"/>
        <v>-350348.38018990587</v>
      </c>
      <c r="L1259" s="444">
        <f t="shared" ca="1" si="106"/>
        <v>-84433959.62576732</v>
      </c>
      <c r="M1259" s="460">
        <f t="shared" si="109"/>
        <v>0.05</v>
      </c>
      <c r="N1259" s="464">
        <f t="shared" si="110"/>
        <v>89365</v>
      </c>
    </row>
    <row r="1260" spans="7:14" ht="11.25" customHeight="1" x14ac:dyDescent="0.25">
      <c r="G1260" s="459"/>
      <c r="H1260" s="459">
        <v>1253</v>
      </c>
      <c r="I1260" s="444">
        <f t="shared" ca="1" si="108"/>
        <v>-84433959.62576732</v>
      </c>
      <c r="J1260" s="444">
        <f t="array" ref="J1260">IFERROR(INDEX('Retirement Calculator'!J:J,MATCH('Isaac 401k'!N1260,'Retirement Calculator'!A:A,0),0),0)</f>
        <v>0</v>
      </c>
      <c r="K1260" s="444">
        <f t="shared" ca="1" si="105"/>
        <v>-351808.16510736383</v>
      </c>
      <c r="L1260" s="444">
        <f t="shared" ca="1" si="106"/>
        <v>-84785767.79087469</v>
      </c>
      <c r="M1260" s="460">
        <f t="shared" si="109"/>
        <v>0.05</v>
      </c>
      <c r="N1260" s="464">
        <f t="shared" si="110"/>
        <v>89395</v>
      </c>
    </row>
    <row r="1261" spans="7:14" ht="11.25" customHeight="1" x14ac:dyDescent="0.25">
      <c r="G1261" s="459"/>
      <c r="H1261" s="459">
        <v>1254</v>
      </c>
      <c r="I1261" s="444">
        <f t="shared" ca="1" si="108"/>
        <v>-84785767.79087469</v>
      </c>
      <c r="J1261" s="444">
        <f t="array" ref="J1261">IFERROR(INDEX('Retirement Calculator'!J:J,MATCH('Isaac 401k'!N1261,'Retirement Calculator'!A:A,0),0),0)</f>
        <v>0</v>
      </c>
      <c r="K1261" s="444">
        <f t="shared" ca="1" si="105"/>
        <v>-353274.03246197785</v>
      </c>
      <c r="L1261" s="444">
        <f t="shared" ca="1" si="106"/>
        <v>-85139041.823336661</v>
      </c>
      <c r="M1261" s="460">
        <f t="shared" si="109"/>
        <v>0.05</v>
      </c>
      <c r="N1261" s="464">
        <f t="shared" si="110"/>
        <v>89426</v>
      </c>
    </row>
    <row r="1262" spans="7:14" ht="11.25" customHeight="1" x14ac:dyDescent="0.25">
      <c r="G1262" s="459"/>
      <c r="H1262" s="459">
        <v>1255</v>
      </c>
      <c r="I1262" s="444">
        <f t="shared" ca="1" si="108"/>
        <v>-85139041.823336661</v>
      </c>
      <c r="J1262" s="444">
        <f t="array" ref="J1262">IFERROR(INDEX('Retirement Calculator'!J:J,MATCH('Isaac 401k'!N1262,'Retirement Calculator'!A:A,0),0),0)</f>
        <v>0</v>
      </c>
      <c r="K1262" s="444">
        <f t="shared" ca="1" si="105"/>
        <v>-354746.00759723608</v>
      </c>
      <c r="L1262" s="444">
        <f t="shared" ca="1" si="106"/>
        <v>-85493787.830933899</v>
      </c>
      <c r="M1262" s="460">
        <f t="shared" si="109"/>
        <v>0.05</v>
      </c>
      <c r="N1262" s="464">
        <f t="shared" si="110"/>
        <v>89456</v>
      </c>
    </row>
    <row r="1263" spans="7:14" ht="11.25" customHeight="1" x14ac:dyDescent="0.25">
      <c r="G1263" s="459"/>
      <c r="H1263" s="459">
        <v>1256</v>
      </c>
      <c r="I1263" s="444">
        <f t="shared" ca="1" si="108"/>
        <v>-85493787.830933899</v>
      </c>
      <c r="J1263" s="444">
        <f t="array" ref="J1263">IFERROR(INDEX('Retirement Calculator'!J:J,MATCH('Isaac 401k'!N1263,'Retirement Calculator'!A:A,0),0),0)</f>
        <v>0</v>
      </c>
      <c r="K1263" s="444">
        <f t="shared" ca="1" si="105"/>
        <v>-356224.11596222455</v>
      </c>
      <c r="L1263" s="444">
        <f t="shared" ca="1" si="106"/>
        <v>-85850011.946896121</v>
      </c>
      <c r="M1263" s="460">
        <f t="shared" si="109"/>
        <v>0.05</v>
      </c>
      <c r="N1263" s="464">
        <f t="shared" si="110"/>
        <v>89487</v>
      </c>
    </row>
    <row r="1264" spans="7:14" ht="11.25" customHeight="1" x14ac:dyDescent="0.25">
      <c r="G1264" s="459"/>
      <c r="H1264" s="459">
        <v>1257</v>
      </c>
      <c r="I1264" s="444">
        <f t="shared" ca="1" si="108"/>
        <v>-85850011.946896121</v>
      </c>
      <c r="J1264" s="444">
        <f t="array" ref="J1264">IFERROR(INDEX('Retirement Calculator'!J:J,MATCH('Isaac 401k'!N1264,'Retirement Calculator'!A:A,0),0),0)</f>
        <v>0</v>
      </c>
      <c r="K1264" s="444">
        <f t="shared" ca="1" si="105"/>
        <v>-357708.38311206718</v>
      </c>
      <c r="L1264" s="444">
        <f t="shared" ca="1" si="106"/>
        <v>-86207720.330008194</v>
      </c>
      <c r="M1264" s="460">
        <f t="shared" si="109"/>
        <v>0.05</v>
      </c>
      <c r="N1264" s="464">
        <f t="shared" si="110"/>
        <v>89518</v>
      </c>
    </row>
    <row r="1265" spans="7:14" ht="11.25" customHeight="1" x14ac:dyDescent="0.25">
      <c r="G1265" s="459"/>
      <c r="H1265" s="459">
        <v>1258</v>
      </c>
      <c r="I1265" s="444">
        <f t="shared" ca="1" si="108"/>
        <v>-86207720.330008194</v>
      </c>
      <c r="J1265" s="444">
        <f t="array" ref="J1265">IFERROR(INDEX('Retirement Calculator'!J:J,MATCH('Isaac 401k'!N1265,'Retirement Calculator'!A:A,0),0),0)</f>
        <v>0</v>
      </c>
      <c r="K1265" s="444">
        <f t="shared" ca="1" si="105"/>
        <v>-359198.83470836747</v>
      </c>
      <c r="L1265" s="444">
        <f t="shared" ca="1" si="106"/>
        <v>-86566919.164716557</v>
      </c>
      <c r="M1265" s="460">
        <f t="shared" si="109"/>
        <v>0.05</v>
      </c>
      <c r="N1265" s="464">
        <f t="shared" si="110"/>
        <v>89546</v>
      </c>
    </row>
    <row r="1266" spans="7:14" ht="11.25" customHeight="1" x14ac:dyDescent="0.25">
      <c r="G1266" s="459"/>
      <c r="H1266" s="459">
        <v>1259</v>
      </c>
      <c r="I1266" s="444">
        <f t="shared" ca="1" si="108"/>
        <v>-86566919.164716557</v>
      </c>
      <c r="J1266" s="444">
        <f t="array" ref="J1266">IFERROR(INDEX('Retirement Calculator'!J:J,MATCH('Isaac 401k'!N1266,'Retirement Calculator'!A:A,0),0),0)</f>
        <v>0</v>
      </c>
      <c r="K1266" s="444">
        <f t="shared" ca="1" si="105"/>
        <v>-360695.49651965231</v>
      </c>
      <c r="L1266" s="444">
        <f t="shared" ca="1" si="106"/>
        <v>-86927614.661236212</v>
      </c>
      <c r="M1266" s="460">
        <f t="shared" si="109"/>
        <v>0.05</v>
      </c>
      <c r="N1266" s="464">
        <f t="shared" si="110"/>
        <v>89577</v>
      </c>
    </row>
    <row r="1267" spans="7:14" ht="11.25" customHeight="1" x14ac:dyDescent="0.25">
      <c r="G1267" s="459"/>
      <c r="H1267" s="459">
        <v>1260</v>
      </c>
      <c r="I1267" s="444">
        <f t="shared" ca="1" si="108"/>
        <v>-86927614.661236212</v>
      </c>
      <c r="J1267" s="444">
        <f t="array" ref="J1267">IFERROR(INDEX('Retirement Calculator'!J:J,MATCH('Isaac 401k'!N1267,'Retirement Calculator'!A:A,0),0),0)</f>
        <v>0</v>
      </c>
      <c r="K1267" s="444">
        <f t="shared" ca="1" si="105"/>
        <v>-362198.39442181756</v>
      </c>
      <c r="L1267" s="444">
        <f t="shared" ca="1" si="106"/>
        <v>-87289813.055658028</v>
      </c>
      <c r="M1267" s="460">
        <f t="shared" si="109"/>
        <v>0.05</v>
      </c>
      <c r="N1267" s="464">
        <f t="shared" si="110"/>
        <v>89607</v>
      </c>
    </row>
    <row r="1268" spans="7:14" ht="11.25" customHeight="1" x14ac:dyDescent="0.25">
      <c r="G1268" s="459"/>
      <c r="H1268" s="459">
        <v>1261</v>
      </c>
      <c r="I1268" s="444">
        <f t="shared" ca="1" si="108"/>
        <v>-87289813.055658028</v>
      </c>
      <c r="J1268" s="444">
        <f t="array" ref="J1268">IFERROR(INDEX('Retirement Calculator'!J:J,MATCH('Isaac 401k'!N1268,'Retirement Calculator'!A:A,0),0),0)</f>
        <v>0</v>
      </c>
      <c r="K1268" s="444">
        <f t="shared" ca="1" si="105"/>
        <v>-363707.5543985751</v>
      </c>
      <c r="L1268" s="444">
        <f t="shared" ca="1" si="106"/>
        <v>-87653520.610056609</v>
      </c>
      <c r="M1268" s="460">
        <f t="shared" si="109"/>
        <v>0.05</v>
      </c>
      <c r="N1268" s="464">
        <f t="shared" si="110"/>
        <v>89638</v>
      </c>
    </row>
    <row r="1269" spans="7:14" ht="11.25" customHeight="1" x14ac:dyDescent="0.25">
      <c r="G1269" s="459"/>
      <c r="H1269" s="459">
        <v>1262</v>
      </c>
      <c r="I1269" s="444">
        <f t="shared" ca="1" si="108"/>
        <v>-87653520.610056609</v>
      </c>
      <c r="J1269" s="444">
        <f t="array" ref="J1269">IFERROR(INDEX('Retirement Calculator'!J:J,MATCH('Isaac 401k'!N1269,'Retirement Calculator'!A:A,0),0),0)</f>
        <v>0</v>
      </c>
      <c r="K1269" s="444">
        <f t="shared" ca="1" si="105"/>
        <v>-365223.00254190253</v>
      </c>
      <c r="L1269" s="444">
        <f t="shared" ca="1" si="106"/>
        <v>-88018743.612598509</v>
      </c>
      <c r="M1269" s="460">
        <f t="shared" si="109"/>
        <v>0.05</v>
      </c>
      <c r="N1269" s="464">
        <f t="shared" si="110"/>
        <v>89668</v>
      </c>
    </row>
    <row r="1270" spans="7:14" ht="11.25" customHeight="1" x14ac:dyDescent="0.25">
      <c r="G1270" s="459"/>
      <c r="H1270" s="459">
        <v>1263</v>
      </c>
      <c r="I1270" s="444">
        <f t="shared" ca="1" si="108"/>
        <v>-88018743.612598509</v>
      </c>
      <c r="J1270" s="444">
        <f t="array" ref="J1270">IFERROR(INDEX('Retirement Calculator'!J:J,MATCH('Isaac 401k'!N1270,'Retirement Calculator'!A:A,0),0),0)</f>
        <v>0</v>
      </c>
      <c r="K1270" s="444">
        <f t="shared" ca="1" si="105"/>
        <v>-366744.76505249378</v>
      </c>
      <c r="L1270" s="444">
        <f t="shared" ca="1" si="106"/>
        <v>-88385488.377651006</v>
      </c>
      <c r="M1270" s="460">
        <f t="shared" si="109"/>
        <v>0.05</v>
      </c>
      <c r="N1270" s="464">
        <f t="shared" si="110"/>
        <v>89699</v>
      </c>
    </row>
    <row r="1271" spans="7:14" ht="11.25" customHeight="1" x14ac:dyDescent="0.25">
      <c r="G1271" s="459"/>
      <c r="H1271" s="459">
        <v>1264</v>
      </c>
      <c r="I1271" s="444">
        <f t="shared" ca="1" si="108"/>
        <v>-88385488.377651006</v>
      </c>
      <c r="J1271" s="444">
        <f t="array" ref="J1271">IFERROR(INDEX('Retirement Calculator'!J:J,MATCH('Isaac 401k'!N1271,'Retirement Calculator'!A:A,0),0),0)</f>
        <v>0</v>
      </c>
      <c r="K1271" s="444">
        <f t="shared" ca="1" si="105"/>
        <v>-368272.8682402125</v>
      </c>
      <c r="L1271" s="444">
        <f t="shared" ca="1" si="106"/>
        <v>-88753761.245891213</v>
      </c>
      <c r="M1271" s="460">
        <f t="shared" si="109"/>
        <v>0.05</v>
      </c>
      <c r="N1271" s="464">
        <f t="shared" si="110"/>
        <v>89730</v>
      </c>
    </row>
    <row r="1272" spans="7:14" ht="11.25" customHeight="1" x14ac:dyDescent="0.25">
      <c r="G1272" s="459"/>
      <c r="H1272" s="459">
        <v>1265</v>
      </c>
      <c r="I1272" s="444">
        <f t="shared" ca="1" si="108"/>
        <v>-88753761.245891213</v>
      </c>
      <c r="J1272" s="444">
        <f t="array" ref="J1272">IFERROR(INDEX('Retirement Calculator'!J:J,MATCH('Isaac 401k'!N1272,'Retirement Calculator'!A:A,0),0),0)</f>
        <v>0</v>
      </c>
      <c r="K1272" s="444">
        <f t="shared" ca="1" si="105"/>
        <v>-369807.33852454671</v>
      </c>
      <c r="L1272" s="444">
        <f t="shared" ca="1" si="106"/>
        <v>-89123568.584415764</v>
      </c>
      <c r="M1272" s="460">
        <f t="shared" si="109"/>
        <v>0.05</v>
      </c>
      <c r="N1272" s="464">
        <f t="shared" si="110"/>
        <v>89760</v>
      </c>
    </row>
    <row r="1273" spans="7:14" ht="11.25" customHeight="1" x14ac:dyDescent="0.25">
      <c r="G1273" s="459"/>
      <c r="H1273" s="459">
        <v>1266</v>
      </c>
      <c r="I1273" s="444">
        <f t="shared" ca="1" si="108"/>
        <v>-89123568.584415764</v>
      </c>
      <c r="J1273" s="444">
        <f t="array" ref="J1273">IFERROR(INDEX('Retirement Calculator'!J:J,MATCH('Isaac 401k'!N1273,'Retirement Calculator'!A:A,0),0),0)</f>
        <v>0</v>
      </c>
      <c r="K1273" s="444">
        <f t="shared" ca="1" si="105"/>
        <v>-371348.2024350657</v>
      </c>
      <c r="L1273" s="444">
        <f t="shared" ca="1" si="106"/>
        <v>-89494916.786850825</v>
      </c>
      <c r="M1273" s="460">
        <f t="shared" si="109"/>
        <v>0.05</v>
      </c>
      <c r="N1273" s="464">
        <f t="shared" si="110"/>
        <v>89791</v>
      </c>
    </row>
    <row r="1274" spans="7:14" ht="11.25" customHeight="1" x14ac:dyDescent="0.25">
      <c r="G1274" s="459"/>
      <c r="H1274" s="459">
        <v>1267</v>
      </c>
      <c r="I1274" s="444">
        <f t="shared" ca="1" si="108"/>
        <v>-89494916.786850825</v>
      </c>
      <c r="J1274" s="444">
        <f t="array" ref="J1274">IFERROR(INDEX('Retirement Calculator'!J:J,MATCH('Isaac 401k'!N1274,'Retirement Calculator'!A:A,0),0),0)</f>
        <v>0</v>
      </c>
      <c r="K1274" s="444">
        <f t="shared" ca="1" si="105"/>
        <v>-372895.48661187844</v>
      </c>
      <c r="L1274" s="444">
        <f t="shared" ca="1" si="106"/>
        <v>-89867812.273462698</v>
      </c>
      <c r="M1274" s="460">
        <f t="shared" si="109"/>
        <v>0.05</v>
      </c>
      <c r="N1274" s="464">
        <f t="shared" si="110"/>
        <v>89821</v>
      </c>
    </row>
    <row r="1275" spans="7:14" ht="11.25" customHeight="1" x14ac:dyDescent="0.25">
      <c r="G1275" s="459"/>
      <c r="H1275" s="459">
        <v>1268</v>
      </c>
      <c r="I1275" s="444">
        <f t="shared" ca="1" si="108"/>
        <v>-89867812.273462698</v>
      </c>
      <c r="J1275" s="444">
        <f t="array" ref="J1275">IFERROR(INDEX('Retirement Calculator'!J:J,MATCH('Isaac 401k'!N1275,'Retirement Calculator'!A:A,0),0),0)</f>
        <v>0</v>
      </c>
      <c r="K1275" s="444">
        <f t="shared" ca="1" si="105"/>
        <v>-374449.21780609456</v>
      </c>
      <c r="L1275" s="444">
        <f t="shared" ca="1" si="106"/>
        <v>-90242261.491268799</v>
      </c>
      <c r="M1275" s="460">
        <f t="shared" si="109"/>
        <v>0.05</v>
      </c>
      <c r="N1275" s="464">
        <f t="shared" si="110"/>
        <v>89852</v>
      </c>
    </row>
    <row r="1276" spans="7:14" ht="11.25" customHeight="1" x14ac:dyDescent="0.25">
      <c r="G1276" s="459"/>
      <c r="H1276" s="459">
        <v>1269</v>
      </c>
      <c r="I1276" s="444">
        <f t="shared" ca="1" si="108"/>
        <v>-90242261.491268799</v>
      </c>
      <c r="J1276" s="444">
        <f t="array" ref="J1276">IFERROR(INDEX('Retirement Calculator'!J:J,MATCH('Isaac 401k'!N1276,'Retirement Calculator'!A:A,0),0),0)</f>
        <v>0</v>
      </c>
      <c r="K1276" s="444">
        <f t="shared" ca="1" si="105"/>
        <v>-376009.42288028664</v>
      </c>
      <c r="L1276" s="444">
        <f t="shared" ca="1" si="106"/>
        <v>-90618270.914149091</v>
      </c>
      <c r="M1276" s="460">
        <f t="shared" si="109"/>
        <v>0.05</v>
      </c>
      <c r="N1276" s="464">
        <f t="shared" si="110"/>
        <v>89883</v>
      </c>
    </row>
    <row r="1277" spans="7:14" ht="11.25" customHeight="1" x14ac:dyDescent="0.25">
      <c r="G1277" s="459"/>
      <c r="H1277" s="459">
        <v>1270</v>
      </c>
      <c r="I1277" s="444">
        <f t="shared" ca="1" si="108"/>
        <v>-90618270.914149091</v>
      </c>
      <c r="J1277" s="444">
        <f t="array" ref="J1277">IFERROR(INDEX('Retirement Calculator'!J:J,MATCH('Isaac 401k'!N1277,'Retirement Calculator'!A:A,0),0),0)</f>
        <v>0</v>
      </c>
      <c r="K1277" s="444">
        <f t="shared" ca="1" si="105"/>
        <v>-377576.12880895456</v>
      </c>
      <c r="L1277" s="444">
        <f t="shared" ca="1" si="106"/>
        <v>-90995847.042958051</v>
      </c>
      <c r="M1277" s="460">
        <f t="shared" si="109"/>
        <v>0.05</v>
      </c>
      <c r="N1277" s="464">
        <f t="shared" si="110"/>
        <v>89911</v>
      </c>
    </row>
    <row r="1278" spans="7:14" ht="11.25" customHeight="1" x14ac:dyDescent="0.25">
      <c r="G1278" s="459"/>
      <c r="H1278" s="459">
        <v>1271</v>
      </c>
      <c r="I1278" s="444">
        <f t="shared" ca="1" si="108"/>
        <v>-90995847.042958051</v>
      </c>
      <c r="J1278" s="444">
        <f t="array" ref="J1278">IFERROR(INDEX('Retirement Calculator'!J:J,MATCH('Isaac 401k'!N1278,'Retirement Calculator'!A:A,0),0),0)</f>
        <v>0</v>
      </c>
      <c r="K1278" s="444">
        <f t="shared" ca="1" si="105"/>
        <v>-379149.36267899186</v>
      </c>
      <c r="L1278" s="444">
        <f t="shared" ca="1" si="106"/>
        <v>-91374996.405637041</v>
      </c>
      <c r="M1278" s="460">
        <f t="shared" si="109"/>
        <v>0.05</v>
      </c>
      <c r="N1278" s="464">
        <f t="shared" si="110"/>
        <v>89942</v>
      </c>
    </row>
    <row r="1279" spans="7:14" ht="11.25" customHeight="1" x14ac:dyDescent="0.25">
      <c r="G1279" s="459"/>
      <c r="H1279" s="459">
        <v>1272</v>
      </c>
      <c r="I1279" s="444">
        <f t="shared" ca="1" si="108"/>
        <v>-91374996.405637041</v>
      </c>
      <c r="J1279" s="444">
        <f t="array" ref="J1279">IFERROR(INDEX('Retirement Calculator'!J:J,MATCH('Isaac 401k'!N1279,'Retirement Calculator'!A:A,0),0),0)</f>
        <v>0</v>
      </c>
      <c r="K1279" s="444">
        <f t="shared" ca="1" si="105"/>
        <v>-380729.15169015434</v>
      </c>
      <c r="L1279" s="444">
        <f t="shared" ca="1" si="106"/>
        <v>-91755725.557327196</v>
      </c>
      <c r="M1279" s="460">
        <f t="shared" si="109"/>
        <v>0.05</v>
      </c>
      <c r="N1279" s="464">
        <f t="shared" si="110"/>
        <v>89972</v>
      </c>
    </row>
    <row r="1280" spans="7:14" ht="11.25" customHeight="1" x14ac:dyDescent="0.25">
      <c r="G1280" s="459"/>
      <c r="H1280" s="459">
        <v>1273</v>
      </c>
      <c r="I1280" s="444">
        <f t="shared" ca="1" si="108"/>
        <v>-91755725.557327196</v>
      </c>
      <c r="J1280" s="444">
        <f t="array" ref="J1280">IFERROR(INDEX('Retirement Calculator'!J:J,MATCH('Isaac 401k'!N1280,'Retirement Calculator'!A:A,0),0),0)</f>
        <v>0</v>
      </c>
      <c r="K1280" s="444">
        <f t="shared" ca="1" si="105"/>
        <v>-382315.52315552998</v>
      </c>
      <c r="L1280" s="444">
        <f t="shared" ca="1" si="106"/>
        <v>-92138041.080482721</v>
      </c>
      <c r="M1280" s="460">
        <f t="shared" si="109"/>
        <v>0.05</v>
      </c>
      <c r="N1280" s="464">
        <f t="shared" si="110"/>
        <v>90003</v>
      </c>
    </row>
    <row r="1281" spans="7:14" ht="11.25" customHeight="1" x14ac:dyDescent="0.25">
      <c r="G1281" s="459"/>
      <c r="H1281" s="459">
        <v>1274</v>
      </c>
      <c r="I1281" s="444">
        <f t="shared" ca="1" si="108"/>
        <v>-92138041.080482721</v>
      </c>
      <c r="J1281" s="444">
        <f t="array" ref="J1281">IFERROR(INDEX('Retirement Calculator'!J:J,MATCH('Isaac 401k'!N1281,'Retirement Calculator'!A:A,0),0),0)</f>
        <v>0</v>
      </c>
      <c r="K1281" s="444">
        <f t="shared" ca="1" si="105"/>
        <v>-383908.50450201135</v>
      </c>
      <c r="L1281" s="444">
        <f t="shared" ca="1" si="106"/>
        <v>-92521949.584984735</v>
      </c>
      <c r="M1281" s="460">
        <f t="shared" si="109"/>
        <v>0.05</v>
      </c>
      <c r="N1281" s="464">
        <f t="shared" si="110"/>
        <v>90033</v>
      </c>
    </row>
    <row r="1282" spans="7:14" ht="11.25" customHeight="1" x14ac:dyDescent="0.25">
      <c r="G1282" s="459"/>
      <c r="H1282" s="459">
        <v>1275</v>
      </c>
      <c r="I1282" s="444">
        <f t="shared" ca="1" si="108"/>
        <v>-92521949.584984735</v>
      </c>
      <c r="J1282" s="444">
        <f t="array" ref="J1282">IFERROR(INDEX('Retirement Calculator'!J:J,MATCH('Isaac 401k'!N1282,'Retirement Calculator'!A:A,0),0),0)</f>
        <v>0</v>
      </c>
      <c r="K1282" s="444">
        <f t="shared" ca="1" si="105"/>
        <v>-385508.12327076972</v>
      </c>
      <c r="L1282" s="444">
        <f t="shared" ca="1" si="106"/>
        <v>-92907457.7082555</v>
      </c>
      <c r="M1282" s="460">
        <f t="shared" si="109"/>
        <v>0.05</v>
      </c>
      <c r="N1282" s="464">
        <f t="shared" si="110"/>
        <v>90064</v>
      </c>
    </row>
    <row r="1283" spans="7:14" ht="11.25" customHeight="1" x14ac:dyDescent="0.25">
      <c r="G1283" s="459"/>
      <c r="H1283" s="459">
        <v>1276</v>
      </c>
      <c r="I1283" s="444">
        <f t="shared" ca="1" si="108"/>
        <v>-92907457.7082555</v>
      </c>
      <c r="J1283" s="444">
        <f t="array" ref="J1283">IFERROR(INDEX('Retirement Calculator'!J:J,MATCH('Isaac 401k'!N1283,'Retirement Calculator'!A:A,0),0),0)</f>
        <v>0</v>
      </c>
      <c r="K1283" s="444">
        <f t="shared" ref="K1283:K1537" ca="1" si="126">IPMT(M1283/12,1,12,-I1283+J1283,,0)</f>
        <v>-387114.40711773123</v>
      </c>
      <c r="L1283" s="444">
        <f t="shared" ref="L1283:L1537" ca="1" si="127">I1283-J1283+K1283</f>
        <v>-93294572.115373224</v>
      </c>
      <c r="M1283" s="460">
        <f t="shared" si="109"/>
        <v>0.05</v>
      </c>
      <c r="N1283" s="464">
        <f t="shared" si="110"/>
        <v>90095</v>
      </c>
    </row>
    <row r="1284" spans="7:14" ht="11.25" customHeight="1" x14ac:dyDescent="0.25">
      <c r="G1284" s="459"/>
      <c r="H1284" s="459">
        <v>1277</v>
      </c>
      <c r="I1284" s="444">
        <f t="shared" ref="I1284:I1538" ca="1" si="128">L1283</f>
        <v>-93294572.115373224</v>
      </c>
      <c r="J1284" s="444">
        <f t="array" ref="J1284">IFERROR(INDEX('Retirement Calculator'!J:J,MATCH('Isaac 401k'!N1284,'Retirement Calculator'!A:A,0),0),0)</f>
        <v>0</v>
      </c>
      <c r="K1284" s="444">
        <f t="shared" ca="1" si="126"/>
        <v>-388727.38381405512</v>
      </c>
      <c r="L1284" s="444">
        <f t="shared" ca="1" si="127"/>
        <v>-93683299.499187276</v>
      </c>
      <c r="M1284" s="460">
        <f t="shared" ref="M1284:M1538" si="129">M1283</f>
        <v>0.05</v>
      </c>
      <c r="N1284" s="464">
        <f t="shared" ref="N1284:N1538" si="130">EDATE(N1283,1)</f>
        <v>90125</v>
      </c>
    </row>
    <row r="1285" spans="7:14" ht="11.25" customHeight="1" x14ac:dyDescent="0.25">
      <c r="G1285" s="459"/>
      <c r="H1285" s="459">
        <v>1278</v>
      </c>
      <c r="I1285" s="444">
        <f t="shared" ca="1" si="128"/>
        <v>-93683299.499187276</v>
      </c>
      <c r="J1285" s="444">
        <f t="array" ref="J1285">IFERROR(INDEX('Retirement Calculator'!J:J,MATCH('Isaac 401k'!N1285,'Retirement Calculator'!A:A,0),0),0)</f>
        <v>0</v>
      </c>
      <c r="K1285" s="444">
        <f t="shared" ca="1" si="126"/>
        <v>-390347.08124661364</v>
      </c>
      <c r="L1285" s="444">
        <f t="shared" ca="1" si="127"/>
        <v>-94073646.58043389</v>
      </c>
      <c r="M1285" s="460">
        <f t="shared" si="129"/>
        <v>0.05</v>
      </c>
      <c r="N1285" s="464">
        <f t="shared" si="130"/>
        <v>90156</v>
      </c>
    </row>
    <row r="1286" spans="7:14" ht="11.25" customHeight="1" x14ac:dyDescent="0.25">
      <c r="G1286" s="459"/>
      <c r="H1286" s="459">
        <v>1279</v>
      </c>
      <c r="I1286" s="444">
        <f t="shared" ca="1" si="128"/>
        <v>-94073646.58043389</v>
      </c>
      <c r="J1286" s="444">
        <f t="array" ref="J1286">IFERROR(INDEX('Retirement Calculator'!J:J,MATCH('Isaac 401k'!N1286,'Retirement Calculator'!A:A,0),0),0)</f>
        <v>0</v>
      </c>
      <c r="K1286" s="444">
        <f t="shared" ca="1" si="126"/>
        <v>-391973.52741847455</v>
      </c>
      <c r="L1286" s="444">
        <f t="shared" ca="1" si="127"/>
        <v>-94465620.10785237</v>
      </c>
      <c r="M1286" s="460">
        <f t="shared" si="129"/>
        <v>0.05</v>
      </c>
      <c r="N1286" s="464">
        <f t="shared" si="130"/>
        <v>90186</v>
      </c>
    </row>
    <row r="1287" spans="7:14" ht="11.25" customHeight="1" x14ac:dyDescent="0.25">
      <c r="G1287" s="459"/>
      <c r="H1287" s="459">
        <v>1280</v>
      </c>
      <c r="I1287" s="444">
        <f t="shared" ca="1" si="128"/>
        <v>-94465620.10785237</v>
      </c>
      <c r="J1287" s="444">
        <f t="array" ref="J1287">IFERROR(INDEX('Retirement Calculator'!J:J,MATCH('Isaac 401k'!N1287,'Retirement Calculator'!A:A,0),0),0)</f>
        <v>0</v>
      </c>
      <c r="K1287" s="444">
        <f t="shared" ca="1" si="126"/>
        <v>-393606.75044938485</v>
      </c>
      <c r="L1287" s="444">
        <f t="shared" ca="1" si="127"/>
        <v>-94859226.858301759</v>
      </c>
      <c r="M1287" s="460">
        <f t="shared" si="129"/>
        <v>0.05</v>
      </c>
      <c r="N1287" s="464">
        <f t="shared" si="130"/>
        <v>90217</v>
      </c>
    </row>
    <row r="1288" spans="7:14" ht="11.25" customHeight="1" x14ac:dyDescent="0.25">
      <c r="G1288" s="459"/>
      <c r="H1288" s="459">
        <v>1281</v>
      </c>
      <c r="I1288" s="444">
        <f t="shared" ca="1" si="128"/>
        <v>-94859226.858301759</v>
      </c>
      <c r="J1288" s="444">
        <f t="array" ref="J1288">IFERROR(INDEX('Retirement Calculator'!J:J,MATCH('Isaac 401k'!N1288,'Retirement Calculator'!A:A,0),0),0)</f>
        <v>0</v>
      </c>
      <c r="K1288" s="444">
        <f t="shared" ca="1" si="126"/>
        <v>-395246.77857625735</v>
      </c>
      <c r="L1288" s="444">
        <f t="shared" ca="1" si="127"/>
        <v>-95254473.636878014</v>
      </c>
      <c r="M1288" s="460">
        <f t="shared" si="129"/>
        <v>0.05</v>
      </c>
      <c r="N1288" s="464">
        <f t="shared" si="130"/>
        <v>90248</v>
      </c>
    </row>
    <row r="1289" spans="7:14" ht="11.25" customHeight="1" x14ac:dyDescent="0.25">
      <c r="G1289" s="459"/>
      <c r="H1289" s="459">
        <v>1282</v>
      </c>
      <c r="I1289" s="444">
        <f t="shared" ca="1" si="128"/>
        <v>-95254473.636878014</v>
      </c>
      <c r="J1289" s="444">
        <f t="array" ref="J1289">IFERROR(INDEX('Retirement Calculator'!J:J,MATCH('Isaac 401k'!N1289,'Retirement Calculator'!A:A,0),0),0)</f>
        <v>0</v>
      </c>
      <c r="K1289" s="444">
        <f t="shared" ca="1" si="126"/>
        <v>-396893.6401536584</v>
      </c>
      <c r="L1289" s="444">
        <f t="shared" ca="1" si="127"/>
        <v>-95651367.277031675</v>
      </c>
      <c r="M1289" s="460">
        <f t="shared" si="129"/>
        <v>0.05</v>
      </c>
      <c r="N1289" s="464">
        <f t="shared" si="130"/>
        <v>90276</v>
      </c>
    </row>
    <row r="1290" spans="7:14" ht="11.25" customHeight="1" x14ac:dyDescent="0.25">
      <c r="G1290" s="459"/>
      <c r="H1290" s="459">
        <v>1283</v>
      </c>
      <c r="I1290" s="444">
        <f t="shared" ca="1" si="128"/>
        <v>-95651367.277031675</v>
      </c>
      <c r="J1290" s="444">
        <f t="array" ref="J1290">IFERROR(INDEX('Retirement Calculator'!J:J,MATCH('Isaac 401k'!N1290,'Retirement Calculator'!A:A,0),0),0)</f>
        <v>0</v>
      </c>
      <c r="K1290" s="444">
        <f t="shared" ca="1" si="126"/>
        <v>-398547.36365429865</v>
      </c>
      <c r="L1290" s="444">
        <f t="shared" ca="1" si="127"/>
        <v>-96049914.640685976</v>
      </c>
      <c r="M1290" s="460">
        <f t="shared" si="129"/>
        <v>0.05</v>
      </c>
      <c r="N1290" s="464">
        <f t="shared" si="130"/>
        <v>90307</v>
      </c>
    </row>
    <row r="1291" spans="7:14" ht="11.25" customHeight="1" x14ac:dyDescent="0.25">
      <c r="G1291" s="459"/>
      <c r="H1291" s="459">
        <v>1284</v>
      </c>
      <c r="I1291" s="444">
        <f t="shared" ca="1" si="128"/>
        <v>-96049914.640685976</v>
      </c>
      <c r="J1291" s="444">
        <f t="array" ref="J1291">IFERROR(INDEX('Retirement Calculator'!J:J,MATCH('Isaac 401k'!N1291,'Retirement Calculator'!A:A,0),0),0)</f>
        <v>0</v>
      </c>
      <c r="K1291" s="444">
        <f t="shared" ca="1" si="126"/>
        <v>-400207.9776695249</v>
      </c>
      <c r="L1291" s="444">
        <f t="shared" ca="1" si="127"/>
        <v>-96450122.618355498</v>
      </c>
      <c r="M1291" s="460">
        <f t="shared" si="129"/>
        <v>0.05</v>
      </c>
      <c r="N1291" s="464">
        <f t="shared" si="130"/>
        <v>90337</v>
      </c>
    </row>
    <row r="1292" spans="7:14" ht="11.25" customHeight="1" x14ac:dyDescent="0.25">
      <c r="G1292" s="459"/>
      <c r="H1292" s="459">
        <v>1285</v>
      </c>
      <c r="I1292" s="444">
        <f t="shared" ca="1" si="128"/>
        <v>-96450122.618355498</v>
      </c>
      <c r="J1292" s="444">
        <f t="array" ref="J1292">IFERROR(INDEX('Retirement Calculator'!J:J,MATCH('Isaac 401k'!N1292,'Retirement Calculator'!A:A,0),0),0)</f>
        <v>0</v>
      </c>
      <c r="K1292" s="444">
        <f t="shared" ca="1" si="126"/>
        <v>-401875.51090981456</v>
      </c>
      <c r="L1292" s="444">
        <f t="shared" ca="1" si="127"/>
        <v>-96851998.129265308</v>
      </c>
      <c r="M1292" s="460">
        <f t="shared" si="129"/>
        <v>0.05</v>
      </c>
      <c r="N1292" s="464">
        <f t="shared" si="130"/>
        <v>90368</v>
      </c>
    </row>
    <row r="1293" spans="7:14" ht="11.25" customHeight="1" x14ac:dyDescent="0.25">
      <c r="G1293" s="459"/>
      <c r="H1293" s="459">
        <v>1286</v>
      </c>
      <c r="I1293" s="444">
        <f t="shared" ca="1" si="128"/>
        <v>-96851998.129265308</v>
      </c>
      <c r="J1293" s="444">
        <f t="array" ref="J1293">IFERROR(INDEX('Retirement Calculator'!J:J,MATCH('Isaac 401k'!N1293,'Retirement Calculator'!A:A,0),0),0)</f>
        <v>0</v>
      </c>
      <c r="K1293" s="444">
        <f t="shared" ca="1" si="126"/>
        <v>-403549.99220527214</v>
      </c>
      <c r="L1293" s="444">
        <f t="shared" ca="1" si="127"/>
        <v>-97255548.121470585</v>
      </c>
      <c r="M1293" s="460">
        <f t="shared" si="129"/>
        <v>0.05</v>
      </c>
      <c r="N1293" s="464">
        <f t="shared" si="130"/>
        <v>90398</v>
      </c>
    </row>
    <row r="1294" spans="7:14" ht="11.25" customHeight="1" x14ac:dyDescent="0.25">
      <c r="G1294" s="459"/>
      <c r="H1294" s="459">
        <v>1287</v>
      </c>
      <c r="I1294" s="444">
        <f t="shared" ca="1" si="128"/>
        <v>-97255548.121470585</v>
      </c>
      <c r="J1294" s="444">
        <f t="array" ref="J1294">IFERROR(INDEX('Retirement Calculator'!J:J,MATCH('Isaac 401k'!N1294,'Retirement Calculator'!A:A,0),0),0)</f>
        <v>0</v>
      </c>
      <c r="K1294" s="444">
        <f t="shared" ca="1" si="126"/>
        <v>-405231.45050612744</v>
      </c>
      <c r="L1294" s="444">
        <f t="shared" ca="1" si="127"/>
        <v>-97660779.571976706</v>
      </c>
      <c r="M1294" s="460">
        <f t="shared" si="129"/>
        <v>0.05</v>
      </c>
      <c r="N1294" s="464">
        <f t="shared" si="130"/>
        <v>90429</v>
      </c>
    </row>
    <row r="1295" spans="7:14" ht="11.25" customHeight="1" x14ac:dyDescent="0.25">
      <c r="G1295" s="459"/>
      <c r="H1295" s="459">
        <v>1288</v>
      </c>
      <c r="I1295" s="444">
        <f t="shared" ca="1" si="128"/>
        <v>-97660779.571976706</v>
      </c>
      <c r="J1295" s="444">
        <f t="array" ref="J1295">IFERROR(INDEX('Retirement Calculator'!J:J,MATCH('Isaac 401k'!N1295,'Retirement Calculator'!A:A,0),0),0)</f>
        <v>0</v>
      </c>
      <c r="K1295" s="444">
        <f t="shared" ca="1" si="126"/>
        <v>-406919.91488323628</v>
      </c>
      <c r="L1295" s="444">
        <f t="shared" ca="1" si="127"/>
        <v>-98067699.486859947</v>
      </c>
      <c r="M1295" s="460">
        <f t="shared" si="129"/>
        <v>0.05</v>
      </c>
      <c r="N1295" s="464">
        <f t="shared" si="130"/>
        <v>90460</v>
      </c>
    </row>
    <row r="1296" spans="7:14" ht="11.25" customHeight="1" x14ac:dyDescent="0.25">
      <c r="G1296" s="459"/>
      <c r="H1296" s="459">
        <v>1289</v>
      </c>
      <c r="I1296" s="444">
        <f t="shared" ca="1" si="128"/>
        <v>-98067699.486859947</v>
      </c>
      <c r="J1296" s="444">
        <f t="array" ref="J1296">IFERROR(INDEX('Retirement Calculator'!J:J,MATCH('Isaac 401k'!N1296,'Retirement Calculator'!A:A,0),0),0)</f>
        <v>0</v>
      </c>
      <c r="K1296" s="444">
        <f t="shared" ca="1" si="126"/>
        <v>-408615.41452858312</v>
      </c>
      <c r="L1296" s="444">
        <f t="shared" ca="1" si="127"/>
        <v>-98476314.901388526</v>
      </c>
      <c r="M1296" s="460">
        <f t="shared" si="129"/>
        <v>0.05</v>
      </c>
      <c r="N1296" s="464">
        <f t="shared" si="130"/>
        <v>90490</v>
      </c>
    </row>
    <row r="1297" spans="7:14" ht="11.25" customHeight="1" x14ac:dyDescent="0.25">
      <c r="G1297" s="459"/>
      <c r="H1297" s="459">
        <v>1290</v>
      </c>
      <c r="I1297" s="444">
        <f t="shared" ca="1" si="128"/>
        <v>-98476314.901388526</v>
      </c>
      <c r="J1297" s="444">
        <f t="array" ref="J1297">IFERROR(INDEX('Retirement Calculator'!J:J,MATCH('Isaac 401k'!N1297,'Retirement Calculator'!A:A,0),0),0)</f>
        <v>0</v>
      </c>
      <c r="K1297" s="444">
        <f t="shared" ca="1" si="126"/>
        <v>-410317.9787557855</v>
      </c>
      <c r="L1297" s="444">
        <f t="shared" ca="1" si="127"/>
        <v>-98886632.880144313</v>
      </c>
      <c r="M1297" s="460">
        <f t="shared" si="129"/>
        <v>0.05</v>
      </c>
      <c r="N1297" s="464">
        <f t="shared" si="130"/>
        <v>90521</v>
      </c>
    </row>
    <row r="1298" spans="7:14" ht="11.25" customHeight="1" x14ac:dyDescent="0.25">
      <c r="G1298" s="459"/>
      <c r="H1298" s="459">
        <v>1291</v>
      </c>
      <c r="I1298" s="444">
        <f t="shared" ca="1" si="128"/>
        <v>-98886632.880144313</v>
      </c>
      <c r="J1298" s="444">
        <f t="array" ref="J1298">IFERROR(INDEX('Retirement Calculator'!J:J,MATCH('Isaac 401k'!N1298,'Retirement Calculator'!A:A,0),0),0)</f>
        <v>0</v>
      </c>
      <c r="K1298" s="444">
        <f t="shared" ca="1" si="126"/>
        <v>-412027.63700060127</v>
      </c>
      <c r="L1298" s="444">
        <f t="shared" ca="1" si="127"/>
        <v>-99298660.517144918</v>
      </c>
      <c r="M1298" s="460">
        <f t="shared" si="129"/>
        <v>0.05</v>
      </c>
      <c r="N1298" s="464">
        <f t="shared" si="130"/>
        <v>90551</v>
      </c>
    </row>
    <row r="1299" spans="7:14" ht="11.25" customHeight="1" x14ac:dyDescent="0.25">
      <c r="G1299" s="459"/>
      <c r="H1299" s="459">
        <v>1292</v>
      </c>
      <c r="I1299" s="444">
        <f t="shared" ca="1" si="128"/>
        <v>-99298660.517144918</v>
      </c>
      <c r="J1299" s="444">
        <f t="array" ref="J1299">IFERROR(INDEX('Retirement Calculator'!J:J,MATCH('Isaac 401k'!N1299,'Retirement Calculator'!A:A,0),0),0)</f>
        <v>0</v>
      </c>
      <c r="K1299" s="444">
        <f t="shared" ca="1" si="126"/>
        <v>-413744.41882143717</v>
      </c>
      <c r="L1299" s="444">
        <f t="shared" ca="1" si="127"/>
        <v>-99712404.935966358</v>
      </c>
      <c r="M1299" s="460">
        <f t="shared" si="129"/>
        <v>0.05</v>
      </c>
      <c r="N1299" s="464">
        <f t="shared" si="130"/>
        <v>90582</v>
      </c>
    </row>
    <row r="1300" spans="7:14" ht="11.25" customHeight="1" x14ac:dyDescent="0.25">
      <c r="G1300" s="459"/>
      <c r="H1300" s="459">
        <v>1293</v>
      </c>
      <c r="I1300" s="444">
        <f t="shared" ca="1" si="128"/>
        <v>-99712404.935966358</v>
      </c>
      <c r="J1300" s="444">
        <f t="array" ref="J1300">IFERROR(INDEX('Retirement Calculator'!J:J,MATCH('Isaac 401k'!N1300,'Retirement Calculator'!A:A,0),0),0)</f>
        <v>0</v>
      </c>
      <c r="K1300" s="444">
        <f t="shared" ca="1" si="126"/>
        <v>-415468.35389985982</v>
      </c>
      <c r="L1300" s="444">
        <f t="shared" ca="1" si="127"/>
        <v>-100127873.28986622</v>
      </c>
      <c r="M1300" s="460">
        <f t="shared" si="129"/>
        <v>0.05</v>
      </c>
      <c r="N1300" s="464">
        <f t="shared" si="130"/>
        <v>90613</v>
      </c>
    </row>
    <row r="1301" spans="7:14" ht="11.25" customHeight="1" x14ac:dyDescent="0.25">
      <c r="G1301" s="459"/>
      <c r="H1301" s="459">
        <v>1294</v>
      </c>
      <c r="I1301" s="444">
        <f t="shared" ca="1" si="128"/>
        <v>-100127873.28986622</v>
      </c>
      <c r="J1301" s="444">
        <f t="array" ref="J1301">IFERROR(INDEX('Retirement Calculator'!J:J,MATCH('Isaac 401k'!N1301,'Retirement Calculator'!A:A,0),0),0)</f>
        <v>0</v>
      </c>
      <c r="K1301" s="444">
        <f t="shared" ca="1" si="126"/>
        <v>-417199.47204110929</v>
      </c>
      <c r="L1301" s="444">
        <f t="shared" ca="1" si="127"/>
        <v>-100545072.76190734</v>
      </c>
      <c r="M1301" s="460">
        <f t="shared" si="129"/>
        <v>0.05</v>
      </c>
      <c r="N1301" s="464">
        <f t="shared" si="130"/>
        <v>90642</v>
      </c>
    </row>
    <row r="1302" spans="7:14" ht="11.25" customHeight="1" x14ac:dyDescent="0.25">
      <c r="G1302" s="459"/>
      <c r="H1302" s="459">
        <v>1295</v>
      </c>
      <c r="I1302" s="444">
        <f t="shared" ca="1" si="128"/>
        <v>-100545072.76190734</v>
      </c>
      <c r="J1302" s="444">
        <f t="array" ref="J1302">IFERROR(INDEX('Retirement Calculator'!J:J,MATCH('Isaac 401k'!N1302,'Retirement Calculator'!A:A,0),0),0)</f>
        <v>0</v>
      </c>
      <c r="K1302" s="444">
        <f t="shared" ca="1" si="126"/>
        <v>-418937.80317461392</v>
      </c>
      <c r="L1302" s="444">
        <f t="shared" ca="1" si="127"/>
        <v>-100964010.56508195</v>
      </c>
      <c r="M1302" s="460">
        <f t="shared" si="129"/>
        <v>0.05</v>
      </c>
      <c r="N1302" s="464">
        <f t="shared" si="130"/>
        <v>90673</v>
      </c>
    </row>
    <row r="1303" spans="7:14" ht="11.25" customHeight="1" x14ac:dyDescent="0.25">
      <c r="G1303" s="459"/>
      <c r="H1303" s="459">
        <v>1296</v>
      </c>
      <c r="I1303" s="444">
        <f t="shared" ca="1" si="128"/>
        <v>-100964010.56508195</v>
      </c>
      <c r="J1303" s="444">
        <f t="array" ref="J1303">IFERROR(INDEX('Retirement Calculator'!J:J,MATCH('Isaac 401k'!N1303,'Retirement Calculator'!A:A,0),0),0)</f>
        <v>0</v>
      </c>
      <c r="K1303" s="444">
        <f t="shared" ca="1" si="126"/>
        <v>-420683.37735450815</v>
      </c>
      <c r="L1303" s="444">
        <f t="shared" ca="1" si="127"/>
        <v>-101384693.94243646</v>
      </c>
      <c r="M1303" s="460">
        <f t="shared" si="129"/>
        <v>0.05</v>
      </c>
      <c r="N1303" s="464">
        <f t="shared" si="130"/>
        <v>90703</v>
      </c>
    </row>
    <row r="1304" spans="7:14" ht="11.25" customHeight="1" x14ac:dyDescent="0.25">
      <c r="G1304" s="459"/>
      <c r="H1304" s="459">
        <v>1297</v>
      </c>
      <c r="I1304" s="444">
        <f t="shared" ca="1" si="128"/>
        <v>-101384693.94243646</v>
      </c>
      <c r="J1304" s="444">
        <f t="array" ref="J1304">IFERROR(INDEX('Retirement Calculator'!J:J,MATCH('Isaac 401k'!N1304,'Retirement Calculator'!A:A,0),0),0)</f>
        <v>0</v>
      </c>
      <c r="K1304" s="444">
        <f t="shared" ca="1" si="126"/>
        <v>-422436.22476015188</v>
      </c>
      <c r="L1304" s="444">
        <f t="shared" ca="1" si="127"/>
        <v>-101807130.1671966</v>
      </c>
      <c r="M1304" s="460">
        <f t="shared" si="129"/>
        <v>0.05</v>
      </c>
      <c r="N1304" s="464">
        <f t="shared" si="130"/>
        <v>90734</v>
      </c>
    </row>
    <row r="1305" spans="7:14" ht="11.25" customHeight="1" x14ac:dyDescent="0.25">
      <c r="G1305" s="459"/>
      <c r="H1305" s="459">
        <v>1298</v>
      </c>
      <c r="I1305" s="444">
        <f t="shared" ca="1" si="128"/>
        <v>-101807130.1671966</v>
      </c>
      <c r="J1305" s="444">
        <f t="array" ref="J1305">IFERROR(INDEX('Retirement Calculator'!J:J,MATCH('Isaac 401k'!N1305,'Retirement Calculator'!A:A,0),0),0)</f>
        <v>0</v>
      </c>
      <c r="K1305" s="444">
        <f t="shared" ca="1" si="126"/>
        <v>-424196.37569665251</v>
      </c>
      <c r="L1305" s="444">
        <f t="shared" ca="1" si="127"/>
        <v>-102231326.54289326</v>
      </c>
      <c r="M1305" s="460">
        <f t="shared" si="129"/>
        <v>0.05</v>
      </c>
      <c r="N1305" s="464">
        <f t="shared" si="130"/>
        <v>90764</v>
      </c>
    </row>
    <row r="1306" spans="7:14" ht="11.25" customHeight="1" x14ac:dyDescent="0.25">
      <c r="G1306" s="459"/>
      <c r="H1306" s="459">
        <v>1299</v>
      </c>
      <c r="I1306" s="444">
        <f t="shared" ca="1" si="128"/>
        <v>-102231326.54289326</v>
      </c>
      <c r="J1306" s="444">
        <f t="array" ref="J1306">IFERROR(INDEX('Retirement Calculator'!J:J,MATCH('Isaac 401k'!N1306,'Retirement Calculator'!A:A,0),0),0)</f>
        <v>0</v>
      </c>
      <c r="K1306" s="444">
        <f t="shared" ca="1" si="126"/>
        <v>-425963.86059538857</v>
      </c>
      <c r="L1306" s="444">
        <f t="shared" ca="1" si="127"/>
        <v>-102657290.40348865</v>
      </c>
      <c r="M1306" s="460">
        <f t="shared" si="129"/>
        <v>0.05</v>
      </c>
      <c r="N1306" s="464">
        <f t="shared" si="130"/>
        <v>90795</v>
      </c>
    </row>
    <row r="1307" spans="7:14" ht="11.25" customHeight="1" x14ac:dyDescent="0.25">
      <c r="G1307" s="459"/>
      <c r="H1307" s="459">
        <v>1300</v>
      </c>
      <c r="I1307" s="444">
        <f t="shared" ca="1" si="128"/>
        <v>-102657290.40348865</v>
      </c>
      <c r="J1307" s="444">
        <f t="array" ref="J1307">IFERROR(INDEX('Retirement Calculator'!J:J,MATCH('Isaac 401k'!N1307,'Retirement Calculator'!A:A,0),0),0)</f>
        <v>0</v>
      </c>
      <c r="K1307" s="444">
        <f t="shared" ca="1" si="126"/>
        <v>-427738.71001453605</v>
      </c>
      <c r="L1307" s="444">
        <f t="shared" ca="1" si="127"/>
        <v>-103085029.11350319</v>
      </c>
      <c r="M1307" s="460">
        <f t="shared" si="129"/>
        <v>0.05</v>
      </c>
      <c r="N1307" s="464">
        <f t="shared" si="130"/>
        <v>90826</v>
      </c>
    </row>
    <row r="1308" spans="7:14" ht="11.25" customHeight="1" x14ac:dyDescent="0.25">
      <c r="G1308" s="459"/>
      <c r="H1308" s="459">
        <v>1301</v>
      </c>
      <c r="I1308" s="444">
        <f t="shared" ca="1" si="128"/>
        <v>-103085029.11350319</v>
      </c>
      <c r="J1308" s="444">
        <f t="array" ref="J1308">IFERROR(INDEX('Retirement Calculator'!J:J,MATCH('Isaac 401k'!N1308,'Retirement Calculator'!A:A,0),0),0)</f>
        <v>0</v>
      </c>
      <c r="K1308" s="444">
        <f t="shared" ca="1" si="126"/>
        <v>-429520.95463959663</v>
      </c>
      <c r="L1308" s="444">
        <f t="shared" ca="1" si="127"/>
        <v>-103514550.06814279</v>
      </c>
      <c r="M1308" s="460">
        <f t="shared" si="129"/>
        <v>0.05</v>
      </c>
      <c r="N1308" s="464">
        <f t="shared" si="130"/>
        <v>90856</v>
      </c>
    </row>
    <row r="1309" spans="7:14" ht="11.25" customHeight="1" x14ac:dyDescent="0.25">
      <c r="G1309" s="459"/>
      <c r="H1309" s="459">
        <v>1302</v>
      </c>
      <c r="I1309" s="444">
        <f t="shared" ca="1" si="128"/>
        <v>-103514550.06814279</v>
      </c>
      <c r="J1309" s="444">
        <f t="array" ref="J1309">IFERROR(INDEX('Retirement Calculator'!J:J,MATCH('Isaac 401k'!N1309,'Retirement Calculator'!A:A,0),0),0)</f>
        <v>0</v>
      </c>
      <c r="K1309" s="444">
        <f t="shared" ca="1" si="126"/>
        <v>-431310.6252839283</v>
      </c>
      <c r="L1309" s="444">
        <f t="shared" ca="1" si="127"/>
        <v>-103945860.69342671</v>
      </c>
      <c r="M1309" s="460">
        <f t="shared" si="129"/>
        <v>0.05</v>
      </c>
      <c r="N1309" s="464">
        <f t="shared" si="130"/>
        <v>90887</v>
      </c>
    </row>
    <row r="1310" spans="7:14" ht="11.25" customHeight="1" x14ac:dyDescent="0.25">
      <c r="G1310" s="459"/>
      <c r="H1310" s="459">
        <v>1303</v>
      </c>
      <c r="I1310" s="444">
        <f t="shared" ca="1" si="128"/>
        <v>-103945860.69342671</v>
      </c>
      <c r="J1310" s="444">
        <f t="array" ref="J1310">IFERROR(INDEX('Retirement Calculator'!J:J,MATCH('Isaac 401k'!N1310,'Retirement Calculator'!A:A,0),0),0)</f>
        <v>0</v>
      </c>
      <c r="K1310" s="444">
        <f t="shared" ca="1" si="126"/>
        <v>-433107.75288927794</v>
      </c>
      <c r="L1310" s="444">
        <f t="shared" ca="1" si="127"/>
        <v>-104378968.44631599</v>
      </c>
      <c r="M1310" s="460">
        <f t="shared" si="129"/>
        <v>0.05</v>
      </c>
      <c r="N1310" s="464">
        <f t="shared" si="130"/>
        <v>90917</v>
      </c>
    </row>
    <row r="1311" spans="7:14" ht="11.25" customHeight="1" x14ac:dyDescent="0.25">
      <c r="G1311" s="459"/>
      <c r="H1311" s="459">
        <v>1304</v>
      </c>
      <c r="I1311" s="444">
        <f t="shared" ca="1" si="128"/>
        <v>-104378968.44631599</v>
      </c>
      <c r="J1311" s="444">
        <f t="array" ref="J1311">IFERROR(INDEX('Retirement Calculator'!J:J,MATCH('Isaac 401k'!N1311,'Retirement Calculator'!A:A,0),0),0)</f>
        <v>0</v>
      </c>
      <c r="K1311" s="444">
        <f t="shared" ca="1" si="126"/>
        <v>-434912.3685263166</v>
      </c>
      <c r="L1311" s="444">
        <f t="shared" ca="1" si="127"/>
        <v>-104813880.8148423</v>
      </c>
      <c r="M1311" s="460">
        <f t="shared" si="129"/>
        <v>0.05</v>
      </c>
      <c r="N1311" s="464">
        <f t="shared" si="130"/>
        <v>90948</v>
      </c>
    </row>
    <row r="1312" spans="7:14" ht="11.25" customHeight="1" x14ac:dyDescent="0.25">
      <c r="G1312" s="459"/>
      <c r="H1312" s="459">
        <v>1305</v>
      </c>
      <c r="I1312" s="444">
        <f t="shared" ca="1" si="128"/>
        <v>-104813880.8148423</v>
      </c>
      <c r="J1312" s="444">
        <f t="array" ref="J1312">IFERROR(INDEX('Retirement Calculator'!J:J,MATCH('Isaac 401k'!N1312,'Retirement Calculator'!A:A,0),0),0)</f>
        <v>0</v>
      </c>
      <c r="K1312" s="444">
        <f t="shared" ca="1" si="126"/>
        <v>-436724.5033951762</v>
      </c>
      <c r="L1312" s="444">
        <f t="shared" ca="1" si="127"/>
        <v>-105250605.31823747</v>
      </c>
      <c r="M1312" s="460">
        <f t="shared" si="129"/>
        <v>0.05</v>
      </c>
      <c r="N1312" s="464">
        <f t="shared" si="130"/>
        <v>90979</v>
      </c>
    </row>
    <row r="1313" spans="7:14" ht="11.25" customHeight="1" x14ac:dyDescent="0.25">
      <c r="G1313" s="459"/>
      <c r="H1313" s="459">
        <v>1306</v>
      </c>
      <c r="I1313" s="444">
        <f t="shared" ca="1" si="128"/>
        <v>-105250605.31823747</v>
      </c>
      <c r="J1313" s="444">
        <f t="array" ref="J1313">IFERROR(INDEX('Retirement Calculator'!J:J,MATCH('Isaac 401k'!N1313,'Retirement Calculator'!A:A,0),0),0)</f>
        <v>0</v>
      </c>
      <c r="K1313" s="444">
        <f t="shared" ca="1" si="126"/>
        <v>-438544.18882598943</v>
      </c>
      <c r="L1313" s="444">
        <f t="shared" ca="1" si="127"/>
        <v>-105689149.50706346</v>
      </c>
      <c r="M1313" s="460">
        <f t="shared" si="129"/>
        <v>0.05</v>
      </c>
      <c r="N1313" s="464">
        <f t="shared" si="130"/>
        <v>91007</v>
      </c>
    </row>
    <row r="1314" spans="7:14" ht="11.25" customHeight="1" x14ac:dyDescent="0.25">
      <c r="G1314" s="459"/>
      <c r="H1314" s="459">
        <v>1307</v>
      </c>
      <c r="I1314" s="444">
        <f t="shared" ca="1" si="128"/>
        <v>-105689149.50706346</v>
      </c>
      <c r="J1314" s="444">
        <f t="array" ref="J1314">IFERROR(INDEX('Retirement Calculator'!J:J,MATCH('Isaac 401k'!N1314,'Retirement Calculator'!A:A,0),0),0)</f>
        <v>0</v>
      </c>
      <c r="K1314" s="444">
        <f t="shared" ca="1" si="126"/>
        <v>-440371.45627943106</v>
      </c>
      <c r="L1314" s="444">
        <f t="shared" ca="1" si="127"/>
        <v>-106129520.96334289</v>
      </c>
      <c r="M1314" s="460">
        <f t="shared" si="129"/>
        <v>0.05</v>
      </c>
      <c r="N1314" s="464">
        <f t="shared" si="130"/>
        <v>91038</v>
      </c>
    </row>
    <row r="1315" spans="7:14" ht="11.25" customHeight="1" x14ac:dyDescent="0.25">
      <c r="G1315" s="459"/>
      <c r="H1315" s="459">
        <v>1308</v>
      </c>
      <c r="I1315" s="444">
        <f t="shared" ca="1" si="128"/>
        <v>-106129520.96334289</v>
      </c>
      <c r="J1315" s="444">
        <f t="array" ref="J1315">IFERROR(INDEX('Retirement Calculator'!J:J,MATCH('Isaac 401k'!N1315,'Retirement Calculator'!A:A,0),0),0)</f>
        <v>0</v>
      </c>
      <c r="K1315" s="444">
        <f t="shared" ca="1" si="126"/>
        <v>-442206.33734726207</v>
      </c>
      <c r="L1315" s="444">
        <f t="shared" ca="1" si="127"/>
        <v>-106571727.30069016</v>
      </c>
      <c r="M1315" s="460">
        <f t="shared" si="129"/>
        <v>0.05</v>
      </c>
      <c r="N1315" s="464">
        <f t="shared" si="130"/>
        <v>91068</v>
      </c>
    </row>
    <row r="1316" spans="7:14" ht="11.25" customHeight="1" x14ac:dyDescent="0.25">
      <c r="G1316" s="459"/>
      <c r="H1316" s="459">
        <v>1309</v>
      </c>
      <c r="I1316" s="444">
        <f t="shared" ca="1" si="128"/>
        <v>-106571727.30069016</v>
      </c>
      <c r="J1316" s="444">
        <f t="array" ref="J1316">IFERROR(INDEX('Retirement Calculator'!J:J,MATCH('Isaac 401k'!N1316,'Retirement Calculator'!A:A,0),0),0)</f>
        <v>0</v>
      </c>
      <c r="K1316" s="444">
        <f t="shared" ca="1" si="126"/>
        <v>-444048.86375287571</v>
      </c>
      <c r="L1316" s="444">
        <f t="shared" ca="1" si="127"/>
        <v>-107015776.16444303</v>
      </c>
      <c r="M1316" s="460">
        <f t="shared" si="129"/>
        <v>0.05</v>
      </c>
      <c r="N1316" s="464">
        <f t="shared" si="130"/>
        <v>91099</v>
      </c>
    </row>
    <row r="1317" spans="7:14" ht="11.25" customHeight="1" x14ac:dyDescent="0.25">
      <c r="G1317" s="459"/>
      <c r="H1317" s="459">
        <v>1310</v>
      </c>
      <c r="I1317" s="444">
        <f t="shared" ca="1" si="128"/>
        <v>-107015776.16444303</v>
      </c>
      <c r="J1317" s="444">
        <f t="array" ref="J1317">IFERROR(INDEX('Retirement Calculator'!J:J,MATCH('Isaac 401k'!N1317,'Retirement Calculator'!A:A,0),0),0)</f>
        <v>0</v>
      </c>
      <c r="K1317" s="444">
        <f t="shared" ca="1" si="126"/>
        <v>-445899.06735184597</v>
      </c>
      <c r="L1317" s="444">
        <f t="shared" ca="1" si="127"/>
        <v>-107461675.23179488</v>
      </c>
      <c r="M1317" s="460">
        <f t="shared" si="129"/>
        <v>0.05</v>
      </c>
      <c r="N1317" s="464">
        <f t="shared" si="130"/>
        <v>91129</v>
      </c>
    </row>
    <row r="1318" spans="7:14" ht="11.25" customHeight="1" x14ac:dyDescent="0.25">
      <c r="G1318" s="459"/>
      <c r="H1318" s="459">
        <v>1311</v>
      </c>
      <c r="I1318" s="444">
        <f t="shared" ca="1" si="128"/>
        <v>-107461675.23179488</v>
      </c>
      <c r="J1318" s="444">
        <f t="array" ref="J1318">IFERROR(INDEX('Retirement Calculator'!J:J,MATCH('Isaac 401k'!N1318,'Retirement Calculator'!A:A,0),0),0)</f>
        <v>0</v>
      </c>
      <c r="K1318" s="444">
        <f t="shared" ca="1" si="126"/>
        <v>-447756.98013247858</v>
      </c>
      <c r="L1318" s="444">
        <f t="shared" ca="1" si="127"/>
        <v>-107909432.21192735</v>
      </c>
      <c r="M1318" s="460">
        <f t="shared" si="129"/>
        <v>0.05</v>
      </c>
      <c r="N1318" s="464">
        <f t="shared" si="130"/>
        <v>91160</v>
      </c>
    </row>
    <row r="1319" spans="7:14" ht="11.25" customHeight="1" x14ac:dyDescent="0.25">
      <c r="G1319" s="459"/>
      <c r="H1319" s="459">
        <v>1312</v>
      </c>
      <c r="I1319" s="444">
        <f t="shared" ca="1" si="128"/>
        <v>-107909432.21192735</v>
      </c>
      <c r="J1319" s="444">
        <f t="array" ref="J1319">IFERROR(INDEX('Retirement Calculator'!J:J,MATCH('Isaac 401k'!N1319,'Retirement Calculator'!A:A,0),0),0)</f>
        <v>0</v>
      </c>
      <c r="K1319" s="444">
        <f t="shared" ca="1" si="126"/>
        <v>-449622.63421636395</v>
      </c>
      <c r="L1319" s="444">
        <f t="shared" ca="1" si="127"/>
        <v>-108359054.84614372</v>
      </c>
      <c r="M1319" s="460">
        <f t="shared" si="129"/>
        <v>0.05</v>
      </c>
      <c r="N1319" s="464">
        <f t="shared" si="130"/>
        <v>91191</v>
      </c>
    </row>
    <row r="1320" spans="7:14" ht="11.25" customHeight="1" x14ac:dyDescent="0.25">
      <c r="G1320" s="459"/>
      <c r="H1320" s="459">
        <v>1313</v>
      </c>
      <c r="I1320" s="444">
        <f t="shared" ca="1" si="128"/>
        <v>-108359054.84614372</v>
      </c>
      <c r="J1320" s="444">
        <f t="array" ref="J1320">IFERROR(INDEX('Retirement Calculator'!J:J,MATCH('Isaac 401k'!N1320,'Retirement Calculator'!A:A,0),0),0)</f>
        <v>0</v>
      </c>
      <c r="K1320" s="444">
        <f t="shared" ca="1" si="126"/>
        <v>-451496.0618589322</v>
      </c>
      <c r="L1320" s="444">
        <f t="shared" ca="1" si="127"/>
        <v>-108810550.90800266</v>
      </c>
      <c r="M1320" s="460">
        <f t="shared" si="129"/>
        <v>0.05</v>
      </c>
      <c r="N1320" s="464">
        <f t="shared" si="130"/>
        <v>91221</v>
      </c>
    </row>
    <row r="1321" spans="7:14" ht="11.25" customHeight="1" x14ac:dyDescent="0.25">
      <c r="G1321" s="459"/>
      <c r="H1321" s="459">
        <v>1314</v>
      </c>
      <c r="I1321" s="444">
        <f t="shared" ca="1" si="128"/>
        <v>-108810550.90800266</v>
      </c>
      <c r="J1321" s="444">
        <f t="array" ref="J1321">IFERROR(INDEX('Retirement Calculator'!J:J,MATCH('Isaac 401k'!N1321,'Retirement Calculator'!A:A,0),0),0)</f>
        <v>0</v>
      </c>
      <c r="K1321" s="444">
        <f t="shared" ca="1" si="126"/>
        <v>-453377.29545001109</v>
      </c>
      <c r="L1321" s="444">
        <f t="shared" ca="1" si="127"/>
        <v>-109263928.20345268</v>
      </c>
      <c r="M1321" s="460">
        <f t="shared" si="129"/>
        <v>0.05</v>
      </c>
      <c r="N1321" s="464">
        <f t="shared" si="130"/>
        <v>91252</v>
      </c>
    </row>
    <row r="1322" spans="7:14" ht="11.25" customHeight="1" x14ac:dyDescent="0.25">
      <c r="G1322" s="459"/>
      <c r="H1322" s="459">
        <v>1315</v>
      </c>
      <c r="I1322" s="444">
        <f t="shared" ca="1" si="128"/>
        <v>-109263928.20345268</v>
      </c>
      <c r="J1322" s="444">
        <f t="array" ref="J1322">IFERROR(INDEX('Retirement Calculator'!J:J,MATCH('Isaac 401k'!N1322,'Retirement Calculator'!A:A,0),0),0)</f>
        <v>0</v>
      </c>
      <c r="K1322" s="444">
        <f t="shared" ca="1" si="126"/>
        <v>-455266.36751438613</v>
      </c>
      <c r="L1322" s="444">
        <f t="shared" ca="1" si="127"/>
        <v>-109719194.57096706</v>
      </c>
      <c r="M1322" s="460">
        <f t="shared" si="129"/>
        <v>0.05</v>
      </c>
      <c r="N1322" s="464">
        <f t="shared" si="130"/>
        <v>91282</v>
      </c>
    </row>
    <row r="1323" spans="7:14" ht="11.25" customHeight="1" x14ac:dyDescent="0.25">
      <c r="G1323" s="459"/>
      <c r="H1323" s="459">
        <v>1316</v>
      </c>
      <c r="I1323" s="444">
        <f t="shared" ca="1" si="128"/>
        <v>-109719194.57096706</v>
      </c>
      <c r="J1323" s="444">
        <f t="array" ref="J1323">IFERROR(INDEX('Retirement Calculator'!J:J,MATCH('Isaac 401k'!N1323,'Retirement Calculator'!A:A,0),0),0)</f>
        <v>0</v>
      </c>
      <c r="K1323" s="444">
        <f t="shared" ca="1" si="126"/>
        <v>-457163.31071236276</v>
      </c>
      <c r="L1323" s="444">
        <f t="shared" ca="1" si="127"/>
        <v>-110176357.88167943</v>
      </c>
      <c r="M1323" s="460">
        <f t="shared" si="129"/>
        <v>0.05</v>
      </c>
      <c r="N1323" s="464">
        <f t="shared" si="130"/>
        <v>91313</v>
      </c>
    </row>
    <row r="1324" spans="7:14" ht="11.25" customHeight="1" x14ac:dyDescent="0.25">
      <c r="G1324" s="459"/>
      <c r="H1324" s="459">
        <v>1317</v>
      </c>
      <c r="I1324" s="444">
        <f t="shared" ca="1" si="128"/>
        <v>-110176357.88167943</v>
      </c>
      <c r="J1324" s="444">
        <f t="array" ref="J1324">IFERROR(INDEX('Retirement Calculator'!J:J,MATCH('Isaac 401k'!N1324,'Retirement Calculator'!A:A,0),0),0)</f>
        <v>0</v>
      </c>
      <c r="K1324" s="444">
        <f t="shared" ca="1" si="126"/>
        <v>-459068.15784033097</v>
      </c>
      <c r="L1324" s="444">
        <f t="shared" ca="1" si="127"/>
        <v>-110635426.03951976</v>
      </c>
      <c r="M1324" s="460">
        <f t="shared" si="129"/>
        <v>0.05</v>
      </c>
      <c r="N1324" s="464">
        <f t="shared" si="130"/>
        <v>91344</v>
      </c>
    </row>
    <row r="1325" spans="7:14" ht="11.25" customHeight="1" x14ac:dyDescent="0.25">
      <c r="G1325" s="459"/>
      <c r="H1325" s="459">
        <v>1318</v>
      </c>
      <c r="I1325" s="444">
        <f t="shared" ca="1" si="128"/>
        <v>-110635426.03951976</v>
      </c>
      <c r="J1325" s="444">
        <f t="array" ref="J1325">IFERROR(INDEX('Retirement Calculator'!J:J,MATCH('Isaac 401k'!N1325,'Retirement Calculator'!A:A,0),0),0)</f>
        <v>0</v>
      </c>
      <c r="K1325" s="444">
        <f t="shared" ca="1" si="126"/>
        <v>-460980.94183133222</v>
      </c>
      <c r="L1325" s="444">
        <f t="shared" ca="1" si="127"/>
        <v>-111096406.98135109</v>
      </c>
      <c r="M1325" s="460">
        <f t="shared" si="129"/>
        <v>0.05</v>
      </c>
      <c r="N1325" s="464">
        <f t="shared" si="130"/>
        <v>91372</v>
      </c>
    </row>
    <row r="1326" spans="7:14" ht="11.25" customHeight="1" x14ac:dyDescent="0.25">
      <c r="G1326" s="459"/>
      <c r="H1326" s="459">
        <v>1319</v>
      </c>
      <c r="I1326" s="444">
        <f t="shared" ca="1" si="128"/>
        <v>-111096406.98135109</v>
      </c>
      <c r="J1326" s="444">
        <f t="array" ref="J1326">IFERROR(INDEX('Retirement Calculator'!J:J,MATCH('Isaac 401k'!N1326,'Retirement Calculator'!A:A,0),0),0)</f>
        <v>0</v>
      </c>
      <c r="K1326" s="444">
        <f t="shared" ca="1" si="126"/>
        <v>-462901.69575562957</v>
      </c>
      <c r="L1326" s="444">
        <f t="shared" ca="1" si="127"/>
        <v>-111559308.67710672</v>
      </c>
      <c r="M1326" s="460">
        <f t="shared" si="129"/>
        <v>0.05</v>
      </c>
      <c r="N1326" s="464">
        <f t="shared" si="130"/>
        <v>91403</v>
      </c>
    </row>
    <row r="1327" spans="7:14" ht="11.25" customHeight="1" x14ac:dyDescent="0.25">
      <c r="G1327" s="459"/>
      <c r="H1327" s="459">
        <v>1320</v>
      </c>
      <c r="I1327" s="444">
        <f t="shared" ca="1" si="128"/>
        <v>-111559308.67710672</v>
      </c>
      <c r="J1327" s="444">
        <f t="array" ref="J1327">IFERROR(INDEX('Retirement Calculator'!J:J,MATCH('Isaac 401k'!N1327,'Retirement Calculator'!A:A,0),0),0)</f>
        <v>0</v>
      </c>
      <c r="K1327" s="444">
        <f t="shared" ca="1" si="126"/>
        <v>-464830.45282127801</v>
      </c>
      <c r="L1327" s="444">
        <f t="shared" ca="1" si="127"/>
        <v>-112024139.12992801</v>
      </c>
      <c r="M1327" s="460">
        <f t="shared" si="129"/>
        <v>0.05</v>
      </c>
      <c r="N1327" s="464">
        <f t="shared" si="130"/>
        <v>91433</v>
      </c>
    </row>
    <row r="1328" spans="7:14" ht="11.25" customHeight="1" x14ac:dyDescent="0.25">
      <c r="G1328" s="459"/>
      <c r="H1328" s="459">
        <v>1321</v>
      </c>
      <c r="I1328" s="444">
        <f t="shared" ca="1" si="128"/>
        <v>-112024139.12992801</v>
      </c>
      <c r="J1328" s="444">
        <f t="array" ref="J1328">IFERROR(INDEX('Retirement Calculator'!J:J,MATCH('Isaac 401k'!N1328,'Retirement Calculator'!A:A,0),0),0)</f>
        <v>0</v>
      </c>
      <c r="K1328" s="444">
        <f t="shared" ca="1" si="126"/>
        <v>-466767.24637469999</v>
      </c>
      <c r="L1328" s="444">
        <f t="shared" ca="1" si="127"/>
        <v>-112490906.3763027</v>
      </c>
      <c r="M1328" s="460">
        <f t="shared" si="129"/>
        <v>0.05</v>
      </c>
      <c r="N1328" s="464">
        <f t="shared" si="130"/>
        <v>91464</v>
      </c>
    </row>
    <row r="1329" spans="7:14" ht="11.25" customHeight="1" x14ac:dyDescent="0.25">
      <c r="G1329" s="459"/>
      <c r="H1329" s="459">
        <v>1322</v>
      </c>
      <c r="I1329" s="444">
        <f t="shared" ca="1" si="128"/>
        <v>-112490906.3763027</v>
      </c>
      <c r="J1329" s="444">
        <f t="array" ref="J1329">IFERROR(INDEX('Retirement Calculator'!J:J,MATCH('Isaac 401k'!N1329,'Retirement Calculator'!A:A,0),0),0)</f>
        <v>0</v>
      </c>
      <c r="K1329" s="444">
        <f t="shared" ca="1" si="126"/>
        <v>-468712.10990126128</v>
      </c>
      <c r="L1329" s="444">
        <f t="shared" ca="1" si="127"/>
        <v>-112959618.48620397</v>
      </c>
      <c r="M1329" s="460">
        <f t="shared" si="129"/>
        <v>0.05</v>
      </c>
      <c r="N1329" s="464">
        <f t="shared" si="130"/>
        <v>91494</v>
      </c>
    </row>
    <row r="1330" spans="7:14" ht="11.25" customHeight="1" x14ac:dyDescent="0.25">
      <c r="G1330" s="459"/>
      <c r="H1330" s="459">
        <v>1323</v>
      </c>
      <c r="I1330" s="444">
        <f t="shared" ca="1" si="128"/>
        <v>-112959618.48620397</v>
      </c>
      <c r="J1330" s="444">
        <f t="array" ref="J1330">IFERROR(INDEX('Retirement Calculator'!J:J,MATCH('Isaac 401k'!N1330,'Retirement Calculator'!A:A,0),0),0)</f>
        <v>0</v>
      </c>
      <c r="K1330" s="444">
        <f t="shared" ca="1" si="126"/>
        <v>-470665.07702584984</v>
      </c>
      <c r="L1330" s="444">
        <f t="shared" ca="1" si="127"/>
        <v>-113430283.56322981</v>
      </c>
      <c r="M1330" s="460">
        <f t="shared" si="129"/>
        <v>0.05</v>
      </c>
      <c r="N1330" s="464">
        <f t="shared" si="130"/>
        <v>91525</v>
      </c>
    </row>
    <row r="1331" spans="7:14" ht="11.25" customHeight="1" x14ac:dyDescent="0.25">
      <c r="G1331" s="459"/>
      <c r="H1331" s="459">
        <v>1324</v>
      </c>
      <c r="I1331" s="444">
        <f t="shared" ca="1" si="128"/>
        <v>-113430283.56322981</v>
      </c>
      <c r="J1331" s="444">
        <f t="array" ref="J1331">IFERROR(INDEX('Retirement Calculator'!J:J,MATCH('Isaac 401k'!N1331,'Retirement Calculator'!A:A,0),0),0)</f>
        <v>0</v>
      </c>
      <c r="K1331" s="444">
        <f t="shared" ca="1" si="126"/>
        <v>-472626.18151345756</v>
      </c>
      <c r="L1331" s="444">
        <f t="shared" ca="1" si="127"/>
        <v>-113902909.74474327</v>
      </c>
      <c r="M1331" s="460">
        <f t="shared" si="129"/>
        <v>0.05</v>
      </c>
      <c r="N1331" s="464">
        <f t="shared" si="130"/>
        <v>91556</v>
      </c>
    </row>
    <row r="1332" spans="7:14" ht="11.25" customHeight="1" x14ac:dyDescent="0.25">
      <c r="G1332" s="459"/>
      <c r="H1332" s="459">
        <v>1325</v>
      </c>
      <c r="I1332" s="444">
        <f t="shared" ca="1" si="128"/>
        <v>-113902909.74474327</v>
      </c>
      <c r="J1332" s="444">
        <f t="array" ref="J1332">IFERROR(INDEX('Retirement Calculator'!J:J,MATCH('Isaac 401k'!N1332,'Retirement Calculator'!A:A,0),0),0)</f>
        <v>0</v>
      </c>
      <c r="K1332" s="444">
        <f t="shared" ca="1" si="126"/>
        <v>-474595.45726976357</v>
      </c>
      <c r="L1332" s="444">
        <f t="shared" ca="1" si="127"/>
        <v>-114377505.20201303</v>
      </c>
      <c r="M1332" s="460">
        <f t="shared" si="129"/>
        <v>0.05</v>
      </c>
      <c r="N1332" s="464">
        <f t="shared" si="130"/>
        <v>91586</v>
      </c>
    </row>
    <row r="1333" spans="7:14" ht="11.25" customHeight="1" x14ac:dyDescent="0.25">
      <c r="G1333" s="459"/>
      <c r="H1333" s="459">
        <v>1326</v>
      </c>
      <c r="I1333" s="444">
        <f t="shared" ca="1" si="128"/>
        <v>-114377505.20201303</v>
      </c>
      <c r="J1333" s="444">
        <f t="array" ref="J1333">IFERROR(INDEX('Retirement Calculator'!J:J,MATCH('Isaac 401k'!N1333,'Retirement Calculator'!A:A,0),0),0)</f>
        <v>0</v>
      </c>
      <c r="K1333" s="444">
        <f t="shared" ca="1" si="126"/>
        <v>-476572.93834172096</v>
      </c>
      <c r="L1333" s="444">
        <f t="shared" ca="1" si="127"/>
        <v>-114854078.14035475</v>
      </c>
      <c r="M1333" s="460">
        <f t="shared" si="129"/>
        <v>0.05</v>
      </c>
      <c r="N1333" s="464">
        <f t="shared" si="130"/>
        <v>91617</v>
      </c>
    </row>
    <row r="1334" spans="7:14" ht="11.25" customHeight="1" x14ac:dyDescent="0.25">
      <c r="G1334" s="459"/>
      <c r="H1334" s="459">
        <v>1327</v>
      </c>
      <c r="I1334" s="444">
        <f t="shared" ca="1" si="128"/>
        <v>-114854078.14035475</v>
      </c>
      <c r="J1334" s="444">
        <f t="array" ref="J1334">IFERROR(INDEX('Retirement Calculator'!J:J,MATCH('Isaac 401k'!N1334,'Retirement Calculator'!A:A,0),0),0)</f>
        <v>0</v>
      </c>
      <c r="K1334" s="444">
        <f t="shared" ca="1" si="126"/>
        <v>-478558.65891814471</v>
      </c>
      <c r="L1334" s="444">
        <f t="shared" ca="1" si="127"/>
        <v>-115332636.79927289</v>
      </c>
      <c r="M1334" s="460">
        <f t="shared" si="129"/>
        <v>0.05</v>
      </c>
      <c r="N1334" s="464">
        <f t="shared" si="130"/>
        <v>91647</v>
      </c>
    </row>
    <row r="1335" spans="7:14" ht="11.25" customHeight="1" x14ac:dyDescent="0.25">
      <c r="G1335" s="459"/>
      <c r="H1335" s="459">
        <v>1328</v>
      </c>
      <c r="I1335" s="444">
        <f t="shared" ca="1" si="128"/>
        <v>-115332636.79927289</v>
      </c>
      <c r="J1335" s="444">
        <f t="array" ref="J1335">IFERROR(INDEX('Retirement Calculator'!J:J,MATCH('Isaac 401k'!N1335,'Retirement Calculator'!A:A,0),0),0)</f>
        <v>0</v>
      </c>
      <c r="K1335" s="444">
        <f t="shared" ca="1" si="126"/>
        <v>-480552.65333030379</v>
      </c>
      <c r="L1335" s="444">
        <f t="shared" ca="1" si="127"/>
        <v>-115813189.45260321</v>
      </c>
      <c r="M1335" s="460">
        <f t="shared" si="129"/>
        <v>0.05</v>
      </c>
      <c r="N1335" s="464">
        <f t="shared" si="130"/>
        <v>91678</v>
      </c>
    </row>
    <row r="1336" spans="7:14" ht="11.25" customHeight="1" x14ac:dyDescent="0.25">
      <c r="G1336" s="459"/>
      <c r="H1336" s="459">
        <v>1329</v>
      </c>
      <c r="I1336" s="444">
        <f t="shared" ca="1" si="128"/>
        <v>-115813189.45260321</v>
      </c>
      <c r="J1336" s="444">
        <f t="array" ref="J1336">IFERROR(INDEX('Retirement Calculator'!J:J,MATCH('Isaac 401k'!N1336,'Retirement Calculator'!A:A,0),0),0)</f>
        <v>0</v>
      </c>
      <c r="K1336" s="444">
        <f t="shared" ca="1" si="126"/>
        <v>-482554.95605251333</v>
      </c>
      <c r="L1336" s="444">
        <f t="shared" ca="1" si="127"/>
        <v>-116295744.40865572</v>
      </c>
      <c r="M1336" s="460">
        <f t="shared" si="129"/>
        <v>0.05</v>
      </c>
      <c r="N1336" s="464">
        <f t="shared" si="130"/>
        <v>91709</v>
      </c>
    </row>
    <row r="1337" spans="7:14" ht="11.25" customHeight="1" x14ac:dyDescent="0.25">
      <c r="G1337" s="459"/>
      <c r="H1337" s="459">
        <v>1330</v>
      </c>
      <c r="I1337" s="444">
        <f t="shared" ca="1" si="128"/>
        <v>-116295744.40865572</v>
      </c>
      <c r="J1337" s="444">
        <f t="array" ref="J1337">IFERROR(INDEX('Retirement Calculator'!J:J,MATCH('Isaac 401k'!N1337,'Retirement Calculator'!A:A,0),0),0)</f>
        <v>0</v>
      </c>
      <c r="K1337" s="444">
        <f t="shared" ca="1" si="126"/>
        <v>-484565.60170273215</v>
      </c>
      <c r="L1337" s="444">
        <f t="shared" ca="1" si="127"/>
        <v>-116780310.01035845</v>
      </c>
      <c r="M1337" s="460">
        <f t="shared" si="129"/>
        <v>0.05</v>
      </c>
      <c r="N1337" s="464">
        <f t="shared" si="130"/>
        <v>91737</v>
      </c>
    </row>
    <row r="1338" spans="7:14" ht="11.25" customHeight="1" x14ac:dyDescent="0.25">
      <c r="G1338" s="459"/>
      <c r="H1338" s="459">
        <v>1331</v>
      </c>
      <c r="I1338" s="444">
        <f t="shared" ca="1" si="128"/>
        <v>-116780310.01035845</v>
      </c>
      <c r="J1338" s="444">
        <f t="array" ref="J1338">IFERROR(INDEX('Retirement Calculator'!J:J,MATCH('Isaac 401k'!N1338,'Retirement Calculator'!A:A,0),0),0)</f>
        <v>0</v>
      </c>
      <c r="K1338" s="444">
        <f t="shared" ca="1" si="126"/>
        <v>-486584.62504316022</v>
      </c>
      <c r="L1338" s="444">
        <f t="shared" ca="1" si="127"/>
        <v>-117266894.63540161</v>
      </c>
      <c r="M1338" s="460">
        <f t="shared" si="129"/>
        <v>0.05</v>
      </c>
      <c r="N1338" s="464">
        <f t="shared" si="130"/>
        <v>91768</v>
      </c>
    </row>
    <row r="1339" spans="7:14" ht="11.25" customHeight="1" x14ac:dyDescent="0.25">
      <c r="G1339" s="459"/>
      <c r="H1339" s="459">
        <v>1332</v>
      </c>
      <c r="I1339" s="444">
        <f t="shared" ca="1" si="128"/>
        <v>-117266894.63540161</v>
      </c>
      <c r="J1339" s="444">
        <f t="array" ref="J1339">IFERROR(INDEX('Retirement Calculator'!J:J,MATCH('Isaac 401k'!N1339,'Retirement Calculator'!A:A,0),0),0)</f>
        <v>0</v>
      </c>
      <c r="K1339" s="444">
        <f t="shared" ca="1" si="126"/>
        <v>-488612.06098084</v>
      </c>
      <c r="L1339" s="444">
        <f t="shared" ca="1" si="127"/>
        <v>-117755506.69638245</v>
      </c>
      <c r="M1339" s="460">
        <f t="shared" si="129"/>
        <v>0.05</v>
      </c>
      <c r="N1339" s="464">
        <f t="shared" si="130"/>
        <v>91798</v>
      </c>
    </row>
    <row r="1340" spans="7:14" ht="11.25" customHeight="1" x14ac:dyDescent="0.25">
      <c r="G1340" s="459"/>
      <c r="H1340" s="459">
        <v>1333</v>
      </c>
      <c r="I1340" s="444">
        <f t="shared" ca="1" si="128"/>
        <v>-117755506.69638245</v>
      </c>
      <c r="J1340" s="444">
        <f t="array" ref="J1340">IFERROR(INDEX('Retirement Calculator'!J:J,MATCH('Isaac 401k'!N1340,'Retirement Calculator'!A:A,0),0),0)</f>
        <v>0</v>
      </c>
      <c r="K1340" s="444">
        <f t="shared" ca="1" si="126"/>
        <v>-490647.94456826017</v>
      </c>
      <c r="L1340" s="444">
        <f t="shared" ca="1" si="127"/>
        <v>-118246154.64095071</v>
      </c>
      <c r="M1340" s="460">
        <f t="shared" si="129"/>
        <v>0.05</v>
      </c>
      <c r="N1340" s="464">
        <f t="shared" si="130"/>
        <v>91829</v>
      </c>
    </row>
    <row r="1341" spans="7:14" ht="11.25" customHeight="1" x14ac:dyDescent="0.25">
      <c r="G1341" s="459"/>
      <c r="H1341" s="459">
        <v>1334</v>
      </c>
      <c r="I1341" s="444">
        <f t="shared" ca="1" si="128"/>
        <v>-118246154.64095071</v>
      </c>
      <c r="J1341" s="444">
        <f t="array" ref="J1341">IFERROR(INDEX('Retirement Calculator'!J:J,MATCH('Isaac 401k'!N1341,'Retirement Calculator'!A:A,0),0),0)</f>
        <v>0</v>
      </c>
      <c r="K1341" s="444">
        <f t="shared" ca="1" si="126"/>
        <v>-492692.31100396131</v>
      </c>
      <c r="L1341" s="444">
        <f t="shared" ca="1" si="127"/>
        <v>-118738846.95195468</v>
      </c>
      <c r="M1341" s="460">
        <f t="shared" si="129"/>
        <v>0.05</v>
      </c>
      <c r="N1341" s="464">
        <f t="shared" si="130"/>
        <v>91859</v>
      </c>
    </row>
    <row r="1342" spans="7:14" ht="11.25" customHeight="1" x14ac:dyDescent="0.25">
      <c r="G1342" s="459"/>
      <c r="H1342" s="459">
        <v>1335</v>
      </c>
      <c r="I1342" s="444">
        <f t="shared" ca="1" si="128"/>
        <v>-118738846.95195468</v>
      </c>
      <c r="J1342" s="444">
        <f t="array" ref="J1342">IFERROR(INDEX('Retirement Calculator'!J:J,MATCH('Isaac 401k'!N1342,'Retirement Calculator'!A:A,0),0),0)</f>
        <v>0</v>
      </c>
      <c r="K1342" s="444">
        <f t="shared" ca="1" si="126"/>
        <v>-494745.19563314447</v>
      </c>
      <c r="L1342" s="444">
        <f t="shared" ca="1" si="127"/>
        <v>-119233592.14758782</v>
      </c>
      <c r="M1342" s="460">
        <f t="shared" si="129"/>
        <v>0.05</v>
      </c>
      <c r="N1342" s="464">
        <f t="shared" si="130"/>
        <v>91890</v>
      </c>
    </row>
    <row r="1343" spans="7:14" ht="11.25" customHeight="1" x14ac:dyDescent="0.25">
      <c r="G1343" s="459"/>
      <c r="H1343" s="459">
        <v>1336</v>
      </c>
      <c r="I1343" s="444">
        <f t="shared" ca="1" si="128"/>
        <v>-119233592.14758782</v>
      </c>
      <c r="J1343" s="444">
        <f t="array" ref="J1343">IFERROR(INDEX('Retirement Calculator'!J:J,MATCH('Isaac 401k'!N1343,'Retirement Calculator'!A:A,0),0),0)</f>
        <v>0</v>
      </c>
      <c r="K1343" s="444">
        <f t="shared" ca="1" si="126"/>
        <v>-496806.63394828257</v>
      </c>
      <c r="L1343" s="444">
        <f t="shared" ca="1" si="127"/>
        <v>-119730398.7815361</v>
      </c>
      <c r="M1343" s="460">
        <f t="shared" si="129"/>
        <v>0.05</v>
      </c>
      <c r="N1343" s="464">
        <f t="shared" si="130"/>
        <v>91921</v>
      </c>
    </row>
    <row r="1344" spans="7:14" ht="11.25" customHeight="1" x14ac:dyDescent="0.25">
      <c r="G1344" s="459"/>
      <c r="H1344" s="459">
        <v>1337</v>
      </c>
      <c r="I1344" s="444">
        <f t="shared" ca="1" si="128"/>
        <v>-119730398.7815361</v>
      </c>
      <c r="J1344" s="444">
        <f t="array" ref="J1344">IFERROR(INDEX('Retirement Calculator'!J:J,MATCH('Isaac 401k'!N1344,'Retirement Calculator'!A:A,0),0),0)</f>
        <v>0</v>
      </c>
      <c r="K1344" s="444">
        <f t="shared" ca="1" si="126"/>
        <v>-498876.66158973367</v>
      </c>
      <c r="L1344" s="444">
        <f t="shared" ca="1" si="127"/>
        <v>-120229275.44312583</v>
      </c>
      <c r="M1344" s="460">
        <f t="shared" si="129"/>
        <v>0.05</v>
      </c>
      <c r="N1344" s="464">
        <f t="shared" si="130"/>
        <v>91951</v>
      </c>
    </row>
    <row r="1345" spans="7:14" ht="11.25" customHeight="1" x14ac:dyDescent="0.25">
      <c r="G1345" s="459"/>
      <c r="H1345" s="459">
        <v>1338</v>
      </c>
      <c r="I1345" s="444">
        <f t="shared" ca="1" si="128"/>
        <v>-120229275.44312583</v>
      </c>
      <c r="J1345" s="444">
        <f t="array" ref="J1345">IFERROR(INDEX('Retirement Calculator'!J:J,MATCH('Isaac 401k'!N1345,'Retirement Calculator'!A:A,0),0),0)</f>
        <v>0</v>
      </c>
      <c r="K1345" s="444">
        <f t="shared" ca="1" si="126"/>
        <v>-500955.31434635766</v>
      </c>
      <c r="L1345" s="444">
        <f t="shared" ca="1" si="127"/>
        <v>-120730230.75747219</v>
      </c>
      <c r="M1345" s="460">
        <f t="shared" si="129"/>
        <v>0.05</v>
      </c>
      <c r="N1345" s="464">
        <f t="shared" si="130"/>
        <v>91982</v>
      </c>
    </row>
    <row r="1346" spans="7:14" ht="11.25" customHeight="1" x14ac:dyDescent="0.25">
      <c r="G1346" s="459"/>
      <c r="H1346" s="459">
        <v>1339</v>
      </c>
      <c r="I1346" s="444">
        <f t="shared" ca="1" si="128"/>
        <v>-120730230.75747219</v>
      </c>
      <c r="J1346" s="444">
        <f t="array" ref="J1346">IFERROR(INDEX('Retirement Calculator'!J:J,MATCH('Isaac 401k'!N1346,'Retirement Calculator'!A:A,0),0),0)</f>
        <v>0</v>
      </c>
      <c r="K1346" s="444">
        <f t="shared" ca="1" si="126"/>
        <v>-503042.6281561341</v>
      </c>
      <c r="L1346" s="444">
        <f t="shared" ca="1" si="127"/>
        <v>-121233273.38562833</v>
      </c>
      <c r="M1346" s="460">
        <f t="shared" si="129"/>
        <v>0.05</v>
      </c>
      <c r="N1346" s="464">
        <f t="shared" si="130"/>
        <v>92012</v>
      </c>
    </row>
    <row r="1347" spans="7:14" ht="11.25" customHeight="1" x14ac:dyDescent="0.25">
      <c r="G1347" s="459"/>
      <c r="H1347" s="459">
        <v>1340</v>
      </c>
      <c r="I1347" s="444">
        <f t="shared" ca="1" si="128"/>
        <v>-121233273.38562833</v>
      </c>
      <c r="J1347" s="444">
        <f t="array" ref="J1347">IFERROR(INDEX('Retirement Calculator'!J:J,MATCH('Isaac 401k'!N1347,'Retirement Calculator'!A:A,0),0),0)</f>
        <v>0</v>
      </c>
      <c r="K1347" s="444">
        <f t="shared" ca="1" si="126"/>
        <v>-505138.63910678471</v>
      </c>
      <c r="L1347" s="444">
        <f t="shared" ca="1" si="127"/>
        <v>-121738412.02473511</v>
      </c>
      <c r="M1347" s="460">
        <f t="shared" si="129"/>
        <v>0.05</v>
      </c>
      <c r="N1347" s="464">
        <f t="shared" si="130"/>
        <v>92043</v>
      </c>
    </row>
    <row r="1348" spans="7:14" ht="11.25" customHeight="1" x14ac:dyDescent="0.25">
      <c r="G1348" s="459"/>
      <c r="H1348" s="459">
        <v>1341</v>
      </c>
      <c r="I1348" s="444">
        <f t="shared" ca="1" si="128"/>
        <v>-121738412.02473511</v>
      </c>
      <c r="J1348" s="444">
        <f t="array" ref="J1348">IFERROR(INDEX('Retirement Calculator'!J:J,MATCH('Isaac 401k'!N1348,'Retirement Calculator'!A:A,0),0),0)</f>
        <v>0</v>
      </c>
      <c r="K1348" s="444">
        <f t="shared" ca="1" si="126"/>
        <v>-507243.38343639625</v>
      </c>
      <c r="L1348" s="444">
        <f t="shared" ca="1" si="127"/>
        <v>-122245655.4081715</v>
      </c>
      <c r="M1348" s="460">
        <f t="shared" si="129"/>
        <v>0.05</v>
      </c>
      <c r="N1348" s="464">
        <f t="shared" si="130"/>
        <v>92074</v>
      </c>
    </row>
    <row r="1349" spans="7:14" ht="11.25" customHeight="1" x14ac:dyDescent="0.25">
      <c r="G1349" s="459"/>
      <c r="H1349" s="459">
        <v>1342</v>
      </c>
      <c r="I1349" s="444">
        <f t="shared" ca="1" si="128"/>
        <v>-122245655.4081715</v>
      </c>
      <c r="J1349" s="444">
        <f t="array" ref="J1349">IFERROR(INDEX('Retirement Calculator'!J:J,MATCH('Isaac 401k'!N1349,'Retirement Calculator'!A:A,0),0),0)</f>
        <v>0</v>
      </c>
      <c r="K1349" s="444">
        <f t="shared" ca="1" si="126"/>
        <v>-509356.89753404801</v>
      </c>
      <c r="L1349" s="444">
        <f t="shared" ca="1" si="127"/>
        <v>-122755012.30570555</v>
      </c>
      <c r="M1349" s="460">
        <f t="shared" si="129"/>
        <v>0.05</v>
      </c>
      <c r="N1349" s="464">
        <f t="shared" si="130"/>
        <v>92103</v>
      </c>
    </row>
    <row r="1350" spans="7:14" ht="11.25" customHeight="1" x14ac:dyDescent="0.25">
      <c r="G1350" s="459"/>
      <c r="H1350" s="459">
        <v>1343</v>
      </c>
      <c r="I1350" s="444">
        <f t="shared" ca="1" si="128"/>
        <v>-122755012.30570555</v>
      </c>
      <c r="J1350" s="444">
        <f t="array" ref="J1350">IFERROR(INDEX('Retirement Calculator'!J:J,MATCH('Isaac 401k'!N1350,'Retirement Calculator'!A:A,0),0),0)</f>
        <v>0</v>
      </c>
      <c r="K1350" s="444">
        <f t="shared" ca="1" si="126"/>
        <v>-511479.2179404397</v>
      </c>
      <c r="L1350" s="444">
        <f t="shared" ca="1" si="127"/>
        <v>-123266491.52364598</v>
      </c>
      <c r="M1350" s="460">
        <f t="shared" si="129"/>
        <v>0.05</v>
      </c>
      <c r="N1350" s="464">
        <f t="shared" si="130"/>
        <v>92134</v>
      </c>
    </row>
    <row r="1351" spans="7:14" ht="11.25" customHeight="1" x14ac:dyDescent="0.25">
      <c r="G1351" s="459"/>
      <c r="H1351" s="459">
        <v>1344</v>
      </c>
      <c r="I1351" s="444">
        <f t="shared" ca="1" si="128"/>
        <v>-123266491.52364598</v>
      </c>
      <c r="J1351" s="444">
        <f t="array" ref="J1351">IFERROR(INDEX('Retirement Calculator'!J:J,MATCH('Isaac 401k'!N1351,'Retirement Calculator'!A:A,0),0),0)</f>
        <v>0</v>
      </c>
      <c r="K1351" s="444">
        <f t="shared" ca="1" si="126"/>
        <v>-513610.38134852494</v>
      </c>
      <c r="L1351" s="444">
        <f t="shared" ca="1" si="127"/>
        <v>-123780101.9049945</v>
      </c>
      <c r="M1351" s="460">
        <f t="shared" si="129"/>
        <v>0.05</v>
      </c>
      <c r="N1351" s="464">
        <f t="shared" si="130"/>
        <v>92164</v>
      </c>
    </row>
    <row r="1352" spans="7:14" ht="11.25" customHeight="1" x14ac:dyDescent="0.25">
      <c r="G1352" s="459"/>
      <c r="H1352" s="459">
        <v>1345</v>
      </c>
      <c r="I1352" s="444">
        <f t="shared" ca="1" si="128"/>
        <v>-123780101.9049945</v>
      </c>
      <c r="J1352" s="444">
        <f t="array" ref="J1352">IFERROR(INDEX('Retirement Calculator'!J:J,MATCH('Isaac 401k'!N1352,'Retirement Calculator'!A:A,0),0),0)</f>
        <v>0</v>
      </c>
      <c r="K1352" s="444">
        <f t="shared" ca="1" si="126"/>
        <v>-515750.42460414371</v>
      </c>
      <c r="L1352" s="444">
        <f t="shared" ca="1" si="127"/>
        <v>-124295852.32959865</v>
      </c>
      <c r="M1352" s="460">
        <f t="shared" si="129"/>
        <v>0.05</v>
      </c>
      <c r="N1352" s="464">
        <f t="shared" si="130"/>
        <v>92195</v>
      </c>
    </row>
    <row r="1353" spans="7:14" ht="11.25" customHeight="1" x14ac:dyDescent="0.25">
      <c r="G1353" s="459"/>
      <c r="H1353" s="459">
        <v>1346</v>
      </c>
      <c r="I1353" s="444">
        <f t="shared" ca="1" si="128"/>
        <v>-124295852.32959865</v>
      </c>
      <c r="J1353" s="444">
        <f t="array" ref="J1353">IFERROR(INDEX('Retirement Calculator'!J:J,MATCH('Isaac 401k'!N1353,'Retirement Calculator'!A:A,0),0),0)</f>
        <v>0</v>
      </c>
      <c r="K1353" s="444">
        <f t="shared" ca="1" si="126"/>
        <v>-517899.38470666105</v>
      </c>
      <c r="L1353" s="444">
        <f t="shared" ca="1" si="127"/>
        <v>-124813751.71430531</v>
      </c>
      <c r="M1353" s="460">
        <f t="shared" si="129"/>
        <v>0.05</v>
      </c>
      <c r="N1353" s="464">
        <f t="shared" si="130"/>
        <v>92225</v>
      </c>
    </row>
    <row r="1354" spans="7:14" ht="11.25" customHeight="1" x14ac:dyDescent="0.25">
      <c r="G1354" s="459"/>
      <c r="H1354" s="459">
        <v>1347</v>
      </c>
      <c r="I1354" s="444">
        <f t="shared" ca="1" si="128"/>
        <v>-124813751.71430531</v>
      </c>
      <c r="J1354" s="444">
        <f t="array" ref="J1354">IFERROR(INDEX('Retirement Calculator'!J:J,MATCH('Isaac 401k'!N1354,'Retirement Calculator'!A:A,0),0),0)</f>
        <v>0</v>
      </c>
      <c r="K1354" s="444">
        <f t="shared" ca="1" si="126"/>
        <v>-520057.29880960548</v>
      </c>
      <c r="L1354" s="444">
        <f t="shared" ca="1" si="127"/>
        <v>-125333809.01311491</v>
      </c>
      <c r="M1354" s="460">
        <f t="shared" si="129"/>
        <v>0.05</v>
      </c>
      <c r="N1354" s="464">
        <f t="shared" si="130"/>
        <v>92256</v>
      </c>
    </row>
    <row r="1355" spans="7:14" ht="11.25" customHeight="1" x14ac:dyDescent="0.25">
      <c r="G1355" s="459"/>
      <c r="H1355" s="459">
        <v>1348</v>
      </c>
      <c r="I1355" s="444">
        <f t="shared" ca="1" si="128"/>
        <v>-125333809.01311491</v>
      </c>
      <c r="J1355" s="444">
        <f t="array" ref="J1355">IFERROR(INDEX('Retirement Calculator'!J:J,MATCH('Isaac 401k'!N1355,'Retirement Calculator'!A:A,0),0),0)</f>
        <v>0</v>
      </c>
      <c r="K1355" s="444">
        <f t="shared" ca="1" si="126"/>
        <v>-522224.20422131207</v>
      </c>
      <c r="L1355" s="444">
        <f t="shared" ca="1" si="127"/>
        <v>-125856033.21733622</v>
      </c>
      <c r="M1355" s="460">
        <f t="shared" si="129"/>
        <v>0.05</v>
      </c>
      <c r="N1355" s="464">
        <f t="shared" si="130"/>
        <v>92287</v>
      </c>
    </row>
    <row r="1356" spans="7:14" ht="11.25" customHeight="1" x14ac:dyDescent="0.25">
      <c r="G1356" s="459"/>
      <c r="H1356" s="459">
        <v>1349</v>
      </c>
      <c r="I1356" s="444">
        <f t="shared" ca="1" si="128"/>
        <v>-125856033.21733622</v>
      </c>
      <c r="J1356" s="444">
        <f t="array" ref="J1356">IFERROR(INDEX('Retirement Calculator'!J:J,MATCH('Isaac 401k'!N1356,'Retirement Calculator'!A:A,0),0),0)</f>
        <v>0</v>
      </c>
      <c r="K1356" s="444">
        <f t="shared" ca="1" si="126"/>
        <v>-524400.13840556762</v>
      </c>
      <c r="L1356" s="444">
        <f t="shared" ca="1" si="127"/>
        <v>-126380433.35574178</v>
      </c>
      <c r="M1356" s="460">
        <f t="shared" si="129"/>
        <v>0.05</v>
      </c>
      <c r="N1356" s="464">
        <f t="shared" si="130"/>
        <v>92317</v>
      </c>
    </row>
    <row r="1357" spans="7:14" ht="11.25" customHeight="1" x14ac:dyDescent="0.25">
      <c r="G1357" s="459"/>
      <c r="H1357" s="459">
        <v>1350</v>
      </c>
      <c r="I1357" s="444">
        <f t="shared" ca="1" si="128"/>
        <v>-126380433.35574178</v>
      </c>
      <c r="J1357" s="444">
        <f t="array" ref="J1357">IFERROR(INDEX('Retirement Calculator'!J:J,MATCH('Isaac 401k'!N1357,'Retirement Calculator'!A:A,0),0),0)</f>
        <v>0</v>
      </c>
      <c r="K1357" s="444">
        <f t="shared" ca="1" si="126"/>
        <v>-526585.13898225734</v>
      </c>
      <c r="L1357" s="444">
        <f t="shared" ca="1" si="127"/>
        <v>-126907018.49472404</v>
      </c>
      <c r="M1357" s="460">
        <f t="shared" si="129"/>
        <v>0.05</v>
      </c>
      <c r="N1357" s="464">
        <f t="shared" si="130"/>
        <v>92348</v>
      </c>
    </row>
    <row r="1358" spans="7:14" ht="11.25" customHeight="1" x14ac:dyDescent="0.25">
      <c r="G1358" s="459"/>
      <c r="H1358" s="459">
        <v>1351</v>
      </c>
      <c r="I1358" s="444">
        <f t="shared" ca="1" si="128"/>
        <v>-126907018.49472404</v>
      </c>
      <c r="J1358" s="444">
        <f t="array" ref="J1358">IFERROR(INDEX('Retirement Calculator'!J:J,MATCH('Isaac 401k'!N1358,'Retirement Calculator'!A:A,0),0),0)</f>
        <v>0</v>
      </c>
      <c r="K1358" s="444">
        <f t="shared" ca="1" si="126"/>
        <v>-528779.24372801685</v>
      </c>
      <c r="L1358" s="444">
        <f t="shared" ca="1" si="127"/>
        <v>-127435797.73845205</v>
      </c>
      <c r="M1358" s="460">
        <f t="shared" si="129"/>
        <v>0.05</v>
      </c>
      <c r="N1358" s="464">
        <f t="shared" si="130"/>
        <v>92378</v>
      </c>
    </row>
    <row r="1359" spans="7:14" ht="11.25" customHeight="1" x14ac:dyDescent="0.25">
      <c r="G1359" s="459"/>
      <c r="H1359" s="459">
        <v>1352</v>
      </c>
      <c r="I1359" s="444">
        <f t="shared" ca="1" si="128"/>
        <v>-127435797.73845205</v>
      </c>
      <c r="J1359" s="444">
        <f t="array" ref="J1359">IFERROR(INDEX('Retirement Calculator'!J:J,MATCH('Isaac 401k'!N1359,'Retirement Calculator'!A:A,0),0),0)</f>
        <v>0</v>
      </c>
      <c r="K1359" s="444">
        <f t="shared" ca="1" si="126"/>
        <v>-530982.49057688355</v>
      </c>
      <c r="L1359" s="444">
        <f t="shared" ca="1" si="127"/>
        <v>-127966780.22902893</v>
      </c>
      <c r="M1359" s="460">
        <f t="shared" si="129"/>
        <v>0.05</v>
      </c>
      <c r="N1359" s="464">
        <f t="shared" si="130"/>
        <v>92409</v>
      </c>
    </row>
    <row r="1360" spans="7:14" ht="11.25" customHeight="1" x14ac:dyDescent="0.25">
      <c r="G1360" s="459"/>
      <c r="H1360" s="459">
        <v>1353</v>
      </c>
      <c r="I1360" s="444">
        <f t="shared" ca="1" si="128"/>
        <v>-127966780.22902893</v>
      </c>
      <c r="J1360" s="444">
        <f t="array" ref="J1360">IFERROR(INDEX('Retirement Calculator'!J:J,MATCH('Isaac 401k'!N1360,'Retirement Calculator'!A:A,0),0),0)</f>
        <v>0</v>
      </c>
      <c r="K1360" s="444">
        <f t="shared" ca="1" si="126"/>
        <v>-533194.91762095387</v>
      </c>
      <c r="L1360" s="444">
        <f t="shared" ca="1" si="127"/>
        <v>-128499975.14664988</v>
      </c>
      <c r="M1360" s="460">
        <f t="shared" si="129"/>
        <v>0.05</v>
      </c>
      <c r="N1360" s="464">
        <f t="shared" si="130"/>
        <v>92440</v>
      </c>
    </row>
    <row r="1361" spans="7:14" ht="11.25" customHeight="1" x14ac:dyDescent="0.25">
      <c r="G1361" s="459"/>
      <c r="H1361" s="459">
        <v>1354</v>
      </c>
      <c r="I1361" s="444">
        <f t="shared" ca="1" si="128"/>
        <v>-128499975.14664988</v>
      </c>
      <c r="J1361" s="444">
        <f t="array" ref="J1361">IFERROR(INDEX('Retirement Calculator'!J:J,MATCH('Isaac 401k'!N1361,'Retirement Calculator'!A:A,0),0),0)</f>
        <v>0</v>
      </c>
      <c r="K1361" s="444">
        <f t="shared" ca="1" si="126"/>
        <v>-535416.56311104121</v>
      </c>
      <c r="L1361" s="444">
        <f t="shared" ca="1" si="127"/>
        <v>-129035391.70976092</v>
      </c>
      <c r="M1361" s="460">
        <f t="shared" si="129"/>
        <v>0.05</v>
      </c>
      <c r="N1361" s="464">
        <f t="shared" si="130"/>
        <v>92468</v>
      </c>
    </row>
    <row r="1362" spans="7:14" ht="11.25" customHeight="1" x14ac:dyDescent="0.25">
      <c r="G1362" s="459"/>
      <c r="H1362" s="459">
        <v>1355</v>
      </c>
      <c r="I1362" s="444">
        <f t="shared" ca="1" si="128"/>
        <v>-129035391.70976092</v>
      </c>
      <c r="J1362" s="444">
        <f t="array" ref="J1362">IFERROR(INDEX('Retirement Calculator'!J:J,MATCH('Isaac 401k'!N1362,'Retirement Calculator'!A:A,0),0),0)</f>
        <v>0</v>
      </c>
      <c r="K1362" s="444">
        <f t="shared" ca="1" si="126"/>
        <v>-537647.46545733721</v>
      </c>
      <c r="L1362" s="444">
        <f t="shared" ca="1" si="127"/>
        <v>-129573039.17521825</v>
      </c>
      <c r="M1362" s="460">
        <f t="shared" si="129"/>
        <v>0.05</v>
      </c>
      <c r="N1362" s="464">
        <f t="shared" si="130"/>
        <v>92499</v>
      </c>
    </row>
    <row r="1363" spans="7:14" ht="11.25" customHeight="1" x14ac:dyDescent="0.25">
      <c r="G1363" s="459"/>
      <c r="H1363" s="459">
        <v>1356</v>
      </c>
      <c r="I1363" s="444">
        <f t="shared" ca="1" si="128"/>
        <v>-129573039.17521825</v>
      </c>
      <c r="J1363" s="444">
        <f t="array" ref="J1363">IFERROR(INDEX('Retirement Calculator'!J:J,MATCH('Isaac 401k'!N1363,'Retirement Calculator'!A:A,0),0),0)</f>
        <v>0</v>
      </c>
      <c r="K1363" s="444">
        <f t="shared" ca="1" si="126"/>
        <v>-539887.66323007608</v>
      </c>
      <c r="L1363" s="444">
        <f t="shared" ca="1" si="127"/>
        <v>-130112926.83844833</v>
      </c>
      <c r="M1363" s="460">
        <f t="shared" si="129"/>
        <v>0.05</v>
      </c>
      <c r="N1363" s="464">
        <f t="shared" si="130"/>
        <v>92529</v>
      </c>
    </row>
    <row r="1364" spans="7:14" ht="11.25" customHeight="1" x14ac:dyDescent="0.25">
      <c r="G1364" s="459"/>
      <c r="H1364" s="459">
        <v>1357</v>
      </c>
      <c r="I1364" s="444">
        <f t="shared" ca="1" si="128"/>
        <v>-130112926.83844833</v>
      </c>
      <c r="J1364" s="444">
        <f t="array" ref="J1364">IFERROR(INDEX('Retirement Calculator'!J:J,MATCH('Isaac 401k'!N1364,'Retirement Calculator'!A:A,0),0),0)</f>
        <v>0</v>
      </c>
      <c r="K1364" s="444">
        <f t="shared" ca="1" si="126"/>
        <v>-542137.1951602014</v>
      </c>
      <c r="L1364" s="444">
        <f t="shared" ca="1" si="127"/>
        <v>-130655064.03360853</v>
      </c>
      <c r="M1364" s="460">
        <f t="shared" si="129"/>
        <v>0.05</v>
      </c>
      <c r="N1364" s="464">
        <f t="shared" si="130"/>
        <v>92560</v>
      </c>
    </row>
    <row r="1365" spans="7:14" ht="11.25" customHeight="1" x14ac:dyDescent="0.25">
      <c r="G1365" s="459"/>
      <c r="H1365" s="459">
        <v>1358</v>
      </c>
      <c r="I1365" s="444">
        <f t="shared" ca="1" si="128"/>
        <v>-130655064.03360853</v>
      </c>
      <c r="J1365" s="444">
        <f t="array" ref="J1365">IFERROR(INDEX('Retirement Calculator'!J:J,MATCH('Isaac 401k'!N1365,'Retirement Calculator'!A:A,0),0),0)</f>
        <v>0</v>
      </c>
      <c r="K1365" s="444">
        <f t="shared" ca="1" si="126"/>
        <v>-544396.10014003562</v>
      </c>
      <c r="L1365" s="444">
        <f t="shared" ca="1" si="127"/>
        <v>-131199460.13374856</v>
      </c>
      <c r="M1365" s="460">
        <f t="shared" si="129"/>
        <v>0.05</v>
      </c>
      <c r="N1365" s="464">
        <f t="shared" si="130"/>
        <v>92590</v>
      </c>
    </row>
    <row r="1366" spans="7:14" ht="11.25" customHeight="1" x14ac:dyDescent="0.25">
      <c r="G1366" s="459"/>
      <c r="H1366" s="459">
        <v>1359</v>
      </c>
      <c r="I1366" s="444">
        <f t="shared" ca="1" si="128"/>
        <v>-131199460.13374856</v>
      </c>
      <c r="J1366" s="444">
        <f t="array" ref="J1366">IFERROR(INDEX('Retirement Calculator'!J:J,MATCH('Isaac 401k'!N1366,'Retirement Calculator'!A:A,0),0),0)</f>
        <v>0</v>
      </c>
      <c r="K1366" s="444">
        <f t="shared" ca="1" si="126"/>
        <v>-546664.41722395224</v>
      </c>
      <c r="L1366" s="444">
        <f t="shared" ca="1" si="127"/>
        <v>-131746124.55097251</v>
      </c>
      <c r="M1366" s="460">
        <f t="shared" si="129"/>
        <v>0.05</v>
      </c>
      <c r="N1366" s="464">
        <f t="shared" si="130"/>
        <v>92621</v>
      </c>
    </row>
    <row r="1367" spans="7:14" ht="11.25" customHeight="1" x14ac:dyDescent="0.25">
      <c r="G1367" s="459"/>
      <c r="H1367" s="459">
        <v>1360</v>
      </c>
      <c r="I1367" s="444">
        <f t="shared" ca="1" si="128"/>
        <v>-131746124.55097251</v>
      </c>
      <c r="J1367" s="444">
        <f t="array" ref="J1367">IFERROR(INDEX('Retirement Calculator'!J:J,MATCH('Isaac 401k'!N1367,'Retirement Calculator'!A:A,0),0),0)</f>
        <v>0</v>
      </c>
      <c r="K1367" s="444">
        <f t="shared" ca="1" si="126"/>
        <v>-548942.18562905211</v>
      </c>
      <c r="L1367" s="444">
        <f t="shared" ca="1" si="127"/>
        <v>-132295066.73660156</v>
      </c>
      <c r="M1367" s="460">
        <f t="shared" si="129"/>
        <v>0.05</v>
      </c>
      <c r="N1367" s="464">
        <f t="shared" si="130"/>
        <v>92652</v>
      </c>
    </row>
    <row r="1368" spans="7:14" ht="11.25" customHeight="1" x14ac:dyDescent="0.25">
      <c r="G1368" s="459"/>
      <c r="H1368" s="459">
        <v>1361</v>
      </c>
      <c r="I1368" s="444">
        <f t="shared" ca="1" si="128"/>
        <v>-132295066.73660156</v>
      </c>
      <c r="J1368" s="444">
        <f t="array" ref="J1368">IFERROR(INDEX('Retirement Calculator'!J:J,MATCH('Isaac 401k'!N1368,'Retirement Calculator'!A:A,0),0),0)</f>
        <v>0</v>
      </c>
      <c r="K1368" s="444">
        <f t="shared" ca="1" si="126"/>
        <v>-551229.44473583985</v>
      </c>
      <c r="L1368" s="444">
        <f t="shared" ca="1" si="127"/>
        <v>-132846296.1813374</v>
      </c>
      <c r="M1368" s="460">
        <f t="shared" si="129"/>
        <v>0.05</v>
      </c>
      <c r="N1368" s="464">
        <f t="shared" si="130"/>
        <v>92682</v>
      </c>
    </row>
    <row r="1369" spans="7:14" ht="11.25" customHeight="1" x14ac:dyDescent="0.25">
      <c r="G1369" s="459"/>
      <c r="H1369" s="459">
        <v>1362</v>
      </c>
      <c r="I1369" s="444">
        <f t="shared" ca="1" si="128"/>
        <v>-132846296.1813374</v>
      </c>
      <c r="J1369" s="444">
        <f t="array" ref="J1369">IFERROR(INDEX('Retirement Calculator'!J:J,MATCH('Isaac 401k'!N1369,'Retirement Calculator'!A:A,0),0),0)</f>
        <v>0</v>
      </c>
      <c r="K1369" s="444">
        <f t="shared" ca="1" si="126"/>
        <v>-553526.23408890585</v>
      </c>
      <c r="L1369" s="444">
        <f t="shared" ca="1" si="127"/>
        <v>-133399822.41542631</v>
      </c>
      <c r="M1369" s="460">
        <f t="shared" si="129"/>
        <v>0.05</v>
      </c>
      <c r="N1369" s="464">
        <f t="shared" si="130"/>
        <v>92713</v>
      </c>
    </row>
    <row r="1370" spans="7:14" ht="11.25" customHeight="1" x14ac:dyDescent="0.25">
      <c r="G1370" s="459"/>
      <c r="H1370" s="459">
        <v>1363</v>
      </c>
      <c r="I1370" s="444">
        <f t="shared" ca="1" si="128"/>
        <v>-133399822.41542631</v>
      </c>
      <c r="J1370" s="444">
        <f t="array" ref="J1370">IFERROR(INDEX('Retirement Calculator'!J:J,MATCH('Isaac 401k'!N1370,'Retirement Calculator'!A:A,0),0),0)</f>
        <v>0</v>
      </c>
      <c r="K1370" s="444">
        <f t="shared" ca="1" si="126"/>
        <v>-555832.59339760966</v>
      </c>
      <c r="L1370" s="444">
        <f t="shared" ca="1" si="127"/>
        <v>-133955655.00882392</v>
      </c>
      <c r="M1370" s="460">
        <f t="shared" si="129"/>
        <v>0.05</v>
      </c>
      <c r="N1370" s="464">
        <f t="shared" si="130"/>
        <v>92743</v>
      </c>
    </row>
    <row r="1371" spans="7:14" ht="11.25" customHeight="1" x14ac:dyDescent="0.25">
      <c r="G1371" s="459"/>
      <c r="H1371" s="459">
        <v>1364</v>
      </c>
      <c r="I1371" s="444">
        <f t="shared" ca="1" si="128"/>
        <v>-133955655.00882392</v>
      </c>
      <c r="J1371" s="444">
        <f t="array" ref="J1371">IFERROR(INDEX('Retirement Calculator'!J:J,MATCH('Isaac 401k'!N1371,'Retirement Calculator'!A:A,0),0),0)</f>
        <v>0</v>
      </c>
      <c r="K1371" s="444">
        <f t="shared" ca="1" si="126"/>
        <v>-558148.56253676629</v>
      </c>
      <c r="L1371" s="444">
        <f t="shared" ca="1" si="127"/>
        <v>-134513803.57136068</v>
      </c>
      <c r="M1371" s="460">
        <f t="shared" si="129"/>
        <v>0.05</v>
      </c>
      <c r="N1371" s="464">
        <f t="shared" si="130"/>
        <v>92774</v>
      </c>
    </row>
    <row r="1372" spans="7:14" ht="11.25" customHeight="1" x14ac:dyDescent="0.25">
      <c r="G1372" s="459"/>
      <c r="H1372" s="459">
        <v>1365</v>
      </c>
      <c r="I1372" s="444">
        <f t="shared" ca="1" si="128"/>
        <v>-134513803.57136068</v>
      </c>
      <c r="J1372" s="444">
        <f t="array" ref="J1372">IFERROR(INDEX('Retirement Calculator'!J:J,MATCH('Isaac 401k'!N1372,'Retirement Calculator'!A:A,0),0),0)</f>
        <v>0</v>
      </c>
      <c r="K1372" s="444">
        <f t="shared" ca="1" si="126"/>
        <v>-560474.18154733616</v>
      </c>
      <c r="L1372" s="444">
        <f t="shared" ca="1" si="127"/>
        <v>-135074277.75290802</v>
      </c>
      <c r="M1372" s="460">
        <f t="shared" si="129"/>
        <v>0.05</v>
      </c>
      <c r="N1372" s="464">
        <f t="shared" si="130"/>
        <v>92805</v>
      </c>
    </row>
    <row r="1373" spans="7:14" ht="11.25" customHeight="1" x14ac:dyDescent="0.25">
      <c r="G1373" s="459"/>
      <c r="H1373" s="459">
        <v>1366</v>
      </c>
      <c r="I1373" s="444">
        <f t="shared" ca="1" si="128"/>
        <v>-135074277.75290802</v>
      </c>
      <c r="J1373" s="444">
        <f t="array" ref="J1373">IFERROR(INDEX('Retirement Calculator'!J:J,MATCH('Isaac 401k'!N1373,'Retirement Calculator'!A:A,0),0),0)</f>
        <v>0</v>
      </c>
      <c r="K1373" s="444">
        <f t="shared" ca="1" si="126"/>
        <v>-562809.49063711672</v>
      </c>
      <c r="L1373" s="444">
        <f t="shared" ca="1" si="127"/>
        <v>-135637087.24354514</v>
      </c>
      <c r="M1373" s="460">
        <f t="shared" si="129"/>
        <v>0.05</v>
      </c>
      <c r="N1373" s="464">
        <f t="shared" si="130"/>
        <v>92833</v>
      </c>
    </row>
    <row r="1374" spans="7:14" ht="11.25" customHeight="1" x14ac:dyDescent="0.25">
      <c r="G1374" s="459"/>
      <c r="H1374" s="459">
        <v>1367</v>
      </c>
      <c r="I1374" s="444">
        <f t="shared" ca="1" si="128"/>
        <v>-135637087.24354514</v>
      </c>
      <c r="J1374" s="444">
        <f t="array" ref="J1374">IFERROR(INDEX('Retirement Calculator'!J:J,MATCH('Isaac 401k'!N1374,'Retirement Calculator'!A:A,0),0),0)</f>
        <v>0</v>
      </c>
      <c r="K1374" s="444">
        <f t="shared" ca="1" si="126"/>
        <v>-565154.53018143808</v>
      </c>
      <c r="L1374" s="444">
        <f t="shared" ca="1" si="127"/>
        <v>-136202241.77372658</v>
      </c>
      <c r="M1374" s="460">
        <f t="shared" si="129"/>
        <v>0.05</v>
      </c>
      <c r="N1374" s="464">
        <f t="shared" si="130"/>
        <v>92864</v>
      </c>
    </row>
    <row r="1375" spans="7:14" ht="11.25" customHeight="1" x14ac:dyDescent="0.25">
      <c r="G1375" s="459"/>
      <c r="H1375" s="459">
        <v>1368</v>
      </c>
      <c r="I1375" s="444">
        <f t="shared" ca="1" si="128"/>
        <v>-136202241.77372658</v>
      </c>
      <c r="J1375" s="444">
        <f t="array" ref="J1375">IFERROR(INDEX('Retirement Calculator'!J:J,MATCH('Isaac 401k'!N1375,'Retirement Calculator'!A:A,0),0),0)</f>
        <v>0</v>
      </c>
      <c r="K1375" s="444">
        <f t="shared" ca="1" si="126"/>
        <v>-567509.34072386078</v>
      </c>
      <c r="L1375" s="444">
        <f t="shared" ca="1" si="127"/>
        <v>-136769751.11445045</v>
      </c>
      <c r="M1375" s="460">
        <f t="shared" si="129"/>
        <v>0.05</v>
      </c>
      <c r="N1375" s="464">
        <f t="shared" si="130"/>
        <v>92894</v>
      </c>
    </row>
    <row r="1376" spans="7:14" ht="11.25" customHeight="1" x14ac:dyDescent="0.25">
      <c r="G1376" s="459"/>
      <c r="H1376" s="459">
        <v>1369</v>
      </c>
      <c r="I1376" s="444">
        <f t="shared" ca="1" si="128"/>
        <v>-136769751.11445045</v>
      </c>
      <c r="J1376" s="444">
        <f t="array" ref="J1376">IFERROR(INDEX('Retirement Calculator'!J:J,MATCH('Isaac 401k'!N1376,'Retirement Calculator'!A:A,0),0),0)</f>
        <v>0</v>
      </c>
      <c r="K1376" s="444">
        <f t="shared" ca="1" si="126"/>
        <v>-569873.96297687688</v>
      </c>
      <c r="L1376" s="444">
        <f t="shared" ca="1" si="127"/>
        <v>-137339625.07742733</v>
      </c>
      <c r="M1376" s="460">
        <f t="shared" si="129"/>
        <v>0.05</v>
      </c>
      <c r="N1376" s="464">
        <f t="shared" si="130"/>
        <v>92925</v>
      </c>
    </row>
    <row r="1377" spans="7:14" ht="11.25" customHeight="1" x14ac:dyDescent="0.25">
      <c r="G1377" s="459"/>
      <c r="H1377" s="459">
        <v>1370</v>
      </c>
      <c r="I1377" s="444">
        <f t="shared" ca="1" si="128"/>
        <v>-137339625.07742733</v>
      </c>
      <c r="J1377" s="444">
        <f t="array" ref="J1377">IFERROR(INDEX('Retirement Calculator'!J:J,MATCH('Isaac 401k'!N1377,'Retirement Calculator'!A:A,0),0),0)</f>
        <v>0</v>
      </c>
      <c r="K1377" s="444">
        <f t="shared" ca="1" si="126"/>
        <v>-572248.43782261387</v>
      </c>
      <c r="L1377" s="444">
        <f t="shared" ca="1" si="127"/>
        <v>-137911873.51524994</v>
      </c>
      <c r="M1377" s="460">
        <f t="shared" si="129"/>
        <v>0.05</v>
      </c>
      <c r="N1377" s="464">
        <f t="shared" si="130"/>
        <v>92955</v>
      </c>
    </row>
    <row r="1378" spans="7:14" ht="11.25" customHeight="1" x14ac:dyDescent="0.25">
      <c r="G1378" s="459"/>
      <c r="H1378" s="459">
        <v>1371</v>
      </c>
      <c r="I1378" s="444">
        <f t="shared" ca="1" si="128"/>
        <v>-137911873.51524994</v>
      </c>
      <c r="J1378" s="444">
        <f t="array" ref="J1378">IFERROR(INDEX('Retirement Calculator'!J:J,MATCH('Isaac 401k'!N1378,'Retirement Calculator'!A:A,0),0),0)</f>
        <v>0</v>
      </c>
      <c r="K1378" s="444">
        <f t="shared" ca="1" si="126"/>
        <v>-574632.80631354137</v>
      </c>
      <c r="L1378" s="444">
        <f t="shared" ca="1" si="127"/>
        <v>-138486506.32156348</v>
      </c>
      <c r="M1378" s="460">
        <f t="shared" si="129"/>
        <v>0.05</v>
      </c>
      <c r="N1378" s="464">
        <f t="shared" si="130"/>
        <v>92986</v>
      </c>
    </row>
    <row r="1379" spans="7:14" ht="11.25" customHeight="1" x14ac:dyDescent="0.25">
      <c r="G1379" s="459"/>
      <c r="H1379" s="459">
        <v>1372</v>
      </c>
      <c r="I1379" s="444">
        <f t="shared" ca="1" si="128"/>
        <v>-138486506.32156348</v>
      </c>
      <c r="J1379" s="444">
        <f t="array" ref="J1379">IFERROR(INDEX('Retirement Calculator'!J:J,MATCH('Isaac 401k'!N1379,'Retirement Calculator'!A:A,0),0),0)</f>
        <v>0</v>
      </c>
      <c r="K1379" s="444">
        <f t="shared" ca="1" si="126"/>
        <v>-577027.1096731812</v>
      </c>
      <c r="L1379" s="444">
        <f t="shared" ca="1" si="127"/>
        <v>-139063533.43123665</v>
      </c>
      <c r="M1379" s="460">
        <f t="shared" si="129"/>
        <v>0.05</v>
      </c>
      <c r="N1379" s="464">
        <f t="shared" si="130"/>
        <v>93017</v>
      </c>
    </row>
    <row r="1380" spans="7:14" ht="11.25" customHeight="1" x14ac:dyDescent="0.25">
      <c r="G1380" s="459"/>
      <c r="H1380" s="459">
        <v>1373</v>
      </c>
      <c r="I1380" s="444">
        <f t="shared" ca="1" si="128"/>
        <v>-139063533.43123665</v>
      </c>
      <c r="J1380" s="444">
        <f t="array" ref="J1380">IFERROR(INDEX('Retirement Calculator'!J:J,MATCH('Isaac 401k'!N1380,'Retirement Calculator'!A:A,0),0),0)</f>
        <v>0</v>
      </c>
      <c r="K1380" s="444">
        <f t="shared" ca="1" si="126"/>
        <v>-579431.38929681934</v>
      </c>
      <c r="L1380" s="444">
        <f t="shared" ca="1" si="127"/>
        <v>-139642964.82053348</v>
      </c>
      <c r="M1380" s="460">
        <f t="shared" si="129"/>
        <v>0.05</v>
      </c>
      <c r="N1380" s="464">
        <f t="shared" si="130"/>
        <v>93047</v>
      </c>
    </row>
    <row r="1381" spans="7:14" ht="11.25" customHeight="1" x14ac:dyDescent="0.25">
      <c r="G1381" s="459"/>
      <c r="H1381" s="459">
        <v>1374</v>
      </c>
      <c r="I1381" s="444">
        <f t="shared" ca="1" si="128"/>
        <v>-139642964.82053348</v>
      </c>
      <c r="J1381" s="444">
        <f t="array" ref="J1381">IFERROR(INDEX('Retirement Calculator'!J:J,MATCH('Isaac 401k'!N1381,'Retirement Calculator'!A:A,0),0),0)</f>
        <v>0</v>
      </c>
      <c r="K1381" s="444">
        <f t="shared" ca="1" si="126"/>
        <v>-581845.68675222283</v>
      </c>
      <c r="L1381" s="444">
        <f t="shared" ca="1" si="127"/>
        <v>-140224810.50728571</v>
      </c>
      <c r="M1381" s="460">
        <f t="shared" si="129"/>
        <v>0.05</v>
      </c>
      <c r="N1381" s="464">
        <f t="shared" si="130"/>
        <v>93078</v>
      </c>
    </row>
    <row r="1382" spans="7:14" ht="11.25" customHeight="1" x14ac:dyDescent="0.25">
      <c r="G1382" s="459"/>
      <c r="H1382" s="459">
        <v>1375</v>
      </c>
      <c r="I1382" s="444">
        <f t="shared" ca="1" si="128"/>
        <v>-140224810.50728571</v>
      </c>
      <c r="J1382" s="444">
        <f t="array" ref="J1382">IFERROR(INDEX('Retirement Calculator'!J:J,MATCH('Isaac 401k'!N1382,'Retirement Calculator'!A:A,0),0),0)</f>
        <v>0</v>
      </c>
      <c r="K1382" s="444">
        <f t="shared" ca="1" si="126"/>
        <v>-584270.04378035711</v>
      </c>
      <c r="L1382" s="444">
        <f t="shared" ca="1" si="127"/>
        <v>-140809080.55106607</v>
      </c>
      <c r="M1382" s="460">
        <f t="shared" si="129"/>
        <v>0.05</v>
      </c>
      <c r="N1382" s="464">
        <f t="shared" si="130"/>
        <v>93108</v>
      </c>
    </row>
    <row r="1383" spans="7:14" ht="11.25" customHeight="1" x14ac:dyDescent="0.25">
      <c r="G1383" s="459"/>
      <c r="H1383" s="459">
        <v>1376</v>
      </c>
      <c r="I1383" s="444">
        <f t="shared" ca="1" si="128"/>
        <v>-140809080.55106607</v>
      </c>
      <c r="J1383" s="444">
        <f t="array" ref="J1383">IFERROR(INDEX('Retirement Calculator'!J:J,MATCH('Isaac 401k'!N1383,'Retirement Calculator'!A:A,0),0),0)</f>
        <v>0</v>
      </c>
      <c r="K1383" s="444">
        <f t="shared" ca="1" si="126"/>
        <v>-586704.50229610864</v>
      </c>
      <c r="L1383" s="444">
        <f t="shared" ca="1" si="127"/>
        <v>-141395785.05336219</v>
      </c>
      <c r="M1383" s="460">
        <f t="shared" si="129"/>
        <v>0.05</v>
      </c>
      <c r="N1383" s="464">
        <f t="shared" si="130"/>
        <v>93139</v>
      </c>
    </row>
    <row r="1384" spans="7:14" ht="11.25" customHeight="1" x14ac:dyDescent="0.25">
      <c r="G1384" s="459"/>
      <c r="H1384" s="459">
        <v>1377</v>
      </c>
      <c r="I1384" s="444">
        <f t="shared" ca="1" si="128"/>
        <v>-141395785.05336219</v>
      </c>
      <c r="J1384" s="444">
        <f t="array" ref="J1384">IFERROR(INDEX('Retirement Calculator'!J:J,MATCH('Isaac 401k'!N1384,'Retirement Calculator'!A:A,0),0),0)</f>
        <v>0</v>
      </c>
      <c r="K1384" s="444">
        <f t="shared" ca="1" si="126"/>
        <v>-589149.10438900907</v>
      </c>
      <c r="L1384" s="444">
        <f t="shared" ca="1" si="127"/>
        <v>-141984934.1577512</v>
      </c>
      <c r="M1384" s="460">
        <f t="shared" si="129"/>
        <v>0.05</v>
      </c>
      <c r="N1384" s="464">
        <f t="shared" si="130"/>
        <v>93170</v>
      </c>
    </row>
    <row r="1385" spans="7:14" ht="11.25" customHeight="1" x14ac:dyDescent="0.25">
      <c r="G1385" s="459"/>
      <c r="H1385" s="459">
        <v>1378</v>
      </c>
      <c r="I1385" s="444">
        <f t="shared" ca="1" si="128"/>
        <v>-141984934.1577512</v>
      </c>
      <c r="J1385" s="444">
        <f t="array" ref="J1385">IFERROR(INDEX('Retirement Calculator'!J:J,MATCH('Isaac 401k'!N1385,'Retirement Calculator'!A:A,0),0),0)</f>
        <v>0</v>
      </c>
      <c r="K1385" s="444">
        <f t="shared" ca="1" si="126"/>
        <v>-591603.89232396334</v>
      </c>
      <c r="L1385" s="444">
        <f t="shared" ca="1" si="127"/>
        <v>-142576538.05007517</v>
      </c>
      <c r="M1385" s="460">
        <f t="shared" si="129"/>
        <v>0.05</v>
      </c>
      <c r="N1385" s="464">
        <f t="shared" si="130"/>
        <v>93198</v>
      </c>
    </row>
    <row r="1386" spans="7:14" ht="11.25" customHeight="1" x14ac:dyDescent="0.25">
      <c r="G1386" s="459"/>
      <c r="H1386" s="459">
        <v>1379</v>
      </c>
      <c r="I1386" s="444">
        <f t="shared" ca="1" si="128"/>
        <v>-142576538.05007517</v>
      </c>
      <c r="J1386" s="444">
        <f t="array" ref="J1386">IFERROR(INDEX('Retirement Calculator'!J:J,MATCH('Isaac 401k'!N1386,'Retirement Calculator'!A:A,0),0),0)</f>
        <v>0</v>
      </c>
      <c r="K1386" s="444">
        <f t="shared" ca="1" si="126"/>
        <v>-594068.90854197985</v>
      </c>
      <c r="L1386" s="444">
        <f t="shared" ca="1" si="127"/>
        <v>-143170606.95861715</v>
      </c>
      <c r="M1386" s="460">
        <f t="shared" si="129"/>
        <v>0.05</v>
      </c>
      <c r="N1386" s="464">
        <f t="shared" si="130"/>
        <v>93229</v>
      </c>
    </row>
    <row r="1387" spans="7:14" ht="11.25" customHeight="1" x14ac:dyDescent="0.25">
      <c r="G1387" s="459"/>
      <c r="H1387" s="459">
        <v>1380</v>
      </c>
      <c r="I1387" s="444">
        <f t="shared" ca="1" si="128"/>
        <v>-143170606.95861715</v>
      </c>
      <c r="J1387" s="444">
        <f t="array" ref="J1387">IFERROR(INDEX('Retirement Calculator'!J:J,MATCH('Isaac 401k'!N1387,'Retirement Calculator'!A:A,0),0),0)</f>
        <v>0</v>
      </c>
      <c r="K1387" s="444">
        <f t="shared" ca="1" si="126"/>
        <v>-596544.19566090475</v>
      </c>
      <c r="L1387" s="444">
        <f t="shared" ca="1" si="127"/>
        <v>-143767151.15427807</v>
      </c>
      <c r="M1387" s="460">
        <f t="shared" si="129"/>
        <v>0.05</v>
      </c>
      <c r="N1387" s="464">
        <f t="shared" si="130"/>
        <v>93259</v>
      </c>
    </row>
    <row r="1388" spans="7:14" ht="11.25" customHeight="1" x14ac:dyDescent="0.25">
      <c r="G1388" s="459"/>
      <c r="H1388" s="459">
        <v>1381</v>
      </c>
      <c r="I1388" s="444">
        <f t="shared" ca="1" si="128"/>
        <v>-143767151.15427807</v>
      </c>
      <c r="J1388" s="444">
        <f t="array" ref="J1388">IFERROR(INDEX('Retirement Calculator'!J:J,MATCH('Isaac 401k'!N1388,'Retirement Calculator'!A:A,0),0),0)</f>
        <v>0</v>
      </c>
      <c r="K1388" s="444">
        <f t="shared" ca="1" si="126"/>
        <v>-599029.79647615866</v>
      </c>
      <c r="L1388" s="444">
        <f t="shared" ca="1" si="127"/>
        <v>-144366180.95075423</v>
      </c>
      <c r="M1388" s="460">
        <f t="shared" si="129"/>
        <v>0.05</v>
      </c>
      <c r="N1388" s="464">
        <f t="shared" si="130"/>
        <v>93290</v>
      </c>
    </row>
    <row r="1389" spans="7:14" ht="11.25" customHeight="1" x14ac:dyDescent="0.25">
      <c r="G1389" s="459"/>
      <c r="H1389" s="459">
        <v>1382</v>
      </c>
      <c r="I1389" s="444">
        <f t="shared" ca="1" si="128"/>
        <v>-144366180.95075423</v>
      </c>
      <c r="J1389" s="444">
        <f t="array" ref="J1389">IFERROR(INDEX('Retirement Calculator'!J:J,MATCH('Isaac 401k'!N1389,'Retirement Calculator'!A:A,0),0),0)</f>
        <v>0</v>
      </c>
      <c r="K1389" s="444">
        <f t="shared" ca="1" si="126"/>
        <v>-601525.75396147592</v>
      </c>
      <c r="L1389" s="444">
        <f t="shared" ca="1" si="127"/>
        <v>-144967706.7047157</v>
      </c>
      <c r="M1389" s="460">
        <f t="shared" si="129"/>
        <v>0.05</v>
      </c>
      <c r="N1389" s="464">
        <f t="shared" si="130"/>
        <v>93320</v>
      </c>
    </row>
    <row r="1390" spans="7:14" ht="11.25" customHeight="1" x14ac:dyDescent="0.25">
      <c r="G1390" s="459"/>
      <c r="H1390" s="459">
        <v>1383</v>
      </c>
      <c r="I1390" s="444">
        <f t="shared" ca="1" si="128"/>
        <v>-144967706.7047157</v>
      </c>
      <c r="J1390" s="444">
        <f t="array" ref="J1390">IFERROR(INDEX('Retirement Calculator'!J:J,MATCH('Isaac 401k'!N1390,'Retirement Calculator'!A:A,0),0),0)</f>
        <v>0</v>
      </c>
      <c r="K1390" s="444">
        <f t="shared" ca="1" si="126"/>
        <v>-604032.11126964877</v>
      </c>
      <c r="L1390" s="444">
        <f t="shared" ca="1" si="127"/>
        <v>-145571738.81598535</v>
      </c>
      <c r="M1390" s="460">
        <f t="shared" si="129"/>
        <v>0.05</v>
      </c>
      <c r="N1390" s="464">
        <f t="shared" si="130"/>
        <v>93351</v>
      </c>
    </row>
    <row r="1391" spans="7:14" ht="11.25" customHeight="1" x14ac:dyDescent="0.25">
      <c r="G1391" s="459"/>
      <c r="H1391" s="459">
        <v>1384</v>
      </c>
      <c r="I1391" s="444">
        <f t="shared" ca="1" si="128"/>
        <v>-145571738.81598535</v>
      </c>
      <c r="J1391" s="444">
        <f t="array" ref="J1391">IFERROR(INDEX('Retirement Calculator'!J:J,MATCH('Isaac 401k'!N1391,'Retirement Calculator'!A:A,0),0),0)</f>
        <v>0</v>
      </c>
      <c r="K1391" s="444">
        <f t="shared" ca="1" si="126"/>
        <v>-606548.91173327225</v>
      </c>
      <c r="L1391" s="444">
        <f t="shared" ca="1" si="127"/>
        <v>-146178287.72771862</v>
      </c>
      <c r="M1391" s="460">
        <f t="shared" si="129"/>
        <v>0.05</v>
      </c>
      <c r="N1391" s="464">
        <f t="shared" si="130"/>
        <v>93382</v>
      </c>
    </row>
    <row r="1392" spans="7:14" ht="11.25" customHeight="1" x14ac:dyDescent="0.25">
      <c r="G1392" s="459"/>
      <c r="H1392" s="459">
        <v>1385</v>
      </c>
      <c r="I1392" s="444">
        <f t="shared" ca="1" si="128"/>
        <v>-146178287.72771862</v>
      </c>
      <c r="J1392" s="444">
        <f t="array" ref="J1392">IFERROR(INDEX('Retirement Calculator'!J:J,MATCH('Isaac 401k'!N1392,'Retirement Calculator'!A:A,0),0),0)</f>
        <v>0</v>
      </c>
      <c r="K1392" s="444">
        <f t="shared" ca="1" si="126"/>
        <v>-609076.19886549423</v>
      </c>
      <c r="L1392" s="444">
        <f t="shared" ca="1" si="127"/>
        <v>-146787363.92658412</v>
      </c>
      <c r="M1392" s="460">
        <f t="shared" si="129"/>
        <v>0.05</v>
      </c>
      <c r="N1392" s="464">
        <f t="shared" si="130"/>
        <v>93412</v>
      </c>
    </row>
    <row r="1393" spans="7:14" ht="11.25" customHeight="1" x14ac:dyDescent="0.25">
      <c r="G1393" s="459"/>
      <c r="H1393" s="459">
        <v>1386</v>
      </c>
      <c r="I1393" s="444">
        <f t="shared" ca="1" si="128"/>
        <v>-146787363.92658412</v>
      </c>
      <c r="J1393" s="444">
        <f t="array" ref="J1393">IFERROR(INDEX('Retirement Calculator'!J:J,MATCH('Isaac 401k'!N1393,'Retirement Calculator'!A:A,0),0),0)</f>
        <v>0</v>
      </c>
      <c r="K1393" s="444">
        <f t="shared" ca="1" si="126"/>
        <v>-611614.01636076719</v>
      </c>
      <c r="L1393" s="444">
        <f t="shared" ca="1" si="127"/>
        <v>-147398977.94294488</v>
      </c>
      <c r="M1393" s="460">
        <f t="shared" si="129"/>
        <v>0.05</v>
      </c>
      <c r="N1393" s="464">
        <f t="shared" si="130"/>
        <v>93443</v>
      </c>
    </row>
    <row r="1394" spans="7:14" ht="11.25" customHeight="1" x14ac:dyDescent="0.25">
      <c r="G1394" s="459"/>
      <c r="H1394" s="459">
        <v>1387</v>
      </c>
      <c r="I1394" s="444">
        <f t="shared" ca="1" si="128"/>
        <v>-147398977.94294488</v>
      </c>
      <c r="J1394" s="444">
        <f t="array" ref="J1394">IFERROR(INDEX('Retirement Calculator'!J:J,MATCH('Isaac 401k'!N1394,'Retirement Calculator'!A:A,0),0),0)</f>
        <v>0</v>
      </c>
      <c r="K1394" s="444">
        <f t="shared" ca="1" si="126"/>
        <v>-614162.40809560369</v>
      </c>
      <c r="L1394" s="444">
        <f t="shared" ca="1" si="127"/>
        <v>-148013140.35104048</v>
      </c>
      <c r="M1394" s="460">
        <f t="shared" si="129"/>
        <v>0.05</v>
      </c>
      <c r="N1394" s="464">
        <f t="shared" si="130"/>
        <v>93473</v>
      </c>
    </row>
    <row r="1395" spans="7:14" ht="11.25" customHeight="1" x14ac:dyDescent="0.25">
      <c r="G1395" s="459"/>
      <c r="H1395" s="459">
        <v>1388</v>
      </c>
      <c r="I1395" s="444">
        <f t="shared" ca="1" si="128"/>
        <v>-148013140.35104048</v>
      </c>
      <c r="J1395" s="444">
        <f t="array" ref="J1395">IFERROR(INDEX('Retirement Calculator'!J:J,MATCH('Isaac 401k'!N1395,'Retirement Calculator'!A:A,0),0),0)</f>
        <v>0</v>
      </c>
      <c r="K1395" s="444">
        <f t="shared" ca="1" si="126"/>
        <v>-616721.41812933539</v>
      </c>
      <c r="L1395" s="444">
        <f t="shared" ca="1" si="127"/>
        <v>-148629861.76916981</v>
      </c>
      <c r="M1395" s="460">
        <f t="shared" si="129"/>
        <v>0.05</v>
      </c>
      <c r="N1395" s="464">
        <f t="shared" si="130"/>
        <v>93504</v>
      </c>
    </row>
    <row r="1396" spans="7:14" ht="11.25" customHeight="1" x14ac:dyDescent="0.25">
      <c r="G1396" s="459"/>
      <c r="H1396" s="459">
        <v>1389</v>
      </c>
      <c r="I1396" s="444">
        <f t="shared" ca="1" si="128"/>
        <v>-148629861.76916981</v>
      </c>
      <c r="J1396" s="444">
        <f t="array" ref="J1396">IFERROR(INDEX('Retirement Calculator'!J:J,MATCH('Isaac 401k'!N1396,'Retirement Calculator'!A:A,0),0),0)</f>
        <v>0</v>
      </c>
      <c r="K1396" s="444">
        <f t="shared" ca="1" si="126"/>
        <v>-619291.09070487414</v>
      </c>
      <c r="L1396" s="444">
        <f t="shared" ca="1" si="127"/>
        <v>-149249152.8598747</v>
      </c>
      <c r="M1396" s="460">
        <f t="shared" si="129"/>
        <v>0.05</v>
      </c>
      <c r="N1396" s="464">
        <f t="shared" si="130"/>
        <v>93535</v>
      </c>
    </row>
    <row r="1397" spans="7:14" ht="11.25" customHeight="1" x14ac:dyDescent="0.25">
      <c r="G1397" s="459"/>
      <c r="H1397" s="459">
        <v>1390</v>
      </c>
      <c r="I1397" s="444">
        <f t="shared" ca="1" si="128"/>
        <v>-149249152.8598747</v>
      </c>
      <c r="J1397" s="444">
        <f t="array" ref="J1397">IFERROR(INDEX('Retirement Calculator'!J:J,MATCH('Isaac 401k'!N1397,'Retirement Calculator'!A:A,0),0),0)</f>
        <v>0</v>
      </c>
      <c r="K1397" s="444">
        <f t="shared" ca="1" si="126"/>
        <v>-621871.47024947789</v>
      </c>
      <c r="L1397" s="444">
        <f t="shared" ca="1" si="127"/>
        <v>-149871024.33012417</v>
      </c>
      <c r="M1397" s="460">
        <f t="shared" si="129"/>
        <v>0.05</v>
      </c>
      <c r="N1397" s="464">
        <f t="shared" si="130"/>
        <v>93564</v>
      </c>
    </row>
    <row r="1398" spans="7:14" ht="11.25" customHeight="1" x14ac:dyDescent="0.25">
      <c r="G1398" s="459"/>
      <c r="H1398" s="459">
        <v>1391</v>
      </c>
      <c r="I1398" s="444">
        <f t="shared" ca="1" si="128"/>
        <v>-149871024.33012417</v>
      </c>
      <c r="J1398" s="444">
        <f t="array" ref="J1398">IFERROR(INDEX('Retirement Calculator'!J:J,MATCH('Isaac 401k'!N1398,'Retirement Calculator'!A:A,0),0),0)</f>
        <v>0</v>
      </c>
      <c r="K1398" s="444">
        <f t="shared" ca="1" si="126"/>
        <v>-624462.60137551732</v>
      </c>
      <c r="L1398" s="444">
        <f t="shared" ca="1" si="127"/>
        <v>-150495486.93149969</v>
      </c>
      <c r="M1398" s="460">
        <f t="shared" si="129"/>
        <v>0.05</v>
      </c>
      <c r="N1398" s="464">
        <f t="shared" si="130"/>
        <v>93595</v>
      </c>
    </row>
    <row r="1399" spans="7:14" ht="11.25" customHeight="1" x14ac:dyDescent="0.25">
      <c r="G1399" s="459"/>
      <c r="H1399" s="459">
        <v>1392</v>
      </c>
      <c r="I1399" s="444">
        <f t="shared" ca="1" si="128"/>
        <v>-150495486.93149969</v>
      </c>
      <c r="J1399" s="444">
        <f t="array" ref="J1399">IFERROR(INDEX('Retirement Calculator'!J:J,MATCH('Isaac 401k'!N1399,'Retirement Calculator'!A:A,0),0),0)</f>
        <v>0</v>
      </c>
      <c r="K1399" s="444">
        <f t="shared" ca="1" si="126"/>
        <v>-627064.52888124867</v>
      </c>
      <c r="L1399" s="444">
        <f t="shared" ca="1" si="127"/>
        <v>-151122551.46038094</v>
      </c>
      <c r="M1399" s="460">
        <f t="shared" si="129"/>
        <v>0.05</v>
      </c>
      <c r="N1399" s="464">
        <f t="shared" si="130"/>
        <v>93625</v>
      </c>
    </row>
    <row r="1400" spans="7:14" ht="11.25" customHeight="1" x14ac:dyDescent="0.25">
      <c r="G1400" s="459"/>
      <c r="H1400" s="459">
        <v>1393</v>
      </c>
      <c r="I1400" s="444">
        <f t="shared" ca="1" si="128"/>
        <v>-151122551.46038094</v>
      </c>
      <c r="J1400" s="444">
        <f t="array" ref="J1400">IFERROR(INDEX('Retirement Calculator'!J:J,MATCH('Isaac 401k'!N1400,'Retirement Calculator'!A:A,0),0),0)</f>
        <v>0</v>
      </c>
      <c r="K1400" s="444">
        <f t="shared" ca="1" si="126"/>
        <v>-629677.29775158723</v>
      </c>
      <c r="L1400" s="444">
        <f t="shared" ca="1" si="127"/>
        <v>-151752228.75813252</v>
      </c>
      <c r="M1400" s="460">
        <f t="shared" si="129"/>
        <v>0.05</v>
      </c>
      <c r="N1400" s="464">
        <f t="shared" si="130"/>
        <v>93656</v>
      </c>
    </row>
    <row r="1401" spans="7:14" ht="11.25" customHeight="1" x14ac:dyDescent="0.25">
      <c r="G1401" s="459"/>
      <c r="H1401" s="459">
        <v>1394</v>
      </c>
      <c r="I1401" s="444">
        <f t="shared" ca="1" si="128"/>
        <v>-151752228.75813252</v>
      </c>
      <c r="J1401" s="444">
        <f t="array" ref="J1401">IFERROR(INDEX('Retirement Calculator'!J:J,MATCH('Isaac 401k'!N1401,'Retirement Calculator'!A:A,0),0),0)</f>
        <v>0</v>
      </c>
      <c r="K1401" s="444">
        <f t="shared" ca="1" si="126"/>
        <v>-632300.95315888547</v>
      </c>
      <c r="L1401" s="444">
        <f t="shared" ca="1" si="127"/>
        <v>-152384529.7112914</v>
      </c>
      <c r="M1401" s="460">
        <f t="shared" si="129"/>
        <v>0.05</v>
      </c>
      <c r="N1401" s="464">
        <f t="shared" si="130"/>
        <v>93686</v>
      </c>
    </row>
    <row r="1402" spans="7:14" ht="11.25" customHeight="1" x14ac:dyDescent="0.25">
      <c r="G1402" s="459"/>
      <c r="H1402" s="459">
        <v>1395</v>
      </c>
      <c r="I1402" s="444">
        <f t="shared" ca="1" si="128"/>
        <v>-152384529.7112914</v>
      </c>
      <c r="J1402" s="444">
        <f t="array" ref="J1402">IFERROR(INDEX('Retirement Calculator'!J:J,MATCH('Isaac 401k'!N1402,'Retirement Calculator'!A:A,0),0),0)</f>
        <v>0</v>
      </c>
      <c r="K1402" s="444">
        <f t="shared" ca="1" si="126"/>
        <v>-634935.54046371416</v>
      </c>
      <c r="L1402" s="444">
        <f t="shared" ca="1" si="127"/>
        <v>-153019465.25175512</v>
      </c>
      <c r="M1402" s="460">
        <f t="shared" si="129"/>
        <v>0.05</v>
      </c>
      <c r="N1402" s="464">
        <f t="shared" si="130"/>
        <v>93717</v>
      </c>
    </row>
    <row r="1403" spans="7:14" ht="11.25" customHeight="1" x14ac:dyDescent="0.25">
      <c r="G1403" s="459"/>
      <c r="H1403" s="459">
        <v>1396</v>
      </c>
      <c r="I1403" s="444">
        <f t="shared" ca="1" si="128"/>
        <v>-153019465.25175512</v>
      </c>
      <c r="J1403" s="444">
        <f t="array" ref="J1403">IFERROR(INDEX('Retirement Calculator'!J:J,MATCH('Isaac 401k'!N1403,'Retirement Calculator'!A:A,0),0),0)</f>
        <v>0</v>
      </c>
      <c r="K1403" s="444">
        <f t="shared" ca="1" si="126"/>
        <v>-637581.10521564633</v>
      </c>
      <c r="L1403" s="444">
        <f t="shared" ca="1" si="127"/>
        <v>-153657046.35697076</v>
      </c>
      <c r="M1403" s="460">
        <f t="shared" si="129"/>
        <v>0.05</v>
      </c>
      <c r="N1403" s="464">
        <f t="shared" si="130"/>
        <v>93748</v>
      </c>
    </row>
    <row r="1404" spans="7:14" ht="11.25" customHeight="1" x14ac:dyDescent="0.25">
      <c r="G1404" s="459"/>
      <c r="H1404" s="459">
        <v>1397</v>
      </c>
      <c r="I1404" s="444">
        <f t="shared" ca="1" si="128"/>
        <v>-153657046.35697076</v>
      </c>
      <c r="J1404" s="444">
        <f t="array" ref="J1404">IFERROR(INDEX('Retirement Calculator'!J:J,MATCH('Isaac 401k'!N1404,'Retirement Calculator'!A:A,0),0),0)</f>
        <v>0</v>
      </c>
      <c r="K1404" s="444">
        <f t="shared" ca="1" si="126"/>
        <v>-640237.6931540448</v>
      </c>
      <c r="L1404" s="444">
        <f t="shared" ca="1" si="127"/>
        <v>-154297284.05012479</v>
      </c>
      <c r="M1404" s="460">
        <f t="shared" si="129"/>
        <v>0.05</v>
      </c>
      <c r="N1404" s="464">
        <f t="shared" si="130"/>
        <v>93778</v>
      </c>
    </row>
    <row r="1405" spans="7:14" ht="11.25" customHeight="1" x14ac:dyDescent="0.25">
      <c r="G1405" s="459"/>
      <c r="H1405" s="459">
        <v>1398</v>
      </c>
      <c r="I1405" s="444">
        <f t="shared" ca="1" si="128"/>
        <v>-154297284.05012479</v>
      </c>
      <c r="J1405" s="444">
        <f t="array" ref="J1405">IFERROR(INDEX('Retirement Calculator'!J:J,MATCH('Isaac 401k'!N1405,'Retirement Calculator'!A:A,0),0),0)</f>
        <v>0</v>
      </c>
      <c r="K1405" s="444">
        <f t="shared" ca="1" si="126"/>
        <v>-642905.35020885326</v>
      </c>
      <c r="L1405" s="444">
        <f t="shared" ca="1" si="127"/>
        <v>-154940189.40033364</v>
      </c>
      <c r="M1405" s="460">
        <f t="shared" si="129"/>
        <v>0.05</v>
      </c>
      <c r="N1405" s="464">
        <f t="shared" si="130"/>
        <v>93809</v>
      </c>
    </row>
    <row r="1406" spans="7:14" ht="11.25" customHeight="1" x14ac:dyDescent="0.25">
      <c r="G1406" s="459"/>
      <c r="H1406" s="459">
        <v>1399</v>
      </c>
      <c r="I1406" s="444">
        <f t="shared" ca="1" si="128"/>
        <v>-154940189.40033364</v>
      </c>
      <c r="J1406" s="444">
        <f t="array" ref="J1406">IFERROR(INDEX('Retirement Calculator'!J:J,MATCH('Isaac 401k'!N1406,'Retirement Calculator'!A:A,0),0),0)</f>
        <v>0</v>
      </c>
      <c r="K1406" s="444">
        <f t="shared" ca="1" si="126"/>
        <v>-645584.12250139017</v>
      </c>
      <c r="L1406" s="444">
        <f t="shared" ca="1" si="127"/>
        <v>-155585773.52283505</v>
      </c>
      <c r="M1406" s="460">
        <f t="shared" si="129"/>
        <v>0.05</v>
      </c>
      <c r="N1406" s="464">
        <f t="shared" si="130"/>
        <v>93839</v>
      </c>
    </row>
    <row r="1407" spans="7:14" ht="11.25" customHeight="1" x14ac:dyDescent="0.25">
      <c r="G1407" s="459"/>
      <c r="H1407" s="459">
        <v>1400</v>
      </c>
      <c r="I1407" s="444">
        <f t="shared" ca="1" si="128"/>
        <v>-155585773.52283505</v>
      </c>
      <c r="J1407" s="444">
        <f t="array" ref="J1407">IFERROR(INDEX('Retirement Calculator'!J:J,MATCH('Isaac 401k'!N1407,'Retirement Calculator'!A:A,0),0),0)</f>
        <v>0</v>
      </c>
      <c r="K1407" s="444">
        <f t="shared" ca="1" si="126"/>
        <v>-648274.05634514603</v>
      </c>
      <c r="L1407" s="444">
        <f t="shared" ca="1" si="127"/>
        <v>-156234047.57918018</v>
      </c>
      <c r="M1407" s="460">
        <f t="shared" si="129"/>
        <v>0.05</v>
      </c>
      <c r="N1407" s="464">
        <f t="shared" si="130"/>
        <v>93870</v>
      </c>
    </row>
    <row r="1408" spans="7:14" ht="11.25" customHeight="1" x14ac:dyDescent="0.25">
      <c r="G1408" s="459"/>
      <c r="H1408" s="459">
        <v>1401</v>
      </c>
      <c r="I1408" s="444">
        <f t="shared" ca="1" si="128"/>
        <v>-156234047.57918018</v>
      </c>
      <c r="J1408" s="444">
        <f t="array" ref="J1408">IFERROR(INDEX('Retirement Calculator'!J:J,MATCH('Isaac 401k'!N1408,'Retirement Calculator'!A:A,0),0),0)</f>
        <v>0</v>
      </c>
      <c r="K1408" s="444">
        <f t="shared" ca="1" si="126"/>
        <v>-650975.19824658404</v>
      </c>
      <c r="L1408" s="444">
        <f t="shared" ca="1" si="127"/>
        <v>-156885022.77742678</v>
      </c>
      <c r="M1408" s="460">
        <f t="shared" si="129"/>
        <v>0.05</v>
      </c>
      <c r="N1408" s="464">
        <f t="shared" si="130"/>
        <v>93901</v>
      </c>
    </row>
    <row r="1409" spans="7:14" ht="11.25" customHeight="1" x14ac:dyDescent="0.25">
      <c r="G1409" s="459"/>
      <c r="H1409" s="459">
        <v>1402</v>
      </c>
      <c r="I1409" s="444">
        <f t="shared" ca="1" si="128"/>
        <v>-156885022.77742678</v>
      </c>
      <c r="J1409" s="444">
        <f t="array" ref="J1409">IFERROR(INDEX('Retirement Calculator'!J:J,MATCH('Isaac 401k'!N1409,'Retirement Calculator'!A:A,0),0),0)</f>
        <v>0</v>
      </c>
      <c r="K1409" s="444">
        <f t="shared" ca="1" si="126"/>
        <v>-653687.59490594489</v>
      </c>
      <c r="L1409" s="444">
        <f t="shared" ca="1" si="127"/>
        <v>-157538710.37233272</v>
      </c>
      <c r="M1409" s="460">
        <f t="shared" si="129"/>
        <v>0.05</v>
      </c>
      <c r="N1409" s="464">
        <f t="shared" si="130"/>
        <v>93929</v>
      </c>
    </row>
    <row r="1410" spans="7:14" ht="11.25" customHeight="1" x14ac:dyDescent="0.25">
      <c r="G1410" s="459"/>
      <c r="H1410" s="459">
        <v>1403</v>
      </c>
      <c r="I1410" s="444">
        <f t="shared" ca="1" si="128"/>
        <v>-157538710.37233272</v>
      </c>
      <c r="J1410" s="444">
        <f t="array" ref="J1410">IFERROR(INDEX('Retirement Calculator'!J:J,MATCH('Isaac 401k'!N1410,'Retirement Calculator'!A:A,0),0),0)</f>
        <v>0</v>
      </c>
      <c r="K1410" s="444">
        <f t="shared" ca="1" si="126"/>
        <v>-656411.29321805295</v>
      </c>
      <c r="L1410" s="444">
        <f t="shared" ca="1" si="127"/>
        <v>-158195121.66555077</v>
      </c>
      <c r="M1410" s="460">
        <f t="shared" si="129"/>
        <v>0.05</v>
      </c>
      <c r="N1410" s="464">
        <f t="shared" si="130"/>
        <v>93960</v>
      </c>
    </row>
    <row r="1411" spans="7:14" ht="11.25" customHeight="1" x14ac:dyDescent="0.25">
      <c r="G1411" s="459"/>
      <c r="H1411" s="459">
        <v>1404</v>
      </c>
      <c r="I1411" s="444">
        <f t="shared" ca="1" si="128"/>
        <v>-158195121.66555077</v>
      </c>
      <c r="J1411" s="444">
        <f t="array" ref="J1411">IFERROR(INDEX('Retirement Calculator'!J:J,MATCH('Isaac 401k'!N1411,'Retirement Calculator'!A:A,0),0),0)</f>
        <v>0</v>
      </c>
      <c r="K1411" s="444">
        <f t="shared" ca="1" si="126"/>
        <v>-659146.34027312824</v>
      </c>
      <c r="L1411" s="444">
        <f t="shared" ca="1" si="127"/>
        <v>-158854268.00582391</v>
      </c>
      <c r="M1411" s="460">
        <f t="shared" si="129"/>
        <v>0.05</v>
      </c>
      <c r="N1411" s="464">
        <f t="shared" si="130"/>
        <v>93990</v>
      </c>
    </row>
    <row r="1412" spans="7:14" ht="11.25" customHeight="1" x14ac:dyDescent="0.25">
      <c r="G1412" s="459"/>
      <c r="H1412" s="459">
        <v>1405</v>
      </c>
      <c r="I1412" s="444">
        <f t="shared" ca="1" si="128"/>
        <v>-158854268.00582391</v>
      </c>
      <c r="J1412" s="444">
        <f t="array" ref="J1412">IFERROR(INDEX('Retirement Calculator'!J:J,MATCH('Isaac 401k'!N1412,'Retirement Calculator'!A:A,0),0),0)</f>
        <v>0</v>
      </c>
      <c r="K1412" s="444">
        <f t="shared" ca="1" si="126"/>
        <v>-661892.78335759963</v>
      </c>
      <c r="L1412" s="444">
        <f t="shared" ca="1" si="127"/>
        <v>-159516160.7891815</v>
      </c>
      <c r="M1412" s="460">
        <f t="shared" si="129"/>
        <v>0.05</v>
      </c>
      <c r="N1412" s="464">
        <f t="shared" si="130"/>
        <v>94021</v>
      </c>
    </row>
    <row r="1413" spans="7:14" ht="11.25" customHeight="1" x14ac:dyDescent="0.25">
      <c r="G1413" s="459"/>
      <c r="H1413" s="459">
        <v>1406</v>
      </c>
      <c r="I1413" s="444">
        <f t="shared" ca="1" si="128"/>
        <v>-159516160.7891815</v>
      </c>
      <c r="J1413" s="444">
        <f t="array" ref="J1413">IFERROR(INDEX('Retirement Calculator'!J:J,MATCH('Isaac 401k'!N1413,'Retirement Calculator'!A:A,0),0),0)</f>
        <v>0</v>
      </c>
      <c r="K1413" s="444">
        <f t="shared" ca="1" si="126"/>
        <v>-664650.66995492287</v>
      </c>
      <c r="L1413" s="444">
        <f t="shared" ca="1" si="127"/>
        <v>-160180811.45913643</v>
      </c>
      <c r="M1413" s="460">
        <f t="shared" si="129"/>
        <v>0.05</v>
      </c>
      <c r="N1413" s="464">
        <f t="shared" si="130"/>
        <v>94051</v>
      </c>
    </row>
    <row r="1414" spans="7:14" ht="11.25" customHeight="1" x14ac:dyDescent="0.25">
      <c r="G1414" s="459"/>
      <c r="H1414" s="459">
        <v>1407</v>
      </c>
      <c r="I1414" s="444">
        <f t="shared" ca="1" si="128"/>
        <v>-160180811.45913643</v>
      </c>
      <c r="J1414" s="444">
        <f t="array" ref="J1414">IFERROR(INDEX('Retirement Calculator'!J:J,MATCH('Isaac 401k'!N1414,'Retirement Calculator'!A:A,0),0),0)</f>
        <v>0</v>
      </c>
      <c r="K1414" s="444">
        <f t="shared" ca="1" si="126"/>
        <v>-667420.04774640175</v>
      </c>
      <c r="L1414" s="444">
        <f t="shared" ca="1" si="127"/>
        <v>-160848231.50688282</v>
      </c>
      <c r="M1414" s="460">
        <f t="shared" si="129"/>
        <v>0.05</v>
      </c>
      <c r="N1414" s="464">
        <f t="shared" si="130"/>
        <v>94082</v>
      </c>
    </row>
    <row r="1415" spans="7:14" ht="11.25" customHeight="1" x14ac:dyDescent="0.25">
      <c r="G1415" s="459"/>
      <c r="H1415" s="459">
        <v>1408</v>
      </c>
      <c r="I1415" s="444">
        <f t="shared" ca="1" si="128"/>
        <v>-160848231.50688282</v>
      </c>
      <c r="J1415" s="444">
        <f t="array" ref="J1415">IFERROR(INDEX('Retirement Calculator'!J:J,MATCH('Isaac 401k'!N1415,'Retirement Calculator'!A:A,0),0),0)</f>
        <v>0</v>
      </c>
      <c r="K1415" s="444">
        <f t="shared" ca="1" si="126"/>
        <v>-670200.96461201168</v>
      </c>
      <c r="L1415" s="444">
        <f t="shared" ca="1" si="127"/>
        <v>-161518432.47149482</v>
      </c>
      <c r="M1415" s="460">
        <f t="shared" si="129"/>
        <v>0.05</v>
      </c>
      <c r="N1415" s="464">
        <f t="shared" si="130"/>
        <v>94113</v>
      </c>
    </row>
    <row r="1416" spans="7:14" ht="11.25" customHeight="1" x14ac:dyDescent="0.25">
      <c r="G1416" s="459"/>
      <c r="H1416" s="459">
        <v>1409</v>
      </c>
      <c r="I1416" s="444">
        <f t="shared" ca="1" si="128"/>
        <v>-161518432.47149482</v>
      </c>
      <c r="J1416" s="444">
        <f t="array" ref="J1416">IFERROR(INDEX('Retirement Calculator'!J:J,MATCH('Isaac 401k'!N1416,'Retirement Calculator'!A:A,0),0),0)</f>
        <v>0</v>
      </c>
      <c r="K1416" s="444">
        <f t="shared" ca="1" si="126"/>
        <v>-672993.46863122843</v>
      </c>
      <c r="L1416" s="444">
        <f t="shared" ca="1" si="127"/>
        <v>-162191425.94012606</v>
      </c>
      <c r="M1416" s="460">
        <f t="shared" si="129"/>
        <v>0.05</v>
      </c>
      <c r="N1416" s="464">
        <f t="shared" si="130"/>
        <v>94143</v>
      </c>
    </row>
    <row r="1417" spans="7:14" ht="11.25" customHeight="1" x14ac:dyDescent="0.25">
      <c r="G1417" s="459"/>
      <c r="H1417" s="459">
        <v>1410</v>
      </c>
      <c r="I1417" s="444">
        <f t="shared" ca="1" si="128"/>
        <v>-162191425.94012606</v>
      </c>
      <c r="J1417" s="444">
        <f t="array" ref="J1417">IFERROR(INDEX('Retirement Calculator'!J:J,MATCH('Isaac 401k'!N1417,'Retirement Calculator'!A:A,0),0),0)</f>
        <v>0</v>
      </c>
      <c r="K1417" s="444">
        <f t="shared" ca="1" si="126"/>
        <v>-675797.60808385862</v>
      </c>
      <c r="L1417" s="444">
        <f t="shared" ca="1" si="127"/>
        <v>-162867223.54820991</v>
      </c>
      <c r="M1417" s="460">
        <f t="shared" si="129"/>
        <v>0.05</v>
      </c>
      <c r="N1417" s="464">
        <f t="shared" si="130"/>
        <v>94174</v>
      </c>
    </row>
    <row r="1418" spans="7:14" ht="11.25" customHeight="1" x14ac:dyDescent="0.25">
      <c r="G1418" s="459"/>
      <c r="H1418" s="459">
        <v>1411</v>
      </c>
      <c r="I1418" s="444">
        <f t="shared" ca="1" si="128"/>
        <v>-162867223.54820991</v>
      </c>
      <c r="J1418" s="444">
        <f t="array" ref="J1418">IFERROR(INDEX('Retirement Calculator'!J:J,MATCH('Isaac 401k'!N1418,'Retirement Calculator'!A:A,0),0),0)</f>
        <v>0</v>
      </c>
      <c r="K1418" s="444">
        <f t="shared" ca="1" si="126"/>
        <v>-678613.43145087454</v>
      </c>
      <c r="L1418" s="444">
        <f t="shared" ca="1" si="127"/>
        <v>-163545836.97966078</v>
      </c>
      <c r="M1418" s="460">
        <f t="shared" si="129"/>
        <v>0.05</v>
      </c>
      <c r="N1418" s="464">
        <f t="shared" si="130"/>
        <v>94204</v>
      </c>
    </row>
    <row r="1419" spans="7:14" ht="11.25" customHeight="1" x14ac:dyDescent="0.25">
      <c r="G1419" s="459"/>
      <c r="H1419" s="459">
        <v>1412</v>
      </c>
      <c r="I1419" s="444">
        <f t="shared" ca="1" si="128"/>
        <v>-163545836.97966078</v>
      </c>
      <c r="J1419" s="444">
        <f t="array" ref="J1419">IFERROR(INDEX('Retirement Calculator'!J:J,MATCH('Isaac 401k'!N1419,'Retirement Calculator'!A:A,0),0),0)</f>
        <v>0</v>
      </c>
      <c r="K1419" s="444">
        <f t="shared" ca="1" si="126"/>
        <v>-681440.98741525318</v>
      </c>
      <c r="L1419" s="444">
        <f t="shared" ca="1" si="127"/>
        <v>-164227277.96707603</v>
      </c>
      <c r="M1419" s="460">
        <f t="shared" si="129"/>
        <v>0.05</v>
      </c>
      <c r="N1419" s="464">
        <f t="shared" si="130"/>
        <v>94235</v>
      </c>
    </row>
    <row r="1420" spans="7:14" ht="11.25" customHeight="1" x14ac:dyDescent="0.25">
      <c r="G1420" s="459"/>
      <c r="H1420" s="459">
        <v>1413</v>
      </c>
      <c r="I1420" s="444">
        <f t="shared" ca="1" si="128"/>
        <v>-164227277.96707603</v>
      </c>
      <c r="J1420" s="444">
        <f t="array" ref="J1420">IFERROR(INDEX('Retirement Calculator'!J:J,MATCH('Isaac 401k'!N1420,'Retirement Calculator'!A:A,0),0),0)</f>
        <v>0</v>
      </c>
      <c r="K1420" s="444">
        <f t="shared" ca="1" si="126"/>
        <v>-684280.32486281684</v>
      </c>
      <c r="L1420" s="444">
        <f t="shared" ca="1" si="127"/>
        <v>-164911558.29193884</v>
      </c>
      <c r="M1420" s="460">
        <f t="shared" si="129"/>
        <v>0.05</v>
      </c>
      <c r="N1420" s="464">
        <f t="shared" si="130"/>
        <v>94266</v>
      </c>
    </row>
    <row r="1421" spans="7:14" ht="11.25" customHeight="1" x14ac:dyDescent="0.25">
      <c r="G1421" s="459"/>
      <c r="H1421" s="459">
        <v>1414</v>
      </c>
      <c r="I1421" s="444">
        <f t="shared" ca="1" si="128"/>
        <v>-164911558.29193884</v>
      </c>
      <c r="J1421" s="444">
        <f t="array" ref="J1421">IFERROR(INDEX('Retirement Calculator'!J:J,MATCH('Isaac 401k'!N1421,'Retirement Calculator'!A:A,0),0),0)</f>
        <v>0</v>
      </c>
      <c r="K1421" s="444">
        <f t="shared" ca="1" si="126"/>
        <v>-687131.49288307852</v>
      </c>
      <c r="L1421" s="444">
        <f t="shared" ca="1" si="127"/>
        <v>-165598689.78482193</v>
      </c>
      <c r="M1421" s="460">
        <f t="shared" si="129"/>
        <v>0.05</v>
      </c>
      <c r="N1421" s="464">
        <f t="shared" si="130"/>
        <v>94294</v>
      </c>
    </row>
    <row r="1422" spans="7:14" ht="11.25" customHeight="1" x14ac:dyDescent="0.25">
      <c r="G1422" s="459"/>
      <c r="H1422" s="459">
        <v>1415</v>
      </c>
      <c r="I1422" s="444">
        <f t="shared" ca="1" si="128"/>
        <v>-165598689.78482193</v>
      </c>
      <c r="J1422" s="444">
        <f t="array" ref="J1422">IFERROR(INDEX('Retirement Calculator'!J:J,MATCH('Isaac 401k'!N1422,'Retirement Calculator'!A:A,0),0),0)</f>
        <v>0</v>
      </c>
      <c r="K1422" s="444">
        <f t="shared" ca="1" si="126"/>
        <v>-689994.54077009135</v>
      </c>
      <c r="L1422" s="444">
        <f t="shared" ca="1" si="127"/>
        <v>-166288684.32559201</v>
      </c>
      <c r="M1422" s="460">
        <f t="shared" si="129"/>
        <v>0.05</v>
      </c>
      <c r="N1422" s="464">
        <f t="shared" si="130"/>
        <v>94325</v>
      </c>
    </row>
    <row r="1423" spans="7:14" ht="11.25" customHeight="1" x14ac:dyDescent="0.25">
      <c r="G1423" s="459"/>
      <c r="H1423" s="459">
        <v>1416</v>
      </c>
      <c r="I1423" s="444">
        <f t="shared" ca="1" si="128"/>
        <v>-166288684.32559201</v>
      </c>
      <c r="J1423" s="444">
        <f t="array" ref="J1423">IFERROR(INDEX('Retirement Calculator'!J:J,MATCH('Isaac 401k'!N1423,'Retirement Calculator'!A:A,0),0),0)</f>
        <v>0</v>
      </c>
      <c r="K1423" s="444">
        <f t="shared" ca="1" si="126"/>
        <v>-692869.51802329998</v>
      </c>
      <c r="L1423" s="444">
        <f t="shared" ca="1" si="127"/>
        <v>-166981553.84361532</v>
      </c>
      <c r="M1423" s="460">
        <f t="shared" si="129"/>
        <v>0.05</v>
      </c>
      <c r="N1423" s="464">
        <f t="shared" si="130"/>
        <v>94355</v>
      </c>
    </row>
    <row r="1424" spans="7:14" ht="11.25" customHeight="1" x14ac:dyDescent="0.25">
      <c r="G1424" s="459"/>
      <c r="H1424" s="459">
        <v>1417</v>
      </c>
      <c r="I1424" s="444">
        <f t="shared" ca="1" si="128"/>
        <v>-166981553.84361532</v>
      </c>
      <c r="J1424" s="444">
        <f t="array" ref="J1424">IFERROR(INDEX('Retirement Calculator'!J:J,MATCH('Isaac 401k'!N1424,'Retirement Calculator'!A:A,0),0),0)</f>
        <v>0</v>
      </c>
      <c r="K1424" s="444">
        <f t="shared" ca="1" si="126"/>
        <v>-695756.47434839723</v>
      </c>
      <c r="L1424" s="444">
        <f t="shared" ca="1" si="127"/>
        <v>-167677310.31796372</v>
      </c>
      <c r="M1424" s="460">
        <f t="shared" si="129"/>
        <v>0.05</v>
      </c>
      <c r="N1424" s="464">
        <f t="shared" si="130"/>
        <v>94386</v>
      </c>
    </row>
    <row r="1425" spans="7:14" ht="11.25" customHeight="1" x14ac:dyDescent="0.25">
      <c r="G1425" s="459"/>
      <c r="H1425" s="459">
        <v>1418</v>
      </c>
      <c r="I1425" s="444">
        <f t="shared" ca="1" si="128"/>
        <v>-167677310.31796372</v>
      </c>
      <c r="J1425" s="444">
        <f t="array" ref="J1425">IFERROR(INDEX('Retirement Calculator'!J:J,MATCH('Isaac 401k'!N1425,'Retirement Calculator'!A:A,0),0),0)</f>
        <v>0</v>
      </c>
      <c r="K1425" s="444">
        <f t="shared" ca="1" si="126"/>
        <v>-698655.45965818211</v>
      </c>
      <c r="L1425" s="444">
        <f t="shared" ca="1" si="127"/>
        <v>-168375965.7776219</v>
      </c>
      <c r="M1425" s="460">
        <f t="shared" si="129"/>
        <v>0.05</v>
      </c>
      <c r="N1425" s="464">
        <f t="shared" si="130"/>
        <v>94416</v>
      </c>
    </row>
    <row r="1426" spans="7:14" ht="11.25" customHeight="1" x14ac:dyDescent="0.25">
      <c r="G1426" s="459"/>
      <c r="H1426" s="459">
        <v>1419</v>
      </c>
      <c r="I1426" s="444">
        <f t="shared" ca="1" si="128"/>
        <v>-168375965.7776219</v>
      </c>
      <c r="J1426" s="444">
        <f t="array" ref="J1426">IFERROR(INDEX('Retirement Calculator'!J:J,MATCH('Isaac 401k'!N1426,'Retirement Calculator'!A:A,0),0),0)</f>
        <v>0</v>
      </c>
      <c r="K1426" s="444">
        <f t="shared" ca="1" si="126"/>
        <v>-701566.52407342452</v>
      </c>
      <c r="L1426" s="444">
        <f t="shared" ca="1" si="127"/>
        <v>-169077532.30169532</v>
      </c>
      <c r="M1426" s="460">
        <f t="shared" si="129"/>
        <v>0.05</v>
      </c>
      <c r="N1426" s="464">
        <f t="shared" si="130"/>
        <v>94447</v>
      </c>
    </row>
    <row r="1427" spans="7:14" ht="11.25" customHeight="1" x14ac:dyDescent="0.25">
      <c r="G1427" s="459"/>
      <c r="H1427" s="459">
        <v>1420</v>
      </c>
      <c r="I1427" s="444">
        <f t="shared" ca="1" si="128"/>
        <v>-169077532.30169532</v>
      </c>
      <c r="J1427" s="444">
        <f t="array" ref="J1427">IFERROR(INDEX('Retirement Calculator'!J:J,MATCH('Isaac 401k'!N1427,'Retirement Calculator'!A:A,0),0),0)</f>
        <v>0</v>
      </c>
      <c r="K1427" s="444">
        <f t="shared" ca="1" si="126"/>
        <v>-704489.7179237305</v>
      </c>
      <c r="L1427" s="444">
        <f t="shared" ca="1" si="127"/>
        <v>-169782022.01961905</v>
      </c>
      <c r="M1427" s="460">
        <f t="shared" si="129"/>
        <v>0.05</v>
      </c>
      <c r="N1427" s="464">
        <f t="shared" si="130"/>
        <v>94478</v>
      </c>
    </row>
    <row r="1428" spans="7:14" ht="11.25" customHeight="1" x14ac:dyDescent="0.25">
      <c r="G1428" s="459"/>
      <c r="H1428" s="459">
        <v>1421</v>
      </c>
      <c r="I1428" s="444">
        <f t="shared" ca="1" si="128"/>
        <v>-169782022.01961905</v>
      </c>
      <c r="J1428" s="444">
        <f t="array" ref="J1428">IFERROR(INDEX('Retirement Calculator'!J:J,MATCH('Isaac 401k'!N1428,'Retirement Calculator'!A:A,0),0),0)</f>
        <v>0</v>
      </c>
      <c r="K1428" s="444">
        <f t="shared" ca="1" si="126"/>
        <v>-707425.0917484127</v>
      </c>
      <c r="L1428" s="444">
        <f t="shared" ca="1" si="127"/>
        <v>-170489447.11136746</v>
      </c>
      <c r="M1428" s="460">
        <f t="shared" si="129"/>
        <v>0.05</v>
      </c>
      <c r="N1428" s="464">
        <f t="shared" si="130"/>
        <v>94508</v>
      </c>
    </row>
    <row r="1429" spans="7:14" ht="11.25" customHeight="1" x14ac:dyDescent="0.25">
      <c r="G1429" s="459"/>
      <c r="H1429" s="459">
        <v>1422</v>
      </c>
      <c r="I1429" s="444">
        <f t="shared" ca="1" si="128"/>
        <v>-170489447.11136746</v>
      </c>
      <c r="J1429" s="444">
        <f t="array" ref="J1429">IFERROR(INDEX('Retirement Calculator'!J:J,MATCH('Isaac 401k'!N1429,'Retirement Calculator'!A:A,0),0),0)</f>
        <v>0</v>
      </c>
      <c r="K1429" s="444">
        <f t="shared" ca="1" si="126"/>
        <v>-710372.69629736443</v>
      </c>
      <c r="L1429" s="444">
        <f t="shared" ca="1" si="127"/>
        <v>-171199819.80766484</v>
      </c>
      <c r="M1429" s="460">
        <f t="shared" si="129"/>
        <v>0.05</v>
      </c>
      <c r="N1429" s="464">
        <f t="shared" si="130"/>
        <v>94539</v>
      </c>
    </row>
    <row r="1430" spans="7:14" ht="11.25" customHeight="1" x14ac:dyDescent="0.25">
      <c r="G1430" s="459"/>
      <c r="H1430" s="459">
        <v>1423</v>
      </c>
      <c r="I1430" s="444">
        <f t="shared" ca="1" si="128"/>
        <v>-171199819.80766484</v>
      </c>
      <c r="J1430" s="444">
        <f t="array" ref="J1430">IFERROR(INDEX('Retirement Calculator'!J:J,MATCH('Isaac 401k'!N1430,'Retirement Calculator'!A:A,0),0),0)</f>
        <v>0</v>
      </c>
      <c r="K1430" s="444">
        <f t="shared" ca="1" si="126"/>
        <v>-713332.58253193682</v>
      </c>
      <c r="L1430" s="444">
        <f t="shared" ca="1" si="127"/>
        <v>-171913152.39019677</v>
      </c>
      <c r="M1430" s="460">
        <f t="shared" si="129"/>
        <v>0.05</v>
      </c>
      <c r="N1430" s="464">
        <f t="shared" si="130"/>
        <v>94569</v>
      </c>
    </row>
    <row r="1431" spans="7:14" ht="11.25" customHeight="1" x14ac:dyDescent="0.25">
      <c r="G1431" s="459"/>
      <c r="H1431" s="459">
        <v>1424</v>
      </c>
      <c r="I1431" s="444">
        <f t="shared" ca="1" si="128"/>
        <v>-171913152.39019677</v>
      </c>
      <c r="J1431" s="444">
        <f t="array" ref="J1431">IFERROR(INDEX('Retirement Calculator'!J:J,MATCH('Isaac 401k'!N1431,'Retirement Calculator'!A:A,0),0),0)</f>
        <v>0</v>
      </c>
      <c r="K1431" s="444">
        <f t="shared" ca="1" si="126"/>
        <v>-716304.80162581988</v>
      </c>
      <c r="L1431" s="444">
        <f t="shared" ca="1" si="127"/>
        <v>-172629457.19182259</v>
      </c>
      <c r="M1431" s="460">
        <f t="shared" si="129"/>
        <v>0.05</v>
      </c>
      <c r="N1431" s="464">
        <f t="shared" si="130"/>
        <v>94600</v>
      </c>
    </row>
    <row r="1432" spans="7:14" ht="11.25" customHeight="1" x14ac:dyDescent="0.25">
      <c r="G1432" s="459"/>
      <c r="H1432" s="459">
        <v>1425</v>
      </c>
      <c r="I1432" s="444">
        <f t="shared" ca="1" si="128"/>
        <v>-172629457.19182259</v>
      </c>
      <c r="J1432" s="444">
        <f t="array" ref="J1432">IFERROR(INDEX('Retirement Calculator'!J:J,MATCH('Isaac 401k'!N1432,'Retirement Calculator'!A:A,0),0),0)</f>
        <v>0</v>
      </c>
      <c r="K1432" s="444">
        <f t="shared" ca="1" si="126"/>
        <v>-719289.40496592748</v>
      </c>
      <c r="L1432" s="444">
        <f t="shared" ca="1" si="127"/>
        <v>-173348746.59678853</v>
      </c>
      <c r="M1432" s="460">
        <f t="shared" si="129"/>
        <v>0.05</v>
      </c>
      <c r="N1432" s="464">
        <f t="shared" si="130"/>
        <v>94631</v>
      </c>
    </row>
    <row r="1433" spans="7:14" ht="11.25" customHeight="1" x14ac:dyDescent="0.25">
      <c r="G1433" s="459"/>
      <c r="H1433" s="459">
        <v>1426</v>
      </c>
      <c r="I1433" s="444">
        <f t="shared" ca="1" si="128"/>
        <v>-173348746.59678853</v>
      </c>
      <c r="J1433" s="444">
        <f t="array" ref="J1433">IFERROR(INDEX('Retirement Calculator'!J:J,MATCH('Isaac 401k'!N1433,'Retirement Calculator'!A:A,0),0),0)</f>
        <v>0</v>
      </c>
      <c r="K1433" s="444">
        <f t="shared" ca="1" si="126"/>
        <v>-722286.44415328547</v>
      </c>
      <c r="L1433" s="444">
        <f t="shared" ca="1" si="127"/>
        <v>-174071033.0409418</v>
      </c>
      <c r="M1433" s="460">
        <f t="shared" si="129"/>
        <v>0.05</v>
      </c>
      <c r="N1433" s="464">
        <f t="shared" si="130"/>
        <v>94659</v>
      </c>
    </row>
    <row r="1434" spans="7:14" ht="11.25" customHeight="1" x14ac:dyDescent="0.25">
      <c r="G1434" s="459"/>
      <c r="H1434" s="459">
        <v>1427</v>
      </c>
      <c r="I1434" s="444">
        <f t="shared" ca="1" si="128"/>
        <v>-174071033.0409418</v>
      </c>
      <c r="J1434" s="444">
        <f t="array" ref="J1434">IFERROR(INDEX('Retirement Calculator'!J:J,MATCH('Isaac 401k'!N1434,'Retirement Calculator'!A:A,0),0),0)</f>
        <v>0</v>
      </c>
      <c r="K1434" s="444">
        <f t="shared" ca="1" si="126"/>
        <v>-725295.97100392415</v>
      </c>
      <c r="L1434" s="444">
        <f t="shared" ca="1" si="127"/>
        <v>-174796329.01194572</v>
      </c>
      <c r="M1434" s="460">
        <f t="shared" si="129"/>
        <v>0.05</v>
      </c>
      <c r="N1434" s="464">
        <f t="shared" si="130"/>
        <v>94690</v>
      </c>
    </row>
    <row r="1435" spans="7:14" ht="11.25" customHeight="1" x14ac:dyDescent="0.25">
      <c r="G1435" s="459"/>
      <c r="H1435" s="459">
        <v>1428</v>
      </c>
      <c r="I1435" s="444">
        <f t="shared" ca="1" si="128"/>
        <v>-174796329.01194572</v>
      </c>
      <c r="J1435" s="444">
        <f t="array" ref="J1435">IFERROR(INDEX('Retirement Calculator'!J:J,MATCH('Isaac 401k'!N1435,'Retirement Calculator'!A:A,0),0),0)</f>
        <v>0</v>
      </c>
      <c r="K1435" s="444">
        <f t="shared" ca="1" si="126"/>
        <v>-728318.03754977381</v>
      </c>
      <c r="L1435" s="444">
        <f t="shared" ca="1" si="127"/>
        <v>-175524647.04949549</v>
      </c>
      <c r="M1435" s="460">
        <f t="shared" si="129"/>
        <v>0.05</v>
      </c>
      <c r="N1435" s="464">
        <f t="shared" si="130"/>
        <v>94720</v>
      </c>
    </row>
    <row r="1436" spans="7:14" ht="11.25" customHeight="1" x14ac:dyDescent="0.25">
      <c r="G1436" s="459"/>
      <c r="H1436" s="459">
        <v>1429</v>
      </c>
      <c r="I1436" s="444">
        <f t="shared" ca="1" si="128"/>
        <v>-175524647.04949549</v>
      </c>
      <c r="J1436" s="444">
        <f t="array" ref="J1436">IFERROR(INDEX('Retirement Calculator'!J:J,MATCH('Isaac 401k'!N1436,'Retirement Calculator'!A:A,0),0),0)</f>
        <v>0</v>
      </c>
      <c r="K1436" s="444">
        <f t="shared" ca="1" si="126"/>
        <v>-731352.69603956456</v>
      </c>
      <c r="L1436" s="444">
        <f t="shared" ca="1" si="127"/>
        <v>-176255999.74553505</v>
      </c>
      <c r="M1436" s="460">
        <f t="shared" si="129"/>
        <v>0.05</v>
      </c>
      <c r="N1436" s="464">
        <f t="shared" si="130"/>
        <v>94751</v>
      </c>
    </row>
    <row r="1437" spans="7:14" ht="11.25" customHeight="1" x14ac:dyDescent="0.25">
      <c r="G1437" s="459"/>
      <c r="H1437" s="459">
        <v>1430</v>
      </c>
      <c r="I1437" s="444">
        <f t="shared" ca="1" si="128"/>
        <v>-176255999.74553505</v>
      </c>
      <c r="J1437" s="444">
        <f t="array" ref="J1437">IFERROR(INDEX('Retirement Calculator'!J:J,MATCH('Isaac 401k'!N1437,'Retirement Calculator'!A:A,0),0),0)</f>
        <v>0</v>
      </c>
      <c r="K1437" s="444">
        <f t="shared" ca="1" si="126"/>
        <v>-734399.9989397293</v>
      </c>
      <c r="L1437" s="444">
        <f t="shared" ca="1" si="127"/>
        <v>-176990399.74447477</v>
      </c>
      <c r="M1437" s="460">
        <f t="shared" si="129"/>
        <v>0.05</v>
      </c>
      <c r="N1437" s="464">
        <f t="shared" si="130"/>
        <v>94781</v>
      </c>
    </row>
    <row r="1438" spans="7:14" ht="11.25" customHeight="1" x14ac:dyDescent="0.25">
      <c r="G1438" s="459"/>
      <c r="H1438" s="459">
        <v>1431</v>
      </c>
      <c r="I1438" s="444">
        <f t="shared" ca="1" si="128"/>
        <v>-176990399.74447477</v>
      </c>
      <c r="J1438" s="444">
        <f t="array" ref="J1438">IFERROR(INDEX('Retirement Calculator'!J:J,MATCH('Isaac 401k'!N1438,'Retirement Calculator'!A:A,0),0),0)</f>
        <v>0</v>
      </c>
      <c r="K1438" s="444">
        <f t="shared" ca="1" si="126"/>
        <v>-737459.99893531157</v>
      </c>
      <c r="L1438" s="444">
        <f t="shared" ca="1" si="127"/>
        <v>-177727859.74341008</v>
      </c>
      <c r="M1438" s="460">
        <f t="shared" si="129"/>
        <v>0.05</v>
      </c>
      <c r="N1438" s="464">
        <f t="shared" si="130"/>
        <v>94812</v>
      </c>
    </row>
    <row r="1439" spans="7:14" ht="11.25" customHeight="1" x14ac:dyDescent="0.25">
      <c r="G1439" s="459"/>
      <c r="H1439" s="459">
        <v>1432</v>
      </c>
      <c r="I1439" s="444">
        <f t="shared" ca="1" si="128"/>
        <v>-177727859.74341008</v>
      </c>
      <c r="J1439" s="444">
        <f t="array" ref="J1439">IFERROR(INDEX('Retirement Calculator'!J:J,MATCH('Isaac 401k'!N1439,'Retirement Calculator'!A:A,0),0),0)</f>
        <v>0</v>
      </c>
      <c r="K1439" s="444">
        <f t="shared" ca="1" si="126"/>
        <v>-740532.74893087533</v>
      </c>
      <c r="L1439" s="444">
        <f t="shared" ca="1" si="127"/>
        <v>-178468392.49234095</v>
      </c>
      <c r="M1439" s="460">
        <f t="shared" si="129"/>
        <v>0.05</v>
      </c>
      <c r="N1439" s="464">
        <f t="shared" si="130"/>
        <v>94843</v>
      </c>
    </row>
    <row r="1440" spans="7:14" ht="11.25" customHeight="1" x14ac:dyDescent="0.25">
      <c r="G1440" s="459"/>
      <c r="H1440" s="459">
        <v>1433</v>
      </c>
      <c r="I1440" s="444">
        <f t="shared" ca="1" si="128"/>
        <v>-178468392.49234095</v>
      </c>
      <c r="J1440" s="444">
        <f t="array" ref="J1440">IFERROR(INDEX('Retirement Calculator'!J:J,MATCH('Isaac 401k'!N1440,'Retirement Calculator'!A:A,0),0),0)</f>
        <v>0</v>
      </c>
      <c r="K1440" s="444">
        <f t="shared" ca="1" si="126"/>
        <v>-743618.30205142067</v>
      </c>
      <c r="L1440" s="444">
        <f t="shared" ca="1" si="127"/>
        <v>-179212010.79439238</v>
      </c>
      <c r="M1440" s="460">
        <f t="shared" si="129"/>
        <v>0.05</v>
      </c>
      <c r="N1440" s="464">
        <f t="shared" si="130"/>
        <v>94873</v>
      </c>
    </row>
    <row r="1441" spans="7:14" ht="11.25" customHeight="1" x14ac:dyDescent="0.25">
      <c r="G1441" s="459"/>
      <c r="H1441" s="459">
        <v>1434</v>
      </c>
      <c r="I1441" s="444">
        <f t="shared" ca="1" si="128"/>
        <v>-179212010.79439238</v>
      </c>
      <c r="J1441" s="444">
        <f t="array" ref="J1441">IFERROR(INDEX('Retirement Calculator'!J:J,MATCH('Isaac 401k'!N1441,'Retirement Calculator'!A:A,0),0),0)</f>
        <v>0</v>
      </c>
      <c r="K1441" s="444">
        <f t="shared" ca="1" si="126"/>
        <v>-746716.71164330153</v>
      </c>
      <c r="L1441" s="444">
        <f t="shared" ca="1" si="127"/>
        <v>-179958727.50603569</v>
      </c>
      <c r="M1441" s="460">
        <f t="shared" si="129"/>
        <v>0.05</v>
      </c>
      <c r="N1441" s="464">
        <f t="shared" si="130"/>
        <v>94904</v>
      </c>
    </row>
    <row r="1442" spans="7:14" ht="11.25" customHeight="1" x14ac:dyDescent="0.25">
      <c r="G1442" s="459"/>
      <c r="H1442" s="459">
        <v>1435</v>
      </c>
      <c r="I1442" s="444">
        <f t="shared" ca="1" si="128"/>
        <v>-179958727.50603569</v>
      </c>
      <c r="J1442" s="444">
        <f t="array" ref="J1442">IFERROR(INDEX('Retirement Calculator'!J:J,MATCH('Isaac 401k'!N1442,'Retirement Calculator'!A:A,0),0),0)</f>
        <v>0</v>
      </c>
      <c r="K1442" s="444">
        <f t="shared" ca="1" si="126"/>
        <v>-749828.03127514874</v>
      </c>
      <c r="L1442" s="444">
        <f t="shared" ca="1" si="127"/>
        <v>-180708555.53731084</v>
      </c>
      <c r="M1442" s="460">
        <f t="shared" si="129"/>
        <v>0.05</v>
      </c>
      <c r="N1442" s="464">
        <f t="shared" si="130"/>
        <v>94934</v>
      </c>
    </row>
    <row r="1443" spans="7:14" ht="11.25" customHeight="1" x14ac:dyDescent="0.25">
      <c r="G1443" s="459"/>
      <c r="H1443" s="459">
        <v>1436</v>
      </c>
      <c r="I1443" s="444">
        <f t="shared" ca="1" si="128"/>
        <v>-180708555.53731084</v>
      </c>
      <c r="J1443" s="444">
        <f t="array" ref="J1443">IFERROR(INDEX('Retirement Calculator'!J:J,MATCH('Isaac 401k'!N1443,'Retirement Calculator'!A:A,0),0),0)</f>
        <v>0</v>
      </c>
      <c r="K1443" s="444">
        <f t="shared" ca="1" si="126"/>
        <v>-752952.31473879516</v>
      </c>
      <c r="L1443" s="444">
        <f t="shared" ca="1" si="127"/>
        <v>-181461507.85204965</v>
      </c>
      <c r="M1443" s="460">
        <f t="shared" si="129"/>
        <v>0.05</v>
      </c>
      <c r="N1443" s="464">
        <f t="shared" si="130"/>
        <v>94965</v>
      </c>
    </row>
    <row r="1444" spans="7:14" ht="11.25" customHeight="1" x14ac:dyDescent="0.25">
      <c r="G1444" s="459"/>
      <c r="H1444" s="459">
        <v>1437</v>
      </c>
      <c r="I1444" s="444">
        <f t="shared" ca="1" si="128"/>
        <v>-181461507.85204965</v>
      </c>
      <c r="J1444" s="444">
        <f t="array" ref="J1444">IFERROR(INDEX('Retirement Calculator'!J:J,MATCH('Isaac 401k'!N1444,'Retirement Calculator'!A:A,0),0),0)</f>
        <v>0</v>
      </c>
      <c r="K1444" s="444">
        <f t="shared" ca="1" si="126"/>
        <v>-756089.61605020682</v>
      </c>
      <c r="L1444" s="444">
        <f t="shared" ca="1" si="127"/>
        <v>-182217597.46809986</v>
      </c>
      <c r="M1444" s="460">
        <f t="shared" si="129"/>
        <v>0.05</v>
      </c>
      <c r="N1444" s="464">
        <f t="shared" si="130"/>
        <v>94996</v>
      </c>
    </row>
    <row r="1445" spans="7:14" ht="11.25" customHeight="1" x14ac:dyDescent="0.25">
      <c r="G1445" s="459"/>
      <c r="H1445" s="459">
        <v>1438</v>
      </c>
      <c r="I1445" s="444">
        <f t="shared" ca="1" si="128"/>
        <v>-182217597.46809986</v>
      </c>
      <c r="J1445" s="444">
        <f t="array" ref="J1445">IFERROR(INDEX('Retirement Calculator'!J:J,MATCH('Isaac 401k'!N1445,'Retirement Calculator'!A:A,0),0),0)</f>
        <v>0</v>
      </c>
      <c r="K1445" s="444">
        <f t="shared" ca="1" si="126"/>
        <v>-759239.98945041606</v>
      </c>
      <c r="L1445" s="444">
        <f t="shared" ca="1" si="127"/>
        <v>-182976837.45755029</v>
      </c>
      <c r="M1445" s="460">
        <f t="shared" si="129"/>
        <v>0.05</v>
      </c>
      <c r="N1445" s="464">
        <f t="shared" si="130"/>
        <v>95025</v>
      </c>
    </row>
    <row r="1446" spans="7:14" ht="11.25" customHeight="1" x14ac:dyDescent="0.25">
      <c r="G1446" s="459"/>
      <c r="H1446" s="459">
        <v>1439</v>
      </c>
      <c r="I1446" s="444">
        <f t="shared" ca="1" si="128"/>
        <v>-182976837.45755029</v>
      </c>
      <c r="J1446" s="444">
        <f t="array" ref="J1446">IFERROR(INDEX('Retirement Calculator'!J:J,MATCH('Isaac 401k'!N1446,'Retirement Calculator'!A:A,0),0),0)</f>
        <v>0</v>
      </c>
      <c r="K1446" s="444">
        <f t="shared" ca="1" si="126"/>
        <v>-762403.4894064595</v>
      </c>
      <c r="L1446" s="444">
        <f t="shared" ca="1" si="127"/>
        <v>-183739240.94695675</v>
      </c>
      <c r="M1446" s="460">
        <f t="shared" si="129"/>
        <v>0.05</v>
      </c>
      <c r="N1446" s="464">
        <f t="shared" si="130"/>
        <v>95056</v>
      </c>
    </row>
    <row r="1447" spans="7:14" ht="11.25" customHeight="1" x14ac:dyDescent="0.25">
      <c r="G1447" s="459"/>
      <c r="H1447" s="459">
        <v>1440</v>
      </c>
      <c r="I1447" s="444">
        <f t="shared" ca="1" si="128"/>
        <v>-183739240.94695675</v>
      </c>
      <c r="J1447" s="444">
        <f t="array" ref="J1447">IFERROR(INDEX('Retirement Calculator'!J:J,MATCH('Isaac 401k'!N1447,'Retirement Calculator'!A:A,0),0),0)</f>
        <v>0</v>
      </c>
      <c r="K1447" s="444">
        <f t="shared" ca="1" si="126"/>
        <v>-765580.17061231984</v>
      </c>
      <c r="L1447" s="444">
        <f t="shared" ca="1" si="127"/>
        <v>-184504821.11756906</v>
      </c>
      <c r="M1447" s="460">
        <f t="shared" si="129"/>
        <v>0.05</v>
      </c>
      <c r="N1447" s="464">
        <f t="shared" si="130"/>
        <v>95086</v>
      </c>
    </row>
    <row r="1448" spans="7:14" ht="11.25" customHeight="1" x14ac:dyDescent="0.25">
      <c r="G1448" s="459"/>
      <c r="H1448" s="459">
        <v>1441</v>
      </c>
      <c r="I1448" s="444">
        <f t="shared" ca="1" si="128"/>
        <v>-184504821.11756906</v>
      </c>
      <c r="J1448" s="444">
        <f t="array" ref="J1448">IFERROR(INDEX('Retirement Calculator'!J:J,MATCH('Isaac 401k'!N1448,'Retirement Calculator'!A:A,0),0),0)</f>
        <v>0</v>
      </c>
      <c r="K1448" s="444">
        <f t="shared" ca="1" si="126"/>
        <v>-768770.08798987104</v>
      </c>
      <c r="L1448" s="444">
        <f t="shared" ca="1" si="127"/>
        <v>-185273591.20555893</v>
      </c>
      <c r="M1448" s="460">
        <f t="shared" si="129"/>
        <v>0.05</v>
      </c>
      <c r="N1448" s="464">
        <f t="shared" si="130"/>
        <v>95117</v>
      </c>
    </row>
    <row r="1449" spans="7:14" ht="11.25" customHeight="1" x14ac:dyDescent="0.25">
      <c r="G1449" s="459"/>
      <c r="H1449" s="459">
        <v>1442</v>
      </c>
      <c r="I1449" s="444">
        <f t="shared" ca="1" si="128"/>
        <v>-185273591.20555893</v>
      </c>
      <c r="J1449" s="444">
        <f t="array" ref="J1449">IFERROR(INDEX('Retirement Calculator'!J:J,MATCH('Isaac 401k'!N1449,'Retirement Calculator'!A:A,0),0),0)</f>
        <v>0</v>
      </c>
      <c r="K1449" s="444">
        <f t="shared" ca="1" si="126"/>
        <v>-771973.29668982886</v>
      </c>
      <c r="L1449" s="444">
        <f t="shared" ca="1" si="127"/>
        <v>-186045564.50224876</v>
      </c>
      <c r="M1449" s="460">
        <f t="shared" si="129"/>
        <v>0.05</v>
      </c>
      <c r="N1449" s="464">
        <f t="shared" si="130"/>
        <v>95147</v>
      </c>
    </row>
    <row r="1450" spans="7:14" ht="11.25" customHeight="1" x14ac:dyDescent="0.25">
      <c r="G1450" s="459"/>
      <c r="H1450" s="459">
        <v>1443</v>
      </c>
      <c r="I1450" s="444">
        <f t="shared" ca="1" si="128"/>
        <v>-186045564.50224876</v>
      </c>
      <c r="J1450" s="444">
        <f t="array" ref="J1450">IFERROR(INDEX('Retirement Calculator'!J:J,MATCH('Isaac 401k'!N1450,'Retirement Calculator'!A:A,0),0),0)</f>
        <v>0</v>
      </c>
      <c r="K1450" s="444">
        <f t="shared" ca="1" si="126"/>
        <v>-775189.85209270322</v>
      </c>
      <c r="L1450" s="444">
        <f t="shared" ca="1" si="127"/>
        <v>-186820754.35434148</v>
      </c>
      <c r="M1450" s="460">
        <f t="shared" si="129"/>
        <v>0.05</v>
      </c>
      <c r="N1450" s="464">
        <f t="shared" si="130"/>
        <v>95178</v>
      </c>
    </row>
    <row r="1451" spans="7:14" ht="11.25" customHeight="1" x14ac:dyDescent="0.25">
      <c r="G1451" s="459"/>
      <c r="H1451" s="459">
        <v>1444</v>
      </c>
      <c r="I1451" s="444">
        <f t="shared" ca="1" si="128"/>
        <v>-186820754.35434148</v>
      </c>
      <c r="J1451" s="444">
        <f t="array" ref="J1451">IFERROR(INDEX('Retirement Calculator'!J:J,MATCH('Isaac 401k'!N1451,'Retirement Calculator'!A:A,0),0),0)</f>
        <v>0</v>
      </c>
      <c r="K1451" s="444">
        <f t="shared" ca="1" si="126"/>
        <v>-778419.80980975612</v>
      </c>
      <c r="L1451" s="444">
        <f t="shared" ca="1" si="127"/>
        <v>-187599174.16415122</v>
      </c>
      <c r="M1451" s="460">
        <f t="shared" si="129"/>
        <v>0.05</v>
      </c>
      <c r="N1451" s="464">
        <f t="shared" si="130"/>
        <v>95209</v>
      </c>
    </row>
    <row r="1452" spans="7:14" ht="11.25" customHeight="1" x14ac:dyDescent="0.25">
      <c r="G1452" s="459"/>
      <c r="H1452" s="459">
        <v>1445</v>
      </c>
      <c r="I1452" s="444">
        <f t="shared" ca="1" si="128"/>
        <v>-187599174.16415122</v>
      </c>
      <c r="J1452" s="444">
        <f t="array" ref="J1452">IFERROR(INDEX('Retirement Calculator'!J:J,MATCH('Isaac 401k'!N1452,'Retirement Calculator'!A:A,0),0),0)</f>
        <v>0</v>
      </c>
      <c r="K1452" s="444">
        <f t="shared" ca="1" si="126"/>
        <v>-781663.22568396339</v>
      </c>
      <c r="L1452" s="444">
        <f t="shared" ca="1" si="127"/>
        <v>-188380837.38983518</v>
      </c>
      <c r="M1452" s="460">
        <f t="shared" si="129"/>
        <v>0.05</v>
      </c>
      <c r="N1452" s="464">
        <f t="shared" si="130"/>
        <v>95239</v>
      </c>
    </row>
    <row r="1453" spans="7:14" ht="11.25" customHeight="1" x14ac:dyDescent="0.25">
      <c r="G1453" s="459"/>
      <c r="H1453" s="459">
        <v>1446</v>
      </c>
      <c r="I1453" s="444">
        <f t="shared" ca="1" si="128"/>
        <v>-188380837.38983518</v>
      </c>
      <c r="J1453" s="444">
        <f t="array" ref="J1453">IFERROR(INDEX('Retirement Calculator'!J:J,MATCH('Isaac 401k'!N1453,'Retirement Calculator'!A:A,0),0),0)</f>
        <v>0</v>
      </c>
      <c r="K1453" s="444">
        <f t="shared" ca="1" si="126"/>
        <v>-784920.15579097986</v>
      </c>
      <c r="L1453" s="444">
        <f t="shared" ca="1" si="127"/>
        <v>-189165757.54562616</v>
      </c>
      <c r="M1453" s="460">
        <f t="shared" si="129"/>
        <v>0.05</v>
      </c>
      <c r="N1453" s="464">
        <f t="shared" si="130"/>
        <v>95270</v>
      </c>
    </row>
    <row r="1454" spans="7:14" ht="11.25" customHeight="1" x14ac:dyDescent="0.25">
      <c r="G1454" s="459"/>
      <c r="H1454" s="459">
        <v>1447</v>
      </c>
      <c r="I1454" s="444">
        <f t="shared" ca="1" si="128"/>
        <v>-189165757.54562616</v>
      </c>
      <c r="J1454" s="444">
        <f t="array" ref="J1454">IFERROR(INDEX('Retirement Calculator'!J:J,MATCH('Isaac 401k'!N1454,'Retirement Calculator'!A:A,0),0),0)</f>
        <v>0</v>
      </c>
      <c r="K1454" s="444">
        <f t="shared" ca="1" si="126"/>
        <v>-788190.65644010901</v>
      </c>
      <c r="L1454" s="444">
        <f t="shared" ca="1" si="127"/>
        <v>-189953948.20206627</v>
      </c>
      <c r="M1454" s="460">
        <f t="shared" si="129"/>
        <v>0.05</v>
      </c>
      <c r="N1454" s="464">
        <f t="shared" si="130"/>
        <v>95300</v>
      </c>
    </row>
    <row r="1455" spans="7:14" ht="11.25" customHeight="1" x14ac:dyDescent="0.25">
      <c r="G1455" s="459"/>
      <c r="H1455" s="459">
        <v>1448</v>
      </c>
      <c r="I1455" s="444">
        <f t="shared" ca="1" si="128"/>
        <v>-189953948.20206627</v>
      </c>
      <c r="J1455" s="444">
        <f t="array" ref="J1455">IFERROR(INDEX('Retirement Calculator'!J:J,MATCH('Isaac 401k'!N1455,'Retirement Calculator'!A:A,0),0),0)</f>
        <v>0</v>
      </c>
      <c r="K1455" s="444">
        <f t="shared" ca="1" si="126"/>
        <v>-791474.78417527617</v>
      </c>
      <c r="L1455" s="444">
        <f t="shared" ca="1" si="127"/>
        <v>-190745422.98624155</v>
      </c>
      <c r="M1455" s="460">
        <f t="shared" si="129"/>
        <v>0.05</v>
      </c>
      <c r="N1455" s="464">
        <f t="shared" si="130"/>
        <v>95331</v>
      </c>
    </row>
    <row r="1456" spans="7:14" ht="11.25" customHeight="1" x14ac:dyDescent="0.25">
      <c r="G1456" s="459"/>
      <c r="H1456" s="459">
        <v>1449</v>
      </c>
      <c r="I1456" s="444">
        <f t="shared" ca="1" si="128"/>
        <v>-190745422.98624155</v>
      </c>
      <c r="J1456" s="444">
        <f t="array" ref="J1456">IFERROR(INDEX('Retirement Calculator'!J:J,MATCH('Isaac 401k'!N1456,'Retirement Calculator'!A:A,0),0),0)</f>
        <v>0</v>
      </c>
      <c r="K1456" s="444">
        <f t="shared" ca="1" si="126"/>
        <v>-794772.59577600646</v>
      </c>
      <c r="L1456" s="444">
        <f t="shared" ca="1" si="127"/>
        <v>-191540195.58201754</v>
      </c>
      <c r="M1456" s="460">
        <f t="shared" si="129"/>
        <v>0.05</v>
      </c>
      <c r="N1456" s="464">
        <f t="shared" si="130"/>
        <v>95362</v>
      </c>
    </row>
    <row r="1457" spans="7:14" ht="11.25" customHeight="1" x14ac:dyDescent="0.25">
      <c r="G1457" s="459"/>
      <c r="H1457" s="459">
        <v>1450</v>
      </c>
      <c r="I1457" s="444">
        <f t="shared" ca="1" si="128"/>
        <v>-191540195.58201754</v>
      </c>
      <c r="J1457" s="444">
        <f t="array" ref="J1457">IFERROR(INDEX('Retirement Calculator'!J:J,MATCH('Isaac 401k'!N1457,'Retirement Calculator'!A:A,0),0),0)</f>
        <v>0</v>
      </c>
      <c r="K1457" s="444">
        <f t="shared" ca="1" si="126"/>
        <v>-798084.14825840644</v>
      </c>
      <c r="L1457" s="444">
        <f t="shared" ca="1" si="127"/>
        <v>-192338279.73027596</v>
      </c>
      <c r="M1457" s="460">
        <f t="shared" si="129"/>
        <v>0.05</v>
      </c>
      <c r="N1457" s="464">
        <f t="shared" si="130"/>
        <v>95390</v>
      </c>
    </row>
    <row r="1458" spans="7:14" ht="11.25" customHeight="1" x14ac:dyDescent="0.25">
      <c r="G1458" s="459"/>
      <c r="H1458" s="459">
        <v>1451</v>
      </c>
      <c r="I1458" s="444">
        <f t="shared" ca="1" si="128"/>
        <v>-192338279.73027596</v>
      </c>
      <c r="J1458" s="444">
        <f t="array" ref="J1458">IFERROR(INDEX('Retirement Calculator'!J:J,MATCH('Isaac 401k'!N1458,'Retirement Calculator'!A:A,0),0),0)</f>
        <v>0</v>
      </c>
      <c r="K1458" s="444">
        <f t="shared" ca="1" si="126"/>
        <v>-801409.49887614977</v>
      </c>
      <c r="L1458" s="444">
        <f t="shared" ca="1" si="127"/>
        <v>-193139689.22915211</v>
      </c>
      <c r="M1458" s="460">
        <f t="shared" si="129"/>
        <v>0.05</v>
      </c>
      <c r="N1458" s="464">
        <f t="shared" si="130"/>
        <v>95421</v>
      </c>
    </row>
    <row r="1459" spans="7:14" ht="11.25" customHeight="1" x14ac:dyDescent="0.25">
      <c r="G1459" s="459"/>
      <c r="H1459" s="459">
        <v>1452</v>
      </c>
      <c r="I1459" s="444">
        <f t="shared" ca="1" si="128"/>
        <v>-193139689.22915211</v>
      </c>
      <c r="J1459" s="444">
        <f t="array" ref="J1459">IFERROR(INDEX('Retirement Calculator'!J:J,MATCH('Isaac 401k'!N1459,'Retirement Calculator'!A:A,0),0),0)</f>
        <v>0</v>
      </c>
      <c r="K1459" s="444">
        <f t="shared" ca="1" si="126"/>
        <v>-804748.70512146712</v>
      </c>
      <c r="L1459" s="444">
        <f t="shared" ca="1" si="127"/>
        <v>-193944437.93427357</v>
      </c>
      <c r="M1459" s="460">
        <f t="shared" si="129"/>
        <v>0.05</v>
      </c>
      <c r="N1459" s="464">
        <f t="shared" si="130"/>
        <v>95451</v>
      </c>
    </row>
    <row r="1460" spans="7:14" ht="11.25" customHeight="1" x14ac:dyDescent="0.25">
      <c r="G1460" s="459"/>
      <c r="H1460" s="459">
        <v>1453</v>
      </c>
      <c r="I1460" s="444">
        <f t="shared" ca="1" si="128"/>
        <v>-193944437.93427357</v>
      </c>
      <c r="J1460" s="444">
        <f t="array" ref="J1460">IFERROR(INDEX('Retirement Calculator'!J:J,MATCH('Isaac 401k'!N1460,'Retirement Calculator'!A:A,0),0),0)</f>
        <v>0</v>
      </c>
      <c r="K1460" s="444">
        <f t="shared" ca="1" si="126"/>
        <v>-808101.82472613989</v>
      </c>
      <c r="L1460" s="444">
        <f t="shared" ca="1" si="127"/>
        <v>-194752539.75899971</v>
      </c>
      <c r="M1460" s="460">
        <f t="shared" si="129"/>
        <v>0.05</v>
      </c>
      <c r="N1460" s="464">
        <f t="shared" si="130"/>
        <v>95482</v>
      </c>
    </row>
    <row r="1461" spans="7:14" ht="11.25" customHeight="1" x14ac:dyDescent="0.25">
      <c r="G1461" s="459"/>
      <c r="H1461" s="459">
        <v>1454</v>
      </c>
      <c r="I1461" s="444">
        <f t="shared" ca="1" si="128"/>
        <v>-194752539.75899971</v>
      </c>
      <c r="J1461" s="444">
        <f t="array" ref="J1461">IFERROR(INDEX('Retirement Calculator'!J:J,MATCH('Isaac 401k'!N1461,'Retirement Calculator'!A:A,0),0),0)</f>
        <v>0</v>
      </c>
      <c r="K1461" s="444">
        <f t="shared" ca="1" si="126"/>
        <v>-811468.9156624988</v>
      </c>
      <c r="L1461" s="444">
        <f t="shared" ca="1" si="127"/>
        <v>-195564008.6746622</v>
      </c>
      <c r="M1461" s="460">
        <f t="shared" si="129"/>
        <v>0.05</v>
      </c>
      <c r="N1461" s="464">
        <f t="shared" si="130"/>
        <v>95512</v>
      </c>
    </row>
    <row r="1462" spans="7:14" ht="11.25" customHeight="1" x14ac:dyDescent="0.25">
      <c r="G1462" s="459"/>
      <c r="H1462" s="459">
        <v>1455</v>
      </c>
      <c r="I1462" s="444">
        <f t="shared" ca="1" si="128"/>
        <v>-195564008.6746622</v>
      </c>
      <c r="J1462" s="444">
        <f t="array" ref="J1462">IFERROR(INDEX('Retirement Calculator'!J:J,MATCH('Isaac 401k'!N1462,'Retirement Calculator'!A:A,0),0),0)</f>
        <v>0</v>
      </c>
      <c r="K1462" s="444">
        <f t="shared" ca="1" si="126"/>
        <v>-814850.03614442586</v>
      </c>
      <c r="L1462" s="444">
        <f t="shared" ca="1" si="127"/>
        <v>-196378858.71080664</v>
      </c>
      <c r="M1462" s="460">
        <f t="shared" si="129"/>
        <v>0.05</v>
      </c>
      <c r="N1462" s="464">
        <f t="shared" si="130"/>
        <v>95543</v>
      </c>
    </row>
    <row r="1463" spans="7:14" ht="11.25" customHeight="1" x14ac:dyDescent="0.25">
      <c r="G1463" s="459"/>
      <c r="H1463" s="459">
        <v>1456</v>
      </c>
      <c r="I1463" s="444">
        <f t="shared" ca="1" si="128"/>
        <v>-196378858.71080664</v>
      </c>
      <c r="J1463" s="444">
        <f t="array" ref="J1463">IFERROR(INDEX('Retirement Calculator'!J:J,MATCH('Isaac 401k'!N1463,'Retirement Calculator'!A:A,0),0),0)</f>
        <v>0</v>
      </c>
      <c r="K1463" s="444">
        <f t="shared" ca="1" si="126"/>
        <v>-818245.24462836096</v>
      </c>
      <c r="L1463" s="444">
        <f t="shared" ca="1" si="127"/>
        <v>-197197103.95543501</v>
      </c>
      <c r="M1463" s="460">
        <f t="shared" si="129"/>
        <v>0.05</v>
      </c>
      <c r="N1463" s="464">
        <f t="shared" si="130"/>
        <v>95574</v>
      </c>
    </row>
    <row r="1464" spans="7:14" ht="11.25" customHeight="1" x14ac:dyDescent="0.25">
      <c r="G1464" s="459"/>
      <c r="H1464" s="459">
        <v>1457</v>
      </c>
      <c r="I1464" s="444">
        <f t="shared" ca="1" si="128"/>
        <v>-197197103.95543501</v>
      </c>
      <c r="J1464" s="444">
        <f t="array" ref="J1464">IFERROR(INDEX('Retirement Calculator'!J:J,MATCH('Isaac 401k'!N1464,'Retirement Calculator'!A:A,0),0),0)</f>
        <v>0</v>
      </c>
      <c r="K1464" s="444">
        <f t="shared" ca="1" si="126"/>
        <v>-821654.59981431253</v>
      </c>
      <c r="L1464" s="444">
        <f t="shared" ca="1" si="127"/>
        <v>-198018758.55524933</v>
      </c>
      <c r="M1464" s="460">
        <f t="shared" si="129"/>
        <v>0.05</v>
      </c>
      <c r="N1464" s="464">
        <f t="shared" si="130"/>
        <v>95604</v>
      </c>
    </row>
    <row r="1465" spans="7:14" ht="11.25" customHeight="1" x14ac:dyDescent="0.25">
      <c r="G1465" s="459"/>
      <c r="H1465" s="459">
        <v>1458</v>
      </c>
      <c r="I1465" s="444">
        <f t="shared" ca="1" si="128"/>
        <v>-198018758.55524933</v>
      </c>
      <c r="J1465" s="444">
        <f t="array" ref="J1465">IFERROR(INDEX('Retirement Calculator'!J:J,MATCH('Isaac 401k'!N1465,'Retirement Calculator'!A:A,0),0),0)</f>
        <v>0</v>
      </c>
      <c r="K1465" s="444">
        <f t="shared" ca="1" si="126"/>
        <v>-825078.16064687225</v>
      </c>
      <c r="L1465" s="444">
        <f t="shared" ca="1" si="127"/>
        <v>-198843836.71589622</v>
      </c>
      <c r="M1465" s="460">
        <f t="shared" si="129"/>
        <v>0.05</v>
      </c>
      <c r="N1465" s="464">
        <f t="shared" si="130"/>
        <v>95635</v>
      </c>
    </row>
    <row r="1466" spans="7:14" ht="11.25" customHeight="1" x14ac:dyDescent="0.25">
      <c r="G1466" s="459"/>
      <c r="H1466" s="459">
        <v>1459</v>
      </c>
      <c r="I1466" s="444">
        <f t="shared" ca="1" si="128"/>
        <v>-198843836.71589622</v>
      </c>
      <c r="J1466" s="444">
        <f t="array" ref="J1466">IFERROR(INDEX('Retirement Calculator'!J:J,MATCH('Isaac 401k'!N1466,'Retirement Calculator'!A:A,0),0),0)</f>
        <v>0</v>
      </c>
      <c r="K1466" s="444">
        <f t="shared" ca="1" si="126"/>
        <v>-828515.98631623422</v>
      </c>
      <c r="L1466" s="444">
        <f t="shared" ca="1" si="127"/>
        <v>-199672352.70221245</v>
      </c>
      <c r="M1466" s="460">
        <f t="shared" si="129"/>
        <v>0.05</v>
      </c>
      <c r="N1466" s="464">
        <f t="shared" si="130"/>
        <v>95665</v>
      </c>
    </row>
    <row r="1467" spans="7:14" ht="11.25" customHeight="1" x14ac:dyDescent="0.25">
      <c r="G1467" s="459"/>
      <c r="H1467" s="459">
        <v>1460</v>
      </c>
      <c r="I1467" s="444">
        <f t="shared" ca="1" si="128"/>
        <v>-199672352.70221245</v>
      </c>
      <c r="J1467" s="444">
        <f t="array" ref="J1467">IFERROR(INDEX('Retirement Calculator'!J:J,MATCH('Isaac 401k'!N1467,'Retirement Calculator'!A:A,0),0),0)</f>
        <v>0</v>
      </c>
      <c r="K1467" s="444">
        <f t="shared" ca="1" si="126"/>
        <v>-831968.13625921856</v>
      </c>
      <c r="L1467" s="444">
        <f t="shared" ca="1" si="127"/>
        <v>-200504320.83847168</v>
      </c>
      <c r="M1467" s="460">
        <f t="shared" si="129"/>
        <v>0.05</v>
      </c>
      <c r="N1467" s="464">
        <f t="shared" si="130"/>
        <v>95696</v>
      </c>
    </row>
    <row r="1468" spans="7:14" ht="11.25" customHeight="1" x14ac:dyDescent="0.25">
      <c r="G1468" s="459"/>
      <c r="H1468" s="459">
        <v>1461</v>
      </c>
      <c r="I1468" s="444">
        <f t="shared" ca="1" si="128"/>
        <v>-200504320.83847168</v>
      </c>
      <c r="J1468" s="444">
        <f t="array" ref="J1468">IFERROR(INDEX('Retirement Calculator'!J:J,MATCH('Isaac 401k'!N1468,'Retirement Calculator'!A:A,0),0),0)</f>
        <v>0</v>
      </c>
      <c r="K1468" s="444">
        <f t="shared" ca="1" si="126"/>
        <v>-835434.6701602987</v>
      </c>
      <c r="L1468" s="444">
        <f t="shared" ca="1" si="127"/>
        <v>-201339755.50863197</v>
      </c>
      <c r="M1468" s="460">
        <f t="shared" si="129"/>
        <v>0.05</v>
      </c>
      <c r="N1468" s="464">
        <f t="shared" si="130"/>
        <v>95727</v>
      </c>
    </row>
    <row r="1469" spans="7:14" ht="11.25" customHeight="1" x14ac:dyDescent="0.25">
      <c r="G1469" s="459"/>
      <c r="H1469" s="459">
        <v>1462</v>
      </c>
      <c r="I1469" s="444">
        <f t="shared" ca="1" si="128"/>
        <v>-201339755.50863197</v>
      </c>
      <c r="J1469" s="444">
        <f t="array" ref="J1469">IFERROR(INDEX('Retirement Calculator'!J:J,MATCH('Isaac 401k'!N1469,'Retirement Calculator'!A:A,0),0),0)</f>
        <v>0</v>
      </c>
      <c r="K1469" s="444">
        <f t="shared" ca="1" si="126"/>
        <v>-838915.64795263321</v>
      </c>
      <c r="L1469" s="444">
        <f t="shared" ca="1" si="127"/>
        <v>-202178671.15658462</v>
      </c>
      <c r="M1469" s="460">
        <f t="shared" si="129"/>
        <v>0.05</v>
      </c>
      <c r="N1469" s="464">
        <f t="shared" si="130"/>
        <v>95755</v>
      </c>
    </row>
    <row r="1470" spans="7:14" ht="11.25" customHeight="1" x14ac:dyDescent="0.25">
      <c r="G1470" s="459"/>
      <c r="H1470" s="459">
        <v>1463</v>
      </c>
      <c r="I1470" s="444">
        <f t="shared" ca="1" si="128"/>
        <v>-202178671.15658462</v>
      </c>
      <c r="J1470" s="444">
        <f t="array" ref="J1470">IFERROR(INDEX('Retirement Calculator'!J:J,MATCH('Isaac 401k'!N1470,'Retirement Calculator'!A:A,0),0),0)</f>
        <v>0</v>
      </c>
      <c r="K1470" s="444">
        <f t="shared" ca="1" si="126"/>
        <v>-842411.12981910259</v>
      </c>
      <c r="L1470" s="444">
        <f t="shared" ca="1" si="127"/>
        <v>-203021082.28640372</v>
      </c>
      <c r="M1470" s="460">
        <f t="shared" si="129"/>
        <v>0.05</v>
      </c>
      <c r="N1470" s="464">
        <f t="shared" si="130"/>
        <v>95786</v>
      </c>
    </row>
    <row r="1471" spans="7:14" ht="11.25" customHeight="1" x14ac:dyDescent="0.25">
      <c r="G1471" s="459"/>
      <c r="H1471" s="459">
        <v>1464</v>
      </c>
      <c r="I1471" s="444">
        <f t="shared" ca="1" si="128"/>
        <v>-203021082.28640372</v>
      </c>
      <c r="J1471" s="444">
        <f t="array" ref="J1471">IFERROR(INDEX('Retirement Calculator'!J:J,MATCH('Isaac 401k'!N1471,'Retirement Calculator'!A:A,0),0),0)</f>
        <v>0</v>
      </c>
      <c r="K1471" s="444">
        <f t="shared" ca="1" si="126"/>
        <v>-845921.17619334883</v>
      </c>
      <c r="L1471" s="444">
        <f t="shared" ca="1" si="127"/>
        <v>-203867003.46259707</v>
      </c>
      <c r="M1471" s="460">
        <f t="shared" si="129"/>
        <v>0.05</v>
      </c>
      <c r="N1471" s="464">
        <f t="shared" si="130"/>
        <v>95816</v>
      </c>
    </row>
    <row r="1472" spans="7:14" ht="11.25" customHeight="1" x14ac:dyDescent="0.25">
      <c r="G1472" s="459"/>
      <c r="H1472" s="459">
        <v>1465</v>
      </c>
      <c r="I1472" s="444">
        <f t="shared" ca="1" si="128"/>
        <v>-203867003.46259707</v>
      </c>
      <c r="J1472" s="444">
        <f t="array" ref="J1472">IFERROR(INDEX('Retirement Calculator'!J:J,MATCH('Isaac 401k'!N1472,'Retirement Calculator'!A:A,0),0),0)</f>
        <v>0</v>
      </c>
      <c r="K1472" s="444">
        <f t="shared" ca="1" si="126"/>
        <v>-849445.84776082111</v>
      </c>
      <c r="L1472" s="444">
        <f t="shared" ca="1" si="127"/>
        <v>-204716449.3103579</v>
      </c>
      <c r="M1472" s="460">
        <f t="shared" si="129"/>
        <v>0.05</v>
      </c>
      <c r="N1472" s="464">
        <f t="shared" si="130"/>
        <v>95847</v>
      </c>
    </row>
    <row r="1473" spans="7:14" ht="11.25" customHeight="1" x14ac:dyDescent="0.25">
      <c r="G1473" s="459"/>
      <c r="H1473" s="459">
        <v>1466</v>
      </c>
      <c r="I1473" s="444">
        <f t="shared" ca="1" si="128"/>
        <v>-204716449.3103579</v>
      </c>
      <c r="J1473" s="444">
        <f t="array" ref="J1473">IFERROR(INDEX('Retirement Calculator'!J:J,MATCH('Isaac 401k'!N1473,'Retirement Calculator'!A:A,0),0),0)</f>
        <v>0</v>
      </c>
      <c r="K1473" s="444">
        <f t="shared" ca="1" si="126"/>
        <v>-852985.20545982453</v>
      </c>
      <c r="L1473" s="444">
        <f t="shared" ca="1" si="127"/>
        <v>-205569434.51581773</v>
      </c>
      <c r="M1473" s="460">
        <f t="shared" si="129"/>
        <v>0.05</v>
      </c>
      <c r="N1473" s="464">
        <f t="shared" si="130"/>
        <v>95877</v>
      </c>
    </row>
    <row r="1474" spans="7:14" ht="11.25" customHeight="1" x14ac:dyDescent="0.25">
      <c r="G1474" s="459"/>
      <c r="H1474" s="459">
        <v>1467</v>
      </c>
      <c r="I1474" s="444">
        <f t="shared" ca="1" si="128"/>
        <v>-205569434.51581773</v>
      </c>
      <c r="J1474" s="444">
        <f t="array" ref="J1474">IFERROR(INDEX('Retirement Calculator'!J:J,MATCH('Isaac 401k'!N1474,'Retirement Calculator'!A:A,0),0),0)</f>
        <v>0</v>
      </c>
      <c r="K1474" s="444">
        <f t="shared" ca="1" si="126"/>
        <v>-856539.31048257381</v>
      </c>
      <c r="L1474" s="444">
        <f t="shared" ca="1" si="127"/>
        <v>-206425973.82630029</v>
      </c>
      <c r="M1474" s="460">
        <f t="shared" si="129"/>
        <v>0.05</v>
      </c>
      <c r="N1474" s="464">
        <f t="shared" si="130"/>
        <v>95908</v>
      </c>
    </row>
    <row r="1475" spans="7:14" ht="11.25" customHeight="1" x14ac:dyDescent="0.25">
      <c r="G1475" s="459"/>
      <c r="H1475" s="459">
        <v>1468</v>
      </c>
      <c r="I1475" s="444">
        <f t="shared" ca="1" si="128"/>
        <v>-206425973.82630029</v>
      </c>
      <c r="J1475" s="444">
        <f t="array" ref="J1475">IFERROR(INDEX('Retirement Calculator'!J:J,MATCH('Isaac 401k'!N1475,'Retirement Calculator'!A:A,0),0),0)</f>
        <v>0</v>
      </c>
      <c r="K1475" s="444">
        <f t="shared" ca="1" si="126"/>
        <v>-860108.22427625116</v>
      </c>
      <c r="L1475" s="444">
        <f t="shared" ca="1" si="127"/>
        <v>-207286082.05057654</v>
      </c>
      <c r="M1475" s="460">
        <f t="shared" si="129"/>
        <v>0.05</v>
      </c>
      <c r="N1475" s="464">
        <f t="shared" si="130"/>
        <v>95939</v>
      </c>
    </row>
    <row r="1476" spans="7:14" ht="11.25" customHeight="1" x14ac:dyDescent="0.25">
      <c r="G1476" s="459"/>
      <c r="H1476" s="459">
        <v>1469</v>
      </c>
      <c r="I1476" s="444">
        <f t="shared" ca="1" si="128"/>
        <v>-207286082.05057654</v>
      </c>
      <c r="J1476" s="444">
        <f t="array" ref="J1476">IFERROR(INDEX('Retirement Calculator'!J:J,MATCH('Isaac 401k'!N1476,'Retirement Calculator'!A:A,0),0),0)</f>
        <v>0</v>
      </c>
      <c r="K1476" s="444">
        <f t="shared" ca="1" si="126"/>
        <v>-863692.0085440689</v>
      </c>
      <c r="L1476" s="444">
        <f t="shared" ca="1" si="127"/>
        <v>-208149774.0591206</v>
      </c>
      <c r="M1476" s="460">
        <f t="shared" si="129"/>
        <v>0.05</v>
      </c>
      <c r="N1476" s="464">
        <f t="shared" si="130"/>
        <v>95969</v>
      </c>
    </row>
    <row r="1477" spans="7:14" ht="11.25" customHeight="1" x14ac:dyDescent="0.25">
      <c r="G1477" s="459"/>
      <c r="H1477" s="459">
        <v>1470</v>
      </c>
      <c r="I1477" s="444">
        <f t="shared" ca="1" si="128"/>
        <v>-208149774.0591206</v>
      </c>
      <c r="J1477" s="444">
        <f t="array" ref="J1477">IFERROR(INDEX('Retirement Calculator'!J:J,MATCH('Isaac 401k'!N1477,'Retirement Calculator'!A:A,0),0),0)</f>
        <v>0</v>
      </c>
      <c r="K1477" s="444">
        <f t="shared" ca="1" si="126"/>
        <v>-867290.72524633585</v>
      </c>
      <c r="L1477" s="444">
        <f t="shared" ca="1" si="127"/>
        <v>-209017064.78436694</v>
      </c>
      <c r="M1477" s="460">
        <f t="shared" si="129"/>
        <v>0.05</v>
      </c>
      <c r="N1477" s="464">
        <f t="shared" si="130"/>
        <v>96000</v>
      </c>
    </row>
    <row r="1478" spans="7:14" ht="11.25" customHeight="1" x14ac:dyDescent="0.25">
      <c r="G1478" s="459"/>
      <c r="H1478" s="459">
        <v>1471</v>
      </c>
      <c r="I1478" s="444">
        <f t="shared" ca="1" si="128"/>
        <v>-209017064.78436694</v>
      </c>
      <c r="J1478" s="444">
        <f t="array" ref="J1478">IFERROR(INDEX('Retirement Calculator'!J:J,MATCH('Isaac 401k'!N1478,'Retirement Calculator'!A:A,0),0),0)</f>
        <v>0</v>
      </c>
      <c r="K1478" s="444">
        <f t="shared" ca="1" si="126"/>
        <v>-870904.4366015289</v>
      </c>
      <c r="L1478" s="444">
        <f t="shared" ca="1" si="127"/>
        <v>-209887969.22096846</v>
      </c>
      <c r="M1478" s="460">
        <f t="shared" si="129"/>
        <v>0.05</v>
      </c>
      <c r="N1478" s="464">
        <f t="shared" si="130"/>
        <v>96030</v>
      </c>
    </row>
    <row r="1479" spans="7:14" ht="11.25" customHeight="1" x14ac:dyDescent="0.25">
      <c r="G1479" s="459"/>
      <c r="H1479" s="459">
        <v>1472</v>
      </c>
      <c r="I1479" s="444">
        <f t="shared" ca="1" si="128"/>
        <v>-209887969.22096846</v>
      </c>
      <c r="J1479" s="444">
        <f t="array" ref="J1479">IFERROR(INDEX('Retirement Calculator'!J:J,MATCH('Isaac 401k'!N1479,'Retirement Calculator'!A:A,0),0),0)</f>
        <v>0</v>
      </c>
      <c r="K1479" s="444">
        <f t="shared" ca="1" si="126"/>
        <v>-874533.20508736849</v>
      </c>
      <c r="L1479" s="444">
        <f t="shared" ca="1" si="127"/>
        <v>-210762502.42605582</v>
      </c>
      <c r="M1479" s="460">
        <f t="shared" si="129"/>
        <v>0.05</v>
      </c>
      <c r="N1479" s="464">
        <f t="shared" si="130"/>
        <v>96061</v>
      </c>
    </row>
    <row r="1480" spans="7:14" ht="11.25" customHeight="1" x14ac:dyDescent="0.25">
      <c r="G1480" s="459"/>
      <c r="H1480" s="459">
        <v>1473</v>
      </c>
      <c r="I1480" s="444">
        <f t="shared" ca="1" si="128"/>
        <v>-210762502.42605582</v>
      </c>
      <c r="J1480" s="444">
        <f t="array" ref="J1480">IFERROR(INDEX('Retirement Calculator'!J:J,MATCH('Isaac 401k'!N1480,'Retirement Calculator'!A:A,0),0),0)</f>
        <v>0</v>
      </c>
      <c r="K1480" s="444">
        <f t="shared" ca="1" si="126"/>
        <v>-878177.09344189905</v>
      </c>
      <c r="L1480" s="444">
        <f t="shared" ca="1" si="127"/>
        <v>-211640679.51949772</v>
      </c>
      <c r="M1480" s="460">
        <f t="shared" si="129"/>
        <v>0.05</v>
      </c>
      <c r="N1480" s="464">
        <f t="shared" si="130"/>
        <v>96092</v>
      </c>
    </row>
    <row r="1481" spans="7:14" ht="11.25" customHeight="1" x14ac:dyDescent="0.25">
      <c r="G1481" s="459"/>
      <c r="H1481" s="459">
        <v>1474</v>
      </c>
      <c r="I1481" s="444">
        <f t="shared" ca="1" si="128"/>
        <v>-211640679.51949772</v>
      </c>
      <c r="J1481" s="444">
        <f t="array" ref="J1481">IFERROR(INDEX('Retirement Calculator'!J:J,MATCH('Isaac 401k'!N1481,'Retirement Calculator'!A:A,0),0),0)</f>
        <v>0</v>
      </c>
      <c r="K1481" s="444">
        <f t="shared" ca="1" si="126"/>
        <v>-881836.16466457385</v>
      </c>
      <c r="L1481" s="444">
        <f t="shared" ca="1" si="127"/>
        <v>-212522515.68416229</v>
      </c>
      <c r="M1481" s="460">
        <f t="shared" si="129"/>
        <v>0.05</v>
      </c>
      <c r="N1481" s="464">
        <f t="shared" si="130"/>
        <v>96120</v>
      </c>
    </row>
    <row r="1482" spans="7:14" ht="11.25" customHeight="1" x14ac:dyDescent="0.25">
      <c r="G1482" s="459"/>
      <c r="H1482" s="459">
        <v>1475</v>
      </c>
      <c r="I1482" s="444">
        <f t="shared" ca="1" si="128"/>
        <v>-212522515.68416229</v>
      </c>
      <c r="J1482" s="444">
        <f t="array" ref="J1482">IFERROR(INDEX('Retirement Calculator'!J:J,MATCH('Isaac 401k'!N1482,'Retirement Calculator'!A:A,0),0),0)</f>
        <v>0</v>
      </c>
      <c r="K1482" s="444">
        <f t="shared" ca="1" si="126"/>
        <v>-885510.48201734293</v>
      </c>
      <c r="L1482" s="444">
        <f t="shared" ca="1" si="127"/>
        <v>-213408026.16617963</v>
      </c>
      <c r="M1482" s="460">
        <f t="shared" si="129"/>
        <v>0.05</v>
      </c>
      <c r="N1482" s="464">
        <f t="shared" si="130"/>
        <v>96151</v>
      </c>
    </row>
    <row r="1483" spans="7:14" ht="11.25" customHeight="1" x14ac:dyDescent="0.25">
      <c r="G1483" s="459"/>
      <c r="H1483" s="459">
        <v>1476</v>
      </c>
      <c r="I1483" s="444">
        <f t="shared" ca="1" si="128"/>
        <v>-213408026.16617963</v>
      </c>
      <c r="J1483" s="444">
        <f t="array" ref="J1483">IFERROR(INDEX('Retirement Calculator'!J:J,MATCH('Isaac 401k'!N1483,'Retirement Calculator'!A:A,0),0),0)</f>
        <v>0</v>
      </c>
      <c r="K1483" s="444">
        <f t="shared" ca="1" si="126"/>
        <v>-889200.10902574845</v>
      </c>
      <c r="L1483" s="444">
        <f t="shared" ca="1" si="127"/>
        <v>-214297226.27520537</v>
      </c>
      <c r="M1483" s="460">
        <f t="shared" si="129"/>
        <v>0.05</v>
      </c>
      <c r="N1483" s="464">
        <f t="shared" si="130"/>
        <v>96181</v>
      </c>
    </row>
    <row r="1484" spans="7:14" ht="11.25" customHeight="1" x14ac:dyDescent="0.25">
      <c r="G1484" s="459"/>
      <c r="H1484" s="459">
        <v>1477</v>
      </c>
      <c r="I1484" s="444">
        <f t="shared" ca="1" si="128"/>
        <v>-214297226.27520537</v>
      </c>
      <c r="J1484" s="444">
        <f t="array" ref="J1484">IFERROR(INDEX('Retirement Calculator'!J:J,MATCH('Isaac 401k'!N1484,'Retirement Calculator'!A:A,0),0),0)</f>
        <v>0</v>
      </c>
      <c r="K1484" s="444">
        <f t="shared" ca="1" si="126"/>
        <v>-892905.10948002234</v>
      </c>
      <c r="L1484" s="444">
        <f t="shared" ca="1" si="127"/>
        <v>-215190131.3846854</v>
      </c>
      <c r="M1484" s="460">
        <f t="shared" si="129"/>
        <v>0.05</v>
      </c>
      <c r="N1484" s="464">
        <f t="shared" si="130"/>
        <v>96212</v>
      </c>
    </row>
    <row r="1485" spans="7:14" ht="11.25" customHeight="1" x14ac:dyDescent="0.25">
      <c r="G1485" s="459"/>
      <c r="H1485" s="459">
        <v>1478</v>
      </c>
      <c r="I1485" s="444">
        <f t="shared" ca="1" si="128"/>
        <v>-215190131.3846854</v>
      </c>
      <c r="J1485" s="444">
        <f t="array" ref="J1485">IFERROR(INDEX('Retirement Calculator'!J:J,MATCH('Isaac 401k'!N1485,'Retirement Calculator'!A:A,0),0),0)</f>
        <v>0</v>
      </c>
      <c r="K1485" s="444">
        <f t="shared" ca="1" si="126"/>
        <v>-896625.54743618914</v>
      </c>
      <c r="L1485" s="444">
        <f t="shared" ca="1" si="127"/>
        <v>-216086756.93212157</v>
      </c>
      <c r="M1485" s="460">
        <f t="shared" si="129"/>
        <v>0.05</v>
      </c>
      <c r="N1485" s="464">
        <f t="shared" si="130"/>
        <v>96242</v>
      </c>
    </row>
    <row r="1486" spans="7:14" ht="11.25" customHeight="1" x14ac:dyDescent="0.25">
      <c r="G1486" s="459"/>
      <c r="H1486" s="459">
        <v>1479</v>
      </c>
      <c r="I1486" s="444">
        <f t="shared" ca="1" si="128"/>
        <v>-216086756.93212157</v>
      </c>
      <c r="J1486" s="444">
        <f t="array" ref="J1486">IFERROR(INDEX('Retirement Calculator'!J:J,MATCH('Isaac 401k'!N1486,'Retirement Calculator'!A:A,0),0),0)</f>
        <v>0</v>
      </c>
      <c r="K1486" s="444">
        <f t="shared" ca="1" si="126"/>
        <v>-900361.4872171731</v>
      </c>
      <c r="L1486" s="444">
        <f t="shared" ca="1" si="127"/>
        <v>-216987118.41933876</v>
      </c>
      <c r="M1486" s="460">
        <f t="shared" si="129"/>
        <v>0.05</v>
      </c>
      <c r="N1486" s="464">
        <f t="shared" si="130"/>
        <v>96273</v>
      </c>
    </row>
    <row r="1487" spans="7:14" ht="11.25" customHeight="1" x14ac:dyDescent="0.25">
      <c r="G1487" s="459"/>
      <c r="H1487" s="459">
        <v>1480</v>
      </c>
      <c r="I1487" s="444">
        <f t="shared" ca="1" si="128"/>
        <v>-216987118.41933876</v>
      </c>
      <c r="J1487" s="444">
        <f t="array" ref="J1487">IFERROR(INDEX('Retirement Calculator'!J:J,MATCH('Isaac 401k'!N1487,'Retirement Calculator'!A:A,0),0),0)</f>
        <v>0</v>
      </c>
      <c r="K1487" s="444">
        <f t="shared" ca="1" si="126"/>
        <v>-904112.99341391155</v>
      </c>
      <c r="L1487" s="444">
        <f t="shared" ca="1" si="127"/>
        <v>-217891231.41275269</v>
      </c>
      <c r="M1487" s="460">
        <f t="shared" si="129"/>
        <v>0.05</v>
      </c>
      <c r="N1487" s="464">
        <f t="shared" si="130"/>
        <v>96304</v>
      </c>
    </row>
    <row r="1488" spans="7:14" ht="11.25" customHeight="1" x14ac:dyDescent="0.25">
      <c r="G1488" s="459"/>
      <c r="H1488" s="459">
        <v>1481</v>
      </c>
      <c r="I1488" s="444">
        <f t="shared" ca="1" si="128"/>
        <v>-217891231.41275269</v>
      </c>
      <c r="J1488" s="444">
        <f t="array" ref="J1488">IFERROR(INDEX('Retirement Calculator'!J:J,MATCH('Isaac 401k'!N1488,'Retirement Calculator'!A:A,0),0),0)</f>
        <v>0</v>
      </c>
      <c r="K1488" s="444">
        <f t="shared" ca="1" si="126"/>
        <v>-907880.1308864695</v>
      </c>
      <c r="L1488" s="444">
        <f t="shared" ca="1" si="127"/>
        <v>-218799111.54363915</v>
      </c>
      <c r="M1488" s="460">
        <f t="shared" si="129"/>
        <v>0.05</v>
      </c>
      <c r="N1488" s="464">
        <f t="shared" si="130"/>
        <v>96334</v>
      </c>
    </row>
    <row r="1489" spans="7:14" ht="11.25" customHeight="1" x14ac:dyDescent="0.25">
      <c r="G1489" s="459"/>
      <c r="H1489" s="459">
        <v>1482</v>
      </c>
      <c r="I1489" s="444">
        <f t="shared" ca="1" si="128"/>
        <v>-218799111.54363915</v>
      </c>
      <c r="J1489" s="444">
        <f t="array" ref="J1489">IFERROR(INDEX('Retirement Calculator'!J:J,MATCH('Isaac 401k'!N1489,'Retirement Calculator'!A:A,0),0),0)</f>
        <v>0</v>
      </c>
      <c r="K1489" s="444">
        <f t="shared" ca="1" si="126"/>
        <v>-911662.96476516302</v>
      </c>
      <c r="L1489" s="444">
        <f t="shared" ca="1" si="127"/>
        <v>-219710774.50840431</v>
      </c>
      <c r="M1489" s="460">
        <f t="shared" si="129"/>
        <v>0.05</v>
      </c>
      <c r="N1489" s="464">
        <f t="shared" si="130"/>
        <v>96365</v>
      </c>
    </row>
    <row r="1490" spans="7:14" ht="11.25" customHeight="1" x14ac:dyDescent="0.25">
      <c r="G1490" s="459"/>
      <c r="H1490" s="459">
        <v>1483</v>
      </c>
      <c r="I1490" s="444">
        <f t="shared" ca="1" si="128"/>
        <v>-219710774.50840431</v>
      </c>
      <c r="J1490" s="444">
        <f t="array" ref="J1490">IFERROR(INDEX('Retirement Calculator'!J:J,MATCH('Isaac 401k'!N1490,'Retirement Calculator'!A:A,0),0),0)</f>
        <v>0</v>
      </c>
      <c r="K1490" s="444">
        <f t="shared" ca="1" si="126"/>
        <v>-915461.56045168464</v>
      </c>
      <c r="L1490" s="444">
        <f t="shared" ca="1" si="127"/>
        <v>-220626236.068856</v>
      </c>
      <c r="M1490" s="460">
        <f t="shared" si="129"/>
        <v>0.05</v>
      </c>
      <c r="N1490" s="464">
        <f t="shared" si="130"/>
        <v>96395</v>
      </c>
    </row>
    <row r="1491" spans="7:14" ht="11.25" customHeight="1" x14ac:dyDescent="0.25">
      <c r="G1491" s="459"/>
      <c r="H1491" s="459">
        <v>1484</v>
      </c>
      <c r="I1491" s="444">
        <f t="shared" ca="1" si="128"/>
        <v>-220626236.068856</v>
      </c>
      <c r="J1491" s="444">
        <f t="array" ref="J1491">IFERROR(INDEX('Retirement Calculator'!J:J,MATCH('Isaac 401k'!N1491,'Retirement Calculator'!A:A,0),0),0)</f>
        <v>0</v>
      </c>
      <c r="K1491" s="444">
        <f t="shared" ca="1" si="126"/>
        <v>-919275.98362023348</v>
      </c>
      <c r="L1491" s="444">
        <f t="shared" ca="1" si="127"/>
        <v>-221545512.05247623</v>
      </c>
      <c r="M1491" s="460">
        <f t="shared" si="129"/>
        <v>0.05</v>
      </c>
      <c r="N1491" s="464">
        <f t="shared" si="130"/>
        <v>96426</v>
      </c>
    </row>
    <row r="1492" spans="7:14" ht="11.25" customHeight="1" x14ac:dyDescent="0.25">
      <c r="G1492" s="459"/>
      <c r="H1492" s="459">
        <v>1485</v>
      </c>
      <c r="I1492" s="444">
        <f t="shared" ca="1" si="128"/>
        <v>-221545512.05247623</v>
      </c>
      <c r="J1492" s="444">
        <f t="array" ref="J1492">IFERROR(INDEX('Retirement Calculator'!J:J,MATCH('Isaac 401k'!N1492,'Retirement Calculator'!A:A,0),0),0)</f>
        <v>0</v>
      </c>
      <c r="K1492" s="444">
        <f t="shared" ca="1" si="126"/>
        <v>-923106.30021865095</v>
      </c>
      <c r="L1492" s="444">
        <f t="shared" ca="1" si="127"/>
        <v>-222468618.35269487</v>
      </c>
      <c r="M1492" s="460">
        <f t="shared" si="129"/>
        <v>0.05</v>
      </c>
      <c r="N1492" s="464">
        <f t="shared" si="130"/>
        <v>96457</v>
      </c>
    </row>
    <row r="1493" spans="7:14" ht="11.25" customHeight="1" x14ac:dyDescent="0.25">
      <c r="G1493" s="459"/>
      <c r="H1493" s="459">
        <v>1486</v>
      </c>
      <c r="I1493" s="444">
        <f t="shared" ca="1" si="128"/>
        <v>-222468618.35269487</v>
      </c>
      <c r="J1493" s="444">
        <f t="array" ref="J1493">IFERROR(INDEX('Retirement Calculator'!J:J,MATCH('Isaac 401k'!N1493,'Retirement Calculator'!A:A,0),0),0)</f>
        <v>0</v>
      </c>
      <c r="K1493" s="444">
        <f t="shared" ca="1" si="126"/>
        <v>-926952.5764695619</v>
      </c>
      <c r="L1493" s="444">
        <f t="shared" ca="1" si="127"/>
        <v>-223395570.92916444</v>
      </c>
      <c r="M1493" s="460">
        <f t="shared" si="129"/>
        <v>0.05</v>
      </c>
      <c r="N1493" s="464">
        <f t="shared" si="130"/>
        <v>96486</v>
      </c>
    </row>
    <row r="1494" spans="7:14" ht="11.25" customHeight="1" x14ac:dyDescent="0.25">
      <c r="G1494" s="459"/>
      <c r="H1494" s="459">
        <v>1487</v>
      </c>
      <c r="I1494" s="444">
        <f t="shared" ca="1" si="128"/>
        <v>-223395570.92916444</v>
      </c>
      <c r="J1494" s="444">
        <f t="array" ref="J1494">IFERROR(INDEX('Retirement Calculator'!J:J,MATCH('Isaac 401k'!N1494,'Retirement Calculator'!A:A,0),0),0)</f>
        <v>0</v>
      </c>
      <c r="K1494" s="444">
        <f t="shared" ca="1" si="126"/>
        <v>-930814.87887151854</v>
      </c>
      <c r="L1494" s="444">
        <f t="shared" ca="1" si="127"/>
        <v>-224326385.80803597</v>
      </c>
      <c r="M1494" s="460">
        <f t="shared" si="129"/>
        <v>0.05</v>
      </c>
      <c r="N1494" s="464">
        <f t="shared" si="130"/>
        <v>96517</v>
      </c>
    </row>
    <row r="1495" spans="7:14" ht="11.25" customHeight="1" x14ac:dyDescent="0.25">
      <c r="G1495" s="459"/>
      <c r="H1495" s="459">
        <v>1488</v>
      </c>
      <c r="I1495" s="444">
        <f t="shared" ca="1" si="128"/>
        <v>-224326385.80803597</v>
      </c>
      <c r="J1495" s="444">
        <f t="array" ref="J1495">IFERROR(INDEX('Retirement Calculator'!J:J,MATCH('Isaac 401k'!N1495,'Retirement Calculator'!A:A,0),0),0)</f>
        <v>0</v>
      </c>
      <c r="K1495" s="444">
        <f t="shared" ca="1" si="126"/>
        <v>-934693.27420014981</v>
      </c>
      <c r="L1495" s="444">
        <f t="shared" ca="1" si="127"/>
        <v>-225261079.08223611</v>
      </c>
      <c r="M1495" s="460">
        <f t="shared" si="129"/>
        <v>0.05</v>
      </c>
      <c r="N1495" s="464">
        <f t="shared" si="130"/>
        <v>96547</v>
      </c>
    </row>
    <row r="1496" spans="7:14" ht="11.25" customHeight="1" x14ac:dyDescent="0.25">
      <c r="G1496" s="459"/>
      <c r="H1496" s="459">
        <v>1489</v>
      </c>
      <c r="I1496" s="444">
        <f t="shared" ca="1" si="128"/>
        <v>-225261079.08223611</v>
      </c>
      <c r="J1496" s="444">
        <f t="array" ref="J1496">IFERROR(INDEX('Retirement Calculator'!J:J,MATCH('Isaac 401k'!N1496,'Retirement Calculator'!A:A,0),0),0)</f>
        <v>0</v>
      </c>
      <c r="K1496" s="444">
        <f t="shared" ca="1" si="126"/>
        <v>-938587.82950931706</v>
      </c>
      <c r="L1496" s="444">
        <f t="shared" ca="1" si="127"/>
        <v>-226199666.91174543</v>
      </c>
      <c r="M1496" s="460">
        <f t="shared" si="129"/>
        <v>0.05</v>
      </c>
      <c r="N1496" s="464">
        <f t="shared" si="130"/>
        <v>96578</v>
      </c>
    </row>
    <row r="1497" spans="7:14" ht="11.25" customHeight="1" x14ac:dyDescent="0.25">
      <c r="G1497" s="459"/>
      <c r="H1497" s="459">
        <v>1490</v>
      </c>
      <c r="I1497" s="444">
        <f t="shared" ca="1" si="128"/>
        <v>-226199666.91174543</v>
      </c>
      <c r="J1497" s="444">
        <f t="array" ref="J1497">IFERROR(INDEX('Retirement Calculator'!J:J,MATCH('Isaac 401k'!N1497,'Retirement Calculator'!A:A,0),0),0)</f>
        <v>0</v>
      </c>
      <c r="K1497" s="444">
        <f t="shared" ca="1" si="126"/>
        <v>-942498.61213227245</v>
      </c>
      <c r="L1497" s="444">
        <f t="shared" ca="1" si="127"/>
        <v>-227142165.52387771</v>
      </c>
      <c r="M1497" s="460">
        <f t="shared" si="129"/>
        <v>0.05</v>
      </c>
      <c r="N1497" s="464">
        <f t="shared" si="130"/>
        <v>96608</v>
      </c>
    </row>
    <row r="1498" spans="7:14" ht="11.25" customHeight="1" x14ac:dyDescent="0.25">
      <c r="G1498" s="459"/>
      <c r="H1498" s="459">
        <v>1491</v>
      </c>
      <c r="I1498" s="444">
        <f t="shared" ca="1" si="128"/>
        <v>-227142165.52387771</v>
      </c>
      <c r="J1498" s="444">
        <f t="array" ref="J1498">IFERROR(INDEX('Retirement Calculator'!J:J,MATCH('Isaac 401k'!N1498,'Retirement Calculator'!A:A,0),0),0)</f>
        <v>0</v>
      </c>
      <c r="K1498" s="444">
        <f t="shared" ca="1" si="126"/>
        <v>-946425.68968282396</v>
      </c>
      <c r="L1498" s="444">
        <f t="shared" ca="1" si="127"/>
        <v>-228088591.21356052</v>
      </c>
      <c r="M1498" s="460">
        <f t="shared" si="129"/>
        <v>0.05</v>
      </c>
      <c r="N1498" s="464">
        <f t="shared" si="130"/>
        <v>96639</v>
      </c>
    </row>
    <row r="1499" spans="7:14" ht="11.25" customHeight="1" x14ac:dyDescent="0.25">
      <c r="G1499" s="459"/>
      <c r="H1499" s="459">
        <v>1492</v>
      </c>
      <c r="I1499" s="444">
        <f t="shared" ca="1" si="128"/>
        <v>-228088591.21356052</v>
      </c>
      <c r="J1499" s="444">
        <f t="array" ref="J1499">IFERROR(INDEX('Retirement Calculator'!J:J,MATCH('Isaac 401k'!N1499,'Retirement Calculator'!A:A,0),0),0)</f>
        <v>0</v>
      </c>
      <c r="K1499" s="444">
        <f t="shared" ca="1" si="126"/>
        <v>-950369.1300565023</v>
      </c>
      <c r="L1499" s="444">
        <f t="shared" ca="1" si="127"/>
        <v>-229038960.34361702</v>
      </c>
      <c r="M1499" s="460">
        <f t="shared" si="129"/>
        <v>0.05</v>
      </c>
      <c r="N1499" s="464">
        <f t="shared" si="130"/>
        <v>96670</v>
      </c>
    </row>
    <row r="1500" spans="7:14" ht="11.25" customHeight="1" x14ac:dyDescent="0.25">
      <c r="G1500" s="459"/>
      <c r="H1500" s="459">
        <v>1493</v>
      </c>
      <c r="I1500" s="444">
        <f t="shared" ca="1" si="128"/>
        <v>-229038960.34361702</v>
      </c>
      <c r="J1500" s="444">
        <f t="array" ref="J1500">IFERROR(INDEX('Retirement Calculator'!J:J,MATCH('Isaac 401k'!N1500,'Retirement Calculator'!A:A,0),0),0)</f>
        <v>0</v>
      </c>
      <c r="K1500" s="444">
        <f t="shared" ca="1" si="126"/>
        <v>-954329.00143173756</v>
      </c>
      <c r="L1500" s="444">
        <f t="shared" ca="1" si="127"/>
        <v>-229993289.34504876</v>
      </c>
      <c r="M1500" s="460">
        <f t="shared" si="129"/>
        <v>0.05</v>
      </c>
      <c r="N1500" s="464">
        <f t="shared" si="130"/>
        <v>96700</v>
      </c>
    </row>
    <row r="1501" spans="7:14" ht="11.25" customHeight="1" x14ac:dyDescent="0.25">
      <c r="G1501" s="459"/>
      <c r="H1501" s="459">
        <v>1494</v>
      </c>
      <c r="I1501" s="444">
        <f t="shared" ca="1" si="128"/>
        <v>-229993289.34504876</v>
      </c>
      <c r="J1501" s="444">
        <f t="array" ref="J1501">IFERROR(INDEX('Retirement Calculator'!J:J,MATCH('Isaac 401k'!N1501,'Retirement Calculator'!A:A,0),0),0)</f>
        <v>0</v>
      </c>
      <c r="K1501" s="444">
        <f t="shared" ca="1" si="126"/>
        <v>-958305.3722710365</v>
      </c>
      <c r="L1501" s="444">
        <f t="shared" ca="1" si="127"/>
        <v>-230951594.71731979</v>
      </c>
      <c r="M1501" s="460">
        <f t="shared" si="129"/>
        <v>0.05</v>
      </c>
      <c r="N1501" s="464">
        <f t="shared" si="130"/>
        <v>96731</v>
      </c>
    </row>
    <row r="1502" spans="7:14" ht="11.25" customHeight="1" x14ac:dyDescent="0.25">
      <c r="G1502" s="459"/>
      <c r="H1502" s="459">
        <v>1495</v>
      </c>
      <c r="I1502" s="444">
        <f t="shared" ca="1" si="128"/>
        <v>-230951594.71731979</v>
      </c>
      <c r="J1502" s="444">
        <f t="array" ref="J1502">IFERROR(INDEX('Retirement Calculator'!J:J,MATCH('Isaac 401k'!N1502,'Retirement Calculator'!A:A,0),0),0)</f>
        <v>0</v>
      </c>
      <c r="K1502" s="444">
        <f t="shared" ca="1" si="126"/>
        <v>-962298.31132216577</v>
      </c>
      <c r="L1502" s="444">
        <f t="shared" ca="1" si="127"/>
        <v>-231913893.02864194</v>
      </c>
      <c r="M1502" s="460">
        <f t="shared" si="129"/>
        <v>0.05</v>
      </c>
      <c r="N1502" s="464">
        <f t="shared" si="130"/>
        <v>96761</v>
      </c>
    </row>
    <row r="1503" spans="7:14" ht="11.25" customHeight="1" x14ac:dyDescent="0.25">
      <c r="G1503" s="459"/>
      <c r="H1503" s="459">
        <v>1496</v>
      </c>
      <c r="I1503" s="444">
        <f t="shared" ca="1" si="128"/>
        <v>-231913893.02864194</v>
      </c>
      <c r="J1503" s="444">
        <f t="array" ref="J1503">IFERROR(INDEX('Retirement Calculator'!J:J,MATCH('Isaac 401k'!N1503,'Retirement Calculator'!A:A,0),0),0)</f>
        <v>0</v>
      </c>
      <c r="K1503" s="444">
        <f t="shared" ca="1" si="126"/>
        <v>-966307.88761934137</v>
      </c>
      <c r="L1503" s="444">
        <f t="shared" ca="1" si="127"/>
        <v>-232880200.91626129</v>
      </c>
      <c r="M1503" s="460">
        <f t="shared" si="129"/>
        <v>0.05</v>
      </c>
      <c r="N1503" s="464">
        <f t="shared" si="130"/>
        <v>96792</v>
      </c>
    </row>
    <row r="1504" spans="7:14" ht="11.25" customHeight="1" x14ac:dyDescent="0.25">
      <c r="G1504" s="459"/>
      <c r="H1504" s="459">
        <v>1497</v>
      </c>
      <c r="I1504" s="444">
        <f t="shared" ca="1" si="128"/>
        <v>-232880200.91626129</v>
      </c>
      <c r="J1504" s="444">
        <f t="array" ref="J1504">IFERROR(INDEX('Retirement Calculator'!J:J,MATCH('Isaac 401k'!N1504,'Retirement Calculator'!A:A,0),0),0)</f>
        <v>0</v>
      </c>
      <c r="K1504" s="444">
        <f t="shared" ca="1" si="126"/>
        <v>-970334.17048442201</v>
      </c>
      <c r="L1504" s="444">
        <f t="shared" ca="1" si="127"/>
        <v>-233850535.08674571</v>
      </c>
      <c r="M1504" s="460">
        <f t="shared" si="129"/>
        <v>0.05</v>
      </c>
      <c r="N1504" s="464">
        <f t="shared" si="130"/>
        <v>96823</v>
      </c>
    </row>
    <row r="1505" spans="7:14" ht="11.25" customHeight="1" x14ac:dyDescent="0.25">
      <c r="G1505" s="459"/>
      <c r="H1505" s="459">
        <v>1498</v>
      </c>
      <c r="I1505" s="444">
        <f t="shared" ca="1" si="128"/>
        <v>-233850535.08674571</v>
      </c>
      <c r="J1505" s="444">
        <f t="array" ref="J1505">IFERROR(INDEX('Retirement Calculator'!J:J,MATCH('Isaac 401k'!N1505,'Retirement Calculator'!A:A,0),0),0)</f>
        <v>0</v>
      </c>
      <c r="K1505" s="444">
        <f t="shared" ca="1" si="126"/>
        <v>-974377.2295281071</v>
      </c>
      <c r="L1505" s="444">
        <f t="shared" ca="1" si="127"/>
        <v>-234824912.31627381</v>
      </c>
      <c r="M1505" s="460">
        <f t="shared" si="129"/>
        <v>0.05</v>
      </c>
      <c r="N1505" s="464">
        <f t="shared" si="130"/>
        <v>96851</v>
      </c>
    </row>
    <row r="1506" spans="7:14" ht="11.25" customHeight="1" x14ac:dyDescent="0.25">
      <c r="G1506" s="459"/>
      <c r="H1506" s="459">
        <v>1499</v>
      </c>
      <c r="I1506" s="444">
        <f t="shared" ca="1" si="128"/>
        <v>-234824912.31627381</v>
      </c>
      <c r="J1506" s="444">
        <f t="array" ref="J1506">IFERROR(INDEX('Retirement Calculator'!J:J,MATCH('Isaac 401k'!N1506,'Retirement Calculator'!A:A,0),0),0)</f>
        <v>0</v>
      </c>
      <c r="K1506" s="444">
        <f t="shared" ca="1" si="126"/>
        <v>-978437.13465114089</v>
      </c>
      <c r="L1506" s="444">
        <f t="shared" ca="1" si="127"/>
        <v>-235803349.45092496</v>
      </c>
      <c r="M1506" s="460">
        <f t="shared" si="129"/>
        <v>0.05</v>
      </c>
      <c r="N1506" s="464">
        <f t="shared" si="130"/>
        <v>96882</v>
      </c>
    </row>
    <row r="1507" spans="7:14" ht="11.25" customHeight="1" x14ac:dyDescent="0.25">
      <c r="G1507" s="459"/>
      <c r="H1507" s="459">
        <v>1500</v>
      </c>
      <c r="I1507" s="444">
        <f t="shared" ca="1" si="128"/>
        <v>-235803349.45092496</v>
      </c>
      <c r="J1507" s="444">
        <f t="array" ref="J1507">IFERROR(INDEX('Retirement Calculator'!J:J,MATCH('Isaac 401k'!N1507,'Retirement Calculator'!A:A,0),0),0)</f>
        <v>0</v>
      </c>
      <c r="K1507" s="444">
        <f t="shared" ca="1" si="126"/>
        <v>-982513.95604552049</v>
      </c>
      <c r="L1507" s="444">
        <f t="shared" ca="1" si="127"/>
        <v>-236785863.40697047</v>
      </c>
      <c r="M1507" s="460">
        <f t="shared" si="129"/>
        <v>0.05</v>
      </c>
      <c r="N1507" s="464">
        <f t="shared" si="130"/>
        <v>96912</v>
      </c>
    </row>
    <row r="1508" spans="7:14" ht="11.25" customHeight="1" x14ac:dyDescent="0.25">
      <c r="G1508" s="459"/>
      <c r="H1508" s="459">
        <v>1501</v>
      </c>
      <c r="I1508" s="444">
        <f t="shared" ca="1" si="128"/>
        <v>-236785863.40697047</v>
      </c>
      <c r="J1508" s="444">
        <f t="array" ref="J1508">IFERROR(INDEX('Retirement Calculator'!J:J,MATCH('Isaac 401k'!N1508,'Retirement Calculator'!A:A,0),0),0)</f>
        <v>0</v>
      </c>
      <c r="K1508" s="444">
        <f t="shared" ca="1" si="126"/>
        <v>-986607.7641957103</v>
      </c>
      <c r="L1508" s="444">
        <f t="shared" ca="1" si="127"/>
        <v>-237772471.17116618</v>
      </c>
      <c r="M1508" s="460">
        <f t="shared" si="129"/>
        <v>0.05</v>
      </c>
      <c r="N1508" s="464">
        <f t="shared" si="130"/>
        <v>96943</v>
      </c>
    </row>
    <row r="1509" spans="7:14" ht="11.25" customHeight="1" x14ac:dyDescent="0.25">
      <c r="G1509" s="459"/>
      <c r="H1509" s="459">
        <v>1502</v>
      </c>
      <c r="I1509" s="444">
        <f t="shared" ca="1" si="128"/>
        <v>-237772471.17116618</v>
      </c>
      <c r="J1509" s="444">
        <f t="array" ref="J1509">IFERROR(INDEX('Retirement Calculator'!J:J,MATCH('Isaac 401k'!N1509,'Retirement Calculator'!A:A,0),0),0)</f>
        <v>0</v>
      </c>
      <c r="K1509" s="444">
        <f t="shared" ca="1" si="126"/>
        <v>-990718.62987985916</v>
      </c>
      <c r="L1509" s="444">
        <f t="shared" ca="1" si="127"/>
        <v>-238763189.80104604</v>
      </c>
      <c r="M1509" s="460">
        <f t="shared" si="129"/>
        <v>0.05</v>
      </c>
      <c r="N1509" s="464">
        <f t="shared" si="130"/>
        <v>96973</v>
      </c>
    </row>
    <row r="1510" spans="7:14" ht="11.25" customHeight="1" x14ac:dyDescent="0.25">
      <c r="G1510" s="459"/>
      <c r="H1510" s="459">
        <v>1503</v>
      </c>
      <c r="I1510" s="444">
        <f t="shared" ca="1" si="128"/>
        <v>-238763189.80104604</v>
      </c>
      <c r="J1510" s="444">
        <f t="array" ref="J1510">IFERROR(INDEX('Retirement Calculator'!J:J,MATCH('Isaac 401k'!N1510,'Retirement Calculator'!A:A,0),0),0)</f>
        <v>0</v>
      </c>
      <c r="K1510" s="444">
        <f t="shared" ca="1" si="126"/>
        <v>-994846.62417102524</v>
      </c>
      <c r="L1510" s="444">
        <f t="shared" ca="1" si="127"/>
        <v>-239758036.42521706</v>
      </c>
      <c r="M1510" s="460">
        <f t="shared" si="129"/>
        <v>0.05</v>
      </c>
      <c r="N1510" s="464">
        <f t="shared" si="130"/>
        <v>97004</v>
      </c>
    </row>
    <row r="1511" spans="7:14" ht="11.25" customHeight="1" x14ac:dyDescent="0.25">
      <c r="G1511" s="459"/>
      <c r="H1511" s="459">
        <v>1504</v>
      </c>
      <c r="I1511" s="444">
        <f t="shared" ca="1" si="128"/>
        <v>-239758036.42521706</v>
      </c>
      <c r="J1511" s="444">
        <f t="array" ref="J1511">IFERROR(INDEX('Retirement Calculator'!J:J,MATCH('Isaac 401k'!N1511,'Retirement Calculator'!A:A,0),0),0)</f>
        <v>0</v>
      </c>
      <c r="K1511" s="444">
        <f t="shared" ca="1" si="126"/>
        <v>-998991.81843840424</v>
      </c>
      <c r="L1511" s="444">
        <f t="shared" ca="1" si="127"/>
        <v>-240757028.24365547</v>
      </c>
      <c r="M1511" s="460">
        <f t="shared" si="129"/>
        <v>0.05</v>
      </c>
      <c r="N1511" s="464">
        <f t="shared" si="130"/>
        <v>97035</v>
      </c>
    </row>
    <row r="1512" spans="7:14" ht="11.25" customHeight="1" x14ac:dyDescent="0.25">
      <c r="G1512" s="459"/>
      <c r="H1512" s="459">
        <v>1505</v>
      </c>
      <c r="I1512" s="444">
        <f t="shared" ca="1" si="128"/>
        <v>-240757028.24365547</v>
      </c>
      <c r="J1512" s="444">
        <f t="array" ref="J1512">IFERROR(INDEX('Retirement Calculator'!J:J,MATCH('Isaac 401k'!N1512,'Retirement Calculator'!A:A,0),0),0)</f>
        <v>0</v>
      </c>
      <c r="K1512" s="444">
        <f t="shared" ca="1" si="126"/>
        <v>-1003154.2843485645</v>
      </c>
      <c r="L1512" s="444">
        <f t="shared" ca="1" si="127"/>
        <v>-241760182.52800405</v>
      </c>
      <c r="M1512" s="460">
        <f t="shared" si="129"/>
        <v>0.05</v>
      </c>
      <c r="N1512" s="464">
        <f t="shared" si="130"/>
        <v>97065</v>
      </c>
    </row>
    <row r="1513" spans="7:14" ht="11.25" customHeight="1" x14ac:dyDescent="0.25">
      <c r="G1513" s="459"/>
      <c r="H1513" s="459">
        <v>1506</v>
      </c>
      <c r="I1513" s="444">
        <f t="shared" ca="1" si="128"/>
        <v>-241760182.52800405</v>
      </c>
      <c r="J1513" s="444">
        <f t="array" ref="J1513">IFERROR(INDEX('Retirement Calculator'!J:J,MATCH('Isaac 401k'!N1513,'Retirement Calculator'!A:A,0),0),0)</f>
        <v>0</v>
      </c>
      <c r="K1513" s="444">
        <f t="shared" ca="1" si="126"/>
        <v>-1007334.0938666835</v>
      </c>
      <c r="L1513" s="444">
        <f t="shared" ca="1" si="127"/>
        <v>-242767516.62187073</v>
      </c>
      <c r="M1513" s="460">
        <f t="shared" si="129"/>
        <v>0.05</v>
      </c>
      <c r="N1513" s="464">
        <f t="shared" si="130"/>
        <v>97096</v>
      </c>
    </row>
    <row r="1514" spans="7:14" ht="11.25" customHeight="1" x14ac:dyDescent="0.25">
      <c r="G1514" s="459"/>
      <c r="H1514" s="459">
        <v>1507</v>
      </c>
      <c r="I1514" s="444">
        <f t="shared" ca="1" si="128"/>
        <v>-242767516.62187073</v>
      </c>
      <c r="J1514" s="444">
        <f t="array" ref="J1514">IFERROR(INDEX('Retirement Calculator'!J:J,MATCH('Isaac 401k'!N1514,'Retirement Calculator'!A:A,0),0),0)</f>
        <v>0</v>
      </c>
      <c r="K1514" s="444">
        <f t="shared" ca="1" si="126"/>
        <v>-1011531.3192577948</v>
      </c>
      <c r="L1514" s="444">
        <f t="shared" ca="1" si="127"/>
        <v>-243779047.94112852</v>
      </c>
      <c r="M1514" s="460">
        <f t="shared" si="129"/>
        <v>0.05</v>
      </c>
      <c r="N1514" s="464">
        <f t="shared" si="130"/>
        <v>97126</v>
      </c>
    </row>
    <row r="1515" spans="7:14" ht="11.25" customHeight="1" x14ac:dyDescent="0.25">
      <c r="G1515" s="459"/>
      <c r="H1515" s="459">
        <v>1508</v>
      </c>
      <c r="I1515" s="444">
        <f t="shared" ca="1" si="128"/>
        <v>-243779047.94112852</v>
      </c>
      <c r="J1515" s="444">
        <f t="array" ref="J1515">IFERROR(INDEX('Retirement Calculator'!J:J,MATCH('Isaac 401k'!N1515,'Retirement Calculator'!A:A,0),0),0)</f>
        <v>0</v>
      </c>
      <c r="K1515" s="444">
        <f t="shared" ca="1" si="126"/>
        <v>-1015746.0330880355</v>
      </c>
      <c r="L1515" s="444">
        <f t="shared" ca="1" si="127"/>
        <v>-244794793.97421655</v>
      </c>
      <c r="M1515" s="460">
        <f t="shared" si="129"/>
        <v>0.05</v>
      </c>
      <c r="N1515" s="464">
        <f t="shared" si="130"/>
        <v>97157</v>
      </c>
    </row>
    <row r="1516" spans="7:14" ht="11.25" customHeight="1" x14ac:dyDescent="0.25">
      <c r="G1516" s="459"/>
      <c r="H1516" s="459">
        <v>1509</v>
      </c>
      <c r="I1516" s="444">
        <f t="shared" ca="1" si="128"/>
        <v>-244794793.97421655</v>
      </c>
      <c r="J1516" s="444">
        <f t="array" ref="J1516">IFERROR(INDEX('Retirement Calculator'!J:J,MATCH('Isaac 401k'!N1516,'Retirement Calculator'!A:A,0),0),0)</f>
        <v>0</v>
      </c>
      <c r="K1516" s="444">
        <f t="shared" ca="1" si="126"/>
        <v>-1019978.3082259023</v>
      </c>
      <c r="L1516" s="444">
        <f t="shared" ca="1" si="127"/>
        <v>-245814772.28244245</v>
      </c>
      <c r="M1516" s="460">
        <f t="shared" si="129"/>
        <v>0.05</v>
      </c>
      <c r="N1516" s="464">
        <f t="shared" si="130"/>
        <v>97188</v>
      </c>
    </row>
    <row r="1517" spans="7:14" ht="11.25" customHeight="1" x14ac:dyDescent="0.25">
      <c r="G1517" s="459"/>
      <c r="H1517" s="459">
        <v>1510</v>
      </c>
      <c r="I1517" s="444">
        <f t="shared" ca="1" si="128"/>
        <v>-245814772.28244245</v>
      </c>
      <c r="J1517" s="444">
        <f t="array" ref="J1517">IFERROR(INDEX('Retirement Calculator'!J:J,MATCH('Isaac 401k'!N1517,'Retirement Calculator'!A:A,0),0),0)</f>
        <v>0</v>
      </c>
      <c r="K1517" s="444">
        <f t="shared" ca="1" si="126"/>
        <v>-1024228.2178435103</v>
      </c>
      <c r="L1517" s="444">
        <f t="shared" ca="1" si="127"/>
        <v>-246839000.50028595</v>
      </c>
      <c r="M1517" s="460">
        <f t="shared" si="129"/>
        <v>0.05</v>
      </c>
      <c r="N1517" s="464">
        <f t="shared" si="130"/>
        <v>97216</v>
      </c>
    </row>
    <row r="1518" spans="7:14" ht="11.25" customHeight="1" x14ac:dyDescent="0.25">
      <c r="G1518" s="459"/>
      <c r="H1518" s="459">
        <v>1511</v>
      </c>
      <c r="I1518" s="444">
        <f t="shared" ca="1" si="128"/>
        <v>-246839000.50028595</v>
      </c>
      <c r="J1518" s="444">
        <f t="array" ref="J1518">IFERROR(INDEX('Retirement Calculator'!J:J,MATCH('Isaac 401k'!N1518,'Retirement Calculator'!A:A,0),0),0)</f>
        <v>0</v>
      </c>
      <c r="K1518" s="444">
        <f t="shared" ca="1" si="126"/>
        <v>-1028495.8354178582</v>
      </c>
      <c r="L1518" s="444">
        <f t="shared" ca="1" si="127"/>
        <v>-247867496.33570382</v>
      </c>
      <c r="M1518" s="460">
        <f t="shared" si="129"/>
        <v>0.05</v>
      </c>
      <c r="N1518" s="464">
        <f t="shared" si="130"/>
        <v>97247</v>
      </c>
    </row>
    <row r="1519" spans="7:14" ht="11.25" customHeight="1" x14ac:dyDescent="0.25">
      <c r="G1519" s="459"/>
      <c r="H1519" s="459">
        <v>1512</v>
      </c>
      <c r="I1519" s="444">
        <f t="shared" ca="1" si="128"/>
        <v>-247867496.33570382</v>
      </c>
      <c r="J1519" s="444">
        <f t="array" ref="J1519">IFERROR(INDEX('Retirement Calculator'!J:J,MATCH('Isaac 401k'!N1519,'Retirement Calculator'!A:A,0),0),0)</f>
        <v>0</v>
      </c>
      <c r="K1519" s="444">
        <f t="shared" ca="1" si="126"/>
        <v>-1032781.2347320992</v>
      </c>
      <c r="L1519" s="444">
        <f t="shared" ca="1" si="127"/>
        <v>-248900277.57043591</v>
      </c>
      <c r="M1519" s="460">
        <f t="shared" si="129"/>
        <v>0.05</v>
      </c>
      <c r="N1519" s="464">
        <f t="shared" si="130"/>
        <v>97277</v>
      </c>
    </row>
    <row r="1520" spans="7:14" ht="11.25" customHeight="1" x14ac:dyDescent="0.25">
      <c r="G1520" s="459"/>
      <c r="H1520" s="459">
        <v>1513</v>
      </c>
      <c r="I1520" s="444">
        <f t="shared" ca="1" si="128"/>
        <v>-248900277.57043591</v>
      </c>
      <c r="J1520" s="444">
        <f t="array" ref="J1520">IFERROR(INDEX('Retirement Calculator'!J:J,MATCH('Isaac 401k'!N1520,'Retirement Calculator'!A:A,0),0),0)</f>
        <v>0</v>
      </c>
      <c r="K1520" s="444">
        <f t="shared" ca="1" si="126"/>
        <v>-1037084.4898768163</v>
      </c>
      <c r="L1520" s="444">
        <f t="shared" ca="1" si="127"/>
        <v>-249937362.06031272</v>
      </c>
      <c r="M1520" s="460">
        <f t="shared" si="129"/>
        <v>0.05</v>
      </c>
      <c r="N1520" s="464">
        <f t="shared" si="130"/>
        <v>97308</v>
      </c>
    </row>
    <row r="1521" spans="7:14" ht="11.25" customHeight="1" x14ac:dyDescent="0.25">
      <c r="G1521" s="459"/>
      <c r="H1521" s="459">
        <v>1514</v>
      </c>
      <c r="I1521" s="444">
        <f t="shared" ca="1" si="128"/>
        <v>-249937362.06031272</v>
      </c>
      <c r="J1521" s="444">
        <f t="array" ref="J1521">IFERROR(INDEX('Retirement Calculator'!J:J,MATCH('Isaac 401k'!N1521,'Retirement Calculator'!A:A,0),0),0)</f>
        <v>0</v>
      </c>
      <c r="K1521" s="444">
        <f t="shared" ca="1" si="126"/>
        <v>-1041405.675251303</v>
      </c>
      <c r="L1521" s="444">
        <f t="shared" ca="1" si="127"/>
        <v>-250978767.73556402</v>
      </c>
      <c r="M1521" s="460">
        <f t="shared" si="129"/>
        <v>0.05</v>
      </c>
      <c r="N1521" s="464">
        <f t="shared" si="130"/>
        <v>97338</v>
      </c>
    </row>
    <row r="1522" spans="7:14" ht="11.25" customHeight="1" x14ac:dyDescent="0.25">
      <c r="G1522" s="459"/>
      <c r="H1522" s="459">
        <v>1515</v>
      </c>
      <c r="I1522" s="444">
        <f t="shared" ca="1" si="128"/>
        <v>-250978767.73556402</v>
      </c>
      <c r="J1522" s="444">
        <f t="array" ref="J1522">IFERROR(INDEX('Retirement Calculator'!J:J,MATCH('Isaac 401k'!N1522,'Retirement Calculator'!A:A,0),0),0)</f>
        <v>0</v>
      </c>
      <c r="K1522" s="444">
        <f t="shared" ca="1" si="126"/>
        <v>-1045744.86556485</v>
      </c>
      <c r="L1522" s="444">
        <f t="shared" ca="1" si="127"/>
        <v>-252024512.60112888</v>
      </c>
      <c r="M1522" s="460">
        <f t="shared" si="129"/>
        <v>0.05</v>
      </c>
      <c r="N1522" s="464">
        <f t="shared" si="130"/>
        <v>97369</v>
      </c>
    </row>
    <row r="1523" spans="7:14" ht="11.25" customHeight="1" x14ac:dyDescent="0.25">
      <c r="G1523" s="459"/>
      <c r="H1523" s="459">
        <v>1516</v>
      </c>
      <c r="I1523" s="444">
        <f t="shared" ca="1" si="128"/>
        <v>-252024512.60112888</v>
      </c>
      <c r="J1523" s="444">
        <f t="array" ref="J1523">IFERROR(INDEX('Retirement Calculator'!J:J,MATCH('Isaac 401k'!N1523,'Retirement Calculator'!A:A,0),0),0)</f>
        <v>0</v>
      </c>
      <c r="K1523" s="444">
        <f t="shared" ca="1" si="126"/>
        <v>-1050102.1358380371</v>
      </c>
      <c r="L1523" s="444">
        <f t="shared" ca="1" si="127"/>
        <v>-253074614.73696691</v>
      </c>
      <c r="M1523" s="460">
        <f t="shared" si="129"/>
        <v>0.05</v>
      </c>
      <c r="N1523" s="464">
        <f t="shared" si="130"/>
        <v>97400</v>
      </c>
    </row>
    <row r="1524" spans="7:14" ht="11.25" customHeight="1" x14ac:dyDescent="0.25">
      <c r="G1524" s="459"/>
      <c r="H1524" s="459">
        <v>1517</v>
      </c>
      <c r="I1524" s="444">
        <f t="shared" ca="1" si="128"/>
        <v>-253074614.73696691</v>
      </c>
      <c r="J1524" s="444">
        <f t="array" ref="J1524">IFERROR(INDEX('Retirement Calculator'!J:J,MATCH('Isaac 401k'!N1524,'Retirement Calculator'!A:A,0),0),0)</f>
        <v>0</v>
      </c>
      <c r="K1524" s="444">
        <f t="shared" ca="1" si="126"/>
        <v>-1054477.5614040289</v>
      </c>
      <c r="L1524" s="444">
        <f t="shared" ca="1" si="127"/>
        <v>-254129092.29837093</v>
      </c>
      <c r="M1524" s="460">
        <f t="shared" si="129"/>
        <v>0.05</v>
      </c>
      <c r="N1524" s="464">
        <f t="shared" si="130"/>
        <v>97430</v>
      </c>
    </row>
    <row r="1525" spans="7:14" ht="11.25" customHeight="1" x14ac:dyDescent="0.25">
      <c r="G1525" s="459"/>
      <c r="H1525" s="459">
        <v>1518</v>
      </c>
      <c r="I1525" s="444">
        <f t="shared" ca="1" si="128"/>
        <v>-254129092.29837093</v>
      </c>
      <c r="J1525" s="444">
        <f t="array" ref="J1525">IFERROR(INDEX('Retirement Calculator'!J:J,MATCH('Isaac 401k'!N1525,'Retirement Calculator'!A:A,0),0),0)</f>
        <v>0</v>
      </c>
      <c r="K1525" s="444">
        <f t="shared" ca="1" si="126"/>
        <v>-1058871.2179098788</v>
      </c>
      <c r="L1525" s="444">
        <f t="shared" ca="1" si="127"/>
        <v>-255187963.5162808</v>
      </c>
      <c r="M1525" s="460">
        <f t="shared" si="129"/>
        <v>0.05</v>
      </c>
      <c r="N1525" s="464">
        <f t="shared" si="130"/>
        <v>97461</v>
      </c>
    </row>
    <row r="1526" spans="7:14" ht="11.25" customHeight="1" x14ac:dyDescent="0.25">
      <c r="G1526" s="459"/>
      <c r="H1526" s="459">
        <v>1519</v>
      </c>
      <c r="I1526" s="444">
        <f t="shared" ca="1" si="128"/>
        <v>-255187963.5162808</v>
      </c>
      <c r="J1526" s="444">
        <f t="array" ref="J1526">IFERROR(INDEX('Retirement Calculator'!J:J,MATCH('Isaac 401k'!N1526,'Retirement Calculator'!A:A,0),0),0)</f>
        <v>0</v>
      </c>
      <c r="K1526" s="444">
        <f t="shared" ca="1" si="126"/>
        <v>-1063283.1813178365</v>
      </c>
      <c r="L1526" s="444">
        <f t="shared" ca="1" si="127"/>
        <v>-256251246.69759864</v>
      </c>
      <c r="M1526" s="460">
        <f t="shared" si="129"/>
        <v>0.05</v>
      </c>
      <c r="N1526" s="464">
        <f t="shared" si="130"/>
        <v>97491</v>
      </c>
    </row>
    <row r="1527" spans="7:14" ht="11.25" customHeight="1" x14ac:dyDescent="0.25">
      <c r="G1527" s="459"/>
      <c r="H1527" s="459">
        <v>1520</v>
      </c>
      <c r="I1527" s="444">
        <f t="shared" ca="1" si="128"/>
        <v>-256251246.69759864</v>
      </c>
      <c r="J1527" s="444">
        <f t="array" ref="J1527">IFERROR(INDEX('Retirement Calculator'!J:J,MATCH('Isaac 401k'!N1527,'Retirement Calculator'!A:A,0),0),0)</f>
        <v>0</v>
      </c>
      <c r="K1527" s="444">
        <f t="shared" ca="1" si="126"/>
        <v>-1067713.5279066612</v>
      </c>
      <c r="L1527" s="444">
        <f t="shared" ca="1" si="127"/>
        <v>-257318960.22550529</v>
      </c>
      <c r="M1527" s="460">
        <f t="shared" si="129"/>
        <v>0.05</v>
      </c>
      <c r="N1527" s="464">
        <f t="shared" si="130"/>
        <v>97522</v>
      </c>
    </row>
    <row r="1528" spans="7:14" ht="11.25" customHeight="1" x14ac:dyDescent="0.25">
      <c r="G1528" s="459"/>
      <c r="H1528" s="459">
        <v>1521</v>
      </c>
      <c r="I1528" s="444">
        <f t="shared" ca="1" si="128"/>
        <v>-257318960.22550529</v>
      </c>
      <c r="J1528" s="444">
        <f t="array" ref="J1528">IFERROR(INDEX('Retirement Calculator'!J:J,MATCH('Isaac 401k'!N1528,'Retirement Calculator'!A:A,0),0),0)</f>
        <v>0</v>
      </c>
      <c r="K1528" s="444">
        <f t="shared" ca="1" si="126"/>
        <v>-1072162.3342729388</v>
      </c>
      <c r="L1528" s="444">
        <f t="shared" ca="1" si="127"/>
        <v>-258391122.55977824</v>
      </c>
      <c r="M1528" s="460">
        <f t="shared" si="129"/>
        <v>0.05</v>
      </c>
      <c r="N1528" s="464">
        <f t="shared" si="130"/>
        <v>97553</v>
      </c>
    </row>
    <row r="1529" spans="7:14" ht="11.25" customHeight="1" x14ac:dyDescent="0.25">
      <c r="G1529" s="459"/>
      <c r="H1529" s="459">
        <v>1522</v>
      </c>
      <c r="I1529" s="444">
        <f t="shared" ca="1" si="128"/>
        <v>-258391122.55977824</v>
      </c>
      <c r="J1529" s="444">
        <f t="array" ref="J1529">IFERROR(INDEX('Retirement Calculator'!J:J,MATCH('Isaac 401k'!N1529,'Retirement Calculator'!A:A,0),0),0)</f>
        <v>0</v>
      </c>
      <c r="K1529" s="444">
        <f t="shared" ca="1" si="126"/>
        <v>-1076629.6773324094</v>
      </c>
      <c r="L1529" s="444">
        <f t="shared" ca="1" si="127"/>
        <v>-259467752.23711064</v>
      </c>
      <c r="M1529" s="460">
        <f t="shared" si="129"/>
        <v>0.05</v>
      </c>
      <c r="N1529" s="464">
        <f t="shared" si="130"/>
        <v>97581</v>
      </c>
    </row>
    <row r="1530" spans="7:14" ht="11.25" customHeight="1" x14ac:dyDescent="0.25">
      <c r="G1530" s="459"/>
      <c r="H1530" s="459">
        <v>1523</v>
      </c>
      <c r="I1530" s="444">
        <f t="shared" ca="1" si="128"/>
        <v>-259467752.23711064</v>
      </c>
      <c r="J1530" s="444">
        <f t="array" ref="J1530">IFERROR(INDEX('Retirement Calculator'!J:J,MATCH('Isaac 401k'!N1530,'Retirement Calculator'!A:A,0),0),0)</f>
        <v>0</v>
      </c>
      <c r="K1530" s="444">
        <f t="shared" ca="1" si="126"/>
        <v>-1081115.6343212945</v>
      </c>
      <c r="L1530" s="444">
        <f t="shared" ca="1" si="127"/>
        <v>-260548867.87143195</v>
      </c>
      <c r="M1530" s="460">
        <f t="shared" si="129"/>
        <v>0.05</v>
      </c>
      <c r="N1530" s="464">
        <f t="shared" si="130"/>
        <v>97612</v>
      </c>
    </row>
    <row r="1531" spans="7:14" ht="11.25" customHeight="1" x14ac:dyDescent="0.25">
      <c r="G1531" s="459"/>
      <c r="H1531" s="459">
        <v>1524</v>
      </c>
      <c r="I1531" s="444">
        <f t="shared" ca="1" si="128"/>
        <v>-260548867.87143195</v>
      </c>
      <c r="J1531" s="444">
        <f t="array" ref="J1531">IFERROR(INDEX('Retirement Calculator'!J:J,MATCH('Isaac 401k'!N1531,'Retirement Calculator'!A:A,0),0),0)</f>
        <v>0</v>
      </c>
      <c r="K1531" s="444">
        <f t="shared" ca="1" si="126"/>
        <v>-1085620.2827976332</v>
      </c>
      <c r="L1531" s="444">
        <f t="shared" ca="1" si="127"/>
        <v>-261634488.15422958</v>
      </c>
      <c r="M1531" s="460">
        <f t="shared" si="129"/>
        <v>0.05</v>
      </c>
      <c r="N1531" s="464">
        <f t="shared" si="130"/>
        <v>97642</v>
      </c>
    </row>
    <row r="1532" spans="7:14" ht="11.25" customHeight="1" x14ac:dyDescent="0.25">
      <c r="G1532" s="459"/>
      <c r="H1532" s="459">
        <v>1525</v>
      </c>
      <c r="I1532" s="444">
        <f t="shared" ca="1" si="128"/>
        <v>-261634488.15422958</v>
      </c>
      <c r="J1532" s="444">
        <f t="array" ref="J1532">IFERROR(INDEX('Retirement Calculator'!J:J,MATCH('Isaac 401k'!N1532,'Retirement Calculator'!A:A,0),0),0)</f>
        <v>0</v>
      </c>
      <c r="K1532" s="444">
        <f t="shared" ca="1" si="126"/>
        <v>-1090143.7006426232</v>
      </c>
      <c r="L1532" s="444">
        <f t="shared" ca="1" si="127"/>
        <v>-262724631.8548722</v>
      </c>
      <c r="M1532" s="460">
        <f t="shared" si="129"/>
        <v>0.05</v>
      </c>
      <c r="N1532" s="464">
        <f t="shared" si="130"/>
        <v>97673</v>
      </c>
    </row>
    <row r="1533" spans="7:14" ht="11.25" customHeight="1" x14ac:dyDescent="0.25">
      <c r="G1533" s="459"/>
      <c r="H1533" s="459">
        <v>1526</v>
      </c>
      <c r="I1533" s="444">
        <f t="shared" ca="1" si="128"/>
        <v>-262724631.8548722</v>
      </c>
      <c r="J1533" s="444">
        <f t="array" ref="J1533">IFERROR(INDEX('Retirement Calculator'!J:J,MATCH('Isaac 401k'!N1533,'Retirement Calculator'!A:A,0),0),0)</f>
        <v>0</v>
      </c>
      <c r="K1533" s="444">
        <f t="shared" ca="1" si="126"/>
        <v>-1094685.9660619674</v>
      </c>
      <c r="L1533" s="444">
        <f t="shared" ca="1" si="127"/>
        <v>-263819317.82093418</v>
      </c>
      <c r="M1533" s="460">
        <f t="shared" si="129"/>
        <v>0.05</v>
      </c>
      <c r="N1533" s="464">
        <f t="shared" si="130"/>
        <v>97703</v>
      </c>
    </row>
    <row r="1534" spans="7:14" ht="11.25" customHeight="1" x14ac:dyDescent="0.25">
      <c r="G1534" s="459"/>
      <c r="H1534" s="459">
        <v>1527</v>
      </c>
      <c r="I1534" s="444">
        <f t="shared" ca="1" si="128"/>
        <v>-263819317.82093418</v>
      </c>
      <c r="J1534" s="444">
        <f t="array" ref="J1534">IFERROR(INDEX('Retirement Calculator'!J:J,MATCH('Isaac 401k'!N1534,'Retirement Calculator'!A:A,0),0),0)</f>
        <v>0</v>
      </c>
      <c r="K1534" s="444">
        <f t="shared" ca="1" si="126"/>
        <v>-1099247.1575872258</v>
      </c>
      <c r="L1534" s="444">
        <f t="shared" ca="1" si="127"/>
        <v>-264918564.97852141</v>
      </c>
      <c r="M1534" s="460">
        <f t="shared" si="129"/>
        <v>0.05</v>
      </c>
      <c r="N1534" s="464">
        <f t="shared" si="130"/>
        <v>97734</v>
      </c>
    </row>
    <row r="1535" spans="7:14" ht="11.25" customHeight="1" x14ac:dyDescent="0.25">
      <c r="G1535" s="459"/>
      <c r="H1535" s="459">
        <v>1528</v>
      </c>
      <c r="I1535" s="444">
        <f t="shared" ca="1" si="128"/>
        <v>-264918564.97852141</v>
      </c>
      <c r="J1535" s="444">
        <f t="array" ref="J1535">IFERROR(INDEX('Retirement Calculator'!J:J,MATCH('Isaac 401k'!N1535,'Retirement Calculator'!A:A,0),0),0)</f>
        <v>0</v>
      </c>
      <c r="K1535" s="444">
        <f t="shared" ca="1" si="126"/>
        <v>-1103827.3540771727</v>
      </c>
      <c r="L1535" s="444">
        <f t="shared" ca="1" si="127"/>
        <v>-266022392.33259857</v>
      </c>
      <c r="M1535" s="460">
        <f t="shared" si="129"/>
        <v>0.05</v>
      </c>
      <c r="N1535" s="464">
        <f t="shared" si="130"/>
        <v>97765</v>
      </c>
    </row>
    <row r="1536" spans="7:14" ht="11.25" customHeight="1" x14ac:dyDescent="0.25">
      <c r="G1536" s="459"/>
      <c r="H1536" s="459">
        <v>1529</v>
      </c>
      <c r="I1536" s="444">
        <f t="shared" ca="1" si="128"/>
        <v>-266022392.33259857</v>
      </c>
      <c r="J1536" s="444">
        <f t="array" ref="J1536">IFERROR(INDEX('Retirement Calculator'!J:J,MATCH('Isaac 401k'!N1536,'Retirement Calculator'!A:A,0),0),0)</f>
        <v>0</v>
      </c>
      <c r="K1536" s="444">
        <f t="shared" ca="1" si="126"/>
        <v>-1108426.6347191606</v>
      </c>
      <c r="L1536" s="444">
        <f t="shared" ca="1" si="127"/>
        <v>-267130818.96731773</v>
      </c>
      <c r="M1536" s="460">
        <f t="shared" si="129"/>
        <v>0.05</v>
      </c>
      <c r="N1536" s="464">
        <f t="shared" si="130"/>
        <v>97795</v>
      </c>
    </row>
    <row r="1537" spans="7:14" ht="11.25" customHeight="1" x14ac:dyDescent="0.25">
      <c r="G1537" s="459"/>
      <c r="H1537" s="459">
        <v>1530</v>
      </c>
      <c r="I1537" s="444">
        <f t="shared" ca="1" si="128"/>
        <v>-267130818.96731773</v>
      </c>
      <c r="J1537" s="444">
        <f t="array" ref="J1537">IFERROR(INDEX('Retirement Calculator'!J:J,MATCH('Isaac 401k'!N1537,'Retirement Calculator'!A:A,0),0),0)</f>
        <v>0</v>
      </c>
      <c r="K1537" s="444">
        <f t="shared" ca="1" si="126"/>
        <v>-1113045.0790304905</v>
      </c>
      <c r="L1537" s="444">
        <f t="shared" ca="1" si="127"/>
        <v>-268243864.04634821</v>
      </c>
      <c r="M1537" s="460">
        <f t="shared" si="129"/>
        <v>0.05</v>
      </c>
      <c r="N1537" s="464">
        <f t="shared" si="130"/>
        <v>97826</v>
      </c>
    </row>
    <row r="1538" spans="7:14" ht="11.25" customHeight="1" x14ac:dyDescent="0.25">
      <c r="G1538" s="459"/>
      <c r="H1538" s="459">
        <v>1531</v>
      </c>
      <c r="I1538" s="444">
        <f t="shared" ca="1" si="128"/>
        <v>-268243864.04634821</v>
      </c>
      <c r="J1538" s="444">
        <f t="array" ref="J1538">IFERROR(INDEX('Retirement Calculator'!J:J,MATCH('Isaac 401k'!N1538,'Retirement Calculator'!A:A,0),0),0)</f>
        <v>0</v>
      </c>
      <c r="K1538" s="444">
        <f t="shared" ref="K1538:K1792" ca="1" si="131">IPMT(M1538/12,1,12,-I1538+J1538,,0)</f>
        <v>-1117682.7668597843</v>
      </c>
      <c r="L1538" s="444">
        <f t="shared" ref="L1538:L1792" ca="1" si="132">I1538-J1538+K1538</f>
        <v>-269361546.81320798</v>
      </c>
      <c r="M1538" s="460">
        <f t="shared" si="129"/>
        <v>0.05</v>
      </c>
      <c r="N1538" s="464">
        <f t="shared" si="130"/>
        <v>97856</v>
      </c>
    </row>
    <row r="1539" spans="7:14" ht="11.25" customHeight="1" x14ac:dyDescent="0.25">
      <c r="G1539" s="459"/>
      <c r="H1539" s="459">
        <v>1532</v>
      </c>
      <c r="I1539" s="444">
        <f t="shared" ref="I1539:I1793" ca="1" si="133">L1538</f>
        <v>-269361546.81320798</v>
      </c>
      <c r="J1539" s="444">
        <f t="array" ref="J1539">IFERROR(INDEX('Retirement Calculator'!J:J,MATCH('Isaac 401k'!N1539,'Retirement Calculator'!A:A,0),0),0)</f>
        <v>0</v>
      </c>
      <c r="K1539" s="444">
        <f t="shared" ca="1" si="131"/>
        <v>-1122339.7783883666</v>
      </c>
      <c r="L1539" s="444">
        <f t="shared" ca="1" si="132"/>
        <v>-270483886.59159636</v>
      </c>
      <c r="M1539" s="460">
        <f t="shared" ref="M1539:M1793" si="134">M1538</f>
        <v>0.05</v>
      </c>
      <c r="N1539" s="464">
        <f t="shared" ref="N1539:N1793" si="135">EDATE(N1538,1)</f>
        <v>97887</v>
      </c>
    </row>
    <row r="1540" spans="7:14" ht="11.25" customHeight="1" x14ac:dyDescent="0.25">
      <c r="G1540" s="459"/>
      <c r="H1540" s="459">
        <v>1533</v>
      </c>
      <c r="I1540" s="444">
        <f t="shared" ca="1" si="133"/>
        <v>-270483886.59159636</v>
      </c>
      <c r="J1540" s="444">
        <f t="array" ref="J1540">IFERROR(INDEX('Retirement Calculator'!J:J,MATCH('Isaac 401k'!N1540,'Retirement Calculator'!A:A,0),0),0)</f>
        <v>0</v>
      </c>
      <c r="K1540" s="444">
        <f t="shared" ca="1" si="131"/>
        <v>-1127016.1941316514</v>
      </c>
      <c r="L1540" s="444">
        <f t="shared" ca="1" si="132"/>
        <v>-271610902.78572804</v>
      </c>
      <c r="M1540" s="460">
        <f t="shared" si="134"/>
        <v>0.05</v>
      </c>
      <c r="N1540" s="464">
        <f t="shared" si="135"/>
        <v>97918</v>
      </c>
    </row>
    <row r="1541" spans="7:14" ht="11.25" customHeight="1" x14ac:dyDescent="0.25">
      <c r="G1541" s="459"/>
      <c r="H1541" s="459">
        <v>1534</v>
      </c>
      <c r="I1541" s="444">
        <f t="shared" ca="1" si="133"/>
        <v>-271610902.78572804</v>
      </c>
      <c r="J1541" s="444">
        <f t="array" ref="J1541">IFERROR(INDEX('Retirement Calculator'!J:J,MATCH('Isaac 401k'!N1541,'Retirement Calculator'!A:A,0),0),0)</f>
        <v>0</v>
      </c>
      <c r="K1541" s="444">
        <f t="shared" ca="1" si="131"/>
        <v>-1131712.0949405334</v>
      </c>
      <c r="L1541" s="444">
        <f t="shared" ca="1" si="132"/>
        <v>-272742614.88066858</v>
      </c>
      <c r="M1541" s="460">
        <f t="shared" si="134"/>
        <v>0.05</v>
      </c>
      <c r="N1541" s="464">
        <f t="shared" si="135"/>
        <v>97947</v>
      </c>
    </row>
    <row r="1542" spans="7:14" ht="11.25" customHeight="1" x14ac:dyDescent="0.25">
      <c r="G1542" s="459"/>
      <c r="H1542" s="459">
        <v>1535</v>
      </c>
      <c r="I1542" s="444">
        <f t="shared" ca="1" si="133"/>
        <v>-272742614.88066858</v>
      </c>
      <c r="J1542" s="444">
        <f t="array" ref="J1542">IFERROR(INDEX('Retirement Calculator'!J:J,MATCH('Isaac 401k'!N1542,'Retirement Calculator'!A:A,0),0),0)</f>
        <v>0</v>
      </c>
      <c r="K1542" s="444">
        <f t="shared" ca="1" si="131"/>
        <v>-1136427.5620027857</v>
      </c>
      <c r="L1542" s="444">
        <f t="shared" ca="1" si="132"/>
        <v>-273879042.44267136</v>
      </c>
      <c r="M1542" s="460">
        <f t="shared" si="134"/>
        <v>0.05</v>
      </c>
      <c r="N1542" s="464">
        <f t="shared" si="135"/>
        <v>97978</v>
      </c>
    </row>
    <row r="1543" spans="7:14" ht="11.25" customHeight="1" x14ac:dyDescent="0.25">
      <c r="G1543" s="459"/>
      <c r="H1543" s="459">
        <v>1536</v>
      </c>
      <c r="I1543" s="444">
        <f t="shared" ca="1" si="133"/>
        <v>-273879042.44267136</v>
      </c>
      <c r="J1543" s="444">
        <f t="array" ref="J1543">IFERROR(INDEX('Retirement Calculator'!J:J,MATCH('Isaac 401k'!N1543,'Retirement Calculator'!A:A,0),0),0)</f>
        <v>0</v>
      </c>
      <c r="K1543" s="444">
        <f t="shared" ca="1" si="131"/>
        <v>-1141162.6768444639</v>
      </c>
      <c r="L1543" s="444">
        <f t="shared" ca="1" si="132"/>
        <v>-275020205.11951584</v>
      </c>
      <c r="M1543" s="460">
        <f t="shared" si="134"/>
        <v>0.05</v>
      </c>
      <c r="N1543" s="464">
        <f t="shared" si="135"/>
        <v>98008</v>
      </c>
    </row>
    <row r="1544" spans="7:14" ht="11.25" customHeight="1" x14ac:dyDescent="0.25">
      <c r="G1544" s="459"/>
      <c r="H1544" s="459">
        <v>1537</v>
      </c>
      <c r="I1544" s="444">
        <f t="shared" ca="1" si="133"/>
        <v>-275020205.11951584</v>
      </c>
      <c r="J1544" s="444">
        <f t="array" ref="J1544">IFERROR(INDEX('Retirement Calculator'!J:J,MATCH('Isaac 401k'!N1544,'Retirement Calculator'!A:A,0),0),0)</f>
        <v>0</v>
      </c>
      <c r="K1544" s="444">
        <f t="shared" ca="1" si="131"/>
        <v>-1145917.5213313159</v>
      </c>
      <c r="L1544" s="444">
        <f t="shared" ca="1" si="132"/>
        <v>-276166122.64084715</v>
      </c>
      <c r="M1544" s="460">
        <f t="shared" si="134"/>
        <v>0.05</v>
      </c>
      <c r="N1544" s="464">
        <f t="shared" si="135"/>
        <v>98039</v>
      </c>
    </row>
    <row r="1545" spans="7:14" ht="11.25" customHeight="1" x14ac:dyDescent="0.25">
      <c r="G1545" s="459"/>
      <c r="H1545" s="459">
        <v>1538</v>
      </c>
      <c r="I1545" s="444">
        <f t="shared" ca="1" si="133"/>
        <v>-276166122.64084715</v>
      </c>
      <c r="J1545" s="444">
        <f t="array" ref="J1545">IFERROR(INDEX('Retirement Calculator'!J:J,MATCH('Isaac 401k'!N1545,'Retirement Calculator'!A:A,0),0),0)</f>
        <v>0</v>
      </c>
      <c r="K1545" s="444">
        <f t="shared" ca="1" si="131"/>
        <v>-1150692.1776701964</v>
      </c>
      <c r="L1545" s="444">
        <f t="shared" ca="1" si="132"/>
        <v>-277316814.81851733</v>
      </c>
      <c r="M1545" s="460">
        <f t="shared" si="134"/>
        <v>0.05</v>
      </c>
      <c r="N1545" s="464">
        <f t="shared" si="135"/>
        <v>98069</v>
      </c>
    </row>
    <row r="1546" spans="7:14" ht="11.25" customHeight="1" x14ac:dyDescent="0.25">
      <c r="G1546" s="459"/>
      <c r="H1546" s="459">
        <v>1539</v>
      </c>
      <c r="I1546" s="444">
        <f t="shared" ca="1" si="133"/>
        <v>-277316814.81851733</v>
      </c>
      <c r="J1546" s="444">
        <f t="array" ref="J1546">IFERROR(INDEX('Retirement Calculator'!J:J,MATCH('Isaac 401k'!N1546,'Retirement Calculator'!A:A,0),0),0)</f>
        <v>0</v>
      </c>
      <c r="K1546" s="444">
        <f t="shared" ca="1" si="131"/>
        <v>-1155486.7284104889</v>
      </c>
      <c r="L1546" s="444">
        <f t="shared" ca="1" si="132"/>
        <v>-278472301.54692781</v>
      </c>
      <c r="M1546" s="460">
        <f t="shared" si="134"/>
        <v>0.05</v>
      </c>
      <c r="N1546" s="464">
        <f t="shared" si="135"/>
        <v>98100</v>
      </c>
    </row>
    <row r="1547" spans="7:14" ht="11.25" customHeight="1" x14ac:dyDescent="0.25">
      <c r="G1547" s="459"/>
      <c r="H1547" s="459">
        <v>1540</v>
      </c>
      <c r="I1547" s="444">
        <f t="shared" ca="1" si="133"/>
        <v>-278472301.54692781</v>
      </c>
      <c r="J1547" s="444">
        <f t="array" ref="J1547">IFERROR(INDEX('Retirement Calculator'!J:J,MATCH('Isaac 401k'!N1547,'Retirement Calculator'!A:A,0),0),0)</f>
        <v>0</v>
      </c>
      <c r="K1547" s="444">
        <f t="shared" ca="1" si="131"/>
        <v>-1160301.2564455324</v>
      </c>
      <c r="L1547" s="444">
        <f t="shared" ca="1" si="132"/>
        <v>-279632602.80337334</v>
      </c>
      <c r="M1547" s="460">
        <f t="shared" si="134"/>
        <v>0.05</v>
      </c>
      <c r="N1547" s="464">
        <f t="shared" si="135"/>
        <v>98131</v>
      </c>
    </row>
    <row r="1548" spans="7:14" ht="11.25" customHeight="1" x14ac:dyDescent="0.25">
      <c r="G1548" s="459"/>
      <c r="H1548" s="459">
        <v>1541</v>
      </c>
      <c r="I1548" s="444">
        <f t="shared" ca="1" si="133"/>
        <v>-279632602.80337334</v>
      </c>
      <c r="J1548" s="444">
        <f t="array" ref="J1548">IFERROR(INDEX('Retirement Calculator'!J:J,MATCH('Isaac 401k'!N1548,'Retirement Calculator'!A:A,0),0),0)</f>
        <v>0</v>
      </c>
      <c r="K1548" s="444">
        <f t="shared" ca="1" si="131"/>
        <v>-1165135.8450140555</v>
      </c>
      <c r="L1548" s="444">
        <f t="shared" ca="1" si="132"/>
        <v>-280797738.64838737</v>
      </c>
      <c r="M1548" s="460">
        <f t="shared" si="134"/>
        <v>0.05</v>
      </c>
      <c r="N1548" s="464">
        <f t="shared" si="135"/>
        <v>98161</v>
      </c>
    </row>
    <row r="1549" spans="7:14" ht="11.25" customHeight="1" x14ac:dyDescent="0.25">
      <c r="G1549" s="459"/>
      <c r="H1549" s="459">
        <v>1542</v>
      </c>
      <c r="I1549" s="444">
        <f t="shared" ca="1" si="133"/>
        <v>-280797738.64838737</v>
      </c>
      <c r="J1549" s="444">
        <f t="array" ref="J1549">IFERROR(INDEX('Retirement Calculator'!J:J,MATCH('Isaac 401k'!N1549,'Retirement Calculator'!A:A,0),0),0)</f>
        <v>0</v>
      </c>
      <c r="K1549" s="444">
        <f t="shared" ca="1" si="131"/>
        <v>-1169990.577701614</v>
      </c>
      <c r="L1549" s="444">
        <f t="shared" ca="1" si="132"/>
        <v>-281967729.226089</v>
      </c>
      <c r="M1549" s="460">
        <f t="shared" si="134"/>
        <v>0.05</v>
      </c>
      <c r="N1549" s="464">
        <f t="shared" si="135"/>
        <v>98192</v>
      </c>
    </row>
    <row r="1550" spans="7:14" ht="11.25" customHeight="1" x14ac:dyDescent="0.25">
      <c r="G1550" s="459"/>
      <c r="H1550" s="459">
        <v>1543</v>
      </c>
      <c r="I1550" s="444">
        <f t="shared" ca="1" si="133"/>
        <v>-281967729.226089</v>
      </c>
      <c r="J1550" s="444">
        <f t="array" ref="J1550">IFERROR(INDEX('Retirement Calculator'!J:J,MATCH('Isaac 401k'!N1550,'Retirement Calculator'!A:A,0),0),0)</f>
        <v>0</v>
      </c>
      <c r="K1550" s="444">
        <f t="shared" ca="1" si="131"/>
        <v>-1174865.5384420375</v>
      </c>
      <c r="L1550" s="444">
        <f t="shared" ca="1" si="132"/>
        <v>-283142594.76453102</v>
      </c>
      <c r="M1550" s="460">
        <f t="shared" si="134"/>
        <v>0.05</v>
      </c>
      <c r="N1550" s="464">
        <f t="shared" si="135"/>
        <v>98222</v>
      </c>
    </row>
    <row r="1551" spans="7:14" ht="11.25" customHeight="1" x14ac:dyDescent="0.25">
      <c r="G1551" s="459"/>
      <c r="H1551" s="459">
        <v>1544</v>
      </c>
      <c r="I1551" s="444">
        <f t="shared" ca="1" si="133"/>
        <v>-283142594.76453102</v>
      </c>
      <c r="J1551" s="444">
        <f t="array" ref="J1551">IFERROR(INDEX('Retirement Calculator'!J:J,MATCH('Isaac 401k'!N1551,'Retirement Calculator'!A:A,0),0),0)</f>
        <v>0</v>
      </c>
      <c r="K1551" s="444">
        <f t="shared" ca="1" si="131"/>
        <v>-1179760.8115188791</v>
      </c>
      <c r="L1551" s="444">
        <f t="shared" ca="1" si="132"/>
        <v>-284322355.57604992</v>
      </c>
      <c r="M1551" s="460">
        <f t="shared" si="134"/>
        <v>0.05</v>
      </c>
      <c r="N1551" s="464">
        <f t="shared" si="135"/>
        <v>98253</v>
      </c>
    </row>
    <row r="1552" spans="7:14" ht="11.25" customHeight="1" x14ac:dyDescent="0.25">
      <c r="G1552" s="459"/>
      <c r="H1552" s="459">
        <v>1545</v>
      </c>
      <c r="I1552" s="444">
        <f t="shared" ca="1" si="133"/>
        <v>-284322355.57604992</v>
      </c>
      <c r="J1552" s="444">
        <f t="array" ref="J1552">IFERROR(INDEX('Retirement Calculator'!J:J,MATCH('Isaac 401k'!N1552,'Retirement Calculator'!A:A,0),0),0)</f>
        <v>0</v>
      </c>
      <c r="K1552" s="444">
        <f t="shared" ca="1" si="131"/>
        <v>-1184676.4815668748</v>
      </c>
      <c r="L1552" s="444">
        <f t="shared" ca="1" si="132"/>
        <v>-285507032.05761677</v>
      </c>
      <c r="M1552" s="460">
        <f t="shared" si="134"/>
        <v>0.05</v>
      </c>
      <c r="N1552" s="464">
        <f t="shared" si="135"/>
        <v>98284</v>
      </c>
    </row>
    <row r="1553" spans="7:14" ht="11.25" customHeight="1" x14ac:dyDescent="0.25">
      <c r="G1553" s="459"/>
      <c r="H1553" s="459">
        <v>1546</v>
      </c>
      <c r="I1553" s="444">
        <f t="shared" ca="1" si="133"/>
        <v>-285507032.05761677</v>
      </c>
      <c r="J1553" s="444">
        <f t="array" ref="J1553">IFERROR(INDEX('Retirement Calculator'!J:J,MATCH('Isaac 401k'!N1553,'Retirement Calculator'!A:A,0),0),0)</f>
        <v>0</v>
      </c>
      <c r="K1553" s="444">
        <f t="shared" ca="1" si="131"/>
        <v>-1189612.6335734031</v>
      </c>
      <c r="L1553" s="444">
        <f t="shared" ca="1" si="132"/>
        <v>-286696644.69119018</v>
      </c>
      <c r="M1553" s="460">
        <f t="shared" si="134"/>
        <v>0.05</v>
      </c>
      <c r="N1553" s="464">
        <f t="shared" si="135"/>
        <v>98312</v>
      </c>
    </row>
    <row r="1554" spans="7:14" ht="11.25" customHeight="1" x14ac:dyDescent="0.25">
      <c r="G1554" s="459"/>
      <c r="H1554" s="459">
        <v>1547</v>
      </c>
      <c r="I1554" s="444">
        <f t="shared" ca="1" si="133"/>
        <v>-286696644.69119018</v>
      </c>
      <c r="J1554" s="444">
        <f t="array" ref="J1554">IFERROR(INDEX('Retirement Calculator'!J:J,MATCH('Isaac 401k'!N1554,'Retirement Calculator'!A:A,0),0),0)</f>
        <v>0</v>
      </c>
      <c r="K1554" s="444">
        <f t="shared" ca="1" si="131"/>
        <v>-1194569.3528799592</v>
      </c>
      <c r="L1554" s="444">
        <f t="shared" ca="1" si="132"/>
        <v>-287891214.04407012</v>
      </c>
      <c r="M1554" s="460">
        <f t="shared" si="134"/>
        <v>0.05</v>
      </c>
      <c r="N1554" s="464">
        <f t="shared" si="135"/>
        <v>98343</v>
      </c>
    </row>
    <row r="1555" spans="7:14" ht="11.25" customHeight="1" x14ac:dyDescent="0.25">
      <c r="G1555" s="459"/>
      <c r="H1555" s="459">
        <v>1548</v>
      </c>
      <c r="I1555" s="444">
        <f t="shared" ca="1" si="133"/>
        <v>-287891214.04407012</v>
      </c>
      <c r="J1555" s="444">
        <f t="array" ref="J1555">IFERROR(INDEX('Retirement Calculator'!J:J,MATCH('Isaac 401k'!N1555,'Retirement Calculator'!A:A,0),0),0)</f>
        <v>0</v>
      </c>
      <c r="K1555" s="444">
        <f t="shared" ca="1" si="131"/>
        <v>-1199546.7251836255</v>
      </c>
      <c r="L1555" s="444">
        <f t="shared" ca="1" si="132"/>
        <v>-289090760.76925373</v>
      </c>
      <c r="M1555" s="460">
        <f t="shared" si="134"/>
        <v>0.05</v>
      </c>
      <c r="N1555" s="464">
        <f t="shared" si="135"/>
        <v>98373</v>
      </c>
    </row>
    <row r="1556" spans="7:14" ht="11.25" customHeight="1" x14ac:dyDescent="0.25">
      <c r="G1556" s="459"/>
      <c r="H1556" s="459">
        <v>1549</v>
      </c>
      <c r="I1556" s="444">
        <f t="shared" ca="1" si="133"/>
        <v>-289090760.76925373</v>
      </c>
      <c r="J1556" s="444">
        <f t="array" ref="J1556">IFERROR(INDEX('Retirement Calculator'!J:J,MATCH('Isaac 401k'!N1556,'Retirement Calculator'!A:A,0),0),0)</f>
        <v>0</v>
      </c>
      <c r="K1556" s="444">
        <f t="shared" ca="1" si="131"/>
        <v>-1204544.8365385572</v>
      </c>
      <c r="L1556" s="444">
        <f t="shared" ca="1" si="132"/>
        <v>-290295305.60579228</v>
      </c>
      <c r="M1556" s="460">
        <f t="shared" si="134"/>
        <v>0.05</v>
      </c>
      <c r="N1556" s="464">
        <f t="shared" si="135"/>
        <v>98404</v>
      </c>
    </row>
    <row r="1557" spans="7:14" ht="11.25" customHeight="1" x14ac:dyDescent="0.25">
      <c r="G1557" s="459"/>
      <c r="H1557" s="459">
        <v>1550</v>
      </c>
      <c r="I1557" s="444">
        <f t="shared" ca="1" si="133"/>
        <v>-290295305.60579228</v>
      </c>
      <c r="J1557" s="444">
        <f t="array" ref="J1557">IFERROR(INDEX('Retirement Calculator'!J:J,MATCH('Isaac 401k'!N1557,'Retirement Calculator'!A:A,0),0),0)</f>
        <v>0</v>
      </c>
      <c r="K1557" s="444">
        <f t="shared" ca="1" si="131"/>
        <v>-1209563.7733574677</v>
      </c>
      <c r="L1557" s="444">
        <f t="shared" ca="1" si="132"/>
        <v>-291504869.37914973</v>
      </c>
      <c r="M1557" s="460">
        <f t="shared" si="134"/>
        <v>0.05</v>
      </c>
      <c r="N1557" s="464">
        <f t="shared" si="135"/>
        <v>98434</v>
      </c>
    </row>
    <row r="1558" spans="7:14" ht="11.25" customHeight="1" x14ac:dyDescent="0.25">
      <c r="G1558" s="459"/>
      <c r="H1558" s="459">
        <v>1551</v>
      </c>
      <c r="I1558" s="444">
        <f t="shared" ca="1" si="133"/>
        <v>-291504869.37914973</v>
      </c>
      <c r="J1558" s="444">
        <f t="array" ref="J1558">IFERROR(INDEX('Retirement Calculator'!J:J,MATCH('Isaac 401k'!N1558,'Retirement Calculator'!A:A,0),0),0)</f>
        <v>0</v>
      </c>
      <c r="K1558" s="444">
        <f t="shared" ca="1" si="131"/>
        <v>-1214603.622413124</v>
      </c>
      <c r="L1558" s="444">
        <f t="shared" ca="1" si="132"/>
        <v>-292719473.00156283</v>
      </c>
      <c r="M1558" s="460">
        <f t="shared" si="134"/>
        <v>0.05</v>
      </c>
      <c r="N1558" s="464">
        <f t="shared" si="135"/>
        <v>98465</v>
      </c>
    </row>
    <row r="1559" spans="7:14" ht="11.25" customHeight="1" x14ac:dyDescent="0.25">
      <c r="G1559" s="459"/>
      <c r="H1559" s="459">
        <v>1552</v>
      </c>
      <c r="I1559" s="444">
        <f t="shared" ca="1" si="133"/>
        <v>-292719473.00156283</v>
      </c>
      <c r="J1559" s="444">
        <f t="array" ref="J1559">IFERROR(INDEX('Retirement Calculator'!J:J,MATCH('Isaac 401k'!N1559,'Retirement Calculator'!A:A,0),0),0)</f>
        <v>0</v>
      </c>
      <c r="K1559" s="444">
        <f t="shared" ca="1" si="131"/>
        <v>-1219664.470839845</v>
      </c>
      <c r="L1559" s="444">
        <f t="shared" ca="1" si="132"/>
        <v>-293939137.47240269</v>
      </c>
      <c r="M1559" s="460">
        <f t="shared" si="134"/>
        <v>0.05</v>
      </c>
      <c r="N1559" s="464">
        <f t="shared" si="135"/>
        <v>98496</v>
      </c>
    </row>
    <row r="1560" spans="7:14" ht="11.25" customHeight="1" x14ac:dyDescent="0.25">
      <c r="G1560" s="459"/>
      <c r="H1560" s="459">
        <v>1553</v>
      </c>
      <c r="I1560" s="444">
        <f t="shared" ca="1" si="133"/>
        <v>-293939137.47240269</v>
      </c>
      <c r="J1560" s="444">
        <f t="array" ref="J1560">IFERROR(INDEX('Retirement Calculator'!J:J,MATCH('Isaac 401k'!N1560,'Retirement Calculator'!A:A,0),0),0)</f>
        <v>0</v>
      </c>
      <c r="K1560" s="444">
        <f t="shared" ca="1" si="131"/>
        <v>-1224746.4061350112</v>
      </c>
      <c r="L1560" s="444">
        <f t="shared" ca="1" si="132"/>
        <v>-295163883.87853771</v>
      </c>
      <c r="M1560" s="460">
        <f t="shared" si="134"/>
        <v>0.05</v>
      </c>
      <c r="N1560" s="464">
        <f t="shared" si="135"/>
        <v>98526</v>
      </c>
    </row>
    <row r="1561" spans="7:14" ht="11.25" customHeight="1" x14ac:dyDescent="0.25">
      <c r="G1561" s="459"/>
      <c r="H1561" s="459">
        <v>1554</v>
      </c>
      <c r="I1561" s="444">
        <f t="shared" ca="1" si="133"/>
        <v>-295163883.87853771</v>
      </c>
      <c r="J1561" s="444">
        <f t="array" ref="J1561">IFERROR(INDEX('Retirement Calculator'!J:J,MATCH('Isaac 401k'!N1561,'Retirement Calculator'!A:A,0),0),0)</f>
        <v>0</v>
      </c>
      <c r="K1561" s="444">
        <f t="shared" ca="1" si="131"/>
        <v>-1229849.5161605738</v>
      </c>
      <c r="L1561" s="444">
        <f t="shared" ca="1" si="132"/>
        <v>-296393733.39469826</v>
      </c>
      <c r="M1561" s="460">
        <f t="shared" si="134"/>
        <v>0.05</v>
      </c>
      <c r="N1561" s="464">
        <f t="shared" si="135"/>
        <v>98557</v>
      </c>
    </row>
    <row r="1562" spans="7:14" ht="11.25" customHeight="1" x14ac:dyDescent="0.25">
      <c r="G1562" s="459"/>
      <c r="H1562" s="459">
        <v>1555</v>
      </c>
      <c r="I1562" s="444">
        <f t="shared" ca="1" si="133"/>
        <v>-296393733.39469826</v>
      </c>
      <c r="J1562" s="444">
        <f t="array" ref="J1562">IFERROR(INDEX('Retirement Calculator'!J:J,MATCH('Isaac 401k'!N1562,'Retirement Calculator'!A:A,0),0),0)</f>
        <v>0</v>
      </c>
      <c r="K1562" s="444">
        <f t="shared" ca="1" si="131"/>
        <v>-1234973.8891445762</v>
      </c>
      <c r="L1562" s="444">
        <f t="shared" ca="1" si="132"/>
        <v>-297628707.28384286</v>
      </c>
      <c r="M1562" s="460">
        <f t="shared" si="134"/>
        <v>0.05</v>
      </c>
      <c r="N1562" s="464">
        <f t="shared" si="135"/>
        <v>98587</v>
      </c>
    </row>
    <row r="1563" spans="7:14" ht="11.25" customHeight="1" x14ac:dyDescent="0.25">
      <c r="G1563" s="459"/>
      <c r="H1563" s="459">
        <v>1556</v>
      </c>
      <c r="I1563" s="444">
        <f t="shared" ca="1" si="133"/>
        <v>-297628707.28384286</v>
      </c>
      <c r="J1563" s="444">
        <f t="array" ref="J1563">IFERROR(INDEX('Retirement Calculator'!J:J,MATCH('Isaac 401k'!N1563,'Retirement Calculator'!A:A,0),0),0)</f>
        <v>0</v>
      </c>
      <c r="K1563" s="444">
        <f t="shared" ca="1" si="131"/>
        <v>-1240119.6136826787</v>
      </c>
      <c r="L1563" s="444">
        <f t="shared" ca="1" si="132"/>
        <v>-298868826.89752555</v>
      </c>
      <c r="M1563" s="460">
        <f t="shared" si="134"/>
        <v>0.05</v>
      </c>
      <c r="N1563" s="464">
        <f t="shared" si="135"/>
        <v>98618</v>
      </c>
    </row>
    <row r="1564" spans="7:14" ht="11.25" customHeight="1" x14ac:dyDescent="0.25">
      <c r="G1564" s="459"/>
      <c r="H1564" s="459">
        <v>1557</v>
      </c>
      <c r="I1564" s="444">
        <f t="shared" ca="1" si="133"/>
        <v>-298868826.89752555</v>
      </c>
      <c r="J1564" s="444">
        <f t="array" ref="J1564">IFERROR(INDEX('Retirement Calculator'!J:J,MATCH('Isaac 401k'!N1564,'Retirement Calculator'!A:A,0),0),0)</f>
        <v>0</v>
      </c>
      <c r="K1564" s="444">
        <f t="shared" ca="1" si="131"/>
        <v>-1245286.7787396898</v>
      </c>
      <c r="L1564" s="444">
        <f t="shared" ca="1" si="132"/>
        <v>-300114113.67626524</v>
      </c>
      <c r="M1564" s="460">
        <f t="shared" si="134"/>
        <v>0.05</v>
      </c>
      <c r="N1564" s="464">
        <f t="shared" si="135"/>
        <v>98649</v>
      </c>
    </row>
    <row r="1565" spans="7:14" ht="11.25" customHeight="1" x14ac:dyDescent="0.25">
      <c r="G1565" s="459"/>
      <c r="H1565" s="459">
        <v>1558</v>
      </c>
      <c r="I1565" s="444">
        <f t="shared" ca="1" si="133"/>
        <v>-300114113.67626524</v>
      </c>
      <c r="J1565" s="444">
        <f t="array" ref="J1565">IFERROR(INDEX('Retirement Calculator'!J:J,MATCH('Isaac 401k'!N1565,'Retirement Calculator'!A:A,0),0),0)</f>
        <v>0</v>
      </c>
      <c r="K1565" s="444">
        <f t="shared" ca="1" si="131"/>
        <v>-1250475.4736511051</v>
      </c>
      <c r="L1565" s="444">
        <f t="shared" ca="1" si="132"/>
        <v>-301364589.14991635</v>
      </c>
      <c r="M1565" s="460">
        <f t="shared" si="134"/>
        <v>0.05</v>
      </c>
      <c r="N1565" s="464">
        <f t="shared" si="135"/>
        <v>98677</v>
      </c>
    </row>
    <row r="1566" spans="7:14" ht="11.25" customHeight="1" x14ac:dyDescent="0.25">
      <c r="G1566" s="459"/>
      <c r="H1566" s="459">
        <v>1559</v>
      </c>
      <c r="I1566" s="444">
        <f t="shared" ca="1" si="133"/>
        <v>-301364589.14991635</v>
      </c>
      <c r="J1566" s="444">
        <f t="array" ref="J1566">IFERROR(INDEX('Retirement Calculator'!J:J,MATCH('Isaac 401k'!N1566,'Retirement Calculator'!A:A,0),0),0)</f>
        <v>0</v>
      </c>
      <c r="K1566" s="444">
        <f t="shared" ca="1" si="131"/>
        <v>-1255685.7881246514</v>
      </c>
      <c r="L1566" s="444">
        <f t="shared" ca="1" si="132"/>
        <v>-302620274.93804103</v>
      </c>
      <c r="M1566" s="460">
        <f t="shared" si="134"/>
        <v>0.05</v>
      </c>
      <c r="N1566" s="464">
        <f t="shared" si="135"/>
        <v>98708</v>
      </c>
    </row>
    <row r="1567" spans="7:14" ht="11.25" customHeight="1" x14ac:dyDescent="0.25">
      <c r="G1567" s="459"/>
      <c r="H1567" s="459">
        <v>1560</v>
      </c>
      <c r="I1567" s="444">
        <f t="shared" ca="1" si="133"/>
        <v>-302620274.93804103</v>
      </c>
      <c r="J1567" s="444">
        <f t="array" ref="J1567">IFERROR(INDEX('Retirement Calculator'!J:J,MATCH('Isaac 401k'!N1567,'Retirement Calculator'!A:A,0),0),0)</f>
        <v>0</v>
      </c>
      <c r="K1567" s="444">
        <f t="shared" ca="1" si="131"/>
        <v>-1260917.8122418376</v>
      </c>
      <c r="L1567" s="444">
        <f t="shared" ca="1" si="132"/>
        <v>-303881192.75028288</v>
      </c>
      <c r="M1567" s="460">
        <f t="shared" si="134"/>
        <v>0.05</v>
      </c>
      <c r="N1567" s="464">
        <f t="shared" si="135"/>
        <v>98738</v>
      </c>
    </row>
    <row r="1568" spans="7:14" ht="11.25" customHeight="1" x14ac:dyDescent="0.25">
      <c r="G1568" s="459"/>
      <c r="H1568" s="459">
        <v>1561</v>
      </c>
      <c r="I1568" s="444">
        <f t="shared" ca="1" si="133"/>
        <v>-303881192.75028288</v>
      </c>
      <c r="J1568" s="444">
        <f t="array" ref="J1568">IFERROR(INDEX('Retirement Calculator'!J:J,MATCH('Isaac 401k'!N1568,'Retirement Calculator'!A:A,0),0),0)</f>
        <v>0</v>
      </c>
      <c r="K1568" s="444">
        <f t="shared" ca="1" si="131"/>
        <v>-1266171.6364595119</v>
      </c>
      <c r="L1568" s="444">
        <f t="shared" ca="1" si="132"/>
        <v>-305147364.38674241</v>
      </c>
      <c r="M1568" s="460">
        <f t="shared" si="134"/>
        <v>0.05</v>
      </c>
      <c r="N1568" s="464">
        <f t="shared" si="135"/>
        <v>98769</v>
      </c>
    </row>
    <row r="1569" spans="7:14" ht="11.25" customHeight="1" x14ac:dyDescent="0.25">
      <c r="G1569" s="459"/>
      <c r="H1569" s="459">
        <v>1562</v>
      </c>
      <c r="I1569" s="444">
        <f t="shared" ca="1" si="133"/>
        <v>-305147364.38674241</v>
      </c>
      <c r="J1569" s="444">
        <f t="array" ref="J1569">IFERROR(INDEX('Retirement Calculator'!J:J,MATCH('Isaac 401k'!N1569,'Retirement Calculator'!A:A,0),0),0)</f>
        <v>0</v>
      </c>
      <c r="K1569" s="444">
        <f t="shared" ca="1" si="131"/>
        <v>-1271447.3516114268</v>
      </c>
      <c r="L1569" s="444">
        <f t="shared" ca="1" si="132"/>
        <v>-306418811.73835385</v>
      </c>
      <c r="M1569" s="460">
        <f t="shared" si="134"/>
        <v>0.05</v>
      </c>
      <c r="N1569" s="464">
        <f t="shared" si="135"/>
        <v>98799</v>
      </c>
    </row>
    <row r="1570" spans="7:14" ht="11.25" customHeight="1" x14ac:dyDescent="0.25">
      <c r="G1570" s="459"/>
      <c r="H1570" s="459">
        <v>1563</v>
      </c>
      <c r="I1570" s="444">
        <f t="shared" ca="1" si="133"/>
        <v>-306418811.73835385</v>
      </c>
      <c r="J1570" s="444">
        <f t="array" ref="J1570">IFERROR(INDEX('Retirement Calculator'!J:J,MATCH('Isaac 401k'!N1570,'Retirement Calculator'!A:A,0),0),0)</f>
        <v>0</v>
      </c>
      <c r="K1570" s="444">
        <f t="shared" ca="1" si="131"/>
        <v>-1276745.0489098076</v>
      </c>
      <c r="L1570" s="444">
        <f t="shared" ca="1" si="132"/>
        <v>-307695556.78726363</v>
      </c>
      <c r="M1570" s="460">
        <f t="shared" si="134"/>
        <v>0.05</v>
      </c>
      <c r="N1570" s="464">
        <f t="shared" si="135"/>
        <v>98830</v>
      </c>
    </row>
    <row r="1571" spans="7:14" ht="11.25" customHeight="1" x14ac:dyDescent="0.25">
      <c r="G1571" s="459"/>
      <c r="H1571" s="459">
        <v>1564</v>
      </c>
      <c r="I1571" s="444">
        <f t="shared" ca="1" si="133"/>
        <v>-307695556.78726363</v>
      </c>
      <c r="J1571" s="444">
        <f t="array" ref="J1571">IFERROR(INDEX('Retirement Calculator'!J:J,MATCH('Isaac 401k'!N1571,'Retirement Calculator'!A:A,0),0),0)</f>
        <v>0</v>
      </c>
      <c r="K1571" s="444">
        <f t="shared" ca="1" si="131"/>
        <v>-1282064.8199469317</v>
      </c>
      <c r="L1571" s="444">
        <f t="shared" ca="1" si="132"/>
        <v>-308977621.60721058</v>
      </c>
      <c r="M1571" s="460">
        <f t="shared" si="134"/>
        <v>0.05</v>
      </c>
      <c r="N1571" s="464">
        <f t="shared" si="135"/>
        <v>98861</v>
      </c>
    </row>
    <row r="1572" spans="7:14" ht="11.25" customHeight="1" x14ac:dyDescent="0.25">
      <c r="G1572" s="459"/>
      <c r="H1572" s="459">
        <v>1565</v>
      </c>
      <c r="I1572" s="444">
        <f t="shared" ca="1" si="133"/>
        <v>-308977621.60721058</v>
      </c>
      <c r="J1572" s="444">
        <f t="array" ref="J1572">IFERROR(INDEX('Retirement Calculator'!J:J,MATCH('Isaac 401k'!N1572,'Retirement Calculator'!A:A,0),0),0)</f>
        <v>0</v>
      </c>
      <c r="K1572" s="444">
        <f t="shared" ca="1" si="131"/>
        <v>-1287406.7566967108</v>
      </c>
      <c r="L1572" s="444">
        <f t="shared" ca="1" si="132"/>
        <v>-310265028.36390728</v>
      </c>
      <c r="M1572" s="460">
        <f t="shared" si="134"/>
        <v>0.05</v>
      </c>
      <c r="N1572" s="464">
        <f t="shared" si="135"/>
        <v>98891</v>
      </c>
    </row>
    <row r="1573" spans="7:14" ht="11.25" customHeight="1" x14ac:dyDescent="0.25">
      <c r="G1573" s="459"/>
      <c r="H1573" s="459">
        <v>1566</v>
      </c>
      <c r="I1573" s="444">
        <f t="shared" ca="1" si="133"/>
        <v>-310265028.36390728</v>
      </c>
      <c r="J1573" s="444">
        <f t="array" ref="J1573">IFERROR(INDEX('Retirement Calculator'!J:J,MATCH('Isaac 401k'!N1573,'Retirement Calculator'!A:A,0),0),0)</f>
        <v>0</v>
      </c>
      <c r="K1573" s="444">
        <f t="shared" ca="1" si="131"/>
        <v>-1292770.9515162804</v>
      </c>
      <c r="L1573" s="444">
        <f t="shared" ca="1" si="132"/>
        <v>-311557799.31542355</v>
      </c>
      <c r="M1573" s="460">
        <f t="shared" si="134"/>
        <v>0.05</v>
      </c>
      <c r="N1573" s="464">
        <f t="shared" si="135"/>
        <v>98922</v>
      </c>
    </row>
    <row r="1574" spans="7:14" ht="11.25" customHeight="1" x14ac:dyDescent="0.25">
      <c r="G1574" s="459"/>
      <c r="H1574" s="459">
        <v>1567</v>
      </c>
      <c r="I1574" s="444">
        <f t="shared" ca="1" si="133"/>
        <v>-311557799.31542355</v>
      </c>
      <c r="J1574" s="444">
        <f t="array" ref="J1574">IFERROR(INDEX('Retirement Calculator'!J:J,MATCH('Isaac 401k'!N1574,'Retirement Calculator'!A:A,0),0),0)</f>
        <v>0</v>
      </c>
      <c r="K1574" s="444">
        <f t="shared" ca="1" si="131"/>
        <v>-1298157.4971475981</v>
      </c>
      <c r="L1574" s="444">
        <f t="shared" ca="1" si="132"/>
        <v>-312855956.81257117</v>
      </c>
      <c r="M1574" s="460">
        <f t="shared" si="134"/>
        <v>0.05</v>
      </c>
      <c r="N1574" s="464">
        <f t="shared" si="135"/>
        <v>98952</v>
      </c>
    </row>
    <row r="1575" spans="7:14" ht="11.25" customHeight="1" x14ac:dyDescent="0.25">
      <c r="G1575" s="459"/>
      <c r="H1575" s="459">
        <v>1568</v>
      </c>
      <c r="I1575" s="444">
        <f t="shared" ca="1" si="133"/>
        <v>-312855956.81257117</v>
      </c>
      <c r="J1575" s="444">
        <f t="array" ref="J1575">IFERROR(INDEX('Retirement Calculator'!J:J,MATCH('Isaac 401k'!N1575,'Retirement Calculator'!A:A,0),0),0)</f>
        <v>0</v>
      </c>
      <c r="K1575" s="444">
        <f t="shared" ca="1" si="131"/>
        <v>-1303566.4867190465</v>
      </c>
      <c r="L1575" s="444">
        <f t="shared" ca="1" si="132"/>
        <v>-314159523.29929024</v>
      </c>
      <c r="M1575" s="460">
        <f t="shared" si="134"/>
        <v>0.05</v>
      </c>
      <c r="N1575" s="464">
        <f t="shared" si="135"/>
        <v>98983</v>
      </c>
    </row>
    <row r="1576" spans="7:14" ht="11.25" customHeight="1" x14ac:dyDescent="0.25">
      <c r="G1576" s="459"/>
      <c r="H1576" s="459">
        <v>1569</v>
      </c>
      <c r="I1576" s="444">
        <f t="shared" ca="1" si="133"/>
        <v>-314159523.29929024</v>
      </c>
      <c r="J1576" s="444">
        <f t="array" ref="J1576">IFERROR(INDEX('Retirement Calculator'!J:J,MATCH('Isaac 401k'!N1576,'Retirement Calculator'!A:A,0),0),0)</f>
        <v>0</v>
      </c>
      <c r="K1576" s="444">
        <f t="shared" ca="1" si="131"/>
        <v>-1308998.0137470427</v>
      </c>
      <c r="L1576" s="444">
        <f t="shared" ca="1" si="132"/>
        <v>-315468521.31303728</v>
      </c>
      <c r="M1576" s="460">
        <f t="shared" si="134"/>
        <v>0.05</v>
      </c>
      <c r="N1576" s="464">
        <f t="shared" si="135"/>
        <v>99014</v>
      </c>
    </row>
    <row r="1577" spans="7:14" ht="11.25" customHeight="1" x14ac:dyDescent="0.25">
      <c r="G1577" s="459"/>
      <c r="H1577" s="459">
        <v>1570</v>
      </c>
      <c r="I1577" s="444">
        <f t="shared" ca="1" si="133"/>
        <v>-315468521.31303728</v>
      </c>
      <c r="J1577" s="444">
        <f t="array" ref="J1577">IFERROR(INDEX('Retirement Calculator'!J:J,MATCH('Isaac 401k'!N1577,'Retirement Calculator'!A:A,0),0),0)</f>
        <v>0</v>
      </c>
      <c r="K1577" s="444">
        <f t="shared" ca="1" si="131"/>
        <v>-1314452.1721376553</v>
      </c>
      <c r="L1577" s="444">
        <f t="shared" ca="1" si="132"/>
        <v>-316782973.48517495</v>
      </c>
      <c r="M1577" s="460">
        <f t="shared" si="134"/>
        <v>0.05</v>
      </c>
      <c r="N1577" s="464">
        <f t="shared" si="135"/>
        <v>99042</v>
      </c>
    </row>
    <row r="1578" spans="7:14" ht="11.25" customHeight="1" x14ac:dyDescent="0.25">
      <c r="G1578" s="459"/>
      <c r="H1578" s="459">
        <v>1571</v>
      </c>
      <c r="I1578" s="444">
        <f t="shared" ca="1" si="133"/>
        <v>-316782973.48517495</v>
      </c>
      <c r="J1578" s="444">
        <f t="array" ref="J1578">IFERROR(INDEX('Retirement Calculator'!J:J,MATCH('Isaac 401k'!N1578,'Retirement Calculator'!A:A,0),0),0)</f>
        <v>0</v>
      </c>
      <c r="K1578" s="444">
        <f t="shared" ca="1" si="131"/>
        <v>-1319929.056188229</v>
      </c>
      <c r="L1578" s="444">
        <f t="shared" ca="1" si="132"/>
        <v>-318102902.54136318</v>
      </c>
      <c r="M1578" s="460">
        <f t="shared" si="134"/>
        <v>0.05</v>
      </c>
      <c r="N1578" s="464">
        <f t="shared" si="135"/>
        <v>99073</v>
      </c>
    </row>
    <row r="1579" spans="7:14" ht="11.25" customHeight="1" x14ac:dyDescent="0.25">
      <c r="G1579" s="459"/>
      <c r="H1579" s="459">
        <v>1572</v>
      </c>
      <c r="I1579" s="444">
        <f t="shared" ca="1" si="133"/>
        <v>-318102902.54136318</v>
      </c>
      <c r="J1579" s="444">
        <f t="array" ref="J1579">IFERROR(INDEX('Retirement Calculator'!J:J,MATCH('Isaac 401k'!N1579,'Retirement Calculator'!A:A,0),0),0)</f>
        <v>0</v>
      </c>
      <c r="K1579" s="444">
        <f t="shared" ca="1" si="131"/>
        <v>-1325428.7605890133</v>
      </c>
      <c r="L1579" s="444">
        <f t="shared" ca="1" si="132"/>
        <v>-319428331.30195218</v>
      </c>
      <c r="M1579" s="460">
        <f t="shared" si="134"/>
        <v>0.05</v>
      </c>
      <c r="N1579" s="464">
        <f t="shared" si="135"/>
        <v>99103</v>
      </c>
    </row>
    <row r="1580" spans="7:14" ht="11.25" customHeight="1" x14ac:dyDescent="0.25">
      <c r="G1580" s="459"/>
      <c r="H1580" s="459">
        <v>1573</v>
      </c>
      <c r="I1580" s="444">
        <f t="shared" ca="1" si="133"/>
        <v>-319428331.30195218</v>
      </c>
      <c r="J1580" s="444">
        <f t="array" ref="J1580">IFERROR(INDEX('Retirement Calculator'!J:J,MATCH('Isaac 401k'!N1580,'Retirement Calculator'!A:A,0),0),0)</f>
        <v>0</v>
      </c>
      <c r="K1580" s="444">
        <f t="shared" ca="1" si="131"/>
        <v>-1330951.3804248008</v>
      </c>
      <c r="L1580" s="444">
        <f t="shared" ca="1" si="132"/>
        <v>-320759282.68237698</v>
      </c>
      <c r="M1580" s="460">
        <f t="shared" si="134"/>
        <v>0.05</v>
      </c>
      <c r="N1580" s="464">
        <f t="shared" si="135"/>
        <v>99134</v>
      </c>
    </row>
    <row r="1581" spans="7:14" ht="11.25" customHeight="1" x14ac:dyDescent="0.25">
      <c r="G1581" s="459"/>
      <c r="H1581" s="459">
        <v>1574</v>
      </c>
      <c r="I1581" s="444">
        <f t="shared" ca="1" si="133"/>
        <v>-320759282.68237698</v>
      </c>
      <c r="J1581" s="444">
        <f t="array" ref="J1581">IFERROR(INDEX('Retirement Calculator'!J:J,MATCH('Isaac 401k'!N1581,'Retirement Calculator'!A:A,0),0),0)</f>
        <v>0</v>
      </c>
      <c r="K1581" s="444">
        <f t="shared" ca="1" si="131"/>
        <v>-1336497.0111765708</v>
      </c>
      <c r="L1581" s="444">
        <f t="shared" ca="1" si="132"/>
        <v>-322095779.69355357</v>
      </c>
      <c r="M1581" s="460">
        <f t="shared" si="134"/>
        <v>0.05</v>
      </c>
      <c r="N1581" s="464">
        <f t="shared" si="135"/>
        <v>99164</v>
      </c>
    </row>
    <row r="1582" spans="7:14" ht="11.25" customHeight="1" x14ac:dyDescent="0.25">
      <c r="G1582" s="459"/>
      <c r="H1582" s="459">
        <v>1575</v>
      </c>
      <c r="I1582" s="444">
        <f t="shared" ca="1" si="133"/>
        <v>-322095779.69355357</v>
      </c>
      <c r="J1582" s="444">
        <f t="array" ref="J1582">IFERROR(INDEX('Retirement Calculator'!J:J,MATCH('Isaac 401k'!N1582,'Retirement Calculator'!A:A,0),0),0)</f>
        <v>0</v>
      </c>
      <c r="K1582" s="444">
        <f t="shared" ca="1" si="131"/>
        <v>-1342065.7487231398</v>
      </c>
      <c r="L1582" s="444">
        <f t="shared" ca="1" si="132"/>
        <v>-323437845.44227672</v>
      </c>
      <c r="M1582" s="460">
        <f t="shared" si="134"/>
        <v>0.05</v>
      </c>
      <c r="N1582" s="464">
        <f t="shared" si="135"/>
        <v>99195</v>
      </c>
    </row>
    <row r="1583" spans="7:14" ht="11.25" customHeight="1" x14ac:dyDescent="0.25">
      <c r="G1583" s="459"/>
      <c r="H1583" s="459">
        <v>1576</v>
      </c>
      <c r="I1583" s="444">
        <f t="shared" ca="1" si="133"/>
        <v>-323437845.44227672</v>
      </c>
      <c r="J1583" s="444">
        <f t="array" ref="J1583">IFERROR(INDEX('Retirement Calculator'!J:J,MATCH('Isaac 401k'!N1583,'Retirement Calculator'!A:A,0),0),0)</f>
        <v>0</v>
      </c>
      <c r="K1583" s="444">
        <f t="shared" ca="1" si="131"/>
        <v>-1347657.6893428196</v>
      </c>
      <c r="L1583" s="444">
        <f t="shared" ca="1" si="132"/>
        <v>-324785503.13161951</v>
      </c>
      <c r="M1583" s="460">
        <f t="shared" si="134"/>
        <v>0.05</v>
      </c>
      <c r="N1583" s="464">
        <f t="shared" si="135"/>
        <v>99226</v>
      </c>
    </row>
    <row r="1584" spans="7:14" ht="11.25" customHeight="1" x14ac:dyDescent="0.25">
      <c r="G1584" s="459"/>
      <c r="H1584" s="459">
        <v>1577</v>
      </c>
      <c r="I1584" s="444">
        <f t="shared" ca="1" si="133"/>
        <v>-324785503.13161951</v>
      </c>
      <c r="J1584" s="444">
        <f t="array" ref="J1584">IFERROR(INDEX('Retirement Calculator'!J:J,MATCH('Isaac 401k'!N1584,'Retirement Calculator'!A:A,0),0),0)</f>
        <v>0</v>
      </c>
      <c r="K1584" s="444">
        <f t="shared" ca="1" si="131"/>
        <v>-1353272.9297150814</v>
      </c>
      <c r="L1584" s="444">
        <f t="shared" ca="1" si="132"/>
        <v>-326138776.06133461</v>
      </c>
      <c r="M1584" s="460">
        <f t="shared" si="134"/>
        <v>0.05</v>
      </c>
      <c r="N1584" s="464">
        <f t="shared" si="135"/>
        <v>99256</v>
      </c>
    </row>
    <row r="1585" spans="7:14" ht="11.25" customHeight="1" x14ac:dyDescent="0.25">
      <c r="G1585" s="459"/>
      <c r="H1585" s="459">
        <v>1578</v>
      </c>
      <c r="I1585" s="444">
        <f t="shared" ca="1" si="133"/>
        <v>-326138776.06133461</v>
      </c>
      <c r="J1585" s="444">
        <f t="array" ref="J1585">IFERROR(INDEX('Retirement Calculator'!J:J,MATCH('Isaac 401k'!N1585,'Retirement Calculator'!A:A,0),0),0)</f>
        <v>0</v>
      </c>
      <c r="K1585" s="444">
        <f t="shared" ca="1" si="131"/>
        <v>-1358911.5669222276</v>
      </c>
      <c r="L1585" s="444">
        <f t="shared" ca="1" si="132"/>
        <v>-327497687.62825686</v>
      </c>
      <c r="M1585" s="460">
        <f t="shared" si="134"/>
        <v>0.05</v>
      </c>
      <c r="N1585" s="464">
        <f t="shared" si="135"/>
        <v>99287</v>
      </c>
    </row>
    <row r="1586" spans="7:14" ht="11.25" customHeight="1" x14ac:dyDescent="0.25">
      <c r="G1586" s="459"/>
      <c r="H1586" s="459">
        <v>1579</v>
      </c>
      <c r="I1586" s="444">
        <f t="shared" ca="1" si="133"/>
        <v>-327497687.62825686</v>
      </c>
      <c r="J1586" s="444">
        <f t="array" ref="J1586">IFERROR(INDEX('Retirement Calculator'!J:J,MATCH('Isaac 401k'!N1586,'Retirement Calculator'!A:A,0),0),0)</f>
        <v>0</v>
      </c>
      <c r="K1586" s="444">
        <f t="shared" ca="1" si="131"/>
        <v>-1364573.6984510701</v>
      </c>
      <c r="L1586" s="444">
        <f t="shared" ca="1" si="132"/>
        <v>-328862261.3267079</v>
      </c>
      <c r="M1586" s="460">
        <f t="shared" si="134"/>
        <v>0.05</v>
      </c>
      <c r="N1586" s="464">
        <f t="shared" si="135"/>
        <v>99317</v>
      </c>
    </row>
    <row r="1587" spans="7:14" ht="11.25" customHeight="1" x14ac:dyDescent="0.25">
      <c r="G1587" s="459"/>
      <c r="H1587" s="459">
        <v>1580</v>
      </c>
      <c r="I1587" s="444">
        <f t="shared" ca="1" si="133"/>
        <v>-328862261.3267079</v>
      </c>
      <c r="J1587" s="444">
        <f t="array" ref="J1587">IFERROR(INDEX('Retirement Calculator'!J:J,MATCH('Isaac 401k'!N1587,'Retirement Calculator'!A:A,0),0),0)</f>
        <v>0</v>
      </c>
      <c r="K1587" s="444">
        <f t="shared" ca="1" si="131"/>
        <v>-1370259.4221946162</v>
      </c>
      <c r="L1587" s="444">
        <f t="shared" ca="1" si="132"/>
        <v>-330232520.7489025</v>
      </c>
      <c r="M1587" s="460">
        <f t="shared" si="134"/>
        <v>0.05</v>
      </c>
      <c r="N1587" s="464">
        <f t="shared" si="135"/>
        <v>99348</v>
      </c>
    </row>
    <row r="1588" spans="7:14" ht="11.25" customHeight="1" x14ac:dyDescent="0.25">
      <c r="G1588" s="459"/>
      <c r="H1588" s="459">
        <v>1581</v>
      </c>
      <c r="I1588" s="444">
        <f t="shared" ca="1" si="133"/>
        <v>-330232520.7489025</v>
      </c>
      <c r="J1588" s="444">
        <f t="array" ref="J1588">IFERROR(INDEX('Retirement Calculator'!J:J,MATCH('Isaac 401k'!N1588,'Retirement Calculator'!A:A,0),0),0)</f>
        <v>0</v>
      </c>
      <c r="K1588" s="444">
        <f t="shared" ca="1" si="131"/>
        <v>-1375968.8364537605</v>
      </c>
      <c r="L1588" s="444">
        <f t="shared" ca="1" si="132"/>
        <v>-331608489.58535624</v>
      </c>
      <c r="M1588" s="460">
        <f t="shared" si="134"/>
        <v>0.05</v>
      </c>
      <c r="N1588" s="464">
        <f t="shared" si="135"/>
        <v>99379</v>
      </c>
    </row>
    <row r="1589" spans="7:14" ht="11.25" customHeight="1" x14ac:dyDescent="0.25">
      <c r="G1589" s="459"/>
      <c r="H1589" s="459">
        <v>1582</v>
      </c>
      <c r="I1589" s="444">
        <f t="shared" ca="1" si="133"/>
        <v>-331608489.58535624</v>
      </c>
      <c r="J1589" s="444">
        <f t="array" ref="J1589">IFERROR(INDEX('Retirement Calculator'!J:J,MATCH('Isaac 401k'!N1589,'Retirement Calculator'!A:A,0),0),0)</f>
        <v>0</v>
      </c>
      <c r="K1589" s="444">
        <f t="shared" ca="1" si="131"/>
        <v>-1381702.0399389842</v>
      </c>
      <c r="L1589" s="444">
        <f t="shared" ca="1" si="132"/>
        <v>-332990191.62529522</v>
      </c>
      <c r="M1589" s="460">
        <f t="shared" si="134"/>
        <v>0.05</v>
      </c>
      <c r="N1589" s="464">
        <f t="shared" si="135"/>
        <v>99408</v>
      </c>
    </row>
    <row r="1590" spans="7:14" ht="11.25" customHeight="1" x14ac:dyDescent="0.25">
      <c r="G1590" s="459"/>
      <c r="H1590" s="459">
        <v>1583</v>
      </c>
      <c r="I1590" s="444">
        <f t="shared" ca="1" si="133"/>
        <v>-332990191.62529522</v>
      </c>
      <c r="J1590" s="444">
        <f t="array" ref="J1590">IFERROR(INDEX('Retirement Calculator'!J:J,MATCH('Isaac 401k'!N1590,'Retirement Calculator'!A:A,0),0),0)</f>
        <v>0</v>
      </c>
      <c r="K1590" s="444">
        <f t="shared" ca="1" si="131"/>
        <v>-1387459.1317720634</v>
      </c>
      <c r="L1590" s="444">
        <f t="shared" ca="1" si="132"/>
        <v>-334377650.75706726</v>
      </c>
      <c r="M1590" s="460">
        <f t="shared" si="134"/>
        <v>0.05</v>
      </c>
      <c r="N1590" s="464">
        <f t="shared" si="135"/>
        <v>99439</v>
      </c>
    </row>
    <row r="1591" spans="7:14" ht="11.25" customHeight="1" x14ac:dyDescent="0.25">
      <c r="G1591" s="459"/>
      <c r="H1591" s="459">
        <v>1584</v>
      </c>
      <c r="I1591" s="444">
        <f t="shared" ca="1" si="133"/>
        <v>-334377650.75706726</v>
      </c>
      <c r="J1591" s="444">
        <f t="array" ref="J1591">IFERROR(INDEX('Retirement Calculator'!J:J,MATCH('Isaac 401k'!N1591,'Retirement Calculator'!A:A,0),0),0)</f>
        <v>0</v>
      </c>
      <c r="K1591" s="444">
        <f t="shared" ca="1" si="131"/>
        <v>-1393240.2114877803</v>
      </c>
      <c r="L1591" s="444">
        <f t="shared" ca="1" si="132"/>
        <v>-335770890.96855503</v>
      </c>
      <c r="M1591" s="460">
        <f t="shared" si="134"/>
        <v>0.05</v>
      </c>
      <c r="N1591" s="464">
        <f t="shared" si="135"/>
        <v>99469</v>
      </c>
    </row>
    <row r="1592" spans="7:14" ht="11.25" customHeight="1" x14ac:dyDescent="0.25">
      <c r="G1592" s="459"/>
      <c r="H1592" s="459">
        <v>1585</v>
      </c>
      <c r="I1592" s="444">
        <f t="shared" ca="1" si="133"/>
        <v>-335770890.96855503</v>
      </c>
      <c r="J1592" s="444">
        <f t="array" ref="J1592">IFERROR(INDEX('Retirement Calculator'!J:J,MATCH('Isaac 401k'!N1592,'Retirement Calculator'!A:A,0),0),0)</f>
        <v>0</v>
      </c>
      <c r="K1592" s="444">
        <f t="shared" ca="1" si="131"/>
        <v>-1399045.3790356459</v>
      </c>
      <c r="L1592" s="444">
        <f t="shared" ca="1" si="132"/>
        <v>-337169936.34759068</v>
      </c>
      <c r="M1592" s="460">
        <f t="shared" si="134"/>
        <v>0.05</v>
      </c>
      <c r="N1592" s="464">
        <f t="shared" si="135"/>
        <v>99500</v>
      </c>
    </row>
    <row r="1593" spans="7:14" ht="11.25" customHeight="1" x14ac:dyDescent="0.25">
      <c r="G1593" s="459"/>
      <c r="H1593" s="459">
        <v>1586</v>
      </c>
      <c r="I1593" s="444">
        <f t="shared" ca="1" si="133"/>
        <v>-337169936.34759068</v>
      </c>
      <c r="J1593" s="444">
        <f t="array" ref="J1593">IFERROR(INDEX('Retirement Calculator'!J:J,MATCH('Isaac 401k'!N1593,'Retirement Calculator'!A:A,0),0),0)</f>
        <v>0</v>
      </c>
      <c r="K1593" s="444">
        <f t="shared" ca="1" si="131"/>
        <v>-1404874.7347816278</v>
      </c>
      <c r="L1593" s="444">
        <f t="shared" ca="1" si="132"/>
        <v>-338574811.08237231</v>
      </c>
      <c r="M1593" s="460">
        <f t="shared" si="134"/>
        <v>0.05</v>
      </c>
      <c r="N1593" s="464">
        <f t="shared" si="135"/>
        <v>99530</v>
      </c>
    </row>
    <row r="1594" spans="7:14" ht="11.25" customHeight="1" x14ac:dyDescent="0.25">
      <c r="G1594" s="459"/>
      <c r="H1594" s="459">
        <v>1587</v>
      </c>
      <c r="I1594" s="444">
        <f t="shared" ca="1" si="133"/>
        <v>-338574811.08237231</v>
      </c>
      <c r="J1594" s="444">
        <f t="array" ref="J1594">IFERROR(INDEX('Retirement Calculator'!J:J,MATCH('Isaac 401k'!N1594,'Retirement Calculator'!A:A,0),0),0)</f>
        <v>0</v>
      </c>
      <c r="K1594" s="444">
        <f t="shared" ca="1" si="131"/>
        <v>-1410728.3795098846</v>
      </c>
      <c r="L1594" s="444">
        <f t="shared" ca="1" si="132"/>
        <v>-339985539.46188217</v>
      </c>
      <c r="M1594" s="460">
        <f t="shared" si="134"/>
        <v>0.05</v>
      </c>
      <c r="N1594" s="464">
        <f t="shared" si="135"/>
        <v>99561</v>
      </c>
    </row>
    <row r="1595" spans="7:14" ht="11.25" customHeight="1" x14ac:dyDescent="0.25">
      <c r="G1595" s="459"/>
      <c r="H1595" s="459">
        <v>1588</v>
      </c>
      <c r="I1595" s="444">
        <f t="shared" ca="1" si="133"/>
        <v>-339985539.46188217</v>
      </c>
      <c r="J1595" s="444">
        <f t="array" ref="J1595">IFERROR(INDEX('Retirement Calculator'!J:J,MATCH('Isaac 401k'!N1595,'Retirement Calculator'!A:A,0),0),0)</f>
        <v>0</v>
      </c>
      <c r="K1595" s="444">
        <f t="shared" ca="1" si="131"/>
        <v>-1416606.414424509</v>
      </c>
      <c r="L1595" s="444">
        <f t="shared" ca="1" si="132"/>
        <v>-341402145.87630671</v>
      </c>
      <c r="M1595" s="460">
        <f t="shared" si="134"/>
        <v>0.05</v>
      </c>
      <c r="N1595" s="464">
        <f t="shared" si="135"/>
        <v>99592</v>
      </c>
    </row>
    <row r="1596" spans="7:14" ht="11.25" customHeight="1" x14ac:dyDescent="0.25">
      <c r="G1596" s="459"/>
      <c r="H1596" s="459">
        <v>1589</v>
      </c>
      <c r="I1596" s="444">
        <f t="shared" ca="1" si="133"/>
        <v>-341402145.87630671</v>
      </c>
      <c r="J1596" s="444">
        <f t="array" ref="J1596">IFERROR(INDEX('Retirement Calculator'!J:J,MATCH('Isaac 401k'!N1596,'Retirement Calculator'!A:A,0),0),0)</f>
        <v>0</v>
      </c>
      <c r="K1596" s="444">
        <f t="shared" ca="1" si="131"/>
        <v>-1422508.9411512779</v>
      </c>
      <c r="L1596" s="444">
        <f t="shared" ca="1" si="132"/>
        <v>-342824654.81745797</v>
      </c>
      <c r="M1596" s="460">
        <f t="shared" si="134"/>
        <v>0.05</v>
      </c>
      <c r="N1596" s="464">
        <f t="shared" si="135"/>
        <v>99622</v>
      </c>
    </row>
    <row r="1597" spans="7:14" ht="11.25" customHeight="1" x14ac:dyDescent="0.25">
      <c r="G1597" s="459"/>
      <c r="H1597" s="459">
        <v>1590</v>
      </c>
      <c r="I1597" s="444">
        <f t="shared" ca="1" si="133"/>
        <v>-342824654.81745797</v>
      </c>
      <c r="J1597" s="444">
        <f t="array" ref="J1597">IFERROR(INDEX('Retirement Calculator'!J:J,MATCH('Isaac 401k'!N1597,'Retirement Calculator'!A:A,0),0),0)</f>
        <v>0</v>
      </c>
      <c r="K1597" s="444">
        <f t="shared" ca="1" si="131"/>
        <v>-1428436.0617394082</v>
      </c>
      <c r="L1597" s="444">
        <f t="shared" ca="1" si="132"/>
        <v>-344253090.87919736</v>
      </c>
      <c r="M1597" s="460">
        <f t="shared" si="134"/>
        <v>0.05</v>
      </c>
      <c r="N1597" s="464">
        <f t="shared" si="135"/>
        <v>99653</v>
      </c>
    </row>
    <row r="1598" spans="7:14" ht="11.25" customHeight="1" x14ac:dyDescent="0.25">
      <c r="G1598" s="459"/>
      <c r="H1598" s="459">
        <v>1591</v>
      </c>
      <c r="I1598" s="444">
        <f t="shared" ca="1" si="133"/>
        <v>-344253090.87919736</v>
      </c>
      <c r="J1598" s="444">
        <f t="array" ref="J1598">IFERROR(INDEX('Retirement Calculator'!J:J,MATCH('Isaac 401k'!N1598,'Retirement Calculator'!A:A,0),0),0)</f>
        <v>0</v>
      </c>
      <c r="K1598" s="444">
        <f t="shared" ca="1" si="131"/>
        <v>-1434387.8786633224</v>
      </c>
      <c r="L1598" s="444">
        <f t="shared" ca="1" si="132"/>
        <v>-345687478.75786066</v>
      </c>
      <c r="M1598" s="460">
        <f t="shared" si="134"/>
        <v>0.05</v>
      </c>
      <c r="N1598" s="464">
        <f t="shared" si="135"/>
        <v>99683</v>
      </c>
    </row>
    <row r="1599" spans="7:14" ht="11.25" customHeight="1" x14ac:dyDescent="0.25">
      <c r="G1599" s="459"/>
      <c r="H1599" s="459">
        <v>1592</v>
      </c>
      <c r="I1599" s="444">
        <f t="shared" ca="1" si="133"/>
        <v>-345687478.75786066</v>
      </c>
      <c r="J1599" s="444">
        <f t="array" ref="J1599">IFERROR(INDEX('Retirement Calculator'!J:J,MATCH('Isaac 401k'!N1599,'Retirement Calculator'!A:A,0),0),0)</f>
        <v>0</v>
      </c>
      <c r="K1599" s="444">
        <f t="shared" ca="1" si="131"/>
        <v>-1440364.4948244195</v>
      </c>
      <c r="L1599" s="444">
        <f t="shared" ca="1" si="132"/>
        <v>-347127843.25268507</v>
      </c>
      <c r="M1599" s="460">
        <f t="shared" si="134"/>
        <v>0.05</v>
      </c>
      <c r="N1599" s="464">
        <f t="shared" si="135"/>
        <v>99714</v>
      </c>
    </row>
    <row r="1600" spans="7:14" ht="11.25" customHeight="1" x14ac:dyDescent="0.25">
      <c r="G1600" s="459"/>
      <c r="H1600" s="459">
        <v>1593</v>
      </c>
      <c r="I1600" s="444">
        <f t="shared" ca="1" si="133"/>
        <v>-347127843.25268507</v>
      </c>
      <c r="J1600" s="444">
        <f t="array" ref="J1600">IFERROR(INDEX('Retirement Calculator'!J:J,MATCH('Isaac 401k'!N1600,'Retirement Calculator'!A:A,0),0),0)</f>
        <v>0</v>
      </c>
      <c r="K1600" s="444">
        <f t="shared" ca="1" si="131"/>
        <v>-1446366.0135528545</v>
      </c>
      <c r="L1600" s="444">
        <f t="shared" ca="1" si="132"/>
        <v>-348574209.26623791</v>
      </c>
      <c r="M1600" s="460">
        <f t="shared" si="134"/>
        <v>0.05</v>
      </c>
      <c r="N1600" s="464">
        <f t="shared" si="135"/>
        <v>99745</v>
      </c>
    </row>
    <row r="1601" spans="7:14" ht="11.25" customHeight="1" x14ac:dyDescent="0.25">
      <c r="G1601" s="459"/>
      <c r="H1601" s="459">
        <v>1594</v>
      </c>
      <c r="I1601" s="444">
        <f t="shared" ca="1" si="133"/>
        <v>-348574209.26623791</v>
      </c>
      <c r="J1601" s="444">
        <f t="array" ref="J1601">IFERROR(INDEX('Retirement Calculator'!J:J,MATCH('Isaac 401k'!N1601,'Retirement Calculator'!A:A,0),0),0)</f>
        <v>0</v>
      </c>
      <c r="K1601" s="444">
        <f t="shared" ca="1" si="131"/>
        <v>-1452392.5386093247</v>
      </c>
      <c r="L1601" s="444">
        <f t="shared" ca="1" si="132"/>
        <v>-350026601.80484724</v>
      </c>
      <c r="M1601" s="460">
        <f t="shared" si="134"/>
        <v>0.05</v>
      </c>
      <c r="N1601" s="464">
        <f t="shared" si="135"/>
        <v>99773</v>
      </c>
    </row>
    <row r="1602" spans="7:14" ht="11.25" customHeight="1" x14ac:dyDescent="0.25">
      <c r="G1602" s="459"/>
      <c r="H1602" s="459">
        <v>1595</v>
      </c>
      <c r="I1602" s="444">
        <f t="shared" ca="1" si="133"/>
        <v>-350026601.80484724</v>
      </c>
      <c r="J1602" s="444">
        <f t="array" ref="J1602">IFERROR(INDEX('Retirement Calculator'!J:J,MATCH('Isaac 401k'!N1602,'Retirement Calculator'!A:A,0),0),0)</f>
        <v>0</v>
      </c>
      <c r="K1602" s="444">
        <f t="shared" ca="1" si="131"/>
        <v>-1458444.1741868635</v>
      </c>
      <c r="L1602" s="444">
        <f t="shared" ca="1" si="132"/>
        <v>-351485045.97903413</v>
      </c>
      <c r="M1602" s="460">
        <f t="shared" si="134"/>
        <v>0.05</v>
      </c>
      <c r="N1602" s="464">
        <f t="shared" si="135"/>
        <v>99804</v>
      </c>
    </row>
    <row r="1603" spans="7:14" ht="11.25" customHeight="1" x14ac:dyDescent="0.25">
      <c r="G1603" s="459"/>
      <c r="H1603" s="459">
        <v>1596</v>
      </c>
      <c r="I1603" s="444">
        <f t="shared" ca="1" si="133"/>
        <v>-351485045.97903413</v>
      </c>
      <c r="J1603" s="444">
        <f t="array" ref="J1603">IFERROR(INDEX('Retirement Calculator'!J:J,MATCH('Isaac 401k'!N1603,'Retirement Calculator'!A:A,0),0),0)</f>
        <v>0</v>
      </c>
      <c r="K1603" s="444">
        <f t="shared" ca="1" si="131"/>
        <v>-1464521.0249126421</v>
      </c>
      <c r="L1603" s="444">
        <f t="shared" ca="1" si="132"/>
        <v>-352949567.00394678</v>
      </c>
      <c r="M1603" s="460">
        <f t="shared" si="134"/>
        <v>0.05</v>
      </c>
      <c r="N1603" s="464">
        <f t="shared" si="135"/>
        <v>99834</v>
      </c>
    </row>
    <row r="1604" spans="7:14" ht="11.25" customHeight="1" x14ac:dyDescent="0.25">
      <c r="G1604" s="459"/>
      <c r="H1604" s="459">
        <v>1597</v>
      </c>
      <c r="I1604" s="444">
        <f t="shared" ca="1" si="133"/>
        <v>-352949567.00394678</v>
      </c>
      <c r="J1604" s="444">
        <f t="array" ref="J1604">IFERROR(INDEX('Retirement Calculator'!J:J,MATCH('Isaac 401k'!N1604,'Retirement Calculator'!A:A,0),0),0)</f>
        <v>0</v>
      </c>
      <c r="K1604" s="444">
        <f t="shared" ca="1" si="131"/>
        <v>-1470623.1958497781</v>
      </c>
      <c r="L1604" s="444">
        <f t="shared" ca="1" si="132"/>
        <v>-354420190.19979656</v>
      </c>
      <c r="M1604" s="460">
        <f t="shared" si="134"/>
        <v>0.05</v>
      </c>
      <c r="N1604" s="464">
        <f t="shared" si="135"/>
        <v>99865</v>
      </c>
    </row>
    <row r="1605" spans="7:14" ht="11.25" customHeight="1" x14ac:dyDescent="0.25">
      <c r="G1605" s="459"/>
      <c r="H1605" s="459">
        <v>1598</v>
      </c>
      <c r="I1605" s="444">
        <f t="shared" ca="1" si="133"/>
        <v>-354420190.19979656</v>
      </c>
      <c r="J1605" s="444">
        <f t="array" ref="J1605">IFERROR(INDEX('Retirement Calculator'!J:J,MATCH('Isaac 401k'!N1605,'Retirement Calculator'!A:A,0),0),0)</f>
        <v>0</v>
      </c>
      <c r="K1605" s="444">
        <f t="shared" ca="1" si="131"/>
        <v>-1476750.7924991522</v>
      </c>
      <c r="L1605" s="444">
        <f t="shared" ca="1" si="132"/>
        <v>-355896940.99229568</v>
      </c>
      <c r="M1605" s="460">
        <f t="shared" si="134"/>
        <v>0.05</v>
      </c>
      <c r="N1605" s="464">
        <f t="shared" si="135"/>
        <v>99895</v>
      </c>
    </row>
    <row r="1606" spans="7:14" ht="11.25" customHeight="1" x14ac:dyDescent="0.25">
      <c r="G1606" s="459"/>
      <c r="H1606" s="459">
        <v>1599</v>
      </c>
      <c r="I1606" s="444">
        <f t="shared" ca="1" si="133"/>
        <v>-355896940.99229568</v>
      </c>
      <c r="J1606" s="444">
        <f t="array" ref="J1606">IFERROR(INDEX('Retirement Calculator'!J:J,MATCH('Isaac 401k'!N1606,'Retirement Calculator'!A:A,0),0),0)</f>
        <v>0</v>
      </c>
      <c r="K1606" s="444">
        <f t="shared" ca="1" si="131"/>
        <v>-1482903.9208012321</v>
      </c>
      <c r="L1606" s="444">
        <f t="shared" ca="1" si="132"/>
        <v>-357379844.9130969</v>
      </c>
      <c r="M1606" s="460">
        <f t="shared" si="134"/>
        <v>0.05</v>
      </c>
      <c r="N1606" s="464">
        <f t="shared" si="135"/>
        <v>99926</v>
      </c>
    </row>
    <row r="1607" spans="7:14" ht="11.25" customHeight="1" x14ac:dyDescent="0.25">
      <c r="G1607" s="459"/>
      <c r="H1607" s="459">
        <v>1600</v>
      </c>
      <c r="I1607" s="444">
        <f t="shared" ca="1" si="133"/>
        <v>-357379844.9130969</v>
      </c>
      <c r="J1607" s="444">
        <f t="array" ref="J1607">IFERROR(INDEX('Retirement Calculator'!J:J,MATCH('Isaac 401k'!N1607,'Retirement Calculator'!A:A,0),0),0)</f>
        <v>0</v>
      </c>
      <c r="K1607" s="444">
        <f t="shared" ca="1" si="131"/>
        <v>-1489082.6871379036</v>
      </c>
      <c r="L1607" s="444">
        <f t="shared" ca="1" si="132"/>
        <v>-358868927.60023481</v>
      </c>
      <c r="M1607" s="460">
        <f t="shared" si="134"/>
        <v>0.05</v>
      </c>
      <c r="N1607" s="464">
        <f t="shared" si="135"/>
        <v>99957</v>
      </c>
    </row>
    <row r="1608" spans="7:14" ht="11.25" customHeight="1" x14ac:dyDescent="0.25">
      <c r="G1608" s="459"/>
      <c r="H1608" s="459">
        <v>1601</v>
      </c>
      <c r="I1608" s="444">
        <f t="shared" ca="1" si="133"/>
        <v>-358868927.60023481</v>
      </c>
      <c r="J1608" s="444">
        <f t="array" ref="J1608">IFERROR(INDEX('Retirement Calculator'!J:J,MATCH('Isaac 401k'!N1608,'Retirement Calculator'!A:A,0),0),0)</f>
        <v>0</v>
      </c>
      <c r="K1608" s="444">
        <f t="shared" ca="1" si="131"/>
        <v>-1495287.1983343116</v>
      </c>
      <c r="L1608" s="444">
        <f t="shared" ca="1" si="132"/>
        <v>-360364214.79856914</v>
      </c>
      <c r="M1608" s="460">
        <f t="shared" si="134"/>
        <v>0.05</v>
      </c>
      <c r="N1608" s="464">
        <f t="shared" si="135"/>
        <v>99987</v>
      </c>
    </row>
    <row r="1609" spans="7:14" ht="11.25" customHeight="1" x14ac:dyDescent="0.25">
      <c r="G1609" s="459"/>
      <c r="H1609" s="459">
        <v>1602</v>
      </c>
      <c r="I1609" s="444">
        <f t="shared" ca="1" si="133"/>
        <v>-360364214.79856914</v>
      </c>
      <c r="J1609" s="444">
        <f t="array" ref="J1609">IFERROR(INDEX('Retirement Calculator'!J:J,MATCH('Isaac 401k'!N1609,'Retirement Calculator'!A:A,0),0),0)</f>
        <v>0</v>
      </c>
      <c r="K1609" s="444">
        <f t="shared" ca="1" si="131"/>
        <v>-1501517.5616607047</v>
      </c>
      <c r="L1609" s="444">
        <f t="shared" ca="1" si="132"/>
        <v>-361865732.36022985</v>
      </c>
      <c r="M1609" s="460">
        <f t="shared" si="134"/>
        <v>0.05</v>
      </c>
      <c r="N1609" s="464">
        <f t="shared" si="135"/>
        <v>100018</v>
      </c>
    </row>
    <row r="1610" spans="7:14" ht="11.25" customHeight="1" x14ac:dyDescent="0.25">
      <c r="G1610" s="459"/>
      <c r="H1610" s="459">
        <v>1603</v>
      </c>
      <c r="I1610" s="444">
        <f t="shared" ca="1" si="133"/>
        <v>-361865732.36022985</v>
      </c>
      <c r="J1610" s="444">
        <f t="array" ref="J1610">IFERROR(INDEX('Retirement Calculator'!J:J,MATCH('Isaac 401k'!N1610,'Retirement Calculator'!A:A,0),0),0)</f>
        <v>0</v>
      </c>
      <c r="K1610" s="444">
        <f t="shared" ca="1" si="131"/>
        <v>-1507773.8848342909</v>
      </c>
      <c r="L1610" s="444">
        <f t="shared" ca="1" si="132"/>
        <v>-363373506.24506414</v>
      </c>
      <c r="M1610" s="460">
        <f t="shared" si="134"/>
        <v>0.05</v>
      </c>
      <c r="N1610" s="464">
        <f t="shared" si="135"/>
        <v>100048</v>
      </c>
    </row>
    <row r="1611" spans="7:14" ht="11.25" customHeight="1" x14ac:dyDescent="0.25">
      <c r="G1611" s="459"/>
      <c r="H1611" s="459">
        <v>1604</v>
      </c>
      <c r="I1611" s="444">
        <f t="shared" ca="1" si="133"/>
        <v>-363373506.24506414</v>
      </c>
      <c r="J1611" s="444">
        <f t="array" ref="J1611">IFERROR(INDEX('Retirement Calculator'!J:J,MATCH('Isaac 401k'!N1611,'Retirement Calculator'!A:A,0),0),0)</f>
        <v>0</v>
      </c>
      <c r="K1611" s="444">
        <f t="shared" ca="1" si="131"/>
        <v>-1514056.2760211006</v>
      </c>
      <c r="L1611" s="444">
        <f t="shared" ca="1" si="132"/>
        <v>-364887562.52108526</v>
      </c>
      <c r="M1611" s="460">
        <f t="shared" si="134"/>
        <v>0.05</v>
      </c>
      <c r="N1611" s="464">
        <f t="shared" si="135"/>
        <v>100079</v>
      </c>
    </row>
    <row r="1612" spans="7:14" ht="11.25" customHeight="1" x14ac:dyDescent="0.25">
      <c r="G1612" s="459"/>
      <c r="H1612" s="459">
        <v>1605</v>
      </c>
      <c r="I1612" s="444">
        <f t="shared" ca="1" si="133"/>
        <v>-364887562.52108526</v>
      </c>
      <c r="J1612" s="444">
        <f t="array" ref="J1612">IFERROR(INDEX('Retirement Calculator'!J:J,MATCH('Isaac 401k'!N1612,'Retirement Calculator'!A:A,0),0),0)</f>
        <v>0</v>
      </c>
      <c r="K1612" s="444">
        <f t="shared" ca="1" si="131"/>
        <v>-1520364.8438378552</v>
      </c>
      <c r="L1612" s="444">
        <f t="shared" ca="1" si="132"/>
        <v>-366407927.36492312</v>
      </c>
      <c r="M1612" s="460">
        <f t="shared" si="134"/>
        <v>0.05</v>
      </c>
      <c r="N1612" s="464">
        <f t="shared" si="135"/>
        <v>100110</v>
      </c>
    </row>
    <row r="1613" spans="7:14" ht="11.25" customHeight="1" x14ac:dyDescent="0.25">
      <c r="G1613" s="459"/>
      <c r="H1613" s="459">
        <v>1606</v>
      </c>
      <c r="I1613" s="444">
        <f t="shared" ca="1" si="133"/>
        <v>-366407927.36492312</v>
      </c>
      <c r="J1613" s="444">
        <f t="array" ref="J1613">IFERROR(INDEX('Retirement Calculator'!J:J,MATCH('Isaac 401k'!N1613,'Retirement Calculator'!A:A,0),0),0)</f>
        <v>0</v>
      </c>
      <c r="K1613" s="444">
        <f t="shared" ca="1" si="131"/>
        <v>-1526699.6973538464</v>
      </c>
      <c r="L1613" s="444">
        <f t="shared" ca="1" si="132"/>
        <v>-367934627.06227696</v>
      </c>
      <c r="M1613" s="460">
        <f t="shared" si="134"/>
        <v>0.05</v>
      </c>
      <c r="N1613" s="464">
        <f t="shared" si="135"/>
        <v>100138</v>
      </c>
    </row>
    <row r="1614" spans="7:14" ht="11.25" customHeight="1" x14ac:dyDescent="0.25">
      <c r="G1614" s="459"/>
      <c r="H1614" s="459">
        <v>1607</v>
      </c>
      <c r="I1614" s="444">
        <f t="shared" ca="1" si="133"/>
        <v>-367934627.06227696</v>
      </c>
      <c r="J1614" s="444">
        <f t="array" ref="J1614">IFERROR(INDEX('Retirement Calculator'!J:J,MATCH('Isaac 401k'!N1614,'Retirement Calculator'!A:A,0),0),0)</f>
        <v>0</v>
      </c>
      <c r="K1614" s="444">
        <f t="shared" ca="1" si="131"/>
        <v>-1533060.9460928207</v>
      </c>
      <c r="L1614" s="444">
        <f t="shared" ca="1" si="132"/>
        <v>-369467688.0083698</v>
      </c>
      <c r="M1614" s="460">
        <f t="shared" si="134"/>
        <v>0.05</v>
      </c>
      <c r="N1614" s="464">
        <f t="shared" si="135"/>
        <v>100169</v>
      </c>
    </row>
    <row r="1615" spans="7:14" ht="11.25" customHeight="1" x14ac:dyDescent="0.25">
      <c r="G1615" s="459"/>
      <c r="H1615" s="459">
        <v>1608</v>
      </c>
      <c r="I1615" s="444">
        <f t="shared" ca="1" si="133"/>
        <v>-369467688.0083698</v>
      </c>
      <c r="J1615" s="444">
        <f t="array" ref="J1615">IFERROR(INDEX('Retirement Calculator'!J:J,MATCH('Isaac 401k'!N1615,'Retirement Calculator'!A:A,0),0),0)</f>
        <v>0</v>
      </c>
      <c r="K1615" s="444">
        <f t="shared" ca="1" si="131"/>
        <v>-1539448.7000348743</v>
      </c>
      <c r="L1615" s="444">
        <f t="shared" ca="1" si="132"/>
        <v>-371007136.70840466</v>
      </c>
      <c r="M1615" s="460">
        <f t="shared" si="134"/>
        <v>0.05</v>
      </c>
      <c r="N1615" s="464">
        <f t="shared" si="135"/>
        <v>100199</v>
      </c>
    </row>
    <row r="1616" spans="7:14" ht="11.25" customHeight="1" x14ac:dyDescent="0.25">
      <c r="G1616" s="459"/>
      <c r="H1616" s="459">
        <v>1609</v>
      </c>
      <c r="I1616" s="444">
        <f t="shared" ca="1" si="133"/>
        <v>-371007136.70840466</v>
      </c>
      <c r="J1616" s="444">
        <f t="array" ref="J1616">IFERROR(INDEX('Retirement Calculator'!J:J,MATCH('Isaac 401k'!N1616,'Retirement Calculator'!A:A,0),0),0)</f>
        <v>0</v>
      </c>
      <c r="K1616" s="444">
        <f t="shared" ca="1" si="131"/>
        <v>-1545863.0696183527</v>
      </c>
      <c r="L1616" s="444">
        <f t="shared" ca="1" si="132"/>
        <v>-372552999.778023</v>
      </c>
      <c r="M1616" s="460">
        <f t="shared" si="134"/>
        <v>0.05</v>
      </c>
      <c r="N1616" s="464">
        <f t="shared" si="135"/>
        <v>100230</v>
      </c>
    </row>
    <row r="1617" spans="7:14" ht="11.25" customHeight="1" x14ac:dyDescent="0.25">
      <c r="G1617" s="459"/>
      <c r="H1617" s="459">
        <v>1610</v>
      </c>
      <c r="I1617" s="444">
        <f t="shared" ca="1" si="133"/>
        <v>-372552999.778023</v>
      </c>
      <c r="J1617" s="444">
        <f t="array" ref="J1617">IFERROR(INDEX('Retirement Calculator'!J:J,MATCH('Isaac 401k'!N1617,'Retirement Calculator'!A:A,0),0),0)</f>
        <v>0</v>
      </c>
      <c r="K1617" s="444">
        <f t="shared" ca="1" si="131"/>
        <v>-1552304.1657417626</v>
      </c>
      <c r="L1617" s="444">
        <f t="shared" ca="1" si="132"/>
        <v>-374105303.94376475</v>
      </c>
      <c r="M1617" s="460">
        <f t="shared" si="134"/>
        <v>0.05</v>
      </c>
      <c r="N1617" s="464">
        <f t="shared" si="135"/>
        <v>100260</v>
      </c>
    </row>
    <row r="1618" spans="7:14" ht="11.25" customHeight="1" x14ac:dyDescent="0.25">
      <c r="G1618" s="459"/>
      <c r="H1618" s="459">
        <v>1611</v>
      </c>
      <c r="I1618" s="444">
        <f t="shared" ca="1" si="133"/>
        <v>-374105303.94376475</v>
      </c>
      <c r="J1618" s="444">
        <f t="array" ref="J1618">IFERROR(INDEX('Retirement Calculator'!J:J,MATCH('Isaac 401k'!N1618,'Retirement Calculator'!A:A,0),0),0)</f>
        <v>0</v>
      </c>
      <c r="K1618" s="444">
        <f t="shared" ca="1" si="131"/>
        <v>-1558772.0997656863</v>
      </c>
      <c r="L1618" s="444">
        <f t="shared" ca="1" si="132"/>
        <v>-375664076.0435304</v>
      </c>
      <c r="M1618" s="460">
        <f t="shared" si="134"/>
        <v>0.05</v>
      </c>
      <c r="N1618" s="464">
        <f t="shared" si="135"/>
        <v>100291</v>
      </c>
    </row>
    <row r="1619" spans="7:14" ht="11.25" customHeight="1" x14ac:dyDescent="0.25">
      <c r="G1619" s="459"/>
      <c r="H1619" s="459">
        <v>1612</v>
      </c>
      <c r="I1619" s="444">
        <f t="shared" ca="1" si="133"/>
        <v>-375664076.0435304</v>
      </c>
      <c r="J1619" s="444">
        <f t="array" ref="J1619">IFERROR(INDEX('Retirement Calculator'!J:J,MATCH('Isaac 401k'!N1619,'Retirement Calculator'!A:A,0),0),0)</f>
        <v>0</v>
      </c>
      <c r="K1619" s="444">
        <f t="shared" ca="1" si="131"/>
        <v>-1565266.9835147101</v>
      </c>
      <c r="L1619" s="444">
        <f t="shared" ca="1" si="132"/>
        <v>-377229343.02704513</v>
      </c>
      <c r="M1619" s="460">
        <f t="shared" si="134"/>
        <v>0.05</v>
      </c>
      <c r="N1619" s="464">
        <f t="shared" si="135"/>
        <v>100322</v>
      </c>
    </row>
    <row r="1620" spans="7:14" ht="11.25" customHeight="1" x14ac:dyDescent="0.25">
      <c r="G1620" s="459"/>
      <c r="H1620" s="459">
        <v>1613</v>
      </c>
      <c r="I1620" s="444">
        <f t="shared" ca="1" si="133"/>
        <v>-377229343.02704513</v>
      </c>
      <c r="J1620" s="444">
        <f t="array" ref="J1620">IFERROR(INDEX('Retirement Calculator'!J:J,MATCH('Isaac 401k'!N1620,'Retirement Calculator'!A:A,0),0),0)</f>
        <v>0</v>
      </c>
      <c r="K1620" s="444">
        <f t="shared" ca="1" si="131"/>
        <v>-1571788.9292793546</v>
      </c>
      <c r="L1620" s="444">
        <f t="shared" ca="1" si="132"/>
        <v>-378801131.95632446</v>
      </c>
      <c r="M1620" s="460">
        <f t="shared" si="134"/>
        <v>0.05</v>
      </c>
      <c r="N1620" s="464">
        <f t="shared" si="135"/>
        <v>100352</v>
      </c>
    </row>
    <row r="1621" spans="7:14" ht="11.25" customHeight="1" x14ac:dyDescent="0.25">
      <c r="G1621" s="459"/>
      <c r="H1621" s="459">
        <v>1614</v>
      </c>
      <c r="I1621" s="444">
        <f t="shared" ca="1" si="133"/>
        <v>-378801131.95632446</v>
      </c>
      <c r="J1621" s="444">
        <f t="array" ref="J1621">IFERROR(INDEX('Retirement Calculator'!J:J,MATCH('Isaac 401k'!N1621,'Retirement Calculator'!A:A,0),0),0)</f>
        <v>0</v>
      </c>
      <c r="K1621" s="444">
        <f t="shared" ca="1" si="131"/>
        <v>-1578338.0498180185</v>
      </c>
      <c r="L1621" s="444">
        <f t="shared" ca="1" si="132"/>
        <v>-380379470.0061425</v>
      </c>
      <c r="M1621" s="460">
        <f t="shared" si="134"/>
        <v>0.05</v>
      </c>
      <c r="N1621" s="464">
        <f t="shared" si="135"/>
        <v>100383</v>
      </c>
    </row>
    <row r="1622" spans="7:14" ht="11.25" customHeight="1" x14ac:dyDescent="0.25">
      <c r="G1622" s="459"/>
      <c r="H1622" s="459">
        <v>1615</v>
      </c>
      <c r="I1622" s="444">
        <f t="shared" ca="1" si="133"/>
        <v>-380379470.0061425</v>
      </c>
      <c r="J1622" s="444">
        <f t="array" ref="J1622">IFERROR(INDEX('Retirement Calculator'!J:J,MATCH('Isaac 401k'!N1622,'Retirement Calculator'!A:A,0),0),0)</f>
        <v>0</v>
      </c>
      <c r="K1622" s="444">
        <f t="shared" ca="1" si="131"/>
        <v>-1584914.4583589272</v>
      </c>
      <c r="L1622" s="444">
        <f t="shared" ca="1" si="132"/>
        <v>-381964384.46450144</v>
      </c>
      <c r="M1622" s="460">
        <f t="shared" si="134"/>
        <v>0.05</v>
      </c>
      <c r="N1622" s="464">
        <f t="shared" si="135"/>
        <v>100413</v>
      </c>
    </row>
    <row r="1623" spans="7:14" ht="11.25" customHeight="1" x14ac:dyDescent="0.25">
      <c r="G1623" s="459"/>
      <c r="H1623" s="459">
        <v>1616</v>
      </c>
      <c r="I1623" s="444">
        <f t="shared" ca="1" si="133"/>
        <v>-381964384.46450144</v>
      </c>
      <c r="J1623" s="444">
        <f t="array" ref="J1623">IFERROR(INDEX('Retirement Calculator'!J:J,MATCH('Isaac 401k'!N1623,'Retirement Calculator'!A:A,0),0),0)</f>
        <v>0</v>
      </c>
      <c r="K1623" s="444">
        <f t="shared" ca="1" si="131"/>
        <v>-1591518.2686020893</v>
      </c>
      <c r="L1623" s="444">
        <f t="shared" ca="1" si="132"/>
        <v>-383555902.73310351</v>
      </c>
      <c r="M1623" s="460">
        <f t="shared" si="134"/>
        <v>0.05</v>
      </c>
      <c r="N1623" s="464">
        <f t="shared" si="135"/>
        <v>100444</v>
      </c>
    </row>
    <row r="1624" spans="7:14" ht="11.25" customHeight="1" x14ac:dyDescent="0.25">
      <c r="G1624" s="459"/>
      <c r="H1624" s="459">
        <v>1617</v>
      </c>
      <c r="I1624" s="444">
        <f t="shared" ca="1" si="133"/>
        <v>-383555902.73310351</v>
      </c>
      <c r="J1624" s="444">
        <f t="array" ref="J1624">IFERROR(INDEX('Retirement Calculator'!J:J,MATCH('Isaac 401k'!N1624,'Retirement Calculator'!A:A,0),0),0)</f>
        <v>0</v>
      </c>
      <c r="K1624" s="444">
        <f t="shared" ca="1" si="131"/>
        <v>-1598149.5947212647</v>
      </c>
      <c r="L1624" s="444">
        <f t="shared" ca="1" si="132"/>
        <v>-385154052.32782477</v>
      </c>
      <c r="M1624" s="460">
        <f t="shared" si="134"/>
        <v>0.05</v>
      </c>
      <c r="N1624" s="464">
        <f t="shared" si="135"/>
        <v>100475</v>
      </c>
    </row>
    <row r="1625" spans="7:14" ht="11.25" customHeight="1" x14ac:dyDescent="0.25">
      <c r="G1625" s="459"/>
      <c r="H1625" s="459">
        <v>1618</v>
      </c>
      <c r="I1625" s="444">
        <f t="shared" ca="1" si="133"/>
        <v>-385154052.32782477</v>
      </c>
      <c r="J1625" s="444">
        <f t="array" ref="J1625">IFERROR(INDEX('Retirement Calculator'!J:J,MATCH('Isaac 401k'!N1625,'Retirement Calculator'!A:A,0),0),0)</f>
        <v>0</v>
      </c>
      <c r="K1625" s="444">
        <f t="shared" ca="1" si="131"/>
        <v>-1604808.5513659366</v>
      </c>
      <c r="L1625" s="444">
        <f t="shared" ca="1" si="132"/>
        <v>-386758860.87919068</v>
      </c>
      <c r="M1625" s="460">
        <f t="shared" si="134"/>
        <v>0.05</v>
      </c>
      <c r="N1625" s="464">
        <f t="shared" si="135"/>
        <v>100503</v>
      </c>
    </row>
    <row r="1626" spans="7:14" ht="11.25" customHeight="1" x14ac:dyDescent="0.25">
      <c r="G1626" s="459"/>
      <c r="H1626" s="459">
        <v>1619</v>
      </c>
      <c r="I1626" s="444">
        <f t="shared" ca="1" si="133"/>
        <v>-386758860.87919068</v>
      </c>
      <c r="J1626" s="444">
        <f t="array" ref="J1626">IFERROR(INDEX('Retirement Calculator'!J:J,MATCH('Isaac 401k'!N1626,'Retirement Calculator'!A:A,0),0),0)</f>
        <v>0</v>
      </c>
      <c r="K1626" s="444">
        <f t="shared" ca="1" si="131"/>
        <v>-1611495.2536632945</v>
      </c>
      <c r="L1626" s="444">
        <f t="shared" ca="1" si="132"/>
        <v>-388370356.13285398</v>
      </c>
      <c r="M1626" s="460">
        <f t="shared" si="134"/>
        <v>0.05</v>
      </c>
      <c r="N1626" s="464">
        <f t="shared" si="135"/>
        <v>100534</v>
      </c>
    </row>
    <row r="1627" spans="7:14" ht="11.25" customHeight="1" x14ac:dyDescent="0.25">
      <c r="G1627" s="459"/>
      <c r="H1627" s="459">
        <v>1620</v>
      </c>
      <c r="I1627" s="444">
        <f t="shared" ca="1" si="133"/>
        <v>-388370356.13285398</v>
      </c>
      <c r="J1627" s="444">
        <f t="array" ref="J1627">IFERROR(INDEX('Retirement Calculator'!J:J,MATCH('Isaac 401k'!N1627,'Retirement Calculator'!A:A,0),0),0)</f>
        <v>0</v>
      </c>
      <c r="K1627" s="444">
        <f t="shared" ca="1" si="131"/>
        <v>-1618209.817220225</v>
      </c>
      <c r="L1627" s="444">
        <f t="shared" ca="1" si="132"/>
        <v>-389988565.9500742</v>
      </c>
      <c r="M1627" s="460">
        <f t="shared" si="134"/>
        <v>0.05</v>
      </c>
      <c r="N1627" s="464">
        <f t="shared" si="135"/>
        <v>100564</v>
      </c>
    </row>
    <row r="1628" spans="7:14" ht="11.25" customHeight="1" x14ac:dyDescent="0.25">
      <c r="G1628" s="459"/>
      <c r="H1628" s="459">
        <v>1621</v>
      </c>
      <c r="I1628" s="444">
        <f t="shared" ca="1" si="133"/>
        <v>-389988565.9500742</v>
      </c>
      <c r="J1628" s="444">
        <f t="array" ref="J1628">IFERROR(INDEX('Retirement Calculator'!J:J,MATCH('Isaac 401k'!N1628,'Retirement Calculator'!A:A,0),0),0)</f>
        <v>0</v>
      </c>
      <c r="K1628" s="444">
        <f t="shared" ca="1" si="131"/>
        <v>-1624952.3581253092</v>
      </c>
      <c r="L1628" s="444">
        <f t="shared" ca="1" si="132"/>
        <v>-391613518.30819952</v>
      </c>
      <c r="M1628" s="460">
        <f t="shared" si="134"/>
        <v>0.05</v>
      </c>
      <c r="N1628" s="464">
        <f t="shared" si="135"/>
        <v>100595</v>
      </c>
    </row>
    <row r="1629" spans="7:14" ht="11.25" customHeight="1" x14ac:dyDescent="0.25">
      <c r="G1629" s="459"/>
      <c r="H1629" s="459">
        <v>1622</v>
      </c>
      <c r="I1629" s="444">
        <f t="shared" ca="1" si="133"/>
        <v>-391613518.30819952</v>
      </c>
      <c r="J1629" s="444">
        <f t="array" ref="J1629">IFERROR(INDEX('Retirement Calculator'!J:J,MATCH('Isaac 401k'!N1629,'Retirement Calculator'!A:A,0),0),0)</f>
        <v>0</v>
      </c>
      <c r="K1629" s="444">
        <f t="shared" ca="1" si="131"/>
        <v>-1631722.9929508313</v>
      </c>
      <c r="L1629" s="444">
        <f t="shared" ca="1" si="132"/>
        <v>-393245241.30115038</v>
      </c>
      <c r="M1629" s="460">
        <f t="shared" si="134"/>
        <v>0.05</v>
      </c>
      <c r="N1629" s="464">
        <f t="shared" si="135"/>
        <v>100625</v>
      </c>
    </row>
    <row r="1630" spans="7:14" ht="11.25" customHeight="1" x14ac:dyDescent="0.25">
      <c r="G1630" s="459"/>
      <c r="H1630" s="459">
        <v>1623</v>
      </c>
      <c r="I1630" s="444">
        <f t="shared" ca="1" si="133"/>
        <v>-393245241.30115038</v>
      </c>
      <c r="J1630" s="444">
        <f t="array" ref="J1630">IFERROR(INDEX('Retirement Calculator'!J:J,MATCH('Isaac 401k'!N1630,'Retirement Calculator'!A:A,0),0),0)</f>
        <v>0</v>
      </c>
      <c r="K1630" s="444">
        <f t="shared" ca="1" si="131"/>
        <v>-1638521.8387547932</v>
      </c>
      <c r="L1630" s="444">
        <f t="shared" ca="1" si="132"/>
        <v>-394883763.13990515</v>
      </c>
      <c r="M1630" s="460">
        <f t="shared" si="134"/>
        <v>0.05</v>
      </c>
      <c r="N1630" s="464">
        <f t="shared" si="135"/>
        <v>100656</v>
      </c>
    </row>
    <row r="1631" spans="7:14" ht="11.25" customHeight="1" x14ac:dyDescent="0.25">
      <c r="G1631" s="459"/>
      <c r="H1631" s="459">
        <v>1624</v>
      </c>
      <c r="I1631" s="444">
        <f t="shared" ca="1" si="133"/>
        <v>-394883763.13990515</v>
      </c>
      <c r="J1631" s="444">
        <f t="array" ref="J1631">IFERROR(INDEX('Retirement Calculator'!J:J,MATCH('Isaac 401k'!N1631,'Retirement Calculator'!A:A,0),0),0)</f>
        <v>0</v>
      </c>
      <c r="K1631" s="444">
        <f t="shared" ca="1" si="131"/>
        <v>-1645349.013082938</v>
      </c>
      <c r="L1631" s="444">
        <f t="shared" ca="1" si="132"/>
        <v>-396529112.15298808</v>
      </c>
      <c r="M1631" s="460">
        <f t="shared" si="134"/>
        <v>0.05</v>
      </c>
      <c r="N1631" s="464">
        <f t="shared" si="135"/>
        <v>100687</v>
      </c>
    </row>
    <row r="1632" spans="7:14" ht="11.25" customHeight="1" x14ac:dyDescent="0.25">
      <c r="G1632" s="459"/>
      <c r="H1632" s="459">
        <v>1625</v>
      </c>
      <c r="I1632" s="444">
        <f t="shared" ca="1" si="133"/>
        <v>-396529112.15298808</v>
      </c>
      <c r="J1632" s="444">
        <f t="array" ref="J1632">IFERROR(INDEX('Retirement Calculator'!J:J,MATCH('Isaac 401k'!N1632,'Retirement Calculator'!A:A,0),0),0)</f>
        <v>0</v>
      </c>
      <c r="K1632" s="444">
        <f t="shared" ca="1" si="131"/>
        <v>-1652204.6339707836</v>
      </c>
      <c r="L1632" s="444">
        <f t="shared" ca="1" si="132"/>
        <v>-398181316.78695887</v>
      </c>
      <c r="M1632" s="460">
        <f t="shared" si="134"/>
        <v>0.05</v>
      </c>
      <c r="N1632" s="464">
        <f t="shared" si="135"/>
        <v>100717</v>
      </c>
    </row>
    <row r="1633" spans="7:14" ht="11.25" customHeight="1" x14ac:dyDescent="0.25">
      <c r="G1633" s="459"/>
      <c r="H1633" s="459">
        <v>1626</v>
      </c>
      <c r="I1633" s="444">
        <f t="shared" ca="1" si="133"/>
        <v>-398181316.78695887</v>
      </c>
      <c r="J1633" s="444">
        <f t="array" ref="J1633">IFERROR(INDEX('Retirement Calculator'!J:J,MATCH('Isaac 401k'!N1633,'Retirement Calculator'!A:A,0),0),0)</f>
        <v>0</v>
      </c>
      <c r="K1633" s="444">
        <f t="shared" ca="1" si="131"/>
        <v>-1659088.819945662</v>
      </c>
      <c r="L1633" s="444">
        <f t="shared" ca="1" si="132"/>
        <v>-399840405.60690451</v>
      </c>
      <c r="M1633" s="460">
        <f t="shared" si="134"/>
        <v>0.05</v>
      </c>
      <c r="N1633" s="464">
        <f t="shared" si="135"/>
        <v>100748</v>
      </c>
    </row>
    <row r="1634" spans="7:14" ht="11.25" customHeight="1" x14ac:dyDescent="0.25">
      <c r="G1634" s="459"/>
      <c r="H1634" s="459">
        <v>1627</v>
      </c>
      <c r="I1634" s="444">
        <f t="shared" ca="1" si="133"/>
        <v>-399840405.60690451</v>
      </c>
      <c r="J1634" s="444">
        <f t="array" ref="J1634">IFERROR(INDEX('Retirement Calculator'!J:J,MATCH('Isaac 401k'!N1634,'Retirement Calculator'!A:A,0),0),0)</f>
        <v>0</v>
      </c>
      <c r="K1634" s="444">
        <f t="shared" ca="1" si="131"/>
        <v>-1666001.6900287687</v>
      </c>
      <c r="L1634" s="444">
        <f t="shared" ca="1" si="132"/>
        <v>-401506407.29693329</v>
      </c>
      <c r="M1634" s="460">
        <f t="shared" si="134"/>
        <v>0.05</v>
      </c>
      <c r="N1634" s="464">
        <f t="shared" si="135"/>
        <v>100778</v>
      </c>
    </row>
    <row r="1635" spans="7:14" ht="11.25" customHeight="1" x14ac:dyDescent="0.25">
      <c r="G1635" s="459"/>
      <c r="H1635" s="459">
        <v>1628</v>
      </c>
      <c r="I1635" s="444">
        <f t="shared" ca="1" si="133"/>
        <v>-401506407.29693329</v>
      </c>
      <c r="J1635" s="444">
        <f t="array" ref="J1635">IFERROR(INDEX('Retirement Calculator'!J:J,MATCH('Isaac 401k'!N1635,'Retirement Calculator'!A:A,0),0),0)</f>
        <v>0</v>
      </c>
      <c r="K1635" s="444">
        <f t="shared" ca="1" si="131"/>
        <v>-1672943.363737222</v>
      </c>
      <c r="L1635" s="444">
        <f t="shared" ca="1" si="132"/>
        <v>-403179350.66067052</v>
      </c>
      <c r="M1635" s="460">
        <f t="shared" si="134"/>
        <v>0.05</v>
      </c>
      <c r="N1635" s="464">
        <f t="shared" si="135"/>
        <v>100809</v>
      </c>
    </row>
    <row r="1636" spans="7:14" ht="11.25" customHeight="1" x14ac:dyDescent="0.25">
      <c r="G1636" s="459"/>
      <c r="H1636" s="459">
        <v>1629</v>
      </c>
      <c r="I1636" s="444">
        <f t="shared" ca="1" si="133"/>
        <v>-403179350.66067052</v>
      </c>
      <c r="J1636" s="444">
        <f t="array" ref="J1636">IFERROR(INDEX('Retirement Calculator'!J:J,MATCH('Isaac 401k'!N1636,'Retirement Calculator'!A:A,0),0),0)</f>
        <v>0</v>
      </c>
      <c r="K1636" s="444">
        <f t="shared" ca="1" si="131"/>
        <v>-1679913.9610861272</v>
      </c>
      <c r="L1636" s="444">
        <f t="shared" ca="1" si="132"/>
        <v>-404859264.62175667</v>
      </c>
      <c r="M1636" s="460">
        <f t="shared" si="134"/>
        <v>0.05</v>
      </c>
      <c r="N1636" s="464">
        <f t="shared" si="135"/>
        <v>100840</v>
      </c>
    </row>
    <row r="1637" spans="7:14" ht="11.25" customHeight="1" x14ac:dyDescent="0.25">
      <c r="G1637" s="459"/>
      <c r="H1637" s="459">
        <v>1630</v>
      </c>
      <c r="I1637" s="444">
        <f t="shared" ca="1" si="133"/>
        <v>-404859264.62175667</v>
      </c>
      <c r="J1637" s="444">
        <f t="array" ref="J1637">IFERROR(INDEX('Retirement Calculator'!J:J,MATCH('Isaac 401k'!N1637,'Retirement Calculator'!A:A,0),0),0)</f>
        <v>0</v>
      </c>
      <c r="K1637" s="444">
        <f t="shared" ca="1" si="131"/>
        <v>-1686913.6025906529</v>
      </c>
      <c r="L1637" s="444">
        <f t="shared" ca="1" si="132"/>
        <v>-406546178.22434735</v>
      </c>
      <c r="M1637" s="460">
        <f t="shared" si="134"/>
        <v>0.05</v>
      </c>
      <c r="N1637" s="464">
        <f t="shared" si="135"/>
        <v>100869</v>
      </c>
    </row>
    <row r="1638" spans="7:14" ht="11.25" customHeight="1" x14ac:dyDescent="0.25">
      <c r="G1638" s="459"/>
      <c r="H1638" s="459">
        <v>1631</v>
      </c>
      <c r="I1638" s="444">
        <f t="shared" ca="1" si="133"/>
        <v>-406546178.22434735</v>
      </c>
      <c r="J1638" s="444">
        <f t="array" ref="J1638">IFERROR(INDEX('Retirement Calculator'!J:J,MATCH('Isaac 401k'!N1638,'Retirement Calculator'!A:A,0),0),0)</f>
        <v>0</v>
      </c>
      <c r="K1638" s="444">
        <f t="shared" ca="1" si="131"/>
        <v>-1693942.409268114</v>
      </c>
      <c r="L1638" s="444">
        <f t="shared" ca="1" si="132"/>
        <v>-408240120.63361549</v>
      </c>
      <c r="M1638" s="460">
        <f t="shared" si="134"/>
        <v>0.05</v>
      </c>
      <c r="N1638" s="464">
        <f t="shared" si="135"/>
        <v>100900</v>
      </c>
    </row>
    <row r="1639" spans="7:14" ht="11.25" customHeight="1" x14ac:dyDescent="0.25">
      <c r="G1639" s="459"/>
      <c r="H1639" s="459">
        <v>1632</v>
      </c>
      <c r="I1639" s="444">
        <f t="shared" ca="1" si="133"/>
        <v>-408240120.63361549</v>
      </c>
      <c r="J1639" s="444">
        <f t="array" ref="J1639">IFERROR(INDEX('Retirement Calculator'!J:J,MATCH('Isaac 401k'!N1639,'Retirement Calculator'!A:A,0),0),0)</f>
        <v>0</v>
      </c>
      <c r="K1639" s="444">
        <f t="shared" ca="1" si="131"/>
        <v>-1701000.5026400646</v>
      </c>
      <c r="L1639" s="444">
        <f t="shared" ca="1" si="132"/>
        <v>-409941121.13625556</v>
      </c>
      <c r="M1639" s="460">
        <f t="shared" si="134"/>
        <v>0.05</v>
      </c>
      <c r="N1639" s="464">
        <f t="shared" si="135"/>
        <v>100930</v>
      </c>
    </row>
    <row r="1640" spans="7:14" ht="11.25" customHeight="1" x14ac:dyDescent="0.25">
      <c r="G1640" s="459"/>
      <c r="H1640" s="459">
        <v>1633</v>
      </c>
      <c r="I1640" s="444">
        <f t="shared" ca="1" si="133"/>
        <v>-409941121.13625556</v>
      </c>
      <c r="J1640" s="444">
        <f t="array" ref="J1640">IFERROR(INDEX('Retirement Calculator'!J:J,MATCH('Isaac 401k'!N1640,'Retirement Calculator'!A:A,0),0),0)</f>
        <v>0</v>
      </c>
      <c r="K1640" s="444">
        <f t="shared" ca="1" si="131"/>
        <v>-1708088.0047343981</v>
      </c>
      <c r="L1640" s="444">
        <f t="shared" ca="1" si="132"/>
        <v>-411649209.14098996</v>
      </c>
      <c r="M1640" s="460">
        <f t="shared" si="134"/>
        <v>0.05</v>
      </c>
      <c r="N1640" s="464">
        <f t="shared" si="135"/>
        <v>100961</v>
      </c>
    </row>
    <row r="1641" spans="7:14" ht="11.25" customHeight="1" x14ac:dyDescent="0.25">
      <c r="G1641" s="459"/>
      <c r="H1641" s="459">
        <v>1634</v>
      </c>
      <c r="I1641" s="444">
        <f t="shared" ca="1" si="133"/>
        <v>-411649209.14098996</v>
      </c>
      <c r="J1641" s="444">
        <f t="array" ref="J1641">IFERROR(INDEX('Retirement Calculator'!J:J,MATCH('Isaac 401k'!N1641,'Retirement Calculator'!A:A,0),0),0)</f>
        <v>0</v>
      </c>
      <c r="K1641" s="444">
        <f t="shared" ca="1" si="131"/>
        <v>-1715205.0380874581</v>
      </c>
      <c r="L1641" s="444">
        <f t="shared" ca="1" si="132"/>
        <v>-413364414.17907745</v>
      </c>
      <c r="M1641" s="460">
        <f t="shared" si="134"/>
        <v>0.05</v>
      </c>
      <c r="N1641" s="464">
        <f t="shared" si="135"/>
        <v>100991</v>
      </c>
    </row>
    <row r="1642" spans="7:14" ht="11.25" customHeight="1" x14ac:dyDescent="0.25">
      <c r="G1642" s="459"/>
      <c r="H1642" s="459">
        <v>1635</v>
      </c>
      <c r="I1642" s="444">
        <f t="shared" ca="1" si="133"/>
        <v>-413364414.17907745</v>
      </c>
      <c r="J1642" s="444">
        <f t="array" ref="J1642">IFERROR(INDEX('Retirement Calculator'!J:J,MATCH('Isaac 401k'!N1642,'Retirement Calculator'!A:A,0),0),0)</f>
        <v>0</v>
      </c>
      <c r="K1642" s="444">
        <f t="shared" ca="1" si="131"/>
        <v>-1722351.7257461559</v>
      </c>
      <c r="L1642" s="444">
        <f t="shared" ca="1" si="132"/>
        <v>-415086765.9048236</v>
      </c>
      <c r="M1642" s="460">
        <f t="shared" si="134"/>
        <v>0.05</v>
      </c>
      <c r="N1642" s="464">
        <f t="shared" si="135"/>
        <v>101022</v>
      </c>
    </row>
    <row r="1643" spans="7:14" ht="11.25" customHeight="1" x14ac:dyDescent="0.25">
      <c r="G1643" s="459"/>
      <c r="H1643" s="459">
        <v>1636</v>
      </c>
      <c r="I1643" s="444">
        <f t="shared" ca="1" si="133"/>
        <v>-415086765.9048236</v>
      </c>
      <c r="J1643" s="444">
        <f t="array" ref="J1643">IFERROR(INDEX('Retirement Calculator'!J:J,MATCH('Isaac 401k'!N1643,'Retirement Calculator'!A:A,0),0),0)</f>
        <v>0</v>
      </c>
      <c r="K1643" s="444">
        <f t="shared" ca="1" si="131"/>
        <v>-1729528.1912700983</v>
      </c>
      <c r="L1643" s="444">
        <f t="shared" ca="1" si="132"/>
        <v>-416816294.09609371</v>
      </c>
      <c r="M1643" s="460">
        <f t="shared" si="134"/>
        <v>0.05</v>
      </c>
      <c r="N1643" s="464">
        <f t="shared" si="135"/>
        <v>101053</v>
      </c>
    </row>
    <row r="1644" spans="7:14" ht="11.25" customHeight="1" x14ac:dyDescent="0.25">
      <c r="G1644" s="459"/>
      <c r="H1644" s="459">
        <v>1637</v>
      </c>
      <c r="I1644" s="444">
        <f t="shared" ca="1" si="133"/>
        <v>-416816294.09609371</v>
      </c>
      <c r="J1644" s="444">
        <f t="array" ref="J1644">IFERROR(INDEX('Retirement Calculator'!J:J,MATCH('Isaac 401k'!N1644,'Retirement Calculator'!A:A,0),0),0)</f>
        <v>0</v>
      </c>
      <c r="K1644" s="444">
        <f t="shared" ca="1" si="131"/>
        <v>-1736734.5587337238</v>
      </c>
      <c r="L1644" s="444">
        <f t="shared" ca="1" si="132"/>
        <v>-418553028.65482742</v>
      </c>
      <c r="M1644" s="460">
        <f t="shared" si="134"/>
        <v>0.05</v>
      </c>
      <c r="N1644" s="464">
        <f t="shared" si="135"/>
        <v>101083</v>
      </c>
    </row>
    <row r="1645" spans="7:14" ht="11.25" customHeight="1" x14ac:dyDescent="0.25">
      <c r="G1645" s="459"/>
      <c r="H1645" s="459">
        <v>1638</v>
      </c>
      <c r="I1645" s="444">
        <f t="shared" ca="1" si="133"/>
        <v>-418553028.65482742</v>
      </c>
      <c r="J1645" s="444">
        <f t="array" ref="J1645">IFERROR(INDEX('Retirement Calculator'!J:J,MATCH('Isaac 401k'!N1645,'Retirement Calculator'!A:A,0),0),0)</f>
        <v>0</v>
      </c>
      <c r="K1645" s="444">
        <f t="shared" ca="1" si="131"/>
        <v>-1743970.9527284477</v>
      </c>
      <c r="L1645" s="444">
        <f t="shared" ca="1" si="132"/>
        <v>-420296999.60755587</v>
      </c>
      <c r="M1645" s="460">
        <f t="shared" si="134"/>
        <v>0.05</v>
      </c>
      <c r="N1645" s="464">
        <f t="shared" si="135"/>
        <v>101114</v>
      </c>
    </row>
    <row r="1646" spans="7:14" ht="11.25" customHeight="1" x14ac:dyDescent="0.25">
      <c r="G1646" s="459"/>
      <c r="H1646" s="459">
        <v>1639</v>
      </c>
      <c r="I1646" s="444">
        <f t="shared" ca="1" si="133"/>
        <v>-420296999.60755587</v>
      </c>
      <c r="J1646" s="444">
        <f t="array" ref="J1646">IFERROR(INDEX('Retirement Calculator'!J:J,MATCH('Isaac 401k'!N1646,'Retirement Calculator'!A:A,0),0),0)</f>
        <v>0</v>
      </c>
      <c r="K1646" s="444">
        <f t="shared" ca="1" si="131"/>
        <v>-1751237.4983648157</v>
      </c>
      <c r="L1646" s="444">
        <f t="shared" ca="1" si="132"/>
        <v>-422048237.10592067</v>
      </c>
      <c r="M1646" s="460">
        <f t="shared" si="134"/>
        <v>0.05</v>
      </c>
      <c r="N1646" s="464">
        <f t="shared" si="135"/>
        <v>101144</v>
      </c>
    </row>
    <row r="1647" spans="7:14" ht="11.25" customHeight="1" x14ac:dyDescent="0.25">
      <c r="G1647" s="459"/>
      <c r="H1647" s="459">
        <v>1640</v>
      </c>
      <c r="I1647" s="444">
        <f t="shared" ca="1" si="133"/>
        <v>-422048237.10592067</v>
      </c>
      <c r="J1647" s="444">
        <f t="array" ref="J1647">IFERROR(INDEX('Retirement Calculator'!J:J,MATCH('Isaac 401k'!N1647,'Retirement Calculator'!A:A,0),0),0)</f>
        <v>0</v>
      </c>
      <c r="K1647" s="444">
        <f t="shared" ca="1" si="131"/>
        <v>-1758534.3212746696</v>
      </c>
      <c r="L1647" s="444">
        <f t="shared" ca="1" si="132"/>
        <v>-423806771.42719537</v>
      </c>
      <c r="M1647" s="460">
        <f t="shared" si="134"/>
        <v>0.05</v>
      </c>
      <c r="N1647" s="464">
        <f t="shared" si="135"/>
        <v>101175</v>
      </c>
    </row>
    <row r="1648" spans="7:14" ht="11.25" customHeight="1" x14ac:dyDescent="0.25">
      <c r="G1648" s="459"/>
      <c r="H1648" s="459">
        <v>1641</v>
      </c>
      <c r="I1648" s="444">
        <f t="shared" ca="1" si="133"/>
        <v>-423806771.42719537</v>
      </c>
      <c r="J1648" s="444">
        <f t="array" ref="J1648">IFERROR(INDEX('Retirement Calculator'!J:J,MATCH('Isaac 401k'!N1648,'Retirement Calculator'!A:A,0),0),0)</f>
        <v>0</v>
      </c>
      <c r="K1648" s="444">
        <f t="shared" ca="1" si="131"/>
        <v>-1765861.5476133141</v>
      </c>
      <c r="L1648" s="444">
        <f t="shared" ca="1" si="132"/>
        <v>-425572632.97480869</v>
      </c>
      <c r="M1648" s="460">
        <f t="shared" si="134"/>
        <v>0.05</v>
      </c>
      <c r="N1648" s="464">
        <f t="shared" si="135"/>
        <v>101206</v>
      </c>
    </row>
    <row r="1649" spans="7:14" ht="11.25" customHeight="1" x14ac:dyDescent="0.25">
      <c r="G1649" s="459"/>
      <c r="H1649" s="459">
        <v>1642</v>
      </c>
      <c r="I1649" s="444">
        <f t="shared" ca="1" si="133"/>
        <v>-425572632.97480869</v>
      </c>
      <c r="J1649" s="444">
        <f t="array" ref="J1649">IFERROR(INDEX('Retirement Calculator'!J:J,MATCH('Isaac 401k'!N1649,'Retirement Calculator'!A:A,0),0),0)</f>
        <v>0</v>
      </c>
      <c r="K1649" s="444">
        <f t="shared" ca="1" si="131"/>
        <v>-1773219.3040617027</v>
      </c>
      <c r="L1649" s="444">
        <f t="shared" ca="1" si="132"/>
        <v>-427345852.2788704</v>
      </c>
      <c r="M1649" s="460">
        <f t="shared" si="134"/>
        <v>0.05</v>
      </c>
      <c r="N1649" s="464">
        <f t="shared" si="135"/>
        <v>101234</v>
      </c>
    </row>
    <row r="1650" spans="7:14" ht="11.25" customHeight="1" x14ac:dyDescent="0.25">
      <c r="G1650" s="459"/>
      <c r="H1650" s="459">
        <v>1643</v>
      </c>
      <c r="I1650" s="444">
        <f t="shared" ca="1" si="133"/>
        <v>-427345852.2788704</v>
      </c>
      <c r="J1650" s="444">
        <f t="array" ref="J1650">IFERROR(INDEX('Retirement Calculator'!J:J,MATCH('Isaac 401k'!N1650,'Retirement Calculator'!A:A,0),0),0)</f>
        <v>0</v>
      </c>
      <c r="K1650" s="444">
        <f t="shared" ca="1" si="131"/>
        <v>-1780607.7178286265</v>
      </c>
      <c r="L1650" s="444">
        <f t="shared" ca="1" si="132"/>
        <v>-429126459.99669904</v>
      </c>
      <c r="M1650" s="460">
        <f t="shared" si="134"/>
        <v>0.05</v>
      </c>
      <c r="N1650" s="464">
        <f t="shared" si="135"/>
        <v>101265</v>
      </c>
    </row>
    <row r="1651" spans="7:14" ht="11.25" customHeight="1" x14ac:dyDescent="0.25">
      <c r="G1651" s="459"/>
      <c r="H1651" s="459">
        <v>1644</v>
      </c>
      <c r="I1651" s="444">
        <f t="shared" ca="1" si="133"/>
        <v>-429126459.99669904</v>
      </c>
      <c r="J1651" s="444">
        <f t="array" ref="J1651">IFERROR(INDEX('Retirement Calculator'!J:J,MATCH('Isaac 401k'!N1651,'Retirement Calculator'!A:A,0),0),0)</f>
        <v>0</v>
      </c>
      <c r="K1651" s="444">
        <f t="shared" ca="1" si="131"/>
        <v>-1788026.916652913</v>
      </c>
      <c r="L1651" s="444">
        <f t="shared" ca="1" si="132"/>
        <v>-430914486.91335195</v>
      </c>
      <c r="M1651" s="460">
        <f t="shared" si="134"/>
        <v>0.05</v>
      </c>
      <c r="N1651" s="464">
        <f t="shared" si="135"/>
        <v>101295</v>
      </c>
    </row>
    <row r="1652" spans="7:14" ht="11.25" customHeight="1" x14ac:dyDescent="0.25">
      <c r="G1652" s="459"/>
      <c r="H1652" s="459">
        <v>1645</v>
      </c>
      <c r="I1652" s="444">
        <f t="shared" ca="1" si="133"/>
        <v>-430914486.91335195</v>
      </c>
      <c r="J1652" s="444">
        <f t="array" ref="J1652">IFERROR(INDEX('Retirement Calculator'!J:J,MATCH('Isaac 401k'!N1652,'Retirement Calculator'!A:A,0),0),0)</f>
        <v>0</v>
      </c>
      <c r="K1652" s="444">
        <f t="shared" ca="1" si="131"/>
        <v>-1795477.0288056331</v>
      </c>
      <c r="L1652" s="444">
        <f t="shared" ca="1" si="132"/>
        <v>-432709963.94215757</v>
      </c>
      <c r="M1652" s="460">
        <f t="shared" si="134"/>
        <v>0.05</v>
      </c>
      <c r="N1652" s="464">
        <f t="shared" si="135"/>
        <v>101326</v>
      </c>
    </row>
    <row r="1653" spans="7:14" ht="11.25" customHeight="1" x14ac:dyDescent="0.25">
      <c r="G1653" s="459"/>
      <c r="H1653" s="459">
        <v>1646</v>
      </c>
      <c r="I1653" s="444">
        <f t="shared" ca="1" si="133"/>
        <v>-432709963.94215757</v>
      </c>
      <c r="J1653" s="444">
        <f t="array" ref="J1653">IFERROR(INDEX('Retirement Calculator'!J:J,MATCH('Isaac 401k'!N1653,'Retirement Calculator'!A:A,0),0),0)</f>
        <v>0</v>
      </c>
      <c r="K1653" s="444">
        <f t="shared" ca="1" si="131"/>
        <v>-1802958.1830923234</v>
      </c>
      <c r="L1653" s="444">
        <f t="shared" ca="1" si="132"/>
        <v>-434512922.12524986</v>
      </c>
      <c r="M1653" s="460">
        <f t="shared" si="134"/>
        <v>0.05</v>
      </c>
      <c r="N1653" s="464">
        <f t="shared" si="135"/>
        <v>101356</v>
      </c>
    </row>
    <row r="1654" spans="7:14" ht="11.25" customHeight="1" x14ac:dyDescent="0.25">
      <c r="G1654" s="459"/>
      <c r="H1654" s="459">
        <v>1647</v>
      </c>
      <c r="I1654" s="444">
        <f t="shared" ca="1" si="133"/>
        <v>-434512922.12524986</v>
      </c>
      <c r="J1654" s="444">
        <f t="array" ref="J1654">IFERROR(INDEX('Retirement Calculator'!J:J,MATCH('Isaac 401k'!N1654,'Retirement Calculator'!A:A,0),0),0)</f>
        <v>0</v>
      </c>
      <c r="K1654" s="444">
        <f t="shared" ca="1" si="131"/>
        <v>-1810470.5088552076</v>
      </c>
      <c r="L1654" s="444">
        <f t="shared" ca="1" si="132"/>
        <v>-436323392.63410509</v>
      </c>
      <c r="M1654" s="460">
        <f t="shared" si="134"/>
        <v>0.05</v>
      </c>
      <c r="N1654" s="464">
        <f t="shared" si="135"/>
        <v>101387</v>
      </c>
    </row>
    <row r="1655" spans="7:14" ht="11.25" customHeight="1" x14ac:dyDescent="0.25">
      <c r="G1655" s="459"/>
      <c r="H1655" s="459">
        <v>1648</v>
      </c>
      <c r="I1655" s="444">
        <f t="shared" ca="1" si="133"/>
        <v>-436323392.63410509</v>
      </c>
      <c r="J1655" s="444">
        <f t="array" ref="J1655">IFERROR(INDEX('Retirement Calculator'!J:J,MATCH('Isaac 401k'!N1655,'Retirement Calculator'!A:A,0),0),0)</f>
        <v>0</v>
      </c>
      <c r="K1655" s="444">
        <f t="shared" ca="1" si="131"/>
        <v>-1818014.1359754379</v>
      </c>
      <c r="L1655" s="444">
        <f t="shared" ca="1" si="132"/>
        <v>-438141406.77008051</v>
      </c>
      <c r="M1655" s="460">
        <f t="shared" si="134"/>
        <v>0.05</v>
      </c>
      <c r="N1655" s="464">
        <f t="shared" si="135"/>
        <v>101418</v>
      </c>
    </row>
    <row r="1656" spans="7:14" ht="11.25" customHeight="1" x14ac:dyDescent="0.25">
      <c r="G1656" s="459"/>
      <c r="H1656" s="459">
        <v>1649</v>
      </c>
      <c r="I1656" s="444">
        <f t="shared" ca="1" si="133"/>
        <v>-438141406.77008051</v>
      </c>
      <c r="J1656" s="444">
        <f t="array" ref="J1656">IFERROR(INDEX('Retirement Calculator'!J:J,MATCH('Isaac 401k'!N1656,'Retirement Calculator'!A:A,0),0),0)</f>
        <v>0</v>
      </c>
      <c r="K1656" s="444">
        <f t="shared" ca="1" si="131"/>
        <v>-1825589.1948753351</v>
      </c>
      <c r="L1656" s="444">
        <f t="shared" ca="1" si="132"/>
        <v>-439966995.96495587</v>
      </c>
      <c r="M1656" s="460">
        <f t="shared" si="134"/>
        <v>0.05</v>
      </c>
      <c r="N1656" s="464">
        <f t="shared" si="135"/>
        <v>101448</v>
      </c>
    </row>
    <row r="1657" spans="7:14" ht="11.25" customHeight="1" x14ac:dyDescent="0.25">
      <c r="G1657" s="459"/>
      <c r="H1657" s="459">
        <v>1650</v>
      </c>
      <c r="I1657" s="444">
        <f t="shared" ca="1" si="133"/>
        <v>-439966995.96495587</v>
      </c>
      <c r="J1657" s="444">
        <f t="array" ref="J1657">IFERROR(INDEX('Retirement Calculator'!J:J,MATCH('Isaac 401k'!N1657,'Retirement Calculator'!A:A,0),0),0)</f>
        <v>0</v>
      </c>
      <c r="K1657" s="444">
        <f t="shared" ca="1" si="131"/>
        <v>-1833195.8165206495</v>
      </c>
      <c r="L1657" s="444">
        <f t="shared" ca="1" si="132"/>
        <v>-441800191.7814765</v>
      </c>
      <c r="M1657" s="460">
        <f t="shared" si="134"/>
        <v>0.05</v>
      </c>
      <c r="N1657" s="464">
        <f t="shared" si="135"/>
        <v>101479</v>
      </c>
    </row>
    <row r="1658" spans="7:14" ht="11.25" customHeight="1" x14ac:dyDescent="0.25">
      <c r="G1658" s="459"/>
      <c r="H1658" s="459">
        <v>1651</v>
      </c>
      <c r="I1658" s="444">
        <f t="shared" ca="1" si="133"/>
        <v>-441800191.7814765</v>
      </c>
      <c r="J1658" s="444">
        <f t="array" ref="J1658">IFERROR(INDEX('Retirement Calculator'!J:J,MATCH('Isaac 401k'!N1658,'Retirement Calculator'!A:A,0),0),0)</f>
        <v>0</v>
      </c>
      <c r="K1658" s="444">
        <f t="shared" ca="1" si="131"/>
        <v>-1840834.1324228186</v>
      </c>
      <c r="L1658" s="444">
        <f t="shared" ca="1" si="132"/>
        <v>-443641025.9138993</v>
      </c>
      <c r="M1658" s="460">
        <f t="shared" si="134"/>
        <v>0.05</v>
      </c>
      <c r="N1658" s="464">
        <f t="shared" si="135"/>
        <v>101509</v>
      </c>
    </row>
    <row r="1659" spans="7:14" ht="11.25" customHeight="1" x14ac:dyDescent="0.25">
      <c r="G1659" s="459"/>
      <c r="H1659" s="459">
        <v>1652</v>
      </c>
      <c r="I1659" s="444">
        <f t="shared" ca="1" si="133"/>
        <v>-443641025.9138993</v>
      </c>
      <c r="J1659" s="444">
        <f t="array" ref="J1659">IFERROR(INDEX('Retirement Calculator'!J:J,MATCH('Isaac 401k'!N1659,'Retirement Calculator'!A:A,0),0),0)</f>
        <v>0</v>
      </c>
      <c r="K1659" s="444">
        <f t="shared" ca="1" si="131"/>
        <v>-1848504.274641247</v>
      </c>
      <c r="L1659" s="444">
        <f t="shared" ca="1" si="132"/>
        <v>-445489530.18854058</v>
      </c>
      <c r="M1659" s="460">
        <f t="shared" si="134"/>
        <v>0.05</v>
      </c>
      <c r="N1659" s="464">
        <f t="shared" si="135"/>
        <v>101540</v>
      </c>
    </row>
    <row r="1660" spans="7:14" ht="11.25" customHeight="1" x14ac:dyDescent="0.25">
      <c r="G1660" s="459"/>
      <c r="H1660" s="459">
        <v>1653</v>
      </c>
      <c r="I1660" s="444">
        <f t="shared" ca="1" si="133"/>
        <v>-445489530.18854058</v>
      </c>
      <c r="J1660" s="444">
        <f t="array" ref="J1660">IFERROR(INDEX('Retirement Calculator'!J:J,MATCH('Isaac 401k'!N1660,'Retirement Calculator'!A:A,0),0),0)</f>
        <v>0</v>
      </c>
      <c r="K1660" s="444">
        <f t="shared" ca="1" si="131"/>
        <v>-1856206.3757855855</v>
      </c>
      <c r="L1660" s="444">
        <f t="shared" ca="1" si="132"/>
        <v>-447345736.56432617</v>
      </c>
      <c r="M1660" s="460">
        <f t="shared" si="134"/>
        <v>0.05</v>
      </c>
      <c r="N1660" s="464">
        <f t="shared" si="135"/>
        <v>101571</v>
      </c>
    </row>
    <row r="1661" spans="7:14" ht="11.25" customHeight="1" x14ac:dyDescent="0.25">
      <c r="G1661" s="459"/>
      <c r="H1661" s="459">
        <v>1654</v>
      </c>
      <c r="I1661" s="444">
        <f t="shared" ca="1" si="133"/>
        <v>-447345736.56432617</v>
      </c>
      <c r="J1661" s="444">
        <f t="array" ref="J1661">IFERROR(INDEX('Retirement Calculator'!J:J,MATCH('Isaac 401k'!N1661,'Retirement Calculator'!A:A,0),0),0)</f>
        <v>0</v>
      </c>
      <c r="K1661" s="444">
        <f t="shared" ca="1" si="131"/>
        <v>-1863940.5690180256</v>
      </c>
      <c r="L1661" s="444">
        <f t="shared" ca="1" si="132"/>
        <v>-449209677.13334417</v>
      </c>
      <c r="M1661" s="460">
        <f t="shared" si="134"/>
        <v>0.05</v>
      </c>
      <c r="N1661" s="464">
        <f t="shared" si="135"/>
        <v>101599</v>
      </c>
    </row>
    <row r="1662" spans="7:14" ht="11.25" customHeight="1" x14ac:dyDescent="0.25">
      <c r="G1662" s="459"/>
      <c r="H1662" s="459">
        <v>1655</v>
      </c>
      <c r="I1662" s="444">
        <f t="shared" ca="1" si="133"/>
        <v>-449209677.13334417</v>
      </c>
      <c r="J1662" s="444">
        <f t="array" ref="J1662">IFERROR(INDEX('Retirement Calculator'!J:J,MATCH('Isaac 401k'!N1662,'Retirement Calculator'!A:A,0),0),0)</f>
        <v>0</v>
      </c>
      <c r="K1662" s="444">
        <f t="shared" ca="1" si="131"/>
        <v>-1871706.9880556008</v>
      </c>
      <c r="L1662" s="444">
        <f t="shared" ca="1" si="132"/>
        <v>-451081384.12139976</v>
      </c>
      <c r="M1662" s="460">
        <f t="shared" si="134"/>
        <v>0.05</v>
      </c>
      <c r="N1662" s="464">
        <f t="shared" si="135"/>
        <v>101630</v>
      </c>
    </row>
    <row r="1663" spans="7:14" ht="11.25" customHeight="1" x14ac:dyDescent="0.25">
      <c r="G1663" s="459"/>
      <c r="H1663" s="459">
        <v>1656</v>
      </c>
      <c r="I1663" s="444">
        <f t="shared" ca="1" si="133"/>
        <v>-451081384.12139976</v>
      </c>
      <c r="J1663" s="444">
        <f t="array" ref="J1663">IFERROR(INDEX('Retirement Calculator'!J:J,MATCH('Isaac 401k'!N1663,'Retirement Calculator'!A:A,0),0),0)</f>
        <v>0</v>
      </c>
      <c r="K1663" s="444">
        <f t="shared" ca="1" si="131"/>
        <v>-1879505.7671724986</v>
      </c>
      <c r="L1663" s="444">
        <f t="shared" ca="1" si="132"/>
        <v>-452960889.88857228</v>
      </c>
      <c r="M1663" s="460">
        <f t="shared" si="134"/>
        <v>0.05</v>
      </c>
      <c r="N1663" s="464">
        <f t="shared" si="135"/>
        <v>101660</v>
      </c>
    </row>
    <row r="1664" spans="7:14" ht="11.25" customHeight="1" x14ac:dyDescent="0.25">
      <c r="G1664" s="459"/>
      <c r="H1664" s="459">
        <v>1657</v>
      </c>
      <c r="I1664" s="444">
        <f t="shared" ca="1" si="133"/>
        <v>-452960889.88857228</v>
      </c>
      <c r="J1664" s="444">
        <f t="array" ref="J1664">IFERROR(INDEX('Retirement Calculator'!J:J,MATCH('Isaac 401k'!N1664,'Retirement Calculator'!A:A,0),0),0)</f>
        <v>0</v>
      </c>
      <c r="K1664" s="444">
        <f t="shared" ca="1" si="131"/>
        <v>-1887337.0412023847</v>
      </c>
      <c r="L1664" s="444">
        <f t="shared" ca="1" si="132"/>
        <v>-454848226.92977464</v>
      </c>
      <c r="M1664" s="460">
        <f t="shared" si="134"/>
        <v>0.05</v>
      </c>
      <c r="N1664" s="464">
        <f t="shared" si="135"/>
        <v>101691</v>
      </c>
    </row>
    <row r="1665" spans="7:14" ht="11.25" customHeight="1" x14ac:dyDescent="0.25">
      <c r="G1665" s="459"/>
      <c r="H1665" s="459">
        <v>1658</v>
      </c>
      <c r="I1665" s="444">
        <f t="shared" ca="1" si="133"/>
        <v>-454848226.92977464</v>
      </c>
      <c r="J1665" s="444">
        <f t="array" ref="J1665">IFERROR(INDEX('Retirement Calculator'!J:J,MATCH('Isaac 401k'!N1665,'Retirement Calculator'!A:A,0),0),0)</f>
        <v>0</v>
      </c>
      <c r="K1665" s="444">
        <f t="shared" ca="1" si="131"/>
        <v>-1895200.9455407276</v>
      </c>
      <c r="L1665" s="444">
        <f t="shared" ca="1" si="132"/>
        <v>-456743427.87531537</v>
      </c>
      <c r="M1665" s="460">
        <f t="shared" si="134"/>
        <v>0.05</v>
      </c>
      <c r="N1665" s="464">
        <f t="shared" si="135"/>
        <v>101721</v>
      </c>
    </row>
    <row r="1666" spans="7:14" ht="11.25" customHeight="1" x14ac:dyDescent="0.25">
      <c r="G1666" s="459"/>
      <c r="H1666" s="459">
        <v>1659</v>
      </c>
      <c r="I1666" s="444">
        <f t="shared" ca="1" si="133"/>
        <v>-456743427.87531537</v>
      </c>
      <c r="J1666" s="444">
        <f t="array" ref="J1666">IFERROR(INDEX('Retirement Calculator'!J:J,MATCH('Isaac 401k'!N1666,'Retirement Calculator'!A:A,0),0),0)</f>
        <v>0</v>
      </c>
      <c r="K1666" s="444">
        <f t="shared" ca="1" si="131"/>
        <v>-1903097.6161471475</v>
      </c>
      <c r="L1666" s="444">
        <f t="shared" ca="1" si="132"/>
        <v>-458646525.49146253</v>
      </c>
      <c r="M1666" s="460">
        <f t="shared" si="134"/>
        <v>0.05</v>
      </c>
      <c r="N1666" s="464">
        <f t="shared" si="135"/>
        <v>101752</v>
      </c>
    </row>
    <row r="1667" spans="7:14" ht="11.25" customHeight="1" x14ac:dyDescent="0.25">
      <c r="G1667" s="459"/>
      <c r="H1667" s="459">
        <v>1660</v>
      </c>
      <c r="I1667" s="444">
        <f t="shared" ca="1" si="133"/>
        <v>-458646525.49146253</v>
      </c>
      <c r="J1667" s="444">
        <f t="array" ref="J1667">IFERROR(INDEX('Retirement Calculator'!J:J,MATCH('Isaac 401k'!N1667,'Retirement Calculator'!A:A,0),0),0)</f>
        <v>0</v>
      </c>
      <c r="K1667" s="444">
        <f t="shared" ca="1" si="131"/>
        <v>-1911027.1895477604</v>
      </c>
      <c r="L1667" s="444">
        <f t="shared" ca="1" si="132"/>
        <v>-460557552.68101031</v>
      </c>
      <c r="M1667" s="460">
        <f t="shared" si="134"/>
        <v>0.05</v>
      </c>
      <c r="N1667" s="464">
        <f t="shared" si="135"/>
        <v>101783</v>
      </c>
    </row>
    <row r="1668" spans="7:14" ht="11.25" customHeight="1" x14ac:dyDescent="0.25">
      <c r="G1668" s="459"/>
      <c r="H1668" s="459">
        <v>1661</v>
      </c>
      <c r="I1668" s="444">
        <f t="shared" ca="1" si="133"/>
        <v>-460557552.68101031</v>
      </c>
      <c r="J1668" s="444">
        <f t="array" ref="J1668">IFERROR(INDEX('Retirement Calculator'!J:J,MATCH('Isaac 401k'!N1668,'Retirement Calculator'!A:A,0),0),0)</f>
        <v>0</v>
      </c>
      <c r="K1668" s="444">
        <f t="shared" ca="1" si="131"/>
        <v>-1918989.802837543</v>
      </c>
      <c r="L1668" s="444">
        <f t="shared" ca="1" si="132"/>
        <v>-462476542.48384786</v>
      </c>
      <c r="M1668" s="460">
        <f t="shared" si="134"/>
        <v>0.05</v>
      </c>
      <c r="N1668" s="464">
        <f t="shared" si="135"/>
        <v>101813</v>
      </c>
    </row>
    <row r="1669" spans="7:14" ht="11.25" customHeight="1" x14ac:dyDescent="0.25">
      <c r="G1669" s="459"/>
      <c r="H1669" s="459">
        <v>1662</v>
      </c>
      <c r="I1669" s="444">
        <f t="shared" ca="1" si="133"/>
        <v>-462476542.48384786</v>
      </c>
      <c r="J1669" s="444">
        <f t="array" ref="J1669">IFERROR(INDEX('Retirement Calculator'!J:J,MATCH('Isaac 401k'!N1669,'Retirement Calculator'!A:A,0),0),0)</f>
        <v>0</v>
      </c>
      <c r="K1669" s="444">
        <f t="shared" ca="1" si="131"/>
        <v>-1926985.5936826991</v>
      </c>
      <c r="L1669" s="444">
        <f t="shared" ca="1" si="132"/>
        <v>-464403528.07753056</v>
      </c>
      <c r="M1669" s="460">
        <f t="shared" si="134"/>
        <v>0.05</v>
      </c>
      <c r="N1669" s="464">
        <f t="shared" si="135"/>
        <v>101844</v>
      </c>
    </row>
    <row r="1670" spans="7:14" ht="11.25" customHeight="1" x14ac:dyDescent="0.25">
      <c r="G1670" s="459"/>
      <c r="H1670" s="459">
        <v>1663</v>
      </c>
      <c r="I1670" s="444">
        <f t="shared" ca="1" si="133"/>
        <v>-464403528.07753056</v>
      </c>
      <c r="J1670" s="444">
        <f t="array" ref="J1670">IFERROR(INDEX('Retirement Calculator'!J:J,MATCH('Isaac 401k'!N1670,'Retirement Calculator'!A:A,0),0),0)</f>
        <v>0</v>
      </c>
      <c r="K1670" s="444">
        <f t="shared" ca="1" si="131"/>
        <v>-1935014.7003230441</v>
      </c>
      <c r="L1670" s="444">
        <f t="shared" ca="1" si="132"/>
        <v>-466338542.77785361</v>
      </c>
      <c r="M1670" s="460">
        <f t="shared" si="134"/>
        <v>0.05</v>
      </c>
      <c r="N1670" s="464">
        <f t="shared" si="135"/>
        <v>101874</v>
      </c>
    </row>
    <row r="1671" spans="7:14" ht="11.25" customHeight="1" x14ac:dyDescent="0.25">
      <c r="G1671" s="459"/>
      <c r="H1671" s="459">
        <v>1664</v>
      </c>
      <c r="I1671" s="444">
        <f t="shared" ca="1" si="133"/>
        <v>-466338542.77785361</v>
      </c>
      <c r="J1671" s="444">
        <f t="array" ref="J1671">IFERROR(INDEX('Retirement Calculator'!J:J,MATCH('Isaac 401k'!N1671,'Retirement Calculator'!A:A,0),0),0)</f>
        <v>0</v>
      </c>
      <c r="K1671" s="444">
        <f t="shared" ca="1" si="131"/>
        <v>-1943077.2615743901</v>
      </c>
      <c r="L1671" s="444">
        <f t="shared" ca="1" si="132"/>
        <v>-468281620.039428</v>
      </c>
      <c r="M1671" s="460">
        <f t="shared" si="134"/>
        <v>0.05</v>
      </c>
      <c r="N1671" s="464">
        <f t="shared" si="135"/>
        <v>101905</v>
      </c>
    </row>
    <row r="1672" spans="7:14" ht="11.25" customHeight="1" x14ac:dyDescent="0.25">
      <c r="G1672" s="459"/>
      <c r="H1672" s="459">
        <v>1665</v>
      </c>
      <c r="I1672" s="444">
        <f t="shared" ca="1" si="133"/>
        <v>-468281620.039428</v>
      </c>
      <c r="J1672" s="444">
        <f t="array" ref="J1672">IFERROR(INDEX('Retirement Calculator'!J:J,MATCH('Isaac 401k'!N1672,'Retirement Calculator'!A:A,0),0),0)</f>
        <v>0</v>
      </c>
      <c r="K1672" s="444">
        <f t="shared" ca="1" si="131"/>
        <v>-1951173.41683095</v>
      </c>
      <c r="L1672" s="444">
        <f t="shared" ca="1" si="132"/>
        <v>-470232793.45625895</v>
      </c>
      <c r="M1672" s="460">
        <f t="shared" si="134"/>
        <v>0.05</v>
      </c>
      <c r="N1672" s="464">
        <f t="shared" si="135"/>
        <v>101936</v>
      </c>
    </row>
    <row r="1673" spans="7:14" ht="11.25" customHeight="1" x14ac:dyDescent="0.25">
      <c r="G1673" s="459"/>
      <c r="H1673" s="459">
        <v>1666</v>
      </c>
      <c r="I1673" s="444">
        <f t="shared" ca="1" si="133"/>
        <v>-470232793.45625895</v>
      </c>
      <c r="J1673" s="444">
        <f t="array" ref="J1673">IFERROR(INDEX('Retirement Calculator'!J:J,MATCH('Isaac 401k'!N1673,'Retirement Calculator'!A:A,0),0),0)</f>
        <v>0</v>
      </c>
      <c r="K1673" s="444">
        <f t="shared" ca="1" si="131"/>
        <v>-1959303.3060677457</v>
      </c>
      <c r="L1673" s="444">
        <f t="shared" ca="1" si="132"/>
        <v>-472192096.76232672</v>
      </c>
      <c r="M1673" s="460">
        <f t="shared" si="134"/>
        <v>0.05</v>
      </c>
      <c r="N1673" s="464">
        <f t="shared" si="135"/>
        <v>101964</v>
      </c>
    </row>
    <row r="1674" spans="7:14" ht="11.25" customHeight="1" x14ac:dyDescent="0.25">
      <c r="G1674" s="459"/>
      <c r="H1674" s="459">
        <v>1667</v>
      </c>
      <c r="I1674" s="444">
        <f t="shared" ca="1" si="133"/>
        <v>-472192096.76232672</v>
      </c>
      <c r="J1674" s="444">
        <f t="array" ref="J1674">IFERROR(INDEX('Retirement Calculator'!J:J,MATCH('Isaac 401k'!N1674,'Retirement Calculator'!A:A,0),0),0)</f>
        <v>0</v>
      </c>
      <c r="K1674" s="444">
        <f t="shared" ca="1" si="131"/>
        <v>-1967467.069843028</v>
      </c>
      <c r="L1674" s="444">
        <f t="shared" ca="1" si="132"/>
        <v>-474159563.83216977</v>
      </c>
      <c r="M1674" s="460">
        <f t="shared" si="134"/>
        <v>0.05</v>
      </c>
      <c r="N1674" s="464">
        <f t="shared" si="135"/>
        <v>101995</v>
      </c>
    </row>
    <row r="1675" spans="7:14" ht="11.25" customHeight="1" x14ac:dyDescent="0.25">
      <c r="G1675" s="459"/>
      <c r="H1675" s="459">
        <v>1668</v>
      </c>
      <c r="I1675" s="444">
        <f t="shared" ca="1" si="133"/>
        <v>-474159563.83216977</v>
      </c>
      <c r="J1675" s="444">
        <f t="array" ref="J1675">IFERROR(INDEX('Retirement Calculator'!J:J,MATCH('Isaac 401k'!N1675,'Retirement Calculator'!A:A,0),0),0)</f>
        <v>0</v>
      </c>
      <c r="K1675" s="444">
        <f t="shared" ca="1" si="131"/>
        <v>-1975664.8493007075</v>
      </c>
      <c r="L1675" s="444">
        <f t="shared" ca="1" si="132"/>
        <v>-476135228.68147045</v>
      </c>
      <c r="M1675" s="460">
        <f t="shared" si="134"/>
        <v>0.05</v>
      </c>
      <c r="N1675" s="464">
        <f t="shared" si="135"/>
        <v>102025</v>
      </c>
    </row>
    <row r="1676" spans="7:14" ht="11.25" customHeight="1" x14ac:dyDescent="0.25">
      <c r="G1676" s="459"/>
      <c r="H1676" s="459">
        <v>1669</v>
      </c>
      <c r="I1676" s="444">
        <f t="shared" ca="1" si="133"/>
        <v>-476135228.68147045</v>
      </c>
      <c r="J1676" s="444">
        <f t="array" ref="J1676">IFERROR(INDEX('Retirement Calculator'!J:J,MATCH('Isaac 401k'!N1676,'Retirement Calculator'!A:A,0),0),0)</f>
        <v>0</v>
      </c>
      <c r="K1676" s="444">
        <f t="shared" ca="1" si="131"/>
        <v>-1983896.7861727935</v>
      </c>
      <c r="L1676" s="444">
        <f t="shared" ca="1" si="132"/>
        <v>-478119125.46764326</v>
      </c>
      <c r="M1676" s="460">
        <f t="shared" si="134"/>
        <v>0.05</v>
      </c>
      <c r="N1676" s="464">
        <f t="shared" si="135"/>
        <v>102056</v>
      </c>
    </row>
    <row r="1677" spans="7:14" ht="11.25" customHeight="1" x14ac:dyDescent="0.25">
      <c r="G1677" s="459"/>
      <c r="H1677" s="459">
        <v>1670</v>
      </c>
      <c r="I1677" s="444">
        <f t="shared" ca="1" si="133"/>
        <v>-478119125.46764326</v>
      </c>
      <c r="J1677" s="444">
        <f t="array" ref="J1677">IFERROR(INDEX('Retirement Calculator'!J:J,MATCH('Isaac 401k'!N1677,'Retirement Calculator'!A:A,0),0),0)</f>
        <v>0</v>
      </c>
      <c r="K1677" s="444">
        <f t="shared" ca="1" si="131"/>
        <v>-1992163.022781847</v>
      </c>
      <c r="L1677" s="444">
        <f t="shared" ca="1" si="132"/>
        <v>-480111288.49042511</v>
      </c>
      <c r="M1677" s="460">
        <f t="shared" si="134"/>
        <v>0.05</v>
      </c>
      <c r="N1677" s="464">
        <f t="shared" si="135"/>
        <v>102086</v>
      </c>
    </row>
    <row r="1678" spans="7:14" ht="11.25" customHeight="1" x14ac:dyDescent="0.25">
      <c r="G1678" s="459"/>
      <c r="H1678" s="459">
        <v>1671</v>
      </c>
      <c r="I1678" s="444">
        <f t="shared" ca="1" si="133"/>
        <v>-480111288.49042511</v>
      </c>
      <c r="J1678" s="444">
        <f t="array" ref="J1678">IFERROR(INDEX('Retirement Calculator'!J:J,MATCH('Isaac 401k'!N1678,'Retirement Calculator'!A:A,0),0),0)</f>
        <v>0</v>
      </c>
      <c r="K1678" s="444">
        <f t="shared" ca="1" si="131"/>
        <v>-2000463.7020434381</v>
      </c>
      <c r="L1678" s="444">
        <f t="shared" ca="1" si="132"/>
        <v>-482111752.19246852</v>
      </c>
      <c r="M1678" s="460">
        <f t="shared" si="134"/>
        <v>0.05</v>
      </c>
      <c r="N1678" s="464">
        <f t="shared" si="135"/>
        <v>102117</v>
      </c>
    </row>
    <row r="1679" spans="7:14" ht="11.25" customHeight="1" x14ac:dyDescent="0.25">
      <c r="G1679" s="459"/>
      <c r="H1679" s="459">
        <v>1672</v>
      </c>
      <c r="I1679" s="444">
        <f t="shared" ca="1" si="133"/>
        <v>-482111752.19246852</v>
      </c>
      <c r="J1679" s="444">
        <f t="array" ref="J1679">IFERROR(INDEX('Retirement Calculator'!J:J,MATCH('Isaac 401k'!N1679,'Retirement Calculator'!A:A,0),0),0)</f>
        <v>0</v>
      </c>
      <c r="K1679" s="444">
        <f t="shared" ca="1" si="131"/>
        <v>-2008798.9674686186</v>
      </c>
      <c r="L1679" s="444">
        <f t="shared" ca="1" si="132"/>
        <v>-484120551.15993714</v>
      </c>
      <c r="M1679" s="460">
        <f t="shared" si="134"/>
        <v>0.05</v>
      </c>
      <c r="N1679" s="464">
        <f t="shared" si="135"/>
        <v>102148</v>
      </c>
    </row>
    <row r="1680" spans="7:14" ht="11.25" customHeight="1" x14ac:dyDescent="0.25">
      <c r="G1680" s="459"/>
      <c r="H1680" s="459">
        <v>1673</v>
      </c>
      <c r="I1680" s="444">
        <f t="shared" ca="1" si="133"/>
        <v>-484120551.15993714</v>
      </c>
      <c r="J1680" s="444">
        <f t="array" ref="J1680">IFERROR(INDEX('Retirement Calculator'!J:J,MATCH('Isaac 401k'!N1680,'Retirement Calculator'!A:A,0),0),0)</f>
        <v>0</v>
      </c>
      <c r="K1680" s="444">
        <f t="shared" ca="1" si="131"/>
        <v>-2017168.9631664047</v>
      </c>
      <c r="L1680" s="444">
        <f t="shared" ca="1" si="132"/>
        <v>-486137720.12310356</v>
      </c>
      <c r="M1680" s="460">
        <f t="shared" si="134"/>
        <v>0.05</v>
      </c>
      <c r="N1680" s="464">
        <f t="shared" si="135"/>
        <v>102178</v>
      </c>
    </row>
    <row r="1681" spans="7:14" ht="11.25" customHeight="1" x14ac:dyDescent="0.25">
      <c r="G1681" s="459"/>
      <c r="H1681" s="459">
        <v>1674</v>
      </c>
      <c r="I1681" s="444">
        <f t="shared" ca="1" si="133"/>
        <v>-486137720.12310356</v>
      </c>
      <c r="J1681" s="444">
        <f t="array" ref="J1681">IFERROR(INDEX('Retirement Calculator'!J:J,MATCH('Isaac 401k'!N1681,'Retirement Calculator'!A:A,0),0),0)</f>
        <v>0</v>
      </c>
      <c r="K1681" s="444">
        <f t="shared" ca="1" si="131"/>
        <v>-2025573.8338462645</v>
      </c>
      <c r="L1681" s="444">
        <f t="shared" ca="1" si="132"/>
        <v>-488163293.95694983</v>
      </c>
      <c r="M1681" s="460">
        <f t="shared" si="134"/>
        <v>0.05</v>
      </c>
      <c r="N1681" s="464">
        <f t="shared" si="135"/>
        <v>102209</v>
      </c>
    </row>
    <row r="1682" spans="7:14" ht="11.25" customHeight="1" x14ac:dyDescent="0.25">
      <c r="G1682" s="459"/>
      <c r="H1682" s="459">
        <v>1675</v>
      </c>
      <c r="I1682" s="444">
        <f t="shared" ca="1" si="133"/>
        <v>-488163293.95694983</v>
      </c>
      <c r="J1682" s="444">
        <f t="array" ref="J1682">IFERROR(INDEX('Retirement Calculator'!J:J,MATCH('Isaac 401k'!N1682,'Retirement Calculator'!A:A,0),0),0)</f>
        <v>0</v>
      </c>
      <c r="K1682" s="444">
        <f t="shared" ca="1" si="131"/>
        <v>-2034013.7248206243</v>
      </c>
      <c r="L1682" s="444">
        <f t="shared" ca="1" si="132"/>
        <v>-490197307.68177044</v>
      </c>
      <c r="M1682" s="460">
        <f t="shared" si="134"/>
        <v>0.05</v>
      </c>
      <c r="N1682" s="464">
        <f t="shared" si="135"/>
        <v>102239</v>
      </c>
    </row>
    <row r="1683" spans="7:14" ht="11.25" customHeight="1" x14ac:dyDescent="0.25">
      <c r="G1683" s="459"/>
      <c r="H1683" s="459">
        <v>1676</v>
      </c>
      <c r="I1683" s="444">
        <f t="shared" ca="1" si="133"/>
        <v>-490197307.68177044</v>
      </c>
      <c r="J1683" s="444">
        <f t="array" ref="J1683">IFERROR(INDEX('Retirement Calculator'!J:J,MATCH('Isaac 401k'!N1683,'Retirement Calculator'!A:A,0),0),0)</f>
        <v>0</v>
      </c>
      <c r="K1683" s="444">
        <f t="shared" ca="1" si="131"/>
        <v>-2042488.7820073769</v>
      </c>
      <c r="L1683" s="444">
        <f t="shared" ca="1" si="132"/>
        <v>-492239796.46377784</v>
      </c>
      <c r="M1683" s="460">
        <f t="shared" si="134"/>
        <v>0.05</v>
      </c>
      <c r="N1683" s="464">
        <f t="shared" si="135"/>
        <v>102270</v>
      </c>
    </row>
    <row r="1684" spans="7:14" ht="11.25" customHeight="1" x14ac:dyDescent="0.25">
      <c r="G1684" s="459"/>
      <c r="H1684" s="459">
        <v>1677</v>
      </c>
      <c r="I1684" s="444">
        <f t="shared" ca="1" si="133"/>
        <v>-492239796.46377784</v>
      </c>
      <c r="J1684" s="444">
        <f t="array" ref="J1684">IFERROR(INDEX('Retirement Calculator'!J:J,MATCH('Isaac 401k'!N1684,'Retirement Calculator'!A:A,0),0),0)</f>
        <v>0</v>
      </c>
      <c r="K1684" s="444">
        <f t="shared" ca="1" si="131"/>
        <v>-2050999.1519324076</v>
      </c>
      <c r="L1684" s="444">
        <f t="shared" ca="1" si="132"/>
        <v>-494290795.61571026</v>
      </c>
      <c r="M1684" s="460">
        <f t="shared" si="134"/>
        <v>0.05</v>
      </c>
      <c r="N1684" s="464">
        <f t="shared" si="135"/>
        <v>102301</v>
      </c>
    </row>
    <row r="1685" spans="7:14" ht="11.25" customHeight="1" x14ac:dyDescent="0.25">
      <c r="G1685" s="459"/>
      <c r="H1685" s="459">
        <v>1678</v>
      </c>
      <c r="I1685" s="444">
        <f t="shared" ca="1" si="133"/>
        <v>-494290795.61571026</v>
      </c>
      <c r="J1685" s="444">
        <f t="array" ref="J1685">IFERROR(INDEX('Retirement Calculator'!J:J,MATCH('Isaac 401k'!N1685,'Retirement Calculator'!A:A,0),0),0)</f>
        <v>0</v>
      </c>
      <c r="K1685" s="444">
        <f t="shared" ca="1" si="131"/>
        <v>-2059544.9817321261</v>
      </c>
      <c r="L1685" s="444">
        <f t="shared" ca="1" si="132"/>
        <v>-496350340.59744239</v>
      </c>
      <c r="M1685" s="460">
        <f t="shared" si="134"/>
        <v>0.05</v>
      </c>
      <c r="N1685" s="464">
        <f t="shared" si="135"/>
        <v>102330</v>
      </c>
    </row>
    <row r="1686" spans="7:14" ht="11.25" customHeight="1" x14ac:dyDescent="0.25">
      <c r="G1686" s="459"/>
      <c r="H1686" s="459">
        <v>1679</v>
      </c>
      <c r="I1686" s="444">
        <f t="shared" ca="1" si="133"/>
        <v>-496350340.59744239</v>
      </c>
      <c r="J1686" s="444">
        <f t="array" ref="J1686">IFERROR(INDEX('Retirement Calculator'!J:J,MATCH('Isaac 401k'!N1686,'Retirement Calculator'!A:A,0),0),0)</f>
        <v>0</v>
      </c>
      <c r="K1686" s="444">
        <f t="shared" ca="1" si="131"/>
        <v>-2068126.4191560096</v>
      </c>
      <c r="L1686" s="444">
        <f t="shared" ca="1" si="132"/>
        <v>-498418467.0165984</v>
      </c>
      <c r="M1686" s="460">
        <f t="shared" si="134"/>
        <v>0.05</v>
      </c>
      <c r="N1686" s="464">
        <f t="shared" si="135"/>
        <v>102361</v>
      </c>
    </row>
    <row r="1687" spans="7:14" ht="11.25" customHeight="1" x14ac:dyDescent="0.25">
      <c r="G1687" s="459"/>
      <c r="H1687" s="459">
        <v>1680</v>
      </c>
      <c r="I1687" s="444">
        <f t="shared" ca="1" si="133"/>
        <v>-498418467.0165984</v>
      </c>
      <c r="J1687" s="444">
        <f t="array" ref="J1687">IFERROR(INDEX('Retirement Calculator'!J:J,MATCH('Isaac 401k'!N1687,'Retirement Calculator'!A:A,0),0),0)</f>
        <v>0</v>
      </c>
      <c r="K1687" s="444">
        <f t="shared" ca="1" si="131"/>
        <v>-2076743.6125691603</v>
      </c>
      <c r="L1687" s="444">
        <f t="shared" ca="1" si="132"/>
        <v>-500495210.62916756</v>
      </c>
      <c r="M1687" s="460">
        <f t="shared" si="134"/>
        <v>0.05</v>
      </c>
      <c r="N1687" s="464">
        <f t="shared" si="135"/>
        <v>102391</v>
      </c>
    </row>
    <row r="1688" spans="7:14" ht="11.25" customHeight="1" x14ac:dyDescent="0.25">
      <c r="G1688" s="459"/>
      <c r="H1688" s="459">
        <v>1681</v>
      </c>
      <c r="I1688" s="444">
        <f t="shared" ca="1" si="133"/>
        <v>-500495210.62916756</v>
      </c>
      <c r="J1688" s="444">
        <f t="array" ref="J1688">IFERROR(INDEX('Retirement Calculator'!J:J,MATCH('Isaac 401k'!N1688,'Retirement Calculator'!A:A,0),0),0)</f>
        <v>0</v>
      </c>
      <c r="K1688" s="444">
        <f t="shared" ca="1" si="131"/>
        <v>-2085396.7109548647</v>
      </c>
      <c r="L1688" s="444">
        <f t="shared" ca="1" si="132"/>
        <v>-502580607.3401224</v>
      </c>
      <c r="M1688" s="460">
        <f t="shared" si="134"/>
        <v>0.05</v>
      </c>
      <c r="N1688" s="464">
        <f t="shared" si="135"/>
        <v>102422</v>
      </c>
    </row>
    <row r="1689" spans="7:14" ht="11.25" customHeight="1" x14ac:dyDescent="0.25">
      <c r="G1689" s="459"/>
      <c r="H1689" s="459">
        <v>1682</v>
      </c>
      <c r="I1689" s="444">
        <f t="shared" ca="1" si="133"/>
        <v>-502580607.3401224</v>
      </c>
      <c r="J1689" s="444">
        <f t="array" ref="J1689">IFERROR(INDEX('Retirement Calculator'!J:J,MATCH('Isaac 401k'!N1689,'Retirement Calculator'!A:A,0),0),0)</f>
        <v>0</v>
      </c>
      <c r="K1689" s="444">
        <f t="shared" ca="1" si="131"/>
        <v>-2094085.8639171768</v>
      </c>
      <c r="L1689" s="444">
        <f t="shared" ca="1" si="132"/>
        <v>-504674693.20403957</v>
      </c>
      <c r="M1689" s="460">
        <f t="shared" si="134"/>
        <v>0.05</v>
      </c>
      <c r="N1689" s="464">
        <f t="shared" si="135"/>
        <v>102452</v>
      </c>
    </row>
    <row r="1690" spans="7:14" ht="11.25" customHeight="1" x14ac:dyDescent="0.25">
      <c r="G1690" s="459"/>
      <c r="H1690" s="459">
        <v>1683</v>
      </c>
      <c r="I1690" s="444">
        <f t="shared" ca="1" si="133"/>
        <v>-504674693.20403957</v>
      </c>
      <c r="J1690" s="444">
        <f t="array" ref="J1690">IFERROR(INDEX('Retirement Calculator'!J:J,MATCH('Isaac 401k'!N1690,'Retirement Calculator'!A:A,0),0),0)</f>
        <v>0</v>
      </c>
      <c r="K1690" s="444">
        <f t="shared" ca="1" si="131"/>
        <v>-2102811.221683498</v>
      </c>
      <c r="L1690" s="444">
        <f t="shared" ca="1" si="132"/>
        <v>-506777504.42572308</v>
      </c>
      <c r="M1690" s="460">
        <f t="shared" si="134"/>
        <v>0.05</v>
      </c>
      <c r="N1690" s="464">
        <f t="shared" si="135"/>
        <v>102483</v>
      </c>
    </row>
    <row r="1691" spans="7:14" ht="11.25" customHeight="1" x14ac:dyDescent="0.25">
      <c r="G1691" s="459"/>
      <c r="H1691" s="459">
        <v>1684</v>
      </c>
      <c r="I1691" s="444">
        <f t="shared" ca="1" si="133"/>
        <v>-506777504.42572308</v>
      </c>
      <c r="J1691" s="444">
        <f t="array" ref="J1691">IFERROR(INDEX('Retirement Calculator'!J:J,MATCH('Isaac 401k'!N1691,'Retirement Calculator'!A:A,0),0),0)</f>
        <v>0</v>
      </c>
      <c r="K1691" s="444">
        <f t="shared" ca="1" si="131"/>
        <v>-2111572.9351071795</v>
      </c>
      <c r="L1691" s="444">
        <f t="shared" ca="1" si="132"/>
        <v>-508889077.36083025</v>
      </c>
      <c r="M1691" s="460">
        <f t="shared" si="134"/>
        <v>0.05</v>
      </c>
      <c r="N1691" s="464">
        <f t="shared" si="135"/>
        <v>102514</v>
      </c>
    </row>
    <row r="1692" spans="7:14" ht="11.25" customHeight="1" x14ac:dyDescent="0.25">
      <c r="G1692" s="459"/>
      <c r="H1692" s="459">
        <v>1685</v>
      </c>
      <c r="I1692" s="444">
        <f t="shared" ca="1" si="133"/>
        <v>-508889077.36083025</v>
      </c>
      <c r="J1692" s="444">
        <f t="array" ref="J1692">IFERROR(INDEX('Retirement Calculator'!J:J,MATCH('Isaac 401k'!N1692,'Retirement Calculator'!A:A,0),0),0)</f>
        <v>0</v>
      </c>
      <c r="K1692" s="444">
        <f t="shared" ca="1" si="131"/>
        <v>-2120371.155670126</v>
      </c>
      <c r="L1692" s="444">
        <f t="shared" ca="1" si="132"/>
        <v>-511009448.51650035</v>
      </c>
      <c r="M1692" s="460">
        <f t="shared" si="134"/>
        <v>0.05</v>
      </c>
      <c r="N1692" s="464">
        <f t="shared" si="135"/>
        <v>102544</v>
      </c>
    </row>
    <row r="1693" spans="7:14" ht="11.25" customHeight="1" x14ac:dyDescent="0.25">
      <c r="G1693" s="459"/>
      <c r="H1693" s="459">
        <v>1686</v>
      </c>
      <c r="I1693" s="444">
        <f t="shared" ca="1" si="133"/>
        <v>-511009448.51650035</v>
      </c>
      <c r="J1693" s="444">
        <f t="array" ref="J1693">IFERROR(INDEX('Retirement Calculator'!J:J,MATCH('Isaac 401k'!N1693,'Retirement Calculator'!A:A,0),0),0)</f>
        <v>0</v>
      </c>
      <c r="K1693" s="444">
        <f t="shared" ca="1" si="131"/>
        <v>-2129206.035485418</v>
      </c>
      <c r="L1693" s="444">
        <f t="shared" ca="1" si="132"/>
        <v>-513138654.5519858</v>
      </c>
      <c r="M1693" s="460">
        <f t="shared" si="134"/>
        <v>0.05</v>
      </c>
      <c r="N1693" s="464">
        <f t="shared" si="135"/>
        <v>102575</v>
      </c>
    </row>
    <row r="1694" spans="7:14" ht="11.25" customHeight="1" x14ac:dyDescent="0.25">
      <c r="G1694" s="459"/>
      <c r="H1694" s="459">
        <v>1687</v>
      </c>
      <c r="I1694" s="444">
        <f t="shared" ca="1" si="133"/>
        <v>-513138654.5519858</v>
      </c>
      <c r="J1694" s="444">
        <f t="array" ref="J1694">IFERROR(INDEX('Retirement Calculator'!J:J,MATCH('Isaac 401k'!N1694,'Retirement Calculator'!A:A,0),0),0)</f>
        <v>0</v>
      </c>
      <c r="K1694" s="444">
        <f t="shared" ca="1" si="131"/>
        <v>-2138077.7272999408</v>
      </c>
      <c r="L1694" s="444">
        <f t="shared" ca="1" si="132"/>
        <v>-515276732.27928573</v>
      </c>
      <c r="M1694" s="460">
        <f t="shared" si="134"/>
        <v>0.05</v>
      </c>
      <c r="N1694" s="464">
        <f t="shared" si="135"/>
        <v>102605</v>
      </c>
    </row>
    <row r="1695" spans="7:14" ht="11.25" customHeight="1" x14ac:dyDescent="0.25">
      <c r="G1695" s="459"/>
      <c r="H1695" s="459">
        <v>1688</v>
      </c>
      <c r="I1695" s="444">
        <f t="shared" ca="1" si="133"/>
        <v>-515276732.27928573</v>
      </c>
      <c r="J1695" s="444">
        <f t="array" ref="J1695">IFERROR(INDEX('Retirement Calculator'!J:J,MATCH('Isaac 401k'!N1695,'Retirement Calculator'!A:A,0),0),0)</f>
        <v>0</v>
      </c>
      <c r="K1695" s="444">
        <f t="shared" ca="1" si="131"/>
        <v>-2146986.3844970237</v>
      </c>
      <c r="L1695" s="444">
        <f t="shared" ca="1" si="132"/>
        <v>-517423718.66378278</v>
      </c>
      <c r="M1695" s="460">
        <f t="shared" si="134"/>
        <v>0.05</v>
      </c>
      <c r="N1695" s="464">
        <f t="shared" si="135"/>
        <v>102636</v>
      </c>
    </row>
    <row r="1696" spans="7:14" ht="11.25" customHeight="1" x14ac:dyDescent="0.25">
      <c r="G1696" s="459"/>
      <c r="H1696" s="459">
        <v>1689</v>
      </c>
      <c r="I1696" s="444">
        <f t="shared" ca="1" si="133"/>
        <v>-517423718.66378278</v>
      </c>
      <c r="J1696" s="444">
        <f t="array" ref="J1696">IFERROR(INDEX('Retirement Calculator'!J:J,MATCH('Isaac 401k'!N1696,'Retirement Calculator'!A:A,0),0),0)</f>
        <v>0</v>
      </c>
      <c r="K1696" s="444">
        <f t="shared" ca="1" si="131"/>
        <v>-2155932.1610990949</v>
      </c>
      <c r="L1696" s="444">
        <f t="shared" ca="1" si="132"/>
        <v>-519579650.82488185</v>
      </c>
      <c r="M1696" s="460">
        <f t="shared" si="134"/>
        <v>0.05</v>
      </c>
      <c r="N1696" s="464">
        <f t="shared" si="135"/>
        <v>102667</v>
      </c>
    </row>
    <row r="1697" spans="7:14" ht="11.25" customHeight="1" x14ac:dyDescent="0.25">
      <c r="G1697" s="459"/>
      <c r="H1697" s="459">
        <v>1690</v>
      </c>
      <c r="I1697" s="444">
        <f t="shared" ca="1" si="133"/>
        <v>-519579650.82488185</v>
      </c>
      <c r="J1697" s="444">
        <f t="array" ref="J1697">IFERROR(INDEX('Retirement Calculator'!J:J,MATCH('Isaac 401k'!N1697,'Retirement Calculator'!A:A,0),0),0)</f>
        <v>0</v>
      </c>
      <c r="K1697" s="444">
        <f t="shared" ca="1" si="131"/>
        <v>-2164915.2117703413</v>
      </c>
      <c r="L1697" s="444">
        <f t="shared" ca="1" si="132"/>
        <v>-521744566.03665221</v>
      </c>
      <c r="M1697" s="460">
        <f t="shared" si="134"/>
        <v>0.05</v>
      </c>
      <c r="N1697" s="464">
        <f t="shared" si="135"/>
        <v>102695</v>
      </c>
    </row>
    <row r="1698" spans="7:14" ht="11.25" customHeight="1" x14ac:dyDescent="0.25">
      <c r="G1698" s="459"/>
      <c r="H1698" s="459">
        <v>1691</v>
      </c>
      <c r="I1698" s="444">
        <f t="shared" ca="1" si="133"/>
        <v>-521744566.03665221</v>
      </c>
      <c r="J1698" s="444">
        <f t="array" ref="J1698">IFERROR(INDEX('Retirement Calculator'!J:J,MATCH('Isaac 401k'!N1698,'Retirement Calculator'!A:A,0),0),0)</f>
        <v>0</v>
      </c>
      <c r="K1698" s="444">
        <f t="shared" ca="1" si="131"/>
        <v>-2173935.6918193842</v>
      </c>
      <c r="L1698" s="444">
        <f t="shared" ca="1" si="132"/>
        <v>-523918501.72847158</v>
      </c>
      <c r="M1698" s="460">
        <f t="shared" si="134"/>
        <v>0.05</v>
      </c>
      <c r="N1698" s="464">
        <f t="shared" si="135"/>
        <v>102726</v>
      </c>
    </row>
    <row r="1699" spans="7:14" ht="11.25" customHeight="1" x14ac:dyDescent="0.25">
      <c r="G1699" s="459"/>
      <c r="H1699" s="459">
        <v>1692</v>
      </c>
      <c r="I1699" s="444">
        <f t="shared" ca="1" si="133"/>
        <v>-523918501.72847158</v>
      </c>
      <c r="J1699" s="444">
        <f t="array" ref="J1699">IFERROR(INDEX('Retirement Calculator'!J:J,MATCH('Isaac 401k'!N1699,'Retirement Calculator'!A:A,0),0),0)</f>
        <v>0</v>
      </c>
      <c r="K1699" s="444">
        <f t="shared" ca="1" si="131"/>
        <v>-2182993.757201965</v>
      </c>
      <c r="L1699" s="444">
        <f t="shared" ca="1" si="132"/>
        <v>-526101495.48567355</v>
      </c>
      <c r="M1699" s="460">
        <f t="shared" si="134"/>
        <v>0.05</v>
      </c>
      <c r="N1699" s="464">
        <f t="shared" si="135"/>
        <v>102756</v>
      </c>
    </row>
    <row r="1700" spans="7:14" ht="11.25" customHeight="1" x14ac:dyDescent="0.25">
      <c r="G1700" s="459"/>
      <c r="H1700" s="459">
        <v>1693</v>
      </c>
      <c r="I1700" s="444">
        <f t="shared" ca="1" si="133"/>
        <v>-526101495.48567355</v>
      </c>
      <c r="J1700" s="444">
        <f t="array" ref="J1700">IFERROR(INDEX('Retirement Calculator'!J:J,MATCH('Isaac 401k'!N1700,'Retirement Calculator'!A:A,0),0),0)</f>
        <v>0</v>
      </c>
      <c r="K1700" s="444">
        <f t="shared" ca="1" si="131"/>
        <v>-2192089.5645236396</v>
      </c>
      <c r="L1700" s="444">
        <f t="shared" ca="1" si="132"/>
        <v>-528293585.05019718</v>
      </c>
      <c r="M1700" s="460">
        <f t="shared" si="134"/>
        <v>0.05</v>
      </c>
      <c r="N1700" s="464">
        <f t="shared" si="135"/>
        <v>102787</v>
      </c>
    </row>
    <row r="1701" spans="7:14" ht="11.25" customHeight="1" x14ac:dyDescent="0.25">
      <c r="G1701" s="459"/>
      <c r="H1701" s="459">
        <v>1694</v>
      </c>
      <c r="I1701" s="444">
        <f t="shared" ca="1" si="133"/>
        <v>-528293585.05019718</v>
      </c>
      <c r="J1701" s="444">
        <f t="array" ref="J1701">IFERROR(INDEX('Retirement Calculator'!J:J,MATCH('Isaac 401k'!N1701,'Retirement Calculator'!A:A,0),0),0)</f>
        <v>0</v>
      </c>
      <c r="K1701" s="444">
        <f t="shared" ca="1" si="131"/>
        <v>-2201223.271042488</v>
      </c>
      <c r="L1701" s="444">
        <f t="shared" ca="1" si="132"/>
        <v>-530494808.32123965</v>
      </c>
      <c r="M1701" s="460">
        <f t="shared" si="134"/>
        <v>0.05</v>
      </c>
      <c r="N1701" s="464">
        <f t="shared" si="135"/>
        <v>102817</v>
      </c>
    </row>
    <row r="1702" spans="7:14" ht="11.25" customHeight="1" x14ac:dyDescent="0.25">
      <c r="G1702" s="459"/>
      <c r="H1702" s="459">
        <v>1695</v>
      </c>
      <c r="I1702" s="444">
        <f t="shared" ca="1" si="133"/>
        <v>-530494808.32123965</v>
      </c>
      <c r="J1702" s="444">
        <f t="array" ref="J1702">IFERROR(INDEX('Retirement Calculator'!J:J,MATCH('Isaac 401k'!N1702,'Retirement Calculator'!A:A,0),0),0)</f>
        <v>0</v>
      </c>
      <c r="K1702" s="444">
        <f t="shared" ca="1" si="131"/>
        <v>-2210395.0346718319</v>
      </c>
      <c r="L1702" s="444">
        <f t="shared" ca="1" si="132"/>
        <v>-532705203.35591149</v>
      </c>
      <c r="M1702" s="460">
        <f t="shared" si="134"/>
        <v>0.05</v>
      </c>
      <c r="N1702" s="464">
        <f t="shared" si="135"/>
        <v>102848</v>
      </c>
    </row>
    <row r="1703" spans="7:14" ht="11.25" customHeight="1" x14ac:dyDescent="0.25">
      <c r="G1703" s="459"/>
      <c r="H1703" s="459">
        <v>1696</v>
      </c>
      <c r="I1703" s="444">
        <f t="shared" ca="1" si="133"/>
        <v>-532705203.35591149</v>
      </c>
      <c r="J1703" s="444">
        <f t="array" ref="J1703">IFERROR(INDEX('Retirement Calculator'!J:J,MATCH('Isaac 401k'!N1703,'Retirement Calculator'!A:A,0),0),0)</f>
        <v>0</v>
      </c>
      <c r="K1703" s="444">
        <f t="shared" ca="1" si="131"/>
        <v>-2219605.0139829647</v>
      </c>
      <c r="L1703" s="444">
        <f t="shared" ca="1" si="132"/>
        <v>-534924808.36989444</v>
      </c>
      <c r="M1703" s="460">
        <f t="shared" si="134"/>
        <v>0.05</v>
      </c>
      <c r="N1703" s="464">
        <f t="shared" si="135"/>
        <v>102879</v>
      </c>
    </row>
    <row r="1704" spans="7:14" ht="11.25" customHeight="1" x14ac:dyDescent="0.25">
      <c r="G1704" s="459"/>
      <c r="H1704" s="459">
        <v>1697</v>
      </c>
      <c r="I1704" s="444">
        <f t="shared" ca="1" si="133"/>
        <v>-534924808.36989444</v>
      </c>
      <c r="J1704" s="444">
        <f t="array" ref="J1704">IFERROR(INDEX('Retirement Calculator'!J:J,MATCH('Isaac 401k'!N1704,'Retirement Calculator'!A:A,0),0),0)</f>
        <v>0</v>
      </c>
      <c r="K1704" s="444">
        <f t="shared" ca="1" si="131"/>
        <v>-2228853.3682078933</v>
      </c>
      <c r="L1704" s="444">
        <f t="shared" ca="1" si="132"/>
        <v>-537153661.73810232</v>
      </c>
      <c r="M1704" s="460">
        <f t="shared" si="134"/>
        <v>0.05</v>
      </c>
      <c r="N1704" s="464">
        <f t="shared" si="135"/>
        <v>102909</v>
      </c>
    </row>
    <row r="1705" spans="7:14" ht="11.25" customHeight="1" x14ac:dyDescent="0.25">
      <c r="G1705" s="459"/>
      <c r="H1705" s="459">
        <v>1698</v>
      </c>
      <c r="I1705" s="444">
        <f t="shared" ca="1" si="133"/>
        <v>-537153661.73810232</v>
      </c>
      <c r="J1705" s="444">
        <f t="array" ref="J1705">IFERROR(INDEX('Retirement Calculator'!J:J,MATCH('Isaac 401k'!N1705,'Retirement Calculator'!A:A,0),0),0)</f>
        <v>0</v>
      </c>
      <c r="K1705" s="444">
        <f t="shared" ca="1" si="131"/>
        <v>-2238140.2572420929</v>
      </c>
      <c r="L1705" s="444">
        <f t="shared" ca="1" si="132"/>
        <v>-539391801.9953444</v>
      </c>
      <c r="M1705" s="460">
        <f t="shared" si="134"/>
        <v>0.05</v>
      </c>
      <c r="N1705" s="464">
        <f t="shared" si="135"/>
        <v>102940</v>
      </c>
    </row>
    <row r="1706" spans="7:14" ht="11.25" customHeight="1" x14ac:dyDescent="0.25">
      <c r="G1706" s="459"/>
      <c r="H1706" s="459">
        <v>1699</v>
      </c>
      <c r="I1706" s="444">
        <f t="shared" ca="1" si="133"/>
        <v>-539391801.9953444</v>
      </c>
      <c r="J1706" s="444">
        <f t="array" ref="J1706">IFERROR(INDEX('Retirement Calculator'!J:J,MATCH('Isaac 401k'!N1706,'Retirement Calculator'!A:A,0),0),0)</f>
        <v>0</v>
      </c>
      <c r="K1706" s="444">
        <f t="shared" ca="1" si="131"/>
        <v>-2247465.8416472683</v>
      </c>
      <c r="L1706" s="444">
        <f t="shared" ca="1" si="132"/>
        <v>-541639267.83699167</v>
      </c>
      <c r="M1706" s="460">
        <f t="shared" si="134"/>
        <v>0.05</v>
      </c>
      <c r="N1706" s="464">
        <f t="shared" si="135"/>
        <v>102970</v>
      </c>
    </row>
    <row r="1707" spans="7:14" ht="11.25" customHeight="1" x14ac:dyDescent="0.25">
      <c r="G1707" s="459"/>
      <c r="H1707" s="459">
        <v>1700</v>
      </c>
      <c r="I1707" s="444">
        <f t="shared" ca="1" si="133"/>
        <v>-541639267.83699167</v>
      </c>
      <c r="J1707" s="444">
        <f t="array" ref="J1707">IFERROR(INDEX('Retirement Calculator'!J:J,MATCH('Isaac 401k'!N1707,'Retirement Calculator'!A:A,0),0),0)</f>
        <v>0</v>
      </c>
      <c r="K1707" s="444">
        <f t="shared" ca="1" si="131"/>
        <v>-2256830.2826541318</v>
      </c>
      <c r="L1707" s="444">
        <f t="shared" ca="1" si="132"/>
        <v>-543896098.11964583</v>
      </c>
      <c r="M1707" s="460">
        <f t="shared" si="134"/>
        <v>0.05</v>
      </c>
      <c r="N1707" s="464">
        <f t="shared" si="135"/>
        <v>103001</v>
      </c>
    </row>
    <row r="1708" spans="7:14" ht="11.25" customHeight="1" x14ac:dyDescent="0.25">
      <c r="G1708" s="459"/>
      <c r="H1708" s="459">
        <v>1701</v>
      </c>
      <c r="I1708" s="444">
        <f t="shared" ca="1" si="133"/>
        <v>-543896098.11964583</v>
      </c>
      <c r="J1708" s="444">
        <f t="array" ref="J1708">IFERROR(INDEX('Retirement Calculator'!J:J,MATCH('Isaac 401k'!N1708,'Retirement Calculator'!A:A,0),0),0)</f>
        <v>0</v>
      </c>
      <c r="K1708" s="444">
        <f t="shared" ca="1" si="131"/>
        <v>-2266233.7421651911</v>
      </c>
      <c r="L1708" s="444">
        <f t="shared" ca="1" si="132"/>
        <v>-546162331.86181104</v>
      </c>
      <c r="M1708" s="460">
        <f t="shared" si="134"/>
        <v>0.05</v>
      </c>
      <c r="N1708" s="464">
        <f t="shared" si="135"/>
        <v>103032</v>
      </c>
    </row>
    <row r="1709" spans="7:14" ht="11.25" customHeight="1" x14ac:dyDescent="0.25">
      <c r="G1709" s="459"/>
      <c r="H1709" s="459">
        <v>1702</v>
      </c>
      <c r="I1709" s="444">
        <f t="shared" ca="1" si="133"/>
        <v>-546162331.86181104</v>
      </c>
      <c r="J1709" s="444">
        <f t="array" ref="J1709">IFERROR(INDEX('Retirement Calculator'!J:J,MATCH('Isaac 401k'!N1709,'Retirement Calculator'!A:A,0),0),0)</f>
        <v>0</v>
      </c>
      <c r="K1709" s="444">
        <f t="shared" ca="1" si="131"/>
        <v>-2275676.3827575459</v>
      </c>
      <c r="L1709" s="444">
        <f t="shared" ca="1" si="132"/>
        <v>-548438008.24456859</v>
      </c>
      <c r="M1709" s="460">
        <f t="shared" si="134"/>
        <v>0.05</v>
      </c>
      <c r="N1709" s="464">
        <f t="shared" si="135"/>
        <v>103060</v>
      </c>
    </row>
    <row r="1710" spans="7:14" ht="11.25" customHeight="1" x14ac:dyDescent="0.25">
      <c r="G1710" s="459"/>
      <c r="H1710" s="459">
        <v>1703</v>
      </c>
      <c r="I1710" s="444">
        <f t="shared" ca="1" si="133"/>
        <v>-548438008.24456859</v>
      </c>
      <c r="J1710" s="444">
        <f t="array" ref="J1710">IFERROR(INDEX('Retirement Calculator'!J:J,MATCH('Isaac 401k'!N1710,'Retirement Calculator'!A:A,0),0),0)</f>
        <v>0</v>
      </c>
      <c r="K1710" s="444">
        <f t="shared" ca="1" si="131"/>
        <v>-2285158.3676857026</v>
      </c>
      <c r="L1710" s="444">
        <f t="shared" ca="1" si="132"/>
        <v>-550723166.61225426</v>
      </c>
      <c r="M1710" s="460">
        <f t="shared" si="134"/>
        <v>0.05</v>
      </c>
      <c r="N1710" s="464">
        <f t="shared" si="135"/>
        <v>103091</v>
      </c>
    </row>
    <row r="1711" spans="7:14" ht="11.25" customHeight="1" x14ac:dyDescent="0.25">
      <c r="G1711" s="459"/>
      <c r="H1711" s="459">
        <v>1704</v>
      </c>
      <c r="I1711" s="444">
        <f t="shared" ca="1" si="133"/>
        <v>-550723166.61225426</v>
      </c>
      <c r="J1711" s="444">
        <f t="array" ref="J1711">IFERROR(INDEX('Retirement Calculator'!J:J,MATCH('Isaac 401k'!N1711,'Retirement Calculator'!A:A,0),0),0)</f>
        <v>0</v>
      </c>
      <c r="K1711" s="444">
        <f t="shared" ca="1" si="131"/>
        <v>-2294679.8608843926</v>
      </c>
      <c r="L1711" s="444">
        <f t="shared" ca="1" si="132"/>
        <v>-553017846.47313869</v>
      </c>
      <c r="M1711" s="460">
        <f t="shared" si="134"/>
        <v>0.05</v>
      </c>
      <c r="N1711" s="464">
        <f t="shared" si="135"/>
        <v>103121</v>
      </c>
    </row>
    <row r="1712" spans="7:14" ht="11.25" customHeight="1" x14ac:dyDescent="0.25">
      <c r="G1712" s="459"/>
      <c r="H1712" s="459">
        <v>1705</v>
      </c>
      <c r="I1712" s="444">
        <f t="shared" ca="1" si="133"/>
        <v>-553017846.47313869</v>
      </c>
      <c r="J1712" s="444">
        <f t="array" ref="J1712">IFERROR(INDEX('Retirement Calculator'!J:J,MATCH('Isaac 401k'!N1712,'Retirement Calculator'!A:A,0),0),0)</f>
        <v>0</v>
      </c>
      <c r="K1712" s="444">
        <f t="shared" ca="1" si="131"/>
        <v>-2304241.026971411</v>
      </c>
      <c r="L1712" s="444">
        <f t="shared" ca="1" si="132"/>
        <v>-555322087.50011015</v>
      </c>
      <c r="M1712" s="460">
        <f t="shared" si="134"/>
        <v>0.05</v>
      </c>
      <c r="N1712" s="464">
        <f t="shared" si="135"/>
        <v>103152</v>
      </c>
    </row>
    <row r="1713" spans="7:14" ht="11.25" customHeight="1" x14ac:dyDescent="0.25">
      <c r="G1713" s="459"/>
      <c r="H1713" s="459">
        <v>1706</v>
      </c>
      <c r="I1713" s="444">
        <f t="shared" ca="1" si="133"/>
        <v>-555322087.50011015</v>
      </c>
      <c r="J1713" s="444">
        <f t="array" ref="J1713">IFERROR(INDEX('Retirement Calculator'!J:J,MATCH('Isaac 401k'!N1713,'Retirement Calculator'!A:A,0),0),0)</f>
        <v>0</v>
      </c>
      <c r="K1713" s="444">
        <f t="shared" ca="1" si="131"/>
        <v>-2313842.0312504591</v>
      </c>
      <c r="L1713" s="444">
        <f t="shared" ca="1" si="132"/>
        <v>-557635929.53136063</v>
      </c>
      <c r="M1713" s="460">
        <f t="shared" si="134"/>
        <v>0.05</v>
      </c>
      <c r="N1713" s="464">
        <f t="shared" si="135"/>
        <v>103182</v>
      </c>
    </row>
    <row r="1714" spans="7:14" ht="11.25" customHeight="1" x14ac:dyDescent="0.25">
      <c r="G1714" s="459"/>
      <c r="H1714" s="459">
        <v>1707</v>
      </c>
      <c r="I1714" s="444">
        <f t="shared" ca="1" si="133"/>
        <v>-557635929.53136063</v>
      </c>
      <c r="J1714" s="444">
        <f t="array" ref="J1714">IFERROR(INDEX('Retirement Calculator'!J:J,MATCH('Isaac 401k'!N1714,'Retirement Calculator'!A:A,0),0),0)</f>
        <v>0</v>
      </c>
      <c r="K1714" s="444">
        <f t="shared" ca="1" si="131"/>
        <v>-2323483.0397140025</v>
      </c>
      <c r="L1714" s="444">
        <f t="shared" ca="1" si="132"/>
        <v>-559959412.5710746</v>
      </c>
      <c r="M1714" s="460">
        <f t="shared" si="134"/>
        <v>0.05</v>
      </c>
      <c r="N1714" s="464">
        <f t="shared" si="135"/>
        <v>103213</v>
      </c>
    </row>
    <row r="1715" spans="7:14" ht="11.25" customHeight="1" x14ac:dyDescent="0.25">
      <c r="G1715" s="459"/>
      <c r="H1715" s="459">
        <v>1708</v>
      </c>
      <c r="I1715" s="444">
        <f t="shared" ca="1" si="133"/>
        <v>-559959412.5710746</v>
      </c>
      <c r="J1715" s="444">
        <f t="array" ref="J1715">IFERROR(INDEX('Retirement Calculator'!J:J,MATCH('Isaac 401k'!N1715,'Retirement Calculator'!A:A,0),0),0)</f>
        <v>0</v>
      </c>
      <c r="K1715" s="444">
        <f t="shared" ca="1" si="131"/>
        <v>-2333164.2190461443</v>
      </c>
      <c r="L1715" s="444">
        <f t="shared" ca="1" si="132"/>
        <v>-562292576.79012072</v>
      </c>
      <c r="M1715" s="460">
        <f t="shared" si="134"/>
        <v>0.05</v>
      </c>
      <c r="N1715" s="464">
        <f t="shared" si="135"/>
        <v>103244</v>
      </c>
    </row>
    <row r="1716" spans="7:14" ht="11.25" customHeight="1" x14ac:dyDescent="0.25">
      <c r="G1716" s="459"/>
      <c r="H1716" s="459">
        <v>1709</v>
      </c>
      <c r="I1716" s="444">
        <f t="shared" ca="1" si="133"/>
        <v>-562292576.79012072</v>
      </c>
      <c r="J1716" s="444">
        <f t="array" ref="J1716">IFERROR(INDEX('Retirement Calculator'!J:J,MATCH('Isaac 401k'!N1716,'Retirement Calculator'!A:A,0),0),0)</f>
        <v>0</v>
      </c>
      <c r="K1716" s="444">
        <f t="shared" ca="1" si="131"/>
        <v>-2342885.7366255028</v>
      </c>
      <c r="L1716" s="444">
        <f t="shared" ca="1" si="132"/>
        <v>-564635462.52674627</v>
      </c>
      <c r="M1716" s="460">
        <f t="shared" si="134"/>
        <v>0.05</v>
      </c>
      <c r="N1716" s="464">
        <f t="shared" si="135"/>
        <v>103274</v>
      </c>
    </row>
    <row r="1717" spans="7:14" ht="11.25" customHeight="1" x14ac:dyDescent="0.25">
      <c r="G1717" s="459"/>
      <c r="H1717" s="459">
        <v>1710</v>
      </c>
      <c r="I1717" s="444">
        <f t="shared" ca="1" si="133"/>
        <v>-564635462.52674627</v>
      </c>
      <c r="J1717" s="444">
        <f t="array" ref="J1717">IFERROR(INDEX('Retirement Calculator'!J:J,MATCH('Isaac 401k'!N1717,'Retirement Calculator'!A:A,0),0),0)</f>
        <v>0</v>
      </c>
      <c r="K1717" s="444">
        <f t="shared" ca="1" si="131"/>
        <v>-2352647.7605281095</v>
      </c>
      <c r="L1717" s="444">
        <f t="shared" ca="1" si="132"/>
        <v>-566988110.28727436</v>
      </c>
      <c r="M1717" s="460">
        <f t="shared" si="134"/>
        <v>0.05</v>
      </c>
      <c r="N1717" s="464">
        <f t="shared" si="135"/>
        <v>103305</v>
      </c>
    </row>
    <row r="1718" spans="7:14" ht="11.25" customHeight="1" x14ac:dyDescent="0.25">
      <c r="G1718" s="459"/>
      <c r="H1718" s="459">
        <v>1711</v>
      </c>
      <c r="I1718" s="444">
        <f t="shared" ca="1" si="133"/>
        <v>-566988110.28727436</v>
      </c>
      <c r="J1718" s="444">
        <f t="array" ref="J1718">IFERROR(INDEX('Retirement Calculator'!J:J,MATCH('Isaac 401k'!N1718,'Retirement Calculator'!A:A,0),0),0)</f>
        <v>0</v>
      </c>
      <c r="K1718" s="444">
        <f t="shared" ca="1" si="131"/>
        <v>-2362450.4595303098</v>
      </c>
      <c r="L1718" s="444">
        <f t="shared" ca="1" si="132"/>
        <v>-569350560.74680471</v>
      </c>
      <c r="M1718" s="460">
        <f t="shared" si="134"/>
        <v>0.05</v>
      </c>
      <c r="N1718" s="464">
        <f t="shared" si="135"/>
        <v>103335</v>
      </c>
    </row>
    <row r="1719" spans="7:14" ht="11.25" customHeight="1" x14ac:dyDescent="0.25">
      <c r="G1719" s="459"/>
      <c r="H1719" s="459">
        <v>1712</v>
      </c>
      <c r="I1719" s="444">
        <f t="shared" ca="1" si="133"/>
        <v>-569350560.74680471</v>
      </c>
      <c r="J1719" s="444">
        <f t="array" ref="J1719">IFERROR(INDEX('Retirement Calculator'!J:J,MATCH('Isaac 401k'!N1719,'Retirement Calculator'!A:A,0),0),0)</f>
        <v>0</v>
      </c>
      <c r="K1719" s="444">
        <f t="shared" ca="1" si="131"/>
        <v>-2372294.0031116861</v>
      </c>
      <c r="L1719" s="444">
        <f t="shared" ca="1" si="132"/>
        <v>-571722854.74991643</v>
      </c>
      <c r="M1719" s="460">
        <f t="shared" si="134"/>
        <v>0.05</v>
      </c>
      <c r="N1719" s="464">
        <f t="shared" si="135"/>
        <v>103366</v>
      </c>
    </row>
    <row r="1720" spans="7:14" ht="11.25" customHeight="1" x14ac:dyDescent="0.25">
      <c r="G1720" s="459"/>
      <c r="H1720" s="459">
        <v>1713</v>
      </c>
      <c r="I1720" s="444">
        <f t="shared" ca="1" si="133"/>
        <v>-571722854.74991643</v>
      </c>
      <c r="J1720" s="444">
        <f t="array" ref="J1720">IFERROR(INDEX('Retirement Calculator'!J:J,MATCH('Isaac 401k'!N1720,'Retirement Calculator'!A:A,0),0),0)</f>
        <v>0</v>
      </c>
      <c r="K1720" s="444">
        <f t="shared" ca="1" si="131"/>
        <v>-2382178.5614579851</v>
      </c>
      <c r="L1720" s="444">
        <f t="shared" ca="1" si="132"/>
        <v>-574105033.31137443</v>
      </c>
      <c r="M1720" s="460">
        <f t="shared" si="134"/>
        <v>0.05</v>
      </c>
      <c r="N1720" s="464">
        <f t="shared" si="135"/>
        <v>103397</v>
      </c>
    </row>
    <row r="1721" spans="7:14" ht="11.25" customHeight="1" x14ac:dyDescent="0.25">
      <c r="G1721" s="459"/>
      <c r="H1721" s="459">
        <v>1714</v>
      </c>
      <c r="I1721" s="444">
        <f t="shared" ca="1" si="133"/>
        <v>-574105033.31137443</v>
      </c>
      <c r="J1721" s="444">
        <f t="array" ref="J1721">IFERROR(INDEX('Retirement Calculator'!J:J,MATCH('Isaac 401k'!N1721,'Retirement Calculator'!A:A,0),0),0)</f>
        <v>0</v>
      </c>
      <c r="K1721" s="444">
        <f t="shared" ca="1" si="131"/>
        <v>-2392104.30546406</v>
      </c>
      <c r="L1721" s="444">
        <f t="shared" ca="1" si="132"/>
        <v>-576497137.61683846</v>
      </c>
      <c r="M1721" s="460">
        <f t="shared" si="134"/>
        <v>0.05</v>
      </c>
      <c r="N1721" s="464">
        <f t="shared" si="135"/>
        <v>103425</v>
      </c>
    </row>
    <row r="1722" spans="7:14" ht="11.25" customHeight="1" x14ac:dyDescent="0.25">
      <c r="G1722" s="459"/>
      <c r="H1722" s="459">
        <v>1715</v>
      </c>
      <c r="I1722" s="444">
        <f t="shared" ca="1" si="133"/>
        <v>-576497137.61683846</v>
      </c>
      <c r="J1722" s="444">
        <f t="array" ref="J1722">IFERROR(INDEX('Retirement Calculator'!J:J,MATCH('Isaac 401k'!N1722,'Retirement Calculator'!A:A,0),0),0)</f>
        <v>0</v>
      </c>
      <c r="K1722" s="444">
        <f t="shared" ca="1" si="131"/>
        <v>-2402071.406736827</v>
      </c>
      <c r="L1722" s="444">
        <f t="shared" ca="1" si="132"/>
        <v>-578899209.02357531</v>
      </c>
      <c r="M1722" s="460">
        <f t="shared" si="134"/>
        <v>0.05</v>
      </c>
      <c r="N1722" s="464">
        <f t="shared" si="135"/>
        <v>103456</v>
      </c>
    </row>
    <row r="1723" spans="7:14" ht="11.25" customHeight="1" x14ac:dyDescent="0.25">
      <c r="G1723" s="459"/>
      <c r="H1723" s="459">
        <v>1716</v>
      </c>
      <c r="I1723" s="444">
        <f t="shared" ca="1" si="133"/>
        <v>-578899209.02357531</v>
      </c>
      <c r="J1723" s="444">
        <f t="array" ref="J1723">IFERROR(INDEX('Retirement Calculator'!J:J,MATCH('Isaac 401k'!N1723,'Retirement Calculator'!A:A,0),0),0)</f>
        <v>0</v>
      </c>
      <c r="K1723" s="444">
        <f t="shared" ca="1" si="131"/>
        <v>-2412080.0375982304</v>
      </c>
      <c r="L1723" s="444">
        <f t="shared" ca="1" si="132"/>
        <v>-581311289.06117356</v>
      </c>
      <c r="M1723" s="460">
        <f t="shared" si="134"/>
        <v>0.05</v>
      </c>
      <c r="N1723" s="464">
        <f t="shared" si="135"/>
        <v>103486</v>
      </c>
    </row>
    <row r="1724" spans="7:14" ht="11.25" customHeight="1" x14ac:dyDescent="0.25">
      <c r="G1724" s="459"/>
      <c r="H1724" s="459">
        <v>1717</v>
      </c>
      <c r="I1724" s="444">
        <f t="shared" ca="1" si="133"/>
        <v>-581311289.06117356</v>
      </c>
      <c r="J1724" s="444">
        <f t="array" ref="J1724">IFERROR(INDEX('Retirement Calculator'!J:J,MATCH('Isaac 401k'!N1724,'Retirement Calculator'!A:A,0),0),0)</f>
        <v>0</v>
      </c>
      <c r="K1724" s="444">
        <f t="shared" ca="1" si="131"/>
        <v>-2422130.3710882231</v>
      </c>
      <c r="L1724" s="444">
        <f t="shared" ca="1" si="132"/>
        <v>-583733419.43226182</v>
      </c>
      <c r="M1724" s="460">
        <f t="shared" si="134"/>
        <v>0.05</v>
      </c>
      <c r="N1724" s="464">
        <f t="shared" si="135"/>
        <v>103517</v>
      </c>
    </row>
    <row r="1725" spans="7:14" ht="11.25" customHeight="1" x14ac:dyDescent="0.25">
      <c r="G1725" s="459"/>
      <c r="H1725" s="459">
        <v>1718</v>
      </c>
      <c r="I1725" s="444">
        <f t="shared" ca="1" si="133"/>
        <v>-583733419.43226182</v>
      </c>
      <c r="J1725" s="444">
        <f t="array" ref="J1725">IFERROR(INDEX('Retirement Calculator'!J:J,MATCH('Isaac 401k'!N1725,'Retirement Calculator'!A:A,0),0),0)</f>
        <v>0</v>
      </c>
      <c r="K1725" s="444">
        <f t="shared" ca="1" si="131"/>
        <v>-2432222.5809677574</v>
      </c>
      <c r="L1725" s="444">
        <f t="shared" ca="1" si="132"/>
        <v>-586165642.01322961</v>
      </c>
      <c r="M1725" s="460">
        <f t="shared" si="134"/>
        <v>0.05</v>
      </c>
      <c r="N1725" s="464">
        <f t="shared" si="135"/>
        <v>103547</v>
      </c>
    </row>
    <row r="1726" spans="7:14" ht="11.25" customHeight="1" x14ac:dyDescent="0.25">
      <c r="G1726" s="459"/>
      <c r="H1726" s="459">
        <v>1719</v>
      </c>
      <c r="I1726" s="444">
        <f t="shared" ca="1" si="133"/>
        <v>-586165642.01322961</v>
      </c>
      <c r="J1726" s="444">
        <f t="array" ref="J1726">IFERROR(INDEX('Retirement Calculator'!J:J,MATCH('Isaac 401k'!N1726,'Retirement Calculator'!A:A,0),0),0)</f>
        <v>0</v>
      </c>
      <c r="K1726" s="444">
        <f t="shared" ca="1" si="131"/>
        <v>-2442356.8417217899</v>
      </c>
      <c r="L1726" s="444">
        <f t="shared" ca="1" si="132"/>
        <v>-588607998.85495138</v>
      </c>
      <c r="M1726" s="460">
        <f t="shared" si="134"/>
        <v>0.05</v>
      </c>
      <c r="N1726" s="464">
        <f t="shared" si="135"/>
        <v>103578</v>
      </c>
    </row>
    <row r="1727" spans="7:14" ht="11.25" customHeight="1" x14ac:dyDescent="0.25">
      <c r="G1727" s="459"/>
      <c r="H1727" s="459">
        <v>1720</v>
      </c>
      <c r="I1727" s="444">
        <f t="shared" ca="1" si="133"/>
        <v>-588607998.85495138</v>
      </c>
      <c r="J1727" s="444">
        <f t="array" ref="J1727">IFERROR(INDEX('Retirement Calculator'!J:J,MATCH('Isaac 401k'!N1727,'Retirement Calculator'!A:A,0),0),0)</f>
        <v>0</v>
      </c>
      <c r="K1727" s="444">
        <f t="shared" ca="1" si="131"/>
        <v>-2452533.3285622974</v>
      </c>
      <c r="L1727" s="444">
        <f t="shared" ca="1" si="132"/>
        <v>-591060532.18351364</v>
      </c>
      <c r="M1727" s="460">
        <f t="shared" si="134"/>
        <v>0.05</v>
      </c>
      <c r="N1727" s="464">
        <f t="shared" si="135"/>
        <v>103609</v>
      </c>
    </row>
    <row r="1728" spans="7:14" ht="11.25" customHeight="1" x14ac:dyDescent="0.25">
      <c r="G1728" s="459"/>
      <c r="H1728" s="459">
        <v>1721</v>
      </c>
      <c r="I1728" s="444">
        <f t="shared" ca="1" si="133"/>
        <v>-591060532.18351364</v>
      </c>
      <c r="J1728" s="444">
        <f t="array" ref="J1728">IFERROR(INDEX('Retirement Calculator'!J:J,MATCH('Isaac 401k'!N1728,'Retirement Calculator'!A:A,0),0),0)</f>
        <v>0</v>
      </c>
      <c r="K1728" s="444">
        <f t="shared" ca="1" si="131"/>
        <v>-2462752.2174313068</v>
      </c>
      <c r="L1728" s="444">
        <f t="shared" ca="1" si="132"/>
        <v>-593523284.40094495</v>
      </c>
      <c r="M1728" s="460">
        <f t="shared" si="134"/>
        <v>0.05</v>
      </c>
      <c r="N1728" s="464">
        <f t="shared" si="135"/>
        <v>103639</v>
      </c>
    </row>
    <row r="1729" spans="7:14" ht="11.25" customHeight="1" x14ac:dyDescent="0.25">
      <c r="G1729" s="459"/>
      <c r="H1729" s="459">
        <v>1722</v>
      </c>
      <c r="I1729" s="444">
        <f t="shared" ca="1" si="133"/>
        <v>-593523284.40094495</v>
      </c>
      <c r="J1729" s="444">
        <f t="array" ref="J1729">IFERROR(INDEX('Retirement Calculator'!J:J,MATCH('Isaac 401k'!N1729,'Retirement Calculator'!A:A,0),0),0)</f>
        <v>0</v>
      </c>
      <c r="K1729" s="444">
        <f t="shared" ca="1" si="131"/>
        <v>-2473013.6850039372</v>
      </c>
      <c r="L1729" s="444">
        <f t="shared" ca="1" si="132"/>
        <v>-595996298.08594894</v>
      </c>
      <c r="M1729" s="460">
        <f t="shared" si="134"/>
        <v>0.05</v>
      </c>
      <c r="N1729" s="464">
        <f t="shared" si="135"/>
        <v>103670</v>
      </c>
    </row>
    <row r="1730" spans="7:14" ht="11.25" customHeight="1" x14ac:dyDescent="0.25">
      <c r="G1730" s="459"/>
      <c r="H1730" s="459">
        <v>1723</v>
      </c>
      <c r="I1730" s="444">
        <f t="shared" ca="1" si="133"/>
        <v>-595996298.08594894</v>
      </c>
      <c r="J1730" s="444">
        <f t="array" ref="J1730">IFERROR(INDEX('Retirement Calculator'!J:J,MATCH('Isaac 401k'!N1730,'Retirement Calculator'!A:A,0),0),0)</f>
        <v>0</v>
      </c>
      <c r="K1730" s="444">
        <f t="shared" ca="1" si="131"/>
        <v>-2483317.9086914537</v>
      </c>
      <c r="L1730" s="444">
        <f t="shared" ca="1" si="132"/>
        <v>-598479615.99464035</v>
      </c>
      <c r="M1730" s="460">
        <f t="shared" si="134"/>
        <v>0.05</v>
      </c>
      <c r="N1730" s="464">
        <f t="shared" si="135"/>
        <v>103700</v>
      </c>
    </row>
    <row r="1731" spans="7:14" ht="11.25" customHeight="1" x14ac:dyDescent="0.25">
      <c r="G1731" s="459"/>
      <c r="H1731" s="459">
        <v>1724</v>
      </c>
      <c r="I1731" s="444">
        <f t="shared" ca="1" si="133"/>
        <v>-598479615.99464035</v>
      </c>
      <c r="J1731" s="444">
        <f t="array" ref="J1731">IFERROR(INDEX('Retirement Calculator'!J:J,MATCH('Isaac 401k'!N1731,'Retirement Calculator'!A:A,0),0),0)</f>
        <v>0</v>
      </c>
      <c r="K1731" s="444">
        <f t="shared" ca="1" si="131"/>
        <v>-2493665.0666443347</v>
      </c>
      <c r="L1731" s="444">
        <f t="shared" ca="1" si="132"/>
        <v>-600973281.06128466</v>
      </c>
      <c r="M1731" s="460">
        <f t="shared" si="134"/>
        <v>0.05</v>
      </c>
      <c r="N1731" s="464">
        <f t="shared" si="135"/>
        <v>103731</v>
      </c>
    </row>
    <row r="1732" spans="7:14" ht="11.25" customHeight="1" x14ac:dyDescent="0.25">
      <c r="G1732" s="459"/>
      <c r="H1732" s="459">
        <v>1725</v>
      </c>
      <c r="I1732" s="444">
        <f t="shared" ca="1" si="133"/>
        <v>-600973281.06128466</v>
      </c>
      <c r="J1732" s="444">
        <f t="array" ref="J1732">IFERROR(INDEX('Retirement Calculator'!J:J,MATCH('Isaac 401k'!N1732,'Retirement Calculator'!A:A,0),0),0)</f>
        <v>0</v>
      </c>
      <c r="K1732" s="444">
        <f t="shared" ca="1" si="131"/>
        <v>-2504055.3377553527</v>
      </c>
      <c r="L1732" s="444">
        <f t="shared" ca="1" si="132"/>
        <v>-603477336.39903998</v>
      </c>
      <c r="M1732" s="460">
        <f t="shared" si="134"/>
        <v>0.05</v>
      </c>
      <c r="N1732" s="464">
        <f t="shared" si="135"/>
        <v>103762</v>
      </c>
    </row>
    <row r="1733" spans="7:14" ht="11.25" customHeight="1" x14ac:dyDescent="0.25">
      <c r="G1733" s="459"/>
      <c r="H1733" s="459">
        <v>1726</v>
      </c>
      <c r="I1733" s="444">
        <f t="shared" ca="1" si="133"/>
        <v>-603477336.39903998</v>
      </c>
      <c r="J1733" s="444">
        <f t="array" ref="J1733">IFERROR(INDEX('Retirement Calculator'!J:J,MATCH('Isaac 401k'!N1733,'Retirement Calculator'!A:A,0),0),0)</f>
        <v>0</v>
      </c>
      <c r="K1733" s="444">
        <f t="shared" ca="1" si="131"/>
        <v>-2514488.9016626664</v>
      </c>
      <c r="L1733" s="444">
        <f t="shared" ca="1" si="132"/>
        <v>-605991825.30070269</v>
      </c>
      <c r="M1733" s="460">
        <f t="shared" si="134"/>
        <v>0.05</v>
      </c>
      <c r="N1733" s="464">
        <f t="shared" si="135"/>
        <v>103791</v>
      </c>
    </row>
    <row r="1734" spans="7:14" ht="11.25" customHeight="1" x14ac:dyDescent="0.25">
      <c r="G1734" s="459"/>
      <c r="H1734" s="459">
        <v>1727</v>
      </c>
      <c r="I1734" s="444">
        <f t="shared" ca="1" si="133"/>
        <v>-605991825.30070269</v>
      </c>
      <c r="J1734" s="444">
        <f t="array" ref="J1734">IFERROR(INDEX('Retirement Calculator'!J:J,MATCH('Isaac 401k'!N1734,'Retirement Calculator'!A:A,0),0),0)</f>
        <v>0</v>
      </c>
      <c r="K1734" s="444">
        <f t="shared" ca="1" si="131"/>
        <v>-2524965.9387529278</v>
      </c>
      <c r="L1734" s="444">
        <f t="shared" ca="1" si="132"/>
        <v>-608516791.23945558</v>
      </c>
      <c r="M1734" s="460">
        <f t="shared" si="134"/>
        <v>0.05</v>
      </c>
      <c r="N1734" s="464">
        <f t="shared" si="135"/>
        <v>103822</v>
      </c>
    </row>
    <row r="1735" spans="7:14" ht="11.25" customHeight="1" x14ac:dyDescent="0.25">
      <c r="G1735" s="459"/>
      <c r="H1735" s="459">
        <v>1728</v>
      </c>
      <c r="I1735" s="444">
        <f t="shared" ca="1" si="133"/>
        <v>-608516791.23945558</v>
      </c>
      <c r="J1735" s="444">
        <f t="array" ref="J1735">IFERROR(INDEX('Retirement Calculator'!J:J,MATCH('Isaac 401k'!N1735,'Retirement Calculator'!A:A,0),0),0)</f>
        <v>0</v>
      </c>
      <c r="K1735" s="444">
        <f t="shared" ca="1" si="131"/>
        <v>-2535486.6301643983</v>
      </c>
      <c r="L1735" s="444">
        <f t="shared" ca="1" si="132"/>
        <v>-611052277.86961997</v>
      </c>
      <c r="M1735" s="460">
        <f t="shared" si="134"/>
        <v>0.05</v>
      </c>
      <c r="N1735" s="464">
        <f t="shared" si="135"/>
        <v>103852</v>
      </c>
    </row>
    <row r="1736" spans="7:14" ht="11.25" customHeight="1" x14ac:dyDescent="0.25">
      <c r="G1736" s="459"/>
      <c r="H1736" s="459">
        <v>1729</v>
      </c>
      <c r="I1736" s="444">
        <f t="shared" ca="1" si="133"/>
        <v>-611052277.86961997</v>
      </c>
      <c r="J1736" s="444">
        <f t="array" ref="J1736">IFERROR(INDEX('Retirement Calculator'!J:J,MATCH('Isaac 401k'!N1736,'Retirement Calculator'!A:A,0),0),0)</f>
        <v>0</v>
      </c>
      <c r="K1736" s="444">
        <f t="shared" ca="1" si="131"/>
        <v>-2546051.157790083</v>
      </c>
      <c r="L1736" s="444">
        <f t="shared" ca="1" si="132"/>
        <v>-613598329.02741003</v>
      </c>
      <c r="M1736" s="460">
        <f t="shared" si="134"/>
        <v>0.05</v>
      </c>
      <c r="N1736" s="464">
        <f t="shared" si="135"/>
        <v>103883</v>
      </c>
    </row>
    <row r="1737" spans="7:14" ht="11.25" customHeight="1" x14ac:dyDescent="0.25">
      <c r="G1737" s="459"/>
      <c r="H1737" s="459">
        <v>1730</v>
      </c>
      <c r="I1737" s="444">
        <f t="shared" ca="1" si="133"/>
        <v>-613598329.02741003</v>
      </c>
      <c r="J1737" s="444">
        <f t="array" ref="J1737">IFERROR(INDEX('Retirement Calculator'!J:J,MATCH('Isaac 401k'!N1737,'Retirement Calculator'!A:A,0),0),0)</f>
        <v>0</v>
      </c>
      <c r="K1737" s="444">
        <f t="shared" ca="1" si="131"/>
        <v>-2556659.7042808752</v>
      </c>
      <c r="L1737" s="444">
        <f t="shared" ca="1" si="132"/>
        <v>-616154988.73169088</v>
      </c>
      <c r="M1737" s="460">
        <f t="shared" si="134"/>
        <v>0.05</v>
      </c>
      <c r="N1737" s="464">
        <f t="shared" si="135"/>
        <v>103913</v>
      </c>
    </row>
    <row r="1738" spans="7:14" ht="11.25" customHeight="1" x14ac:dyDescent="0.25">
      <c r="G1738" s="459"/>
      <c r="H1738" s="459">
        <v>1731</v>
      </c>
      <c r="I1738" s="444">
        <f t="shared" ca="1" si="133"/>
        <v>-616154988.73169088</v>
      </c>
      <c r="J1738" s="444">
        <f t="array" ref="J1738">IFERROR(INDEX('Retirement Calculator'!J:J,MATCH('Isaac 401k'!N1738,'Retirement Calculator'!A:A,0),0),0)</f>
        <v>0</v>
      </c>
      <c r="K1738" s="444">
        <f t="shared" ca="1" si="131"/>
        <v>-2567312.4530487121</v>
      </c>
      <c r="L1738" s="444">
        <f t="shared" ca="1" si="132"/>
        <v>-618722301.18473959</v>
      </c>
      <c r="M1738" s="460">
        <f t="shared" si="134"/>
        <v>0.05</v>
      </c>
      <c r="N1738" s="464">
        <f t="shared" si="135"/>
        <v>103944</v>
      </c>
    </row>
    <row r="1739" spans="7:14" ht="11.25" customHeight="1" x14ac:dyDescent="0.25">
      <c r="G1739" s="459"/>
      <c r="H1739" s="459">
        <v>1732</v>
      </c>
      <c r="I1739" s="444">
        <f t="shared" ca="1" si="133"/>
        <v>-618722301.18473959</v>
      </c>
      <c r="J1739" s="444">
        <f t="array" ref="J1739">IFERROR(INDEX('Retirement Calculator'!J:J,MATCH('Isaac 401k'!N1739,'Retirement Calculator'!A:A,0),0),0)</f>
        <v>0</v>
      </c>
      <c r="K1739" s="444">
        <f t="shared" ca="1" si="131"/>
        <v>-2578009.5882697483</v>
      </c>
      <c r="L1739" s="444">
        <f t="shared" ca="1" si="132"/>
        <v>-621300310.7730093</v>
      </c>
      <c r="M1739" s="460">
        <f t="shared" si="134"/>
        <v>0.05</v>
      </c>
      <c r="N1739" s="464">
        <f t="shared" si="135"/>
        <v>103975</v>
      </c>
    </row>
    <row r="1740" spans="7:14" ht="11.25" customHeight="1" x14ac:dyDescent="0.25">
      <c r="G1740" s="459"/>
      <c r="H1740" s="459">
        <v>1733</v>
      </c>
      <c r="I1740" s="444">
        <f t="shared" ca="1" si="133"/>
        <v>-621300310.7730093</v>
      </c>
      <c r="J1740" s="444">
        <f t="array" ref="J1740">IFERROR(INDEX('Retirement Calculator'!J:J,MATCH('Isaac 401k'!N1740,'Retirement Calculator'!A:A,0),0),0)</f>
        <v>0</v>
      </c>
      <c r="K1740" s="444">
        <f t="shared" ca="1" si="131"/>
        <v>-2588751.2948875385</v>
      </c>
      <c r="L1740" s="444">
        <f t="shared" ca="1" si="132"/>
        <v>-623889062.06789684</v>
      </c>
      <c r="M1740" s="460">
        <f t="shared" si="134"/>
        <v>0.05</v>
      </c>
      <c r="N1740" s="464">
        <f t="shared" si="135"/>
        <v>104005</v>
      </c>
    </row>
    <row r="1741" spans="7:14" ht="11.25" customHeight="1" x14ac:dyDescent="0.25">
      <c r="G1741" s="459"/>
      <c r="H1741" s="459">
        <v>1734</v>
      </c>
      <c r="I1741" s="444">
        <f t="shared" ca="1" si="133"/>
        <v>-623889062.06789684</v>
      </c>
      <c r="J1741" s="444">
        <f t="array" ref="J1741">IFERROR(INDEX('Retirement Calculator'!J:J,MATCH('Isaac 401k'!N1741,'Retirement Calculator'!A:A,0),0),0)</f>
        <v>0</v>
      </c>
      <c r="K1741" s="444">
        <f t="shared" ca="1" si="131"/>
        <v>-2599537.758616237</v>
      </c>
      <c r="L1741" s="444">
        <f t="shared" ca="1" si="132"/>
        <v>-626488599.82651305</v>
      </c>
      <c r="M1741" s="460">
        <f t="shared" si="134"/>
        <v>0.05</v>
      </c>
      <c r="N1741" s="464">
        <f t="shared" si="135"/>
        <v>104036</v>
      </c>
    </row>
    <row r="1742" spans="7:14" ht="11.25" customHeight="1" x14ac:dyDescent="0.25">
      <c r="G1742" s="459"/>
      <c r="H1742" s="459">
        <v>1735</v>
      </c>
      <c r="I1742" s="444">
        <f t="shared" ca="1" si="133"/>
        <v>-626488599.82651305</v>
      </c>
      <c r="J1742" s="444">
        <f t="array" ref="J1742">IFERROR(INDEX('Retirement Calculator'!J:J,MATCH('Isaac 401k'!N1742,'Retirement Calculator'!A:A,0),0),0)</f>
        <v>0</v>
      </c>
      <c r="K1742" s="444">
        <f t="shared" ca="1" si="131"/>
        <v>-2610369.1659438042</v>
      </c>
      <c r="L1742" s="444">
        <f t="shared" ca="1" si="132"/>
        <v>-629098968.99245691</v>
      </c>
      <c r="M1742" s="460">
        <f t="shared" si="134"/>
        <v>0.05</v>
      </c>
      <c r="N1742" s="464">
        <f t="shared" si="135"/>
        <v>104066</v>
      </c>
    </row>
    <row r="1743" spans="7:14" ht="11.25" customHeight="1" x14ac:dyDescent="0.25">
      <c r="G1743" s="459"/>
      <c r="H1743" s="459">
        <v>1736</v>
      </c>
      <c r="I1743" s="444">
        <f t="shared" ca="1" si="133"/>
        <v>-629098968.99245691</v>
      </c>
      <c r="J1743" s="444">
        <f t="array" ref="J1743">IFERROR(INDEX('Retirement Calculator'!J:J,MATCH('Isaac 401k'!N1743,'Retirement Calculator'!A:A,0),0),0)</f>
        <v>0</v>
      </c>
      <c r="K1743" s="444">
        <f t="shared" ca="1" si="131"/>
        <v>-2621245.7041352373</v>
      </c>
      <c r="L1743" s="444">
        <f t="shared" ca="1" si="132"/>
        <v>-631720214.69659209</v>
      </c>
      <c r="M1743" s="460">
        <f t="shared" si="134"/>
        <v>0.05</v>
      </c>
      <c r="N1743" s="464">
        <f t="shared" si="135"/>
        <v>104097</v>
      </c>
    </row>
    <row r="1744" spans="7:14" ht="11.25" customHeight="1" x14ac:dyDescent="0.25">
      <c r="G1744" s="459"/>
      <c r="H1744" s="459">
        <v>1737</v>
      </c>
      <c r="I1744" s="444">
        <f t="shared" ca="1" si="133"/>
        <v>-631720214.69659209</v>
      </c>
      <c r="J1744" s="444">
        <f t="array" ref="J1744">IFERROR(INDEX('Retirement Calculator'!J:J,MATCH('Isaac 401k'!N1744,'Retirement Calculator'!A:A,0),0),0)</f>
        <v>0</v>
      </c>
      <c r="K1744" s="444">
        <f t="shared" ca="1" si="131"/>
        <v>-2632167.5612358004</v>
      </c>
      <c r="L1744" s="444">
        <f t="shared" ca="1" si="132"/>
        <v>-634352382.25782788</v>
      </c>
      <c r="M1744" s="460">
        <f t="shared" si="134"/>
        <v>0.05</v>
      </c>
      <c r="N1744" s="464">
        <f t="shared" si="135"/>
        <v>104128</v>
      </c>
    </row>
    <row r="1745" spans="7:14" ht="11.25" customHeight="1" x14ac:dyDescent="0.25">
      <c r="G1745" s="459"/>
      <c r="H1745" s="459">
        <v>1738</v>
      </c>
      <c r="I1745" s="444">
        <f t="shared" ca="1" si="133"/>
        <v>-634352382.25782788</v>
      </c>
      <c r="J1745" s="444">
        <f t="array" ref="J1745">IFERROR(INDEX('Retirement Calculator'!J:J,MATCH('Isaac 401k'!N1745,'Retirement Calculator'!A:A,0),0),0)</f>
        <v>0</v>
      </c>
      <c r="K1745" s="444">
        <f t="shared" ca="1" si="131"/>
        <v>-2643134.9260742827</v>
      </c>
      <c r="L1745" s="444">
        <f t="shared" ca="1" si="132"/>
        <v>-636995517.18390214</v>
      </c>
      <c r="M1745" s="460">
        <f t="shared" si="134"/>
        <v>0.05</v>
      </c>
      <c r="N1745" s="464">
        <f t="shared" si="135"/>
        <v>104156</v>
      </c>
    </row>
    <row r="1746" spans="7:14" ht="11.25" customHeight="1" x14ac:dyDescent="0.25">
      <c r="G1746" s="459"/>
      <c r="H1746" s="459">
        <v>1739</v>
      </c>
      <c r="I1746" s="444">
        <f t="shared" ca="1" si="133"/>
        <v>-636995517.18390214</v>
      </c>
      <c r="J1746" s="444">
        <f t="array" ref="J1746">IFERROR(INDEX('Retirement Calculator'!J:J,MATCH('Isaac 401k'!N1746,'Retirement Calculator'!A:A,0),0),0)</f>
        <v>0</v>
      </c>
      <c r="K1746" s="444">
        <f t="shared" ca="1" si="131"/>
        <v>-2654147.988266259</v>
      </c>
      <c r="L1746" s="444">
        <f t="shared" ca="1" si="132"/>
        <v>-639649665.17216837</v>
      </c>
      <c r="M1746" s="460">
        <f t="shared" si="134"/>
        <v>0.05</v>
      </c>
      <c r="N1746" s="464">
        <f t="shared" si="135"/>
        <v>104187</v>
      </c>
    </row>
    <row r="1747" spans="7:14" ht="11.25" customHeight="1" x14ac:dyDescent="0.25">
      <c r="G1747" s="459"/>
      <c r="H1747" s="459">
        <v>1740</v>
      </c>
      <c r="I1747" s="444">
        <f t="shared" ca="1" si="133"/>
        <v>-639649665.17216837</v>
      </c>
      <c r="J1747" s="444">
        <f t="array" ref="J1747">IFERROR(INDEX('Retirement Calculator'!J:J,MATCH('Isaac 401k'!N1747,'Retirement Calculator'!A:A,0),0),0)</f>
        <v>0</v>
      </c>
      <c r="K1747" s="444">
        <f t="shared" ca="1" si="131"/>
        <v>-2665206.938217368</v>
      </c>
      <c r="L1747" s="444">
        <f t="shared" ca="1" si="132"/>
        <v>-642314872.11038578</v>
      </c>
      <c r="M1747" s="460">
        <f t="shared" si="134"/>
        <v>0.05</v>
      </c>
      <c r="N1747" s="464">
        <f t="shared" si="135"/>
        <v>104217</v>
      </c>
    </row>
    <row r="1748" spans="7:14" ht="11.25" customHeight="1" x14ac:dyDescent="0.25">
      <c r="G1748" s="459"/>
      <c r="H1748" s="459">
        <v>1741</v>
      </c>
      <c r="I1748" s="444">
        <f t="shared" ca="1" si="133"/>
        <v>-642314872.11038578</v>
      </c>
      <c r="J1748" s="444">
        <f t="array" ref="J1748">IFERROR(INDEX('Retirement Calculator'!J:J,MATCH('Isaac 401k'!N1748,'Retirement Calculator'!A:A,0),0),0)</f>
        <v>0</v>
      </c>
      <c r="K1748" s="444">
        <f t="shared" ca="1" si="131"/>
        <v>-2676311.9671266074</v>
      </c>
      <c r="L1748" s="444">
        <f t="shared" ca="1" si="132"/>
        <v>-644991184.07751238</v>
      </c>
      <c r="M1748" s="460">
        <f t="shared" si="134"/>
        <v>0.05</v>
      </c>
      <c r="N1748" s="464">
        <f t="shared" si="135"/>
        <v>104248</v>
      </c>
    </row>
    <row r="1749" spans="7:14" ht="11.25" customHeight="1" x14ac:dyDescent="0.25">
      <c r="G1749" s="459"/>
      <c r="H1749" s="459">
        <v>1742</v>
      </c>
      <c r="I1749" s="444">
        <f t="shared" ca="1" si="133"/>
        <v>-644991184.07751238</v>
      </c>
      <c r="J1749" s="444">
        <f t="array" ref="J1749">IFERROR(INDEX('Retirement Calculator'!J:J,MATCH('Isaac 401k'!N1749,'Retirement Calculator'!A:A,0),0),0)</f>
        <v>0</v>
      </c>
      <c r="K1749" s="444">
        <f t="shared" ca="1" si="131"/>
        <v>-2687463.2669896348</v>
      </c>
      <c r="L1749" s="444">
        <f t="shared" ca="1" si="132"/>
        <v>-647678647.34450197</v>
      </c>
      <c r="M1749" s="460">
        <f t="shared" si="134"/>
        <v>0.05</v>
      </c>
      <c r="N1749" s="464">
        <f t="shared" si="135"/>
        <v>104278</v>
      </c>
    </row>
    <row r="1750" spans="7:14" ht="11.25" customHeight="1" x14ac:dyDescent="0.25">
      <c r="G1750" s="459"/>
      <c r="H1750" s="459">
        <v>1743</v>
      </c>
      <c r="I1750" s="444">
        <f t="shared" ca="1" si="133"/>
        <v>-647678647.34450197</v>
      </c>
      <c r="J1750" s="444">
        <f t="array" ref="J1750">IFERROR(INDEX('Retirement Calculator'!J:J,MATCH('Isaac 401k'!N1750,'Retirement Calculator'!A:A,0),0),0)</f>
        <v>0</v>
      </c>
      <c r="K1750" s="444">
        <f t="shared" ca="1" si="131"/>
        <v>-2698661.0306020915</v>
      </c>
      <c r="L1750" s="444">
        <f t="shared" ca="1" si="132"/>
        <v>-650377308.37510407</v>
      </c>
      <c r="M1750" s="460">
        <f t="shared" si="134"/>
        <v>0.05</v>
      </c>
      <c r="N1750" s="464">
        <f t="shared" si="135"/>
        <v>104309</v>
      </c>
    </row>
    <row r="1751" spans="7:14" ht="11.25" customHeight="1" x14ac:dyDescent="0.25">
      <c r="G1751" s="459"/>
      <c r="H1751" s="459">
        <v>1744</v>
      </c>
      <c r="I1751" s="444">
        <f t="shared" ca="1" si="133"/>
        <v>-650377308.37510407</v>
      </c>
      <c r="J1751" s="444">
        <f t="array" ref="J1751">IFERROR(INDEX('Retirement Calculator'!J:J,MATCH('Isaac 401k'!N1751,'Retirement Calculator'!A:A,0),0),0)</f>
        <v>0</v>
      </c>
      <c r="K1751" s="444">
        <f t="shared" ca="1" si="131"/>
        <v>-2709905.4515629336</v>
      </c>
      <c r="L1751" s="444">
        <f t="shared" ca="1" si="132"/>
        <v>-653087213.82666695</v>
      </c>
      <c r="M1751" s="460">
        <f t="shared" si="134"/>
        <v>0.05</v>
      </c>
      <c r="N1751" s="464">
        <f t="shared" si="135"/>
        <v>104340</v>
      </c>
    </row>
    <row r="1752" spans="7:14" ht="11.25" customHeight="1" x14ac:dyDescent="0.25">
      <c r="G1752" s="459"/>
      <c r="H1752" s="459">
        <v>1745</v>
      </c>
      <c r="I1752" s="444">
        <f t="shared" ca="1" si="133"/>
        <v>-653087213.82666695</v>
      </c>
      <c r="J1752" s="444">
        <f t="array" ref="J1752">IFERROR(INDEX('Retirement Calculator'!J:J,MATCH('Isaac 401k'!N1752,'Retirement Calculator'!A:A,0),0),0)</f>
        <v>0</v>
      </c>
      <c r="K1752" s="444">
        <f t="shared" ca="1" si="131"/>
        <v>-2721196.724277779</v>
      </c>
      <c r="L1752" s="444">
        <f t="shared" ca="1" si="132"/>
        <v>-655808410.55094469</v>
      </c>
      <c r="M1752" s="460">
        <f t="shared" si="134"/>
        <v>0.05</v>
      </c>
      <c r="N1752" s="464">
        <f t="shared" si="135"/>
        <v>104370</v>
      </c>
    </row>
    <row r="1753" spans="7:14" ht="11.25" customHeight="1" x14ac:dyDescent="0.25">
      <c r="G1753" s="459"/>
      <c r="H1753" s="459">
        <v>1746</v>
      </c>
      <c r="I1753" s="444">
        <f t="shared" ca="1" si="133"/>
        <v>-655808410.55094469</v>
      </c>
      <c r="J1753" s="444">
        <f t="array" ref="J1753">IFERROR(INDEX('Retirement Calculator'!J:J,MATCH('Isaac 401k'!N1753,'Retirement Calculator'!A:A,0),0),0)</f>
        <v>0</v>
      </c>
      <c r="K1753" s="444">
        <f t="shared" ca="1" si="131"/>
        <v>-2732535.0439622696</v>
      </c>
      <c r="L1753" s="444">
        <f t="shared" ca="1" si="132"/>
        <v>-658540945.59490693</v>
      </c>
      <c r="M1753" s="460">
        <f t="shared" si="134"/>
        <v>0.05</v>
      </c>
      <c r="N1753" s="464">
        <f t="shared" si="135"/>
        <v>104401</v>
      </c>
    </row>
    <row r="1754" spans="7:14" ht="11.25" customHeight="1" x14ac:dyDescent="0.25">
      <c r="G1754" s="459"/>
      <c r="H1754" s="459">
        <v>1747</v>
      </c>
      <c r="I1754" s="444">
        <f t="shared" ca="1" si="133"/>
        <v>-658540945.59490693</v>
      </c>
      <c r="J1754" s="444">
        <f t="array" ref="J1754">IFERROR(INDEX('Retirement Calculator'!J:J,MATCH('Isaac 401k'!N1754,'Retirement Calculator'!A:A,0),0),0)</f>
        <v>0</v>
      </c>
      <c r="K1754" s="444">
        <f t="shared" ca="1" si="131"/>
        <v>-2743920.6066454453</v>
      </c>
      <c r="L1754" s="444">
        <f t="shared" ca="1" si="132"/>
        <v>-661284866.20155239</v>
      </c>
      <c r="M1754" s="460">
        <f t="shared" si="134"/>
        <v>0.05</v>
      </c>
      <c r="N1754" s="464">
        <f t="shared" si="135"/>
        <v>104431</v>
      </c>
    </row>
    <row r="1755" spans="7:14" ht="11.25" customHeight="1" x14ac:dyDescent="0.25">
      <c r="G1755" s="459"/>
      <c r="H1755" s="459">
        <v>1748</v>
      </c>
      <c r="I1755" s="444">
        <f t="shared" ca="1" si="133"/>
        <v>-661284866.20155239</v>
      </c>
      <c r="J1755" s="444">
        <f t="array" ref="J1755">IFERROR(INDEX('Retirement Calculator'!J:J,MATCH('Isaac 401k'!N1755,'Retirement Calculator'!A:A,0),0),0)</f>
        <v>0</v>
      </c>
      <c r="K1755" s="444">
        <f t="shared" ca="1" si="131"/>
        <v>-2755353.6091731349</v>
      </c>
      <c r="L1755" s="444">
        <f t="shared" ca="1" si="132"/>
        <v>-664040219.81072557</v>
      </c>
      <c r="M1755" s="460">
        <f t="shared" si="134"/>
        <v>0.05</v>
      </c>
      <c r="N1755" s="464">
        <f t="shared" si="135"/>
        <v>104462</v>
      </c>
    </row>
    <row r="1756" spans="7:14" ht="11.25" customHeight="1" x14ac:dyDescent="0.25">
      <c r="G1756" s="459"/>
      <c r="H1756" s="459">
        <v>1749</v>
      </c>
      <c r="I1756" s="444">
        <f t="shared" ca="1" si="133"/>
        <v>-664040219.81072557</v>
      </c>
      <c r="J1756" s="444">
        <f t="array" ref="J1756">IFERROR(INDEX('Retirement Calculator'!J:J,MATCH('Isaac 401k'!N1756,'Retirement Calculator'!A:A,0),0),0)</f>
        <v>0</v>
      </c>
      <c r="K1756" s="444">
        <f t="shared" ca="1" si="131"/>
        <v>-2766834.2492113565</v>
      </c>
      <c r="L1756" s="444">
        <f t="shared" ca="1" si="132"/>
        <v>-666807054.05993688</v>
      </c>
      <c r="M1756" s="460">
        <f t="shared" si="134"/>
        <v>0.05</v>
      </c>
      <c r="N1756" s="464">
        <f t="shared" si="135"/>
        <v>104493</v>
      </c>
    </row>
    <row r="1757" spans="7:14" ht="11.25" customHeight="1" x14ac:dyDescent="0.25">
      <c r="G1757" s="459"/>
      <c r="H1757" s="459">
        <v>1750</v>
      </c>
      <c r="I1757" s="444">
        <f t="shared" ca="1" si="133"/>
        <v>-666807054.05993688</v>
      </c>
      <c r="J1757" s="444">
        <f t="array" ref="J1757">IFERROR(INDEX('Retirement Calculator'!J:J,MATCH('Isaac 401k'!N1757,'Retirement Calculator'!A:A,0),0),0)</f>
        <v>0</v>
      </c>
      <c r="K1757" s="444">
        <f t="shared" ca="1" si="131"/>
        <v>-2778362.725249737</v>
      </c>
      <c r="L1757" s="444">
        <f t="shared" ca="1" si="132"/>
        <v>-669585416.78518665</v>
      </c>
      <c r="M1757" s="460">
        <f t="shared" si="134"/>
        <v>0.05</v>
      </c>
      <c r="N1757" s="464">
        <f t="shared" si="135"/>
        <v>104521</v>
      </c>
    </row>
    <row r="1758" spans="7:14" ht="11.25" customHeight="1" x14ac:dyDescent="0.25">
      <c r="G1758" s="459"/>
      <c r="H1758" s="459">
        <v>1751</v>
      </c>
      <c r="I1758" s="444">
        <f t="shared" ca="1" si="133"/>
        <v>-669585416.78518665</v>
      </c>
      <c r="J1758" s="444">
        <f t="array" ref="J1758">IFERROR(INDEX('Retirement Calculator'!J:J,MATCH('Isaac 401k'!N1758,'Retirement Calculator'!A:A,0),0),0)</f>
        <v>0</v>
      </c>
      <c r="K1758" s="444">
        <f t="shared" ca="1" si="131"/>
        <v>-2789939.2366049443</v>
      </c>
      <c r="L1758" s="444">
        <f t="shared" ca="1" si="132"/>
        <v>-672375356.02179158</v>
      </c>
      <c r="M1758" s="460">
        <f t="shared" si="134"/>
        <v>0.05</v>
      </c>
      <c r="N1758" s="464">
        <f t="shared" si="135"/>
        <v>104552</v>
      </c>
    </row>
    <row r="1759" spans="7:14" ht="11.25" customHeight="1" x14ac:dyDescent="0.25">
      <c r="G1759" s="459"/>
      <c r="H1759" s="459">
        <v>1752</v>
      </c>
      <c r="I1759" s="444">
        <f t="shared" ca="1" si="133"/>
        <v>-672375356.02179158</v>
      </c>
      <c r="J1759" s="444">
        <f t="array" ref="J1759">IFERROR(INDEX('Retirement Calculator'!J:J,MATCH('Isaac 401k'!N1759,'Retirement Calculator'!A:A,0),0),0)</f>
        <v>0</v>
      </c>
      <c r="K1759" s="444">
        <f t="shared" ca="1" si="131"/>
        <v>-2801563.9834241318</v>
      </c>
      <c r="L1759" s="444">
        <f t="shared" ca="1" si="132"/>
        <v>-675176920.00521576</v>
      </c>
      <c r="M1759" s="460">
        <f t="shared" si="134"/>
        <v>0.05</v>
      </c>
      <c r="N1759" s="464">
        <f t="shared" si="135"/>
        <v>104582</v>
      </c>
    </row>
    <row r="1760" spans="7:14" ht="11.25" customHeight="1" x14ac:dyDescent="0.25">
      <c r="G1760" s="459"/>
      <c r="H1760" s="459">
        <v>1753</v>
      </c>
      <c r="I1760" s="444">
        <f t="shared" ca="1" si="133"/>
        <v>-675176920.00521576</v>
      </c>
      <c r="J1760" s="444">
        <f t="array" ref="J1760">IFERROR(INDEX('Retirement Calculator'!J:J,MATCH('Isaac 401k'!N1760,'Retirement Calculator'!A:A,0),0),0)</f>
        <v>0</v>
      </c>
      <c r="K1760" s="444">
        <f t="shared" ca="1" si="131"/>
        <v>-2813237.1666883989</v>
      </c>
      <c r="L1760" s="444">
        <f t="shared" ca="1" si="132"/>
        <v>-677990157.17190421</v>
      </c>
      <c r="M1760" s="460">
        <f t="shared" si="134"/>
        <v>0.05</v>
      </c>
      <c r="N1760" s="464">
        <f t="shared" si="135"/>
        <v>104613</v>
      </c>
    </row>
    <row r="1761" spans="7:14" ht="11.25" customHeight="1" x14ac:dyDescent="0.25">
      <c r="G1761" s="459"/>
      <c r="H1761" s="459">
        <v>1754</v>
      </c>
      <c r="I1761" s="444">
        <f t="shared" ca="1" si="133"/>
        <v>-677990157.17190421</v>
      </c>
      <c r="J1761" s="444">
        <f t="array" ref="J1761">IFERROR(INDEX('Retirement Calculator'!J:J,MATCH('Isaac 401k'!N1761,'Retirement Calculator'!A:A,0),0),0)</f>
        <v>0</v>
      </c>
      <c r="K1761" s="444">
        <f t="shared" ca="1" si="131"/>
        <v>-2824958.9882162674</v>
      </c>
      <c r="L1761" s="444">
        <f t="shared" ca="1" si="132"/>
        <v>-680815116.16012049</v>
      </c>
      <c r="M1761" s="460">
        <f t="shared" si="134"/>
        <v>0.05</v>
      </c>
      <c r="N1761" s="464">
        <f t="shared" si="135"/>
        <v>104643</v>
      </c>
    </row>
    <row r="1762" spans="7:14" ht="11.25" customHeight="1" x14ac:dyDescent="0.25">
      <c r="G1762" s="459"/>
      <c r="H1762" s="459">
        <v>1755</v>
      </c>
      <c r="I1762" s="444">
        <f t="shared" ca="1" si="133"/>
        <v>-680815116.16012049</v>
      </c>
      <c r="J1762" s="444">
        <f t="array" ref="J1762">IFERROR(INDEX('Retirement Calculator'!J:J,MATCH('Isaac 401k'!N1762,'Retirement Calculator'!A:A,0),0),0)</f>
        <v>0</v>
      </c>
      <c r="K1762" s="444">
        <f t="shared" ca="1" si="131"/>
        <v>-2836729.6506671687</v>
      </c>
      <c r="L1762" s="444">
        <f t="shared" ca="1" si="132"/>
        <v>-683651845.81078768</v>
      </c>
      <c r="M1762" s="460">
        <f t="shared" si="134"/>
        <v>0.05</v>
      </c>
      <c r="N1762" s="464">
        <f t="shared" si="135"/>
        <v>104674</v>
      </c>
    </row>
    <row r="1763" spans="7:14" ht="11.25" customHeight="1" x14ac:dyDescent="0.25">
      <c r="G1763" s="459"/>
      <c r="H1763" s="459">
        <v>1756</v>
      </c>
      <c r="I1763" s="444">
        <f t="shared" ca="1" si="133"/>
        <v>-683651845.81078768</v>
      </c>
      <c r="J1763" s="444">
        <f t="array" ref="J1763">IFERROR(INDEX('Retirement Calculator'!J:J,MATCH('Isaac 401k'!N1763,'Retirement Calculator'!A:A,0),0),0)</f>
        <v>0</v>
      </c>
      <c r="K1763" s="444">
        <f t="shared" ca="1" si="131"/>
        <v>-2848549.3575449488</v>
      </c>
      <c r="L1763" s="444">
        <f t="shared" ca="1" si="132"/>
        <v>-686500395.16833258</v>
      </c>
      <c r="M1763" s="460">
        <f t="shared" si="134"/>
        <v>0.05</v>
      </c>
      <c r="N1763" s="464">
        <f t="shared" si="135"/>
        <v>104705</v>
      </c>
    </row>
    <row r="1764" spans="7:14" ht="11.25" customHeight="1" x14ac:dyDescent="0.25">
      <c r="G1764" s="459"/>
      <c r="H1764" s="459">
        <v>1757</v>
      </c>
      <c r="I1764" s="444">
        <f t="shared" ca="1" si="133"/>
        <v>-686500395.16833258</v>
      </c>
      <c r="J1764" s="444">
        <f t="array" ref="J1764">IFERROR(INDEX('Retirement Calculator'!J:J,MATCH('Isaac 401k'!N1764,'Retirement Calculator'!A:A,0),0),0)</f>
        <v>0</v>
      </c>
      <c r="K1764" s="444">
        <f t="shared" ca="1" si="131"/>
        <v>-2860418.3132013856</v>
      </c>
      <c r="L1764" s="444">
        <f t="shared" ca="1" si="132"/>
        <v>-689360813.481534</v>
      </c>
      <c r="M1764" s="460">
        <f t="shared" si="134"/>
        <v>0.05</v>
      </c>
      <c r="N1764" s="464">
        <f t="shared" si="135"/>
        <v>104735</v>
      </c>
    </row>
    <row r="1765" spans="7:14" ht="11.25" customHeight="1" x14ac:dyDescent="0.25">
      <c r="G1765" s="459"/>
      <c r="H1765" s="459">
        <v>1758</v>
      </c>
      <c r="I1765" s="444">
        <f t="shared" ca="1" si="133"/>
        <v>-689360813.481534</v>
      </c>
      <c r="J1765" s="444">
        <f t="array" ref="J1765">IFERROR(INDEX('Retirement Calculator'!J:J,MATCH('Isaac 401k'!N1765,'Retirement Calculator'!A:A,0),0),0)</f>
        <v>0</v>
      </c>
      <c r="K1765" s="444">
        <f t="shared" ca="1" si="131"/>
        <v>-2872336.7228397252</v>
      </c>
      <c r="L1765" s="444">
        <f t="shared" ca="1" si="132"/>
        <v>-692233150.20437372</v>
      </c>
      <c r="M1765" s="460">
        <f t="shared" si="134"/>
        <v>0.05</v>
      </c>
      <c r="N1765" s="464">
        <f t="shared" si="135"/>
        <v>104766</v>
      </c>
    </row>
    <row r="1766" spans="7:14" ht="11.25" customHeight="1" x14ac:dyDescent="0.25">
      <c r="G1766" s="459"/>
      <c r="H1766" s="459">
        <v>1759</v>
      </c>
      <c r="I1766" s="444">
        <f t="shared" ca="1" si="133"/>
        <v>-692233150.20437372</v>
      </c>
      <c r="J1766" s="444">
        <f t="array" ref="J1766">IFERROR(INDEX('Retirement Calculator'!J:J,MATCH('Isaac 401k'!N1766,'Retirement Calculator'!A:A,0),0),0)</f>
        <v>0</v>
      </c>
      <c r="K1766" s="444">
        <f t="shared" ca="1" si="131"/>
        <v>-2884304.7925182236</v>
      </c>
      <c r="L1766" s="444">
        <f t="shared" ca="1" si="132"/>
        <v>-695117454.99689198</v>
      </c>
      <c r="M1766" s="460">
        <f t="shared" si="134"/>
        <v>0.05</v>
      </c>
      <c r="N1766" s="464">
        <f t="shared" si="135"/>
        <v>104796</v>
      </c>
    </row>
    <row r="1767" spans="7:14" ht="11.25" customHeight="1" x14ac:dyDescent="0.25">
      <c r="G1767" s="459"/>
      <c r="H1767" s="459">
        <v>1760</v>
      </c>
      <c r="I1767" s="444">
        <f t="shared" ca="1" si="133"/>
        <v>-695117454.99689198</v>
      </c>
      <c r="J1767" s="444">
        <f t="array" ref="J1767">IFERROR(INDEX('Retirement Calculator'!J:J,MATCH('Isaac 401k'!N1767,'Retirement Calculator'!A:A,0),0),0)</f>
        <v>0</v>
      </c>
      <c r="K1767" s="444">
        <f t="shared" ca="1" si="131"/>
        <v>-2896322.7291537165</v>
      </c>
      <c r="L1767" s="444">
        <f t="shared" ca="1" si="132"/>
        <v>-698013777.72604573</v>
      </c>
      <c r="M1767" s="460">
        <f t="shared" si="134"/>
        <v>0.05</v>
      </c>
      <c r="N1767" s="464">
        <f t="shared" si="135"/>
        <v>104827</v>
      </c>
    </row>
    <row r="1768" spans="7:14" ht="11.25" customHeight="1" x14ac:dyDescent="0.25">
      <c r="G1768" s="459"/>
      <c r="H1768" s="459">
        <v>1761</v>
      </c>
      <c r="I1768" s="444">
        <f t="shared" ca="1" si="133"/>
        <v>-698013777.72604573</v>
      </c>
      <c r="J1768" s="444">
        <f t="array" ref="J1768">IFERROR(INDEX('Retirement Calculator'!J:J,MATCH('Isaac 401k'!N1768,'Retirement Calculator'!A:A,0),0),0)</f>
        <v>0</v>
      </c>
      <c r="K1768" s="444">
        <f t="shared" ca="1" si="131"/>
        <v>-2908390.7405251907</v>
      </c>
      <c r="L1768" s="444">
        <f t="shared" ca="1" si="132"/>
        <v>-700922168.46657097</v>
      </c>
      <c r="M1768" s="460">
        <f t="shared" si="134"/>
        <v>0.05</v>
      </c>
      <c r="N1768" s="464">
        <f t="shared" si="135"/>
        <v>104858</v>
      </c>
    </row>
    <row r="1769" spans="7:14" ht="11.25" customHeight="1" x14ac:dyDescent="0.25">
      <c r="G1769" s="459"/>
      <c r="H1769" s="459">
        <v>1762</v>
      </c>
      <c r="I1769" s="444">
        <f t="shared" ca="1" si="133"/>
        <v>-700922168.46657097</v>
      </c>
      <c r="J1769" s="444">
        <f t="array" ref="J1769">IFERROR(INDEX('Retirement Calculator'!J:J,MATCH('Isaac 401k'!N1769,'Retirement Calculator'!A:A,0),0),0)</f>
        <v>0</v>
      </c>
      <c r="K1769" s="444">
        <f t="shared" ca="1" si="131"/>
        <v>-2920509.0352773792</v>
      </c>
      <c r="L1769" s="444">
        <f t="shared" ca="1" si="132"/>
        <v>-703842677.50184834</v>
      </c>
      <c r="M1769" s="460">
        <f t="shared" si="134"/>
        <v>0.05</v>
      </c>
      <c r="N1769" s="464">
        <f t="shared" si="135"/>
        <v>104886</v>
      </c>
    </row>
    <row r="1770" spans="7:14" ht="11.25" customHeight="1" x14ac:dyDescent="0.25">
      <c r="G1770" s="459"/>
      <c r="H1770" s="459">
        <v>1763</v>
      </c>
      <c r="I1770" s="444">
        <f t="shared" ca="1" si="133"/>
        <v>-703842677.50184834</v>
      </c>
      <c r="J1770" s="444">
        <f t="array" ref="J1770">IFERROR(INDEX('Retirement Calculator'!J:J,MATCH('Isaac 401k'!N1770,'Retirement Calculator'!A:A,0),0),0)</f>
        <v>0</v>
      </c>
      <c r="K1770" s="444">
        <f t="shared" ca="1" si="131"/>
        <v>-2932677.8229243681</v>
      </c>
      <c r="L1770" s="444">
        <f t="shared" ca="1" si="132"/>
        <v>-706775355.32477272</v>
      </c>
      <c r="M1770" s="460">
        <f t="shared" si="134"/>
        <v>0.05</v>
      </c>
      <c r="N1770" s="464">
        <f t="shared" si="135"/>
        <v>104917</v>
      </c>
    </row>
    <row r="1771" spans="7:14" ht="11.25" customHeight="1" x14ac:dyDescent="0.25">
      <c r="G1771" s="459"/>
      <c r="H1771" s="459">
        <v>1764</v>
      </c>
      <c r="I1771" s="444">
        <f t="shared" ca="1" si="133"/>
        <v>-706775355.32477272</v>
      </c>
      <c r="J1771" s="444">
        <f t="array" ref="J1771">IFERROR(INDEX('Retirement Calculator'!J:J,MATCH('Isaac 401k'!N1771,'Retirement Calculator'!A:A,0),0),0)</f>
        <v>0</v>
      </c>
      <c r="K1771" s="444">
        <f t="shared" ca="1" si="131"/>
        <v>-2944897.3138532196</v>
      </c>
      <c r="L1771" s="444">
        <f t="shared" ca="1" si="132"/>
        <v>-709720252.63862598</v>
      </c>
      <c r="M1771" s="460">
        <f t="shared" si="134"/>
        <v>0.05</v>
      </c>
      <c r="N1771" s="464">
        <f t="shared" si="135"/>
        <v>104947</v>
      </c>
    </row>
    <row r="1772" spans="7:14" ht="11.25" customHeight="1" x14ac:dyDescent="0.25">
      <c r="G1772" s="459"/>
      <c r="H1772" s="459">
        <v>1765</v>
      </c>
      <c r="I1772" s="444">
        <f t="shared" ca="1" si="133"/>
        <v>-709720252.63862598</v>
      </c>
      <c r="J1772" s="444">
        <f t="array" ref="J1772">IFERROR(INDEX('Retirement Calculator'!J:J,MATCH('Isaac 401k'!N1772,'Retirement Calculator'!A:A,0),0),0)</f>
        <v>0</v>
      </c>
      <c r="K1772" s="444">
        <f t="shared" ca="1" si="131"/>
        <v>-2957167.7193276081</v>
      </c>
      <c r="L1772" s="444">
        <f t="shared" ca="1" si="132"/>
        <v>-712677420.35795355</v>
      </c>
      <c r="M1772" s="460">
        <f t="shared" si="134"/>
        <v>0.05</v>
      </c>
      <c r="N1772" s="464">
        <f t="shared" si="135"/>
        <v>104978</v>
      </c>
    </row>
    <row r="1773" spans="7:14" ht="11.25" customHeight="1" x14ac:dyDescent="0.25">
      <c r="G1773" s="459"/>
      <c r="H1773" s="459">
        <v>1766</v>
      </c>
      <c r="I1773" s="444">
        <f t="shared" ca="1" si="133"/>
        <v>-712677420.35795355</v>
      </c>
      <c r="J1773" s="444">
        <f t="array" ref="J1773">IFERROR(INDEX('Retirement Calculator'!J:J,MATCH('Isaac 401k'!N1773,'Retirement Calculator'!A:A,0),0),0)</f>
        <v>0</v>
      </c>
      <c r="K1773" s="444">
        <f t="shared" ca="1" si="131"/>
        <v>-2969489.2514914731</v>
      </c>
      <c r="L1773" s="444">
        <f t="shared" ca="1" si="132"/>
        <v>-715646909.60944498</v>
      </c>
      <c r="M1773" s="460">
        <f t="shared" si="134"/>
        <v>0.05</v>
      </c>
      <c r="N1773" s="464">
        <f t="shared" si="135"/>
        <v>105008</v>
      </c>
    </row>
    <row r="1774" spans="7:14" ht="11.25" customHeight="1" x14ac:dyDescent="0.25">
      <c r="G1774" s="459"/>
      <c r="H1774" s="459">
        <v>1767</v>
      </c>
      <c r="I1774" s="444">
        <f t="shared" ca="1" si="133"/>
        <v>-715646909.60944498</v>
      </c>
      <c r="J1774" s="444">
        <f t="array" ref="J1774">IFERROR(INDEX('Retirement Calculator'!J:J,MATCH('Isaac 401k'!N1774,'Retirement Calculator'!A:A,0),0),0)</f>
        <v>0</v>
      </c>
      <c r="K1774" s="444">
        <f t="shared" ca="1" si="131"/>
        <v>-2981862.1233726875</v>
      </c>
      <c r="L1774" s="444">
        <f t="shared" ca="1" si="132"/>
        <v>-718628771.73281765</v>
      </c>
      <c r="M1774" s="460">
        <f t="shared" si="134"/>
        <v>0.05</v>
      </c>
      <c r="N1774" s="464">
        <f t="shared" si="135"/>
        <v>105039</v>
      </c>
    </row>
    <row r="1775" spans="7:14" ht="11.25" customHeight="1" x14ac:dyDescent="0.25">
      <c r="G1775" s="459"/>
      <c r="H1775" s="459">
        <v>1768</v>
      </c>
      <c r="I1775" s="444">
        <f t="shared" ca="1" si="133"/>
        <v>-718628771.73281765</v>
      </c>
      <c r="J1775" s="444">
        <f t="array" ref="J1775">IFERROR(INDEX('Retirement Calculator'!J:J,MATCH('Isaac 401k'!N1775,'Retirement Calculator'!A:A,0),0),0)</f>
        <v>0</v>
      </c>
      <c r="K1775" s="444">
        <f t="shared" ca="1" si="131"/>
        <v>-2994286.5488867401</v>
      </c>
      <c r="L1775" s="444">
        <f t="shared" ca="1" si="132"/>
        <v>-721623058.28170443</v>
      </c>
      <c r="M1775" s="460">
        <f t="shared" si="134"/>
        <v>0.05</v>
      </c>
      <c r="N1775" s="464">
        <f t="shared" si="135"/>
        <v>105070</v>
      </c>
    </row>
    <row r="1776" spans="7:14" ht="11.25" customHeight="1" x14ac:dyDescent="0.25">
      <c r="G1776" s="459"/>
      <c r="H1776" s="459">
        <v>1769</v>
      </c>
      <c r="I1776" s="444">
        <f t="shared" ca="1" si="133"/>
        <v>-721623058.28170443</v>
      </c>
      <c r="J1776" s="444">
        <f t="array" ref="J1776">IFERROR(INDEX('Retirement Calculator'!J:J,MATCH('Isaac 401k'!N1776,'Retirement Calculator'!A:A,0),0),0)</f>
        <v>0</v>
      </c>
      <c r="K1776" s="444">
        <f t="shared" ca="1" si="131"/>
        <v>-3006762.7428404349</v>
      </c>
      <c r="L1776" s="444">
        <f t="shared" ca="1" si="132"/>
        <v>-724629821.02454484</v>
      </c>
      <c r="M1776" s="460">
        <f t="shared" si="134"/>
        <v>0.05</v>
      </c>
      <c r="N1776" s="464">
        <f t="shared" si="135"/>
        <v>105100</v>
      </c>
    </row>
    <row r="1777" spans="7:14" ht="11.25" customHeight="1" x14ac:dyDescent="0.25">
      <c r="G1777" s="459"/>
      <c r="H1777" s="459">
        <v>1770</v>
      </c>
      <c r="I1777" s="444">
        <f t="shared" ca="1" si="133"/>
        <v>-724629821.02454484</v>
      </c>
      <c r="J1777" s="444">
        <f t="array" ref="J1777">IFERROR(INDEX('Retirement Calculator'!J:J,MATCH('Isaac 401k'!N1777,'Retirement Calculator'!A:A,0),0),0)</f>
        <v>0</v>
      </c>
      <c r="K1777" s="444">
        <f t="shared" ca="1" si="131"/>
        <v>-3019290.9209356033</v>
      </c>
      <c r="L1777" s="444">
        <f t="shared" ca="1" si="132"/>
        <v>-727649111.94548047</v>
      </c>
      <c r="M1777" s="460">
        <f t="shared" si="134"/>
        <v>0.05</v>
      </c>
      <c r="N1777" s="464">
        <f t="shared" si="135"/>
        <v>105131</v>
      </c>
    </row>
    <row r="1778" spans="7:14" ht="11.25" customHeight="1" x14ac:dyDescent="0.25">
      <c r="G1778" s="459"/>
      <c r="H1778" s="459">
        <v>1771</v>
      </c>
      <c r="I1778" s="444">
        <f t="shared" ca="1" si="133"/>
        <v>-727649111.94548047</v>
      </c>
      <c r="J1778" s="444">
        <f t="array" ref="J1778">IFERROR(INDEX('Retirement Calculator'!J:J,MATCH('Isaac 401k'!N1778,'Retirement Calculator'!A:A,0),0),0)</f>
        <v>0</v>
      </c>
      <c r="K1778" s="444">
        <f t="shared" ca="1" si="131"/>
        <v>-3031871.2997728353</v>
      </c>
      <c r="L1778" s="444">
        <f t="shared" ca="1" si="132"/>
        <v>-730680983.24525332</v>
      </c>
      <c r="M1778" s="460">
        <f t="shared" si="134"/>
        <v>0.05</v>
      </c>
      <c r="N1778" s="464">
        <f t="shared" si="135"/>
        <v>105161</v>
      </c>
    </row>
    <row r="1779" spans="7:14" ht="11.25" customHeight="1" x14ac:dyDescent="0.25">
      <c r="G1779" s="459"/>
      <c r="H1779" s="459">
        <v>1772</v>
      </c>
      <c r="I1779" s="444">
        <f t="shared" ca="1" si="133"/>
        <v>-730680983.24525332</v>
      </c>
      <c r="J1779" s="444">
        <f t="array" ref="J1779">IFERROR(INDEX('Retirement Calculator'!J:J,MATCH('Isaac 401k'!N1779,'Retirement Calculator'!A:A,0),0),0)</f>
        <v>0</v>
      </c>
      <c r="K1779" s="444">
        <f t="shared" ca="1" si="131"/>
        <v>-3044504.0968552222</v>
      </c>
      <c r="L1779" s="444">
        <f t="shared" ca="1" si="132"/>
        <v>-733725487.34210849</v>
      </c>
      <c r="M1779" s="460">
        <f t="shared" si="134"/>
        <v>0.05</v>
      </c>
      <c r="N1779" s="464">
        <f t="shared" si="135"/>
        <v>105192</v>
      </c>
    </row>
    <row r="1780" spans="7:14" ht="11.25" customHeight="1" x14ac:dyDescent="0.25">
      <c r="G1780" s="459"/>
      <c r="H1780" s="459">
        <v>1773</v>
      </c>
      <c r="I1780" s="444">
        <f t="shared" ca="1" si="133"/>
        <v>-733725487.34210849</v>
      </c>
      <c r="J1780" s="444">
        <f t="array" ref="J1780">IFERROR(INDEX('Retirement Calculator'!J:J,MATCH('Isaac 401k'!N1780,'Retirement Calculator'!A:A,0),0),0)</f>
        <v>0</v>
      </c>
      <c r="K1780" s="444">
        <f t="shared" ca="1" si="131"/>
        <v>-3057189.5305921189</v>
      </c>
      <c r="L1780" s="444">
        <f t="shared" ca="1" si="132"/>
        <v>-736782676.87270057</v>
      </c>
      <c r="M1780" s="460">
        <f t="shared" si="134"/>
        <v>0.05</v>
      </c>
      <c r="N1780" s="464">
        <f t="shared" si="135"/>
        <v>105223</v>
      </c>
    </row>
    <row r="1781" spans="7:14" ht="11.25" customHeight="1" x14ac:dyDescent="0.25">
      <c r="G1781" s="459"/>
      <c r="H1781" s="459">
        <v>1774</v>
      </c>
      <c r="I1781" s="444">
        <f t="shared" ca="1" si="133"/>
        <v>-736782676.87270057</v>
      </c>
      <c r="J1781" s="444">
        <f t="array" ref="J1781">IFERROR(INDEX('Retirement Calculator'!J:J,MATCH('Isaac 401k'!N1781,'Retirement Calculator'!A:A,0),0),0)</f>
        <v>0</v>
      </c>
      <c r="K1781" s="444">
        <f t="shared" ca="1" si="131"/>
        <v>-3069927.820302919</v>
      </c>
      <c r="L1781" s="444">
        <f t="shared" ca="1" si="132"/>
        <v>-739852604.69300354</v>
      </c>
      <c r="M1781" s="460">
        <f t="shared" si="134"/>
        <v>0.05</v>
      </c>
      <c r="N1781" s="464">
        <f t="shared" si="135"/>
        <v>105252</v>
      </c>
    </row>
    <row r="1782" spans="7:14" ht="11.25" customHeight="1" x14ac:dyDescent="0.25">
      <c r="G1782" s="459"/>
      <c r="H1782" s="459">
        <v>1775</v>
      </c>
      <c r="I1782" s="444">
        <f t="shared" ca="1" si="133"/>
        <v>-739852604.69300354</v>
      </c>
      <c r="J1782" s="444">
        <f t="array" ref="J1782">IFERROR(INDEX('Retirement Calculator'!J:J,MATCH('Isaac 401k'!N1782,'Retirement Calculator'!A:A,0),0),0)</f>
        <v>0</v>
      </c>
      <c r="K1782" s="444">
        <f t="shared" ca="1" si="131"/>
        <v>-3082719.186220848</v>
      </c>
      <c r="L1782" s="444">
        <f t="shared" ca="1" si="132"/>
        <v>-742935323.87922442</v>
      </c>
      <c r="M1782" s="460">
        <f t="shared" si="134"/>
        <v>0.05</v>
      </c>
      <c r="N1782" s="464">
        <f t="shared" si="135"/>
        <v>105283</v>
      </c>
    </row>
    <row r="1783" spans="7:14" ht="11.25" customHeight="1" x14ac:dyDescent="0.25">
      <c r="G1783" s="459"/>
      <c r="H1783" s="459">
        <v>1776</v>
      </c>
      <c r="I1783" s="444">
        <f t="shared" ca="1" si="133"/>
        <v>-742935323.87922442</v>
      </c>
      <c r="J1783" s="444">
        <f t="array" ref="J1783">IFERROR(INDEX('Retirement Calculator'!J:J,MATCH('Isaac 401k'!N1783,'Retirement Calculator'!A:A,0),0),0)</f>
        <v>0</v>
      </c>
      <c r="K1783" s="444">
        <f t="shared" ca="1" si="131"/>
        <v>-3095563.8494967683</v>
      </c>
      <c r="L1783" s="444">
        <f t="shared" ca="1" si="132"/>
        <v>-746030887.72872114</v>
      </c>
      <c r="M1783" s="460">
        <f t="shared" si="134"/>
        <v>0.05</v>
      </c>
      <c r="N1783" s="464">
        <f t="shared" si="135"/>
        <v>105313</v>
      </c>
    </row>
    <row r="1784" spans="7:14" ht="11.25" customHeight="1" x14ac:dyDescent="0.25">
      <c r="G1784" s="459"/>
      <c r="H1784" s="459">
        <v>1777</v>
      </c>
      <c r="I1784" s="444">
        <f t="shared" ca="1" si="133"/>
        <v>-746030887.72872114</v>
      </c>
      <c r="J1784" s="444">
        <f t="array" ref="J1784">IFERROR(INDEX('Retirement Calculator'!J:J,MATCH('Isaac 401k'!N1784,'Retirement Calculator'!A:A,0),0),0)</f>
        <v>0</v>
      </c>
      <c r="K1784" s="444">
        <f t="shared" ca="1" si="131"/>
        <v>-3108462.0322030047</v>
      </c>
      <c r="L1784" s="444">
        <f t="shared" ca="1" si="132"/>
        <v>-749139349.7609241</v>
      </c>
      <c r="M1784" s="460">
        <f t="shared" si="134"/>
        <v>0.05</v>
      </c>
      <c r="N1784" s="464">
        <f t="shared" si="135"/>
        <v>105344</v>
      </c>
    </row>
    <row r="1785" spans="7:14" ht="11.25" customHeight="1" x14ac:dyDescent="0.25">
      <c r="G1785" s="459"/>
      <c r="H1785" s="459">
        <v>1778</v>
      </c>
      <c r="I1785" s="444">
        <f t="shared" ca="1" si="133"/>
        <v>-749139349.7609241</v>
      </c>
      <c r="J1785" s="444">
        <f t="array" ref="J1785">IFERROR(INDEX('Retirement Calculator'!J:J,MATCH('Isaac 401k'!N1785,'Retirement Calculator'!A:A,0),0),0)</f>
        <v>0</v>
      </c>
      <c r="K1785" s="444">
        <f t="shared" ca="1" si="131"/>
        <v>-3121413.9573371839</v>
      </c>
      <c r="L1785" s="444">
        <f t="shared" ca="1" si="132"/>
        <v>-752260763.71826124</v>
      </c>
      <c r="M1785" s="460">
        <f t="shared" si="134"/>
        <v>0.05</v>
      </c>
      <c r="N1785" s="464">
        <f t="shared" si="135"/>
        <v>105374</v>
      </c>
    </row>
    <row r="1786" spans="7:14" ht="11.25" customHeight="1" x14ac:dyDescent="0.25">
      <c r="G1786" s="459"/>
      <c r="H1786" s="459">
        <v>1779</v>
      </c>
      <c r="I1786" s="444">
        <f t="shared" ca="1" si="133"/>
        <v>-752260763.71826124</v>
      </c>
      <c r="J1786" s="444">
        <f t="array" ref="J1786">IFERROR(INDEX('Retirement Calculator'!J:J,MATCH('Isaac 401k'!N1786,'Retirement Calculator'!A:A,0),0),0)</f>
        <v>0</v>
      </c>
      <c r="K1786" s="444">
        <f t="shared" ca="1" si="131"/>
        <v>-3134419.8488260885</v>
      </c>
      <c r="L1786" s="444">
        <f t="shared" ca="1" si="132"/>
        <v>-755395183.56708729</v>
      </c>
      <c r="M1786" s="460">
        <f t="shared" si="134"/>
        <v>0.05</v>
      </c>
      <c r="N1786" s="464">
        <f t="shared" si="135"/>
        <v>105405</v>
      </c>
    </row>
    <row r="1787" spans="7:14" ht="11.25" customHeight="1" x14ac:dyDescent="0.25">
      <c r="G1787" s="459"/>
      <c r="H1787" s="459">
        <v>1780</v>
      </c>
      <c r="I1787" s="444">
        <f t="shared" ca="1" si="133"/>
        <v>-755395183.56708729</v>
      </c>
      <c r="J1787" s="444">
        <f t="array" ref="J1787">IFERROR(INDEX('Retirement Calculator'!J:J,MATCH('Isaac 401k'!N1787,'Retirement Calculator'!A:A,0),0),0)</f>
        <v>0</v>
      </c>
      <c r="K1787" s="444">
        <f t="shared" ca="1" si="131"/>
        <v>-3147479.9315295303</v>
      </c>
      <c r="L1787" s="444">
        <f t="shared" ca="1" si="132"/>
        <v>-758542663.49861681</v>
      </c>
      <c r="M1787" s="460">
        <f t="shared" si="134"/>
        <v>0.05</v>
      </c>
      <c r="N1787" s="464">
        <f t="shared" si="135"/>
        <v>105436</v>
      </c>
    </row>
    <row r="1788" spans="7:14" ht="11.25" customHeight="1" x14ac:dyDescent="0.25">
      <c r="G1788" s="459"/>
      <c r="H1788" s="459">
        <v>1781</v>
      </c>
      <c r="I1788" s="444">
        <f t="shared" ca="1" si="133"/>
        <v>-758542663.49861681</v>
      </c>
      <c r="J1788" s="444">
        <f t="array" ref="J1788">IFERROR(INDEX('Retirement Calculator'!J:J,MATCH('Isaac 401k'!N1788,'Retirement Calculator'!A:A,0),0),0)</f>
        <v>0</v>
      </c>
      <c r="K1788" s="444">
        <f t="shared" ca="1" si="131"/>
        <v>-3160594.4312442369</v>
      </c>
      <c r="L1788" s="444">
        <f t="shared" ca="1" si="132"/>
        <v>-761703257.92986107</v>
      </c>
      <c r="M1788" s="460">
        <f t="shared" si="134"/>
        <v>0.05</v>
      </c>
      <c r="N1788" s="464">
        <f t="shared" si="135"/>
        <v>105466</v>
      </c>
    </row>
    <row r="1789" spans="7:14" ht="11.25" customHeight="1" x14ac:dyDescent="0.25">
      <c r="G1789" s="459"/>
      <c r="H1789" s="459">
        <v>1782</v>
      </c>
      <c r="I1789" s="444">
        <f t="shared" ca="1" si="133"/>
        <v>-761703257.92986107</v>
      </c>
      <c r="J1789" s="444">
        <f t="array" ref="J1789">IFERROR(INDEX('Retirement Calculator'!J:J,MATCH('Isaac 401k'!N1789,'Retirement Calculator'!A:A,0),0),0)</f>
        <v>0</v>
      </c>
      <c r="K1789" s="444">
        <f t="shared" ca="1" si="131"/>
        <v>-3173763.5747077544</v>
      </c>
      <c r="L1789" s="444">
        <f t="shared" ca="1" si="132"/>
        <v>-764877021.50456882</v>
      </c>
      <c r="M1789" s="460">
        <f t="shared" si="134"/>
        <v>0.05</v>
      </c>
      <c r="N1789" s="464">
        <f t="shared" si="135"/>
        <v>105497</v>
      </c>
    </row>
    <row r="1790" spans="7:14" ht="11.25" customHeight="1" x14ac:dyDescent="0.25">
      <c r="G1790" s="459"/>
      <c r="H1790" s="459">
        <v>1783</v>
      </c>
      <c r="I1790" s="444">
        <f t="shared" ca="1" si="133"/>
        <v>-764877021.50456882</v>
      </c>
      <c r="J1790" s="444">
        <f t="array" ref="J1790">IFERROR(INDEX('Retirement Calculator'!J:J,MATCH('Isaac 401k'!N1790,'Retirement Calculator'!A:A,0),0),0)</f>
        <v>0</v>
      </c>
      <c r="K1790" s="444">
        <f t="shared" ca="1" si="131"/>
        <v>-3186987.5896023698</v>
      </c>
      <c r="L1790" s="444">
        <f t="shared" ca="1" si="132"/>
        <v>-768064009.09417117</v>
      </c>
      <c r="M1790" s="460">
        <f t="shared" si="134"/>
        <v>0.05</v>
      </c>
      <c r="N1790" s="464">
        <f t="shared" si="135"/>
        <v>105527</v>
      </c>
    </row>
    <row r="1791" spans="7:14" ht="11.25" customHeight="1" x14ac:dyDescent="0.25">
      <c r="G1791" s="459"/>
      <c r="H1791" s="459">
        <v>1784</v>
      </c>
      <c r="I1791" s="444">
        <f t="shared" ca="1" si="133"/>
        <v>-768064009.09417117</v>
      </c>
      <c r="J1791" s="444">
        <f t="array" ref="J1791">IFERROR(INDEX('Retirement Calculator'!J:J,MATCH('Isaac 401k'!N1791,'Retirement Calculator'!A:A,0),0),0)</f>
        <v>0</v>
      </c>
      <c r="K1791" s="444">
        <f t="shared" ca="1" si="131"/>
        <v>-3200266.7045590463</v>
      </c>
      <c r="L1791" s="444">
        <f t="shared" ca="1" si="132"/>
        <v>-771264275.79873025</v>
      </c>
      <c r="M1791" s="460">
        <f t="shared" si="134"/>
        <v>0.05</v>
      </c>
      <c r="N1791" s="464">
        <f t="shared" si="135"/>
        <v>105558</v>
      </c>
    </row>
    <row r="1792" spans="7:14" ht="11.25" customHeight="1" x14ac:dyDescent="0.25">
      <c r="G1792" s="459"/>
      <c r="H1792" s="459">
        <v>1785</v>
      </c>
      <c r="I1792" s="444">
        <f t="shared" ca="1" si="133"/>
        <v>-771264275.79873025</v>
      </c>
      <c r="J1792" s="444">
        <f t="array" ref="J1792">IFERROR(INDEX('Retirement Calculator'!J:J,MATCH('Isaac 401k'!N1792,'Retirement Calculator'!A:A,0),0),0)</f>
        <v>0</v>
      </c>
      <c r="K1792" s="444">
        <f t="shared" ca="1" si="131"/>
        <v>-3213601.1491613761</v>
      </c>
      <c r="L1792" s="444">
        <f t="shared" ca="1" si="132"/>
        <v>-774477876.94789159</v>
      </c>
      <c r="M1792" s="460">
        <f t="shared" si="134"/>
        <v>0.05</v>
      </c>
      <c r="N1792" s="464">
        <f t="shared" si="135"/>
        <v>105589</v>
      </c>
    </row>
    <row r="1793" spans="7:14" ht="11.25" customHeight="1" x14ac:dyDescent="0.25">
      <c r="G1793" s="459"/>
      <c r="H1793" s="459">
        <v>1786</v>
      </c>
      <c r="I1793" s="444">
        <f t="shared" ca="1" si="133"/>
        <v>-774477876.94789159</v>
      </c>
      <c r="J1793" s="444">
        <f t="array" ref="J1793">IFERROR(INDEX('Retirement Calculator'!J:J,MATCH('Isaac 401k'!N1793,'Retirement Calculator'!A:A,0),0),0)</f>
        <v>0</v>
      </c>
      <c r="K1793" s="444">
        <f t="shared" ref="K1793:K2047" ca="1" si="136">IPMT(M1793/12,1,12,-I1793+J1793,,0)</f>
        <v>-3226991.1539495485</v>
      </c>
      <c r="L1793" s="444">
        <f t="shared" ref="L1793:L2047" ca="1" si="137">I1793-J1793+K1793</f>
        <v>-777704868.10184109</v>
      </c>
      <c r="M1793" s="460">
        <f t="shared" si="134"/>
        <v>0.05</v>
      </c>
      <c r="N1793" s="464">
        <f t="shared" si="135"/>
        <v>105617</v>
      </c>
    </row>
    <row r="1794" spans="7:14" ht="11.25" customHeight="1" x14ac:dyDescent="0.25">
      <c r="G1794" s="459"/>
      <c r="H1794" s="459">
        <v>1787</v>
      </c>
      <c r="I1794" s="444">
        <f t="shared" ref="I1794:I2048" ca="1" si="138">L1793</f>
        <v>-777704868.10184109</v>
      </c>
      <c r="J1794" s="444">
        <f t="array" ref="J1794">IFERROR(INDEX('Retirement Calculator'!J:J,MATCH('Isaac 401k'!N1794,'Retirement Calculator'!A:A,0),0),0)</f>
        <v>0</v>
      </c>
      <c r="K1794" s="444">
        <f t="shared" ca="1" si="136"/>
        <v>-3240436.9504243378</v>
      </c>
      <c r="L1794" s="444">
        <f t="shared" ca="1" si="137"/>
        <v>-780945305.05226541</v>
      </c>
      <c r="M1794" s="460">
        <f t="shared" ref="M1794:M2048" si="139">M1793</f>
        <v>0.05</v>
      </c>
      <c r="N1794" s="464">
        <f t="shared" ref="N1794:N2048" si="140">EDATE(N1793,1)</f>
        <v>105648</v>
      </c>
    </row>
    <row r="1795" spans="7:14" ht="11.25" customHeight="1" x14ac:dyDescent="0.25">
      <c r="G1795" s="459"/>
      <c r="H1795" s="459">
        <v>1788</v>
      </c>
      <c r="I1795" s="444">
        <f t="shared" ca="1" si="138"/>
        <v>-780945305.05226541</v>
      </c>
      <c r="J1795" s="444">
        <f t="array" ref="J1795">IFERROR(INDEX('Retirement Calculator'!J:J,MATCH('Isaac 401k'!N1795,'Retirement Calculator'!A:A,0),0),0)</f>
        <v>0</v>
      </c>
      <c r="K1795" s="444">
        <f t="shared" ca="1" si="136"/>
        <v>-3253938.771051106</v>
      </c>
      <c r="L1795" s="444">
        <f t="shared" ca="1" si="137"/>
        <v>-784199243.82331645</v>
      </c>
      <c r="M1795" s="460">
        <f t="shared" si="139"/>
        <v>0.05</v>
      </c>
      <c r="N1795" s="464">
        <f t="shared" si="140"/>
        <v>105678</v>
      </c>
    </row>
    <row r="1796" spans="7:14" ht="11.25" customHeight="1" x14ac:dyDescent="0.25">
      <c r="G1796" s="459"/>
      <c r="H1796" s="459">
        <v>1789</v>
      </c>
      <c r="I1796" s="444">
        <f t="shared" ca="1" si="138"/>
        <v>-784199243.82331645</v>
      </c>
      <c r="J1796" s="444">
        <f t="array" ref="J1796">IFERROR(INDEX('Retirement Calculator'!J:J,MATCH('Isaac 401k'!N1796,'Retirement Calculator'!A:A,0),0),0)</f>
        <v>0</v>
      </c>
      <c r="K1796" s="444">
        <f t="shared" ca="1" si="136"/>
        <v>-3267496.8492638185</v>
      </c>
      <c r="L1796" s="444">
        <f t="shared" ca="1" si="137"/>
        <v>-787466740.67258024</v>
      </c>
      <c r="M1796" s="460">
        <f t="shared" si="139"/>
        <v>0.05</v>
      </c>
      <c r="N1796" s="464">
        <f t="shared" si="140"/>
        <v>105709</v>
      </c>
    </row>
    <row r="1797" spans="7:14" ht="11.25" customHeight="1" x14ac:dyDescent="0.25">
      <c r="G1797" s="459"/>
      <c r="H1797" s="459">
        <v>1790</v>
      </c>
      <c r="I1797" s="444">
        <f t="shared" ca="1" si="138"/>
        <v>-787466740.67258024</v>
      </c>
      <c r="J1797" s="444">
        <f t="array" ref="J1797">IFERROR(INDEX('Retirement Calculator'!J:J,MATCH('Isaac 401k'!N1797,'Retirement Calculator'!A:A,0),0),0)</f>
        <v>0</v>
      </c>
      <c r="K1797" s="444">
        <f t="shared" ca="1" si="136"/>
        <v>-3281111.4194690841</v>
      </c>
      <c r="L1797" s="444">
        <f t="shared" ca="1" si="137"/>
        <v>-790747852.09204936</v>
      </c>
      <c r="M1797" s="460">
        <f t="shared" si="139"/>
        <v>0.05</v>
      </c>
      <c r="N1797" s="464">
        <f t="shared" si="140"/>
        <v>105739</v>
      </c>
    </row>
    <row r="1798" spans="7:14" ht="11.25" customHeight="1" x14ac:dyDescent="0.25">
      <c r="G1798" s="459"/>
      <c r="H1798" s="459">
        <v>1791</v>
      </c>
      <c r="I1798" s="444">
        <f t="shared" ca="1" si="138"/>
        <v>-790747852.09204936</v>
      </c>
      <c r="J1798" s="444">
        <f t="array" ref="J1798">IFERROR(INDEX('Retirement Calculator'!J:J,MATCH('Isaac 401k'!N1798,'Retirement Calculator'!A:A,0),0),0)</f>
        <v>0</v>
      </c>
      <c r="K1798" s="444">
        <f t="shared" ca="1" si="136"/>
        <v>-3294782.7170502055</v>
      </c>
      <c r="L1798" s="444">
        <f t="shared" ca="1" si="137"/>
        <v>-794042634.80909956</v>
      </c>
      <c r="M1798" s="460">
        <f t="shared" si="139"/>
        <v>0.05</v>
      </c>
      <c r="N1798" s="464">
        <f t="shared" si="140"/>
        <v>105770</v>
      </c>
    </row>
    <row r="1799" spans="7:14" ht="11.25" customHeight="1" x14ac:dyDescent="0.25">
      <c r="G1799" s="459"/>
      <c r="H1799" s="459">
        <v>1792</v>
      </c>
      <c r="I1799" s="444">
        <f t="shared" ca="1" si="138"/>
        <v>-794042634.80909956</v>
      </c>
      <c r="J1799" s="444">
        <f t="array" ref="J1799">IFERROR(INDEX('Retirement Calculator'!J:J,MATCH('Isaac 401k'!N1799,'Retirement Calculator'!A:A,0),0),0)</f>
        <v>0</v>
      </c>
      <c r="K1799" s="444">
        <f t="shared" ca="1" si="136"/>
        <v>-3308510.9783712481</v>
      </c>
      <c r="L1799" s="444">
        <f t="shared" ca="1" si="137"/>
        <v>-797351145.78747082</v>
      </c>
      <c r="M1799" s="460">
        <f t="shared" si="139"/>
        <v>0.05</v>
      </c>
      <c r="N1799" s="464">
        <f t="shared" si="140"/>
        <v>105801</v>
      </c>
    </row>
    <row r="1800" spans="7:14" ht="11.25" customHeight="1" x14ac:dyDescent="0.25">
      <c r="G1800" s="459"/>
      <c r="H1800" s="459">
        <v>1793</v>
      </c>
      <c r="I1800" s="444">
        <f t="shared" ca="1" si="138"/>
        <v>-797351145.78747082</v>
      </c>
      <c r="J1800" s="444">
        <f t="array" ref="J1800">IFERROR(INDEX('Retirement Calculator'!J:J,MATCH('Isaac 401k'!N1800,'Retirement Calculator'!A:A,0),0),0)</f>
        <v>0</v>
      </c>
      <c r="K1800" s="444">
        <f t="shared" ca="1" si="136"/>
        <v>-3322296.4407811286</v>
      </c>
      <c r="L1800" s="444">
        <f t="shared" ca="1" si="137"/>
        <v>-800673442.22825193</v>
      </c>
      <c r="M1800" s="460">
        <f t="shared" si="139"/>
        <v>0.05</v>
      </c>
      <c r="N1800" s="464">
        <f t="shared" si="140"/>
        <v>105831</v>
      </c>
    </row>
    <row r="1801" spans="7:14" ht="11.25" customHeight="1" x14ac:dyDescent="0.25">
      <c r="G1801" s="459"/>
      <c r="H1801" s="459">
        <v>1794</v>
      </c>
      <c r="I1801" s="444">
        <f t="shared" ca="1" si="138"/>
        <v>-800673442.22825193</v>
      </c>
      <c r="J1801" s="444">
        <f t="array" ref="J1801">IFERROR(INDEX('Retirement Calculator'!J:J,MATCH('Isaac 401k'!N1801,'Retirement Calculator'!A:A,0),0),0)</f>
        <v>0</v>
      </c>
      <c r="K1801" s="444">
        <f t="shared" ca="1" si="136"/>
        <v>-3336139.3426177162</v>
      </c>
      <c r="L1801" s="444">
        <f t="shared" ca="1" si="137"/>
        <v>-804009581.57086968</v>
      </c>
      <c r="M1801" s="460">
        <f t="shared" si="139"/>
        <v>0.05</v>
      </c>
      <c r="N1801" s="464">
        <f t="shared" si="140"/>
        <v>105862</v>
      </c>
    </row>
    <row r="1802" spans="7:14" ht="11.25" customHeight="1" x14ac:dyDescent="0.25">
      <c r="G1802" s="459"/>
      <c r="H1802" s="459">
        <v>1795</v>
      </c>
      <c r="I1802" s="444">
        <f t="shared" ca="1" si="138"/>
        <v>-804009581.57086968</v>
      </c>
      <c r="J1802" s="444">
        <f t="array" ref="J1802">IFERROR(INDEX('Retirement Calculator'!J:J,MATCH('Isaac 401k'!N1802,'Retirement Calculator'!A:A,0),0),0)</f>
        <v>0</v>
      </c>
      <c r="K1802" s="444">
        <f t="shared" ca="1" si="136"/>
        <v>-3350039.9232119569</v>
      </c>
      <c r="L1802" s="444">
        <f t="shared" ca="1" si="137"/>
        <v>-807359621.49408162</v>
      </c>
      <c r="M1802" s="460">
        <f t="shared" si="139"/>
        <v>0.05</v>
      </c>
      <c r="N1802" s="464">
        <f t="shared" si="140"/>
        <v>105892</v>
      </c>
    </row>
    <row r="1803" spans="7:14" ht="11.25" customHeight="1" x14ac:dyDescent="0.25">
      <c r="G1803" s="459"/>
      <c r="H1803" s="459">
        <v>1796</v>
      </c>
      <c r="I1803" s="444">
        <f t="shared" ca="1" si="138"/>
        <v>-807359621.49408162</v>
      </c>
      <c r="J1803" s="444">
        <f t="array" ref="J1803">IFERROR(INDEX('Retirement Calculator'!J:J,MATCH('Isaac 401k'!N1803,'Retirement Calculator'!A:A,0),0),0)</f>
        <v>0</v>
      </c>
      <c r="K1803" s="444">
        <f t="shared" ca="1" si="136"/>
        <v>-3363998.4228920066</v>
      </c>
      <c r="L1803" s="444">
        <f t="shared" ca="1" si="137"/>
        <v>-810723619.91697359</v>
      </c>
      <c r="M1803" s="460">
        <f t="shared" si="139"/>
        <v>0.05</v>
      </c>
      <c r="N1803" s="464">
        <f t="shared" si="140"/>
        <v>105923</v>
      </c>
    </row>
    <row r="1804" spans="7:14" ht="11.25" customHeight="1" x14ac:dyDescent="0.25">
      <c r="G1804" s="459"/>
      <c r="H1804" s="459">
        <v>1797</v>
      </c>
      <c r="I1804" s="444">
        <f t="shared" ca="1" si="138"/>
        <v>-810723619.91697359</v>
      </c>
      <c r="J1804" s="444">
        <f t="array" ref="J1804">IFERROR(INDEX('Retirement Calculator'!J:J,MATCH('Isaac 401k'!N1804,'Retirement Calculator'!A:A,0),0),0)</f>
        <v>0</v>
      </c>
      <c r="K1804" s="444">
        <f t="shared" ca="1" si="136"/>
        <v>-3378015.08298739</v>
      </c>
      <c r="L1804" s="444">
        <f t="shared" ca="1" si="137"/>
        <v>-814101634.99996102</v>
      </c>
      <c r="M1804" s="460">
        <f t="shared" si="139"/>
        <v>0.05</v>
      </c>
      <c r="N1804" s="464">
        <f t="shared" si="140"/>
        <v>105954</v>
      </c>
    </row>
    <row r="1805" spans="7:14" ht="11.25" customHeight="1" x14ac:dyDescent="0.25">
      <c r="G1805" s="459"/>
      <c r="H1805" s="459">
        <v>1798</v>
      </c>
      <c r="I1805" s="444">
        <f t="shared" ca="1" si="138"/>
        <v>-814101634.99996102</v>
      </c>
      <c r="J1805" s="444">
        <f t="array" ref="J1805">IFERROR(INDEX('Retirement Calculator'!J:J,MATCH('Isaac 401k'!N1805,'Retirement Calculator'!A:A,0),0),0)</f>
        <v>0</v>
      </c>
      <c r="K1805" s="444">
        <f t="shared" ca="1" si="136"/>
        <v>-3392090.145833171</v>
      </c>
      <c r="L1805" s="444">
        <f t="shared" ca="1" si="137"/>
        <v>-817493725.14579415</v>
      </c>
      <c r="M1805" s="460">
        <f t="shared" si="139"/>
        <v>0.05</v>
      </c>
      <c r="N1805" s="464">
        <f t="shared" si="140"/>
        <v>105982</v>
      </c>
    </row>
    <row r="1806" spans="7:14" ht="11.25" customHeight="1" x14ac:dyDescent="0.25">
      <c r="G1806" s="459"/>
      <c r="H1806" s="459">
        <v>1799</v>
      </c>
      <c r="I1806" s="444">
        <f t="shared" ca="1" si="138"/>
        <v>-817493725.14579415</v>
      </c>
      <c r="J1806" s="444">
        <f t="array" ref="J1806">IFERROR(INDEX('Retirement Calculator'!J:J,MATCH('Isaac 401k'!N1806,'Retirement Calculator'!A:A,0),0),0)</f>
        <v>0</v>
      </c>
      <c r="K1806" s="444">
        <f t="shared" ca="1" si="136"/>
        <v>-3406223.8547741421</v>
      </c>
      <c r="L1806" s="444">
        <f t="shared" ca="1" si="137"/>
        <v>-820899949.00056827</v>
      </c>
      <c r="M1806" s="460">
        <f t="shared" si="139"/>
        <v>0.05</v>
      </c>
      <c r="N1806" s="464">
        <f t="shared" si="140"/>
        <v>106013</v>
      </c>
    </row>
    <row r="1807" spans="7:14" ht="11.25" customHeight="1" x14ac:dyDescent="0.25">
      <c r="G1807" s="459"/>
      <c r="H1807" s="459">
        <v>1800</v>
      </c>
      <c r="I1807" s="444">
        <f t="shared" ca="1" si="138"/>
        <v>-820899949.00056827</v>
      </c>
      <c r="J1807" s="444">
        <f t="array" ref="J1807">IFERROR(INDEX('Retirement Calculator'!J:J,MATCH('Isaac 401k'!N1807,'Retirement Calculator'!A:A,0),0),0)</f>
        <v>0</v>
      </c>
      <c r="K1807" s="444">
        <f t="shared" ca="1" si="136"/>
        <v>-3420416.4541690345</v>
      </c>
      <c r="L1807" s="444">
        <f t="shared" ca="1" si="137"/>
        <v>-824320365.45473731</v>
      </c>
      <c r="M1807" s="460">
        <f t="shared" si="139"/>
        <v>0.05</v>
      </c>
      <c r="N1807" s="464">
        <f t="shared" si="140"/>
        <v>106043</v>
      </c>
    </row>
    <row r="1808" spans="7:14" ht="11.25" customHeight="1" x14ac:dyDescent="0.25">
      <c r="G1808" s="459"/>
      <c r="H1808" s="459">
        <v>1801</v>
      </c>
      <c r="I1808" s="444">
        <f t="shared" ca="1" si="138"/>
        <v>-824320365.45473731</v>
      </c>
      <c r="J1808" s="444">
        <f t="array" ref="J1808">IFERROR(INDEX('Retirement Calculator'!J:J,MATCH('Isaac 401k'!N1808,'Retirement Calculator'!A:A,0),0),0)</f>
        <v>0</v>
      </c>
      <c r="K1808" s="444">
        <f t="shared" ca="1" si="136"/>
        <v>-3434668.1893947385</v>
      </c>
      <c r="L1808" s="444">
        <f t="shared" ca="1" si="137"/>
        <v>-827755033.64413202</v>
      </c>
      <c r="M1808" s="460">
        <f t="shared" si="139"/>
        <v>0.05</v>
      </c>
      <c r="N1808" s="464">
        <f t="shared" si="140"/>
        <v>106074</v>
      </c>
    </row>
    <row r="1809" spans="7:14" ht="11.25" customHeight="1" x14ac:dyDescent="0.25">
      <c r="G1809" s="459"/>
      <c r="H1809" s="459">
        <v>1802</v>
      </c>
      <c r="I1809" s="444">
        <f t="shared" ca="1" si="138"/>
        <v>-827755033.64413202</v>
      </c>
      <c r="J1809" s="444">
        <f t="array" ref="J1809">IFERROR(INDEX('Retirement Calculator'!J:J,MATCH('Isaac 401k'!N1809,'Retirement Calculator'!A:A,0),0),0)</f>
        <v>0</v>
      </c>
      <c r="K1809" s="444">
        <f t="shared" ca="1" si="136"/>
        <v>-3448979.3068505502</v>
      </c>
      <c r="L1809" s="444">
        <f t="shared" ca="1" si="137"/>
        <v>-831204012.95098257</v>
      </c>
      <c r="M1809" s="460">
        <f t="shared" si="139"/>
        <v>0.05</v>
      </c>
      <c r="N1809" s="464">
        <f t="shared" si="140"/>
        <v>106104</v>
      </c>
    </row>
    <row r="1810" spans="7:14" ht="11.25" customHeight="1" x14ac:dyDescent="0.25">
      <c r="G1810" s="459"/>
      <c r="H1810" s="459">
        <v>1803</v>
      </c>
      <c r="I1810" s="444">
        <f t="shared" ca="1" si="138"/>
        <v>-831204012.95098257</v>
      </c>
      <c r="J1810" s="444">
        <f t="array" ref="J1810">IFERROR(INDEX('Retirement Calculator'!J:J,MATCH('Isaac 401k'!N1810,'Retirement Calculator'!A:A,0),0),0)</f>
        <v>0</v>
      </c>
      <c r="K1810" s="444">
        <f t="shared" ca="1" si="136"/>
        <v>-3463350.0539624272</v>
      </c>
      <c r="L1810" s="444">
        <f t="shared" ca="1" si="137"/>
        <v>-834667363.00494504</v>
      </c>
      <c r="M1810" s="460">
        <f t="shared" si="139"/>
        <v>0.05</v>
      </c>
      <c r="N1810" s="464">
        <f t="shared" si="140"/>
        <v>106135</v>
      </c>
    </row>
    <row r="1811" spans="7:14" ht="11.25" customHeight="1" x14ac:dyDescent="0.25">
      <c r="G1811" s="459"/>
      <c r="H1811" s="459">
        <v>1804</v>
      </c>
      <c r="I1811" s="444">
        <f t="shared" ca="1" si="138"/>
        <v>-834667363.00494504</v>
      </c>
      <c r="J1811" s="444">
        <f t="array" ref="J1811">IFERROR(INDEX('Retirement Calculator'!J:J,MATCH('Isaac 401k'!N1811,'Retirement Calculator'!A:A,0),0),0)</f>
        <v>0</v>
      </c>
      <c r="K1811" s="444">
        <f t="shared" ca="1" si="136"/>
        <v>-3477780.6791872708</v>
      </c>
      <c r="L1811" s="444">
        <f t="shared" ca="1" si="137"/>
        <v>-838145143.68413234</v>
      </c>
      <c r="M1811" s="460">
        <f t="shared" si="139"/>
        <v>0.05</v>
      </c>
      <c r="N1811" s="464">
        <f t="shared" si="140"/>
        <v>106166</v>
      </c>
    </row>
    <row r="1812" spans="7:14" ht="11.25" customHeight="1" x14ac:dyDescent="0.25">
      <c r="G1812" s="459"/>
      <c r="H1812" s="459">
        <v>1805</v>
      </c>
      <c r="I1812" s="444">
        <f t="shared" ca="1" si="138"/>
        <v>-838145143.68413234</v>
      </c>
      <c r="J1812" s="444">
        <f t="array" ref="J1812">IFERROR(INDEX('Retirement Calculator'!J:J,MATCH('Isaac 401k'!N1812,'Retirement Calculator'!A:A,0),0),0)</f>
        <v>0</v>
      </c>
      <c r="K1812" s="444">
        <f t="shared" ca="1" si="136"/>
        <v>-3492271.4320172179</v>
      </c>
      <c r="L1812" s="444">
        <f t="shared" ca="1" si="137"/>
        <v>-841637415.11614954</v>
      </c>
      <c r="M1812" s="460">
        <f t="shared" si="139"/>
        <v>0.05</v>
      </c>
      <c r="N1812" s="464">
        <f t="shared" si="140"/>
        <v>106196</v>
      </c>
    </row>
    <row r="1813" spans="7:14" ht="11.25" customHeight="1" x14ac:dyDescent="0.25">
      <c r="G1813" s="459"/>
      <c r="H1813" s="459">
        <v>1806</v>
      </c>
      <c r="I1813" s="444">
        <f t="shared" ca="1" si="138"/>
        <v>-841637415.11614954</v>
      </c>
      <c r="J1813" s="444">
        <f t="array" ref="J1813">IFERROR(INDEX('Retirement Calculator'!J:J,MATCH('Isaac 401k'!N1813,'Retirement Calculator'!A:A,0),0),0)</f>
        <v>0</v>
      </c>
      <c r="K1813" s="444">
        <f t="shared" ca="1" si="136"/>
        <v>-3506822.5629839562</v>
      </c>
      <c r="L1813" s="444">
        <f t="shared" ca="1" si="137"/>
        <v>-845144237.67913353</v>
      </c>
      <c r="M1813" s="460">
        <f t="shared" si="139"/>
        <v>0.05</v>
      </c>
      <c r="N1813" s="464">
        <f t="shared" si="140"/>
        <v>106227</v>
      </c>
    </row>
    <row r="1814" spans="7:14" ht="11.25" customHeight="1" x14ac:dyDescent="0.25">
      <c r="G1814" s="459"/>
      <c r="H1814" s="459">
        <v>1807</v>
      </c>
      <c r="I1814" s="444">
        <f t="shared" ca="1" si="138"/>
        <v>-845144237.67913353</v>
      </c>
      <c r="J1814" s="444">
        <f t="array" ref="J1814">IFERROR(INDEX('Retirement Calculator'!J:J,MATCH('Isaac 401k'!N1814,'Retirement Calculator'!A:A,0),0),0)</f>
        <v>0</v>
      </c>
      <c r="K1814" s="444">
        <f t="shared" ca="1" si="136"/>
        <v>-3521434.3236630568</v>
      </c>
      <c r="L1814" s="444">
        <f t="shared" ca="1" si="137"/>
        <v>-848665672.00279665</v>
      </c>
      <c r="M1814" s="460">
        <f t="shared" si="139"/>
        <v>0.05</v>
      </c>
      <c r="N1814" s="464">
        <f t="shared" si="140"/>
        <v>106257</v>
      </c>
    </row>
    <row r="1815" spans="7:14" ht="11.25" customHeight="1" x14ac:dyDescent="0.25">
      <c r="G1815" s="459"/>
      <c r="H1815" s="459">
        <v>1808</v>
      </c>
      <c r="I1815" s="444">
        <f t="shared" ca="1" si="138"/>
        <v>-848665672.00279665</v>
      </c>
      <c r="J1815" s="444">
        <f t="array" ref="J1815">IFERROR(INDEX('Retirement Calculator'!J:J,MATCH('Isaac 401k'!N1815,'Retirement Calculator'!A:A,0),0),0)</f>
        <v>0</v>
      </c>
      <c r="K1815" s="444">
        <f t="shared" ca="1" si="136"/>
        <v>-3536106.9666783195</v>
      </c>
      <c r="L1815" s="444">
        <f t="shared" ca="1" si="137"/>
        <v>-852201778.96947491</v>
      </c>
      <c r="M1815" s="460">
        <f t="shared" si="139"/>
        <v>0.05</v>
      </c>
      <c r="N1815" s="464">
        <f t="shared" si="140"/>
        <v>106288</v>
      </c>
    </row>
    <row r="1816" spans="7:14" ht="11.25" customHeight="1" x14ac:dyDescent="0.25">
      <c r="G1816" s="459"/>
      <c r="H1816" s="459">
        <v>1809</v>
      </c>
      <c r="I1816" s="444">
        <f t="shared" ca="1" si="138"/>
        <v>-852201778.96947491</v>
      </c>
      <c r="J1816" s="444">
        <f t="array" ref="J1816">IFERROR(INDEX('Retirement Calculator'!J:J,MATCH('Isaac 401k'!N1816,'Retirement Calculator'!A:A,0),0),0)</f>
        <v>0</v>
      </c>
      <c r="K1816" s="444">
        <f t="shared" ca="1" si="136"/>
        <v>-3550840.7457061452</v>
      </c>
      <c r="L1816" s="444">
        <f t="shared" ca="1" si="137"/>
        <v>-855752619.71518111</v>
      </c>
      <c r="M1816" s="460">
        <f t="shared" si="139"/>
        <v>0.05</v>
      </c>
      <c r="N1816" s="464">
        <f t="shared" si="140"/>
        <v>106319</v>
      </c>
    </row>
    <row r="1817" spans="7:14" ht="11.25" customHeight="1" x14ac:dyDescent="0.25">
      <c r="G1817" s="459"/>
      <c r="H1817" s="459">
        <v>1810</v>
      </c>
      <c r="I1817" s="444">
        <f t="shared" ca="1" si="138"/>
        <v>-855752619.71518111</v>
      </c>
      <c r="J1817" s="444">
        <f t="array" ref="J1817">IFERROR(INDEX('Retirement Calculator'!J:J,MATCH('Isaac 401k'!N1817,'Retirement Calculator'!A:A,0),0),0)</f>
        <v>0</v>
      </c>
      <c r="K1817" s="444">
        <f t="shared" ca="1" si="136"/>
        <v>-3565635.9154799217</v>
      </c>
      <c r="L1817" s="444">
        <f t="shared" ca="1" si="137"/>
        <v>-859318255.63066101</v>
      </c>
      <c r="M1817" s="460">
        <f t="shared" si="139"/>
        <v>0.05</v>
      </c>
      <c r="N1817" s="464">
        <f t="shared" si="140"/>
        <v>106347</v>
      </c>
    </row>
    <row r="1818" spans="7:14" ht="11.25" customHeight="1" x14ac:dyDescent="0.25">
      <c r="G1818" s="459"/>
      <c r="H1818" s="459">
        <v>1811</v>
      </c>
      <c r="I1818" s="444">
        <f t="shared" ca="1" si="138"/>
        <v>-859318255.63066101</v>
      </c>
      <c r="J1818" s="444">
        <f t="array" ref="J1818">IFERROR(INDEX('Retirement Calculator'!J:J,MATCH('Isaac 401k'!N1818,'Retirement Calculator'!A:A,0),0),0)</f>
        <v>0</v>
      </c>
      <c r="K1818" s="444">
        <f t="shared" ca="1" si="136"/>
        <v>-3580492.7317944206</v>
      </c>
      <c r="L1818" s="444">
        <f t="shared" ca="1" si="137"/>
        <v>-862898748.36245549</v>
      </c>
      <c r="M1818" s="460">
        <f t="shared" si="139"/>
        <v>0.05</v>
      </c>
      <c r="N1818" s="464">
        <f t="shared" si="140"/>
        <v>106378</v>
      </c>
    </row>
    <row r="1819" spans="7:14" ht="11.25" customHeight="1" x14ac:dyDescent="0.25">
      <c r="G1819" s="459"/>
      <c r="H1819" s="459">
        <v>1812</v>
      </c>
      <c r="I1819" s="444">
        <f t="shared" ca="1" si="138"/>
        <v>-862898748.36245549</v>
      </c>
      <c r="J1819" s="444">
        <f t="array" ref="J1819">IFERROR(INDEX('Retirement Calculator'!J:J,MATCH('Isaac 401k'!N1819,'Retirement Calculator'!A:A,0),0),0)</f>
        <v>0</v>
      </c>
      <c r="K1819" s="444">
        <f t="shared" ca="1" si="136"/>
        <v>-3595411.4515102305</v>
      </c>
      <c r="L1819" s="444">
        <f t="shared" ca="1" si="137"/>
        <v>-866494159.81396568</v>
      </c>
      <c r="M1819" s="460">
        <f t="shared" si="139"/>
        <v>0.05</v>
      </c>
      <c r="N1819" s="464">
        <f t="shared" si="140"/>
        <v>106408</v>
      </c>
    </row>
    <row r="1820" spans="7:14" ht="11.25" customHeight="1" x14ac:dyDescent="0.25">
      <c r="G1820" s="459"/>
      <c r="H1820" s="459">
        <v>1813</v>
      </c>
      <c r="I1820" s="444">
        <f t="shared" ca="1" si="138"/>
        <v>-866494159.81396568</v>
      </c>
      <c r="J1820" s="444">
        <f t="array" ref="J1820">IFERROR(INDEX('Retirement Calculator'!J:J,MATCH('Isaac 401k'!N1820,'Retirement Calculator'!A:A,0),0),0)</f>
        <v>0</v>
      </c>
      <c r="K1820" s="444">
        <f t="shared" ca="1" si="136"/>
        <v>-3610392.3325581905</v>
      </c>
      <c r="L1820" s="444">
        <f t="shared" ca="1" si="137"/>
        <v>-870104552.14652383</v>
      </c>
      <c r="M1820" s="460">
        <f t="shared" si="139"/>
        <v>0.05</v>
      </c>
      <c r="N1820" s="464">
        <f t="shared" si="140"/>
        <v>106439</v>
      </c>
    </row>
    <row r="1821" spans="7:14" ht="11.25" customHeight="1" x14ac:dyDescent="0.25">
      <c r="G1821" s="459"/>
      <c r="H1821" s="459">
        <v>1814</v>
      </c>
      <c r="I1821" s="444">
        <f t="shared" ca="1" si="138"/>
        <v>-870104552.14652383</v>
      </c>
      <c r="J1821" s="444">
        <f t="array" ref="J1821">IFERROR(INDEX('Retirement Calculator'!J:J,MATCH('Isaac 401k'!N1821,'Retirement Calculator'!A:A,0),0),0)</f>
        <v>0</v>
      </c>
      <c r="K1821" s="444">
        <f t="shared" ca="1" si="136"/>
        <v>-3625435.6339438497</v>
      </c>
      <c r="L1821" s="444">
        <f t="shared" ca="1" si="137"/>
        <v>-873729987.78046763</v>
      </c>
      <c r="M1821" s="460">
        <f t="shared" si="139"/>
        <v>0.05</v>
      </c>
      <c r="N1821" s="464">
        <f t="shared" si="140"/>
        <v>106469</v>
      </c>
    </row>
    <row r="1822" spans="7:14" ht="11.25" customHeight="1" x14ac:dyDescent="0.25">
      <c r="G1822" s="459"/>
      <c r="H1822" s="459">
        <v>1815</v>
      </c>
      <c r="I1822" s="444">
        <f t="shared" ca="1" si="138"/>
        <v>-873729987.78046763</v>
      </c>
      <c r="J1822" s="444">
        <f t="array" ref="J1822">IFERROR(INDEX('Retirement Calculator'!J:J,MATCH('Isaac 401k'!N1822,'Retirement Calculator'!A:A,0),0),0)</f>
        <v>0</v>
      </c>
      <c r="K1822" s="444">
        <f t="shared" ca="1" si="136"/>
        <v>-3640541.6157519482</v>
      </c>
      <c r="L1822" s="444">
        <f t="shared" ca="1" si="137"/>
        <v>-877370529.39621961</v>
      </c>
      <c r="M1822" s="460">
        <f t="shared" si="139"/>
        <v>0.05</v>
      </c>
      <c r="N1822" s="464">
        <f t="shared" si="140"/>
        <v>106500</v>
      </c>
    </row>
    <row r="1823" spans="7:14" ht="11.25" customHeight="1" x14ac:dyDescent="0.25">
      <c r="G1823" s="459"/>
      <c r="H1823" s="459">
        <v>1816</v>
      </c>
      <c r="I1823" s="444">
        <f t="shared" ca="1" si="138"/>
        <v>-877370529.39621961</v>
      </c>
      <c r="J1823" s="444">
        <f t="array" ref="J1823">IFERROR(INDEX('Retirement Calculator'!J:J,MATCH('Isaac 401k'!N1823,'Retirement Calculator'!A:A,0),0),0)</f>
        <v>0</v>
      </c>
      <c r="K1823" s="444">
        <f t="shared" ca="1" si="136"/>
        <v>-3655710.5391509146</v>
      </c>
      <c r="L1823" s="444">
        <f t="shared" ca="1" si="137"/>
        <v>-881026239.93537056</v>
      </c>
      <c r="M1823" s="460">
        <f t="shared" si="139"/>
        <v>0.05</v>
      </c>
      <c r="N1823" s="464">
        <f t="shared" si="140"/>
        <v>106531</v>
      </c>
    </row>
    <row r="1824" spans="7:14" ht="11.25" customHeight="1" x14ac:dyDescent="0.25">
      <c r="G1824" s="459"/>
      <c r="H1824" s="459">
        <v>1817</v>
      </c>
      <c r="I1824" s="444">
        <f t="shared" ca="1" si="138"/>
        <v>-881026239.93537056</v>
      </c>
      <c r="J1824" s="444">
        <f t="array" ref="J1824">IFERROR(INDEX('Retirement Calculator'!J:J,MATCH('Isaac 401k'!N1824,'Retirement Calculator'!A:A,0),0),0)</f>
        <v>0</v>
      </c>
      <c r="K1824" s="444">
        <f t="shared" ca="1" si="136"/>
        <v>-3670942.6663973774</v>
      </c>
      <c r="L1824" s="444">
        <f t="shared" ca="1" si="137"/>
        <v>-884697182.6017679</v>
      </c>
      <c r="M1824" s="460">
        <f t="shared" si="139"/>
        <v>0.05</v>
      </c>
      <c r="N1824" s="464">
        <f t="shared" si="140"/>
        <v>106561</v>
      </c>
    </row>
    <row r="1825" spans="7:14" ht="11.25" customHeight="1" x14ac:dyDescent="0.25">
      <c r="G1825" s="459"/>
      <c r="H1825" s="459">
        <v>1818</v>
      </c>
      <c r="I1825" s="444">
        <f t="shared" ca="1" si="138"/>
        <v>-884697182.6017679</v>
      </c>
      <c r="J1825" s="444">
        <f t="array" ref="J1825">IFERROR(INDEX('Retirement Calculator'!J:J,MATCH('Isaac 401k'!N1825,'Retirement Calculator'!A:A,0),0),0)</f>
        <v>0</v>
      </c>
      <c r="K1825" s="444">
        <f t="shared" ca="1" si="136"/>
        <v>-3686238.2608406995</v>
      </c>
      <c r="L1825" s="444">
        <f t="shared" ca="1" si="137"/>
        <v>-888383420.86260855</v>
      </c>
      <c r="M1825" s="460">
        <f t="shared" si="139"/>
        <v>0.05</v>
      </c>
      <c r="N1825" s="464">
        <f t="shared" si="140"/>
        <v>106592</v>
      </c>
    </row>
    <row r="1826" spans="7:14" ht="11.25" customHeight="1" x14ac:dyDescent="0.25">
      <c r="G1826" s="459"/>
      <c r="H1826" s="459">
        <v>1819</v>
      </c>
      <c r="I1826" s="444">
        <f t="shared" ca="1" si="138"/>
        <v>-888383420.86260855</v>
      </c>
      <c r="J1826" s="444">
        <f t="array" ref="J1826">IFERROR(INDEX('Retirement Calculator'!J:J,MATCH('Isaac 401k'!N1826,'Retirement Calculator'!A:A,0),0),0)</f>
        <v>0</v>
      </c>
      <c r="K1826" s="444">
        <f t="shared" ca="1" si="136"/>
        <v>-3701597.5869275355</v>
      </c>
      <c r="L1826" s="444">
        <f t="shared" ca="1" si="137"/>
        <v>-892085018.44953609</v>
      </c>
      <c r="M1826" s="460">
        <f t="shared" si="139"/>
        <v>0.05</v>
      </c>
      <c r="N1826" s="464">
        <f t="shared" si="140"/>
        <v>106622</v>
      </c>
    </row>
    <row r="1827" spans="7:14" ht="11.25" customHeight="1" x14ac:dyDescent="0.25">
      <c r="G1827" s="459"/>
      <c r="H1827" s="459">
        <v>1820</v>
      </c>
      <c r="I1827" s="444">
        <f t="shared" ca="1" si="138"/>
        <v>-892085018.44953609</v>
      </c>
      <c r="J1827" s="444">
        <f t="array" ref="J1827">IFERROR(INDEX('Retirement Calculator'!J:J,MATCH('Isaac 401k'!N1827,'Retirement Calculator'!A:A,0),0),0)</f>
        <v>0</v>
      </c>
      <c r="K1827" s="444">
        <f t="shared" ca="1" si="136"/>
        <v>-3717020.9102063999</v>
      </c>
      <c r="L1827" s="444">
        <f t="shared" ca="1" si="137"/>
        <v>-895802039.35974252</v>
      </c>
      <c r="M1827" s="460">
        <f t="shared" si="139"/>
        <v>0.05</v>
      </c>
      <c r="N1827" s="464">
        <f t="shared" si="140"/>
        <v>106653</v>
      </c>
    </row>
    <row r="1828" spans="7:14" ht="11.25" customHeight="1" x14ac:dyDescent="0.25">
      <c r="G1828" s="459"/>
      <c r="H1828" s="459">
        <v>1821</v>
      </c>
      <c r="I1828" s="444">
        <f t="shared" ca="1" si="138"/>
        <v>-895802039.35974252</v>
      </c>
      <c r="J1828" s="444">
        <f t="array" ref="J1828">IFERROR(INDEX('Retirement Calculator'!J:J,MATCH('Isaac 401k'!N1828,'Retirement Calculator'!A:A,0),0),0)</f>
        <v>0</v>
      </c>
      <c r="K1828" s="444">
        <f t="shared" ca="1" si="136"/>
        <v>-3732508.4973322605</v>
      </c>
      <c r="L1828" s="444">
        <f t="shared" ca="1" si="137"/>
        <v>-899534547.85707474</v>
      </c>
      <c r="M1828" s="460">
        <f t="shared" si="139"/>
        <v>0.05</v>
      </c>
      <c r="N1828" s="464">
        <f t="shared" si="140"/>
        <v>106684</v>
      </c>
    </row>
    <row r="1829" spans="7:14" ht="11.25" customHeight="1" x14ac:dyDescent="0.25">
      <c r="G1829" s="459"/>
      <c r="H1829" s="459">
        <v>1822</v>
      </c>
      <c r="I1829" s="444">
        <f t="shared" ca="1" si="138"/>
        <v>-899534547.85707474</v>
      </c>
      <c r="J1829" s="444">
        <f t="array" ref="J1829">IFERROR(INDEX('Retirement Calculator'!J:J,MATCH('Isaac 401k'!N1829,'Retirement Calculator'!A:A,0),0),0)</f>
        <v>0</v>
      </c>
      <c r="K1829" s="444">
        <f t="shared" ca="1" si="136"/>
        <v>-3748060.6160711446</v>
      </c>
      <c r="L1829" s="444">
        <f t="shared" ca="1" si="137"/>
        <v>-903282608.47314584</v>
      </c>
      <c r="M1829" s="460">
        <f t="shared" si="139"/>
        <v>0.05</v>
      </c>
      <c r="N1829" s="464">
        <f t="shared" si="140"/>
        <v>106713</v>
      </c>
    </row>
    <row r="1830" spans="7:14" ht="11.25" customHeight="1" x14ac:dyDescent="0.25">
      <c r="G1830" s="459"/>
      <c r="H1830" s="459">
        <v>1823</v>
      </c>
      <c r="I1830" s="444">
        <f t="shared" ca="1" si="138"/>
        <v>-903282608.47314584</v>
      </c>
      <c r="J1830" s="444">
        <f t="array" ref="J1830">IFERROR(INDEX('Retirement Calculator'!J:J,MATCH('Isaac 401k'!N1830,'Retirement Calculator'!A:A,0),0),0)</f>
        <v>0</v>
      </c>
      <c r="K1830" s="444">
        <f t="shared" ca="1" si="136"/>
        <v>-3763677.5353047741</v>
      </c>
      <c r="L1830" s="444">
        <f t="shared" ca="1" si="137"/>
        <v>-907046286.00845063</v>
      </c>
      <c r="M1830" s="460">
        <f t="shared" si="139"/>
        <v>0.05</v>
      </c>
      <c r="N1830" s="464">
        <f t="shared" si="140"/>
        <v>106744</v>
      </c>
    </row>
    <row r="1831" spans="7:14" ht="11.25" customHeight="1" x14ac:dyDescent="0.25">
      <c r="G1831" s="459"/>
      <c r="H1831" s="459">
        <v>1824</v>
      </c>
      <c r="I1831" s="444">
        <f t="shared" ca="1" si="138"/>
        <v>-907046286.00845063</v>
      </c>
      <c r="J1831" s="444">
        <f t="array" ref="J1831">IFERROR(INDEX('Retirement Calculator'!J:J,MATCH('Isaac 401k'!N1831,'Retirement Calculator'!A:A,0),0),0)</f>
        <v>0</v>
      </c>
      <c r="K1831" s="444">
        <f t="shared" ca="1" si="136"/>
        <v>-3779359.5250352109</v>
      </c>
      <c r="L1831" s="444">
        <f t="shared" ca="1" si="137"/>
        <v>-910825645.53348589</v>
      </c>
      <c r="M1831" s="460">
        <f t="shared" si="139"/>
        <v>0.05</v>
      </c>
      <c r="N1831" s="464">
        <f t="shared" si="140"/>
        <v>106774</v>
      </c>
    </row>
    <row r="1832" spans="7:14" ht="11.25" customHeight="1" x14ac:dyDescent="0.25">
      <c r="G1832" s="459"/>
      <c r="H1832" s="459">
        <v>1825</v>
      </c>
      <c r="I1832" s="444">
        <f t="shared" ca="1" si="138"/>
        <v>-910825645.53348589</v>
      </c>
      <c r="J1832" s="444">
        <f t="array" ref="J1832">IFERROR(INDEX('Retirement Calculator'!J:J,MATCH('Isaac 401k'!N1832,'Retirement Calculator'!A:A,0),0),0)</f>
        <v>0</v>
      </c>
      <c r="K1832" s="444">
        <f t="shared" ca="1" si="136"/>
        <v>-3795106.8563895244</v>
      </c>
      <c r="L1832" s="444">
        <f t="shared" ca="1" si="137"/>
        <v>-914620752.38987541</v>
      </c>
      <c r="M1832" s="460">
        <f t="shared" si="139"/>
        <v>0.05</v>
      </c>
      <c r="N1832" s="464">
        <f t="shared" si="140"/>
        <v>106805</v>
      </c>
    </row>
    <row r="1833" spans="7:14" ht="11.25" customHeight="1" x14ac:dyDescent="0.25">
      <c r="G1833" s="459"/>
      <c r="H1833" s="459">
        <v>1826</v>
      </c>
      <c r="I1833" s="444">
        <f t="shared" ca="1" si="138"/>
        <v>-914620752.38987541</v>
      </c>
      <c r="J1833" s="444">
        <f t="array" ref="J1833">IFERROR(INDEX('Retirement Calculator'!J:J,MATCH('Isaac 401k'!N1833,'Retirement Calculator'!A:A,0),0),0)</f>
        <v>0</v>
      </c>
      <c r="K1833" s="444">
        <f t="shared" ca="1" si="136"/>
        <v>-3810919.8016244806</v>
      </c>
      <c r="L1833" s="444">
        <f t="shared" ca="1" si="137"/>
        <v>-918431672.19149995</v>
      </c>
      <c r="M1833" s="460">
        <f t="shared" si="139"/>
        <v>0.05</v>
      </c>
      <c r="N1833" s="464">
        <f t="shared" si="140"/>
        <v>106835</v>
      </c>
    </row>
    <row r="1834" spans="7:14" ht="11.25" customHeight="1" x14ac:dyDescent="0.25">
      <c r="G1834" s="459"/>
      <c r="H1834" s="459">
        <v>1827</v>
      </c>
      <c r="I1834" s="444">
        <f t="shared" ca="1" si="138"/>
        <v>-918431672.19149995</v>
      </c>
      <c r="J1834" s="444">
        <f t="array" ref="J1834">IFERROR(INDEX('Retirement Calculator'!J:J,MATCH('Isaac 401k'!N1834,'Retirement Calculator'!A:A,0),0),0)</f>
        <v>0</v>
      </c>
      <c r="K1834" s="444">
        <f t="shared" ca="1" si="136"/>
        <v>-3826798.6341312504</v>
      </c>
      <c r="L1834" s="444">
        <f t="shared" ca="1" si="137"/>
        <v>-922258470.82563114</v>
      </c>
      <c r="M1834" s="460">
        <f t="shared" si="139"/>
        <v>0.05</v>
      </c>
      <c r="N1834" s="464">
        <f t="shared" si="140"/>
        <v>106866</v>
      </c>
    </row>
    <row r="1835" spans="7:14" ht="11.25" customHeight="1" x14ac:dyDescent="0.25">
      <c r="G1835" s="459"/>
      <c r="H1835" s="459">
        <v>1828</v>
      </c>
      <c r="I1835" s="444">
        <f t="shared" ca="1" si="138"/>
        <v>-922258470.82563114</v>
      </c>
      <c r="J1835" s="444">
        <f t="array" ref="J1835">IFERROR(INDEX('Retirement Calculator'!J:J,MATCH('Isaac 401k'!N1835,'Retirement Calculator'!A:A,0),0),0)</f>
        <v>0</v>
      </c>
      <c r="K1835" s="444">
        <f t="shared" ca="1" si="136"/>
        <v>-3842743.6284401291</v>
      </c>
      <c r="L1835" s="444">
        <f t="shared" ca="1" si="137"/>
        <v>-926101214.45407128</v>
      </c>
      <c r="M1835" s="460">
        <f t="shared" si="139"/>
        <v>0.05</v>
      </c>
      <c r="N1835" s="464">
        <f t="shared" si="140"/>
        <v>106897</v>
      </c>
    </row>
    <row r="1836" spans="7:14" ht="11.25" customHeight="1" x14ac:dyDescent="0.25">
      <c r="G1836" s="459"/>
      <c r="H1836" s="459">
        <v>1829</v>
      </c>
      <c r="I1836" s="444">
        <f t="shared" ca="1" si="138"/>
        <v>-926101214.45407128</v>
      </c>
      <c r="J1836" s="444">
        <f t="array" ref="J1836">IFERROR(INDEX('Retirement Calculator'!J:J,MATCH('Isaac 401k'!N1836,'Retirement Calculator'!A:A,0),0),0)</f>
        <v>0</v>
      </c>
      <c r="K1836" s="444">
        <f t="shared" ca="1" si="136"/>
        <v>-3858755.0602252972</v>
      </c>
      <c r="L1836" s="444">
        <f t="shared" ca="1" si="137"/>
        <v>-929959969.51429653</v>
      </c>
      <c r="M1836" s="460">
        <f t="shared" si="139"/>
        <v>0.05</v>
      </c>
      <c r="N1836" s="464">
        <f t="shared" si="140"/>
        <v>106927</v>
      </c>
    </row>
    <row r="1837" spans="7:14" ht="11.25" customHeight="1" x14ac:dyDescent="0.25">
      <c r="G1837" s="459"/>
      <c r="H1837" s="459">
        <v>1830</v>
      </c>
      <c r="I1837" s="444">
        <f t="shared" ca="1" si="138"/>
        <v>-929959969.51429653</v>
      </c>
      <c r="J1837" s="444">
        <f t="array" ref="J1837">IFERROR(INDEX('Retirement Calculator'!J:J,MATCH('Isaac 401k'!N1837,'Retirement Calculator'!A:A,0),0),0)</f>
        <v>0</v>
      </c>
      <c r="K1837" s="444">
        <f t="shared" ca="1" si="136"/>
        <v>-3874833.2063095686</v>
      </c>
      <c r="L1837" s="444">
        <f t="shared" ca="1" si="137"/>
        <v>-933834802.72060609</v>
      </c>
      <c r="M1837" s="460">
        <f t="shared" si="139"/>
        <v>0.05</v>
      </c>
      <c r="N1837" s="464">
        <f t="shared" si="140"/>
        <v>106958</v>
      </c>
    </row>
    <row r="1838" spans="7:14" ht="11.25" customHeight="1" x14ac:dyDescent="0.25">
      <c r="G1838" s="459"/>
      <c r="H1838" s="459">
        <v>1831</v>
      </c>
      <c r="I1838" s="444">
        <f t="shared" ca="1" si="138"/>
        <v>-933834802.72060609</v>
      </c>
      <c r="J1838" s="444">
        <f t="array" ref="J1838">IFERROR(INDEX('Retirement Calculator'!J:J,MATCH('Isaac 401k'!N1838,'Retirement Calculator'!A:A,0),0),0)</f>
        <v>0</v>
      </c>
      <c r="K1838" s="444">
        <f t="shared" ca="1" si="136"/>
        <v>-3890978.3446691916</v>
      </c>
      <c r="L1838" s="444">
        <f t="shared" ca="1" si="137"/>
        <v>-937725781.06527531</v>
      </c>
      <c r="M1838" s="460">
        <f t="shared" si="139"/>
        <v>0.05</v>
      </c>
      <c r="N1838" s="464">
        <f t="shared" si="140"/>
        <v>106988</v>
      </c>
    </row>
    <row r="1839" spans="7:14" ht="11.25" customHeight="1" x14ac:dyDescent="0.25">
      <c r="G1839" s="459"/>
      <c r="H1839" s="459">
        <v>1832</v>
      </c>
      <c r="I1839" s="444">
        <f t="shared" ca="1" si="138"/>
        <v>-937725781.06527531</v>
      </c>
      <c r="J1839" s="444">
        <f t="array" ref="J1839">IFERROR(INDEX('Retirement Calculator'!J:J,MATCH('Isaac 401k'!N1839,'Retirement Calculator'!A:A,0),0),0)</f>
        <v>0</v>
      </c>
      <c r="K1839" s="444">
        <f t="shared" ca="1" si="136"/>
        <v>-3907190.7544386471</v>
      </c>
      <c r="L1839" s="444">
        <f t="shared" ca="1" si="137"/>
        <v>-941632971.81971395</v>
      </c>
      <c r="M1839" s="460">
        <f t="shared" si="139"/>
        <v>0.05</v>
      </c>
      <c r="N1839" s="464">
        <f t="shared" si="140"/>
        <v>107019</v>
      </c>
    </row>
    <row r="1840" spans="7:14" ht="11.25" customHeight="1" x14ac:dyDescent="0.25">
      <c r="G1840" s="459"/>
      <c r="H1840" s="459">
        <v>1833</v>
      </c>
      <c r="I1840" s="444">
        <f t="shared" ca="1" si="138"/>
        <v>-941632971.81971395</v>
      </c>
      <c r="J1840" s="444">
        <f t="array" ref="J1840">IFERROR(INDEX('Retirement Calculator'!J:J,MATCH('Isaac 401k'!N1840,'Retirement Calculator'!A:A,0),0),0)</f>
        <v>0</v>
      </c>
      <c r="K1840" s="444">
        <f t="shared" ca="1" si="136"/>
        <v>-3923470.7159154746</v>
      </c>
      <c r="L1840" s="444">
        <f t="shared" ca="1" si="137"/>
        <v>-945556442.53562939</v>
      </c>
      <c r="M1840" s="460">
        <f t="shared" si="139"/>
        <v>0.05</v>
      </c>
      <c r="N1840" s="464">
        <f t="shared" si="140"/>
        <v>107050</v>
      </c>
    </row>
    <row r="1841" spans="7:14" ht="11.25" customHeight="1" x14ac:dyDescent="0.25">
      <c r="G1841" s="459"/>
      <c r="H1841" s="459">
        <v>1834</v>
      </c>
      <c r="I1841" s="444">
        <f t="shared" ca="1" si="138"/>
        <v>-945556442.53562939</v>
      </c>
      <c r="J1841" s="444">
        <f t="array" ref="J1841">IFERROR(INDEX('Retirement Calculator'!J:J,MATCH('Isaac 401k'!N1841,'Retirement Calculator'!A:A,0),0),0)</f>
        <v>0</v>
      </c>
      <c r="K1841" s="444">
        <f t="shared" ca="1" si="136"/>
        <v>-3939818.5105651226</v>
      </c>
      <c r="L1841" s="444">
        <f t="shared" ca="1" si="137"/>
        <v>-949496261.04619455</v>
      </c>
      <c r="M1841" s="460">
        <f t="shared" si="139"/>
        <v>0.05</v>
      </c>
      <c r="N1841" s="464">
        <f t="shared" si="140"/>
        <v>107078</v>
      </c>
    </row>
    <row r="1842" spans="7:14" ht="11.25" customHeight="1" x14ac:dyDescent="0.25">
      <c r="G1842" s="459"/>
      <c r="H1842" s="459">
        <v>1835</v>
      </c>
      <c r="I1842" s="444">
        <f t="shared" ca="1" si="138"/>
        <v>-949496261.04619455</v>
      </c>
      <c r="J1842" s="444">
        <f t="array" ref="J1842">IFERROR(INDEX('Retirement Calculator'!J:J,MATCH('Isaac 401k'!N1842,'Retirement Calculator'!A:A,0),0),0)</f>
        <v>0</v>
      </c>
      <c r="K1842" s="444">
        <f t="shared" ca="1" si="136"/>
        <v>-3956234.4210258108</v>
      </c>
      <c r="L1842" s="444">
        <f t="shared" ca="1" si="137"/>
        <v>-953452495.46722031</v>
      </c>
      <c r="M1842" s="460">
        <f t="shared" si="139"/>
        <v>0.05</v>
      </c>
      <c r="N1842" s="464">
        <f t="shared" si="140"/>
        <v>107109</v>
      </c>
    </row>
    <row r="1843" spans="7:14" ht="11.25" customHeight="1" x14ac:dyDescent="0.25">
      <c r="G1843" s="459"/>
      <c r="H1843" s="459">
        <v>1836</v>
      </c>
      <c r="I1843" s="444">
        <f t="shared" ca="1" si="138"/>
        <v>-953452495.46722031</v>
      </c>
      <c r="J1843" s="444">
        <f t="array" ref="J1843">IFERROR(INDEX('Retirement Calculator'!J:J,MATCH('Isaac 401k'!N1843,'Retirement Calculator'!A:A,0),0),0)</f>
        <v>0</v>
      </c>
      <c r="K1843" s="444">
        <f t="shared" ca="1" si="136"/>
        <v>-3972718.731113418</v>
      </c>
      <c r="L1843" s="444">
        <f t="shared" ca="1" si="137"/>
        <v>-957425214.19833374</v>
      </c>
      <c r="M1843" s="460">
        <f t="shared" si="139"/>
        <v>0.05</v>
      </c>
      <c r="N1843" s="464">
        <f t="shared" si="140"/>
        <v>107139</v>
      </c>
    </row>
    <row r="1844" spans="7:14" ht="11.25" customHeight="1" x14ac:dyDescent="0.25">
      <c r="G1844" s="459"/>
      <c r="H1844" s="459">
        <v>1837</v>
      </c>
      <c r="I1844" s="444">
        <f t="shared" ca="1" si="138"/>
        <v>-957425214.19833374</v>
      </c>
      <c r="J1844" s="444">
        <f t="array" ref="J1844">IFERROR(INDEX('Retirement Calculator'!J:J,MATCH('Isaac 401k'!N1844,'Retirement Calculator'!A:A,0),0),0)</f>
        <v>0</v>
      </c>
      <c r="K1844" s="444">
        <f t="shared" ca="1" si="136"/>
        <v>-3989271.7258263901</v>
      </c>
      <c r="L1844" s="444">
        <f t="shared" ca="1" si="137"/>
        <v>-961414485.92416012</v>
      </c>
      <c r="M1844" s="460">
        <f t="shared" si="139"/>
        <v>0.05</v>
      </c>
      <c r="N1844" s="464">
        <f t="shared" si="140"/>
        <v>107170</v>
      </c>
    </row>
    <row r="1845" spans="7:14" ht="11.25" customHeight="1" x14ac:dyDescent="0.25">
      <c r="G1845" s="459"/>
      <c r="H1845" s="459">
        <v>1838</v>
      </c>
      <c r="I1845" s="444">
        <f t="shared" ca="1" si="138"/>
        <v>-961414485.92416012</v>
      </c>
      <c r="J1845" s="444">
        <f t="array" ref="J1845">IFERROR(INDEX('Retirement Calculator'!J:J,MATCH('Isaac 401k'!N1845,'Retirement Calculator'!A:A,0),0),0)</f>
        <v>0</v>
      </c>
      <c r="K1845" s="444">
        <f t="shared" ca="1" si="136"/>
        <v>-4005893.6913506677</v>
      </c>
      <c r="L1845" s="444">
        <f t="shared" ca="1" si="137"/>
        <v>-965420379.61551082</v>
      </c>
      <c r="M1845" s="460">
        <f t="shared" si="139"/>
        <v>0.05</v>
      </c>
      <c r="N1845" s="464">
        <f t="shared" si="140"/>
        <v>107200</v>
      </c>
    </row>
    <row r="1846" spans="7:14" ht="11.25" customHeight="1" x14ac:dyDescent="0.25">
      <c r="G1846" s="459"/>
      <c r="H1846" s="459">
        <v>1839</v>
      </c>
      <c r="I1846" s="444">
        <f t="shared" ca="1" si="138"/>
        <v>-965420379.61551082</v>
      </c>
      <c r="J1846" s="444">
        <f t="array" ref="J1846">IFERROR(INDEX('Retirement Calculator'!J:J,MATCH('Isaac 401k'!N1846,'Retirement Calculator'!A:A,0),0),0)</f>
        <v>0</v>
      </c>
      <c r="K1846" s="444">
        <f t="shared" ca="1" si="136"/>
        <v>-4022584.9150646287</v>
      </c>
      <c r="L1846" s="444">
        <f t="shared" ca="1" si="137"/>
        <v>-969442964.53057539</v>
      </c>
      <c r="M1846" s="460">
        <f t="shared" si="139"/>
        <v>0.05</v>
      </c>
      <c r="N1846" s="464">
        <f t="shared" si="140"/>
        <v>107231</v>
      </c>
    </row>
    <row r="1847" spans="7:14" ht="11.25" customHeight="1" x14ac:dyDescent="0.25">
      <c r="G1847" s="459"/>
      <c r="H1847" s="459">
        <v>1840</v>
      </c>
      <c r="I1847" s="444">
        <f t="shared" ca="1" si="138"/>
        <v>-969442964.53057539</v>
      </c>
      <c r="J1847" s="444">
        <f t="array" ref="J1847">IFERROR(INDEX('Retirement Calculator'!J:J,MATCH('Isaac 401k'!N1847,'Retirement Calculator'!A:A,0),0),0)</f>
        <v>0</v>
      </c>
      <c r="K1847" s="444">
        <f t="shared" ca="1" si="136"/>
        <v>-4039345.6855440643</v>
      </c>
      <c r="L1847" s="444">
        <f t="shared" ca="1" si="137"/>
        <v>-973482310.21611941</v>
      </c>
      <c r="M1847" s="460">
        <f t="shared" si="139"/>
        <v>0.05</v>
      </c>
      <c r="N1847" s="464">
        <f t="shared" si="140"/>
        <v>107262</v>
      </c>
    </row>
    <row r="1848" spans="7:14" ht="11.25" customHeight="1" x14ac:dyDescent="0.25">
      <c r="G1848" s="459"/>
      <c r="H1848" s="459">
        <v>1841</v>
      </c>
      <c r="I1848" s="444">
        <f t="shared" ca="1" si="138"/>
        <v>-973482310.21611941</v>
      </c>
      <c r="J1848" s="444">
        <f t="array" ref="J1848">IFERROR(INDEX('Retirement Calculator'!J:J,MATCH('Isaac 401k'!N1848,'Retirement Calculator'!A:A,0),0),0)</f>
        <v>0</v>
      </c>
      <c r="K1848" s="444">
        <f t="shared" ca="1" si="136"/>
        <v>-4056176.2925671642</v>
      </c>
      <c r="L1848" s="444">
        <f t="shared" ca="1" si="137"/>
        <v>-977538486.50868654</v>
      </c>
      <c r="M1848" s="460">
        <f t="shared" si="139"/>
        <v>0.05</v>
      </c>
      <c r="N1848" s="464">
        <f t="shared" si="140"/>
        <v>107292</v>
      </c>
    </row>
    <row r="1849" spans="7:14" ht="11.25" customHeight="1" x14ac:dyDescent="0.25">
      <c r="G1849" s="459"/>
      <c r="H1849" s="459">
        <v>1842</v>
      </c>
      <c r="I1849" s="444">
        <f t="shared" ca="1" si="138"/>
        <v>-977538486.50868654</v>
      </c>
      <c r="J1849" s="444">
        <f t="array" ref="J1849">IFERROR(INDEX('Retirement Calculator'!J:J,MATCH('Isaac 401k'!N1849,'Retirement Calculator'!A:A,0),0),0)</f>
        <v>0</v>
      </c>
      <c r="K1849" s="444">
        <f t="shared" ca="1" si="136"/>
        <v>-4073077.0271195271</v>
      </c>
      <c r="L1849" s="444">
        <f t="shared" ca="1" si="137"/>
        <v>-981611563.53580606</v>
      </c>
      <c r="M1849" s="460">
        <f t="shared" si="139"/>
        <v>0.05</v>
      </c>
      <c r="N1849" s="464">
        <f t="shared" si="140"/>
        <v>107323</v>
      </c>
    </row>
    <row r="1850" spans="7:14" ht="11.25" customHeight="1" x14ac:dyDescent="0.25">
      <c r="G1850" s="459"/>
      <c r="H1850" s="459">
        <v>1843</v>
      </c>
      <c r="I1850" s="444">
        <f t="shared" ca="1" si="138"/>
        <v>-981611563.53580606</v>
      </c>
      <c r="J1850" s="444">
        <f t="array" ref="J1850">IFERROR(INDEX('Retirement Calculator'!J:J,MATCH('Isaac 401k'!N1850,'Retirement Calculator'!A:A,0),0),0)</f>
        <v>0</v>
      </c>
      <c r="K1850" s="444">
        <f t="shared" ca="1" si="136"/>
        <v>-4090048.1813991917</v>
      </c>
      <c r="L1850" s="444">
        <f t="shared" ca="1" si="137"/>
        <v>-985701611.71720529</v>
      </c>
      <c r="M1850" s="460">
        <f t="shared" si="139"/>
        <v>0.05</v>
      </c>
      <c r="N1850" s="464">
        <f t="shared" si="140"/>
        <v>107353</v>
      </c>
    </row>
    <row r="1851" spans="7:14" ht="11.25" customHeight="1" x14ac:dyDescent="0.25">
      <c r="G1851" s="459"/>
      <c r="H1851" s="459">
        <v>1844</v>
      </c>
      <c r="I1851" s="444">
        <f t="shared" ca="1" si="138"/>
        <v>-985701611.71720529</v>
      </c>
      <c r="J1851" s="444">
        <f t="array" ref="J1851">IFERROR(INDEX('Retirement Calculator'!J:J,MATCH('Isaac 401k'!N1851,'Retirement Calculator'!A:A,0),0),0)</f>
        <v>0</v>
      </c>
      <c r="K1851" s="444">
        <f t="shared" ca="1" si="136"/>
        <v>-4107090.0488216886</v>
      </c>
      <c r="L1851" s="444">
        <f t="shared" ca="1" si="137"/>
        <v>-989808701.76602697</v>
      </c>
      <c r="M1851" s="460">
        <f t="shared" si="139"/>
        <v>0.05</v>
      </c>
      <c r="N1851" s="464">
        <f t="shared" si="140"/>
        <v>107384</v>
      </c>
    </row>
    <row r="1852" spans="7:14" ht="11.25" customHeight="1" x14ac:dyDescent="0.25">
      <c r="G1852" s="459"/>
      <c r="H1852" s="459">
        <v>1845</v>
      </c>
      <c r="I1852" s="444">
        <f t="shared" ca="1" si="138"/>
        <v>-989808701.76602697</v>
      </c>
      <c r="J1852" s="444">
        <f t="array" ref="J1852">IFERROR(INDEX('Retirement Calculator'!J:J,MATCH('Isaac 401k'!N1852,'Retirement Calculator'!A:A,0),0),0)</f>
        <v>0</v>
      </c>
      <c r="K1852" s="444">
        <f t="shared" ca="1" si="136"/>
        <v>-4124202.9240251123</v>
      </c>
      <c r="L1852" s="444">
        <f t="shared" ca="1" si="137"/>
        <v>-993932904.69005203</v>
      </c>
      <c r="M1852" s="460">
        <f t="shared" si="139"/>
        <v>0.05</v>
      </c>
      <c r="N1852" s="464">
        <f t="shared" si="140"/>
        <v>107415</v>
      </c>
    </row>
    <row r="1853" spans="7:14" ht="11.25" customHeight="1" x14ac:dyDescent="0.25">
      <c r="G1853" s="459"/>
      <c r="H1853" s="459">
        <v>1846</v>
      </c>
      <c r="I1853" s="444">
        <f t="shared" ca="1" si="138"/>
        <v>-993932904.69005203</v>
      </c>
      <c r="J1853" s="444">
        <f t="array" ref="J1853">IFERROR(INDEX('Retirement Calculator'!J:J,MATCH('Isaac 401k'!N1853,'Retirement Calculator'!A:A,0),0),0)</f>
        <v>0</v>
      </c>
      <c r="K1853" s="444">
        <f t="shared" ca="1" si="136"/>
        <v>-4141387.1028752169</v>
      </c>
      <c r="L1853" s="444">
        <f t="shared" ca="1" si="137"/>
        <v>-998074291.79292727</v>
      </c>
      <c r="M1853" s="460">
        <f t="shared" si="139"/>
        <v>0.05</v>
      </c>
      <c r="N1853" s="464">
        <f t="shared" si="140"/>
        <v>107443</v>
      </c>
    </row>
    <row r="1854" spans="7:14" ht="11.25" customHeight="1" x14ac:dyDescent="0.25">
      <c r="G1854" s="459"/>
      <c r="H1854" s="459">
        <v>1847</v>
      </c>
      <c r="I1854" s="444">
        <f t="shared" ca="1" si="138"/>
        <v>-998074291.79292727</v>
      </c>
      <c r="J1854" s="444">
        <f t="array" ref="J1854">IFERROR(INDEX('Retirement Calculator'!J:J,MATCH('Isaac 401k'!N1854,'Retirement Calculator'!A:A,0),0),0)</f>
        <v>0</v>
      </c>
      <c r="K1854" s="444">
        <f t="shared" ca="1" si="136"/>
        <v>-4158642.88247053</v>
      </c>
      <c r="L1854" s="444">
        <f t="shared" ca="1" si="137"/>
        <v>-1002232934.6753978</v>
      </c>
      <c r="M1854" s="460">
        <f t="shared" si="139"/>
        <v>0.05</v>
      </c>
      <c r="N1854" s="464">
        <f t="shared" si="140"/>
        <v>107474</v>
      </c>
    </row>
    <row r="1855" spans="7:14" ht="11.25" customHeight="1" x14ac:dyDescent="0.25">
      <c r="G1855" s="459"/>
      <c r="H1855" s="459">
        <v>1848</v>
      </c>
      <c r="I1855" s="444">
        <f t="shared" ca="1" si="138"/>
        <v>-1002232934.6753978</v>
      </c>
      <c r="J1855" s="444">
        <f t="array" ref="J1855">IFERROR(INDEX('Retirement Calculator'!J:J,MATCH('Isaac 401k'!N1855,'Retirement Calculator'!A:A,0),0),0)</f>
        <v>0</v>
      </c>
      <c r="K1855" s="444">
        <f t="shared" ca="1" si="136"/>
        <v>-4175970.5611474901</v>
      </c>
      <c r="L1855" s="444">
        <f t="shared" ca="1" si="137"/>
        <v>-1006408905.2365452</v>
      </c>
      <c r="M1855" s="460">
        <f t="shared" si="139"/>
        <v>0.05</v>
      </c>
      <c r="N1855" s="464">
        <f t="shared" si="140"/>
        <v>107504</v>
      </c>
    </row>
    <row r="1856" spans="7:14" ht="11.25" customHeight="1" x14ac:dyDescent="0.25">
      <c r="G1856" s="459"/>
      <c r="H1856" s="459">
        <v>1849</v>
      </c>
      <c r="I1856" s="444">
        <f t="shared" ca="1" si="138"/>
        <v>-1006408905.2365452</v>
      </c>
      <c r="J1856" s="444">
        <f t="array" ref="J1856">IFERROR(INDEX('Retirement Calculator'!J:J,MATCH('Isaac 401k'!N1856,'Retirement Calculator'!A:A,0),0),0)</f>
        <v>0</v>
      </c>
      <c r="K1856" s="444">
        <f t="shared" ca="1" si="136"/>
        <v>-4193370.4384856052</v>
      </c>
      <c r="L1856" s="444">
        <f t="shared" ca="1" si="137"/>
        <v>-1010602275.6750308</v>
      </c>
      <c r="M1856" s="460">
        <f t="shared" si="139"/>
        <v>0.05</v>
      </c>
      <c r="N1856" s="464">
        <f t="shared" si="140"/>
        <v>107535</v>
      </c>
    </row>
    <row r="1857" spans="7:14" ht="11.25" customHeight="1" x14ac:dyDescent="0.25">
      <c r="G1857" s="459"/>
      <c r="H1857" s="459">
        <v>1850</v>
      </c>
      <c r="I1857" s="444">
        <f t="shared" ca="1" si="138"/>
        <v>-1010602275.6750308</v>
      </c>
      <c r="J1857" s="444">
        <f t="array" ref="J1857">IFERROR(INDEX('Retirement Calculator'!J:J,MATCH('Isaac 401k'!N1857,'Retirement Calculator'!A:A,0),0),0)</f>
        <v>0</v>
      </c>
      <c r="K1857" s="444">
        <f t="shared" ca="1" si="136"/>
        <v>-4210842.8153126286</v>
      </c>
      <c r="L1857" s="444">
        <f t="shared" ca="1" si="137"/>
        <v>-1014813118.4903435</v>
      </c>
      <c r="M1857" s="460">
        <f t="shared" si="139"/>
        <v>0.05</v>
      </c>
      <c r="N1857" s="464">
        <f t="shared" si="140"/>
        <v>107565</v>
      </c>
    </row>
    <row r="1858" spans="7:14" ht="11.25" customHeight="1" x14ac:dyDescent="0.25">
      <c r="G1858" s="459"/>
      <c r="H1858" s="459">
        <v>1851</v>
      </c>
      <c r="I1858" s="444">
        <f t="shared" ca="1" si="138"/>
        <v>-1014813118.4903435</v>
      </c>
      <c r="J1858" s="444">
        <f t="array" ref="J1858">IFERROR(INDEX('Retirement Calculator'!J:J,MATCH('Isaac 401k'!N1858,'Retirement Calculator'!A:A,0),0),0)</f>
        <v>0</v>
      </c>
      <c r="K1858" s="444">
        <f t="shared" ca="1" si="136"/>
        <v>-4228387.9937097644</v>
      </c>
      <c r="L1858" s="444">
        <f t="shared" ca="1" si="137"/>
        <v>-1019041506.4840533</v>
      </c>
      <c r="M1858" s="460">
        <f t="shared" si="139"/>
        <v>0.05</v>
      </c>
      <c r="N1858" s="464">
        <f t="shared" si="140"/>
        <v>107596</v>
      </c>
    </row>
    <row r="1859" spans="7:14" ht="11.25" customHeight="1" x14ac:dyDescent="0.25">
      <c r="G1859" s="459"/>
      <c r="H1859" s="459">
        <v>1852</v>
      </c>
      <c r="I1859" s="444">
        <f t="shared" ca="1" si="138"/>
        <v>-1019041506.4840533</v>
      </c>
      <c r="J1859" s="444">
        <f t="array" ref="J1859">IFERROR(INDEX('Retirement Calculator'!J:J,MATCH('Isaac 401k'!N1859,'Retirement Calculator'!A:A,0),0),0)</f>
        <v>0</v>
      </c>
      <c r="K1859" s="444">
        <f t="shared" ca="1" si="136"/>
        <v>-4246006.2770168884</v>
      </c>
      <c r="L1859" s="444">
        <f t="shared" ca="1" si="137"/>
        <v>-1023287512.7610701</v>
      </c>
      <c r="M1859" s="460">
        <f t="shared" si="139"/>
        <v>0.05</v>
      </c>
      <c r="N1859" s="464">
        <f t="shared" si="140"/>
        <v>107627</v>
      </c>
    </row>
    <row r="1860" spans="7:14" ht="11.25" customHeight="1" x14ac:dyDescent="0.25">
      <c r="G1860" s="459"/>
      <c r="H1860" s="459">
        <v>1853</v>
      </c>
      <c r="I1860" s="444">
        <f t="shared" ca="1" si="138"/>
        <v>-1023287512.7610701</v>
      </c>
      <c r="J1860" s="444">
        <f t="array" ref="J1860">IFERROR(INDEX('Retirement Calculator'!J:J,MATCH('Isaac 401k'!N1860,'Retirement Calculator'!A:A,0),0),0)</f>
        <v>0</v>
      </c>
      <c r="K1860" s="444">
        <f t="shared" ca="1" si="136"/>
        <v>-4263697.9698377922</v>
      </c>
      <c r="L1860" s="444">
        <f t="shared" ca="1" si="137"/>
        <v>-1027551210.7309079</v>
      </c>
      <c r="M1860" s="460">
        <f t="shared" si="139"/>
        <v>0.05</v>
      </c>
      <c r="N1860" s="464">
        <f t="shared" si="140"/>
        <v>107657</v>
      </c>
    </row>
    <row r="1861" spans="7:14" ht="11.25" customHeight="1" x14ac:dyDescent="0.25">
      <c r="G1861" s="459"/>
      <c r="H1861" s="459">
        <v>1854</v>
      </c>
      <c r="I1861" s="444">
        <f t="shared" ca="1" si="138"/>
        <v>-1027551210.7309079</v>
      </c>
      <c r="J1861" s="444">
        <f t="array" ref="J1861">IFERROR(INDEX('Retirement Calculator'!J:J,MATCH('Isaac 401k'!N1861,'Retirement Calculator'!A:A,0),0),0)</f>
        <v>0</v>
      </c>
      <c r="K1861" s="444">
        <f t="shared" ca="1" si="136"/>
        <v>-4281463.37804545</v>
      </c>
      <c r="L1861" s="444">
        <f t="shared" ca="1" si="137"/>
        <v>-1031832674.1089534</v>
      </c>
      <c r="M1861" s="460">
        <f t="shared" si="139"/>
        <v>0.05</v>
      </c>
      <c r="N1861" s="464">
        <f t="shared" si="140"/>
        <v>107688</v>
      </c>
    </row>
    <row r="1862" spans="7:14" ht="11.25" customHeight="1" x14ac:dyDescent="0.25">
      <c r="G1862" s="459"/>
      <c r="H1862" s="459">
        <v>1855</v>
      </c>
      <c r="I1862" s="444">
        <f t="shared" ca="1" si="138"/>
        <v>-1031832674.1089534</v>
      </c>
      <c r="J1862" s="444">
        <f t="array" ref="J1862">IFERROR(INDEX('Retirement Calculator'!J:J,MATCH('Isaac 401k'!N1862,'Retirement Calculator'!A:A,0),0),0)</f>
        <v>0</v>
      </c>
      <c r="K1862" s="444">
        <f t="shared" ca="1" si="136"/>
        <v>-4299302.8087873058</v>
      </c>
      <c r="L1862" s="444">
        <f t="shared" ca="1" si="137"/>
        <v>-1036131976.9177407</v>
      </c>
      <c r="M1862" s="460">
        <f t="shared" si="139"/>
        <v>0.05</v>
      </c>
      <c r="N1862" s="464">
        <f t="shared" si="140"/>
        <v>107718</v>
      </c>
    </row>
    <row r="1863" spans="7:14" ht="11.25" customHeight="1" x14ac:dyDescent="0.25">
      <c r="G1863" s="459"/>
      <c r="H1863" s="459">
        <v>1856</v>
      </c>
      <c r="I1863" s="444">
        <f t="shared" ca="1" si="138"/>
        <v>-1036131976.9177407</v>
      </c>
      <c r="J1863" s="444">
        <f t="array" ref="J1863">IFERROR(INDEX('Retirement Calculator'!J:J,MATCH('Isaac 401k'!N1863,'Retirement Calculator'!A:A,0),0),0)</f>
        <v>0</v>
      </c>
      <c r="K1863" s="444">
        <f t="shared" ca="1" si="136"/>
        <v>-4317216.5704905866</v>
      </c>
      <c r="L1863" s="444">
        <f t="shared" ca="1" si="137"/>
        <v>-1040449193.4882313</v>
      </c>
      <c r="M1863" s="460">
        <f t="shared" si="139"/>
        <v>0.05</v>
      </c>
      <c r="N1863" s="464">
        <f t="shared" si="140"/>
        <v>107749</v>
      </c>
    </row>
    <row r="1864" spans="7:14" ht="11.25" customHeight="1" x14ac:dyDescent="0.25">
      <c r="G1864" s="459"/>
      <c r="H1864" s="459">
        <v>1857</v>
      </c>
      <c r="I1864" s="444">
        <f t="shared" ca="1" si="138"/>
        <v>-1040449193.4882313</v>
      </c>
      <c r="J1864" s="444">
        <f t="array" ref="J1864">IFERROR(INDEX('Retirement Calculator'!J:J,MATCH('Isaac 401k'!N1864,'Retirement Calculator'!A:A,0),0),0)</f>
        <v>0</v>
      </c>
      <c r="K1864" s="444">
        <f t="shared" ca="1" si="136"/>
        <v>-4335204.9728676304</v>
      </c>
      <c r="L1864" s="444">
        <f t="shared" ca="1" si="137"/>
        <v>-1044784398.4610989</v>
      </c>
      <c r="M1864" s="460">
        <f t="shared" si="139"/>
        <v>0.05</v>
      </c>
      <c r="N1864" s="464">
        <f t="shared" si="140"/>
        <v>107780</v>
      </c>
    </row>
    <row r="1865" spans="7:14" ht="11.25" customHeight="1" x14ac:dyDescent="0.25">
      <c r="G1865" s="459"/>
      <c r="H1865" s="459">
        <v>1858</v>
      </c>
      <c r="I1865" s="444">
        <f t="shared" ca="1" si="138"/>
        <v>-1044784398.4610989</v>
      </c>
      <c r="J1865" s="444">
        <f t="array" ref="J1865">IFERROR(INDEX('Retirement Calculator'!J:J,MATCH('Isaac 401k'!N1865,'Retirement Calculator'!A:A,0),0),0)</f>
        <v>0</v>
      </c>
      <c r="K1865" s="444">
        <f t="shared" ca="1" si="136"/>
        <v>-4353268.3269212451</v>
      </c>
      <c r="L1865" s="444">
        <f t="shared" ca="1" si="137"/>
        <v>-1049137666.7880201</v>
      </c>
      <c r="M1865" s="460">
        <f t="shared" si="139"/>
        <v>0.05</v>
      </c>
      <c r="N1865" s="464">
        <f t="shared" si="140"/>
        <v>107808</v>
      </c>
    </row>
    <row r="1866" spans="7:14" ht="11.25" customHeight="1" x14ac:dyDescent="0.25">
      <c r="G1866" s="459"/>
      <c r="H1866" s="459">
        <v>1859</v>
      </c>
      <c r="I1866" s="444">
        <f t="shared" ca="1" si="138"/>
        <v>-1049137666.7880201</v>
      </c>
      <c r="J1866" s="444">
        <f t="array" ref="J1866">IFERROR(INDEX('Retirement Calculator'!J:J,MATCH('Isaac 401k'!N1866,'Retirement Calculator'!A:A,0),0),0)</f>
        <v>0</v>
      </c>
      <c r="K1866" s="444">
        <f t="shared" ca="1" si="136"/>
        <v>-4371406.9449500842</v>
      </c>
      <c r="L1866" s="444">
        <f t="shared" ca="1" si="137"/>
        <v>-1053509073.7329702</v>
      </c>
      <c r="M1866" s="460">
        <f t="shared" si="139"/>
        <v>0.05</v>
      </c>
      <c r="N1866" s="464">
        <f t="shared" si="140"/>
        <v>107839</v>
      </c>
    </row>
    <row r="1867" spans="7:14" ht="11.25" customHeight="1" x14ac:dyDescent="0.25">
      <c r="G1867" s="459"/>
      <c r="H1867" s="459">
        <v>1860</v>
      </c>
      <c r="I1867" s="444">
        <f t="shared" ca="1" si="138"/>
        <v>-1053509073.7329702</v>
      </c>
      <c r="J1867" s="444">
        <f t="array" ref="J1867">IFERROR(INDEX('Retirement Calculator'!J:J,MATCH('Isaac 401k'!N1867,'Retirement Calculator'!A:A,0),0),0)</f>
        <v>0</v>
      </c>
      <c r="K1867" s="444">
        <f t="shared" ca="1" si="136"/>
        <v>-4389621.1405540425</v>
      </c>
      <c r="L1867" s="444">
        <f t="shared" ca="1" si="137"/>
        <v>-1057898694.8735243</v>
      </c>
      <c r="M1867" s="460">
        <f t="shared" si="139"/>
        <v>0.05</v>
      </c>
      <c r="N1867" s="464">
        <f t="shared" si="140"/>
        <v>107869</v>
      </c>
    </row>
    <row r="1868" spans="7:14" ht="11.25" customHeight="1" x14ac:dyDescent="0.25">
      <c r="G1868" s="459"/>
      <c r="H1868" s="459">
        <v>1861</v>
      </c>
      <c r="I1868" s="444">
        <f t="shared" ca="1" si="138"/>
        <v>-1057898694.8735243</v>
      </c>
      <c r="J1868" s="444">
        <f t="array" ref="J1868">IFERROR(INDEX('Retirement Calculator'!J:J,MATCH('Isaac 401k'!N1868,'Retirement Calculator'!A:A,0),0),0)</f>
        <v>0</v>
      </c>
      <c r="K1868" s="444">
        <f t="shared" ca="1" si="136"/>
        <v>-4407911.2286396846</v>
      </c>
      <c r="L1868" s="444">
        <f t="shared" ca="1" si="137"/>
        <v>-1062306606.102164</v>
      </c>
      <c r="M1868" s="460">
        <f t="shared" si="139"/>
        <v>0.05</v>
      </c>
      <c r="N1868" s="464">
        <f t="shared" si="140"/>
        <v>107900</v>
      </c>
    </row>
    <row r="1869" spans="7:14" ht="11.25" customHeight="1" x14ac:dyDescent="0.25">
      <c r="G1869" s="459"/>
      <c r="H1869" s="459">
        <v>1862</v>
      </c>
      <c r="I1869" s="444">
        <f t="shared" ca="1" si="138"/>
        <v>-1062306606.102164</v>
      </c>
      <c r="J1869" s="444">
        <f t="array" ref="J1869">IFERROR(INDEX('Retirement Calculator'!J:J,MATCH('Isaac 401k'!N1869,'Retirement Calculator'!A:A,0),0),0)</f>
        <v>0</v>
      </c>
      <c r="K1869" s="444">
        <f t="shared" ca="1" si="136"/>
        <v>-4426277.5254256837</v>
      </c>
      <c r="L1869" s="444">
        <f t="shared" ca="1" si="137"/>
        <v>-1066732883.6275897</v>
      </c>
      <c r="M1869" s="460">
        <f t="shared" si="139"/>
        <v>0.05</v>
      </c>
      <c r="N1869" s="464">
        <f t="shared" si="140"/>
        <v>107930</v>
      </c>
    </row>
    <row r="1870" spans="7:14" ht="11.25" customHeight="1" x14ac:dyDescent="0.25">
      <c r="G1870" s="459"/>
      <c r="H1870" s="459">
        <v>1863</v>
      </c>
      <c r="I1870" s="444">
        <f t="shared" ca="1" si="138"/>
        <v>-1066732883.6275897</v>
      </c>
      <c r="J1870" s="444">
        <f t="array" ref="J1870">IFERROR(INDEX('Retirement Calculator'!J:J,MATCH('Isaac 401k'!N1870,'Retirement Calculator'!A:A,0),0),0)</f>
        <v>0</v>
      </c>
      <c r="K1870" s="444">
        <f t="shared" ca="1" si="136"/>
        <v>-4444720.3484482905</v>
      </c>
      <c r="L1870" s="444">
        <f t="shared" ca="1" si="137"/>
        <v>-1071177603.976038</v>
      </c>
      <c r="M1870" s="460">
        <f t="shared" si="139"/>
        <v>0.05</v>
      </c>
      <c r="N1870" s="464">
        <f t="shared" si="140"/>
        <v>107961</v>
      </c>
    </row>
    <row r="1871" spans="7:14" ht="11.25" customHeight="1" x14ac:dyDescent="0.25">
      <c r="G1871" s="459"/>
      <c r="H1871" s="459">
        <v>1864</v>
      </c>
      <c r="I1871" s="444">
        <f t="shared" ca="1" si="138"/>
        <v>-1071177603.976038</v>
      </c>
      <c r="J1871" s="444">
        <f t="array" ref="J1871">IFERROR(INDEX('Retirement Calculator'!J:J,MATCH('Isaac 401k'!N1871,'Retirement Calculator'!A:A,0),0),0)</f>
        <v>0</v>
      </c>
      <c r="K1871" s="444">
        <f t="shared" ca="1" si="136"/>
        <v>-4463240.0165668251</v>
      </c>
      <c r="L1871" s="444">
        <f t="shared" ca="1" si="137"/>
        <v>-1075640843.9926047</v>
      </c>
      <c r="M1871" s="460">
        <f t="shared" si="139"/>
        <v>0.05</v>
      </c>
      <c r="N1871" s="464">
        <f t="shared" si="140"/>
        <v>107992</v>
      </c>
    </row>
    <row r="1872" spans="7:14" ht="11.25" customHeight="1" x14ac:dyDescent="0.25">
      <c r="G1872" s="459"/>
      <c r="H1872" s="459">
        <v>1865</v>
      </c>
      <c r="I1872" s="444">
        <f t="shared" ca="1" si="138"/>
        <v>-1075640843.9926047</v>
      </c>
      <c r="J1872" s="444">
        <f t="array" ref="J1872">IFERROR(INDEX('Retirement Calculator'!J:J,MATCH('Isaac 401k'!N1872,'Retirement Calculator'!A:A,0),0),0)</f>
        <v>0</v>
      </c>
      <c r="K1872" s="444">
        <f t="shared" ca="1" si="136"/>
        <v>-4481836.8499691859</v>
      </c>
      <c r="L1872" s="444">
        <f t="shared" ca="1" si="137"/>
        <v>-1080122680.8425739</v>
      </c>
      <c r="M1872" s="460">
        <f t="shared" si="139"/>
        <v>0.05</v>
      </c>
      <c r="N1872" s="464">
        <f t="shared" si="140"/>
        <v>108022</v>
      </c>
    </row>
    <row r="1873" spans="7:14" ht="11.25" customHeight="1" x14ac:dyDescent="0.25">
      <c r="G1873" s="459"/>
      <c r="H1873" s="459">
        <v>1866</v>
      </c>
      <c r="I1873" s="444">
        <f t="shared" ca="1" si="138"/>
        <v>-1080122680.8425739</v>
      </c>
      <c r="J1873" s="444">
        <f t="array" ref="J1873">IFERROR(INDEX('Retirement Calculator'!J:J,MATCH('Isaac 401k'!N1873,'Retirement Calculator'!A:A,0),0),0)</f>
        <v>0</v>
      </c>
      <c r="K1873" s="444">
        <f t="shared" ca="1" si="136"/>
        <v>-4500511.1701773908</v>
      </c>
      <c r="L1873" s="444">
        <f t="shared" ca="1" si="137"/>
        <v>-1084623192.0127513</v>
      </c>
      <c r="M1873" s="460">
        <f t="shared" si="139"/>
        <v>0.05</v>
      </c>
      <c r="N1873" s="464">
        <f t="shared" si="140"/>
        <v>108053</v>
      </c>
    </row>
    <row r="1874" spans="7:14" ht="11.25" customHeight="1" x14ac:dyDescent="0.25">
      <c r="G1874" s="459"/>
      <c r="H1874" s="459">
        <v>1867</v>
      </c>
      <c r="I1874" s="444">
        <f t="shared" ca="1" si="138"/>
        <v>-1084623192.0127513</v>
      </c>
      <c r="J1874" s="444">
        <f t="array" ref="J1874">IFERROR(INDEX('Retirement Calculator'!J:J,MATCH('Isaac 401k'!N1874,'Retirement Calculator'!A:A,0),0),0)</f>
        <v>0</v>
      </c>
      <c r="K1874" s="444">
        <f t="shared" ca="1" si="136"/>
        <v>-4519263.3000531308</v>
      </c>
      <c r="L1874" s="444">
        <f t="shared" ca="1" si="137"/>
        <v>-1089142455.3128045</v>
      </c>
      <c r="M1874" s="460">
        <f t="shared" si="139"/>
        <v>0.05</v>
      </c>
      <c r="N1874" s="464">
        <f t="shared" si="140"/>
        <v>108083</v>
      </c>
    </row>
    <row r="1875" spans="7:14" ht="11.25" customHeight="1" x14ac:dyDescent="0.25">
      <c r="G1875" s="459"/>
      <c r="H1875" s="459">
        <v>1868</v>
      </c>
      <c r="I1875" s="444">
        <f t="shared" ca="1" si="138"/>
        <v>-1089142455.3128045</v>
      </c>
      <c r="J1875" s="444">
        <f t="array" ref="J1875">IFERROR(INDEX('Retirement Calculator'!J:J,MATCH('Isaac 401k'!N1875,'Retirement Calculator'!A:A,0),0),0)</f>
        <v>0</v>
      </c>
      <c r="K1875" s="444">
        <f t="shared" ca="1" si="136"/>
        <v>-4538093.5638033515</v>
      </c>
      <c r="L1875" s="444">
        <f t="shared" ca="1" si="137"/>
        <v>-1093680548.8766079</v>
      </c>
      <c r="M1875" s="460">
        <f t="shared" si="139"/>
        <v>0.05</v>
      </c>
      <c r="N1875" s="464">
        <f t="shared" si="140"/>
        <v>108114</v>
      </c>
    </row>
    <row r="1876" spans="7:14" ht="11.25" customHeight="1" x14ac:dyDescent="0.25">
      <c r="G1876" s="459"/>
      <c r="H1876" s="459">
        <v>1869</v>
      </c>
      <c r="I1876" s="444">
        <f t="shared" ca="1" si="138"/>
        <v>-1093680548.8766079</v>
      </c>
      <c r="J1876" s="444">
        <f t="array" ref="J1876">IFERROR(INDEX('Retirement Calculator'!J:J,MATCH('Isaac 401k'!N1876,'Retirement Calculator'!A:A,0),0),0)</f>
        <v>0</v>
      </c>
      <c r="K1876" s="444">
        <f t="shared" ca="1" si="136"/>
        <v>-4557002.2869858658</v>
      </c>
      <c r="L1876" s="444">
        <f t="shared" ca="1" si="137"/>
        <v>-1098237551.1635938</v>
      </c>
      <c r="M1876" s="460">
        <f t="shared" si="139"/>
        <v>0.05</v>
      </c>
      <c r="N1876" s="464">
        <f t="shared" si="140"/>
        <v>108145</v>
      </c>
    </row>
    <row r="1877" spans="7:14" ht="11.25" customHeight="1" x14ac:dyDescent="0.25">
      <c r="G1877" s="459"/>
      <c r="H1877" s="459">
        <v>1870</v>
      </c>
      <c r="I1877" s="444">
        <f t="shared" ca="1" si="138"/>
        <v>-1098237551.1635938</v>
      </c>
      <c r="J1877" s="444">
        <f t="array" ref="J1877">IFERROR(INDEX('Retirement Calculator'!J:J,MATCH('Isaac 401k'!N1877,'Retirement Calculator'!A:A,0),0),0)</f>
        <v>0</v>
      </c>
      <c r="K1877" s="444">
        <f t="shared" ca="1" si="136"/>
        <v>-4575989.796514974</v>
      </c>
      <c r="L1877" s="444">
        <f t="shared" ca="1" si="137"/>
        <v>-1102813540.9601088</v>
      </c>
      <c r="M1877" s="460">
        <f t="shared" si="139"/>
        <v>0.05</v>
      </c>
      <c r="N1877" s="464">
        <f t="shared" si="140"/>
        <v>108174</v>
      </c>
    </row>
    <row r="1878" spans="7:14" ht="11.25" customHeight="1" x14ac:dyDescent="0.25">
      <c r="G1878" s="459"/>
      <c r="H1878" s="459">
        <v>1871</v>
      </c>
      <c r="I1878" s="444">
        <f t="shared" ca="1" si="138"/>
        <v>-1102813540.9601088</v>
      </c>
      <c r="J1878" s="444">
        <f t="array" ref="J1878">IFERROR(INDEX('Retirement Calculator'!J:J,MATCH('Isaac 401k'!N1878,'Retirement Calculator'!A:A,0),0),0)</f>
        <v>0</v>
      </c>
      <c r="K1878" s="444">
        <f t="shared" ca="1" si="136"/>
        <v>-4595056.4206671193</v>
      </c>
      <c r="L1878" s="444">
        <f t="shared" ca="1" si="137"/>
        <v>-1107408597.3807759</v>
      </c>
      <c r="M1878" s="460">
        <f t="shared" si="139"/>
        <v>0.05</v>
      </c>
      <c r="N1878" s="464">
        <f t="shared" si="140"/>
        <v>108205</v>
      </c>
    </row>
    <row r="1879" spans="7:14" ht="11.25" customHeight="1" x14ac:dyDescent="0.25">
      <c r="G1879" s="459"/>
      <c r="H1879" s="459">
        <v>1872</v>
      </c>
      <c r="I1879" s="444">
        <f t="shared" ca="1" si="138"/>
        <v>-1107408597.3807759</v>
      </c>
      <c r="J1879" s="444">
        <f t="array" ref="J1879">IFERROR(INDEX('Retirement Calculator'!J:J,MATCH('Isaac 401k'!N1879,'Retirement Calculator'!A:A,0),0),0)</f>
        <v>0</v>
      </c>
      <c r="K1879" s="444">
        <f t="shared" ca="1" si="136"/>
        <v>-4614202.4890865665</v>
      </c>
      <c r="L1879" s="444">
        <f t="shared" ca="1" si="137"/>
        <v>-1112022799.8698626</v>
      </c>
      <c r="M1879" s="460">
        <f t="shared" si="139"/>
        <v>0.05</v>
      </c>
      <c r="N1879" s="464">
        <f t="shared" si="140"/>
        <v>108235</v>
      </c>
    </row>
    <row r="1880" spans="7:14" ht="11.25" customHeight="1" x14ac:dyDescent="0.25">
      <c r="G1880" s="459"/>
      <c r="H1880" s="459">
        <v>1873</v>
      </c>
      <c r="I1880" s="444">
        <f t="shared" ca="1" si="138"/>
        <v>-1112022799.8698626</v>
      </c>
      <c r="J1880" s="444">
        <f t="array" ref="J1880">IFERROR(INDEX('Retirement Calculator'!J:J,MATCH('Isaac 401k'!N1880,'Retirement Calculator'!A:A,0),0),0)</f>
        <v>0</v>
      </c>
      <c r="K1880" s="444">
        <f t="shared" ca="1" si="136"/>
        <v>-4633428.3327910937</v>
      </c>
      <c r="L1880" s="444">
        <f t="shared" ca="1" si="137"/>
        <v>-1116656228.2026536</v>
      </c>
      <c r="M1880" s="460">
        <f t="shared" si="139"/>
        <v>0.05</v>
      </c>
      <c r="N1880" s="464">
        <f t="shared" si="140"/>
        <v>108266</v>
      </c>
    </row>
    <row r="1881" spans="7:14" ht="11.25" customHeight="1" x14ac:dyDescent="0.25">
      <c r="G1881" s="459"/>
      <c r="H1881" s="459">
        <v>1874</v>
      </c>
      <c r="I1881" s="444">
        <f t="shared" ca="1" si="138"/>
        <v>-1116656228.2026536</v>
      </c>
      <c r="J1881" s="444">
        <f t="array" ref="J1881">IFERROR(INDEX('Retirement Calculator'!J:J,MATCH('Isaac 401k'!N1881,'Retirement Calculator'!A:A,0),0),0)</f>
        <v>0</v>
      </c>
      <c r="K1881" s="444">
        <f t="shared" ca="1" si="136"/>
        <v>-4652734.2841777233</v>
      </c>
      <c r="L1881" s="444">
        <f t="shared" ca="1" si="137"/>
        <v>-1121308962.4868314</v>
      </c>
      <c r="M1881" s="460">
        <f t="shared" si="139"/>
        <v>0.05</v>
      </c>
      <c r="N1881" s="464">
        <f t="shared" si="140"/>
        <v>108296</v>
      </c>
    </row>
    <row r="1882" spans="7:14" ht="11.25" customHeight="1" x14ac:dyDescent="0.25">
      <c r="G1882" s="459"/>
      <c r="H1882" s="459">
        <v>1875</v>
      </c>
      <c r="I1882" s="444">
        <f t="shared" ca="1" si="138"/>
        <v>-1121308962.4868314</v>
      </c>
      <c r="J1882" s="444">
        <f t="array" ref="J1882">IFERROR(INDEX('Retirement Calculator'!J:J,MATCH('Isaac 401k'!N1882,'Retirement Calculator'!A:A,0),0),0)</f>
        <v>0</v>
      </c>
      <c r="K1882" s="444">
        <f t="shared" ca="1" si="136"/>
        <v>-4672120.6770284642</v>
      </c>
      <c r="L1882" s="444">
        <f t="shared" ca="1" si="137"/>
        <v>-1125981083.1638598</v>
      </c>
      <c r="M1882" s="460">
        <f t="shared" si="139"/>
        <v>0.05</v>
      </c>
      <c r="N1882" s="464">
        <f t="shared" si="140"/>
        <v>108327</v>
      </c>
    </row>
    <row r="1883" spans="7:14" ht="11.25" customHeight="1" x14ac:dyDescent="0.25">
      <c r="G1883" s="459"/>
      <c r="H1883" s="459">
        <v>1876</v>
      </c>
      <c r="I1883" s="444">
        <f t="shared" ca="1" si="138"/>
        <v>-1125981083.1638598</v>
      </c>
      <c r="J1883" s="444">
        <f t="array" ref="J1883">IFERROR(INDEX('Retirement Calculator'!J:J,MATCH('Isaac 401k'!N1883,'Retirement Calculator'!A:A,0),0),0)</f>
        <v>0</v>
      </c>
      <c r="K1883" s="444">
        <f t="shared" ca="1" si="136"/>
        <v>-4691587.846516083</v>
      </c>
      <c r="L1883" s="444">
        <f t="shared" ca="1" si="137"/>
        <v>-1130672671.010376</v>
      </c>
      <c r="M1883" s="460">
        <f t="shared" si="139"/>
        <v>0.05</v>
      </c>
      <c r="N1883" s="464">
        <f t="shared" si="140"/>
        <v>108358</v>
      </c>
    </row>
    <row r="1884" spans="7:14" ht="11.25" customHeight="1" x14ac:dyDescent="0.25">
      <c r="G1884" s="459"/>
      <c r="H1884" s="459">
        <v>1877</v>
      </c>
      <c r="I1884" s="444">
        <f t="shared" ca="1" si="138"/>
        <v>-1130672671.010376</v>
      </c>
      <c r="J1884" s="444">
        <f t="array" ref="J1884">IFERROR(INDEX('Retirement Calculator'!J:J,MATCH('Isaac 401k'!N1884,'Retirement Calculator'!A:A,0),0),0)</f>
        <v>0</v>
      </c>
      <c r="K1884" s="444">
        <f t="shared" ca="1" si="136"/>
        <v>-4711136.1292099003</v>
      </c>
      <c r="L1884" s="444">
        <f t="shared" ca="1" si="137"/>
        <v>-1135383807.139586</v>
      </c>
      <c r="M1884" s="460">
        <f t="shared" si="139"/>
        <v>0.05</v>
      </c>
      <c r="N1884" s="464">
        <f t="shared" si="140"/>
        <v>108388</v>
      </c>
    </row>
    <row r="1885" spans="7:14" ht="11.25" customHeight="1" x14ac:dyDescent="0.25">
      <c r="G1885" s="459"/>
      <c r="H1885" s="459">
        <v>1878</v>
      </c>
      <c r="I1885" s="444">
        <f t="shared" ca="1" si="138"/>
        <v>-1135383807.139586</v>
      </c>
      <c r="J1885" s="444">
        <f t="array" ref="J1885">IFERROR(INDEX('Retirement Calculator'!J:J,MATCH('Isaac 401k'!N1885,'Retirement Calculator'!A:A,0),0),0)</f>
        <v>0</v>
      </c>
      <c r="K1885" s="444">
        <f t="shared" ca="1" si="136"/>
        <v>-4730765.863081608</v>
      </c>
      <c r="L1885" s="444">
        <f t="shared" ca="1" si="137"/>
        <v>-1140114573.0026677</v>
      </c>
      <c r="M1885" s="460">
        <f t="shared" si="139"/>
        <v>0.05</v>
      </c>
      <c r="N1885" s="464">
        <f t="shared" si="140"/>
        <v>108419</v>
      </c>
    </row>
    <row r="1886" spans="7:14" ht="11.25" customHeight="1" x14ac:dyDescent="0.25">
      <c r="G1886" s="459"/>
      <c r="H1886" s="459">
        <v>1879</v>
      </c>
      <c r="I1886" s="444">
        <f t="shared" ca="1" si="138"/>
        <v>-1140114573.0026677</v>
      </c>
      <c r="J1886" s="444">
        <f t="array" ref="J1886">IFERROR(INDEX('Retirement Calculator'!J:J,MATCH('Isaac 401k'!N1886,'Retirement Calculator'!A:A,0),0),0)</f>
        <v>0</v>
      </c>
      <c r="K1886" s="444">
        <f t="shared" ca="1" si="136"/>
        <v>-4750477.3875111155</v>
      </c>
      <c r="L1886" s="444">
        <f t="shared" ca="1" si="137"/>
        <v>-1144865050.3901787</v>
      </c>
      <c r="M1886" s="460">
        <f t="shared" si="139"/>
        <v>0.05</v>
      </c>
      <c r="N1886" s="464">
        <f t="shared" si="140"/>
        <v>108449</v>
      </c>
    </row>
    <row r="1887" spans="7:14" ht="11.25" customHeight="1" x14ac:dyDescent="0.25">
      <c r="G1887" s="459"/>
      <c r="H1887" s="459">
        <v>1880</v>
      </c>
      <c r="I1887" s="444">
        <f t="shared" ca="1" si="138"/>
        <v>-1144865050.3901787</v>
      </c>
      <c r="J1887" s="444">
        <f t="array" ref="J1887">IFERROR(INDEX('Retirement Calculator'!J:J,MATCH('Isaac 401k'!N1887,'Retirement Calculator'!A:A,0),0),0)</f>
        <v>0</v>
      </c>
      <c r="K1887" s="444">
        <f t="shared" ca="1" si="136"/>
        <v>-4770271.0432924107</v>
      </c>
      <c r="L1887" s="444">
        <f t="shared" ca="1" si="137"/>
        <v>-1149635321.4334712</v>
      </c>
      <c r="M1887" s="460">
        <f t="shared" si="139"/>
        <v>0.05</v>
      </c>
      <c r="N1887" s="464">
        <f t="shared" si="140"/>
        <v>108480</v>
      </c>
    </row>
    <row r="1888" spans="7:14" ht="11.25" customHeight="1" x14ac:dyDescent="0.25">
      <c r="G1888" s="459"/>
      <c r="H1888" s="459">
        <v>1881</v>
      </c>
      <c r="I1888" s="444">
        <f t="shared" ca="1" si="138"/>
        <v>-1149635321.4334712</v>
      </c>
      <c r="J1888" s="444">
        <f t="array" ref="J1888">IFERROR(INDEX('Retirement Calculator'!J:J,MATCH('Isaac 401k'!N1888,'Retirement Calculator'!A:A,0),0),0)</f>
        <v>0</v>
      </c>
      <c r="K1888" s="444">
        <f t="shared" ca="1" si="136"/>
        <v>-4790147.1726394631</v>
      </c>
      <c r="L1888" s="444">
        <f t="shared" ca="1" si="137"/>
        <v>-1154425468.6061106</v>
      </c>
      <c r="M1888" s="460">
        <f t="shared" si="139"/>
        <v>0.05</v>
      </c>
      <c r="N1888" s="464">
        <f t="shared" si="140"/>
        <v>108511</v>
      </c>
    </row>
    <row r="1889" spans="7:14" ht="11.25" customHeight="1" x14ac:dyDescent="0.25">
      <c r="G1889" s="459"/>
      <c r="H1889" s="459">
        <v>1882</v>
      </c>
      <c r="I1889" s="444">
        <f t="shared" ca="1" si="138"/>
        <v>-1154425468.6061106</v>
      </c>
      <c r="J1889" s="444">
        <f t="array" ref="J1889">IFERROR(INDEX('Retirement Calculator'!J:J,MATCH('Isaac 401k'!N1889,'Retirement Calculator'!A:A,0),0),0)</f>
        <v>0</v>
      </c>
      <c r="K1889" s="444">
        <f t="shared" ca="1" si="136"/>
        <v>-4810106.1191921271</v>
      </c>
      <c r="L1889" s="444">
        <f t="shared" ca="1" si="137"/>
        <v>-1159235574.7253027</v>
      </c>
      <c r="M1889" s="460">
        <f t="shared" si="139"/>
        <v>0.05</v>
      </c>
      <c r="N1889" s="464">
        <f t="shared" si="140"/>
        <v>108539</v>
      </c>
    </row>
    <row r="1890" spans="7:14" ht="11.25" customHeight="1" x14ac:dyDescent="0.25">
      <c r="G1890" s="459"/>
      <c r="H1890" s="459">
        <v>1883</v>
      </c>
      <c r="I1890" s="444">
        <f t="shared" ca="1" si="138"/>
        <v>-1159235574.7253027</v>
      </c>
      <c r="J1890" s="444">
        <f t="array" ref="J1890">IFERROR(INDEX('Retirement Calculator'!J:J,MATCH('Isaac 401k'!N1890,'Retirement Calculator'!A:A,0),0),0)</f>
        <v>0</v>
      </c>
      <c r="K1890" s="444">
        <f t="shared" ca="1" si="136"/>
        <v>-4830148.2280220948</v>
      </c>
      <c r="L1890" s="444">
        <f t="shared" ca="1" si="137"/>
        <v>-1164065722.9533248</v>
      </c>
      <c r="M1890" s="460">
        <f t="shared" si="139"/>
        <v>0.05</v>
      </c>
      <c r="N1890" s="464">
        <f t="shared" si="140"/>
        <v>108570</v>
      </c>
    </row>
    <row r="1891" spans="7:14" ht="11.25" customHeight="1" x14ac:dyDescent="0.25">
      <c r="G1891" s="459"/>
      <c r="H1891" s="459">
        <v>1884</v>
      </c>
      <c r="I1891" s="444">
        <f t="shared" ca="1" si="138"/>
        <v>-1164065722.9533248</v>
      </c>
      <c r="J1891" s="444">
        <f t="array" ref="J1891">IFERROR(INDEX('Retirement Calculator'!J:J,MATCH('Isaac 401k'!N1891,'Retirement Calculator'!A:A,0),0),0)</f>
        <v>0</v>
      </c>
      <c r="K1891" s="444">
        <f t="shared" ca="1" si="136"/>
        <v>-4850273.8456388535</v>
      </c>
      <c r="L1891" s="444">
        <f t="shared" ca="1" si="137"/>
        <v>-1168915996.7989635</v>
      </c>
      <c r="M1891" s="460">
        <f t="shared" si="139"/>
        <v>0.05</v>
      </c>
      <c r="N1891" s="464">
        <f t="shared" si="140"/>
        <v>108600</v>
      </c>
    </row>
    <row r="1892" spans="7:14" ht="11.25" customHeight="1" x14ac:dyDescent="0.25">
      <c r="G1892" s="459"/>
      <c r="H1892" s="459">
        <v>1885</v>
      </c>
      <c r="I1892" s="444">
        <f t="shared" ca="1" si="138"/>
        <v>-1168915996.7989635</v>
      </c>
      <c r="J1892" s="444">
        <f t="array" ref="J1892">IFERROR(INDEX('Retirement Calculator'!J:J,MATCH('Isaac 401k'!N1892,'Retirement Calculator'!A:A,0),0),0)</f>
        <v>0</v>
      </c>
      <c r="K1892" s="444">
        <f t="shared" ca="1" si="136"/>
        <v>-4870483.3199956818</v>
      </c>
      <c r="L1892" s="444">
        <f t="shared" ca="1" si="137"/>
        <v>-1173786480.1189592</v>
      </c>
      <c r="M1892" s="460">
        <f t="shared" si="139"/>
        <v>0.05</v>
      </c>
      <c r="N1892" s="464">
        <f t="shared" si="140"/>
        <v>108631</v>
      </c>
    </row>
    <row r="1893" spans="7:14" ht="11.25" customHeight="1" x14ac:dyDescent="0.25">
      <c r="G1893" s="459"/>
      <c r="H1893" s="459">
        <v>1886</v>
      </c>
      <c r="I1893" s="444">
        <f t="shared" ca="1" si="138"/>
        <v>-1173786480.1189592</v>
      </c>
      <c r="J1893" s="444">
        <f t="array" ref="J1893">IFERROR(INDEX('Retirement Calculator'!J:J,MATCH('Isaac 401k'!N1893,'Retirement Calculator'!A:A,0),0),0)</f>
        <v>0</v>
      </c>
      <c r="K1893" s="444">
        <f t="shared" ca="1" si="136"/>
        <v>-4890777.0004956629</v>
      </c>
      <c r="L1893" s="444">
        <f t="shared" ca="1" si="137"/>
        <v>-1178677257.1194549</v>
      </c>
      <c r="M1893" s="460">
        <f t="shared" si="139"/>
        <v>0.05</v>
      </c>
      <c r="N1893" s="464">
        <f t="shared" si="140"/>
        <v>108661</v>
      </c>
    </row>
    <row r="1894" spans="7:14" ht="11.25" customHeight="1" x14ac:dyDescent="0.25">
      <c r="G1894" s="459"/>
      <c r="H1894" s="459">
        <v>1887</v>
      </c>
      <c r="I1894" s="444">
        <f t="shared" ca="1" si="138"/>
        <v>-1178677257.1194549</v>
      </c>
      <c r="J1894" s="444">
        <f t="array" ref="J1894">IFERROR(INDEX('Retirement Calculator'!J:J,MATCH('Isaac 401k'!N1894,'Retirement Calculator'!A:A,0),0),0)</f>
        <v>0</v>
      </c>
      <c r="K1894" s="444">
        <f t="shared" ca="1" si="136"/>
        <v>-4911155.2379977284</v>
      </c>
      <c r="L1894" s="444">
        <f t="shared" ca="1" si="137"/>
        <v>-1183588412.3574526</v>
      </c>
      <c r="M1894" s="460">
        <f t="shared" si="139"/>
        <v>0.05</v>
      </c>
      <c r="N1894" s="464">
        <f t="shared" si="140"/>
        <v>108692</v>
      </c>
    </row>
    <row r="1895" spans="7:14" ht="11.25" customHeight="1" x14ac:dyDescent="0.25">
      <c r="G1895" s="459"/>
      <c r="H1895" s="459">
        <v>1888</v>
      </c>
      <c r="I1895" s="444">
        <f t="shared" ca="1" si="138"/>
        <v>-1183588412.3574526</v>
      </c>
      <c r="J1895" s="444">
        <f t="array" ref="J1895">IFERROR(INDEX('Retirement Calculator'!J:J,MATCH('Isaac 401k'!N1895,'Retirement Calculator'!A:A,0),0),0)</f>
        <v>0</v>
      </c>
      <c r="K1895" s="444">
        <f t="shared" ca="1" si="136"/>
        <v>-4931618.3848227188</v>
      </c>
      <c r="L1895" s="444">
        <f t="shared" ca="1" si="137"/>
        <v>-1188520030.7422752</v>
      </c>
      <c r="M1895" s="460">
        <f t="shared" si="139"/>
        <v>0.05</v>
      </c>
      <c r="N1895" s="464">
        <f t="shared" si="140"/>
        <v>108723</v>
      </c>
    </row>
    <row r="1896" spans="7:14" ht="11.25" customHeight="1" x14ac:dyDescent="0.25">
      <c r="G1896" s="459"/>
      <c r="H1896" s="459">
        <v>1889</v>
      </c>
      <c r="I1896" s="444">
        <f t="shared" ca="1" si="138"/>
        <v>-1188520030.7422752</v>
      </c>
      <c r="J1896" s="444">
        <f t="array" ref="J1896">IFERROR(INDEX('Retirement Calculator'!J:J,MATCH('Isaac 401k'!N1896,'Retirement Calculator'!A:A,0),0),0)</f>
        <v>0</v>
      </c>
      <c r="K1896" s="444">
        <f t="shared" ca="1" si="136"/>
        <v>-4952166.7947594803</v>
      </c>
      <c r="L1896" s="444">
        <f t="shared" ca="1" si="137"/>
        <v>-1193472197.5370347</v>
      </c>
      <c r="M1896" s="460">
        <f t="shared" si="139"/>
        <v>0.05</v>
      </c>
      <c r="N1896" s="464">
        <f t="shared" si="140"/>
        <v>108753</v>
      </c>
    </row>
    <row r="1897" spans="7:14" ht="11.25" customHeight="1" x14ac:dyDescent="0.25">
      <c r="G1897" s="459"/>
      <c r="H1897" s="459">
        <v>1890</v>
      </c>
      <c r="I1897" s="444">
        <f t="shared" ca="1" si="138"/>
        <v>-1193472197.5370347</v>
      </c>
      <c r="J1897" s="444">
        <f t="array" ref="J1897">IFERROR(INDEX('Retirement Calculator'!J:J,MATCH('Isaac 401k'!N1897,'Retirement Calculator'!A:A,0),0),0)</f>
        <v>0</v>
      </c>
      <c r="K1897" s="444">
        <f t="shared" ca="1" si="136"/>
        <v>-4972800.8230709778</v>
      </c>
      <c r="L1897" s="444">
        <f t="shared" ca="1" si="137"/>
        <v>-1198444998.3601058</v>
      </c>
      <c r="M1897" s="460">
        <f t="shared" si="139"/>
        <v>0.05</v>
      </c>
      <c r="N1897" s="464">
        <f t="shared" si="140"/>
        <v>108784</v>
      </c>
    </row>
    <row r="1898" spans="7:14" ht="11.25" customHeight="1" x14ac:dyDescent="0.25">
      <c r="G1898" s="459"/>
      <c r="H1898" s="459">
        <v>1891</v>
      </c>
      <c r="I1898" s="444">
        <f t="shared" ca="1" si="138"/>
        <v>-1198444998.3601058</v>
      </c>
      <c r="J1898" s="444">
        <f t="array" ref="J1898">IFERROR(INDEX('Retirement Calculator'!J:J,MATCH('Isaac 401k'!N1898,'Retirement Calculator'!A:A,0),0),0)</f>
        <v>0</v>
      </c>
      <c r="K1898" s="444">
        <f t="shared" ca="1" si="136"/>
        <v>-4993520.8265004409</v>
      </c>
      <c r="L1898" s="444">
        <f t="shared" ca="1" si="137"/>
        <v>-1203438519.1866062</v>
      </c>
      <c r="M1898" s="460">
        <f t="shared" si="139"/>
        <v>0.05</v>
      </c>
      <c r="N1898" s="464">
        <f t="shared" si="140"/>
        <v>108814</v>
      </c>
    </row>
    <row r="1899" spans="7:14" ht="11.25" customHeight="1" x14ac:dyDescent="0.25">
      <c r="G1899" s="459"/>
      <c r="H1899" s="459">
        <v>1892</v>
      </c>
      <c r="I1899" s="444">
        <f t="shared" ca="1" si="138"/>
        <v>-1203438519.1866062</v>
      </c>
      <c r="J1899" s="444">
        <f t="array" ref="J1899">IFERROR(INDEX('Retirement Calculator'!J:J,MATCH('Isaac 401k'!N1899,'Retirement Calculator'!A:A,0),0),0)</f>
        <v>0</v>
      </c>
      <c r="K1899" s="444">
        <f t="shared" ca="1" si="136"/>
        <v>-5014327.1632775255</v>
      </c>
      <c r="L1899" s="444">
        <f t="shared" ca="1" si="137"/>
        <v>-1208452846.3498838</v>
      </c>
      <c r="M1899" s="460">
        <f t="shared" si="139"/>
        <v>0.05</v>
      </c>
      <c r="N1899" s="464">
        <f t="shared" si="140"/>
        <v>108845</v>
      </c>
    </row>
    <row r="1900" spans="7:14" ht="11.25" customHeight="1" x14ac:dyDescent="0.25">
      <c r="G1900" s="459"/>
      <c r="H1900" s="459">
        <v>1893</v>
      </c>
      <c r="I1900" s="444">
        <f t="shared" ca="1" si="138"/>
        <v>-1208452846.3498838</v>
      </c>
      <c r="J1900" s="444">
        <f t="array" ref="J1900">IFERROR(INDEX('Retirement Calculator'!J:J,MATCH('Isaac 401k'!N1900,'Retirement Calculator'!A:A,0),0),0)</f>
        <v>0</v>
      </c>
      <c r="K1900" s="444">
        <f t="shared" ca="1" si="136"/>
        <v>-5035220.1931245159</v>
      </c>
      <c r="L1900" s="444">
        <f t="shared" ca="1" si="137"/>
        <v>-1213488066.5430083</v>
      </c>
      <c r="M1900" s="460">
        <f t="shared" si="139"/>
        <v>0.05</v>
      </c>
      <c r="N1900" s="464">
        <f t="shared" si="140"/>
        <v>108876</v>
      </c>
    </row>
    <row r="1901" spans="7:14" ht="11.25" customHeight="1" x14ac:dyDescent="0.25">
      <c r="G1901" s="459"/>
      <c r="H1901" s="459">
        <v>1894</v>
      </c>
      <c r="I1901" s="444">
        <f t="shared" ca="1" si="138"/>
        <v>-1213488066.5430083</v>
      </c>
      <c r="J1901" s="444">
        <f t="array" ref="J1901">IFERROR(INDEX('Retirement Calculator'!J:J,MATCH('Isaac 401k'!N1901,'Retirement Calculator'!A:A,0),0),0)</f>
        <v>0</v>
      </c>
      <c r="K1901" s="444">
        <f t="shared" ca="1" si="136"/>
        <v>-5056200.2772625349</v>
      </c>
      <c r="L1901" s="444">
        <f t="shared" ca="1" si="137"/>
        <v>-1218544266.8202708</v>
      </c>
      <c r="M1901" s="460">
        <f t="shared" si="139"/>
        <v>0.05</v>
      </c>
      <c r="N1901" s="464">
        <f t="shared" si="140"/>
        <v>108904</v>
      </c>
    </row>
    <row r="1902" spans="7:14" ht="11.25" customHeight="1" x14ac:dyDescent="0.25">
      <c r="G1902" s="459"/>
      <c r="H1902" s="459">
        <v>1895</v>
      </c>
      <c r="I1902" s="444">
        <f t="shared" ca="1" si="138"/>
        <v>-1218544266.8202708</v>
      </c>
      <c r="J1902" s="444">
        <f t="array" ref="J1902">IFERROR(INDEX('Retirement Calculator'!J:J,MATCH('Isaac 401k'!N1902,'Retirement Calculator'!A:A,0),0),0)</f>
        <v>0</v>
      </c>
      <c r="K1902" s="444">
        <f t="shared" ca="1" si="136"/>
        <v>-5077267.778417795</v>
      </c>
      <c r="L1902" s="444">
        <f t="shared" ca="1" si="137"/>
        <v>-1223621534.5986886</v>
      </c>
      <c r="M1902" s="460">
        <f t="shared" si="139"/>
        <v>0.05</v>
      </c>
      <c r="N1902" s="464">
        <f t="shared" si="140"/>
        <v>108935</v>
      </c>
    </row>
    <row r="1903" spans="7:14" ht="11.25" customHeight="1" x14ac:dyDescent="0.25">
      <c r="G1903" s="459"/>
      <c r="H1903" s="459">
        <v>1896</v>
      </c>
      <c r="I1903" s="444">
        <f t="shared" ca="1" si="138"/>
        <v>-1223621534.5986886</v>
      </c>
      <c r="J1903" s="444">
        <f t="array" ref="J1903">IFERROR(INDEX('Retirement Calculator'!J:J,MATCH('Isaac 401k'!N1903,'Retirement Calculator'!A:A,0),0),0)</f>
        <v>0</v>
      </c>
      <c r="K1903" s="444">
        <f t="shared" ca="1" si="136"/>
        <v>-5098423.060827869</v>
      </c>
      <c r="L1903" s="444">
        <f t="shared" ca="1" si="137"/>
        <v>-1228719957.6595166</v>
      </c>
      <c r="M1903" s="460">
        <f t="shared" si="139"/>
        <v>0.05</v>
      </c>
      <c r="N1903" s="464">
        <f t="shared" si="140"/>
        <v>108965</v>
      </c>
    </row>
    <row r="1904" spans="7:14" ht="11.25" customHeight="1" x14ac:dyDescent="0.25">
      <c r="G1904" s="459"/>
      <c r="H1904" s="459">
        <v>1897</v>
      </c>
      <c r="I1904" s="444">
        <f t="shared" ca="1" si="138"/>
        <v>-1228719957.6595166</v>
      </c>
      <c r="J1904" s="444">
        <f t="array" ref="J1904">IFERROR(INDEX('Retirement Calculator'!J:J,MATCH('Isaac 401k'!N1904,'Retirement Calculator'!A:A,0),0),0)</f>
        <v>0</v>
      </c>
      <c r="K1904" s="444">
        <f t="shared" ca="1" si="136"/>
        <v>-5119666.4902479853</v>
      </c>
      <c r="L1904" s="444">
        <f t="shared" ca="1" si="137"/>
        <v>-1233839624.1497645</v>
      </c>
      <c r="M1904" s="460">
        <f t="shared" si="139"/>
        <v>0.05</v>
      </c>
      <c r="N1904" s="464">
        <f t="shared" si="140"/>
        <v>108996</v>
      </c>
    </row>
    <row r="1905" spans="7:14" ht="11.25" customHeight="1" x14ac:dyDescent="0.25">
      <c r="G1905" s="459"/>
      <c r="H1905" s="459">
        <v>1898</v>
      </c>
      <c r="I1905" s="444">
        <f t="shared" ca="1" si="138"/>
        <v>-1233839624.1497645</v>
      </c>
      <c r="J1905" s="444">
        <f t="array" ref="J1905">IFERROR(INDEX('Retirement Calculator'!J:J,MATCH('Isaac 401k'!N1905,'Retirement Calculator'!A:A,0),0),0)</f>
        <v>0</v>
      </c>
      <c r="K1905" s="444">
        <f t="shared" ca="1" si="136"/>
        <v>-5140998.4339573523</v>
      </c>
      <c r="L1905" s="444">
        <f t="shared" ca="1" si="137"/>
        <v>-1238980622.5837219</v>
      </c>
      <c r="M1905" s="460">
        <f t="shared" si="139"/>
        <v>0.05</v>
      </c>
      <c r="N1905" s="464">
        <f t="shared" si="140"/>
        <v>109026</v>
      </c>
    </row>
    <row r="1906" spans="7:14" ht="11.25" customHeight="1" x14ac:dyDescent="0.25">
      <c r="G1906" s="459"/>
      <c r="H1906" s="459">
        <v>1899</v>
      </c>
      <c r="I1906" s="444">
        <f t="shared" ca="1" si="138"/>
        <v>-1238980622.5837219</v>
      </c>
      <c r="J1906" s="444">
        <f t="array" ref="J1906">IFERROR(INDEX('Retirement Calculator'!J:J,MATCH('Isaac 401k'!N1906,'Retirement Calculator'!A:A,0),0),0)</f>
        <v>0</v>
      </c>
      <c r="K1906" s="444">
        <f t="shared" ca="1" si="136"/>
        <v>-5162419.2607655078</v>
      </c>
      <c r="L1906" s="444">
        <f t="shared" ca="1" si="137"/>
        <v>-1244143041.8444874</v>
      </c>
      <c r="M1906" s="460">
        <f t="shared" si="139"/>
        <v>0.05</v>
      </c>
      <c r="N1906" s="464">
        <f t="shared" si="140"/>
        <v>109057</v>
      </c>
    </row>
    <row r="1907" spans="7:14" ht="11.25" customHeight="1" x14ac:dyDescent="0.25">
      <c r="G1907" s="459"/>
      <c r="H1907" s="459">
        <v>1900</v>
      </c>
      <c r="I1907" s="444">
        <f t="shared" ca="1" si="138"/>
        <v>-1244143041.8444874</v>
      </c>
      <c r="J1907" s="444">
        <f t="array" ref="J1907">IFERROR(INDEX('Retirement Calculator'!J:J,MATCH('Isaac 401k'!N1907,'Retirement Calculator'!A:A,0),0),0)</f>
        <v>0</v>
      </c>
      <c r="K1907" s="444">
        <f t="shared" ca="1" si="136"/>
        <v>-5183929.3410186972</v>
      </c>
      <c r="L1907" s="444">
        <f t="shared" ca="1" si="137"/>
        <v>-1249326971.1855061</v>
      </c>
      <c r="M1907" s="460">
        <f t="shared" si="139"/>
        <v>0.05</v>
      </c>
      <c r="N1907" s="464">
        <f t="shared" si="140"/>
        <v>109088</v>
      </c>
    </row>
    <row r="1908" spans="7:14" ht="11.25" customHeight="1" x14ac:dyDescent="0.25">
      <c r="G1908" s="459"/>
      <c r="H1908" s="459">
        <v>1901</v>
      </c>
      <c r="I1908" s="444">
        <f t="shared" ca="1" si="138"/>
        <v>-1249326971.1855061</v>
      </c>
      <c r="J1908" s="444">
        <f t="array" ref="J1908">IFERROR(INDEX('Retirement Calculator'!J:J,MATCH('Isaac 401k'!N1908,'Retirement Calculator'!A:A,0),0),0)</f>
        <v>0</v>
      </c>
      <c r="K1908" s="444">
        <f t="shared" ca="1" si="136"/>
        <v>-5205529.0466062753</v>
      </c>
      <c r="L1908" s="444">
        <f t="shared" ca="1" si="137"/>
        <v>-1254532500.2321124</v>
      </c>
      <c r="M1908" s="460">
        <f t="shared" si="139"/>
        <v>0.05</v>
      </c>
      <c r="N1908" s="464">
        <f t="shared" si="140"/>
        <v>109118</v>
      </c>
    </row>
    <row r="1909" spans="7:14" ht="11.25" customHeight="1" x14ac:dyDescent="0.25">
      <c r="G1909" s="459"/>
      <c r="H1909" s="459">
        <v>1902</v>
      </c>
      <c r="I1909" s="444">
        <f t="shared" ca="1" si="138"/>
        <v>-1254532500.2321124</v>
      </c>
      <c r="J1909" s="444">
        <f t="array" ref="J1909">IFERROR(INDEX('Retirement Calculator'!J:J,MATCH('Isaac 401k'!N1909,'Retirement Calculator'!A:A,0),0),0)</f>
        <v>0</v>
      </c>
      <c r="K1909" s="444">
        <f t="shared" ca="1" si="136"/>
        <v>-5227218.7509671347</v>
      </c>
      <c r="L1909" s="444">
        <f t="shared" ca="1" si="137"/>
        <v>-1259759718.9830794</v>
      </c>
      <c r="M1909" s="460">
        <f t="shared" si="139"/>
        <v>0.05</v>
      </c>
      <c r="N1909" s="464">
        <f t="shared" si="140"/>
        <v>109149</v>
      </c>
    </row>
    <row r="1910" spans="7:14" ht="11.25" customHeight="1" x14ac:dyDescent="0.25">
      <c r="G1910" s="459"/>
      <c r="H1910" s="459">
        <v>1903</v>
      </c>
      <c r="I1910" s="444">
        <f t="shared" ca="1" si="138"/>
        <v>-1259759718.9830794</v>
      </c>
      <c r="J1910" s="444">
        <f t="array" ref="J1910">IFERROR(INDEX('Retirement Calculator'!J:J,MATCH('Isaac 401k'!N1910,'Retirement Calculator'!A:A,0),0),0)</f>
        <v>0</v>
      </c>
      <c r="K1910" s="444">
        <f t="shared" ca="1" si="136"/>
        <v>-5248998.8290961646</v>
      </c>
      <c r="L1910" s="444">
        <f t="shared" ca="1" si="137"/>
        <v>-1265008717.8121755</v>
      </c>
      <c r="M1910" s="460">
        <f t="shared" si="139"/>
        <v>0.05</v>
      </c>
      <c r="N1910" s="464">
        <f t="shared" si="140"/>
        <v>109179</v>
      </c>
    </row>
    <row r="1911" spans="7:14" ht="11.25" customHeight="1" x14ac:dyDescent="0.25">
      <c r="G1911" s="459"/>
      <c r="H1911" s="459">
        <v>1904</v>
      </c>
      <c r="I1911" s="444">
        <f t="shared" ca="1" si="138"/>
        <v>-1265008717.8121755</v>
      </c>
      <c r="J1911" s="444">
        <f t="array" ref="J1911">IFERROR(INDEX('Retirement Calculator'!J:J,MATCH('Isaac 401k'!N1911,'Retirement Calculator'!A:A,0),0),0)</f>
        <v>0</v>
      </c>
      <c r="K1911" s="444">
        <f t="shared" ca="1" si="136"/>
        <v>-5270869.6575507317</v>
      </c>
      <c r="L1911" s="444">
        <f t="shared" ca="1" si="137"/>
        <v>-1270279587.4697263</v>
      </c>
      <c r="M1911" s="460">
        <f t="shared" si="139"/>
        <v>0.05</v>
      </c>
      <c r="N1911" s="464">
        <f t="shared" si="140"/>
        <v>109210</v>
      </c>
    </row>
    <row r="1912" spans="7:14" ht="11.25" customHeight="1" x14ac:dyDescent="0.25">
      <c r="G1912" s="459"/>
      <c r="H1912" s="459">
        <v>1905</v>
      </c>
      <c r="I1912" s="444">
        <f t="shared" ca="1" si="138"/>
        <v>-1270279587.4697263</v>
      </c>
      <c r="J1912" s="444">
        <f t="array" ref="J1912">IFERROR(INDEX('Retirement Calculator'!J:J,MATCH('Isaac 401k'!N1912,'Retirement Calculator'!A:A,0),0),0)</f>
        <v>0</v>
      </c>
      <c r="K1912" s="444">
        <f t="shared" ca="1" si="136"/>
        <v>-5292831.6144571928</v>
      </c>
      <c r="L1912" s="444">
        <f t="shared" ca="1" si="137"/>
        <v>-1275572419.0841835</v>
      </c>
      <c r="M1912" s="460">
        <f t="shared" si="139"/>
        <v>0.05</v>
      </c>
      <c r="N1912" s="464">
        <f t="shared" si="140"/>
        <v>109241</v>
      </c>
    </row>
    <row r="1913" spans="7:14" ht="11.25" customHeight="1" x14ac:dyDescent="0.25">
      <c r="G1913" s="459"/>
      <c r="H1913" s="459">
        <v>1906</v>
      </c>
      <c r="I1913" s="444">
        <f t="shared" ca="1" si="138"/>
        <v>-1275572419.0841835</v>
      </c>
      <c r="J1913" s="444">
        <f t="array" ref="J1913">IFERROR(INDEX('Retirement Calculator'!J:J,MATCH('Isaac 401k'!N1913,'Retirement Calculator'!A:A,0),0),0)</f>
        <v>0</v>
      </c>
      <c r="K1913" s="444">
        <f t="shared" ca="1" si="136"/>
        <v>-5314885.0795174306</v>
      </c>
      <c r="L1913" s="444">
        <f t="shared" ca="1" si="137"/>
        <v>-1280887304.1637008</v>
      </c>
      <c r="M1913" s="460">
        <f t="shared" si="139"/>
        <v>0.05</v>
      </c>
      <c r="N1913" s="464">
        <f t="shared" si="140"/>
        <v>109269</v>
      </c>
    </row>
    <row r="1914" spans="7:14" ht="11.25" customHeight="1" x14ac:dyDescent="0.25">
      <c r="G1914" s="459"/>
      <c r="H1914" s="459">
        <v>1907</v>
      </c>
      <c r="I1914" s="444">
        <f t="shared" ca="1" si="138"/>
        <v>-1280887304.1637008</v>
      </c>
      <c r="J1914" s="444">
        <f t="array" ref="J1914">IFERROR(INDEX('Retirement Calculator'!J:J,MATCH('Isaac 401k'!N1914,'Retirement Calculator'!A:A,0),0),0)</f>
        <v>0</v>
      </c>
      <c r="K1914" s="444">
        <f t="shared" ca="1" si="136"/>
        <v>-5337030.4340154203</v>
      </c>
      <c r="L1914" s="444">
        <f t="shared" ca="1" si="137"/>
        <v>-1286224334.5977163</v>
      </c>
      <c r="M1914" s="460">
        <f t="shared" si="139"/>
        <v>0.05</v>
      </c>
      <c r="N1914" s="464">
        <f t="shared" si="140"/>
        <v>109300</v>
      </c>
    </row>
    <row r="1915" spans="7:14" ht="11.25" customHeight="1" x14ac:dyDescent="0.25">
      <c r="G1915" s="459"/>
      <c r="H1915" s="459">
        <v>1908</v>
      </c>
      <c r="I1915" s="444">
        <f t="shared" ca="1" si="138"/>
        <v>-1286224334.5977163</v>
      </c>
      <c r="J1915" s="444">
        <f t="array" ref="J1915">IFERROR(INDEX('Retirement Calculator'!J:J,MATCH('Isaac 401k'!N1915,'Retirement Calculator'!A:A,0),0),0)</f>
        <v>0</v>
      </c>
      <c r="K1915" s="444">
        <f t="shared" ca="1" si="136"/>
        <v>-5359268.0608238177</v>
      </c>
      <c r="L1915" s="444">
        <f t="shared" ca="1" si="137"/>
        <v>-1291583602.6585402</v>
      </c>
      <c r="M1915" s="460">
        <f t="shared" si="139"/>
        <v>0.05</v>
      </c>
      <c r="N1915" s="464">
        <f t="shared" si="140"/>
        <v>109330</v>
      </c>
    </row>
    <row r="1916" spans="7:14" ht="11.25" customHeight="1" x14ac:dyDescent="0.25">
      <c r="G1916" s="459"/>
      <c r="H1916" s="459">
        <v>1909</v>
      </c>
      <c r="I1916" s="444">
        <f t="shared" ca="1" si="138"/>
        <v>-1291583602.6585402</v>
      </c>
      <c r="J1916" s="444">
        <f t="array" ref="J1916">IFERROR(INDEX('Retirement Calculator'!J:J,MATCH('Isaac 401k'!N1916,'Retirement Calculator'!A:A,0),0),0)</f>
        <v>0</v>
      </c>
      <c r="K1916" s="444">
        <f t="shared" ca="1" si="136"/>
        <v>-5381598.3444105843</v>
      </c>
      <c r="L1916" s="444">
        <f t="shared" ca="1" si="137"/>
        <v>-1296965201.0029509</v>
      </c>
      <c r="M1916" s="460">
        <f t="shared" si="139"/>
        <v>0.05</v>
      </c>
      <c r="N1916" s="464">
        <f t="shared" si="140"/>
        <v>109361</v>
      </c>
    </row>
    <row r="1917" spans="7:14" ht="11.25" customHeight="1" x14ac:dyDescent="0.25">
      <c r="G1917" s="459"/>
      <c r="H1917" s="459">
        <v>1910</v>
      </c>
      <c r="I1917" s="444">
        <f t="shared" ca="1" si="138"/>
        <v>-1296965201.0029509</v>
      </c>
      <c r="J1917" s="444">
        <f t="array" ref="J1917">IFERROR(INDEX('Retirement Calculator'!J:J,MATCH('Isaac 401k'!N1917,'Retirement Calculator'!A:A,0),0),0)</f>
        <v>0</v>
      </c>
      <c r="K1917" s="444">
        <f t="shared" ca="1" si="136"/>
        <v>-5404021.6708456287</v>
      </c>
      <c r="L1917" s="444">
        <f t="shared" ca="1" si="137"/>
        <v>-1302369222.6737967</v>
      </c>
      <c r="M1917" s="460">
        <f t="shared" si="139"/>
        <v>0.05</v>
      </c>
      <c r="N1917" s="464">
        <f t="shared" si="140"/>
        <v>109391</v>
      </c>
    </row>
    <row r="1918" spans="7:14" ht="11.25" customHeight="1" x14ac:dyDescent="0.25">
      <c r="G1918" s="459"/>
      <c r="H1918" s="459">
        <v>1911</v>
      </c>
      <c r="I1918" s="444">
        <f t="shared" ca="1" si="138"/>
        <v>-1302369222.6737967</v>
      </c>
      <c r="J1918" s="444">
        <f t="array" ref="J1918">IFERROR(INDEX('Retirement Calculator'!J:J,MATCH('Isaac 401k'!N1918,'Retirement Calculator'!A:A,0),0),0)</f>
        <v>0</v>
      </c>
      <c r="K1918" s="444">
        <f t="shared" ca="1" si="136"/>
        <v>-5426538.4278074857</v>
      </c>
      <c r="L1918" s="444">
        <f t="shared" ca="1" si="137"/>
        <v>-1307795761.1016042</v>
      </c>
      <c r="M1918" s="460">
        <f t="shared" si="139"/>
        <v>0.05</v>
      </c>
      <c r="N1918" s="464">
        <f t="shared" si="140"/>
        <v>109422</v>
      </c>
    </row>
    <row r="1919" spans="7:14" ht="11.25" customHeight="1" x14ac:dyDescent="0.25">
      <c r="G1919" s="459"/>
      <c r="H1919" s="459">
        <v>1912</v>
      </c>
      <c r="I1919" s="444">
        <f t="shared" ca="1" si="138"/>
        <v>-1307795761.1016042</v>
      </c>
      <c r="J1919" s="444">
        <f t="array" ref="J1919">IFERROR(INDEX('Retirement Calculator'!J:J,MATCH('Isaac 401k'!N1919,'Retirement Calculator'!A:A,0),0),0)</f>
        <v>0</v>
      </c>
      <c r="K1919" s="444">
        <f t="shared" ca="1" si="136"/>
        <v>-5449149.0045900177</v>
      </c>
      <c r="L1919" s="444">
        <f t="shared" ca="1" si="137"/>
        <v>-1313244910.1061943</v>
      </c>
      <c r="M1919" s="460">
        <f t="shared" si="139"/>
        <v>0.05</v>
      </c>
      <c r="N1919" s="464">
        <f t="shared" si="140"/>
        <v>109453</v>
      </c>
    </row>
    <row r="1920" spans="7:14" ht="11.25" customHeight="1" x14ac:dyDescent="0.25">
      <c r="G1920" s="459"/>
      <c r="H1920" s="459">
        <v>1913</v>
      </c>
      <c r="I1920" s="444">
        <f t="shared" ca="1" si="138"/>
        <v>-1313244910.1061943</v>
      </c>
      <c r="J1920" s="444">
        <f t="array" ref="J1920">IFERROR(INDEX('Retirement Calculator'!J:J,MATCH('Isaac 401k'!N1920,'Retirement Calculator'!A:A,0),0),0)</f>
        <v>0</v>
      </c>
      <c r="K1920" s="444">
        <f t="shared" ca="1" si="136"/>
        <v>-5471853.792109143</v>
      </c>
      <c r="L1920" s="444">
        <f t="shared" ca="1" si="137"/>
        <v>-1318716763.8983035</v>
      </c>
      <c r="M1920" s="460">
        <f t="shared" si="139"/>
        <v>0.05</v>
      </c>
      <c r="N1920" s="464">
        <f t="shared" si="140"/>
        <v>109483</v>
      </c>
    </row>
    <row r="1921" spans="7:14" ht="11.25" customHeight="1" x14ac:dyDescent="0.25">
      <c r="G1921" s="459"/>
      <c r="H1921" s="459">
        <v>1914</v>
      </c>
      <c r="I1921" s="444">
        <f t="shared" ca="1" si="138"/>
        <v>-1318716763.8983035</v>
      </c>
      <c r="J1921" s="444">
        <f t="array" ref="J1921">IFERROR(INDEX('Retirement Calculator'!J:J,MATCH('Isaac 401k'!N1921,'Retirement Calculator'!A:A,0),0),0)</f>
        <v>0</v>
      </c>
      <c r="K1921" s="444">
        <f t="shared" ca="1" si="136"/>
        <v>-5494653.1829095976</v>
      </c>
      <c r="L1921" s="444">
        <f t="shared" ca="1" si="137"/>
        <v>-1324211417.081213</v>
      </c>
      <c r="M1921" s="460">
        <f t="shared" si="139"/>
        <v>0.05</v>
      </c>
      <c r="N1921" s="464">
        <f t="shared" si="140"/>
        <v>109514</v>
      </c>
    </row>
    <row r="1922" spans="7:14" ht="11.25" customHeight="1" x14ac:dyDescent="0.25">
      <c r="G1922" s="459"/>
      <c r="H1922" s="459">
        <v>1915</v>
      </c>
      <c r="I1922" s="444">
        <f t="shared" ca="1" si="138"/>
        <v>-1324211417.081213</v>
      </c>
      <c r="J1922" s="444">
        <f t="array" ref="J1922">IFERROR(INDEX('Retirement Calculator'!J:J,MATCH('Isaac 401k'!N1922,'Retirement Calculator'!A:A,0),0),0)</f>
        <v>0</v>
      </c>
      <c r="K1922" s="444">
        <f t="shared" ca="1" si="136"/>
        <v>-5517547.5711717205</v>
      </c>
      <c r="L1922" s="444">
        <f t="shared" ca="1" si="137"/>
        <v>-1329728964.6523848</v>
      </c>
      <c r="M1922" s="460">
        <f t="shared" si="139"/>
        <v>0.05</v>
      </c>
      <c r="N1922" s="464">
        <f t="shared" si="140"/>
        <v>109544</v>
      </c>
    </row>
    <row r="1923" spans="7:14" ht="11.25" customHeight="1" x14ac:dyDescent="0.25">
      <c r="G1923" s="459"/>
      <c r="H1923" s="459">
        <v>1916</v>
      </c>
      <c r="I1923" s="444">
        <f t="shared" ca="1" si="138"/>
        <v>-1329728964.6523848</v>
      </c>
      <c r="J1923" s="444">
        <f t="array" ref="J1923">IFERROR(INDEX('Retirement Calculator'!J:J,MATCH('Isaac 401k'!N1923,'Retirement Calculator'!A:A,0),0),0)</f>
        <v>0</v>
      </c>
      <c r="K1923" s="444">
        <f t="shared" ca="1" si="136"/>
        <v>-5540537.3527182695</v>
      </c>
      <c r="L1923" s="444">
        <f t="shared" ca="1" si="137"/>
        <v>-1335269502.0051031</v>
      </c>
      <c r="M1923" s="460">
        <f t="shared" si="139"/>
        <v>0.05</v>
      </c>
      <c r="N1923" s="464">
        <f t="shared" si="140"/>
        <v>109575</v>
      </c>
    </row>
    <row r="1924" spans="7:14" ht="11.25" customHeight="1" x14ac:dyDescent="0.25">
      <c r="G1924" s="459"/>
      <c r="H1924" s="459">
        <v>1917</v>
      </c>
      <c r="I1924" s="444">
        <f t="shared" ca="1" si="138"/>
        <v>-1335269502.0051031</v>
      </c>
      <c r="J1924" s="444">
        <f t="array" ref="J1924">IFERROR(INDEX('Retirement Calculator'!J:J,MATCH('Isaac 401k'!N1924,'Retirement Calculator'!A:A,0),0),0)</f>
        <v>0</v>
      </c>
      <c r="K1924" s="444">
        <f t="shared" ca="1" si="136"/>
        <v>-5563622.9250212628</v>
      </c>
      <c r="L1924" s="444">
        <f t="shared" ca="1" si="137"/>
        <v>-1340833124.9301243</v>
      </c>
      <c r="M1924" s="460">
        <f t="shared" si="139"/>
        <v>0.05</v>
      </c>
      <c r="N1924" s="464">
        <f t="shared" si="140"/>
        <v>109606</v>
      </c>
    </row>
    <row r="1925" spans="7:14" ht="11.25" customHeight="1" x14ac:dyDescent="0.25">
      <c r="G1925" s="459"/>
      <c r="H1925" s="459">
        <v>1918</v>
      </c>
      <c r="I1925" s="444">
        <f t="shared" ca="1" si="138"/>
        <v>-1340833124.9301243</v>
      </c>
      <c r="J1925" s="444">
        <f t="array" ref="J1925">IFERROR(INDEX('Retirement Calculator'!J:J,MATCH('Isaac 401k'!N1925,'Retirement Calculator'!A:A,0),0),0)</f>
        <v>0</v>
      </c>
      <c r="K1925" s="444">
        <f t="shared" ca="1" si="136"/>
        <v>-5586804.6872088509</v>
      </c>
      <c r="L1925" s="444">
        <f t="shared" ca="1" si="137"/>
        <v>-1346419929.6173332</v>
      </c>
      <c r="M1925" s="460">
        <f t="shared" si="139"/>
        <v>0.05</v>
      </c>
      <c r="N1925" s="464">
        <f t="shared" si="140"/>
        <v>109634</v>
      </c>
    </row>
    <row r="1926" spans="7:14" ht="11.25" customHeight="1" x14ac:dyDescent="0.25">
      <c r="G1926" s="459"/>
      <c r="H1926" s="459">
        <v>1919</v>
      </c>
      <c r="I1926" s="444">
        <f t="shared" ca="1" si="138"/>
        <v>-1346419929.6173332</v>
      </c>
      <c r="J1926" s="444">
        <f t="array" ref="J1926">IFERROR(INDEX('Retirement Calculator'!J:J,MATCH('Isaac 401k'!N1926,'Retirement Calculator'!A:A,0),0),0)</f>
        <v>0</v>
      </c>
      <c r="K1926" s="444">
        <f t="shared" ca="1" si="136"/>
        <v>-5610083.0400722213</v>
      </c>
      <c r="L1926" s="444">
        <f t="shared" ca="1" si="137"/>
        <v>-1352030012.6574054</v>
      </c>
      <c r="M1926" s="460">
        <f t="shared" si="139"/>
        <v>0.05</v>
      </c>
      <c r="N1926" s="464">
        <f t="shared" si="140"/>
        <v>109665</v>
      </c>
    </row>
    <row r="1927" spans="7:14" ht="11.25" customHeight="1" x14ac:dyDescent="0.25">
      <c r="G1927" s="459"/>
      <c r="H1927" s="459">
        <v>1920</v>
      </c>
      <c r="I1927" s="444">
        <f t="shared" ca="1" si="138"/>
        <v>-1352030012.6574054</v>
      </c>
      <c r="J1927" s="444">
        <f t="array" ref="J1927">IFERROR(INDEX('Retirement Calculator'!J:J,MATCH('Isaac 401k'!N1927,'Retirement Calculator'!A:A,0),0),0)</f>
        <v>0</v>
      </c>
      <c r="K1927" s="444">
        <f t="shared" ca="1" si="136"/>
        <v>-5633458.386072522</v>
      </c>
      <c r="L1927" s="444">
        <f t="shared" ca="1" si="137"/>
        <v>-1357663471.043478</v>
      </c>
      <c r="M1927" s="460">
        <f t="shared" si="139"/>
        <v>0.05</v>
      </c>
      <c r="N1927" s="464">
        <f t="shared" si="140"/>
        <v>109695</v>
      </c>
    </row>
    <row r="1928" spans="7:14" ht="11.25" customHeight="1" x14ac:dyDescent="0.25">
      <c r="G1928" s="459"/>
      <c r="H1928" s="459">
        <v>1921</v>
      </c>
      <c r="I1928" s="444">
        <f t="shared" ca="1" si="138"/>
        <v>-1357663471.043478</v>
      </c>
      <c r="J1928" s="444">
        <f t="array" ref="J1928">IFERROR(INDEX('Retirement Calculator'!J:J,MATCH('Isaac 401k'!N1928,'Retirement Calculator'!A:A,0),0),0)</f>
        <v>0</v>
      </c>
      <c r="K1928" s="444">
        <f t="shared" ca="1" si="136"/>
        <v>-5656931.1293478254</v>
      </c>
      <c r="L1928" s="444">
        <f t="shared" ca="1" si="137"/>
        <v>-1363320402.1728258</v>
      </c>
      <c r="M1928" s="460">
        <f t="shared" si="139"/>
        <v>0.05</v>
      </c>
      <c r="N1928" s="464">
        <f t="shared" si="140"/>
        <v>109726</v>
      </c>
    </row>
    <row r="1929" spans="7:14" ht="11.25" customHeight="1" x14ac:dyDescent="0.25">
      <c r="G1929" s="459"/>
      <c r="H1929" s="459">
        <v>1922</v>
      </c>
      <c r="I1929" s="444">
        <f t="shared" ca="1" si="138"/>
        <v>-1363320402.1728258</v>
      </c>
      <c r="J1929" s="444">
        <f t="array" ref="J1929">IFERROR(INDEX('Retirement Calculator'!J:J,MATCH('Isaac 401k'!N1929,'Retirement Calculator'!A:A,0),0),0)</f>
        <v>0</v>
      </c>
      <c r="K1929" s="444">
        <f t="shared" ca="1" si="136"/>
        <v>-5680501.6757201077</v>
      </c>
      <c r="L1929" s="444">
        <f t="shared" ca="1" si="137"/>
        <v>-1369000903.848546</v>
      </c>
      <c r="M1929" s="460">
        <f t="shared" si="139"/>
        <v>0.05</v>
      </c>
      <c r="N1929" s="464">
        <f t="shared" si="140"/>
        <v>109756</v>
      </c>
    </row>
    <row r="1930" spans="7:14" ht="11.25" customHeight="1" x14ac:dyDescent="0.25">
      <c r="G1930" s="459"/>
      <c r="H1930" s="459">
        <v>1923</v>
      </c>
      <c r="I1930" s="444">
        <f t="shared" ca="1" si="138"/>
        <v>-1369000903.848546</v>
      </c>
      <c r="J1930" s="444">
        <f t="array" ref="J1930">IFERROR(INDEX('Retirement Calculator'!J:J,MATCH('Isaac 401k'!N1930,'Retirement Calculator'!A:A,0),0),0)</f>
        <v>0</v>
      </c>
      <c r="K1930" s="444">
        <f t="shared" ca="1" si="136"/>
        <v>-5704170.432702275</v>
      </c>
      <c r="L1930" s="444">
        <f t="shared" ca="1" si="137"/>
        <v>-1374705074.2812483</v>
      </c>
      <c r="M1930" s="460">
        <f t="shared" si="139"/>
        <v>0.05</v>
      </c>
      <c r="N1930" s="464">
        <f t="shared" si="140"/>
        <v>109787</v>
      </c>
    </row>
    <row r="1931" spans="7:14" ht="11.25" customHeight="1" x14ac:dyDescent="0.25">
      <c r="G1931" s="459"/>
      <c r="H1931" s="459">
        <v>1924</v>
      </c>
      <c r="I1931" s="444">
        <f t="shared" ca="1" si="138"/>
        <v>-1374705074.2812483</v>
      </c>
      <c r="J1931" s="444">
        <f t="array" ref="J1931">IFERROR(INDEX('Retirement Calculator'!J:J,MATCH('Isaac 401k'!N1931,'Retirement Calculator'!A:A,0),0),0)</f>
        <v>0</v>
      </c>
      <c r="K1931" s="444">
        <f t="shared" ca="1" si="136"/>
        <v>-5727937.8095052009</v>
      </c>
      <c r="L1931" s="444">
        <f t="shared" ca="1" si="137"/>
        <v>-1380433012.0907536</v>
      </c>
      <c r="M1931" s="460">
        <f t="shared" si="139"/>
        <v>0.05</v>
      </c>
      <c r="N1931" s="464">
        <f t="shared" si="140"/>
        <v>109818</v>
      </c>
    </row>
    <row r="1932" spans="7:14" ht="11.25" customHeight="1" x14ac:dyDescent="0.25">
      <c r="G1932" s="459"/>
      <c r="H1932" s="459">
        <v>1925</v>
      </c>
      <c r="I1932" s="444">
        <f t="shared" ca="1" si="138"/>
        <v>-1380433012.0907536</v>
      </c>
      <c r="J1932" s="444">
        <f t="array" ref="J1932">IFERROR(INDEX('Retirement Calculator'!J:J,MATCH('Isaac 401k'!N1932,'Retirement Calculator'!A:A,0),0),0)</f>
        <v>0</v>
      </c>
      <c r="K1932" s="444">
        <f t="shared" ca="1" si="136"/>
        <v>-5751804.2170448061</v>
      </c>
      <c r="L1932" s="444">
        <f t="shared" ca="1" si="137"/>
        <v>-1386184816.3077984</v>
      </c>
      <c r="M1932" s="460">
        <f t="shared" si="139"/>
        <v>0.05</v>
      </c>
      <c r="N1932" s="464">
        <f t="shared" si="140"/>
        <v>109848</v>
      </c>
    </row>
    <row r="1933" spans="7:14" ht="11.25" customHeight="1" x14ac:dyDescent="0.25">
      <c r="G1933" s="459"/>
      <c r="H1933" s="459">
        <v>1926</v>
      </c>
      <c r="I1933" s="444">
        <f t="shared" ca="1" si="138"/>
        <v>-1386184816.3077984</v>
      </c>
      <c r="J1933" s="444">
        <f t="array" ref="J1933">IFERROR(INDEX('Retirement Calculator'!J:J,MATCH('Isaac 401k'!N1933,'Retirement Calculator'!A:A,0),0),0)</f>
        <v>0</v>
      </c>
      <c r="K1933" s="444">
        <f t="shared" ca="1" si="136"/>
        <v>-5775770.06794916</v>
      </c>
      <c r="L1933" s="444">
        <f t="shared" ca="1" si="137"/>
        <v>-1391960586.3757474</v>
      </c>
      <c r="M1933" s="460">
        <f t="shared" si="139"/>
        <v>0.05</v>
      </c>
      <c r="N1933" s="464">
        <f t="shared" si="140"/>
        <v>109879</v>
      </c>
    </row>
    <row r="1934" spans="7:14" ht="11.25" customHeight="1" x14ac:dyDescent="0.25">
      <c r="G1934" s="459"/>
      <c r="H1934" s="459">
        <v>1927</v>
      </c>
      <c r="I1934" s="444">
        <f t="shared" ca="1" si="138"/>
        <v>-1391960586.3757474</v>
      </c>
      <c r="J1934" s="444">
        <f t="array" ref="J1934">IFERROR(INDEX('Retirement Calculator'!J:J,MATCH('Isaac 401k'!N1934,'Retirement Calculator'!A:A,0),0),0)</f>
        <v>0</v>
      </c>
      <c r="K1934" s="444">
        <f t="shared" ca="1" si="136"/>
        <v>-5799835.7765656142</v>
      </c>
      <c r="L1934" s="444">
        <f t="shared" ca="1" si="137"/>
        <v>-1397760422.152313</v>
      </c>
      <c r="M1934" s="460">
        <f t="shared" si="139"/>
        <v>0.05</v>
      </c>
      <c r="N1934" s="464">
        <f t="shared" si="140"/>
        <v>109909</v>
      </c>
    </row>
    <row r="1935" spans="7:14" ht="11.25" customHeight="1" x14ac:dyDescent="0.25">
      <c r="G1935" s="459"/>
      <c r="H1935" s="459">
        <v>1928</v>
      </c>
      <c r="I1935" s="444">
        <f t="shared" ca="1" si="138"/>
        <v>-1397760422.152313</v>
      </c>
      <c r="J1935" s="444">
        <f t="array" ref="J1935">IFERROR(INDEX('Retirement Calculator'!J:J,MATCH('Isaac 401k'!N1935,'Retirement Calculator'!A:A,0),0),0)</f>
        <v>0</v>
      </c>
      <c r="K1935" s="444">
        <f t="shared" ca="1" si="136"/>
        <v>-5824001.7589679705</v>
      </c>
      <c r="L1935" s="444">
        <f t="shared" ca="1" si="137"/>
        <v>-1403584423.9112809</v>
      </c>
      <c r="M1935" s="460">
        <f t="shared" si="139"/>
        <v>0.05</v>
      </c>
      <c r="N1935" s="464">
        <f t="shared" si="140"/>
        <v>109940</v>
      </c>
    </row>
    <row r="1936" spans="7:14" ht="11.25" customHeight="1" x14ac:dyDescent="0.25">
      <c r="G1936" s="459"/>
      <c r="H1936" s="459">
        <v>1929</v>
      </c>
      <c r="I1936" s="444">
        <f t="shared" ca="1" si="138"/>
        <v>-1403584423.9112809</v>
      </c>
      <c r="J1936" s="444">
        <f t="array" ref="J1936">IFERROR(INDEX('Retirement Calculator'!J:J,MATCH('Isaac 401k'!N1936,'Retirement Calculator'!A:A,0),0),0)</f>
        <v>0</v>
      </c>
      <c r="K1936" s="444">
        <f t="shared" ca="1" si="136"/>
        <v>-5848268.4329636702</v>
      </c>
      <c r="L1936" s="444">
        <f t="shared" ca="1" si="137"/>
        <v>-1409432692.3442445</v>
      </c>
      <c r="M1936" s="460">
        <f t="shared" si="139"/>
        <v>0.05</v>
      </c>
      <c r="N1936" s="464">
        <f t="shared" si="140"/>
        <v>109971</v>
      </c>
    </row>
    <row r="1937" spans="7:14" ht="11.25" customHeight="1" x14ac:dyDescent="0.25">
      <c r="G1937" s="459"/>
      <c r="H1937" s="459">
        <v>1930</v>
      </c>
      <c r="I1937" s="444">
        <f t="shared" ca="1" si="138"/>
        <v>-1409432692.3442445</v>
      </c>
      <c r="J1937" s="444">
        <f t="array" ref="J1937">IFERROR(INDEX('Retirement Calculator'!J:J,MATCH('Isaac 401k'!N1937,'Retirement Calculator'!A:A,0),0),0)</f>
        <v>0</v>
      </c>
      <c r="K1937" s="444">
        <f t="shared" ca="1" si="136"/>
        <v>-5872636.218101019</v>
      </c>
      <c r="L1937" s="444">
        <f t="shared" ca="1" si="137"/>
        <v>-1415305328.5623455</v>
      </c>
      <c r="M1937" s="460">
        <f t="shared" si="139"/>
        <v>0.05</v>
      </c>
      <c r="N1937" s="464">
        <f t="shared" si="140"/>
        <v>109999</v>
      </c>
    </row>
    <row r="1938" spans="7:14" ht="11.25" customHeight="1" x14ac:dyDescent="0.25">
      <c r="G1938" s="459"/>
      <c r="H1938" s="459">
        <v>1931</v>
      </c>
      <c r="I1938" s="444">
        <f t="shared" ca="1" si="138"/>
        <v>-1415305328.5623455</v>
      </c>
      <c r="J1938" s="444">
        <f t="array" ref="J1938">IFERROR(INDEX('Retirement Calculator'!J:J,MATCH('Isaac 401k'!N1938,'Retirement Calculator'!A:A,0),0),0)</f>
        <v>0</v>
      </c>
      <c r="K1938" s="444">
        <f t="shared" ca="1" si="136"/>
        <v>-5897105.5356764393</v>
      </c>
      <c r="L1938" s="444">
        <f t="shared" ca="1" si="137"/>
        <v>-1421202434.098022</v>
      </c>
      <c r="M1938" s="460">
        <f t="shared" si="139"/>
        <v>0.05</v>
      </c>
      <c r="N1938" s="464">
        <f t="shared" si="140"/>
        <v>110030</v>
      </c>
    </row>
    <row r="1939" spans="7:14" ht="11.25" customHeight="1" x14ac:dyDescent="0.25">
      <c r="G1939" s="459"/>
      <c r="H1939" s="459">
        <v>1932</v>
      </c>
      <c r="I1939" s="444">
        <f t="shared" ca="1" si="138"/>
        <v>-1421202434.098022</v>
      </c>
      <c r="J1939" s="444">
        <f t="array" ref="J1939">IFERROR(INDEX('Retirement Calculator'!J:J,MATCH('Isaac 401k'!N1939,'Retirement Calculator'!A:A,0),0),0)</f>
        <v>0</v>
      </c>
      <c r="K1939" s="444">
        <f t="shared" ca="1" si="136"/>
        <v>-5921676.8087417586</v>
      </c>
      <c r="L1939" s="444">
        <f t="shared" ca="1" si="137"/>
        <v>-1427124110.9067638</v>
      </c>
      <c r="M1939" s="460">
        <f t="shared" si="139"/>
        <v>0.05</v>
      </c>
      <c r="N1939" s="464">
        <f t="shared" si="140"/>
        <v>110060</v>
      </c>
    </row>
    <row r="1940" spans="7:14" ht="11.25" customHeight="1" x14ac:dyDescent="0.25">
      <c r="G1940" s="459"/>
      <c r="H1940" s="459">
        <v>1933</v>
      </c>
      <c r="I1940" s="444">
        <f t="shared" ca="1" si="138"/>
        <v>-1427124110.9067638</v>
      </c>
      <c r="J1940" s="444">
        <f t="array" ref="J1940">IFERROR(INDEX('Retirement Calculator'!J:J,MATCH('Isaac 401k'!N1940,'Retirement Calculator'!A:A,0),0),0)</f>
        <v>0</v>
      </c>
      <c r="K1940" s="444">
        <f t="shared" ca="1" si="136"/>
        <v>-5946350.4621115159</v>
      </c>
      <c r="L1940" s="444">
        <f t="shared" ca="1" si="137"/>
        <v>-1433070461.3688753</v>
      </c>
      <c r="M1940" s="460">
        <f t="shared" si="139"/>
        <v>0.05</v>
      </c>
      <c r="N1940" s="464">
        <f t="shared" si="140"/>
        <v>110091</v>
      </c>
    </row>
    <row r="1941" spans="7:14" ht="11.25" customHeight="1" x14ac:dyDescent="0.25">
      <c r="G1941" s="459"/>
      <c r="H1941" s="459">
        <v>1934</v>
      </c>
      <c r="I1941" s="444">
        <f t="shared" ca="1" si="138"/>
        <v>-1433070461.3688753</v>
      </c>
      <c r="J1941" s="444">
        <f t="array" ref="J1941">IFERROR(INDEX('Retirement Calculator'!J:J,MATCH('Isaac 401k'!N1941,'Retirement Calculator'!A:A,0),0),0)</f>
        <v>0</v>
      </c>
      <c r="K1941" s="444">
        <f t="shared" ca="1" si="136"/>
        <v>-5971126.9223703137</v>
      </c>
      <c r="L1941" s="444">
        <f t="shared" ca="1" si="137"/>
        <v>-1439041588.2912455</v>
      </c>
      <c r="M1941" s="460">
        <f t="shared" si="139"/>
        <v>0.05</v>
      </c>
      <c r="N1941" s="464">
        <f t="shared" si="140"/>
        <v>110121</v>
      </c>
    </row>
    <row r="1942" spans="7:14" ht="11.25" customHeight="1" x14ac:dyDescent="0.25">
      <c r="G1942" s="459"/>
      <c r="H1942" s="459">
        <v>1935</v>
      </c>
      <c r="I1942" s="444">
        <f t="shared" ca="1" si="138"/>
        <v>-1439041588.2912455</v>
      </c>
      <c r="J1942" s="444">
        <f t="array" ref="J1942">IFERROR(INDEX('Retirement Calculator'!J:J,MATCH('Isaac 401k'!N1942,'Retirement Calculator'!A:A,0),0),0)</f>
        <v>0</v>
      </c>
      <c r="K1942" s="444">
        <f t="shared" ca="1" si="136"/>
        <v>-5996006.6178801898</v>
      </c>
      <c r="L1942" s="444">
        <f t="shared" ca="1" si="137"/>
        <v>-1445037594.9091256</v>
      </c>
      <c r="M1942" s="460">
        <f t="shared" si="139"/>
        <v>0.05</v>
      </c>
      <c r="N1942" s="464">
        <f t="shared" si="140"/>
        <v>110152</v>
      </c>
    </row>
    <row r="1943" spans="7:14" ht="11.25" customHeight="1" x14ac:dyDescent="0.25">
      <c r="G1943" s="459"/>
      <c r="H1943" s="459">
        <v>1936</v>
      </c>
      <c r="I1943" s="444">
        <f t="shared" ca="1" si="138"/>
        <v>-1445037594.9091256</v>
      </c>
      <c r="J1943" s="444">
        <f t="array" ref="J1943">IFERROR(INDEX('Retirement Calculator'!J:J,MATCH('Isaac 401k'!N1943,'Retirement Calculator'!A:A,0),0),0)</f>
        <v>0</v>
      </c>
      <c r="K1943" s="444">
        <f t="shared" ca="1" si="136"/>
        <v>-6020989.9787880229</v>
      </c>
      <c r="L1943" s="444">
        <f t="shared" ca="1" si="137"/>
        <v>-1451058584.8879137</v>
      </c>
      <c r="M1943" s="460">
        <f t="shared" si="139"/>
        <v>0.05</v>
      </c>
      <c r="N1943" s="464">
        <f t="shared" si="140"/>
        <v>110183</v>
      </c>
    </row>
    <row r="1944" spans="7:14" ht="11.25" customHeight="1" x14ac:dyDescent="0.25">
      <c r="G1944" s="459"/>
      <c r="H1944" s="459">
        <v>1937</v>
      </c>
      <c r="I1944" s="444">
        <f t="shared" ca="1" si="138"/>
        <v>-1451058584.8879137</v>
      </c>
      <c r="J1944" s="444">
        <f t="array" ref="J1944">IFERROR(INDEX('Retirement Calculator'!J:J,MATCH('Isaac 401k'!N1944,'Retirement Calculator'!A:A,0),0),0)</f>
        <v>0</v>
      </c>
      <c r="K1944" s="444">
        <f t="shared" ca="1" si="136"/>
        <v>-6046077.4370329734</v>
      </c>
      <c r="L1944" s="444">
        <f t="shared" ca="1" si="137"/>
        <v>-1457104662.3249466</v>
      </c>
      <c r="M1944" s="460">
        <f t="shared" si="139"/>
        <v>0.05</v>
      </c>
      <c r="N1944" s="464">
        <f t="shared" si="140"/>
        <v>110213</v>
      </c>
    </row>
    <row r="1945" spans="7:14" ht="11.25" customHeight="1" x14ac:dyDescent="0.25">
      <c r="G1945" s="459"/>
      <c r="H1945" s="459">
        <v>1938</v>
      </c>
      <c r="I1945" s="444">
        <f t="shared" ca="1" si="138"/>
        <v>-1457104662.3249466</v>
      </c>
      <c r="J1945" s="444">
        <f t="array" ref="J1945">IFERROR(INDEX('Retirement Calculator'!J:J,MATCH('Isaac 401k'!N1945,'Retirement Calculator'!A:A,0),0),0)</f>
        <v>0</v>
      </c>
      <c r="K1945" s="444">
        <f t="shared" ca="1" si="136"/>
        <v>-6071269.4263539445</v>
      </c>
      <c r="L1945" s="444">
        <f t="shared" ca="1" si="137"/>
        <v>-1463175931.7513006</v>
      </c>
      <c r="M1945" s="460">
        <f t="shared" si="139"/>
        <v>0.05</v>
      </c>
      <c r="N1945" s="464">
        <f t="shared" si="140"/>
        <v>110244</v>
      </c>
    </row>
    <row r="1946" spans="7:14" ht="11.25" customHeight="1" x14ac:dyDescent="0.25">
      <c r="G1946" s="459"/>
      <c r="H1946" s="459">
        <v>1939</v>
      </c>
      <c r="I1946" s="444">
        <f t="shared" ca="1" si="138"/>
        <v>-1463175931.7513006</v>
      </c>
      <c r="J1946" s="444">
        <f t="array" ref="J1946">IFERROR(INDEX('Retirement Calculator'!J:J,MATCH('Isaac 401k'!N1946,'Retirement Calculator'!A:A,0),0),0)</f>
        <v>0</v>
      </c>
      <c r="K1946" s="444">
        <f t="shared" ca="1" si="136"/>
        <v>-6096566.3822970856</v>
      </c>
      <c r="L1946" s="444">
        <f t="shared" ca="1" si="137"/>
        <v>-1469272498.1335976</v>
      </c>
      <c r="M1946" s="460">
        <f t="shared" si="139"/>
        <v>0.05</v>
      </c>
      <c r="N1946" s="464">
        <f t="shared" si="140"/>
        <v>110274</v>
      </c>
    </row>
    <row r="1947" spans="7:14" ht="11.25" customHeight="1" x14ac:dyDescent="0.25">
      <c r="G1947" s="459"/>
      <c r="H1947" s="459">
        <v>1940</v>
      </c>
      <c r="I1947" s="444">
        <f t="shared" ca="1" si="138"/>
        <v>-1469272498.1335976</v>
      </c>
      <c r="J1947" s="444">
        <f t="array" ref="J1947">IFERROR(INDEX('Retirement Calculator'!J:J,MATCH('Isaac 401k'!N1947,'Retirement Calculator'!A:A,0),0),0)</f>
        <v>0</v>
      </c>
      <c r="K1947" s="444">
        <f t="shared" ca="1" si="136"/>
        <v>-6121968.7422233233</v>
      </c>
      <c r="L1947" s="444">
        <f t="shared" ca="1" si="137"/>
        <v>-1475394466.8758209</v>
      </c>
      <c r="M1947" s="460">
        <f t="shared" si="139"/>
        <v>0.05</v>
      </c>
      <c r="N1947" s="464">
        <f t="shared" si="140"/>
        <v>110305</v>
      </c>
    </row>
    <row r="1948" spans="7:14" ht="11.25" customHeight="1" x14ac:dyDescent="0.25">
      <c r="G1948" s="459"/>
      <c r="H1948" s="459">
        <v>1941</v>
      </c>
      <c r="I1948" s="444">
        <f t="shared" ca="1" si="138"/>
        <v>-1475394466.8758209</v>
      </c>
      <c r="J1948" s="444">
        <f t="array" ref="J1948">IFERROR(INDEX('Retirement Calculator'!J:J,MATCH('Isaac 401k'!N1948,'Retirement Calculator'!A:A,0),0),0)</f>
        <v>0</v>
      </c>
      <c r="K1948" s="444">
        <f t="shared" ca="1" si="136"/>
        <v>-6147476.9453159198</v>
      </c>
      <c r="L1948" s="444">
        <f t="shared" ca="1" si="137"/>
        <v>-1481541943.8211367</v>
      </c>
      <c r="M1948" s="460">
        <f t="shared" si="139"/>
        <v>0.05</v>
      </c>
      <c r="N1948" s="464">
        <f t="shared" si="140"/>
        <v>110336</v>
      </c>
    </row>
    <row r="1949" spans="7:14" ht="11.25" customHeight="1" x14ac:dyDescent="0.25">
      <c r="G1949" s="459"/>
      <c r="H1949" s="459">
        <v>1942</v>
      </c>
      <c r="I1949" s="444">
        <f t="shared" ca="1" si="138"/>
        <v>-1481541943.8211367</v>
      </c>
      <c r="J1949" s="444">
        <f t="array" ref="J1949">IFERROR(INDEX('Retirement Calculator'!J:J,MATCH('Isaac 401k'!N1949,'Retirement Calculator'!A:A,0),0),0)</f>
        <v>0</v>
      </c>
      <c r="K1949" s="444">
        <f t="shared" ca="1" si="136"/>
        <v>-6173091.4325880697</v>
      </c>
      <c r="L1949" s="444">
        <f t="shared" ca="1" si="137"/>
        <v>-1487715035.2537248</v>
      </c>
      <c r="M1949" s="460">
        <f t="shared" si="139"/>
        <v>0.05</v>
      </c>
      <c r="N1949" s="464">
        <f t="shared" si="140"/>
        <v>110364</v>
      </c>
    </row>
    <row r="1950" spans="7:14" ht="11.25" customHeight="1" x14ac:dyDescent="0.25">
      <c r="G1950" s="459"/>
      <c r="H1950" s="459">
        <v>1943</v>
      </c>
      <c r="I1950" s="444">
        <f t="shared" ca="1" si="138"/>
        <v>-1487715035.2537248</v>
      </c>
      <c r="J1950" s="444">
        <f t="array" ref="J1950">IFERROR(INDEX('Retirement Calculator'!J:J,MATCH('Isaac 401k'!N1950,'Retirement Calculator'!A:A,0),0),0)</f>
        <v>0</v>
      </c>
      <c r="K1950" s="444">
        <f t="shared" ca="1" si="136"/>
        <v>-6198812.6468905201</v>
      </c>
      <c r="L1950" s="444">
        <f t="shared" ca="1" si="137"/>
        <v>-1493913847.9006152</v>
      </c>
      <c r="M1950" s="460">
        <f t="shared" si="139"/>
        <v>0.05</v>
      </c>
      <c r="N1950" s="464">
        <f t="shared" si="140"/>
        <v>110395</v>
      </c>
    </row>
    <row r="1951" spans="7:14" ht="11.25" customHeight="1" x14ac:dyDescent="0.25">
      <c r="G1951" s="459"/>
      <c r="H1951" s="459">
        <v>1944</v>
      </c>
      <c r="I1951" s="444">
        <f t="shared" ca="1" si="138"/>
        <v>-1493913847.9006152</v>
      </c>
      <c r="J1951" s="444">
        <f t="array" ref="J1951">IFERROR(INDEX('Retirement Calculator'!J:J,MATCH('Isaac 401k'!N1951,'Retirement Calculator'!A:A,0),0),0)</f>
        <v>0</v>
      </c>
      <c r="K1951" s="444">
        <f t="shared" ca="1" si="136"/>
        <v>-6224641.0329192299</v>
      </c>
      <c r="L1951" s="444">
        <f t="shared" ca="1" si="137"/>
        <v>-1500138488.9335344</v>
      </c>
      <c r="M1951" s="460">
        <f t="shared" si="139"/>
        <v>0.05</v>
      </c>
      <c r="N1951" s="464">
        <f t="shared" si="140"/>
        <v>110425</v>
      </c>
    </row>
    <row r="1952" spans="7:14" ht="11.25" customHeight="1" x14ac:dyDescent="0.25">
      <c r="G1952" s="459"/>
      <c r="H1952" s="459">
        <v>1945</v>
      </c>
      <c r="I1952" s="444">
        <f t="shared" ca="1" si="138"/>
        <v>-1500138488.9335344</v>
      </c>
      <c r="J1952" s="444">
        <f t="array" ref="J1952">IFERROR(INDEX('Retirement Calculator'!J:J,MATCH('Isaac 401k'!N1952,'Retirement Calculator'!A:A,0),0),0)</f>
        <v>0</v>
      </c>
      <c r="K1952" s="444">
        <f t="shared" ca="1" si="136"/>
        <v>-6250577.0372230597</v>
      </c>
      <c r="L1952" s="444">
        <f t="shared" ca="1" si="137"/>
        <v>-1506389065.9707575</v>
      </c>
      <c r="M1952" s="460">
        <f t="shared" si="139"/>
        <v>0.05</v>
      </c>
      <c r="N1952" s="464">
        <f t="shared" si="140"/>
        <v>110456</v>
      </c>
    </row>
    <row r="1953" spans="7:14" ht="11.25" customHeight="1" x14ac:dyDescent="0.25">
      <c r="G1953" s="459"/>
      <c r="H1953" s="459">
        <v>1946</v>
      </c>
      <c r="I1953" s="444">
        <f t="shared" ca="1" si="138"/>
        <v>-1506389065.9707575</v>
      </c>
      <c r="J1953" s="444">
        <f t="array" ref="J1953">IFERROR(INDEX('Retirement Calculator'!J:J,MATCH('Isaac 401k'!N1953,'Retirement Calculator'!A:A,0),0),0)</f>
        <v>0</v>
      </c>
      <c r="K1953" s="444">
        <f t="shared" ca="1" si="136"/>
        <v>-6276621.1082114894</v>
      </c>
      <c r="L1953" s="444">
        <f t="shared" ca="1" si="137"/>
        <v>-1512665687.078969</v>
      </c>
      <c r="M1953" s="460">
        <f t="shared" si="139"/>
        <v>0.05</v>
      </c>
      <c r="N1953" s="464">
        <f t="shared" si="140"/>
        <v>110486</v>
      </c>
    </row>
    <row r="1954" spans="7:14" ht="11.25" customHeight="1" x14ac:dyDescent="0.25">
      <c r="G1954" s="459"/>
      <c r="H1954" s="459">
        <v>1947</v>
      </c>
      <c r="I1954" s="444">
        <f t="shared" ca="1" si="138"/>
        <v>-1512665687.078969</v>
      </c>
      <c r="J1954" s="444">
        <f t="array" ref="J1954">IFERROR(INDEX('Retirement Calculator'!J:J,MATCH('Isaac 401k'!N1954,'Retirement Calculator'!A:A,0),0),0)</f>
        <v>0</v>
      </c>
      <c r="K1954" s="444">
        <f t="shared" ca="1" si="136"/>
        <v>-6302773.696162371</v>
      </c>
      <c r="L1954" s="444">
        <f t="shared" ca="1" si="137"/>
        <v>-1518968460.7751315</v>
      </c>
      <c r="M1954" s="460">
        <f t="shared" si="139"/>
        <v>0.05</v>
      </c>
      <c r="N1954" s="464">
        <f t="shared" si="140"/>
        <v>110517</v>
      </c>
    </row>
    <row r="1955" spans="7:14" ht="11.25" customHeight="1" x14ac:dyDescent="0.25">
      <c r="G1955" s="459"/>
      <c r="H1955" s="459">
        <v>1948</v>
      </c>
      <c r="I1955" s="444">
        <f t="shared" ca="1" si="138"/>
        <v>-1518968460.7751315</v>
      </c>
      <c r="J1955" s="444">
        <f t="array" ref="J1955">IFERROR(INDEX('Retirement Calculator'!J:J,MATCH('Isaac 401k'!N1955,'Retirement Calculator'!A:A,0),0),0)</f>
        <v>0</v>
      </c>
      <c r="K1955" s="444">
        <f t="shared" ca="1" si="136"/>
        <v>-6329035.253229714</v>
      </c>
      <c r="L1955" s="444">
        <f t="shared" ca="1" si="137"/>
        <v>-1525297496.0283611</v>
      </c>
      <c r="M1955" s="460">
        <f t="shared" si="139"/>
        <v>0.05</v>
      </c>
      <c r="N1955" s="464">
        <f t="shared" si="140"/>
        <v>110548</v>
      </c>
    </row>
    <row r="1956" spans="7:14" ht="11.25" customHeight="1" x14ac:dyDescent="0.25">
      <c r="G1956" s="459"/>
      <c r="H1956" s="459">
        <v>1949</v>
      </c>
      <c r="I1956" s="444">
        <f t="shared" ca="1" si="138"/>
        <v>-1525297496.0283611</v>
      </c>
      <c r="J1956" s="444">
        <f t="array" ref="J1956">IFERROR(INDEX('Retirement Calculator'!J:J,MATCH('Isaac 401k'!N1956,'Retirement Calculator'!A:A,0),0),0)</f>
        <v>0</v>
      </c>
      <c r="K1956" s="444">
        <f t="shared" ca="1" si="136"/>
        <v>-6355406.2334515043</v>
      </c>
      <c r="L1956" s="444">
        <f t="shared" ca="1" si="137"/>
        <v>-1531652902.2618127</v>
      </c>
      <c r="M1956" s="460">
        <f t="shared" si="139"/>
        <v>0.05</v>
      </c>
      <c r="N1956" s="464">
        <f t="shared" si="140"/>
        <v>110578</v>
      </c>
    </row>
    <row r="1957" spans="7:14" ht="11.25" customHeight="1" x14ac:dyDescent="0.25">
      <c r="G1957" s="459"/>
      <c r="H1957" s="459">
        <v>1950</v>
      </c>
      <c r="I1957" s="444">
        <f t="shared" ca="1" si="138"/>
        <v>-1531652902.2618127</v>
      </c>
      <c r="J1957" s="444">
        <f t="array" ref="J1957">IFERROR(INDEX('Retirement Calculator'!J:J,MATCH('Isaac 401k'!N1957,'Retirement Calculator'!A:A,0),0),0)</f>
        <v>0</v>
      </c>
      <c r="K1957" s="444">
        <f t="shared" ca="1" si="136"/>
        <v>-6381887.0927575529</v>
      </c>
      <c r="L1957" s="444">
        <f t="shared" ca="1" si="137"/>
        <v>-1538034789.3545702</v>
      </c>
      <c r="M1957" s="460">
        <f t="shared" si="139"/>
        <v>0.05</v>
      </c>
      <c r="N1957" s="464">
        <f t="shared" si="140"/>
        <v>110609</v>
      </c>
    </row>
    <row r="1958" spans="7:14" ht="11.25" customHeight="1" x14ac:dyDescent="0.25">
      <c r="G1958" s="459"/>
      <c r="H1958" s="459">
        <v>1951</v>
      </c>
      <c r="I1958" s="444">
        <f t="shared" ca="1" si="138"/>
        <v>-1538034789.3545702</v>
      </c>
      <c r="J1958" s="444">
        <f t="array" ref="J1958">IFERROR(INDEX('Retirement Calculator'!J:J,MATCH('Isaac 401k'!N1958,'Retirement Calculator'!A:A,0),0),0)</f>
        <v>0</v>
      </c>
      <c r="K1958" s="444">
        <f t="shared" ca="1" si="136"/>
        <v>-6408478.2889773753</v>
      </c>
      <c r="L1958" s="444">
        <f t="shared" ca="1" si="137"/>
        <v>-1544443267.6435475</v>
      </c>
      <c r="M1958" s="460">
        <f t="shared" si="139"/>
        <v>0.05</v>
      </c>
      <c r="N1958" s="464">
        <f t="shared" si="140"/>
        <v>110639</v>
      </c>
    </row>
    <row r="1959" spans="7:14" ht="11.25" customHeight="1" x14ac:dyDescent="0.25">
      <c r="G1959" s="459"/>
      <c r="H1959" s="459">
        <v>1952</v>
      </c>
      <c r="I1959" s="444">
        <f t="shared" ca="1" si="138"/>
        <v>-1544443267.6435475</v>
      </c>
      <c r="J1959" s="444">
        <f t="array" ref="J1959">IFERROR(INDEX('Retirement Calculator'!J:J,MATCH('Isaac 401k'!N1959,'Retirement Calculator'!A:A,0),0),0)</f>
        <v>0</v>
      </c>
      <c r="K1959" s="444">
        <f t="shared" ca="1" si="136"/>
        <v>-6435180.2818481149</v>
      </c>
      <c r="L1959" s="444">
        <f t="shared" ca="1" si="137"/>
        <v>-1550878447.9253957</v>
      </c>
      <c r="M1959" s="460">
        <f t="shared" si="139"/>
        <v>0.05</v>
      </c>
      <c r="N1959" s="464">
        <f t="shared" si="140"/>
        <v>110670</v>
      </c>
    </row>
    <row r="1960" spans="7:14" ht="11.25" customHeight="1" x14ac:dyDescent="0.25">
      <c r="G1960" s="459"/>
      <c r="H1960" s="459">
        <v>1953</v>
      </c>
      <c r="I1960" s="444">
        <f t="shared" ca="1" si="138"/>
        <v>-1550878447.9253957</v>
      </c>
      <c r="J1960" s="444">
        <f t="array" ref="J1960">IFERROR(INDEX('Retirement Calculator'!J:J,MATCH('Isaac 401k'!N1960,'Retirement Calculator'!A:A,0),0),0)</f>
        <v>0</v>
      </c>
      <c r="K1960" s="444">
        <f t="shared" ca="1" si="136"/>
        <v>-6461993.5330224819</v>
      </c>
      <c r="L1960" s="444">
        <f t="shared" ca="1" si="137"/>
        <v>-1557340441.4584181</v>
      </c>
      <c r="M1960" s="460">
        <f t="shared" si="139"/>
        <v>0.05</v>
      </c>
      <c r="N1960" s="464">
        <f t="shared" si="140"/>
        <v>110701</v>
      </c>
    </row>
    <row r="1961" spans="7:14" ht="11.25" customHeight="1" x14ac:dyDescent="0.25">
      <c r="G1961" s="459"/>
      <c r="H1961" s="459">
        <v>1954</v>
      </c>
      <c r="I1961" s="444">
        <f t="shared" ca="1" si="138"/>
        <v>-1557340441.4584181</v>
      </c>
      <c r="J1961" s="444">
        <f t="array" ref="J1961">IFERROR(INDEX('Retirement Calculator'!J:J,MATCH('Isaac 401k'!N1961,'Retirement Calculator'!A:A,0),0),0)</f>
        <v>0</v>
      </c>
      <c r="K1961" s="444">
        <f t="shared" ca="1" si="136"/>
        <v>-6488918.506076742</v>
      </c>
      <c r="L1961" s="444">
        <f t="shared" ca="1" si="137"/>
        <v>-1563829359.9644949</v>
      </c>
      <c r="M1961" s="460">
        <f t="shared" si="139"/>
        <v>0.05</v>
      </c>
      <c r="N1961" s="464">
        <f t="shared" si="140"/>
        <v>110729</v>
      </c>
    </row>
    <row r="1962" spans="7:14" ht="11.25" customHeight="1" x14ac:dyDescent="0.25">
      <c r="G1962" s="459"/>
      <c r="H1962" s="459">
        <v>1955</v>
      </c>
      <c r="I1962" s="444">
        <f t="shared" ca="1" si="138"/>
        <v>-1563829359.9644949</v>
      </c>
      <c r="J1962" s="444">
        <f t="array" ref="J1962">IFERROR(INDEX('Retirement Calculator'!J:J,MATCH('Isaac 401k'!N1962,'Retirement Calculator'!A:A,0),0),0)</f>
        <v>0</v>
      </c>
      <c r="K1962" s="444">
        <f t="shared" ca="1" si="136"/>
        <v>-6515955.6665187292</v>
      </c>
      <c r="L1962" s="444">
        <f t="shared" ca="1" si="137"/>
        <v>-1570345315.6310136</v>
      </c>
      <c r="M1962" s="460">
        <f t="shared" si="139"/>
        <v>0.05</v>
      </c>
      <c r="N1962" s="464">
        <f t="shared" si="140"/>
        <v>110760</v>
      </c>
    </row>
    <row r="1963" spans="7:14" ht="11.25" customHeight="1" x14ac:dyDescent="0.25">
      <c r="G1963" s="459"/>
      <c r="H1963" s="459">
        <v>1956</v>
      </c>
      <c r="I1963" s="444">
        <f t="shared" ca="1" si="138"/>
        <v>-1570345315.6310136</v>
      </c>
      <c r="J1963" s="444">
        <f t="array" ref="J1963">IFERROR(INDEX('Retirement Calculator'!J:J,MATCH('Isaac 401k'!N1963,'Retirement Calculator'!A:A,0),0),0)</f>
        <v>0</v>
      </c>
      <c r="K1963" s="444">
        <f t="shared" ca="1" si="136"/>
        <v>-6543105.4817958903</v>
      </c>
      <c r="L1963" s="444">
        <f t="shared" ca="1" si="137"/>
        <v>-1576888421.1128094</v>
      </c>
      <c r="M1963" s="460">
        <f t="shared" si="139"/>
        <v>0.05</v>
      </c>
      <c r="N1963" s="464">
        <f t="shared" si="140"/>
        <v>110790</v>
      </c>
    </row>
    <row r="1964" spans="7:14" ht="11.25" customHeight="1" x14ac:dyDescent="0.25">
      <c r="G1964" s="459"/>
      <c r="H1964" s="459">
        <v>1957</v>
      </c>
      <c r="I1964" s="444">
        <f t="shared" ca="1" si="138"/>
        <v>-1576888421.1128094</v>
      </c>
      <c r="J1964" s="444">
        <f t="array" ref="J1964">IFERROR(INDEX('Retirement Calculator'!J:J,MATCH('Isaac 401k'!N1964,'Retirement Calculator'!A:A,0),0),0)</f>
        <v>0</v>
      </c>
      <c r="K1964" s="444">
        <f t="shared" ca="1" si="136"/>
        <v>-6570368.4213033728</v>
      </c>
      <c r="L1964" s="444">
        <f t="shared" ca="1" si="137"/>
        <v>-1583458789.5341127</v>
      </c>
      <c r="M1964" s="460">
        <f t="shared" si="139"/>
        <v>0.05</v>
      </c>
      <c r="N1964" s="464">
        <f t="shared" si="140"/>
        <v>110821</v>
      </c>
    </row>
    <row r="1965" spans="7:14" ht="11.25" customHeight="1" x14ac:dyDescent="0.25">
      <c r="G1965" s="459"/>
      <c r="H1965" s="459">
        <v>1958</v>
      </c>
      <c r="I1965" s="444">
        <f t="shared" ca="1" si="138"/>
        <v>-1583458789.5341127</v>
      </c>
      <c r="J1965" s="444">
        <f t="array" ref="J1965">IFERROR(INDEX('Retirement Calculator'!J:J,MATCH('Isaac 401k'!N1965,'Retirement Calculator'!A:A,0),0),0)</f>
        <v>0</v>
      </c>
      <c r="K1965" s="444">
        <f t="shared" ca="1" si="136"/>
        <v>-6597744.9563921364</v>
      </c>
      <c r="L1965" s="444">
        <f t="shared" ca="1" si="137"/>
        <v>-1590056534.4905047</v>
      </c>
      <c r="M1965" s="460">
        <f t="shared" si="139"/>
        <v>0.05</v>
      </c>
      <c r="N1965" s="464">
        <f t="shared" si="140"/>
        <v>110851</v>
      </c>
    </row>
    <row r="1966" spans="7:14" ht="11.25" customHeight="1" x14ac:dyDescent="0.25">
      <c r="G1966" s="459"/>
      <c r="H1966" s="459">
        <v>1959</v>
      </c>
      <c r="I1966" s="444">
        <f t="shared" ca="1" si="138"/>
        <v>-1590056534.4905047</v>
      </c>
      <c r="J1966" s="444">
        <f t="array" ref="J1966">IFERROR(INDEX('Retirement Calculator'!J:J,MATCH('Isaac 401k'!N1966,'Retirement Calculator'!A:A,0),0),0)</f>
        <v>0</v>
      </c>
      <c r="K1966" s="444">
        <f t="shared" ca="1" si="136"/>
        <v>-6625235.5603771033</v>
      </c>
      <c r="L1966" s="444">
        <f t="shared" ca="1" si="137"/>
        <v>-1596681770.0508819</v>
      </c>
      <c r="M1966" s="460">
        <f t="shared" si="139"/>
        <v>0.05</v>
      </c>
      <c r="N1966" s="464">
        <f t="shared" si="140"/>
        <v>110882</v>
      </c>
    </row>
    <row r="1967" spans="7:14" ht="11.25" customHeight="1" x14ac:dyDescent="0.25">
      <c r="G1967" s="459"/>
      <c r="H1967" s="459">
        <v>1960</v>
      </c>
      <c r="I1967" s="444">
        <f t="shared" ca="1" si="138"/>
        <v>-1596681770.0508819</v>
      </c>
      <c r="J1967" s="444">
        <f t="array" ref="J1967">IFERROR(INDEX('Retirement Calculator'!J:J,MATCH('Isaac 401k'!N1967,'Retirement Calculator'!A:A,0),0),0)</f>
        <v>0</v>
      </c>
      <c r="K1967" s="444">
        <f t="shared" ca="1" si="136"/>
        <v>-6652840.7085453412</v>
      </c>
      <c r="L1967" s="444">
        <f t="shared" ca="1" si="137"/>
        <v>-1603334610.7594273</v>
      </c>
      <c r="M1967" s="460">
        <f t="shared" si="139"/>
        <v>0.05</v>
      </c>
      <c r="N1967" s="464">
        <f t="shared" si="140"/>
        <v>110913</v>
      </c>
    </row>
    <row r="1968" spans="7:14" ht="11.25" customHeight="1" x14ac:dyDescent="0.25">
      <c r="G1968" s="459"/>
      <c r="H1968" s="459">
        <v>1961</v>
      </c>
      <c r="I1968" s="444">
        <f t="shared" ca="1" si="138"/>
        <v>-1603334610.7594273</v>
      </c>
      <c r="J1968" s="444">
        <f t="array" ref="J1968">IFERROR(INDEX('Retirement Calculator'!J:J,MATCH('Isaac 401k'!N1968,'Retirement Calculator'!A:A,0),0),0)</f>
        <v>0</v>
      </c>
      <c r="K1968" s="444">
        <f t="shared" ca="1" si="136"/>
        <v>-6680560.8781642802</v>
      </c>
      <c r="L1968" s="444">
        <f t="shared" ca="1" si="137"/>
        <v>-1610015171.6375916</v>
      </c>
      <c r="M1968" s="460">
        <f t="shared" si="139"/>
        <v>0.05</v>
      </c>
      <c r="N1968" s="464">
        <f t="shared" si="140"/>
        <v>110943</v>
      </c>
    </row>
    <row r="1969" spans="7:14" ht="11.25" customHeight="1" x14ac:dyDescent="0.25">
      <c r="G1969" s="459"/>
      <c r="H1969" s="459">
        <v>1962</v>
      </c>
      <c r="I1969" s="444">
        <f t="shared" ca="1" si="138"/>
        <v>-1610015171.6375916</v>
      </c>
      <c r="J1969" s="444">
        <f t="array" ref="J1969">IFERROR(INDEX('Retirement Calculator'!J:J,MATCH('Isaac 401k'!N1969,'Retirement Calculator'!A:A,0),0),0)</f>
        <v>0</v>
      </c>
      <c r="K1969" s="444">
        <f t="shared" ca="1" si="136"/>
        <v>-6708396.5484899646</v>
      </c>
      <c r="L1969" s="444">
        <f t="shared" ca="1" si="137"/>
        <v>-1616723568.1860816</v>
      </c>
      <c r="M1969" s="460">
        <f t="shared" si="139"/>
        <v>0.05</v>
      </c>
      <c r="N1969" s="464">
        <f t="shared" si="140"/>
        <v>110974</v>
      </c>
    </row>
    <row r="1970" spans="7:14" ht="11.25" customHeight="1" x14ac:dyDescent="0.25">
      <c r="G1970" s="459"/>
      <c r="H1970" s="459">
        <v>1963</v>
      </c>
      <c r="I1970" s="444">
        <f t="shared" ca="1" si="138"/>
        <v>-1616723568.1860816</v>
      </c>
      <c r="J1970" s="444">
        <f t="array" ref="J1970">IFERROR(INDEX('Retirement Calculator'!J:J,MATCH('Isaac 401k'!N1970,'Retirement Calculator'!A:A,0),0),0)</f>
        <v>0</v>
      </c>
      <c r="K1970" s="444">
        <f t="shared" ca="1" si="136"/>
        <v>-6736348.2007753402</v>
      </c>
      <c r="L1970" s="444">
        <f t="shared" ca="1" si="137"/>
        <v>-1623459916.386857</v>
      </c>
      <c r="M1970" s="460">
        <f t="shared" si="139"/>
        <v>0.05</v>
      </c>
      <c r="N1970" s="464">
        <f t="shared" si="140"/>
        <v>111004</v>
      </c>
    </row>
    <row r="1971" spans="7:14" ht="11.25" customHeight="1" x14ac:dyDescent="0.25">
      <c r="G1971" s="459"/>
      <c r="H1971" s="459">
        <v>1964</v>
      </c>
      <c r="I1971" s="444">
        <f t="shared" ca="1" si="138"/>
        <v>-1623459916.386857</v>
      </c>
      <c r="J1971" s="444">
        <f t="array" ref="J1971">IFERROR(INDEX('Retirement Calculator'!J:J,MATCH('Isaac 401k'!N1971,'Retirement Calculator'!A:A,0),0),0)</f>
        <v>0</v>
      </c>
      <c r="K1971" s="444">
        <f t="shared" ca="1" si="136"/>
        <v>-6764416.3182785707</v>
      </c>
      <c r="L1971" s="444">
        <f t="shared" ca="1" si="137"/>
        <v>-1630224332.7051356</v>
      </c>
      <c r="M1971" s="460">
        <f t="shared" si="139"/>
        <v>0.05</v>
      </c>
      <c r="N1971" s="464">
        <f t="shared" si="140"/>
        <v>111035</v>
      </c>
    </row>
    <row r="1972" spans="7:14" ht="11.25" customHeight="1" x14ac:dyDescent="0.25">
      <c r="G1972" s="459"/>
      <c r="H1972" s="459">
        <v>1965</v>
      </c>
      <c r="I1972" s="444">
        <f t="shared" ca="1" si="138"/>
        <v>-1630224332.7051356</v>
      </c>
      <c r="J1972" s="444">
        <f t="array" ref="J1972">IFERROR(INDEX('Retirement Calculator'!J:J,MATCH('Isaac 401k'!N1972,'Retirement Calculator'!A:A,0),0),0)</f>
        <v>0</v>
      </c>
      <c r="K1972" s="444">
        <f t="shared" ca="1" si="136"/>
        <v>-6792601.3862713985</v>
      </c>
      <c r="L1972" s="444">
        <f t="shared" ca="1" si="137"/>
        <v>-1637016934.0914071</v>
      </c>
      <c r="M1972" s="460">
        <f t="shared" si="139"/>
        <v>0.05</v>
      </c>
      <c r="N1972" s="464">
        <f t="shared" si="140"/>
        <v>111066</v>
      </c>
    </row>
    <row r="1973" spans="7:14" ht="11.25" customHeight="1" x14ac:dyDescent="0.25">
      <c r="G1973" s="459"/>
      <c r="H1973" s="459">
        <v>1966</v>
      </c>
      <c r="I1973" s="444">
        <f t="shared" ca="1" si="138"/>
        <v>-1637016934.0914071</v>
      </c>
      <c r="J1973" s="444">
        <f t="array" ref="J1973">IFERROR(INDEX('Retirement Calculator'!J:J,MATCH('Isaac 401k'!N1973,'Retirement Calculator'!A:A,0),0),0)</f>
        <v>0</v>
      </c>
      <c r="K1973" s="444">
        <f t="shared" ca="1" si="136"/>
        <v>-6820903.8920475291</v>
      </c>
      <c r="L1973" s="444">
        <f t="shared" ca="1" si="137"/>
        <v>-1643837837.9834547</v>
      </c>
      <c r="M1973" s="460">
        <f t="shared" si="139"/>
        <v>0.05</v>
      </c>
      <c r="N1973" s="464">
        <f t="shared" si="140"/>
        <v>111095</v>
      </c>
    </row>
    <row r="1974" spans="7:14" ht="11.25" customHeight="1" x14ac:dyDescent="0.25">
      <c r="G1974" s="459"/>
      <c r="H1974" s="459">
        <v>1967</v>
      </c>
      <c r="I1974" s="444">
        <f t="shared" ca="1" si="138"/>
        <v>-1643837837.9834547</v>
      </c>
      <c r="J1974" s="444">
        <f t="array" ref="J1974">IFERROR(INDEX('Retirement Calculator'!J:J,MATCH('Isaac 401k'!N1974,'Retirement Calculator'!A:A,0),0),0)</f>
        <v>0</v>
      </c>
      <c r="K1974" s="444">
        <f t="shared" ca="1" si="136"/>
        <v>-6849324.3249310609</v>
      </c>
      <c r="L1974" s="444">
        <f t="shared" ca="1" si="137"/>
        <v>-1650687162.3083858</v>
      </c>
      <c r="M1974" s="460">
        <f t="shared" si="139"/>
        <v>0.05</v>
      </c>
      <c r="N1974" s="464">
        <f t="shared" si="140"/>
        <v>111126</v>
      </c>
    </row>
    <row r="1975" spans="7:14" ht="11.25" customHeight="1" x14ac:dyDescent="0.25">
      <c r="G1975" s="459"/>
      <c r="H1975" s="459">
        <v>1968</v>
      </c>
      <c r="I1975" s="444">
        <f t="shared" ca="1" si="138"/>
        <v>-1650687162.3083858</v>
      </c>
      <c r="J1975" s="444">
        <f t="array" ref="J1975">IFERROR(INDEX('Retirement Calculator'!J:J,MATCH('Isaac 401k'!N1975,'Retirement Calculator'!A:A,0),0),0)</f>
        <v>0</v>
      </c>
      <c r="K1975" s="444">
        <f t="shared" ca="1" si="136"/>
        <v>-6877863.1762849409</v>
      </c>
      <c r="L1975" s="444">
        <f t="shared" ca="1" si="137"/>
        <v>-1657565025.4846709</v>
      </c>
      <c r="M1975" s="460">
        <f t="shared" si="139"/>
        <v>0.05</v>
      </c>
      <c r="N1975" s="464">
        <f t="shared" si="140"/>
        <v>111156</v>
      </c>
    </row>
    <row r="1976" spans="7:14" ht="11.25" customHeight="1" x14ac:dyDescent="0.25">
      <c r="G1976" s="459"/>
      <c r="H1976" s="459">
        <v>1969</v>
      </c>
      <c r="I1976" s="444">
        <f t="shared" ca="1" si="138"/>
        <v>-1657565025.4846709</v>
      </c>
      <c r="J1976" s="444">
        <f t="array" ref="J1976">IFERROR(INDEX('Retirement Calculator'!J:J,MATCH('Isaac 401k'!N1976,'Retirement Calculator'!A:A,0),0),0)</f>
        <v>0</v>
      </c>
      <c r="K1976" s="444">
        <f t="shared" ca="1" si="136"/>
        <v>-6906520.9395194622</v>
      </c>
      <c r="L1976" s="444">
        <f t="shared" ca="1" si="137"/>
        <v>-1664471546.4241903</v>
      </c>
      <c r="M1976" s="460">
        <f t="shared" si="139"/>
        <v>0.05</v>
      </c>
      <c r="N1976" s="464">
        <f t="shared" si="140"/>
        <v>111187</v>
      </c>
    </row>
    <row r="1977" spans="7:14" ht="11.25" customHeight="1" x14ac:dyDescent="0.25">
      <c r="G1977" s="459"/>
      <c r="H1977" s="459">
        <v>1970</v>
      </c>
      <c r="I1977" s="444">
        <f t="shared" ca="1" si="138"/>
        <v>-1664471546.4241903</v>
      </c>
      <c r="J1977" s="444">
        <f t="array" ref="J1977">IFERROR(INDEX('Retirement Calculator'!J:J,MATCH('Isaac 401k'!N1977,'Retirement Calculator'!A:A,0),0),0)</f>
        <v>0</v>
      </c>
      <c r="K1977" s="444">
        <f t="shared" ca="1" si="136"/>
        <v>-6935298.1101007927</v>
      </c>
      <c r="L1977" s="444">
        <f t="shared" ca="1" si="137"/>
        <v>-1671406844.534291</v>
      </c>
      <c r="M1977" s="460">
        <f t="shared" si="139"/>
        <v>0.05</v>
      </c>
      <c r="N1977" s="464">
        <f t="shared" si="140"/>
        <v>111217</v>
      </c>
    </row>
    <row r="1978" spans="7:14" ht="11.25" customHeight="1" x14ac:dyDescent="0.25">
      <c r="G1978" s="459"/>
      <c r="H1978" s="459">
        <v>1971</v>
      </c>
      <c r="I1978" s="444">
        <f t="shared" ca="1" si="138"/>
        <v>-1671406844.534291</v>
      </c>
      <c r="J1978" s="444">
        <f t="array" ref="J1978">IFERROR(INDEX('Retirement Calculator'!J:J,MATCH('Isaac 401k'!N1978,'Retirement Calculator'!A:A,0),0),0)</f>
        <v>0</v>
      </c>
      <c r="K1978" s="444">
        <f t="shared" ca="1" si="136"/>
        <v>-6964195.1855595456</v>
      </c>
      <c r="L1978" s="444">
        <f t="shared" ca="1" si="137"/>
        <v>-1678371039.7198505</v>
      </c>
      <c r="M1978" s="460">
        <f t="shared" si="139"/>
        <v>0.05</v>
      </c>
      <c r="N1978" s="464">
        <f t="shared" si="140"/>
        <v>111248</v>
      </c>
    </row>
    <row r="1979" spans="7:14" ht="11.25" customHeight="1" x14ac:dyDescent="0.25">
      <c r="G1979" s="459"/>
      <c r="H1979" s="459">
        <v>1972</v>
      </c>
      <c r="I1979" s="444">
        <f t="shared" ca="1" si="138"/>
        <v>-1678371039.7198505</v>
      </c>
      <c r="J1979" s="444">
        <f t="array" ref="J1979">IFERROR(INDEX('Retirement Calculator'!J:J,MATCH('Isaac 401k'!N1979,'Retirement Calculator'!A:A,0),0),0)</f>
        <v>0</v>
      </c>
      <c r="K1979" s="444">
        <f t="shared" ca="1" si="136"/>
        <v>-6993212.6654993771</v>
      </c>
      <c r="L1979" s="444">
        <f t="shared" ca="1" si="137"/>
        <v>-1685364252.38535</v>
      </c>
      <c r="M1979" s="460">
        <f t="shared" si="139"/>
        <v>0.05</v>
      </c>
      <c r="N1979" s="464">
        <f t="shared" si="140"/>
        <v>111279</v>
      </c>
    </row>
    <row r="1980" spans="7:14" ht="11.25" customHeight="1" x14ac:dyDescent="0.25">
      <c r="G1980" s="459"/>
      <c r="H1980" s="459">
        <v>1973</v>
      </c>
      <c r="I1980" s="444">
        <f t="shared" ca="1" si="138"/>
        <v>-1685364252.38535</v>
      </c>
      <c r="J1980" s="444">
        <f t="array" ref="J1980">IFERROR(INDEX('Retirement Calculator'!J:J,MATCH('Isaac 401k'!N1980,'Retirement Calculator'!A:A,0),0),0)</f>
        <v>0</v>
      </c>
      <c r="K1980" s="444">
        <f t="shared" ca="1" si="136"/>
        <v>-7022351.0516056251</v>
      </c>
      <c r="L1980" s="444">
        <f t="shared" ca="1" si="137"/>
        <v>-1692386603.4369557</v>
      </c>
      <c r="M1980" s="460">
        <f t="shared" si="139"/>
        <v>0.05</v>
      </c>
      <c r="N1980" s="464">
        <f t="shared" si="140"/>
        <v>111309</v>
      </c>
    </row>
    <row r="1981" spans="7:14" ht="11.25" customHeight="1" x14ac:dyDescent="0.25">
      <c r="G1981" s="459"/>
      <c r="H1981" s="459">
        <v>1974</v>
      </c>
      <c r="I1981" s="444">
        <f t="shared" ca="1" si="138"/>
        <v>-1692386603.4369557</v>
      </c>
      <c r="J1981" s="444">
        <f t="array" ref="J1981">IFERROR(INDEX('Retirement Calculator'!J:J,MATCH('Isaac 401k'!N1981,'Retirement Calculator'!A:A,0),0),0)</f>
        <v>0</v>
      </c>
      <c r="K1981" s="444">
        <f t="shared" ca="1" si="136"/>
        <v>-7051610.8476539822</v>
      </c>
      <c r="L1981" s="444">
        <f t="shared" ca="1" si="137"/>
        <v>-1699438214.2846096</v>
      </c>
      <c r="M1981" s="460">
        <f t="shared" si="139"/>
        <v>0.05</v>
      </c>
      <c r="N1981" s="464">
        <f t="shared" si="140"/>
        <v>111340</v>
      </c>
    </row>
    <row r="1982" spans="7:14" ht="11.25" customHeight="1" x14ac:dyDescent="0.25">
      <c r="G1982" s="459"/>
      <c r="H1982" s="459">
        <v>1975</v>
      </c>
      <c r="I1982" s="444">
        <f t="shared" ca="1" si="138"/>
        <v>-1699438214.2846096</v>
      </c>
      <c r="J1982" s="444">
        <f t="array" ref="J1982">IFERROR(INDEX('Retirement Calculator'!J:J,MATCH('Isaac 401k'!N1982,'Retirement Calculator'!A:A,0),0),0)</f>
        <v>0</v>
      </c>
      <c r="K1982" s="444">
        <f t="shared" ca="1" si="136"/>
        <v>-7080992.5595192062</v>
      </c>
      <c r="L1982" s="444">
        <f t="shared" ca="1" si="137"/>
        <v>-1706519206.8441288</v>
      </c>
      <c r="M1982" s="460">
        <f t="shared" si="139"/>
        <v>0.05</v>
      </c>
      <c r="N1982" s="464">
        <f t="shared" si="140"/>
        <v>111370</v>
      </c>
    </row>
    <row r="1983" spans="7:14" ht="11.25" customHeight="1" x14ac:dyDescent="0.25">
      <c r="G1983" s="459"/>
      <c r="H1983" s="459">
        <v>1976</v>
      </c>
      <c r="I1983" s="444">
        <f t="shared" ca="1" si="138"/>
        <v>-1706519206.8441288</v>
      </c>
      <c r="J1983" s="444">
        <f t="array" ref="J1983">IFERROR(INDEX('Retirement Calculator'!J:J,MATCH('Isaac 401k'!N1983,'Retirement Calculator'!A:A,0),0),0)</f>
        <v>0</v>
      </c>
      <c r="K1983" s="444">
        <f t="shared" ca="1" si="136"/>
        <v>-7110496.6951838704</v>
      </c>
      <c r="L1983" s="444">
        <f t="shared" ca="1" si="137"/>
        <v>-1713629703.5393126</v>
      </c>
      <c r="M1983" s="460">
        <f t="shared" si="139"/>
        <v>0.05</v>
      </c>
      <c r="N1983" s="464">
        <f t="shared" si="140"/>
        <v>111401</v>
      </c>
    </row>
    <row r="1984" spans="7:14" ht="11.25" customHeight="1" x14ac:dyDescent="0.25">
      <c r="G1984" s="459"/>
      <c r="H1984" s="459">
        <v>1977</v>
      </c>
      <c r="I1984" s="444">
        <f t="shared" ca="1" si="138"/>
        <v>-1713629703.5393126</v>
      </c>
      <c r="J1984" s="444">
        <f t="array" ref="J1984">IFERROR(INDEX('Retirement Calculator'!J:J,MATCH('Isaac 401k'!N1984,'Retirement Calculator'!A:A,0),0),0)</f>
        <v>0</v>
      </c>
      <c r="K1984" s="444">
        <f t="shared" ca="1" si="136"/>
        <v>-7140123.7647471353</v>
      </c>
      <c r="L1984" s="444">
        <f t="shared" ca="1" si="137"/>
        <v>-1720769827.3040597</v>
      </c>
      <c r="M1984" s="460">
        <f t="shared" si="139"/>
        <v>0.05</v>
      </c>
      <c r="N1984" s="464">
        <f t="shared" si="140"/>
        <v>111432</v>
      </c>
    </row>
    <row r="1985" spans="7:14" ht="11.25" customHeight="1" x14ac:dyDescent="0.25">
      <c r="G1985" s="459"/>
      <c r="H1985" s="459">
        <v>1978</v>
      </c>
      <c r="I1985" s="444">
        <f t="shared" ca="1" si="138"/>
        <v>-1720769827.3040597</v>
      </c>
      <c r="J1985" s="444">
        <f t="array" ref="J1985">IFERROR(INDEX('Retirement Calculator'!J:J,MATCH('Isaac 401k'!N1985,'Retirement Calculator'!A:A,0),0),0)</f>
        <v>0</v>
      </c>
      <c r="K1985" s="444">
        <f t="shared" ca="1" si="136"/>
        <v>-7169874.2804335821</v>
      </c>
      <c r="L1985" s="444">
        <f t="shared" ca="1" si="137"/>
        <v>-1727939701.5844934</v>
      </c>
      <c r="M1985" s="460">
        <f t="shared" si="139"/>
        <v>0.05</v>
      </c>
      <c r="N1985" s="464">
        <f t="shared" si="140"/>
        <v>111460</v>
      </c>
    </row>
    <row r="1986" spans="7:14" ht="11.25" customHeight="1" x14ac:dyDescent="0.25">
      <c r="G1986" s="459"/>
      <c r="H1986" s="459">
        <v>1979</v>
      </c>
      <c r="I1986" s="444">
        <f t="shared" ca="1" si="138"/>
        <v>-1727939701.5844934</v>
      </c>
      <c r="J1986" s="444">
        <f t="array" ref="J1986">IFERROR(INDEX('Retirement Calculator'!J:J,MATCH('Isaac 401k'!N1986,'Retirement Calculator'!A:A,0),0),0)</f>
        <v>0</v>
      </c>
      <c r="K1986" s="444">
        <f t="shared" ca="1" si="136"/>
        <v>-7199748.7566020545</v>
      </c>
      <c r="L1986" s="444">
        <f t="shared" ca="1" si="137"/>
        <v>-1735139450.3410954</v>
      </c>
      <c r="M1986" s="460">
        <f t="shared" si="139"/>
        <v>0.05</v>
      </c>
      <c r="N1986" s="464">
        <f t="shared" si="140"/>
        <v>111491</v>
      </c>
    </row>
    <row r="1987" spans="7:14" ht="11.25" customHeight="1" x14ac:dyDescent="0.25">
      <c r="G1987" s="459"/>
      <c r="H1987" s="459">
        <v>1980</v>
      </c>
      <c r="I1987" s="444">
        <f t="shared" ca="1" si="138"/>
        <v>-1735139450.3410954</v>
      </c>
      <c r="J1987" s="444">
        <f t="array" ref="J1987">IFERROR(INDEX('Retirement Calculator'!J:J,MATCH('Isaac 401k'!N1987,'Retirement Calculator'!A:A,0),0),0)</f>
        <v>0</v>
      </c>
      <c r="K1987" s="444">
        <f t="shared" ca="1" si="136"/>
        <v>-7229747.7097545639</v>
      </c>
      <c r="L1987" s="444">
        <f t="shared" ca="1" si="137"/>
        <v>-1742369198.0508499</v>
      </c>
      <c r="M1987" s="460">
        <f t="shared" si="139"/>
        <v>0.05</v>
      </c>
      <c r="N1987" s="464">
        <f t="shared" si="140"/>
        <v>111521</v>
      </c>
    </row>
    <row r="1988" spans="7:14" ht="11.25" customHeight="1" x14ac:dyDescent="0.25">
      <c r="G1988" s="459"/>
      <c r="H1988" s="459">
        <v>1981</v>
      </c>
      <c r="I1988" s="444">
        <f t="shared" ca="1" si="138"/>
        <v>-1742369198.0508499</v>
      </c>
      <c r="J1988" s="444">
        <f t="array" ref="J1988">IFERROR(INDEX('Retirement Calculator'!J:J,MATCH('Isaac 401k'!N1988,'Retirement Calculator'!A:A,0),0),0)</f>
        <v>0</v>
      </c>
      <c r="K1988" s="444">
        <f t="shared" ca="1" si="136"/>
        <v>-7259871.6585452072</v>
      </c>
      <c r="L1988" s="444">
        <f t="shared" ca="1" si="137"/>
        <v>-1749629069.7093952</v>
      </c>
      <c r="M1988" s="460">
        <f t="shared" si="139"/>
        <v>0.05</v>
      </c>
      <c r="N1988" s="464">
        <f t="shared" si="140"/>
        <v>111552</v>
      </c>
    </row>
    <row r="1989" spans="7:14" ht="11.25" customHeight="1" x14ac:dyDescent="0.25">
      <c r="G1989" s="459"/>
      <c r="H1989" s="459">
        <v>1982</v>
      </c>
      <c r="I1989" s="444">
        <f t="shared" ca="1" si="138"/>
        <v>-1749629069.7093952</v>
      </c>
      <c r="J1989" s="444">
        <f t="array" ref="J1989">IFERROR(INDEX('Retirement Calculator'!J:J,MATCH('Isaac 401k'!N1989,'Retirement Calculator'!A:A,0),0),0)</f>
        <v>0</v>
      </c>
      <c r="K1989" s="444">
        <f t="shared" ca="1" si="136"/>
        <v>-7290121.1237891465</v>
      </c>
      <c r="L1989" s="444">
        <f t="shared" ca="1" si="137"/>
        <v>-1756919190.8331842</v>
      </c>
      <c r="M1989" s="460">
        <f t="shared" si="139"/>
        <v>0.05</v>
      </c>
      <c r="N1989" s="464">
        <f t="shared" si="140"/>
        <v>111582</v>
      </c>
    </row>
    <row r="1990" spans="7:14" ht="11.25" customHeight="1" x14ac:dyDescent="0.25">
      <c r="G1990" s="459"/>
      <c r="H1990" s="459">
        <v>1983</v>
      </c>
      <c r="I1990" s="444">
        <f t="shared" ca="1" si="138"/>
        <v>-1756919190.8331842</v>
      </c>
      <c r="J1990" s="444">
        <f t="array" ref="J1990">IFERROR(INDEX('Retirement Calculator'!J:J,MATCH('Isaac 401k'!N1990,'Retirement Calculator'!A:A,0),0),0)</f>
        <v>0</v>
      </c>
      <c r="K1990" s="444">
        <f t="shared" ca="1" si="136"/>
        <v>-7320496.6284716008</v>
      </c>
      <c r="L1990" s="444">
        <f t="shared" ca="1" si="137"/>
        <v>-1764239687.4616559</v>
      </c>
      <c r="M1990" s="460">
        <f t="shared" si="139"/>
        <v>0.05</v>
      </c>
      <c r="N1990" s="464">
        <f t="shared" si="140"/>
        <v>111613</v>
      </c>
    </row>
    <row r="1991" spans="7:14" ht="11.25" customHeight="1" x14ac:dyDescent="0.25">
      <c r="G1991" s="459"/>
      <c r="H1991" s="459">
        <v>1984</v>
      </c>
      <c r="I1991" s="444">
        <f t="shared" ca="1" si="138"/>
        <v>-1764239687.4616559</v>
      </c>
      <c r="J1991" s="444">
        <f t="array" ref="J1991">IFERROR(INDEX('Retirement Calculator'!J:J,MATCH('Isaac 401k'!N1991,'Retirement Calculator'!A:A,0),0),0)</f>
        <v>0</v>
      </c>
      <c r="K1991" s="444">
        <f t="shared" ca="1" si="136"/>
        <v>-7350998.6977568995</v>
      </c>
      <c r="L1991" s="444">
        <f t="shared" ca="1" si="137"/>
        <v>-1771590686.1594129</v>
      </c>
      <c r="M1991" s="460">
        <f t="shared" si="139"/>
        <v>0.05</v>
      </c>
      <c r="N1991" s="464">
        <f t="shared" si="140"/>
        <v>111644</v>
      </c>
    </row>
    <row r="1992" spans="7:14" ht="11.25" customHeight="1" x14ac:dyDescent="0.25">
      <c r="G1992" s="459"/>
      <c r="H1992" s="459">
        <v>1985</v>
      </c>
      <c r="I1992" s="444">
        <f t="shared" ca="1" si="138"/>
        <v>-1771590686.1594129</v>
      </c>
      <c r="J1992" s="444">
        <f t="array" ref="J1992">IFERROR(INDEX('Retirement Calculator'!J:J,MATCH('Isaac 401k'!N1992,'Retirement Calculator'!A:A,0),0),0)</f>
        <v>0</v>
      </c>
      <c r="K1992" s="444">
        <f t="shared" ca="1" si="136"/>
        <v>-7381627.8589975536</v>
      </c>
      <c r="L1992" s="444">
        <f t="shared" ca="1" si="137"/>
        <v>-1778972314.0184104</v>
      </c>
      <c r="M1992" s="460">
        <f t="shared" si="139"/>
        <v>0.05</v>
      </c>
      <c r="N1992" s="464">
        <f t="shared" si="140"/>
        <v>111674</v>
      </c>
    </row>
    <row r="1993" spans="7:14" ht="11.25" customHeight="1" x14ac:dyDescent="0.25">
      <c r="G1993" s="459"/>
      <c r="H1993" s="459">
        <v>1986</v>
      </c>
      <c r="I1993" s="444">
        <f t="shared" ca="1" si="138"/>
        <v>-1778972314.0184104</v>
      </c>
      <c r="J1993" s="444">
        <f t="array" ref="J1993">IFERROR(INDEX('Retirement Calculator'!J:J,MATCH('Isaac 401k'!N1993,'Retirement Calculator'!A:A,0),0),0)</f>
        <v>0</v>
      </c>
      <c r="K1993" s="444">
        <f t="shared" ca="1" si="136"/>
        <v>-7412384.6417433769</v>
      </c>
      <c r="L1993" s="444">
        <f t="shared" ca="1" si="137"/>
        <v>-1786384698.6601539</v>
      </c>
      <c r="M1993" s="460">
        <f t="shared" si="139"/>
        <v>0.05</v>
      </c>
      <c r="N1993" s="464">
        <f t="shared" si="140"/>
        <v>111705</v>
      </c>
    </row>
    <row r="1994" spans="7:14" ht="11.25" customHeight="1" x14ac:dyDescent="0.25">
      <c r="G1994" s="459"/>
      <c r="H1994" s="459">
        <v>1987</v>
      </c>
      <c r="I1994" s="444">
        <f t="shared" ca="1" si="138"/>
        <v>-1786384698.6601539</v>
      </c>
      <c r="J1994" s="444">
        <f t="array" ref="J1994">IFERROR(INDEX('Retirement Calculator'!J:J,MATCH('Isaac 401k'!N1994,'Retirement Calculator'!A:A,0),0),0)</f>
        <v>0</v>
      </c>
      <c r="K1994" s="444">
        <f t="shared" ca="1" si="136"/>
        <v>-7443269.5777506409</v>
      </c>
      <c r="L1994" s="444">
        <f t="shared" ca="1" si="137"/>
        <v>-1793827968.2379045</v>
      </c>
      <c r="M1994" s="460">
        <f t="shared" si="139"/>
        <v>0.05</v>
      </c>
      <c r="N1994" s="464">
        <f t="shared" si="140"/>
        <v>111735</v>
      </c>
    </row>
    <row r="1995" spans="7:14" ht="11.25" customHeight="1" x14ac:dyDescent="0.25">
      <c r="G1995" s="459"/>
      <c r="H1995" s="459">
        <v>1988</v>
      </c>
      <c r="I1995" s="444">
        <f t="shared" ca="1" si="138"/>
        <v>-1793827968.2379045</v>
      </c>
      <c r="J1995" s="444">
        <f t="array" ref="J1995">IFERROR(INDEX('Retirement Calculator'!J:J,MATCH('Isaac 401k'!N1995,'Retirement Calculator'!A:A,0),0),0)</f>
        <v>0</v>
      </c>
      <c r="K1995" s="444">
        <f t="shared" ca="1" si="136"/>
        <v>-7474283.2009912692</v>
      </c>
      <c r="L1995" s="444">
        <f t="shared" ca="1" si="137"/>
        <v>-1801302251.4388957</v>
      </c>
      <c r="M1995" s="460">
        <f t="shared" si="139"/>
        <v>0.05</v>
      </c>
      <c r="N1995" s="464">
        <f t="shared" si="140"/>
        <v>111766</v>
      </c>
    </row>
    <row r="1996" spans="7:14" ht="11.25" customHeight="1" x14ac:dyDescent="0.25">
      <c r="G1996" s="459"/>
      <c r="H1996" s="459">
        <v>1989</v>
      </c>
      <c r="I1996" s="444">
        <f t="shared" ca="1" si="138"/>
        <v>-1801302251.4388957</v>
      </c>
      <c r="J1996" s="444">
        <f t="array" ref="J1996">IFERROR(INDEX('Retirement Calculator'!J:J,MATCH('Isaac 401k'!N1996,'Retirement Calculator'!A:A,0),0),0)</f>
        <v>0</v>
      </c>
      <c r="K1996" s="444">
        <f t="shared" ca="1" si="136"/>
        <v>-7505426.0476620654</v>
      </c>
      <c r="L1996" s="444">
        <f t="shared" ca="1" si="137"/>
        <v>-1808807677.4865577</v>
      </c>
      <c r="M1996" s="460">
        <f t="shared" si="139"/>
        <v>0.05</v>
      </c>
      <c r="N1996" s="464">
        <f t="shared" si="140"/>
        <v>111797</v>
      </c>
    </row>
    <row r="1997" spans="7:14" ht="11.25" customHeight="1" x14ac:dyDescent="0.25">
      <c r="G1997" s="459"/>
      <c r="H1997" s="459">
        <v>1990</v>
      </c>
      <c r="I1997" s="444">
        <f t="shared" ca="1" si="138"/>
        <v>-1808807677.4865577</v>
      </c>
      <c r="J1997" s="444">
        <f t="array" ref="J1997">IFERROR(INDEX('Retirement Calculator'!J:J,MATCH('Isaac 401k'!N1997,'Retirement Calculator'!A:A,0),0),0)</f>
        <v>0</v>
      </c>
      <c r="K1997" s="444">
        <f t="shared" ca="1" si="136"/>
        <v>-7536698.6561939893</v>
      </c>
      <c r="L1997" s="444">
        <f t="shared" ca="1" si="137"/>
        <v>-1816344376.1427517</v>
      </c>
      <c r="M1997" s="460">
        <f t="shared" si="139"/>
        <v>0.05</v>
      </c>
      <c r="N1997" s="464">
        <f t="shared" si="140"/>
        <v>111825</v>
      </c>
    </row>
    <row r="1998" spans="7:14" ht="11.25" customHeight="1" x14ac:dyDescent="0.25">
      <c r="G1998" s="459"/>
      <c r="H1998" s="459">
        <v>1991</v>
      </c>
      <c r="I1998" s="444">
        <f t="shared" ca="1" si="138"/>
        <v>-1816344376.1427517</v>
      </c>
      <c r="J1998" s="444">
        <f t="array" ref="J1998">IFERROR(INDEX('Retirement Calculator'!J:J,MATCH('Isaac 401k'!N1998,'Retirement Calculator'!A:A,0),0),0)</f>
        <v>0</v>
      </c>
      <c r="K1998" s="444">
        <f t="shared" ca="1" si="136"/>
        <v>-7568101.5672614649</v>
      </c>
      <c r="L1998" s="444">
        <f t="shared" ca="1" si="137"/>
        <v>-1823912477.7100132</v>
      </c>
      <c r="M1998" s="460">
        <f t="shared" si="139"/>
        <v>0.05</v>
      </c>
      <c r="N1998" s="464">
        <f t="shared" si="140"/>
        <v>111856</v>
      </c>
    </row>
    <row r="1999" spans="7:14" ht="11.25" customHeight="1" x14ac:dyDescent="0.25">
      <c r="G1999" s="459"/>
      <c r="H1999" s="459">
        <v>1992</v>
      </c>
      <c r="I1999" s="444">
        <f t="shared" ca="1" si="138"/>
        <v>-1823912477.7100132</v>
      </c>
      <c r="J1999" s="444">
        <f t="array" ref="J1999">IFERROR(INDEX('Retirement Calculator'!J:J,MATCH('Isaac 401k'!N1999,'Retirement Calculator'!A:A,0),0),0)</f>
        <v>0</v>
      </c>
      <c r="K1999" s="444">
        <f t="shared" ca="1" si="136"/>
        <v>-7599635.3237917209</v>
      </c>
      <c r="L1999" s="444">
        <f t="shared" ca="1" si="137"/>
        <v>-1831512113.0338049</v>
      </c>
      <c r="M1999" s="460">
        <f t="shared" si="139"/>
        <v>0.05</v>
      </c>
      <c r="N1999" s="464">
        <f t="shared" si="140"/>
        <v>111886</v>
      </c>
    </row>
    <row r="2000" spans="7:14" ht="11.25" customHeight="1" x14ac:dyDescent="0.25">
      <c r="G2000" s="459"/>
      <c r="H2000" s="459">
        <v>1993</v>
      </c>
      <c r="I2000" s="444">
        <f t="shared" ca="1" si="138"/>
        <v>-1831512113.0338049</v>
      </c>
      <c r="J2000" s="444">
        <f t="array" ref="J2000">IFERROR(INDEX('Retirement Calculator'!J:J,MATCH('Isaac 401k'!N2000,'Retirement Calculator'!A:A,0),0),0)</f>
        <v>0</v>
      </c>
      <c r="K2000" s="444">
        <f t="shared" ca="1" si="136"/>
        <v>-7631300.4709741855</v>
      </c>
      <c r="L2000" s="444">
        <f t="shared" ca="1" si="137"/>
        <v>-1839143413.5047791</v>
      </c>
      <c r="M2000" s="460">
        <f t="shared" si="139"/>
        <v>0.05</v>
      </c>
      <c r="N2000" s="464">
        <f t="shared" si="140"/>
        <v>111917</v>
      </c>
    </row>
    <row r="2001" spans="7:14" ht="11.25" customHeight="1" x14ac:dyDescent="0.25">
      <c r="G2001" s="459"/>
      <c r="H2001" s="459">
        <v>1994</v>
      </c>
      <c r="I2001" s="444">
        <f t="shared" ca="1" si="138"/>
        <v>-1839143413.5047791</v>
      </c>
      <c r="J2001" s="444">
        <f t="array" ref="J2001">IFERROR(INDEX('Retirement Calculator'!J:J,MATCH('Isaac 401k'!N2001,'Retirement Calculator'!A:A,0),0),0)</f>
        <v>0</v>
      </c>
      <c r="K2001" s="444">
        <f t="shared" ca="1" si="136"/>
        <v>-7663097.556269913</v>
      </c>
      <c r="L2001" s="444">
        <f t="shared" ca="1" si="137"/>
        <v>-1846806511.061049</v>
      </c>
      <c r="M2001" s="460">
        <f t="shared" si="139"/>
        <v>0.05</v>
      </c>
      <c r="N2001" s="464">
        <f t="shared" si="140"/>
        <v>111947</v>
      </c>
    </row>
    <row r="2002" spans="7:14" ht="11.25" customHeight="1" x14ac:dyDescent="0.25">
      <c r="G2002" s="459"/>
      <c r="H2002" s="459">
        <v>1995</v>
      </c>
      <c r="I2002" s="444">
        <f t="shared" ca="1" si="138"/>
        <v>-1846806511.061049</v>
      </c>
      <c r="J2002" s="444">
        <f t="array" ref="J2002">IFERROR(INDEX('Retirement Calculator'!J:J,MATCH('Isaac 401k'!N2002,'Retirement Calculator'!A:A,0),0),0)</f>
        <v>0</v>
      </c>
      <c r="K2002" s="444">
        <f t="shared" ca="1" si="136"/>
        <v>-7695027.1294210376</v>
      </c>
      <c r="L2002" s="444">
        <f t="shared" ca="1" si="137"/>
        <v>-1854501538.19047</v>
      </c>
      <c r="M2002" s="460">
        <f t="shared" si="139"/>
        <v>0.05</v>
      </c>
      <c r="N2002" s="464">
        <f t="shared" si="140"/>
        <v>111978</v>
      </c>
    </row>
    <row r="2003" spans="7:14" ht="11.25" customHeight="1" x14ac:dyDescent="0.25">
      <c r="G2003" s="459"/>
      <c r="H2003" s="459">
        <v>1996</v>
      </c>
      <c r="I2003" s="444">
        <f t="shared" ca="1" si="138"/>
        <v>-1854501538.19047</v>
      </c>
      <c r="J2003" s="444">
        <f t="array" ref="J2003">IFERROR(INDEX('Retirement Calculator'!J:J,MATCH('Isaac 401k'!N2003,'Retirement Calculator'!A:A,0),0),0)</f>
        <v>0</v>
      </c>
      <c r="K2003" s="444">
        <f t="shared" ca="1" si="136"/>
        <v>-7727089.7424602928</v>
      </c>
      <c r="L2003" s="444">
        <f t="shared" ca="1" si="137"/>
        <v>-1862228627.9329302</v>
      </c>
      <c r="M2003" s="460">
        <f t="shared" si="139"/>
        <v>0.05</v>
      </c>
      <c r="N2003" s="464">
        <f t="shared" si="140"/>
        <v>112009</v>
      </c>
    </row>
    <row r="2004" spans="7:14" ht="11.25" customHeight="1" x14ac:dyDescent="0.25">
      <c r="G2004" s="459"/>
      <c r="H2004" s="459">
        <v>1997</v>
      </c>
      <c r="I2004" s="444">
        <f t="shared" ca="1" si="138"/>
        <v>-1862228627.9329302</v>
      </c>
      <c r="J2004" s="444">
        <f t="array" ref="J2004">IFERROR(INDEX('Retirement Calculator'!J:J,MATCH('Isaac 401k'!N2004,'Retirement Calculator'!A:A,0),0),0)</f>
        <v>0</v>
      </c>
      <c r="K2004" s="444">
        <f t="shared" ca="1" si="136"/>
        <v>-7759285.9497205419</v>
      </c>
      <c r="L2004" s="444">
        <f t="shared" ca="1" si="137"/>
        <v>-1869987913.8826509</v>
      </c>
      <c r="M2004" s="460">
        <f t="shared" si="139"/>
        <v>0.05</v>
      </c>
      <c r="N2004" s="464">
        <f t="shared" si="140"/>
        <v>112039</v>
      </c>
    </row>
    <row r="2005" spans="7:14" ht="11.25" customHeight="1" x14ac:dyDescent="0.25">
      <c r="G2005" s="459"/>
      <c r="H2005" s="459">
        <v>1998</v>
      </c>
      <c r="I2005" s="444">
        <f t="shared" ca="1" si="138"/>
        <v>-1869987913.8826509</v>
      </c>
      <c r="J2005" s="444">
        <f t="array" ref="J2005">IFERROR(INDEX('Retirement Calculator'!J:J,MATCH('Isaac 401k'!N2005,'Retirement Calculator'!A:A,0),0),0)</f>
        <v>0</v>
      </c>
      <c r="K2005" s="444">
        <f t="shared" ca="1" si="136"/>
        <v>-7791616.307844379</v>
      </c>
      <c r="L2005" s="444">
        <f t="shared" ca="1" si="137"/>
        <v>-1877779530.1904953</v>
      </c>
      <c r="M2005" s="460">
        <f t="shared" si="139"/>
        <v>0.05</v>
      </c>
      <c r="N2005" s="464">
        <f t="shared" si="140"/>
        <v>112070</v>
      </c>
    </row>
    <row r="2006" spans="7:14" ht="11.25" customHeight="1" x14ac:dyDescent="0.25">
      <c r="G2006" s="459"/>
      <c r="H2006" s="459">
        <v>1999</v>
      </c>
      <c r="I2006" s="444">
        <f t="shared" ca="1" si="138"/>
        <v>-1877779530.1904953</v>
      </c>
      <c r="J2006" s="444">
        <f t="array" ref="J2006">IFERROR(INDEX('Retirement Calculator'!J:J,MATCH('Isaac 401k'!N2006,'Retirement Calculator'!A:A,0),0),0)</f>
        <v>0</v>
      </c>
      <c r="K2006" s="444">
        <f t="shared" ca="1" si="136"/>
        <v>-7824081.3757937308</v>
      </c>
      <c r="L2006" s="444">
        <f t="shared" ca="1" si="137"/>
        <v>-1885603611.5662889</v>
      </c>
      <c r="M2006" s="460">
        <f t="shared" si="139"/>
        <v>0.05</v>
      </c>
      <c r="N2006" s="464">
        <f t="shared" si="140"/>
        <v>112100</v>
      </c>
    </row>
    <row r="2007" spans="7:14" ht="11.25" customHeight="1" x14ac:dyDescent="0.25">
      <c r="G2007" s="459"/>
      <c r="H2007" s="459">
        <v>2000</v>
      </c>
      <c r="I2007" s="444">
        <f t="shared" ca="1" si="138"/>
        <v>-1885603611.5662889</v>
      </c>
      <c r="J2007" s="444">
        <f t="array" ref="J2007">IFERROR(INDEX('Retirement Calculator'!J:J,MATCH('Isaac 401k'!N2007,'Retirement Calculator'!A:A,0),0),0)</f>
        <v>0</v>
      </c>
      <c r="K2007" s="444">
        <f t="shared" ca="1" si="136"/>
        <v>-7856681.7148595368</v>
      </c>
      <c r="L2007" s="444">
        <f t="shared" ca="1" si="137"/>
        <v>-1893460293.2811484</v>
      </c>
      <c r="M2007" s="460">
        <f t="shared" si="139"/>
        <v>0.05</v>
      </c>
      <c r="N2007" s="464">
        <f t="shared" si="140"/>
        <v>112131</v>
      </c>
    </row>
    <row r="2008" spans="7:14" ht="11.25" customHeight="1" x14ac:dyDescent="0.25">
      <c r="G2008" s="459"/>
      <c r="H2008" s="459">
        <v>2001</v>
      </c>
      <c r="I2008" s="444">
        <f t="shared" ca="1" si="138"/>
        <v>-1893460293.2811484</v>
      </c>
      <c r="J2008" s="444">
        <f t="array" ref="J2008">IFERROR(INDEX('Retirement Calculator'!J:J,MATCH('Isaac 401k'!N2008,'Retirement Calculator'!A:A,0),0),0)</f>
        <v>0</v>
      </c>
      <c r="K2008" s="444">
        <f t="shared" ca="1" si="136"/>
        <v>-7889417.8886714531</v>
      </c>
      <c r="L2008" s="444">
        <f t="shared" ca="1" si="137"/>
        <v>-1901349711.1698198</v>
      </c>
      <c r="M2008" s="460">
        <f t="shared" si="139"/>
        <v>0.05</v>
      </c>
      <c r="N2008" s="464">
        <f t="shared" si="140"/>
        <v>112162</v>
      </c>
    </row>
    <row r="2009" spans="7:14" ht="11.25" customHeight="1" x14ac:dyDescent="0.25">
      <c r="G2009" s="459"/>
      <c r="H2009" s="459">
        <v>2002</v>
      </c>
      <c r="I2009" s="444">
        <f t="shared" ca="1" si="138"/>
        <v>-1901349711.1698198</v>
      </c>
      <c r="J2009" s="444">
        <f t="array" ref="J2009">IFERROR(INDEX('Retirement Calculator'!J:J,MATCH('Isaac 401k'!N2009,'Retirement Calculator'!A:A,0),0),0)</f>
        <v>0</v>
      </c>
      <c r="K2009" s="444">
        <f t="shared" ca="1" si="136"/>
        <v>-7922290.4632075829</v>
      </c>
      <c r="L2009" s="444">
        <f t="shared" ca="1" si="137"/>
        <v>-1909272001.6330273</v>
      </c>
      <c r="M2009" s="460">
        <f t="shared" si="139"/>
        <v>0.05</v>
      </c>
      <c r="N2009" s="464">
        <f t="shared" si="140"/>
        <v>112190</v>
      </c>
    </row>
    <row r="2010" spans="7:14" ht="11.25" customHeight="1" x14ac:dyDescent="0.25">
      <c r="G2010" s="459"/>
      <c r="H2010" s="459">
        <v>2003</v>
      </c>
      <c r="I2010" s="444">
        <f t="shared" ca="1" si="138"/>
        <v>-1909272001.6330273</v>
      </c>
      <c r="J2010" s="444">
        <f t="array" ref="J2010">IFERROR(INDEX('Retirement Calculator'!J:J,MATCH('Isaac 401k'!N2010,'Retirement Calculator'!A:A,0),0),0)</f>
        <v>0</v>
      </c>
      <c r="K2010" s="444">
        <f t="shared" ca="1" si="136"/>
        <v>-7955300.00680428</v>
      </c>
      <c r="L2010" s="444">
        <f t="shared" ca="1" si="137"/>
        <v>-1917227301.6398315</v>
      </c>
      <c r="M2010" s="460">
        <f t="shared" si="139"/>
        <v>0.05</v>
      </c>
      <c r="N2010" s="464">
        <f t="shared" si="140"/>
        <v>112221</v>
      </c>
    </row>
    <row r="2011" spans="7:14" ht="11.25" customHeight="1" x14ac:dyDescent="0.25">
      <c r="G2011" s="459"/>
      <c r="H2011" s="459">
        <v>2004</v>
      </c>
      <c r="I2011" s="444">
        <f t="shared" ca="1" si="138"/>
        <v>-1917227301.6398315</v>
      </c>
      <c r="J2011" s="444">
        <f t="array" ref="J2011">IFERROR(INDEX('Retirement Calculator'!J:J,MATCH('Isaac 401k'!N2011,'Retirement Calculator'!A:A,0),0),0)</f>
        <v>0</v>
      </c>
      <c r="K2011" s="444">
        <f t="shared" ca="1" si="136"/>
        <v>-7988447.0901659643</v>
      </c>
      <c r="L2011" s="444">
        <f t="shared" ca="1" si="137"/>
        <v>-1925215748.7299974</v>
      </c>
      <c r="M2011" s="460">
        <f t="shared" si="139"/>
        <v>0.05</v>
      </c>
      <c r="N2011" s="464">
        <f t="shared" si="140"/>
        <v>112251</v>
      </c>
    </row>
    <row r="2012" spans="7:14" ht="11.25" customHeight="1" x14ac:dyDescent="0.25">
      <c r="G2012" s="459"/>
      <c r="H2012" s="459">
        <v>2005</v>
      </c>
      <c r="I2012" s="444">
        <f t="shared" ca="1" si="138"/>
        <v>-1925215748.7299974</v>
      </c>
      <c r="J2012" s="444">
        <f t="array" ref="J2012">IFERROR(INDEX('Retirement Calculator'!J:J,MATCH('Isaac 401k'!N2012,'Retirement Calculator'!A:A,0),0),0)</f>
        <v>0</v>
      </c>
      <c r="K2012" s="444">
        <f t="shared" ca="1" si="136"/>
        <v>-8021732.2863749899</v>
      </c>
      <c r="L2012" s="444">
        <f t="shared" ca="1" si="137"/>
        <v>-1933237481.0163724</v>
      </c>
      <c r="M2012" s="460">
        <f t="shared" si="139"/>
        <v>0.05</v>
      </c>
      <c r="N2012" s="464">
        <f t="shared" si="140"/>
        <v>112282</v>
      </c>
    </row>
    <row r="2013" spans="7:14" ht="11.25" customHeight="1" x14ac:dyDescent="0.25">
      <c r="G2013" s="459"/>
      <c r="H2013" s="459">
        <v>2006</v>
      </c>
      <c r="I2013" s="444">
        <f t="shared" ca="1" si="138"/>
        <v>-1933237481.0163724</v>
      </c>
      <c r="J2013" s="444">
        <f t="array" ref="J2013">IFERROR(INDEX('Retirement Calculator'!J:J,MATCH('Isaac 401k'!N2013,'Retirement Calculator'!A:A,0),0),0)</f>
        <v>0</v>
      </c>
      <c r="K2013" s="444">
        <f t="shared" ca="1" si="136"/>
        <v>-8055156.1709015518</v>
      </c>
      <c r="L2013" s="444">
        <f t="shared" ca="1" si="137"/>
        <v>-1941292637.187274</v>
      </c>
      <c r="M2013" s="460">
        <f t="shared" si="139"/>
        <v>0.05</v>
      </c>
      <c r="N2013" s="464">
        <f t="shared" si="140"/>
        <v>112312</v>
      </c>
    </row>
    <row r="2014" spans="7:14" ht="11.25" customHeight="1" x14ac:dyDescent="0.25">
      <c r="G2014" s="459"/>
      <c r="H2014" s="459">
        <v>2007</v>
      </c>
      <c r="I2014" s="444">
        <f t="shared" ca="1" si="138"/>
        <v>-1941292637.187274</v>
      </c>
      <c r="J2014" s="444">
        <f t="array" ref="J2014">IFERROR(INDEX('Retirement Calculator'!J:J,MATCH('Isaac 401k'!N2014,'Retirement Calculator'!A:A,0),0),0)</f>
        <v>0</v>
      </c>
      <c r="K2014" s="444">
        <f t="shared" ca="1" si="136"/>
        <v>-8088719.3216136415</v>
      </c>
      <c r="L2014" s="444">
        <f t="shared" ca="1" si="137"/>
        <v>-1949381356.5088875</v>
      </c>
      <c r="M2014" s="460">
        <f t="shared" si="139"/>
        <v>0.05</v>
      </c>
      <c r="N2014" s="464">
        <f t="shared" si="140"/>
        <v>112343</v>
      </c>
    </row>
    <row r="2015" spans="7:14" ht="11.25" customHeight="1" x14ac:dyDescent="0.25">
      <c r="G2015" s="459"/>
      <c r="H2015" s="459">
        <v>2008</v>
      </c>
      <c r="I2015" s="444">
        <f t="shared" ca="1" si="138"/>
        <v>-1949381356.5088875</v>
      </c>
      <c r="J2015" s="444">
        <f t="array" ref="J2015">IFERROR(INDEX('Retirement Calculator'!J:J,MATCH('Isaac 401k'!N2015,'Retirement Calculator'!A:A,0),0),0)</f>
        <v>0</v>
      </c>
      <c r="K2015" s="444">
        <f t="shared" ca="1" si="136"/>
        <v>-8122422.3187870318</v>
      </c>
      <c r="L2015" s="444">
        <f t="shared" ca="1" si="137"/>
        <v>-1957503778.8276746</v>
      </c>
      <c r="M2015" s="460">
        <f t="shared" si="139"/>
        <v>0.05</v>
      </c>
      <c r="N2015" s="464">
        <f t="shared" si="140"/>
        <v>112374</v>
      </c>
    </row>
    <row r="2016" spans="7:14" ht="11.25" customHeight="1" x14ac:dyDescent="0.25">
      <c r="G2016" s="459"/>
      <c r="H2016" s="459">
        <v>2009</v>
      </c>
      <c r="I2016" s="444">
        <f t="shared" ca="1" si="138"/>
        <v>-1957503778.8276746</v>
      </c>
      <c r="J2016" s="444">
        <f t="array" ref="J2016">IFERROR(INDEX('Retirement Calculator'!J:J,MATCH('Isaac 401k'!N2016,'Retirement Calculator'!A:A,0),0),0)</f>
        <v>0</v>
      </c>
      <c r="K2016" s="444">
        <f t="shared" ca="1" si="136"/>
        <v>-8156265.7451153118</v>
      </c>
      <c r="L2016" s="444">
        <f t="shared" ca="1" si="137"/>
        <v>-1965660044.5727899</v>
      </c>
      <c r="M2016" s="460">
        <f t="shared" si="139"/>
        <v>0.05</v>
      </c>
      <c r="N2016" s="464">
        <f t="shared" si="140"/>
        <v>112404</v>
      </c>
    </row>
    <row r="2017" spans="7:14" ht="11.25" customHeight="1" x14ac:dyDescent="0.25">
      <c r="G2017" s="459"/>
      <c r="H2017" s="459">
        <v>2010</v>
      </c>
      <c r="I2017" s="444">
        <f t="shared" ca="1" si="138"/>
        <v>-1965660044.5727899</v>
      </c>
      <c r="J2017" s="444">
        <f t="array" ref="J2017">IFERROR(INDEX('Retirement Calculator'!J:J,MATCH('Isaac 401k'!N2017,'Retirement Calculator'!A:A,0),0),0)</f>
        <v>0</v>
      </c>
      <c r="K2017" s="444">
        <f t="shared" ca="1" si="136"/>
        <v>-8190250.1857199566</v>
      </c>
      <c r="L2017" s="444">
        <f t="shared" ca="1" si="137"/>
        <v>-1973850294.7585099</v>
      </c>
      <c r="M2017" s="460">
        <f t="shared" si="139"/>
        <v>0.05</v>
      </c>
      <c r="N2017" s="464">
        <f t="shared" si="140"/>
        <v>112435</v>
      </c>
    </row>
    <row r="2018" spans="7:14" ht="11.25" customHeight="1" x14ac:dyDescent="0.25">
      <c r="G2018" s="459"/>
      <c r="H2018" s="459">
        <v>2011</v>
      </c>
      <c r="I2018" s="444">
        <f t="shared" ca="1" si="138"/>
        <v>-1973850294.7585099</v>
      </c>
      <c r="J2018" s="444">
        <f t="array" ref="J2018">IFERROR(INDEX('Retirement Calculator'!J:J,MATCH('Isaac 401k'!N2018,'Retirement Calculator'!A:A,0),0),0)</f>
        <v>0</v>
      </c>
      <c r="K2018" s="444">
        <f t="shared" ca="1" si="136"/>
        <v>-8224376.2281604577</v>
      </c>
      <c r="L2018" s="444">
        <f t="shared" ca="1" si="137"/>
        <v>-1982074670.9866703</v>
      </c>
      <c r="M2018" s="460">
        <f t="shared" si="139"/>
        <v>0.05</v>
      </c>
      <c r="N2018" s="464">
        <f t="shared" si="140"/>
        <v>112465</v>
      </c>
    </row>
    <row r="2019" spans="7:14" ht="11.25" customHeight="1" x14ac:dyDescent="0.25">
      <c r="G2019" s="459"/>
      <c r="H2019" s="459">
        <v>2012</v>
      </c>
      <c r="I2019" s="444">
        <f t="shared" ca="1" si="138"/>
        <v>-1982074670.9866703</v>
      </c>
      <c r="J2019" s="444">
        <f t="array" ref="J2019">IFERROR(INDEX('Retirement Calculator'!J:J,MATCH('Isaac 401k'!N2019,'Retirement Calculator'!A:A,0),0),0)</f>
        <v>0</v>
      </c>
      <c r="K2019" s="444">
        <f t="shared" ca="1" si="136"/>
        <v>-8258644.4624444591</v>
      </c>
      <c r="L2019" s="444">
        <f t="shared" ca="1" si="137"/>
        <v>-1990333315.4491148</v>
      </c>
      <c r="M2019" s="460">
        <f t="shared" si="139"/>
        <v>0.05</v>
      </c>
      <c r="N2019" s="464">
        <f t="shared" si="140"/>
        <v>112496</v>
      </c>
    </row>
    <row r="2020" spans="7:14" ht="11.25" customHeight="1" x14ac:dyDescent="0.25">
      <c r="G2020" s="459"/>
      <c r="H2020" s="459">
        <v>2013</v>
      </c>
      <c r="I2020" s="444">
        <f t="shared" ca="1" si="138"/>
        <v>-1990333315.4491148</v>
      </c>
      <c r="J2020" s="444">
        <f t="array" ref="J2020">IFERROR(INDEX('Retirement Calculator'!J:J,MATCH('Isaac 401k'!N2020,'Retirement Calculator'!A:A,0),0),0)</f>
        <v>0</v>
      </c>
      <c r="K2020" s="444">
        <f t="shared" ca="1" si="136"/>
        <v>-8293055.4810379781</v>
      </c>
      <c r="L2020" s="444">
        <f t="shared" ca="1" si="137"/>
        <v>-1998626370.9301529</v>
      </c>
      <c r="M2020" s="460">
        <f t="shared" si="139"/>
        <v>0.05</v>
      </c>
      <c r="N2020" s="464">
        <f t="shared" si="140"/>
        <v>112527</v>
      </c>
    </row>
    <row r="2021" spans="7:14" ht="11.25" customHeight="1" x14ac:dyDescent="0.25">
      <c r="G2021" s="459"/>
      <c r="H2021" s="459">
        <v>2014</v>
      </c>
      <c r="I2021" s="444">
        <f t="shared" ca="1" si="138"/>
        <v>-1998626370.9301529</v>
      </c>
      <c r="J2021" s="444">
        <f t="array" ref="J2021">IFERROR(INDEX('Retirement Calculator'!J:J,MATCH('Isaac 401k'!N2021,'Retirement Calculator'!A:A,0),0),0)</f>
        <v>0</v>
      </c>
      <c r="K2021" s="444">
        <f t="shared" ca="1" si="136"/>
        <v>-8327609.8788756356</v>
      </c>
      <c r="L2021" s="444">
        <f t="shared" ca="1" si="137"/>
        <v>-2006953980.8090286</v>
      </c>
      <c r="M2021" s="460">
        <f t="shared" si="139"/>
        <v>0.05</v>
      </c>
      <c r="N2021" s="464">
        <f t="shared" si="140"/>
        <v>112556</v>
      </c>
    </row>
    <row r="2022" spans="7:14" ht="11.25" customHeight="1" x14ac:dyDescent="0.25">
      <c r="G2022" s="459"/>
      <c r="H2022" s="459">
        <v>2015</v>
      </c>
      <c r="I2022" s="444">
        <f t="shared" ca="1" si="138"/>
        <v>-2006953980.8090286</v>
      </c>
      <c r="J2022" s="444">
        <f t="array" ref="J2022">IFERROR(INDEX('Retirement Calculator'!J:J,MATCH('Isaac 401k'!N2022,'Retirement Calculator'!A:A,0),0),0)</f>
        <v>0</v>
      </c>
      <c r="K2022" s="444">
        <f t="shared" ca="1" si="136"/>
        <v>-8362308.2533709528</v>
      </c>
      <c r="L2022" s="444">
        <f t="shared" ca="1" si="137"/>
        <v>-2015316289.0623996</v>
      </c>
      <c r="M2022" s="460">
        <f t="shared" si="139"/>
        <v>0.05</v>
      </c>
      <c r="N2022" s="464">
        <f t="shared" si="140"/>
        <v>112587</v>
      </c>
    </row>
    <row r="2023" spans="7:14" ht="11.25" customHeight="1" x14ac:dyDescent="0.25">
      <c r="G2023" s="459"/>
      <c r="H2023" s="459">
        <v>2016</v>
      </c>
      <c r="I2023" s="444">
        <f t="shared" ca="1" si="138"/>
        <v>-2015316289.0623996</v>
      </c>
      <c r="J2023" s="444">
        <f t="array" ref="J2023">IFERROR(INDEX('Retirement Calculator'!J:J,MATCH('Isaac 401k'!N2023,'Retirement Calculator'!A:A,0),0),0)</f>
        <v>0</v>
      </c>
      <c r="K2023" s="444">
        <f t="shared" ca="1" si="136"/>
        <v>-8397151.2044266667</v>
      </c>
      <c r="L2023" s="444">
        <f t="shared" ca="1" si="137"/>
        <v>-2023713440.2668264</v>
      </c>
      <c r="M2023" s="460">
        <f t="shared" si="139"/>
        <v>0.05</v>
      </c>
      <c r="N2023" s="464">
        <f t="shared" si="140"/>
        <v>112617</v>
      </c>
    </row>
    <row r="2024" spans="7:14" ht="11.25" customHeight="1" x14ac:dyDescent="0.25">
      <c r="G2024" s="459"/>
      <c r="H2024" s="459">
        <v>2017</v>
      </c>
      <c r="I2024" s="444">
        <f t="shared" ca="1" si="138"/>
        <v>-2023713440.2668264</v>
      </c>
      <c r="J2024" s="444">
        <f t="array" ref="J2024">IFERROR(INDEX('Retirement Calculator'!J:J,MATCH('Isaac 401k'!N2024,'Retirement Calculator'!A:A,0),0),0)</f>
        <v>0</v>
      </c>
      <c r="K2024" s="444">
        <f t="shared" ca="1" si="136"/>
        <v>-8432139.3344451096</v>
      </c>
      <c r="L2024" s="444">
        <f t="shared" ca="1" si="137"/>
        <v>-2032145579.6012714</v>
      </c>
      <c r="M2024" s="460">
        <f t="shared" si="139"/>
        <v>0.05</v>
      </c>
      <c r="N2024" s="464">
        <f t="shared" si="140"/>
        <v>112648</v>
      </c>
    </row>
    <row r="2025" spans="7:14" ht="11.25" customHeight="1" x14ac:dyDescent="0.25">
      <c r="G2025" s="459"/>
      <c r="H2025" s="459">
        <v>2018</v>
      </c>
      <c r="I2025" s="444">
        <f t="shared" ca="1" si="138"/>
        <v>-2032145579.6012714</v>
      </c>
      <c r="J2025" s="444">
        <f t="array" ref="J2025">IFERROR(INDEX('Retirement Calculator'!J:J,MATCH('Isaac 401k'!N2025,'Retirement Calculator'!A:A,0),0),0)</f>
        <v>0</v>
      </c>
      <c r="K2025" s="444">
        <f t="shared" ca="1" si="136"/>
        <v>-8467273.2483386323</v>
      </c>
      <c r="L2025" s="444">
        <f t="shared" ca="1" si="137"/>
        <v>-2040612852.8496101</v>
      </c>
      <c r="M2025" s="460">
        <f t="shared" si="139"/>
        <v>0.05</v>
      </c>
      <c r="N2025" s="464">
        <f t="shared" si="140"/>
        <v>112678</v>
      </c>
    </row>
    <row r="2026" spans="7:14" ht="11.25" customHeight="1" x14ac:dyDescent="0.25">
      <c r="G2026" s="459"/>
      <c r="H2026" s="459">
        <v>2019</v>
      </c>
      <c r="I2026" s="444">
        <f t="shared" ca="1" si="138"/>
        <v>-2040612852.8496101</v>
      </c>
      <c r="J2026" s="444">
        <f t="array" ref="J2026">IFERROR(INDEX('Retirement Calculator'!J:J,MATCH('Isaac 401k'!N2026,'Retirement Calculator'!A:A,0),0),0)</f>
        <v>0</v>
      </c>
      <c r="K2026" s="444">
        <f t="shared" ca="1" si="136"/>
        <v>-8502553.5535400417</v>
      </c>
      <c r="L2026" s="444">
        <f t="shared" ca="1" si="137"/>
        <v>-2049115406.4031501</v>
      </c>
      <c r="M2026" s="460">
        <f t="shared" si="139"/>
        <v>0.05</v>
      </c>
      <c r="N2026" s="464">
        <f t="shared" si="140"/>
        <v>112709</v>
      </c>
    </row>
    <row r="2027" spans="7:14" ht="11.25" customHeight="1" x14ac:dyDescent="0.25">
      <c r="G2027" s="459"/>
      <c r="H2027" s="459">
        <v>2020</v>
      </c>
      <c r="I2027" s="444">
        <f t="shared" ca="1" si="138"/>
        <v>-2049115406.4031501</v>
      </c>
      <c r="J2027" s="444">
        <f t="array" ref="J2027">IFERROR(INDEX('Retirement Calculator'!J:J,MATCH('Isaac 401k'!N2027,'Retirement Calculator'!A:A,0),0),0)</f>
        <v>0</v>
      </c>
      <c r="K2027" s="444">
        <f t="shared" ca="1" si="136"/>
        <v>-8537980.8600131255</v>
      </c>
      <c r="L2027" s="444">
        <f t="shared" ca="1" si="137"/>
        <v>-2057653387.2631631</v>
      </c>
      <c r="M2027" s="460">
        <f t="shared" si="139"/>
        <v>0.05</v>
      </c>
      <c r="N2027" s="464">
        <f t="shared" si="140"/>
        <v>112740</v>
      </c>
    </row>
    <row r="2028" spans="7:14" ht="11.25" customHeight="1" x14ac:dyDescent="0.25">
      <c r="G2028" s="459"/>
      <c r="H2028" s="459">
        <v>2021</v>
      </c>
      <c r="I2028" s="444">
        <f t="shared" ca="1" si="138"/>
        <v>-2057653387.2631631</v>
      </c>
      <c r="J2028" s="444">
        <f t="array" ref="J2028">IFERROR(INDEX('Retirement Calculator'!J:J,MATCH('Isaac 401k'!N2028,'Retirement Calculator'!A:A,0),0),0)</f>
        <v>0</v>
      </c>
      <c r="K2028" s="444">
        <f t="shared" ca="1" si="136"/>
        <v>-8573555.7802631781</v>
      </c>
      <c r="L2028" s="444">
        <f t="shared" ca="1" si="137"/>
        <v>-2066226943.0434263</v>
      </c>
      <c r="M2028" s="460">
        <f t="shared" si="139"/>
        <v>0.05</v>
      </c>
      <c r="N2028" s="464">
        <f t="shared" si="140"/>
        <v>112770</v>
      </c>
    </row>
    <row r="2029" spans="7:14" ht="11.25" customHeight="1" x14ac:dyDescent="0.25">
      <c r="G2029" s="459"/>
      <c r="H2029" s="459">
        <v>2022</v>
      </c>
      <c r="I2029" s="444">
        <f t="shared" ca="1" si="138"/>
        <v>-2066226943.0434263</v>
      </c>
      <c r="J2029" s="444">
        <f t="array" ref="J2029">IFERROR(INDEX('Retirement Calculator'!J:J,MATCH('Isaac 401k'!N2029,'Retirement Calculator'!A:A,0),0),0)</f>
        <v>0</v>
      </c>
      <c r="K2029" s="444">
        <f t="shared" ca="1" si="136"/>
        <v>-8609278.9293476101</v>
      </c>
      <c r="L2029" s="444">
        <f t="shared" ca="1" si="137"/>
        <v>-2074836221.9727738</v>
      </c>
      <c r="M2029" s="460">
        <f t="shared" si="139"/>
        <v>0.05</v>
      </c>
      <c r="N2029" s="464">
        <f t="shared" si="140"/>
        <v>112801</v>
      </c>
    </row>
    <row r="2030" spans="7:14" ht="11.25" customHeight="1" x14ac:dyDescent="0.25">
      <c r="G2030" s="459"/>
      <c r="H2030" s="459">
        <v>2023</v>
      </c>
      <c r="I2030" s="444">
        <f t="shared" ca="1" si="138"/>
        <v>-2074836221.9727738</v>
      </c>
      <c r="J2030" s="444">
        <f t="array" ref="J2030">IFERROR(INDEX('Retirement Calculator'!J:J,MATCH('Isaac 401k'!N2030,'Retirement Calculator'!A:A,0),0),0)</f>
        <v>0</v>
      </c>
      <c r="K2030" s="444">
        <f t="shared" ca="1" si="136"/>
        <v>-8645150.9248865582</v>
      </c>
      <c r="L2030" s="444">
        <f t="shared" ca="1" si="137"/>
        <v>-2083481372.8976603</v>
      </c>
      <c r="M2030" s="460">
        <f t="shared" si="139"/>
        <v>0.05</v>
      </c>
      <c r="N2030" s="464">
        <f t="shared" si="140"/>
        <v>112831</v>
      </c>
    </row>
    <row r="2031" spans="7:14" ht="11.25" customHeight="1" x14ac:dyDescent="0.25">
      <c r="G2031" s="459"/>
      <c r="H2031" s="459">
        <v>2024</v>
      </c>
      <c r="I2031" s="444">
        <f t="shared" ca="1" si="138"/>
        <v>-2083481372.8976603</v>
      </c>
      <c r="J2031" s="444">
        <f t="array" ref="J2031">IFERROR(INDEX('Retirement Calculator'!J:J,MATCH('Isaac 401k'!N2031,'Retirement Calculator'!A:A,0),0),0)</f>
        <v>0</v>
      </c>
      <c r="K2031" s="444">
        <f t="shared" ca="1" si="136"/>
        <v>-8681172.3870735839</v>
      </c>
      <c r="L2031" s="444">
        <f t="shared" ca="1" si="137"/>
        <v>-2092162545.2847338</v>
      </c>
      <c r="M2031" s="460">
        <f t="shared" si="139"/>
        <v>0.05</v>
      </c>
      <c r="N2031" s="464">
        <f t="shared" si="140"/>
        <v>112862</v>
      </c>
    </row>
    <row r="2032" spans="7:14" ht="11.25" customHeight="1" x14ac:dyDescent="0.25">
      <c r="G2032" s="459"/>
      <c r="H2032" s="459">
        <v>2025</v>
      </c>
      <c r="I2032" s="444">
        <f t="shared" ca="1" si="138"/>
        <v>-2092162545.2847338</v>
      </c>
      <c r="J2032" s="444">
        <f t="array" ref="J2032">IFERROR(INDEX('Retirement Calculator'!J:J,MATCH('Isaac 401k'!N2032,'Retirement Calculator'!A:A,0),0),0)</f>
        <v>0</v>
      </c>
      <c r="K2032" s="444">
        <f t="shared" ca="1" si="136"/>
        <v>-8717343.9386863913</v>
      </c>
      <c r="L2032" s="444">
        <f t="shared" ca="1" si="137"/>
        <v>-2100879889.2234201</v>
      </c>
      <c r="M2032" s="460">
        <f t="shared" si="139"/>
        <v>0.05</v>
      </c>
      <c r="N2032" s="464">
        <f t="shared" si="140"/>
        <v>112893</v>
      </c>
    </row>
    <row r="2033" spans="7:14" ht="11.25" customHeight="1" x14ac:dyDescent="0.25">
      <c r="G2033" s="459"/>
      <c r="H2033" s="459">
        <v>2026</v>
      </c>
      <c r="I2033" s="444">
        <f t="shared" ca="1" si="138"/>
        <v>-2100879889.2234201</v>
      </c>
      <c r="J2033" s="444">
        <f t="array" ref="J2033">IFERROR(INDEX('Retirement Calculator'!J:J,MATCH('Isaac 401k'!N2033,'Retirement Calculator'!A:A,0),0),0)</f>
        <v>0</v>
      </c>
      <c r="K2033" s="444">
        <f t="shared" ca="1" si="136"/>
        <v>-8753666.2050975841</v>
      </c>
      <c r="L2033" s="444">
        <f t="shared" ca="1" si="137"/>
        <v>-2109633555.4285178</v>
      </c>
      <c r="M2033" s="460">
        <f t="shared" si="139"/>
        <v>0.05</v>
      </c>
      <c r="N2033" s="464">
        <f t="shared" si="140"/>
        <v>112921</v>
      </c>
    </row>
    <row r="2034" spans="7:14" ht="11.25" customHeight="1" x14ac:dyDescent="0.25">
      <c r="G2034" s="459"/>
      <c r="H2034" s="459">
        <v>2027</v>
      </c>
      <c r="I2034" s="444">
        <f t="shared" ca="1" si="138"/>
        <v>-2109633555.4285178</v>
      </c>
      <c r="J2034" s="444">
        <f t="array" ref="J2034">IFERROR(INDEX('Retirement Calculator'!J:J,MATCH('Isaac 401k'!N2034,'Retirement Calculator'!A:A,0),0),0)</f>
        <v>0</v>
      </c>
      <c r="K2034" s="444">
        <f t="shared" ca="1" si="136"/>
        <v>-8790139.8142854907</v>
      </c>
      <c r="L2034" s="444">
        <f t="shared" ca="1" si="137"/>
        <v>-2118423695.2428033</v>
      </c>
      <c r="M2034" s="460">
        <f t="shared" si="139"/>
        <v>0.05</v>
      </c>
      <c r="N2034" s="464">
        <f t="shared" si="140"/>
        <v>112952</v>
      </c>
    </row>
    <row r="2035" spans="7:14" ht="11.25" customHeight="1" x14ac:dyDescent="0.25">
      <c r="G2035" s="459"/>
      <c r="H2035" s="459">
        <v>2028</v>
      </c>
      <c r="I2035" s="444">
        <f t="shared" ca="1" si="138"/>
        <v>-2118423695.2428033</v>
      </c>
      <c r="J2035" s="444">
        <f t="array" ref="J2035">IFERROR(INDEX('Retirement Calculator'!J:J,MATCH('Isaac 401k'!N2035,'Retirement Calculator'!A:A,0),0),0)</f>
        <v>0</v>
      </c>
      <c r="K2035" s="444">
        <f t="shared" ca="1" si="136"/>
        <v>-8826765.3968450148</v>
      </c>
      <c r="L2035" s="444">
        <f t="shared" ca="1" si="137"/>
        <v>-2127250460.6396484</v>
      </c>
      <c r="M2035" s="460">
        <f t="shared" si="139"/>
        <v>0.05</v>
      </c>
      <c r="N2035" s="464">
        <f t="shared" si="140"/>
        <v>112982</v>
      </c>
    </row>
    <row r="2036" spans="7:14" ht="11.25" customHeight="1" x14ac:dyDescent="0.25">
      <c r="G2036" s="459"/>
      <c r="H2036" s="459">
        <v>2029</v>
      </c>
      <c r="I2036" s="444">
        <f t="shared" ca="1" si="138"/>
        <v>-2127250460.6396484</v>
      </c>
      <c r="J2036" s="444">
        <f t="array" ref="J2036">IFERROR(INDEX('Retirement Calculator'!J:J,MATCH('Isaac 401k'!N2036,'Retirement Calculator'!A:A,0),0),0)</f>
        <v>0</v>
      </c>
      <c r="K2036" s="444">
        <f t="shared" ca="1" si="136"/>
        <v>-8863543.5859985333</v>
      </c>
      <c r="L2036" s="444">
        <f t="shared" ca="1" si="137"/>
        <v>-2136114004.225647</v>
      </c>
      <c r="M2036" s="460">
        <f t="shared" si="139"/>
        <v>0.05</v>
      </c>
      <c r="N2036" s="464">
        <f t="shared" si="140"/>
        <v>113013</v>
      </c>
    </row>
    <row r="2037" spans="7:14" ht="11.25" customHeight="1" x14ac:dyDescent="0.25">
      <c r="G2037" s="459"/>
      <c r="H2037" s="459">
        <v>2030</v>
      </c>
      <c r="I2037" s="444">
        <f t="shared" ca="1" si="138"/>
        <v>-2136114004.225647</v>
      </c>
      <c r="J2037" s="444">
        <f t="array" ref="J2037">IFERROR(INDEX('Retirement Calculator'!J:J,MATCH('Isaac 401k'!N2037,'Retirement Calculator'!A:A,0),0),0)</f>
        <v>0</v>
      </c>
      <c r="K2037" s="444">
        <f t="shared" ca="1" si="136"/>
        <v>-8900475.0176068619</v>
      </c>
      <c r="L2037" s="444">
        <f t="shared" ca="1" si="137"/>
        <v>-2145014479.2432539</v>
      </c>
      <c r="M2037" s="460">
        <f t="shared" si="139"/>
        <v>0.05</v>
      </c>
      <c r="N2037" s="464">
        <f t="shared" si="140"/>
        <v>113043</v>
      </c>
    </row>
    <row r="2038" spans="7:14" ht="11.25" customHeight="1" x14ac:dyDescent="0.25">
      <c r="G2038" s="459"/>
      <c r="H2038" s="459">
        <v>2031</v>
      </c>
      <c r="I2038" s="444">
        <f t="shared" ca="1" si="138"/>
        <v>-2145014479.2432539</v>
      </c>
      <c r="J2038" s="444">
        <f t="array" ref="J2038">IFERROR(INDEX('Retirement Calculator'!J:J,MATCH('Isaac 401k'!N2038,'Retirement Calculator'!A:A,0),0),0)</f>
        <v>0</v>
      </c>
      <c r="K2038" s="444">
        <f t="shared" ca="1" si="136"/>
        <v>-8937560.3301802259</v>
      </c>
      <c r="L2038" s="444">
        <f t="shared" ca="1" si="137"/>
        <v>-2153952039.5734344</v>
      </c>
      <c r="M2038" s="460">
        <f t="shared" si="139"/>
        <v>0.05</v>
      </c>
      <c r="N2038" s="464">
        <f t="shared" si="140"/>
        <v>113074</v>
      </c>
    </row>
    <row r="2039" spans="7:14" ht="11.25" customHeight="1" x14ac:dyDescent="0.25">
      <c r="G2039" s="459"/>
      <c r="H2039" s="459">
        <v>2032</v>
      </c>
      <c r="I2039" s="444">
        <f t="shared" ca="1" si="138"/>
        <v>-2153952039.5734344</v>
      </c>
      <c r="J2039" s="444">
        <f t="array" ref="J2039">IFERROR(INDEX('Retirement Calculator'!J:J,MATCH('Isaac 401k'!N2039,'Retirement Calculator'!A:A,0),0),0)</f>
        <v>0</v>
      </c>
      <c r="K2039" s="444">
        <f t="shared" ca="1" si="136"/>
        <v>-8974800.1648893096</v>
      </c>
      <c r="L2039" s="444">
        <f t="shared" ca="1" si="137"/>
        <v>-2162926839.7383237</v>
      </c>
      <c r="M2039" s="460">
        <f t="shared" si="139"/>
        <v>0.05</v>
      </c>
      <c r="N2039" s="464">
        <f t="shared" si="140"/>
        <v>113105</v>
      </c>
    </row>
    <row r="2040" spans="7:14" ht="11.25" customHeight="1" x14ac:dyDescent="0.25">
      <c r="G2040" s="459"/>
      <c r="H2040" s="459">
        <v>2033</v>
      </c>
      <c r="I2040" s="444">
        <f t="shared" ca="1" si="138"/>
        <v>-2162926839.7383237</v>
      </c>
      <c r="J2040" s="444">
        <f t="array" ref="J2040">IFERROR(INDEX('Retirement Calculator'!J:J,MATCH('Isaac 401k'!N2040,'Retirement Calculator'!A:A,0),0),0)</f>
        <v>0</v>
      </c>
      <c r="K2040" s="444">
        <f t="shared" ca="1" si="136"/>
        <v>-9012195.1655763481</v>
      </c>
      <c r="L2040" s="444">
        <f t="shared" ca="1" si="137"/>
        <v>-2171939034.9039001</v>
      </c>
      <c r="M2040" s="460">
        <f t="shared" si="139"/>
        <v>0.05</v>
      </c>
      <c r="N2040" s="464">
        <f t="shared" si="140"/>
        <v>113135</v>
      </c>
    </row>
    <row r="2041" spans="7:14" ht="11.25" customHeight="1" x14ac:dyDescent="0.25">
      <c r="G2041" s="459"/>
      <c r="H2041" s="459">
        <v>2034</v>
      </c>
      <c r="I2041" s="444">
        <f t="shared" ca="1" si="138"/>
        <v>-2171939034.9039001</v>
      </c>
      <c r="J2041" s="444">
        <f t="array" ref="J2041">IFERROR(INDEX('Retirement Calculator'!J:J,MATCH('Isaac 401k'!N2041,'Retirement Calculator'!A:A,0),0),0)</f>
        <v>0</v>
      </c>
      <c r="K2041" s="444">
        <f t="shared" ca="1" si="136"/>
        <v>-9049745.9787662514</v>
      </c>
      <c r="L2041" s="444">
        <f t="shared" ca="1" si="137"/>
        <v>-2180988780.8826666</v>
      </c>
      <c r="M2041" s="460">
        <f t="shared" si="139"/>
        <v>0.05</v>
      </c>
      <c r="N2041" s="464">
        <f t="shared" si="140"/>
        <v>113166</v>
      </c>
    </row>
    <row r="2042" spans="7:14" ht="11.25" customHeight="1" x14ac:dyDescent="0.25">
      <c r="G2042" s="459"/>
      <c r="H2042" s="459">
        <v>2035</v>
      </c>
      <c r="I2042" s="444">
        <f t="shared" ca="1" si="138"/>
        <v>-2180988780.8826666</v>
      </c>
      <c r="J2042" s="444">
        <f t="array" ref="J2042">IFERROR(INDEX('Retirement Calculator'!J:J,MATCH('Isaac 401k'!N2042,'Retirement Calculator'!A:A,0),0),0)</f>
        <v>0</v>
      </c>
      <c r="K2042" s="444">
        <f t="shared" ca="1" si="136"/>
        <v>-9087453.2536777779</v>
      </c>
      <c r="L2042" s="444">
        <f t="shared" ca="1" si="137"/>
        <v>-2190076234.1363444</v>
      </c>
      <c r="M2042" s="460">
        <f t="shared" si="139"/>
        <v>0.05</v>
      </c>
      <c r="N2042" s="464">
        <f t="shared" si="140"/>
        <v>113196</v>
      </c>
    </row>
    <row r="2043" spans="7:14" ht="11.25" customHeight="1" x14ac:dyDescent="0.25">
      <c r="G2043" s="459"/>
      <c r="H2043" s="459">
        <v>2036</v>
      </c>
      <c r="I2043" s="444">
        <f t="shared" ca="1" si="138"/>
        <v>-2190076234.1363444</v>
      </c>
      <c r="J2043" s="444">
        <f t="array" ref="J2043">IFERROR(INDEX('Retirement Calculator'!J:J,MATCH('Isaac 401k'!N2043,'Retirement Calculator'!A:A,0),0),0)</f>
        <v>0</v>
      </c>
      <c r="K2043" s="444">
        <f t="shared" ca="1" si="136"/>
        <v>-9125317.6422347687</v>
      </c>
      <c r="L2043" s="444">
        <f t="shared" ca="1" si="137"/>
        <v>-2199201551.7785792</v>
      </c>
      <c r="M2043" s="460">
        <f t="shared" si="139"/>
        <v>0.05</v>
      </c>
      <c r="N2043" s="464">
        <f t="shared" si="140"/>
        <v>113227</v>
      </c>
    </row>
    <row r="2044" spans="7:14" ht="11.25" customHeight="1" x14ac:dyDescent="0.25">
      <c r="G2044" s="459"/>
      <c r="H2044" s="459">
        <v>2037</v>
      </c>
      <c r="I2044" s="444">
        <f t="shared" ca="1" si="138"/>
        <v>-2199201551.7785792</v>
      </c>
      <c r="J2044" s="444">
        <f t="array" ref="J2044">IFERROR(INDEX('Retirement Calculator'!J:J,MATCH('Isaac 401k'!N2044,'Retirement Calculator'!A:A,0),0),0)</f>
        <v>0</v>
      </c>
      <c r="K2044" s="444">
        <f t="shared" ca="1" si="136"/>
        <v>-9163339.799077414</v>
      </c>
      <c r="L2044" s="444">
        <f t="shared" ca="1" si="137"/>
        <v>-2208364891.5776567</v>
      </c>
      <c r="M2044" s="460">
        <f t="shared" si="139"/>
        <v>0.05</v>
      </c>
      <c r="N2044" s="464">
        <f t="shared" si="140"/>
        <v>113258</v>
      </c>
    </row>
    <row r="2045" spans="7:14" ht="11.25" customHeight="1" x14ac:dyDescent="0.25">
      <c r="G2045" s="459"/>
      <c r="H2045" s="459">
        <v>2038</v>
      </c>
      <c r="I2045" s="444">
        <f t="shared" ca="1" si="138"/>
        <v>-2208364891.5776567</v>
      </c>
      <c r="J2045" s="444">
        <f t="array" ref="J2045">IFERROR(INDEX('Retirement Calculator'!J:J,MATCH('Isaac 401k'!N2045,'Retirement Calculator'!A:A,0),0),0)</f>
        <v>0</v>
      </c>
      <c r="K2045" s="444">
        <f t="shared" ca="1" si="136"/>
        <v>-9201520.381573569</v>
      </c>
      <c r="L2045" s="444">
        <f t="shared" ca="1" si="137"/>
        <v>-2217566411.9592304</v>
      </c>
      <c r="M2045" s="460">
        <f t="shared" si="139"/>
        <v>0.05</v>
      </c>
      <c r="N2045" s="464">
        <f t="shared" si="140"/>
        <v>113286</v>
      </c>
    </row>
    <row r="2046" spans="7:14" ht="11.25" customHeight="1" x14ac:dyDescent="0.25">
      <c r="G2046" s="459"/>
      <c r="H2046" s="459">
        <v>2039</v>
      </c>
      <c r="I2046" s="444">
        <f t="shared" ca="1" si="138"/>
        <v>-2217566411.9592304</v>
      </c>
      <c r="J2046" s="444">
        <f t="array" ref="J2046">IFERROR(INDEX('Retirement Calculator'!J:J,MATCH('Isaac 401k'!N2046,'Retirement Calculator'!A:A,0),0),0)</f>
        <v>0</v>
      </c>
      <c r="K2046" s="444">
        <f t="shared" ca="1" si="136"/>
        <v>-9239860.0498301275</v>
      </c>
      <c r="L2046" s="444">
        <f t="shared" ca="1" si="137"/>
        <v>-2226806272.0090604</v>
      </c>
      <c r="M2046" s="460">
        <f t="shared" si="139"/>
        <v>0.05</v>
      </c>
      <c r="N2046" s="464">
        <f t="shared" si="140"/>
        <v>113317</v>
      </c>
    </row>
    <row r="2047" spans="7:14" ht="11.25" customHeight="1" x14ac:dyDescent="0.25">
      <c r="G2047" s="459"/>
      <c r="H2047" s="459">
        <v>2040</v>
      </c>
      <c r="I2047" s="444">
        <f t="shared" ca="1" si="138"/>
        <v>-2226806272.0090604</v>
      </c>
      <c r="J2047" s="444">
        <f t="array" ref="J2047">IFERROR(INDEX('Retirement Calculator'!J:J,MATCH('Isaac 401k'!N2047,'Retirement Calculator'!A:A,0),0),0)</f>
        <v>0</v>
      </c>
      <c r="K2047" s="444">
        <f t="shared" ca="1" si="136"/>
        <v>-9278359.4667044189</v>
      </c>
      <c r="L2047" s="444">
        <f t="shared" ca="1" si="137"/>
        <v>-2236084631.4757648</v>
      </c>
      <c r="M2047" s="460">
        <f t="shared" si="139"/>
        <v>0.05</v>
      </c>
      <c r="N2047" s="464">
        <f t="shared" si="140"/>
        <v>113347</v>
      </c>
    </row>
    <row r="2048" spans="7:14" ht="11.25" customHeight="1" x14ac:dyDescent="0.25">
      <c r="G2048" s="459"/>
      <c r="H2048" s="459">
        <v>2041</v>
      </c>
      <c r="I2048" s="444">
        <f t="shared" ca="1" si="138"/>
        <v>-2236084631.4757648</v>
      </c>
      <c r="J2048" s="444">
        <f t="array" ref="J2048">IFERROR(INDEX('Retirement Calculator'!J:J,MATCH('Isaac 401k'!N2048,'Retirement Calculator'!A:A,0),0),0)</f>
        <v>0</v>
      </c>
      <c r="K2048" s="444">
        <f t="shared" ref="K2048:K2302" ca="1" si="141">IPMT(M2048/12,1,12,-I2048+J2048,,0)</f>
        <v>-9317019.2978156861</v>
      </c>
      <c r="L2048" s="444">
        <f t="shared" ref="L2048:L2302" ca="1" si="142">I2048-J2048+K2048</f>
        <v>-2245401650.7735806</v>
      </c>
      <c r="M2048" s="460">
        <f t="shared" si="139"/>
        <v>0.05</v>
      </c>
      <c r="N2048" s="464">
        <f t="shared" si="140"/>
        <v>113378</v>
      </c>
    </row>
    <row r="2049" spans="7:14" ht="11.25" customHeight="1" x14ac:dyDescent="0.25">
      <c r="G2049" s="459"/>
      <c r="H2049" s="459">
        <v>2042</v>
      </c>
      <c r="I2049" s="444">
        <f t="shared" ref="I2049:I2303" ca="1" si="143">L2048</f>
        <v>-2245401650.7735806</v>
      </c>
      <c r="J2049" s="444">
        <f t="array" ref="J2049">IFERROR(INDEX('Retirement Calculator'!J:J,MATCH('Isaac 401k'!N2049,'Retirement Calculator'!A:A,0),0),0)</f>
        <v>0</v>
      </c>
      <c r="K2049" s="444">
        <f t="shared" ca="1" si="141"/>
        <v>-9355840.2115565855</v>
      </c>
      <c r="L2049" s="444">
        <f t="shared" ca="1" si="142"/>
        <v>-2254757490.985137</v>
      </c>
      <c r="M2049" s="460">
        <f t="shared" ref="M2049:M2303" si="144">M2048</f>
        <v>0.05</v>
      </c>
      <c r="N2049" s="464">
        <f t="shared" ref="N2049:N2303" si="145">EDATE(N2048,1)</f>
        <v>113408</v>
      </c>
    </row>
    <row r="2050" spans="7:14" ht="11.25" customHeight="1" x14ac:dyDescent="0.25">
      <c r="G2050" s="459"/>
      <c r="H2050" s="459">
        <v>2043</v>
      </c>
      <c r="I2050" s="444">
        <f t="shared" ca="1" si="143"/>
        <v>-2254757490.985137</v>
      </c>
      <c r="J2050" s="444">
        <f t="array" ref="J2050">IFERROR(INDEX('Retirement Calculator'!J:J,MATCH('Isaac 401k'!N2050,'Retirement Calculator'!A:A,0),0),0)</f>
        <v>0</v>
      </c>
      <c r="K2050" s="444">
        <f t="shared" ca="1" si="141"/>
        <v>-9394822.8791047372</v>
      </c>
      <c r="L2050" s="444">
        <f t="shared" ca="1" si="142"/>
        <v>-2264152313.8642416</v>
      </c>
      <c r="M2050" s="460">
        <f t="shared" si="144"/>
        <v>0.05</v>
      </c>
      <c r="N2050" s="464">
        <f t="shared" si="145"/>
        <v>113439</v>
      </c>
    </row>
    <row r="2051" spans="7:14" ht="11.25" customHeight="1" x14ac:dyDescent="0.25">
      <c r="G2051" s="459"/>
      <c r="H2051" s="459">
        <v>2044</v>
      </c>
      <c r="I2051" s="444">
        <f t="shared" ca="1" si="143"/>
        <v>-2264152313.8642416</v>
      </c>
      <c r="J2051" s="444">
        <f t="array" ref="J2051">IFERROR(INDEX('Retirement Calculator'!J:J,MATCH('Isaac 401k'!N2051,'Retirement Calculator'!A:A,0),0),0)</f>
        <v>0</v>
      </c>
      <c r="K2051" s="444">
        <f t="shared" ca="1" si="141"/>
        <v>-9433967.9744343404</v>
      </c>
      <c r="L2051" s="444">
        <f t="shared" ca="1" si="142"/>
        <v>-2273586281.838676</v>
      </c>
      <c r="M2051" s="460">
        <f t="shared" si="144"/>
        <v>0.05</v>
      </c>
      <c r="N2051" s="464">
        <f t="shared" si="145"/>
        <v>113470</v>
      </c>
    </row>
    <row r="2052" spans="7:14" ht="11.25" customHeight="1" x14ac:dyDescent="0.25">
      <c r="G2052" s="459"/>
      <c r="H2052" s="459">
        <v>2045</v>
      </c>
      <c r="I2052" s="444">
        <f t="shared" ca="1" si="143"/>
        <v>-2273586281.838676</v>
      </c>
      <c r="J2052" s="444">
        <f t="array" ref="J2052">IFERROR(INDEX('Retirement Calculator'!J:J,MATCH('Isaac 401k'!N2052,'Retirement Calculator'!A:A,0),0),0)</f>
        <v>0</v>
      </c>
      <c r="K2052" s="444">
        <f t="shared" ca="1" si="141"/>
        <v>-9473276.1743278168</v>
      </c>
      <c r="L2052" s="444">
        <f t="shared" ca="1" si="142"/>
        <v>-2283059558.0130038</v>
      </c>
      <c r="M2052" s="460">
        <f t="shared" si="144"/>
        <v>0.05</v>
      </c>
      <c r="N2052" s="464">
        <f t="shared" si="145"/>
        <v>113500</v>
      </c>
    </row>
    <row r="2053" spans="7:14" ht="11.25" customHeight="1" x14ac:dyDescent="0.25">
      <c r="G2053" s="459"/>
      <c r="H2053" s="459">
        <v>2046</v>
      </c>
      <c r="I2053" s="444">
        <f t="shared" ca="1" si="143"/>
        <v>-2283059558.0130038</v>
      </c>
      <c r="J2053" s="444">
        <f t="array" ref="J2053">IFERROR(INDEX('Retirement Calculator'!J:J,MATCH('Isaac 401k'!N2053,'Retirement Calculator'!A:A,0),0),0)</f>
        <v>0</v>
      </c>
      <c r="K2053" s="444">
        <f t="shared" ca="1" si="141"/>
        <v>-9512748.1583875157</v>
      </c>
      <c r="L2053" s="444">
        <f t="shared" ca="1" si="142"/>
        <v>-2292572306.1713915</v>
      </c>
      <c r="M2053" s="460">
        <f t="shared" si="144"/>
        <v>0.05</v>
      </c>
      <c r="N2053" s="464">
        <f t="shared" si="145"/>
        <v>113531</v>
      </c>
    </row>
    <row r="2054" spans="7:14" ht="11.25" customHeight="1" x14ac:dyDescent="0.25">
      <c r="G2054" s="459"/>
      <c r="H2054" s="459">
        <v>2047</v>
      </c>
      <c r="I2054" s="444">
        <f t="shared" ca="1" si="143"/>
        <v>-2292572306.1713915</v>
      </c>
      <c r="J2054" s="444">
        <f t="array" ref="J2054">IFERROR(INDEX('Retirement Calculator'!J:J,MATCH('Isaac 401k'!N2054,'Retirement Calculator'!A:A,0),0),0)</f>
        <v>0</v>
      </c>
      <c r="K2054" s="444">
        <f t="shared" ca="1" si="141"/>
        <v>-9552384.609047465</v>
      </c>
      <c r="L2054" s="444">
        <f t="shared" ca="1" si="142"/>
        <v>-2302124690.7804389</v>
      </c>
      <c r="M2054" s="460">
        <f t="shared" si="144"/>
        <v>0.05</v>
      </c>
      <c r="N2054" s="464">
        <f t="shared" si="145"/>
        <v>113561</v>
      </c>
    </row>
    <row r="2055" spans="7:14" ht="11.25" customHeight="1" x14ac:dyDescent="0.25">
      <c r="G2055" s="459"/>
      <c r="H2055" s="459">
        <v>2048</v>
      </c>
      <c r="I2055" s="444">
        <f t="shared" ca="1" si="143"/>
        <v>-2302124690.7804389</v>
      </c>
      <c r="J2055" s="444">
        <f t="array" ref="J2055">IFERROR(INDEX('Retirement Calculator'!J:J,MATCH('Isaac 401k'!N2055,'Retirement Calculator'!A:A,0),0),0)</f>
        <v>0</v>
      </c>
      <c r="K2055" s="444">
        <f t="shared" ca="1" si="141"/>
        <v>-9592186.2115851622</v>
      </c>
      <c r="L2055" s="444">
        <f t="shared" ca="1" si="142"/>
        <v>-2311716876.9920239</v>
      </c>
      <c r="M2055" s="460">
        <f t="shared" si="144"/>
        <v>0.05</v>
      </c>
      <c r="N2055" s="464">
        <f t="shared" si="145"/>
        <v>113592</v>
      </c>
    </row>
    <row r="2056" spans="7:14" ht="11.25" customHeight="1" x14ac:dyDescent="0.25">
      <c r="G2056" s="459"/>
      <c r="H2056" s="459">
        <v>2049</v>
      </c>
      <c r="I2056" s="444">
        <f t="shared" ca="1" si="143"/>
        <v>-2311716876.9920239</v>
      </c>
      <c r="J2056" s="444">
        <f t="array" ref="J2056">IFERROR(INDEX('Retirement Calculator'!J:J,MATCH('Isaac 401k'!N2056,'Retirement Calculator'!A:A,0),0),0)</f>
        <v>0</v>
      </c>
      <c r="K2056" s="444">
        <f t="shared" ca="1" si="141"/>
        <v>-9632153.6541334335</v>
      </c>
      <c r="L2056" s="444">
        <f t="shared" ca="1" si="142"/>
        <v>-2321349030.6461573</v>
      </c>
      <c r="M2056" s="460">
        <f t="shared" si="144"/>
        <v>0.05</v>
      </c>
      <c r="N2056" s="464">
        <f t="shared" si="145"/>
        <v>113623</v>
      </c>
    </row>
    <row r="2057" spans="7:14" ht="11.25" customHeight="1" x14ac:dyDescent="0.25">
      <c r="G2057" s="459"/>
      <c r="H2057" s="459">
        <v>2050</v>
      </c>
      <c r="I2057" s="444">
        <f t="shared" ca="1" si="143"/>
        <v>-2321349030.6461573</v>
      </c>
      <c r="J2057" s="444">
        <f t="array" ref="J2057">IFERROR(INDEX('Retirement Calculator'!J:J,MATCH('Isaac 401k'!N2057,'Retirement Calculator'!A:A,0),0),0)</f>
        <v>0</v>
      </c>
      <c r="K2057" s="444">
        <f t="shared" ca="1" si="141"/>
        <v>-9672287.6276923213</v>
      </c>
      <c r="L2057" s="444">
        <f t="shared" ca="1" si="142"/>
        <v>-2331021318.2738495</v>
      </c>
      <c r="M2057" s="460">
        <f t="shared" si="144"/>
        <v>0.05</v>
      </c>
      <c r="N2057" s="464">
        <f t="shared" si="145"/>
        <v>113651</v>
      </c>
    </row>
    <row r="2058" spans="7:14" ht="11.25" customHeight="1" x14ac:dyDescent="0.25">
      <c r="G2058" s="459"/>
      <c r="H2058" s="459">
        <v>2051</v>
      </c>
      <c r="I2058" s="444">
        <f t="shared" ca="1" si="143"/>
        <v>-2331021318.2738495</v>
      </c>
      <c r="J2058" s="444">
        <f t="array" ref="J2058">IFERROR(INDEX('Retirement Calculator'!J:J,MATCH('Isaac 401k'!N2058,'Retirement Calculator'!A:A,0),0),0)</f>
        <v>0</v>
      </c>
      <c r="K2058" s="444">
        <f t="shared" ca="1" si="141"/>
        <v>-9712588.8261410389</v>
      </c>
      <c r="L2058" s="444">
        <f t="shared" ca="1" si="142"/>
        <v>-2340733907.0999904</v>
      </c>
      <c r="M2058" s="460">
        <f t="shared" si="144"/>
        <v>0.05</v>
      </c>
      <c r="N2058" s="464">
        <f t="shared" si="145"/>
        <v>113682</v>
      </c>
    </row>
    <row r="2059" spans="7:14" ht="11.25" customHeight="1" x14ac:dyDescent="0.25">
      <c r="G2059" s="459"/>
      <c r="H2059" s="459">
        <v>2052</v>
      </c>
      <c r="I2059" s="444">
        <f t="shared" ca="1" si="143"/>
        <v>-2340733907.0999904</v>
      </c>
      <c r="J2059" s="444">
        <f t="array" ref="J2059">IFERROR(INDEX('Retirement Calculator'!J:J,MATCH('Isaac 401k'!N2059,'Retirement Calculator'!A:A,0),0),0)</f>
        <v>0</v>
      </c>
      <c r="K2059" s="444">
        <f t="shared" ca="1" si="141"/>
        <v>-9753057.94624996</v>
      </c>
      <c r="L2059" s="444">
        <f t="shared" ca="1" si="142"/>
        <v>-2350486965.0462403</v>
      </c>
      <c r="M2059" s="460">
        <f t="shared" si="144"/>
        <v>0.05</v>
      </c>
      <c r="N2059" s="464">
        <f t="shared" si="145"/>
        <v>113712</v>
      </c>
    </row>
    <row r="2060" spans="7:14" ht="11.25" customHeight="1" x14ac:dyDescent="0.25">
      <c r="G2060" s="459"/>
      <c r="H2060" s="459">
        <v>2053</v>
      </c>
      <c r="I2060" s="444">
        <f t="shared" ca="1" si="143"/>
        <v>-2350486965.0462403</v>
      </c>
      <c r="J2060" s="444">
        <f t="array" ref="J2060">IFERROR(INDEX('Retirement Calculator'!J:J,MATCH('Isaac 401k'!N2060,'Retirement Calculator'!A:A,0),0),0)</f>
        <v>0</v>
      </c>
      <c r="K2060" s="444">
        <f t="shared" ca="1" si="141"/>
        <v>-9793695.6876926683</v>
      </c>
      <c r="L2060" s="444">
        <f t="shared" ca="1" si="142"/>
        <v>-2360280660.733933</v>
      </c>
      <c r="M2060" s="460">
        <f t="shared" si="144"/>
        <v>0.05</v>
      </c>
      <c r="N2060" s="464">
        <f t="shared" si="145"/>
        <v>113743</v>
      </c>
    </row>
    <row r="2061" spans="7:14" ht="11.25" customHeight="1" x14ac:dyDescent="0.25">
      <c r="G2061" s="459"/>
      <c r="H2061" s="459">
        <v>2054</v>
      </c>
      <c r="I2061" s="444">
        <f t="shared" ca="1" si="143"/>
        <v>-2360280660.733933</v>
      </c>
      <c r="J2061" s="444">
        <f t="array" ref="J2061">IFERROR(INDEX('Retirement Calculator'!J:J,MATCH('Isaac 401k'!N2061,'Retirement Calculator'!A:A,0),0),0)</f>
        <v>0</v>
      </c>
      <c r="K2061" s="444">
        <f t="shared" ca="1" si="141"/>
        <v>-9834502.7530580536</v>
      </c>
      <c r="L2061" s="444">
        <f t="shared" ca="1" si="142"/>
        <v>-2370115163.4869909</v>
      </c>
      <c r="M2061" s="460">
        <f t="shared" si="144"/>
        <v>0.05</v>
      </c>
      <c r="N2061" s="464">
        <f t="shared" si="145"/>
        <v>113773</v>
      </c>
    </row>
    <row r="2062" spans="7:14" ht="11.25" customHeight="1" x14ac:dyDescent="0.25">
      <c r="G2062" s="459"/>
      <c r="H2062" s="459">
        <v>2055</v>
      </c>
      <c r="I2062" s="444">
        <f t="shared" ca="1" si="143"/>
        <v>-2370115163.4869909</v>
      </c>
      <c r="J2062" s="444">
        <f t="array" ref="J2062">IFERROR(INDEX('Retirement Calculator'!J:J,MATCH('Isaac 401k'!N2062,'Retirement Calculator'!A:A,0),0),0)</f>
        <v>0</v>
      </c>
      <c r="K2062" s="444">
        <f t="shared" ca="1" si="141"/>
        <v>-9875479.8478624616</v>
      </c>
      <c r="L2062" s="444">
        <f t="shared" ca="1" si="142"/>
        <v>-2379990643.3348532</v>
      </c>
      <c r="M2062" s="460">
        <f t="shared" si="144"/>
        <v>0.05</v>
      </c>
      <c r="N2062" s="464">
        <f t="shared" si="145"/>
        <v>113804</v>
      </c>
    </row>
    <row r="2063" spans="7:14" ht="11.25" customHeight="1" x14ac:dyDescent="0.25">
      <c r="G2063" s="459"/>
      <c r="H2063" s="459">
        <v>2056</v>
      </c>
      <c r="I2063" s="444">
        <f t="shared" ca="1" si="143"/>
        <v>-2379990643.3348532</v>
      </c>
      <c r="J2063" s="444">
        <f t="array" ref="J2063">IFERROR(INDEX('Retirement Calculator'!J:J,MATCH('Isaac 401k'!N2063,'Retirement Calculator'!A:A,0),0),0)</f>
        <v>0</v>
      </c>
      <c r="K2063" s="444">
        <f t="shared" ca="1" si="141"/>
        <v>-9916627.680561889</v>
      </c>
      <c r="L2063" s="444">
        <f t="shared" ca="1" si="142"/>
        <v>-2389907271.0154152</v>
      </c>
      <c r="M2063" s="460">
        <f t="shared" si="144"/>
        <v>0.05</v>
      </c>
      <c r="N2063" s="464">
        <f t="shared" si="145"/>
        <v>113835</v>
      </c>
    </row>
    <row r="2064" spans="7:14" ht="11.25" customHeight="1" x14ac:dyDescent="0.25">
      <c r="G2064" s="459"/>
      <c r="H2064" s="459">
        <v>2057</v>
      </c>
      <c r="I2064" s="444">
        <f t="shared" ca="1" si="143"/>
        <v>-2389907271.0154152</v>
      </c>
      <c r="J2064" s="444">
        <f t="array" ref="J2064">IFERROR(INDEX('Retirement Calculator'!J:J,MATCH('Isaac 401k'!N2064,'Retirement Calculator'!A:A,0),0),0)</f>
        <v>0</v>
      </c>
      <c r="K2064" s="444">
        <f t="shared" ca="1" si="141"/>
        <v>-9957946.96256423</v>
      </c>
      <c r="L2064" s="444">
        <f t="shared" ca="1" si="142"/>
        <v>-2399865217.9779797</v>
      </c>
      <c r="M2064" s="460">
        <f t="shared" si="144"/>
        <v>0.05</v>
      </c>
      <c r="N2064" s="464">
        <f t="shared" si="145"/>
        <v>113865</v>
      </c>
    </row>
    <row r="2065" spans="7:14" ht="11.25" customHeight="1" x14ac:dyDescent="0.25">
      <c r="G2065" s="459"/>
      <c r="H2065" s="459">
        <v>2058</v>
      </c>
      <c r="I2065" s="444">
        <f t="shared" ca="1" si="143"/>
        <v>-2399865217.9779797</v>
      </c>
      <c r="J2065" s="444">
        <f t="array" ref="J2065">IFERROR(INDEX('Retirement Calculator'!J:J,MATCH('Isaac 401k'!N2065,'Retirement Calculator'!A:A,0),0),0)</f>
        <v>0</v>
      </c>
      <c r="K2065" s="444">
        <f t="shared" ca="1" si="141"/>
        <v>-9999438.4082415812</v>
      </c>
      <c r="L2065" s="444">
        <f t="shared" ca="1" si="142"/>
        <v>-2409864656.3862214</v>
      </c>
      <c r="M2065" s="460">
        <f t="shared" si="144"/>
        <v>0.05</v>
      </c>
      <c r="N2065" s="464">
        <f t="shared" si="145"/>
        <v>113896</v>
      </c>
    </row>
    <row r="2066" spans="7:14" ht="11.25" customHeight="1" x14ac:dyDescent="0.25">
      <c r="G2066" s="459"/>
      <c r="H2066" s="459">
        <v>2059</v>
      </c>
      <c r="I2066" s="444">
        <f t="shared" ca="1" si="143"/>
        <v>-2409864656.3862214</v>
      </c>
      <c r="J2066" s="444">
        <f t="array" ref="J2066">IFERROR(INDEX('Retirement Calculator'!J:J,MATCH('Isaac 401k'!N2066,'Retirement Calculator'!A:A,0),0),0)</f>
        <v>0</v>
      </c>
      <c r="K2066" s="444">
        <f t="shared" ca="1" si="141"/>
        <v>-10041102.734942589</v>
      </c>
      <c r="L2066" s="444">
        <f t="shared" ca="1" si="142"/>
        <v>-2419905759.1211638</v>
      </c>
      <c r="M2066" s="460">
        <f t="shared" si="144"/>
        <v>0.05</v>
      </c>
      <c r="N2066" s="464">
        <f t="shared" si="145"/>
        <v>113926</v>
      </c>
    </row>
    <row r="2067" spans="7:14" ht="11.25" customHeight="1" x14ac:dyDescent="0.25">
      <c r="G2067" s="459"/>
      <c r="H2067" s="459">
        <v>2060</v>
      </c>
      <c r="I2067" s="444">
        <f t="shared" ca="1" si="143"/>
        <v>-2419905759.1211638</v>
      </c>
      <c r="J2067" s="444">
        <f t="array" ref="J2067">IFERROR(INDEX('Retirement Calculator'!J:J,MATCH('Isaac 401k'!N2067,'Retirement Calculator'!A:A,0),0),0)</f>
        <v>0</v>
      </c>
      <c r="K2067" s="444">
        <f t="shared" ca="1" si="141"/>
        <v>-10082940.663004849</v>
      </c>
      <c r="L2067" s="444">
        <f t="shared" ca="1" si="142"/>
        <v>-2429988699.7841687</v>
      </c>
      <c r="M2067" s="460">
        <f t="shared" si="144"/>
        <v>0.05</v>
      </c>
      <c r="N2067" s="464">
        <f t="shared" si="145"/>
        <v>113957</v>
      </c>
    </row>
    <row r="2068" spans="7:14" ht="11.25" customHeight="1" x14ac:dyDescent="0.25">
      <c r="G2068" s="459"/>
      <c r="H2068" s="459">
        <v>2061</v>
      </c>
      <c r="I2068" s="444">
        <f t="shared" ca="1" si="143"/>
        <v>-2429988699.7841687</v>
      </c>
      <c r="J2068" s="444">
        <f t="array" ref="J2068">IFERROR(INDEX('Retirement Calculator'!J:J,MATCH('Isaac 401k'!N2068,'Retirement Calculator'!A:A,0),0),0)</f>
        <v>0</v>
      </c>
      <c r="K2068" s="444">
        <f t="shared" ca="1" si="141"/>
        <v>-10124952.91576737</v>
      </c>
      <c r="L2068" s="444">
        <f t="shared" ca="1" si="142"/>
        <v>-2440113652.6999359</v>
      </c>
      <c r="M2068" s="460">
        <f t="shared" si="144"/>
        <v>0.05</v>
      </c>
      <c r="N2068" s="464">
        <f t="shared" si="145"/>
        <v>113988</v>
      </c>
    </row>
    <row r="2069" spans="7:14" ht="11.25" customHeight="1" x14ac:dyDescent="0.25">
      <c r="G2069" s="459"/>
      <c r="H2069" s="459">
        <v>2062</v>
      </c>
      <c r="I2069" s="444">
        <f t="shared" ca="1" si="143"/>
        <v>-2440113652.6999359</v>
      </c>
      <c r="J2069" s="444">
        <f t="array" ref="J2069">IFERROR(INDEX('Retirement Calculator'!J:J,MATCH('Isaac 401k'!N2069,'Retirement Calculator'!A:A,0),0),0)</f>
        <v>0</v>
      </c>
      <c r="K2069" s="444">
        <f t="shared" ca="1" si="141"/>
        <v>-10167140.219583066</v>
      </c>
      <c r="L2069" s="444">
        <f t="shared" ca="1" si="142"/>
        <v>-2450280792.9195189</v>
      </c>
      <c r="M2069" s="460">
        <f t="shared" si="144"/>
        <v>0.05</v>
      </c>
      <c r="N2069" s="464">
        <f t="shared" si="145"/>
        <v>114017</v>
      </c>
    </row>
    <row r="2070" spans="7:14" ht="11.25" customHeight="1" x14ac:dyDescent="0.25">
      <c r="G2070" s="459"/>
      <c r="H2070" s="459">
        <v>2063</v>
      </c>
      <c r="I2070" s="444">
        <f t="shared" ca="1" si="143"/>
        <v>-2450280792.9195189</v>
      </c>
      <c r="J2070" s="444">
        <f t="array" ref="J2070">IFERROR(INDEX('Retirement Calculator'!J:J,MATCH('Isaac 401k'!N2070,'Retirement Calculator'!A:A,0),0),0)</f>
        <v>0</v>
      </c>
      <c r="K2070" s="444">
        <f t="shared" ca="1" si="141"/>
        <v>-10209503.30383133</v>
      </c>
      <c r="L2070" s="444">
        <f t="shared" ca="1" si="142"/>
        <v>-2460490296.22335</v>
      </c>
      <c r="M2070" s="460">
        <f t="shared" si="144"/>
        <v>0.05</v>
      </c>
      <c r="N2070" s="464">
        <f t="shared" si="145"/>
        <v>114048</v>
      </c>
    </row>
    <row r="2071" spans="7:14" ht="11.25" customHeight="1" x14ac:dyDescent="0.25">
      <c r="G2071" s="459"/>
      <c r="H2071" s="459">
        <v>2064</v>
      </c>
      <c r="I2071" s="444">
        <f t="shared" ca="1" si="143"/>
        <v>-2460490296.22335</v>
      </c>
      <c r="J2071" s="444">
        <f t="array" ref="J2071">IFERROR(INDEX('Retirement Calculator'!J:J,MATCH('Isaac 401k'!N2071,'Retirement Calculator'!A:A,0),0),0)</f>
        <v>0</v>
      </c>
      <c r="K2071" s="444">
        <f t="shared" ca="1" si="141"/>
        <v>-10252042.900930624</v>
      </c>
      <c r="L2071" s="444">
        <f t="shared" ca="1" si="142"/>
        <v>-2470742339.1242805</v>
      </c>
      <c r="M2071" s="460">
        <f t="shared" si="144"/>
        <v>0.05</v>
      </c>
      <c r="N2071" s="464">
        <f t="shared" si="145"/>
        <v>114078</v>
      </c>
    </row>
    <row r="2072" spans="7:14" ht="11.25" customHeight="1" x14ac:dyDescent="0.25">
      <c r="G2072" s="459"/>
      <c r="H2072" s="459">
        <v>2065</v>
      </c>
      <c r="I2072" s="444">
        <f t="shared" ca="1" si="143"/>
        <v>-2470742339.1242805</v>
      </c>
      <c r="J2072" s="444">
        <f t="array" ref="J2072">IFERROR(INDEX('Retirement Calculator'!J:J,MATCH('Isaac 401k'!N2072,'Retirement Calculator'!A:A,0),0),0)</f>
        <v>0</v>
      </c>
      <c r="K2072" s="444">
        <f t="shared" ca="1" si="141"/>
        <v>-10294759.746351168</v>
      </c>
      <c r="L2072" s="444">
        <f t="shared" ca="1" si="142"/>
        <v>-2481037098.8706317</v>
      </c>
      <c r="M2072" s="460">
        <f t="shared" si="144"/>
        <v>0.05</v>
      </c>
      <c r="N2072" s="464">
        <f t="shared" si="145"/>
        <v>114109</v>
      </c>
    </row>
    <row r="2073" spans="7:14" ht="11.25" customHeight="1" x14ac:dyDescent="0.25">
      <c r="G2073" s="459"/>
      <c r="H2073" s="459">
        <v>2066</v>
      </c>
      <c r="I2073" s="444">
        <f t="shared" ca="1" si="143"/>
        <v>-2481037098.8706317</v>
      </c>
      <c r="J2073" s="444">
        <f t="array" ref="J2073">IFERROR(INDEX('Retirement Calculator'!J:J,MATCH('Isaac 401k'!N2073,'Retirement Calculator'!A:A,0),0),0)</f>
        <v>0</v>
      </c>
      <c r="K2073" s="444">
        <f t="shared" ca="1" si="141"/>
        <v>-10337654.578627631</v>
      </c>
      <c r="L2073" s="444">
        <f t="shared" ca="1" si="142"/>
        <v>-2491374753.4492593</v>
      </c>
      <c r="M2073" s="460">
        <f t="shared" si="144"/>
        <v>0.05</v>
      </c>
      <c r="N2073" s="464">
        <f t="shared" si="145"/>
        <v>114139</v>
      </c>
    </row>
    <row r="2074" spans="7:14" ht="11.25" customHeight="1" x14ac:dyDescent="0.25">
      <c r="G2074" s="459"/>
      <c r="H2074" s="459">
        <v>2067</v>
      </c>
      <c r="I2074" s="444">
        <f t="shared" ca="1" si="143"/>
        <v>-2491374753.4492593</v>
      </c>
      <c r="J2074" s="444">
        <f t="array" ref="J2074">IFERROR(INDEX('Retirement Calculator'!J:J,MATCH('Isaac 401k'!N2074,'Retirement Calculator'!A:A,0),0),0)</f>
        <v>0</v>
      </c>
      <c r="K2074" s="444">
        <f t="shared" ca="1" si="141"/>
        <v>-10380728.139371913</v>
      </c>
      <c r="L2074" s="444">
        <f t="shared" ca="1" si="142"/>
        <v>-2501755481.5886312</v>
      </c>
      <c r="M2074" s="460">
        <f t="shared" si="144"/>
        <v>0.05</v>
      </c>
      <c r="N2074" s="464">
        <f t="shared" si="145"/>
        <v>114170</v>
      </c>
    </row>
    <row r="2075" spans="7:14" ht="11.25" customHeight="1" x14ac:dyDescent="0.25">
      <c r="G2075" s="459"/>
      <c r="H2075" s="459">
        <v>2068</v>
      </c>
      <c r="I2075" s="444">
        <f t="shared" ca="1" si="143"/>
        <v>-2501755481.5886312</v>
      </c>
      <c r="J2075" s="444">
        <f t="array" ref="J2075">IFERROR(INDEX('Retirement Calculator'!J:J,MATCH('Isaac 401k'!N2075,'Retirement Calculator'!A:A,0),0),0)</f>
        <v>0</v>
      </c>
      <c r="K2075" s="444">
        <f t="shared" ca="1" si="141"/>
        <v>-10423981.173285963</v>
      </c>
      <c r="L2075" s="444">
        <f t="shared" ca="1" si="142"/>
        <v>-2512179462.7619171</v>
      </c>
      <c r="M2075" s="460">
        <f t="shared" si="144"/>
        <v>0.05</v>
      </c>
      <c r="N2075" s="464">
        <f t="shared" si="145"/>
        <v>114201</v>
      </c>
    </row>
    <row r="2076" spans="7:14" ht="11.25" customHeight="1" x14ac:dyDescent="0.25">
      <c r="G2076" s="459"/>
      <c r="H2076" s="459">
        <v>2069</v>
      </c>
      <c r="I2076" s="444">
        <f t="shared" ca="1" si="143"/>
        <v>-2512179462.7619171</v>
      </c>
      <c r="J2076" s="444">
        <f t="array" ref="J2076">IFERROR(INDEX('Retirement Calculator'!J:J,MATCH('Isaac 401k'!N2076,'Retirement Calculator'!A:A,0),0),0)</f>
        <v>0</v>
      </c>
      <c r="K2076" s="444">
        <f t="shared" ca="1" si="141"/>
        <v>-10467414.428174654</v>
      </c>
      <c r="L2076" s="444">
        <f t="shared" ca="1" si="142"/>
        <v>-2522646877.1900916</v>
      </c>
      <c r="M2076" s="460">
        <f t="shared" si="144"/>
        <v>0.05</v>
      </c>
      <c r="N2076" s="464">
        <f t="shared" si="145"/>
        <v>114231</v>
      </c>
    </row>
    <row r="2077" spans="7:14" ht="11.25" customHeight="1" x14ac:dyDescent="0.25">
      <c r="G2077" s="459"/>
      <c r="H2077" s="459">
        <v>2070</v>
      </c>
      <c r="I2077" s="444">
        <f t="shared" ca="1" si="143"/>
        <v>-2522646877.1900916</v>
      </c>
      <c r="J2077" s="444">
        <f t="array" ref="J2077">IFERROR(INDEX('Retirement Calculator'!J:J,MATCH('Isaac 401k'!N2077,'Retirement Calculator'!A:A,0),0),0)</f>
        <v>0</v>
      </c>
      <c r="K2077" s="444">
        <f t="shared" ca="1" si="141"/>
        <v>-10511028.654958716</v>
      </c>
      <c r="L2077" s="444">
        <f t="shared" ca="1" si="142"/>
        <v>-2533157905.8450503</v>
      </c>
      <c r="M2077" s="460">
        <f t="shared" si="144"/>
        <v>0.05</v>
      </c>
      <c r="N2077" s="464">
        <f t="shared" si="145"/>
        <v>114262</v>
      </c>
    </row>
    <row r="2078" spans="7:14" ht="11.25" customHeight="1" x14ac:dyDescent="0.25">
      <c r="G2078" s="459"/>
      <c r="H2078" s="459">
        <v>2071</v>
      </c>
      <c r="I2078" s="444">
        <f t="shared" ca="1" si="143"/>
        <v>-2533157905.8450503</v>
      </c>
      <c r="J2078" s="444">
        <f t="array" ref="J2078">IFERROR(INDEX('Retirement Calculator'!J:J,MATCH('Isaac 401k'!N2078,'Retirement Calculator'!A:A,0),0),0)</f>
        <v>0</v>
      </c>
      <c r="K2078" s="444">
        <f t="shared" ca="1" si="141"/>
        <v>-10554824.60768771</v>
      </c>
      <c r="L2078" s="444">
        <f t="shared" ca="1" si="142"/>
        <v>-2543712730.4527378</v>
      </c>
      <c r="M2078" s="460">
        <f t="shared" si="144"/>
        <v>0.05</v>
      </c>
      <c r="N2078" s="464">
        <f t="shared" si="145"/>
        <v>114292</v>
      </c>
    </row>
    <row r="2079" spans="7:14" ht="11.25" customHeight="1" x14ac:dyDescent="0.25">
      <c r="G2079" s="459"/>
      <c r="H2079" s="459">
        <v>2072</v>
      </c>
      <c r="I2079" s="444">
        <f t="shared" ca="1" si="143"/>
        <v>-2543712730.4527378</v>
      </c>
      <c r="J2079" s="444">
        <f t="array" ref="J2079">IFERROR(INDEX('Retirement Calculator'!J:J,MATCH('Isaac 401k'!N2079,'Retirement Calculator'!A:A,0),0),0)</f>
        <v>0</v>
      </c>
      <c r="K2079" s="444">
        <f t="shared" ca="1" si="141"/>
        <v>-10598803.043553075</v>
      </c>
      <c r="L2079" s="444">
        <f t="shared" ca="1" si="142"/>
        <v>-2554311533.4962907</v>
      </c>
      <c r="M2079" s="460">
        <f t="shared" si="144"/>
        <v>0.05</v>
      </c>
      <c r="N2079" s="464">
        <f t="shared" si="145"/>
        <v>114323</v>
      </c>
    </row>
    <row r="2080" spans="7:14" ht="11.25" customHeight="1" x14ac:dyDescent="0.25">
      <c r="G2080" s="459"/>
      <c r="H2080" s="459">
        <v>2073</v>
      </c>
      <c r="I2080" s="444">
        <f t="shared" ca="1" si="143"/>
        <v>-2554311533.4962907</v>
      </c>
      <c r="J2080" s="444">
        <f t="array" ref="J2080">IFERROR(INDEX('Retirement Calculator'!J:J,MATCH('Isaac 401k'!N2080,'Retirement Calculator'!A:A,0),0),0)</f>
        <v>0</v>
      </c>
      <c r="K2080" s="444">
        <f t="shared" ca="1" si="141"/>
        <v>-10642964.72290121</v>
      </c>
      <c r="L2080" s="444">
        <f t="shared" ca="1" si="142"/>
        <v>-2564954498.219192</v>
      </c>
      <c r="M2080" s="460">
        <f t="shared" si="144"/>
        <v>0.05</v>
      </c>
      <c r="N2080" s="464">
        <f t="shared" si="145"/>
        <v>114354</v>
      </c>
    </row>
    <row r="2081" spans="7:14" ht="11.25" customHeight="1" x14ac:dyDescent="0.25">
      <c r="G2081" s="459"/>
      <c r="H2081" s="459">
        <v>2074</v>
      </c>
      <c r="I2081" s="444">
        <f t="shared" ca="1" si="143"/>
        <v>-2564954498.219192</v>
      </c>
      <c r="J2081" s="444">
        <f t="array" ref="J2081">IFERROR(INDEX('Retirement Calculator'!J:J,MATCH('Isaac 401k'!N2081,'Retirement Calculator'!A:A,0),0),0)</f>
        <v>0</v>
      </c>
      <c r="K2081" s="444">
        <f t="shared" ca="1" si="141"/>
        <v>-10687310.409246633</v>
      </c>
      <c r="L2081" s="444">
        <f t="shared" ca="1" si="142"/>
        <v>-2575641808.6284385</v>
      </c>
      <c r="M2081" s="460">
        <f t="shared" si="144"/>
        <v>0.05</v>
      </c>
      <c r="N2081" s="464">
        <f t="shared" si="145"/>
        <v>114382</v>
      </c>
    </row>
    <row r="2082" spans="7:14" ht="11.25" customHeight="1" x14ac:dyDescent="0.25">
      <c r="G2082" s="459"/>
      <c r="H2082" s="459">
        <v>2075</v>
      </c>
      <c r="I2082" s="444">
        <f t="shared" ca="1" si="143"/>
        <v>-2575641808.6284385</v>
      </c>
      <c r="J2082" s="444">
        <f t="array" ref="J2082">IFERROR(INDEX('Retirement Calculator'!J:J,MATCH('Isaac 401k'!N2082,'Retirement Calculator'!A:A,0),0),0)</f>
        <v>0</v>
      </c>
      <c r="K2082" s="444">
        <f t="shared" ca="1" si="141"/>
        <v>-10731840.869285161</v>
      </c>
      <c r="L2082" s="444">
        <f t="shared" ca="1" si="142"/>
        <v>-2586373649.4977236</v>
      </c>
      <c r="M2082" s="460">
        <f t="shared" si="144"/>
        <v>0.05</v>
      </c>
      <c r="N2082" s="464">
        <f t="shared" si="145"/>
        <v>114413</v>
      </c>
    </row>
    <row r="2083" spans="7:14" ht="11.25" customHeight="1" x14ac:dyDescent="0.25">
      <c r="G2083" s="459"/>
      <c r="H2083" s="459">
        <v>2076</v>
      </c>
      <c r="I2083" s="444">
        <f t="shared" ca="1" si="143"/>
        <v>-2586373649.4977236</v>
      </c>
      <c r="J2083" s="444">
        <f t="array" ref="J2083">IFERROR(INDEX('Retirement Calculator'!J:J,MATCH('Isaac 401k'!N2083,'Retirement Calculator'!A:A,0),0),0)</f>
        <v>0</v>
      </c>
      <c r="K2083" s="444">
        <f t="shared" ca="1" si="141"/>
        <v>-10776556.872907182</v>
      </c>
      <c r="L2083" s="444">
        <f t="shared" ca="1" si="142"/>
        <v>-2597150206.3706307</v>
      </c>
      <c r="M2083" s="460">
        <f t="shared" si="144"/>
        <v>0.05</v>
      </c>
      <c r="N2083" s="464">
        <f t="shared" si="145"/>
        <v>114443</v>
      </c>
    </row>
    <row r="2084" spans="7:14" ht="11.25" customHeight="1" x14ac:dyDescent="0.25">
      <c r="G2084" s="459"/>
      <c r="H2084" s="459">
        <v>2077</v>
      </c>
      <c r="I2084" s="444">
        <f t="shared" ca="1" si="143"/>
        <v>-2597150206.3706307</v>
      </c>
      <c r="J2084" s="444">
        <f t="array" ref="J2084">IFERROR(INDEX('Retirement Calculator'!J:J,MATCH('Isaac 401k'!N2084,'Retirement Calculator'!A:A,0),0),0)</f>
        <v>0</v>
      </c>
      <c r="K2084" s="444">
        <f t="shared" ca="1" si="141"/>
        <v>-10821459.193210961</v>
      </c>
      <c r="L2084" s="444">
        <f t="shared" ca="1" si="142"/>
        <v>-2607971665.5638418</v>
      </c>
      <c r="M2084" s="460">
        <f t="shared" si="144"/>
        <v>0.05</v>
      </c>
      <c r="N2084" s="464">
        <f t="shared" si="145"/>
        <v>114474</v>
      </c>
    </row>
    <row r="2085" spans="7:14" ht="11.25" customHeight="1" x14ac:dyDescent="0.25">
      <c r="G2085" s="459"/>
      <c r="H2085" s="459">
        <v>2078</v>
      </c>
      <c r="I2085" s="444">
        <f t="shared" ca="1" si="143"/>
        <v>-2607971665.5638418</v>
      </c>
      <c r="J2085" s="444">
        <f t="array" ref="J2085">IFERROR(INDEX('Retirement Calculator'!J:J,MATCH('Isaac 401k'!N2085,'Retirement Calculator'!A:A,0),0),0)</f>
        <v>0</v>
      </c>
      <c r="K2085" s="444">
        <f t="shared" ca="1" si="141"/>
        <v>-10866548.606516007</v>
      </c>
      <c r="L2085" s="444">
        <f t="shared" ca="1" si="142"/>
        <v>-2618838214.1703577</v>
      </c>
      <c r="M2085" s="460">
        <f t="shared" si="144"/>
        <v>0.05</v>
      </c>
      <c r="N2085" s="464">
        <f t="shared" si="145"/>
        <v>114504</v>
      </c>
    </row>
    <row r="2086" spans="7:14" ht="11.25" customHeight="1" x14ac:dyDescent="0.25">
      <c r="G2086" s="459"/>
      <c r="H2086" s="459">
        <v>2079</v>
      </c>
      <c r="I2086" s="444">
        <f t="shared" ca="1" si="143"/>
        <v>-2618838214.1703577</v>
      </c>
      <c r="J2086" s="444">
        <f t="array" ref="J2086">IFERROR(INDEX('Retirement Calculator'!J:J,MATCH('Isaac 401k'!N2086,'Retirement Calculator'!A:A,0),0),0)</f>
        <v>0</v>
      </c>
      <c r="K2086" s="444">
        <f t="shared" ca="1" si="141"/>
        <v>-10911825.89237649</v>
      </c>
      <c r="L2086" s="444">
        <f t="shared" ca="1" si="142"/>
        <v>-2629750040.0627341</v>
      </c>
      <c r="M2086" s="460">
        <f t="shared" si="144"/>
        <v>0.05</v>
      </c>
      <c r="N2086" s="464">
        <f t="shared" si="145"/>
        <v>114535</v>
      </c>
    </row>
    <row r="2087" spans="7:14" ht="11.25" customHeight="1" x14ac:dyDescent="0.25">
      <c r="G2087" s="459"/>
      <c r="H2087" s="459">
        <v>2080</v>
      </c>
      <c r="I2087" s="444">
        <f t="shared" ca="1" si="143"/>
        <v>-2629750040.0627341</v>
      </c>
      <c r="J2087" s="444">
        <f t="array" ref="J2087">IFERROR(INDEX('Retirement Calculator'!J:J,MATCH('Isaac 401k'!N2087,'Retirement Calculator'!A:A,0),0),0)</f>
        <v>0</v>
      </c>
      <c r="K2087" s="444">
        <f t="shared" ca="1" si="141"/>
        <v>-10957291.833594725</v>
      </c>
      <c r="L2087" s="444">
        <f t="shared" ca="1" si="142"/>
        <v>-2640707331.8963289</v>
      </c>
      <c r="M2087" s="460">
        <f t="shared" si="144"/>
        <v>0.05</v>
      </c>
      <c r="N2087" s="464">
        <f t="shared" si="145"/>
        <v>114566</v>
      </c>
    </row>
    <row r="2088" spans="7:14" ht="11.25" customHeight="1" x14ac:dyDescent="0.25">
      <c r="G2088" s="459"/>
      <c r="H2088" s="459">
        <v>2081</v>
      </c>
      <c r="I2088" s="444">
        <f t="shared" ca="1" si="143"/>
        <v>-2640707331.8963289</v>
      </c>
      <c r="J2088" s="444">
        <f t="array" ref="J2088">IFERROR(INDEX('Retirement Calculator'!J:J,MATCH('Isaac 401k'!N2088,'Retirement Calculator'!A:A,0),0),0)</f>
        <v>0</v>
      </c>
      <c r="K2088" s="444">
        <f t="shared" ca="1" si="141"/>
        <v>-11002947.216234704</v>
      </c>
      <c r="L2088" s="444">
        <f t="shared" ca="1" si="142"/>
        <v>-2651710279.1125636</v>
      </c>
      <c r="M2088" s="460">
        <f t="shared" si="144"/>
        <v>0.05</v>
      </c>
      <c r="N2088" s="464">
        <f t="shared" si="145"/>
        <v>114596</v>
      </c>
    </row>
    <row r="2089" spans="7:14" ht="11.25" customHeight="1" x14ac:dyDescent="0.25">
      <c r="G2089" s="459"/>
      <c r="H2089" s="459">
        <v>2082</v>
      </c>
      <c r="I2089" s="444">
        <f t="shared" ca="1" si="143"/>
        <v>-2651710279.1125636</v>
      </c>
      <c r="J2089" s="444">
        <f t="array" ref="J2089">IFERROR(INDEX('Retirement Calculator'!J:J,MATCH('Isaac 401k'!N2089,'Retirement Calculator'!A:A,0),0),0)</f>
        <v>0</v>
      </c>
      <c r="K2089" s="444">
        <f t="shared" ca="1" si="141"/>
        <v>-11048792.829635682</v>
      </c>
      <c r="L2089" s="444">
        <f t="shared" ca="1" si="142"/>
        <v>-2662759071.9421992</v>
      </c>
      <c r="M2089" s="460">
        <f t="shared" si="144"/>
        <v>0.05</v>
      </c>
      <c r="N2089" s="464">
        <f t="shared" si="145"/>
        <v>114627</v>
      </c>
    </row>
    <row r="2090" spans="7:14" ht="11.25" customHeight="1" x14ac:dyDescent="0.25">
      <c r="G2090" s="459"/>
      <c r="H2090" s="459">
        <v>2083</v>
      </c>
      <c r="I2090" s="444">
        <f t="shared" ca="1" si="143"/>
        <v>-2662759071.9421992</v>
      </c>
      <c r="J2090" s="444">
        <f t="array" ref="J2090">IFERROR(INDEX('Retirement Calculator'!J:J,MATCH('Isaac 401k'!N2090,'Retirement Calculator'!A:A,0),0),0)</f>
        <v>0</v>
      </c>
      <c r="K2090" s="444">
        <f t="shared" ca="1" si="141"/>
        <v>-11094829.46642583</v>
      </c>
      <c r="L2090" s="444">
        <f t="shared" ca="1" si="142"/>
        <v>-2673853901.4086251</v>
      </c>
      <c r="M2090" s="460">
        <f t="shared" si="144"/>
        <v>0.05</v>
      </c>
      <c r="N2090" s="464">
        <f t="shared" si="145"/>
        <v>114657</v>
      </c>
    </row>
    <row r="2091" spans="7:14" ht="11.25" customHeight="1" x14ac:dyDescent="0.25">
      <c r="G2091" s="459"/>
      <c r="H2091" s="459">
        <v>2084</v>
      </c>
      <c r="I2091" s="444">
        <f t="shared" ca="1" si="143"/>
        <v>-2673853901.4086251</v>
      </c>
      <c r="J2091" s="444">
        <f t="array" ref="J2091">IFERROR(INDEX('Retirement Calculator'!J:J,MATCH('Isaac 401k'!N2091,'Retirement Calculator'!A:A,0),0),0)</f>
        <v>0</v>
      </c>
      <c r="K2091" s="444">
        <f t="shared" ca="1" si="141"/>
        <v>-11141057.922535937</v>
      </c>
      <c r="L2091" s="444">
        <f t="shared" ca="1" si="142"/>
        <v>-2684994959.331161</v>
      </c>
      <c r="M2091" s="460">
        <f t="shared" si="144"/>
        <v>0.05</v>
      </c>
      <c r="N2091" s="464">
        <f t="shared" si="145"/>
        <v>114688</v>
      </c>
    </row>
    <row r="2092" spans="7:14" ht="11.25" customHeight="1" x14ac:dyDescent="0.25">
      <c r="G2092" s="459"/>
      <c r="H2092" s="459">
        <v>2085</v>
      </c>
      <c r="I2092" s="444">
        <f t="shared" ca="1" si="143"/>
        <v>-2684994959.331161</v>
      </c>
      <c r="J2092" s="444">
        <f t="array" ref="J2092">IFERROR(INDEX('Retirement Calculator'!J:J,MATCH('Isaac 401k'!N2092,'Retirement Calculator'!A:A,0),0),0)</f>
        <v>0</v>
      </c>
      <c r="K2092" s="444">
        <f t="shared" ca="1" si="141"/>
        <v>-11187478.99721317</v>
      </c>
      <c r="L2092" s="444">
        <f t="shared" ca="1" si="142"/>
        <v>-2696182438.3283744</v>
      </c>
      <c r="M2092" s="460">
        <f t="shared" si="144"/>
        <v>0.05</v>
      </c>
      <c r="N2092" s="464">
        <f t="shared" si="145"/>
        <v>114719</v>
      </c>
    </row>
    <row r="2093" spans="7:14" ht="11.25" customHeight="1" x14ac:dyDescent="0.25">
      <c r="G2093" s="459"/>
      <c r="H2093" s="459">
        <v>2086</v>
      </c>
      <c r="I2093" s="444">
        <f t="shared" ca="1" si="143"/>
        <v>-2696182438.3283744</v>
      </c>
      <c r="J2093" s="444">
        <f t="array" ref="J2093">IFERROR(INDEX('Retirement Calculator'!J:J,MATCH('Isaac 401k'!N2093,'Retirement Calculator'!A:A,0),0),0)</f>
        <v>0</v>
      </c>
      <c r="K2093" s="444">
        <f t="shared" ca="1" si="141"/>
        <v>-11234093.493034894</v>
      </c>
      <c r="L2093" s="444">
        <f t="shared" ca="1" si="142"/>
        <v>-2707416531.8214092</v>
      </c>
      <c r="M2093" s="460">
        <f t="shared" si="144"/>
        <v>0.05</v>
      </c>
      <c r="N2093" s="464">
        <f t="shared" si="145"/>
        <v>114747</v>
      </c>
    </row>
    <row r="2094" spans="7:14" ht="11.25" customHeight="1" x14ac:dyDescent="0.25">
      <c r="G2094" s="459"/>
      <c r="H2094" s="459">
        <v>2087</v>
      </c>
      <c r="I2094" s="444">
        <f t="shared" ca="1" si="143"/>
        <v>-2707416531.8214092</v>
      </c>
      <c r="J2094" s="444">
        <f t="array" ref="J2094">IFERROR(INDEX('Retirement Calculator'!J:J,MATCH('Isaac 401k'!N2094,'Retirement Calculator'!A:A,0),0),0)</f>
        <v>0</v>
      </c>
      <c r="K2094" s="444">
        <f t="shared" ca="1" si="141"/>
        <v>-11280902.215922538</v>
      </c>
      <c r="L2094" s="444">
        <f t="shared" ca="1" si="142"/>
        <v>-2718697434.0373316</v>
      </c>
      <c r="M2094" s="460">
        <f t="shared" si="144"/>
        <v>0.05</v>
      </c>
      <c r="N2094" s="464">
        <f t="shared" si="145"/>
        <v>114778</v>
      </c>
    </row>
    <row r="2095" spans="7:14" ht="11.25" customHeight="1" x14ac:dyDescent="0.25">
      <c r="G2095" s="459"/>
      <c r="H2095" s="459">
        <v>2088</v>
      </c>
      <c r="I2095" s="444">
        <f t="shared" ca="1" si="143"/>
        <v>-2718697434.0373316</v>
      </c>
      <c r="J2095" s="444">
        <f t="array" ref="J2095">IFERROR(INDEX('Retirement Calculator'!J:J,MATCH('Isaac 401k'!N2095,'Retirement Calculator'!A:A,0),0),0)</f>
        <v>0</v>
      </c>
      <c r="K2095" s="444">
        <f t="shared" ca="1" si="141"/>
        <v>-11327905.975155547</v>
      </c>
      <c r="L2095" s="444">
        <f t="shared" ca="1" si="142"/>
        <v>-2730025340.0124869</v>
      </c>
      <c r="M2095" s="460">
        <f t="shared" si="144"/>
        <v>0.05</v>
      </c>
      <c r="N2095" s="464">
        <f t="shared" si="145"/>
        <v>114808</v>
      </c>
    </row>
    <row r="2096" spans="7:14" ht="11.25" customHeight="1" x14ac:dyDescent="0.25">
      <c r="G2096" s="459"/>
      <c r="H2096" s="459">
        <v>2089</v>
      </c>
      <c r="I2096" s="444">
        <f t="shared" ca="1" si="143"/>
        <v>-2730025340.0124869</v>
      </c>
      <c r="J2096" s="444">
        <f t="array" ref="J2096">IFERROR(INDEX('Retirement Calculator'!J:J,MATCH('Isaac 401k'!N2096,'Retirement Calculator'!A:A,0),0),0)</f>
        <v>0</v>
      </c>
      <c r="K2096" s="444">
        <f t="shared" ca="1" si="141"/>
        <v>-11375105.583385361</v>
      </c>
      <c r="L2096" s="444">
        <f t="shared" ca="1" si="142"/>
        <v>-2741400445.5958724</v>
      </c>
      <c r="M2096" s="460">
        <f t="shared" si="144"/>
        <v>0.05</v>
      </c>
      <c r="N2096" s="464">
        <f t="shared" si="145"/>
        <v>114839</v>
      </c>
    </row>
    <row r="2097" spans="7:14" ht="11.25" customHeight="1" x14ac:dyDescent="0.25">
      <c r="G2097" s="459"/>
      <c r="H2097" s="459">
        <v>2090</v>
      </c>
      <c r="I2097" s="444">
        <f t="shared" ca="1" si="143"/>
        <v>-2741400445.5958724</v>
      </c>
      <c r="J2097" s="444">
        <f t="array" ref="J2097">IFERROR(INDEX('Retirement Calculator'!J:J,MATCH('Isaac 401k'!N2097,'Retirement Calculator'!A:A,0),0),0)</f>
        <v>0</v>
      </c>
      <c r="K2097" s="444">
        <f t="shared" ca="1" si="141"/>
        <v>-11422501.856649468</v>
      </c>
      <c r="L2097" s="444">
        <f t="shared" ca="1" si="142"/>
        <v>-2752822947.4525218</v>
      </c>
      <c r="M2097" s="460">
        <f t="shared" si="144"/>
        <v>0.05</v>
      </c>
      <c r="N2097" s="464">
        <f t="shared" si="145"/>
        <v>114869</v>
      </c>
    </row>
    <row r="2098" spans="7:14" ht="11.25" customHeight="1" x14ac:dyDescent="0.25">
      <c r="G2098" s="459"/>
      <c r="H2098" s="459">
        <v>2091</v>
      </c>
      <c r="I2098" s="444">
        <f t="shared" ca="1" si="143"/>
        <v>-2752822947.4525218</v>
      </c>
      <c r="J2098" s="444">
        <f t="array" ref="J2098">IFERROR(INDEX('Retirement Calculator'!J:J,MATCH('Isaac 401k'!N2098,'Retirement Calculator'!A:A,0),0),0)</f>
        <v>0</v>
      </c>
      <c r="K2098" s="444">
        <f t="shared" ca="1" si="141"/>
        <v>-11470095.614385508</v>
      </c>
      <c r="L2098" s="444">
        <f t="shared" ca="1" si="142"/>
        <v>-2764293043.0669074</v>
      </c>
      <c r="M2098" s="460">
        <f t="shared" si="144"/>
        <v>0.05</v>
      </c>
      <c r="N2098" s="464">
        <f t="shared" si="145"/>
        <v>114900</v>
      </c>
    </row>
    <row r="2099" spans="7:14" ht="11.25" customHeight="1" x14ac:dyDescent="0.25">
      <c r="G2099" s="459"/>
      <c r="H2099" s="459">
        <v>2092</v>
      </c>
      <c r="I2099" s="444">
        <f t="shared" ca="1" si="143"/>
        <v>-2764293043.0669074</v>
      </c>
      <c r="J2099" s="444">
        <f t="array" ref="J2099">IFERROR(INDEX('Retirement Calculator'!J:J,MATCH('Isaac 401k'!N2099,'Retirement Calculator'!A:A,0),0),0)</f>
        <v>0</v>
      </c>
      <c r="K2099" s="444">
        <f t="shared" ca="1" si="141"/>
        <v>-11517887.679445447</v>
      </c>
      <c r="L2099" s="444">
        <f t="shared" ca="1" si="142"/>
        <v>-2775810930.7463527</v>
      </c>
      <c r="M2099" s="460">
        <f t="shared" si="144"/>
        <v>0.05</v>
      </c>
      <c r="N2099" s="464">
        <f t="shared" si="145"/>
        <v>114931</v>
      </c>
    </row>
    <row r="2100" spans="7:14" ht="11.25" customHeight="1" x14ac:dyDescent="0.25">
      <c r="G2100" s="459"/>
      <c r="H2100" s="459">
        <v>2093</v>
      </c>
      <c r="I2100" s="444">
        <f t="shared" ca="1" si="143"/>
        <v>-2775810930.7463527</v>
      </c>
      <c r="J2100" s="444">
        <f t="array" ref="J2100">IFERROR(INDEX('Retirement Calculator'!J:J,MATCH('Isaac 401k'!N2100,'Retirement Calculator'!A:A,0),0),0)</f>
        <v>0</v>
      </c>
      <c r="K2100" s="444">
        <f t="shared" ca="1" si="141"/>
        <v>-11565878.878109803</v>
      </c>
      <c r="L2100" s="444">
        <f t="shared" ca="1" si="142"/>
        <v>-2787376809.6244626</v>
      </c>
      <c r="M2100" s="460">
        <f t="shared" si="144"/>
        <v>0.05</v>
      </c>
      <c r="N2100" s="464">
        <f t="shared" si="145"/>
        <v>114961</v>
      </c>
    </row>
    <row r="2101" spans="7:14" ht="11.25" customHeight="1" x14ac:dyDescent="0.25">
      <c r="G2101" s="459"/>
      <c r="H2101" s="459">
        <v>2094</v>
      </c>
      <c r="I2101" s="444">
        <f t="shared" ca="1" si="143"/>
        <v>-2787376809.6244626</v>
      </c>
      <c r="J2101" s="444">
        <f t="array" ref="J2101">IFERROR(INDEX('Retirement Calculator'!J:J,MATCH('Isaac 401k'!N2101,'Retirement Calculator'!A:A,0),0),0)</f>
        <v>0</v>
      </c>
      <c r="K2101" s="444">
        <f t="shared" ca="1" si="141"/>
        <v>-11614070.040101927</v>
      </c>
      <c r="L2101" s="444">
        <f t="shared" ca="1" si="142"/>
        <v>-2798990879.6645646</v>
      </c>
      <c r="M2101" s="460">
        <f t="shared" si="144"/>
        <v>0.05</v>
      </c>
      <c r="N2101" s="464">
        <f t="shared" si="145"/>
        <v>114992</v>
      </c>
    </row>
    <row r="2102" spans="7:14" ht="11.25" customHeight="1" x14ac:dyDescent="0.25">
      <c r="G2102" s="459"/>
      <c r="H2102" s="459">
        <v>2095</v>
      </c>
      <c r="I2102" s="444">
        <f t="shared" ca="1" si="143"/>
        <v>-2798990879.6645646</v>
      </c>
      <c r="J2102" s="444">
        <f t="array" ref="J2102">IFERROR(INDEX('Retirement Calculator'!J:J,MATCH('Isaac 401k'!N2102,'Retirement Calculator'!A:A,0),0),0)</f>
        <v>0</v>
      </c>
      <c r="K2102" s="444">
        <f t="shared" ca="1" si="141"/>
        <v>-11662461.998602353</v>
      </c>
      <c r="L2102" s="444">
        <f t="shared" ca="1" si="142"/>
        <v>-2810653341.663167</v>
      </c>
      <c r="M2102" s="460">
        <f t="shared" si="144"/>
        <v>0.05</v>
      </c>
      <c r="N2102" s="464">
        <f t="shared" si="145"/>
        <v>115022</v>
      </c>
    </row>
    <row r="2103" spans="7:14" ht="11.25" customHeight="1" x14ac:dyDescent="0.25">
      <c r="G2103" s="459"/>
      <c r="H2103" s="459">
        <v>2096</v>
      </c>
      <c r="I2103" s="444">
        <f t="shared" ca="1" si="143"/>
        <v>-2810653341.663167</v>
      </c>
      <c r="J2103" s="444">
        <f t="array" ref="J2103">IFERROR(INDEX('Retirement Calculator'!J:J,MATCH('Isaac 401k'!N2103,'Retirement Calculator'!A:A,0),0),0)</f>
        <v>0</v>
      </c>
      <c r="K2103" s="444">
        <f t="shared" ca="1" si="141"/>
        <v>-11711055.590263195</v>
      </c>
      <c r="L2103" s="444">
        <f t="shared" ca="1" si="142"/>
        <v>-2822364397.2534304</v>
      </c>
      <c r="M2103" s="460">
        <f t="shared" si="144"/>
        <v>0.05</v>
      </c>
      <c r="N2103" s="464">
        <f t="shared" si="145"/>
        <v>115053</v>
      </c>
    </row>
    <row r="2104" spans="7:14" ht="11.25" customHeight="1" x14ac:dyDescent="0.25">
      <c r="G2104" s="459"/>
      <c r="H2104" s="459">
        <v>2097</v>
      </c>
      <c r="I2104" s="444">
        <f t="shared" ca="1" si="143"/>
        <v>-2822364397.2534304</v>
      </c>
      <c r="J2104" s="444">
        <f t="array" ref="J2104">IFERROR(INDEX('Retirement Calculator'!J:J,MATCH('Isaac 401k'!N2104,'Retirement Calculator'!A:A,0),0),0)</f>
        <v>0</v>
      </c>
      <c r="K2104" s="444">
        <f t="shared" ca="1" si="141"/>
        <v>-11759851.655222626</v>
      </c>
      <c r="L2104" s="444">
        <f t="shared" ca="1" si="142"/>
        <v>-2834124248.9086528</v>
      </c>
      <c r="M2104" s="460">
        <f t="shared" si="144"/>
        <v>0.05</v>
      </c>
      <c r="N2104" s="464">
        <f t="shared" si="145"/>
        <v>115084</v>
      </c>
    </row>
    <row r="2105" spans="7:14" ht="11.25" customHeight="1" x14ac:dyDescent="0.25">
      <c r="G2105" s="459"/>
      <c r="H2105" s="459">
        <v>2098</v>
      </c>
      <c r="I2105" s="444">
        <f t="shared" ca="1" si="143"/>
        <v>-2834124248.9086528</v>
      </c>
      <c r="J2105" s="444">
        <f t="array" ref="J2105">IFERROR(INDEX('Retirement Calculator'!J:J,MATCH('Isaac 401k'!N2105,'Retirement Calculator'!A:A,0),0),0)</f>
        <v>0</v>
      </c>
      <c r="K2105" s="444">
        <f t="shared" ca="1" si="141"/>
        <v>-11808851.037119387</v>
      </c>
      <c r="L2105" s="444">
        <f t="shared" ca="1" si="142"/>
        <v>-2845933099.9457722</v>
      </c>
      <c r="M2105" s="460">
        <f t="shared" si="144"/>
        <v>0.05</v>
      </c>
      <c r="N2105" s="464">
        <f t="shared" si="145"/>
        <v>115112</v>
      </c>
    </row>
    <row r="2106" spans="7:14" ht="11.25" customHeight="1" x14ac:dyDescent="0.25">
      <c r="G2106" s="459"/>
      <c r="H2106" s="459">
        <v>2099</v>
      </c>
      <c r="I2106" s="444">
        <f t="shared" ca="1" si="143"/>
        <v>-2845933099.9457722</v>
      </c>
      <c r="J2106" s="444">
        <f t="array" ref="J2106">IFERROR(INDEX('Retirement Calculator'!J:J,MATCH('Isaac 401k'!N2106,'Retirement Calculator'!A:A,0),0),0)</f>
        <v>0</v>
      </c>
      <c r="K2106" s="444">
        <f t="shared" ca="1" si="141"/>
        <v>-11858054.583107384</v>
      </c>
      <c r="L2106" s="444">
        <f t="shared" ca="1" si="142"/>
        <v>-2857791154.5288796</v>
      </c>
      <c r="M2106" s="460">
        <f t="shared" si="144"/>
        <v>0.05</v>
      </c>
      <c r="N2106" s="464">
        <f t="shared" si="145"/>
        <v>115143</v>
      </c>
    </row>
    <row r="2107" spans="7:14" ht="11.25" customHeight="1" x14ac:dyDescent="0.25">
      <c r="G2107" s="459"/>
      <c r="H2107" s="459">
        <v>2100</v>
      </c>
      <c r="I2107" s="444">
        <f t="shared" ca="1" si="143"/>
        <v>-2857791154.5288796</v>
      </c>
      <c r="J2107" s="444">
        <f t="array" ref="J2107">IFERROR(INDEX('Retirement Calculator'!J:J,MATCH('Isaac 401k'!N2107,'Retirement Calculator'!A:A,0),0),0)</f>
        <v>0</v>
      </c>
      <c r="K2107" s="444">
        <f t="shared" ca="1" si="141"/>
        <v>-11907463.143870331</v>
      </c>
      <c r="L2107" s="444">
        <f t="shared" ca="1" si="142"/>
        <v>-2869698617.67275</v>
      </c>
      <c r="M2107" s="460">
        <f t="shared" si="144"/>
        <v>0.05</v>
      </c>
      <c r="N2107" s="464">
        <f t="shared" si="145"/>
        <v>115173</v>
      </c>
    </row>
    <row r="2108" spans="7:14" ht="11.25" customHeight="1" x14ac:dyDescent="0.25">
      <c r="G2108" s="459"/>
      <c r="H2108" s="459">
        <v>2101</v>
      </c>
      <c r="I2108" s="444">
        <f t="shared" ca="1" si="143"/>
        <v>-2869698617.67275</v>
      </c>
      <c r="J2108" s="444">
        <f t="array" ref="J2108">IFERROR(INDEX('Retirement Calculator'!J:J,MATCH('Isaac 401k'!N2108,'Retirement Calculator'!A:A,0),0),0)</f>
        <v>0</v>
      </c>
      <c r="K2108" s="444">
        <f t="shared" ca="1" si="141"/>
        <v>-11957077.573636457</v>
      </c>
      <c r="L2108" s="444">
        <f t="shared" ca="1" si="142"/>
        <v>-2881655695.2463865</v>
      </c>
      <c r="M2108" s="460">
        <f t="shared" si="144"/>
        <v>0.05</v>
      </c>
      <c r="N2108" s="464">
        <f t="shared" si="145"/>
        <v>115204</v>
      </c>
    </row>
    <row r="2109" spans="7:14" ht="11.25" customHeight="1" x14ac:dyDescent="0.25">
      <c r="G2109" s="459"/>
      <c r="H2109" s="459">
        <v>2102</v>
      </c>
      <c r="I2109" s="444">
        <f t="shared" ca="1" si="143"/>
        <v>-2881655695.2463865</v>
      </c>
      <c r="J2109" s="444">
        <f t="array" ref="J2109">IFERROR(INDEX('Retirement Calculator'!J:J,MATCH('Isaac 401k'!N2109,'Retirement Calculator'!A:A,0),0),0)</f>
        <v>0</v>
      </c>
      <c r="K2109" s="444">
        <f t="shared" ca="1" si="141"/>
        <v>-12006898.730193278</v>
      </c>
      <c r="L2109" s="444">
        <f t="shared" ca="1" si="142"/>
        <v>-2893662593.9765797</v>
      </c>
      <c r="M2109" s="460">
        <f t="shared" si="144"/>
        <v>0.05</v>
      </c>
      <c r="N2109" s="464">
        <f t="shared" si="145"/>
        <v>115234</v>
      </c>
    </row>
    <row r="2110" spans="7:14" ht="11.25" customHeight="1" x14ac:dyDescent="0.25">
      <c r="G2110" s="459"/>
      <c r="H2110" s="459">
        <v>2103</v>
      </c>
      <c r="I2110" s="444">
        <f t="shared" ca="1" si="143"/>
        <v>-2893662593.9765797</v>
      </c>
      <c r="J2110" s="444">
        <f t="array" ref="J2110">IFERROR(INDEX('Retirement Calculator'!J:J,MATCH('Isaac 401k'!N2110,'Retirement Calculator'!A:A,0),0),0)</f>
        <v>0</v>
      </c>
      <c r="K2110" s="444">
        <f t="shared" ca="1" si="141"/>
        <v>-12056927.474902416</v>
      </c>
      <c r="L2110" s="444">
        <f t="shared" ca="1" si="142"/>
        <v>-2905719521.4514823</v>
      </c>
      <c r="M2110" s="460">
        <f t="shared" si="144"/>
        <v>0.05</v>
      </c>
      <c r="N2110" s="464">
        <f t="shared" si="145"/>
        <v>115265</v>
      </c>
    </row>
    <row r="2111" spans="7:14" ht="11.25" customHeight="1" x14ac:dyDescent="0.25">
      <c r="G2111" s="459"/>
      <c r="H2111" s="459">
        <v>2104</v>
      </c>
      <c r="I2111" s="444">
        <f t="shared" ca="1" si="143"/>
        <v>-2905719521.4514823</v>
      </c>
      <c r="J2111" s="444">
        <f t="array" ref="J2111">IFERROR(INDEX('Retirement Calculator'!J:J,MATCH('Isaac 401k'!N2111,'Retirement Calculator'!A:A,0),0),0)</f>
        <v>0</v>
      </c>
      <c r="K2111" s="444">
        <f t="shared" ca="1" si="141"/>
        <v>-12107164.672714509</v>
      </c>
      <c r="L2111" s="444">
        <f t="shared" ca="1" si="142"/>
        <v>-2917826686.124197</v>
      </c>
      <c r="M2111" s="460">
        <f t="shared" si="144"/>
        <v>0.05</v>
      </c>
      <c r="N2111" s="464">
        <f t="shared" si="145"/>
        <v>115296</v>
      </c>
    </row>
    <row r="2112" spans="7:14" ht="11.25" customHeight="1" x14ac:dyDescent="0.25">
      <c r="G2112" s="459"/>
      <c r="H2112" s="459">
        <v>2105</v>
      </c>
      <c r="I2112" s="444">
        <f t="shared" ca="1" si="143"/>
        <v>-2917826686.124197</v>
      </c>
      <c r="J2112" s="444">
        <f t="array" ref="J2112">IFERROR(INDEX('Retirement Calculator'!J:J,MATCH('Isaac 401k'!N2112,'Retirement Calculator'!A:A,0),0),0)</f>
        <v>0</v>
      </c>
      <c r="K2112" s="444">
        <f t="shared" ca="1" si="141"/>
        <v>-12157611.192184154</v>
      </c>
      <c r="L2112" s="444">
        <f t="shared" ca="1" si="142"/>
        <v>-2929984297.316381</v>
      </c>
      <c r="M2112" s="460">
        <f t="shared" si="144"/>
        <v>0.05</v>
      </c>
      <c r="N2112" s="464">
        <f t="shared" si="145"/>
        <v>115326</v>
      </c>
    </row>
    <row r="2113" spans="7:14" ht="11.25" customHeight="1" x14ac:dyDescent="0.25">
      <c r="G2113" s="459"/>
      <c r="H2113" s="459">
        <v>2106</v>
      </c>
      <c r="I2113" s="444">
        <f t="shared" ca="1" si="143"/>
        <v>-2929984297.316381</v>
      </c>
      <c r="J2113" s="444">
        <f t="array" ref="J2113">IFERROR(INDEX('Retirement Calculator'!J:J,MATCH('Isaac 401k'!N2113,'Retirement Calculator'!A:A,0),0),0)</f>
        <v>0</v>
      </c>
      <c r="K2113" s="444">
        <f t="shared" ca="1" si="141"/>
        <v>-12208267.90548492</v>
      </c>
      <c r="L2113" s="444">
        <f t="shared" ca="1" si="142"/>
        <v>-2942192565.2218661</v>
      </c>
      <c r="M2113" s="460">
        <f t="shared" si="144"/>
        <v>0.05</v>
      </c>
      <c r="N2113" s="464">
        <f t="shared" si="145"/>
        <v>115357</v>
      </c>
    </row>
    <row r="2114" spans="7:14" ht="11.25" customHeight="1" x14ac:dyDescent="0.25">
      <c r="G2114" s="459"/>
      <c r="H2114" s="459">
        <v>2107</v>
      </c>
      <c r="I2114" s="444">
        <f t="shared" ca="1" si="143"/>
        <v>-2942192565.2218661</v>
      </c>
      <c r="J2114" s="444">
        <f t="array" ref="J2114">IFERROR(INDEX('Retirement Calculator'!J:J,MATCH('Isaac 401k'!N2114,'Retirement Calculator'!A:A,0),0),0)</f>
        <v>0</v>
      </c>
      <c r="K2114" s="444">
        <f t="shared" ca="1" si="141"/>
        <v>-12259135.688424442</v>
      </c>
      <c r="L2114" s="444">
        <f t="shared" ca="1" si="142"/>
        <v>-2954451700.9102907</v>
      </c>
      <c r="M2114" s="460">
        <f t="shared" si="144"/>
        <v>0.05</v>
      </c>
      <c r="N2114" s="464">
        <f t="shared" si="145"/>
        <v>115387</v>
      </c>
    </row>
    <row r="2115" spans="7:14" ht="11.25" customHeight="1" x14ac:dyDescent="0.25">
      <c r="G2115" s="459"/>
      <c r="H2115" s="459">
        <v>2108</v>
      </c>
      <c r="I2115" s="444">
        <f t="shared" ca="1" si="143"/>
        <v>-2954451700.9102907</v>
      </c>
      <c r="J2115" s="444">
        <f t="array" ref="J2115">IFERROR(INDEX('Retirement Calculator'!J:J,MATCH('Isaac 401k'!N2115,'Retirement Calculator'!A:A,0),0),0)</f>
        <v>0</v>
      </c>
      <c r="K2115" s="444">
        <f t="shared" ca="1" si="141"/>
        <v>-12310215.420459544</v>
      </c>
      <c r="L2115" s="444">
        <f t="shared" ca="1" si="142"/>
        <v>-2966761916.3307505</v>
      </c>
      <c r="M2115" s="460">
        <f t="shared" si="144"/>
        <v>0.05</v>
      </c>
      <c r="N2115" s="464">
        <f t="shared" si="145"/>
        <v>115418</v>
      </c>
    </row>
    <row r="2116" spans="7:14" ht="11.25" customHeight="1" x14ac:dyDescent="0.25">
      <c r="G2116" s="459"/>
      <c r="H2116" s="459">
        <v>2109</v>
      </c>
      <c r="I2116" s="444">
        <f t="shared" ca="1" si="143"/>
        <v>-2966761916.3307505</v>
      </c>
      <c r="J2116" s="444">
        <f t="array" ref="J2116">IFERROR(INDEX('Retirement Calculator'!J:J,MATCH('Isaac 401k'!N2116,'Retirement Calculator'!A:A,0),0),0)</f>
        <v>0</v>
      </c>
      <c r="K2116" s="444">
        <f t="shared" ca="1" si="141"/>
        <v>-12361507.984711461</v>
      </c>
      <c r="L2116" s="444">
        <f t="shared" ca="1" si="142"/>
        <v>-2979123424.3154621</v>
      </c>
      <c r="M2116" s="460">
        <f t="shared" si="144"/>
        <v>0.05</v>
      </c>
      <c r="N2116" s="464">
        <f t="shared" si="145"/>
        <v>115449</v>
      </c>
    </row>
    <row r="2117" spans="7:14" ht="11.25" customHeight="1" x14ac:dyDescent="0.25">
      <c r="G2117" s="459"/>
      <c r="H2117" s="459">
        <v>2110</v>
      </c>
      <c r="I2117" s="444">
        <f t="shared" ca="1" si="143"/>
        <v>-2979123424.3154621</v>
      </c>
      <c r="J2117" s="444">
        <f t="array" ref="J2117">IFERROR(INDEX('Retirement Calculator'!J:J,MATCH('Isaac 401k'!N2117,'Retirement Calculator'!A:A,0),0),0)</f>
        <v>0</v>
      </c>
      <c r="K2117" s="444">
        <f t="shared" ca="1" si="141"/>
        <v>-12413014.267981092</v>
      </c>
      <c r="L2117" s="444">
        <f t="shared" ca="1" si="142"/>
        <v>-2991536438.5834432</v>
      </c>
      <c r="M2117" s="460">
        <f t="shared" si="144"/>
        <v>0.05</v>
      </c>
      <c r="N2117" s="464">
        <f t="shared" si="145"/>
        <v>115478</v>
      </c>
    </row>
    <row r="2118" spans="7:14" ht="11.25" customHeight="1" x14ac:dyDescent="0.25">
      <c r="G2118" s="459"/>
      <c r="H2118" s="459">
        <v>2111</v>
      </c>
      <c r="I2118" s="444">
        <f t="shared" ca="1" si="143"/>
        <v>-2991536438.5834432</v>
      </c>
      <c r="J2118" s="444">
        <f t="array" ref="J2118">IFERROR(INDEX('Retirement Calculator'!J:J,MATCH('Isaac 401k'!N2118,'Retirement Calculator'!A:A,0),0),0)</f>
        <v>0</v>
      </c>
      <c r="K2118" s="444">
        <f t="shared" ca="1" si="141"/>
        <v>-12464735.160764346</v>
      </c>
      <c r="L2118" s="444">
        <f t="shared" ca="1" si="142"/>
        <v>-3004001173.7442074</v>
      </c>
      <c r="M2118" s="460">
        <f t="shared" si="144"/>
        <v>0.05</v>
      </c>
      <c r="N2118" s="464">
        <f t="shared" si="145"/>
        <v>115509</v>
      </c>
    </row>
    <row r="2119" spans="7:14" ht="11.25" customHeight="1" x14ac:dyDescent="0.25">
      <c r="G2119" s="459"/>
      <c r="H2119" s="459">
        <v>2112</v>
      </c>
      <c r="I2119" s="444">
        <f t="shared" ca="1" si="143"/>
        <v>-3004001173.7442074</v>
      </c>
      <c r="J2119" s="444">
        <f t="array" ref="J2119">IFERROR(INDEX('Retirement Calculator'!J:J,MATCH('Isaac 401k'!N2119,'Retirement Calculator'!A:A,0),0),0)</f>
        <v>0</v>
      </c>
      <c r="K2119" s="444">
        <f t="shared" ca="1" si="141"/>
        <v>-12516671.55726753</v>
      </c>
      <c r="L2119" s="444">
        <f t="shared" ca="1" si="142"/>
        <v>-3016517845.301475</v>
      </c>
      <c r="M2119" s="460">
        <f t="shared" si="144"/>
        <v>0.05</v>
      </c>
      <c r="N2119" s="464">
        <f t="shared" si="145"/>
        <v>115539</v>
      </c>
    </row>
    <row r="2120" spans="7:14" ht="11.25" customHeight="1" x14ac:dyDescent="0.25">
      <c r="G2120" s="459"/>
      <c r="H2120" s="459">
        <v>2113</v>
      </c>
      <c r="I2120" s="444">
        <f t="shared" ca="1" si="143"/>
        <v>-3016517845.301475</v>
      </c>
      <c r="J2120" s="444">
        <f t="array" ref="J2120">IFERROR(INDEX('Retirement Calculator'!J:J,MATCH('Isaac 401k'!N2120,'Retirement Calculator'!A:A,0),0),0)</f>
        <v>0</v>
      </c>
      <c r="K2120" s="444">
        <f t="shared" ca="1" si="141"/>
        <v>-12568824.355422813</v>
      </c>
      <c r="L2120" s="444">
        <f t="shared" ca="1" si="142"/>
        <v>-3029086669.656898</v>
      </c>
      <c r="M2120" s="460">
        <f t="shared" si="144"/>
        <v>0.05</v>
      </c>
      <c r="N2120" s="464">
        <f t="shared" si="145"/>
        <v>115570</v>
      </c>
    </row>
    <row r="2121" spans="7:14" ht="11.25" customHeight="1" x14ac:dyDescent="0.25">
      <c r="G2121" s="459"/>
      <c r="H2121" s="459">
        <v>2114</v>
      </c>
      <c r="I2121" s="444">
        <f t="shared" ca="1" si="143"/>
        <v>-3029086669.656898</v>
      </c>
      <c r="J2121" s="444">
        <f t="array" ref="J2121">IFERROR(INDEX('Retirement Calculator'!J:J,MATCH('Isaac 401k'!N2121,'Retirement Calculator'!A:A,0),0),0)</f>
        <v>0</v>
      </c>
      <c r="K2121" s="444">
        <f t="shared" ca="1" si="141"/>
        <v>-12621194.456903741</v>
      </c>
      <c r="L2121" s="444">
        <f t="shared" ca="1" si="142"/>
        <v>-3041707864.113802</v>
      </c>
      <c r="M2121" s="460">
        <f t="shared" si="144"/>
        <v>0.05</v>
      </c>
      <c r="N2121" s="464">
        <f t="shared" si="145"/>
        <v>115600</v>
      </c>
    </row>
    <row r="2122" spans="7:14" ht="11.25" customHeight="1" x14ac:dyDescent="0.25">
      <c r="G2122" s="459"/>
      <c r="H2122" s="459">
        <v>2115</v>
      </c>
      <c r="I2122" s="444">
        <f t="shared" ca="1" si="143"/>
        <v>-3041707864.113802</v>
      </c>
      <c r="J2122" s="444">
        <f t="array" ref="J2122">IFERROR(INDEX('Retirement Calculator'!J:J,MATCH('Isaac 401k'!N2122,'Retirement Calculator'!A:A,0),0),0)</f>
        <v>0</v>
      </c>
      <c r="K2122" s="444">
        <f t="shared" ca="1" si="141"/>
        <v>-12673782.767140841</v>
      </c>
      <c r="L2122" s="444">
        <f t="shared" ca="1" si="142"/>
        <v>-3054381646.8809428</v>
      </c>
      <c r="M2122" s="460">
        <f t="shared" si="144"/>
        <v>0.05</v>
      </c>
      <c r="N2122" s="464">
        <f t="shared" si="145"/>
        <v>115631</v>
      </c>
    </row>
    <row r="2123" spans="7:14" ht="11.25" customHeight="1" x14ac:dyDescent="0.25">
      <c r="G2123" s="459"/>
      <c r="H2123" s="459">
        <v>2116</v>
      </c>
      <c r="I2123" s="444">
        <f t="shared" ca="1" si="143"/>
        <v>-3054381646.8809428</v>
      </c>
      <c r="J2123" s="444">
        <f t="array" ref="J2123">IFERROR(INDEX('Retirement Calculator'!J:J,MATCH('Isaac 401k'!N2123,'Retirement Calculator'!A:A,0),0),0)</f>
        <v>0</v>
      </c>
      <c r="K2123" s="444">
        <f t="shared" ca="1" si="141"/>
        <v>-12726590.195337262</v>
      </c>
      <c r="L2123" s="444">
        <f t="shared" ca="1" si="142"/>
        <v>-3067108237.0762801</v>
      </c>
      <c r="M2123" s="460">
        <f t="shared" si="144"/>
        <v>0.05</v>
      </c>
      <c r="N2123" s="464">
        <f t="shared" si="145"/>
        <v>115662</v>
      </c>
    </row>
    <row r="2124" spans="7:14" ht="11.25" customHeight="1" x14ac:dyDescent="0.25">
      <c r="G2124" s="459"/>
      <c r="H2124" s="459">
        <v>2117</v>
      </c>
      <c r="I2124" s="444">
        <f t="shared" ca="1" si="143"/>
        <v>-3067108237.0762801</v>
      </c>
      <c r="J2124" s="444">
        <f t="array" ref="J2124">IFERROR(INDEX('Retirement Calculator'!J:J,MATCH('Isaac 401k'!N2124,'Retirement Calculator'!A:A,0),0),0)</f>
        <v>0</v>
      </c>
      <c r="K2124" s="444">
        <f t="shared" ca="1" si="141"/>
        <v>-12779617.654484501</v>
      </c>
      <c r="L2124" s="444">
        <f t="shared" ca="1" si="142"/>
        <v>-3079887854.7307644</v>
      </c>
      <c r="M2124" s="460">
        <f t="shared" si="144"/>
        <v>0.05</v>
      </c>
      <c r="N2124" s="464">
        <f t="shared" si="145"/>
        <v>115692</v>
      </c>
    </row>
    <row r="2125" spans="7:14" ht="11.25" customHeight="1" x14ac:dyDescent="0.25">
      <c r="G2125" s="459"/>
      <c r="H2125" s="459">
        <v>2118</v>
      </c>
      <c r="I2125" s="444">
        <f t="shared" ca="1" si="143"/>
        <v>-3079887854.7307644</v>
      </c>
      <c r="J2125" s="444">
        <f t="array" ref="J2125">IFERROR(INDEX('Retirement Calculator'!J:J,MATCH('Isaac 401k'!N2125,'Retirement Calculator'!A:A,0),0),0)</f>
        <v>0</v>
      </c>
      <c r="K2125" s="444">
        <f t="shared" ca="1" si="141"/>
        <v>-12832866.061378185</v>
      </c>
      <c r="L2125" s="444">
        <f t="shared" ca="1" si="142"/>
        <v>-3092720720.7921424</v>
      </c>
      <c r="M2125" s="460">
        <f t="shared" si="144"/>
        <v>0.05</v>
      </c>
      <c r="N2125" s="464">
        <f t="shared" si="145"/>
        <v>115723</v>
      </c>
    </row>
    <row r="2126" spans="7:14" ht="11.25" customHeight="1" x14ac:dyDescent="0.25">
      <c r="G2126" s="459"/>
      <c r="H2126" s="459">
        <v>2119</v>
      </c>
      <c r="I2126" s="444">
        <f t="shared" ca="1" si="143"/>
        <v>-3092720720.7921424</v>
      </c>
      <c r="J2126" s="444">
        <f t="array" ref="J2126">IFERROR(INDEX('Retirement Calculator'!J:J,MATCH('Isaac 401k'!N2126,'Retirement Calculator'!A:A,0),0),0)</f>
        <v>0</v>
      </c>
      <c r="K2126" s="444">
        <f t="shared" ca="1" si="141"/>
        <v>-12886336.336633926</v>
      </c>
      <c r="L2126" s="444">
        <f t="shared" ca="1" si="142"/>
        <v>-3105607057.1287766</v>
      </c>
      <c r="M2126" s="460">
        <f t="shared" si="144"/>
        <v>0.05</v>
      </c>
      <c r="N2126" s="464">
        <f t="shared" si="145"/>
        <v>115753</v>
      </c>
    </row>
    <row r="2127" spans="7:14" ht="11.25" customHeight="1" x14ac:dyDescent="0.25">
      <c r="G2127" s="459"/>
      <c r="H2127" s="459">
        <v>2120</v>
      </c>
      <c r="I2127" s="444">
        <f t="shared" ca="1" si="143"/>
        <v>-3105607057.1287766</v>
      </c>
      <c r="J2127" s="444">
        <f t="array" ref="J2127">IFERROR(INDEX('Retirement Calculator'!J:J,MATCH('Isaac 401k'!N2127,'Retirement Calculator'!A:A,0),0),0)</f>
        <v>0</v>
      </c>
      <c r="K2127" s="444">
        <f t="shared" ca="1" si="141"/>
        <v>-12940029.404703235</v>
      </c>
      <c r="L2127" s="444">
        <f t="shared" ca="1" si="142"/>
        <v>-3118547086.5334797</v>
      </c>
      <c r="M2127" s="460">
        <f t="shared" si="144"/>
        <v>0.05</v>
      </c>
      <c r="N2127" s="464">
        <f t="shared" si="145"/>
        <v>115784</v>
      </c>
    </row>
    <row r="2128" spans="7:14" ht="11.25" customHeight="1" x14ac:dyDescent="0.25">
      <c r="G2128" s="459"/>
      <c r="H2128" s="459">
        <v>2121</v>
      </c>
      <c r="I2128" s="444">
        <f t="shared" ca="1" si="143"/>
        <v>-3118547086.5334797</v>
      </c>
      <c r="J2128" s="444">
        <f t="array" ref="J2128">IFERROR(INDEX('Retirement Calculator'!J:J,MATCH('Isaac 401k'!N2128,'Retirement Calculator'!A:A,0),0),0)</f>
        <v>0</v>
      </c>
      <c r="K2128" s="444">
        <f t="shared" ca="1" si="141"/>
        <v>-12993946.193889499</v>
      </c>
      <c r="L2128" s="444">
        <f t="shared" ca="1" si="142"/>
        <v>-3131541032.7273693</v>
      </c>
      <c r="M2128" s="460">
        <f t="shared" si="144"/>
        <v>0.05</v>
      </c>
      <c r="N2128" s="464">
        <f t="shared" si="145"/>
        <v>115815</v>
      </c>
    </row>
    <row r="2129" spans="7:14" ht="11.25" customHeight="1" x14ac:dyDescent="0.25">
      <c r="G2129" s="459"/>
      <c r="H2129" s="459">
        <v>2122</v>
      </c>
      <c r="I2129" s="444">
        <f t="shared" ca="1" si="143"/>
        <v>-3131541032.7273693</v>
      </c>
      <c r="J2129" s="444">
        <f t="array" ref="J2129">IFERROR(INDEX('Retirement Calculator'!J:J,MATCH('Isaac 401k'!N2129,'Retirement Calculator'!A:A,0),0),0)</f>
        <v>0</v>
      </c>
      <c r="K2129" s="444">
        <f t="shared" ca="1" si="141"/>
        <v>-13048087.636364039</v>
      </c>
      <c r="L2129" s="444">
        <f t="shared" ca="1" si="142"/>
        <v>-3144589120.3637333</v>
      </c>
      <c r="M2129" s="460">
        <f t="shared" si="144"/>
        <v>0.05</v>
      </c>
      <c r="N2129" s="464">
        <f t="shared" si="145"/>
        <v>115843</v>
      </c>
    </row>
    <row r="2130" spans="7:14" ht="11.25" customHeight="1" x14ac:dyDescent="0.25">
      <c r="G2130" s="459"/>
      <c r="H2130" s="459">
        <v>2123</v>
      </c>
      <c r="I2130" s="444">
        <f t="shared" ca="1" si="143"/>
        <v>-3144589120.3637333</v>
      </c>
      <c r="J2130" s="444">
        <f t="array" ref="J2130">IFERROR(INDEX('Retirement Calculator'!J:J,MATCH('Isaac 401k'!N2130,'Retirement Calculator'!A:A,0),0),0)</f>
        <v>0</v>
      </c>
      <c r="K2130" s="444">
        <f t="shared" ca="1" si="141"/>
        <v>-13102454.668182222</v>
      </c>
      <c r="L2130" s="444">
        <f t="shared" ca="1" si="142"/>
        <v>-3157691575.0319157</v>
      </c>
      <c r="M2130" s="460">
        <f t="shared" si="144"/>
        <v>0.05</v>
      </c>
      <c r="N2130" s="464">
        <f t="shared" si="145"/>
        <v>115874</v>
      </c>
    </row>
    <row r="2131" spans="7:14" ht="11.25" customHeight="1" x14ac:dyDescent="0.25">
      <c r="G2131" s="459"/>
      <c r="H2131" s="459">
        <v>2124</v>
      </c>
      <c r="I2131" s="444">
        <f t="shared" ca="1" si="143"/>
        <v>-3157691575.0319157</v>
      </c>
      <c r="J2131" s="444">
        <f t="array" ref="J2131">IFERROR(INDEX('Retirement Calculator'!J:J,MATCH('Isaac 401k'!N2131,'Retirement Calculator'!A:A,0),0),0)</f>
        <v>0</v>
      </c>
      <c r="K2131" s="444">
        <f t="shared" ca="1" si="141"/>
        <v>-13157048.229299648</v>
      </c>
      <c r="L2131" s="444">
        <f t="shared" ca="1" si="142"/>
        <v>-3170848623.2612152</v>
      </c>
      <c r="M2131" s="460">
        <f t="shared" si="144"/>
        <v>0.05</v>
      </c>
      <c r="N2131" s="464">
        <f t="shared" si="145"/>
        <v>115904</v>
      </c>
    </row>
    <row r="2132" spans="7:14" ht="11.25" customHeight="1" x14ac:dyDescent="0.25">
      <c r="G2132" s="459"/>
      <c r="H2132" s="459">
        <v>2125</v>
      </c>
      <c r="I2132" s="444">
        <f t="shared" ca="1" si="143"/>
        <v>-3170848623.2612152</v>
      </c>
      <c r="J2132" s="444">
        <f t="array" ref="J2132">IFERROR(INDEX('Retirement Calculator'!J:J,MATCH('Isaac 401k'!N2132,'Retirement Calculator'!A:A,0),0),0)</f>
        <v>0</v>
      </c>
      <c r="K2132" s="444">
        <f t="shared" ca="1" si="141"/>
        <v>-13211869.263588397</v>
      </c>
      <c r="L2132" s="444">
        <f t="shared" ca="1" si="142"/>
        <v>-3184060492.5248036</v>
      </c>
      <c r="M2132" s="460">
        <f t="shared" si="144"/>
        <v>0.05</v>
      </c>
      <c r="N2132" s="464">
        <f t="shared" si="145"/>
        <v>115935</v>
      </c>
    </row>
    <row r="2133" spans="7:14" ht="11.25" customHeight="1" x14ac:dyDescent="0.25">
      <c r="G2133" s="459"/>
      <c r="H2133" s="459">
        <v>2126</v>
      </c>
      <c r="I2133" s="444">
        <f t="shared" ca="1" si="143"/>
        <v>-3184060492.5248036</v>
      </c>
      <c r="J2133" s="444">
        <f t="array" ref="J2133">IFERROR(INDEX('Retirement Calculator'!J:J,MATCH('Isaac 401k'!N2133,'Retirement Calculator'!A:A,0),0),0)</f>
        <v>0</v>
      </c>
      <c r="K2133" s="444">
        <f t="shared" ca="1" si="141"/>
        <v>-13266918.718853349</v>
      </c>
      <c r="L2133" s="444">
        <f t="shared" ca="1" si="142"/>
        <v>-3197327411.2436571</v>
      </c>
      <c r="M2133" s="460">
        <f t="shared" si="144"/>
        <v>0.05</v>
      </c>
      <c r="N2133" s="464">
        <f t="shared" si="145"/>
        <v>115965</v>
      </c>
    </row>
    <row r="2134" spans="7:14" ht="11.25" customHeight="1" x14ac:dyDescent="0.25">
      <c r="G2134" s="459"/>
      <c r="H2134" s="459">
        <v>2127</v>
      </c>
      <c r="I2134" s="444">
        <f t="shared" ca="1" si="143"/>
        <v>-3197327411.2436571</v>
      </c>
      <c r="J2134" s="444">
        <f t="array" ref="J2134">IFERROR(INDEX('Retirement Calculator'!J:J,MATCH('Isaac 401k'!N2134,'Retirement Calculator'!A:A,0),0),0)</f>
        <v>0</v>
      </c>
      <c r="K2134" s="444">
        <f t="shared" ca="1" si="141"/>
        <v>-13322197.546848571</v>
      </c>
      <c r="L2134" s="444">
        <f t="shared" ca="1" si="142"/>
        <v>-3210649608.7905059</v>
      </c>
      <c r="M2134" s="460">
        <f t="shared" si="144"/>
        <v>0.05</v>
      </c>
      <c r="N2134" s="464">
        <f t="shared" si="145"/>
        <v>115996</v>
      </c>
    </row>
    <row r="2135" spans="7:14" ht="11.25" customHeight="1" x14ac:dyDescent="0.25">
      <c r="G2135" s="459"/>
      <c r="H2135" s="459">
        <v>2128</v>
      </c>
      <c r="I2135" s="444">
        <f t="shared" ca="1" si="143"/>
        <v>-3210649608.7905059</v>
      </c>
      <c r="J2135" s="444">
        <f t="array" ref="J2135">IFERROR(INDEX('Retirement Calculator'!J:J,MATCH('Isaac 401k'!N2135,'Retirement Calculator'!A:A,0),0),0)</f>
        <v>0</v>
      </c>
      <c r="K2135" s="444">
        <f t="shared" ca="1" si="141"/>
        <v>-13377706.703293774</v>
      </c>
      <c r="L2135" s="444">
        <f t="shared" ca="1" si="142"/>
        <v>-3224027315.4937997</v>
      </c>
      <c r="M2135" s="460">
        <f t="shared" si="144"/>
        <v>0.05</v>
      </c>
      <c r="N2135" s="464">
        <f t="shared" si="145"/>
        <v>116027</v>
      </c>
    </row>
    <row r="2136" spans="7:14" ht="11.25" customHeight="1" x14ac:dyDescent="0.25">
      <c r="G2136" s="459"/>
      <c r="H2136" s="459">
        <v>2129</v>
      </c>
      <c r="I2136" s="444">
        <f t="shared" ca="1" si="143"/>
        <v>-3224027315.4937997</v>
      </c>
      <c r="J2136" s="444">
        <f t="array" ref="J2136">IFERROR(INDEX('Retirement Calculator'!J:J,MATCH('Isaac 401k'!N2136,'Retirement Calculator'!A:A,0),0),0)</f>
        <v>0</v>
      </c>
      <c r="K2136" s="444">
        <f t="shared" ca="1" si="141"/>
        <v>-13433447.147890832</v>
      </c>
      <c r="L2136" s="444">
        <f t="shared" ca="1" si="142"/>
        <v>-3237460762.6416907</v>
      </c>
      <c r="M2136" s="460">
        <f t="shared" si="144"/>
        <v>0.05</v>
      </c>
      <c r="N2136" s="464">
        <f t="shared" si="145"/>
        <v>116057</v>
      </c>
    </row>
    <row r="2137" spans="7:14" ht="11.25" customHeight="1" x14ac:dyDescent="0.25">
      <c r="G2137" s="459"/>
      <c r="H2137" s="459">
        <v>2130</v>
      </c>
      <c r="I2137" s="444">
        <f t="shared" ca="1" si="143"/>
        <v>-3237460762.6416907</v>
      </c>
      <c r="J2137" s="444">
        <f t="array" ref="J2137">IFERROR(INDEX('Retirement Calculator'!J:J,MATCH('Isaac 401k'!N2137,'Retirement Calculator'!A:A,0),0),0)</f>
        <v>0</v>
      </c>
      <c r="K2137" s="444">
        <f t="shared" ca="1" si="141"/>
        <v>-13489419.844340378</v>
      </c>
      <c r="L2137" s="444">
        <f t="shared" ca="1" si="142"/>
        <v>-3250950182.4860311</v>
      </c>
      <c r="M2137" s="460">
        <f t="shared" si="144"/>
        <v>0.05</v>
      </c>
      <c r="N2137" s="464">
        <f t="shared" si="145"/>
        <v>116088</v>
      </c>
    </row>
    <row r="2138" spans="7:14" ht="11.25" customHeight="1" x14ac:dyDescent="0.25">
      <c r="G2138" s="459"/>
      <c r="H2138" s="459">
        <v>2131</v>
      </c>
      <c r="I2138" s="444">
        <f t="shared" ca="1" si="143"/>
        <v>-3250950182.4860311</v>
      </c>
      <c r="J2138" s="444">
        <f t="array" ref="J2138">IFERROR(INDEX('Retirement Calculator'!J:J,MATCH('Isaac 401k'!N2138,'Retirement Calculator'!A:A,0),0),0)</f>
        <v>0</v>
      </c>
      <c r="K2138" s="444">
        <f t="shared" ca="1" si="141"/>
        <v>-13545625.760358462</v>
      </c>
      <c r="L2138" s="444">
        <f t="shared" ca="1" si="142"/>
        <v>-3264495808.2463894</v>
      </c>
      <c r="M2138" s="460">
        <f t="shared" si="144"/>
        <v>0.05</v>
      </c>
      <c r="N2138" s="464">
        <f t="shared" si="145"/>
        <v>116118</v>
      </c>
    </row>
    <row r="2139" spans="7:14" ht="11.25" customHeight="1" x14ac:dyDescent="0.25">
      <c r="G2139" s="459"/>
      <c r="H2139" s="459">
        <v>2132</v>
      </c>
      <c r="I2139" s="444">
        <f t="shared" ca="1" si="143"/>
        <v>-3264495808.2463894</v>
      </c>
      <c r="J2139" s="444">
        <f t="array" ref="J2139">IFERROR(INDEX('Retirement Calculator'!J:J,MATCH('Isaac 401k'!N2139,'Retirement Calculator'!A:A,0),0),0)</f>
        <v>0</v>
      </c>
      <c r="K2139" s="444">
        <f t="shared" ca="1" si="141"/>
        <v>-13602065.867693288</v>
      </c>
      <c r="L2139" s="444">
        <f t="shared" ca="1" si="142"/>
        <v>-3278097874.1140828</v>
      </c>
      <c r="M2139" s="460">
        <f t="shared" si="144"/>
        <v>0.05</v>
      </c>
      <c r="N2139" s="464">
        <f t="shared" si="145"/>
        <v>116149</v>
      </c>
    </row>
    <row r="2140" spans="7:14" ht="11.25" customHeight="1" x14ac:dyDescent="0.25">
      <c r="G2140" s="459"/>
      <c r="H2140" s="459">
        <v>2133</v>
      </c>
      <c r="I2140" s="444">
        <f t="shared" ca="1" si="143"/>
        <v>-3278097874.1140828</v>
      </c>
      <c r="J2140" s="444">
        <f t="array" ref="J2140">IFERROR(INDEX('Retirement Calculator'!J:J,MATCH('Isaac 401k'!N2140,'Retirement Calculator'!A:A,0),0),0)</f>
        <v>0</v>
      </c>
      <c r="K2140" s="444">
        <f t="shared" ca="1" si="141"/>
        <v>-13658741.142142011</v>
      </c>
      <c r="L2140" s="444">
        <f t="shared" ca="1" si="142"/>
        <v>-3291756615.2562246</v>
      </c>
      <c r="M2140" s="460">
        <f t="shared" si="144"/>
        <v>0.05</v>
      </c>
      <c r="N2140" s="464">
        <f t="shared" si="145"/>
        <v>116180</v>
      </c>
    </row>
    <row r="2141" spans="7:14" ht="11.25" customHeight="1" x14ac:dyDescent="0.25">
      <c r="G2141" s="459"/>
      <c r="H2141" s="459">
        <v>2134</v>
      </c>
      <c r="I2141" s="444">
        <f t="shared" ca="1" si="143"/>
        <v>-3291756615.2562246</v>
      </c>
      <c r="J2141" s="444">
        <f t="array" ref="J2141">IFERROR(INDEX('Retirement Calculator'!J:J,MATCH('Isaac 401k'!N2141,'Retirement Calculator'!A:A,0),0),0)</f>
        <v>0</v>
      </c>
      <c r="K2141" s="444">
        <f t="shared" ca="1" si="141"/>
        <v>-13715652.563567603</v>
      </c>
      <c r="L2141" s="444">
        <f t="shared" ca="1" si="142"/>
        <v>-3305472267.8197923</v>
      </c>
      <c r="M2141" s="460">
        <f t="shared" si="144"/>
        <v>0.05</v>
      </c>
      <c r="N2141" s="464">
        <f t="shared" si="145"/>
        <v>116208</v>
      </c>
    </row>
    <row r="2142" spans="7:14" ht="11.25" customHeight="1" x14ac:dyDescent="0.25">
      <c r="G2142" s="459"/>
      <c r="H2142" s="459">
        <v>2135</v>
      </c>
      <c r="I2142" s="444">
        <f t="shared" ca="1" si="143"/>
        <v>-3305472267.8197923</v>
      </c>
      <c r="J2142" s="444">
        <f t="array" ref="J2142">IFERROR(INDEX('Retirement Calculator'!J:J,MATCH('Isaac 401k'!N2142,'Retirement Calculator'!A:A,0),0),0)</f>
        <v>0</v>
      </c>
      <c r="K2142" s="444">
        <f t="shared" ca="1" si="141"/>
        <v>-13772801.115915801</v>
      </c>
      <c r="L2142" s="444">
        <f t="shared" ca="1" si="142"/>
        <v>-3319245068.935708</v>
      </c>
      <c r="M2142" s="460">
        <f t="shared" si="144"/>
        <v>0.05</v>
      </c>
      <c r="N2142" s="464">
        <f t="shared" si="145"/>
        <v>116239</v>
      </c>
    </row>
    <row r="2143" spans="7:14" ht="11.25" customHeight="1" x14ac:dyDescent="0.25">
      <c r="G2143" s="459"/>
      <c r="H2143" s="459">
        <v>2136</v>
      </c>
      <c r="I2143" s="444">
        <f t="shared" ca="1" si="143"/>
        <v>-3319245068.935708</v>
      </c>
      <c r="J2143" s="444">
        <f t="array" ref="J2143">IFERROR(INDEX('Retirement Calculator'!J:J,MATCH('Isaac 401k'!N2143,'Retirement Calculator'!A:A,0),0),0)</f>
        <v>0</v>
      </c>
      <c r="K2143" s="444">
        <f t="shared" ca="1" si="141"/>
        <v>-13830187.787232116</v>
      </c>
      <c r="L2143" s="444">
        <f t="shared" ca="1" si="142"/>
        <v>-3333075256.72294</v>
      </c>
      <c r="M2143" s="460">
        <f t="shared" si="144"/>
        <v>0.05</v>
      </c>
      <c r="N2143" s="464">
        <f t="shared" si="145"/>
        <v>116269</v>
      </c>
    </row>
    <row r="2144" spans="7:14" ht="11.25" customHeight="1" x14ac:dyDescent="0.25">
      <c r="G2144" s="459"/>
      <c r="H2144" s="459">
        <v>2137</v>
      </c>
      <c r="I2144" s="444">
        <f t="shared" ca="1" si="143"/>
        <v>-3333075256.72294</v>
      </c>
      <c r="J2144" s="444">
        <f t="array" ref="J2144">IFERROR(INDEX('Retirement Calculator'!J:J,MATCH('Isaac 401k'!N2144,'Retirement Calculator'!A:A,0),0),0)</f>
        <v>0</v>
      </c>
      <c r="K2144" s="444">
        <f t="shared" ca="1" si="141"/>
        <v>-13887813.569678916</v>
      </c>
      <c r="L2144" s="444">
        <f t="shared" ca="1" si="142"/>
        <v>-3346963070.2926188</v>
      </c>
      <c r="M2144" s="460">
        <f t="shared" si="144"/>
        <v>0.05</v>
      </c>
      <c r="N2144" s="464">
        <f t="shared" si="145"/>
        <v>116300</v>
      </c>
    </row>
    <row r="2145" spans="7:14" ht="11.25" customHeight="1" x14ac:dyDescent="0.25">
      <c r="G2145" s="459"/>
      <c r="H2145" s="459">
        <v>2138</v>
      </c>
      <c r="I2145" s="444">
        <f t="shared" ca="1" si="143"/>
        <v>-3346963070.2926188</v>
      </c>
      <c r="J2145" s="444">
        <f t="array" ref="J2145">IFERROR(INDEX('Retirement Calculator'!J:J,MATCH('Isaac 401k'!N2145,'Retirement Calculator'!A:A,0),0),0)</f>
        <v>0</v>
      </c>
      <c r="K2145" s="444">
        <f t="shared" ca="1" si="141"/>
        <v>-13945679.459552577</v>
      </c>
      <c r="L2145" s="444">
        <f t="shared" ca="1" si="142"/>
        <v>-3360908749.7521715</v>
      </c>
      <c r="M2145" s="460">
        <f t="shared" si="144"/>
        <v>0.05</v>
      </c>
      <c r="N2145" s="464">
        <f t="shared" si="145"/>
        <v>116330</v>
      </c>
    </row>
    <row r="2146" spans="7:14" ht="11.25" customHeight="1" x14ac:dyDescent="0.25">
      <c r="G2146" s="459"/>
      <c r="H2146" s="459">
        <v>2139</v>
      </c>
      <c r="I2146" s="444">
        <f t="shared" ca="1" si="143"/>
        <v>-3360908749.7521715</v>
      </c>
      <c r="J2146" s="444">
        <f t="array" ref="J2146">IFERROR(INDEX('Retirement Calculator'!J:J,MATCH('Isaac 401k'!N2146,'Retirement Calculator'!A:A,0),0),0)</f>
        <v>0</v>
      </c>
      <c r="K2146" s="444">
        <f t="shared" ca="1" si="141"/>
        <v>-14003786.457300715</v>
      </c>
      <c r="L2146" s="444">
        <f t="shared" ca="1" si="142"/>
        <v>-3374912536.2094722</v>
      </c>
      <c r="M2146" s="460">
        <f t="shared" si="144"/>
        <v>0.05</v>
      </c>
      <c r="N2146" s="464">
        <f t="shared" si="145"/>
        <v>116361</v>
      </c>
    </row>
    <row r="2147" spans="7:14" ht="11.25" customHeight="1" x14ac:dyDescent="0.25">
      <c r="G2147" s="459"/>
      <c r="H2147" s="459">
        <v>2140</v>
      </c>
      <c r="I2147" s="444">
        <f t="shared" ca="1" si="143"/>
        <v>-3374912536.2094722</v>
      </c>
      <c r="J2147" s="444">
        <f t="array" ref="J2147">IFERROR(INDEX('Retirement Calculator'!J:J,MATCH('Isaac 401k'!N2147,'Retirement Calculator'!A:A,0),0),0)</f>
        <v>0</v>
      </c>
      <c r="K2147" s="444">
        <f t="shared" ca="1" si="141"/>
        <v>-14062135.567539465</v>
      </c>
      <c r="L2147" s="444">
        <f t="shared" ca="1" si="142"/>
        <v>-3388974671.7770119</v>
      </c>
      <c r="M2147" s="460">
        <f t="shared" si="144"/>
        <v>0.05</v>
      </c>
      <c r="N2147" s="464">
        <f t="shared" si="145"/>
        <v>116392</v>
      </c>
    </row>
    <row r="2148" spans="7:14" ht="11.25" customHeight="1" x14ac:dyDescent="0.25">
      <c r="G2148" s="459"/>
      <c r="H2148" s="459">
        <v>2141</v>
      </c>
      <c r="I2148" s="444">
        <f t="shared" ca="1" si="143"/>
        <v>-3388974671.7770119</v>
      </c>
      <c r="J2148" s="444">
        <f t="array" ref="J2148">IFERROR(INDEX('Retirement Calculator'!J:J,MATCH('Isaac 401k'!N2148,'Retirement Calculator'!A:A,0),0),0)</f>
        <v>0</v>
      </c>
      <c r="K2148" s="444">
        <f t="shared" ca="1" si="141"/>
        <v>-14120727.799070882</v>
      </c>
      <c r="L2148" s="444">
        <f t="shared" ca="1" si="142"/>
        <v>-3403095399.5760827</v>
      </c>
      <c r="M2148" s="460">
        <f t="shared" si="144"/>
        <v>0.05</v>
      </c>
      <c r="N2148" s="464">
        <f t="shared" si="145"/>
        <v>116422</v>
      </c>
    </row>
    <row r="2149" spans="7:14" ht="11.25" customHeight="1" x14ac:dyDescent="0.25">
      <c r="G2149" s="459"/>
      <c r="H2149" s="459">
        <v>2142</v>
      </c>
      <c r="I2149" s="444">
        <f t="shared" ca="1" si="143"/>
        <v>-3403095399.5760827</v>
      </c>
      <c r="J2149" s="444">
        <f t="array" ref="J2149">IFERROR(INDEX('Retirement Calculator'!J:J,MATCH('Isaac 401k'!N2149,'Retirement Calculator'!A:A,0),0),0)</f>
        <v>0</v>
      </c>
      <c r="K2149" s="444">
        <f t="shared" ca="1" si="141"/>
        <v>-14179564.164900344</v>
      </c>
      <c r="L2149" s="444">
        <f t="shared" ca="1" si="142"/>
        <v>-3417274963.740983</v>
      </c>
      <c r="M2149" s="460">
        <f t="shared" si="144"/>
        <v>0.05</v>
      </c>
      <c r="N2149" s="464">
        <f t="shared" si="145"/>
        <v>116453</v>
      </c>
    </row>
    <row r="2150" spans="7:14" ht="11.25" customHeight="1" x14ac:dyDescent="0.25">
      <c r="G2150" s="459"/>
      <c r="H2150" s="459">
        <v>2143</v>
      </c>
      <c r="I2150" s="444">
        <f t="shared" ca="1" si="143"/>
        <v>-3417274963.740983</v>
      </c>
      <c r="J2150" s="444">
        <f t="array" ref="J2150">IFERROR(INDEX('Retirement Calculator'!J:J,MATCH('Isaac 401k'!N2150,'Retirement Calculator'!A:A,0),0),0)</f>
        <v>0</v>
      </c>
      <c r="K2150" s="444">
        <f t="shared" ca="1" si="141"/>
        <v>-14238645.682254093</v>
      </c>
      <c r="L2150" s="444">
        <f t="shared" ca="1" si="142"/>
        <v>-3431513609.4232373</v>
      </c>
      <c r="M2150" s="460">
        <f t="shared" si="144"/>
        <v>0.05</v>
      </c>
      <c r="N2150" s="464">
        <f t="shared" si="145"/>
        <v>116483</v>
      </c>
    </row>
    <row r="2151" spans="7:14" ht="11.25" customHeight="1" x14ac:dyDescent="0.25">
      <c r="G2151" s="459"/>
      <c r="H2151" s="459">
        <v>2144</v>
      </c>
      <c r="I2151" s="444">
        <f t="shared" ca="1" si="143"/>
        <v>-3431513609.4232373</v>
      </c>
      <c r="J2151" s="444">
        <f t="array" ref="J2151">IFERROR(INDEX('Retirement Calculator'!J:J,MATCH('Isaac 401k'!N2151,'Retirement Calculator'!A:A,0),0),0)</f>
        <v>0</v>
      </c>
      <c r="K2151" s="444">
        <f t="shared" ca="1" si="141"/>
        <v>-14297973.372596823</v>
      </c>
      <c r="L2151" s="444">
        <f t="shared" ca="1" si="142"/>
        <v>-3445811582.7958341</v>
      </c>
      <c r="M2151" s="460">
        <f t="shared" si="144"/>
        <v>0.05</v>
      </c>
      <c r="N2151" s="464">
        <f t="shared" si="145"/>
        <v>116514</v>
      </c>
    </row>
    <row r="2152" spans="7:14" ht="11.25" customHeight="1" x14ac:dyDescent="0.25">
      <c r="G2152" s="459"/>
      <c r="H2152" s="459">
        <v>2145</v>
      </c>
      <c r="I2152" s="444">
        <f t="shared" ca="1" si="143"/>
        <v>-3445811582.7958341</v>
      </c>
      <c r="J2152" s="444">
        <f t="array" ref="J2152">IFERROR(INDEX('Retirement Calculator'!J:J,MATCH('Isaac 401k'!N2152,'Retirement Calculator'!A:A,0),0),0)</f>
        <v>0</v>
      </c>
      <c r="K2152" s="444">
        <f t="shared" ca="1" si="141"/>
        <v>-14357548.261649311</v>
      </c>
      <c r="L2152" s="444">
        <f t="shared" ca="1" si="142"/>
        <v>-3460169131.0574832</v>
      </c>
      <c r="M2152" s="460">
        <f t="shared" si="144"/>
        <v>0.05</v>
      </c>
      <c r="N2152" s="464">
        <f t="shared" si="145"/>
        <v>116545</v>
      </c>
    </row>
    <row r="2153" spans="7:14" ht="11.25" customHeight="1" x14ac:dyDescent="0.25">
      <c r="G2153" s="459"/>
      <c r="H2153" s="459">
        <v>2146</v>
      </c>
      <c r="I2153" s="444">
        <f t="shared" ca="1" si="143"/>
        <v>-3460169131.0574832</v>
      </c>
      <c r="J2153" s="444">
        <f t="array" ref="J2153">IFERROR(INDEX('Retirement Calculator'!J:J,MATCH('Isaac 401k'!N2153,'Retirement Calculator'!A:A,0),0),0)</f>
        <v>0</v>
      </c>
      <c r="K2153" s="444">
        <f t="shared" ca="1" si="141"/>
        <v>-14417371.37940618</v>
      </c>
      <c r="L2153" s="444">
        <f t="shared" ca="1" si="142"/>
        <v>-3474586502.4368892</v>
      </c>
      <c r="M2153" s="460">
        <f t="shared" si="144"/>
        <v>0.05</v>
      </c>
      <c r="N2153" s="464">
        <f t="shared" si="145"/>
        <v>116573</v>
      </c>
    </row>
    <row r="2154" spans="7:14" ht="11.25" customHeight="1" x14ac:dyDescent="0.25">
      <c r="G2154" s="459"/>
      <c r="H2154" s="459">
        <v>2147</v>
      </c>
      <c r="I2154" s="444">
        <f t="shared" ca="1" si="143"/>
        <v>-3474586502.4368892</v>
      </c>
      <c r="J2154" s="444">
        <f t="array" ref="J2154">IFERROR(INDEX('Retirement Calculator'!J:J,MATCH('Isaac 401k'!N2154,'Retirement Calculator'!A:A,0),0),0)</f>
        <v>0</v>
      </c>
      <c r="K2154" s="444">
        <f t="shared" ca="1" si="141"/>
        <v>-14477443.760153705</v>
      </c>
      <c r="L2154" s="444">
        <f t="shared" ca="1" si="142"/>
        <v>-3489063946.1970429</v>
      </c>
      <c r="M2154" s="460">
        <f t="shared" si="144"/>
        <v>0.05</v>
      </c>
      <c r="N2154" s="464">
        <f t="shared" si="145"/>
        <v>116604</v>
      </c>
    </row>
    <row r="2155" spans="7:14" ht="11.25" customHeight="1" x14ac:dyDescent="0.25">
      <c r="G2155" s="459"/>
      <c r="H2155" s="459">
        <v>2148</v>
      </c>
      <c r="I2155" s="444">
        <f t="shared" ca="1" si="143"/>
        <v>-3489063946.1970429</v>
      </c>
      <c r="J2155" s="444">
        <f t="array" ref="J2155">IFERROR(INDEX('Retirement Calculator'!J:J,MATCH('Isaac 401k'!N2155,'Retirement Calculator'!A:A,0),0),0)</f>
        <v>0</v>
      </c>
      <c r="K2155" s="444">
        <f t="shared" ca="1" si="141"/>
        <v>-14537766.442487679</v>
      </c>
      <c r="L2155" s="444">
        <f t="shared" ca="1" si="142"/>
        <v>-3503601712.6395307</v>
      </c>
      <c r="M2155" s="460">
        <f t="shared" si="144"/>
        <v>0.05</v>
      </c>
      <c r="N2155" s="464">
        <f t="shared" si="145"/>
        <v>116634</v>
      </c>
    </row>
    <row r="2156" spans="7:14" ht="11.25" customHeight="1" x14ac:dyDescent="0.25">
      <c r="G2156" s="459"/>
      <c r="H2156" s="459">
        <v>2149</v>
      </c>
      <c r="I2156" s="444">
        <f t="shared" ca="1" si="143"/>
        <v>-3503601712.6395307</v>
      </c>
      <c r="J2156" s="444">
        <f t="array" ref="J2156">IFERROR(INDEX('Retirement Calculator'!J:J,MATCH('Isaac 401k'!N2156,'Retirement Calculator'!A:A,0),0),0)</f>
        <v>0</v>
      </c>
      <c r="K2156" s="444">
        <f t="shared" ca="1" si="141"/>
        <v>-14598340.46933138</v>
      </c>
      <c r="L2156" s="444">
        <f t="shared" ca="1" si="142"/>
        <v>-3518200053.1088619</v>
      </c>
      <c r="M2156" s="460">
        <f t="shared" si="144"/>
        <v>0.05</v>
      </c>
      <c r="N2156" s="464">
        <f t="shared" si="145"/>
        <v>116665</v>
      </c>
    </row>
    <row r="2157" spans="7:14" ht="11.25" customHeight="1" x14ac:dyDescent="0.25">
      <c r="G2157" s="459"/>
      <c r="H2157" s="459">
        <v>2150</v>
      </c>
      <c r="I2157" s="444">
        <f t="shared" ca="1" si="143"/>
        <v>-3518200053.1088619</v>
      </c>
      <c r="J2157" s="444">
        <f t="array" ref="J2157">IFERROR(INDEX('Retirement Calculator'!J:J,MATCH('Isaac 401k'!N2157,'Retirement Calculator'!A:A,0),0),0)</f>
        <v>0</v>
      </c>
      <c r="K2157" s="444">
        <f t="shared" ca="1" si="141"/>
        <v>-14659166.887953591</v>
      </c>
      <c r="L2157" s="444">
        <f t="shared" ca="1" si="142"/>
        <v>-3532859219.9968157</v>
      </c>
      <c r="M2157" s="460">
        <f t="shared" si="144"/>
        <v>0.05</v>
      </c>
      <c r="N2157" s="464">
        <f t="shared" si="145"/>
        <v>116695</v>
      </c>
    </row>
    <row r="2158" spans="7:14" ht="11.25" customHeight="1" x14ac:dyDescent="0.25">
      <c r="G2158" s="459"/>
      <c r="H2158" s="459">
        <v>2151</v>
      </c>
      <c r="I2158" s="444">
        <f t="shared" ca="1" si="143"/>
        <v>-3532859219.9968157</v>
      </c>
      <c r="J2158" s="444">
        <f t="array" ref="J2158">IFERROR(INDEX('Retirement Calculator'!J:J,MATCH('Isaac 401k'!N2158,'Retirement Calculator'!A:A,0),0),0)</f>
        <v>0</v>
      </c>
      <c r="K2158" s="444">
        <f t="shared" ca="1" si="141"/>
        <v>-14720246.749986732</v>
      </c>
      <c r="L2158" s="444">
        <f t="shared" ca="1" si="142"/>
        <v>-3547579466.7468023</v>
      </c>
      <c r="M2158" s="460">
        <f t="shared" si="144"/>
        <v>0.05</v>
      </c>
      <c r="N2158" s="464">
        <f t="shared" si="145"/>
        <v>116726</v>
      </c>
    </row>
    <row r="2159" spans="7:14" ht="11.25" customHeight="1" x14ac:dyDescent="0.25">
      <c r="G2159" s="459"/>
      <c r="H2159" s="459">
        <v>2152</v>
      </c>
      <c r="I2159" s="444">
        <f t="shared" ca="1" si="143"/>
        <v>-3547579466.7468023</v>
      </c>
      <c r="J2159" s="444">
        <f t="array" ref="J2159">IFERROR(INDEX('Retirement Calculator'!J:J,MATCH('Isaac 401k'!N2159,'Retirement Calculator'!A:A,0),0),0)</f>
        <v>0</v>
      </c>
      <c r="K2159" s="444">
        <f t="shared" ca="1" si="141"/>
        <v>-14781581.11144501</v>
      </c>
      <c r="L2159" s="444">
        <f t="shared" ca="1" si="142"/>
        <v>-3562361047.8582473</v>
      </c>
      <c r="M2159" s="460">
        <f t="shared" si="144"/>
        <v>0.05</v>
      </c>
      <c r="N2159" s="464">
        <f t="shared" si="145"/>
        <v>116757</v>
      </c>
    </row>
    <row r="2160" spans="7:14" ht="11.25" customHeight="1" x14ac:dyDescent="0.25">
      <c r="G2160" s="459"/>
      <c r="H2160" s="459">
        <v>2153</v>
      </c>
      <c r="I2160" s="444">
        <f t="shared" ca="1" si="143"/>
        <v>-3562361047.8582473</v>
      </c>
      <c r="J2160" s="444">
        <f t="array" ref="J2160">IFERROR(INDEX('Retirement Calculator'!J:J,MATCH('Isaac 401k'!N2160,'Retirement Calculator'!A:A,0),0),0)</f>
        <v>0</v>
      </c>
      <c r="K2160" s="444">
        <f t="shared" ca="1" si="141"/>
        <v>-14843171.032742696</v>
      </c>
      <c r="L2160" s="444">
        <f t="shared" ca="1" si="142"/>
        <v>-3577204218.8909898</v>
      </c>
      <c r="M2160" s="460">
        <f t="shared" si="144"/>
        <v>0.05</v>
      </c>
      <c r="N2160" s="464">
        <f t="shared" si="145"/>
        <v>116787</v>
      </c>
    </row>
    <row r="2161" spans="7:14" ht="11.25" customHeight="1" x14ac:dyDescent="0.25">
      <c r="G2161" s="459"/>
      <c r="H2161" s="459">
        <v>2154</v>
      </c>
      <c r="I2161" s="444">
        <f t="shared" ca="1" si="143"/>
        <v>-3577204218.8909898</v>
      </c>
      <c r="J2161" s="444">
        <f t="array" ref="J2161">IFERROR(INDEX('Retirement Calculator'!J:J,MATCH('Isaac 401k'!N2161,'Retirement Calculator'!A:A,0),0),0)</f>
        <v>0</v>
      </c>
      <c r="K2161" s="444">
        <f t="shared" ca="1" si="141"/>
        <v>-14905017.578712456</v>
      </c>
      <c r="L2161" s="444">
        <f t="shared" ca="1" si="142"/>
        <v>-3592109236.4697022</v>
      </c>
      <c r="M2161" s="460">
        <f t="shared" si="144"/>
        <v>0.05</v>
      </c>
      <c r="N2161" s="464">
        <f t="shared" si="145"/>
        <v>116818</v>
      </c>
    </row>
    <row r="2162" spans="7:14" ht="11.25" customHeight="1" x14ac:dyDescent="0.25">
      <c r="G2162" s="459"/>
      <c r="H2162" s="459">
        <v>2155</v>
      </c>
      <c r="I2162" s="444">
        <f t="shared" ca="1" si="143"/>
        <v>-3592109236.4697022</v>
      </c>
      <c r="J2162" s="444">
        <f t="array" ref="J2162">IFERROR(INDEX('Retirement Calculator'!J:J,MATCH('Isaac 401k'!N2162,'Retirement Calculator'!A:A,0),0),0)</f>
        <v>0</v>
      </c>
      <c r="K2162" s="444">
        <f t="shared" ca="1" si="141"/>
        <v>-14967121.818623757</v>
      </c>
      <c r="L2162" s="444">
        <f t="shared" ca="1" si="142"/>
        <v>-3607076358.2883258</v>
      </c>
      <c r="M2162" s="460">
        <f t="shared" si="144"/>
        <v>0.05</v>
      </c>
      <c r="N2162" s="464">
        <f t="shared" si="145"/>
        <v>116848</v>
      </c>
    </row>
    <row r="2163" spans="7:14" ht="11.25" customHeight="1" x14ac:dyDescent="0.25">
      <c r="G2163" s="459"/>
      <c r="H2163" s="459">
        <v>2156</v>
      </c>
      <c r="I2163" s="444">
        <f t="shared" ca="1" si="143"/>
        <v>-3607076358.2883258</v>
      </c>
      <c r="J2163" s="444">
        <f t="array" ref="J2163">IFERROR(INDEX('Retirement Calculator'!J:J,MATCH('Isaac 401k'!N2163,'Retirement Calculator'!A:A,0),0),0)</f>
        <v>0</v>
      </c>
      <c r="K2163" s="444">
        <f t="shared" ca="1" si="141"/>
        <v>-15029484.826201355</v>
      </c>
      <c r="L2163" s="444">
        <f t="shared" ca="1" si="142"/>
        <v>-3622105843.1145272</v>
      </c>
      <c r="M2163" s="460">
        <f t="shared" si="144"/>
        <v>0.05</v>
      </c>
      <c r="N2163" s="464">
        <f t="shared" si="145"/>
        <v>116879</v>
      </c>
    </row>
    <row r="2164" spans="7:14" ht="11.25" customHeight="1" x14ac:dyDescent="0.25">
      <c r="G2164" s="459"/>
      <c r="H2164" s="459">
        <v>2157</v>
      </c>
      <c r="I2164" s="444">
        <f t="shared" ca="1" si="143"/>
        <v>-3622105843.1145272</v>
      </c>
      <c r="J2164" s="444">
        <f t="array" ref="J2164">IFERROR(INDEX('Retirement Calculator'!J:J,MATCH('Isaac 401k'!N2164,'Retirement Calculator'!A:A,0),0),0)</f>
        <v>0</v>
      </c>
      <c r="K2164" s="444">
        <f t="shared" ca="1" si="141"/>
        <v>-15092107.679643862</v>
      </c>
      <c r="L2164" s="444">
        <f t="shared" ca="1" si="142"/>
        <v>-3637197950.7941709</v>
      </c>
      <c r="M2164" s="460">
        <f t="shared" si="144"/>
        <v>0.05</v>
      </c>
      <c r="N2164" s="464">
        <f t="shared" si="145"/>
        <v>116910</v>
      </c>
    </row>
    <row r="2165" spans="7:14" ht="11.25" customHeight="1" x14ac:dyDescent="0.25">
      <c r="G2165" s="459"/>
      <c r="H2165" s="459">
        <v>2158</v>
      </c>
      <c r="I2165" s="444">
        <f t="shared" ca="1" si="143"/>
        <v>-3637197950.7941709</v>
      </c>
      <c r="J2165" s="444">
        <f t="array" ref="J2165">IFERROR(INDEX('Retirement Calculator'!J:J,MATCH('Isaac 401k'!N2165,'Retirement Calculator'!A:A,0),0),0)</f>
        <v>0</v>
      </c>
      <c r="K2165" s="444">
        <f t="shared" ca="1" si="141"/>
        <v>-15154991.461642381</v>
      </c>
      <c r="L2165" s="444">
        <f t="shared" ca="1" si="142"/>
        <v>-3652352942.2558131</v>
      </c>
      <c r="M2165" s="460">
        <f t="shared" si="144"/>
        <v>0.05</v>
      </c>
      <c r="N2165" s="464">
        <f t="shared" si="145"/>
        <v>116939</v>
      </c>
    </row>
    <row r="2166" spans="7:14" ht="11.25" customHeight="1" x14ac:dyDescent="0.25">
      <c r="G2166" s="459"/>
      <c r="H2166" s="459">
        <v>2159</v>
      </c>
      <c r="I2166" s="444">
        <f t="shared" ca="1" si="143"/>
        <v>-3652352942.2558131</v>
      </c>
      <c r="J2166" s="444">
        <f t="array" ref="J2166">IFERROR(INDEX('Retirement Calculator'!J:J,MATCH('Isaac 401k'!N2166,'Retirement Calculator'!A:A,0),0),0)</f>
        <v>0</v>
      </c>
      <c r="K2166" s="444">
        <f t="shared" ca="1" si="141"/>
        <v>-15218137.25939922</v>
      </c>
      <c r="L2166" s="444">
        <f t="shared" ca="1" si="142"/>
        <v>-3667571079.5152125</v>
      </c>
      <c r="M2166" s="460">
        <f t="shared" si="144"/>
        <v>0.05</v>
      </c>
      <c r="N2166" s="464">
        <f t="shared" si="145"/>
        <v>116970</v>
      </c>
    </row>
    <row r="2167" spans="7:14" ht="11.25" customHeight="1" x14ac:dyDescent="0.25">
      <c r="G2167" s="459"/>
      <c r="H2167" s="459">
        <v>2160</v>
      </c>
      <c r="I2167" s="444">
        <f t="shared" ca="1" si="143"/>
        <v>-3667571079.5152125</v>
      </c>
      <c r="J2167" s="444">
        <f t="array" ref="J2167">IFERROR(INDEX('Retirement Calculator'!J:J,MATCH('Isaac 401k'!N2167,'Retirement Calculator'!A:A,0),0),0)</f>
        <v>0</v>
      </c>
      <c r="K2167" s="444">
        <f t="shared" ca="1" si="141"/>
        <v>-15281546.164646719</v>
      </c>
      <c r="L2167" s="444">
        <f t="shared" ca="1" si="142"/>
        <v>-3682852625.6798592</v>
      </c>
      <c r="M2167" s="460">
        <f t="shared" si="144"/>
        <v>0.05</v>
      </c>
      <c r="N2167" s="464">
        <f t="shared" si="145"/>
        <v>117000</v>
      </c>
    </row>
    <row r="2168" spans="7:14" ht="11.25" customHeight="1" x14ac:dyDescent="0.25">
      <c r="G2168" s="459"/>
      <c r="H2168" s="459">
        <v>2161</v>
      </c>
      <c r="I2168" s="444">
        <f t="shared" ca="1" si="143"/>
        <v>-3682852625.6798592</v>
      </c>
      <c r="J2168" s="444">
        <f t="array" ref="J2168">IFERROR(INDEX('Retirement Calculator'!J:J,MATCH('Isaac 401k'!N2168,'Retirement Calculator'!A:A,0),0),0)</f>
        <v>0</v>
      </c>
      <c r="K2168" s="444">
        <f t="shared" ca="1" si="141"/>
        <v>-15345219.27366608</v>
      </c>
      <c r="L2168" s="444">
        <f t="shared" ca="1" si="142"/>
        <v>-3698197844.9535251</v>
      </c>
      <c r="M2168" s="460">
        <f t="shared" si="144"/>
        <v>0.05</v>
      </c>
      <c r="N2168" s="464">
        <f t="shared" si="145"/>
        <v>117031</v>
      </c>
    </row>
    <row r="2169" spans="7:14" ht="11.25" customHeight="1" x14ac:dyDescent="0.25">
      <c r="G2169" s="459"/>
      <c r="H2169" s="459">
        <v>2162</v>
      </c>
      <c r="I2169" s="444">
        <f t="shared" ca="1" si="143"/>
        <v>-3698197844.9535251</v>
      </c>
      <c r="J2169" s="444">
        <f t="array" ref="J2169">IFERROR(INDEX('Retirement Calculator'!J:J,MATCH('Isaac 401k'!N2169,'Retirement Calculator'!A:A,0),0),0)</f>
        <v>0</v>
      </c>
      <c r="K2169" s="444">
        <f t="shared" ca="1" si="141"/>
        <v>-15409157.687306354</v>
      </c>
      <c r="L2169" s="444">
        <f t="shared" ca="1" si="142"/>
        <v>-3713607002.6408315</v>
      </c>
      <c r="M2169" s="460">
        <f t="shared" si="144"/>
        <v>0.05</v>
      </c>
      <c r="N2169" s="464">
        <f t="shared" si="145"/>
        <v>117061</v>
      </c>
    </row>
    <row r="2170" spans="7:14" ht="11.25" customHeight="1" x14ac:dyDescent="0.25">
      <c r="G2170" s="459"/>
      <c r="H2170" s="459">
        <v>2163</v>
      </c>
      <c r="I2170" s="444">
        <f t="shared" ca="1" si="143"/>
        <v>-3713607002.6408315</v>
      </c>
      <c r="J2170" s="444">
        <f t="array" ref="J2170">IFERROR(INDEX('Retirement Calculator'!J:J,MATCH('Isaac 401k'!N2170,'Retirement Calculator'!A:A,0),0),0)</f>
        <v>0</v>
      </c>
      <c r="K2170" s="444">
        <f t="shared" ca="1" si="141"/>
        <v>-15473362.511003466</v>
      </c>
      <c r="L2170" s="444">
        <f t="shared" ca="1" si="142"/>
        <v>-3729080365.151835</v>
      </c>
      <c r="M2170" s="460">
        <f t="shared" si="144"/>
        <v>0.05</v>
      </c>
      <c r="N2170" s="464">
        <f t="shared" si="145"/>
        <v>117092</v>
      </c>
    </row>
    <row r="2171" spans="7:14" ht="11.25" customHeight="1" x14ac:dyDescent="0.25">
      <c r="G2171" s="459"/>
      <c r="H2171" s="459">
        <v>2164</v>
      </c>
      <c r="I2171" s="444">
        <f t="shared" ca="1" si="143"/>
        <v>-3729080365.151835</v>
      </c>
      <c r="J2171" s="444">
        <f t="array" ref="J2171">IFERROR(INDEX('Retirement Calculator'!J:J,MATCH('Isaac 401k'!N2171,'Retirement Calculator'!A:A,0),0),0)</f>
        <v>0</v>
      </c>
      <c r="K2171" s="444">
        <f t="shared" ca="1" si="141"/>
        <v>-15537834.854799313</v>
      </c>
      <c r="L2171" s="444">
        <f t="shared" ca="1" si="142"/>
        <v>-3744618200.0066342</v>
      </c>
      <c r="M2171" s="460">
        <f t="shared" si="144"/>
        <v>0.05</v>
      </c>
      <c r="N2171" s="464">
        <f t="shared" si="145"/>
        <v>117123</v>
      </c>
    </row>
    <row r="2172" spans="7:14" ht="11.25" customHeight="1" x14ac:dyDescent="0.25">
      <c r="G2172" s="459"/>
      <c r="H2172" s="459">
        <v>2165</v>
      </c>
      <c r="I2172" s="444">
        <f t="shared" ca="1" si="143"/>
        <v>-3744618200.0066342</v>
      </c>
      <c r="J2172" s="444">
        <f t="array" ref="J2172">IFERROR(INDEX('Retirement Calculator'!J:J,MATCH('Isaac 401k'!N2172,'Retirement Calculator'!A:A,0),0),0)</f>
        <v>0</v>
      </c>
      <c r="K2172" s="444">
        <f t="shared" ca="1" si="141"/>
        <v>-15602575.833360976</v>
      </c>
      <c r="L2172" s="444">
        <f t="shared" ca="1" si="142"/>
        <v>-3760220775.8399954</v>
      </c>
      <c r="M2172" s="460">
        <f t="shared" si="144"/>
        <v>0.05</v>
      </c>
      <c r="N2172" s="464">
        <f t="shared" si="145"/>
        <v>117153</v>
      </c>
    </row>
    <row r="2173" spans="7:14" ht="11.25" customHeight="1" x14ac:dyDescent="0.25">
      <c r="G2173" s="459"/>
      <c r="H2173" s="459">
        <v>2166</v>
      </c>
      <c r="I2173" s="444">
        <f t="shared" ca="1" si="143"/>
        <v>-3760220775.8399954</v>
      </c>
      <c r="J2173" s="444">
        <f t="array" ref="J2173">IFERROR(INDEX('Retirement Calculator'!J:J,MATCH('Isaac 401k'!N2173,'Retirement Calculator'!A:A,0),0),0)</f>
        <v>0</v>
      </c>
      <c r="K2173" s="444">
        <f t="shared" ca="1" si="141"/>
        <v>-15667586.565999981</v>
      </c>
      <c r="L2173" s="444">
        <f t="shared" ca="1" si="142"/>
        <v>-3775888362.4059954</v>
      </c>
      <c r="M2173" s="460">
        <f t="shared" si="144"/>
        <v>0.05</v>
      </c>
      <c r="N2173" s="464">
        <f t="shared" si="145"/>
        <v>117184</v>
      </c>
    </row>
    <row r="2174" spans="7:14" ht="11.25" customHeight="1" x14ac:dyDescent="0.25">
      <c r="G2174" s="459"/>
      <c r="H2174" s="459">
        <v>2167</v>
      </c>
      <c r="I2174" s="444">
        <f t="shared" ca="1" si="143"/>
        <v>-3775888362.4059954</v>
      </c>
      <c r="J2174" s="444">
        <f t="array" ref="J2174">IFERROR(INDEX('Retirement Calculator'!J:J,MATCH('Isaac 401k'!N2174,'Retirement Calculator'!A:A,0),0),0)</f>
        <v>0</v>
      </c>
      <c r="K2174" s="444">
        <f t="shared" ca="1" si="141"/>
        <v>-15732868.176691648</v>
      </c>
      <c r="L2174" s="444">
        <f t="shared" ca="1" si="142"/>
        <v>-3791621230.5826869</v>
      </c>
      <c r="M2174" s="460">
        <f t="shared" si="144"/>
        <v>0.05</v>
      </c>
      <c r="N2174" s="464">
        <f t="shared" si="145"/>
        <v>117214</v>
      </c>
    </row>
    <row r="2175" spans="7:14" ht="11.25" customHeight="1" x14ac:dyDescent="0.25">
      <c r="G2175" s="459"/>
      <c r="H2175" s="459">
        <v>2168</v>
      </c>
      <c r="I2175" s="444">
        <f t="shared" ca="1" si="143"/>
        <v>-3791621230.5826869</v>
      </c>
      <c r="J2175" s="444">
        <f t="array" ref="J2175">IFERROR(INDEX('Retirement Calculator'!J:J,MATCH('Isaac 401k'!N2175,'Retirement Calculator'!A:A,0),0),0)</f>
        <v>0</v>
      </c>
      <c r="K2175" s="444">
        <f t="shared" ca="1" si="141"/>
        <v>-15798421.794094529</v>
      </c>
      <c r="L2175" s="444">
        <f t="shared" ca="1" si="142"/>
        <v>-3807419652.3767815</v>
      </c>
      <c r="M2175" s="460">
        <f t="shared" si="144"/>
        <v>0.05</v>
      </c>
      <c r="N2175" s="464">
        <f t="shared" si="145"/>
        <v>117245</v>
      </c>
    </row>
    <row r="2176" spans="7:14" ht="11.25" customHeight="1" x14ac:dyDescent="0.25">
      <c r="G2176" s="459"/>
      <c r="H2176" s="459">
        <v>2169</v>
      </c>
      <c r="I2176" s="444">
        <f t="shared" ca="1" si="143"/>
        <v>-3807419652.3767815</v>
      </c>
      <c r="J2176" s="444">
        <f t="array" ref="J2176">IFERROR(INDEX('Retirement Calculator'!J:J,MATCH('Isaac 401k'!N2176,'Retirement Calculator'!A:A,0),0),0)</f>
        <v>0</v>
      </c>
      <c r="K2176" s="444">
        <f t="shared" ca="1" si="141"/>
        <v>-15864248.551569922</v>
      </c>
      <c r="L2176" s="444">
        <f t="shared" ca="1" si="142"/>
        <v>-3823283900.9283514</v>
      </c>
      <c r="M2176" s="460">
        <f t="shared" si="144"/>
        <v>0.05</v>
      </c>
      <c r="N2176" s="464">
        <f t="shared" si="145"/>
        <v>117276</v>
      </c>
    </row>
    <row r="2177" spans="7:14" ht="11.25" customHeight="1" x14ac:dyDescent="0.25">
      <c r="G2177" s="459"/>
      <c r="H2177" s="459">
        <v>2170</v>
      </c>
      <c r="I2177" s="444">
        <f t="shared" ca="1" si="143"/>
        <v>-3823283900.9283514</v>
      </c>
      <c r="J2177" s="444">
        <f t="array" ref="J2177">IFERROR(INDEX('Retirement Calculator'!J:J,MATCH('Isaac 401k'!N2177,'Retirement Calculator'!A:A,0),0),0)</f>
        <v>0</v>
      </c>
      <c r="K2177" s="444">
        <f t="shared" ca="1" si="141"/>
        <v>-15930349.587201463</v>
      </c>
      <c r="L2177" s="444">
        <f t="shared" ca="1" si="142"/>
        <v>-3839214250.515553</v>
      </c>
      <c r="M2177" s="460">
        <f t="shared" si="144"/>
        <v>0.05</v>
      </c>
      <c r="N2177" s="464">
        <f t="shared" si="145"/>
        <v>117304</v>
      </c>
    </row>
    <row r="2178" spans="7:14" ht="11.25" customHeight="1" x14ac:dyDescent="0.25">
      <c r="G2178" s="459"/>
      <c r="H2178" s="459">
        <v>2171</v>
      </c>
      <c r="I2178" s="444">
        <f t="shared" ca="1" si="143"/>
        <v>-3839214250.515553</v>
      </c>
      <c r="J2178" s="444">
        <f t="array" ref="J2178">IFERROR(INDEX('Retirement Calculator'!J:J,MATCH('Isaac 401k'!N2178,'Retirement Calculator'!A:A,0),0),0)</f>
        <v>0</v>
      </c>
      <c r="K2178" s="444">
        <f t="shared" ca="1" si="141"/>
        <v>-15996726.043814804</v>
      </c>
      <c r="L2178" s="444">
        <f t="shared" ca="1" si="142"/>
        <v>-3855210976.5593677</v>
      </c>
      <c r="M2178" s="460">
        <f t="shared" si="144"/>
        <v>0.05</v>
      </c>
      <c r="N2178" s="464">
        <f t="shared" si="145"/>
        <v>117335</v>
      </c>
    </row>
    <row r="2179" spans="7:14" ht="11.25" customHeight="1" x14ac:dyDescent="0.25">
      <c r="G2179" s="459"/>
      <c r="H2179" s="459">
        <v>2172</v>
      </c>
      <c r="I2179" s="444">
        <f t="shared" ca="1" si="143"/>
        <v>-3855210976.5593677</v>
      </c>
      <c r="J2179" s="444">
        <f t="array" ref="J2179">IFERROR(INDEX('Retirement Calculator'!J:J,MATCH('Isaac 401k'!N2179,'Retirement Calculator'!A:A,0),0),0)</f>
        <v>0</v>
      </c>
      <c r="K2179" s="444">
        <f t="shared" ca="1" si="141"/>
        <v>-16063379.068997366</v>
      </c>
      <c r="L2179" s="444">
        <f t="shared" ca="1" si="142"/>
        <v>-3871274355.628365</v>
      </c>
      <c r="M2179" s="460">
        <f t="shared" si="144"/>
        <v>0.05</v>
      </c>
      <c r="N2179" s="464">
        <f t="shared" si="145"/>
        <v>117365</v>
      </c>
    </row>
    <row r="2180" spans="7:14" ht="11.25" customHeight="1" x14ac:dyDescent="0.25">
      <c r="G2180" s="459"/>
      <c r="H2180" s="459">
        <v>2173</v>
      </c>
      <c r="I2180" s="444">
        <f t="shared" ca="1" si="143"/>
        <v>-3871274355.628365</v>
      </c>
      <c r="J2180" s="444">
        <f t="array" ref="J2180">IFERROR(INDEX('Retirement Calculator'!J:J,MATCH('Isaac 401k'!N2180,'Retirement Calculator'!A:A,0),0),0)</f>
        <v>0</v>
      </c>
      <c r="K2180" s="444">
        <f t="shared" ca="1" si="141"/>
        <v>-16130309.815118186</v>
      </c>
      <c r="L2180" s="444">
        <f t="shared" ca="1" si="142"/>
        <v>-3887404665.4434834</v>
      </c>
      <c r="M2180" s="460">
        <f t="shared" si="144"/>
        <v>0.05</v>
      </c>
      <c r="N2180" s="464">
        <f t="shared" si="145"/>
        <v>117396</v>
      </c>
    </row>
    <row r="2181" spans="7:14" ht="11.25" customHeight="1" x14ac:dyDescent="0.25">
      <c r="G2181" s="459"/>
      <c r="H2181" s="459">
        <v>2174</v>
      </c>
      <c r="I2181" s="444">
        <f t="shared" ca="1" si="143"/>
        <v>-3887404665.4434834</v>
      </c>
      <c r="J2181" s="444">
        <f t="array" ref="J2181">IFERROR(INDEX('Retirement Calculator'!J:J,MATCH('Isaac 401k'!N2181,'Retirement Calculator'!A:A,0),0),0)</f>
        <v>0</v>
      </c>
      <c r="K2181" s="444">
        <f t="shared" ca="1" si="141"/>
        <v>-16197519.439347846</v>
      </c>
      <c r="L2181" s="444">
        <f t="shared" ca="1" si="142"/>
        <v>-3903602184.8828311</v>
      </c>
      <c r="M2181" s="460">
        <f t="shared" si="144"/>
        <v>0.05</v>
      </c>
      <c r="N2181" s="464">
        <f t="shared" si="145"/>
        <v>117426</v>
      </c>
    </row>
    <row r="2182" spans="7:14" ht="11.25" customHeight="1" x14ac:dyDescent="0.25">
      <c r="G2182" s="459"/>
      <c r="H2182" s="459">
        <v>2175</v>
      </c>
      <c r="I2182" s="444">
        <f t="shared" ca="1" si="143"/>
        <v>-3903602184.8828311</v>
      </c>
      <c r="J2182" s="444">
        <f t="array" ref="J2182">IFERROR(INDEX('Retirement Calculator'!J:J,MATCH('Isaac 401k'!N2182,'Retirement Calculator'!A:A,0),0),0)</f>
        <v>0</v>
      </c>
      <c r="K2182" s="444">
        <f t="shared" ca="1" si="141"/>
        <v>-16265009.103678463</v>
      </c>
      <c r="L2182" s="444">
        <f t="shared" ca="1" si="142"/>
        <v>-3919867193.9865093</v>
      </c>
      <c r="M2182" s="460">
        <f t="shared" si="144"/>
        <v>0.05</v>
      </c>
      <c r="N2182" s="464">
        <f t="shared" si="145"/>
        <v>117457</v>
      </c>
    </row>
    <row r="2183" spans="7:14" ht="11.25" customHeight="1" x14ac:dyDescent="0.25">
      <c r="G2183" s="459"/>
      <c r="H2183" s="459">
        <v>2176</v>
      </c>
      <c r="I2183" s="444">
        <f t="shared" ca="1" si="143"/>
        <v>-3919867193.9865093</v>
      </c>
      <c r="J2183" s="444">
        <f t="array" ref="J2183">IFERROR(INDEX('Retirement Calculator'!J:J,MATCH('Isaac 401k'!N2183,'Retirement Calculator'!A:A,0),0),0)</f>
        <v>0</v>
      </c>
      <c r="K2183" s="444">
        <f t="shared" ca="1" si="141"/>
        <v>-16332779.974943787</v>
      </c>
      <c r="L2183" s="444">
        <f t="shared" ca="1" si="142"/>
        <v>-3936199973.961453</v>
      </c>
      <c r="M2183" s="460">
        <f t="shared" si="144"/>
        <v>0.05</v>
      </c>
      <c r="N2183" s="464">
        <f t="shared" si="145"/>
        <v>117488</v>
      </c>
    </row>
    <row r="2184" spans="7:14" ht="11.25" customHeight="1" x14ac:dyDescent="0.25">
      <c r="G2184" s="459"/>
      <c r="H2184" s="459">
        <v>2177</v>
      </c>
      <c r="I2184" s="444">
        <f t="shared" ca="1" si="143"/>
        <v>-3936199973.961453</v>
      </c>
      <c r="J2184" s="444">
        <f t="array" ref="J2184">IFERROR(INDEX('Retirement Calculator'!J:J,MATCH('Isaac 401k'!N2184,'Retirement Calculator'!A:A,0),0),0)</f>
        <v>0</v>
      </c>
      <c r="K2184" s="444">
        <f t="shared" ca="1" si="141"/>
        <v>-16400833.224839387</v>
      </c>
      <c r="L2184" s="444">
        <f t="shared" ca="1" si="142"/>
        <v>-3952600807.1862922</v>
      </c>
      <c r="M2184" s="460">
        <f t="shared" si="144"/>
        <v>0.05</v>
      </c>
      <c r="N2184" s="464">
        <f t="shared" si="145"/>
        <v>117518</v>
      </c>
    </row>
    <row r="2185" spans="7:14" ht="11.25" customHeight="1" x14ac:dyDescent="0.25">
      <c r="G2185" s="459"/>
      <c r="H2185" s="459">
        <v>2178</v>
      </c>
      <c r="I2185" s="444">
        <f t="shared" ca="1" si="143"/>
        <v>-3952600807.1862922</v>
      </c>
      <c r="J2185" s="444">
        <f t="array" ref="J2185">IFERROR(INDEX('Retirement Calculator'!J:J,MATCH('Isaac 401k'!N2185,'Retirement Calculator'!A:A,0),0),0)</f>
        <v>0</v>
      </c>
      <c r="K2185" s="444">
        <f t="shared" ca="1" si="141"/>
        <v>-16469170.029942883</v>
      </c>
      <c r="L2185" s="444">
        <f t="shared" ca="1" si="142"/>
        <v>-3969069977.2162352</v>
      </c>
      <c r="M2185" s="460">
        <f t="shared" si="144"/>
        <v>0.05</v>
      </c>
      <c r="N2185" s="464">
        <f t="shared" si="145"/>
        <v>117549</v>
      </c>
    </row>
    <row r="2186" spans="7:14" ht="11.25" customHeight="1" x14ac:dyDescent="0.25">
      <c r="G2186" s="459"/>
      <c r="H2186" s="459">
        <v>2179</v>
      </c>
      <c r="I2186" s="444">
        <f t="shared" ca="1" si="143"/>
        <v>-3969069977.2162352</v>
      </c>
      <c r="J2186" s="444">
        <f t="array" ref="J2186">IFERROR(INDEX('Retirement Calculator'!J:J,MATCH('Isaac 401k'!N2186,'Retirement Calculator'!A:A,0),0),0)</f>
        <v>0</v>
      </c>
      <c r="K2186" s="444">
        <f t="shared" ca="1" si="141"/>
        <v>-16537791.571734313</v>
      </c>
      <c r="L2186" s="444">
        <f t="shared" ca="1" si="142"/>
        <v>-3985607768.7879696</v>
      </c>
      <c r="M2186" s="460">
        <f t="shared" si="144"/>
        <v>0.05</v>
      </c>
      <c r="N2186" s="464">
        <f t="shared" si="145"/>
        <v>117579</v>
      </c>
    </row>
    <row r="2187" spans="7:14" ht="11.25" customHeight="1" x14ac:dyDescent="0.25">
      <c r="G2187" s="459"/>
      <c r="H2187" s="459">
        <v>2180</v>
      </c>
      <c r="I2187" s="444">
        <f t="shared" ca="1" si="143"/>
        <v>-3985607768.7879696</v>
      </c>
      <c r="J2187" s="444">
        <f t="array" ref="J2187">IFERROR(INDEX('Retirement Calculator'!J:J,MATCH('Isaac 401k'!N2187,'Retirement Calculator'!A:A,0),0),0)</f>
        <v>0</v>
      </c>
      <c r="K2187" s="444">
        <f t="shared" ca="1" si="141"/>
        <v>-16606699.03661654</v>
      </c>
      <c r="L2187" s="444">
        <f t="shared" ca="1" si="142"/>
        <v>-4002214467.8245859</v>
      </c>
      <c r="M2187" s="460">
        <f t="shared" si="144"/>
        <v>0.05</v>
      </c>
      <c r="N2187" s="464">
        <f t="shared" si="145"/>
        <v>117610</v>
      </c>
    </row>
    <row r="2188" spans="7:14" ht="11.25" customHeight="1" x14ac:dyDescent="0.25">
      <c r="G2188" s="459"/>
      <c r="H2188" s="459">
        <v>2181</v>
      </c>
      <c r="I2188" s="444">
        <f t="shared" ca="1" si="143"/>
        <v>-4002214467.8245859</v>
      </c>
      <c r="J2188" s="444">
        <f t="array" ref="J2188">IFERROR(INDEX('Retirement Calculator'!J:J,MATCH('Isaac 401k'!N2188,'Retirement Calculator'!A:A,0),0),0)</f>
        <v>0</v>
      </c>
      <c r="K2188" s="444">
        <f t="shared" ca="1" si="141"/>
        <v>-16675893.615935775</v>
      </c>
      <c r="L2188" s="444">
        <f t="shared" ca="1" si="142"/>
        <v>-4018890361.4405217</v>
      </c>
      <c r="M2188" s="460">
        <f t="shared" si="144"/>
        <v>0.05</v>
      </c>
      <c r="N2188" s="464">
        <f t="shared" si="145"/>
        <v>117641</v>
      </c>
    </row>
    <row r="2189" spans="7:14" ht="11.25" customHeight="1" x14ac:dyDescent="0.25">
      <c r="G2189" s="459"/>
      <c r="H2189" s="459">
        <v>2182</v>
      </c>
      <c r="I2189" s="444">
        <f t="shared" ca="1" si="143"/>
        <v>-4018890361.4405217</v>
      </c>
      <c r="J2189" s="444">
        <f t="array" ref="J2189">IFERROR(INDEX('Retirement Calculator'!J:J,MATCH('Isaac 401k'!N2189,'Retirement Calculator'!A:A,0),0),0)</f>
        <v>0</v>
      </c>
      <c r="K2189" s="444">
        <f t="shared" ca="1" si="141"/>
        <v>-16745376.506002171</v>
      </c>
      <c r="L2189" s="444">
        <f t="shared" ca="1" si="142"/>
        <v>-4035635737.9465237</v>
      </c>
      <c r="M2189" s="460">
        <f t="shared" si="144"/>
        <v>0.05</v>
      </c>
      <c r="N2189" s="464">
        <f t="shared" si="145"/>
        <v>117669</v>
      </c>
    </row>
    <row r="2190" spans="7:14" ht="11.25" customHeight="1" x14ac:dyDescent="0.25">
      <c r="G2190" s="459"/>
      <c r="H2190" s="459">
        <v>2183</v>
      </c>
      <c r="I2190" s="444">
        <f t="shared" ca="1" si="143"/>
        <v>-4035635737.9465237</v>
      </c>
      <c r="J2190" s="444">
        <f t="array" ref="J2190">IFERROR(INDEX('Retirement Calculator'!J:J,MATCH('Isaac 401k'!N2190,'Retirement Calculator'!A:A,0),0),0)</f>
        <v>0</v>
      </c>
      <c r="K2190" s="444">
        <f t="shared" ca="1" si="141"/>
        <v>-16815148.908110514</v>
      </c>
      <c r="L2190" s="444">
        <f t="shared" ca="1" si="142"/>
        <v>-4052450886.8546343</v>
      </c>
      <c r="M2190" s="460">
        <f t="shared" si="144"/>
        <v>0.05</v>
      </c>
      <c r="N2190" s="464">
        <f t="shared" si="145"/>
        <v>117700</v>
      </c>
    </row>
    <row r="2191" spans="7:14" ht="11.25" customHeight="1" x14ac:dyDescent="0.25">
      <c r="G2191" s="459"/>
      <c r="H2191" s="459">
        <v>2184</v>
      </c>
      <c r="I2191" s="444">
        <f t="shared" ca="1" si="143"/>
        <v>-4052450886.8546343</v>
      </c>
      <c r="J2191" s="444">
        <f t="array" ref="J2191">IFERROR(INDEX('Retirement Calculator'!J:J,MATCH('Isaac 401k'!N2191,'Retirement Calculator'!A:A,0),0),0)</f>
        <v>0</v>
      </c>
      <c r="K2191" s="444">
        <f t="shared" ca="1" si="141"/>
        <v>-16885212.028560977</v>
      </c>
      <c r="L2191" s="444">
        <f t="shared" ca="1" si="142"/>
        <v>-4069336098.8831954</v>
      </c>
      <c r="M2191" s="460">
        <f t="shared" si="144"/>
        <v>0.05</v>
      </c>
      <c r="N2191" s="464">
        <f t="shared" si="145"/>
        <v>117730</v>
      </c>
    </row>
    <row r="2192" spans="7:14" ht="11.25" customHeight="1" x14ac:dyDescent="0.25">
      <c r="G2192" s="459"/>
      <c r="H2192" s="459">
        <v>2185</v>
      </c>
      <c r="I2192" s="444">
        <f t="shared" ca="1" si="143"/>
        <v>-4069336098.8831954</v>
      </c>
      <c r="J2192" s="444">
        <f t="array" ref="J2192">IFERROR(INDEX('Retirement Calculator'!J:J,MATCH('Isaac 401k'!N2192,'Retirement Calculator'!A:A,0),0),0)</f>
        <v>0</v>
      </c>
      <c r="K2192" s="444">
        <f t="shared" ca="1" si="141"/>
        <v>-16955567.078679979</v>
      </c>
      <c r="L2192" s="444">
        <f t="shared" ca="1" si="142"/>
        <v>-4086291665.9618754</v>
      </c>
      <c r="M2192" s="460">
        <f t="shared" si="144"/>
        <v>0.05</v>
      </c>
      <c r="N2192" s="464">
        <f t="shared" si="145"/>
        <v>117761</v>
      </c>
    </row>
    <row r="2193" spans="7:14" ht="11.25" customHeight="1" x14ac:dyDescent="0.25">
      <c r="G2193" s="459"/>
      <c r="H2193" s="459">
        <v>2186</v>
      </c>
      <c r="I2193" s="444">
        <f t="shared" ca="1" si="143"/>
        <v>-4086291665.9618754</v>
      </c>
      <c r="J2193" s="444">
        <f t="array" ref="J2193">IFERROR(INDEX('Retirement Calculator'!J:J,MATCH('Isaac 401k'!N2193,'Retirement Calculator'!A:A,0),0),0)</f>
        <v>0</v>
      </c>
      <c r="K2193" s="444">
        <f t="shared" ca="1" si="141"/>
        <v>-17026215.274841148</v>
      </c>
      <c r="L2193" s="444">
        <f t="shared" ca="1" si="142"/>
        <v>-4103317881.2367167</v>
      </c>
      <c r="M2193" s="460">
        <f t="shared" si="144"/>
        <v>0.05</v>
      </c>
      <c r="N2193" s="464">
        <f t="shared" si="145"/>
        <v>117791</v>
      </c>
    </row>
    <row r="2194" spans="7:14" ht="11.25" customHeight="1" x14ac:dyDescent="0.25">
      <c r="G2194" s="459"/>
      <c r="H2194" s="459">
        <v>2187</v>
      </c>
      <c r="I2194" s="444">
        <f t="shared" ca="1" si="143"/>
        <v>-4103317881.2367167</v>
      </c>
      <c r="J2194" s="444">
        <f t="array" ref="J2194">IFERROR(INDEX('Retirement Calculator'!J:J,MATCH('Isaac 401k'!N2194,'Retirement Calculator'!A:A,0),0),0)</f>
        <v>0</v>
      </c>
      <c r="K2194" s="444">
        <f t="shared" ca="1" si="141"/>
        <v>-17097157.838486321</v>
      </c>
      <c r="L2194" s="444">
        <f t="shared" ca="1" si="142"/>
        <v>-4120415039.0752029</v>
      </c>
      <c r="M2194" s="460">
        <f t="shared" si="144"/>
        <v>0.05</v>
      </c>
      <c r="N2194" s="464">
        <f t="shared" si="145"/>
        <v>117822</v>
      </c>
    </row>
    <row r="2195" spans="7:14" ht="11.25" customHeight="1" x14ac:dyDescent="0.25">
      <c r="G2195" s="459"/>
      <c r="H2195" s="459">
        <v>2188</v>
      </c>
      <c r="I2195" s="444">
        <f t="shared" ca="1" si="143"/>
        <v>-4120415039.0752029</v>
      </c>
      <c r="J2195" s="444">
        <f t="array" ref="J2195">IFERROR(INDEX('Retirement Calculator'!J:J,MATCH('Isaac 401k'!N2195,'Retirement Calculator'!A:A,0),0),0)</f>
        <v>0</v>
      </c>
      <c r="K2195" s="444">
        <f t="shared" ca="1" si="141"/>
        <v>-17168395.996146679</v>
      </c>
      <c r="L2195" s="444">
        <f t="shared" ca="1" si="142"/>
        <v>-4137583435.0713496</v>
      </c>
      <c r="M2195" s="460">
        <f t="shared" si="144"/>
        <v>0.05</v>
      </c>
      <c r="N2195" s="464">
        <f t="shared" si="145"/>
        <v>117853</v>
      </c>
    </row>
    <row r="2196" spans="7:14" ht="11.25" customHeight="1" x14ac:dyDescent="0.25">
      <c r="G2196" s="459"/>
      <c r="H2196" s="459">
        <v>2189</v>
      </c>
      <c r="I2196" s="444">
        <f t="shared" ca="1" si="143"/>
        <v>-4137583435.0713496</v>
      </c>
      <c r="J2196" s="444">
        <f t="array" ref="J2196">IFERROR(INDEX('Retirement Calculator'!J:J,MATCH('Isaac 401k'!N2196,'Retirement Calculator'!A:A,0),0),0)</f>
        <v>0</v>
      </c>
      <c r="K2196" s="444">
        <f t="shared" ca="1" si="141"/>
        <v>-17239930.979463957</v>
      </c>
      <c r="L2196" s="444">
        <f t="shared" ca="1" si="142"/>
        <v>-4154823366.0508137</v>
      </c>
      <c r="M2196" s="460">
        <f t="shared" si="144"/>
        <v>0.05</v>
      </c>
      <c r="N2196" s="464">
        <f t="shared" si="145"/>
        <v>117883</v>
      </c>
    </row>
    <row r="2197" spans="7:14" ht="11.25" customHeight="1" x14ac:dyDescent="0.25">
      <c r="G2197" s="459"/>
      <c r="H2197" s="459">
        <v>2190</v>
      </c>
      <c r="I2197" s="444">
        <f t="shared" ca="1" si="143"/>
        <v>-4154823366.0508137</v>
      </c>
      <c r="J2197" s="444">
        <f t="array" ref="J2197">IFERROR(INDEX('Retirement Calculator'!J:J,MATCH('Isaac 401k'!N2197,'Retirement Calculator'!A:A,0),0),0)</f>
        <v>0</v>
      </c>
      <c r="K2197" s="444">
        <f t="shared" ca="1" si="141"/>
        <v>-17311764.025211722</v>
      </c>
      <c r="L2197" s="444">
        <f t="shared" ca="1" si="142"/>
        <v>-4172135130.0760255</v>
      </c>
      <c r="M2197" s="460">
        <f t="shared" si="144"/>
        <v>0.05</v>
      </c>
      <c r="N2197" s="464">
        <f t="shared" si="145"/>
        <v>117914</v>
      </c>
    </row>
    <row r="2198" spans="7:14" ht="11.25" customHeight="1" x14ac:dyDescent="0.25">
      <c r="G2198" s="459"/>
      <c r="H2198" s="459">
        <v>2191</v>
      </c>
      <c r="I2198" s="444">
        <f t="shared" ca="1" si="143"/>
        <v>-4172135130.0760255</v>
      </c>
      <c r="J2198" s="444">
        <f t="array" ref="J2198">IFERROR(INDEX('Retirement Calculator'!J:J,MATCH('Isaac 401k'!N2198,'Retirement Calculator'!A:A,0),0),0)</f>
        <v>0</v>
      </c>
      <c r="K2198" s="444">
        <f t="shared" ca="1" si="141"/>
        <v>-17383896.375316776</v>
      </c>
      <c r="L2198" s="444">
        <f t="shared" ca="1" si="142"/>
        <v>-4189519026.4513421</v>
      </c>
      <c r="M2198" s="460">
        <f t="shared" si="144"/>
        <v>0.05</v>
      </c>
      <c r="N2198" s="464">
        <f t="shared" si="145"/>
        <v>117944</v>
      </c>
    </row>
    <row r="2199" spans="7:14" ht="11.25" customHeight="1" x14ac:dyDescent="0.25">
      <c r="G2199" s="459"/>
      <c r="H2199" s="459">
        <v>2192</v>
      </c>
      <c r="I2199" s="444">
        <f t="shared" ca="1" si="143"/>
        <v>-4189519026.4513421</v>
      </c>
      <c r="J2199" s="444">
        <f t="array" ref="J2199">IFERROR(INDEX('Retirement Calculator'!J:J,MATCH('Isaac 401k'!N2199,'Retirement Calculator'!A:A,0),0),0)</f>
        <v>0</v>
      </c>
      <c r="K2199" s="444">
        <f t="shared" ca="1" si="141"/>
        <v>-17456329.276880588</v>
      </c>
      <c r="L2199" s="444">
        <f t="shared" ca="1" si="142"/>
        <v>-4206975355.7282228</v>
      </c>
      <c r="M2199" s="460">
        <f t="shared" si="144"/>
        <v>0.05</v>
      </c>
      <c r="N2199" s="464">
        <f t="shared" si="145"/>
        <v>117975</v>
      </c>
    </row>
    <row r="2200" spans="7:14" ht="11.25" customHeight="1" x14ac:dyDescent="0.25">
      <c r="G2200" s="459"/>
      <c r="H2200" s="459">
        <v>2193</v>
      </c>
      <c r="I2200" s="444">
        <f t="shared" ca="1" si="143"/>
        <v>-4206975355.7282228</v>
      </c>
      <c r="J2200" s="444">
        <f t="array" ref="J2200">IFERROR(INDEX('Retirement Calculator'!J:J,MATCH('Isaac 401k'!N2200,'Retirement Calculator'!A:A,0),0),0)</f>
        <v>0</v>
      </c>
      <c r="K2200" s="444">
        <f t="shared" ca="1" si="141"/>
        <v>-17529063.982200932</v>
      </c>
      <c r="L2200" s="444">
        <f t="shared" ca="1" si="142"/>
        <v>-4224504419.7104239</v>
      </c>
      <c r="M2200" s="460">
        <f t="shared" si="144"/>
        <v>0.05</v>
      </c>
      <c r="N2200" s="464">
        <f t="shared" si="145"/>
        <v>118006</v>
      </c>
    </row>
    <row r="2201" spans="7:14" ht="11.25" customHeight="1" x14ac:dyDescent="0.25">
      <c r="G2201" s="459"/>
      <c r="H2201" s="459">
        <v>2194</v>
      </c>
      <c r="I2201" s="444">
        <f t="shared" ca="1" si="143"/>
        <v>-4224504419.7104239</v>
      </c>
      <c r="J2201" s="444">
        <f t="array" ref="J2201">IFERROR(INDEX('Retirement Calculator'!J:J,MATCH('Isaac 401k'!N2201,'Retirement Calculator'!A:A,0),0),0)</f>
        <v>0</v>
      </c>
      <c r="K2201" s="444">
        <f t="shared" ca="1" si="141"/>
        <v>-17602101.748793431</v>
      </c>
      <c r="L2201" s="444">
        <f t="shared" ca="1" si="142"/>
        <v>-4242106521.4592175</v>
      </c>
      <c r="M2201" s="460">
        <f t="shared" si="144"/>
        <v>0.05</v>
      </c>
      <c r="N2201" s="464">
        <f t="shared" si="145"/>
        <v>118034</v>
      </c>
    </row>
    <row r="2202" spans="7:14" ht="11.25" customHeight="1" x14ac:dyDescent="0.25">
      <c r="G2202" s="459"/>
      <c r="H2202" s="459">
        <v>2195</v>
      </c>
      <c r="I2202" s="444">
        <f t="shared" ca="1" si="143"/>
        <v>-4242106521.4592175</v>
      </c>
      <c r="J2202" s="444">
        <f t="array" ref="J2202">IFERROR(INDEX('Retirement Calculator'!J:J,MATCH('Isaac 401k'!N2202,'Retirement Calculator'!A:A,0),0),0)</f>
        <v>0</v>
      </c>
      <c r="K2202" s="444">
        <f t="shared" ca="1" si="141"/>
        <v>-17675443.839413408</v>
      </c>
      <c r="L2202" s="444">
        <f t="shared" ca="1" si="142"/>
        <v>-4259781965.2986312</v>
      </c>
      <c r="M2202" s="460">
        <f t="shared" si="144"/>
        <v>0.05</v>
      </c>
      <c r="N2202" s="464">
        <f t="shared" si="145"/>
        <v>118065</v>
      </c>
    </row>
    <row r="2203" spans="7:14" ht="11.25" customHeight="1" x14ac:dyDescent="0.25">
      <c r="G2203" s="459"/>
      <c r="H2203" s="459">
        <v>2196</v>
      </c>
      <c r="I2203" s="444">
        <f t="shared" ca="1" si="143"/>
        <v>-4259781965.2986312</v>
      </c>
      <c r="J2203" s="444">
        <f t="array" ref="J2203">IFERROR(INDEX('Retirement Calculator'!J:J,MATCH('Isaac 401k'!N2203,'Retirement Calculator'!A:A,0),0),0)</f>
        <v>0</v>
      </c>
      <c r="K2203" s="444">
        <f t="shared" ca="1" si="141"/>
        <v>-17749091.522077631</v>
      </c>
      <c r="L2203" s="444">
        <f t="shared" ca="1" si="142"/>
        <v>-4277531056.8207088</v>
      </c>
      <c r="M2203" s="460">
        <f t="shared" si="144"/>
        <v>0.05</v>
      </c>
      <c r="N2203" s="464">
        <f t="shared" si="145"/>
        <v>118095</v>
      </c>
    </row>
    <row r="2204" spans="7:14" ht="11.25" customHeight="1" x14ac:dyDescent="0.25">
      <c r="G2204" s="459"/>
      <c r="H2204" s="459">
        <v>2197</v>
      </c>
      <c r="I2204" s="444">
        <f t="shared" ca="1" si="143"/>
        <v>-4277531056.8207088</v>
      </c>
      <c r="J2204" s="444">
        <f t="array" ref="J2204">IFERROR(INDEX('Retirement Calculator'!J:J,MATCH('Isaac 401k'!N2204,'Retirement Calculator'!A:A,0),0),0)</f>
        <v>0</v>
      </c>
      <c r="K2204" s="444">
        <f t="shared" ca="1" si="141"/>
        <v>-17823046.070086285</v>
      </c>
      <c r="L2204" s="444">
        <f t="shared" ca="1" si="142"/>
        <v>-4295354102.8907948</v>
      </c>
      <c r="M2204" s="460">
        <f t="shared" si="144"/>
        <v>0.05</v>
      </c>
      <c r="N2204" s="464">
        <f t="shared" si="145"/>
        <v>118126</v>
      </c>
    </row>
    <row r="2205" spans="7:14" ht="11.25" customHeight="1" x14ac:dyDescent="0.25">
      <c r="G2205" s="459"/>
      <c r="H2205" s="459">
        <v>2198</v>
      </c>
      <c r="I2205" s="444">
        <f t="shared" ca="1" si="143"/>
        <v>-4295354102.8907948</v>
      </c>
      <c r="J2205" s="444">
        <f t="array" ref="J2205">IFERROR(INDEX('Retirement Calculator'!J:J,MATCH('Isaac 401k'!N2205,'Retirement Calculator'!A:A,0),0),0)</f>
        <v>0</v>
      </c>
      <c r="K2205" s="444">
        <f t="shared" ca="1" si="141"/>
        <v>-17897308.762044977</v>
      </c>
      <c r="L2205" s="444">
        <f t="shared" ca="1" si="142"/>
        <v>-4313251411.6528397</v>
      </c>
      <c r="M2205" s="460">
        <f t="shared" si="144"/>
        <v>0.05</v>
      </c>
      <c r="N2205" s="464">
        <f t="shared" si="145"/>
        <v>118156</v>
      </c>
    </row>
    <row r="2206" spans="7:14" ht="11.25" customHeight="1" x14ac:dyDescent="0.25">
      <c r="G2206" s="459"/>
      <c r="H2206" s="459">
        <v>2199</v>
      </c>
      <c r="I2206" s="444">
        <f t="shared" ca="1" si="143"/>
        <v>-4313251411.6528397</v>
      </c>
      <c r="J2206" s="444">
        <f t="array" ref="J2206">IFERROR(INDEX('Retirement Calculator'!J:J,MATCH('Isaac 401k'!N2206,'Retirement Calculator'!A:A,0),0),0)</f>
        <v>0</v>
      </c>
      <c r="K2206" s="444">
        <f t="shared" ca="1" si="141"/>
        <v>-17971880.881886832</v>
      </c>
      <c r="L2206" s="444">
        <f t="shared" ca="1" si="142"/>
        <v>-4331223292.5347261</v>
      </c>
      <c r="M2206" s="460">
        <f t="shared" si="144"/>
        <v>0.05</v>
      </c>
      <c r="N2206" s="464">
        <f t="shared" si="145"/>
        <v>118187</v>
      </c>
    </row>
    <row r="2207" spans="7:14" ht="11.25" customHeight="1" x14ac:dyDescent="0.25">
      <c r="G2207" s="459"/>
      <c r="H2207" s="459">
        <v>2200</v>
      </c>
      <c r="I2207" s="444">
        <f t="shared" ca="1" si="143"/>
        <v>-4331223292.5347261</v>
      </c>
      <c r="J2207" s="444">
        <f t="array" ref="J2207">IFERROR(INDEX('Retirement Calculator'!J:J,MATCH('Isaac 401k'!N2207,'Retirement Calculator'!A:A,0),0),0)</f>
        <v>0</v>
      </c>
      <c r="K2207" s="444">
        <f t="shared" ca="1" si="141"/>
        <v>-18046763.71889469</v>
      </c>
      <c r="L2207" s="444">
        <f t="shared" ca="1" si="142"/>
        <v>-4349270056.2536211</v>
      </c>
      <c r="M2207" s="460">
        <f t="shared" si="144"/>
        <v>0.05</v>
      </c>
      <c r="N2207" s="464">
        <f t="shared" si="145"/>
        <v>118218</v>
      </c>
    </row>
    <row r="2208" spans="7:14" ht="11.25" customHeight="1" x14ac:dyDescent="0.25">
      <c r="G2208" s="459"/>
      <c r="H2208" s="459">
        <v>2201</v>
      </c>
      <c r="I2208" s="444">
        <f t="shared" ca="1" si="143"/>
        <v>-4349270056.2536211</v>
      </c>
      <c r="J2208" s="444">
        <f t="array" ref="J2208">IFERROR(INDEX('Retirement Calculator'!J:J,MATCH('Isaac 401k'!N2208,'Retirement Calculator'!A:A,0),0),0)</f>
        <v>0</v>
      </c>
      <c r="K2208" s="444">
        <f t="shared" ca="1" si="141"/>
        <v>-18121958.56772342</v>
      </c>
      <c r="L2208" s="444">
        <f t="shared" ca="1" si="142"/>
        <v>-4367392014.8213444</v>
      </c>
      <c r="M2208" s="460">
        <f t="shared" si="144"/>
        <v>0.05</v>
      </c>
      <c r="N2208" s="464">
        <f t="shared" si="145"/>
        <v>118248</v>
      </c>
    </row>
    <row r="2209" spans="7:14" ht="11.25" customHeight="1" x14ac:dyDescent="0.25">
      <c r="G2209" s="459"/>
      <c r="H2209" s="459">
        <v>2202</v>
      </c>
      <c r="I2209" s="444">
        <f t="shared" ca="1" si="143"/>
        <v>-4367392014.8213444</v>
      </c>
      <c r="J2209" s="444">
        <f t="array" ref="J2209">IFERROR(INDEX('Retirement Calculator'!J:J,MATCH('Isaac 401k'!N2209,'Retirement Calculator'!A:A,0),0),0)</f>
        <v>0</v>
      </c>
      <c r="K2209" s="444">
        <f t="shared" ca="1" si="141"/>
        <v>-18197466.728422269</v>
      </c>
      <c r="L2209" s="444">
        <f t="shared" ca="1" si="142"/>
        <v>-4385589481.5497665</v>
      </c>
      <c r="M2209" s="460">
        <f t="shared" si="144"/>
        <v>0.05</v>
      </c>
      <c r="N2209" s="464">
        <f t="shared" si="145"/>
        <v>118279</v>
      </c>
    </row>
    <row r="2210" spans="7:14" ht="11.25" customHeight="1" x14ac:dyDescent="0.25">
      <c r="G2210" s="459"/>
      <c r="H2210" s="459">
        <v>2203</v>
      </c>
      <c r="I2210" s="444">
        <f t="shared" ca="1" si="143"/>
        <v>-4385589481.5497665</v>
      </c>
      <c r="J2210" s="444">
        <f t="array" ref="J2210">IFERROR(INDEX('Retirement Calculator'!J:J,MATCH('Isaac 401k'!N2210,'Retirement Calculator'!A:A,0),0),0)</f>
        <v>0</v>
      </c>
      <c r="K2210" s="444">
        <f t="shared" ca="1" si="141"/>
        <v>-18273289.506457359</v>
      </c>
      <c r="L2210" s="444">
        <f t="shared" ca="1" si="142"/>
        <v>-4403862771.0562239</v>
      </c>
      <c r="M2210" s="460">
        <f t="shared" si="144"/>
        <v>0.05</v>
      </c>
      <c r="N2210" s="464">
        <f t="shared" si="145"/>
        <v>118309</v>
      </c>
    </row>
    <row r="2211" spans="7:14" ht="11.25" customHeight="1" x14ac:dyDescent="0.25">
      <c r="G2211" s="459"/>
      <c r="H2211" s="459">
        <v>2204</v>
      </c>
      <c r="I2211" s="444">
        <f t="shared" ca="1" si="143"/>
        <v>-4403862771.0562239</v>
      </c>
      <c r="J2211" s="444">
        <f t="array" ref="J2211">IFERROR(INDEX('Retirement Calculator'!J:J,MATCH('Isaac 401k'!N2211,'Retirement Calculator'!A:A,0),0),0)</f>
        <v>0</v>
      </c>
      <c r="K2211" s="444">
        <f t="shared" ca="1" si="141"/>
        <v>-18349428.212734267</v>
      </c>
      <c r="L2211" s="444">
        <f t="shared" ca="1" si="142"/>
        <v>-4422212199.2689581</v>
      </c>
      <c r="M2211" s="460">
        <f t="shared" si="144"/>
        <v>0.05</v>
      </c>
      <c r="N2211" s="464">
        <f t="shared" si="145"/>
        <v>118340</v>
      </c>
    </row>
    <row r="2212" spans="7:14" ht="11.25" customHeight="1" x14ac:dyDescent="0.25">
      <c r="G2212" s="459"/>
      <c r="H2212" s="459">
        <v>2205</v>
      </c>
      <c r="I2212" s="444">
        <f t="shared" ca="1" si="143"/>
        <v>-4422212199.2689581</v>
      </c>
      <c r="J2212" s="444">
        <f t="array" ref="J2212">IFERROR(INDEX('Retirement Calculator'!J:J,MATCH('Isaac 401k'!N2212,'Retirement Calculator'!A:A,0),0),0)</f>
        <v>0</v>
      </c>
      <c r="K2212" s="444">
        <f t="shared" ca="1" si="141"/>
        <v>-18425884.163620658</v>
      </c>
      <c r="L2212" s="444">
        <f t="shared" ca="1" si="142"/>
        <v>-4440638083.432579</v>
      </c>
      <c r="M2212" s="460">
        <f t="shared" si="144"/>
        <v>0.05</v>
      </c>
      <c r="N2212" s="464">
        <f t="shared" si="145"/>
        <v>118371</v>
      </c>
    </row>
    <row r="2213" spans="7:14" ht="11.25" customHeight="1" x14ac:dyDescent="0.25">
      <c r="G2213" s="459"/>
      <c r="H2213" s="459">
        <v>2206</v>
      </c>
      <c r="I2213" s="444">
        <f t="shared" ca="1" si="143"/>
        <v>-4440638083.432579</v>
      </c>
      <c r="J2213" s="444">
        <f t="array" ref="J2213">IFERROR(INDEX('Retirement Calculator'!J:J,MATCH('Isaac 401k'!N2213,'Retirement Calculator'!A:A,0),0),0)</f>
        <v>0</v>
      </c>
      <c r="K2213" s="444">
        <f t="shared" ca="1" si="141"/>
        <v>-18502658.680969078</v>
      </c>
      <c r="L2213" s="444">
        <f t="shared" ca="1" si="142"/>
        <v>-4459140742.1135483</v>
      </c>
      <c r="M2213" s="460">
        <f t="shared" si="144"/>
        <v>0.05</v>
      </c>
      <c r="N2213" s="464">
        <f t="shared" si="145"/>
        <v>118400</v>
      </c>
    </row>
    <row r="2214" spans="7:14" ht="11.25" customHeight="1" x14ac:dyDescent="0.25">
      <c r="G2214" s="459"/>
      <c r="H2214" s="459">
        <v>2207</v>
      </c>
      <c r="I2214" s="444">
        <f t="shared" ca="1" si="143"/>
        <v>-4459140742.1135483</v>
      </c>
      <c r="J2214" s="444">
        <f t="array" ref="J2214">IFERROR(INDEX('Retirement Calculator'!J:J,MATCH('Isaac 401k'!N2214,'Retirement Calculator'!A:A,0),0),0)</f>
        <v>0</v>
      </c>
      <c r="K2214" s="444">
        <f t="shared" ca="1" si="141"/>
        <v>-18579753.092139784</v>
      </c>
      <c r="L2214" s="444">
        <f t="shared" ca="1" si="142"/>
        <v>-4477720495.2056885</v>
      </c>
      <c r="M2214" s="460">
        <f t="shared" si="144"/>
        <v>0.05</v>
      </c>
      <c r="N2214" s="464">
        <f t="shared" si="145"/>
        <v>118431</v>
      </c>
    </row>
    <row r="2215" spans="7:14" ht="11.25" customHeight="1" x14ac:dyDescent="0.25">
      <c r="G2215" s="459"/>
      <c r="H2215" s="459">
        <v>2208</v>
      </c>
      <c r="I2215" s="444">
        <f t="shared" ca="1" si="143"/>
        <v>-4477720495.2056885</v>
      </c>
      <c r="J2215" s="444">
        <f t="array" ref="J2215">IFERROR(INDEX('Retirement Calculator'!J:J,MATCH('Isaac 401k'!N2215,'Retirement Calculator'!A:A,0),0),0)</f>
        <v>0</v>
      </c>
      <c r="K2215" s="444">
        <f t="shared" ca="1" si="141"/>
        <v>-18657168.730023701</v>
      </c>
      <c r="L2215" s="444">
        <f t="shared" ca="1" si="142"/>
        <v>-4496377663.9357119</v>
      </c>
      <c r="M2215" s="460">
        <f t="shared" si="144"/>
        <v>0.05</v>
      </c>
      <c r="N2215" s="464">
        <f t="shared" si="145"/>
        <v>118461</v>
      </c>
    </row>
    <row r="2216" spans="7:14" ht="11.25" customHeight="1" x14ac:dyDescent="0.25">
      <c r="G2216" s="459"/>
      <c r="H2216" s="459">
        <v>2209</v>
      </c>
      <c r="I2216" s="444">
        <f t="shared" ca="1" si="143"/>
        <v>-4496377663.9357119</v>
      </c>
      <c r="J2216" s="444">
        <f t="array" ref="J2216">IFERROR(INDEX('Retirement Calculator'!J:J,MATCH('Isaac 401k'!N2216,'Retirement Calculator'!A:A,0),0),0)</f>
        <v>0</v>
      </c>
      <c r="K2216" s="444">
        <f t="shared" ca="1" si="141"/>
        <v>-18734906.933065467</v>
      </c>
      <c r="L2216" s="444">
        <f t="shared" ca="1" si="142"/>
        <v>-4515112570.8687773</v>
      </c>
      <c r="M2216" s="460">
        <f t="shared" si="144"/>
        <v>0.05</v>
      </c>
      <c r="N2216" s="464">
        <f t="shared" si="145"/>
        <v>118492</v>
      </c>
    </row>
    <row r="2217" spans="7:14" ht="11.25" customHeight="1" x14ac:dyDescent="0.25">
      <c r="G2217" s="459"/>
      <c r="H2217" s="459">
        <v>2210</v>
      </c>
      <c r="I2217" s="444">
        <f t="shared" ca="1" si="143"/>
        <v>-4515112570.8687773</v>
      </c>
      <c r="J2217" s="444">
        <f t="array" ref="J2217">IFERROR(INDEX('Retirement Calculator'!J:J,MATCH('Isaac 401k'!N2217,'Retirement Calculator'!A:A,0),0),0)</f>
        <v>0</v>
      </c>
      <c r="K2217" s="444">
        <f t="shared" ca="1" si="141"/>
        <v>-18812969.045286573</v>
      </c>
      <c r="L2217" s="444">
        <f t="shared" ca="1" si="142"/>
        <v>-4533925539.9140635</v>
      </c>
      <c r="M2217" s="460">
        <f t="shared" si="144"/>
        <v>0.05</v>
      </c>
      <c r="N2217" s="464">
        <f t="shared" si="145"/>
        <v>118522</v>
      </c>
    </row>
    <row r="2218" spans="7:14" ht="11.25" customHeight="1" x14ac:dyDescent="0.25">
      <c r="G2218" s="459"/>
      <c r="H2218" s="459">
        <v>2211</v>
      </c>
      <c r="I2218" s="444">
        <f t="shared" ca="1" si="143"/>
        <v>-4533925539.9140635</v>
      </c>
      <c r="J2218" s="444">
        <f t="array" ref="J2218">IFERROR(INDEX('Retirement Calculator'!J:J,MATCH('Isaac 401k'!N2218,'Retirement Calculator'!A:A,0),0),0)</f>
        <v>0</v>
      </c>
      <c r="K2218" s="444">
        <f t="shared" ca="1" si="141"/>
        <v>-18891356.416308597</v>
      </c>
      <c r="L2218" s="444">
        <f t="shared" ca="1" si="142"/>
        <v>-4552816896.3303719</v>
      </c>
      <c r="M2218" s="460">
        <f t="shared" si="144"/>
        <v>0.05</v>
      </c>
      <c r="N2218" s="464">
        <f t="shared" si="145"/>
        <v>118553</v>
      </c>
    </row>
    <row r="2219" spans="7:14" ht="11.25" customHeight="1" x14ac:dyDescent="0.25">
      <c r="G2219" s="459"/>
      <c r="H2219" s="459">
        <v>2212</v>
      </c>
      <c r="I2219" s="444">
        <f t="shared" ca="1" si="143"/>
        <v>-4552816896.3303719</v>
      </c>
      <c r="J2219" s="444">
        <f t="array" ref="J2219">IFERROR(INDEX('Retirement Calculator'!J:J,MATCH('Isaac 401k'!N2219,'Retirement Calculator'!A:A,0),0),0)</f>
        <v>0</v>
      </c>
      <c r="K2219" s="444">
        <f t="shared" ca="1" si="141"/>
        <v>-18970070.401376549</v>
      </c>
      <c r="L2219" s="444">
        <f t="shared" ca="1" si="142"/>
        <v>-4571786966.7317486</v>
      </c>
      <c r="M2219" s="460">
        <f t="shared" si="144"/>
        <v>0.05</v>
      </c>
      <c r="N2219" s="464">
        <f t="shared" si="145"/>
        <v>118584</v>
      </c>
    </row>
    <row r="2220" spans="7:14" ht="11.25" customHeight="1" x14ac:dyDescent="0.25">
      <c r="G2220" s="459"/>
      <c r="H2220" s="459">
        <v>2213</v>
      </c>
      <c r="I2220" s="444">
        <f t="shared" ca="1" si="143"/>
        <v>-4571786966.7317486</v>
      </c>
      <c r="J2220" s="444">
        <f t="array" ref="J2220">IFERROR(INDEX('Retirement Calculator'!J:J,MATCH('Isaac 401k'!N2220,'Retirement Calculator'!A:A,0),0),0)</f>
        <v>0</v>
      </c>
      <c r="K2220" s="444">
        <f t="shared" ca="1" si="141"/>
        <v>-19049112.361382287</v>
      </c>
      <c r="L2220" s="444">
        <f t="shared" ca="1" si="142"/>
        <v>-4590836079.0931311</v>
      </c>
      <c r="M2220" s="460">
        <f t="shared" si="144"/>
        <v>0.05</v>
      </c>
      <c r="N2220" s="464">
        <f t="shared" si="145"/>
        <v>118614</v>
      </c>
    </row>
    <row r="2221" spans="7:14" ht="11.25" customHeight="1" x14ac:dyDescent="0.25">
      <c r="G2221" s="459"/>
      <c r="H2221" s="459">
        <v>2214</v>
      </c>
      <c r="I2221" s="444">
        <f t="shared" ca="1" si="143"/>
        <v>-4590836079.0931311</v>
      </c>
      <c r="J2221" s="444">
        <f t="array" ref="J2221">IFERROR(INDEX('Retirement Calculator'!J:J,MATCH('Isaac 401k'!N2221,'Retirement Calculator'!A:A,0),0),0)</f>
        <v>0</v>
      </c>
      <c r="K2221" s="444">
        <f t="shared" ca="1" si="141"/>
        <v>-19128483.662888046</v>
      </c>
      <c r="L2221" s="444">
        <f t="shared" ca="1" si="142"/>
        <v>-4609964562.7560186</v>
      </c>
      <c r="M2221" s="460">
        <f t="shared" si="144"/>
        <v>0.05</v>
      </c>
      <c r="N2221" s="464">
        <f t="shared" si="145"/>
        <v>118645</v>
      </c>
    </row>
    <row r="2222" spans="7:14" ht="11.25" customHeight="1" x14ac:dyDescent="0.25">
      <c r="G2222" s="459"/>
      <c r="H2222" s="459">
        <v>2215</v>
      </c>
      <c r="I2222" s="444">
        <f t="shared" ca="1" si="143"/>
        <v>-4609964562.7560186</v>
      </c>
      <c r="J2222" s="444">
        <f t="array" ref="J2222">IFERROR(INDEX('Retirement Calculator'!J:J,MATCH('Isaac 401k'!N2222,'Retirement Calculator'!A:A,0),0),0)</f>
        <v>0</v>
      </c>
      <c r="K2222" s="444">
        <f t="shared" ca="1" si="141"/>
        <v>-19208185.678150076</v>
      </c>
      <c r="L2222" s="444">
        <f t="shared" ca="1" si="142"/>
        <v>-4629172748.4341688</v>
      </c>
      <c r="M2222" s="460">
        <f t="shared" si="144"/>
        <v>0.05</v>
      </c>
      <c r="N2222" s="464">
        <f t="shared" si="145"/>
        <v>118675</v>
      </c>
    </row>
    <row r="2223" spans="7:14" ht="11.25" customHeight="1" x14ac:dyDescent="0.25">
      <c r="G2223" s="459"/>
      <c r="H2223" s="459">
        <v>2216</v>
      </c>
      <c r="I2223" s="444">
        <f t="shared" ca="1" si="143"/>
        <v>-4629172748.4341688</v>
      </c>
      <c r="J2223" s="444">
        <f t="array" ref="J2223">IFERROR(INDEX('Retirement Calculator'!J:J,MATCH('Isaac 401k'!N2223,'Retirement Calculator'!A:A,0),0),0)</f>
        <v>0</v>
      </c>
      <c r="K2223" s="444">
        <f t="shared" ca="1" si="141"/>
        <v>-19288219.78514237</v>
      </c>
      <c r="L2223" s="444">
        <f t="shared" ca="1" si="142"/>
        <v>-4648460968.2193108</v>
      </c>
      <c r="M2223" s="460">
        <f t="shared" si="144"/>
        <v>0.05</v>
      </c>
      <c r="N2223" s="464">
        <f t="shared" si="145"/>
        <v>118706</v>
      </c>
    </row>
    <row r="2224" spans="7:14" ht="11.25" customHeight="1" x14ac:dyDescent="0.25">
      <c r="G2224" s="459"/>
      <c r="H2224" s="459">
        <v>2217</v>
      </c>
      <c r="I2224" s="444">
        <f t="shared" ca="1" si="143"/>
        <v>-4648460968.2193108</v>
      </c>
      <c r="J2224" s="444">
        <f t="array" ref="J2224">IFERROR(INDEX('Retirement Calculator'!J:J,MATCH('Isaac 401k'!N2224,'Retirement Calculator'!A:A,0),0),0)</f>
        <v>0</v>
      </c>
      <c r="K2224" s="444">
        <f t="shared" ca="1" si="141"/>
        <v>-19368587.367580462</v>
      </c>
      <c r="L2224" s="444">
        <f t="shared" ca="1" si="142"/>
        <v>-4667829555.5868912</v>
      </c>
      <c r="M2224" s="460">
        <f t="shared" si="144"/>
        <v>0.05</v>
      </c>
      <c r="N2224" s="464">
        <f t="shared" si="145"/>
        <v>118737</v>
      </c>
    </row>
    <row r="2225" spans="7:14" ht="11.25" customHeight="1" x14ac:dyDescent="0.25">
      <c r="G2225" s="459"/>
      <c r="H2225" s="459">
        <v>2218</v>
      </c>
      <c r="I2225" s="444">
        <f t="shared" ca="1" si="143"/>
        <v>-4667829555.5868912</v>
      </c>
      <c r="J2225" s="444">
        <f t="array" ref="J2225">IFERROR(INDEX('Retirement Calculator'!J:J,MATCH('Isaac 401k'!N2225,'Retirement Calculator'!A:A,0),0),0)</f>
        <v>0</v>
      </c>
      <c r="K2225" s="444">
        <f t="shared" ca="1" si="141"/>
        <v>-19449289.814945381</v>
      </c>
      <c r="L2225" s="444">
        <f t="shared" ca="1" si="142"/>
        <v>-4687278845.4018364</v>
      </c>
      <c r="M2225" s="460">
        <f t="shared" si="144"/>
        <v>0.05</v>
      </c>
      <c r="N2225" s="464">
        <f t="shared" si="145"/>
        <v>118765</v>
      </c>
    </row>
    <row r="2226" spans="7:14" ht="11.25" customHeight="1" x14ac:dyDescent="0.25">
      <c r="G2226" s="459"/>
      <c r="H2226" s="459">
        <v>2219</v>
      </c>
      <c r="I2226" s="444">
        <f t="shared" ca="1" si="143"/>
        <v>-4687278845.4018364</v>
      </c>
      <c r="J2226" s="444">
        <f t="array" ref="J2226">IFERROR(INDEX('Retirement Calculator'!J:J,MATCH('Isaac 401k'!N2226,'Retirement Calculator'!A:A,0),0),0)</f>
        <v>0</v>
      </c>
      <c r="K2226" s="444">
        <f t="shared" ca="1" si="141"/>
        <v>-19530328.522507653</v>
      </c>
      <c r="L2226" s="444">
        <f t="shared" ca="1" si="142"/>
        <v>-4706809173.9243441</v>
      </c>
      <c r="M2226" s="460">
        <f t="shared" si="144"/>
        <v>0.05</v>
      </c>
      <c r="N2226" s="464">
        <f t="shared" si="145"/>
        <v>118796</v>
      </c>
    </row>
    <row r="2227" spans="7:14" ht="11.25" customHeight="1" x14ac:dyDescent="0.25">
      <c r="G2227" s="459"/>
      <c r="H2227" s="459">
        <v>2220</v>
      </c>
      <c r="I2227" s="444">
        <f t="shared" ca="1" si="143"/>
        <v>-4706809173.9243441</v>
      </c>
      <c r="J2227" s="444">
        <f t="array" ref="J2227">IFERROR(INDEX('Retirement Calculator'!J:J,MATCH('Isaac 401k'!N2227,'Retirement Calculator'!A:A,0),0),0)</f>
        <v>0</v>
      </c>
      <c r="K2227" s="444">
        <f t="shared" ca="1" si="141"/>
        <v>-19611704.891351432</v>
      </c>
      <c r="L2227" s="444">
        <f t="shared" ca="1" si="142"/>
        <v>-4726420878.8156958</v>
      </c>
      <c r="M2227" s="460">
        <f t="shared" si="144"/>
        <v>0.05</v>
      </c>
      <c r="N2227" s="464">
        <f t="shared" si="145"/>
        <v>118826</v>
      </c>
    </row>
    <row r="2228" spans="7:14" ht="11.25" customHeight="1" x14ac:dyDescent="0.25">
      <c r="G2228" s="459"/>
      <c r="H2228" s="459">
        <v>2221</v>
      </c>
      <c r="I2228" s="444">
        <f t="shared" ca="1" si="143"/>
        <v>-4726420878.8156958</v>
      </c>
      <c r="J2228" s="444">
        <f t="array" ref="J2228">IFERROR(INDEX('Retirement Calculator'!J:J,MATCH('Isaac 401k'!N2228,'Retirement Calculator'!A:A,0),0),0)</f>
        <v>0</v>
      </c>
      <c r="K2228" s="444">
        <f t="shared" ca="1" si="141"/>
        <v>-19693420.328398731</v>
      </c>
      <c r="L2228" s="444">
        <f t="shared" ca="1" si="142"/>
        <v>-4746114299.1440945</v>
      </c>
      <c r="M2228" s="460">
        <f t="shared" si="144"/>
        <v>0.05</v>
      </c>
      <c r="N2228" s="464">
        <f t="shared" si="145"/>
        <v>118857</v>
      </c>
    </row>
    <row r="2229" spans="7:14" ht="11.25" customHeight="1" x14ac:dyDescent="0.25">
      <c r="G2229" s="459"/>
      <c r="H2229" s="459">
        <v>2222</v>
      </c>
      <c r="I2229" s="444">
        <f t="shared" ca="1" si="143"/>
        <v>-4746114299.1440945</v>
      </c>
      <c r="J2229" s="444">
        <f t="array" ref="J2229">IFERROR(INDEX('Retirement Calculator'!J:J,MATCH('Isaac 401k'!N2229,'Retirement Calculator'!A:A,0),0),0)</f>
        <v>0</v>
      </c>
      <c r="K2229" s="444">
        <f t="shared" ca="1" si="141"/>
        <v>-19775476.246433727</v>
      </c>
      <c r="L2229" s="444">
        <f t="shared" ca="1" si="142"/>
        <v>-4765889775.3905277</v>
      </c>
      <c r="M2229" s="460">
        <f t="shared" si="144"/>
        <v>0.05</v>
      </c>
      <c r="N2229" s="464">
        <f t="shared" si="145"/>
        <v>118887</v>
      </c>
    </row>
    <row r="2230" spans="7:14" ht="11.25" customHeight="1" x14ac:dyDescent="0.25">
      <c r="G2230" s="459"/>
      <c r="H2230" s="459">
        <v>2223</v>
      </c>
      <c r="I2230" s="444">
        <f t="shared" ca="1" si="143"/>
        <v>-4765889775.3905277</v>
      </c>
      <c r="J2230" s="444">
        <f t="array" ref="J2230">IFERROR(INDEX('Retirement Calculator'!J:J,MATCH('Isaac 401k'!N2230,'Retirement Calculator'!A:A,0),0),0)</f>
        <v>0</v>
      </c>
      <c r="K2230" s="444">
        <f t="shared" ca="1" si="141"/>
        <v>-19857874.064127199</v>
      </c>
      <c r="L2230" s="444">
        <f t="shared" ca="1" si="142"/>
        <v>-4785747649.4546547</v>
      </c>
      <c r="M2230" s="460">
        <f t="shared" si="144"/>
        <v>0.05</v>
      </c>
      <c r="N2230" s="464">
        <f t="shared" si="145"/>
        <v>118918</v>
      </c>
    </row>
    <row r="2231" spans="7:14" ht="11.25" customHeight="1" x14ac:dyDescent="0.25">
      <c r="G2231" s="459"/>
      <c r="H2231" s="459">
        <v>2224</v>
      </c>
      <c r="I2231" s="444">
        <f t="shared" ca="1" si="143"/>
        <v>-4785747649.4546547</v>
      </c>
      <c r="J2231" s="444">
        <f t="array" ref="J2231">IFERROR(INDEX('Retirement Calculator'!J:J,MATCH('Isaac 401k'!N2231,'Retirement Calculator'!A:A,0),0),0)</f>
        <v>0</v>
      </c>
      <c r="K2231" s="444">
        <f t="shared" ca="1" si="141"/>
        <v>-19940615.206061061</v>
      </c>
      <c r="L2231" s="444">
        <f t="shared" ca="1" si="142"/>
        <v>-4805688264.6607161</v>
      </c>
      <c r="M2231" s="460">
        <f t="shared" si="144"/>
        <v>0.05</v>
      </c>
      <c r="N2231" s="464">
        <f t="shared" si="145"/>
        <v>118949</v>
      </c>
    </row>
    <row r="2232" spans="7:14" ht="11.25" customHeight="1" x14ac:dyDescent="0.25">
      <c r="G2232" s="459"/>
      <c r="H2232" s="459">
        <v>2225</v>
      </c>
      <c r="I2232" s="444">
        <f t="shared" ca="1" si="143"/>
        <v>-4805688264.6607161</v>
      </c>
      <c r="J2232" s="444">
        <f t="array" ref="J2232">IFERROR(INDEX('Retirement Calculator'!J:J,MATCH('Isaac 401k'!N2232,'Retirement Calculator'!A:A,0),0),0)</f>
        <v>0</v>
      </c>
      <c r="K2232" s="444">
        <f t="shared" ca="1" si="141"/>
        <v>-20023701.102752984</v>
      </c>
      <c r="L2232" s="444">
        <f t="shared" ca="1" si="142"/>
        <v>-4825711965.7634687</v>
      </c>
      <c r="M2232" s="460">
        <f t="shared" si="144"/>
        <v>0.05</v>
      </c>
      <c r="N2232" s="464">
        <f t="shared" si="145"/>
        <v>118979</v>
      </c>
    </row>
    <row r="2233" spans="7:14" ht="11.25" customHeight="1" x14ac:dyDescent="0.25">
      <c r="G2233" s="459"/>
      <c r="H2233" s="459">
        <v>2226</v>
      </c>
      <c r="I2233" s="444">
        <f t="shared" ca="1" si="143"/>
        <v>-4825711965.7634687</v>
      </c>
      <c r="J2233" s="444">
        <f t="array" ref="J2233">IFERROR(INDEX('Retirement Calculator'!J:J,MATCH('Isaac 401k'!N2233,'Retirement Calculator'!A:A,0),0),0)</f>
        <v>0</v>
      </c>
      <c r="K2233" s="444">
        <f t="shared" ca="1" si="141"/>
        <v>-20107133.190681119</v>
      </c>
      <c r="L2233" s="444">
        <f t="shared" ca="1" si="142"/>
        <v>-4845819098.9541502</v>
      </c>
      <c r="M2233" s="460">
        <f t="shared" si="144"/>
        <v>0.05</v>
      </c>
      <c r="N2233" s="464">
        <f t="shared" si="145"/>
        <v>119010</v>
      </c>
    </row>
    <row r="2234" spans="7:14" ht="11.25" customHeight="1" x14ac:dyDescent="0.25">
      <c r="G2234" s="459"/>
      <c r="H2234" s="459">
        <v>2227</v>
      </c>
      <c r="I2234" s="444">
        <f t="shared" ca="1" si="143"/>
        <v>-4845819098.9541502</v>
      </c>
      <c r="J2234" s="444">
        <f t="array" ref="J2234">IFERROR(INDEX('Retirement Calculator'!J:J,MATCH('Isaac 401k'!N2234,'Retirement Calculator'!A:A,0),0),0)</f>
        <v>0</v>
      </c>
      <c r="K2234" s="444">
        <f t="shared" ca="1" si="141"/>
        <v>-20190912.912308957</v>
      </c>
      <c r="L2234" s="444">
        <f t="shared" ca="1" si="142"/>
        <v>-4866010011.8664589</v>
      </c>
      <c r="M2234" s="460">
        <f t="shared" si="144"/>
        <v>0.05</v>
      </c>
      <c r="N2234" s="464">
        <f t="shared" si="145"/>
        <v>119040</v>
      </c>
    </row>
    <row r="2235" spans="7:14" ht="11.25" customHeight="1" x14ac:dyDescent="0.25">
      <c r="G2235" s="459"/>
      <c r="H2235" s="459">
        <v>2228</v>
      </c>
      <c r="I2235" s="444">
        <f t="shared" ca="1" si="143"/>
        <v>-4866010011.8664589</v>
      </c>
      <c r="J2235" s="444">
        <f t="array" ref="J2235">IFERROR(INDEX('Retirement Calculator'!J:J,MATCH('Isaac 401k'!N2235,'Retirement Calculator'!A:A,0),0),0)</f>
        <v>0</v>
      </c>
      <c r="K2235" s="444">
        <f t="shared" ca="1" si="141"/>
        <v>-20275041.716110244</v>
      </c>
      <c r="L2235" s="444">
        <f t="shared" ca="1" si="142"/>
        <v>-4886285053.5825691</v>
      </c>
      <c r="M2235" s="460">
        <f t="shared" si="144"/>
        <v>0.05</v>
      </c>
      <c r="N2235" s="464">
        <f t="shared" si="145"/>
        <v>119071</v>
      </c>
    </row>
    <row r="2236" spans="7:14" ht="11.25" customHeight="1" x14ac:dyDescent="0.25">
      <c r="G2236" s="459"/>
      <c r="H2236" s="459">
        <v>2229</v>
      </c>
      <c r="I2236" s="444">
        <f t="shared" ca="1" si="143"/>
        <v>-4886285053.5825691</v>
      </c>
      <c r="J2236" s="444">
        <f t="array" ref="J2236">IFERROR(INDEX('Retirement Calculator'!J:J,MATCH('Isaac 401k'!N2236,'Retirement Calculator'!A:A,0),0),0)</f>
        <v>0</v>
      </c>
      <c r="K2236" s="444">
        <f t="shared" ca="1" si="141"/>
        <v>-20359521.056594037</v>
      </c>
      <c r="L2236" s="444">
        <f t="shared" ca="1" si="142"/>
        <v>-4906644574.639163</v>
      </c>
      <c r="M2236" s="460">
        <f t="shared" si="144"/>
        <v>0.05</v>
      </c>
      <c r="N2236" s="464">
        <f t="shared" si="145"/>
        <v>119102</v>
      </c>
    </row>
    <row r="2237" spans="7:14" ht="11.25" customHeight="1" x14ac:dyDescent="0.25">
      <c r="G2237" s="459"/>
      <c r="H2237" s="459">
        <v>2230</v>
      </c>
      <c r="I2237" s="444">
        <f t="shared" ca="1" si="143"/>
        <v>-4906644574.639163</v>
      </c>
      <c r="J2237" s="444">
        <f t="array" ref="J2237">IFERROR(INDEX('Retirement Calculator'!J:J,MATCH('Isaac 401k'!N2237,'Retirement Calculator'!A:A,0),0),0)</f>
        <v>0</v>
      </c>
      <c r="K2237" s="444">
        <f t="shared" ca="1" si="141"/>
        <v>-20444352.394329846</v>
      </c>
      <c r="L2237" s="444">
        <f t="shared" ca="1" si="142"/>
        <v>-4927088927.033493</v>
      </c>
      <c r="M2237" s="460">
        <f t="shared" si="144"/>
        <v>0.05</v>
      </c>
      <c r="N2237" s="464">
        <f t="shared" si="145"/>
        <v>119130</v>
      </c>
    </row>
    <row r="2238" spans="7:14" ht="11.25" customHeight="1" x14ac:dyDescent="0.25">
      <c r="G2238" s="459"/>
      <c r="H2238" s="459">
        <v>2231</v>
      </c>
      <c r="I2238" s="444">
        <f t="shared" ca="1" si="143"/>
        <v>-4927088927.033493</v>
      </c>
      <c r="J2238" s="444">
        <f t="array" ref="J2238">IFERROR(INDEX('Retirement Calculator'!J:J,MATCH('Isaac 401k'!N2238,'Retirement Calculator'!A:A,0),0),0)</f>
        <v>0</v>
      </c>
      <c r="K2238" s="444">
        <f t="shared" ca="1" si="141"/>
        <v>-20529537.195972886</v>
      </c>
      <c r="L2238" s="444">
        <f t="shared" ca="1" si="142"/>
        <v>-4947618464.2294655</v>
      </c>
      <c r="M2238" s="460">
        <f t="shared" si="144"/>
        <v>0.05</v>
      </c>
      <c r="N2238" s="464">
        <f t="shared" si="145"/>
        <v>119161</v>
      </c>
    </row>
    <row r="2239" spans="7:14" ht="11.25" customHeight="1" x14ac:dyDescent="0.25">
      <c r="G2239" s="459"/>
      <c r="H2239" s="459">
        <v>2232</v>
      </c>
      <c r="I2239" s="444">
        <f t="shared" ca="1" si="143"/>
        <v>-4947618464.2294655</v>
      </c>
      <c r="J2239" s="444">
        <f t="array" ref="J2239">IFERROR(INDEX('Retirement Calculator'!J:J,MATCH('Isaac 401k'!N2239,'Retirement Calculator'!A:A,0),0),0)</f>
        <v>0</v>
      </c>
      <c r="K2239" s="444">
        <f t="shared" ca="1" si="141"/>
        <v>-20615076.934289441</v>
      </c>
      <c r="L2239" s="444">
        <f t="shared" ca="1" si="142"/>
        <v>-4968233541.1637545</v>
      </c>
      <c r="M2239" s="460">
        <f t="shared" si="144"/>
        <v>0.05</v>
      </c>
      <c r="N2239" s="464">
        <f t="shared" si="145"/>
        <v>119191</v>
      </c>
    </row>
    <row r="2240" spans="7:14" ht="11.25" customHeight="1" x14ac:dyDescent="0.25">
      <c r="G2240" s="459"/>
      <c r="H2240" s="459">
        <v>2233</v>
      </c>
      <c r="I2240" s="444">
        <f t="shared" ca="1" si="143"/>
        <v>-4968233541.1637545</v>
      </c>
      <c r="J2240" s="444">
        <f t="array" ref="J2240">IFERROR(INDEX('Retirement Calculator'!J:J,MATCH('Isaac 401k'!N2240,'Retirement Calculator'!A:A,0),0),0)</f>
        <v>0</v>
      </c>
      <c r="K2240" s="444">
        <f t="shared" ca="1" si="141"/>
        <v>-20700973.088182312</v>
      </c>
      <c r="L2240" s="444">
        <f t="shared" ca="1" si="142"/>
        <v>-4988934514.2519369</v>
      </c>
      <c r="M2240" s="460">
        <f t="shared" si="144"/>
        <v>0.05</v>
      </c>
      <c r="N2240" s="464">
        <f t="shared" si="145"/>
        <v>119222</v>
      </c>
    </row>
    <row r="2241" spans="7:14" ht="11.25" customHeight="1" x14ac:dyDescent="0.25">
      <c r="G2241" s="459"/>
      <c r="H2241" s="459">
        <v>2234</v>
      </c>
      <c r="I2241" s="444">
        <f t="shared" ca="1" si="143"/>
        <v>-4988934514.2519369</v>
      </c>
      <c r="J2241" s="444">
        <f t="array" ref="J2241">IFERROR(INDEX('Retirement Calculator'!J:J,MATCH('Isaac 401k'!N2241,'Retirement Calculator'!A:A,0),0),0)</f>
        <v>0</v>
      </c>
      <c r="K2241" s="444">
        <f t="shared" ca="1" si="141"/>
        <v>-20787227.142716404</v>
      </c>
      <c r="L2241" s="444">
        <f t="shared" ca="1" si="142"/>
        <v>-5009721741.3946533</v>
      </c>
      <c r="M2241" s="460">
        <f t="shared" si="144"/>
        <v>0.05</v>
      </c>
      <c r="N2241" s="464">
        <f t="shared" si="145"/>
        <v>119252</v>
      </c>
    </row>
    <row r="2242" spans="7:14" ht="11.25" customHeight="1" x14ac:dyDescent="0.25">
      <c r="G2242" s="459"/>
      <c r="H2242" s="459">
        <v>2235</v>
      </c>
      <c r="I2242" s="444">
        <f t="shared" ca="1" si="143"/>
        <v>-5009721741.3946533</v>
      </c>
      <c r="J2242" s="444">
        <f t="array" ref="J2242">IFERROR(INDEX('Retirement Calculator'!J:J,MATCH('Isaac 401k'!N2242,'Retirement Calculator'!A:A,0),0),0)</f>
        <v>0</v>
      </c>
      <c r="K2242" s="444">
        <f t="shared" ca="1" si="141"/>
        <v>-20873840.58914439</v>
      </c>
      <c r="L2242" s="444">
        <f t="shared" ca="1" si="142"/>
        <v>-5030595581.983798</v>
      </c>
      <c r="M2242" s="460">
        <f t="shared" si="144"/>
        <v>0.05</v>
      </c>
      <c r="N2242" s="464">
        <f t="shared" si="145"/>
        <v>119283</v>
      </c>
    </row>
    <row r="2243" spans="7:14" ht="11.25" customHeight="1" x14ac:dyDescent="0.25">
      <c r="G2243" s="459"/>
      <c r="H2243" s="459">
        <v>2236</v>
      </c>
      <c r="I2243" s="444">
        <f t="shared" ca="1" si="143"/>
        <v>-5030595581.983798</v>
      </c>
      <c r="J2243" s="444">
        <f t="array" ref="J2243">IFERROR(INDEX('Retirement Calculator'!J:J,MATCH('Isaac 401k'!N2243,'Retirement Calculator'!A:A,0),0),0)</f>
        <v>0</v>
      </c>
      <c r="K2243" s="444">
        <f t="shared" ca="1" si="141"/>
        <v>-20960814.924932491</v>
      </c>
      <c r="L2243" s="444">
        <f t="shared" ca="1" si="142"/>
        <v>-5051556396.9087305</v>
      </c>
      <c r="M2243" s="460">
        <f t="shared" si="144"/>
        <v>0.05</v>
      </c>
      <c r="N2243" s="464">
        <f t="shared" si="145"/>
        <v>119314</v>
      </c>
    </row>
    <row r="2244" spans="7:14" ht="11.25" customHeight="1" x14ac:dyDescent="0.25">
      <c r="G2244" s="459"/>
      <c r="H2244" s="459">
        <v>2237</v>
      </c>
      <c r="I2244" s="444">
        <f t="shared" ca="1" si="143"/>
        <v>-5051556396.9087305</v>
      </c>
      <c r="J2244" s="444">
        <f t="array" ref="J2244">IFERROR(INDEX('Retirement Calculator'!J:J,MATCH('Isaac 401k'!N2244,'Retirement Calculator'!A:A,0),0),0)</f>
        <v>0</v>
      </c>
      <c r="K2244" s="444">
        <f t="shared" ca="1" si="141"/>
        <v>-21048151.653786376</v>
      </c>
      <c r="L2244" s="444">
        <f t="shared" ca="1" si="142"/>
        <v>-5072604548.5625172</v>
      </c>
      <c r="M2244" s="460">
        <f t="shared" si="144"/>
        <v>0.05</v>
      </c>
      <c r="N2244" s="464">
        <f t="shared" si="145"/>
        <v>119344</v>
      </c>
    </row>
    <row r="2245" spans="7:14" ht="11.25" customHeight="1" x14ac:dyDescent="0.25">
      <c r="G2245" s="459"/>
      <c r="H2245" s="459">
        <v>2238</v>
      </c>
      <c r="I2245" s="444">
        <f t="shared" ca="1" si="143"/>
        <v>-5072604548.5625172</v>
      </c>
      <c r="J2245" s="444">
        <f t="array" ref="J2245">IFERROR(INDEX('Retirement Calculator'!J:J,MATCH('Isaac 401k'!N2245,'Retirement Calculator'!A:A,0),0),0)</f>
        <v>0</v>
      </c>
      <c r="K2245" s="444">
        <f t="shared" ca="1" si="141"/>
        <v>-21135852.285677154</v>
      </c>
      <c r="L2245" s="444">
        <f t="shared" ca="1" si="142"/>
        <v>-5093740400.8481941</v>
      </c>
      <c r="M2245" s="460">
        <f t="shared" si="144"/>
        <v>0.05</v>
      </c>
      <c r="N2245" s="464">
        <f t="shared" si="145"/>
        <v>119375</v>
      </c>
    </row>
    <row r="2246" spans="7:14" ht="11.25" customHeight="1" x14ac:dyDescent="0.25">
      <c r="G2246" s="459"/>
      <c r="H2246" s="459">
        <v>2239</v>
      </c>
      <c r="I2246" s="444">
        <f t="shared" ca="1" si="143"/>
        <v>-5093740400.8481941</v>
      </c>
      <c r="J2246" s="444">
        <f t="array" ref="J2246">IFERROR(INDEX('Retirement Calculator'!J:J,MATCH('Isaac 401k'!N2246,'Retirement Calculator'!A:A,0),0),0)</f>
        <v>0</v>
      </c>
      <c r="K2246" s="444">
        <f t="shared" ca="1" si="141"/>
        <v>-21223918.336867474</v>
      </c>
      <c r="L2246" s="444">
        <f t="shared" ca="1" si="142"/>
        <v>-5114964319.1850615</v>
      </c>
      <c r="M2246" s="460">
        <f t="shared" si="144"/>
        <v>0.05</v>
      </c>
      <c r="N2246" s="464">
        <f t="shared" si="145"/>
        <v>119405</v>
      </c>
    </row>
    <row r="2247" spans="7:14" ht="11.25" customHeight="1" x14ac:dyDescent="0.25">
      <c r="G2247" s="459"/>
      <c r="H2247" s="459">
        <v>2240</v>
      </c>
      <c r="I2247" s="444">
        <f t="shared" ca="1" si="143"/>
        <v>-5114964319.1850615</v>
      </c>
      <c r="J2247" s="444">
        <f t="array" ref="J2247">IFERROR(INDEX('Retirement Calculator'!J:J,MATCH('Isaac 401k'!N2247,'Retirement Calculator'!A:A,0),0),0)</f>
        <v>0</v>
      </c>
      <c r="K2247" s="444">
        <f t="shared" ca="1" si="141"/>
        <v>-21312351.329937756</v>
      </c>
      <c r="L2247" s="444">
        <f t="shared" ca="1" si="142"/>
        <v>-5136276670.5149994</v>
      </c>
      <c r="M2247" s="460">
        <f t="shared" si="144"/>
        <v>0.05</v>
      </c>
      <c r="N2247" s="464">
        <f t="shared" si="145"/>
        <v>119436</v>
      </c>
    </row>
    <row r="2248" spans="7:14" ht="11.25" customHeight="1" x14ac:dyDescent="0.25">
      <c r="G2248" s="459"/>
      <c r="H2248" s="459">
        <v>2241</v>
      </c>
      <c r="I2248" s="444">
        <f t="shared" ca="1" si="143"/>
        <v>-5136276670.5149994</v>
      </c>
      <c r="J2248" s="444">
        <f t="array" ref="J2248">IFERROR(INDEX('Retirement Calculator'!J:J,MATCH('Isaac 401k'!N2248,'Retirement Calculator'!A:A,0),0),0)</f>
        <v>0</v>
      </c>
      <c r="K2248" s="444">
        <f t="shared" ca="1" si="141"/>
        <v>-21401152.793812498</v>
      </c>
      <c r="L2248" s="444">
        <f t="shared" ca="1" si="142"/>
        <v>-5157677823.3088121</v>
      </c>
      <c r="M2248" s="460">
        <f t="shared" si="144"/>
        <v>0.05</v>
      </c>
      <c r="N2248" s="464">
        <f t="shared" si="145"/>
        <v>119467</v>
      </c>
    </row>
    <row r="2249" spans="7:14" ht="11.25" customHeight="1" x14ac:dyDescent="0.25">
      <c r="G2249" s="459"/>
      <c r="H2249" s="459">
        <v>2242</v>
      </c>
      <c r="I2249" s="444">
        <f t="shared" ca="1" si="143"/>
        <v>-5157677823.3088121</v>
      </c>
      <c r="J2249" s="444">
        <f t="array" ref="J2249">IFERROR(INDEX('Retirement Calculator'!J:J,MATCH('Isaac 401k'!N2249,'Retirement Calculator'!A:A,0),0),0)</f>
        <v>0</v>
      </c>
      <c r="K2249" s="444">
        <f t="shared" ca="1" si="141"/>
        <v>-21490324.263786718</v>
      </c>
      <c r="L2249" s="444">
        <f t="shared" ca="1" si="142"/>
        <v>-5179168147.5725985</v>
      </c>
      <c r="M2249" s="460">
        <f t="shared" si="144"/>
        <v>0.05</v>
      </c>
      <c r="N2249" s="464">
        <f t="shared" si="145"/>
        <v>119495</v>
      </c>
    </row>
    <row r="2250" spans="7:14" ht="11.25" customHeight="1" x14ac:dyDescent="0.25">
      <c r="G2250" s="459"/>
      <c r="H2250" s="459">
        <v>2243</v>
      </c>
      <c r="I2250" s="444">
        <f t="shared" ca="1" si="143"/>
        <v>-5179168147.5725985</v>
      </c>
      <c r="J2250" s="444">
        <f t="array" ref="J2250">IFERROR(INDEX('Retirement Calculator'!J:J,MATCH('Isaac 401k'!N2250,'Retirement Calculator'!A:A,0),0),0)</f>
        <v>0</v>
      </c>
      <c r="K2250" s="444">
        <f t="shared" ca="1" si="141"/>
        <v>-21579867.281552494</v>
      </c>
      <c r="L2250" s="444">
        <f t="shared" ca="1" si="142"/>
        <v>-5200748014.8541508</v>
      </c>
      <c r="M2250" s="460">
        <f t="shared" si="144"/>
        <v>0.05</v>
      </c>
      <c r="N2250" s="464">
        <f t="shared" si="145"/>
        <v>119526</v>
      </c>
    </row>
    <row r="2251" spans="7:14" ht="11.25" customHeight="1" x14ac:dyDescent="0.25">
      <c r="G2251" s="459"/>
      <c r="H2251" s="459">
        <v>2244</v>
      </c>
      <c r="I2251" s="444">
        <f t="shared" ca="1" si="143"/>
        <v>-5200748014.8541508</v>
      </c>
      <c r="J2251" s="444">
        <f t="array" ref="J2251">IFERROR(INDEX('Retirement Calculator'!J:J,MATCH('Isaac 401k'!N2251,'Retirement Calculator'!A:A,0),0),0)</f>
        <v>0</v>
      </c>
      <c r="K2251" s="444">
        <f t="shared" ca="1" si="141"/>
        <v>-21669783.395225629</v>
      </c>
      <c r="L2251" s="444">
        <f t="shared" ca="1" si="142"/>
        <v>-5222417798.2493763</v>
      </c>
      <c r="M2251" s="460">
        <f t="shared" si="144"/>
        <v>0.05</v>
      </c>
      <c r="N2251" s="464">
        <f t="shared" si="145"/>
        <v>119556</v>
      </c>
    </row>
    <row r="2252" spans="7:14" ht="11.25" customHeight="1" x14ac:dyDescent="0.25">
      <c r="G2252" s="459"/>
      <c r="H2252" s="459">
        <v>2245</v>
      </c>
      <c r="I2252" s="444">
        <f t="shared" ca="1" si="143"/>
        <v>-5222417798.2493763</v>
      </c>
      <c r="J2252" s="444">
        <f t="array" ref="J2252">IFERROR(INDEX('Retirement Calculator'!J:J,MATCH('Isaac 401k'!N2252,'Retirement Calculator'!A:A,0),0),0)</f>
        <v>0</v>
      </c>
      <c r="K2252" s="444">
        <f t="shared" ca="1" si="141"/>
        <v>-21760074.1593724</v>
      </c>
      <c r="L2252" s="444">
        <f t="shared" ca="1" si="142"/>
        <v>-5244177872.4087486</v>
      </c>
      <c r="M2252" s="460">
        <f t="shared" si="144"/>
        <v>0.05</v>
      </c>
      <c r="N2252" s="464">
        <f t="shared" si="145"/>
        <v>119587</v>
      </c>
    </row>
    <row r="2253" spans="7:14" ht="11.25" customHeight="1" x14ac:dyDescent="0.25">
      <c r="G2253" s="459"/>
      <c r="H2253" s="459">
        <v>2246</v>
      </c>
      <c r="I2253" s="444">
        <f t="shared" ca="1" si="143"/>
        <v>-5244177872.4087486</v>
      </c>
      <c r="J2253" s="444">
        <f t="array" ref="J2253">IFERROR(INDEX('Retirement Calculator'!J:J,MATCH('Isaac 401k'!N2253,'Retirement Calculator'!A:A,0),0),0)</f>
        <v>0</v>
      </c>
      <c r="K2253" s="444">
        <f t="shared" ca="1" si="141"/>
        <v>-21850741.135036454</v>
      </c>
      <c r="L2253" s="444">
        <f t="shared" ca="1" si="142"/>
        <v>-5266028613.5437851</v>
      </c>
      <c r="M2253" s="460">
        <f t="shared" si="144"/>
        <v>0.05</v>
      </c>
      <c r="N2253" s="464">
        <f t="shared" si="145"/>
        <v>119617</v>
      </c>
    </row>
    <row r="2254" spans="7:14" ht="11.25" customHeight="1" x14ac:dyDescent="0.25">
      <c r="G2254" s="459"/>
      <c r="H2254" s="459">
        <v>2247</v>
      </c>
      <c r="I2254" s="444">
        <f t="shared" ca="1" si="143"/>
        <v>-5266028613.5437851</v>
      </c>
      <c r="J2254" s="444">
        <f t="array" ref="J2254">IFERROR(INDEX('Retirement Calculator'!J:J,MATCH('Isaac 401k'!N2254,'Retirement Calculator'!A:A,0),0),0)</f>
        <v>0</v>
      </c>
      <c r="K2254" s="444">
        <f t="shared" ca="1" si="141"/>
        <v>-21941785.889765769</v>
      </c>
      <c r="L2254" s="444">
        <f t="shared" ca="1" si="142"/>
        <v>-5287970399.4335508</v>
      </c>
      <c r="M2254" s="460">
        <f t="shared" si="144"/>
        <v>0.05</v>
      </c>
      <c r="N2254" s="464">
        <f t="shared" si="145"/>
        <v>119648</v>
      </c>
    </row>
    <row r="2255" spans="7:14" ht="11.25" customHeight="1" x14ac:dyDescent="0.25">
      <c r="G2255" s="459"/>
      <c r="H2255" s="459">
        <v>2248</v>
      </c>
      <c r="I2255" s="444">
        <f t="shared" ca="1" si="143"/>
        <v>-5287970399.4335508</v>
      </c>
      <c r="J2255" s="444">
        <f t="array" ref="J2255">IFERROR(INDEX('Retirement Calculator'!J:J,MATCH('Isaac 401k'!N2255,'Retirement Calculator'!A:A,0),0),0)</f>
        <v>0</v>
      </c>
      <c r="K2255" s="444">
        <f t="shared" ca="1" si="141"/>
        <v>-22033209.997639794</v>
      </c>
      <c r="L2255" s="444">
        <f t="shared" ca="1" si="142"/>
        <v>-5310003609.4311905</v>
      </c>
      <c r="M2255" s="460">
        <f t="shared" si="144"/>
        <v>0.05</v>
      </c>
      <c r="N2255" s="464">
        <f t="shared" si="145"/>
        <v>119679</v>
      </c>
    </row>
    <row r="2256" spans="7:14" ht="11.25" customHeight="1" x14ac:dyDescent="0.25">
      <c r="G2256" s="459"/>
      <c r="H2256" s="459">
        <v>2249</v>
      </c>
      <c r="I2256" s="444">
        <f t="shared" ca="1" si="143"/>
        <v>-5310003609.4311905</v>
      </c>
      <c r="J2256" s="444">
        <f t="array" ref="J2256">IFERROR(INDEX('Retirement Calculator'!J:J,MATCH('Isaac 401k'!N2256,'Retirement Calculator'!A:A,0),0),0)</f>
        <v>0</v>
      </c>
      <c r="K2256" s="444">
        <f t="shared" ca="1" si="141"/>
        <v>-22125015.039296627</v>
      </c>
      <c r="L2256" s="444">
        <f t="shared" ca="1" si="142"/>
        <v>-5332128624.4704876</v>
      </c>
      <c r="M2256" s="460">
        <f t="shared" si="144"/>
        <v>0.05</v>
      </c>
      <c r="N2256" s="464">
        <f t="shared" si="145"/>
        <v>119709</v>
      </c>
    </row>
    <row r="2257" spans="7:14" ht="11.25" customHeight="1" x14ac:dyDescent="0.25">
      <c r="G2257" s="459"/>
      <c r="H2257" s="459">
        <v>2250</v>
      </c>
      <c r="I2257" s="444">
        <f t="shared" ca="1" si="143"/>
        <v>-5332128624.4704876</v>
      </c>
      <c r="J2257" s="444">
        <f t="array" ref="J2257">IFERROR(INDEX('Retirement Calculator'!J:J,MATCH('Isaac 401k'!N2257,'Retirement Calculator'!A:A,0),0),0)</f>
        <v>0</v>
      </c>
      <c r="K2257" s="444">
        <f t="shared" ca="1" si="141"/>
        <v>-22217202.601960365</v>
      </c>
      <c r="L2257" s="444">
        <f t="shared" ca="1" si="142"/>
        <v>-5354345827.0724478</v>
      </c>
      <c r="M2257" s="460">
        <f t="shared" si="144"/>
        <v>0.05</v>
      </c>
      <c r="N2257" s="464">
        <f t="shared" si="145"/>
        <v>119740</v>
      </c>
    </row>
    <row r="2258" spans="7:14" ht="11.25" customHeight="1" x14ac:dyDescent="0.25">
      <c r="G2258" s="459"/>
      <c r="H2258" s="459">
        <v>2251</v>
      </c>
      <c r="I2258" s="444">
        <f t="shared" ca="1" si="143"/>
        <v>-5354345827.0724478</v>
      </c>
      <c r="J2258" s="444">
        <f t="array" ref="J2258">IFERROR(INDEX('Retirement Calculator'!J:J,MATCH('Isaac 401k'!N2258,'Retirement Calculator'!A:A,0),0),0)</f>
        <v>0</v>
      </c>
      <c r="K2258" s="444">
        <f t="shared" ca="1" si="141"/>
        <v>-22309774.279468533</v>
      </c>
      <c r="L2258" s="444">
        <f t="shared" ca="1" si="142"/>
        <v>-5376655601.3519163</v>
      </c>
      <c r="M2258" s="460">
        <f t="shared" si="144"/>
        <v>0.05</v>
      </c>
      <c r="N2258" s="464">
        <f t="shared" si="145"/>
        <v>119770</v>
      </c>
    </row>
    <row r="2259" spans="7:14" ht="11.25" customHeight="1" x14ac:dyDescent="0.25">
      <c r="G2259" s="459"/>
      <c r="H2259" s="459">
        <v>2252</v>
      </c>
      <c r="I2259" s="444">
        <f t="shared" ca="1" si="143"/>
        <v>-5376655601.3519163</v>
      </c>
      <c r="J2259" s="444">
        <f t="array" ref="J2259">IFERROR(INDEX('Retirement Calculator'!J:J,MATCH('Isaac 401k'!N2259,'Retirement Calculator'!A:A,0),0),0)</f>
        <v>0</v>
      </c>
      <c r="K2259" s="444">
        <f t="shared" ca="1" si="141"/>
        <v>-22402731.67229965</v>
      </c>
      <c r="L2259" s="444">
        <f t="shared" ca="1" si="142"/>
        <v>-5399058333.0242157</v>
      </c>
      <c r="M2259" s="460">
        <f t="shared" si="144"/>
        <v>0.05</v>
      </c>
      <c r="N2259" s="464">
        <f t="shared" si="145"/>
        <v>119801</v>
      </c>
    </row>
    <row r="2260" spans="7:14" ht="11.25" customHeight="1" x14ac:dyDescent="0.25">
      <c r="G2260" s="459"/>
      <c r="H2260" s="459">
        <v>2253</v>
      </c>
      <c r="I2260" s="444">
        <f t="shared" ca="1" si="143"/>
        <v>-5399058333.0242157</v>
      </c>
      <c r="J2260" s="444">
        <f t="array" ref="J2260">IFERROR(INDEX('Retirement Calculator'!J:J,MATCH('Isaac 401k'!N2260,'Retirement Calculator'!A:A,0),0),0)</f>
        <v>0</v>
      </c>
      <c r="K2260" s="444">
        <f t="shared" ca="1" si="141"/>
        <v>-22496076.387600899</v>
      </c>
      <c r="L2260" s="444">
        <f t="shared" ca="1" si="142"/>
        <v>-5421554409.4118166</v>
      </c>
      <c r="M2260" s="460">
        <f t="shared" si="144"/>
        <v>0.05</v>
      </c>
      <c r="N2260" s="464">
        <f t="shared" si="145"/>
        <v>119832</v>
      </c>
    </row>
    <row r="2261" spans="7:14" ht="11.25" customHeight="1" x14ac:dyDescent="0.25">
      <c r="G2261" s="459"/>
      <c r="H2261" s="459">
        <v>2254</v>
      </c>
      <c r="I2261" s="444">
        <f t="shared" ca="1" si="143"/>
        <v>-5421554409.4118166</v>
      </c>
      <c r="J2261" s="444">
        <f t="array" ref="J2261">IFERROR(INDEX('Retirement Calculator'!J:J,MATCH('Isaac 401k'!N2261,'Retirement Calculator'!A:A,0),0),0)</f>
        <v>0</v>
      </c>
      <c r="K2261" s="444">
        <f t="shared" ca="1" si="141"/>
        <v>-22589810.039215904</v>
      </c>
      <c r="L2261" s="444">
        <f t="shared" ca="1" si="142"/>
        <v>-5444144219.4510326</v>
      </c>
      <c r="M2261" s="460">
        <f t="shared" si="144"/>
        <v>0.05</v>
      </c>
      <c r="N2261" s="464">
        <f t="shared" si="145"/>
        <v>119861</v>
      </c>
    </row>
    <row r="2262" spans="7:14" ht="11.25" customHeight="1" x14ac:dyDescent="0.25">
      <c r="G2262" s="459"/>
      <c r="H2262" s="459">
        <v>2255</v>
      </c>
      <c r="I2262" s="444">
        <f t="shared" ca="1" si="143"/>
        <v>-5444144219.4510326</v>
      </c>
      <c r="J2262" s="444">
        <f t="array" ref="J2262">IFERROR(INDEX('Retirement Calculator'!J:J,MATCH('Isaac 401k'!N2262,'Retirement Calculator'!A:A,0),0),0)</f>
        <v>0</v>
      </c>
      <c r="K2262" s="444">
        <f t="shared" ca="1" si="141"/>
        <v>-22683934.247712635</v>
      </c>
      <c r="L2262" s="444">
        <f t="shared" ca="1" si="142"/>
        <v>-5466828153.6987457</v>
      </c>
      <c r="M2262" s="460">
        <f t="shared" si="144"/>
        <v>0.05</v>
      </c>
      <c r="N2262" s="464">
        <f t="shared" si="145"/>
        <v>119892</v>
      </c>
    </row>
    <row r="2263" spans="7:14" ht="11.25" customHeight="1" x14ac:dyDescent="0.25">
      <c r="G2263" s="459"/>
      <c r="H2263" s="459">
        <v>2256</v>
      </c>
      <c r="I2263" s="444">
        <f t="shared" ca="1" si="143"/>
        <v>-5466828153.6987457</v>
      </c>
      <c r="J2263" s="444">
        <f t="array" ref="J2263">IFERROR(INDEX('Retirement Calculator'!J:J,MATCH('Isaac 401k'!N2263,'Retirement Calculator'!A:A,0),0),0)</f>
        <v>0</v>
      </c>
      <c r="K2263" s="444">
        <f t="shared" ca="1" si="141"/>
        <v>-22778450.64041144</v>
      </c>
      <c r="L2263" s="444">
        <f t="shared" ca="1" si="142"/>
        <v>-5489606604.3391571</v>
      </c>
      <c r="M2263" s="460">
        <f t="shared" si="144"/>
        <v>0.05</v>
      </c>
      <c r="N2263" s="464">
        <f t="shared" si="145"/>
        <v>119922</v>
      </c>
    </row>
    <row r="2264" spans="7:14" ht="11.25" customHeight="1" x14ac:dyDescent="0.25">
      <c r="G2264" s="459"/>
      <c r="H2264" s="459">
        <v>2257</v>
      </c>
      <c r="I2264" s="444">
        <f t="shared" ca="1" si="143"/>
        <v>-5489606604.3391571</v>
      </c>
      <c r="J2264" s="444">
        <f t="array" ref="J2264">IFERROR(INDEX('Retirement Calculator'!J:J,MATCH('Isaac 401k'!N2264,'Retirement Calculator'!A:A,0),0),0)</f>
        <v>0</v>
      </c>
      <c r="K2264" s="444">
        <f t="shared" ca="1" si="141"/>
        <v>-22873360.851413153</v>
      </c>
      <c r="L2264" s="444">
        <f t="shared" ca="1" si="142"/>
        <v>-5512479965.1905699</v>
      </c>
      <c r="M2264" s="460">
        <f t="shared" si="144"/>
        <v>0.05</v>
      </c>
      <c r="N2264" s="464">
        <f t="shared" si="145"/>
        <v>119953</v>
      </c>
    </row>
    <row r="2265" spans="7:14" ht="11.25" customHeight="1" x14ac:dyDescent="0.25">
      <c r="G2265" s="459"/>
      <c r="H2265" s="459">
        <v>2258</v>
      </c>
      <c r="I2265" s="444">
        <f t="shared" ca="1" si="143"/>
        <v>-5512479965.1905699</v>
      </c>
      <c r="J2265" s="444">
        <f t="array" ref="J2265">IFERROR(INDEX('Retirement Calculator'!J:J,MATCH('Isaac 401k'!N2265,'Retirement Calculator'!A:A,0),0),0)</f>
        <v>0</v>
      </c>
      <c r="K2265" s="444">
        <f t="shared" ca="1" si="141"/>
        <v>-22968666.521627374</v>
      </c>
      <c r="L2265" s="444">
        <f t="shared" ca="1" si="142"/>
        <v>-5535448631.7121973</v>
      </c>
      <c r="M2265" s="460">
        <f t="shared" si="144"/>
        <v>0.05</v>
      </c>
      <c r="N2265" s="464">
        <f t="shared" si="145"/>
        <v>119983</v>
      </c>
    </row>
    <row r="2266" spans="7:14" ht="11.25" customHeight="1" x14ac:dyDescent="0.25">
      <c r="G2266" s="459"/>
      <c r="H2266" s="459">
        <v>2259</v>
      </c>
      <c r="I2266" s="444">
        <f t="shared" ca="1" si="143"/>
        <v>-5535448631.7121973</v>
      </c>
      <c r="J2266" s="444">
        <f t="array" ref="J2266">IFERROR(INDEX('Retirement Calculator'!J:J,MATCH('Isaac 401k'!N2266,'Retirement Calculator'!A:A,0),0),0)</f>
        <v>0</v>
      </c>
      <c r="K2266" s="444">
        <f t="shared" ca="1" si="141"/>
        <v>-23064369.298800822</v>
      </c>
      <c r="L2266" s="444">
        <f t="shared" ca="1" si="142"/>
        <v>-5558513001.0109978</v>
      </c>
      <c r="M2266" s="460">
        <f t="shared" si="144"/>
        <v>0.05</v>
      </c>
      <c r="N2266" s="464">
        <f t="shared" si="145"/>
        <v>120014</v>
      </c>
    </row>
    <row r="2267" spans="7:14" ht="11.25" customHeight="1" x14ac:dyDescent="0.25">
      <c r="G2267" s="459"/>
      <c r="H2267" s="459">
        <v>2260</v>
      </c>
      <c r="I2267" s="444">
        <f t="shared" ca="1" si="143"/>
        <v>-5558513001.0109978</v>
      </c>
      <c r="J2267" s="444">
        <f t="array" ref="J2267">IFERROR(INDEX('Retirement Calculator'!J:J,MATCH('Isaac 401k'!N2267,'Retirement Calculator'!A:A,0),0),0)</f>
        <v>0</v>
      </c>
      <c r="K2267" s="444">
        <f t="shared" ca="1" si="141"/>
        <v>-23160470.837545823</v>
      </c>
      <c r="L2267" s="444">
        <f t="shared" ca="1" si="142"/>
        <v>-5581673471.8485432</v>
      </c>
      <c r="M2267" s="460">
        <f t="shared" si="144"/>
        <v>0.05</v>
      </c>
      <c r="N2267" s="464">
        <f t="shared" si="145"/>
        <v>120045</v>
      </c>
    </row>
    <row r="2268" spans="7:14" ht="11.25" customHeight="1" x14ac:dyDescent="0.25">
      <c r="G2268" s="459"/>
      <c r="H2268" s="459">
        <v>2261</v>
      </c>
      <c r="I2268" s="444">
        <f t="shared" ca="1" si="143"/>
        <v>-5581673471.8485432</v>
      </c>
      <c r="J2268" s="444">
        <f t="array" ref="J2268">IFERROR(INDEX('Retirement Calculator'!J:J,MATCH('Isaac 401k'!N2268,'Retirement Calculator'!A:A,0),0),0)</f>
        <v>0</v>
      </c>
      <c r="K2268" s="444">
        <f t="shared" ca="1" si="141"/>
        <v>-23256972.799368929</v>
      </c>
      <c r="L2268" s="444">
        <f t="shared" ca="1" si="142"/>
        <v>-5604930444.647912</v>
      </c>
      <c r="M2268" s="460">
        <f t="shared" si="144"/>
        <v>0.05</v>
      </c>
      <c r="N2268" s="464">
        <f t="shared" si="145"/>
        <v>120075</v>
      </c>
    </row>
    <row r="2269" spans="7:14" ht="11.25" customHeight="1" x14ac:dyDescent="0.25">
      <c r="G2269" s="459"/>
      <c r="H2269" s="459">
        <v>2262</v>
      </c>
      <c r="I2269" s="444">
        <f t="shared" ca="1" si="143"/>
        <v>-5604930444.647912</v>
      </c>
      <c r="J2269" s="444">
        <f t="array" ref="J2269">IFERROR(INDEX('Retirement Calculator'!J:J,MATCH('Isaac 401k'!N2269,'Retirement Calculator'!A:A,0),0),0)</f>
        <v>0</v>
      </c>
      <c r="K2269" s="444">
        <f t="shared" ca="1" si="141"/>
        <v>-23353876.852699634</v>
      </c>
      <c r="L2269" s="444">
        <f t="shared" ca="1" si="142"/>
        <v>-5628284321.5006113</v>
      </c>
      <c r="M2269" s="460">
        <f t="shared" si="144"/>
        <v>0.05</v>
      </c>
      <c r="N2269" s="464">
        <f t="shared" si="145"/>
        <v>120106</v>
      </c>
    </row>
    <row r="2270" spans="7:14" ht="11.25" customHeight="1" x14ac:dyDescent="0.25">
      <c r="G2270" s="459"/>
      <c r="H2270" s="459">
        <v>2263</v>
      </c>
      <c r="I2270" s="444">
        <f t="shared" ca="1" si="143"/>
        <v>-5628284321.5006113</v>
      </c>
      <c r="J2270" s="444">
        <f t="array" ref="J2270">IFERROR(INDEX('Retirement Calculator'!J:J,MATCH('Isaac 401k'!N2270,'Retirement Calculator'!A:A,0),0),0)</f>
        <v>0</v>
      </c>
      <c r="K2270" s="444">
        <f t="shared" ca="1" si="141"/>
        <v>-23451184.672919214</v>
      </c>
      <c r="L2270" s="444">
        <f t="shared" ca="1" si="142"/>
        <v>-5651735506.1735306</v>
      </c>
      <c r="M2270" s="460">
        <f t="shared" si="144"/>
        <v>0.05</v>
      </c>
      <c r="N2270" s="464">
        <f t="shared" si="145"/>
        <v>120136</v>
      </c>
    </row>
    <row r="2271" spans="7:14" ht="11.25" customHeight="1" x14ac:dyDescent="0.25">
      <c r="G2271" s="459"/>
      <c r="H2271" s="459">
        <v>2264</v>
      </c>
      <c r="I2271" s="444">
        <f t="shared" ca="1" si="143"/>
        <v>-5651735506.1735306</v>
      </c>
      <c r="J2271" s="444">
        <f t="array" ref="J2271">IFERROR(INDEX('Retirement Calculator'!J:J,MATCH('Isaac 401k'!N2271,'Retirement Calculator'!A:A,0),0),0)</f>
        <v>0</v>
      </c>
      <c r="K2271" s="444">
        <f t="shared" ca="1" si="141"/>
        <v>-23548897.942389712</v>
      </c>
      <c r="L2271" s="444">
        <f t="shared" ca="1" si="142"/>
        <v>-5675284404.1159201</v>
      </c>
      <c r="M2271" s="460">
        <f t="shared" si="144"/>
        <v>0.05</v>
      </c>
      <c r="N2271" s="464">
        <f t="shared" si="145"/>
        <v>120167</v>
      </c>
    </row>
    <row r="2272" spans="7:14" ht="11.25" customHeight="1" x14ac:dyDescent="0.25">
      <c r="G2272" s="459"/>
      <c r="H2272" s="459">
        <v>2265</v>
      </c>
      <c r="I2272" s="444">
        <f t="shared" ca="1" si="143"/>
        <v>-5675284404.1159201</v>
      </c>
      <c r="J2272" s="444">
        <f t="array" ref="J2272">IFERROR(INDEX('Retirement Calculator'!J:J,MATCH('Isaac 401k'!N2272,'Retirement Calculator'!A:A,0),0),0)</f>
        <v>0</v>
      </c>
      <c r="K2272" s="444">
        <f t="shared" ca="1" si="141"/>
        <v>-23647018.350483</v>
      </c>
      <c r="L2272" s="444">
        <f t="shared" ca="1" si="142"/>
        <v>-5698931422.466403</v>
      </c>
      <c r="M2272" s="460">
        <f t="shared" si="144"/>
        <v>0.05</v>
      </c>
      <c r="N2272" s="464">
        <f t="shared" si="145"/>
        <v>120198</v>
      </c>
    </row>
    <row r="2273" spans="7:14" ht="11.25" customHeight="1" x14ac:dyDescent="0.25">
      <c r="G2273" s="459"/>
      <c r="H2273" s="459">
        <v>2266</v>
      </c>
      <c r="I2273" s="444">
        <f t="shared" ca="1" si="143"/>
        <v>-5698931422.466403</v>
      </c>
      <c r="J2273" s="444">
        <f t="array" ref="J2273">IFERROR(INDEX('Retirement Calculator'!J:J,MATCH('Isaac 401k'!N2273,'Retirement Calculator'!A:A,0),0),0)</f>
        <v>0</v>
      </c>
      <c r="K2273" s="444">
        <f t="shared" ca="1" si="141"/>
        <v>-23745547.593610011</v>
      </c>
      <c r="L2273" s="444">
        <f t="shared" ca="1" si="142"/>
        <v>-5722676970.0600128</v>
      </c>
      <c r="M2273" s="460">
        <f t="shared" si="144"/>
        <v>0.05</v>
      </c>
      <c r="N2273" s="464">
        <f t="shared" si="145"/>
        <v>120226</v>
      </c>
    </row>
    <row r="2274" spans="7:14" ht="11.25" customHeight="1" x14ac:dyDescent="0.25">
      <c r="G2274" s="459"/>
      <c r="H2274" s="459">
        <v>2267</v>
      </c>
      <c r="I2274" s="444">
        <f t="shared" ca="1" si="143"/>
        <v>-5722676970.0600128</v>
      </c>
      <c r="J2274" s="444">
        <f t="array" ref="J2274">IFERROR(INDEX('Retirement Calculator'!J:J,MATCH('Isaac 401k'!N2274,'Retirement Calculator'!A:A,0),0),0)</f>
        <v>0</v>
      </c>
      <c r="K2274" s="444">
        <f t="shared" ca="1" si="141"/>
        <v>-23844487.375250053</v>
      </c>
      <c r="L2274" s="444">
        <f t="shared" ca="1" si="142"/>
        <v>-5746521457.4352627</v>
      </c>
      <c r="M2274" s="460">
        <f t="shared" si="144"/>
        <v>0.05</v>
      </c>
      <c r="N2274" s="464">
        <f t="shared" si="145"/>
        <v>120257</v>
      </c>
    </row>
    <row r="2275" spans="7:14" ht="11.25" customHeight="1" x14ac:dyDescent="0.25">
      <c r="G2275" s="459"/>
      <c r="H2275" s="459">
        <v>2268</v>
      </c>
      <c r="I2275" s="444">
        <f t="shared" ca="1" si="143"/>
        <v>-5746521457.4352627</v>
      </c>
      <c r="J2275" s="444">
        <f t="array" ref="J2275">IFERROR(INDEX('Retirement Calculator'!J:J,MATCH('Isaac 401k'!N2275,'Retirement Calculator'!A:A,0),0),0)</f>
        <v>0</v>
      </c>
      <c r="K2275" s="444">
        <f t="shared" ca="1" si="141"/>
        <v>-23943839.405980259</v>
      </c>
      <c r="L2275" s="444">
        <f t="shared" ca="1" si="142"/>
        <v>-5770465296.8412428</v>
      </c>
      <c r="M2275" s="460">
        <f t="shared" si="144"/>
        <v>0.05</v>
      </c>
      <c r="N2275" s="464">
        <f t="shared" si="145"/>
        <v>120287</v>
      </c>
    </row>
    <row r="2276" spans="7:14" ht="11.25" customHeight="1" x14ac:dyDescent="0.25">
      <c r="G2276" s="459"/>
      <c r="H2276" s="459">
        <v>2269</v>
      </c>
      <c r="I2276" s="444">
        <f t="shared" ca="1" si="143"/>
        <v>-5770465296.8412428</v>
      </c>
      <c r="J2276" s="444">
        <f t="array" ref="J2276">IFERROR(INDEX('Retirement Calculator'!J:J,MATCH('Isaac 401k'!N2276,'Retirement Calculator'!A:A,0),0),0)</f>
        <v>0</v>
      </c>
      <c r="K2276" s="444">
        <f t="shared" ca="1" si="141"/>
        <v>-24043605.403505176</v>
      </c>
      <c r="L2276" s="444">
        <f t="shared" ca="1" si="142"/>
        <v>-5794508902.2447481</v>
      </c>
      <c r="M2276" s="460">
        <f t="shared" si="144"/>
        <v>0.05</v>
      </c>
      <c r="N2276" s="464">
        <f t="shared" si="145"/>
        <v>120318</v>
      </c>
    </row>
    <row r="2277" spans="7:14" ht="11.25" customHeight="1" x14ac:dyDescent="0.25">
      <c r="G2277" s="459"/>
      <c r="H2277" s="459">
        <v>2270</v>
      </c>
      <c r="I2277" s="444">
        <f t="shared" ca="1" si="143"/>
        <v>-5794508902.2447481</v>
      </c>
      <c r="J2277" s="444">
        <f t="array" ref="J2277">IFERROR(INDEX('Retirement Calculator'!J:J,MATCH('Isaac 401k'!N2277,'Retirement Calculator'!A:A,0),0),0)</f>
        <v>0</v>
      </c>
      <c r="K2277" s="444">
        <f t="shared" ca="1" si="141"/>
        <v>-24143787.092686452</v>
      </c>
      <c r="L2277" s="444">
        <f t="shared" ca="1" si="142"/>
        <v>-5818652689.3374348</v>
      </c>
      <c r="M2277" s="460">
        <f t="shared" si="144"/>
        <v>0.05</v>
      </c>
      <c r="N2277" s="464">
        <f t="shared" si="145"/>
        <v>120348</v>
      </c>
    </row>
    <row r="2278" spans="7:14" ht="11.25" customHeight="1" x14ac:dyDescent="0.25">
      <c r="G2278" s="459"/>
      <c r="H2278" s="459">
        <v>2271</v>
      </c>
      <c r="I2278" s="444">
        <f t="shared" ca="1" si="143"/>
        <v>-5818652689.3374348</v>
      </c>
      <c r="J2278" s="444">
        <f t="array" ref="J2278">IFERROR(INDEX('Retirement Calculator'!J:J,MATCH('Isaac 401k'!N2278,'Retirement Calculator'!A:A,0),0),0)</f>
        <v>0</v>
      </c>
      <c r="K2278" s="444">
        <f t="shared" ca="1" si="141"/>
        <v>-24244386.205572646</v>
      </c>
      <c r="L2278" s="444">
        <f t="shared" ca="1" si="142"/>
        <v>-5842897075.5430079</v>
      </c>
      <c r="M2278" s="460">
        <f t="shared" si="144"/>
        <v>0.05</v>
      </c>
      <c r="N2278" s="464">
        <f t="shared" si="145"/>
        <v>120379</v>
      </c>
    </row>
    <row r="2279" spans="7:14" ht="11.25" customHeight="1" x14ac:dyDescent="0.25">
      <c r="G2279" s="459"/>
      <c r="H2279" s="459">
        <v>2272</v>
      </c>
      <c r="I2279" s="444">
        <f t="shared" ca="1" si="143"/>
        <v>-5842897075.5430079</v>
      </c>
      <c r="J2279" s="444">
        <f t="array" ref="J2279">IFERROR(INDEX('Retirement Calculator'!J:J,MATCH('Isaac 401k'!N2279,'Retirement Calculator'!A:A,0),0),0)</f>
        <v>0</v>
      </c>
      <c r="K2279" s="444">
        <f t="shared" ca="1" si="141"/>
        <v>-24345404.481429201</v>
      </c>
      <c r="L2279" s="444">
        <f t="shared" ca="1" si="142"/>
        <v>-5867242480.024437</v>
      </c>
      <c r="M2279" s="460">
        <f t="shared" si="144"/>
        <v>0.05</v>
      </c>
      <c r="N2279" s="464">
        <f t="shared" si="145"/>
        <v>120410</v>
      </c>
    </row>
    <row r="2280" spans="7:14" ht="11.25" customHeight="1" x14ac:dyDescent="0.25">
      <c r="G2280" s="459"/>
      <c r="H2280" s="459">
        <v>2273</v>
      </c>
      <c r="I2280" s="444">
        <f t="shared" ca="1" si="143"/>
        <v>-5867242480.024437</v>
      </c>
      <c r="J2280" s="444">
        <f t="array" ref="J2280">IFERROR(INDEX('Retirement Calculator'!J:J,MATCH('Isaac 401k'!N2280,'Retirement Calculator'!A:A,0),0),0)</f>
        <v>0</v>
      </c>
      <c r="K2280" s="444">
        <f t="shared" ca="1" si="141"/>
        <v>-24446843.666768488</v>
      </c>
      <c r="L2280" s="444">
        <f t="shared" ca="1" si="142"/>
        <v>-5891689323.691205</v>
      </c>
      <c r="M2280" s="460">
        <f t="shared" si="144"/>
        <v>0.05</v>
      </c>
      <c r="N2280" s="464">
        <f t="shared" si="145"/>
        <v>120440</v>
      </c>
    </row>
    <row r="2281" spans="7:14" ht="11.25" customHeight="1" x14ac:dyDescent="0.25">
      <c r="G2281" s="459"/>
      <c r="H2281" s="459">
        <v>2274</v>
      </c>
      <c r="I2281" s="444">
        <f t="shared" ca="1" si="143"/>
        <v>-5891689323.691205</v>
      </c>
      <c r="J2281" s="444">
        <f t="array" ref="J2281">IFERROR(INDEX('Retirement Calculator'!J:J,MATCH('Isaac 401k'!N2281,'Retirement Calculator'!A:A,0),0),0)</f>
        <v>0</v>
      </c>
      <c r="K2281" s="444">
        <f t="shared" ca="1" si="141"/>
        <v>-24548705.515380021</v>
      </c>
      <c r="L2281" s="444">
        <f t="shared" ca="1" si="142"/>
        <v>-5916238029.2065849</v>
      </c>
      <c r="M2281" s="460">
        <f t="shared" si="144"/>
        <v>0.05</v>
      </c>
      <c r="N2281" s="464">
        <f t="shared" si="145"/>
        <v>120471</v>
      </c>
    </row>
    <row r="2282" spans="7:14" ht="11.25" customHeight="1" x14ac:dyDescent="0.25">
      <c r="G2282" s="459"/>
      <c r="H2282" s="459">
        <v>2275</v>
      </c>
      <c r="I2282" s="444">
        <f t="shared" ca="1" si="143"/>
        <v>-5916238029.2065849</v>
      </c>
      <c r="J2282" s="444">
        <f t="array" ref="J2282">IFERROR(INDEX('Retirement Calculator'!J:J,MATCH('Isaac 401k'!N2282,'Retirement Calculator'!A:A,0),0),0)</f>
        <v>0</v>
      </c>
      <c r="K2282" s="444">
        <f t="shared" ca="1" si="141"/>
        <v>-24650991.788360771</v>
      </c>
      <c r="L2282" s="444">
        <f t="shared" ca="1" si="142"/>
        <v>-5940889020.9949455</v>
      </c>
      <c r="M2282" s="460">
        <f t="shared" si="144"/>
        <v>0.05</v>
      </c>
      <c r="N2282" s="464">
        <f t="shared" si="145"/>
        <v>120501</v>
      </c>
    </row>
    <row r="2283" spans="7:14" ht="11.25" customHeight="1" x14ac:dyDescent="0.25">
      <c r="G2283" s="459"/>
      <c r="H2283" s="459">
        <v>2276</v>
      </c>
      <c r="I2283" s="444">
        <f t="shared" ca="1" si="143"/>
        <v>-5940889020.9949455</v>
      </c>
      <c r="J2283" s="444">
        <f t="array" ref="J2283">IFERROR(INDEX('Retirement Calculator'!J:J,MATCH('Isaac 401k'!N2283,'Retirement Calculator'!A:A,0),0),0)</f>
        <v>0</v>
      </c>
      <c r="K2283" s="444">
        <f t="shared" ca="1" si="141"/>
        <v>-24753704.254145607</v>
      </c>
      <c r="L2283" s="444">
        <f t="shared" ca="1" si="142"/>
        <v>-5965642725.2490911</v>
      </c>
      <c r="M2283" s="460">
        <f t="shared" si="144"/>
        <v>0.05</v>
      </c>
      <c r="N2283" s="464">
        <f t="shared" si="145"/>
        <v>120532</v>
      </c>
    </row>
    <row r="2284" spans="7:14" ht="11.25" customHeight="1" x14ac:dyDescent="0.25">
      <c r="G2284" s="459"/>
      <c r="H2284" s="459">
        <v>2277</v>
      </c>
      <c r="I2284" s="444">
        <f t="shared" ca="1" si="143"/>
        <v>-5965642725.2490911</v>
      </c>
      <c r="J2284" s="444">
        <f t="array" ref="J2284">IFERROR(INDEX('Retirement Calculator'!J:J,MATCH('Isaac 401k'!N2284,'Retirement Calculator'!A:A,0),0),0)</f>
        <v>0</v>
      </c>
      <c r="K2284" s="444">
        <f t="shared" ca="1" si="141"/>
        <v>-24856844.688537881</v>
      </c>
      <c r="L2284" s="444">
        <f t="shared" ca="1" si="142"/>
        <v>-5990499569.9376287</v>
      </c>
      <c r="M2284" s="460">
        <f t="shared" si="144"/>
        <v>0.05</v>
      </c>
      <c r="N2284" s="464">
        <f t="shared" si="145"/>
        <v>120563</v>
      </c>
    </row>
    <row r="2285" spans="7:14" ht="11.25" customHeight="1" x14ac:dyDescent="0.25">
      <c r="G2285" s="459"/>
      <c r="H2285" s="459">
        <v>2278</v>
      </c>
      <c r="I2285" s="444">
        <f t="shared" ca="1" si="143"/>
        <v>-5990499569.9376287</v>
      </c>
      <c r="J2285" s="444">
        <f t="array" ref="J2285">IFERROR(INDEX('Retirement Calculator'!J:J,MATCH('Isaac 401k'!N2285,'Retirement Calculator'!A:A,0),0),0)</f>
        <v>0</v>
      </c>
      <c r="K2285" s="444">
        <f t="shared" ca="1" si="141"/>
        <v>-24960414.87474012</v>
      </c>
      <c r="L2285" s="444">
        <f t="shared" ca="1" si="142"/>
        <v>-6015459984.8123684</v>
      </c>
      <c r="M2285" s="460">
        <f t="shared" si="144"/>
        <v>0.05</v>
      </c>
      <c r="N2285" s="464">
        <f t="shared" si="145"/>
        <v>120591</v>
      </c>
    </row>
    <row r="2286" spans="7:14" ht="11.25" customHeight="1" x14ac:dyDescent="0.25">
      <c r="G2286" s="459"/>
      <c r="H2286" s="459">
        <v>2279</v>
      </c>
      <c r="I2286" s="444">
        <f t="shared" ca="1" si="143"/>
        <v>-6015459984.8123684</v>
      </c>
      <c r="J2286" s="444">
        <f t="array" ref="J2286">IFERROR(INDEX('Retirement Calculator'!J:J,MATCH('Isaac 401k'!N2286,'Retirement Calculator'!A:A,0),0),0)</f>
        <v>0</v>
      </c>
      <c r="K2286" s="444">
        <f t="shared" ca="1" si="141"/>
        <v>-25064416.603384867</v>
      </c>
      <c r="L2286" s="444">
        <f t="shared" ca="1" si="142"/>
        <v>-6040524401.4157534</v>
      </c>
      <c r="M2286" s="460">
        <f t="shared" si="144"/>
        <v>0.05</v>
      </c>
      <c r="N2286" s="464">
        <f t="shared" si="145"/>
        <v>120622</v>
      </c>
    </row>
    <row r="2287" spans="7:14" ht="11.25" customHeight="1" x14ac:dyDescent="0.25">
      <c r="G2287" s="459"/>
      <c r="H2287" s="459">
        <v>2280</v>
      </c>
      <c r="I2287" s="444">
        <f t="shared" ca="1" si="143"/>
        <v>-6040524401.4157534</v>
      </c>
      <c r="J2287" s="444">
        <f t="array" ref="J2287">IFERROR(INDEX('Retirement Calculator'!J:J,MATCH('Isaac 401k'!N2287,'Retirement Calculator'!A:A,0),0),0)</f>
        <v>0</v>
      </c>
      <c r="K2287" s="444">
        <f t="shared" ca="1" si="141"/>
        <v>-25168851.672565639</v>
      </c>
      <c r="L2287" s="444">
        <f t="shared" ca="1" si="142"/>
        <v>-6065693253.0883188</v>
      </c>
      <c r="M2287" s="460">
        <f t="shared" si="144"/>
        <v>0.05</v>
      </c>
      <c r="N2287" s="464">
        <f t="shared" si="145"/>
        <v>120652</v>
      </c>
    </row>
    <row r="2288" spans="7:14" ht="11.25" customHeight="1" x14ac:dyDescent="0.25">
      <c r="G2288" s="459"/>
      <c r="H2288" s="459">
        <v>2281</v>
      </c>
      <c r="I2288" s="444">
        <f t="shared" ca="1" si="143"/>
        <v>-6065693253.0883188</v>
      </c>
      <c r="J2288" s="444">
        <f t="array" ref="J2288">IFERROR(INDEX('Retirement Calculator'!J:J,MATCH('Isaac 401k'!N2288,'Retirement Calculator'!A:A,0),0),0)</f>
        <v>0</v>
      </c>
      <c r="K2288" s="444">
        <f t="shared" ca="1" si="141"/>
        <v>-25273721.887867995</v>
      </c>
      <c r="L2288" s="444">
        <f t="shared" ca="1" si="142"/>
        <v>-6090966974.9761868</v>
      </c>
      <c r="M2288" s="460">
        <f t="shared" si="144"/>
        <v>0.05</v>
      </c>
      <c r="N2288" s="464">
        <f t="shared" si="145"/>
        <v>120683</v>
      </c>
    </row>
    <row r="2289" spans="7:14" ht="11.25" customHeight="1" x14ac:dyDescent="0.25">
      <c r="G2289" s="459"/>
      <c r="H2289" s="459">
        <v>2282</v>
      </c>
      <c r="I2289" s="444">
        <f t="shared" ca="1" si="143"/>
        <v>-6090966974.9761868</v>
      </c>
      <c r="J2289" s="444">
        <f t="array" ref="J2289">IFERROR(INDEX('Retirement Calculator'!J:J,MATCH('Isaac 401k'!N2289,'Retirement Calculator'!A:A,0),0),0)</f>
        <v>0</v>
      </c>
      <c r="K2289" s="444">
        <f t="shared" ca="1" si="141"/>
        <v>-25379029.062400777</v>
      </c>
      <c r="L2289" s="444">
        <f t="shared" ca="1" si="142"/>
        <v>-6116346004.0385876</v>
      </c>
      <c r="M2289" s="460">
        <f t="shared" si="144"/>
        <v>0.05</v>
      </c>
      <c r="N2289" s="464">
        <f t="shared" si="145"/>
        <v>120713</v>
      </c>
    </row>
    <row r="2290" spans="7:14" ht="11.25" customHeight="1" x14ac:dyDescent="0.25">
      <c r="G2290" s="459"/>
      <c r="H2290" s="459">
        <v>2283</v>
      </c>
      <c r="I2290" s="444">
        <f t="shared" ca="1" si="143"/>
        <v>-6116346004.0385876</v>
      </c>
      <c r="J2290" s="444">
        <f t="array" ref="J2290">IFERROR(INDEX('Retirement Calculator'!J:J,MATCH('Isaac 401k'!N2290,'Retirement Calculator'!A:A,0),0),0)</f>
        <v>0</v>
      </c>
      <c r="K2290" s="444">
        <f t="shared" ca="1" si="141"/>
        <v>-25484775.016827449</v>
      </c>
      <c r="L2290" s="444">
        <f t="shared" ca="1" si="142"/>
        <v>-6141830779.0554152</v>
      </c>
      <c r="M2290" s="460">
        <f t="shared" si="144"/>
        <v>0.05</v>
      </c>
      <c r="N2290" s="464">
        <f t="shared" si="145"/>
        <v>120744</v>
      </c>
    </row>
    <row r="2291" spans="7:14" ht="11.25" customHeight="1" x14ac:dyDescent="0.25">
      <c r="G2291" s="459"/>
      <c r="H2291" s="459">
        <v>2284</v>
      </c>
      <c r="I2291" s="444">
        <f t="shared" ca="1" si="143"/>
        <v>-6141830779.0554152</v>
      </c>
      <c r="J2291" s="444">
        <f t="array" ref="J2291">IFERROR(INDEX('Retirement Calculator'!J:J,MATCH('Isaac 401k'!N2291,'Retirement Calculator'!A:A,0),0),0)</f>
        <v>0</v>
      </c>
      <c r="K2291" s="444">
        <f t="shared" ca="1" si="141"/>
        <v>-25590961.579397563</v>
      </c>
      <c r="L2291" s="444">
        <f t="shared" ca="1" si="142"/>
        <v>-6167421740.6348124</v>
      </c>
      <c r="M2291" s="460">
        <f t="shared" si="144"/>
        <v>0.05</v>
      </c>
      <c r="N2291" s="464">
        <f t="shared" si="145"/>
        <v>120775</v>
      </c>
    </row>
    <row r="2292" spans="7:14" ht="11.25" customHeight="1" x14ac:dyDescent="0.25">
      <c r="G2292" s="459"/>
      <c r="H2292" s="459">
        <v>2285</v>
      </c>
      <c r="I2292" s="444">
        <f t="shared" ca="1" si="143"/>
        <v>-6167421740.6348124</v>
      </c>
      <c r="J2292" s="444">
        <f t="array" ref="J2292">IFERROR(INDEX('Retirement Calculator'!J:J,MATCH('Isaac 401k'!N2292,'Retirement Calculator'!A:A,0),0),0)</f>
        <v>0</v>
      </c>
      <c r="K2292" s="444">
        <f t="shared" ca="1" si="141"/>
        <v>-25697590.585978385</v>
      </c>
      <c r="L2292" s="444">
        <f t="shared" ca="1" si="142"/>
        <v>-6193119331.2207909</v>
      </c>
      <c r="M2292" s="460">
        <f t="shared" si="144"/>
        <v>0.05</v>
      </c>
      <c r="N2292" s="464">
        <f t="shared" si="145"/>
        <v>120805</v>
      </c>
    </row>
    <row r="2293" spans="7:14" ht="11.25" customHeight="1" x14ac:dyDescent="0.25">
      <c r="G2293" s="459"/>
      <c r="H2293" s="459">
        <v>2286</v>
      </c>
      <c r="I2293" s="444">
        <f t="shared" ca="1" si="143"/>
        <v>-6193119331.2207909</v>
      </c>
      <c r="J2293" s="444">
        <f t="array" ref="J2293">IFERROR(INDEX('Retirement Calculator'!J:J,MATCH('Isaac 401k'!N2293,'Retirement Calculator'!A:A,0),0),0)</f>
        <v>0</v>
      </c>
      <c r="K2293" s="444">
        <f t="shared" ca="1" si="141"/>
        <v>-25804663.880086627</v>
      </c>
      <c r="L2293" s="444">
        <f t="shared" ca="1" si="142"/>
        <v>-6218923995.1008778</v>
      </c>
      <c r="M2293" s="460">
        <f t="shared" si="144"/>
        <v>0.05</v>
      </c>
      <c r="N2293" s="464">
        <f t="shared" si="145"/>
        <v>120836</v>
      </c>
    </row>
    <row r="2294" spans="7:14" ht="11.25" customHeight="1" x14ac:dyDescent="0.25">
      <c r="G2294" s="459"/>
      <c r="H2294" s="459">
        <v>2287</v>
      </c>
      <c r="I2294" s="444">
        <f t="shared" ca="1" si="143"/>
        <v>-6218923995.1008778</v>
      </c>
      <c r="J2294" s="444">
        <f t="array" ref="J2294">IFERROR(INDEX('Retirement Calculator'!J:J,MATCH('Isaac 401k'!N2294,'Retirement Calculator'!A:A,0),0),0)</f>
        <v>0</v>
      </c>
      <c r="K2294" s="444">
        <f t="shared" ca="1" si="141"/>
        <v>-25912183.312920325</v>
      </c>
      <c r="L2294" s="444">
        <f t="shared" ca="1" si="142"/>
        <v>-6244836178.4137983</v>
      </c>
      <c r="M2294" s="460">
        <f t="shared" si="144"/>
        <v>0.05</v>
      </c>
      <c r="N2294" s="464">
        <f t="shared" si="145"/>
        <v>120866</v>
      </c>
    </row>
    <row r="2295" spans="7:14" ht="11.25" customHeight="1" x14ac:dyDescent="0.25">
      <c r="G2295" s="459"/>
      <c r="H2295" s="459">
        <v>2288</v>
      </c>
      <c r="I2295" s="444">
        <f t="shared" ca="1" si="143"/>
        <v>-6244836178.4137983</v>
      </c>
      <c r="J2295" s="444">
        <f t="array" ref="J2295">IFERROR(INDEX('Retirement Calculator'!J:J,MATCH('Isaac 401k'!N2295,'Retirement Calculator'!A:A,0),0),0)</f>
        <v>0</v>
      </c>
      <c r="K2295" s="444">
        <f t="shared" ca="1" si="141"/>
        <v>-26020150.743390825</v>
      </c>
      <c r="L2295" s="444">
        <f t="shared" ca="1" si="142"/>
        <v>-6270856329.1571894</v>
      </c>
      <c r="M2295" s="460">
        <f t="shared" si="144"/>
        <v>0.05</v>
      </c>
      <c r="N2295" s="464">
        <f t="shared" si="145"/>
        <v>120897</v>
      </c>
    </row>
    <row r="2296" spans="7:14" ht="11.25" customHeight="1" x14ac:dyDescent="0.25">
      <c r="G2296" s="459"/>
      <c r="H2296" s="459">
        <v>2289</v>
      </c>
      <c r="I2296" s="444">
        <f t="shared" ca="1" si="143"/>
        <v>-6270856329.1571894</v>
      </c>
      <c r="J2296" s="444">
        <f t="array" ref="J2296">IFERROR(INDEX('Retirement Calculator'!J:J,MATCH('Isaac 401k'!N2296,'Retirement Calculator'!A:A,0),0),0)</f>
        <v>0</v>
      </c>
      <c r="K2296" s="444">
        <f t="shared" ca="1" si="141"/>
        <v>-26128568.038154956</v>
      </c>
      <c r="L2296" s="444">
        <f t="shared" ca="1" si="142"/>
        <v>-6296984897.195344</v>
      </c>
      <c r="M2296" s="460">
        <f t="shared" si="144"/>
        <v>0.05</v>
      </c>
      <c r="N2296" s="464">
        <f t="shared" si="145"/>
        <v>120928</v>
      </c>
    </row>
    <row r="2297" spans="7:14" ht="11.25" customHeight="1" x14ac:dyDescent="0.25">
      <c r="G2297" s="459"/>
      <c r="H2297" s="459">
        <v>2290</v>
      </c>
      <c r="I2297" s="444">
        <f t="shared" ca="1" si="143"/>
        <v>-6296984897.195344</v>
      </c>
      <c r="J2297" s="444">
        <f t="array" ref="J2297">IFERROR(INDEX('Retirement Calculator'!J:J,MATCH('Isaac 401k'!N2297,'Retirement Calculator'!A:A,0),0),0)</f>
        <v>0</v>
      </c>
      <c r="K2297" s="444">
        <f t="shared" ca="1" si="141"/>
        <v>-26237437.071647268</v>
      </c>
      <c r="L2297" s="444">
        <f t="shared" ca="1" si="142"/>
        <v>-6323222334.2669916</v>
      </c>
      <c r="M2297" s="460">
        <f t="shared" si="144"/>
        <v>0.05</v>
      </c>
      <c r="N2297" s="464">
        <f t="shared" si="145"/>
        <v>120956</v>
      </c>
    </row>
    <row r="2298" spans="7:14" ht="11.25" customHeight="1" x14ac:dyDescent="0.25">
      <c r="G2298" s="459"/>
      <c r="H2298" s="459">
        <v>2291</v>
      </c>
      <c r="I2298" s="444">
        <f t="shared" ca="1" si="143"/>
        <v>-6323222334.2669916</v>
      </c>
      <c r="J2298" s="444">
        <f t="array" ref="J2298">IFERROR(INDEX('Retirement Calculator'!J:J,MATCH('Isaac 401k'!N2298,'Retirement Calculator'!A:A,0),0),0)</f>
        <v>0</v>
      </c>
      <c r="K2298" s="444">
        <f t="shared" ca="1" si="141"/>
        <v>-26346759.726112466</v>
      </c>
      <c r="L2298" s="444">
        <f t="shared" ca="1" si="142"/>
        <v>-6349569093.993104</v>
      </c>
      <c r="M2298" s="460">
        <f t="shared" si="144"/>
        <v>0.05</v>
      </c>
      <c r="N2298" s="464">
        <f t="shared" si="145"/>
        <v>120987</v>
      </c>
    </row>
    <row r="2299" spans="7:14" ht="11.25" customHeight="1" x14ac:dyDescent="0.25">
      <c r="G2299" s="459"/>
      <c r="H2299" s="459">
        <v>2292</v>
      </c>
      <c r="I2299" s="444">
        <f t="shared" ca="1" si="143"/>
        <v>-6349569093.993104</v>
      </c>
      <c r="J2299" s="444">
        <f t="array" ref="J2299">IFERROR(INDEX('Retirement Calculator'!J:J,MATCH('Isaac 401k'!N2299,'Retirement Calculator'!A:A,0),0),0)</f>
        <v>0</v>
      </c>
      <c r="K2299" s="444">
        <f t="shared" ca="1" si="141"/>
        <v>-26456537.891637933</v>
      </c>
      <c r="L2299" s="444">
        <f t="shared" ca="1" si="142"/>
        <v>-6376025631.8847418</v>
      </c>
      <c r="M2299" s="460">
        <f t="shared" si="144"/>
        <v>0.05</v>
      </c>
      <c r="N2299" s="464">
        <f t="shared" si="145"/>
        <v>121017</v>
      </c>
    </row>
    <row r="2300" spans="7:14" ht="11.25" customHeight="1" x14ac:dyDescent="0.25">
      <c r="G2300" s="459"/>
      <c r="H2300" s="459">
        <v>2293</v>
      </c>
      <c r="I2300" s="444">
        <f t="shared" ca="1" si="143"/>
        <v>-6376025631.8847418</v>
      </c>
      <c r="J2300" s="444">
        <f t="array" ref="J2300">IFERROR(INDEX('Retirement Calculator'!J:J,MATCH('Isaac 401k'!N2300,'Retirement Calculator'!A:A,0),0),0)</f>
        <v>0</v>
      </c>
      <c r="K2300" s="444">
        <f t="shared" ca="1" si="141"/>
        <v>-26566773.466186423</v>
      </c>
      <c r="L2300" s="444">
        <f t="shared" ca="1" si="142"/>
        <v>-6402592405.3509283</v>
      </c>
      <c r="M2300" s="460">
        <f t="shared" si="144"/>
        <v>0.05</v>
      </c>
      <c r="N2300" s="464">
        <f t="shared" si="145"/>
        <v>121048</v>
      </c>
    </row>
    <row r="2301" spans="7:14" ht="11.25" customHeight="1" x14ac:dyDescent="0.25">
      <c r="G2301" s="459"/>
      <c r="H2301" s="459">
        <v>2294</v>
      </c>
      <c r="I2301" s="444">
        <f t="shared" ca="1" si="143"/>
        <v>-6402592405.3509283</v>
      </c>
      <c r="J2301" s="444">
        <f t="array" ref="J2301">IFERROR(INDEX('Retirement Calculator'!J:J,MATCH('Isaac 401k'!N2301,'Retirement Calculator'!A:A,0),0),0)</f>
        <v>0</v>
      </c>
      <c r="K2301" s="444">
        <f t="shared" ca="1" si="141"/>
        <v>-26677468.355628867</v>
      </c>
      <c r="L2301" s="444">
        <f t="shared" ca="1" si="142"/>
        <v>-6429269873.7065573</v>
      </c>
      <c r="M2301" s="460">
        <f t="shared" si="144"/>
        <v>0.05</v>
      </c>
      <c r="N2301" s="464">
        <f t="shared" si="145"/>
        <v>121078</v>
      </c>
    </row>
    <row r="2302" spans="7:14" ht="11.25" customHeight="1" x14ac:dyDescent="0.25">
      <c r="G2302" s="459"/>
      <c r="H2302" s="459">
        <v>2295</v>
      </c>
      <c r="I2302" s="444">
        <f t="shared" ca="1" si="143"/>
        <v>-6429269873.7065573</v>
      </c>
      <c r="J2302" s="444">
        <f t="array" ref="J2302">IFERROR(INDEX('Retirement Calculator'!J:J,MATCH('Isaac 401k'!N2302,'Retirement Calculator'!A:A,0),0),0)</f>
        <v>0</v>
      </c>
      <c r="K2302" s="444">
        <f t="shared" ca="1" si="141"/>
        <v>-26788624.47377732</v>
      </c>
      <c r="L2302" s="444">
        <f t="shared" ca="1" si="142"/>
        <v>-6456058498.180335</v>
      </c>
      <c r="M2302" s="460">
        <f t="shared" si="144"/>
        <v>0.05</v>
      </c>
      <c r="N2302" s="464">
        <f t="shared" si="145"/>
        <v>121109</v>
      </c>
    </row>
    <row r="2303" spans="7:14" ht="11.25" customHeight="1" x14ac:dyDescent="0.25">
      <c r="G2303" s="459"/>
      <c r="H2303" s="459">
        <v>2296</v>
      </c>
      <c r="I2303" s="444">
        <f t="shared" ca="1" si="143"/>
        <v>-6456058498.180335</v>
      </c>
      <c r="J2303" s="444">
        <f t="array" ref="J2303">IFERROR(INDEX('Retirement Calculator'!J:J,MATCH('Isaac 401k'!N2303,'Retirement Calculator'!A:A,0),0),0)</f>
        <v>0</v>
      </c>
      <c r="K2303" s="444">
        <f t="shared" ref="K2303:K2557" ca="1" si="146">IPMT(M2303/12,1,12,-I2303+J2303,,0)</f>
        <v>-26900243.742418062</v>
      </c>
      <c r="L2303" s="444">
        <f t="shared" ref="L2303:L2557" ca="1" si="147">I2303-J2303+K2303</f>
        <v>-6482958741.9227533</v>
      </c>
      <c r="M2303" s="460">
        <f t="shared" si="144"/>
        <v>0.05</v>
      </c>
      <c r="N2303" s="464">
        <f t="shared" si="145"/>
        <v>121140</v>
      </c>
    </row>
    <row r="2304" spans="7:14" ht="11.25" customHeight="1" x14ac:dyDescent="0.25">
      <c r="G2304" s="459"/>
      <c r="H2304" s="459">
        <v>2297</v>
      </c>
      <c r="I2304" s="444">
        <f t="shared" ref="I2304:I2558" ca="1" si="148">L2303</f>
        <v>-6482958741.9227533</v>
      </c>
      <c r="J2304" s="444">
        <f t="array" ref="J2304">IFERROR(INDEX('Retirement Calculator'!J:J,MATCH('Isaac 401k'!N2304,'Retirement Calculator'!A:A,0),0),0)</f>
        <v>0</v>
      </c>
      <c r="K2304" s="444">
        <f t="shared" ca="1" si="146"/>
        <v>-27012328.091344804</v>
      </c>
      <c r="L2304" s="444">
        <f t="shared" ca="1" si="147"/>
        <v>-6509971070.0140982</v>
      </c>
      <c r="M2304" s="460">
        <f t="shared" ref="M2304:M2558" si="149">M2303</f>
        <v>0.05</v>
      </c>
      <c r="N2304" s="464">
        <f t="shared" ref="N2304:N2558" si="150">EDATE(N2303,1)</f>
        <v>121170</v>
      </c>
    </row>
    <row r="2305" spans="7:14" ht="11.25" customHeight="1" x14ac:dyDescent="0.25">
      <c r="G2305" s="459"/>
      <c r="H2305" s="459">
        <v>2298</v>
      </c>
      <c r="I2305" s="444">
        <f t="shared" ca="1" si="148"/>
        <v>-6509971070.0140982</v>
      </c>
      <c r="J2305" s="444">
        <f t="array" ref="J2305">IFERROR(INDEX('Retirement Calculator'!J:J,MATCH('Isaac 401k'!N2305,'Retirement Calculator'!A:A,0),0),0)</f>
        <v>0</v>
      </c>
      <c r="K2305" s="444">
        <f t="shared" ca="1" si="146"/>
        <v>-27124879.458392076</v>
      </c>
      <c r="L2305" s="444">
        <f t="shared" ca="1" si="147"/>
        <v>-6537095949.4724903</v>
      </c>
      <c r="M2305" s="460">
        <f t="shared" si="149"/>
        <v>0.05</v>
      </c>
      <c r="N2305" s="464">
        <f t="shared" si="150"/>
        <v>121201</v>
      </c>
    </row>
    <row r="2306" spans="7:14" ht="11.25" customHeight="1" x14ac:dyDescent="0.25">
      <c r="G2306" s="459"/>
      <c r="H2306" s="459">
        <v>2299</v>
      </c>
      <c r="I2306" s="444">
        <f t="shared" ca="1" si="148"/>
        <v>-6537095949.4724903</v>
      </c>
      <c r="J2306" s="444">
        <f t="array" ref="J2306">IFERROR(INDEX('Retirement Calculator'!J:J,MATCH('Isaac 401k'!N2306,'Retirement Calculator'!A:A,0),0),0)</f>
        <v>0</v>
      </c>
      <c r="K2306" s="444">
        <f t="shared" ca="1" si="146"/>
        <v>-27237899.789468709</v>
      </c>
      <c r="L2306" s="444">
        <f t="shared" ca="1" si="147"/>
        <v>-6564333849.2619591</v>
      </c>
      <c r="M2306" s="460">
        <f t="shared" si="149"/>
        <v>0.05</v>
      </c>
      <c r="N2306" s="464">
        <f t="shared" si="150"/>
        <v>121231</v>
      </c>
    </row>
    <row r="2307" spans="7:14" ht="11.25" customHeight="1" x14ac:dyDescent="0.25">
      <c r="G2307" s="459"/>
      <c r="H2307" s="459">
        <v>2300</v>
      </c>
      <c r="I2307" s="444">
        <f t="shared" ca="1" si="148"/>
        <v>-6564333849.2619591</v>
      </c>
      <c r="J2307" s="444">
        <f t="array" ref="J2307">IFERROR(INDEX('Retirement Calculator'!J:J,MATCH('Isaac 401k'!N2307,'Retirement Calculator'!A:A,0),0),0)</f>
        <v>0</v>
      </c>
      <c r="K2307" s="444">
        <f t="shared" ca="1" si="146"/>
        <v>-27351391.038591497</v>
      </c>
      <c r="L2307" s="444">
        <f t="shared" ca="1" si="147"/>
        <v>-6591685240.3005505</v>
      </c>
      <c r="M2307" s="460">
        <f t="shared" si="149"/>
        <v>0.05</v>
      </c>
      <c r="N2307" s="464">
        <f t="shared" si="150"/>
        <v>121262</v>
      </c>
    </row>
    <row r="2308" spans="7:14" ht="11.25" customHeight="1" x14ac:dyDescent="0.25">
      <c r="G2308" s="459"/>
      <c r="H2308" s="459">
        <v>2301</v>
      </c>
      <c r="I2308" s="444">
        <f t="shared" ca="1" si="148"/>
        <v>-6591685240.3005505</v>
      </c>
      <c r="J2308" s="444">
        <f t="array" ref="J2308">IFERROR(INDEX('Retirement Calculator'!J:J,MATCH('Isaac 401k'!N2308,'Retirement Calculator'!A:A,0),0),0)</f>
        <v>0</v>
      </c>
      <c r="K2308" s="444">
        <f t="shared" ca="1" si="146"/>
        <v>-27465355.167918961</v>
      </c>
      <c r="L2308" s="444">
        <f t="shared" ca="1" si="147"/>
        <v>-6619150595.4684696</v>
      </c>
      <c r="M2308" s="460">
        <f t="shared" si="149"/>
        <v>0.05</v>
      </c>
      <c r="N2308" s="464">
        <f t="shared" si="150"/>
        <v>121293</v>
      </c>
    </row>
    <row r="2309" spans="7:14" ht="11.25" customHeight="1" x14ac:dyDescent="0.25">
      <c r="G2309" s="459"/>
      <c r="H2309" s="459">
        <v>2302</v>
      </c>
      <c r="I2309" s="444">
        <f t="shared" ca="1" si="148"/>
        <v>-6619150595.4684696</v>
      </c>
      <c r="J2309" s="444">
        <f t="array" ref="J2309">IFERROR(INDEX('Retirement Calculator'!J:J,MATCH('Isaac 401k'!N2309,'Retirement Calculator'!A:A,0),0),0)</f>
        <v>0</v>
      </c>
      <c r="K2309" s="444">
        <f t="shared" ca="1" si="146"/>
        <v>-27579794.147785291</v>
      </c>
      <c r="L2309" s="444">
        <f t="shared" ca="1" si="147"/>
        <v>-6646730389.6162548</v>
      </c>
      <c r="M2309" s="460">
        <f t="shared" si="149"/>
        <v>0.05</v>
      </c>
      <c r="N2309" s="464">
        <f t="shared" si="150"/>
        <v>121322</v>
      </c>
    </row>
    <row r="2310" spans="7:14" ht="11.25" customHeight="1" x14ac:dyDescent="0.25">
      <c r="G2310" s="459"/>
      <c r="H2310" s="459">
        <v>2303</v>
      </c>
      <c r="I2310" s="444">
        <f t="shared" ca="1" si="148"/>
        <v>-6646730389.6162548</v>
      </c>
      <c r="J2310" s="444">
        <f t="array" ref="J2310">IFERROR(INDEX('Retirement Calculator'!J:J,MATCH('Isaac 401k'!N2310,'Retirement Calculator'!A:A,0),0),0)</f>
        <v>0</v>
      </c>
      <c r="K2310" s="444">
        <f t="shared" ca="1" si="146"/>
        <v>-27694709.956734393</v>
      </c>
      <c r="L2310" s="444">
        <f t="shared" ca="1" si="147"/>
        <v>-6674425099.5729895</v>
      </c>
      <c r="M2310" s="460">
        <f t="shared" si="149"/>
        <v>0.05</v>
      </c>
      <c r="N2310" s="464">
        <f t="shared" si="150"/>
        <v>121353</v>
      </c>
    </row>
    <row r="2311" spans="7:14" ht="11.25" customHeight="1" x14ac:dyDescent="0.25">
      <c r="G2311" s="459"/>
      <c r="H2311" s="459">
        <v>2304</v>
      </c>
      <c r="I2311" s="444">
        <f t="shared" ca="1" si="148"/>
        <v>-6674425099.5729895</v>
      </c>
      <c r="J2311" s="444">
        <f t="array" ref="J2311">IFERROR(INDEX('Retirement Calculator'!J:J,MATCH('Isaac 401k'!N2311,'Retirement Calculator'!A:A,0),0),0)</f>
        <v>0</v>
      </c>
      <c r="K2311" s="444">
        <f t="shared" ca="1" si="146"/>
        <v>-27810104.581554122</v>
      </c>
      <c r="L2311" s="444">
        <f t="shared" ca="1" si="147"/>
        <v>-6702235204.1545439</v>
      </c>
      <c r="M2311" s="460">
        <f t="shared" si="149"/>
        <v>0.05</v>
      </c>
      <c r="N2311" s="464">
        <f t="shared" si="150"/>
        <v>121383</v>
      </c>
    </row>
    <row r="2312" spans="7:14" ht="11.25" customHeight="1" x14ac:dyDescent="0.25">
      <c r="G2312" s="459"/>
      <c r="H2312" s="459">
        <v>2305</v>
      </c>
      <c r="I2312" s="444">
        <f t="shared" ca="1" si="148"/>
        <v>-6702235204.1545439</v>
      </c>
      <c r="J2312" s="444">
        <f t="array" ref="J2312">IFERROR(INDEX('Retirement Calculator'!J:J,MATCH('Isaac 401k'!N2312,'Retirement Calculator'!A:A,0),0),0)</f>
        <v>0</v>
      </c>
      <c r="K2312" s="444">
        <f t="shared" ca="1" si="146"/>
        <v>-27925980.017310601</v>
      </c>
      <c r="L2312" s="444">
        <f t="shared" ca="1" si="147"/>
        <v>-6730161184.171854</v>
      </c>
      <c r="M2312" s="460">
        <f t="shared" si="149"/>
        <v>0.05</v>
      </c>
      <c r="N2312" s="464">
        <f t="shared" si="150"/>
        <v>121414</v>
      </c>
    </row>
    <row r="2313" spans="7:14" ht="11.25" customHeight="1" x14ac:dyDescent="0.25">
      <c r="G2313" s="459"/>
      <c r="H2313" s="459">
        <v>2306</v>
      </c>
      <c r="I2313" s="444">
        <f t="shared" ca="1" si="148"/>
        <v>-6730161184.171854</v>
      </c>
      <c r="J2313" s="444">
        <f t="array" ref="J2313">IFERROR(INDEX('Retirement Calculator'!J:J,MATCH('Isaac 401k'!N2313,'Retirement Calculator'!A:A,0),0),0)</f>
        <v>0</v>
      </c>
      <c r="K2313" s="444">
        <f t="shared" ca="1" si="146"/>
        <v>-28042338.267382722</v>
      </c>
      <c r="L2313" s="444">
        <f t="shared" ca="1" si="147"/>
        <v>-6758203522.4392366</v>
      </c>
      <c r="M2313" s="460">
        <f t="shared" si="149"/>
        <v>0.05</v>
      </c>
      <c r="N2313" s="464">
        <f t="shared" si="150"/>
        <v>121444</v>
      </c>
    </row>
    <row r="2314" spans="7:14" ht="11.25" customHeight="1" x14ac:dyDescent="0.25">
      <c r="G2314" s="459"/>
      <c r="H2314" s="459">
        <v>2307</v>
      </c>
      <c r="I2314" s="444">
        <f t="shared" ca="1" si="148"/>
        <v>-6758203522.4392366</v>
      </c>
      <c r="J2314" s="444">
        <f t="array" ref="J2314">IFERROR(INDEX('Retirement Calculator'!J:J,MATCH('Isaac 401k'!N2314,'Retirement Calculator'!A:A,0),0),0)</f>
        <v>0</v>
      </c>
      <c r="K2314" s="444">
        <f t="shared" ca="1" si="146"/>
        <v>-28159181.343496818</v>
      </c>
      <c r="L2314" s="444">
        <f t="shared" ca="1" si="147"/>
        <v>-6786362703.7827339</v>
      </c>
      <c r="M2314" s="460">
        <f t="shared" si="149"/>
        <v>0.05</v>
      </c>
      <c r="N2314" s="464">
        <f t="shared" si="150"/>
        <v>121475</v>
      </c>
    </row>
    <row r="2315" spans="7:14" ht="11.25" customHeight="1" x14ac:dyDescent="0.25">
      <c r="G2315" s="459"/>
      <c r="H2315" s="459">
        <v>2308</v>
      </c>
      <c r="I2315" s="444">
        <f t="shared" ca="1" si="148"/>
        <v>-6786362703.7827339</v>
      </c>
      <c r="J2315" s="444">
        <f t="array" ref="J2315">IFERROR(INDEX('Retirement Calculator'!J:J,MATCH('Isaac 401k'!N2315,'Retirement Calculator'!A:A,0),0),0)</f>
        <v>0</v>
      </c>
      <c r="K2315" s="444">
        <f t="shared" ca="1" si="146"/>
        <v>-28276511.265761387</v>
      </c>
      <c r="L2315" s="444">
        <f t="shared" ca="1" si="147"/>
        <v>-6814639215.0484953</v>
      </c>
      <c r="M2315" s="460">
        <f t="shared" si="149"/>
        <v>0.05</v>
      </c>
      <c r="N2315" s="464">
        <f t="shared" si="150"/>
        <v>121506</v>
      </c>
    </row>
    <row r="2316" spans="7:14" ht="11.25" customHeight="1" x14ac:dyDescent="0.25">
      <c r="G2316" s="459"/>
      <c r="H2316" s="459">
        <v>2309</v>
      </c>
      <c r="I2316" s="444">
        <f t="shared" ca="1" si="148"/>
        <v>-6814639215.0484953</v>
      </c>
      <c r="J2316" s="444">
        <f t="array" ref="J2316">IFERROR(INDEX('Retirement Calculator'!J:J,MATCH('Isaac 401k'!N2316,'Retirement Calculator'!A:A,0),0),0)</f>
        <v>0</v>
      </c>
      <c r="K2316" s="444">
        <f t="shared" ca="1" si="146"/>
        <v>-28394330.062702063</v>
      </c>
      <c r="L2316" s="444">
        <f t="shared" ca="1" si="147"/>
        <v>-6843033545.1111975</v>
      </c>
      <c r="M2316" s="460">
        <f t="shared" si="149"/>
        <v>0.05</v>
      </c>
      <c r="N2316" s="464">
        <f t="shared" si="150"/>
        <v>121536</v>
      </c>
    </row>
    <row r="2317" spans="7:14" ht="11.25" customHeight="1" x14ac:dyDescent="0.25">
      <c r="G2317" s="459"/>
      <c r="H2317" s="459">
        <v>2310</v>
      </c>
      <c r="I2317" s="444">
        <f t="shared" ca="1" si="148"/>
        <v>-6843033545.1111975</v>
      </c>
      <c r="J2317" s="444">
        <f t="array" ref="J2317">IFERROR(INDEX('Retirement Calculator'!J:J,MATCH('Isaac 401k'!N2317,'Retirement Calculator'!A:A,0),0),0)</f>
        <v>0</v>
      </c>
      <c r="K2317" s="444">
        <f t="shared" ca="1" si="146"/>
        <v>-28512639.771296654</v>
      </c>
      <c r="L2317" s="444">
        <f t="shared" ca="1" si="147"/>
        <v>-6871546184.882494</v>
      </c>
      <c r="M2317" s="460">
        <f t="shared" si="149"/>
        <v>0.05</v>
      </c>
      <c r="N2317" s="464">
        <f t="shared" si="150"/>
        <v>121567</v>
      </c>
    </row>
    <row r="2318" spans="7:14" ht="11.25" customHeight="1" x14ac:dyDescent="0.25">
      <c r="G2318" s="459"/>
      <c r="H2318" s="459">
        <v>2311</v>
      </c>
      <c r="I2318" s="444">
        <f t="shared" ca="1" si="148"/>
        <v>-6871546184.882494</v>
      </c>
      <c r="J2318" s="444">
        <f t="array" ref="J2318">IFERROR(INDEX('Retirement Calculator'!J:J,MATCH('Isaac 401k'!N2318,'Retirement Calculator'!A:A,0),0),0)</f>
        <v>0</v>
      </c>
      <c r="K2318" s="444">
        <f t="shared" ca="1" si="146"/>
        <v>-28631442.437010393</v>
      </c>
      <c r="L2318" s="444">
        <f t="shared" ca="1" si="147"/>
        <v>-6900177627.3195047</v>
      </c>
      <c r="M2318" s="460">
        <f t="shared" si="149"/>
        <v>0.05</v>
      </c>
      <c r="N2318" s="464">
        <f t="shared" si="150"/>
        <v>121597</v>
      </c>
    </row>
    <row r="2319" spans="7:14" ht="11.25" customHeight="1" x14ac:dyDescent="0.25">
      <c r="G2319" s="459"/>
      <c r="H2319" s="459">
        <v>2312</v>
      </c>
      <c r="I2319" s="444">
        <f t="shared" ca="1" si="148"/>
        <v>-6900177627.3195047</v>
      </c>
      <c r="J2319" s="444">
        <f t="array" ref="J2319">IFERROR(INDEX('Retirement Calculator'!J:J,MATCH('Isaac 401k'!N2319,'Retirement Calculator'!A:A,0),0),0)</f>
        <v>0</v>
      </c>
      <c r="K2319" s="444">
        <f t="shared" ca="1" si="146"/>
        <v>-28750740.11383127</v>
      </c>
      <c r="L2319" s="444">
        <f t="shared" ca="1" si="147"/>
        <v>-6928928367.4333363</v>
      </c>
      <c r="M2319" s="460">
        <f t="shared" si="149"/>
        <v>0.05</v>
      </c>
      <c r="N2319" s="464">
        <f t="shared" si="150"/>
        <v>121628</v>
      </c>
    </row>
    <row r="2320" spans="7:14" ht="11.25" customHeight="1" x14ac:dyDescent="0.25">
      <c r="G2320" s="459"/>
      <c r="H2320" s="459">
        <v>2313</v>
      </c>
      <c r="I2320" s="444">
        <f t="shared" ca="1" si="148"/>
        <v>-6928928367.4333363</v>
      </c>
      <c r="J2320" s="444">
        <f t="array" ref="J2320">IFERROR(INDEX('Retirement Calculator'!J:J,MATCH('Isaac 401k'!N2320,'Retirement Calculator'!A:A,0),0),0)</f>
        <v>0</v>
      </c>
      <c r="K2320" s="444">
        <f t="shared" ca="1" si="146"/>
        <v>-28870534.864305571</v>
      </c>
      <c r="L2320" s="444">
        <f t="shared" ca="1" si="147"/>
        <v>-6957798902.2976418</v>
      </c>
      <c r="M2320" s="460">
        <f t="shared" si="149"/>
        <v>0.05</v>
      </c>
      <c r="N2320" s="464">
        <f t="shared" si="150"/>
        <v>121659</v>
      </c>
    </row>
    <row r="2321" spans="7:14" ht="11.25" customHeight="1" x14ac:dyDescent="0.25">
      <c r="G2321" s="459"/>
      <c r="H2321" s="459">
        <v>2314</v>
      </c>
      <c r="I2321" s="444">
        <f t="shared" ca="1" si="148"/>
        <v>-6957798902.2976418</v>
      </c>
      <c r="J2321" s="444">
        <f t="array" ref="J2321">IFERROR(INDEX('Retirement Calculator'!J:J,MATCH('Isaac 401k'!N2321,'Retirement Calculator'!A:A,0),0),0)</f>
        <v>0</v>
      </c>
      <c r="K2321" s="444">
        <f t="shared" ca="1" si="146"/>
        <v>-28990828.759573508</v>
      </c>
      <c r="L2321" s="444">
        <f t="shared" ca="1" si="147"/>
        <v>-6986789731.0572157</v>
      </c>
      <c r="M2321" s="460">
        <f t="shared" si="149"/>
        <v>0.05</v>
      </c>
      <c r="N2321" s="464">
        <f t="shared" si="150"/>
        <v>121687</v>
      </c>
    </row>
    <row r="2322" spans="7:14" ht="11.25" customHeight="1" x14ac:dyDescent="0.25">
      <c r="G2322" s="459"/>
      <c r="H2322" s="459">
        <v>2315</v>
      </c>
      <c r="I2322" s="444">
        <f t="shared" ca="1" si="148"/>
        <v>-6986789731.0572157</v>
      </c>
      <c r="J2322" s="444">
        <f t="array" ref="J2322">IFERROR(INDEX('Retirement Calculator'!J:J,MATCH('Isaac 401k'!N2322,'Retirement Calculator'!A:A,0),0),0)</f>
        <v>0</v>
      </c>
      <c r="K2322" s="444">
        <f t="shared" ca="1" si="146"/>
        <v>-29111623.879405066</v>
      </c>
      <c r="L2322" s="444">
        <f t="shared" ca="1" si="147"/>
        <v>-7015901354.9366207</v>
      </c>
      <c r="M2322" s="460">
        <f t="shared" si="149"/>
        <v>0.05</v>
      </c>
      <c r="N2322" s="464">
        <f t="shared" si="150"/>
        <v>121718</v>
      </c>
    </row>
    <row r="2323" spans="7:14" ht="11.25" customHeight="1" x14ac:dyDescent="0.25">
      <c r="G2323" s="459"/>
      <c r="H2323" s="459">
        <v>2316</v>
      </c>
      <c r="I2323" s="444">
        <f t="shared" ca="1" si="148"/>
        <v>-7015901354.9366207</v>
      </c>
      <c r="J2323" s="444">
        <f t="array" ref="J2323">IFERROR(INDEX('Retirement Calculator'!J:J,MATCH('Isaac 401k'!N2323,'Retirement Calculator'!A:A,0),0),0)</f>
        <v>0</v>
      </c>
      <c r="K2323" s="444">
        <f t="shared" ca="1" si="146"/>
        <v>-29232922.312235918</v>
      </c>
      <c r="L2323" s="444">
        <f t="shared" ca="1" si="147"/>
        <v>-7045134277.2488565</v>
      </c>
      <c r="M2323" s="460">
        <f t="shared" si="149"/>
        <v>0.05</v>
      </c>
      <c r="N2323" s="464">
        <f t="shared" si="150"/>
        <v>121748</v>
      </c>
    </row>
    <row r="2324" spans="7:14" ht="11.25" customHeight="1" x14ac:dyDescent="0.25">
      <c r="G2324" s="459"/>
      <c r="H2324" s="459">
        <v>2317</v>
      </c>
      <c r="I2324" s="444">
        <f t="shared" ca="1" si="148"/>
        <v>-7045134277.2488565</v>
      </c>
      <c r="J2324" s="444">
        <f t="array" ref="J2324">IFERROR(INDEX('Retirement Calculator'!J:J,MATCH('Isaac 401k'!N2324,'Retirement Calculator'!A:A,0),0),0)</f>
        <v>0</v>
      </c>
      <c r="K2324" s="444">
        <f t="shared" ca="1" si="146"/>
        <v>-29354726.15520357</v>
      </c>
      <c r="L2324" s="444">
        <f t="shared" ca="1" si="147"/>
        <v>-7074489003.4040604</v>
      </c>
      <c r="M2324" s="460">
        <f t="shared" si="149"/>
        <v>0.05</v>
      </c>
      <c r="N2324" s="464">
        <f t="shared" si="150"/>
        <v>121779</v>
      </c>
    </row>
    <row r="2325" spans="7:14" ht="11.25" customHeight="1" x14ac:dyDescent="0.25">
      <c r="G2325" s="459"/>
      <c r="H2325" s="459">
        <v>2318</v>
      </c>
      <c r="I2325" s="444">
        <f t="shared" ca="1" si="148"/>
        <v>-7074489003.4040604</v>
      </c>
      <c r="J2325" s="444">
        <f t="array" ref="J2325">IFERROR(INDEX('Retirement Calculator'!J:J,MATCH('Isaac 401k'!N2325,'Retirement Calculator'!A:A,0),0),0)</f>
        <v>0</v>
      </c>
      <c r="K2325" s="444">
        <f t="shared" ca="1" si="146"/>
        <v>-29477037.514183588</v>
      </c>
      <c r="L2325" s="444">
        <f t="shared" ca="1" si="147"/>
        <v>-7103966040.9182444</v>
      </c>
      <c r="M2325" s="460">
        <f t="shared" si="149"/>
        <v>0.05</v>
      </c>
      <c r="N2325" s="464">
        <f t="shared" si="150"/>
        <v>121809</v>
      </c>
    </row>
    <row r="2326" spans="7:14" ht="11.25" customHeight="1" x14ac:dyDescent="0.25">
      <c r="G2326" s="459"/>
      <c r="H2326" s="459">
        <v>2319</v>
      </c>
      <c r="I2326" s="444">
        <f t="shared" ca="1" si="148"/>
        <v>-7103966040.9182444</v>
      </c>
      <c r="J2326" s="444">
        <f t="array" ref="J2326">IFERROR(INDEX('Retirement Calculator'!J:J,MATCH('Isaac 401k'!N2326,'Retirement Calculator'!A:A,0),0),0)</f>
        <v>0</v>
      </c>
      <c r="K2326" s="444">
        <f t="shared" ca="1" si="146"/>
        <v>-29599858.503826015</v>
      </c>
      <c r="L2326" s="444">
        <f t="shared" ca="1" si="147"/>
        <v>-7133565899.4220705</v>
      </c>
      <c r="M2326" s="460">
        <f t="shared" si="149"/>
        <v>0.05</v>
      </c>
      <c r="N2326" s="464">
        <f t="shared" si="150"/>
        <v>121840</v>
      </c>
    </row>
    <row r="2327" spans="7:14" ht="11.25" customHeight="1" x14ac:dyDescent="0.25">
      <c r="G2327" s="459"/>
      <c r="H2327" s="459">
        <v>2320</v>
      </c>
      <c r="I2327" s="444">
        <f t="shared" ca="1" si="148"/>
        <v>-7133565899.4220705</v>
      </c>
      <c r="J2327" s="444">
        <f t="array" ref="J2327">IFERROR(INDEX('Retirement Calculator'!J:J,MATCH('Isaac 401k'!N2327,'Retirement Calculator'!A:A,0),0),0)</f>
        <v>0</v>
      </c>
      <c r="K2327" s="444">
        <f t="shared" ca="1" si="146"/>
        <v>-29723191.247591961</v>
      </c>
      <c r="L2327" s="444">
        <f t="shared" ca="1" si="147"/>
        <v>-7163289090.6696625</v>
      </c>
      <c r="M2327" s="460">
        <f t="shared" si="149"/>
        <v>0.05</v>
      </c>
      <c r="N2327" s="464">
        <f t="shared" si="150"/>
        <v>121871</v>
      </c>
    </row>
    <row r="2328" spans="7:14" ht="11.25" customHeight="1" x14ac:dyDescent="0.25">
      <c r="G2328" s="459"/>
      <c r="H2328" s="459">
        <v>2321</v>
      </c>
      <c r="I2328" s="444">
        <f t="shared" ca="1" si="148"/>
        <v>-7163289090.6696625</v>
      </c>
      <c r="J2328" s="444">
        <f t="array" ref="J2328">IFERROR(INDEX('Retirement Calculator'!J:J,MATCH('Isaac 401k'!N2328,'Retirement Calculator'!A:A,0),0),0)</f>
        <v>0</v>
      </c>
      <c r="K2328" s="444">
        <f t="shared" ca="1" si="146"/>
        <v>-29847037.877790261</v>
      </c>
      <c r="L2328" s="444">
        <f t="shared" ca="1" si="147"/>
        <v>-7193136128.5474529</v>
      </c>
      <c r="M2328" s="460">
        <f t="shared" si="149"/>
        <v>0.05</v>
      </c>
      <c r="N2328" s="464">
        <f t="shared" si="150"/>
        <v>121901</v>
      </c>
    </row>
    <row r="2329" spans="7:14" ht="11.25" customHeight="1" x14ac:dyDescent="0.25">
      <c r="G2329" s="459"/>
      <c r="H2329" s="459">
        <v>2322</v>
      </c>
      <c r="I2329" s="444">
        <f t="shared" ca="1" si="148"/>
        <v>-7193136128.5474529</v>
      </c>
      <c r="J2329" s="444">
        <f t="array" ref="J2329">IFERROR(INDEX('Retirement Calculator'!J:J,MATCH('Isaac 401k'!N2329,'Retirement Calculator'!A:A,0),0),0)</f>
        <v>0</v>
      </c>
      <c r="K2329" s="444">
        <f t="shared" ca="1" si="146"/>
        <v>-29971400.535614382</v>
      </c>
      <c r="L2329" s="444">
        <f t="shared" ca="1" si="147"/>
        <v>-7223107529.0830669</v>
      </c>
      <c r="M2329" s="460">
        <f t="shared" si="149"/>
        <v>0.05</v>
      </c>
      <c r="N2329" s="464">
        <f t="shared" si="150"/>
        <v>121932</v>
      </c>
    </row>
    <row r="2330" spans="7:14" ht="11.25" customHeight="1" x14ac:dyDescent="0.25">
      <c r="G2330" s="459"/>
      <c r="H2330" s="459">
        <v>2323</v>
      </c>
      <c r="I2330" s="444">
        <f t="shared" ca="1" si="148"/>
        <v>-7223107529.0830669</v>
      </c>
      <c r="J2330" s="444">
        <f t="array" ref="J2330">IFERROR(INDEX('Retirement Calculator'!J:J,MATCH('Isaac 401k'!N2330,'Retirement Calculator'!A:A,0),0),0)</f>
        <v>0</v>
      </c>
      <c r="K2330" s="444">
        <f t="shared" ca="1" si="146"/>
        <v>-30096281.371179447</v>
      </c>
      <c r="L2330" s="444">
        <f t="shared" ca="1" si="147"/>
        <v>-7253203810.4542465</v>
      </c>
      <c r="M2330" s="460">
        <f t="shared" si="149"/>
        <v>0.05</v>
      </c>
      <c r="N2330" s="464">
        <f t="shared" si="150"/>
        <v>121962</v>
      </c>
    </row>
    <row r="2331" spans="7:14" ht="11.25" customHeight="1" x14ac:dyDescent="0.25">
      <c r="G2331" s="459"/>
      <c r="H2331" s="459">
        <v>2324</v>
      </c>
      <c r="I2331" s="444">
        <f t="shared" ca="1" si="148"/>
        <v>-7253203810.4542465</v>
      </c>
      <c r="J2331" s="444">
        <f t="array" ref="J2331">IFERROR(INDEX('Retirement Calculator'!J:J,MATCH('Isaac 401k'!N2331,'Retirement Calculator'!A:A,0),0),0)</f>
        <v>0</v>
      </c>
      <c r="K2331" s="444">
        <f t="shared" ca="1" si="146"/>
        <v>-30221682.543559361</v>
      </c>
      <c r="L2331" s="444">
        <f t="shared" ca="1" si="147"/>
        <v>-7283425492.9978056</v>
      </c>
      <c r="M2331" s="460">
        <f t="shared" si="149"/>
        <v>0.05</v>
      </c>
      <c r="N2331" s="464">
        <f t="shared" si="150"/>
        <v>121993</v>
      </c>
    </row>
    <row r="2332" spans="7:14" ht="11.25" customHeight="1" x14ac:dyDescent="0.25">
      <c r="G2332" s="459"/>
      <c r="H2332" s="459">
        <v>2325</v>
      </c>
      <c r="I2332" s="444">
        <f t="shared" ca="1" si="148"/>
        <v>-7283425492.9978056</v>
      </c>
      <c r="J2332" s="444">
        <f t="array" ref="J2332">IFERROR(INDEX('Retirement Calculator'!J:J,MATCH('Isaac 401k'!N2332,'Retirement Calculator'!A:A,0),0),0)</f>
        <v>0</v>
      </c>
      <c r="K2332" s="444">
        <f t="shared" ca="1" si="146"/>
        <v>-30347606.220824189</v>
      </c>
      <c r="L2332" s="444">
        <f t="shared" ca="1" si="147"/>
        <v>-7313773099.2186298</v>
      </c>
      <c r="M2332" s="460">
        <f t="shared" si="149"/>
        <v>0.05</v>
      </c>
      <c r="N2332" s="464">
        <f t="shared" si="150"/>
        <v>122024</v>
      </c>
    </row>
    <row r="2333" spans="7:14" ht="11.25" customHeight="1" x14ac:dyDescent="0.25">
      <c r="G2333" s="459"/>
      <c r="H2333" s="459">
        <v>2326</v>
      </c>
      <c r="I2333" s="444">
        <f t="shared" ca="1" si="148"/>
        <v>-7313773099.2186298</v>
      </c>
      <c r="J2333" s="444">
        <f t="array" ref="J2333">IFERROR(INDEX('Retirement Calculator'!J:J,MATCH('Isaac 401k'!N2333,'Retirement Calculator'!A:A,0),0),0)</f>
        <v>0</v>
      </c>
      <c r="K2333" s="444">
        <f t="shared" ca="1" si="146"/>
        <v>-30474054.580077622</v>
      </c>
      <c r="L2333" s="444">
        <f t="shared" ca="1" si="147"/>
        <v>-7344247153.798707</v>
      </c>
      <c r="M2333" s="460">
        <f t="shared" si="149"/>
        <v>0.05</v>
      </c>
      <c r="N2333" s="464">
        <f t="shared" si="150"/>
        <v>122052</v>
      </c>
    </row>
    <row r="2334" spans="7:14" ht="11.25" customHeight="1" x14ac:dyDescent="0.25">
      <c r="G2334" s="459"/>
      <c r="H2334" s="459">
        <v>2327</v>
      </c>
      <c r="I2334" s="444">
        <f t="shared" ca="1" si="148"/>
        <v>-7344247153.798707</v>
      </c>
      <c r="J2334" s="444">
        <f t="array" ref="J2334">IFERROR(INDEX('Retirement Calculator'!J:J,MATCH('Isaac 401k'!N2334,'Retirement Calculator'!A:A,0),0),0)</f>
        <v>0</v>
      </c>
      <c r="K2334" s="444">
        <f t="shared" ca="1" si="146"/>
        <v>-30601029.807494611</v>
      </c>
      <c r="L2334" s="444">
        <f t="shared" ca="1" si="147"/>
        <v>-7374848183.6062012</v>
      </c>
      <c r="M2334" s="460">
        <f t="shared" si="149"/>
        <v>0.05</v>
      </c>
      <c r="N2334" s="464">
        <f t="shared" si="150"/>
        <v>122083</v>
      </c>
    </row>
    <row r="2335" spans="7:14" ht="11.25" customHeight="1" x14ac:dyDescent="0.25">
      <c r="G2335" s="459"/>
      <c r="H2335" s="459">
        <v>2328</v>
      </c>
      <c r="I2335" s="444">
        <f t="shared" ca="1" si="148"/>
        <v>-7374848183.6062012</v>
      </c>
      <c r="J2335" s="444">
        <f t="array" ref="J2335">IFERROR(INDEX('Retirement Calculator'!J:J,MATCH('Isaac 401k'!N2335,'Retirement Calculator'!A:A,0),0),0)</f>
        <v>0</v>
      </c>
      <c r="K2335" s="444">
        <f t="shared" ca="1" si="146"/>
        <v>-30728534.098359171</v>
      </c>
      <c r="L2335" s="444">
        <f t="shared" ca="1" si="147"/>
        <v>-7405576717.7045603</v>
      </c>
      <c r="M2335" s="460">
        <f t="shared" si="149"/>
        <v>0.05</v>
      </c>
      <c r="N2335" s="464">
        <f t="shared" si="150"/>
        <v>122113</v>
      </c>
    </row>
    <row r="2336" spans="7:14" ht="11.25" customHeight="1" x14ac:dyDescent="0.25">
      <c r="G2336" s="459"/>
      <c r="H2336" s="459">
        <v>2329</v>
      </c>
      <c r="I2336" s="444">
        <f t="shared" ca="1" si="148"/>
        <v>-7405576717.7045603</v>
      </c>
      <c r="J2336" s="444">
        <f t="array" ref="J2336">IFERROR(INDEX('Retirement Calculator'!J:J,MATCH('Isaac 401k'!N2336,'Retirement Calculator'!A:A,0),0),0)</f>
        <v>0</v>
      </c>
      <c r="K2336" s="444">
        <f t="shared" ca="1" si="146"/>
        <v>-30856569.657102335</v>
      </c>
      <c r="L2336" s="444">
        <f t="shared" ca="1" si="147"/>
        <v>-7436433287.3616629</v>
      </c>
      <c r="M2336" s="460">
        <f t="shared" si="149"/>
        <v>0.05</v>
      </c>
      <c r="N2336" s="464">
        <f t="shared" si="150"/>
        <v>122144</v>
      </c>
    </row>
    <row r="2337" spans="7:14" ht="11.25" customHeight="1" x14ac:dyDescent="0.25">
      <c r="G2337" s="459"/>
      <c r="H2337" s="459">
        <v>2330</v>
      </c>
      <c r="I2337" s="444">
        <f t="shared" ca="1" si="148"/>
        <v>-7436433287.3616629</v>
      </c>
      <c r="J2337" s="444">
        <f t="array" ref="J2337">IFERROR(INDEX('Retirement Calculator'!J:J,MATCH('Isaac 401k'!N2337,'Retirement Calculator'!A:A,0),0),0)</f>
        <v>0</v>
      </c>
      <c r="K2337" s="444">
        <f t="shared" ca="1" si="146"/>
        <v>-30985138.697340257</v>
      </c>
      <c r="L2337" s="444">
        <f t="shared" ca="1" si="147"/>
        <v>-7467418426.0590029</v>
      </c>
      <c r="M2337" s="460">
        <f t="shared" si="149"/>
        <v>0.05</v>
      </c>
      <c r="N2337" s="464">
        <f t="shared" si="150"/>
        <v>122174</v>
      </c>
    </row>
    <row r="2338" spans="7:14" ht="11.25" customHeight="1" x14ac:dyDescent="0.25">
      <c r="G2338" s="459"/>
      <c r="H2338" s="459">
        <v>2331</v>
      </c>
      <c r="I2338" s="444">
        <f t="shared" ca="1" si="148"/>
        <v>-7467418426.0590029</v>
      </c>
      <c r="J2338" s="444">
        <f t="array" ref="J2338">IFERROR(INDEX('Retirement Calculator'!J:J,MATCH('Isaac 401k'!N2338,'Retirement Calculator'!A:A,0),0),0)</f>
        <v>0</v>
      </c>
      <c r="K2338" s="444">
        <f t="shared" ca="1" si="146"/>
        <v>-31114243.441912513</v>
      </c>
      <c r="L2338" s="444">
        <f t="shared" ca="1" si="147"/>
        <v>-7498532669.5009155</v>
      </c>
      <c r="M2338" s="460">
        <f t="shared" si="149"/>
        <v>0.05</v>
      </c>
      <c r="N2338" s="464">
        <f t="shared" si="150"/>
        <v>122205</v>
      </c>
    </row>
    <row r="2339" spans="7:14" ht="11.25" customHeight="1" x14ac:dyDescent="0.25">
      <c r="G2339" s="459"/>
      <c r="H2339" s="459">
        <v>2332</v>
      </c>
      <c r="I2339" s="444">
        <f t="shared" ca="1" si="148"/>
        <v>-7498532669.5009155</v>
      </c>
      <c r="J2339" s="444">
        <f t="array" ref="J2339">IFERROR(INDEX('Retirement Calculator'!J:J,MATCH('Isaac 401k'!N2339,'Retirement Calculator'!A:A,0),0),0)</f>
        <v>0</v>
      </c>
      <c r="K2339" s="444">
        <f t="shared" ca="1" si="146"/>
        <v>-31243886.12292048</v>
      </c>
      <c r="L2339" s="444">
        <f t="shared" ca="1" si="147"/>
        <v>-7529776555.6238356</v>
      </c>
      <c r="M2339" s="460">
        <f t="shared" si="149"/>
        <v>0.05</v>
      </c>
      <c r="N2339" s="464">
        <f t="shared" si="150"/>
        <v>122236</v>
      </c>
    </row>
    <row r="2340" spans="7:14" ht="11.25" customHeight="1" x14ac:dyDescent="0.25">
      <c r="G2340" s="459"/>
      <c r="H2340" s="459">
        <v>2333</v>
      </c>
      <c r="I2340" s="444">
        <f t="shared" ca="1" si="148"/>
        <v>-7529776555.6238356</v>
      </c>
      <c r="J2340" s="444">
        <f t="array" ref="J2340">IFERROR(INDEX('Retirement Calculator'!J:J,MATCH('Isaac 401k'!N2340,'Retirement Calculator'!A:A,0),0),0)</f>
        <v>0</v>
      </c>
      <c r="K2340" s="444">
        <f t="shared" ca="1" si="146"/>
        <v>-31374068.981765982</v>
      </c>
      <c r="L2340" s="444">
        <f t="shared" ca="1" si="147"/>
        <v>-7561150624.6056013</v>
      </c>
      <c r="M2340" s="460">
        <f t="shared" si="149"/>
        <v>0.05</v>
      </c>
      <c r="N2340" s="464">
        <f t="shared" si="150"/>
        <v>122266</v>
      </c>
    </row>
    <row r="2341" spans="7:14" ht="11.25" customHeight="1" x14ac:dyDescent="0.25">
      <c r="G2341" s="459"/>
      <c r="H2341" s="459">
        <v>2334</v>
      </c>
      <c r="I2341" s="444">
        <f t="shared" ca="1" si="148"/>
        <v>-7561150624.6056013</v>
      </c>
      <c r="J2341" s="444">
        <f t="array" ref="J2341">IFERROR(INDEX('Retirement Calculator'!J:J,MATCH('Isaac 401k'!N2341,'Retirement Calculator'!A:A,0),0),0)</f>
        <v>0</v>
      </c>
      <c r="K2341" s="444">
        <f t="shared" ca="1" si="146"/>
        <v>-31504794.269190002</v>
      </c>
      <c r="L2341" s="444">
        <f t="shared" ca="1" si="147"/>
        <v>-7592655418.8747911</v>
      </c>
      <c r="M2341" s="460">
        <f t="shared" si="149"/>
        <v>0.05</v>
      </c>
      <c r="N2341" s="464">
        <f t="shared" si="150"/>
        <v>122297</v>
      </c>
    </row>
    <row r="2342" spans="7:14" ht="11.25" customHeight="1" x14ac:dyDescent="0.25">
      <c r="G2342" s="459"/>
      <c r="H2342" s="459">
        <v>2335</v>
      </c>
      <c r="I2342" s="444">
        <f t="shared" ca="1" si="148"/>
        <v>-7592655418.8747911</v>
      </c>
      <c r="J2342" s="444">
        <f t="array" ref="J2342">IFERROR(INDEX('Retirement Calculator'!J:J,MATCH('Isaac 401k'!N2342,'Retirement Calculator'!A:A,0),0),0)</f>
        <v>0</v>
      </c>
      <c r="K2342" s="444">
        <f t="shared" ca="1" si="146"/>
        <v>-31636064.245311629</v>
      </c>
      <c r="L2342" s="444">
        <f t="shared" ca="1" si="147"/>
        <v>-7624291483.1201029</v>
      </c>
      <c r="M2342" s="460">
        <f t="shared" si="149"/>
        <v>0.05</v>
      </c>
      <c r="N2342" s="464">
        <f t="shared" si="150"/>
        <v>122327</v>
      </c>
    </row>
    <row r="2343" spans="7:14" ht="11.25" customHeight="1" x14ac:dyDescent="0.25">
      <c r="G2343" s="459"/>
      <c r="H2343" s="459">
        <v>2336</v>
      </c>
      <c r="I2343" s="444">
        <f t="shared" ca="1" si="148"/>
        <v>-7624291483.1201029</v>
      </c>
      <c r="J2343" s="444">
        <f t="array" ref="J2343">IFERROR(INDEX('Retirement Calculator'!J:J,MATCH('Isaac 401k'!N2343,'Retirement Calculator'!A:A,0),0),0)</f>
        <v>0</v>
      </c>
      <c r="K2343" s="444">
        <f t="shared" ca="1" si="146"/>
        <v>-31767881.179667097</v>
      </c>
      <c r="L2343" s="444">
        <f t="shared" ca="1" si="147"/>
        <v>-7656059364.2997704</v>
      </c>
      <c r="M2343" s="460">
        <f t="shared" si="149"/>
        <v>0.05</v>
      </c>
      <c r="N2343" s="464">
        <f t="shared" si="150"/>
        <v>122358</v>
      </c>
    </row>
    <row r="2344" spans="7:14" ht="11.25" customHeight="1" x14ac:dyDescent="0.25">
      <c r="G2344" s="459"/>
      <c r="H2344" s="459">
        <v>2337</v>
      </c>
      <c r="I2344" s="444">
        <f t="shared" ca="1" si="148"/>
        <v>-7656059364.2997704</v>
      </c>
      <c r="J2344" s="444">
        <f t="array" ref="J2344">IFERROR(INDEX('Retirement Calculator'!J:J,MATCH('Isaac 401k'!N2344,'Retirement Calculator'!A:A,0),0),0)</f>
        <v>0</v>
      </c>
      <c r="K2344" s="444">
        <f t="shared" ca="1" si="146"/>
        <v>-31900247.351249039</v>
      </c>
      <c r="L2344" s="444">
        <f t="shared" ca="1" si="147"/>
        <v>-7687959611.6510191</v>
      </c>
      <c r="M2344" s="460">
        <f t="shared" si="149"/>
        <v>0.05</v>
      </c>
      <c r="N2344" s="464">
        <f t="shared" si="150"/>
        <v>122389</v>
      </c>
    </row>
    <row r="2345" spans="7:14" ht="11.25" customHeight="1" x14ac:dyDescent="0.25">
      <c r="G2345" s="459"/>
      <c r="H2345" s="459">
        <v>2338</v>
      </c>
      <c r="I2345" s="444">
        <f t="shared" ca="1" si="148"/>
        <v>-7687959611.6510191</v>
      </c>
      <c r="J2345" s="444">
        <f t="array" ref="J2345">IFERROR(INDEX('Retirement Calculator'!J:J,MATCH('Isaac 401k'!N2345,'Retirement Calculator'!A:A,0),0),0)</f>
        <v>0</v>
      </c>
      <c r="K2345" s="444">
        <f t="shared" ca="1" si="146"/>
        <v>-32033165.048545908</v>
      </c>
      <c r="L2345" s="444">
        <f t="shared" ca="1" si="147"/>
        <v>-7719992776.6995649</v>
      </c>
      <c r="M2345" s="460">
        <f t="shared" si="149"/>
        <v>0.05</v>
      </c>
      <c r="N2345" s="464">
        <f t="shared" si="150"/>
        <v>122417</v>
      </c>
    </row>
    <row r="2346" spans="7:14" ht="11.25" customHeight="1" x14ac:dyDescent="0.25">
      <c r="G2346" s="459"/>
      <c r="H2346" s="459">
        <v>2339</v>
      </c>
      <c r="I2346" s="444">
        <f t="shared" ca="1" si="148"/>
        <v>-7719992776.6995649</v>
      </c>
      <c r="J2346" s="444">
        <f t="array" ref="J2346">IFERROR(INDEX('Retirement Calculator'!J:J,MATCH('Isaac 401k'!N2346,'Retirement Calculator'!A:A,0),0),0)</f>
        <v>0</v>
      </c>
      <c r="K2346" s="444">
        <f t="shared" ca="1" si="146"/>
        <v>-32166636.569581516</v>
      </c>
      <c r="L2346" s="444">
        <f t="shared" ca="1" si="147"/>
        <v>-7752159413.2691469</v>
      </c>
      <c r="M2346" s="460">
        <f t="shared" si="149"/>
        <v>0.05</v>
      </c>
      <c r="N2346" s="464">
        <f t="shared" si="150"/>
        <v>122448</v>
      </c>
    </row>
    <row r="2347" spans="7:14" ht="11.25" customHeight="1" x14ac:dyDescent="0.25">
      <c r="G2347" s="459"/>
      <c r="H2347" s="459">
        <v>2340</v>
      </c>
      <c r="I2347" s="444">
        <f t="shared" ca="1" si="148"/>
        <v>-7752159413.2691469</v>
      </c>
      <c r="J2347" s="444">
        <f t="array" ref="J2347">IFERROR(INDEX('Retirement Calculator'!J:J,MATCH('Isaac 401k'!N2347,'Retirement Calculator'!A:A,0),0),0)</f>
        <v>0</v>
      </c>
      <c r="K2347" s="444">
        <f t="shared" ca="1" si="146"/>
        <v>-32300664.221954778</v>
      </c>
      <c r="L2347" s="444">
        <f t="shared" ca="1" si="147"/>
        <v>-7784460077.4911013</v>
      </c>
      <c r="M2347" s="460">
        <f t="shared" si="149"/>
        <v>0.05</v>
      </c>
      <c r="N2347" s="464">
        <f t="shared" si="150"/>
        <v>122478</v>
      </c>
    </row>
    <row r="2348" spans="7:14" ht="11.25" customHeight="1" x14ac:dyDescent="0.25">
      <c r="G2348" s="459"/>
      <c r="H2348" s="459">
        <v>2341</v>
      </c>
      <c r="I2348" s="444">
        <f t="shared" ca="1" si="148"/>
        <v>-7784460077.4911013</v>
      </c>
      <c r="J2348" s="444">
        <f t="array" ref="J2348">IFERROR(INDEX('Retirement Calculator'!J:J,MATCH('Isaac 401k'!N2348,'Retirement Calculator'!A:A,0),0),0)</f>
        <v>0</v>
      </c>
      <c r="K2348" s="444">
        <f t="shared" ca="1" si="146"/>
        <v>-32435250.322879586</v>
      </c>
      <c r="L2348" s="444">
        <f t="shared" ca="1" si="147"/>
        <v>-7816895327.8139811</v>
      </c>
      <c r="M2348" s="460">
        <f t="shared" si="149"/>
        <v>0.05</v>
      </c>
      <c r="N2348" s="464">
        <f t="shared" si="150"/>
        <v>122509</v>
      </c>
    </row>
    <row r="2349" spans="7:14" ht="11.25" customHeight="1" x14ac:dyDescent="0.25">
      <c r="G2349" s="459"/>
      <c r="H2349" s="459">
        <v>2342</v>
      </c>
      <c r="I2349" s="444">
        <f t="shared" ca="1" si="148"/>
        <v>-7816895327.8139811</v>
      </c>
      <c r="J2349" s="444">
        <f t="array" ref="J2349">IFERROR(INDEX('Retirement Calculator'!J:J,MATCH('Isaac 401k'!N2349,'Retirement Calculator'!A:A,0),0),0)</f>
        <v>0</v>
      </c>
      <c r="K2349" s="444">
        <f t="shared" ca="1" si="146"/>
        <v>-32570397.199224915</v>
      </c>
      <c r="L2349" s="444">
        <f t="shared" ca="1" si="147"/>
        <v>-7849465725.0132055</v>
      </c>
      <c r="M2349" s="460">
        <f t="shared" si="149"/>
        <v>0.05</v>
      </c>
      <c r="N2349" s="464">
        <f t="shared" si="150"/>
        <v>122539</v>
      </c>
    </row>
    <row r="2350" spans="7:14" ht="11.25" customHeight="1" x14ac:dyDescent="0.25">
      <c r="G2350" s="459"/>
      <c r="H2350" s="459">
        <v>2343</v>
      </c>
      <c r="I2350" s="444">
        <f t="shared" ca="1" si="148"/>
        <v>-7849465725.0132055</v>
      </c>
      <c r="J2350" s="444">
        <f t="array" ref="J2350">IFERROR(INDEX('Retirement Calculator'!J:J,MATCH('Isaac 401k'!N2350,'Retirement Calculator'!A:A,0),0),0)</f>
        <v>0</v>
      </c>
      <c r="K2350" s="444">
        <f t="shared" ca="1" si="146"/>
        <v>-32706107.187555019</v>
      </c>
      <c r="L2350" s="444">
        <f t="shared" ca="1" si="147"/>
        <v>-7882171832.2007608</v>
      </c>
      <c r="M2350" s="460">
        <f t="shared" si="149"/>
        <v>0.05</v>
      </c>
      <c r="N2350" s="464">
        <f t="shared" si="150"/>
        <v>122570</v>
      </c>
    </row>
    <row r="2351" spans="7:14" ht="11.25" customHeight="1" x14ac:dyDescent="0.25">
      <c r="G2351" s="459"/>
      <c r="H2351" s="459">
        <v>2344</v>
      </c>
      <c r="I2351" s="444">
        <f t="shared" ca="1" si="148"/>
        <v>-7882171832.2007608</v>
      </c>
      <c r="J2351" s="444">
        <f t="array" ref="J2351">IFERROR(INDEX('Retirement Calculator'!J:J,MATCH('Isaac 401k'!N2351,'Retirement Calculator'!A:A,0),0),0)</f>
        <v>0</v>
      </c>
      <c r="K2351" s="444">
        <f t="shared" ca="1" si="146"/>
        <v>-32842382.634169832</v>
      </c>
      <c r="L2351" s="444">
        <f t="shared" ca="1" si="147"/>
        <v>-7915014214.8349304</v>
      </c>
      <c r="M2351" s="460">
        <f t="shared" si="149"/>
        <v>0.05</v>
      </c>
      <c r="N2351" s="464">
        <f t="shared" si="150"/>
        <v>122601</v>
      </c>
    </row>
    <row r="2352" spans="7:14" ht="11.25" customHeight="1" x14ac:dyDescent="0.25">
      <c r="G2352" s="459"/>
      <c r="H2352" s="459">
        <v>2345</v>
      </c>
      <c r="I2352" s="444">
        <f t="shared" ca="1" si="148"/>
        <v>-7915014214.8349304</v>
      </c>
      <c r="J2352" s="444">
        <f t="array" ref="J2352">IFERROR(INDEX('Retirement Calculator'!J:J,MATCH('Isaac 401k'!N2352,'Retirement Calculator'!A:A,0),0),0)</f>
        <v>0</v>
      </c>
      <c r="K2352" s="444">
        <f t="shared" ca="1" si="146"/>
        <v>-32979225.895145543</v>
      </c>
      <c r="L2352" s="444">
        <f t="shared" ca="1" si="147"/>
        <v>-7947993440.7300758</v>
      </c>
      <c r="M2352" s="460">
        <f t="shared" si="149"/>
        <v>0.05</v>
      </c>
      <c r="N2352" s="464">
        <f t="shared" si="150"/>
        <v>122631</v>
      </c>
    </row>
    <row r="2353" spans="7:14" ht="11.25" customHeight="1" x14ac:dyDescent="0.25">
      <c r="G2353" s="459"/>
      <c r="H2353" s="459">
        <v>2346</v>
      </c>
      <c r="I2353" s="444">
        <f t="shared" ca="1" si="148"/>
        <v>-7947993440.7300758</v>
      </c>
      <c r="J2353" s="444">
        <f t="array" ref="J2353">IFERROR(INDEX('Retirement Calculator'!J:J,MATCH('Isaac 401k'!N2353,'Retirement Calculator'!A:A,0),0),0)</f>
        <v>0</v>
      </c>
      <c r="K2353" s="444">
        <f t="shared" ca="1" si="146"/>
        <v>-33116639.336375311</v>
      </c>
      <c r="L2353" s="444">
        <f t="shared" ca="1" si="147"/>
        <v>-7981110080.0664511</v>
      </c>
      <c r="M2353" s="460">
        <f t="shared" si="149"/>
        <v>0.05</v>
      </c>
      <c r="N2353" s="464">
        <f t="shared" si="150"/>
        <v>122662</v>
      </c>
    </row>
    <row r="2354" spans="7:14" ht="11.25" customHeight="1" x14ac:dyDescent="0.25">
      <c r="G2354" s="459"/>
      <c r="H2354" s="459">
        <v>2347</v>
      </c>
      <c r="I2354" s="444">
        <f t="shared" ca="1" si="148"/>
        <v>-7981110080.0664511</v>
      </c>
      <c r="J2354" s="444">
        <f t="array" ref="J2354">IFERROR(INDEX('Retirement Calculator'!J:J,MATCH('Isaac 401k'!N2354,'Retirement Calculator'!A:A,0),0),0)</f>
        <v>0</v>
      </c>
      <c r="K2354" s="444">
        <f t="shared" ca="1" si="146"/>
        <v>-33254625.333610218</v>
      </c>
      <c r="L2354" s="444">
        <f t="shared" ca="1" si="147"/>
        <v>-8014364705.4000616</v>
      </c>
      <c r="M2354" s="460">
        <f t="shared" si="149"/>
        <v>0.05</v>
      </c>
      <c r="N2354" s="464">
        <f t="shared" si="150"/>
        <v>122692</v>
      </c>
    </row>
    <row r="2355" spans="7:14" ht="11.25" customHeight="1" x14ac:dyDescent="0.25">
      <c r="G2355" s="459"/>
      <c r="H2355" s="459">
        <v>2348</v>
      </c>
      <c r="I2355" s="444">
        <f t="shared" ca="1" si="148"/>
        <v>-8014364705.4000616</v>
      </c>
      <c r="J2355" s="444">
        <f t="array" ref="J2355">IFERROR(INDEX('Retirement Calculator'!J:J,MATCH('Isaac 401k'!N2355,'Retirement Calculator'!A:A,0),0),0)</f>
        <v>0</v>
      </c>
      <c r="K2355" s="444">
        <f t="shared" ca="1" si="146"/>
        <v>-33393186.27250025</v>
      </c>
      <c r="L2355" s="444">
        <f t="shared" ca="1" si="147"/>
        <v>-8047757891.6725616</v>
      </c>
      <c r="M2355" s="460">
        <f t="shared" si="149"/>
        <v>0.05</v>
      </c>
      <c r="N2355" s="464">
        <f t="shared" si="150"/>
        <v>122723</v>
      </c>
    </row>
    <row r="2356" spans="7:14" ht="11.25" customHeight="1" x14ac:dyDescent="0.25">
      <c r="G2356" s="459"/>
      <c r="H2356" s="459">
        <v>2349</v>
      </c>
      <c r="I2356" s="444">
        <f t="shared" ca="1" si="148"/>
        <v>-8047757891.6725616</v>
      </c>
      <c r="J2356" s="444">
        <f t="array" ref="J2356">IFERROR(INDEX('Retirement Calculator'!J:J,MATCH('Isaac 401k'!N2356,'Retirement Calculator'!A:A,0),0),0)</f>
        <v>0</v>
      </c>
      <c r="K2356" s="444">
        <f t="shared" ca="1" si="146"/>
        <v>-33532324.548635677</v>
      </c>
      <c r="L2356" s="444">
        <f t="shared" ca="1" si="147"/>
        <v>-8081290216.2211971</v>
      </c>
      <c r="M2356" s="460">
        <f t="shared" si="149"/>
        <v>0.05</v>
      </c>
      <c r="N2356" s="464">
        <f t="shared" si="150"/>
        <v>122754</v>
      </c>
    </row>
    <row r="2357" spans="7:14" ht="11.25" customHeight="1" x14ac:dyDescent="0.25">
      <c r="G2357" s="459"/>
      <c r="H2357" s="459">
        <v>2350</v>
      </c>
      <c r="I2357" s="444">
        <f t="shared" ca="1" si="148"/>
        <v>-8081290216.2211971</v>
      </c>
      <c r="J2357" s="444">
        <f t="array" ref="J2357">IFERROR(INDEX('Retirement Calculator'!J:J,MATCH('Isaac 401k'!N2357,'Retirement Calculator'!A:A,0),0),0)</f>
        <v>0</v>
      </c>
      <c r="K2357" s="444">
        <f t="shared" ca="1" si="146"/>
        <v>-33672042.567588314</v>
      </c>
      <c r="L2357" s="444">
        <f t="shared" ca="1" si="147"/>
        <v>-8114962258.788785</v>
      </c>
      <c r="M2357" s="460">
        <f t="shared" si="149"/>
        <v>0.05</v>
      </c>
      <c r="N2357" s="464">
        <f t="shared" si="150"/>
        <v>122783</v>
      </c>
    </row>
    <row r="2358" spans="7:14" ht="11.25" customHeight="1" x14ac:dyDescent="0.25">
      <c r="G2358" s="459"/>
      <c r="H2358" s="459">
        <v>2351</v>
      </c>
      <c r="I2358" s="444">
        <f t="shared" ca="1" si="148"/>
        <v>-8114962258.788785</v>
      </c>
      <c r="J2358" s="444">
        <f t="array" ref="J2358">IFERROR(INDEX('Retirement Calculator'!J:J,MATCH('Isaac 401k'!N2358,'Retirement Calculator'!A:A,0),0),0)</f>
        <v>0</v>
      </c>
      <c r="K2358" s="444">
        <f t="shared" ca="1" si="146"/>
        <v>-33812342.744953267</v>
      </c>
      <c r="L2358" s="444">
        <f t="shared" ca="1" si="147"/>
        <v>-8148774601.5337381</v>
      </c>
      <c r="M2358" s="460">
        <f t="shared" si="149"/>
        <v>0.05</v>
      </c>
      <c r="N2358" s="464">
        <f t="shared" si="150"/>
        <v>122814</v>
      </c>
    </row>
    <row r="2359" spans="7:14" ht="11.25" customHeight="1" x14ac:dyDescent="0.25">
      <c r="G2359" s="459"/>
      <c r="H2359" s="459">
        <v>2352</v>
      </c>
      <c r="I2359" s="444">
        <f t="shared" ca="1" si="148"/>
        <v>-8148774601.5337381</v>
      </c>
      <c r="J2359" s="444">
        <f t="array" ref="J2359">IFERROR(INDEX('Retirement Calculator'!J:J,MATCH('Isaac 401k'!N2359,'Retirement Calculator'!A:A,0),0),0)</f>
        <v>0</v>
      </c>
      <c r="K2359" s="444">
        <f t="shared" ca="1" si="146"/>
        <v>-33953227.506390572</v>
      </c>
      <c r="L2359" s="444">
        <f t="shared" ca="1" si="147"/>
        <v>-8182727829.0401287</v>
      </c>
      <c r="M2359" s="460">
        <f t="shared" si="149"/>
        <v>0.05</v>
      </c>
      <c r="N2359" s="464">
        <f t="shared" si="150"/>
        <v>122844</v>
      </c>
    </row>
    <row r="2360" spans="7:14" ht="11.25" customHeight="1" x14ac:dyDescent="0.25">
      <c r="G2360" s="459"/>
      <c r="H2360" s="459">
        <v>2353</v>
      </c>
      <c r="I2360" s="444">
        <f t="shared" ca="1" si="148"/>
        <v>-8182727829.0401287</v>
      </c>
      <c r="J2360" s="444">
        <f t="array" ref="J2360">IFERROR(INDEX('Retirement Calculator'!J:J,MATCH('Isaac 401k'!N2360,'Retirement Calculator'!A:A,0),0),0)</f>
        <v>0</v>
      </c>
      <c r="K2360" s="444">
        <f t="shared" ca="1" si="146"/>
        <v>-34094699.2876672</v>
      </c>
      <c r="L2360" s="444">
        <f t="shared" ca="1" si="147"/>
        <v>-8216822528.327796</v>
      </c>
      <c r="M2360" s="460">
        <f t="shared" si="149"/>
        <v>0.05</v>
      </c>
      <c r="N2360" s="464">
        <f t="shared" si="150"/>
        <v>122875</v>
      </c>
    </row>
    <row r="2361" spans="7:14" ht="11.25" customHeight="1" x14ac:dyDescent="0.25">
      <c r="G2361" s="459"/>
      <c r="H2361" s="459">
        <v>2354</v>
      </c>
      <c r="I2361" s="444">
        <f t="shared" ca="1" si="148"/>
        <v>-8216822528.327796</v>
      </c>
      <c r="J2361" s="444">
        <f t="array" ref="J2361">IFERROR(INDEX('Retirement Calculator'!J:J,MATCH('Isaac 401k'!N2361,'Retirement Calculator'!A:A,0),0),0)</f>
        <v>0</v>
      </c>
      <c r="K2361" s="444">
        <f t="shared" ca="1" si="146"/>
        <v>-34236760.534699149</v>
      </c>
      <c r="L2361" s="444">
        <f t="shared" ca="1" si="147"/>
        <v>-8251059288.8624954</v>
      </c>
      <c r="M2361" s="460">
        <f t="shared" si="149"/>
        <v>0.05</v>
      </c>
      <c r="N2361" s="464">
        <f t="shared" si="150"/>
        <v>122905</v>
      </c>
    </row>
    <row r="2362" spans="7:14" ht="11.25" customHeight="1" x14ac:dyDescent="0.25">
      <c r="G2362" s="459"/>
      <c r="H2362" s="459">
        <v>2355</v>
      </c>
      <c r="I2362" s="444">
        <f t="shared" ca="1" si="148"/>
        <v>-8251059288.8624954</v>
      </c>
      <c r="J2362" s="444">
        <f t="array" ref="J2362">IFERROR(INDEX('Retirement Calculator'!J:J,MATCH('Isaac 401k'!N2362,'Retirement Calculator'!A:A,0),0),0)</f>
        <v>0</v>
      </c>
      <c r="K2362" s="444">
        <f t="shared" ca="1" si="146"/>
        <v>-34379413.703593723</v>
      </c>
      <c r="L2362" s="444">
        <f t="shared" ca="1" si="147"/>
        <v>-8285438702.5660887</v>
      </c>
      <c r="M2362" s="460">
        <f t="shared" si="149"/>
        <v>0.05</v>
      </c>
      <c r="N2362" s="464">
        <f t="shared" si="150"/>
        <v>122936</v>
      </c>
    </row>
    <row r="2363" spans="7:14" ht="11.25" customHeight="1" x14ac:dyDescent="0.25">
      <c r="G2363" s="459"/>
      <c r="H2363" s="459">
        <v>2356</v>
      </c>
      <c r="I2363" s="444">
        <f t="shared" ca="1" si="148"/>
        <v>-8285438702.5660887</v>
      </c>
      <c r="J2363" s="444">
        <f t="array" ref="J2363">IFERROR(INDEX('Retirement Calculator'!J:J,MATCH('Isaac 401k'!N2363,'Retirement Calculator'!A:A,0),0),0)</f>
        <v>0</v>
      </c>
      <c r="K2363" s="444">
        <f t="shared" ca="1" si="146"/>
        <v>-34522661.260692038</v>
      </c>
      <c r="L2363" s="444">
        <f t="shared" ca="1" si="147"/>
        <v>-8319961363.8267803</v>
      </c>
      <c r="M2363" s="460">
        <f t="shared" si="149"/>
        <v>0.05</v>
      </c>
      <c r="N2363" s="464">
        <f t="shared" si="150"/>
        <v>122967</v>
      </c>
    </row>
    <row r="2364" spans="7:14" ht="11.25" customHeight="1" x14ac:dyDescent="0.25">
      <c r="G2364" s="459"/>
      <c r="H2364" s="459">
        <v>2357</v>
      </c>
      <c r="I2364" s="444">
        <f t="shared" ca="1" si="148"/>
        <v>-8319961363.8267803</v>
      </c>
      <c r="J2364" s="444">
        <f t="array" ref="J2364">IFERROR(INDEX('Retirement Calculator'!J:J,MATCH('Isaac 401k'!N2364,'Retirement Calculator'!A:A,0),0),0)</f>
        <v>0</v>
      </c>
      <c r="K2364" s="444">
        <f t="shared" ca="1" si="146"/>
        <v>-34666505.682611585</v>
      </c>
      <c r="L2364" s="444">
        <f t="shared" ca="1" si="147"/>
        <v>-8354627869.5093918</v>
      </c>
      <c r="M2364" s="460">
        <f t="shared" si="149"/>
        <v>0.05</v>
      </c>
      <c r="N2364" s="464">
        <f t="shared" si="150"/>
        <v>122997</v>
      </c>
    </row>
    <row r="2365" spans="7:14" ht="11.25" customHeight="1" x14ac:dyDescent="0.25">
      <c r="G2365" s="459"/>
      <c r="H2365" s="459">
        <v>2358</v>
      </c>
      <c r="I2365" s="444">
        <f t="shared" ca="1" si="148"/>
        <v>-8354627869.5093918</v>
      </c>
      <c r="J2365" s="444">
        <f t="array" ref="J2365">IFERROR(INDEX('Retirement Calculator'!J:J,MATCH('Isaac 401k'!N2365,'Retirement Calculator'!A:A,0),0),0)</f>
        <v>0</v>
      </c>
      <c r="K2365" s="444">
        <f t="shared" ca="1" si="146"/>
        <v>-34810949.456289135</v>
      </c>
      <c r="L2365" s="444">
        <f t="shared" ca="1" si="147"/>
        <v>-8389438818.9656811</v>
      </c>
      <c r="M2365" s="460">
        <f t="shared" si="149"/>
        <v>0.05</v>
      </c>
      <c r="N2365" s="464">
        <f t="shared" si="150"/>
        <v>123028</v>
      </c>
    </row>
    <row r="2366" spans="7:14" ht="11.25" customHeight="1" x14ac:dyDescent="0.25">
      <c r="G2366" s="459"/>
      <c r="H2366" s="459">
        <v>2359</v>
      </c>
      <c r="I2366" s="444">
        <f t="shared" ca="1" si="148"/>
        <v>-8389438818.9656811</v>
      </c>
      <c r="J2366" s="444">
        <f t="array" ref="J2366">IFERROR(INDEX('Retirement Calculator'!J:J,MATCH('Isaac 401k'!N2366,'Retirement Calculator'!A:A,0),0),0)</f>
        <v>0</v>
      </c>
      <c r="K2366" s="444">
        <f t="shared" ca="1" si="146"/>
        <v>-34955995.079023667</v>
      </c>
      <c r="L2366" s="444">
        <f t="shared" ca="1" si="147"/>
        <v>-8424394814.0447044</v>
      </c>
      <c r="M2366" s="460">
        <f t="shared" si="149"/>
        <v>0.05</v>
      </c>
      <c r="N2366" s="464">
        <f t="shared" si="150"/>
        <v>123058</v>
      </c>
    </row>
    <row r="2367" spans="7:14" ht="11.25" customHeight="1" x14ac:dyDescent="0.25">
      <c r="G2367" s="459"/>
      <c r="H2367" s="459">
        <v>2360</v>
      </c>
      <c r="I2367" s="444">
        <f t="shared" ca="1" si="148"/>
        <v>-8424394814.0447044</v>
      </c>
      <c r="J2367" s="444">
        <f t="array" ref="J2367">IFERROR(INDEX('Retirement Calculator'!J:J,MATCH('Isaac 401k'!N2367,'Retirement Calculator'!A:A,0),0),0)</f>
        <v>0</v>
      </c>
      <c r="K2367" s="444">
        <f t="shared" ca="1" si="146"/>
        <v>-35101645.058519602</v>
      </c>
      <c r="L2367" s="444">
        <f t="shared" ca="1" si="147"/>
        <v>-8459496459.1032238</v>
      </c>
      <c r="M2367" s="460">
        <f t="shared" si="149"/>
        <v>0.05</v>
      </c>
      <c r="N2367" s="464">
        <f t="shared" si="150"/>
        <v>123089</v>
      </c>
    </row>
    <row r="2368" spans="7:14" ht="11.25" customHeight="1" x14ac:dyDescent="0.25">
      <c r="G2368" s="459"/>
      <c r="H2368" s="459">
        <v>2361</v>
      </c>
      <c r="I2368" s="444">
        <f t="shared" ca="1" si="148"/>
        <v>-8459496459.1032238</v>
      </c>
      <c r="J2368" s="444">
        <f t="array" ref="J2368">IFERROR(INDEX('Retirement Calculator'!J:J,MATCH('Isaac 401k'!N2368,'Retirement Calculator'!A:A,0),0),0)</f>
        <v>0</v>
      </c>
      <c r="K2368" s="444">
        <f t="shared" ca="1" si="146"/>
        <v>-35247901.912930101</v>
      </c>
      <c r="L2368" s="444">
        <f t="shared" ca="1" si="147"/>
        <v>-8494744361.0161543</v>
      </c>
      <c r="M2368" s="460">
        <f t="shared" si="149"/>
        <v>0.05</v>
      </c>
      <c r="N2368" s="464">
        <f t="shared" si="150"/>
        <v>123120</v>
      </c>
    </row>
    <row r="2369" spans="7:14" ht="11.25" customHeight="1" x14ac:dyDescent="0.25">
      <c r="G2369" s="459"/>
      <c r="H2369" s="459">
        <v>2362</v>
      </c>
      <c r="I2369" s="444">
        <f t="shared" ca="1" si="148"/>
        <v>-8494744361.0161543</v>
      </c>
      <c r="J2369" s="444">
        <f t="array" ref="J2369">IFERROR(INDEX('Retirement Calculator'!J:J,MATCH('Isaac 401k'!N2369,'Retirement Calculator'!A:A,0),0),0)</f>
        <v>0</v>
      </c>
      <c r="K2369" s="444">
        <f t="shared" ca="1" si="146"/>
        <v>-35394768.170900643</v>
      </c>
      <c r="L2369" s="444">
        <f t="shared" ca="1" si="147"/>
        <v>-8530139129.1870546</v>
      </c>
      <c r="M2369" s="460">
        <f t="shared" si="149"/>
        <v>0.05</v>
      </c>
      <c r="N2369" s="464">
        <f t="shared" si="150"/>
        <v>123148</v>
      </c>
    </row>
    <row r="2370" spans="7:14" ht="11.25" customHeight="1" x14ac:dyDescent="0.25">
      <c r="G2370" s="459"/>
      <c r="H2370" s="459">
        <v>2363</v>
      </c>
      <c r="I2370" s="444">
        <f t="shared" ca="1" si="148"/>
        <v>-8530139129.1870546</v>
      </c>
      <c r="J2370" s="444">
        <f t="array" ref="J2370">IFERROR(INDEX('Retirement Calculator'!J:J,MATCH('Isaac 401k'!N2370,'Retirement Calculator'!A:A,0),0),0)</f>
        <v>0</v>
      </c>
      <c r="K2370" s="444">
        <f t="shared" ca="1" si="146"/>
        <v>-35542246.371612728</v>
      </c>
      <c r="L2370" s="444">
        <f t="shared" ca="1" si="147"/>
        <v>-8565681375.5586672</v>
      </c>
      <c r="M2370" s="460">
        <f t="shared" si="149"/>
        <v>0.05</v>
      </c>
      <c r="N2370" s="464">
        <f t="shared" si="150"/>
        <v>123179</v>
      </c>
    </row>
    <row r="2371" spans="7:14" ht="11.25" customHeight="1" x14ac:dyDescent="0.25">
      <c r="G2371" s="459"/>
      <c r="H2371" s="459">
        <v>2364</v>
      </c>
      <c r="I2371" s="444">
        <f t="shared" ca="1" si="148"/>
        <v>-8565681375.5586672</v>
      </c>
      <c r="J2371" s="444">
        <f t="array" ref="J2371">IFERROR(INDEX('Retirement Calculator'!J:J,MATCH('Isaac 401k'!N2371,'Retirement Calculator'!A:A,0),0),0)</f>
        <v>0</v>
      </c>
      <c r="K2371" s="444">
        <f t="shared" ca="1" si="146"/>
        <v>-35690339.064827785</v>
      </c>
      <c r="L2371" s="444">
        <f t="shared" ca="1" si="147"/>
        <v>-8601371714.6234951</v>
      </c>
      <c r="M2371" s="460">
        <f t="shared" si="149"/>
        <v>0.05</v>
      </c>
      <c r="N2371" s="464">
        <f t="shared" si="150"/>
        <v>123209</v>
      </c>
    </row>
    <row r="2372" spans="7:14" ht="11.25" customHeight="1" x14ac:dyDescent="0.25">
      <c r="G2372" s="459"/>
      <c r="H2372" s="459">
        <v>2365</v>
      </c>
      <c r="I2372" s="444">
        <f t="shared" ca="1" si="148"/>
        <v>-8601371714.6234951</v>
      </c>
      <c r="J2372" s="444">
        <f t="array" ref="J2372">IFERROR(INDEX('Retirement Calculator'!J:J,MATCH('Isaac 401k'!N2372,'Retirement Calculator'!A:A,0),0),0)</f>
        <v>0</v>
      </c>
      <c r="K2372" s="444">
        <f t="shared" ca="1" si="146"/>
        <v>-35839048.810931228</v>
      </c>
      <c r="L2372" s="444">
        <f t="shared" ca="1" si="147"/>
        <v>-8637210763.4344273</v>
      </c>
      <c r="M2372" s="460">
        <f t="shared" si="149"/>
        <v>0.05</v>
      </c>
      <c r="N2372" s="464">
        <f t="shared" si="150"/>
        <v>123240</v>
      </c>
    </row>
    <row r="2373" spans="7:14" ht="11.25" customHeight="1" x14ac:dyDescent="0.25">
      <c r="G2373" s="459"/>
      <c r="H2373" s="459">
        <v>2366</v>
      </c>
      <c r="I2373" s="444">
        <f t="shared" ca="1" si="148"/>
        <v>-8637210763.4344273</v>
      </c>
      <c r="J2373" s="444">
        <f t="array" ref="J2373">IFERROR(INDEX('Retirement Calculator'!J:J,MATCH('Isaac 401k'!N2373,'Retirement Calculator'!A:A,0),0),0)</f>
        <v>0</v>
      </c>
      <c r="K2373" s="444">
        <f t="shared" ca="1" si="146"/>
        <v>-35988378.180976778</v>
      </c>
      <c r="L2373" s="444">
        <f t="shared" ca="1" si="147"/>
        <v>-8673199141.6154041</v>
      </c>
      <c r="M2373" s="460">
        <f t="shared" si="149"/>
        <v>0.05</v>
      </c>
      <c r="N2373" s="464">
        <f t="shared" si="150"/>
        <v>123270</v>
      </c>
    </row>
    <row r="2374" spans="7:14" ht="11.25" customHeight="1" x14ac:dyDescent="0.25">
      <c r="G2374" s="459"/>
      <c r="H2374" s="459">
        <v>2367</v>
      </c>
      <c r="I2374" s="444">
        <f t="shared" ca="1" si="148"/>
        <v>-8673199141.6154041</v>
      </c>
      <c r="J2374" s="444">
        <f t="array" ref="J2374">IFERROR(INDEX('Retirement Calculator'!J:J,MATCH('Isaac 401k'!N2374,'Retirement Calculator'!A:A,0),0),0)</f>
        <v>0</v>
      </c>
      <c r="K2374" s="444">
        <f t="shared" ca="1" si="146"/>
        <v>-36138329.756730847</v>
      </c>
      <c r="L2374" s="444">
        <f t="shared" ca="1" si="147"/>
        <v>-8709337471.3721352</v>
      </c>
      <c r="M2374" s="460">
        <f t="shared" si="149"/>
        <v>0.05</v>
      </c>
      <c r="N2374" s="464">
        <f t="shared" si="150"/>
        <v>123301</v>
      </c>
    </row>
    <row r="2375" spans="7:14" ht="11.25" customHeight="1" x14ac:dyDescent="0.25">
      <c r="G2375" s="459"/>
      <c r="H2375" s="459">
        <v>2368</v>
      </c>
      <c r="I2375" s="444">
        <f t="shared" ca="1" si="148"/>
        <v>-8709337471.3721352</v>
      </c>
      <c r="J2375" s="444">
        <f t="array" ref="J2375">IFERROR(INDEX('Retirement Calculator'!J:J,MATCH('Isaac 401k'!N2375,'Retirement Calculator'!A:A,0),0),0)</f>
        <v>0</v>
      </c>
      <c r="K2375" s="444">
        <f t="shared" ca="1" si="146"/>
        <v>-36288906.130717233</v>
      </c>
      <c r="L2375" s="444">
        <f t="shared" ca="1" si="147"/>
        <v>-8745626377.5028515</v>
      </c>
      <c r="M2375" s="460">
        <f t="shared" si="149"/>
        <v>0.05</v>
      </c>
      <c r="N2375" s="464">
        <f t="shared" si="150"/>
        <v>123332</v>
      </c>
    </row>
    <row r="2376" spans="7:14" ht="11.25" customHeight="1" x14ac:dyDescent="0.25">
      <c r="G2376" s="459"/>
      <c r="H2376" s="459">
        <v>2369</v>
      </c>
      <c r="I2376" s="444">
        <f t="shared" ca="1" si="148"/>
        <v>-8745626377.5028515</v>
      </c>
      <c r="J2376" s="444">
        <f t="array" ref="J2376">IFERROR(INDEX('Retirement Calculator'!J:J,MATCH('Isaac 401k'!N2376,'Retirement Calculator'!A:A,0),0),0)</f>
        <v>0</v>
      </c>
      <c r="K2376" s="444">
        <f t="shared" ca="1" si="146"/>
        <v>-36440109.906261884</v>
      </c>
      <c r="L2376" s="444">
        <f t="shared" ca="1" si="147"/>
        <v>-8782066487.4091129</v>
      </c>
      <c r="M2376" s="460">
        <f t="shared" si="149"/>
        <v>0.05</v>
      </c>
      <c r="N2376" s="464">
        <f t="shared" si="150"/>
        <v>123362</v>
      </c>
    </row>
    <row r="2377" spans="7:14" ht="11.25" customHeight="1" x14ac:dyDescent="0.25">
      <c r="G2377" s="459"/>
      <c r="H2377" s="459">
        <v>2370</v>
      </c>
      <c r="I2377" s="444">
        <f t="shared" ca="1" si="148"/>
        <v>-8782066487.4091129</v>
      </c>
      <c r="J2377" s="444">
        <f t="array" ref="J2377">IFERROR(INDEX('Retirement Calculator'!J:J,MATCH('Isaac 401k'!N2377,'Retirement Calculator'!A:A,0),0),0)</f>
        <v>0</v>
      </c>
      <c r="K2377" s="444">
        <f t="shared" ca="1" si="146"/>
        <v>-36591943.697537974</v>
      </c>
      <c r="L2377" s="444">
        <f t="shared" ca="1" si="147"/>
        <v>-8818658431.1066513</v>
      </c>
      <c r="M2377" s="460">
        <f t="shared" si="149"/>
        <v>0.05</v>
      </c>
      <c r="N2377" s="464">
        <f t="shared" si="150"/>
        <v>123393</v>
      </c>
    </row>
    <row r="2378" spans="7:14" ht="11.25" customHeight="1" x14ac:dyDescent="0.25">
      <c r="G2378" s="459"/>
      <c r="H2378" s="459">
        <v>2371</v>
      </c>
      <c r="I2378" s="444">
        <f t="shared" ca="1" si="148"/>
        <v>-8818658431.1066513</v>
      </c>
      <c r="J2378" s="444">
        <f t="array" ref="J2378">IFERROR(INDEX('Retirement Calculator'!J:J,MATCH('Isaac 401k'!N2378,'Retirement Calculator'!A:A,0),0),0)</f>
        <v>0</v>
      </c>
      <c r="K2378" s="444">
        <f t="shared" ca="1" si="146"/>
        <v>-36744410.129611045</v>
      </c>
      <c r="L2378" s="444">
        <f t="shared" ca="1" si="147"/>
        <v>-8855402841.2362633</v>
      </c>
      <c r="M2378" s="460">
        <f t="shared" si="149"/>
        <v>0.05</v>
      </c>
      <c r="N2378" s="464">
        <f t="shared" si="150"/>
        <v>123423</v>
      </c>
    </row>
    <row r="2379" spans="7:14" ht="11.25" customHeight="1" x14ac:dyDescent="0.25">
      <c r="G2379" s="459"/>
      <c r="H2379" s="459">
        <v>2372</v>
      </c>
      <c r="I2379" s="444">
        <f t="shared" ca="1" si="148"/>
        <v>-8855402841.2362633</v>
      </c>
      <c r="J2379" s="444">
        <f t="array" ref="J2379">IFERROR(INDEX('Retirement Calculator'!J:J,MATCH('Isaac 401k'!N2379,'Retirement Calculator'!A:A,0),0),0)</f>
        <v>0</v>
      </c>
      <c r="K2379" s="444">
        <f t="shared" ca="1" si="146"/>
        <v>-36897511.838484429</v>
      </c>
      <c r="L2379" s="444">
        <f t="shared" ca="1" si="147"/>
        <v>-8892300353.0747471</v>
      </c>
      <c r="M2379" s="460">
        <f t="shared" si="149"/>
        <v>0.05</v>
      </c>
      <c r="N2379" s="464">
        <f t="shared" si="150"/>
        <v>123454</v>
      </c>
    </row>
    <row r="2380" spans="7:14" ht="11.25" customHeight="1" x14ac:dyDescent="0.25">
      <c r="G2380" s="459"/>
      <c r="H2380" s="459">
        <v>2373</v>
      </c>
      <c r="I2380" s="444">
        <f t="shared" ca="1" si="148"/>
        <v>-8892300353.0747471</v>
      </c>
      <c r="J2380" s="444">
        <f t="array" ref="J2380">IFERROR(INDEX('Retirement Calculator'!J:J,MATCH('Isaac 401k'!N2380,'Retirement Calculator'!A:A,0),0),0)</f>
        <v>0</v>
      </c>
      <c r="K2380" s="444">
        <f t="shared" ca="1" si="146"/>
        <v>-37051251.471144781</v>
      </c>
      <c r="L2380" s="444">
        <f t="shared" ca="1" si="147"/>
        <v>-8929351604.5458927</v>
      </c>
      <c r="M2380" s="460">
        <f t="shared" si="149"/>
        <v>0.05</v>
      </c>
      <c r="N2380" s="464">
        <f t="shared" si="150"/>
        <v>123485</v>
      </c>
    </row>
    <row r="2381" spans="7:14" ht="11.25" customHeight="1" x14ac:dyDescent="0.25">
      <c r="G2381" s="459"/>
      <c r="H2381" s="459">
        <v>2374</v>
      </c>
      <c r="I2381" s="444">
        <f t="shared" ca="1" si="148"/>
        <v>-8929351604.5458927</v>
      </c>
      <c r="J2381" s="444">
        <f t="array" ref="J2381">IFERROR(INDEX('Retirement Calculator'!J:J,MATCH('Isaac 401k'!N2381,'Retirement Calculator'!A:A,0),0),0)</f>
        <v>0</v>
      </c>
      <c r="K2381" s="444">
        <f t="shared" ca="1" si="146"/>
        <v>-37205631.685607888</v>
      </c>
      <c r="L2381" s="444">
        <f t="shared" ca="1" si="147"/>
        <v>-8966557236.2315006</v>
      </c>
      <c r="M2381" s="460">
        <f t="shared" si="149"/>
        <v>0.05</v>
      </c>
      <c r="N2381" s="464">
        <f t="shared" si="150"/>
        <v>123513</v>
      </c>
    </row>
    <row r="2382" spans="7:14" ht="11.25" customHeight="1" x14ac:dyDescent="0.25">
      <c r="G2382" s="459"/>
      <c r="H2382" s="459">
        <v>2375</v>
      </c>
      <c r="I2382" s="444">
        <f t="shared" ca="1" si="148"/>
        <v>-8966557236.2315006</v>
      </c>
      <c r="J2382" s="444">
        <f t="array" ref="J2382">IFERROR(INDEX('Retirement Calculator'!J:J,MATCH('Isaac 401k'!N2382,'Retirement Calculator'!A:A,0),0),0)</f>
        <v>0</v>
      </c>
      <c r="K2382" s="444">
        <f t="shared" ca="1" si="146"/>
        <v>-37360655.150964588</v>
      </c>
      <c r="L2382" s="444">
        <f t="shared" ca="1" si="147"/>
        <v>-9003917891.3824654</v>
      </c>
      <c r="M2382" s="460">
        <f t="shared" si="149"/>
        <v>0.05</v>
      </c>
      <c r="N2382" s="464">
        <f t="shared" si="150"/>
        <v>123544</v>
      </c>
    </row>
    <row r="2383" spans="7:14" ht="11.25" customHeight="1" x14ac:dyDescent="0.25">
      <c r="G2383" s="459"/>
      <c r="H2383" s="459">
        <v>2376</v>
      </c>
      <c r="I2383" s="444">
        <f t="shared" ca="1" si="148"/>
        <v>-9003917891.3824654</v>
      </c>
      <c r="J2383" s="444">
        <f t="array" ref="J2383">IFERROR(INDEX('Retirement Calculator'!J:J,MATCH('Isaac 401k'!N2383,'Retirement Calculator'!A:A,0),0),0)</f>
        <v>0</v>
      </c>
      <c r="K2383" s="444">
        <f t="shared" ca="1" si="146"/>
        <v>-37516324.547426939</v>
      </c>
      <c r="L2383" s="444">
        <f t="shared" ca="1" si="147"/>
        <v>-9041434215.9298916</v>
      </c>
      <c r="M2383" s="460">
        <f t="shared" si="149"/>
        <v>0.05</v>
      </c>
      <c r="N2383" s="464">
        <f t="shared" si="150"/>
        <v>123574</v>
      </c>
    </row>
    <row r="2384" spans="7:14" ht="11.25" customHeight="1" x14ac:dyDescent="0.25">
      <c r="G2384" s="459"/>
      <c r="H2384" s="459">
        <v>2377</v>
      </c>
      <c r="I2384" s="444">
        <f t="shared" ca="1" si="148"/>
        <v>-9041434215.9298916</v>
      </c>
      <c r="J2384" s="444">
        <f t="array" ref="J2384">IFERROR(INDEX('Retirement Calculator'!J:J,MATCH('Isaac 401k'!N2384,'Retirement Calculator'!A:A,0),0),0)</f>
        <v>0</v>
      </c>
      <c r="K2384" s="444">
        <f t="shared" ca="1" si="146"/>
        <v>-37672642.566374548</v>
      </c>
      <c r="L2384" s="444">
        <f t="shared" ca="1" si="147"/>
        <v>-9079106858.4962654</v>
      </c>
      <c r="M2384" s="460">
        <f t="shared" si="149"/>
        <v>0.05</v>
      </c>
      <c r="N2384" s="464">
        <f t="shared" si="150"/>
        <v>123605</v>
      </c>
    </row>
    <row r="2385" spans="7:14" ht="11.25" customHeight="1" x14ac:dyDescent="0.25">
      <c r="G2385" s="459"/>
      <c r="H2385" s="459">
        <v>2378</v>
      </c>
      <c r="I2385" s="444">
        <f t="shared" ca="1" si="148"/>
        <v>-9079106858.4962654</v>
      </c>
      <c r="J2385" s="444">
        <f t="array" ref="J2385">IFERROR(INDEX('Retirement Calculator'!J:J,MATCH('Isaac 401k'!N2385,'Retirement Calculator'!A:A,0),0),0)</f>
        <v>0</v>
      </c>
      <c r="K2385" s="444">
        <f t="shared" ca="1" si="146"/>
        <v>-37829611.910401106</v>
      </c>
      <c r="L2385" s="444">
        <f t="shared" ca="1" si="147"/>
        <v>-9116936470.4066658</v>
      </c>
      <c r="M2385" s="460">
        <f t="shared" si="149"/>
        <v>0.05</v>
      </c>
      <c r="N2385" s="464">
        <f t="shared" si="150"/>
        <v>123635</v>
      </c>
    </row>
    <row r="2386" spans="7:14" ht="11.25" customHeight="1" x14ac:dyDescent="0.25">
      <c r="G2386" s="459"/>
      <c r="H2386" s="459">
        <v>2379</v>
      </c>
      <c r="I2386" s="444">
        <f t="shared" ca="1" si="148"/>
        <v>-9116936470.4066658</v>
      </c>
      <c r="J2386" s="444">
        <f t="array" ref="J2386">IFERROR(INDEX('Retirement Calculator'!J:J,MATCH('Isaac 401k'!N2386,'Retirement Calculator'!A:A,0),0),0)</f>
        <v>0</v>
      </c>
      <c r="K2386" s="444">
        <f t="shared" ca="1" si="146"/>
        <v>-37987235.293361105</v>
      </c>
      <c r="L2386" s="444">
        <f t="shared" ca="1" si="147"/>
        <v>-9154923705.7000275</v>
      </c>
      <c r="M2386" s="460">
        <f t="shared" si="149"/>
        <v>0.05</v>
      </c>
      <c r="N2386" s="464">
        <f t="shared" si="150"/>
        <v>123666</v>
      </c>
    </row>
    <row r="2387" spans="7:14" ht="11.25" customHeight="1" x14ac:dyDescent="0.25">
      <c r="G2387" s="459"/>
      <c r="H2387" s="459">
        <v>2380</v>
      </c>
      <c r="I2387" s="444">
        <f t="shared" ca="1" si="148"/>
        <v>-9154923705.7000275</v>
      </c>
      <c r="J2387" s="444">
        <f t="array" ref="J2387">IFERROR(INDEX('Retirement Calculator'!J:J,MATCH('Isaac 401k'!N2387,'Retirement Calculator'!A:A,0),0),0)</f>
        <v>0</v>
      </c>
      <c r="K2387" s="444">
        <f t="shared" ca="1" si="146"/>
        <v>-38145515.440416783</v>
      </c>
      <c r="L2387" s="444">
        <f t="shared" ca="1" si="147"/>
        <v>-9193069221.1404438</v>
      </c>
      <c r="M2387" s="460">
        <f t="shared" si="149"/>
        <v>0.05</v>
      </c>
      <c r="N2387" s="464">
        <f t="shared" si="150"/>
        <v>123697</v>
      </c>
    </row>
    <row r="2388" spans="7:14" ht="11.25" customHeight="1" x14ac:dyDescent="0.25">
      <c r="G2388" s="459"/>
      <c r="H2388" s="459">
        <v>2381</v>
      </c>
      <c r="I2388" s="444">
        <f t="shared" ca="1" si="148"/>
        <v>-9193069221.1404438</v>
      </c>
      <c r="J2388" s="444">
        <f t="array" ref="J2388">IFERROR(INDEX('Retirement Calculator'!J:J,MATCH('Isaac 401k'!N2388,'Retirement Calculator'!A:A,0),0),0)</f>
        <v>0</v>
      </c>
      <c r="K2388" s="444">
        <f t="shared" ca="1" si="146"/>
        <v>-38304455.088085182</v>
      </c>
      <c r="L2388" s="444">
        <f t="shared" ca="1" si="147"/>
        <v>-9231373676.228529</v>
      </c>
      <c r="M2388" s="460">
        <f t="shared" si="149"/>
        <v>0.05</v>
      </c>
      <c r="N2388" s="464">
        <f t="shared" si="150"/>
        <v>123727</v>
      </c>
    </row>
    <row r="2389" spans="7:14" ht="11.25" customHeight="1" x14ac:dyDescent="0.25">
      <c r="G2389" s="459"/>
      <c r="H2389" s="459">
        <v>2382</v>
      </c>
      <c r="I2389" s="444">
        <f t="shared" ca="1" si="148"/>
        <v>-9231373676.228529</v>
      </c>
      <c r="J2389" s="444">
        <f t="array" ref="J2389">IFERROR(INDEX('Retirement Calculator'!J:J,MATCH('Isaac 401k'!N2389,'Retirement Calculator'!A:A,0),0),0)</f>
        <v>0</v>
      </c>
      <c r="K2389" s="444">
        <f t="shared" ca="1" si="146"/>
        <v>-38464056.984285533</v>
      </c>
      <c r="L2389" s="444">
        <f t="shared" ca="1" si="147"/>
        <v>-9269837733.2128143</v>
      </c>
      <c r="M2389" s="460">
        <f t="shared" si="149"/>
        <v>0.05</v>
      </c>
      <c r="N2389" s="464">
        <f t="shared" si="150"/>
        <v>123758</v>
      </c>
    </row>
    <row r="2390" spans="7:14" ht="11.25" customHeight="1" x14ac:dyDescent="0.25">
      <c r="G2390" s="459"/>
      <c r="H2390" s="459">
        <v>2383</v>
      </c>
      <c r="I2390" s="444">
        <f t="shared" ca="1" si="148"/>
        <v>-9269837733.2128143</v>
      </c>
      <c r="J2390" s="444">
        <f t="array" ref="J2390">IFERROR(INDEX('Retirement Calculator'!J:J,MATCH('Isaac 401k'!N2390,'Retirement Calculator'!A:A,0),0),0)</f>
        <v>0</v>
      </c>
      <c r="K2390" s="444">
        <f t="shared" ca="1" si="146"/>
        <v>-38624323.888386726</v>
      </c>
      <c r="L2390" s="444">
        <f t="shared" ca="1" si="147"/>
        <v>-9308462057.1012001</v>
      </c>
      <c r="M2390" s="460">
        <f t="shared" si="149"/>
        <v>0.05</v>
      </c>
      <c r="N2390" s="464">
        <f t="shared" si="150"/>
        <v>123788</v>
      </c>
    </row>
    <row r="2391" spans="7:14" ht="11.25" customHeight="1" x14ac:dyDescent="0.25">
      <c r="G2391" s="459"/>
      <c r="H2391" s="459">
        <v>2384</v>
      </c>
      <c r="I2391" s="444">
        <f t="shared" ca="1" si="148"/>
        <v>-9308462057.1012001</v>
      </c>
      <c r="J2391" s="444">
        <f t="array" ref="J2391">IFERROR(INDEX('Retirement Calculator'!J:J,MATCH('Isaac 401k'!N2391,'Retirement Calculator'!A:A,0),0),0)</f>
        <v>0</v>
      </c>
      <c r="K2391" s="444">
        <f t="shared" ca="1" si="146"/>
        <v>-38785258.571254998</v>
      </c>
      <c r="L2391" s="444">
        <f t="shared" ca="1" si="147"/>
        <v>-9347247315.6724548</v>
      </c>
      <c r="M2391" s="460">
        <f t="shared" si="149"/>
        <v>0.05</v>
      </c>
      <c r="N2391" s="464">
        <f t="shared" si="150"/>
        <v>123819</v>
      </c>
    </row>
    <row r="2392" spans="7:14" ht="11.25" customHeight="1" x14ac:dyDescent="0.25">
      <c r="G2392" s="459"/>
      <c r="H2392" s="459">
        <v>2385</v>
      </c>
      <c r="I2392" s="444">
        <f t="shared" ca="1" si="148"/>
        <v>-9347247315.6724548</v>
      </c>
      <c r="J2392" s="444">
        <f t="array" ref="J2392">IFERROR(INDEX('Retirement Calculator'!J:J,MATCH('Isaac 401k'!N2392,'Retirement Calculator'!A:A,0),0),0)</f>
        <v>0</v>
      </c>
      <c r="K2392" s="444">
        <f t="shared" ca="1" si="146"/>
        <v>-38946863.815301895</v>
      </c>
      <c r="L2392" s="444">
        <f t="shared" ca="1" si="147"/>
        <v>-9386194179.4877567</v>
      </c>
      <c r="M2392" s="460">
        <f t="shared" si="149"/>
        <v>0.05</v>
      </c>
      <c r="N2392" s="464">
        <f t="shared" si="150"/>
        <v>123850</v>
      </c>
    </row>
    <row r="2393" spans="7:14" ht="11.25" customHeight="1" x14ac:dyDescent="0.25">
      <c r="G2393" s="459"/>
      <c r="H2393" s="459">
        <v>2386</v>
      </c>
      <c r="I2393" s="444">
        <f t="shared" ca="1" si="148"/>
        <v>-9386194179.4877567</v>
      </c>
      <c r="J2393" s="444">
        <f t="array" ref="J2393">IFERROR(INDEX('Retirement Calculator'!J:J,MATCH('Isaac 401k'!N2393,'Retirement Calculator'!A:A,0),0),0)</f>
        <v>0</v>
      </c>
      <c r="K2393" s="444">
        <f t="shared" ca="1" si="146"/>
        <v>-39109142.414532319</v>
      </c>
      <c r="L2393" s="444">
        <f t="shared" ca="1" si="147"/>
        <v>-9425303321.9022884</v>
      </c>
      <c r="M2393" s="460">
        <f t="shared" si="149"/>
        <v>0.05</v>
      </c>
      <c r="N2393" s="464">
        <f t="shared" si="150"/>
        <v>123878</v>
      </c>
    </row>
    <row r="2394" spans="7:14" ht="11.25" customHeight="1" x14ac:dyDescent="0.25">
      <c r="G2394" s="459"/>
      <c r="H2394" s="459">
        <v>2387</v>
      </c>
      <c r="I2394" s="444">
        <f t="shared" ca="1" si="148"/>
        <v>-9425303321.9022884</v>
      </c>
      <c r="J2394" s="444">
        <f t="array" ref="J2394">IFERROR(INDEX('Retirement Calculator'!J:J,MATCH('Isaac 401k'!N2394,'Retirement Calculator'!A:A,0),0),0)</f>
        <v>0</v>
      </c>
      <c r="K2394" s="444">
        <f t="shared" ca="1" si="146"/>
        <v>-39272097.174592867</v>
      </c>
      <c r="L2394" s="444">
        <f t="shared" ca="1" si="147"/>
        <v>-9464575419.0768814</v>
      </c>
      <c r="M2394" s="460">
        <f t="shared" si="149"/>
        <v>0.05</v>
      </c>
      <c r="N2394" s="464">
        <f t="shared" si="150"/>
        <v>123909</v>
      </c>
    </row>
    <row r="2395" spans="7:14" ht="11.25" customHeight="1" x14ac:dyDescent="0.25">
      <c r="G2395" s="459"/>
      <c r="H2395" s="459">
        <v>2388</v>
      </c>
      <c r="I2395" s="444">
        <f t="shared" ca="1" si="148"/>
        <v>-9464575419.0768814</v>
      </c>
      <c r="J2395" s="444">
        <f t="array" ref="J2395">IFERROR(INDEX('Retirement Calculator'!J:J,MATCH('Isaac 401k'!N2395,'Retirement Calculator'!A:A,0),0),0)</f>
        <v>0</v>
      </c>
      <c r="K2395" s="444">
        <f t="shared" ca="1" si="146"/>
        <v>-39435730.912820339</v>
      </c>
      <c r="L2395" s="444">
        <f t="shared" ca="1" si="147"/>
        <v>-9504011149.9897022</v>
      </c>
      <c r="M2395" s="460">
        <f t="shared" si="149"/>
        <v>0.05</v>
      </c>
      <c r="N2395" s="464">
        <f t="shared" si="150"/>
        <v>123939</v>
      </c>
    </row>
    <row r="2396" spans="7:14" ht="11.25" customHeight="1" x14ac:dyDescent="0.25">
      <c r="G2396" s="459"/>
      <c r="H2396" s="459">
        <v>2389</v>
      </c>
      <c r="I2396" s="444">
        <f t="shared" ca="1" si="148"/>
        <v>-9504011149.9897022</v>
      </c>
      <c r="J2396" s="444">
        <f t="array" ref="J2396">IFERROR(INDEX('Retirement Calculator'!J:J,MATCH('Isaac 401k'!N2396,'Retirement Calculator'!A:A,0),0),0)</f>
        <v>0</v>
      </c>
      <c r="K2396" s="444">
        <f t="shared" ca="1" si="146"/>
        <v>-39600046.458290428</v>
      </c>
      <c r="L2396" s="444">
        <f t="shared" ca="1" si="147"/>
        <v>-9543611196.4479923</v>
      </c>
      <c r="M2396" s="460">
        <f t="shared" si="149"/>
        <v>0.05</v>
      </c>
      <c r="N2396" s="464">
        <f t="shared" si="150"/>
        <v>123970</v>
      </c>
    </row>
    <row r="2397" spans="7:14" ht="11.25" customHeight="1" x14ac:dyDescent="0.25">
      <c r="G2397" s="459"/>
      <c r="H2397" s="459">
        <v>2390</v>
      </c>
      <c r="I2397" s="444">
        <f t="shared" ca="1" si="148"/>
        <v>-9543611196.4479923</v>
      </c>
      <c r="J2397" s="444">
        <f t="array" ref="J2397">IFERROR(INDEX('Retirement Calculator'!J:J,MATCH('Isaac 401k'!N2397,'Retirement Calculator'!A:A,0),0),0)</f>
        <v>0</v>
      </c>
      <c r="K2397" s="444">
        <f t="shared" ca="1" si="146"/>
        <v>-39765046.651866637</v>
      </c>
      <c r="L2397" s="444">
        <f t="shared" ca="1" si="147"/>
        <v>-9583376243.0998592</v>
      </c>
      <c r="M2397" s="460">
        <f t="shared" si="149"/>
        <v>0.05</v>
      </c>
      <c r="N2397" s="464">
        <f t="shared" si="150"/>
        <v>124000</v>
      </c>
    </row>
    <row r="2398" spans="7:14" ht="11.25" customHeight="1" x14ac:dyDescent="0.25">
      <c r="G2398" s="459"/>
      <c r="H2398" s="459">
        <v>2391</v>
      </c>
      <c r="I2398" s="444">
        <f t="shared" ca="1" si="148"/>
        <v>-9583376243.0998592</v>
      </c>
      <c r="J2398" s="444">
        <f t="array" ref="J2398">IFERROR(INDEX('Retirement Calculator'!J:J,MATCH('Isaac 401k'!N2398,'Retirement Calculator'!A:A,0),0),0)</f>
        <v>0</v>
      </c>
      <c r="K2398" s="444">
        <f t="shared" ca="1" si="146"/>
        <v>-39930734.346249416</v>
      </c>
      <c r="L2398" s="444">
        <f t="shared" ca="1" si="147"/>
        <v>-9623306977.4461079</v>
      </c>
      <c r="M2398" s="460">
        <f t="shared" si="149"/>
        <v>0.05</v>
      </c>
      <c r="N2398" s="464">
        <f t="shared" si="150"/>
        <v>124031</v>
      </c>
    </row>
    <row r="2399" spans="7:14" ht="11.25" customHeight="1" x14ac:dyDescent="0.25">
      <c r="G2399" s="459"/>
      <c r="H2399" s="459">
        <v>2392</v>
      </c>
      <c r="I2399" s="444">
        <f t="shared" ca="1" si="148"/>
        <v>-9623306977.4461079</v>
      </c>
      <c r="J2399" s="444">
        <f t="array" ref="J2399">IFERROR(INDEX('Retirement Calculator'!J:J,MATCH('Isaac 401k'!N2399,'Retirement Calculator'!A:A,0),0),0)</f>
        <v>0</v>
      </c>
      <c r="K2399" s="444">
        <f t="shared" ca="1" si="146"/>
        <v>-40097112.406025447</v>
      </c>
      <c r="L2399" s="444">
        <f t="shared" ca="1" si="147"/>
        <v>-9663404089.8521328</v>
      </c>
      <c r="M2399" s="460">
        <f t="shared" si="149"/>
        <v>0.05</v>
      </c>
      <c r="N2399" s="464">
        <f t="shared" si="150"/>
        <v>124062</v>
      </c>
    </row>
    <row r="2400" spans="7:14" ht="11.25" customHeight="1" x14ac:dyDescent="0.25">
      <c r="G2400" s="459"/>
      <c r="H2400" s="459">
        <v>2393</v>
      </c>
      <c r="I2400" s="444">
        <f t="shared" ca="1" si="148"/>
        <v>-9663404089.8521328</v>
      </c>
      <c r="J2400" s="444">
        <f t="array" ref="J2400">IFERROR(INDEX('Retirement Calculator'!J:J,MATCH('Isaac 401k'!N2400,'Retirement Calculator'!A:A,0),0),0)</f>
        <v>0</v>
      </c>
      <c r="K2400" s="444">
        <f t="shared" ca="1" si="146"/>
        <v>-40264183.707717218</v>
      </c>
      <c r="L2400" s="444">
        <f t="shared" ca="1" si="147"/>
        <v>-9703668273.5598507</v>
      </c>
      <c r="M2400" s="460">
        <f t="shared" si="149"/>
        <v>0.05</v>
      </c>
      <c r="N2400" s="464">
        <f t="shared" si="150"/>
        <v>124092</v>
      </c>
    </row>
    <row r="2401" spans="7:14" ht="11.25" customHeight="1" x14ac:dyDescent="0.25">
      <c r="G2401" s="459"/>
      <c r="H2401" s="459">
        <v>2394</v>
      </c>
      <c r="I2401" s="444">
        <f t="shared" ca="1" si="148"/>
        <v>-9703668273.5598507</v>
      </c>
      <c r="J2401" s="444">
        <f t="array" ref="J2401">IFERROR(INDEX('Retirement Calculator'!J:J,MATCH('Isaac 401k'!N2401,'Retirement Calculator'!A:A,0),0),0)</f>
        <v>0</v>
      </c>
      <c r="K2401" s="444">
        <f t="shared" ca="1" si="146"/>
        <v>-40431951.139832713</v>
      </c>
      <c r="L2401" s="444">
        <f t="shared" ca="1" si="147"/>
        <v>-9744100224.6996841</v>
      </c>
      <c r="M2401" s="460">
        <f t="shared" si="149"/>
        <v>0.05</v>
      </c>
      <c r="N2401" s="464">
        <f t="shared" si="150"/>
        <v>124123</v>
      </c>
    </row>
    <row r="2402" spans="7:14" ht="11.25" customHeight="1" x14ac:dyDescent="0.25">
      <c r="G2402" s="459"/>
      <c r="H2402" s="459">
        <v>2395</v>
      </c>
      <c r="I2402" s="444">
        <f t="shared" ca="1" si="148"/>
        <v>-9744100224.6996841</v>
      </c>
      <c r="J2402" s="444">
        <f t="array" ref="J2402">IFERROR(INDEX('Retirement Calculator'!J:J,MATCH('Isaac 401k'!N2402,'Retirement Calculator'!A:A,0),0),0)</f>
        <v>0</v>
      </c>
      <c r="K2402" s="444">
        <f t="shared" ca="1" si="146"/>
        <v>-40600417.602915347</v>
      </c>
      <c r="L2402" s="444">
        <f t="shared" ca="1" si="147"/>
        <v>-9784700642.302599</v>
      </c>
      <c r="M2402" s="460">
        <f t="shared" si="149"/>
        <v>0.05</v>
      </c>
      <c r="N2402" s="464">
        <f t="shared" si="150"/>
        <v>124153</v>
      </c>
    </row>
    <row r="2403" spans="7:14" ht="11.25" customHeight="1" x14ac:dyDescent="0.25">
      <c r="G2403" s="459"/>
      <c r="H2403" s="459">
        <v>2396</v>
      </c>
      <c r="I2403" s="444">
        <f t="shared" ca="1" si="148"/>
        <v>-9784700642.302599</v>
      </c>
      <c r="J2403" s="444">
        <f t="array" ref="J2403">IFERROR(INDEX('Retirement Calculator'!J:J,MATCH('Isaac 401k'!N2403,'Retirement Calculator'!A:A,0),0),0)</f>
        <v>0</v>
      </c>
      <c r="K2403" s="444">
        <f t="shared" ca="1" si="146"/>
        <v>-40769586.009594165</v>
      </c>
      <c r="L2403" s="444">
        <f t="shared" ca="1" si="147"/>
        <v>-9825470228.3121929</v>
      </c>
      <c r="M2403" s="460">
        <f t="shared" si="149"/>
        <v>0.05</v>
      </c>
      <c r="N2403" s="464">
        <f t="shared" si="150"/>
        <v>124184</v>
      </c>
    </row>
    <row r="2404" spans="7:14" ht="11.25" customHeight="1" x14ac:dyDescent="0.25">
      <c r="G2404" s="459"/>
      <c r="H2404" s="459">
        <v>2397</v>
      </c>
      <c r="I2404" s="444">
        <f t="shared" ca="1" si="148"/>
        <v>-9825470228.3121929</v>
      </c>
      <c r="J2404" s="444">
        <f t="array" ref="J2404">IFERROR(INDEX('Retirement Calculator'!J:J,MATCH('Isaac 401k'!N2404,'Retirement Calculator'!A:A,0),0),0)</f>
        <v>0</v>
      </c>
      <c r="K2404" s="444">
        <f t="shared" ca="1" si="146"/>
        <v>-40939459.284634136</v>
      </c>
      <c r="L2404" s="444">
        <f t="shared" ca="1" si="147"/>
        <v>-9866409687.5968266</v>
      </c>
      <c r="M2404" s="460">
        <f t="shared" si="149"/>
        <v>0.05</v>
      </c>
      <c r="N2404" s="464">
        <f t="shared" si="150"/>
        <v>124215</v>
      </c>
    </row>
    <row r="2405" spans="7:14" ht="11.25" customHeight="1" x14ac:dyDescent="0.25">
      <c r="G2405" s="459"/>
      <c r="H2405" s="459">
        <v>2398</v>
      </c>
      <c r="I2405" s="444">
        <f t="shared" ca="1" si="148"/>
        <v>-9866409687.5968266</v>
      </c>
      <c r="J2405" s="444">
        <f t="array" ref="J2405">IFERROR(INDEX('Retirement Calculator'!J:J,MATCH('Isaac 401k'!N2405,'Retirement Calculator'!A:A,0),0),0)</f>
        <v>0</v>
      </c>
      <c r="K2405" s="444">
        <f t="shared" ca="1" si="146"/>
        <v>-41110040.364986777</v>
      </c>
      <c r="L2405" s="444">
        <f t="shared" ca="1" si="147"/>
        <v>-9907519727.961813</v>
      </c>
      <c r="M2405" s="460">
        <f t="shared" si="149"/>
        <v>0.05</v>
      </c>
      <c r="N2405" s="464">
        <f t="shared" si="150"/>
        <v>124244</v>
      </c>
    </row>
    <row r="2406" spans="7:14" ht="11.25" customHeight="1" x14ac:dyDescent="0.25">
      <c r="G2406" s="459"/>
      <c r="H2406" s="459">
        <v>2399</v>
      </c>
      <c r="I2406" s="444">
        <f t="shared" ca="1" si="148"/>
        <v>-9907519727.961813</v>
      </c>
      <c r="J2406" s="444">
        <f t="array" ref="J2406">IFERROR(INDEX('Retirement Calculator'!J:J,MATCH('Isaac 401k'!N2406,'Retirement Calculator'!A:A,0),0),0)</f>
        <v>0</v>
      </c>
      <c r="K2406" s="444">
        <f t="shared" ca="1" si="146"/>
        <v>-41281332.199840888</v>
      </c>
      <c r="L2406" s="444">
        <f t="shared" ca="1" si="147"/>
        <v>-9948801060.1616535</v>
      </c>
      <c r="M2406" s="460">
        <f t="shared" si="149"/>
        <v>0.05</v>
      </c>
      <c r="N2406" s="464">
        <f t="shared" si="150"/>
        <v>124275</v>
      </c>
    </row>
    <row r="2407" spans="7:14" ht="11.25" customHeight="1" x14ac:dyDescent="0.25">
      <c r="G2407" s="459"/>
      <c r="H2407" s="459">
        <v>2400</v>
      </c>
      <c r="I2407" s="444">
        <f t="shared" ca="1" si="148"/>
        <v>-9948801060.1616535</v>
      </c>
      <c r="J2407" s="444">
        <f t="array" ref="J2407">IFERROR(INDEX('Retirement Calculator'!J:J,MATCH('Isaac 401k'!N2407,'Retirement Calculator'!A:A,0),0),0)</f>
        <v>0</v>
      </c>
      <c r="K2407" s="444">
        <f t="shared" ca="1" si="146"/>
        <v>-41453337.750673555</v>
      </c>
      <c r="L2407" s="444">
        <f t="shared" ca="1" si="147"/>
        <v>-9990254397.9123268</v>
      </c>
      <c r="M2407" s="460">
        <f t="shared" si="149"/>
        <v>0.05</v>
      </c>
      <c r="N2407" s="464">
        <f t="shared" si="150"/>
        <v>124305</v>
      </c>
    </row>
    <row r="2408" spans="7:14" ht="11.25" customHeight="1" x14ac:dyDescent="0.25">
      <c r="G2408" s="459"/>
      <c r="H2408" s="459">
        <v>2401</v>
      </c>
      <c r="I2408" s="444">
        <f t="shared" ca="1" si="148"/>
        <v>-9990254397.9123268</v>
      </c>
      <c r="J2408" s="444">
        <f t="array" ref="J2408">IFERROR(INDEX('Retirement Calculator'!J:J,MATCH('Isaac 401k'!N2408,'Retirement Calculator'!A:A,0),0),0)</f>
        <v>0</v>
      </c>
      <c r="K2408" s="444">
        <f t="shared" ca="1" si="146"/>
        <v>-41626059.991301358</v>
      </c>
      <c r="L2408" s="444">
        <f t="shared" ca="1" si="147"/>
        <v>-10031880457.903627</v>
      </c>
      <c r="M2408" s="460">
        <f t="shared" si="149"/>
        <v>0.05</v>
      </c>
      <c r="N2408" s="464">
        <f t="shared" si="150"/>
        <v>124336</v>
      </c>
    </row>
    <row r="2409" spans="7:14" ht="11.25" customHeight="1" x14ac:dyDescent="0.25">
      <c r="G2409" s="459"/>
      <c r="H2409" s="459">
        <v>2402</v>
      </c>
      <c r="I2409" s="444">
        <f t="shared" ca="1" si="148"/>
        <v>-10031880457.903627</v>
      </c>
      <c r="J2409" s="444">
        <f t="array" ref="J2409">IFERROR(INDEX('Retirement Calculator'!J:J,MATCH('Isaac 401k'!N2409,'Retirement Calculator'!A:A,0),0),0)</f>
        <v>0</v>
      </c>
      <c r="K2409" s="444">
        <f t="shared" ca="1" si="146"/>
        <v>-41799501.907931782</v>
      </c>
      <c r="L2409" s="444">
        <f t="shared" ca="1" si="147"/>
        <v>-10073679959.81156</v>
      </c>
      <c r="M2409" s="460">
        <f t="shared" si="149"/>
        <v>0.05</v>
      </c>
      <c r="N2409" s="464">
        <f t="shared" si="150"/>
        <v>124366</v>
      </c>
    </row>
    <row r="2410" spans="7:14" ht="11.25" customHeight="1" x14ac:dyDescent="0.25">
      <c r="G2410" s="459"/>
      <c r="H2410" s="459">
        <v>2403</v>
      </c>
      <c r="I2410" s="444">
        <f t="shared" ca="1" si="148"/>
        <v>-10073679959.81156</v>
      </c>
      <c r="J2410" s="444">
        <f t="array" ref="J2410">IFERROR(INDEX('Retirement Calculator'!J:J,MATCH('Isaac 401k'!N2410,'Retirement Calculator'!A:A,0),0),0)</f>
        <v>0</v>
      </c>
      <c r="K2410" s="444">
        <f t="shared" ca="1" si="146"/>
        <v>-41973666.499214828</v>
      </c>
      <c r="L2410" s="444">
        <f t="shared" ca="1" si="147"/>
        <v>-10115653626.310774</v>
      </c>
      <c r="M2410" s="460">
        <f t="shared" si="149"/>
        <v>0.05</v>
      </c>
      <c r="N2410" s="464">
        <f t="shared" si="150"/>
        <v>124397</v>
      </c>
    </row>
    <row r="2411" spans="7:14" ht="11.25" customHeight="1" x14ac:dyDescent="0.25">
      <c r="G2411" s="459"/>
      <c r="H2411" s="459">
        <v>2404</v>
      </c>
      <c r="I2411" s="444">
        <f t="shared" ca="1" si="148"/>
        <v>-10115653626.310774</v>
      </c>
      <c r="J2411" s="444">
        <f t="array" ref="J2411">IFERROR(INDEX('Retirement Calculator'!J:J,MATCH('Isaac 401k'!N2411,'Retirement Calculator'!A:A,0),0),0)</f>
        <v>0</v>
      </c>
      <c r="K2411" s="444">
        <f t="shared" ca="1" si="146"/>
        <v>-42148556.776294887</v>
      </c>
      <c r="L2411" s="444">
        <f t="shared" ca="1" si="147"/>
        <v>-10157802183.087069</v>
      </c>
      <c r="M2411" s="460">
        <f t="shared" si="149"/>
        <v>0.05</v>
      </c>
      <c r="N2411" s="464">
        <f t="shared" si="150"/>
        <v>124428</v>
      </c>
    </row>
    <row r="2412" spans="7:14" ht="11.25" customHeight="1" x14ac:dyDescent="0.25">
      <c r="G2412" s="459"/>
      <c r="H2412" s="459">
        <v>2405</v>
      </c>
      <c r="I2412" s="444">
        <f t="shared" ca="1" si="148"/>
        <v>-10157802183.087069</v>
      </c>
      <c r="J2412" s="444">
        <f t="array" ref="J2412">IFERROR(INDEX('Retirement Calculator'!J:J,MATCH('Isaac 401k'!N2412,'Retirement Calculator'!A:A,0),0),0)</f>
        <v>0</v>
      </c>
      <c r="K2412" s="444">
        <f t="shared" ca="1" si="146"/>
        <v>-42324175.762862787</v>
      </c>
      <c r="L2412" s="444">
        <f t="shared" ca="1" si="147"/>
        <v>-10200126358.849932</v>
      </c>
      <c r="M2412" s="460">
        <f t="shared" si="149"/>
        <v>0.05</v>
      </c>
      <c r="N2412" s="464">
        <f t="shared" si="150"/>
        <v>124458</v>
      </c>
    </row>
    <row r="2413" spans="7:14" ht="11.25" customHeight="1" x14ac:dyDescent="0.25">
      <c r="G2413" s="459"/>
      <c r="H2413" s="459">
        <v>2406</v>
      </c>
      <c r="I2413" s="444">
        <f t="shared" ca="1" si="148"/>
        <v>-10200126358.849932</v>
      </c>
      <c r="J2413" s="444">
        <f t="array" ref="J2413">IFERROR(INDEX('Retirement Calculator'!J:J,MATCH('Isaac 401k'!N2413,'Retirement Calculator'!A:A,0),0),0)</f>
        <v>0</v>
      </c>
      <c r="K2413" s="444">
        <f t="shared" ca="1" si="146"/>
        <v>-42500526.495208047</v>
      </c>
      <c r="L2413" s="444">
        <f t="shared" ca="1" si="147"/>
        <v>-10242626885.34514</v>
      </c>
      <c r="M2413" s="460">
        <f t="shared" si="149"/>
        <v>0.05</v>
      </c>
      <c r="N2413" s="464">
        <f t="shared" si="150"/>
        <v>124489</v>
      </c>
    </row>
    <row r="2414" spans="7:14" ht="11.25" customHeight="1" x14ac:dyDescent="0.25">
      <c r="G2414" s="459"/>
      <c r="H2414" s="459">
        <v>2407</v>
      </c>
      <c r="I2414" s="444">
        <f t="shared" ca="1" si="148"/>
        <v>-10242626885.34514</v>
      </c>
      <c r="J2414" s="444">
        <f t="array" ref="J2414">IFERROR(INDEX('Retirement Calculator'!J:J,MATCH('Isaac 401k'!N2414,'Retirement Calculator'!A:A,0),0),0)</f>
        <v>0</v>
      </c>
      <c r="K2414" s="444">
        <f t="shared" ca="1" si="146"/>
        <v>-42677612.022271417</v>
      </c>
      <c r="L2414" s="444">
        <f t="shared" ca="1" si="147"/>
        <v>-10285304497.367413</v>
      </c>
      <c r="M2414" s="460">
        <f t="shared" si="149"/>
        <v>0.05</v>
      </c>
      <c r="N2414" s="464">
        <f t="shared" si="150"/>
        <v>124519</v>
      </c>
    </row>
    <row r="2415" spans="7:14" ht="11.25" customHeight="1" x14ac:dyDescent="0.25">
      <c r="G2415" s="459"/>
      <c r="H2415" s="459">
        <v>2408</v>
      </c>
      <c r="I2415" s="444">
        <f t="shared" ca="1" si="148"/>
        <v>-10285304497.367413</v>
      </c>
      <c r="J2415" s="444">
        <f t="array" ref="J2415">IFERROR(INDEX('Retirement Calculator'!J:J,MATCH('Isaac 401k'!N2415,'Retirement Calculator'!A:A,0),0),0)</f>
        <v>0</v>
      </c>
      <c r="K2415" s="444">
        <f t="shared" ca="1" si="146"/>
        <v>-42855435.405697554</v>
      </c>
      <c r="L2415" s="444">
        <f t="shared" ca="1" si="147"/>
        <v>-10328159932.773109</v>
      </c>
      <c r="M2415" s="460">
        <f t="shared" si="149"/>
        <v>0.05</v>
      </c>
      <c r="N2415" s="464">
        <f t="shared" si="150"/>
        <v>124550</v>
      </c>
    </row>
    <row r="2416" spans="7:14" ht="11.25" customHeight="1" x14ac:dyDescent="0.25">
      <c r="G2416" s="459"/>
      <c r="H2416" s="459">
        <v>2409</v>
      </c>
      <c r="I2416" s="444">
        <f t="shared" ca="1" si="148"/>
        <v>-10328159932.773109</v>
      </c>
      <c r="J2416" s="444">
        <f t="array" ref="J2416">IFERROR(INDEX('Retirement Calculator'!J:J,MATCH('Isaac 401k'!N2416,'Retirement Calculator'!A:A,0),0),0)</f>
        <v>0</v>
      </c>
      <c r="K2416" s="444">
        <f t="shared" ca="1" si="146"/>
        <v>-43033999.719887957</v>
      </c>
      <c r="L2416" s="444">
        <f t="shared" ca="1" si="147"/>
        <v>-10371193932.492998</v>
      </c>
      <c r="M2416" s="460">
        <f t="shared" si="149"/>
        <v>0.05</v>
      </c>
      <c r="N2416" s="464">
        <f t="shared" si="150"/>
        <v>124581</v>
      </c>
    </row>
    <row r="2417" spans="7:14" ht="11.25" customHeight="1" x14ac:dyDescent="0.25">
      <c r="G2417" s="459"/>
      <c r="H2417" s="459">
        <v>2410</v>
      </c>
      <c r="I2417" s="444">
        <f t="shared" ca="1" si="148"/>
        <v>-10371193932.492998</v>
      </c>
      <c r="J2417" s="444">
        <f t="array" ref="J2417">IFERROR(INDEX('Retirement Calculator'!J:J,MATCH('Isaac 401k'!N2417,'Retirement Calculator'!A:A,0),0),0)</f>
        <v>0</v>
      </c>
      <c r="K2417" s="444">
        <f t="shared" ca="1" si="146"/>
        <v>-43213308.052054159</v>
      </c>
      <c r="L2417" s="444">
        <f t="shared" ca="1" si="147"/>
        <v>-10414407240.545052</v>
      </c>
      <c r="M2417" s="460">
        <f t="shared" si="149"/>
        <v>0.05</v>
      </c>
      <c r="N2417" s="464">
        <f t="shared" si="150"/>
        <v>124609</v>
      </c>
    </row>
    <row r="2418" spans="7:14" ht="11.25" customHeight="1" x14ac:dyDescent="0.25">
      <c r="G2418" s="459"/>
      <c r="H2418" s="459">
        <v>2411</v>
      </c>
      <c r="I2418" s="444">
        <f t="shared" ca="1" si="148"/>
        <v>-10414407240.545052</v>
      </c>
      <c r="J2418" s="444">
        <f t="array" ref="J2418">IFERROR(INDEX('Retirement Calculator'!J:J,MATCH('Isaac 401k'!N2418,'Retirement Calculator'!A:A,0),0),0)</f>
        <v>0</v>
      </c>
      <c r="K2418" s="444">
        <f t="shared" ca="1" si="146"/>
        <v>-43393363.502271049</v>
      </c>
      <c r="L2418" s="444">
        <f t="shared" ca="1" si="147"/>
        <v>-10457800604.047323</v>
      </c>
      <c r="M2418" s="460">
        <f t="shared" si="149"/>
        <v>0.05</v>
      </c>
      <c r="N2418" s="464">
        <f t="shared" si="150"/>
        <v>124640</v>
      </c>
    </row>
    <row r="2419" spans="7:14" ht="11.25" customHeight="1" x14ac:dyDescent="0.25">
      <c r="G2419" s="459"/>
      <c r="H2419" s="459">
        <v>2412</v>
      </c>
      <c r="I2419" s="444">
        <f t="shared" ca="1" si="148"/>
        <v>-10457800604.047323</v>
      </c>
      <c r="J2419" s="444">
        <f t="array" ref="J2419">IFERROR(INDEX('Retirement Calculator'!J:J,MATCH('Isaac 401k'!N2419,'Retirement Calculator'!A:A,0),0),0)</f>
        <v>0</v>
      </c>
      <c r="K2419" s="444">
        <f t="shared" ca="1" si="146"/>
        <v>-43574169.183530509</v>
      </c>
      <c r="L2419" s="444">
        <f t="shared" ca="1" si="147"/>
        <v>-10501374773.230854</v>
      </c>
      <c r="M2419" s="460">
        <f t="shared" si="149"/>
        <v>0.05</v>
      </c>
      <c r="N2419" s="464">
        <f t="shared" si="150"/>
        <v>124670</v>
      </c>
    </row>
    <row r="2420" spans="7:14" ht="11.25" customHeight="1" x14ac:dyDescent="0.25">
      <c r="G2420" s="459"/>
      <c r="H2420" s="459">
        <v>2413</v>
      </c>
      <c r="I2420" s="444">
        <f t="shared" ca="1" si="148"/>
        <v>-10501374773.230854</v>
      </c>
      <c r="J2420" s="444">
        <f t="array" ref="J2420">IFERROR(INDEX('Retirement Calculator'!J:J,MATCH('Isaac 401k'!N2420,'Retirement Calculator'!A:A,0),0),0)</f>
        <v>0</v>
      </c>
      <c r="K2420" s="444">
        <f t="shared" ca="1" si="146"/>
        <v>-43755728.221795224</v>
      </c>
      <c r="L2420" s="444">
        <f t="shared" ca="1" si="147"/>
        <v>-10545130501.45265</v>
      </c>
      <c r="M2420" s="460">
        <f t="shared" si="149"/>
        <v>0.05</v>
      </c>
      <c r="N2420" s="464">
        <f t="shared" si="150"/>
        <v>124701</v>
      </c>
    </row>
    <row r="2421" spans="7:14" ht="11.25" customHeight="1" x14ac:dyDescent="0.25">
      <c r="G2421" s="459"/>
      <c r="H2421" s="459">
        <v>2414</v>
      </c>
      <c r="I2421" s="444">
        <f t="shared" ca="1" si="148"/>
        <v>-10545130501.45265</v>
      </c>
      <c r="J2421" s="444">
        <f t="array" ref="J2421">IFERROR(INDEX('Retirement Calculator'!J:J,MATCH('Isaac 401k'!N2421,'Retirement Calculator'!A:A,0),0),0)</f>
        <v>0</v>
      </c>
      <c r="K2421" s="444">
        <f t="shared" ca="1" si="146"/>
        <v>-43938043.75605271</v>
      </c>
      <c r="L2421" s="444">
        <f t="shared" ca="1" si="147"/>
        <v>-10589068545.208702</v>
      </c>
      <c r="M2421" s="460">
        <f t="shared" si="149"/>
        <v>0.05</v>
      </c>
      <c r="N2421" s="464">
        <f t="shared" si="150"/>
        <v>124731</v>
      </c>
    </row>
    <row r="2422" spans="7:14" ht="11.25" customHeight="1" x14ac:dyDescent="0.25">
      <c r="G2422" s="459"/>
      <c r="H2422" s="459">
        <v>2415</v>
      </c>
      <c r="I2422" s="444">
        <f t="shared" ca="1" si="148"/>
        <v>-10589068545.208702</v>
      </c>
      <c r="J2422" s="444">
        <f t="array" ref="J2422">IFERROR(INDEX('Retirement Calculator'!J:J,MATCH('Isaac 401k'!N2422,'Retirement Calculator'!A:A,0),0),0)</f>
        <v>0</v>
      </c>
      <c r="K2422" s="444">
        <f t="shared" ca="1" si="146"/>
        <v>-44121118.938369595</v>
      </c>
      <c r="L2422" s="444">
        <f t="shared" ca="1" si="147"/>
        <v>-10633189664.147072</v>
      </c>
      <c r="M2422" s="460">
        <f t="shared" si="149"/>
        <v>0.05</v>
      </c>
      <c r="N2422" s="464">
        <f t="shared" si="150"/>
        <v>124762</v>
      </c>
    </row>
    <row r="2423" spans="7:14" ht="11.25" customHeight="1" x14ac:dyDescent="0.25">
      <c r="G2423" s="459"/>
      <c r="H2423" s="459">
        <v>2416</v>
      </c>
      <c r="I2423" s="444">
        <f t="shared" ca="1" si="148"/>
        <v>-10633189664.147072</v>
      </c>
      <c r="J2423" s="444">
        <f t="array" ref="J2423">IFERROR(INDEX('Retirement Calculator'!J:J,MATCH('Isaac 401k'!N2423,'Retirement Calculator'!A:A,0),0),0)</f>
        <v>0</v>
      </c>
      <c r="K2423" s="444">
        <f t="shared" ca="1" si="146"/>
        <v>-44304956.933946133</v>
      </c>
      <c r="L2423" s="444">
        <f t="shared" ca="1" si="147"/>
        <v>-10677494621.081018</v>
      </c>
      <c r="M2423" s="460">
        <f t="shared" si="149"/>
        <v>0.05</v>
      </c>
      <c r="N2423" s="464">
        <f t="shared" si="150"/>
        <v>124793</v>
      </c>
    </row>
    <row r="2424" spans="7:14" ht="11.25" customHeight="1" x14ac:dyDescent="0.25">
      <c r="G2424" s="459"/>
      <c r="H2424" s="459">
        <v>2417</v>
      </c>
      <c r="I2424" s="444">
        <f t="shared" ca="1" si="148"/>
        <v>-10677494621.081018</v>
      </c>
      <c r="J2424" s="444">
        <f t="array" ref="J2424">IFERROR(INDEX('Retirement Calculator'!J:J,MATCH('Isaac 401k'!N2424,'Retirement Calculator'!A:A,0),0),0)</f>
        <v>0</v>
      </c>
      <c r="K2424" s="444">
        <f t="shared" ca="1" si="146"/>
        <v>-44489560.921170913</v>
      </c>
      <c r="L2424" s="444">
        <f t="shared" ca="1" si="147"/>
        <v>-10721984182.00219</v>
      </c>
      <c r="M2424" s="460">
        <f t="shared" si="149"/>
        <v>0.05</v>
      </c>
      <c r="N2424" s="464">
        <f t="shared" si="150"/>
        <v>124823</v>
      </c>
    </row>
    <row r="2425" spans="7:14" ht="11.25" customHeight="1" x14ac:dyDescent="0.25">
      <c r="G2425" s="459"/>
      <c r="H2425" s="459">
        <v>2418</v>
      </c>
      <c r="I2425" s="444">
        <f t="shared" ca="1" si="148"/>
        <v>-10721984182.00219</v>
      </c>
      <c r="J2425" s="444">
        <f t="array" ref="J2425">IFERROR(INDEX('Retirement Calculator'!J:J,MATCH('Isaac 401k'!N2425,'Retirement Calculator'!A:A,0),0),0)</f>
        <v>0</v>
      </c>
      <c r="K2425" s="444">
        <f t="shared" ca="1" si="146"/>
        <v>-44674934.091675788</v>
      </c>
      <c r="L2425" s="444">
        <f t="shared" ca="1" si="147"/>
        <v>-10766659116.093866</v>
      </c>
      <c r="M2425" s="460">
        <f t="shared" si="149"/>
        <v>0.05</v>
      </c>
      <c r="N2425" s="464">
        <f t="shared" si="150"/>
        <v>124854</v>
      </c>
    </row>
    <row r="2426" spans="7:14" ht="11.25" customHeight="1" x14ac:dyDescent="0.25">
      <c r="G2426" s="459"/>
      <c r="H2426" s="459">
        <v>2419</v>
      </c>
      <c r="I2426" s="444">
        <f t="shared" ca="1" si="148"/>
        <v>-10766659116.093866</v>
      </c>
      <c r="J2426" s="444">
        <f t="array" ref="J2426">IFERROR(INDEX('Retirement Calculator'!J:J,MATCH('Isaac 401k'!N2426,'Retirement Calculator'!A:A,0),0),0)</f>
        <v>0</v>
      </c>
      <c r="K2426" s="444">
        <f t="shared" ca="1" si="146"/>
        <v>-44861079.650391109</v>
      </c>
      <c r="L2426" s="444">
        <f t="shared" ca="1" si="147"/>
        <v>-10811520195.744257</v>
      </c>
      <c r="M2426" s="460">
        <f t="shared" si="149"/>
        <v>0.05</v>
      </c>
      <c r="N2426" s="464">
        <f t="shared" si="150"/>
        <v>124884</v>
      </c>
    </row>
    <row r="2427" spans="7:14" ht="11.25" customHeight="1" x14ac:dyDescent="0.25">
      <c r="G2427" s="459"/>
      <c r="H2427" s="459">
        <v>2420</v>
      </c>
      <c r="I2427" s="444">
        <f t="shared" ca="1" si="148"/>
        <v>-10811520195.744257</v>
      </c>
      <c r="J2427" s="444">
        <f t="array" ref="J2427">IFERROR(INDEX('Retirement Calculator'!J:J,MATCH('Isaac 401k'!N2427,'Retirement Calculator'!A:A,0),0),0)</f>
        <v>0</v>
      </c>
      <c r="K2427" s="444">
        <f t="shared" ca="1" si="146"/>
        <v>-45048000.815601073</v>
      </c>
      <c r="L2427" s="444">
        <f t="shared" ca="1" si="147"/>
        <v>-10856568196.559858</v>
      </c>
      <c r="M2427" s="460">
        <f t="shared" si="149"/>
        <v>0.05</v>
      </c>
      <c r="N2427" s="464">
        <f t="shared" si="150"/>
        <v>124915</v>
      </c>
    </row>
    <row r="2428" spans="7:14" ht="11.25" customHeight="1" x14ac:dyDescent="0.25">
      <c r="G2428" s="459"/>
      <c r="H2428" s="459">
        <v>2421</v>
      </c>
      <c r="I2428" s="444">
        <f t="shared" ca="1" si="148"/>
        <v>-10856568196.559858</v>
      </c>
      <c r="J2428" s="444">
        <f t="array" ref="J2428">IFERROR(INDEX('Retirement Calculator'!J:J,MATCH('Isaac 401k'!N2428,'Retirement Calculator'!A:A,0),0),0)</f>
        <v>0</v>
      </c>
      <c r="K2428" s="444">
        <f t="shared" ca="1" si="146"/>
        <v>-45235700.81899941</v>
      </c>
      <c r="L2428" s="444">
        <f t="shared" ca="1" si="147"/>
        <v>-10901803897.378859</v>
      </c>
      <c r="M2428" s="460">
        <f t="shared" si="149"/>
        <v>0.05</v>
      </c>
      <c r="N2428" s="464">
        <f t="shared" si="150"/>
        <v>124946</v>
      </c>
    </row>
    <row r="2429" spans="7:14" ht="11.25" customHeight="1" x14ac:dyDescent="0.25">
      <c r="G2429" s="459"/>
      <c r="H2429" s="459">
        <v>2422</v>
      </c>
      <c r="I2429" s="444">
        <f t="shared" ca="1" si="148"/>
        <v>-10901803897.378859</v>
      </c>
      <c r="J2429" s="444">
        <f t="array" ref="J2429">IFERROR(INDEX('Retirement Calculator'!J:J,MATCH('Isaac 401k'!N2429,'Retirement Calculator'!A:A,0),0),0)</f>
        <v>0</v>
      </c>
      <c r="K2429" s="444">
        <f t="shared" ca="1" si="146"/>
        <v>-45424182.905745246</v>
      </c>
      <c r="L2429" s="444">
        <f t="shared" ca="1" si="147"/>
        <v>-10947228080.284603</v>
      </c>
      <c r="M2429" s="460">
        <f t="shared" si="149"/>
        <v>0.05</v>
      </c>
      <c r="N2429" s="464">
        <f t="shared" si="150"/>
        <v>124974</v>
      </c>
    </row>
    <row r="2430" spans="7:14" ht="11.25" customHeight="1" x14ac:dyDescent="0.25">
      <c r="G2430" s="459"/>
      <c r="H2430" s="459">
        <v>2423</v>
      </c>
      <c r="I2430" s="444">
        <f t="shared" ca="1" si="148"/>
        <v>-10947228080.284603</v>
      </c>
      <c r="J2430" s="444">
        <f t="array" ref="J2430">IFERROR(INDEX('Retirement Calculator'!J:J,MATCH('Isaac 401k'!N2430,'Retirement Calculator'!A:A,0),0),0)</f>
        <v>0</v>
      </c>
      <c r="K2430" s="444">
        <f t="shared" ca="1" si="146"/>
        <v>-45613450.334519178</v>
      </c>
      <c r="L2430" s="444">
        <f t="shared" ca="1" si="147"/>
        <v>-10992841530.619122</v>
      </c>
      <c r="M2430" s="460">
        <f t="shared" si="149"/>
        <v>0.05</v>
      </c>
      <c r="N2430" s="464">
        <f t="shared" si="150"/>
        <v>125005</v>
      </c>
    </row>
    <row r="2431" spans="7:14" ht="11.25" customHeight="1" x14ac:dyDescent="0.25">
      <c r="G2431" s="459"/>
      <c r="H2431" s="459">
        <v>2424</v>
      </c>
      <c r="I2431" s="444">
        <f t="shared" ca="1" si="148"/>
        <v>-10992841530.619122</v>
      </c>
      <c r="J2431" s="444">
        <f t="array" ref="J2431">IFERROR(INDEX('Retirement Calculator'!J:J,MATCH('Isaac 401k'!N2431,'Retirement Calculator'!A:A,0),0),0)</f>
        <v>0</v>
      </c>
      <c r="K2431" s="444">
        <f t="shared" ca="1" si="146"/>
        <v>-45803506.377579674</v>
      </c>
      <c r="L2431" s="444">
        <f t="shared" ca="1" si="147"/>
        <v>-11038645036.9967</v>
      </c>
      <c r="M2431" s="460">
        <f t="shared" si="149"/>
        <v>0.05</v>
      </c>
      <c r="N2431" s="464">
        <f t="shared" si="150"/>
        <v>125035</v>
      </c>
    </row>
    <row r="2432" spans="7:14" ht="11.25" customHeight="1" x14ac:dyDescent="0.25">
      <c r="G2432" s="459"/>
      <c r="H2432" s="459">
        <v>2425</v>
      </c>
      <c r="I2432" s="444">
        <f t="shared" ca="1" si="148"/>
        <v>-11038645036.9967</v>
      </c>
      <c r="J2432" s="444">
        <f t="array" ref="J2432">IFERROR(INDEX('Retirement Calculator'!J:J,MATCH('Isaac 401k'!N2432,'Retirement Calculator'!A:A,0),0),0)</f>
        <v>0</v>
      </c>
      <c r="K2432" s="444">
        <f t="shared" ca="1" si="146"/>
        <v>-45994354.320819587</v>
      </c>
      <c r="L2432" s="444">
        <f t="shared" ca="1" si="147"/>
        <v>-11084639391.31752</v>
      </c>
      <c r="M2432" s="460">
        <f t="shared" si="149"/>
        <v>0.05</v>
      </c>
      <c r="N2432" s="464">
        <f t="shared" si="150"/>
        <v>125066</v>
      </c>
    </row>
    <row r="2433" spans="7:14" ht="11.25" customHeight="1" x14ac:dyDescent="0.25">
      <c r="G2433" s="459"/>
      <c r="H2433" s="459">
        <v>2426</v>
      </c>
      <c r="I2433" s="444">
        <f t="shared" ca="1" si="148"/>
        <v>-11084639391.31752</v>
      </c>
      <c r="J2433" s="444">
        <f t="array" ref="J2433">IFERROR(INDEX('Retirement Calculator'!J:J,MATCH('Isaac 401k'!N2433,'Retirement Calculator'!A:A,0),0),0)</f>
        <v>0</v>
      </c>
      <c r="K2433" s="444">
        <f t="shared" ca="1" si="146"/>
        <v>-46185997.463822998</v>
      </c>
      <c r="L2433" s="444">
        <f t="shared" ca="1" si="147"/>
        <v>-11130825388.781343</v>
      </c>
      <c r="M2433" s="460">
        <f t="shared" si="149"/>
        <v>0.05</v>
      </c>
      <c r="N2433" s="464">
        <f t="shared" si="150"/>
        <v>125096</v>
      </c>
    </row>
    <row r="2434" spans="7:14" ht="11.25" customHeight="1" x14ac:dyDescent="0.25">
      <c r="G2434" s="459"/>
      <c r="H2434" s="459">
        <v>2427</v>
      </c>
      <c r="I2434" s="444">
        <f t="shared" ca="1" si="148"/>
        <v>-11130825388.781343</v>
      </c>
      <c r="J2434" s="444">
        <f t="array" ref="J2434">IFERROR(INDEX('Retirement Calculator'!J:J,MATCH('Isaac 401k'!N2434,'Retirement Calculator'!A:A,0),0),0)</f>
        <v>0</v>
      </c>
      <c r="K2434" s="444">
        <f t="shared" ca="1" si="146"/>
        <v>-46378439.119922265</v>
      </c>
      <c r="L2434" s="444">
        <f t="shared" ca="1" si="147"/>
        <v>-11177203827.901266</v>
      </c>
      <c r="M2434" s="460">
        <f t="shared" si="149"/>
        <v>0.05</v>
      </c>
      <c r="N2434" s="464">
        <f t="shared" si="150"/>
        <v>125127</v>
      </c>
    </row>
    <row r="2435" spans="7:14" ht="11.25" customHeight="1" x14ac:dyDescent="0.25">
      <c r="G2435" s="459"/>
      <c r="H2435" s="459">
        <v>2428</v>
      </c>
      <c r="I2435" s="444">
        <f t="shared" ca="1" si="148"/>
        <v>-11177203827.901266</v>
      </c>
      <c r="J2435" s="444">
        <f t="array" ref="J2435">IFERROR(INDEX('Retirement Calculator'!J:J,MATCH('Isaac 401k'!N2435,'Retirement Calculator'!A:A,0),0),0)</f>
        <v>0</v>
      </c>
      <c r="K2435" s="444">
        <f t="shared" ca="1" si="146"/>
        <v>-46571682.616255276</v>
      </c>
      <c r="L2435" s="444">
        <f t="shared" ca="1" si="147"/>
        <v>-11223775510.517521</v>
      </c>
      <c r="M2435" s="460">
        <f t="shared" si="149"/>
        <v>0.05</v>
      </c>
      <c r="N2435" s="464">
        <f t="shared" si="150"/>
        <v>125158</v>
      </c>
    </row>
    <row r="2436" spans="7:14" ht="11.25" customHeight="1" x14ac:dyDescent="0.25">
      <c r="G2436" s="459"/>
      <c r="H2436" s="459">
        <v>2429</v>
      </c>
      <c r="I2436" s="444">
        <f t="shared" ca="1" si="148"/>
        <v>-11223775510.517521</v>
      </c>
      <c r="J2436" s="444">
        <f t="array" ref="J2436">IFERROR(INDEX('Retirement Calculator'!J:J,MATCH('Isaac 401k'!N2436,'Retirement Calculator'!A:A,0),0),0)</f>
        <v>0</v>
      </c>
      <c r="K2436" s="444">
        <f t="shared" ca="1" si="146"/>
        <v>-46765731.293823004</v>
      </c>
      <c r="L2436" s="444">
        <f t="shared" ca="1" si="147"/>
        <v>-11270541241.811344</v>
      </c>
      <c r="M2436" s="460">
        <f t="shared" si="149"/>
        <v>0.05</v>
      </c>
      <c r="N2436" s="464">
        <f t="shared" si="150"/>
        <v>125188</v>
      </c>
    </row>
    <row r="2437" spans="7:14" ht="11.25" customHeight="1" x14ac:dyDescent="0.25">
      <c r="G2437" s="459"/>
      <c r="H2437" s="459">
        <v>2430</v>
      </c>
      <c r="I2437" s="444">
        <f t="shared" ca="1" si="148"/>
        <v>-11270541241.811344</v>
      </c>
      <c r="J2437" s="444">
        <f t="array" ref="J2437">IFERROR(INDEX('Retirement Calculator'!J:J,MATCH('Isaac 401k'!N2437,'Retirement Calculator'!A:A,0),0),0)</f>
        <v>0</v>
      </c>
      <c r="K2437" s="444">
        <f t="shared" ca="1" si="146"/>
        <v>-46960588.507547267</v>
      </c>
      <c r="L2437" s="444">
        <f t="shared" ca="1" si="147"/>
        <v>-11317501830.318892</v>
      </c>
      <c r="M2437" s="460">
        <f t="shared" si="149"/>
        <v>0.05</v>
      </c>
      <c r="N2437" s="464">
        <f t="shared" si="150"/>
        <v>125219</v>
      </c>
    </row>
    <row r="2438" spans="7:14" ht="11.25" customHeight="1" x14ac:dyDescent="0.25">
      <c r="G2438" s="459"/>
      <c r="H2438" s="459">
        <v>2431</v>
      </c>
      <c r="I2438" s="444">
        <f t="shared" ca="1" si="148"/>
        <v>-11317501830.318892</v>
      </c>
      <c r="J2438" s="444">
        <f t="array" ref="J2438">IFERROR(INDEX('Retirement Calculator'!J:J,MATCH('Isaac 401k'!N2438,'Retirement Calculator'!A:A,0),0),0)</f>
        <v>0</v>
      </c>
      <c r="K2438" s="444">
        <f t="shared" ca="1" si="146"/>
        <v>-47156257.626328714</v>
      </c>
      <c r="L2438" s="444">
        <f t="shared" ca="1" si="147"/>
        <v>-11364658087.945221</v>
      </c>
      <c r="M2438" s="460">
        <f t="shared" si="149"/>
        <v>0.05</v>
      </c>
      <c r="N2438" s="464">
        <f t="shared" si="150"/>
        <v>125249</v>
      </c>
    </row>
    <row r="2439" spans="7:14" ht="11.25" customHeight="1" x14ac:dyDescent="0.25">
      <c r="G2439" s="459"/>
      <c r="H2439" s="459">
        <v>2432</v>
      </c>
      <c r="I2439" s="444">
        <f t="shared" ca="1" si="148"/>
        <v>-11364658087.945221</v>
      </c>
      <c r="J2439" s="444">
        <f t="array" ref="J2439">IFERROR(INDEX('Retirement Calculator'!J:J,MATCH('Isaac 401k'!N2439,'Retirement Calculator'!A:A,0),0),0)</f>
        <v>0</v>
      </c>
      <c r="K2439" s="444">
        <f t="shared" ca="1" si="146"/>
        <v>-47352742.03310509</v>
      </c>
      <c r="L2439" s="444">
        <f t="shared" ca="1" si="147"/>
        <v>-11412010829.978327</v>
      </c>
      <c r="M2439" s="460">
        <f t="shared" si="149"/>
        <v>0.05</v>
      </c>
      <c r="N2439" s="464">
        <f t="shared" si="150"/>
        <v>125280</v>
      </c>
    </row>
    <row r="2440" spans="7:14" ht="11.25" customHeight="1" x14ac:dyDescent="0.25">
      <c r="G2440" s="459"/>
      <c r="H2440" s="459">
        <v>2433</v>
      </c>
      <c r="I2440" s="444">
        <f t="shared" ca="1" si="148"/>
        <v>-11412010829.978327</v>
      </c>
      <c r="J2440" s="444">
        <f t="array" ref="J2440">IFERROR(INDEX('Retirement Calculator'!J:J,MATCH('Isaac 401k'!N2440,'Retirement Calculator'!A:A,0),0),0)</f>
        <v>0</v>
      </c>
      <c r="K2440" s="444">
        <f t="shared" ca="1" si="146"/>
        <v>-47550045.124909692</v>
      </c>
      <c r="L2440" s="444">
        <f t="shared" ca="1" si="147"/>
        <v>-11459560875.103237</v>
      </c>
      <c r="M2440" s="460">
        <f t="shared" si="149"/>
        <v>0.05</v>
      </c>
      <c r="N2440" s="464">
        <f t="shared" si="150"/>
        <v>125311</v>
      </c>
    </row>
    <row r="2441" spans="7:14" ht="11.25" customHeight="1" x14ac:dyDescent="0.25">
      <c r="G2441" s="459"/>
      <c r="H2441" s="459">
        <v>2434</v>
      </c>
      <c r="I2441" s="444">
        <f t="shared" ca="1" si="148"/>
        <v>-11459560875.103237</v>
      </c>
      <c r="J2441" s="444">
        <f t="array" ref="J2441">IFERROR(INDEX('Retirement Calculator'!J:J,MATCH('Isaac 401k'!N2441,'Retirement Calculator'!A:A,0),0),0)</f>
        <v>0</v>
      </c>
      <c r="K2441" s="444">
        <f t="shared" ca="1" si="146"/>
        <v>-47748170.312930152</v>
      </c>
      <c r="L2441" s="444">
        <f t="shared" ca="1" si="147"/>
        <v>-11507309045.416168</v>
      </c>
      <c r="M2441" s="460">
        <f t="shared" si="149"/>
        <v>0.05</v>
      </c>
      <c r="N2441" s="464">
        <f t="shared" si="150"/>
        <v>125339</v>
      </c>
    </row>
    <row r="2442" spans="7:14" ht="11.25" customHeight="1" x14ac:dyDescent="0.25">
      <c r="G2442" s="459"/>
      <c r="H2442" s="459">
        <v>2435</v>
      </c>
      <c r="I2442" s="444">
        <f t="shared" ca="1" si="148"/>
        <v>-11507309045.416168</v>
      </c>
      <c r="J2442" s="444">
        <f t="array" ref="J2442">IFERROR(INDEX('Retirement Calculator'!J:J,MATCH('Isaac 401k'!N2442,'Retirement Calculator'!A:A,0),0),0)</f>
        <v>0</v>
      </c>
      <c r="K2442" s="444">
        <f t="shared" ca="1" si="146"/>
        <v>-47947121.022567369</v>
      </c>
      <c r="L2442" s="444">
        <f t="shared" ca="1" si="147"/>
        <v>-11555256166.438736</v>
      </c>
      <c r="M2442" s="460">
        <f t="shared" si="149"/>
        <v>0.05</v>
      </c>
      <c r="N2442" s="464">
        <f t="shared" si="150"/>
        <v>125370</v>
      </c>
    </row>
    <row r="2443" spans="7:14" ht="11.25" customHeight="1" x14ac:dyDescent="0.25">
      <c r="G2443" s="459"/>
      <c r="H2443" s="459">
        <v>2436</v>
      </c>
      <c r="I2443" s="444">
        <f t="shared" ca="1" si="148"/>
        <v>-11555256166.438736</v>
      </c>
      <c r="J2443" s="444">
        <f t="array" ref="J2443">IFERROR(INDEX('Retirement Calculator'!J:J,MATCH('Isaac 401k'!N2443,'Retirement Calculator'!A:A,0),0),0)</f>
        <v>0</v>
      </c>
      <c r="K2443" s="444">
        <f t="shared" ca="1" si="146"/>
        <v>-48146900.69349473</v>
      </c>
      <c r="L2443" s="444">
        <f t="shared" ca="1" si="147"/>
        <v>-11603403067.132231</v>
      </c>
      <c r="M2443" s="460">
        <f t="shared" si="149"/>
        <v>0.05</v>
      </c>
      <c r="N2443" s="464">
        <f t="shared" si="150"/>
        <v>125400</v>
      </c>
    </row>
    <row r="2444" spans="7:14" ht="11.25" customHeight="1" x14ac:dyDescent="0.25">
      <c r="G2444" s="459"/>
      <c r="H2444" s="459">
        <v>2437</v>
      </c>
      <c r="I2444" s="444">
        <f t="shared" ca="1" si="148"/>
        <v>-11603403067.132231</v>
      </c>
      <c r="J2444" s="444">
        <f t="array" ref="J2444">IFERROR(INDEX('Retirement Calculator'!J:J,MATCH('Isaac 401k'!N2444,'Retirement Calculator'!A:A,0),0),0)</f>
        <v>0</v>
      </c>
      <c r="K2444" s="444">
        <f t="shared" ca="1" si="146"/>
        <v>-48347512.779717624</v>
      </c>
      <c r="L2444" s="444">
        <f t="shared" ca="1" si="147"/>
        <v>-11651750579.911949</v>
      </c>
      <c r="M2444" s="460">
        <f t="shared" si="149"/>
        <v>0.05</v>
      </c>
      <c r="N2444" s="464">
        <f t="shared" si="150"/>
        <v>125431</v>
      </c>
    </row>
    <row r="2445" spans="7:14" ht="11.25" customHeight="1" x14ac:dyDescent="0.25">
      <c r="G2445" s="459"/>
      <c r="H2445" s="459">
        <v>2438</v>
      </c>
      <c r="I2445" s="444">
        <f t="shared" ca="1" si="148"/>
        <v>-11651750579.911949</v>
      </c>
      <c r="J2445" s="444">
        <f t="array" ref="J2445">IFERROR(INDEX('Retirement Calculator'!J:J,MATCH('Isaac 401k'!N2445,'Retirement Calculator'!A:A,0),0),0)</f>
        <v>0</v>
      </c>
      <c r="K2445" s="444">
        <f t="shared" ca="1" si="146"/>
        <v>-48548960.749633119</v>
      </c>
      <c r="L2445" s="444">
        <f t="shared" ca="1" si="147"/>
        <v>-11700299540.661583</v>
      </c>
      <c r="M2445" s="460">
        <f t="shared" si="149"/>
        <v>0.05</v>
      </c>
      <c r="N2445" s="464">
        <f t="shared" si="150"/>
        <v>125461</v>
      </c>
    </row>
    <row r="2446" spans="7:14" ht="11.25" customHeight="1" x14ac:dyDescent="0.25">
      <c r="G2446" s="459"/>
      <c r="H2446" s="459">
        <v>2439</v>
      </c>
      <c r="I2446" s="444">
        <f t="shared" ca="1" si="148"/>
        <v>-11700299540.661583</v>
      </c>
      <c r="J2446" s="444">
        <f t="array" ref="J2446">IFERROR(INDEX('Retirement Calculator'!J:J,MATCH('Isaac 401k'!N2446,'Retirement Calculator'!A:A,0),0),0)</f>
        <v>0</v>
      </c>
      <c r="K2446" s="444">
        <f t="shared" ca="1" si="146"/>
        <v>-48751248.086089931</v>
      </c>
      <c r="L2446" s="444">
        <f t="shared" ca="1" si="147"/>
        <v>-11749050788.747673</v>
      </c>
      <c r="M2446" s="460">
        <f t="shared" si="149"/>
        <v>0.05</v>
      </c>
      <c r="N2446" s="464">
        <f t="shared" si="150"/>
        <v>125492</v>
      </c>
    </row>
    <row r="2447" spans="7:14" ht="11.25" customHeight="1" x14ac:dyDescent="0.25">
      <c r="G2447" s="459"/>
      <c r="H2447" s="459">
        <v>2440</v>
      </c>
      <c r="I2447" s="444">
        <f t="shared" ca="1" si="148"/>
        <v>-11749050788.747673</v>
      </c>
      <c r="J2447" s="444">
        <f t="array" ref="J2447">IFERROR(INDEX('Retirement Calculator'!J:J,MATCH('Isaac 401k'!N2447,'Retirement Calculator'!A:A,0),0),0)</f>
        <v>0</v>
      </c>
      <c r="K2447" s="444">
        <f t="shared" ca="1" si="146"/>
        <v>-48954378.286448635</v>
      </c>
      <c r="L2447" s="444">
        <f t="shared" ca="1" si="147"/>
        <v>-11798005167.034122</v>
      </c>
      <c r="M2447" s="460">
        <f t="shared" si="149"/>
        <v>0.05</v>
      </c>
      <c r="N2447" s="464">
        <f t="shared" si="150"/>
        <v>125523</v>
      </c>
    </row>
    <row r="2448" spans="7:14" ht="11.25" customHeight="1" x14ac:dyDescent="0.25">
      <c r="G2448" s="459"/>
      <c r="H2448" s="459">
        <v>2441</v>
      </c>
      <c r="I2448" s="444">
        <f t="shared" ca="1" si="148"/>
        <v>-11798005167.034122</v>
      </c>
      <c r="J2448" s="444">
        <f t="array" ref="J2448">IFERROR(INDEX('Retirement Calculator'!J:J,MATCH('Isaac 401k'!N2448,'Retirement Calculator'!A:A,0),0),0)</f>
        <v>0</v>
      </c>
      <c r="K2448" s="444">
        <f t="shared" ca="1" si="146"/>
        <v>-49158354.862642176</v>
      </c>
      <c r="L2448" s="444">
        <f t="shared" ca="1" si="147"/>
        <v>-11847163521.896765</v>
      </c>
      <c r="M2448" s="460">
        <f t="shared" si="149"/>
        <v>0.05</v>
      </c>
      <c r="N2448" s="464">
        <f t="shared" si="150"/>
        <v>125553</v>
      </c>
    </row>
    <row r="2449" spans="7:14" ht="11.25" customHeight="1" x14ac:dyDescent="0.25">
      <c r="G2449" s="459"/>
      <c r="H2449" s="459">
        <v>2442</v>
      </c>
      <c r="I2449" s="444">
        <f t="shared" ca="1" si="148"/>
        <v>-11847163521.896765</v>
      </c>
      <c r="J2449" s="444">
        <f t="array" ref="J2449">IFERROR(INDEX('Retirement Calculator'!J:J,MATCH('Isaac 401k'!N2449,'Retirement Calculator'!A:A,0),0),0)</f>
        <v>0</v>
      </c>
      <c r="K2449" s="444">
        <f t="shared" ca="1" si="146"/>
        <v>-49363181.341236517</v>
      </c>
      <c r="L2449" s="444">
        <f t="shared" ca="1" si="147"/>
        <v>-11896526703.238001</v>
      </c>
      <c r="M2449" s="460">
        <f t="shared" si="149"/>
        <v>0.05</v>
      </c>
      <c r="N2449" s="464">
        <f t="shared" si="150"/>
        <v>125584</v>
      </c>
    </row>
    <row r="2450" spans="7:14" ht="11.25" customHeight="1" x14ac:dyDescent="0.25">
      <c r="G2450" s="459"/>
      <c r="H2450" s="459">
        <v>2443</v>
      </c>
      <c r="I2450" s="444">
        <f t="shared" ca="1" si="148"/>
        <v>-11896526703.238001</v>
      </c>
      <c r="J2450" s="444">
        <f t="array" ref="J2450">IFERROR(INDEX('Retirement Calculator'!J:J,MATCH('Isaac 401k'!N2450,'Retirement Calculator'!A:A,0),0),0)</f>
        <v>0</v>
      </c>
      <c r="K2450" s="444">
        <f t="shared" ca="1" si="146"/>
        <v>-49568861.263491668</v>
      </c>
      <c r="L2450" s="444">
        <f t="shared" ca="1" si="147"/>
        <v>-11946095564.501493</v>
      </c>
      <c r="M2450" s="460">
        <f t="shared" si="149"/>
        <v>0.05</v>
      </c>
      <c r="N2450" s="464">
        <f t="shared" si="150"/>
        <v>125614</v>
      </c>
    </row>
    <row r="2451" spans="7:14" ht="11.25" customHeight="1" x14ac:dyDescent="0.25">
      <c r="G2451" s="459"/>
      <c r="H2451" s="459">
        <v>2444</v>
      </c>
      <c r="I2451" s="444">
        <f t="shared" ca="1" si="148"/>
        <v>-11946095564.501493</v>
      </c>
      <c r="J2451" s="444">
        <f t="array" ref="J2451">IFERROR(INDEX('Retirement Calculator'!J:J,MATCH('Isaac 401k'!N2451,'Retirement Calculator'!A:A,0),0),0)</f>
        <v>0</v>
      </c>
      <c r="K2451" s="444">
        <f t="shared" ca="1" si="146"/>
        <v>-49775398.18542289</v>
      </c>
      <c r="L2451" s="444">
        <f t="shared" ca="1" si="147"/>
        <v>-11995870962.686916</v>
      </c>
      <c r="M2451" s="460">
        <f t="shared" si="149"/>
        <v>0.05</v>
      </c>
      <c r="N2451" s="464">
        <f t="shared" si="150"/>
        <v>125645</v>
      </c>
    </row>
    <row r="2452" spans="7:14" ht="11.25" customHeight="1" x14ac:dyDescent="0.25">
      <c r="G2452" s="459"/>
      <c r="H2452" s="459">
        <v>2445</v>
      </c>
      <c r="I2452" s="444">
        <f t="shared" ca="1" si="148"/>
        <v>-11995870962.686916</v>
      </c>
      <c r="J2452" s="444">
        <f t="array" ref="J2452">IFERROR(INDEX('Retirement Calculator'!J:J,MATCH('Isaac 401k'!N2452,'Retirement Calculator'!A:A,0),0),0)</f>
        <v>0</v>
      </c>
      <c r="K2452" s="444">
        <f t="shared" ca="1" si="146"/>
        <v>-49982795.677862152</v>
      </c>
      <c r="L2452" s="444">
        <f t="shared" ca="1" si="147"/>
        <v>-12045853758.364779</v>
      </c>
      <c r="M2452" s="460">
        <f t="shared" si="149"/>
        <v>0.05</v>
      </c>
      <c r="N2452" s="464">
        <f t="shared" si="150"/>
        <v>125676</v>
      </c>
    </row>
    <row r="2453" spans="7:14" ht="11.25" customHeight="1" x14ac:dyDescent="0.25">
      <c r="G2453" s="459"/>
      <c r="H2453" s="459">
        <v>2446</v>
      </c>
      <c r="I2453" s="444">
        <f t="shared" ca="1" si="148"/>
        <v>-12045853758.364779</v>
      </c>
      <c r="J2453" s="444">
        <f t="array" ref="J2453">IFERROR(INDEX('Retirement Calculator'!J:J,MATCH('Isaac 401k'!N2453,'Retirement Calculator'!A:A,0),0),0)</f>
        <v>0</v>
      </c>
      <c r="K2453" s="444">
        <f t="shared" ca="1" si="146"/>
        <v>-50191057.326519907</v>
      </c>
      <c r="L2453" s="444">
        <f t="shared" ca="1" si="147"/>
        <v>-12096044815.691298</v>
      </c>
      <c r="M2453" s="460">
        <f t="shared" si="149"/>
        <v>0.05</v>
      </c>
      <c r="N2453" s="464">
        <f t="shared" si="150"/>
        <v>125705</v>
      </c>
    </row>
    <row r="2454" spans="7:14" ht="11.25" customHeight="1" x14ac:dyDescent="0.25">
      <c r="G2454" s="459"/>
      <c r="H2454" s="459">
        <v>2447</v>
      </c>
      <c r="I2454" s="444">
        <f t="shared" ca="1" si="148"/>
        <v>-12096044815.691298</v>
      </c>
      <c r="J2454" s="444">
        <f t="array" ref="J2454">IFERROR(INDEX('Retirement Calculator'!J:J,MATCH('Isaac 401k'!N2454,'Retirement Calculator'!A:A,0),0),0)</f>
        <v>0</v>
      </c>
      <c r="K2454" s="444">
        <f t="shared" ca="1" si="146"/>
        <v>-50400186.732047074</v>
      </c>
      <c r="L2454" s="444">
        <f t="shared" ca="1" si="147"/>
        <v>-12146445002.423344</v>
      </c>
      <c r="M2454" s="460">
        <f t="shared" si="149"/>
        <v>0.05</v>
      </c>
      <c r="N2454" s="464">
        <f t="shared" si="150"/>
        <v>125736</v>
      </c>
    </row>
    <row r="2455" spans="7:14" ht="11.25" customHeight="1" x14ac:dyDescent="0.25">
      <c r="G2455" s="459"/>
      <c r="H2455" s="459">
        <v>2448</v>
      </c>
      <c r="I2455" s="444">
        <f t="shared" ca="1" si="148"/>
        <v>-12146445002.423344</v>
      </c>
      <c r="J2455" s="444">
        <f t="array" ref="J2455">IFERROR(INDEX('Retirement Calculator'!J:J,MATCH('Isaac 401k'!N2455,'Retirement Calculator'!A:A,0),0),0)</f>
        <v>0</v>
      </c>
      <c r="K2455" s="444">
        <f t="shared" ca="1" si="146"/>
        <v>-50610187.510097265</v>
      </c>
      <c r="L2455" s="444">
        <f t="shared" ca="1" si="147"/>
        <v>-12197055189.933441</v>
      </c>
      <c r="M2455" s="460">
        <f t="shared" si="149"/>
        <v>0.05</v>
      </c>
      <c r="N2455" s="464">
        <f t="shared" si="150"/>
        <v>125766</v>
      </c>
    </row>
    <row r="2456" spans="7:14" ht="11.25" customHeight="1" x14ac:dyDescent="0.25">
      <c r="G2456" s="459"/>
      <c r="H2456" s="459">
        <v>2449</v>
      </c>
      <c r="I2456" s="444">
        <f t="shared" ca="1" si="148"/>
        <v>-12197055189.933441</v>
      </c>
      <c r="J2456" s="444">
        <f t="array" ref="J2456">IFERROR(INDEX('Retirement Calculator'!J:J,MATCH('Isaac 401k'!N2456,'Retirement Calculator'!A:A,0),0),0)</f>
        <v>0</v>
      </c>
      <c r="K2456" s="444">
        <f t="shared" ca="1" si="146"/>
        <v>-50821063.291389339</v>
      </c>
      <c r="L2456" s="444">
        <f t="shared" ca="1" si="147"/>
        <v>-12247876253.224831</v>
      </c>
      <c r="M2456" s="460">
        <f t="shared" si="149"/>
        <v>0.05</v>
      </c>
      <c r="N2456" s="464">
        <f t="shared" si="150"/>
        <v>125797</v>
      </c>
    </row>
    <row r="2457" spans="7:14" ht="11.25" customHeight="1" x14ac:dyDescent="0.25">
      <c r="G2457" s="459"/>
      <c r="H2457" s="459">
        <v>2450</v>
      </c>
      <c r="I2457" s="444">
        <f t="shared" ca="1" si="148"/>
        <v>-12247876253.224831</v>
      </c>
      <c r="J2457" s="444">
        <f t="array" ref="J2457">IFERROR(INDEX('Retirement Calculator'!J:J,MATCH('Isaac 401k'!N2457,'Retirement Calculator'!A:A,0),0),0)</f>
        <v>0</v>
      </c>
      <c r="K2457" s="444">
        <f t="shared" ca="1" si="146"/>
        <v>-51032817.72177013</v>
      </c>
      <c r="L2457" s="444">
        <f t="shared" ca="1" si="147"/>
        <v>-12298909070.9466</v>
      </c>
      <c r="M2457" s="460">
        <f t="shared" si="149"/>
        <v>0.05</v>
      </c>
      <c r="N2457" s="464">
        <f t="shared" si="150"/>
        <v>125827</v>
      </c>
    </row>
    <row r="2458" spans="7:14" ht="11.25" customHeight="1" x14ac:dyDescent="0.25">
      <c r="G2458" s="459"/>
      <c r="H2458" s="459">
        <v>2451</v>
      </c>
      <c r="I2458" s="444">
        <f t="shared" ca="1" si="148"/>
        <v>-12298909070.9466</v>
      </c>
      <c r="J2458" s="444">
        <f t="array" ref="J2458">IFERROR(INDEX('Retirement Calculator'!J:J,MATCH('Isaac 401k'!N2458,'Retirement Calculator'!A:A,0),0),0)</f>
        <v>0</v>
      </c>
      <c r="K2458" s="444">
        <f t="shared" ca="1" si="146"/>
        <v>-51245454.462277502</v>
      </c>
      <c r="L2458" s="444">
        <f t="shared" ca="1" si="147"/>
        <v>-12350154525.408878</v>
      </c>
      <c r="M2458" s="460">
        <f t="shared" si="149"/>
        <v>0.05</v>
      </c>
      <c r="N2458" s="464">
        <f t="shared" si="150"/>
        <v>125858</v>
      </c>
    </row>
    <row r="2459" spans="7:14" ht="11.25" customHeight="1" x14ac:dyDescent="0.25">
      <c r="G2459" s="459"/>
      <c r="H2459" s="459">
        <v>2452</v>
      </c>
      <c r="I2459" s="444">
        <f t="shared" ca="1" si="148"/>
        <v>-12350154525.408878</v>
      </c>
      <c r="J2459" s="444">
        <f t="array" ref="J2459">IFERROR(INDEX('Retirement Calculator'!J:J,MATCH('Isaac 401k'!N2459,'Retirement Calculator'!A:A,0),0),0)</f>
        <v>0</v>
      </c>
      <c r="K2459" s="444">
        <f t="shared" ca="1" si="146"/>
        <v>-51458977.189203657</v>
      </c>
      <c r="L2459" s="444">
        <f t="shared" ca="1" si="147"/>
        <v>-12401613502.598082</v>
      </c>
      <c r="M2459" s="460">
        <f t="shared" si="149"/>
        <v>0.05</v>
      </c>
      <c r="N2459" s="464">
        <f t="shared" si="150"/>
        <v>125889</v>
      </c>
    </row>
    <row r="2460" spans="7:14" ht="11.25" customHeight="1" x14ac:dyDescent="0.25">
      <c r="G2460" s="459"/>
      <c r="H2460" s="459">
        <v>2453</v>
      </c>
      <c r="I2460" s="444">
        <f t="shared" ca="1" si="148"/>
        <v>-12401613502.598082</v>
      </c>
      <c r="J2460" s="444">
        <f t="array" ref="J2460">IFERROR(INDEX('Retirement Calculator'!J:J,MATCH('Isaac 401k'!N2460,'Retirement Calculator'!A:A,0),0),0)</f>
        <v>0</v>
      </c>
      <c r="K2460" s="444">
        <f t="shared" ca="1" si="146"/>
        <v>-51673389.594158672</v>
      </c>
      <c r="L2460" s="444">
        <f t="shared" ca="1" si="147"/>
        <v>-12453286892.19224</v>
      </c>
      <c r="M2460" s="460">
        <f t="shared" si="149"/>
        <v>0.05</v>
      </c>
      <c r="N2460" s="464">
        <f t="shared" si="150"/>
        <v>125919</v>
      </c>
    </row>
    <row r="2461" spans="7:14" ht="11.25" customHeight="1" x14ac:dyDescent="0.25">
      <c r="G2461" s="459"/>
      <c r="H2461" s="459">
        <v>2454</v>
      </c>
      <c r="I2461" s="444">
        <f t="shared" ca="1" si="148"/>
        <v>-12453286892.19224</v>
      </c>
      <c r="J2461" s="444">
        <f t="array" ref="J2461">IFERROR(INDEX('Retirement Calculator'!J:J,MATCH('Isaac 401k'!N2461,'Retirement Calculator'!A:A,0),0),0)</f>
        <v>0</v>
      </c>
      <c r="K2461" s="444">
        <f t="shared" ca="1" si="146"/>
        <v>-51888695.38413433</v>
      </c>
      <c r="L2461" s="444">
        <f t="shared" ca="1" si="147"/>
        <v>-12505175587.576374</v>
      </c>
      <c r="M2461" s="460">
        <f t="shared" si="149"/>
        <v>0.05</v>
      </c>
      <c r="N2461" s="464">
        <f t="shared" si="150"/>
        <v>125950</v>
      </c>
    </row>
    <row r="2462" spans="7:14" ht="11.25" customHeight="1" x14ac:dyDescent="0.25">
      <c r="G2462" s="459"/>
      <c r="H2462" s="459">
        <v>2455</v>
      </c>
      <c r="I2462" s="444">
        <f t="shared" ca="1" si="148"/>
        <v>-12505175587.576374</v>
      </c>
      <c r="J2462" s="444">
        <f t="array" ref="J2462">IFERROR(INDEX('Retirement Calculator'!J:J,MATCH('Isaac 401k'!N2462,'Retirement Calculator'!A:A,0),0),0)</f>
        <v>0</v>
      </c>
      <c r="K2462" s="444">
        <f t="shared" ca="1" si="146"/>
        <v>-52104898.281568222</v>
      </c>
      <c r="L2462" s="444">
        <f t="shared" ca="1" si="147"/>
        <v>-12557280485.857943</v>
      </c>
      <c r="M2462" s="460">
        <f t="shared" si="149"/>
        <v>0.05</v>
      </c>
      <c r="N2462" s="464">
        <f t="shared" si="150"/>
        <v>125980</v>
      </c>
    </row>
    <row r="2463" spans="7:14" ht="11.25" customHeight="1" x14ac:dyDescent="0.25">
      <c r="G2463" s="459"/>
      <c r="H2463" s="459">
        <v>2456</v>
      </c>
      <c r="I2463" s="444">
        <f t="shared" ca="1" si="148"/>
        <v>-12557280485.857943</v>
      </c>
      <c r="J2463" s="444">
        <f t="array" ref="J2463">IFERROR(INDEX('Retirement Calculator'!J:J,MATCH('Isaac 401k'!N2463,'Retirement Calculator'!A:A,0),0),0)</f>
        <v>0</v>
      </c>
      <c r="K2463" s="444">
        <f t="shared" ca="1" si="146"/>
        <v>-52322002.024408095</v>
      </c>
      <c r="L2463" s="444">
        <f t="shared" ca="1" si="147"/>
        <v>-12609602487.882351</v>
      </c>
      <c r="M2463" s="460">
        <f t="shared" si="149"/>
        <v>0.05</v>
      </c>
      <c r="N2463" s="464">
        <f t="shared" si="150"/>
        <v>126011</v>
      </c>
    </row>
    <row r="2464" spans="7:14" ht="11.25" customHeight="1" x14ac:dyDescent="0.25">
      <c r="G2464" s="459"/>
      <c r="H2464" s="459">
        <v>2457</v>
      </c>
      <c r="I2464" s="444">
        <f t="shared" ca="1" si="148"/>
        <v>-12609602487.882351</v>
      </c>
      <c r="J2464" s="444">
        <f t="array" ref="J2464">IFERROR(INDEX('Retirement Calculator'!J:J,MATCH('Isaac 401k'!N2464,'Retirement Calculator'!A:A,0),0),0)</f>
        <v>0</v>
      </c>
      <c r="K2464" s="444">
        <f t="shared" ca="1" si="146"/>
        <v>-52540010.366176464</v>
      </c>
      <c r="L2464" s="444">
        <f t="shared" ca="1" si="147"/>
        <v>-12662142498.248528</v>
      </c>
      <c r="M2464" s="460">
        <f t="shared" si="149"/>
        <v>0.05</v>
      </c>
      <c r="N2464" s="464">
        <f t="shared" si="150"/>
        <v>126042</v>
      </c>
    </row>
    <row r="2465" spans="7:14" ht="11.25" customHeight="1" x14ac:dyDescent="0.25">
      <c r="G2465" s="459"/>
      <c r="H2465" s="459">
        <v>2458</v>
      </c>
      <c r="I2465" s="444">
        <f t="shared" ca="1" si="148"/>
        <v>-12662142498.248528</v>
      </c>
      <c r="J2465" s="444">
        <f t="array" ref="J2465">IFERROR(INDEX('Retirement Calculator'!J:J,MATCH('Isaac 401k'!N2465,'Retirement Calculator'!A:A,0),0),0)</f>
        <v>0</v>
      </c>
      <c r="K2465" s="444">
        <f t="shared" ca="1" si="146"/>
        <v>-52758927.076035529</v>
      </c>
      <c r="L2465" s="444">
        <f t="shared" ca="1" si="147"/>
        <v>-12714901425.324564</v>
      </c>
      <c r="M2465" s="460">
        <f t="shared" si="149"/>
        <v>0.05</v>
      </c>
      <c r="N2465" s="464">
        <f t="shared" si="150"/>
        <v>126070</v>
      </c>
    </row>
    <row r="2466" spans="7:14" ht="11.25" customHeight="1" x14ac:dyDescent="0.25">
      <c r="G2466" s="459"/>
      <c r="H2466" s="459">
        <v>2459</v>
      </c>
      <c r="I2466" s="444">
        <f t="shared" ca="1" si="148"/>
        <v>-12714901425.324564</v>
      </c>
      <c r="J2466" s="444">
        <f t="array" ref="J2466">IFERROR(INDEX('Retirement Calculator'!J:J,MATCH('Isaac 401k'!N2466,'Retirement Calculator'!A:A,0),0),0)</f>
        <v>0</v>
      </c>
      <c r="K2466" s="444">
        <f t="shared" ca="1" si="146"/>
        <v>-52978755.938852347</v>
      </c>
      <c r="L2466" s="444">
        <f t="shared" ca="1" si="147"/>
        <v>-12767880181.263416</v>
      </c>
      <c r="M2466" s="460">
        <f t="shared" si="149"/>
        <v>0.05</v>
      </c>
      <c r="N2466" s="464">
        <f t="shared" si="150"/>
        <v>126101</v>
      </c>
    </row>
    <row r="2467" spans="7:14" ht="11.25" customHeight="1" x14ac:dyDescent="0.25">
      <c r="G2467" s="459"/>
      <c r="H2467" s="459">
        <v>2460</v>
      </c>
      <c r="I2467" s="444">
        <f t="shared" ca="1" si="148"/>
        <v>-12767880181.263416</v>
      </c>
      <c r="J2467" s="444">
        <f t="array" ref="J2467">IFERROR(INDEX('Retirement Calculator'!J:J,MATCH('Isaac 401k'!N2467,'Retirement Calculator'!A:A,0),0),0)</f>
        <v>0</v>
      </c>
      <c r="K2467" s="444">
        <f t="shared" ca="1" si="146"/>
        <v>-53199500.755264238</v>
      </c>
      <c r="L2467" s="444">
        <f t="shared" ca="1" si="147"/>
        <v>-12821079682.018681</v>
      </c>
      <c r="M2467" s="460">
        <f t="shared" si="149"/>
        <v>0.05</v>
      </c>
      <c r="N2467" s="464">
        <f t="shared" si="150"/>
        <v>126131</v>
      </c>
    </row>
    <row r="2468" spans="7:14" ht="11.25" customHeight="1" x14ac:dyDescent="0.25">
      <c r="G2468" s="459"/>
      <c r="H2468" s="459">
        <v>2461</v>
      </c>
      <c r="I2468" s="444">
        <f t="shared" ca="1" si="148"/>
        <v>-12821079682.018681</v>
      </c>
      <c r="J2468" s="444">
        <f t="array" ref="J2468">IFERROR(INDEX('Retirement Calculator'!J:J,MATCH('Isaac 401k'!N2468,'Retirement Calculator'!A:A,0),0),0)</f>
        <v>0</v>
      </c>
      <c r="K2468" s="444">
        <f t="shared" ca="1" si="146"/>
        <v>-53421165.341744505</v>
      </c>
      <c r="L2468" s="444">
        <f t="shared" ca="1" si="147"/>
        <v>-12874500847.360426</v>
      </c>
      <c r="M2468" s="460">
        <f t="shared" si="149"/>
        <v>0.05</v>
      </c>
      <c r="N2468" s="464">
        <f t="shared" si="150"/>
        <v>126162</v>
      </c>
    </row>
    <row r="2469" spans="7:14" ht="11.25" customHeight="1" x14ac:dyDescent="0.25">
      <c r="G2469" s="459"/>
      <c r="H2469" s="459">
        <v>2462</v>
      </c>
      <c r="I2469" s="444">
        <f t="shared" ca="1" si="148"/>
        <v>-12874500847.360426</v>
      </c>
      <c r="J2469" s="444">
        <f t="array" ref="J2469">IFERROR(INDEX('Retirement Calculator'!J:J,MATCH('Isaac 401k'!N2469,'Retirement Calculator'!A:A,0),0),0)</f>
        <v>0</v>
      </c>
      <c r="K2469" s="444">
        <f t="shared" ca="1" si="146"/>
        <v>-53643753.530668437</v>
      </c>
      <c r="L2469" s="444">
        <f t="shared" ca="1" si="147"/>
        <v>-12928144600.891094</v>
      </c>
      <c r="M2469" s="460">
        <f t="shared" si="149"/>
        <v>0.05</v>
      </c>
      <c r="N2469" s="464">
        <f t="shared" si="150"/>
        <v>126192</v>
      </c>
    </row>
    <row r="2470" spans="7:14" ht="11.25" customHeight="1" x14ac:dyDescent="0.25">
      <c r="G2470" s="459"/>
      <c r="H2470" s="459">
        <v>2463</v>
      </c>
      <c r="I2470" s="444">
        <f t="shared" ca="1" si="148"/>
        <v>-12928144600.891094</v>
      </c>
      <c r="J2470" s="444">
        <f t="array" ref="J2470">IFERROR(INDEX('Retirement Calculator'!J:J,MATCH('Isaac 401k'!N2470,'Retirement Calculator'!A:A,0),0),0)</f>
        <v>0</v>
      </c>
      <c r="K2470" s="444">
        <f t="shared" ca="1" si="146"/>
        <v>-53867269.170379557</v>
      </c>
      <c r="L2470" s="444">
        <f t="shared" ca="1" si="147"/>
        <v>-12982011870.061474</v>
      </c>
      <c r="M2470" s="460">
        <f t="shared" si="149"/>
        <v>0.05</v>
      </c>
      <c r="N2470" s="464">
        <f t="shared" si="150"/>
        <v>126223</v>
      </c>
    </row>
    <row r="2471" spans="7:14" ht="11.25" customHeight="1" x14ac:dyDescent="0.25">
      <c r="G2471" s="459"/>
      <c r="H2471" s="459">
        <v>2464</v>
      </c>
      <c r="I2471" s="444">
        <f t="shared" ca="1" si="148"/>
        <v>-12982011870.061474</v>
      </c>
      <c r="J2471" s="444">
        <f t="array" ref="J2471">IFERROR(INDEX('Retirement Calculator'!J:J,MATCH('Isaac 401k'!N2471,'Retirement Calculator'!A:A,0),0),0)</f>
        <v>0</v>
      </c>
      <c r="K2471" s="444">
        <f t="shared" ca="1" si="146"/>
        <v>-54091716.125256144</v>
      </c>
      <c r="L2471" s="444">
        <f t="shared" ca="1" si="147"/>
        <v>-13036103586.186729</v>
      </c>
      <c r="M2471" s="460">
        <f t="shared" si="149"/>
        <v>0.05</v>
      </c>
      <c r="N2471" s="464">
        <f t="shared" si="150"/>
        <v>126254</v>
      </c>
    </row>
    <row r="2472" spans="7:14" ht="11.25" customHeight="1" x14ac:dyDescent="0.25">
      <c r="G2472" s="459"/>
      <c r="H2472" s="459">
        <v>2465</v>
      </c>
      <c r="I2472" s="444">
        <f t="shared" ca="1" si="148"/>
        <v>-13036103586.186729</v>
      </c>
      <c r="J2472" s="444">
        <f t="array" ref="J2472">IFERROR(INDEX('Retirement Calculator'!J:J,MATCH('Isaac 401k'!N2472,'Retirement Calculator'!A:A,0),0),0)</f>
        <v>0</v>
      </c>
      <c r="K2472" s="444">
        <f t="shared" ca="1" si="146"/>
        <v>-54317098.27577804</v>
      </c>
      <c r="L2472" s="444">
        <f t="shared" ca="1" si="147"/>
        <v>-13090420684.462507</v>
      </c>
      <c r="M2472" s="460">
        <f t="shared" si="149"/>
        <v>0.05</v>
      </c>
      <c r="N2472" s="464">
        <f t="shared" si="150"/>
        <v>126284</v>
      </c>
    </row>
    <row r="2473" spans="7:14" ht="11.25" customHeight="1" x14ac:dyDescent="0.25">
      <c r="G2473" s="459"/>
      <c r="H2473" s="459">
        <v>2466</v>
      </c>
      <c r="I2473" s="444">
        <f t="shared" ca="1" si="148"/>
        <v>-13090420684.462507</v>
      </c>
      <c r="J2473" s="444">
        <f t="array" ref="J2473">IFERROR(INDEX('Retirement Calculator'!J:J,MATCH('Isaac 401k'!N2473,'Retirement Calculator'!A:A,0),0),0)</f>
        <v>0</v>
      </c>
      <c r="K2473" s="444">
        <f t="shared" ca="1" si="146"/>
        <v>-54543419.518593781</v>
      </c>
      <c r="L2473" s="444">
        <f t="shared" ca="1" si="147"/>
        <v>-13144964103.9811</v>
      </c>
      <c r="M2473" s="460">
        <f t="shared" si="149"/>
        <v>0.05</v>
      </c>
      <c r="N2473" s="464">
        <f t="shared" si="150"/>
        <v>126315</v>
      </c>
    </row>
    <row r="2474" spans="7:14" ht="11.25" customHeight="1" x14ac:dyDescent="0.25">
      <c r="G2474" s="459"/>
      <c r="H2474" s="459">
        <v>2467</v>
      </c>
      <c r="I2474" s="444">
        <f t="shared" ca="1" si="148"/>
        <v>-13144964103.9811</v>
      </c>
      <c r="J2474" s="444">
        <f t="array" ref="J2474">IFERROR(INDEX('Retirement Calculator'!J:J,MATCH('Isaac 401k'!N2474,'Retirement Calculator'!A:A,0),0),0)</f>
        <v>0</v>
      </c>
      <c r="K2474" s="444">
        <f t="shared" ca="1" si="146"/>
        <v>-54770683.766587913</v>
      </c>
      <c r="L2474" s="444">
        <f t="shared" ca="1" si="147"/>
        <v>-13199734787.747688</v>
      </c>
      <c r="M2474" s="460">
        <f t="shared" si="149"/>
        <v>0.05</v>
      </c>
      <c r="N2474" s="464">
        <f t="shared" si="150"/>
        <v>126345</v>
      </c>
    </row>
    <row r="2475" spans="7:14" ht="11.25" customHeight="1" x14ac:dyDescent="0.25">
      <c r="G2475" s="459"/>
      <c r="H2475" s="459">
        <v>2468</v>
      </c>
      <c r="I2475" s="444">
        <f t="shared" ca="1" si="148"/>
        <v>-13199734787.747688</v>
      </c>
      <c r="J2475" s="444">
        <f t="array" ref="J2475">IFERROR(INDEX('Retirement Calculator'!J:J,MATCH('Isaac 401k'!N2475,'Retirement Calculator'!A:A,0),0),0)</f>
        <v>0</v>
      </c>
      <c r="K2475" s="444">
        <f t="shared" ca="1" si="146"/>
        <v>-54998894.948948704</v>
      </c>
      <c r="L2475" s="444">
        <f t="shared" ca="1" si="147"/>
        <v>-13254733682.696636</v>
      </c>
      <c r="M2475" s="460">
        <f t="shared" si="149"/>
        <v>0.05</v>
      </c>
      <c r="N2475" s="464">
        <f t="shared" si="150"/>
        <v>126376</v>
      </c>
    </row>
    <row r="2476" spans="7:14" ht="11.25" customHeight="1" x14ac:dyDescent="0.25">
      <c r="G2476" s="459"/>
      <c r="H2476" s="459">
        <v>2469</v>
      </c>
      <c r="I2476" s="444">
        <f t="shared" ca="1" si="148"/>
        <v>-13254733682.696636</v>
      </c>
      <c r="J2476" s="444">
        <f t="array" ref="J2476">IFERROR(INDEX('Retirement Calculator'!J:J,MATCH('Isaac 401k'!N2476,'Retirement Calculator'!A:A,0),0),0)</f>
        <v>0</v>
      </c>
      <c r="K2476" s="444">
        <f t="shared" ca="1" si="146"/>
        <v>-55228057.011235982</v>
      </c>
      <c r="L2476" s="444">
        <f t="shared" ca="1" si="147"/>
        <v>-13309961739.707872</v>
      </c>
      <c r="M2476" s="460">
        <f t="shared" si="149"/>
        <v>0.05</v>
      </c>
      <c r="N2476" s="464">
        <f t="shared" si="150"/>
        <v>126407</v>
      </c>
    </row>
    <row r="2477" spans="7:14" ht="11.25" customHeight="1" x14ac:dyDescent="0.25">
      <c r="G2477" s="459"/>
      <c r="H2477" s="459">
        <v>2470</v>
      </c>
      <c r="I2477" s="444">
        <f t="shared" ca="1" si="148"/>
        <v>-13309961739.707872</v>
      </c>
      <c r="J2477" s="444">
        <f t="array" ref="J2477">IFERROR(INDEX('Retirement Calculator'!J:J,MATCH('Isaac 401k'!N2477,'Retirement Calculator'!A:A,0),0),0)</f>
        <v>0</v>
      </c>
      <c r="K2477" s="444">
        <f t="shared" ca="1" si="146"/>
        <v>-55458173.91544947</v>
      </c>
      <c r="L2477" s="444">
        <f t="shared" ca="1" si="147"/>
        <v>-13365419913.623322</v>
      </c>
      <c r="M2477" s="460">
        <f t="shared" si="149"/>
        <v>0.05</v>
      </c>
      <c r="N2477" s="464">
        <f t="shared" si="150"/>
        <v>126435</v>
      </c>
    </row>
    <row r="2478" spans="7:14" ht="11.25" customHeight="1" x14ac:dyDescent="0.25">
      <c r="G2478" s="459"/>
      <c r="H2478" s="459">
        <v>2471</v>
      </c>
      <c r="I2478" s="444">
        <f t="shared" ca="1" si="148"/>
        <v>-13365419913.623322</v>
      </c>
      <c r="J2478" s="444">
        <f t="array" ref="J2478">IFERROR(INDEX('Retirement Calculator'!J:J,MATCH('Isaac 401k'!N2478,'Retirement Calculator'!A:A,0),0),0)</f>
        <v>0</v>
      </c>
      <c r="K2478" s="444">
        <f t="shared" ca="1" si="146"/>
        <v>-55689249.640097171</v>
      </c>
      <c r="L2478" s="444">
        <f t="shared" ca="1" si="147"/>
        <v>-13421109163.263418</v>
      </c>
      <c r="M2478" s="460">
        <f t="shared" si="149"/>
        <v>0.05</v>
      </c>
      <c r="N2478" s="464">
        <f t="shared" si="150"/>
        <v>126466</v>
      </c>
    </row>
    <row r="2479" spans="7:14" ht="11.25" customHeight="1" x14ac:dyDescent="0.25">
      <c r="G2479" s="459"/>
      <c r="H2479" s="459">
        <v>2472</v>
      </c>
      <c r="I2479" s="444">
        <f t="shared" ca="1" si="148"/>
        <v>-13421109163.263418</v>
      </c>
      <c r="J2479" s="444">
        <f t="array" ref="J2479">IFERROR(INDEX('Retirement Calculator'!J:J,MATCH('Isaac 401k'!N2479,'Retirement Calculator'!A:A,0),0),0)</f>
        <v>0</v>
      </c>
      <c r="K2479" s="444">
        <f t="shared" ca="1" si="146"/>
        <v>-55921288.180264249</v>
      </c>
      <c r="L2479" s="444">
        <f t="shared" ca="1" si="147"/>
        <v>-13477030451.443682</v>
      </c>
      <c r="M2479" s="460">
        <f t="shared" si="149"/>
        <v>0.05</v>
      </c>
      <c r="N2479" s="464">
        <f t="shared" si="150"/>
        <v>126496</v>
      </c>
    </row>
    <row r="2480" spans="7:14" ht="11.25" customHeight="1" x14ac:dyDescent="0.25">
      <c r="G2480" s="459"/>
      <c r="H2480" s="459">
        <v>2473</v>
      </c>
      <c r="I2480" s="444">
        <f t="shared" ca="1" si="148"/>
        <v>-13477030451.443682</v>
      </c>
      <c r="J2480" s="444">
        <f t="array" ref="J2480">IFERROR(INDEX('Retirement Calculator'!J:J,MATCH('Isaac 401k'!N2480,'Retirement Calculator'!A:A,0),0),0)</f>
        <v>0</v>
      </c>
      <c r="K2480" s="444">
        <f t="shared" ca="1" si="146"/>
        <v>-56154293.547682017</v>
      </c>
      <c r="L2480" s="444">
        <f t="shared" ca="1" si="147"/>
        <v>-13533184744.991364</v>
      </c>
      <c r="M2480" s="460">
        <f t="shared" si="149"/>
        <v>0.05</v>
      </c>
      <c r="N2480" s="464">
        <f t="shared" si="150"/>
        <v>126527</v>
      </c>
    </row>
    <row r="2481" spans="7:14" ht="11.25" customHeight="1" x14ac:dyDescent="0.25">
      <c r="G2481" s="459"/>
      <c r="H2481" s="459">
        <v>2474</v>
      </c>
      <c r="I2481" s="444">
        <f t="shared" ca="1" si="148"/>
        <v>-13533184744.991364</v>
      </c>
      <c r="J2481" s="444">
        <f t="array" ref="J2481">IFERROR(INDEX('Retirement Calculator'!J:J,MATCH('Isaac 401k'!N2481,'Retirement Calculator'!A:A,0),0),0)</f>
        <v>0</v>
      </c>
      <c r="K2481" s="444">
        <f t="shared" ca="1" si="146"/>
        <v>-56388269.77079735</v>
      </c>
      <c r="L2481" s="444">
        <f t="shared" ca="1" si="147"/>
        <v>-13589573014.762161</v>
      </c>
      <c r="M2481" s="460">
        <f t="shared" si="149"/>
        <v>0.05</v>
      </c>
      <c r="N2481" s="464">
        <f t="shared" si="150"/>
        <v>126557</v>
      </c>
    </row>
    <row r="2482" spans="7:14" ht="11.25" customHeight="1" x14ac:dyDescent="0.25">
      <c r="G2482" s="459"/>
      <c r="H2482" s="459">
        <v>2475</v>
      </c>
      <c r="I2482" s="444">
        <f t="shared" ca="1" si="148"/>
        <v>-13589573014.762161</v>
      </c>
      <c r="J2482" s="444">
        <f t="array" ref="J2482">IFERROR(INDEX('Retirement Calculator'!J:J,MATCH('Isaac 401k'!N2482,'Retirement Calculator'!A:A,0),0),0)</f>
        <v>0</v>
      </c>
      <c r="K2482" s="444">
        <f t="shared" ca="1" si="146"/>
        <v>-56623220.894842334</v>
      </c>
      <c r="L2482" s="444">
        <f t="shared" ca="1" si="147"/>
        <v>-13646196235.657003</v>
      </c>
      <c r="M2482" s="460">
        <f t="shared" si="149"/>
        <v>0.05</v>
      </c>
      <c r="N2482" s="464">
        <f t="shared" si="150"/>
        <v>126588</v>
      </c>
    </row>
    <row r="2483" spans="7:14" ht="11.25" customHeight="1" x14ac:dyDescent="0.25">
      <c r="G2483" s="459"/>
      <c r="H2483" s="459">
        <v>2476</v>
      </c>
      <c r="I2483" s="444">
        <f t="shared" ca="1" si="148"/>
        <v>-13646196235.657003</v>
      </c>
      <c r="J2483" s="444">
        <f t="array" ref="J2483">IFERROR(INDEX('Retirement Calculator'!J:J,MATCH('Isaac 401k'!N2483,'Retirement Calculator'!A:A,0),0),0)</f>
        <v>0</v>
      </c>
      <c r="K2483" s="444">
        <f t="shared" ca="1" si="146"/>
        <v>-56859150.981904171</v>
      </c>
      <c r="L2483" s="444">
        <f t="shared" ca="1" si="147"/>
        <v>-13703055386.638908</v>
      </c>
      <c r="M2483" s="460">
        <f t="shared" si="149"/>
        <v>0.05</v>
      </c>
      <c r="N2483" s="464">
        <f t="shared" si="150"/>
        <v>126619</v>
      </c>
    </row>
    <row r="2484" spans="7:14" ht="11.25" customHeight="1" x14ac:dyDescent="0.25">
      <c r="G2484" s="459"/>
      <c r="H2484" s="459">
        <v>2477</v>
      </c>
      <c r="I2484" s="444">
        <f t="shared" ca="1" si="148"/>
        <v>-13703055386.638908</v>
      </c>
      <c r="J2484" s="444">
        <f t="array" ref="J2484">IFERROR(INDEX('Retirement Calculator'!J:J,MATCH('Isaac 401k'!N2484,'Retirement Calculator'!A:A,0),0),0)</f>
        <v>0</v>
      </c>
      <c r="K2484" s="444">
        <f t="shared" ca="1" si="146"/>
        <v>-57096064.110995449</v>
      </c>
      <c r="L2484" s="444">
        <f t="shared" ca="1" si="147"/>
        <v>-13760151450.749905</v>
      </c>
      <c r="M2484" s="460">
        <f t="shared" si="149"/>
        <v>0.05</v>
      </c>
      <c r="N2484" s="464">
        <f t="shared" si="150"/>
        <v>126649</v>
      </c>
    </row>
    <row r="2485" spans="7:14" ht="11.25" customHeight="1" x14ac:dyDescent="0.25">
      <c r="G2485" s="459"/>
      <c r="H2485" s="459">
        <v>2478</v>
      </c>
      <c r="I2485" s="444">
        <f t="shared" ca="1" si="148"/>
        <v>-13760151450.749905</v>
      </c>
      <c r="J2485" s="444">
        <f t="array" ref="J2485">IFERROR(INDEX('Retirement Calculator'!J:J,MATCH('Isaac 401k'!N2485,'Retirement Calculator'!A:A,0),0),0)</f>
        <v>0</v>
      </c>
      <c r="K2485" s="444">
        <f t="shared" ca="1" si="146"/>
        <v>-57333964.378124602</v>
      </c>
      <c r="L2485" s="444">
        <f t="shared" ca="1" si="147"/>
        <v>-13817485415.128029</v>
      </c>
      <c r="M2485" s="460">
        <f t="shared" si="149"/>
        <v>0.05</v>
      </c>
      <c r="N2485" s="464">
        <f t="shared" si="150"/>
        <v>126680</v>
      </c>
    </row>
    <row r="2486" spans="7:14" ht="11.25" customHeight="1" x14ac:dyDescent="0.25">
      <c r="G2486" s="459"/>
      <c r="H2486" s="459">
        <v>2479</v>
      </c>
      <c r="I2486" s="444">
        <f t="shared" ca="1" si="148"/>
        <v>-13817485415.128029</v>
      </c>
      <c r="J2486" s="444">
        <f t="array" ref="J2486">IFERROR(INDEX('Retirement Calculator'!J:J,MATCH('Isaac 401k'!N2486,'Retirement Calculator'!A:A,0),0),0)</f>
        <v>0</v>
      </c>
      <c r="K2486" s="444">
        <f t="shared" ca="1" si="146"/>
        <v>-57572855.896366782</v>
      </c>
      <c r="L2486" s="444">
        <f t="shared" ca="1" si="147"/>
        <v>-13875058271.024395</v>
      </c>
      <c r="M2486" s="460">
        <f t="shared" si="149"/>
        <v>0.05</v>
      </c>
      <c r="N2486" s="464">
        <f t="shared" si="150"/>
        <v>126710</v>
      </c>
    </row>
    <row r="2487" spans="7:14" ht="11.25" customHeight="1" x14ac:dyDescent="0.25">
      <c r="G2487" s="459"/>
      <c r="H2487" s="459">
        <v>2480</v>
      </c>
      <c r="I2487" s="444">
        <f t="shared" ca="1" si="148"/>
        <v>-13875058271.024395</v>
      </c>
      <c r="J2487" s="444">
        <f t="array" ref="J2487">IFERROR(INDEX('Retirement Calculator'!J:J,MATCH('Isaac 401k'!N2487,'Retirement Calculator'!A:A,0),0),0)</f>
        <v>0</v>
      </c>
      <c r="K2487" s="444">
        <f t="shared" ca="1" si="146"/>
        <v>-57812742.795934975</v>
      </c>
      <c r="L2487" s="444">
        <f t="shared" ca="1" si="147"/>
        <v>-13932871013.82033</v>
      </c>
      <c r="M2487" s="460">
        <f t="shared" si="149"/>
        <v>0.05</v>
      </c>
      <c r="N2487" s="464">
        <f t="shared" si="150"/>
        <v>126741</v>
      </c>
    </row>
    <row r="2488" spans="7:14" ht="11.25" customHeight="1" x14ac:dyDescent="0.25">
      <c r="G2488" s="459"/>
      <c r="H2488" s="459">
        <v>2481</v>
      </c>
      <c r="I2488" s="444">
        <f t="shared" ca="1" si="148"/>
        <v>-13932871013.82033</v>
      </c>
      <c r="J2488" s="444">
        <f t="array" ref="J2488">IFERROR(INDEX('Retirement Calculator'!J:J,MATCH('Isaac 401k'!N2488,'Retirement Calculator'!A:A,0),0),0)</f>
        <v>0</v>
      </c>
      <c r="K2488" s="444">
        <f t="shared" ca="1" si="146"/>
        <v>-58053629.224251367</v>
      </c>
      <c r="L2488" s="444">
        <f t="shared" ca="1" si="147"/>
        <v>-13990924643.04458</v>
      </c>
      <c r="M2488" s="460">
        <f t="shared" si="149"/>
        <v>0.05</v>
      </c>
      <c r="N2488" s="464">
        <f t="shared" si="150"/>
        <v>126772</v>
      </c>
    </row>
    <row r="2489" spans="7:14" ht="11.25" customHeight="1" x14ac:dyDescent="0.25">
      <c r="G2489" s="459"/>
      <c r="H2489" s="459">
        <v>2482</v>
      </c>
      <c r="I2489" s="444">
        <f t="shared" ca="1" si="148"/>
        <v>-13990924643.04458</v>
      </c>
      <c r="J2489" s="444">
        <f t="array" ref="J2489">IFERROR(INDEX('Retirement Calculator'!J:J,MATCH('Isaac 401k'!N2489,'Retirement Calculator'!A:A,0),0),0)</f>
        <v>0</v>
      </c>
      <c r="K2489" s="444">
        <f t="shared" ca="1" si="146"/>
        <v>-58295519.346019089</v>
      </c>
      <c r="L2489" s="444">
        <f t="shared" ca="1" si="147"/>
        <v>-14049220162.3906</v>
      </c>
      <c r="M2489" s="460">
        <f t="shared" si="149"/>
        <v>0.05</v>
      </c>
      <c r="N2489" s="464">
        <f t="shared" si="150"/>
        <v>126800</v>
      </c>
    </row>
    <row r="2490" spans="7:14" ht="11.25" customHeight="1" x14ac:dyDescent="0.25">
      <c r="G2490" s="459"/>
      <c r="H2490" s="459">
        <v>2483</v>
      </c>
      <c r="I2490" s="444">
        <f t="shared" ca="1" si="148"/>
        <v>-14049220162.3906</v>
      </c>
      <c r="J2490" s="444">
        <f t="array" ref="J2490">IFERROR(INDEX('Retirement Calculator'!J:J,MATCH('Isaac 401k'!N2490,'Retirement Calculator'!A:A,0),0),0)</f>
        <v>0</v>
      </c>
      <c r="K2490" s="444">
        <f t="shared" ca="1" si="146"/>
        <v>-58538417.343294166</v>
      </c>
      <c r="L2490" s="444">
        <f t="shared" ca="1" si="147"/>
        <v>-14107758579.733894</v>
      </c>
      <c r="M2490" s="460">
        <f t="shared" si="149"/>
        <v>0.05</v>
      </c>
      <c r="N2490" s="464">
        <f t="shared" si="150"/>
        <v>126831</v>
      </c>
    </row>
    <row r="2491" spans="7:14" ht="11.25" customHeight="1" x14ac:dyDescent="0.25">
      <c r="G2491" s="459"/>
      <c r="H2491" s="459">
        <v>2484</v>
      </c>
      <c r="I2491" s="444">
        <f t="shared" ca="1" si="148"/>
        <v>-14107758579.733894</v>
      </c>
      <c r="J2491" s="444">
        <f t="array" ref="J2491">IFERROR(INDEX('Retirement Calculator'!J:J,MATCH('Isaac 401k'!N2491,'Retirement Calculator'!A:A,0),0),0)</f>
        <v>0</v>
      </c>
      <c r="K2491" s="444">
        <f t="shared" ca="1" si="146"/>
        <v>-58782327.415557899</v>
      </c>
      <c r="L2491" s="444">
        <f t="shared" ca="1" si="147"/>
        <v>-14166540907.149452</v>
      </c>
      <c r="M2491" s="460">
        <f t="shared" si="149"/>
        <v>0.05</v>
      </c>
      <c r="N2491" s="464">
        <f t="shared" si="150"/>
        <v>126861</v>
      </c>
    </row>
    <row r="2492" spans="7:14" ht="11.25" customHeight="1" x14ac:dyDescent="0.25">
      <c r="G2492" s="459"/>
      <c r="H2492" s="459">
        <v>2485</v>
      </c>
      <c r="I2492" s="444">
        <f t="shared" ca="1" si="148"/>
        <v>-14166540907.149452</v>
      </c>
      <c r="J2492" s="444">
        <f t="array" ref="J2492">IFERROR(INDEX('Retirement Calculator'!J:J,MATCH('Isaac 401k'!N2492,'Retirement Calculator'!A:A,0),0),0)</f>
        <v>0</v>
      </c>
      <c r="K2492" s="444">
        <f t="shared" ca="1" si="146"/>
        <v>-59027253.779789373</v>
      </c>
      <c r="L2492" s="444">
        <f t="shared" ca="1" si="147"/>
        <v>-14225568160.929241</v>
      </c>
      <c r="M2492" s="460">
        <f t="shared" si="149"/>
        <v>0.05</v>
      </c>
      <c r="N2492" s="464">
        <f t="shared" si="150"/>
        <v>126892</v>
      </c>
    </row>
    <row r="2493" spans="7:14" ht="11.25" customHeight="1" x14ac:dyDescent="0.25">
      <c r="G2493" s="459"/>
      <c r="H2493" s="459">
        <v>2486</v>
      </c>
      <c r="I2493" s="444">
        <f t="shared" ca="1" si="148"/>
        <v>-14225568160.929241</v>
      </c>
      <c r="J2493" s="444">
        <f t="array" ref="J2493">IFERROR(INDEX('Retirement Calculator'!J:J,MATCH('Isaac 401k'!N2493,'Retirement Calculator'!A:A,0),0),0)</f>
        <v>0</v>
      </c>
      <c r="K2493" s="444">
        <f t="shared" ca="1" si="146"/>
        <v>-59273200.670538515</v>
      </c>
      <c r="L2493" s="444">
        <f t="shared" ca="1" si="147"/>
        <v>-14284841361.599779</v>
      </c>
      <c r="M2493" s="460">
        <f t="shared" si="149"/>
        <v>0.05</v>
      </c>
      <c r="N2493" s="464">
        <f t="shared" si="150"/>
        <v>126922</v>
      </c>
    </row>
    <row r="2494" spans="7:14" ht="11.25" customHeight="1" x14ac:dyDescent="0.25">
      <c r="G2494" s="459"/>
      <c r="H2494" s="459">
        <v>2487</v>
      </c>
      <c r="I2494" s="444">
        <f t="shared" ca="1" si="148"/>
        <v>-14284841361.599779</v>
      </c>
      <c r="J2494" s="444">
        <f t="array" ref="J2494">IFERROR(INDEX('Retirement Calculator'!J:J,MATCH('Isaac 401k'!N2494,'Retirement Calculator'!A:A,0),0),0)</f>
        <v>0</v>
      </c>
      <c r="K2494" s="444">
        <f t="shared" ca="1" si="146"/>
        <v>-59520172.339999087</v>
      </c>
      <c r="L2494" s="444">
        <f t="shared" ca="1" si="147"/>
        <v>-14344361533.939777</v>
      </c>
      <c r="M2494" s="460">
        <f t="shared" si="149"/>
        <v>0.05</v>
      </c>
      <c r="N2494" s="464">
        <f t="shared" si="150"/>
        <v>126953</v>
      </c>
    </row>
    <row r="2495" spans="7:14" ht="11.25" customHeight="1" x14ac:dyDescent="0.25">
      <c r="G2495" s="459"/>
      <c r="H2495" s="459">
        <v>2488</v>
      </c>
      <c r="I2495" s="444">
        <f t="shared" ca="1" si="148"/>
        <v>-14344361533.939777</v>
      </c>
      <c r="J2495" s="444">
        <f t="array" ref="J2495">IFERROR(INDEX('Retirement Calculator'!J:J,MATCH('Isaac 401k'!N2495,'Retirement Calculator'!A:A,0),0),0)</f>
        <v>0</v>
      </c>
      <c r="K2495" s="444">
        <f t="shared" ca="1" si="146"/>
        <v>-59768173.058082402</v>
      </c>
      <c r="L2495" s="444">
        <f t="shared" ca="1" si="147"/>
        <v>-14404129706.99786</v>
      </c>
      <c r="M2495" s="460">
        <f t="shared" si="149"/>
        <v>0.05</v>
      </c>
      <c r="N2495" s="464">
        <f t="shared" si="150"/>
        <v>126984</v>
      </c>
    </row>
    <row r="2496" spans="7:14" ht="11.25" customHeight="1" x14ac:dyDescent="0.25">
      <c r="G2496" s="459"/>
      <c r="H2496" s="459">
        <v>2489</v>
      </c>
      <c r="I2496" s="444">
        <f t="shared" ca="1" si="148"/>
        <v>-14404129706.99786</v>
      </c>
      <c r="J2496" s="444">
        <f t="array" ref="J2496">IFERROR(INDEX('Retirement Calculator'!J:J,MATCH('Isaac 401k'!N2496,'Retirement Calculator'!A:A,0),0),0)</f>
        <v>0</v>
      </c>
      <c r="K2496" s="444">
        <f t="shared" ca="1" si="146"/>
        <v>-60017207.112491071</v>
      </c>
      <c r="L2496" s="444">
        <f t="shared" ca="1" si="147"/>
        <v>-14464146914.110352</v>
      </c>
      <c r="M2496" s="460">
        <f t="shared" si="149"/>
        <v>0.05</v>
      </c>
      <c r="N2496" s="464">
        <f t="shared" si="150"/>
        <v>127014</v>
      </c>
    </row>
    <row r="2497" spans="7:14" ht="11.25" customHeight="1" x14ac:dyDescent="0.25">
      <c r="G2497" s="459"/>
      <c r="H2497" s="459">
        <v>2490</v>
      </c>
      <c r="I2497" s="444">
        <f t="shared" ca="1" si="148"/>
        <v>-14464146914.110352</v>
      </c>
      <c r="J2497" s="444">
        <f t="array" ref="J2497">IFERROR(INDEX('Retirement Calculator'!J:J,MATCH('Isaac 401k'!N2497,'Retirement Calculator'!A:A,0),0),0)</f>
        <v>0</v>
      </c>
      <c r="K2497" s="444">
        <f t="shared" ca="1" si="146"/>
        <v>-60267278.808793128</v>
      </c>
      <c r="L2497" s="444">
        <f t="shared" ca="1" si="147"/>
        <v>-14524414192.919146</v>
      </c>
      <c r="M2497" s="460">
        <f t="shared" si="149"/>
        <v>0.05</v>
      </c>
      <c r="N2497" s="464">
        <f t="shared" si="150"/>
        <v>127045</v>
      </c>
    </row>
    <row r="2498" spans="7:14" ht="11.25" customHeight="1" x14ac:dyDescent="0.25">
      <c r="G2498" s="459"/>
      <c r="H2498" s="459">
        <v>2491</v>
      </c>
      <c r="I2498" s="444">
        <f t="shared" ca="1" si="148"/>
        <v>-14524414192.919146</v>
      </c>
      <c r="J2498" s="444">
        <f t="array" ref="J2498">IFERROR(INDEX('Retirement Calculator'!J:J,MATCH('Isaac 401k'!N2498,'Retirement Calculator'!A:A,0),0),0)</f>
        <v>0</v>
      </c>
      <c r="K2498" s="444">
        <f t="shared" ca="1" si="146"/>
        <v>-60518392.470496438</v>
      </c>
      <c r="L2498" s="444">
        <f t="shared" ca="1" si="147"/>
        <v>-14584932585.389643</v>
      </c>
      <c r="M2498" s="460">
        <f t="shared" si="149"/>
        <v>0.05</v>
      </c>
      <c r="N2498" s="464">
        <f t="shared" si="150"/>
        <v>127075</v>
      </c>
    </row>
    <row r="2499" spans="7:14" ht="11.25" customHeight="1" x14ac:dyDescent="0.25">
      <c r="G2499" s="459"/>
      <c r="H2499" s="459">
        <v>2492</v>
      </c>
      <c r="I2499" s="444">
        <f t="shared" ca="1" si="148"/>
        <v>-14584932585.389643</v>
      </c>
      <c r="J2499" s="444">
        <f t="array" ref="J2499">IFERROR(INDEX('Retirement Calculator'!J:J,MATCH('Isaac 401k'!N2499,'Retirement Calculator'!A:A,0),0),0)</f>
        <v>0</v>
      </c>
      <c r="K2499" s="444">
        <f t="shared" ca="1" si="146"/>
        <v>-60770552.439123511</v>
      </c>
      <c r="L2499" s="444">
        <f t="shared" ca="1" si="147"/>
        <v>-14645703137.828766</v>
      </c>
      <c r="M2499" s="460">
        <f t="shared" si="149"/>
        <v>0.05</v>
      </c>
      <c r="N2499" s="464">
        <f t="shared" si="150"/>
        <v>127106</v>
      </c>
    </row>
    <row r="2500" spans="7:14" ht="11.25" customHeight="1" x14ac:dyDescent="0.25">
      <c r="G2500" s="459"/>
      <c r="H2500" s="459">
        <v>2493</v>
      </c>
      <c r="I2500" s="444">
        <f t="shared" ca="1" si="148"/>
        <v>-14645703137.828766</v>
      </c>
      <c r="J2500" s="444">
        <f t="array" ref="J2500">IFERROR(INDEX('Retirement Calculator'!J:J,MATCH('Isaac 401k'!N2500,'Retirement Calculator'!A:A,0),0),0)</f>
        <v>0</v>
      </c>
      <c r="K2500" s="444">
        <f t="shared" ca="1" si="146"/>
        <v>-61023763.07428652</v>
      </c>
      <c r="L2500" s="444">
        <f t="shared" ca="1" si="147"/>
        <v>-14706726900.903053</v>
      </c>
      <c r="M2500" s="460">
        <f t="shared" si="149"/>
        <v>0.05</v>
      </c>
      <c r="N2500" s="464">
        <f t="shared" si="150"/>
        <v>127137</v>
      </c>
    </row>
    <row r="2501" spans="7:14" ht="11.25" customHeight="1" x14ac:dyDescent="0.25">
      <c r="G2501" s="459"/>
      <c r="H2501" s="459">
        <v>2494</v>
      </c>
      <c r="I2501" s="444">
        <f t="shared" ca="1" si="148"/>
        <v>-14706726900.903053</v>
      </c>
      <c r="J2501" s="444">
        <f t="array" ref="J2501">IFERROR(INDEX('Retirement Calculator'!J:J,MATCH('Isaac 401k'!N2501,'Retirement Calculator'!A:A,0),0),0)</f>
        <v>0</v>
      </c>
      <c r="K2501" s="444">
        <f t="shared" ca="1" si="146"/>
        <v>-61278028.753762722</v>
      </c>
      <c r="L2501" s="444">
        <f t="shared" ca="1" si="147"/>
        <v>-14768004929.656816</v>
      </c>
      <c r="M2501" s="460">
        <f t="shared" si="149"/>
        <v>0.05</v>
      </c>
      <c r="N2501" s="464">
        <f t="shared" si="150"/>
        <v>127166</v>
      </c>
    </row>
    <row r="2502" spans="7:14" ht="11.25" customHeight="1" x14ac:dyDescent="0.25">
      <c r="G2502" s="459"/>
      <c r="H2502" s="459">
        <v>2495</v>
      </c>
      <c r="I2502" s="444">
        <f t="shared" ca="1" si="148"/>
        <v>-14768004929.656816</v>
      </c>
      <c r="J2502" s="444">
        <f t="array" ref="J2502">IFERROR(INDEX('Retirement Calculator'!J:J,MATCH('Isaac 401k'!N2502,'Retirement Calculator'!A:A,0),0),0)</f>
        <v>0</v>
      </c>
      <c r="K2502" s="444">
        <f t="shared" ca="1" si="146"/>
        <v>-61533353.873570077</v>
      </c>
      <c r="L2502" s="444">
        <f t="shared" ca="1" si="147"/>
        <v>-14829538283.530386</v>
      </c>
      <c r="M2502" s="460">
        <f t="shared" si="149"/>
        <v>0.05</v>
      </c>
      <c r="N2502" s="464">
        <f t="shared" si="150"/>
        <v>127197</v>
      </c>
    </row>
    <row r="2503" spans="7:14" ht="11.25" customHeight="1" x14ac:dyDescent="0.25">
      <c r="G2503" s="459"/>
      <c r="H2503" s="459">
        <v>2496</v>
      </c>
      <c r="I2503" s="444">
        <f t="shared" ca="1" si="148"/>
        <v>-14829538283.530386</v>
      </c>
      <c r="J2503" s="444">
        <f t="array" ref="J2503">IFERROR(INDEX('Retirement Calculator'!J:J,MATCH('Isaac 401k'!N2503,'Retirement Calculator'!A:A,0),0),0)</f>
        <v>0</v>
      </c>
      <c r="K2503" s="444">
        <f t="shared" ca="1" si="146"/>
        <v>-61789742.84804327</v>
      </c>
      <c r="L2503" s="444">
        <f t="shared" ca="1" si="147"/>
        <v>-14891328026.378429</v>
      </c>
      <c r="M2503" s="460">
        <f t="shared" si="149"/>
        <v>0.05</v>
      </c>
      <c r="N2503" s="464">
        <f t="shared" si="150"/>
        <v>127227</v>
      </c>
    </row>
    <row r="2504" spans="7:14" ht="11.25" customHeight="1" x14ac:dyDescent="0.25">
      <c r="G2504" s="459"/>
      <c r="H2504" s="459">
        <v>2497</v>
      </c>
      <c r="I2504" s="444">
        <f t="shared" ca="1" si="148"/>
        <v>-14891328026.378429</v>
      </c>
      <c r="J2504" s="444">
        <f t="array" ref="J2504">IFERROR(INDEX('Retirement Calculator'!J:J,MATCH('Isaac 401k'!N2504,'Retirement Calculator'!A:A,0),0),0)</f>
        <v>0</v>
      </c>
      <c r="K2504" s="444">
        <f t="shared" ca="1" si="146"/>
        <v>-62047200.109910123</v>
      </c>
      <c r="L2504" s="444">
        <f t="shared" ca="1" si="147"/>
        <v>-14953375226.48834</v>
      </c>
      <c r="M2504" s="460">
        <f t="shared" si="149"/>
        <v>0.05</v>
      </c>
      <c r="N2504" s="464">
        <f t="shared" si="150"/>
        <v>127258</v>
      </c>
    </row>
    <row r="2505" spans="7:14" ht="11.25" customHeight="1" x14ac:dyDescent="0.25">
      <c r="G2505" s="459"/>
      <c r="H2505" s="459">
        <v>2498</v>
      </c>
      <c r="I2505" s="444">
        <f t="shared" ca="1" si="148"/>
        <v>-14953375226.48834</v>
      </c>
      <c r="J2505" s="444">
        <f t="array" ref="J2505">IFERROR(INDEX('Retirement Calculator'!J:J,MATCH('Isaac 401k'!N2505,'Retirement Calculator'!A:A,0),0),0)</f>
        <v>0</v>
      </c>
      <c r="K2505" s="444">
        <f t="shared" ca="1" si="146"/>
        <v>-62305730.11036808</v>
      </c>
      <c r="L2505" s="444">
        <f t="shared" ca="1" si="147"/>
        <v>-15015680956.598709</v>
      </c>
      <c r="M2505" s="460">
        <f t="shared" si="149"/>
        <v>0.05</v>
      </c>
      <c r="N2505" s="464">
        <f t="shared" si="150"/>
        <v>127288</v>
      </c>
    </row>
    <row r="2506" spans="7:14" ht="11.25" customHeight="1" x14ac:dyDescent="0.25">
      <c r="G2506" s="459"/>
      <c r="H2506" s="459">
        <v>2499</v>
      </c>
      <c r="I2506" s="444">
        <f t="shared" ca="1" si="148"/>
        <v>-15015680956.598709</v>
      </c>
      <c r="J2506" s="444">
        <f t="array" ref="J2506">IFERROR(INDEX('Retirement Calculator'!J:J,MATCH('Isaac 401k'!N2506,'Retirement Calculator'!A:A,0),0),0)</f>
        <v>0</v>
      </c>
      <c r="K2506" s="444">
        <f t="shared" ca="1" si="146"/>
        <v>-62565337.319161288</v>
      </c>
      <c r="L2506" s="444">
        <f t="shared" ca="1" si="147"/>
        <v>-15078246293.91787</v>
      </c>
      <c r="M2506" s="460">
        <f t="shared" si="149"/>
        <v>0.05</v>
      </c>
      <c r="N2506" s="464">
        <f t="shared" si="150"/>
        <v>127319</v>
      </c>
    </row>
    <row r="2507" spans="7:14" ht="11.25" customHeight="1" x14ac:dyDescent="0.25">
      <c r="G2507" s="459"/>
      <c r="H2507" s="459">
        <v>2500</v>
      </c>
      <c r="I2507" s="444">
        <f t="shared" ca="1" si="148"/>
        <v>-15078246293.91787</v>
      </c>
      <c r="J2507" s="444">
        <f t="array" ref="J2507">IFERROR(INDEX('Retirement Calculator'!J:J,MATCH('Isaac 401k'!N2507,'Retirement Calculator'!A:A,0),0),0)</f>
        <v>0</v>
      </c>
      <c r="K2507" s="444">
        <f t="shared" ca="1" si="146"/>
        <v>-62826026.224657789</v>
      </c>
      <c r="L2507" s="444">
        <f t="shared" ca="1" si="147"/>
        <v>-15141072320.142527</v>
      </c>
      <c r="M2507" s="460">
        <f t="shared" si="149"/>
        <v>0.05</v>
      </c>
      <c r="N2507" s="464">
        <f t="shared" si="150"/>
        <v>127350</v>
      </c>
    </row>
    <row r="2508" spans="7:14" ht="11.25" customHeight="1" x14ac:dyDescent="0.25">
      <c r="G2508" s="459"/>
      <c r="H2508" s="459">
        <v>2501</v>
      </c>
      <c r="I2508" s="444">
        <f t="shared" ca="1" si="148"/>
        <v>-15141072320.142527</v>
      </c>
      <c r="J2508" s="444">
        <f t="array" ref="J2508">IFERROR(INDEX('Retirement Calculator'!J:J,MATCH('Isaac 401k'!N2508,'Retirement Calculator'!A:A,0),0),0)</f>
        <v>0</v>
      </c>
      <c r="K2508" s="444">
        <f t="shared" ca="1" si="146"/>
        <v>-63087801.333927184</v>
      </c>
      <c r="L2508" s="444">
        <f t="shared" ca="1" si="147"/>
        <v>-15204160121.476454</v>
      </c>
      <c r="M2508" s="460">
        <f t="shared" si="149"/>
        <v>0.05</v>
      </c>
      <c r="N2508" s="464">
        <f t="shared" si="150"/>
        <v>127380</v>
      </c>
    </row>
    <row r="2509" spans="7:14" ht="11.25" customHeight="1" x14ac:dyDescent="0.25">
      <c r="G2509" s="459"/>
      <c r="H2509" s="459">
        <v>2502</v>
      </c>
      <c r="I2509" s="444">
        <f t="shared" ca="1" si="148"/>
        <v>-15204160121.476454</v>
      </c>
      <c r="J2509" s="444">
        <f t="array" ref="J2509">IFERROR(INDEX('Retirement Calculator'!J:J,MATCH('Isaac 401k'!N2509,'Retirement Calculator'!A:A,0),0),0)</f>
        <v>0</v>
      </c>
      <c r="K2509" s="444">
        <f t="shared" ca="1" si="146"/>
        <v>-63350667.172818556</v>
      </c>
      <c r="L2509" s="444">
        <f t="shared" ca="1" si="147"/>
        <v>-15267510788.649273</v>
      </c>
      <c r="M2509" s="460">
        <f t="shared" si="149"/>
        <v>0.05</v>
      </c>
      <c r="N2509" s="464">
        <f t="shared" si="150"/>
        <v>127411</v>
      </c>
    </row>
    <row r="2510" spans="7:14" ht="11.25" customHeight="1" x14ac:dyDescent="0.25">
      <c r="G2510" s="459"/>
      <c r="H2510" s="459">
        <v>2503</v>
      </c>
      <c r="I2510" s="444">
        <f t="shared" ca="1" si="148"/>
        <v>-15267510788.649273</v>
      </c>
      <c r="J2510" s="444">
        <f t="array" ref="J2510">IFERROR(INDEX('Retirement Calculator'!J:J,MATCH('Isaac 401k'!N2510,'Retirement Calculator'!A:A,0),0),0)</f>
        <v>0</v>
      </c>
      <c r="K2510" s="444">
        <f t="shared" ca="1" si="146"/>
        <v>-63614628.286038637</v>
      </c>
      <c r="L2510" s="444">
        <f t="shared" ca="1" si="147"/>
        <v>-15331125416.935312</v>
      </c>
      <c r="M2510" s="460">
        <f t="shared" si="149"/>
        <v>0.05</v>
      </c>
      <c r="N2510" s="464">
        <f t="shared" si="150"/>
        <v>127441</v>
      </c>
    </row>
    <row r="2511" spans="7:14" ht="11.25" customHeight="1" x14ac:dyDescent="0.25">
      <c r="G2511" s="459"/>
      <c r="H2511" s="459">
        <v>2504</v>
      </c>
      <c r="I2511" s="444">
        <f t="shared" ca="1" si="148"/>
        <v>-15331125416.935312</v>
      </c>
      <c r="J2511" s="444">
        <f t="array" ref="J2511">IFERROR(INDEX('Retirement Calculator'!J:J,MATCH('Isaac 401k'!N2511,'Retirement Calculator'!A:A,0),0),0)</f>
        <v>0</v>
      </c>
      <c r="K2511" s="444">
        <f t="shared" ca="1" si="146"/>
        <v>-63879689.237230465</v>
      </c>
      <c r="L2511" s="444">
        <f t="shared" ca="1" si="147"/>
        <v>-15395005106.172543</v>
      </c>
      <c r="M2511" s="460">
        <f t="shared" si="149"/>
        <v>0.05</v>
      </c>
      <c r="N2511" s="464">
        <f t="shared" si="150"/>
        <v>127472</v>
      </c>
    </row>
    <row r="2512" spans="7:14" ht="11.25" customHeight="1" x14ac:dyDescent="0.25">
      <c r="G2512" s="459"/>
      <c r="H2512" s="459">
        <v>2505</v>
      </c>
      <c r="I2512" s="444">
        <f t="shared" ca="1" si="148"/>
        <v>-15395005106.172543</v>
      </c>
      <c r="J2512" s="444">
        <f t="array" ref="J2512">IFERROR(INDEX('Retirement Calculator'!J:J,MATCH('Isaac 401k'!N2512,'Retirement Calculator'!A:A,0),0),0)</f>
        <v>0</v>
      </c>
      <c r="K2512" s="444">
        <f t="shared" ca="1" si="146"/>
        <v>-64145854.609052271</v>
      </c>
      <c r="L2512" s="444">
        <f t="shared" ca="1" si="147"/>
        <v>-15459150960.781595</v>
      </c>
      <c r="M2512" s="460">
        <f t="shared" si="149"/>
        <v>0.05</v>
      </c>
      <c r="N2512" s="464">
        <f t="shared" si="150"/>
        <v>127503</v>
      </c>
    </row>
    <row r="2513" spans="7:14" ht="11.25" customHeight="1" x14ac:dyDescent="0.25">
      <c r="G2513" s="459"/>
      <c r="H2513" s="459">
        <v>2506</v>
      </c>
      <c r="I2513" s="444">
        <f t="shared" ca="1" si="148"/>
        <v>-15459150960.781595</v>
      </c>
      <c r="J2513" s="444">
        <f t="array" ref="J2513">IFERROR(INDEX('Retirement Calculator'!J:J,MATCH('Isaac 401k'!N2513,'Retirement Calculator'!A:A,0),0),0)</f>
        <v>0</v>
      </c>
      <c r="K2513" s="444">
        <f t="shared" ca="1" si="146"/>
        <v>-64413129.003256649</v>
      </c>
      <c r="L2513" s="444">
        <f t="shared" ca="1" si="147"/>
        <v>-15523564089.784851</v>
      </c>
      <c r="M2513" s="460">
        <f t="shared" si="149"/>
        <v>0.05</v>
      </c>
      <c r="N2513" s="464">
        <f t="shared" si="150"/>
        <v>127531</v>
      </c>
    </row>
    <row r="2514" spans="7:14" ht="11.25" customHeight="1" x14ac:dyDescent="0.25">
      <c r="G2514" s="459"/>
      <c r="H2514" s="459">
        <v>2507</v>
      </c>
      <c r="I2514" s="444">
        <f t="shared" ca="1" si="148"/>
        <v>-15523564089.784851</v>
      </c>
      <c r="J2514" s="444">
        <f t="array" ref="J2514">IFERROR(INDEX('Retirement Calculator'!J:J,MATCH('Isaac 401k'!N2514,'Retirement Calculator'!A:A,0),0),0)</f>
        <v>0</v>
      </c>
      <c r="K2514" s="444">
        <f t="shared" ca="1" si="146"/>
        <v>-64681517.04077021</v>
      </c>
      <c r="L2514" s="444">
        <f t="shared" ca="1" si="147"/>
        <v>-15588245606.825621</v>
      </c>
      <c r="M2514" s="460">
        <f t="shared" si="149"/>
        <v>0.05</v>
      </c>
      <c r="N2514" s="464">
        <f t="shared" si="150"/>
        <v>127562</v>
      </c>
    </row>
    <row r="2515" spans="7:14" ht="11.25" customHeight="1" x14ac:dyDescent="0.25">
      <c r="G2515" s="459"/>
      <c r="H2515" s="459">
        <v>2508</v>
      </c>
      <c r="I2515" s="444">
        <f t="shared" ca="1" si="148"/>
        <v>-15588245606.825621</v>
      </c>
      <c r="J2515" s="444">
        <f t="array" ref="J2515">IFERROR(INDEX('Retirement Calculator'!J:J,MATCH('Isaac 401k'!N2515,'Retirement Calculator'!A:A,0),0),0)</f>
        <v>0</v>
      </c>
      <c r="K2515" s="444">
        <f t="shared" ca="1" si="146"/>
        <v>-64951023.361773416</v>
      </c>
      <c r="L2515" s="444">
        <f t="shared" ca="1" si="147"/>
        <v>-15653196630.187393</v>
      </c>
      <c r="M2515" s="460">
        <f t="shared" si="149"/>
        <v>0.05</v>
      </c>
      <c r="N2515" s="464">
        <f t="shared" si="150"/>
        <v>127592</v>
      </c>
    </row>
    <row r="2516" spans="7:14" ht="11.25" customHeight="1" x14ac:dyDescent="0.25">
      <c r="G2516" s="459"/>
      <c r="H2516" s="459">
        <v>2509</v>
      </c>
      <c r="I2516" s="444">
        <f t="shared" ca="1" si="148"/>
        <v>-15653196630.187393</v>
      </c>
      <c r="J2516" s="444">
        <f t="array" ref="J2516">IFERROR(INDEX('Retirement Calculator'!J:J,MATCH('Isaac 401k'!N2516,'Retirement Calculator'!A:A,0),0),0)</f>
        <v>0</v>
      </c>
      <c r="K2516" s="444">
        <f t="shared" ca="1" si="146"/>
        <v>-65221652.625780806</v>
      </c>
      <c r="L2516" s="444">
        <f t="shared" ca="1" si="147"/>
        <v>-15718418282.813173</v>
      </c>
      <c r="M2516" s="460">
        <f t="shared" si="149"/>
        <v>0.05</v>
      </c>
      <c r="N2516" s="464">
        <f t="shared" si="150"/>
        <v>127623</v>
      </c>
    </row>
    <row r="2517" spans="7:14" ht="11.25" customHeight="1" x14ac:dyDescent="0.25">
      <c r="G2517" s="459"/>
      <c r="H2517" s="459">
        <v>2510</v>
      </c>
      <c r="I2517" s="444">
        <f t="shared" ca="1" si="148"/>
        <v>-15718418282.813173</v>
      </c>
      <c r="J2517" s="444">
        <f t="array" ref="J2517">IFERROR(INDEX('Retirement Calculator'!J:J,MATCH('Isaac 401k'!N2517,'Retirement Calculator'!A:A,0),0),0)</f>
        <v>0</v>
      </c>
      <c r="K2517" s="444">
        <f t="shared" ca="1" si="146"/>
        <v>-65493409.511721559</v>
      </c>
      <c r="L2517" s="444">
        <f t="shared" ca="1" si="147"/>
        <v>-15783911692.324894</v>
      </c>
      <c r="M2517" s="460">
        <f t="shared" si="149"/>
        <v>0.05</v>
      </c>
      <c r="N2517" s="464">
        <f t="shared" si="150"/>
        <v>127653</v>
      </c>
    </row>
    <row r="2518" spans="7:14" ht="11.25" customHeight="1" x14ac:dyDescent="0.25">
      <c r="G2518" s="459"/>
      <c r="H2518" s="459">
        <v>2511</v>
      </c>
      <c r="I2518" s="444">
        <f t="shared" ca="1" si="148"/>
        <v>-15783911692.324894</v>
      </c>
      <c r="J2518" s="444">
        <f t="array" ref="J2518">IFERROR(INDEX('Retirement Calculator'!J:J,MATCH('Isaac 401k'!N2518,'Retirement Calculator'!A:A,0),0),0)</f>
        <v>0</v>
      </c>
      <c r="K2518" s="444">
        <f t="shared" ca="1" si="146"/>
        <v>-65766298.718020387</v>
      </c>
      <c r="L2518" s="444">
        <f t="shared" ca="1" si="147"/>
        <v>-15849677991.042913</v>
      </c>
      <c r="M2518" s="460">
        <f t="shared" si="149"/>
        <v>0.05</v>
      </c>
      <c r="N2518" s="464">
        <f t="shared" si="150"/>
        <v>127684</v>
      </c>
    </row>
    <row r="2519" spans="7:14" ht="11.25" customHeight="1" x14ac:dyDescent="0.25">
      <c r="G2519" s="459"/>
      <c r="H2519" s="459">
        <v>2512</v>
      </c>
      <c r="I2519" s="444">
        <f t="shared" ca="1" si="148"/>
        <v>-15849677991.042913</v>
      </c>
      <c r="J2519" s="444">
        <f t="array" ref="J2519">IFERROR(INDEX('Retirement Calculator'!J:J,MATCH('Isaac 401k'!N2519,'Retirement Calculator'!A:A,0),0),0)</f>
        <v>0</v>
      </c>
      <c r="K2519" s="444">
        <f t="shared" ca="1" si="146"/>
        <v>-66040324.962678805</v>
      </c>
      <c r="L2519" s="444">
        <f t="shared" ca="1" si="147"/>
        <v>-15915718316.005592</v>
      </c>
      <c r="M2519" s="460">
        <f t="shared" si="149"/>
        <v>0.05</v>
      </c>
      <c r="N2519" s="464">
        <f t="shared" si="150"/>
        <v>127715</v>
      </c>
    </row>
    <row r="2520" spans="7:14" ht="11.25" customHeight="1" x14ac:dyDescent="0.25">
      <c r="G2520" s="459"/>
      <c r="H2520" s="459">
        <v>2513</v>
      </c>
      <c r="I2520" s="444">
        <f t="shared" ca="1" si="148"/>
        <v>-15915718316.005592</v>
      </c>
      <c r="J2520" s="444">
        <f t="array" ref="J2520">IFERROR(INDEX('Retirement Calculator'!J:J,MATCH('Isaac 401k'!N2520,'Retirement Calculator'!A:A,0),0),0)</f>
        <v>0</v>
      </c>
      <c r="K2520" s="444">
        <f t="shared" ca="1" si="146"/>
        <v>-66315492.983356632</v>
      </c>
      <c r="L2520" s="444">
        <f t="shared" ca="1" si="147"/>
        <v>-15982033808.988949</v>
      </c>
      <c r="M2520" s="460">
        <f t="shared" si="149"/>
        <v>0.05</v>
      </c>
      <c r="N2520" s="464">
        <f t="shared" si="150"/>
        <v>127745</v>
      </c>
    </row>
    <row r="2521" spans="7:14" ht="11.25" customHeight="1" x14ac:dyDescent="0.25">
      <c r="G2521" s="459"/>
      <c r="H2521" s="459">
        <v>2514</v>
      </c>
      <c r="I2521" s="444">
        <f t="shared" ca="1" si="148"/>
        <v>-15982033808.988949</v>
      </c>
      <c r="J2521" s="444">
        <f t="array" ref="J2521">IFERROR(INDEX('Retirement Calculator'!J:J,MATCH('Isaac 401k'!N2521,'Retirement Calculator'!A:A,0),0),0)</f>
        <v>0</v>
      </c>
      <c r="K2521" s="444">
        <f t="shared" ca="1" si="146"/>
        <v>-66591807.537453949</v>
      </c>
      <c r="L2521" s="444">
        <f t="shared" ca="1" si="147"/>
        <v>-16048625616.526403</v>
      </c>
      <c r="M2521" s="460">
        <f t="shared" si="149"/>
        <v>0.05</v>
      </c>
      <c r="N2521" s="464">
        <f t="shared" si="150"/>
        <v>127776</v>
      </c>
    </row>
    <row r="2522" spans="7:14" ht="11.25" customHeight="1" x14ac:dyDescent="0.25">
      <c r="G2522" s="459"/>
      <c r="H2522" s="459">
        <v>2515</v>
      </c>
      <c r="I2522" s="444">
        <f t="shared" ca="1" si="148"/>
        <v>-16048625616.526403</v>
      </c>
      <c r="J2522" s="444">
        <f t="array" ref="J2522">IFERROR(INDEX('Retirement Calculator'!J:J,MATCH('Isaac 401k'!N2522,'Retirement Calculator'!A:A,0),0),0)</f>
        <v>0</v>
      </c>
      <c r="K2522" s="444">
        <f t="shared" ca="1" si="146"/>
        <v>-66869273.402193353</v>
      </c>
      <c r="L2522" s="444">
        <f t="shared" ca="1" si="147"/>
        <v>-16115494889.928596</v>
      </c>
      <c r="M2522" s="460">
        <f t="shared" si="149"/>
        <v>0.05</v>
      </c>
      <c r="N2522" s="464">
        <f t="shared" si="150"/>
        <v>127806</v>
      </c>
    </row>
    <row r="2523" spans="7:14" ht="11.25" customHeight="1" x14ac:dyDescent="0.25">
      <c r="G2523" s="459"/>
      <c r="H2523" s="459">
        <v>2516</v>
      </c>
      <c r="I2523" s="444">
        <f t="shared" ca="1" si="148"/>
        <v>-16115494889.928596</v>
      </c>
      <c r="J2523" s="444">
        <f t="array" ref="J2523">IFERROR(INDEX('Retirement Calculator'!J:J,MATCH('Isaac 401k'!N2523,'Retirement Calculator'!A:A,0),0),0)</f>
        <v>0</v>
      </c>
      <c r="K2523" s="444">
        <f t="shared" ca="1" si="146"/>
        <v>-67147895.374702483</v>
      </c>
      <c r="L2523" s="444">
        <f t="shared" ca="1" si="147"/>
        <v>-16182642785.303299</v>
      </c>
      <c r="M2523" s="460">
        <f t="shared" si="149"/>
        <v>0.05</v>
      </c>
      <c r="N2523" s="464">
        <f t="shared" si="150"/>
        <v>127837</v>
      </c>
    </row>
    <row r="2524" spans="7:14" ht="11.25" customHeight="1" x14ac:dyDescent="0.25">
      <c r="G2524" s="459"/>
      <c r="H2524" s="459">
        <v>2517</v>
      </c>
      <c r="I2524" s="444">
        <f t="shared" ca="1" si="148"/>
        <v>-16182642785.303299</v>
      </c>
      <c r="J2524" s="444">
        <f t="array" ref="J2524">IFERROR(INDEX('Retirement Calculator'!J:J,MATCH('Isaac 401k'!N2524,'Retirement Calculator'!A:A,0),0),0)</f>
        <v>0</v>
      </c>
      <c r="K2524" s="444">
        <f t="shared" ca="1" si="146"/>
        <v>-67427678.272097066</v>
      </c>
      <c r="L2524" s="444">
        <f t="shared" ca="1" si="147"/>
        <v>-16250070463.575396</v>
      </c>
      <c r="M2524" s="460">
        <f t="shared" si="149"/>
        <v>0.05</v>
      </c>
      <c r="N2524" s="464">
        <f t="shared" si="150"/>
        <v>127868</v>
      </c>
    </row>
    <row r="2525" spans="7:14" ht="11.25" customHeight="1" x14ac:dyDescent="0.25">
      <c r="G2525" s="459"/>
      <c r="H2525" s="459">
        <v>2518</v>
      </c>
      <c r="I2525" s="444">
        <f t="shared" ca="1" si="148"/>
        <v>-16250070463.575396</v>
      </c>
      <c r="J2525" s="444">
        <f t="array" ref="J2525">IFERROR(INDEX('Retirement Calculator'!J:J,MATCH('Isaac 401k'!N2525,'Retirement Calculator'!A:A,0),0),0)</f>
        <v>0</v>
      </c>
      <c r="K2525" s="444">
        <f t="shared" ca="1" si="146"/>
        <v>-67708626.931564152</v>
      </c>
      <c r="L2525" s="444">
        <f t="shared" ca="1" si="147"/>
        <v>-16317779090.50696</v>
      </c>
      <c r="M2525" s="460">
        <f t="shared" si="149"/>
        <v>0.05</v>
      </c>
      <c r="N2525" s="464">
        <f t="shared" si="150"/>
        <v>127896</v>
      </c>
    </row>
    <row r="2526" spans="7:14" ht="11.25" customHeight="1" x14ac:dyDescent="0.25">
      <c r="G2526" s="459"/>
      <c r="H2526" s="459">
        <v>2519</v>
      </c>
      <c r="I2526" s="444">
        <f t="shared" ca="1" si="148"/>
        <v>-16317779090.50696</v>
      </c>
      <c r="J2526" s="444">
        <f t="array" ref="J2526">IFERROR(INDEX('Retirement Calculator'!J:J,MATCH('Isaac 401k'!N2526,'Retirement Calculator'!A:A,0),0),0)</f>
        <v>0</v>
      </c>
      <c r="K2526" s="444">
        <f t="shared" ca="1" si="146"/>
        <v>-67990746.210445657</v>
      </c>
      <c r="L2526" s="444">
        <f t="shared" ca="1" si="147"/>
        <v>-16385769836.717405</v>
      </c>
      <c r="M2526" s="460">
        <f t="shared" si="149"/>
        <v>0.05</v>
      </c>
      <c r="N2526" s="464">
        <f t="shared" si="150"/>
        <v>127927</v>
      </c>
    </row>
    <row r="2527" spans="7:14" ht="11.25" customHeight="1" x14ac:dyDescent="0.25">
      <c r="G2527" s="459"/>
      <c r="H2527" s="459">
        <v>2520</v>
      </c>
      <c r="I2527" s="444">
        <f t="shared" ca="1" si="148"/>
        <v>-16385769836.717405</v>
      </c>
      <c r="J2527" s="444">
        <f t="array" ref="J2527">IFERROR(INDEX('Retirement Calculator'!J:J,MATCH('Isaac 401k'!N2527,'Retirement Calculator'!A:A,0),0),0)</f>
        <v>0</v>
      </c>
      <c r="K2527" s="444">
        <f t="shared" ca="1" si="146"/>
        <v>-68274040.986322522</v>
      </c>
      <c r="L2527" s="444">
        <f t="shared" ca="1" si="147"/>
        <v>-16454043877.703728</v>
      </c>
      <c r="M2527" s="460">
        <f t="shared" si="149"/>
        <v>0.05</v>
      </c>
      <c r="N2527" s="464">
        <f t="shared" si="150"/>
        <v>127957</v>
      </c>
    </row>
    <row r="2528" spans="7:14" ht="11.25" customHeight="1" x14ac:dyDescent="0.25">
      <c r="G2528" s="459"/>
      <c r="H2528" s="459">
        <v>2521</v>
      </c>
      <c r="I2528" s="444">
        <f t="shared" ca="1" si="148"/>
        <v>-16454043877.703728</v>
      </c>
      <c r="J2528" s="444">
        <f t="array" ref="J2528">IFERROR(INDEX('Retirement Calculator'!J:J,MATCH('Isaac 401k'!N2528,'Retirement Calculator'!A:A,0),0),0)</f>
        <v>0</v>
      </c>
      <c r="K2528" s="444">
        <f t="shared" ca="1" si="146"/>
        <v>-68558516.15709886</v>
      </c>
      <c r="L2528" s="444">
        <f t="shared" ca="1" si="147"/>
        <v>-16522602393.860826</v>
      </c>
      <c r="M2528" s="460">
        <f t="shared" si="149"/>
        <v>0.05</v>
      </c>
      <c r="N2528" s="464">
        <f t="shared" si="150"/>
        <v>127988</v>
      </c>
    </row>
    <row r="2529" spans="7:14" ht="11.25" customHeight="1" x14ac:dyDescent="0.25">
      <c r="G2529" s="459"/>
      <c r="H2529" s="459">
        <v>2522</v>
      </c>
      <c r="I2529" s="444">
        <f t="shared" ca="1" si="148"/>
        <v>-16522602393.860826</v>
      </c>
      <c r="J2529" s="444">
        <f t="array" ref="J2529">IFERROR(INDEX('Retirement Calculator'!J:J,MATCH('Isaac 401k'!N2529,'Retirement Calculator'!A:A,0),0),0)</f>
        <v>0</v>
      </c>
      <c r="K2529" s="444">
        <f t="shared" ca="1" si="146"/>
        <v>-68844176.641086787</v>
      </c>
      <c r="L2529" s="444">
        <f t="shared" ca="1" si="147"/>
        <v>-16591446570.501913</v>
      </c>
      <c r="M2529" s="460">
        <f t="shared" si="149"/>
        <v>0.05</v>
      </c>
      <c r="N2529" s="464">
        <f t="shared" si="150"/>
        <v>128018</v>
      </c>
    </row>
    <row r="2530" spans="7:14" ht="11.25" customHeight="1" x14ac:dyDescent="0.25">
      <c r="G2530" s="459"/>
      <c r="H2530" s="459">
        <v>2523</v>
      </c>
      <c r="I2530" s="444">
        <f t="shared" ca="1" si="148"/>
        <v>-16591446570.501913</v>
      </c>
      <c r="J2530" s="444">
        <f t="array" ref="J2530">IFERROR(INDEX('Retirement Calculator'!J:J,MATCH('Isaac 401k'!N2530,'Retirement Calculator'!A:A,0),0),0)</f>
        <v>0</v>
      </c>
      <c r="K2530" s="444">
        <f t="shared" ca="1" si="146"/>
        <v>-69131027.377091303</v>
      </c>
      <c r="L2530" s="444">
        <f t="shared" ca="1" si="147"/>
        <v>-16660577597.879004</v>
      </c>
      <c r="M2530" s="460">
        <f t="shared" si="149"/>
        <v>0.05</v>
      </c>
      <c r="N2530" s="464">
        <f t="shared" si="150"/>
        <v>128049</v>
      </c>
    </row>
    <row r="2531" spans="7:14" ht="11.25" customHeight="1" x14ac:dyDescent="0.25">
      <c r="G2531" s="459"/>
      <c r="H2531" s="459">
        <v>2524</v>
      </c>
      <c r="I2531" s="444">
        <f t="shared" ca="1" si="148"/>
        <v>-16660577597.879004</v>
      </c>
      <c r="J2531" s="444">
        <f t="array" ref="J2531">IFERROR(INDEX('Retirement Calculator'!J:J,MATCH('Isaac 401k'!N2531,'Retirement Calculator'!A:A,0),0),0)</f>
        <v>0</v>
      </c>
      <c r="K2531" s="444">
        <f t="shared" ca="1" si="146"/>
        <v>-69419073.324495852</v>
      </c>
      <c r="L2531" s="444">
        <f t="shared" ca="1" si="147"/>
        <v>-16729996671.203499</v>
      </c>
      <c r="M2531" s="460">
        <f t="shared" si="149"/>
        <v>0.05</v>
      </c>
      <c r="N2531" s="464">
        <f t="shared" si="150"/>
        <v>128080</v>
      </c>
    </row>
    <row r="2532" spans="7:14" ht="11.25" customHeight="1" x14ac:dyDescent="0.25">
      <c r="G2532" s="459"/>
      <c r="H2532" s="459">
        <v>2525</v>
      </c>
      <c r="I2532" s="444">
        <f t="shared" ca="1" si="148"/>
        <v>-16729996671.203499</v>
      </c>
      <c r="J2532" s="444">
        <f t="array" ref="J2532">IFERROR(INDEX('Retirement Calculator'!J:J,MATCH('Isaac 401k'!N2532,'Retirement Calculator'!A:A,0),0),0)</f>
        <v>0</v>
      </c>
      <c r="K2532" s="444">
        <f t="shared" ca="1" si="146"/>
        <v>-69708319.463347912</v>
      </c>
      <c r="L2532" s="444">
        <f t="shared" ca="1" si="147"/>
        <v>-16799704990.666847</v>
      </c>
      <c r="M2532" s="460">
        <f t="shared" si="149"/>
        <v>0.05</v>
      </c>
      <c r="N2532" s="464">
        <f t="shared" si="150"/>
        <v>128110</v>
      </c>
    </row>
    <row r="2533" spans="7:14" ht="11.25" customHeight="1" x14ac:dyDescent="0.25">
      <c r="G2533" s="459"/>
      <c r="H2533" s="459">
        <v>2526</v>
      </c>
      <c r="I2533" s="444">
        <f t="shared" ca="1" si="148"/>
        <v>-16799704990.666847</v>
      </c>
      <c r="J2533" s="444">
        <f t="array" ref="J2533">IFERROR(INDEX('Retirement Calculator'!J:J,MATCH('Isaac 401k'!N2533,'Retirement Calculator'!A:A,0),0),0)</f>
        <v>0</v>
      </c>
      <c r="K2533" s="444">
        <f t="shared" ca="1" si="146"/>
        <v>-69998770.794445202</v>
      </c>
      <c r="L2533" s="444">
        <f t="shared" ca="1" si="147"/>
        <v>-16869703761.461292</v>
      </c>
      <c r="M2533" s="460">
        <f t="shared" si="149"/>
        <v>0.05</v>
      </c>
      <c r="N2533" s="464">
        <f t="shared" si="150"/>
        <v>128141</v>
      </c>
    </row>
    <row r="2534" spans="7:14" ht="11.25" customHeight="1" x14ac:dyDescent="0.25">
      <c r="G2534" s="459"/>
      <c r="H2534" s="459">
        <v>2527</v>
      </c>
      <c r="I2534" s="444">
        <f t="shared" ca="1" si="148"/>
        <v>-16869703761.461292</v>
      </c>
      <c r="J2534" s="444">
        <f t="array" ref="J2534">IFERROR(INDEX('Retirement Calculator'!J:J,MATCH('Isaac 401k'!N2534,'Retirement Calculator'!A:A,0),0),0)</f>
        <v>0</v>
      </c>
      <c r="K2534" s="444">
        <f t="shared" ca="1" si="146"/>
        <v>-70290432.339422047</v>
      </c>
      <c r="L2534" s="444">
        <f t="shared" ca="1" si="147"/>
        <v>-16939994193.800714</v>
      </c>
      <c r="M2534" s="460">
        <f t="shared" si="149"/>
        <v>0.05</v>
      </c>
      <c r="N2534" s="464">
        <f t="shared" si="150"/>
        <v>128171</v>
      </c>
    </row>
    <row r="2535" spans="7:14" ht="11.25" customHeight="1" x14ac:dyDescent="0.25">
      <c r="G2535" s="459"/>
      <c r="H2535" s="459">
        <v>2528</v>
      </c>
      <c r="I2535" s="444">
        <f t="shared" ca="1" si="148"/>
        <v>-16939994193.800714</v>
      </c>
      <c r="J2535" s="444">
        <f t="array" ref="J2535">IFERROR(INDEX('Retirement Calculator'!J:J,MATCH('Isaac 401k'!N2535,'Retirement Calculator'!A:A,0),0),0)</f>
        <v>0</v>
      </c>
      <c r="K2535" s="444">
        <f t="shared" ca="1" si="146"/>
        <v>-70583309.140836313</v>
      </c>
      <c r="L2535" s="444">
        <f t="shared" ca="1" si="147"/>
        <v>-17010577502.941551</v>
      </c>
      <c r="M2535" s="460">
        <f t="shared" si="149"/>
        <v>0.05</v>
      </c>
      <c r="N2535" s="464">
        <f t="shared" si="150"/>
        <v>128202</v>
      </c>
    </row>
    <row r="2536" spans="7:14" ht="11.25" customHeight="1" x14ac:dyDescent="0.25">
      <c r="G2536" s="459"/>
      <c r="H2536" s="459">
        <v>2529</v>
      </c>
      <c r="I2536" s="444">
        <f t="shared" ca="1" si="148"/>
        <v>-17010577502.941551</v>
      </c>
      <c r="J2536" s="444">
        <f t="array" ref="J2536">IFERROR(INDEX('Retirement Calculator'!J:J,MATCH('Isaac 401k'!N2536,'Retirement Calculator'!A:A,0),0),0)</f>
        <v>0</v>
      </c>
      <c r="K2536" s="444">
        <f t="shared" ca="1" si="146"/>
        <v>-70877406.262256458</v>
      </c>
      <c r="L2536" s="444">
        <f t="shared" ca="1" si="147"/>
        <v>-17081454909.203808</v>
      </c>
      <c r="M2536" s="460">
        <f t="shared" si="149"/>
        <v>0.05</v>
      </c>
      <c r="N2536" s="464">
        <f t="shared" si="150"/>
        <v>128233</v>
      </c>
    </row>
    <row r="2537" spans="7:14" ht="11.25" customHeight="1" x14ac:dyDescent="0.25">
      <c r="G2537" s="459"/>
      <c r="H2537" s="459">
        <v>2530</v>
      </c>
      <c r="I2537" s="444">
        <f t="shared" ca="1" si="148"/>
        <v>-17081454909.203808</v>
      </c>
      <c r="J2537" s="444">
        <f t="array" ref="J2537">IFERROR(INDEX('Retirement Calculator'!J:J,MATCH('Isaac 401k'!N2537,'Retirement Calculator'!A:A,0),0),0)</f>
        <v>0</v>
      </c>
      <c r="K2537" s="444">
        <f t="shared" ca="1" si="146"/>
        <v>-71172728.788349211</v>
      </c>
      <c r="L2537" s="444">
        <f t="shared" ca="1" si="147"/>
        <v>-17152627637.992157</v>
      </c>
      <c r="M2537" s="460">
        <f t="shared" si="149"/>
        <v>0.05</v>
      </c>
      <c r="N2537" s="464">
        <f t="shared" si="150"/>
        <v>128261</v>
      </c>
    </row>
    <row r="2538" spans="7:14" ht="11.25" customHeight="1" x14ac:dyDescent="0.25">
      <c r="G2538" s="459"/>
      <c r="H2538" s="459">
        <v>2531</v>
      </c>
      <c r="I2538" s="444">
        <f t="shared" ca="1" si="148"/>
        <v>-17152627637.992157</v>
      </c>
      <c r="J2538" s="444">
        <f t="array" ref="J2538">IFERROR(INDEX('Retirement Calculator'!J:J,MATCH('Isaac 401k'!N2538,'Retirement Calculator'!A:A,0),0),0)</f>
        <v>0</v>
      </c>
      <c r="K2538" s="444">
        <f t="shared" ca="1" si="146"/>
        <v>-71469281.824967325</v>
      </c>
      <c r="L2538" s="444">
        <f t="shared" ca="1" si="147"/>
        <v>-17224096919.817123</v>
      </c>
      <c r="M2538" s="460">
        <f t="shared" si="149"/>
        <v>0.05</v>
      </c>
      <c r="N2538" s="464">
        <f t="shared" si="150"/>
        <v>128292</v>
      </c>
    </row>
    <row r="2539" spans="7:14" ht="11.25" customHeight="1" x14ac:dyDescent="0.25">
      <c r="G2539" s="459"/>
      <c r="H2539" s="459">
        <v>2532</v>
      </c>
      <c r="I2539" s="444">
        <f t="shared" ca="1" si="148"/>
        <v>-17224096919.817123</v>
      </c>
      <c r="J2539" s="444">
        <f t="array" ref="J2539">IFERROR(INDEX('Retirement Calculator'!J:J,MATCH('Isaac 401k'!N2539,'Retirement Calculator'!A:A,0),0),0)</f>
        <v>0</v>
      </c>
      <c r="K2539" s="444">
        <f t="shared" ca="1" si="146"/>
        <v>-71767070.499238014</v>
      </c>
      <c r="L2539" s="444">
        <f t="shared" ca="1" si="147"/>
        <v>-17295863990.31636</v>
      </c>
      <c r="M2539" s="460">
        <f t="shared" si="149"/>
        <v>0.05</v>
      </c>
      <c r="N2539" s="464">
        <f t="shared" si="150"/>
        <v>128322</v>
      </c>
    </row>
    <row r="2540" spans="7:14" ht="11.25" customHeight="1" x14ac:dyDescent="0.25">
      <c r="G2540" s="459"/>
      <c r="H2540" s="459">
        <v>2533</v>
      </c>
      <c r="I2540" s="444">
        <f t="shared" ca="1" si="148"/>
        <v>-17295863990.31636</v>
      </c>
      <c r="J2540" s="444">
        <f t="array" ref="J2540">IFERROR(INDEX('Retirement Calculator'!J:J,MATCH('Isaac 401k'!N2540,'Retirement Calculator'!A:A,0),0),0)</f>
        <v>0</v>
      </c>
      <c r="K2540" s="444">
        <f t="shared" ca="1" si="146"/>
        <v>-72066099.9596515</v>
      </c>
      <c r="L2540" s="444">
        <f t="shared" ca="1" si="147"/>
        <v>-17367930090.276012</v>
      </c>
      <c r="M2540" s="460">
        <f t="shared" si="149"/>
        <v>0.05</v>
      </c>
      <c r="N2540" s="464">
        <f t="shared" si="150"/>
        <v>128353</v>
      </c>
    </row>
    <row r="2541" spans="7:14" ht="11.25" customHeight="1" x14ac:dyDescent="0.25">
      <c r="G2541" s="459"/>
      <c r="H2541" s="459">
        <v>2534</v>
      </c>
      <c r="I2541" s="444">
        <f t="shared" ca="1" si="148"/>
        <v>-17367930090.276012</v>
      </c>
      <c r="J2541" s="444">
        <f t="array" ref="J2541">IFERROR(INDEX('Retirement Calculator'!J:J,MATCH('Isaac 401k'!N2541,'Retirement Calculator'!A:A,0),0),0)</f>
        <v>0</v>
      </c>
      <c r="K2541" s="444">
        <f t="shared" ca="1" si="146"/>
        <v>-72366375.376150057</v>
      </c>
      <c r="L2541" s="444">
        <f t="shared" ca="1" si="147"/>
        <v>-17440296465.652161</v>
      </c>
      <c r="M2541" s="460">
        <f t="shared" si="149"/>
        <v>0.05</v>
      </c>
      <c r="N2541" s="464">
        <f t="shared" si="150"/>
        <v>128383</v>
      </c>
    </row>
    <row r="2542" spans="7:14" ht="11.25" customHeight="1" x14ac:dyDescent="0.25">
      <c r="G2542" s="459"/>
      <c r="H2542" s="459">
        <v>2535</v>
      </c>
      <c r="I2542" s="444">
        <f t="shared" ca="1" si="148"/>
        <v>-17440296465.652161</v>
      </c>
      <c r="J2542" s="444">
        <f t="array" ref="J2542">IFERROR(INDEX('Retirement Calculator'!J:J,MATCH('Isaac 401k'!N2542,'Retirement Calculator'!A:A,0),0),0)</f>
        <v>0</v>
      </c>
      <c r="K2542" s="444">
        <f t="shared" ca="1" si="146"/>
        <v>-72667901.940217331</v>
      </c>
      <c r="L2542" s="444">
        <f t="shared" ca="1" si="147"/>
        <v>-17512964367.592377</v>
      </c>
      <c r="M2542" s="460">
        <f t="shared" si="149"/>
        <v>0.05</v>
      </c>
      <c r="N2542" s="464">
        <f t="shared" si="150"/>
        <v>128414</v>
      </c>
    </row>
    <row r="2543" spans="7:14" ht="11.25" customHeight="1" x14ac:dyDescent="0.25">
      <c r="G2543" s="459"/>
      <c r="H2543" s="459">
        <v>2536</v>
      </c>
      <c r="I2543" s="444">
        <f t="shared" ca="1" si="148"/>
        <v>-17512964367.592377</v>
      </c>
      <c r="J2543" s="444">
        <f t="array" ref="J2543">IFERROR(INDEX('Retirement Calculator'!J:J,MATCH('Isaac 401k'!N2543,'Retirement Calculator'!A:A,0),0),0)</f>
        <v>0</v>
      </c>
      <c r="K2543" s="444">
        <f t="shared" ca="1" si="146"/>
        <v>-72970684.86496824</v>
      </c>
      <c r="L2543" s="444">
        <f t="shared" ca="1" si="147"/>
        <v>-17585935052.457344</v>
      </c>
      <c r="M2543" s="460">
        <f t="shared" si="149"/>
        <v>0.05</v>
      </c>
      <c r="N2543" s="464">
        <f t="shared" si="150"/>
        <v>128445</v>
      </c>
    </row>
    <row r="2544" spans="7:14" ht="11.25" customHeight="1" x14ac:dyDescent="0.25">
      <c r="G2544" s="459"/>
      <c r="H2544" s="459">
        <v>2537</v>
      </c>
      <c r="I2544" s="444">
        <f t="shared" ca="1" si="148"/>
        <v>-17585935052.457344</v>
      </c>
      <c r="J2544" s="444">
        <f t="array" ref="J2544">IFERROR(INDEX('Retirement Calculator'!J:J,MATCH('Isaac 401k'!N2544,'Retirement Calculator'!A:A,0),0),0)</f>
        <v>0</v>
      </c>
      <c r="K2544" s="444">
        <f t="shared" ca="1" si="146"/>
        <v>-73274729.385238931</v>
      </c>
      <c r="L2544" s="444">
        <f t="shared" ca="1" si="147"/>
        <v>-17659209781.842583</v>
      </c>
      <c r="M2544" s="460">
        <f t="shared" si="149"/>
        <v>0.05</v>
      </c>
      <c r="N2544" s="464">
        <f t="shared" si="150"/>
        <v>128475</v>
      </c>
    </row>
    <row r="2545" spans="7:14" ht="11.25" customHeight="1" x14ac:dyDescent="0.25">
      <c r="G2545" s="459"/>
      <c r="H2545" s="459">
        <v>2538</v>
      </c>
      <c r="I2545" s="444">
        <f t="shared" ca="1" si="148"/>
        <v>-17659209781.842583</v>
      </c>
      <c r="J2545" s="444">
        <f t="array" ref="J2545">IFERROR(INDEX('Retirement Calculator'!J:J,MATCH('Isaac 401k'!N2545,'Retirement Calculator'!A:A,0),0),0)</f>
        <v>0</v>
      </c>
      <c r="K2545" s="444">
        <f t="shared" ca="1" si="146"/>
        <v>-73580040.757677421</v>
      </c>
      <c r="L2545" s="444">
        <f t="shared" ca="1" si="147"/>
        <v>-17732789822.600262</v>
      </c>
      <c r="M2545" s="460">
        <f t="shared" si="149"/>
        <v>0.05</v>
      </c>
      <c r="N2545" s="464">
        <f t="shared" si="150"/>
        <v>128506</v>
      </c>
    </row>
    <row r="2546" spans="7:14" ht="11.25" customHeight="1" x14ac:dyDescent="0.25">
      <c r="G2546" s="459"/>
      <c r="H2546" s="459">
        <v>2539</v>
      </c>
      <c r="I2546" s="444">
        <f t="shared" ca="1" si="148"/>
        <v>-17732789822.600262</v>
      </c>
      <c r="J2546" s="444">
        <f t="array" ref="J2546">IFERROR(INDEX('Retirement Calculator'!J:J,MATCH('Isaac 401k'!N2546,'Retirement Calculator'!A:A,0),0),0)</f>
        <v>0</v>
      </c>
      <c r="K2546" s="444">
        <f t="shared" ca="1" si="146"/>
        <v>-73886624.260834426</v>
      </c>
      <c r="L2546" s="444">
        <f t="shared" ca="1" si="147"/>
        <v>-17806676446.861095</v>
      </c>
      <c r="M2546" s="460">
        <f t="shared" si="149"/>
        <v>0.05</v>
      </c>
      <c r="N2546" s="464">
        <f t="shared" si="150"/>
        <v>128536</v>
      </c>
    </row>
    <row r="2547" spans="7:14" ht="11.25" customHeight="1" x14ac:dyDescent="0.25">
      <c r="G2547" s="459"/>
      <c r="H2547" s="459">
        <v>2540</v>
      </c>
      <c r="I2547" s="444">
        <f t="shared" ca="1" si="148"/>
        <v>-17806676446.861095</v>
      </c>
      <c r="J2547" s="444">
        <f t="array" ref="J2547">IFERROR(INDEX('Retirement Calculator'!J:J,MATCH('Isaac 401k'!N2547,'Retirement Calculator'!A:A,0),0),0)</f>
        <v>0</v>
      </c>
      <c r="K2547" s="444">
        <f t="shared" ca="1" si="146"/>
        <v>-74194485.195254564</v>
      </c>
      <c r="L2547" s="444">
        <f t="shared" ca="1" si="147"/>
        <v>-17880870932.056351</v>
      </c>
      <c r="M2547" s="460">
        <f t="shared" si="149"/>
        <v>0.05</v>
      </c>
      <c r="N2547" s="464">
        <f t="shared" si="150"/>
        <v>128567</v>
      </c>
    </row>
    <row r="2548" spans="7:14" ht="11.25" customHeight="1" x14ac:dyDescent="0.25">
      <c r="G2548" s="459"/>
      <c r="H2548" s="459">
        <v>2541</v>
      </c>
      <c r="I2548" s="444">
        <f t="shared" ca="1" si="148"/>
        <v>-17880870932.056351</v>
      </c>
      <c r="J2548" s="444">
        <f t="array" ref="J2548">IFERROR(INDEX('Retirement Calculator'!J:J,MATCH('Isaac 401k'!N2548,'Retirement Calculator'!A:A,0),0),0)</f>
        <v>0</v>
      </c>
      <c r="K2548" s="444">
        <f t="shared" ca="1" si="146"/>
        <v>-74503628.883568123</v>
      </c>
      <c r="L2548" s="444">
        <f t="shared" ca="1" si="147"/>
        <v>-17955374560.939919</v>
      </c>
      <c r="M2548" s="460">
        <f t="shared" si="149"/>
        <v>0.05</v>
      </c>
      <c r="N2548" s="464">
        <f t="shared" si="150"/>
        <v>128598</v>
      </c>
    </row>
    <row r="2549" spans="7:14" ht="11.25" customHeight="1" x14ac:dyDescent="0.25">
      <c r="G2549" s="459"/>
      <c r="H2549" s="459">
        <v>2542</v>
      </c>
      <c r="I2549" s="444">
        <f t="shared" ca="1" si="148"/>
        <v>-17955374560.939919</v>
      </c>
      <c r="J2549" s="444">
        <f t="array" ref="J2549">IFERROR(INDEX('Retirement Calculator'!J:J,MATCH('Isaac 401k'!N2549,'Retirement Calculator'!A:A,0),0),0)</f>
        <v>0</v>
      </c>
      <c r="K2549" s="444">
        <f t="shared" ca="1" si="146"/>
        <v>-74814060.670582995</v>
      </c>
      <c r="L2549" s="444">
        <f t="shared" ca="1" si="147"/>
        <v>-18030188621.6105</v>
      </c>
      <c r="M2549" s="460">
        <f t="shared" si="149"/>
        <v>0.05</v>
      </c>
      <c r="N2549" s="464">
        <f t="shared" si="150"/>
        <v>128627</v>
      </c>
    </row>
    <row r="2550" spans="7:14" ht="11.25" customHeight="1" x14ac:dyDescent="0.25">
      <c r="G2550" s="459"/>
      <c r="H2550" s="459">
        <v>2543</v>
      </c>
      <c r="I2550" s="444">
        <f t="shared" ca="1" si="148"/>
        <v>-18030188621.6105</v>
      </c>
      <c r="J2550" s="444">
        <f t="array" ref="J2550">IFERROR(INDEX('Retirement Calculator'!J:J,MATCH('Isaac 401k'!N2550,'Retirement Calculator'!A:A,0),0),0)</f>
        <v>0</v>
      </c>
      <c r="K2550" s="444">
        <f t="shared" ca="1" si="146"/>
        <v>-75125785.923377082</v>
      </c>
      <c r="L2550" s="444">
        <f t="shared" ca="1" si="147"/>
        <v>-18105314407.533878</v>
      </c>
      <c r="M2550" s="460">
        <f t="shared" si="149"/>
        <v>0.05</v>
      </c>
      <c r="N2550" s="464">
        <f t="shared" si="150"/>
        <v>128658</v>
      </c>
    </row>
    <row r="2551" spans="7:14" ht="11.25" customHeight="1" x14ac:dyDescent="0.25">
      <c r="G2551" s="459"/>
      <c r="H2551" s="459">
        <v>2544</v>
      </c>
      <c r="I2551" s="444">
        <f t="shared" ca="1" si="148"/>
        <v>-18105314407.533878</v>
      </c>
      <c r="J2551" s="444">
        <f t="array" ref="J2551">IFERROR(INDEX('Retirement Calculator'!J:J,MATCH('Isaac 401k'!N2551,'Retirement Calculator'!A:A,0),0),0)</f>
        <v>0</v>
      </c>
      <c r="K2551" s="444">
        <f t="shared" ca="1" si="146"/>
        <v>-75438810.031391159</v>
      </c>
      <c r="L2551" s="444">
        <f t="shared" ca="1" si="147"/>
        <v>-18180753217.565269</v>
      </c>
      <c r="M2551" s="460">
        <f t="shared" si="149"/>
        <v>0.05</v>
      </c>
      <c r="N2551" s="464">
        <f t="shared" si="150"/>
        <v>128688</v>
      </c>
    </row>
    <row r="2552" spans="7:14" ht="11.25" customHeight="1" x14ac:dyDescent="0.25">
      <c r="G2552" s="459"/>
      <c r="H2552" s="459">
        <v>2545</v>
      </c>
      <c r="I2552" s="444">
        <f t="shared" ca="1" si="148"/>
        <v>-18180753217.565269</v>
      </c>
      <c r="J2552" s="444">
        <f t="array" ref="J2552">IFERROR(INDEX('Retirement Calculator'!J:J,MATCH('Isaac 401k'!N2552,'Retirement Calculator'!A:A,0),0),0)</f>
        <v>0</v>
      </c>
      <c r="K2552" s="444">
        <f t="shared" ca="1" si="146"/>
        <v>-75753138.406521961</v>
      </c>
      <c r="L2552" s="444">
        <f t="shared" ca="1" si="147"/>
        <v>-18256506355.97179</v>
      </c>
      <c r="M2552" s="460">
        <f t="shared" si="149"/>
        <v>0.05</v>
      </c>
      <c r="N2552" s="464">
        <f t="shared" si="150"/>
        <v>128719</v>
      </c>
    </row>
    <row r="2553" spans="7:14" ht="11.25" customHeight="1" x14ac:dyDescent="0.25">
      <c r="G2553" s="459"/>
      <c r="H2553" s="459">
        <v>2546</v>
      </c>
      <c r="I2553" s="444">
        <f t="shared" ca="1" si="148"/>
        <v>-18256506355.97179</v>
      </c>
      <c r="J2553" s="444">
        <f t="array" ref="J2553">IFERROR(INDEX('Retirement Calculator'!J:J,MATCH('Isaac 401k'!N2553,'Retirement Calculator'!A:A,0),0),0)</f>
        <v>0</v>
      </c>
      <c r="K2553" s="444">
        <f t="shared" ca="1" si="146"/>
        <v>-76068776.483215794</v>
      </c>
      <c r="L2553" s="444">
        <f t="shared" ca="1" si="147"/>
        <v>-18332575132.455006</v>
      </c>
      <c r="M2553" s="460">
        <f t="shared" si="149"/>
        <v>0.05</v>
      </c>
      <c r="N2553" s="464">
        <f t="shared" si="150"/>
        <v>128749</v>
      </c>
    </row>
    <row r="2554" spans="7:14" ht="11.25" customHeight="1" x14ac:dyDescent="0.25">
      <c r="G2554" s="459"/>
      <c r="H2554" s="459">
        <v>2547</v>
      </c>
      <c r="I2554" s="444">
        <f t="shared" ca="1" si="148"/>
        <v>-18332575132.455006</v>
      </c>
      <c r="J2554" s="444">
        <f t="array" ref="J2554">IFERROR(INDEX('Retirement Calculator'!J:J,MATCH('Isaac 401k'!N2554,'Retirement Calculator'!A:A,0),0),0)</f>
        <v>0</v>
      </c>
      <c r="K2554" s="444">
        <f t="shared" ca="1" si="146"/>
        <v>-76385729.718562528</v>
      </c>
      <c r="L2554" s="444">
        <f t="shared" ca="1" si="147"/>
        <v>-18408960862.173569</v>
      </c>
      <c r="M2554" s="460">
        <f t="shared" si="149"/>
        <v>0.05</v>
      </c>
      <c r="N2554" s="464">
        <f t="shared" si="150"/>
        <v>128780</v>
      </c>
    </row>
    <row r="2555" spans="7:14" ht="11.25" customHeight="1" x14ac:dyDescent="0.25">
      <c r="G2555" s="459"/>
      <c r="H2555" s="459">
        <v>2548</v>
      </c>
      <c r="I2555" s="444">
        <f t="shared" ca="1" si="148"/>
        <v>-18408960862.173569</v>
      </c>
      <c r="J2555" s="444">
        <f t="array" ref="J2555">IFERROR(INDEX('Retirement Calculator'!J:J,MATCH('Isaac 401k'!N2555,'Retirement Calculator'!A:A,0),0),0)</f>
        <v>0</v>
      </c>
      <c r="K2555" s="444">
        <f t="shared" ca="1" si="146"/>
        <v>-76704003.592389867</v>
      </c>
      <c r="L2555" s="444">
        <f t="shared" ca="1" si="147"/>
        <v>-18485664865.765957</v>
      </c>
      <c r="M2555" s="460">
        <f t="shared" si="149"/>
        <v>0.05</v>
      </c>
      <c r="N2555" s="464">
        <f t="shared" si="150"/>
        <v>128811</v>
      </c>
    </row>
    <row r="2556" spans="7:14" ht="11.25" customHeight="1" x14ac:dyDescent="0.25">
      <c r="G2556" s="459"/>
      <c r="H2556" s="459">
        <v>2549</v>
      </c>
      <c r="I2556" s="444">
        <f t="shared" ca="1" si="148"/>
        <v>-18485664865.765957</v>
      </c>
      <c r="J2556" s="444">
        <f t="array" ref="J2556">IFERROR(INDEX('Retirement Calculator'!J:J,MATCH('Isaac 401k'!N2556,'Retirement Calculator'!A:A,0),0),0)</f>
        <v>0</v>
      </c>
      <c r="K2556" s="444">
        <f t="shared" ca="1" si="146"/>
        <v>-77023603.607358158</v>
      </c>
      <c r="L2556" s="444">
        <f t="shared" ca="1" si="147"/>
        <v>-18562688469.373314</v>
      </c>
      <c r="M2556" s="460">
        <f t="shared" si="149"/>
        <v>0.05</v>
      </c>
      <c r="N2556" s="464">
        <f t="shared" si="150"/>
        <v>128841</v>
      </c>
    </row>
    <row r="2557" spans="7:14" ht="11.25" customHeight="1" x14ac:dyDescent="0.25">
      <c r="G2557" s="459"/>
      <c r="H2557" s="459">
        <v>2550</v>
      </c>
      <c r="I2557" s="444">
        <f t="shared" ca="1" si="148"/>
        <v>-18562688469.373314</v>
      </c>
      <c r="J2557" s="444">
        <f t="array" ref="J2557">IFERROR(INDEX('Retirement Calculator'!J:J,MATCH('Isaac 401k'!N2557,'Retirement Calculator'!A:A,0),0),0)</f>
        <v>0</v>
      </c>
      <c r="K2557" s="444">
        <f t="shared" ca="1" si="146"/>
        <v>-77344535.289055467</v>
      </c>
      <c r="L2557" s="444">
        <f t="shared" ca="1" si="147"/>
        <v>-18640033004.662369</v>
      </c>
      <c r="M2557" s="460">
        <f t="shared" si="149"/>
        <v>0.05</v>
      </c>
      <c r="N2557" s="464">
        <f t="shared" si="150"/>
        <v>128872</v>
      </c>
    </row>
    <row r="2558" spans="7:14" ht="11.25" customHeight="1" x14ac:dyDescent="0.25">
      <c r="G2558" s="459"/>
      <c r="H2558" s="459">
        <v>2551</v>
      </c>
      <c r="I2558" s="444">
        <f t="shared" ca="1" si="148"/>
        <v>-18640033004.662369</v>
      </c>
      <c r="J2558" s="444">
        <f t="array" ref="J2558">IFERROR(INDEX('Retirement Calculator'!J:J,MATCH('Isaac 401k'!N2558,'Retirement Calculator'!A:A,0),0),0)</f>
        <v>0</v>
      </c>
      <c r="K2558" s="444">
        <f t="shared" ref="K2558:K2812" ca="1" si="151">IPMT(M2558/12,1,12,-I2558+J2558,,0)</f>
        <v>-77666804.186093196</v>
      </c>
      <c r="L2558" s="444">
        <f t="shared" ref="L2558:L2812" ca="1" si="152">I2558-J2558+K2558</f>
        <v>-18717699808.848461</v>
      </c>
      <c r="M2558" s="460">
        <f t="shared" si="149"/>
        <v>0.05</v>
      </c>
      <c r="N2558" s="464">
        <f t="shared" si="150"/>
        <v>128902</v>
      </c>
    </row>
    <row r="2559" spans="7:14" ht="11.25" customHeight="1" x14ac:dyDescent="0.25">
      <c r="G2559" s="459"/>
      <c r="H2559" s="459">
        <v>2552</v>
      </c>
      <c r="I2559" s="444">
        <f t="shared" ref="I2559:I2813" ca="1" si="153">L2558</f>
        <v>-18717699808.848461</v>
      </c>
      <c r="J2559" s="444">
        <f t="array" ref="J2559">IFERROR(INDEX('Retirement Calculator'!J:J,MATCH('Isaac 401k'!N2559,'Retirement Calculator'!A:A,0),0),0)</f>
        <v>0</v>
      </c>
      <c r="K2559" s="444">
        <f t="shared" ca="1" si="151"/>
        <v>-77990415.870201916</v>
      </c>
      <c r="L2559" s="444">
        <f t="shared" ca="1" si="152"/>
        <v>-18795690224.718662</v>
      </c>
      <c r="M2559" s="460">
        <f t="shared" ref="M2559:M2813" si="154">M2558</f>
        <v>0.05</v>
      </c>
      <c r="N2559" s="464">
        <f t="shared" ref="N2559:N2813" si="155">EDATE(N2558,1)</f>
        <v>128933</v>
      </c>
    </row>
    <row r="2560" spans="7:14" ht="11.25" customHeight="1" x14ac:dyDescent="0.25">
      <c r="G2560" s="459"/>
      <c r="H2560" s="459">
        <v>2553</v>
      </c>
      <c r="I2560" s="444">
        <f t="shared" ca="1" si="153"/>
        <v>-18795690224.718662</v>
      </c>
      <c r="J2560" s="444">
        <f t="array" ref="J2560">IFERROR(INDEX('Retirement Calculator'!J:J,MATCH('Isaac 401k'!N2560,'Retirement Calculator'!A:A,0),0),0)</f>
        <v>0</v>
      </c>
      <c r="K2560" s="444">
        <f t="shared" ca="1" si="151"/>
        <v>-78315375.936327755</v>
      </c>
      <c r="L2560" s="444">
        <f t="shared" ca="1" si="152"/>
        <v>-18874005600.654991</v>
      </c>
      <c r="M2560" s="460">
        <f t="shared" si="154"/>
        <v>0.05</v>
      </c>
      <c r="N2560" s="464">
        <f t="shared" si="155"/>
        <v>128964</v>
      </c>
    </row>
    <row r="2561" spans="7:14" ht="11.25" customHeight="1" x14ac:dyDescent="0.25">
      <c r="G2561" s="459"/>
      <c r="H2561" s="459">
        <v>2554</v>
      </c>
      <c r="I2561" s="444">
        <f t="shared" ca="1" si="153"/>
        <v>-18874005600.654991</v>
      </c>
      <c r="J2561" s="444">
        <f t="array" ref="J2561">IFERROR(INDEX('Retirement Calculator'!J:J,MATCH('Isaac 401k'!N2561,'Retirement Calculator'!A:A,0),0),0)</f>
        <v>0</v>
      </c>
      <c r="K2561" s="444">
        <f t="shared" ca="1" si="151"/>
        <v>-78641690.002729133</v>
      </c>
      <c r="L2561" s="444">
        <f t="shared" ca="1" si="152"/>
        <v>-18952647290.657719</v>
      </c>
      <c r="M2561" s="460">
        <f t="shared" si="154"/>
        <v>0.05</v>
      </c>
      <c r="N2561" s="464">
        <f t="shared" si="155"/>
        <v>128992</v>
      </c>
    </row>
    <row r="2562" spans="7:14" ht="11.25" customHeight="1" x14ac:dyDescent="0.25">
      <c r="G2562" s="459"/>
      <c r="H2562" s="459">
        <v>2555</v>
      </c>
      <c r="I2562" s="444">
        <f t="shared" ca="1" si="153"/>
        <v>-18952647290.657719</v>
      </c>
      <c r="J2562" s="444">
        <f t="array" ref="J2562">IFERROR(INDEX('Retirement Calculator'!J:J,MATCH('Isaac 401k'!N2562,'Retirement Calculator'!A:A,0),0),0)</f>
        <v>0</v>
      </c>
      <c r="K2562" s="444">
        <f t="shared" ca="1" si="151"/>
        <v>-78969363.711073831</v>
      </c>
      <c r="L2562" s="444">
        <f t="shared" ca="1" si="152"/>
        <v>-19031616654.368793</v>
      </c>
      <c r="M2562" s="460">
        <f t="shared" si="154"/>
        <v>0.05</v>
      </c>
      <c r="N2562" s="464">
        <f t="shared" si="155"/>
        <v>129023</v>
      </c>
    </row>
    <row r="2563" spans="7:14" ht="11.25" customHeight="1" x14ac:dyDescent="0.25">
      <c r="G2563" s="459"/>
      <c r="H2563" s="459">
        <v>2556</v>
      </c>
      <c r="I2563" s="444">
        <f t="shared" ca="1" si="153"/>
        <v>-19031616654.368793</v>
      </c>
      <c r="J2563" s="444">
        <f t="array" ref="J2563">IFERROR(INDEX('Retirement Calculator'!J:J,MATCH('Isaac 401k'!N2563,'Retirement Calculator'!A:A,0),0),0)</f>
        <v>0</v>
      </c>
      <c r="K2563" s="444">
        <f t="shared" ca="1" si="151"/>
        <v>-79298402.726536632</v>
      </c>
      <c r="L2563" s="444">
        <f t="shared" ca="1" si="152"/>
        <v>-19110915057.095329</v>
      </c>
      <c r="M2563" s="460">
        <f t="shared" si="154"/>
        <v>0.05</v>
      </c>
      <c r="N2563" s="464">
        <f t="shared" si="155"/>
        <v>129053</v>
      </c>
    </row>
    <row r="2564" spans="7:14" ht="11.25" customHeight="1" x14ac:dyDescent="0.25">
      <c r="G2564" s="459"/>
      <c r="H2564" s="459">
        <v>2557</v>
      </c>
      <c r="I2564" s="444">
        <f t="shared" ca="1" si="153"/>
        <v>-19110915057.095329</v>
      </c>
      <c r="J2564" s="444">
        <f t="array" ref="J2564">IFERROR(INDEX('Retirement Calculator'!J:J,MATCH('Isaac 401k'!N2564,'Retirement Calculator'!A:A,0),0),0)</f>
        <v>0</v>
      </c>
      <c r="K2564" s="444">
        <f t="shared" ca="1" si="151"/>
        <v>-79628812.737897202</v>
      </c>
      <c r="L2564" s="444">
        <f t="shared" ca="1" si="152"/>
        <v>-19190543869.833225</v>
      </c>
      <c r="M2564" s="460">
        <f t="shared" si="154"/>
        <v>0.05</v>
      </c>
      <c r="N2564" s="464">
        <f t="shared" si="155"/>
        <v>129084</v>
      </c>
    </row>
    <row r="2565" spans="7:14" ht="11.25" customHeight="1" x14ac:dyDescent="0.25">
      <c r="G2565" s="459"/>
      <c r="H2565" s="459">
        <v>2558</v>
      </c>
      <c r="I2565" s="444">
        <f t="shared" ca="1" si="153"/>
        <v>-19190543869.833225</v>
      </c>
      <c r="J2565" s="444">
        <f t="array" ref="J2565">IFERROR(INDEX('Retirement Calculator'!J:J,MATCH('Isaac 401k'!N2565,'Retirement Calculator'!A:A,0),0),0)</f>
        <v>0</v>
      </c>
      <c r="K2565" s="444">
        <f t="shared" ca="1" si="151"/>
        <v>-79960599.457638443</v>
      </c>
      <c r="L2565" s="444">
        <f t="shared" ca="1" si="152"/>
        <v>-19270504469.290863</v>
      </c>
      <c r="M2565" s="460">
        <f t="shared" si="154"/>
        <v>0.05</v>
      </c>
      <c r="N2565" s="464">
        <f t="shared" si="155"/>
        <v>129114</v>
      </c>
    </row>
    <row r="2566" spans="7:14" ht="11.25" customHeight="1" x14ac:dyDescent="0.25">
      <c r="G2566" s="459"/>
      <c r="H2566" s="459">
        <v>2559</v>
      </c>
      <c r="I2566" s="444">
        <f t="shared" ca="1" si="153"/>
        <v>-19270504469.290863</v>
      </c>
      <c r="J2566" s="444">
        <f t="array" ref="J2566">IFERROR(INDEX('Retirement Calculator'!J:J,MATCH('Isaac 401k'!N2566,'Retirement Calculator'!A:A,0),0),0)</f>
        <v>0</v>
      </c>
      <c r="K2566" s="444">
        <f t="shared" ca="1" si="151"/>
        <v>-80293768.622045264</v>
      </c>
      <c r="L2566" s="444">
        <f t="shared" ca="1" si="152"/>
        <v>-19350798237.912907</v>
      </c>
      <c r="M2566" s="460">
        <f t="shared" si="154"/>
        <v>0.05</v>
      </c>
      <c r="N2566" s="464">
        <f t="shared" si="155"/>
        <v>129145</v>
      </c>
    </row>
    <row r="2567" spans="7:14" ht="11.25" customHeight="1" x14ac:dyDescent="0.25">
      <c r="G2567" s="459"/>
      <c r="H2567" s="459">
        <v>2560</v>
      </c>
      <c r="I2567" s="444">
        <f t="shared" ca="1" si="153"/>
        <v>-19350798237.912907</v>
      </c>
      <c r="J2567" s="444">
        <f t="array" ref="J2567">IFERROR(INDEX('Retirement Calculator'!J:J,MATCH('Isaac 401k'!N2567,'Retirement Calculator'!A:A,0),0),0)</f>
        <v>0</v>
      </c>
      <c r="K2567" s="444">
        <f t="shared" ca="1" si="151"/>
        <v>-80628325.991303772</v>
      </c>
      <c r="L2567" s="444">
        <f t="shared" ca="1" si="152"/>
        <v>-19431426563.904209</v>
      </c>
      <c r="M2567" s="460">
        <f t="shared" si="154"/>
        <v>0.05</v>
      </c>
      <c r="N2567" s="464">
        <f t="shared" si="155"/>
        <v>129176</v>
      </c>
    </row>
    <row r="2568" spans="7:14" ht="11.25" customHeight="1" x14ac:dyDescent="0.25">
      <c r="G2568" s="459"/>
      <c r="H2568" s="459">
        <v>2561</v>
      </c>
      <c r="I2568" s="444">
        <f t="shared" ca="1" si="153"/>
        <v>-19431426563.904209</v>
      </c>
      <c r="J2568" s="444">
        <f t="array" ref="J2568">IFERROR(INDEX('Retirement Calculator'!J:J,MATCH('Isaac 401k'!N2568,'Retirement Calculator'!A:A,0),0),0)</f>
        <v>0</v>
      </c>
      <c r="K2568" s="444">
        <f t="shared" ca="1" si="151"/>
        <v>-80964277.349600866</v>
      </c>
      <c r="L2568" s="444">
        <f t="shared" ca="1" si="152"/>
        <v>-19512390841.253811</v>
      </c>
      <c r="M2568" s="460">
        <f t="shared" si="154"/>
        <v>0.05</v>
      </c>
      <c r="N2568" s="464">
        <f t="shared" si="155"/>
        <v>129206</v>
      </c>
    </row>
    <row r="2569" spans="7:14" ht="11.25" customHeight="1" x14ac:dyDescent="0.25">
      <c r="G2569" s="459"/>
      <c r="H2569" s="459">
        <v>2562</v>
      </c>
      <c r="I2569" s="444">
        <f t="shared" ca="1" si="153"/>
        <v>-19512390841.253811</v>
      </c>
      <c r="J2569" s="444">
        <f t="array" ref="J2569">IFERROR(INDEX('Retirement Calculator'!J:J,MATCH('Isaac 401k'!N2569,'Retirement Calculator'!A:A,0),0),0)</f>
        <v>0</v>
      </c>
      <c r="K2569" s="444">
        <f t="shared" ca="1" si="151"/>
        <v>-81301628.505224213</v>
      </c>
      <c r="L2569" s="444">
        <f t="shared" ca="1" si="152"/>
        <v>-19593692469.759033</v>
      </c>
      <c r="M2569" s="460">
        <f t="shared" si="154"/>
        <v>0.05</v>
      </c>
      <c r="N2569" s="464">
        <f t="shared" si="155"/>
        <v>129237</v>
      </c>
    </row>
    <row r="2570" spans="7:14" ht="11.25" customHeight="1" x14ac:dyDescent="0.25">
      <c r="G2570" s="459"/>
      <c r="H2570" s="459">
        <v>2563</v>
      </c>
      <c r="I2570" s="444">
        <f t="shared" ca="1" si="153"/>
        <v>-19593692469.759033</v>
      </c>
      <c r="J2570" s="444">
        <f t="array" ref="J2570">IFERROR(INDEX('Retirement Calculator'!J:J,MATCH('Isaac 401k'!N2570,'Retirement Calculator'!A:A,0),0),0)</f>
        <v>0</v>
      </c>
      <c r="K2570" s="444">
        <f t="shared" ca="1" si="151"/>
        <v>-81640385.290662631</v>
      </c>
      <c r="L2570" s="444">
        <f t="shared" ca="1" si="152"/>
        <v>-19675332855.049694</v>
      </c>
      <c r="M2570" s="460">
        <f t="shared" si="154"/>
        <v>0.05</v>
      </c>
      <c r="N2570" s="464">
        <f t="shared" si="155"/>
        <v>129267</v>
      </c>
    </row>
    <row r="2571" spans="7:14" ht="11.25" customHeight="1" x14ac:dyDescent="0.25">
      <c r="G2571" s="459"/>
      <c r="H2571" s="459">
        <v>2564</v>
      </c>
      <c r="I2571" s="444">
        <f t="shared" ca="1" si="153"/>
        <v>-19675332855.049694</v>
      </c>
      <c r="J2571" s="444">
        <f t="array" ref="J2571">IFERROR(INDEX('Retirement Calculator'!J:J,MATCH('Isaac 401k'!N2571,'Retirement Calculator'!A:A,0),0),0)</f>
        <v>0</v>
      </c>
      <c r="K2571" s="444">
        <f t="shared" ca="1" si="151"/>
        <v>-81980553.562707052</v>
      </c>
      <c r="L2571" s="444">
        <f t="shared" ca="1" si="152"/>
        <v>-19757313408.6124</v>
      </c>
      <c r="M2571" s="460">
        <f t="shared" si="154"/>
        <v>0.05</v>
      </c>
      <c r="N2571" s="464">
        <f t="shared" si="155"/>
        <v>129298</v>
      </c>
    </row>
    <row r="2572" spans="7:14" ht="11.25" customHeight="1" x14ac:dyDescent="0.25">
      <c r="G2572" s="459"/>
      <c r="H2572" s="459">
        <v>2565</v>
      </c>
      <c r="I2572" s="444">
        <f t="shared" ca="1" si="153"/>
        <v>-19757313408.6124</v>
      </c>
      <c r="J2572" s="444">
        <f t="array" ref="J2572">IFERROR(INDEX('Retirement Calculator'!J:J,MATCH('Isaac 401k'!N2572,'Retirement Calculator'!A:A,0),0),0)</f>
        <v>0</v>
      </c>
      <c r="K2572" s="444">
        <f t="shared" ca="1" si="151"/>
        <v>-82322139.202551663</v>
      </c>
      <c r="L2572" s="444">
        <f t="shared" ca="1" si="152"/>
        <v>-19839635547.814953</v>
      </c>
      <c r="M2572" s="460">
        <f t="shared" si="154"/>
        <v>0.05</v>
      </c>
      <c r="N2572" s="464">
        <f t="shared" si="155"/>
        <v>129329</v>
      </c>
    </row>
    <row r="2573" spans="7:14" ht="11.25" customHeight="1" x14ac:dyDescent="0.25">
      <c r="G2573" s="459"/>
      <c r="H2573" s="459">
        <v>2566</v>
      </c>
      <c r="I2573" s="444">
        <f t="shared" ca="1" si="153"/>
        <v>-19839635547.814953</v>
      </c>
      <c r="J2573" s="444">
        <f t="array" ref="J2573">IFERROR(INDEX('Retirement Calculator'!J:J,MATCH('Isaac 401k'!N2573,'Retirement Calculator'!A:A,0),0),0)</f>
        <v>0</v>
      </c>
      <c r="K2573" s="444">
        <f t="shared" ca="1" si="151"/>
        <v>-82665148.115895629</v>
      </c>
      <c r="L2573" s="444">
        <f t="shared" ca="1" si="152"/>
        <v>-19922300695.930847</v>
      </c>
      <c r="M2573" s="460">
        <f t="shared" si="154"/>
        <v>0.05</v>
      </c>
      <c r="N2573" s="464">
        <f t="shared" si="155"/>
        <v>129357</v>
      </c>
    </row>
    <row r="2574" spans="7:14" ht="11.25" customHeight="1" x14ac:dyDescent="0.25">
      <c r="G2574" s="459"/>
      <c r="H2574" s="459">
        <v>2567</v>
      </c>
      <c r="I2574" s="444">
        <f t="shared" ca="1" si="153"/>
        <v>-19922300695.930847</v>
      </c>
      <c r="J2574" s="444">
        <f t="array" ref="J2574">IFERROR(INDEX('Retirement Calculator'!J:J,MATCH('Isaac 401k'!N2574,'Retirement Calculator'!A:A,0),0),0)</f>
        <v>0</v>
      </c>
      <c r="K2574" s="444">
        <f t="shared" ca="1" si="151"/>
        <v>-83009586.233045191</v>
      </c>
      <c r="L2574" s="444">
        <f t="shared" ca="1" si="152"/>
        <v>-20005310282.163891</v>
      </c>
      <c r="M2574" s="460">
        <f t="shared" si="154"/>
        <v>0.05</v>
      </c>
      <c r="N2574" s="464">
        <f t="shared" si="155"/>
        <v>129388</v>
      </c>
    </row>
    <row r="2575" spans="7:14" ht="11.25" customHeight="1" x14ac:dyDescent="0.25">
      <c r="G2575" s="459"/>
      <c r="H2575" s="459">
        <v>2568</v>
      </c>
      <c r="I2575" s="444">
        <f t="shared" ca="1" si="153"/>
        <v>-20005310282.163891</v>
      </c>
      <c r="J2575" s="444">
        <f t="array" ref="J2575">IFERROR(INDEX('Retirement Calculator'!J:J,MATCH('Isaac 401k'!N2575,'Retirement Calculator'!A:A,0),0),0)</f>
        <v>0</v>
      </c>
      <c r="K2575" s="444">
        <f t="shared" ca="1" si="151"/>
        <v>-83355459.509016216</v>
      </c>
      <c r="L2575" s="444">
        <f t="shared" ca="1" si="152"/>
        <v>-20088665741.672909</v>
      </c>
      <c r="M2575" s="460">
        <f t="shared" si="154"/>
        <v>0.05</v>
      </c>
      <c r="N2575" s="464">
        <f t="shared" si="155"/>
        <v>129418</v>
      </c>
    </row>
    <row r="2576" spans="7:14" ht="11.25" customHeight="1" x14ac:dyDescent="0.25">
      <c r="G2576" s="459"/>
      <c r="H2576" s="459">
        <v>2569</v>
      </c>
      <c r="I2576" s="444">
        <f t="shared" ca="1" si="153"/>
        <v>-20088665741.672909</v>
      </c>
      <c r="J2576" s="444">
        <f t="array" ref="J2576">IFERROR(INDEX('Retirement Calculator'!J:J,MATCH('Isaac 401k'!N2576,'Retirement Calculator'!A:A,0),0),0)</f>
        <v>0</v>
      </c>
      <c r="K2576" s="444">
        <f t="shared" ca="1" si="151"/>
        <v>-83702773.923637122</v>
      </c>
      <c r="L2576" s="444">
        <f t="shared" ca="1" si="152"/>
        <v>-20172368515.596546</v>
      </c>
      <c r="M2576" s="460">
        <f t="shared" si="154"/>
        <v>0.05</v>
      </c>
      <c r="N2576" s="464">
        <f t="shared" si="155"/>
        <v>129449</v>
      </c>
    </row>
    <row r="2577" spans="7:14" ht="11.25" customHeight="1" x14ac:dyDescent="0.25">
      <c r="G2577" s="459"/>
      <c r="H2577" s="459">
        <v>2570</v>
      </c>
      <c r="I2577" s="444">
        <f t="shared" ca="1" si="153"/>
        <v>-20172368515.596546</v>
      </c>
      <c r="J2577" s="444">
        <f t="array" ref="J2577">IFERROR(INDEX('Retirement Calculator'!J:J,MATCH('Isaac 401k'!N2577,'Retirement Calculator'!A:A,0),0),0)</f>
        <v>0</v>
      </c>
      <c r="K2577" s="444">
        <f t="shared" ca="1" si="151"/>
        <v>-84051535.481652275</v>
      </c>
      <c r="L2577" s="444">
        <f t="shared" ca="1" si="152"/>
        <v>-20256420051.078197</v>
      </c>
      <c r="M2577" s="460">
        <f t="shared" si="154"/>
        <v>0.05</v>
      </c>
      <c r="N2577" s="464">
        <f t="shared" si="155"/>
        <v>129479</v>
      </c>
    </row>
    <row r="2578" spans="7:14" ht="11.25" customHeight="1" x14ac:dyDescent="0.25">
      <c r="G2578" s="459"/>
      <c r="H2578" s="459">
        <v>2571</v>
      </c>
      <c r="I2578" s="444">
        <f t="shared" ca="1" si="153"/>
        <v>-20256420051.078197</v>
      </c>
      <c r="J2578" s="444">
        <f t="array" ref="J2578">IFERROR(INDEX('Retirement Calculator'!J:J,MATCH('Isaac 401k'!N2578,'Retirement Calculator'!A:A,0),0),0)</f>
        <v>0</v>
      </c>
      <c r="K2578" s="444">
        <f t="shared" ca="1" si="151"/>
        <v>-84401750.21282582</v>
      </c>
      <c r="L2578" s="444">
        <f t="shared" ca="1" si="152"/>
        <v>-20340821801.291023</v>
      </c>
      <c r="M2578" s="460">
        <f t="shared" si="154"/>
        <v>0.05</v>
      </c>
      <c r="N2578" s="464">
        <f t="shared" si="155"/>
        <v>129510</v>
      </c>
    </row>
    <row r="2579" spans="7:14" ht="11.25" customHeight="1" x14ac:dyDescent="0.25">
      <c r="G2579" s="459"/>
      <c r="H2579" s="459">
        <v>2572</v>
      </c>
      <c r="I2579" s="444">
        <f t="shared" ca="1" si="153"/>
        <v>-20340821801.291023</v>
      </c>
      <c r="J2579" s="444">
        <f t="array" ref="J2579">IFERROR(INDEX('Retirement Calculator'!J:J,MATCH('Isaac 401k'!N2579,'Retirement Calculator'!A:A,0),0),0)</f>
        <v>0</v>
      </c>
      <c r="K2579" s="444">
        <f t="shared" ca="1" si="151"/>
        <v>-84753424.172045931</v>
      </c>
      <c r="L2579" s="444">
        <f t="shared" ca="1" si="152"/>
        <v>-20425575225.46307</v>
      </c>
      <c r="M2579" s="460">
        <f t="shared" si="154"/>
        <v>0.05</v>
      </c>
      <c r="N2579" s="464">
        <f t="shared" si="155"/>
        <v>129541</v>
      </c>
    </row>
    <row r="2580" spans="7:14" ht="11.25" customHeight="1" x14ac:dyDescent="0.25">
      <c r="G2580" s="459"/>
      <c r="H2580" s="459">
        <v>2573</v>
      </c>
      <c r="I2580" s="444">
        <f t="shared" ca="1" si="153"/>
        <v>-20425575225.46307</v>
      </c>
      <c r="J2580" s="444">
        <f t="array" ref="J2580">IFERROR(INDEX('Retirement Calculator'!J:J,MATCH('Isaac 401k'!N2580,'Retirement Calculator'!A:A,0),0),0)</f>
        <v>0</v>
      </c>
      <c r="K2580" s="444">
        <f t="shared" ca="1" si="151"/>
        <v>-85106563.439429462</v>
      </c>
      <c r="L2580" s="444">
        <f t="shared" ca="1" si="152"/>
        <v>-20510681788.9025</v>
      </c>
      <c r="M2580" s="460">
        <f t="shared" si="154"/>
        <v>0.05</v>
      </c>
      <c r="N2580" s="464">
        <f t="shared" si="155"/>
        <v>129571</v>
      </c>
    </row>
    <row r="2581" spans="7:14" ht="11.25" customHeight="1" x14ac:dyDescent="0.25">
      <c r="G2581" s="459"/>
      <c r="H2581" s="459">
        <v>2574</v>
      </c>
      <c r="I2581" s="444">
        <f t="shared" ca="1" si="153"/>
        <v>-20510681788.9025</v>
      </c>
      <c r="J2581" s="444">
        <f t="array" ref="J2581">IFERROR(INDEX('Retirement Calculator'!J:J,MATCH('Isaac 401k'!N2581,'Retirement Calculator'!A:A,0),0),0)</f>
        <v>0</v>
      </c>
      <c r="K2581" s="444">
        <f t="shared" ca="1" si="151"/>
        <v>-85461174.120427087</v>
      </c>
      <c r="L2581" s="444">
        <f t="shared" ca="1" si="152"/>
        <v>-20596142963.022926</v>
      </c>
      <c r="M2581" s="460">
        <f t="shared" si="154"/>
        <v>0.05</v>
      </c>
      <c r="N2581" s="464">
        <f t="shared" si="155"/>
        <v>129602</v>
      </c>
    </row>
    <row r="2582" spans="7:14" ht="11.25" customHeight="1" x14ac:dyDescent="0.25">
      <c r="G2582" s="459"/>
      <c r="H2582" s="459">
        <v>2575</v>
      </c>
      <c r="I2582" s="444">
        <f t="shared" ca="1" si="153"/>
        <v>-20596142963.022926</v>
      </c>
      <c r="J2582" s="444">
        <f t="array" ref="J2582">IFERROR(INDEX('Retirement Calculator'!J:J,MATCH('Isaac 401k'!N2582,'Retirement Calculator'!A:A,0),0),0)</f>
        <v>0</v>
      </c>
      <c r="K2582" s="444">
        <f t="shared" ca="1" si="151"/>
        <v>-85817262.345928863</v>
      </c>
      <c r="L2582" s="444">
        <f t="shared" ca="1" si="152"/>
        <v>-20681960225.368855</v>
      </c>
      <c r="M2582" s="460">
        <f t="shared" si="154"/>
        <v>0.05</v>
      </c>
      <c r="N2582" s="464">
        <f t="shared" si="155"/>
        <v>129632</v>
      </c>
    </row>
    <row r="2583" spans="7:14" ht="11.25" customHeight="1" x14ac:dyDescent="0.25">
      <c r="G2583" s="459"/>
      <c r="H2583" s="459">
        <v>2576</v>
      </c>
      <c r="I2583" s="444">
        <f t="shared" ca="1" si="153"/>
        <v>-20681960225.368855</v>
      </c>
      <c r="J2583" s="444">
        <f t="array" ref="J2583">IFERROR(INDEX('Retirement Calculator'!J:J,MATCH('Isaac 401k'!N2583,'Retirement Calculator'!A:A,0),0),0)</f>
        <v>0</v>
      </c>
      <c r="K2583" s="444">
        <f t="shared" ca="1" si="151"/>
        <v>-86174834.272370219</v>
      </c>
      <c r="L2583" s="444">
        <f t="shared" ca="1" si="152"/>
        <v>-20768135059.641224</v>
      </c>
      <c r="M2583" s="460">
        <f t="shared" si="154"/>
        <v>0.05</v>
      </c>
      <c r="N2583" s="464">
        <f t="shared" si="155"/>
        <v>129663</v>
      </c>
    </row>
    <row r="2584" spans="7:14" ht="11.25" customHeight="1" x14ac:dyDescent="0.25">
      <c r="G2584" s="459"/>
      <c r="H2584" s="459">
        <v>2577</v>
      </c>
      <c r="I2584" s="444">
        <f t="shared" ca="1" si="153"/>
        <v>-20768135059.641224</v>
      </c>
      <c r="J2584" s="444">
        <f t="array" ref="J2584">IFERROR(INDEX('Retirement Calculator'!J:J,MATCH('Isaac 401k'!N2584,'Retirement Calculator'!A:A,0),0),0)</f>
        <v>0</v>
      </c>
      <c r="K2584" s="444">
        <f t="shared" ca="1" si="151"/>
        <v>-86533896.081838429</v>
      </c>
      <c r="L2584" s="444">
        <f t="shared" ca="1" si="152"/>
        <v>-20854668955.723061</v>
      </c>
      <c r="M2584" s="460">
        <f t="shared" si="154"/>
        <v>0.05</v>
      </c>
      <c r="N2584" s="464">
        <f t="shared" si="155"/>
        <v>129694</v>
      </c>
    </row>
    <row r="2585" spans="7:14" ht="11.25" customHeight="1" x14ac:dyDescent="0.25">
      <c r="G2585" s="459"/>
      <c r="H2585" s="459">
        <v>2578</v>
      </c>
      <c r="I2585" s="444">
        <f t="shared" ca="1" si="153"/>
        <v>-20854668955.723061</v>
      </c>
      <c r="J2585" s="444">
        <f t="array" ref="J2585">IFERROR(INDEX('Retirement Calculator'!J:J,MATCH('Isaac 401k'!N2585,'Retirement Calculator'!A:A,0),0),0)</f>
        <v>0</v>
      </c>
      <c r="K2585" s="444">
        <f t="shared" ca="1" si="151"/>
        <v>-86894453.982179418</v>
      </c>
      <c r="L2585" s="444">
        <f t="shared" ca="1" si="152"/>
        <v>-20941563409.705238</v>
      </c>
      <c r="M2585" s="460">
        <f t="shared" si="154"/>
        <v>0.05</v>
      </c>
      <c r="N2585" s="464">
        <f t="shared" si="155"/>
        <v>129722</v>
      </c>
    </row>
    <row r="2586" spans="7:14" ht="11.25" customHeight="1" x14ac:dyDescent="0.25">
      <c r="G2586" s="459"/>
      <c r="H2586" s="459">
        <v>2579</v>
      </c>
      <c r="I2586" s="444">
        <f t="shared" ca="1" si="153"/>
        <v>-20941563409.705238</v>
      </c>
      <c r="J2586" s="444">
        <f t="array" ref="J2586">IFERROR(INDEX('Retirement Calculator'!J:J,MATCH('Isaac 401k'!N2586,'Retirement Calculator'!A:A,0),0),0)</f>
        <v>0</v>
      </c>
      <c r="K2586" s="444">
        <f t="shared" ca="1" si="151"/>
        <v>-87256514.20710516</v>
      </c>
      <c r="L2586" s="444">
        <f t="shared" ca="1" si="152"/>
        <v>-21028819923.912342</v>
      </c>
      <c r="M2586" s="460">
        <f t="shared" si="154"/>
        <v>0.05</v>
      </c>
      <c r="N2586" s="464">
        <f t="shared" si="155"/>
        <v>129753</v>
      </c>
    </row>
    <row r="2587" spans="7:14" ht="11.25" customHeight="1" x14ac:dyDescent="0.25">
      <c r="G2587" s="459"/>
      <c r="H2587" s="459">
        <v>2580</v>
      </c>
      <c r="I2587" s="444">
        <f t="shared" ca="1" si="153"/>
        <v>-21028819923.912342</v>
      </c>
      <c r="J2587" s="444">
        <f t="array" ref="J2587">IFERROR(INDEX('Retirement Calculator'!J:J,MATCH('Isaac 401k'!N2587,'Retirement Calculator'!A:A,0),0),0)</f>
        <v>0</v>
      </c>
      <c r="K2587" s="444">
        <f t="shared" ca="1" si="151"/>
        <v>-87620083.016301423</v>
      </c>
      <c r="L2587" s="444">
        <f t="shared" ca="1" si="152"/>
        <v>-21116440006.928642</v>
      </c>
      <c r="M2587" s="460">
        <f t="shared" si="154"/>
        <v>0.05</v>
      </c>
      <c r="N2587" s="464">
        <f t="shared" si="155"/>
        <v>129783</v>
      </c>
    </row>
    <row r="2588" spans="7:14" ht="11.25" customHeight="1" x14ac:dyDescent="0.25">
      <c r="G2588" s="459"/>
      <c r="H2588" s="459">
        <v>2581</v>
      </c>
      <c r="I2588" s="444">
        <f t="shared" ca="1" si="153"/>
        <v>-21116440006.928642</v>
      </c>
      <c r="J2588" s="444">
        <f t="array" ref="J2588">IFERROR(INDEX('Retirement Calculator'!J:J,MATCH('Isaac 401k'!N2588,'Retirement Calculator'!A:A,0),0),0)</f>
        <v>0</v>
      </c>
      <c r="K2588" s="444">
        <f t="shared" ca="1" si="151"/>
        <v>-87985166.695536003</v>
      </c>
      <c r="L2588" s="444">
        <f t="shared" ca="1" si="152"/>
        <v>-21204425173.62418</v>
      </c>
      <c r="M2588" s="460">
        <f t="shared" si="154"/>
        <v>0.05</v>
      </c>
      <c r="N2588" s="464">
        <f t="shared" si="155"/>
        <v>129814</v>
      </c>
    </row>
    <row r="2589" spans="7:14" ht="11.25" customHeight="1" x14ac:dyDescent="0.25">
      <c r="G2589" s="459"/>
      <c r="H2589" s="459">
        <v>2582</v>
      </c>
      <c r="I2589" s="444">
        <f t="shared" ca="1" si="153"/>
        <v>-21204425173.62418</v>
      </c>
      <c r="J2589" s="444">
        <f t="array" ref="J2589">IFERROR(INDEX('Retirement Calculator'!J:J,MATCH('Isaac 401k'!N2589,'Retirement Calculator'!A:A,0),0),0)</f>
        <v>0</v>
      </c>
      <c r="K2589" s="444">
        <f t="shared" ca="1" si="151"/>
        <v>-88351771.556767419</v>
      </c>
      <c r="L2589" s="444">
        <f t="shared" ca="1" si="152"/>
        <v>-21292776945.180946</v>
      </c>
      <c r="M2589" s="460">
        <f t="shared" si="154"/>
        <v>0.05</v>
      </c>
      <c r="N2589" s="464">
        <f t="shared" si="155"/>
        <v>129844</v>
      </c>
    </row>
    <row r="2590" spans="7:14" ht="11.25" customHeight="1" x14ac:dyDescent="0.25">
      <c r="G2590" s="459"/>
      <c r="H2590" s="459">
        <v>2583</v>
      </c>
      <c r="I2590" s="444">
        <f t="shared" ca="1" si="153"/>
        <v>-21292776945.180946</v>
      </c>
      <c r="J2590" s="444">
        <f t="array" ref="J2590">IFERROR(INDEX('Retirement Calculator'!J:J,MATCH('Isaac 401k'!N2590,'Retirement Calculator'!A:A,0),0),0)</f>
        <v>0</v>
      </c>
      <c r="K2590" s="444">
        <f t="shared" ca="1" si="151"/>
        <v>-88719903.938253939</v>
      </c>
      <c r="L2590" s="444">
        <f t="shared" ca="1" si="152"/>
        <v>-21381496849.119202</v>
      </c>
      <c r="M2590" s="460">
        <f t="shared" si="154"/>
        <v>0.05</v>
      </c>
      <c r="N2590" s="464">
        <f t="shared" si="155"/>
        <v>129875</v>
      </c>
    </row>
    <row r="2591" spans="7:14" ht="11.25" customHeight="1" x14ac:dyDescent="0.25">
      <c r="G2591" s="459"/>
      <c r="H2591" s="459">
        <v>2584</v>
      </c>
      <c r="I2591" s="444">
        <f t="shared" ca="1" si="153"/>
        <v>-21381496849.119202</v>
      </c>
      <c r="J2591" s="444">
        <f t="array" ref="J2591">IFERROR(INDEX('Retirement Calculator'!J:J,MATCH('Isaac 401k'!N2591,'Retirement Calculator'!A:A,0),0),0)</f>
        <v>0</v>
      </c>
      <c r="K2591" s="444">
        <f t="shared" ca="1" si="151"/>
        <v>-89089570.204663336</v>
      </c>
      <c r="L2591" s="444">
        <f t="shared" ca="1" si="152"/>
        <v>-21470586419.323864</v>
      </c>
      <c r="M2591" s="460">
        <f t="shared" si="154"/>
        <v>0.05</v>
      </c>
      <c r="N2591" s="464">
        <f t="shared" si="155"/>
        <v>129906</v>
      </c>
    </row>
    <row r="2592" spans="7:14" ht="11.25" customHeight="1" x14ac:dyDescent="0.25">
      <c r="G2592" s="459"/>
      <c r="H2592" s="459">
        <v>2585</v>
      </c>
      <c r="I2592" s="444">
        <f t="shared" ca="1" si="153"/>
        <v>-21470586419.323864</v>
      </c>
      <c r="J2592" s="444">
        <f t="array" ref="J2592">IFERROR(INDEX('Retirement Calculator'!J:J,MATCH('Isaac 401k'!N2592,'Retirement Calculator'!A:A,0),0),0)</f>
        <v>0</v>
      </c>
      <c r="K2592" s="444">
        <f t="shared" ca="1" si="151"/>
        <v>-89460776.747182772</v>
      </c>
      <c r="L2592" s="444">
        <f t="shared" ca="1" si="152"/>
        <v>-21560047196.071045</v>
      </c>
      <c r="M2592" s="460">
        <f t="shared" si="154"/>
        <v>0.05</v>
      </c>
      <c r="N2592" s="464">
        <f t="shared" si="155"/>
        <v>129936</v>
      </c>
    </row>
    <row r="2593" spans="7:14" ht="11.25" customHeight="1" x14ac:dyDescent="0.25">
      <c r="G2593" s="459"/>
      <c r="H2593" s="459">
        <v>2586</v>
      </c>
      <c r="I2593" s="444">
        <f t="shared" ca="1" si="153"/>
        <v>-21560047196.071045</v>
      </c>
      <c r="J2593" s="444">
        <f t="array" ref="J2593">IFERROR(INDEX('Retirement Calculator'!J:J,MATCH('Isaac 401k'!N2593,'Retirement Calculator'!A:A,0),0),0)</f>
        <v>0</v>
      </c>
      <c r="K2593" s="444">
        <f t="shared" ca="1" si="151"/>
        <v>-89833529.983629346</v>
      </c>
      <c r="L2593" s="444">
        <f t="shared" ca="1" si="152"/>
        <v>-21649880726.054676</v>
      </c>
      <c r="M2593" s="460">
        <f t="shared" si="154"/>
        <v>0.05</v>
      </c>
      <c r="N2593" s="464">
        <f t="shared" si="155"/>
        <v>129967</v>
      </c>
    </row>
    <row r="2594" spans="7:14" ht="11.25" customHeight="1" x14ac:dyDescent="0.25">
      <c r="G2594" s="459"/>
      <c r="H2594" s="459">
        <v>2587</v>
      </c>
      <c r="I2594" s="444">
        <f t="shared" ca="1" si="153"/>
        <v>-21649880726.054676</v>
      </c>
      <c r="J2594" s="444">
        <f t="array" ref="J2594">IFERROR(INDEX('Retirement Calculator'!J:J,MATCH('Isaac 401k'!N2594,'Retirement Calculator'!A:A,0),0),0)</f>
        <v>0</v>
      </c>
      <c r="K2594" s="444">
        <f t="shared" ca="1" si="151"/>
        <v>-90207836.358561143</v>
      </c>
      <c r="L2594" s="444">
        <f t="shared" ca="1" si="152"/>
        <v>-21740088562.413239</v>
      </c>
      <c r="M2594" s="460">
        <f t="shared" si="154"/>
        <v>0.05</v>
      </c>
      <c r="N2594" s="464">
        <f t="shared" si="155"/>
        <v>129997</v>
      </c>
    </row>
    <row r="2595" spans="7:14" ht="11.25" customHeight="1" x14ac:dyDescent="0.25">
      <c r="G2595" s="459"/>
      <c r="H2595" s="459">
        <v>2588</v>
      </c>
      <c r="I2595" s="444">
        <f t="shared" ca="1" si="153"/>
        <v>-21740088562.413239</v>
      </c>
      <c r="J2595" s="444">
        <f t="array" ref="J2595">IFERROR(INDEX('Retirement Calculator'!J:J,MATCH('Isaac 401k'!N2595,'Retirement Calculator'!A:A,0),0),0)</f>
        <v>0</v>
      </c>
      <c r="K2595" s="444">
        <f t="shared" ca="1" si="151"/>
        <v>-90583702.343388498</v>
      </c>
      <c r="L2595" s="444">
        <f t="shared" ca="1" si="152"/>
        <v>-21830672264.756626</v>
      </c>
      <c r="M2595" s="460">
        <f t="shared" si="154"/>
        <v>0.05</v>
      </c>
      <c r="N2595" s="464">
        <f t="shared" si="155"/>
        <v>130028</v>
      </c>
    </row>
    <row r="2596" spans="7:14" ht="11.25" customHeight="1" x14ac:dyDescent="0.25">
      <c r="G2596" s="459"/>
      <c r="H2596" s="459">
        <v>2589</v>
      </c>
      <c r="I2596" s="444">
        <f t="shared" ca="1" si="153"/>
        <v>-21830672264.756626</v>
      </c>
      <c r="J2596" s="444">
        <f t="array" ref="J2596">IFERROR(INDEX('Retirement Calculator'!J:J,MATCH('Isaac 401k'!N2596,'Retirement Calculator'!A:A,0),0),0)</f>
        <v>0</v>
      </c>
      <c r="K2596" s="444">
        <f t="shared" ca="1" si="151"/>
        <v>-90961134.436485946</v>
      </c>
      <c r="L2596" s="444">
        <f t="shared" ca="1" si="152"/>
        <v>-21921633399.193111</v>
      </c>
      <c r="M2596" s="460">
        <f t="shared" si="154"/>
        <v>0.05</v>
      </c>
      <c r="N2596" s="464">
        <f t="shared" si="155"/>
        <v>130059</v>
      </c>
    </row>
    <row r="2597" spans="7:14" ht="11.25" customHeight="1" x14ac:dyDescent="0.25">
      <c r="G2597" s="459"/>
      <c r="H2597" s="459">
        <v>2590</v>
      </c>
      <c r="I2597" s="444">
        <f t="shared" ca="1" si="153"/>
        <v>-21921633399.193111</v>
      </c>
      <c r="J2597" s="444">
        <f t="array" ref="J2597">IFERROR(INDEX('Retirement Calculator'!J:J,MATCH('Isaac 401k'!N2597,'Retirement Calculator'!A:A,0),0),0)</f>
        <v>0</v>
      </c>
      <c r="K2597" s="444">
        <f t="shared" ca="1" si="151"/>
        <v>-91340139.163304627</v>
      </c>
      <c r="L2597" s="444">
        <f t="shared" ca="1" si="152"/>
        <v>-22012973538.356415</v>
      </c>
      <c r="M2597" s="460">
        <f t="shared" si="154"/>
        <v>0.05</v>
      </c>
      <c r="N2597" s="464">
        <f t="shared" si="155"/>
        <v>130088</v>
      </c>
    </row>
    <row r="2598" spans="7:14" ht="11.25" customHeight="1" x14ac:dyDescent="0.25">
      <c r="G2598" s="459"/>
      <c r="H2598" s="459">
        <v>2591</v>
      </c>
      <c r="I2598" s="444">
        <f t="shared" ca="1" si="153"/>
        <v>-22012973538.356415</v>
      </c>
      <c r="J2598" s="444">
        <f t="array" ref="J2598">IFERROR(INDEX('Retirement Calculator'!J:J,MATCH('Isaac 401k'!N2598,'Retirement Calculator'!A:A,0),0),0)</f>
        <v>0</v>
      </c>
      <c r="K2598" s="444">
        <f t="shared" ca="1" si="151"/>
        <v>-91720723.076485068</v>
      </c>
      <c r="L2598" s="444">
        <f t="shared" ca="1" si="152"/>
        <v>-22104694261.432899</v>
      </c>
      <c r="M2598" s="460">
        <f t="shared" si="154"/>
        <v>0.05</v>
      </c>
      <c r="N2598" s="464">
        <f t="shared" si="155"/>
        <v>130119</v>
      </c>
    </row>
    <row r="2599" spans="7:14" ht="11.25" customHeight="1" x14ac:dyDescent="0.25">
      <c r="G2599" s="459"/>
      <c r="H2599" s="459">
        <v>2592</v>
      </c>
      <c r="I2599" s="444">
        <f t="shared" ca="1" si="153"/>
        <v>-22104694261.432899</v>
      </c>
      <c r="J2599" s="444">
        <f t="array" ref="J2599">IFERROR(INDEX('Retirement Calculator'!J:J,MATCH('Isaac 401k'!N2599,'Retirement Calculator'!A:A,0),0),0)</f>
        <v>0</v>
      </c>
      <c r="K2599" s="444">
        <f t="shared" ca="1" si="151"/>
        <v>-92102892.755970418</v>
      </c>
      <c r="L2599" s="444">
        <f t="shared" ca="1" si="152"/>
        <v>-22196797154.188869</v>
      </c>
      <c r="M2599" s="460">
        <f t="shared" si="154"/>
        <v>0.05</v>
      </c>
      <c r="N2599" s="464">
        <f t="shared" si="155"/>
        <v>130149</v>
      </c>
    </row>
    <row r="2600" spans="7:14" ht="11.25" customHeight="1" x14ac:dyDescent="0.25">
      <c r="G2600" s="459"/>
      <c r="H2600" s="459">
        <v>2593</v>
      </c>
      <c r="I2600" s="444">
        <f t="shared" ca="1" si="153"/>
        <v>-22196797154.188869</v>
      </c>
      <c r="J2600" s="444">
        <f t="array" ref="J2600">IFERROR(INDEX('Retirement Calculator'!J:J,MATCH('Isaac 401k'!N2600,'Retirement Calculator'!A:A,0),0),0)</f>
        <v>0</v>
      </c>
      <c r="K2600" s="444">
        <f t="shared" ca="1" si="151"/>
        <v>-92486654.809120283</v>
      </c>
      <c r="L2600" s="444">
        <f t="shared" ca="1" si="152"/>
        <v>-22289283808.99799</v>
      </c>
      <c r="M2600" s="460">
        <f t="shared" si="154"/>
        <v>0.05</v>
      </c>
      <c r="N2600" s="464">
        <f t="shared" si="155"/>
        <v>130180</v>
      </c>
    </row>
    <row r="2601" spans="7:14" ht="11.25" customHeight="1" x14ac:dyDescent="0.25">
      <c r="G2601" s="459"/>
      <c r="H2601" s="459">
        <v>2594</v>
      </c>
      <c r="I2601" s="444">
        <f t="shared" ca="1" si="153"/>
        <v>-22289283808.99799</v>
      </c>
      <c r="J2601" s="444">
        <f t="array" ref="J2601">IFERROR(INDEX('Retirement Calculator'!J:J,MATCH('Isaac 401k'!N2601,'Retirement Calculator'!A:A,0),0),0)</f>
        <v>0</v>
      </c>
      <c r="K2601" s="444">
        <f t="shared" ca="1" si="151"/>
        <v>-92872015.870824963</v>
      </c>
      <c r="L2601" s="444">
        <f t="shared" ca="1" si="152"/>
        <v>-22382155824.868816</v>
      </c>
      <c r="M2601" s="460">
        <f t="shared" si="154"/>
        <v>0.05</v>
      </c>
      <c r="N2601" s="464">
        <f t="shared" si="155"/>
        <v>130210</v>
      </c>
    </row>
    <row r="2602" spans="7:14" ht="11.25" customHeight="1" x14ac:dyDescent="0.25">
      <c r="G2602" s="459"/>
      <c r="H2602" s="459">
        <v>2595</v>
      </c>
      <c r="I2602" s="444">
        <f t="shared" ca="1" si="153"/>
        <v>-22382155824.868816</v>
      </c>
      <c r="J2602" s="444">
        <f t="array" ref="J2602">IFERROR(INDEX('Retirement Calculator'!J:J,MATCH('Isaac 401k'!N2602,'Retirement Calculator'!A:A,0),0),0)</f>
        <v>0</v>
      </c>
      <c r="K2602" s="444">
        <f t="shared" ca="1" si="151"/>
        <v>-93258982.603620067</v>
      </c>
      <c r="L2602" s="444">
        <f t="shared" ca="1" si="152"/>
        <v>-22475414807.472435</v>
      </c>
      <c r="M2602" s="460">
        <f t="shared" si="154"/>
        <v>0.05</v>
      </c>
      <c r="N2602" s="464">
        <f t="shared" si="155"/>
        <v>130241</v>
      </c>
    </row>
    <row r="2603" spans="7:14" ht="11.25" customHeight="1" x14ac:dyDescent="0.25">
      <c r="G2603" s="459"/>
      <c r="H2603" s="459">
        <v>2596</v>
      </c>
      <c r="I2603" s="444">
        <f t="shared" ca="1" si="153"/>
        <v>-22475414807.472435</v>
      </c>
      <c r="J2603" s="444">
        <f t="array" ref="J2603">IFERROR(INDEX('Retirement Calculator'!J:J,MATCH('Isaac 401k'!N2603,'Retirement Calculator'!A:A,0),0),0)</f>
        <v>0</v>
      </c>
      <c r="K2603" s="444">
        <f t="shared" ca="1" si="151"/>
        <v>-93647561.697801813</v>
      </c>
      <c r="L2603" s="444">
        <f t="shared" ca="1" si="152"/>
        <v>-22569062369.170238</v>
      </c>
      <c r="M2603" s="460">
        <f t="shared" si="154"/>
        <v>0.05</v>
      </c>
      <c r="N2603" s="464">
        <f t="shared" si="155"/>
        <v>130272</v>
      </c>
    </row>
    <row r="2604" spans="7:14" ht="11.25" customHeight="1" x14ac:dyDescent="0.25">
      <c r="G2604" s="459"/>
      <c r="H2604" s="459">
        <v>2597</v>
      </c>
      <c r="I2604" s="444">
        <f t="shared" ca="1" si="153"/>
        <v>-22569062369.170238</v>
      </c>
      <c r="J2604" s="444">
        <f t="array" ref="J2604">IFERROR(INDEX('Retirement Calculator'!J:J,MATCH('Isaac 401k'!N2604,'Retirement Calculator'!A:A,0),0),0)</f>
        <v>0</v>
      </c>
      <c r="K2604" s="444">
        <f t="shared" ca="1" si="151"/>
        <v>-94037759.871542662</v>
      </c>
      <c r="L2604" s="444">
        <f t="shared" ca="1" si="152"/>
        <v>-22663100129.041782</v>
      </c>
      <c r="M2604" s="460">
        <f t="shared" si="154"/>
        <v>0.05</v>
      </c>
      <c r="N2604" s="464">
        <f t="shared" si="155"/>
        <v>130302</v>
      </c>
    </row>
    <row r="2605" spans="7:14" ht="11.25" customHeight="1" x14ac:dyDescent="0.25">
      <c r="G2605" s="459"/>
      <c r="H2605" s="459">
        <v>2598</v>
      </c>
      <c r="I2605" s="444">
        <f t="shared" ca="1" si="153"/>
        <v>-22663100129.041782</v>
      </c>
      <c r="J2605" s="444">
        <f t="array" ref="J2605">IFERROR(INDEX('Retirement Calculator'!J:J,MATCH('Isaac 401k'!N2605,'Retirement Calculator'!A:A,0),0),0)</f>
        <v>0</v>
      </c>
      <c r="K2605" s="444">
        <f t="shared" ca="1" si="151"/>
        <v>-94429583.871007428</v>
      </c>
      <c r="L2605" s="444">
        <f t="shared" ca="1" si="152"/>
        <v>-22757529712.912788</v>
      </c>
      <c r="M2605" s="460">
        <f t="shared" si="154"/>
        <v>0.05</v>
      </c>
      <c r="N2605" s="464">
        <f t="shared" si="155"/>
        <v>130333</v>
      </c>
    </row>
    <row r="2606" spans="7:14" ht="11.25" customHeight="1" x14ac:dyDescent="0.25">
      <c r="G2606" s="459"/>
      <c r="H2606" s="459">
        <v>2599</v>
      </c>
      <c r="I2606" s="444">
        <f t="shared" ca="1" si="153"/>
        <v>-22757529712.912788</v>
      </c>
      <c r="J2606" s="444">
        <f t="array" ref="J2606">IFERROR(INDEX('Retirement Calculator'!J:J,MATCH('Isaac 401k'!N2606,'Retirement Calculator'!A:A,0),0),0)</f>
        <v>0</v>
      </c>
      <c r="K2606" s="444">
        <f t="shared" ca="1" si="151"/>
        <v>-94823040.470469952</v>
      </c>
      <c r="L2606" s="444">
        <f t="shared" ca="1" si="152"/>
        <v>-22852352753.383259</v>
      </c>
      <c r="M2606" s="460">
        <f t="shared" si="154"/>
        <v>0.05</v>
      </c>
      <c r="N2606" s="464">
        <f t="shared" si="155"/>
        <v>130363</v>
      </c>
    </row>
    <row r="2607" spans="7:14" ht="11.25" customHeight="1" x14ac:dyDescent="0.25">
      <c r="G2607" s="459"/>
      <c r="H2607" s="459">
        <v>2600</v>
      </c>
      <c r="I2607" s="444">
        <f t="shared" ca="1" si="153"/>
        <v>-22852352753.383259</v>
      </c>
      <c r="J2607" s="444">
        <f t="array" ref="J2607">IFERROR(INDEX('Retirement Calculator'!J:J,MATCH('Isaac 401k'!N2607,'Retirement Calculator'!A:A,0),0),0)</f>
        <v>0</v>
      </c>
      <c r="K2607" s="444">
        <f t="shared" ca="1" si="151"/>
        <v>-95218136.472430244</v>
      </c>
      <c r="L2607" s="444">
        <f t="shared" ca="1" si="152"/>
        <v>-22947570889.85569</v>
      </c>
      <c r="M2607" s="460">
        <f t="shared" si="154"/>
        <v>0.05</v>
      </c>
      <c r="N2607" s="464">
        <f t="shared" si="155"/>
        <v>130394</v>
      </c>
    </row>
    <row r="2608" spans="7:14" ht="11.25" customHeight="1" x14ac:dyDescent="0.25">
      <c r="G2608" s="459"/>
      <c r="H2608" s="459">
        <v>2601</v>
      </c>
      <c r="I2608" s="444">
        <f t="shared" ca="1" si="153"/>
        <v>-22947570889.85569</v>
      </c>
      <c r="J2608" s="444">
        <f t="array" ref="J2608">IFERROR(INDEX('Retirement Calculator'!J:J,MATCH('Isaac 401k'!N2608,'Retirement Calculator'!A:A,0),0),0)</f>
        <v>0</v>
      </c>
      <c r="K2608" s="444">
        <f t="shared" ca="1" si="151"/>
        <v>-95614878.707732037</v>
      </c>
      <c r="L2608" s="444">
        <f t="shared" ca="1" si="152"/>
        <v>-23043185768.563423</v>
      </c>
      <c r="M2608" s="460">
        <f t="shared" si="154"/>
        <v>0.05</v>
      </c>
      <c r="N2608" s="464">
        <f t="shared" si="155"/>
        <v>130425</v>
      </c>
    </row>
    <row r="2609" spans="7:14" ht="11.25" customHeight="1" x14ac:dyDescent="0.25">
      <c r="G2609" s="459"/>
      <c r="H2609" s="459">
        <v>2602</v>
      </c>
      <c r="I2609" s="444">
        <f t="shared" ca="1" si="153"/>
        <v>-23043185768.563423</v>
      </c>
      <c r="J2609" s="444">
        <f t="array" ref="J2609">IFERROR(INDEX('Retirement Calculator'!J:J,MATCH('Isaac 401k'!N2609,'Retirement Calculator'!A:A,0),0),0)</f>
        <v>0</v>
      </c>
      <c r="K2609" s="444">
        <f t="shared" ca="1" si="151"/>
        <v>-96013274.035680935</v>
      </c>
      <c r="L2609" s="444">
        <f t="shared" ca="1" si="152"/>
        <v>-23139199042.599106</v>
      </c>
      <c r="M2609" s="460">
        <f t="shared" si="154"/>
        <v>0.05</v>
      </c>
      <c r="N2609" s="464">
        <f t="shared" si="155"/>
        <v>130453</v>
      </c>
    </row>
    <row r="2610" spans="7:14" ht="11.25" customHeight="1" x14ac:dyDescent="0.25">
      <c r="G2610" s="459"/>
      <c r="H2610" s="459">
        <v>2603</v>
      </c>
      <c r="I2610" s="444">
        <f t="shared" ca="1" si="153"/>
        <v>-23139199042.599106</v>
      </c>
      <c r="J2610" s="444">
        <f t="array" ref="J2610">IFERROR(INDEX('Retirement Calculator'!J:J,MATCH('Isaac 401k'!N2610,'Retirement Calculator'!A:A,0),0),0)</f>
        <v>0</v>
      </c>
      <c r="K2610" s="444">
        <f t="shared" ca="1" si="151"/>
        <v>-96413329.344162941</v>
      </c>
      <c r="L2610" s="444">
        <f t="shared" ca="1" si="152"/>
        <v>-23235612371.943268</v>
      </c>
      <c r="M2610" s="460">
        <f t="shared" si="154"/>
        <v>0.05</v>
      </c>
      <c r="N2610" s="464">
        <f t="shared" si="155"/>
        <v>130484</v>
      </c>
    </row>
    <row r="2611" spans="7:14" ht="11.25" customHeight="1" x14ac:dyDescent="0.25">
      <c r="G2611" s="459"/>
      <c r="H2611" s="459">
        <v>2604</v>
      </c>
      <c r="I2611" s="444">
        <f t="shared" ca="1" si="153"/>
        <v>-23235612371.943268</v>
      </c>
      <c r="J2611" s="444">
        <f t="array" ref="J2611">IFERROR(INDEX('Retirement Calculator'!J:J,MATCH('Isaac 401k'!N2611,'Retirement Calculator'!A:A,0),0),0)</f>
        <v>0</v>
      </c>
      <c r="K2611" s="444">
        <f t="shared" ca="1" si="151"/>
        <v>-96815051.54976362</v>
      </c>
      <c r="L2611" s="444">
        <f t="shared" ca="1" si="152"/>
        <v>-23332427423.493031</v>
      </c>
      <c r="M2611" s="460">
        <f t="shared" si="154"/>
        <v>0.05</v>
      </c>
      <c r="N2611" s="464">
        <f t="shared" si="155"/>
        <v>130514</v>
      </c>
    </row>
    <row r="2612" spans="7:14" ht="11.25" customHeight="1" x14ac:dyDescent="0.25">
      <c r="G2612" s="459"/>
      <c r="H2612" s="459">
        <v>2605</v>
      </c>
      <c r="I2612" s="444">
        <f t="shared" ca="1" si="153"/>
        <v>-23332427423.493031</v>
      </c>
      <c r="J2612" s="444">
        <f t="array" ref="J2612">IFERROR(INDEX('Retirement Calculator'!J:J,MATCH('Isaac 401k'!N2612,'Retirement Calculator'!A:A,0),0),0)</f>
        <v>0</v>
      </c>
      <c r="K2612" s="444">
        <f t="shared" ca="1" si="151"/>
        <v>-97218447.59788762</v>
      </c>
      <c r="L2612" s="444">
        <f t="shared" ca="1" si="152"/>
        <v>-23429645871.090919</v>
      </c>
      <c r="M2612" s="460">
        <f t="shared" si="154"/>
        <v>0.05</v>
      </c>
      <c r="N2612" s="464">
        <f t="shared" si="155"/>
        <v>130545</v>
      </c>
    </row>
    <row r="2613" spans="7:14" ht="11.25" customHeight="1" x14ac:dyDescent="0.25">
      <c r="G2613" s="459"/>
      <c r="H2613" s="459">
        <v>2606</v>
      </c>
      <c r="I2613" s="444">
        <f t="shared" ca="1" si="153"/>
        <v>-23429645871.090919</v>
      </c>
      <c r="J2613" s="444">
        <f t="array" ref="J2613">IFERROR(INDEX('Retirement Calculator'!J:J,MATCH('Isaac 401k'!N2613,'Retirement Calculator'!A:A,0),0),0)</f>
        <v>0</v>
      </c>
      <c r="K2613" s="444">
        <f t="shared" ca="1" si="151"/>
        <v>-97623524.462878823</v>
      </c>
      <c r="L2613" s="444">
        <f t="shared" ca="1" si="152"/>
        <v>-23527269395.553799</v>
      </c>
      <c r="M2613" s="460">
        <f t="shared" si="154"/>
        <v>0.05</v>
      </c>
      <c r="N2613" s="464">
        <f t="shared" si="155"/>
        <v>130575</v>
      </c>
    </row>
    <row r="2614" spans="7:14" ht="11.25" customHeight="1" x14ac:dyDescent="0.25">
      <c r="G2614" s="459"/>
      <c r="H2614" s="459">
        <v>2607</v>
      </c>
      <c r="I2614" s="444">
        <f t="shared" ca="1" si="153"/>
        <v>-23527269395.553799</v>
      </c>
      <c r="J2614" s="444">
        <f t="array" ref="J2614">IFERROR(INDEX('Retirement Calculator'!J:J,MATCH('Isaac 401k'!N2614,'Retirement Calculator'!A:A,0),0),0)</f>
        <v>0</v>
      </c>
      <c r="K2614" s="444">
        <f t="shared" ca="1" si="151"/>
        <v>-98030289.148140833</v>
      </c>
      <c r="L2614" s="444">
        <f t="shared" ca="1" si="152"/>
        <v>-23625299684.701939</v>
      </c>
      <c r="M2614" s="460">
        <f t="shared" si="154"/>
        <v>0.05</v>
      </c>
      <c r="N2614" s="464">
        <f t="shared" si="155"/>
        <v>130606</v>
      </c>
    </row>
    <row r="2615" spans="7:14" ht="11.25" customHeight="1" x14ac:dyDescent="0.25">
      <c r="G2615" s="459"/>
      <c r="H2615" s="459">
        <v>2608</v>
      </c>
      <c r="I2615" s="444">
        <f t="shared" ca="1" si="153"/>
        <v>-23625299684.701939</v>
      </c>
      <c r="J2615" s="444">
        <f t="array" ref="J2615">IFERROR(INDEX('Retirement Calculator'!J:J,MATCH('Isaac 401k'!N2615,'Retirement Calculator'!A:A,0),0),0)</f>
        <v>0</v>
      </c>
      <c r="K2615" s="444">
        <f t="shared" ca="1" si="151"/>
        <v>-98438748.686258078</v>
      </c>
      <c r="L2615" s="444">
        <f t="shared" ca="1" si="152"/>
        <v>-23723738433.388195</v>
      </c>
      <c r="M2615" s="460">
        <f t="shared" si="154"/>
        <v>0.05</v>
      </c>
      <c r="N2615" s="464">
        <f t="shared" si="155"/>
        <v>130637</v>
      </c>
    </row>
    <row r="2616" spans="7:14" ht="11.25" customHeight="1" x14ac:dyDescent="0.25">
      <c r="G2616" s="459"/>
      <c r="H2616" s="459">
        <v>2609</v>
      </c>
      <c r="I2616" s="444">
        <f t="shared" ca="1" si="153"/>
        <v>-23723738433.388195</v>
      </c>
      <c r="J2616" s="444">
        <f t="array" ref="J2616">IFERROR(INDEX('Retirement Calculator'!J:J,MATCH('Isaac 401k'!N2616,'Retirement Calculator'!A:A,0),0),0)</f>
        <v>0</v>
      </c>
      <c r="K2616" s="444">
        <f t="shared" ca="1" si="151"/>
        <v>-98848910.139117479</v>
      </c>
      <c r="L2616" s="444">
        <f t="shared" ca="1" si="152"/>
        <v>-23822587343.527313</v>
      </c>
      <c r="M2616" s="460">
        <f t="shared" si="154"/>
        <v>0.05</v>
      </c>
      <c r="N2616" s="464">
        <f t="shared" si="155"/>
        <v>130667</v>
      </c>
    </row>
    <row r="2617" spans="7:14" ht="11.25" customHeight="1" x14ac:dyDescent="0.25">
      <c r="G2617" s="459"/>
      <c r="H2617" s="459">
        <v>2610</v>
      </c>
      <c r="I2617" s="444">
        <f t="shared" ca="1" si="153"/>
        <v>-23822587343.527313</v>
      </c>
      <c r="J2617" s="444">
        <f t="array" ref="J2617">IFERROR(INDEX('Retirement Calculator'!J:J,MATCH('Isaac 401k'!N2617,'Retirement Calculator'!A:A,0),0),0)</f>
        <v>0</v>
      </c>
      <c r="K2617" s="444">
        <f t="shared" ca="1" si="151"/>
        <v>-99260780.598030478</v>
      </c>
      <c r="L2617" s="444">
        <f t="shared" ca="1" si="152"/>
        <v>-23921848124.125343</v>
      </c>
      <c r="M2617" s="460">
        <f t="shared" si="154"/>
        <v>0.05</v>
      </c>
      <c r="N2617" s="464">
        <f t="shared" si="155"/>
        <v>130698</v>
      </c>
    </row>
    <row r="2618" spans="7:14" ht="11.25" customHeight="1" x14ac:dyDescent="0.25">
      <c r="G2618" s="459"/>
      <c r="H2618" s="459">
        <v>2611</v>
      </c>
      <c r="I2618" s="444">
        <f t="shared" ca="1" si="153"/>
        <v>-23921848124.125343</v>
      </c>
      <c r="J2618" s="444">
        <f t="array" ref="J2618">IFERROR(INDEX('Retirement Calculator'!J:J,MATCH('Isaac 401k'!N2618,'Retirement Calculator'!A:A,0),0),0)</f>
        <v>0</v>
      </c>
      <c r="K2618" s="444">
        <f t="shared" ca="1" si="151"/>
        <v>-99674367.183855593</v>
      </c>
      <c r="L2618" s="444">
        <f t="shared" ca="1" si="152"/>
        <v>-24021522491.3092</v>
      </c>
      <c r="M2618" s="460">
        <f t="shared" si="154"/>
        <v>0.05</v>
      </c>
      <c r="N2618" s="464">
        <f t="shared" si="155"/>
        <v>130728</v>
      </c>
    </row>
    <row r="2619" spans="7:14" ht="11.25" customHeight="1" x14ac:dyDescent="0.25">
      <c r="G2619" s="459"/>
      <c r="H2619" s="459">
        <v>2612</v>
      </c>
      <c r="I2619" s="444">
        <f t="shared" ca="1" si="153"/>
        <v>-24021522491.3092</v>
      </c>
      <c r="J2619" s="444">
        <f t="array" ref="J2619">IFERROR(INDEX('Retirement Calculator'!J:J,MATCH('Isaac 401k'!N2619,'Retirement Calculator'!A:A,0),0),0)</f>
        <v>0</v>
      </c>
      <c r="K2619" s="444">
        <f t="shared" ca="1" si="151"/>
        <v>-100089677.04712167</v>
      </c>
      <c r="L2619" s="444">
        <f t="shared" ca="1" si="152"/>
        <v>-24121612168.356323</v>
      </c>
      <c r="M2619" s="460">
        <f t="shared" si="154"/>
        <v>0.05</v>
      </c>
      <c r="N2619" s="464">
        <f t="shared" si="155"/>
        <v>130759</v>
      </c>
    </row>
    <row r="2620" spans="7:14" ht="11.25" customHeight="1" x14ac:dyDescent="0.25">
      <c r="G2620" s="459"/>
      <c r="H2620" s="459">
        <v>2613</v>
      </c>
      <c r="I2620" s="444">
        <f t="shared" ca="1" si="153"/>
        <v>-24121612168.356323</v>
      </c>
      <c r="J2620" s="444">
        <f t="array" ref="J2620">IFERROR(INDEX('Retirement Calculator'!J:J,MATCH('Isaac 401k'!N2620,'Retirement Calculator'!A:A,0),0),0)</f>
        <v>0</v>
      </c>
      <c r="K2620" s="444">
        <f t="shared" ca="1" si="151"/>
        <v>-100506717.36815135</v>
      </c>
      <c r="L2620" s="444">
        <f t="shared" ca="1" si="152"/>
        <v>-24222118885.724476</v>
      </c>
      <c r="M2620" s="460">
        <f t="shared" si="154"/>
        <v>0.05</v>
      </c>
      <c r="N2620" s="464">
        <f t="shared" si="155"/>
        <v>130790</v>
      </c>
    </row>
    <row r="2621" spans="7:14" ht="11.25" customHeight="1" x14ac:dyDescent="0.25">
      <c r="G2621" s="459"/>
      <c r="H2621" s="459">
        <v>2614</v>
      </c>
      <c r="I2621" s="444">
        <f t="shared" ca="1" si="153"/>
        <v>-24222118885.724476</v>
      </c>
      <c r="J2621" s="444">
        <f t="array" ref="J2621">IFERROR(INDEX('Retirement Calculator'!J:J,MATCH('Isaac 401k'!N2621,'Retirement Calculator'!A:A,0),0),0)</f>
        <v>0</v>
      </c>
      <c r="K2621" s="444">
        <f t="shared" ca="1" si="151"/>
        <v>-100925495.35718532</v>
      </c>
      <c r="L2621" s="444">
        <f t="shared" ca="1" si="152"/>
        <v>-24323044381.081661</v>
      </c>
      <c r="M2621" s="460">
        <f t="shared" si="154"/>
        <v>0.05</v>
      </c>
      <c r="N2621" s="464">
        <f t="shared" si="155"/>
        <v>130818</v>
      </c>
    </row>
    <row r="2622" spans="7:14" ht="11.25" customHeight="1" x14ac:dyDescent="0.25">
      <c r="G2622" s="459"/>
      <c r="H2622" s="459">
        <v>2615</v>
      </c>
      <c r="I2622" s="444">
        <f t="shared" ca="1" si="153"/>
        <v>-24323044381.081661</v>
      </c>
      <c r="J2622" s="444">
        <f t="array" ref="J2622">IFERROR(INDEX('Retirement Calculator'!J:J,MATCH('Isaac 401k'!N2622,'Retirement Calculator'!A:A,0),0),0)</f>
        <v>0</v>
      </c>
      <c r="K2622" s="444">
        <f t="shared" ca="1" si="151"/>
        <v>-101346018.25450692</v>
      </c>
      <c r="L2622" s="444">
        <f t="shared" ca="1" si="152"/>
        <v>-24424390399.336166</v>
      </c>
      <c r="M2622" s="460">
        <f t="shared" si="154"/>
        <v>0.05</v>
      </c>
      <c r="N2622" s="464">
        <f t="shared" si="155"/>
        <v>130849</v>
      </c>
    </row>
    <row r="2623" spans="7:14" ht="11.25" customHeight="1" x14ac:dyDescent="0.25">
      <c r="G2623" s="459"/>
      <c r="H2623" s="459">
        <v>2616</v>
      </c>
      <c r="I2623" s="444">
        <f t="shared" ca="1" si="153"/>
        <v>-24424390399.336166</v>
      </c>
      <c r="J2623" s="444">
        <f t="array" ref="J2623">IFERROR(INDEX('Retirement Calculator'!J:J,MATCH('Isaac 401k'!N2623,'Retirement Calculator'!A:A,0),0),0)</f>
        <v>0</v>
      </c>
      <c r="K2623" s="444">
        <f t="shared" ca="1" si="151"/>
        <v>-101768293.33056736</v>
      </c>
      <c r="L2623" s="444">
        <f t="shared" ca="1" si="152"/>
        <v>-24526158692.666733</v>
      </c>
      <c r="M2623" s="460">
        <f t="shared" si="154"/>
        <v>0.05</v>
      </c>
      <c r="N2623" s="464">
        <f t="shared" si="155"/>
        <v>130879</v>
      </c>
    </row>
    <row r="2624" spans="7:14" ht="11.25" customHeight="1" x14ac:dyDescent="0.25">
      <c r="G2624" s="459"/>
      <c r="H2624" s="459">
        <v>2617</v>
      </c>
      <c r="I2624" s="444">
        <f t="shared" ca="1" si="153"/>
        <v>-24526158692.666733</v>
      </c>
      <c r="J2624" s="444">
        <f t="array" ref="J2624">IFERROR(INDEX('Retirement Calculator'!J:J,MATCH('Isaac 401k'!N2624,'Retirement Calculator'!A:A,0),0),0)</f>
        <v>0</v>
      </c>
      <c r="K2624" s="444">
        <f t="shared" ca="1" si="151"/>
        <v>-102192327.88611138</v>
      </c>
      <c r="L2624" s="444">
        <f t="shared" ca="1" si="152"/>
        <v>-24628351020.552845</v>
      </c>
      <c r="M2624" s="460">
        <f t="shared" si="154"/>
        <v>0.05</v>
      </c>
      <c r="N2624" s="464">
        <f t="shared" si="155"/>
        <v>130910</v>
      </c>
    </row>
    <row r="2625" spans="7:14" ht="11.25" customHeight="1" x14ac:dyDescent="0.25">
      <c r="G2625" s="459"/>
      <c r="H2625" s="459">
        <v>2618</v>
      </c>
      <c r="I2625" s="444">
        <f t="shared" ca="1" si="153"/>
        <v>-24628351020.552845</v>
      </c>
      <c r="J2625" s="444">
        <f t="array" ref="J2625">IFERROR(INDEX('Retirement Calculator'!J:J,MATCH('Isaac 401k'!N2625,'Retirement Calculator'!A:A,0),0),0)</f>
        <v>0</v>
      </c>
      <c r="K2625" s="444">
        <f t="shared" ca="1" si="151"/>
        <v>-102618129.25230353</v>
      </c>
      <c r="L2625" s="444">
        <f t="shared" ca="1" si="152"/>
        <v>-24730969149.805149</v>
      </c>
      <c r="M2625" s="460">
        <f t="shared" si="154"/>
        <v>0.05</v>
      </c>
      <c r="N2625" s="464">
        <f t="shared" si="155"/>
        <v>130940</v>
      </c>
    </row>
    <row r="2626" spans="7:14" ht="11.25" customHeight="1" x14ac:dyDescent="0.25">
      <c r="G2626" s="459"/>
      <c r="H2626" s="459">
        <v>2619</v>
      </c>
      <c r="I2626" s="444">
        <f t="shared" ca="1" si="153"/>
        <v>-24730969149.805149</v>
      </c>
      <c r="J2626" s="444">
        <f t="array" ref="J2626">IFERROR(INDEX('Retirement Calculator'!J:J,MATCH('Isaac 401k'!N2626,'Retirement Calculator'!A:A,0),0),0)</f>
        <v>0</v>
      </c>
      <c r="K2626" s="444">
        <f t="shared" ca="1" si="151"/>
        <v>-103045704.79085478</v>
      </c>
      <c r="L2626" s="444">
        <f t="shared" ca="1" si="152"/>
        <v>-24834014854.596004</v>
      </c>
      <c r="M2626" s="460">
        <f t="shared" si="154"/>
        <v>0.05</v>
      </c>
      <c r="N2626" s="464">
        <f t="shared" si="155"/>
        <v>130971</v>
      </c>
    </row>
    <row r="2627" spans="7:14" ht="11.25" customHeight="1" x14ac:dyDescent="0.25">
      <c r="G2627" s="459"/>
      <c r="H2627" s="459">
        <v>2620</v>
      </c>
      <c r="I2627" s="444">
        <f t="shared" ca="1" si="153"/>
        <v>-24834014854.596004</v>
      </c>
      <c r="J2627" s="444">
        <f t="array" ref="J2627">IFERROR(INDEX('Retirement Calculator'!J:J,MATCH('Isaac 401k'!N2627,'Retirement Calculator'!A:A,0),0),0)</f>
        <v>0</v>
      </c>
      <c r="K2627" s="444">
        <f t="shared" ca="1" si="151"/>
        <v>-103475061.89415002</v>
      </c>
      <c r="L2627" s="444">
        <f t="shared" ca="1" si="152"/>
        <v>-24937489916.490154</v>
      </c>
      <c r="M2627" s="460">
        <f t="shared" si="154"/>
        <v>0.05</v>
      </c>
      <c r="N2627" s="464">
        <f t="shared" si="155"/>
        <v>131002</v>
      </c>
    </row>
    <row r="2628" spans="7:14" ht="11.25" customHeight="1" x14ac:dyDescent="0.25">
      <c r="G2628" s="459"/>
      <c r="H2628" s="459">
        <v>2621</v>
      </c>
      <c r="I2628" s="444">
        <f t="shared" ca="1" si="153"/>
        <v>-24937489916.490154</v>
      </c>
      <c r="J2628" s="444">
        <f t="array" ref="J2628">IFERROR(INDEX('Retirement Calculator'!J:J,MATCH('Isaac 401k'!N2628,'Retirement Calculator'!A:A,0),0),0)</f>
        <v>0</v>
      </c>
      <c r="K2628" s="444">
        <f t="shared" ca="1" si="151"/>
        <v>-103906207.98537564</v>
      </c>
      <c r="L2628" s="444">
        <f t="shared" ca="1" si="152"/>
        <v>-25041396124.475529</v>
      </c>
      <c r="M2628" s="460">
        <f t="shared" si="154"/>
        <v>0.05</v>
      </c>
      <c r="N2628" s="464">
        <f t="shared" si="155"/>
        <v>131032</v>
      </c>
    </row>
    <row r="2629" spans="7:14" ht="11.25" customHeight="1" x14ac:dyDescent="0.25">
      <c r="G2629" s="459"/>
      <c r="H2629" s="459">
        <v>2622</v>
      </c>
      <c r="I2629" s="444">
        <f t="shared" ca="1" si="153"/>
        <v>-25041396124.475529</v>
      </c>
      <c r="J2629" s="444">
        <f t="array" ref="J2629">IFERROR(INDEX('Retirement Calculator'!J:J,MATCH('Isaac 401k'!N2629,'Retirement Calculator'!A:A,0),0),0)</f>
        <v>0</v>
      </c>
      <c r="K2629" s="444">
        <f t="shared" ca="1" si="151"/>
        <v>-104339150.51864803</v>
      </c>
      <c r="L2629" s="444">
        <f t="shared" ca="1" si="152"/>
        <v>-25145735274.994175</v>
      </c>
      <c r="M2629" s="460">
        <f t="shared" si="154"/>
        <v>0.05</v>
      </c>
      <c r="N2629" s="464">
        <f t="shared" si="155"/>
        <v>131063</v>
      </c>
    </row>
    <row r="2630" spans="7:14" ht="11.25" customHeight="1" x14ac:dyDescent="0.25">
      <c r="G2630" s="459"/>
      <c r="H2630" s="459">
        <v>2623</v>
      </c>
      <c r="I2630" s="444">
        <f t="shared" ca="1" si="153"/>
        <v>-25145735274.994175</v>
      </c>
      <c r="J2630" s="444">
        <f t="array" ref="J2630">IFERROR(INDEX('Retirement Calculator'!J:J,MATCH('Isaac 401k'!N2630,'Retirement Calculator'!A:A,0),0),0)</f>
        <v>0</v>
      </c>
      <c r="K2630" s="444">
        <f t="shared" ca="1" si="151"/>
        <v>-104773896.9791424</v>
      </c>
      <c r="L2630" s="444">
        <f t="shared" ca="1" si="152"/>
        <v>-25250509171.973316</v>
      </c>
      <c r="M2630" s="460">
        <f t="shared" si="154"/>
        <v>0.05</v>
      </c>
      <c r="N2630" s="464">
        <f t="shared" si="155"/>
        <v>131093</v>
      </c>
    </row>
    <row r="2631" spans="7:14" ht="11.25" customHeight="1" x14ac:dyDescent="0.25">
      <c r="G2631" s="459"/>
      <c r="H2631" s="459">
        <v>2624</v>
      </c>
      <c r="I2631" s="444">
        <f t="shared" ca="1" si="153"/>
        <v>-25250509171.973316</v>
      </c>
      <c r="J2631" s="444">
        <f t="array" ref="J2631">IFERROR(INDEX('Retirement Calculator'!J:J,MATCH('Isaac 401k'!N2631,'Retirement Calculator'!A:A,0),0),0)</f>
        <v>0</v>
      </c>
      <c r="K2631" s="444">
        <f t="shared" ca="1" si="151"/>
        <v>-105210454.88322215</v>
      </c>
      <c r="L2631" s="444">
        <f t="shared" ca="1" si="152"/>
        <v>-25355719626.856537</v>
      </c>
      <c r="M2631" s="460">
        <f t="shared" si="154"/>
        <v>0.05</v>
      </c>
      <c r="N2631" s="464">
        <f t="shared" si="155"/>
        <v>131124</v>
      </c>
    </row>
    <row r="2632" spans="7:14" ht="11.25" customHeight="1" x14ac:dyDescent="0.25">
      <c r="G2632" s="459"/>
      <c r="H2632" s="459">
        <v>2625</v>
      </c>
      <c r="I2632" s="444">
        <f t="shared" ca="1" si="153"/>
        <v>-25355719626.856537</v>
      </c>
      <c r="J2632" s="444">
        <f t="array" ref="J2632">IFERROR(INDEX('Retirement Calculator'!J:J,MATCH('Isaac 401k'!N2632,'Retirement Calculator'!A:A,0),0),0)</f>
        <v>0</v>
      </c>
      <c r="K2632" s="444">
        <f t="shared" ca="1" si="151"/>
        <v>-105648831.77856891</v>
      </c>
      <c r="L2632" s="444">
        <f t="shared" ca="1" si="152"/>
        <v>-25461368458.635105</v>
      </c>
      <c r="M2632" s="460">
        <f t="shared" si="154"/>
        <v>0.05</v>
      </c>
      <c r="N2632" s="464">
        <f t="shared" si="155"/>
        <v>131155</v>
      </c>
    </row>
    <row r="2633" spans="7:14" ht="11.25" customHeight="1" x14ac:dyDescent="0.25">
      <c r="G2633" s="459"/>
      <c r="H2633" s="459">
        <v>2626</v>
      </c>
      <c r="I2633" s="444">
        <f t="shared" ca="1" si="153"/>
        <v>-25461368458.635105</v>
      </c>
      <c r="J2633" s="444">
        <f t="array" ref="J2633">IFERROR(INDEX('Retirement Calculator'!J:J,MATCH('Isaac 401k'!N2633,'Retirement Calculator'!A:A,0),0),0)</f>
        <v>0</v>
      </c>
      <c r="K2633" s="444">
        <f t="shared" ca="1" si="151"/>
        <v>-106089035.24431294</v>
      </c>
      <c r="L2633" s="444">
        <f t="shared" ca="1" si="152"/>
        <v>-25567457493.879417</v>
      </c>
      <c r="M2633" s="460">
        <f t="shared" si="154"/>
        <v>0.05</v>
      </c>
      <c r="N2633" s="464">
        <f t="shared" si="155"/>
        <v>131183</v>
      </c>
    </row>
    <row r="2634" spans="7:14" ht="11.25" customHeight="1" x14ac:dyDescent="0.25">
      <c r="G2634" s="459"/>
      <c r="H2634" s="459">
        <v>2627</v>
      </c>
      <c r="I2634" s="444">
        <f t="shared" ca="1" si="153"/>
        <v>-25567457493.879417</v>
      </c>
      <c r="J2634" s="444">
        <f t="array" ref="J2634">IFERROR(INDEX('Retirement Calculator'!J:J,MATCH('Isaac 401k'!N2634,'Retirement Calculator'!A:A,0),0),0)</f>
        <v>0</v>
      </c>
      <c r="K2634" s="444">
        <f t="shared" ca="1" si="151"/>
        <v>-106531072.89116424</v>
      </c>
      <c r="L2634" s="444">
        <f t="shared" ca="1" si="152"/>
        <v>-25673988566.77058</v>
      </c>
      <c r="M2634" s="460">
        <f t="shared" si="154"/>
        <v>0.05</v>
      </c>
      <c r="N2634" s="464">
        <f t="shared" si="155"/>
        <v>131214</v>
      </c>
    </row>
    <row r="2635" spans="7:14" ht="11.25" customHeight="1" x14ac:dyDescent="0.25">
      <c r="G2635" s="459"/>
      <c r="H2635" s="459">
        <v>2628</v>
      </c>
      <c r="I2635" s="444">
        <f t="shared" ca="1" si="153"/>
        <v>-25673988566.77058</v>
      </c>
      <c r="J2635" s="444">
        <f t="array" ref="J2635">IFERROR(INDEX('Retirement Calculator'!J:J,MATCH('Isaac 401k'!N2635,'Retirement Calculator'!A:A,0),0),0)</f>
        <v>0</v>
      </c>
      <c r="K2635" s="444">
        <f t="shared" ca="1" si="151"/>
        <v>-106974952.36154409</v>
      </c>
      <c r="L2635" s="444">
        <f t="shared" ca="1" si="152"/>
        <v>-25780963519.132126</v>
      </c>
      <c r="M2635" s="460">
        <f t="shared" si="154"/>
        <v>0.05</v>
      </c>
      <c r="N2635" s="464">
        <f t="shared" si="155"/>
        <v>131244</v>
      </c>
    </row>
    <row r="2636" spans="7:14" ht="11.25" customHeight="1" x14ac:dyDescent="0.25">
      <c r="G2636" s="459"/>
      <c r="H2636" s="459">
        <v>2629</v>
      </c>
      <c r="I2636" s="444">
        <f t="shared" ca="1" si="153"/>
        <v>-25780963519.132126</v>
      </c>
      <c r="J2636" s="444">
        <f t="array" ref="J2636">IFERROR(INDEX('Retirement Calculator'!J:J,MATCH('Isaac 401k'!N2636,'Retirement Calculator'!A:A,0),0),0)</f>
        <v>0</v>
      </c>
      <c r="K2636" s="444">
        <f t="shared" ca="1" si="151"/>
        <v>-107420681.32971719</v>
      </c>
      <c r="L2636" s="444">
        <f t="shared" ca="1" si="152"/>
        <v>-25888384200.461842</v>
      </c>
      <c r="M2636" s="460">
        <f t="shared" si="154"/>
        <v>0.05</v>
      </c>
      <c r="N2636" s="464">
        <f t="shared" si="155"/>
        <v>131275</v>
      </c>
    </row>
    <row r="2637" spans="7:14" ht="11.25" customHeight="1" x14ac:dyDescent="0.25">
      <c r="G2637" s="459"/>
      <c r="H2637" s="459">
        <v>2630</v>
      </c>
      <c r="I2637" s="444">
        <f t="shared" ca="1" si="153"/>
        <v>-25888384200.461842</v>
      </c>
      <c r="J2637" s="444">
        <f t="array" ref="J2637">IFERROR(INDEX('Retirement Calculator'!J:J,MATCH('Isaac 401k'!N2637,'Retirement Calculator'!A:A,0),0),0)</f>
        <v>0</v>
      </c>
      <c r="K2637" s="444">
        <f t="shared" ca="1" si="151"/>
        <v>-107868267.50192434</v>
      </c>
      <c r="L2637" s="444">
        <f t="shared" ca="1" si="152"/>
        <v>-25996252467.963764</v>
      </c>
      <c r="M2637" s="460">
        <f t="shared" si="154"/>
        <v>0.05</v>
      </c>
      <c r="N2637" s="464">
        <f t="shared" si="155"/>
        <v>131305</v>
      </c>
    </row>
    <row r="2638" spans="7:14" ht="11.25" customHeight="1" x14ac:dyDescent="0.25">
      <c r="G2638" s="459"/>
      <c r="H2638" s="459">
        <v>2631</v>
      </c>
      <c r="I2638" s="444">
        <f t="shared" ca="1" si="153"/>
        <v>-25996252467.963764</v>
      </c>
      <c r="J2638" s="444">
        <f t="array" ref="J2638">IFERROR(INDEX('Retirement Calculator'!J:J,MATCH('Isaac 401k'!N2638,'Retirement Calculator'!A:A,0),0),0)</f>
        <v>0</v>
      </c>
      <c r="K2638" s="444">
        <f t="shared" ca="1" si="151"/>
        <v>-108317718.61651568</v>
      </c>
      <c r="L2638" s="444">
        <f t="shared" ca="1" si="152"/>
        <v>-26104570186.58028</v>
      </c>
      <c r="M2638" s="460">
        <f t="shared" si="154"/>
        <v>0.05</v>
      </c>
      <c r="N2638" s="464">
        <f t="shared" si="155"/>
        <v>131336</v>
      </c>
    </row>
    <row r="2639" spans="7:14" ht="11.25" customHeight="1" x14ac:dyDescent="0.25">
      <c r="G2639" s="459"/>
      <c r="H2639" s="459">
        <v>2632</v>
      </c>
      <c r="I2639" s="444">
        <f t="shared" ca="1" si="153"/>
        <v>-26104570186.58028</v>
      </c>
      <c r="J2639" s="444">
        <f t="array" ref="J2639">IFERROR(INDEX('Retirement Calculator'!J:J,MATCH('Isaac 401k'!N2639,'Retirement Calculator'!A:A,0),0),0)</f>
        <v>0</v>
      </c>
      <c r="K2639" s="444">
        <f t="shared" ca="1" si="151"/>
        <v>-108769042.4440845</v>
      </c>
      <c r="L2639" s="444">
        <f t="shared" ca="1" si="152"/>
        <v>-26213339229.024364</v>
      </c>
      <c r="M2639" s="460">
        <f t="shared" si="154"/>
        <v>0.05</v>
      </c>
      <c r="N2639" s="464">
        <f t="shared" si="155"/>
        <v>131367</v>
      </c>
    </row>
    <row r="2640" spans="7:14" ht="11.25" customHeight="1" x14ac:dyDescent="0.25">
      <c r="G2640" s="459"/>
      <c r="H2640" s="459">
        <v>2633</v>
      </c>
      <c r="I2640" s="444">
        <f t="shared" ca="1" si="153"/>
        <v>-26213339229.024364</v>
      </c>
      <c r="J2640" s="444">
        <f t="array" ref="J2640">IFERROR(INDEX('Retirement Calculator'!J:J,MATCH('Isaac 401k'!N2640,'Retirement Calculator'!A:A,0),0),0)</f>
        <v>0</v>
      </c>
      <c r="K2640" s="444">
        <f t="shared" ca="1" si="151"/>
        <v>-109222246.78760152</v>
      </c>
      <c r="L2640" s="444">
        <f t="shared" ca="1" si="152"/>
        <v>-26322561475.811966</v>
      </c>
      <c r="M2640" s="460">
        <f t="shared" si="154"/>
        <v>0.05</v>
      </c>
      <c r="N2640" s="464">
        <f t="shared" si="155"/>
        <v>131397</v>
      </c>
    </row>
    <row r="2641" spans="7:14" ht="11.25" customHeight="1" x14ac:dyDescent="0.25">
      <c r="G2641" s="459"/>
      <c r="H2641" s="459">
        <v>2634</v>
      </c>
      <c r="I2641" s="444">
        <f t="shared" ca="1" si="153"/>
        <v>-26322561475.811966</v>
      </c>
      <c r="J2641" s="444">
        <f t="array" ref="J2641">IFERROR(INDEX('Retirement Calculator'!J:J,MATCH('Isaac 401k'!N2641,'Retirement Calculator'!A:A,0),0),0)</f>
        <v>0</v>
      </c>
      <c r="K2641" s="444">
        <f t="shared" ca="1" si="151"/>
        <v>-109677339.48254986</v>
      </c>
      <c r="L2641" s="444">
        <f t="shared" ca="1" si="152"/>
        <v>-26432238815.294518</v>
      </c>
      <c r="M2641" s="460">
        <f t="shared" si="154"/>
        <v>0.05</v>
      </c>
      <c r="N2641" s="464">
        <f t="shared" si="155"/>
        <v>131428</v>
      </c>
    </row>
    <row r="2642" spans="7:14" ht="11.25" customHeight="1" x14ac:dyDescent="0.25">
      <c r="G2642" s="459"/>
      <c r="H2642" s="459">
        <v>2635</v>
      </c>
      <c r="I2642" s="444">
        <f t="shared" ca="1" si="153"/>
        <v>-26432238815.294518</v>
      </c>
      <c r="J2642" s="444">
        <f t="array" ref="J2642">IFERROR(INDEX('Retirement Calculator'!J:J,MATCH('Isaac 401k'!N2642,'Retirement Calculator'!A:A,0),0),0)</f>
        <v>0</v>
      </c>
      <c r="K2642" s="444">
        <f t="shared" ca="1" si="151"/>
        <v>-110134328.39706048</v>
      </c>
      <c r="L2642" s="444">
        <f t="shared" ca="1" si="152"/>
        <v>-26542373143.691578</v>
      </c>
      <c r="M2642" s="460">
        <f t="shared" si="154"/>
        <v>0.05</v>
      </c>
      <c r="N2642" s="464">
        <f t="shared" si="155"/>
        <v>131458</v>
      </c>
    </row>
    <row r="2643" spans="7:14" ht="11.25" customHeight="1" x14ac:dyDescent="0.25">
      <c r="G2643" s="459"/>
      <c r="H2643" s="459">
        <v>2636</v>
      </c>
      <c r="I2643" s="444">
        <f t="shared" ca="1" si="153"/>
        <v>-26542373143.691578</v>
      </c>
      <c r="J2643" s="444">
        <f t="array" ref="J2643">IFERROR(INDEX('Retirement Calculator'!J:J,MATCH('Isaac 401k'!N2643,'Retirement Calculator'!A:A,0),0),0)</f>
        <v>0</v>
      </c>
      <c r="K2643" s="444">
        <f t="shared" ca="1" si="151"/>
        <v>-110593221.43204825</v>
      </c>
      <c r="L2643" s="444">
        <f t="shared" ca="1" si="152"/>
        <v>-26652966365.123627</v>
      </c>
      <c r="M2643" s="460">
        <f t="shared" si="154"/>
        <v>0.05</v>
      </c>
      <c r="N2643" s="464">
        <f t="shared" si="155"/>
        <v>131489</v>
      </c>
    </row>
    <row r="2644" spans="7:14" ht="11.25" customHeight="1" x14ac:dyDescent="0.25">
      <c r="G2644" s="459"/>
      <c r="H2644" s="459">
        <v>2637</v>
      </c>
      <c r="I2644" s="444">
        <f t="shared" ca="1" si="153"/>
        <v>-26652966365.123627</v>
      </c>
      <c r="J2644" s="444">
        <f t="array" ref="J2644">IFERROR(INDEX('Retirement Calculator'!J:J,MATCH('Isaac 401k'!N2644,'Retirement Calculator'!A:A,0),0),0)</f>
        <v>0</v>
      </c>
      <c r="K2644" s="444">
        <f t="shared" ca="1" si="151"/>
        <v>-111054026.52134845</v>
      </c>
      <c r="L2644" s="444">
        <f t="shared" ca="1" si="152"/>
        <v>-26764020391.644974</v>
      </c>
      <c r="M2644" s="460">
        <f t="shared" si="154"/>
        <v>0.05</v>
      </c>
      <c r="N2644" s="464">
        <f t="shared" si="155"/>
        <v>131520</v>
      </c>
    </row>
    <row r="2645" spans="7:14" ht="11.25" customHeight="1" x14ac:dyDescent="0.25">
      <c r="G2645" s="459"/>
      <c r="H2645" s="459">
        <v>2638</v>
      </c>
      <c r="I2645" s="444">
        <f t="shared" ca="1" si="153"/>
        <v>-26764020391.644974</v>
      </c>
      <c r="J2645" s="444">
        <f t="array" ref="J2645">IFERROR(INDEX('Retirement Calculator'!J:J,MATCH('Isaac 401k'!N2645,'Retirement Calculator'!A:A,0),0),0)</f>
        <v>0</v>
      </c>
      <c r="K2645" s="444">
        <f t="shared" ca="1" si="151"/>
        <v>-111516751.63185406</v>
      </c>
      <c r="L2645" s="444">
        <f t="shared" ca="1" si="152"/>
        <v>-26875537143.276829</v>
      </c>
      <c r="M2645" s="460">
        <f t="shared" si="154"/>
        <v>0.05</v>
      </c>
      <c r="N2645" s="464">
        <f t="shared" si="155"/>
        <v>131549</v>
      </c>
    </row>
    <row r="2646" spans="7:14" ht="11.25" customHeight="1" x14ac:dyDescent="0.25">
      <c r="G2646" s="459"/>
      <c r="H2646" s="459">
        <v>2639</v>
      </c>
      <c r="I2646" s="444">
        <f t="shared" ca="1" si="153"/>
        <v>-26875537143.276829</v>
      </c>
      <c r="J2646" s="444">
        <f t="array" ref="J2646">IFERROR(INDEX('Retirement Calculator'!J:J,MATCH('Isaac 401k'!N2646,'Retirement Calculator'!A:A,0),0),0)</f>
        <v>0</v>
      </c>
      <c r="K2646" s="444">
        <f t="shared" ca="1" si="151"/>
        <v>-111981404.76365346</v>
      </c>
      <c r="L2646" s="444">
        <f t="shared" ca="1" si="152"/>
        <v>-26987518548.040482</v>
      </c>
      <c r="M2646" s="460">
        <f t="shared" si="154"/>
        <v>0.05</v>
      </c>
      <c r="N2646" s="464">
        <f t="shared" si="155"/>
        <v>131580</v>
      </c>
    </row>
    <row r="2647" spans="7:14" ht="11.25" customHeight="1" x14ac:dyDescent="0.25">
      <c r="G2647" s="459"/>
      <c r="H2647" s="459">
        <v>2640</v>
      </c>
      <c r="I2647" s="444">
        <f t="shared" ca="1" si="153"/>
        <v>-26987518548.040482</v>
      </c>
      <c r="J2647" s="444">
        <f t="array" ref="J2647">IFERROR(INDEX('Retirement Calculator'!J:J,MATCH('Isaac 401k'!N2647,'Retirement Calculator'!A:A,0),0),0)</f>
        <v>0</v>
      </c>
      <c r="K2647" s="444">
        <f t="shared" ca="1" si="151"/>
        <v>-112447993.95016867</v>
      </c>
      <c r="L2647" s="444">
        <f t="shared" ca="1" si="152"/>
        <v>-27099966541.99065</v>
      </c>
      <c r="M2647" s="460">
        <f t="shared" si="154"/>
        <v>0.05</v>
      </c>
      <c r="N2647" s="464">
        <f t="shared" si="155"/>
        <v>131610</v>
      </c>
    </row>
    <row r="2648" spans="7:14" ht="11.25" customHeight="1" x14ac:dyDescent="0.25">
      <c r="G2648" s="459"/>
      <c r="H2648" s="459">
        <v>2641</v>
      </c>
      <c r="I2648" s="444">
        <f t="shared" ca="1" si="153"/>
        <v>-27099966541.99065</v>
      </c>
      <c r="J2648" s="444">
        <f t="array" ref="J2648">IFERROR(INDEX('Retirement Calculator'!J:J,MATCH('Isaac 401k'!N2648,'Retirement Calculator'!A:A,0),0),0)</f>
        <v>0</v>
      </c>
      <c r="K2648" s="444">
        <f t="shared" ca="1" si="151"/>
        <v>-112916527.25829437</v>
      </c>
      <c r="L2648" s="444">
        <f t="shared" ca="1" si="152"/>
        <v>-27212883069.248943</v>
      </c>
      <c r="M2648" s="460">
        <f t="shared" si="154"/>
        <v>0.05</v>
      </c>
      <c r="N2648" s="464">
        <f t="shared" si="155"/>
        <v>131641</v>
      </c>
    </row>
    <row r="2649" spans="7:14" ht="11.25" customHeight="1" x14ac:dyDescent="0.25">
      <c r="G2649" s="459"/>
      <c r="H2649" s="459">
        <v>2642</v>
      </c>
      <c r="I2649" s="444">
        <f t="shared" ca="1" si="153"/>
        <v>-27212883069.248943</v>
      </c>
      <c r="J2649" s="444">
        <f t="array" ref="J2649">IFERROR(INDEX('Retirement Calculator'!J:J,MATCH('Isaac 401k'!N2649,'Retirement Calculator'!A:A,0),0),0)</f>
        <v>0</v>
      </c>
      <c r="K2649" s="444">
        <f t="shared" ca="1" si="151"/>
        <v>-113387012.78853726</v>
      </c>
      <c r="L2649" s="444">
        <f t="shared" ca="1" si="152"/>
        <v>-27326270082.037479</v>
      </c>
      <c r="M2649" s="460">
        <f t="shared" si="154"/>
        <v>0.05</v>
      </c>
      <c r="N2649" s="464">
        <f t="shared" si="155"/>
        <v>131671</v>
      </c>
    </row>
    <row r="2650" spans="7:14" ht="11.25" customHeight="1" x14ac:dyDescent="0.25">
      <c r="G2650" s="459"/>
      <c r="H2650" s="459">
        <v>2643</v>
      </c>
      <c r="I2650" s="444">
        <f t="shared" ca="1" si="153"/>
        <v>-27326270082.037479</v>
      </c>
      <c r="J2650" s="444">
        <f t="array" ref="J2650">IFERROR(INDEX('Retirement Calculator'!J:J,MATCH('Isaac 401k'!N2650,'Retirement Calculator'!A:A,0),0),0)</f>
        <v>0</v>
      </c>
      <c r="K2650" s="444">
        <f t="shared" ca="1" si="151"/>
        <v>-113859458.67515616</v>
      </c>
      <c r="L2650" s="444">
        <f t="shared" ca="1" si="152"/>
        <v>-27440129540.712635</v>
      </c>
      <c r="M2650" s="460">
        <f t="shared" si="154"/>
        <v>0.05</v>
      </c>
      <c r="N2650" s="464">
        <f t="shared" si="155"/>
        <v>131702</v>
      </c>
    </row>
    <row r="2651" spans="7:14" ht="11.25" customHeight="1" x14ac:dyDescent="0.25">
      <c r="G2651" s="459"/>
      <c r="H2651" s="459">
        <v>2644</v>
      </c>
      <c r="I2651" s="444">
        <f t="shared" ca="1" si="153"/>
        <v>-27440129540.712635</v>
      </c>
      <c r="J2651" s="444">
        <f t="array" ref="J2651">IFERROR(INDEX('Retirement Calculator'!J:J,MATCH('Isaac 401k'!N2651,'Retirement Calculator'!A:A,0),0),0)</f>
        <v>0</v>
      </c>
      <c r="K2651" s="444">
        <f t="shared" ca="1" si="151"/>
        <v>-114333873.08630264</v>
      </c>
      <c r="L2651" s="444">
        <f t="shared" ca="1" si="152"/>
        <v>-27554463413.798939</v>
      </c>
      <c r="M2651" s="460">
        <f t="shared" si="154"/>
        <v>0.05</v>
      </c>
      <c r="N2651" s="464">
        <f t="shared" si="155"/>
        <v>131733</v>
      </c>
    </row>
    <row r="2652" spans="7:14" ht="11.25" customHeight="1" x14ac:dyDescent="0.25">
      <c r="G2652" s="459"/>
      <c r="H2652" s="459">
        <v>2645</v>
      </c>
      <c r="I2652" s="444">
        <f t="shared" ca="1" si="153"/>
        <v>-27554463413.798939</v>
      </c>
      <c r="J2652" s="444">
        <f t="array" ref="J2652">IFERROR(INDEX('Retirement Calculator'!J:J,MATCH('Isaac 401k'!N2652,'Retirement Calculator'!A:A,0),0),0)</f>
        <v>0</v>
      </c>
      <c r="K2652" s="444">
        <f t="shared" ca="1" si="151"/>
        <v>-114810264.22416227</v>
      </c>
      <c r="L2652" s="444">
        <f t="shared" ca="1" si="152"/>
        <v>-27669273678.023102</v>
      </c>
      <c r="M2652" s="460">
        <f t="shared" si="154"/>
        <v>0.05</v>
      </c>
      <c r="N2652" s="464">
        <f t="shared" si="155"/>
        <v>131763</v>
      </c>
    </row>
    <row r="2653" spans="7:14" ht="11.25" customHeight="1" x14ac:dyDescent="0.25">
      <c r="G2653" s="459"/>
      <c r="H2653" s="459">
        <v>2646</v>
      </c>
      <c r="I2653" s="444">
        <f t="shared" ca="1" si="153"/>
        <v>-27669273678.023102</v>
      </c>
      <c r="J2653" s="444">
        <f t="array" ref="J2653">IFERROR(INDEX('Retirement Calculator'!J:J,MATCH('Isaac 401k'!N2653,'Retirement Calculator'!A:A,0),0),0)</f>
        <v>0</v>
      </c>
      <c r="K2653" s="444">
        <f t="shared" ca="1" si="151"/>
        <v>-115288640.32509623</v>
      </c>
      <c r="L2653" s="444">
        <f t="shared" ca="1" si="152"/>
        <v>-27784562318.348198</v>
      </c>
      <c r="M2653" s="460">
        <f t="shared" si="154"/>
        <v>0.05</v>
      </c>
      <c r="N2653" s="464">
        <f t="shared" si="155"/>
        <v>131794</v>
      </c>
    </row>
    <row r="2654" spans="7:14" ht="11.25" customHeight="1" x14ac:dyDescent="0.25">
      <c r="G2654" s="459"/>
      <c r="H2654" s="459">
        <v>2647</v>
      </c>
      <c r="I2654" s="444">
        <f t="shared" ca="1" si="153"/>
        <v>-27784562318.348198</v>
      </c>
      <c r="J2654" s="444">
        <f t="array" ref="J2654">IFERROR(INDEX('Retirement Calculator'!J:J,MATCH('Isaac 401k'!N2654,'Retirement Calculator'!A:A,0),0),0)</f>
        <v>0</v>
      </c>
      <c r="K2654" s="444">
        <f t="shared" ca="1" si="151"/>
        <v>-115769009.65978414</v>
      </c>
      <c r="L2654" s="444">
        <f t="shared" ca="1" si="152"/>
        <v>-27900331328.00798</v>
      </c>
      <c r="M2654" s="460">
        <f t="shared" si="154"/>
        <v>0.05</v>
      </c>
      <c r="N2654" s="464">
        <f t="shared" si="155"/>
        <v>131824</v>
      </c>
    </row>
    <row r="2655" spans="7:14" ht="11.25" customHeight="1" x14ac:dyDescent="0.25">
      <c r="G2655" s="459"/>
      <c r="H2655" s="459">
        <v>2648</v>
      </c>
      <c r="I2655" s="444">
        <f t="shared" ca="1" si="153"/>
        <v>-27900331328.00798</v>
      </c>
      <c r="J2655" s="444">
        <f t="array" ref="J2655">IFERROR(INDEX('Retirement Calculator'!J:J,MATCH('Isaac 401k'!N2655,'Retirement Calculator'!A:A,0),0),0)</f>
        <v>0</v>
      </c>
      <c r="K2655" s="444">
        <f t="shared" ca="1" si="151"/>
        <v>-116251380.53336658</v>
      </c>
      <c r="L2655" s="444">
        <f t="shared" ca="1" si="152"/>
        <v>-28016582708.541348</v>
      </c>
      <c r="M2655" s="460">
        <f t="shared" si="154"/>
        <v>0.05</v>
      </c>
      <c r="N2655" s="464">
        <f t="shared" si="155"/>
        <v>131855</v>
      </c>
    </row>
    <row r="2656" spans="7:14" ht="11.25" customHeight="1" x14ac:dyDescent="0.25">
      <c r="G2656" s="459"/>
      <c r="H2656" s="459">
        <v>2649</v>
      </c>
      <c r="I2656" s="444">
        <f t="shared" ca="1" si="153"/>
        <v>-28016582708.541348</v>
      </c>
      <c r="J2656" s="444">
        <f t="array" ref="J2656">IFERROR(INDEX('Retirement Calculator'!J:J,MATCH('Isaac 401k'!N2656,'Retirement Calculator'!A:A,0),0),0)</f>
        <v>0</v>
      </c>
      <c r="K2656" s="444">
        <f t="shared" ca="1" si="151"/>
        <v>-116735761.28558894</v>
      </c>
      <c r="L2656" s="444">
        <f t="shared" ca="1" si="152"/>
        <v>-28133318469.826935</v>
      </c>
      <c r="M2656" s="460">
        <f t="shared" si="154"/>
        <v>0.05</v>
      </c>
      <c r="N2656" s="464">
        <f t="shared" si="155"/>
        <v>131886</v>
      </c>
    </row>
    <row r="2657" spans="7:14" ht="11.25" customHeight="1" x14ac:dyDescent="0.25">
      <c r="G2657" s="459"/>
      <c r="H2657" s="459">
        <v>2650</v>
      </c>
      <c r="I2657" s="444">
        <f t="shared" ca="1" si="153"/>
        <v>-28133318469.826935</v>
      </c>
      <c r="J2657" s="444">
        <f t="array" ref="J2657">IFERROR(INDEX('Retirement Calculator'!J:J,MATCH('Isaac 401k'!N2657,'Retirement Calculator'!A:A,0),0),0)</f>
        <v>0</v>
      </c>
      <c r="K2657" s="444">
        <f t="shared" ca="1" si="151"/>
        <v>-117222160.29094556</v>
      </c>
      <c r="L2657" s="444">
        <f t="shared" ca="1" si="152"/>
        <v>-28250540630.117882</v>
      </c>
      <c r="M2657" s="460">
        <f t="shared" si="154"/>
        <v>0.05</v>
      </c>
      <c r="N2657" s="464">
        <f t="shared" si="155"/>
        <v>131914</v>
      </c>
    </row>
    <row r="2658" spans="7:14" ht="11.25" customHeight="1" x14ac:dyDescent="0.25">
      <c r="G2658" s="459"/>
      <c r="H2658" s="459">
        <v>2651</v>
      </c>
      <c r="I2658" s="444">
        <f t="shared" ca="1" si="153"/>
        <v>-28250540630.117882</v>
      </c>
      <c r="J2658" s="444">
        <f t="array" ref="J2658">IFERROR(INDEX('Retirement Calculator'!J:J,MATCH('Isaac 401k'!N2658,'Retirement Calculator'!A:A,0),0),0)</f>
        <v>0</v>
      </c>
      <c r="K2658" s="444">
        <f t="shared" ca="1" si="151"/>
        <v>-117710585.95882449</v>
      </c>
      <c r="L2658" s="444">
        <f t="shared" ca="1" si="152"/>
        <v>-28368251216.076706</v>
      </c>
      <c r="M2658" s="460">
        <f t="shared" si="154"/>
        <v>0.05</v>
      </c>
      <c r="N2658" s="464">
        <f t="shared" si="155"/>
        <v>131945</v>
      </c>
    </row>
    <row r="2659" spans="7:14" ht="11.25" customHeight="1" x14ac:dyDescent="0.25">
      <c r="G2659" s="459"/>
      <c r="H2659" s="459">
        <v>2652</v>
      </c>
      <c r="I2659" s="444">
        <f t="shared" ca="1" si="153"/>
        <v>-28368251216.076706</v>
      </c>
      <c r="J2659" s="444">
        <f t="array" ref="J2659">IFERROR(INDEX('Retirement Calculator'!J:J,MATCH('Isaac 401k'!N2659,'Retirement Calculator'!A:A,0),0),0)</f>
        <v>0</v>
      </c>
      <c r="K2659" s="444">
        <f t="shared" ca="1" si="151"/>
        <v>-118201046.73365293</v>
      </c>
      <c r="L2659" s="444">
        <f t="shared" ca="1" si="152"/>
        <v>-28486452262.81036</v>
      </c>
      <c r="M2659" s="460">
        <f t="shared" si="154"/>
        <v>0.05</v>
      </c>
      <c r="N2659" s="464">
        <f t="shared" si="155"/>
        <v>131975</v>
      </c>
    </row>
    <row r="2660" spans="7:14" ht="11.25" customHeight="1" x14ac:dyDescent="0.25">
      <c r="G2660" s="459"/>
      <c r="H2660" s="459">
        <v>2653</v>
      </c>
      <c r="I2660" s="444">
        <f t="shared" ca="1" si="153"/>
        <v>-28486452262.81036</v>
      </c>
      <c r="J2660" s="444">
        <f t="array" ref="J2660">IFERROR(INDEX('Retirement Calculator'!J:J,MATCH('Isaac 401k'!N2660,'Retirement Calculator'!A:A,0),0),0)</f>
        <v>0</v>
      </c>
      <c r="K2660" s="444">
        <f t="shared" ca="1" si="151"/>
        <v>-118693551.09504317</v>
      </c>
      <c r="L2660" s="444">
        <f t="shared" ca="1" si="152"/>
        <v>-28605145813.905403</v>
      </c>
      <c r="M2660" s="460">
        <f t="shared" si="154"/>
        <v>0.05</v>
      </c>
      <c r="N2660" s="464">
        <f t="shared" si="155"/>
        <v>132006</v>
      </c>
    </row>
    <row r="2661" spans="7:14" ht="11.25" customHeight="1" x14ac:dyDescent="0.25">
      <c r="G2661" s="459"/>
      <c r="H2661" s="459">
        <v>2654</v>
      </c>
      <c r="I2661" s="444">
        <f t="shared" ca="1" si="153"/>
        <v>-28605145813.905403</v>
      </c>
      <c r="J2661" s="444">
        <f t="array" ref="J2661">IFERROR(INDEX('Retirement Calculator'!J:J,MATCH('Isaac 401k'!N2661,'Retirement Calculator'!A:A,0),0),0)</f>
        <v>0</v>
      </c>
      <c r="K2661" s="444">
        <f t="shared" ca="1" si="151"/>
        <v>-119188107.55793917</v>
      </c>
      <c r="L2661" s="444">
        <f t="shared" ca="1" si="152"/>
        <v>-28724333921.463341</v>
      </c>
      <c r="M2661" s="460">
        <f t="shared" si="154"/>
        <v>0.05</v>
      </c>
      <c r="N2661" s="464">
        <f t="shared" si="155"/>
        <v>132036</v>
      </c>
    </row>
    <row r="2662" spans="7:14" ht="11.25" customHeight="1" x14ac:dyDescent="0.25">
      <c r="G2662" s="459"/>
      <c r="H2662" s="459">
        <v>2655</v>
      </c>
      <c r="I2662" s="444">
        <f t="shared" ca="1" si="153"/>
        <v>-28724333921.463341</v>
      </c>
      <c r="J2662" s="444">
        <f t="array" ref="J2662">IFERROR(INDEX('Retirement Calculator'!J:J,MATCH('Isaac 401k'!N2662,'Retirement Calculator'!A:A,0),0),0)</f>
        <v>0</v>
      </c>
      <c r="K2662" s="444">
        <f t="shared" ca="1" si="151"/>
        <v>-119684724.67276391</v>
      </c>
      <c r="L2662" s="444">
        <f t="shared" ca="1" si="152"/>
        <v>-28844018646.136105</v>
      </c>
      <c r="M2662" s="460">
        <f t="shared" si="154"/>
        <v>0.05</v>
      </c>
      <c r="N2662" s="464">
        <f t="shared" si="155"/>
        <v>132067</v>
      </c>
    </row>
    <row r="2663" spans="7:14" ht="11.25" customHeight="1" x14ac:dyDescent="0.25">
      <c r="G2663" s="459"/>
      <c r="H2663" s="459">
        <v>2656</v>
      </c>
      <c r="I2663" s="444">
        <f t="shared" ca="1" si="153"/>
        <v>-28844018646.136105</v>
      </c>
      <c r="J2663" s="444">
        <f t="array" ref="J2663">IFERROR(INDEX('Retirement Calculator'!J:J,MATCH('Isaac 401k'!N2663,'Retirement Calculator'!A:A,0),0),0)</f>
        <v>0</v>
      </c>
      <c r="K2663" s="444">
        <f t="shared" ca="1" si="151"/>
        <v>-120183411.0255671</v>
      </c>
      <c r="L2663" s="444">
        <f t="shared" ca="1" si="152"/>
        <v>-28964202057.161671</v>
      </c>
      <c r="M2663" s="460">
        <f t="shared" si="154"/>
        <v>0.05</v>
      </c>
      <c r="N2663" s="464">
        <f t="shared" si="155"/>
        <v>132098</v>
      </c>
    </row>
    <row r="2664" spans="7:14" ht="11.25" customHeight="1" x14ac:dyDescent="0.25">
      <c r="G2664" s="459"/>
      <c r="H2664" s="459">
        <v>2657</v>
      </c>
      <c r="I2664" s="444">
        <f t="shared" ca="1" si="153"/>
        <v>-28964202057.161671</v>
      </c>
      <c r="J2664" s="444">
        <f t="array" ref="J2664">IFERROR(INDEX('Retirement Calculator'!J:J,MATCH('Isaac 401k'!N2664,'Retirement Calculator'!A:A,0),0),0)</f>
        <v>0</v>
      </c>
      <c r="K2664" s="444">
        <f t="shared" ca="1" si="151"/>
        <v>-120684175.23817365</v>
      </c>
      <c r="L2664" s="444">
        <f t="shared" ca="1" si="152"/>
        <v>-29084886232.399845</v>
      </c>
      <c r="M2664" s="460">
        <f t="shared" si="154"/>
        <v>0.05</v>
      </c>
      <c r="N2664" s="464">
        <f t="shared" si="155"/>
        <v>132128</v>
      </c>
    </row>
    <row r="2665" spans="7:14" ht="11.25" customHeight="1" x14ac:dyDescent="0.25">
      <c r="G2665" s="459"/>
      <c r="H2665" s="459">
        <v>2658</v>
      </c>
      <c r="I2665" s="444">
        <f t="shared" ca="1" si="153"/>
        <v>-29084886232.399845</v>
      </c>
      <c r="J2665" s="444">
        <f t="array" ref="J2665">IFERROR(INDEX('Retirement Calculator'!J:J,MATCH('Isaac 401k'!N2665,'Retirement Calculator'!A:A,0),0),0)</f>
        <v>0</v>
      </c>
      <c r="K2665" s="444">
        <f t="shared" ca="1" si="151"/>
        <v>-121187025.96833266</v>
      </c>
      <c r="L2665" s="444">
        <f t="shared" ca="1" si="152"/>
        <v>-29206073258.368179</v>
      </c>
      <c r="M2665" s="460">
        <f t="shared" si="154"/>
        <v>0.05</v>
      </c>
      <c r="N2665" s="464">
        <f t="shared" si="155"/>
        <v>132159</v>
      </c>
    </row>
    <row r="2666" spans="7:14" ht="11.25" customHeight="1" x14ac:dyDescent="0.25">
      <c r="G2666" s="459"/>
      <c r="H2666" s="459">
        <v>2659</v>
      </c>
      <c r="I2666" s="444">
        <f t="shared" ca="1" si="153"/>
        <v>-29206073258.368179</v>
      </c>
      <c r="J2666" s="444">
        <f t="array" ref="J2666">IFERROR(INDEX('Retirement Calculator'!J:J,MATCH('Isaac 401k'!N2666,'Retirement Calculator'!A:A,0),0),0)</f>
        <v>0</v>
      </c>
      <c r="K2666" s="444">
        <f t="shared" ca="1" si="151"/>
        <v>-121691971.90986739</v>
      </c>
      <c r="L2666" s="444">
        <f t="shared" ca="1" si="152"/>
        <v>-29327765230.278046</v>
      </c>
      <c r="M2666" s="460">
        <f t="shared" si="154"/>
        <v>0.05</v>
      </c>
      <c r="N2666" s="464">
        <f t="shared" si="155"/>
        <v>132189</v>
      </c>
    </row>
    <row r="2667" spans="7:14" ht="11.25" customHeight="1" x14ac:dyDescent="0.25">
      <c r="G2667" s="459"/>
      <c r="H2667" s="459">
        <v>2660</v>
      </c>
      <c r="I2667" s="444">
        <f t="shared" ca="1" si="153"/>
        <v>-29327765230.278046</v>
      </c>
      <c r="J2667" s="444">
        <f t="array" ref="J2667">IFERROR(INDEX('Retirement Calculator'!J:J,MATCH('Isaac 401k'!N2667,'Retirement Calculator'!A:A,0),0),0)</f>
        <v>0</v>
      </c>
      <c r="K2667" s="444">
        <f t="shared" ca="1" si="151"/>
        <v>-122199021.79282518</v>
      </c>
      <c r="L2667" s="444">
        <f t="shared" ca="1" si="152"/>
        <v>-29449964252.070869</v>
      </c>
      <c r="M2667" s="460">
        <f t="shared" si="154"/>
        <v>0.05</v>
      </c>
      <c r="N2667" s="464">
        <f t="shared" si="155"/>
        <v>132220</v>
      </c>
    </row>
    <row r="2668" spans="7:14" ht="11.25" customHeight="1" x14ac:dyDescent="0.25">
      <c r="G2668" s="459"/>
      <c r="H2668" s="459">
        <v>2661</v>
      </c>
      <c r="I2668" s="444">
        <f t="shared" ca="1" si="153"/>
        <v>-29449964252.070869</v>
      </c>
      <c r="J2668" s="444">
        <f t="array" ref="J2668">IFERROR(INDEX('Retirement Calculator'!J:J,MATCH('Isaac 401k'!N2668,'Retirement Calculator'!A:A,0),0),0)</f>
        <v>0</v>
      </c>
      <c r="K2668" s="444">
        <f t="shared" ca="1" si="151"/>
        <v>-122708184.38362862</v>
      </c>
      <c r="L2668" s="444">
        <f t="shared" ca="1" si="152"/>
        <v>-29572672436.454498</v>
      </c>
      <c r="M2668" s="460">
        <f t="shared" si="154"/>
        <v>0.05</v>
      </c>
      <c r="N2668" s="464">
        <f t="shared" si="155"/>
        <v>132251</v>
      </c>
    </row>
    <row r="2669" spans="7:14" ht="11.25" customHeight="1" x14ac:dyDescent="0.25">
      <c r="G2669" s="459"/>
      <c r="H2669" s="459">
        <v>2662</v>
      </c>
      <c r="I2669" s="444">
        <f t="shared" ca="1" si="153"/>
        <v>-29572672436.454498</v>
      </c>
      <c r="J2669" s="444">
        <f t="array" ref="J2669">IFERROR(INDEX('Retirement Calculator'!J:J,MATCH('Isaac 401k'!N2669,'Retirement Calculator'!A:A,0),0),0)</f>
        <v>0</v>
      </c>
      <c r="K2669" s="444">
        <f t="shared" ca="1" si="151"/>
        <v>-123219468.48522708</v>
      </c>
      <c r="L2669" s="444">
        <f t="shared" ca="1" si="152"/>
        <v>-29695891904.939724</v>
      </c>
      <c r="M2669" s="460">
        <f t="shared" si="154"/>
        <v>0.05</v>
      </c>
      <c r="N2669" s="464">
        <f t="shared" si="155"/>
        <v>132279</v>
      </c>
    </row>
    <row r="2670" spans="7:14" ht="11.25" customHeight="1" x14ac:dyDescent="0.25">
      <c r="G2670" s="459"/>
      <c r="H2670" s="459">
        <v>2663</v>
      </c>
      <c r="I2670" s="444">
        <f t="shared" ca="1" si="153"/>
        <v>-29695891904.939724</v>
      </c>
      <c r="J2670" s="444">
        <f t="array" ref="J2670">IFERROR(INDEX('Retirement Calculator'!J:J,MATCH('Isaac 401k'!N2670,'Retirement Calculator'!A:A,0),0),0)</f>
        <v>0</v>
      </c>
      <c r="K2670" s="444">
        <f t="shared" ca="1" si="151"/>
        <v>-123732882.93724884</v>
      </c>
      <c r="L2670" s="444">
        <f t="shared" ca="1" si="152"/>
        <v>-29819624787.876972</v>
      </c>
      <c r="M2670" s="460">
        <f t="shared" si="154"/>
        <v>0.05</v>
      </c>
      <c r="N2670" s="464">
        <f t="shared" si="155"/>
        <v>132310</v>
      </c>
    </row>
    <row r="2671" spans="7:14" ht="11.25" customHeight="1" x14ac:dyDescent="0.25">
      <c r="G2671" s="459"/>
      <c r="H2671" s="459">
        <v>2664</v>
      </c>
      <c r="I2671" s="444">
        <f t="shared" ca="1" si="153"/>
        <v>-29819624787.876972</v>
      </c>
      <c r="J2671" s="444">
        <f t="array" ref="J2671">IFERROR(INDEX('Retirement Calculator'!J:J,MATCH('Isaac 401k'!N2671,'Retirement Calculator'!A:A,0),0),0)</f>
        <v>0</v>
      </c>
      <c r="K2671" s="444">
        <f t="shared" ca="1" si="151"/>
        <v>-124248436.61615404</v>
      </c>
      <c r="L2671" s="444">
        <f t="shared" ca="1" si="152"/>
        <v>-29943873224.493126</v>
      </c>
      <c r="M2671" s="460">
        <f t="shared" si="154"/>
        <v>0.05</v>
      </c>
      <c r="N2671" s="464">
        <f t="shared" si="155"/>
        <v>132340</v>
      </c>
    </row>
    <row r="2672" spans="7:14" ht="11.25" customHeight="1" x14ac:dyDescent="0.25">
      <c r="G2672" s="459"/>
      <c r="H2672" s="459">
        <v>2665</v>
      </c>
      <c r="I2672" s="444">
        <f t="shared" ca="1" si="153"/>
        <v>-29943873224.493126</v>
      </c>
      <c r="J2672" s="444">
        <f t="array" ref="J2672">IFERROR(INDEX('Retirement Calculator'!J:J,MATCH('Isaac 401k'!N2672,'Retirement Calculator'!A:A,0),0),0)</f>
        <v>0</v>
      </c>
      <c r="K2672" s="444">
        <f t="shared" ca="1" si="151"/>
        <v>-124766138.43538803</v>
      </c>
      <c r="L2672" s="444">
        <f t="shared" ca="1" si="152"/>
        <v>-30068639362.928513</v>
      </c>
      <c r="M2672" s="460">
        <f t="shared" si="154"/>
        <v>0.05</v>
      </c>
      <c r="N2672" s="464">
        <f t="shared" si="155"/>
        <v>132371</v>
      </c>
    </row>
    <row r="2673" spans="7:14" ht="11.25" customHeight="1" x14ac:dyDescent="0.25">
      <c r="G2673" s="459"/>
      <c r="H2673" s="459">
        <v>2666</v>
      </c>
      <c r="I2673" s="444">
        <f t="shared" ca="1" si="153"/>
        <v>-30068639362.928513</v>
      </c>
      <c r="J2673" s="444">
        <f t="array" ref="J2673">IFERROR(INDEX('Retirement Calculator'!J:J,MATCH('Isaac 401k'!N2673,'Retirement Calculator'!A:A,0),0),0)</f>
        <v>0</v>
      </c>
      <c r="K2673" s="444">
        <f t="shared" ca="1" si="151"/>
        <v>-125285997.34553547</v>
      </c>
      <c r="L2673" s="444">
        <f t="shared" ca="1" si="152"/>
        <v>-30193925360.274048</v>
      </c>
      <c r="M2673" s="460">
        <f t="shared" si="154"/>
        <v>0.05</v>
      </c>
      <c r="N2673" s="464">
        <f t="shared" si="155"/>
        <v>132401</v>
      </c>
    </row>
    <row r="2674" spans="7:14" ht="11.25" customHeight="1" x14ac:dyDescent="0.25">
      <c r="G2674" s="459"/>
      <c r="H2674" s="459">
        <v>2667</v>
      </c>
      <c r="I2674" s="444">
        <f t="shared" ca="1" si="153"/>
        <v>-30193925360.274048</v>
      </c>
      <c r="J2674" s="444">
        <f t="array" ref="J2674">IFERROR(INDEX('Retirement Calculator'!J:J,MATCH('Isaac 401k'!N2674,'Retirement Calculator'!A:A,0),0),0)</f>
        <v>0</v>
      </c>
      <c r="K2674" s="444">
        <f t="shared" ca="1" si="151"/>
        <v>-125808022.3344752</v>
      </c>
      <c r="L2674" s="444">
        <f t="shared" ca="1" si="152"/>
        <v>-30319733382.608524</v>
      </c>
      <c r="M2674" s="460">
        <f t="shared" si="154"/>
        <v>0.05</v>
      </c>
      <c r="N2674" s="464">
        <f t="shared" si="155"/>
        <v>132432</v>
      </c>
    </row>
    <row r="2675" spans="7:14" ht="11.25" customHeight="1" x14ac:dyDescent="0.25">
      <c r="G2675" s="459"/>
      <c r="H2675" s="459">
        <v>2668</v>
      </c>
      <c r="I2675" s="444">
        <f t="shared" ca="1" si="153"/>
        <v>-30319733382.608524</v>
      </c>
      <c r="J2675" s="444">
        <f t="array" ref="J2675">IFERROR(INDEX('Retirement Calculator'!J:J,MATCH('Isaac 401k'!N2675,'Retirement Calculator'!A:A,0),0),0)</f>
        <v>0</v>
      </c>
      <c r="K2675" s="444">
        <f t="shared" ca="1" si="151"/>
        <v>-126332222.4275355</v>
      </c>
      <c r="L2675" s="444">
        <f t="shared" ca="1" si="152"/>
        <v>-30446065605.03606</v>
      </c>
      <c r="M2675" s="460">
        <f t="shared" si="154"/>
        <v>0.05</v>
      </c>
      <c r="N2675" s="464">
        <f t="shared" si="155"/>
        <v>132463</v>
      </c>
    </row>
    <row r="2676" spans="7:14" ht="11.25" customHeight="1" x14ac:dyDescent="0.25">
      <c r="G2676" s="459"/>
      <c r="H2676" s="459">
        <v>2669</v>
      </c>
      <c r="I2676" s="444">
        <f t="shared" ca="1" si="153"/>
        <v>-30446065605.03606</v>
      </c>
      <c r="J2676" s="444">
        <f t="array" ref="J2676">IFERROR(INDEX('Retirement Calculator'!J:J,MATCH('Isaac 401k'!N2676,'Retirement Calculator'!A:A,0),0),0)</f>
        <v>0</v>
      </c>
      <c r="K2676" s="444">
        <f t="shared" ca="1" si="151"/>
        <v>-126858606.68765026</v>
      </c>
      <c r="L2676" s="444">
        <f t="shared" ca="1" si="152"/>
        <v>-30572924211.723709</v>
      </c>
      <c r="M2676" s="460">
        <f t="shared" si="154"/>
        <v>0.05</v>
      </c>
      <c r="N2676" s="464">
        <f t="shared" si="155"/>
        <v>132493</v>
      </c>
    </row>
    <row r="2677" spans="7:14" ht="11.25" customHeight="1" x14ac:dyDescent="0.25">
      <c r="G2677" s="459"/>
      <c r="H2677" s="459">
        <v>2670</v>
      </c>
      <c r="I2677" s="444">
        <f t="shared" ca="1" si="153"/>
        <v>-30572924211.723709</v>
      </c>
      <c r="J2677" s="444">
        <f t="array" ref="J2677">IFERROR(INDEX('Retirement Calculator'!J:J,MATCH('Isaac 401k'!N2677,'Retirement Calculator'!A:A,0),0),0)</f>
        <v>0</v>
      </c>
      <c r="K2677" s="444">
        <f t="shared" ca="1" si="151"/>
        <v>-127387184.21551543</v>
      </c>
      <c r="L2677" s="444">
        <f t="shared" ca="1" si="152"/>
        <v>-30700311395.939224</v>
      </c>
      <c r="M2677" s="460">
        <f t="shared" si="154"/>
        <v>0.05</v>
      </c>
      <c r="N2677" s="464">
        <f t="shared" si="155"/>
        <v>132524</v>
      </c>
    </row>
    <row r="2678" spans="7:14" ht="11.25" customHeight="1" x14ac:dyDescent="0.25">
      <c r="G2678" s="459"/>
      <c r="H2678" s="459">
        <v>2671</v>
      </c>
      <c r="I2678" s="444">
        <f t="shared" ca="1" si="153"/>
        <v>-30700311395.939224</v>
      </c>
      <c r="J2678" s="444">
        <f t="array" ref="J2678">IFERROR(INDEX('Retirement Calculator'!J:J,MATCH('Isaac 401k'!N2678,'Retirement Calculator'!A:A,0),0),0)</f>
        <v>0</v>
      </c>
      <c r="K2678" s="444">
        <f t="shared" ca="1" si="151"/>
        <v>-127917964.14974678</v>
      </c>
      <c r="L2678" s="444">
        <f t="shared" ca="1" si="152"/>
        <v>-30828229360.08897</v>
      </c>
      <c r="M2678" s="460">
        <f t="shared" si="154"/>
        <v>0.05</v>
      </c>
      <c r="N2678" s="464">
        <f t="shared" si="155"/>
        <v>132554</v>
      </c>
    </row>
    <row r="2679" spans="7:14" ht="11.25" customHeight="1" x14ac:dyDescent="0.25">
      <c r="G2679" s="459"/>
      <c r="H2679" s="459">
        <v>2672</v>
      </c>
      <c r="I2679" s="444">
        <f t="shared" ca="1" si="153"/>
        <v>-30828229360.08897</v>
      </c>
      <c r="J2679" s="444">
        <f t="array" ref="J2679">IFERROR(INDEX('Retirement Calculator'!J:J,MATCH('Isaac 401k'!N2679,'Retirement Calculator'!A:A,0),0),0)</f>
        <v>0</v>
      </c>
      <c r="K2679" s="444">
        <f t="shared" ca="1" si="151"/>
        <v>-128450955.66703735</v>
      </c>
      <c r="L2679" s="444">
        <f t="shared" ca="1" si="152"/>
        <v>-30956680315.756008</v>
      </c>
      <c r="M2679" s="460">
        <f t="shared" si="154"/>
        <v>0.05</v>
      </c>
      <c r="N2679" s="464">
        <f t="shared" si="155"/>
        <v>132585</v>
      </c>
    </row>
    <row r="2680" spans="7:14" ht="11.25" customHeight="1" x14ac:dyDescent="0.25">
      <c r="G2680" s="459"/>
      <c r="H2680" s="459">
        <v>2673</v>
      </c>
      <c r="I2680" s="444">
        <f t="shared" ca="1" si="153"/>
        <v>-30956680315.756008</v>
      </c>
      <c r="J2680" s="444">
        <f t="array" ref="J2680">IFERROR(INDEX('Retirement Calculator'!J:J,MATCH('Isaac 401k'!N2680,'Retirement Calculator'!A:A,0),0),0)</f>
        <v>0</v>
      </c>
      <c r="K2680" s="444">
        <f t="shared" ca="1" si="151"/>
        <v>-128986167.9823167</v>
      </c>
      <c r="L2680" s="444">
        <f t="shared" ca="1" si="152"/>
        <v>-31085666483.738323</v>
      </c>
      <c r="M2680" s="460">
        <f t="shared" si="154"/>
        <v>0.05</v>
      </c>
      <c r="N2680" s="464">
        <f t="shared" si="155"/>
        <v>132616</v>
      </c>
    </row>
    <row r="2681" spans="7:14" ht="11.25" customHeight="1" x14ac:dyDescent="0.25">
      <c r="G2681" s="459"/>
      <c r="H2681" s="459">
        <v>2674</v>
      </c>
      <c r="I2681" s="444">
        <f t="shared" ca="1" si="153"/>
        <v>-31085666483.738323</v>
      </c>
      <c r="J2681" s="444">
        <f t="array" ref="J2681">IFERROR(INDEX('Retirement Calculator'!J:J,MATCH('Isaac 401k'!N2681,'Retirement Calculator'!A:A,0),0),0)</f>
        <v>0</v>
      </c>
      <c r="K2681" s="444">
        <f t="shared" ca="1" si="151"/>
        <v>-129523610.34890966</v>
      </c>
      <c r="L2681" s="444">
        <f t="shared" ca="1" si="152"/>
        <v>-31215190094.087234</v>
      </c>
      <c r="M2681" s="460">
        <f t="shared" si="154"/>
        <v>0.05</v>
      </c>
      <c r="N2681" s="464">
        <f t="shared" si="155"/>
        <v>132644</v>
      </c>
    </row>
    <row r="2682" spans="7:14" ht="11.25" customHeight="1" x14ac:dyDescent="0.25">
      <c r="G2682" s="459"/>
      <c r="H2682" s="459">
        <v>2675</v>
      </c>
      <c r="I2682" s="444">
        <f t="shared" ca="1" si="153"/>
        <v>-31215190094.087234</v>
      </c>
      <c r="J2682" s="444">
        <f t="array" ref="J2682">IFERROR(INDEX('Retirement Calculator'!J:J,MATCH('Isaac 401k'!N2682,'Retirement Calculator'!A:A,0),0),0)</f>
        <v>0</v>
      </c>
      <c r="K2682" s="444">
        <f t="shared" ca="1" si="151"/>
        <v>-130063292.05869679</v>
      </c>
      <c r="L2682" s="444">
        <f t="shared" ca="1" si="152"/>
        <v>-31345253386.145931</v>
      </c>
      <c r="M2682" s="460">
        <f t="shared" si="154"/>
        <v>0.05</v>
      </c>
      <c r="N2682" s="464">
        <f t="shared" si="155"/>
        <v>132675</v>
      </c>
    </row>
    <row r="2683" spans="7:14" ht="11.25" customHeight="1" x14ac:dyDescent="0.25">
      <c r="G2683" s="459"/>
      <c r="H2683" s="459">
        <v>2676</v>
      </c>
      <c r="I2683" s="444">
        <f t="shared" ca="1" si="153"/>
        <v>-31345253386.145931</v>
      </c>
      <c r="J2683" s="444">
        <f t="array" ref="J2683">IFERROR(INDEX('Retirement Calculator'!J:J,MATCH('Isaac 401k'!N2683,'Retirement Calculator'!A:A,0),0),0)</f>
        <v>0</v>
      </c>
      <c r="K2683" s="444">
        <f t="shared" ca="1" si="151"/>
        <v>-130605222.4422747</v>
      </c>
      <c r="L2683" s="444">
        <f t="shared" ca="1" si="152"/>
        <v>-31475858608.588207</v>
      </c>
      <c r="M2683" s="460">
        <f t="shared" si="154"/>
        <v>0.05</v>
      </c>
      <c r="N2683" s="464">
        <f t="shared" si="155"/>
        <v>132705</v>
      </c>
    </row>
    <row r="2684" spans="7:14" ht="11.25" customHeight="1" x14ac:dyDescent="0.25">
      <c r="G2684" s="459"/>
      <c r="H2684" s="459">
        <v>2677</v>
      </c>
      <c r="I2684" s="444">
        <f t="shared" ca="1" si="153"/>
        <v>-31475858608.588207</v>
      </c>
      <c r="J2684" s="444">
        <f t="array" ref="J2684">IFERROR(INDEX('Retirement Calculator'!J:J,MATCH('Isaac 401k'!N2684,'Retirement Calculator'!A:A,0),0),0)</f>
        <v>0</v>
      </c>
      <c r="K2684" s="444">
        <f t="shared" ca="1" si="151"/>
        <v>-131149410.86911754</v>
      </c>
      <c r="L2684" s="444">
        <f t="shared" ca="1" si="152"/>
        <v>-31607008019.457325</v>
      </c>
      <c r="M2684" s="460">
        <f t="shared" si="154"/>
        <v>0.05</v>
      </c>
      <c r="N2684" s="464">
        <f t="shared" si="155"/>
        <v>132736</v>
      </c>
    </row>
    <row r="2685" spans="7:14" ht="11.25" customHeight="1" x14ac:dyDescent="0.25">
      <c r="G2685" s="459"/>
      <c r="H2685" s="459">
        <v>2678</v>
      </c>
      <c r="I2685" s="444">
        <f t="shared" ca="1" si="153"/>
        <v>-31607008019.457325</v>
      </c>
      <c r="J2685" s="444">
        <f t="array" ref="J2685">IFERROR(INDEX('Retirement Calculator'!J:J,MATCH('Isaac 401k'!N2685,'Retirement Calculator'!A:A,0),0),0)</f>
        <v>0</v>
      </c>
      <c r="K2685" s="444">
        <f t="shared" ca="1" si="151"/>
        <v>-131695866.74773885</v>
      </c>
      <c r="L2685" s="444">
        <f t="shared" ca="1" si="152"/>
        <v>-31738703886.205063</v>
      </c>
      <c r="M2685" s="460">
        <f t="shared" si="154"/>
        <v>0.05</v>
      </c>
      <c r="N2685" s="464">
        <f t="shared" si="155"/>
        <v>132766</v>
      </c>
    </row>
    <row r="2686" spans="7:14" ht="11.25" customHeight="1" x14ac:dyDescent="0.25">
      <c r="G2686" s="459"/>
      <c r="H2686" s="459">
        <v>2679</v>
      </c>
      <c r="I2686" s="444">
        <f t="shared" ca="1" si="153"/>
        <v>-31738703886.205063</v>
      </c>
      <c r="J2686" s="444">
        <f t="array" ref="J2686">IFERROR(INDEX('Retirement Calculator'!J:J,MATCH('Isaac 401k'!N2686,'Retirement Calculator'!A:A,0),0),0)</f>
        <v>0</v>
      </c>
      <c r="K2686" s="444">
        <f t="shared" ca="1" si="151"/>
        <v>-132244599.52585442</v>
      </c>
      <c r="L2686" s="444">
        <f t="shared" ca="1" si="152"/>
        <v>-31870948485.730919</v>
      </c>
      <c r="M2686" s="460">
        <f t="shared" si="154"/>
        <v>0.05</v>
      </c>
      <c r="N2686" s="464">
        <f t="shared" si="155"/>
        <v>132797</v>
      </c>
    </row>
    <row r="2687" spans="7:14" ht="11.25" customHeight="1" x14ac:dyDescent="0.25">
      <c r="G2687" s="459"/>
      <c r="H2687" s="459">
        <v>2680</v>
      </c>
      <c r="I2687" s="444">
        <f t="shared" ca="1" si="153"/>
        <v>-31870948485.730919</v>
      </c>
      <c r="J2687" s="444">
        <f t="array" ref="J2687">IFERROR(INDEX('Retirement Calculator'!J:J,MATCH('Isaac 401k'!N2687,'Retirement Calculator'!A:A,0),0),0)</f>
        <v>0</v>
      </c>
      <c r="K2687" s="444">
        <f t="shared" ca="1" si="151"/>
        <v>-132795618.6905455</v>
      </c>
      <c r="L2687" s="444">
        <f t="shared" ca="1" si="152"/>
        <v>-32003744104.421463</v>
      </c>
      <c r="M2687" s="460">
        <f t="shared" si="154"/>
        <v>0.05</v>
      </c>
      <c r="N2687" s="464">
        <f t="shared" si="155"/>
        <v>132828</v>
      </c>
    </row>
    <row r="2688" spans="7:14" ht="11.25" customHeight="1" x14ac:dyDescent="0.25">
      <c r="G2688" s="459"/>
      <c r="H2688" s="459">
        <v>2681</v>
      </c>
      <c r="I2688" s="444">
        <f t="shared" ca="1" si="153"/>
        <v>-32003744104.421463</v>
      </c>
      <c r="J2688" s="444">
        <f t="array" ref="J2688">IFERROR(INDEX('Retirement Calculator'!J:J,MATCH('Isaac 401k'!N2688,'Retirement Calculator'!A:A,0),0),0)</f>
        <v>0</v>
      </c>
      <c r="K2688" s="444">
        <f t="shared" ca="1" si="151"/>
        <v>-133348933.76842277</v>
      </c>
      <c r="L2688" s="444">
        <f t="shared" ca="1" si="152"/>
        <v>-32137093038.189884</v>
      </c>
      <c r="M2688" s="460">
        <f t="shared" si="154"/>
        <v>0.05</v>
      </c>
      <c r="N2688" s="464">
        <f t="shared" si="155"/>
        <v>132858</v>
      </c>
    </row>
    <row r="2689" spans="7:14" ht="11.25" customHeight="1" x14ac:dyDescent="0.25">
      <c r="G2689" s="459"/>
      <c r="H2689" s="459">
        <v>2682</v>
      </c>
      <c r="I2689" s="444">
        <f t="shared" ca="1" si="153"/>
        <v>-32137093038.189884</v>
      </c>
      <c r="J2689" s="444">
        <f t="array" ref="J2689">IFERROR(INDEX('Retirement Calculator'!J:J,MATCH('Isaac 401k'!N2689,'Retirement Calculator'!A:A,0),0),0)</f>
        <v>0</v>
      </c>
      <c r="K2689" s="444">
        <f t="shared" ca="1" si="151"/>
        <v>-133904554.32579118</v>
      </c>
      <c r="L2689" s="444">
        <f t="shared" ca="1" si="152"/>
        <v>-32270997592.515675</v>
      </c>
      <c r="M2689" s="460">
        <f t="shared" si="154"/>
        <v>0.05</v>
      </c>
      <c r="N2689" s="464">
        <f t="shared" si="155"/>
        <v>132889</v>
      </c>
    </row>
    <row r="2690" spans="7:14" ht="11.25" customHeight="1" x14ac:dyDescent="0.25">
      <c r="G2690" s="459"/>
      <c r="H2690" s="459">
        <v>2683</v>
      </c>
      <c r="I2690" s="444">
        <f t="shared" ca="1" si="153"/>
        <v>-32270997592.515675</v>
      </c>
      <c r="J2690" s="444">
        <f t="array" ref="J2690">IFERROR(INDEX('Retirement Calculator'!J:J,MATCH('Isaac 401k'!N2690,'Retirement Calculator'!A:A,0),0),0)</f>
        <v>0</v>
      </c>
      <c r="K2690" s="444">
        <f t="shared" ca="1" si="151"/>
        <v>-134462489.9688153</v>
      </c>
      <c r="L2690" s="444">
        <f t="shared" ca="1" si="152"/>
        <v>-32405460082.484489</v>
      </c>
      <c r="M2690" s="460">
        <f t="shared" si="154"/>
        <v>0.05</v>
      </c>
      <c r="N2690" s="464">
        <f t="shared" si="155"/>
        <v>132919</v>
      </c>
    </row>
    <row r="2691" spans="7:14" ht="11.25" customHeight="1" x14ac:dyDescent="0.25">
      <c r="G2691" s="459"/>
      <c r="H2691" s="459">
        <v>2684</v>
      </c>
      <c r="I2691" s="444">
        <f t="shared" ca="1" si="153"/>
        <v>-32405460082.484489</v>
      </c>
      <c r="J2691" s="444">
        <f t="array" ref="J2691">IFERROR(INDEX('Retirement Calculator'!J:J,MATCH('Isaac 401k'!N2691,'Retirement Calculator'!A:A,0),0),0)</f>
        <v>0</v>
      </c>
      <c r="K2691" s="444">
        <f t="shared" ca="1" si="151"/>
        <v>-135022750.34368536</v>
      </c>
      <c r="L2691" s="444">
        <f t="shared" ca="1" si="152"/>
        <v>-32540482832.828175</v>
      </c>
      <c r="M2691" s="460">
        <f t="shared" si="154"/>
        <v>0.05</v>
      </c>
      <c r="N2691" s="464">
        <f t="shared" si="155"/>
        <v>132950</v>
      </c>
    </row>
    <row r="2692" spans="7:14" ht="11.25" customHeight="1" x14ac:dyDescent="0.25">
      <c r="G2692" s="459"/>
      <c r="H2692" s="459">
        <v>2685</v>
      </c>
      <c r="I2692" s="444">
        <f t="shared" ca="1" si="153"/>
        <v>-32540482832.828175</v>
      </c>
      <c r="J2692" s="444">
        <f t="array" ref="J2692">IFERROR(INDEX('Retirement Calculator'!J:J,MATCH('Isaac 401k'!N2692,'Retirement Calculator'!A:A,0),0),0)</f>
        <v>0</v>
      </c>
      <c r="K2692" s="444">
        <f t="shared" ca="1" si="151"/>
        <v>-135585345.13678405</v>
      </c>
      <c r="L2692" s="444">
        <f t="shared" ca="1" si="152"/>
        <v>-32676068177.964958</v>
      </c>
      <c r="M2692" s="460">
        <f t="shared" si="154"/>
        <v>0.05</v>
      </c>
      <c r="N2692" s="464">
        <f t="shared" si="155"/>
        <v>132981</v>
      </c>
    </row>
    <row r="2693" spans="7:14" ht="11.25" customHeight="1" x14ac:dyDescent="0.25">
      <c r="G2693" s="459"/>
      <c r="H2693" s="459">
        <v>2686</v>
      </c>
      <c r="I2693" s="444">
        <f t="shared" ca="1" si="153"/>
        <v>-32676068177.964958</v>
      </c>
      <c r="J2693" s="444">
        <f t="array" ref="J2693">IFERROR(INDEX('Retirement Calculator'!J:J,MATCH('Isaac 401k'!N2693,'Retirement Calculator'!A:A,0),0),0)</f>
        <v>0</v>
      </c>
      <c r="K2693" s="444">
        <f t="shared" ca="1" si="151"/>
        <v>-136150284.07485399</v>
      </c>
      <c r="L2693" s="444">
        <f t="shared" ca="1" si="152"/>
        <v>-32812218462.039814</v>
      </c>
      <c r="M2693" s="460">
        <f t="shared" si="154"/>
        <v>0.05</v>
      </c>
      <c r="N2693" s="464">
        <f t="shared" si="155"/>
        <v>133010</v>
      </c>
    </row>
    <row r="2694" spans="7:14" ht="11.25" customHeight="1" x14ac:dyDescent="0.25">
      <c r="G2694" s="459"/>
      <c r="H2694" s="459">
        <v>2687</v>
      </c>
      <c r="I2694" s="444">
        <f t="shared" ca="1" si="153"/>
        <v>-32812218462.039814</v>
      </c>
      <c r="J2694" s="444">
        <f t="array" ref="J2694">IFERROR(INDEX('Retirement Calculator'!J:J,MATCH('Isaac 401k'!N2694,'Retirement Calculator'!A:A,0),0),0)</f>
        <v>0</v>
      </c>
      <c r="K2694" s="444">
        <f t="shared" ca="1" si="151"/>
        <v>-136717576.92516586</v>
      </c>
      <c r="L2694" s="444">
        <f t="shared" ca="1" si="152"/>
        <v>-32948936038.964981</v>
      </c>
      <c r="M2694" s="460">
        <f t="shared" si="154"/>
        <v>0.05</v>
      </c>
      <c r="N2694" s="464">
        <f t="shared" si="155"/>
        <v>133041</v>
      </c>
    </row>
    <row r="2695" spans="7:14" ht="11.25" customHeight="1" x14ac:dyDescent="0.25">
      <c r="G2695" s="459"/>
      <c r="H2695" s="459">
        <v>2688</v>
      </c>
      <c r="I2695" s="444">
        <f t="shared" ca="1" si="153"/>
        <v>-32948936038.964981</v>
      </c>
      <c r="J2695" s="444">
        <f t="array" ref="J2695">IFERROR(INDEX('Retirement Calculator'!J:J,MATCH('Isaac 401k'!N2695,'Retirement Calculator'!A:A,0),0),0)</f>
        <v>0</v>
      </c>
      <c r="K2695" s="444">
        <f t="shared" ca="1" si="151"/>
        <v>-137287233.49568743</v>
      </c>
      <c r="L2695" s="444">
        <f t="shared" ca="1" si="152"/>
        <v>-33086223272.460667</v>
      </c>
      <c r="M2695" s="460">
        <f t="shared" si="154"/>
        <v>0.05</v>
      </c>
      <c r="N2695" s="464">
        <f t="shared" si="155"/>
        <v>133071</v>
      </c>
    </row>
    <row r="2696" spans="7:14" ht="11.25" customHeight="1" x14ac:dyDescent="0.25">
      <c r="G2696" s="459"/>
      <c r="H2696" s="459">
        <v>2689</v>
      </c>
      <c r="I2696" s="444">
        <f t="shared" ca="1" si="153"/>
        <v>-33086223272.460667</v>
      </c>
      <c r="J2696" s="444">
        <f t="array" ref="J2696">IFERROR(INDEX('Retirement Calculator'!J:J,MATCH('Isaac 401k'!N2696,'Retirement Calculator'!A:A,0),0),0)</f>
        <v>0</v>
      </c>
      <c r="K2696" s="444">
        <f t="shared" ca="1" si="151"/>
        <v>-137859263.63525277</v>
      </c>
      <c r="L2696" s="444">
        <f t="shared" ca="1" si="152"/>
        <v>-33224082536.095921</v>
      </c>
      <c r="M2696" s="460">
        <f t="shared" si="154"/>
        <v>0.05</v>
      </c>
      <c r="N2696" s="464">
        <f t="shared" si="155"/>
        <v>133102</v>
      </c>
    </row>
    <row r="2697" spans="7:14" ht="11.25" customHeight="1" x14ac:dyDescent="0.25">
      <c r="G2697" s="459"/>
      <c r="H2697" s="459">
        <v>2690</v>
      </c>
      <c r="I2697" s="444">
        <f t="shared" ca="1" si="153"/>
        <v>-33224082536.095921</v>
      </c>
      <c r="J2697" s="444">
        <f t="array" ref="J2697">IFERROR(INDEX('Retirement Calculator'!J:J,MATCH('Isaac 401k'!N2697,'Retirement Calculator'!A:A,0),0),0)</f>
        <v>0</v>
      </c>
      <c r="K2697" s="444">
        <f t="shared" ca="1" si="151"/>
        <v>-138433677.233733</v>
      </c>
      <c r="L2697" s="444">
        <f t="shared" ca="1" si="152"/>
        <v>-33362516213.329655</v>
      </c>
      <c r="M2697" s="460">
        <f t="shared" si="154"/>
        <v>0.05</v>
      </c>
      <c r="N2697" s="464">
        <f t="shared" si="155"/>
        <v>133132</v>
      </c>
    </row>
    <row r="2698" spans="7:14" ht="11.25" customHeight="1" x14ac:dyDescent="0.25">
      <c r="G2698" s="459"/>
      <c r="H2698" s="459">
        <v>2691</v>
      </c>
      <c r="I2698" s="444">
        <f t="shared" ca="1" si="153"/>
        <v>-33362516213.329655</v>
      </c>
      <c r="J2698" s="444">
        <f t="array" ref="J2698">IFERROR(INDEX('Retirement Calculator'!J:J,MATCH('Isaac 401k'!N2698,'Retirement Calculator'!A:A,0),0),0)</f>
        <v>0</v>
      </c>
      <c r="K2698" s="444">
        <f t="shared" ca="1" si="151"/>
        <v>-139010484.22220692</v>
      </c>
      <c r="L2698" s="444">
        <f t="shared" ca="1" si="152"/>
        <v>-33501526697.551861</v>
      </c>
      <c r="M2698" s="460">
        <f t="shared" si="154"/>
        <v>0.05</v>
      </c>
      <c r="N2698" s="464">
        <f t="shared" si="155"/>
        <v>133163</v>
      </c>
    </row>
    <row r="2699" spans="7:14" ht="11.25" customHeight="1" x14ac:dyDescent="0.25">
      <c r="G2699" s="459"/>
      <c r="H2699" s="459">
        <v>2692</v>
      </c>
      <c r="I2699" s="444">
        <f t="shared" ca="1" si="153"/>
        <v>-33501526697.551861</v>
      </c>
      <c r="J2699" s="444">
        <f t="array" ref="J2699">IFERROR(INDEX('Retirement Calculator'!J:J,MATCH('Isaac 401k'!N2699,'Retirement Calculator'!A:A,0),0),0)</f>
        <v>0</v>
      </c>
      <c r="K2699" s="444">
        <f t="shared" ca="1" si="151"/>
        <v>-139589694.57313275</v>
      </c>
      <c r="L2699" s="444">
        <f t="shared" ca="1" si="152"/>
        <v>-33641116392.124992</v>
      </c>
      <c r="M2699" s="460">
        <f t="shared" si="154"/>
        <v>0.05</v>
      </c>
      <c r="N2699" s="464">
        <f t="shared" si="155"/>
        <v>133194</v>
      </c>
    </row>
    <row r="2700" spans="7:14" ht="11.25" customHeight="1" x14ac:dyDescent="0.25">
      <c r="G2700" s="459"/>
      <c r="H2700" s="459">
        <v>2693</v>
      </c>
      <c r="I2700" s="444">
        <f t="shared" ca="1" si="153"/>
        <v>-33641116392.124992</v>
      </c>
      <c r="J2700" s="444">
        <f t="array" ref="J2700">IFERROR(INDEX('Retirement Calculator'!J:J,MATCH('Isaac 401k'!N2700,'Retirement Calculator'!A:A,0),0),0)</f>
        <v>0</v>
      </c>
      <c r="K2700" s="444">
        <f t="shared" ca="1" si="151"/>
        <v>-140171318.30052081</v>
      </c>
      <c r="L2700" s="444">
        <f t="shared" ca="1" si="152"/>
        <v>-33781287710.425514</v>
      </c>
      <c r="M2700" s="460">
        <f t="shared" si="154"/>
        <v>0.05</v>
      </c>
      <c r="N2700" s="464">
        <f t="shared" si="155"/>
        <v>133224</v>
      </c>
    </row>
    <row r="2701" spans="7:14" ht="11.25" customHeight="1" x14ac:dyDescent="0.25">
      <c r="G2701" s="459"/>
      <c r="H2701" s="459">
        <v>2694</v>
      </c>
      <c r="I2701" s="444">
        <f t="shared" ca="1" si="153"/>
        <v>-33781287710.425514</v>
      </c>
      <c r="J2701" s="444">
        <f t="array" ref="J2701">IFERROR(INDEX('Retirement Calculator'!J:J,MATCH('Isaac 401k'!N2701,'Retirement Calculator'!A:A,0),0),0)</f>
        <v>0</v>
      </c>
      <c r="K2701" s="444">
        <f t="shared" ca="1" si="151"/>
        <v>-140755365.46010631</v>
      </c>
      <c r="L2701" s="444">
        <f t="shared" ca="1" si="152"/>
        <v>-33922043075.88562</v>
      </c>
      <c r="M2701" s="460">
        <f t="shared" si="154"/>
        <v>0.05</v>
      </c>
      <c r="N2701" s="464">
        <f t="shared" si="155"/>
        <v>133255</v>
      </c>
    </row>
    <row r="2702" spans="7:14" ht="11.25" customHeight="1" x14ac:dyDescent="0.25">
      <c r="G2702" s="459"/>
      <c r="H2702" s="459">
        <v>2695</v>
      </c>
      <c r="I2702" s="444">
        <f t="shared" ca="1" si="153"/>
        <v>-33922043075.88562</v>
      </c>
      <c r="J2702" s="444">
        <f t="array" ref="J2702">IFERROR(INDEX('Retirement Calculator'!J:J,MATCH('Isaac 401k'!N2702,'Retirement Calculator'!A:A,0),0),0)</f>
        <v>0</v>
      </c>
      <c r="K2702" s="444">
        <f t="shared" ca="1" si="151"/>
        <v>-141341846.14952341</v>
      </c>
      <c r="L2702" s="444">
        <f t="shared" ca="1" si="152"/>
        <v>-34063384922.035145</v>
      </c>
      <c r="M2702" s="460">
        <f t="shared" si="154"/>
        <v>0.05</v>
      </c>
      <c r="N2702" s="464">
        <f t="shared" si="155"/>
        <v>133285</v>
      </c>
    </row>
    <row r="2703" spans="7:14" ht="11.25" customHeight="1" x14ac:dyDescent="0.25">
      <c r="G2703" s="459"/>
      <c r="H2703" s="459">
        <v>2696</v>
      </c>
      <c r="I2703" s="444">
        <f t="shared" ca="1" si="153"/>
        <v>-34063384922.035145</v>
      </c>
      <c r="J2703" s="444">
        <f t="array" ref="J2703">IFERROR(INDEX('Retirement Calculator'!J:J,MATCH('Isaac 401k'!N2703,'Retirement Calculator'!A:A,0),0),0)</f>
        <v>0</v>
      </c>
      <c r="K2703" s="444">
        <f t="shared" ca="1" si="151"/>
        <v>-141930770.50847977</v>
      </c>
      <c r="L2703" s="444">
        <f t="shared" ca="1" si="152"/>
        <v>-34205315692.543625</v>
      </c>
      <c r="M2703" s="460">
        <f t="shared" si="154"/>
        <v>0.05</v>
      </c>
      <c r="N2703" s="464">
        <f t="shared" si="155"/>
        <v>133316</v>
      </c>
    </row>
    <row r="2704" spans="7:14" ht="11.25" customHeight="1" x14ac:dyDescent="0.25">
      <c r="G2704" s="459"/>
      <c r="H2704" s="459">
        <v>2697</v>
      </c>
      <c r="I2704" s="444">
        <f t="shared" ca="1" si="153"/>
        <v>-34205315692.543625</v>
      </c>
      <c r="J2704" s="444">
        <f t="array" ref="J2704">IFERROR(INDEX('Retirement Calculator'!J:J,MATCH('Isaac 401k'!N2704,'Retirement Calculator'!A:A,0),0),0)</f>
        <v>0</v>
      </c>
      <c r="K2704" s="444">
        <f t="shared" ca="1" si="151"/>
        <v>-142522148.71893176</v>
      </c>
      <c r="L2704" s="444">
        <f t="shared" ca="1" si="152"/>
        <v>-34347837841.262558</v>
      </c>
      <c r="M2704" s="460">
        <f t="shared" si="154"/>
        <v>0.05</v>
      </c>
      <c r="N2704" s="464">
        <f t="shared" si="155"/>
        <v>133347</v>
      </c>
    </row>
    <row r="2705" spans="7:14" ht="11.25" customHeight="1" x14ac:dyDescent="0.25">
      <c r="G2705" s="459"/>
      <c r="H2705" s="459">
        <v>2698</v>
      </c>
      <c r="I2705" s="444">
        <f t="shared" ca="1" si="153"/>
        <v>-34347837841.262558</v>
      </c>
      <c r="J2705" s="444">
        <f t="array" ref="J2705">IFERROR(INDEX('Retirement Calculator'!J:J,MATCH('Isaac 401k'!N2705,'Retirement Calculator'!A:A,0),0),0)</f>
        <v>0</v>
      </c>
      <c r="K2705" s="444">
        <f t="shared" ca="1" si="151"/>
        <v>-143115991.00526065</v>
      </c>
      <c r="L2705" s="444">
        <f t="shared" ca="1" si="152"/>
        <v>-34490953832.267822</v>
      </c>
      <c r="M2705" s="460">
        <f t="shared" si="154"/>
        <v>0.05</v>
      </c>
      <c r="N2705" s="464">
        <f t="shared" si="155"/>
        <v>133375</v>
      </c>
    </row>
    <row r="2706" spans="7:14" ht="11.25" customHeight="1" x14ac:dyDescent="0.25">
      <c r="G2706" s="459"/>
      <c r="H2706" s="459">
        <v>2699</v>
      </c>
      <c r="I2706" s="444">
        <f t="shared" ca="1" si="153"/>
        <v>-34490953832.267822</v>
      </c>
      <c r="J2706" s="444">
        <f t="array" ref="J2706">IFERROR(INDEX('Retirement Calculator'!J:J,MATCH('Isaac 401k'!N2706,'Retirement Calculator'!A:A,0),0),0)</f>
        <v>0</v>
      </c>
      <c r="K2706" s="444">
        <f t="shared" ca="1" si="151"/>
        <v>-143712307.63444924</v>
      </c>
      <c r="L2706" s="444">
        <f t="shared" ca="1" si="152"/>
        <v>-34634666139.902275</v>
      </c>
      <c r="M2706" s="460">
        <f t="shared" si="154"/>
        <v>0.05</v>
      </c>
      <c r="N2706" s="464">
        <f t="shared" si="155"/>
        <v>133406</v>
      </c>
    </row>
    <row r="2707" spans="7:14" ht="11.25" customHeight="1" x14ac:dyDescent="0.25">
      <c r="G2707" s="459"/>
      <c r="H2707" s="459">
        <v>2700</v>
      </c>
      <c r="I2707" s="444">
        <f t="shared" ca="1" si="153"/>
        <v>-34634666139.902275</v>
      </c>
      <c r="J2707" s="444">
        <f t="array" ref="J2707">IFERROR(INDEX('Retirement Calculator'!J:J,MATCH('Isaac 401k'!N2707,'Retirement Calculator'!A:A,0),0),0)</f>
        <v>0</v>
      </c>
      <c r="K2707" s="444">
        <f t="shared" ca="1" si="151"/>
        <v>-144311108.91625947</v>
      </c>
      <c r="L2707" s="444">
        <f t="shared" ca="1" si="152"/>
        <v>-34778977248.818535</v>
      </c>
      <c r="M2707" s="460">
        <f t="shared" si="154"/>
        <v>0.05</v>
      </c>
      <c r="N2707" s="464">
        <f t="shared" si="155"/>
        <v>133436</v>
      </c>
    </row>
    <row r="2708" spans="7:14" ht="11.25" customHeight="1" x14ac:dyDescent="0.25">
      <c r="G2708" s="459"/>
      <c r="H2708" s="459">
        <v>2701</v>
      </c>
      <c r="I2708" s="444">
        <f t="shared" ca="1" si="153"/>
        <v>-34778977248.818535</v>
      </c>
      <c r="J2708" s="444">
        <f t="array" ref="J2708">IFERROR(INDEX('Retirement Calculator'!J:J,MATCH('Isaac 401k'!N2708,'Retirement Calculator'!A:A,0),0),0)</f>
        <v>0</v>
      </c>
      <c r="K2708" s="444">
        <f t="shared" ca="1" si="151"/>
        <v>-144912405.20341057</v>
      </c>
      <c r="L2708" s="444">
        <f t="shared" ca="1" si="152"/>
        <v>-34923889654.021942</v>
      </c>
      <c r="M2708" s="460">
        <f t="shared" si="154"/>
        <v>0.05</v>
      </c>
      <c r="N2708" s="464">
        <f t="shared" si="155"/>
        <v>133467</v>
      </c>
    </row>
    <row r="2709" spans="7:14" ht="11.25" customHeight="1" x14ac:dyDescent="0.25">
      <c r="G2709" s="459"/>
      <c r="H2709" s="459">
        <v>2702</v>
      </c>
      <c r="I2709" s="444">
        <f t="shared" ca="1" si="153"/>
        <v>-34923889654.021942</v>
      </c>
      <c r="J2709" s="444">
        <f t="array" ref="J2709">IFERROR(INDEX('Retirement Calculator'!J:J,MATCH('Isaac 401k'!N2709,'Retirement Calculator'!A:A,0),0),0)</f>
        <v>0</v>
      </c>
      <c r="K2709" s="444">
        <f t="shared" ca="1" si="151"/>
        <v>-145516206.89175808</v>
      </c>
      <c r="L2709" s="444">
        <f t="shared" ca="1" si="152"/>
        <v>-35069405860.913704</v>
      </c>
      <c r="M2709" s="460">
        <f t="shared" si="154"/>
        <v>0.05</v>
      </c>
      <c r="N2709" s="464">
        <f t="shared" si="155"/>
        <v>133497</v>
      </c>
    </row>
    <row r="2710" spans="7:14" ht="11.25" customHeight="1" x14ac:dyDescent="0.25">
      <c r="G2710" s="459"/>
      <c r="H2710" s="459">
        <v>2703</v>
      </c>
      <c r="I2710" s="444">
        <f t="shared" ca="1" si="153"/>
        <v>-35069405860.913704</v>
      </c>
      <c r="J2710" s="444">
        <f t="array" ref="J2710">IFERROR(INDEX('Retirement Calculator'!J:J,MATCH('Isaac 401k'!N2710,'Retirement Calculator'!A:A,0),0),0)</f>
        <v>0</v>
      </c>
      <c r="K2710" s="444">
        <f t="shared" ca="1" si="151"/>
        <v>-146122524.42047375</v>
      </c>
      <c r="L2710" s="444">
        <f t="shared" ca="1" si="152"/>
        <v>-35215528385.334175</v>
      </c>
      <c r="M2710" s="460">
        <f t="shared" si="154"/>
        <v>0.05</v>
      </c>
      <c r="N2710" s="464">
        <f t="shared" si="155"/>
        <v>133528</v>
      </c>
    </row>
    <row r="2711" spans="7:14" ht="11.25" customHeight="1" x14ac:dyDescent="0.25">
      <c r="G2711" s="459"/>
      <c r="H2711" s="459">
        <v>2704</v>
      </c>
      <c r="I2711" s="444">
        <f t="shared" ca="1" si="153"/>
        <v>-35215528385.334175</v>
      </c>
      <c r="J2711" s="444">
        <f t="array" ref="J2711">IFERROR(INDEX('Retirement Calculator'!J:J,MATCH('Isaac 401k'!N2711,'Retirement Calculator'!A:A,0),0),0)</f>
        <v>0</v>
      </c>
      <c r="K2711" s="444">
        <f t="shared" ca="1" si="151"/>
        <v>-146731368.27222574</v>
      </c>
      <c r="L2711" s="444">
        <f t="shared" ca="1" si="152"/>
        <v>-35362259753.6064</v>
      </c>
      <c r="M2711" s="460">
        <f t="shared" si="154"/>
        <v>0.05</v>
      </c>
      <c r="N2711" s="464">
        <f t="shared" si="155"/>
        <v>133559</v>
      </c>
    </row>
    <row r="2712" spans="7:14" ht="11.25" customHeight="1" x14ac:dyDescent="0.25">
      <c r="G2712" s="459"/>
      <c r="H2712" s="459">
        <v>2705</v>
      </c>
      <c r="I2712" s="444">
        <f t="shared" ca="1" si="153"/>
        <v>-35362259753.6064</v>
      </c>
      <c r="J2712" s="444">
        <f t="array" ref="J2712">IFERROR(INDEX('Retirement Calculator'!J:J,MATCH('Isaac 401k'!N2712,'Retirement Calculator'!A:A,0),0),0)</f>
        <v>0</v>
      </c>
      <c r="K2712" s="444">
        <f t="shared" ca="1" si="151"/>
        <v>-147342748.97336</v>
      </c>
      <c r="L2712" s="444">
        <f t="shared" ca="1" si="152"/>
        <v>-35509602502.579758</v>
      </c>
      <c r="M2712" s="460">
        <f t="shared" si="154"/>
        <v>0.05</v>
      </c>
      <c r="N2712" s="464">
        <f t="shared" si="155"/>
        <v>133589</v>
      </c>
    </row>
    <row r="2713" spans="7:14" ht="11.25" customHeight="1" x14ac:dyDescent="0.25">
      <c r="G2713" s="459"/>
      <c r="H2713" s="459">
        <v>2706</v>
      </c>
      <c r="I2713" s="444">
        <f t="shared" ca="1" si="153"/>
        <v>-35509602502.579758</v>
      </c>
      <c r="J2713" s="444">
        <f t="array" ref="J2713">IFERROR(INDEX('Retirement Calculator'!J:J,MATCH('Isaac 401k'!N2713,'Retirement Calculator'!A:A,0),0),0)</f>
        <v>0</v>
      </c>
      <c r="K2713" s="444">
        <f t="shared" ca="1" si="151"/>
        <v>-147956677.09408233</v>
      </c>
      <c r="L2713" s="444">
        <f t="shared" ca="1" si="152"/>
        <v>-35657559179.673843</v>
      </c>
      <c r="M2713" s="460">
        <f t="shared" si="154"/>
        <v>0.05</v>
      </c>
      <c r="N2713" s="464">
        <f t="shared" si="155"/>
        <v>133620</v>
      </c>
    </row>
    <row r="2714" spans="7:14" ht="11.25" customHeight="1" x14ac:dyDescent="0.25">
      <c r="G2714" s="459"/>
      <c r="H2714" s="459">
        <v>2707</v>
      </c>
      <c r="I2714" s="444">
        <f t="shared" ca="1" si="153"/>
        <v>-35657559179.673843</v>
      </c>
      <c r="J2714" s="444">
        <f t="array" ref="J2714">IFERROR(INDEX('Retirement Calculator'!J:J,MATCH('Isaac 401k'!N2714,'Retirement Calculator'!A:A,0),0),0)</f>
        <v>0</v>
      </c>
      <c r="K2714" s="444">
        <f t="shared" ca="1" si="151"/>
        <v>-148573163.24864101</v>
      </c>
      <c r="L2714" s="444">
        <f t="shared" ca="1" si="152"/>
        <v>-35806132342.922485</v>
      </c>
      <c r="M2714" s="460">
        <f t="shared" si="154"/>
        <v>0.05</v>
      </c>
      <c r="N2714" s="464">
        <f t="shared" si="155"/>
        <v>133650</v>
      </c>
    </row>
    <row r="2715" spans="7:14" ht="11.25" customHeight="1" x14ac:dyDescent="0.25">
      <c r="G2715" s="459"/>
      <c r="H2715" s="459">
        <v>2708</v>
      </c>
      <c r="I2715" s="444">
        <f t="shared" ca="1" si="153"/>
        <v>-35806132342.922485</v>
      </c>
      <c r="J2715" s="444">
        <f t="array" ref="J2715">IFERROR(INDEX('Retirement Calculator'!J:J,MATCH('Isaac 401k'!N2715,'Retirement Calculator'!A:A,0),0),0)</f>
        <v>0</v>
      </c>
      <c r="K2715" s="444">
        <f t="shared" ca="1" si="151"/>
        <v>-149192218.09551036</v>
      </c>
      <c r="L2715" s="444">
        <f t="shared" ca="1" si="152"/>
        <v>-35955324561.017998</v>
      </c>
      <c r="M2715" s="460">
        <f t="shared" si="154"/>
        <v>0.05</v>
      </c>
      <c r="N2715" s="464">
        <f t="shared" si="155"/>
        <v>133681</v>
      </c>
    </row>
    <row r="2716" spans="7:14" ht="11.25" customHeight="1" x14ac:dyDescent="0.25">
      <c r="G2716" s="459"/>
      <c r="H2716" s="459">
        <v>2709</v>
      </c>
      <c r="I2716" s="444">
        <f t="shared" ca="1" si="153"/>
        <v>-35955324561.017998</v>
      </c>
      <c r="J2716" s="444">
        <f t="array" ref="J2716">IFERROR(INDEX('Retirement Calculator'!J:J,MATCH('Isaac 401k'!N2716,'Retirement Calculator'!A:A,0),0),0)</f>
        <v>0</v>
      </c>
      <c r="K2716" s="444">
        <f t="shared" ca="1" si="151"/>
        <v>-149813852.33757499</v>
      </c>
      <c r="L2716" s="444">
        <f t="shared" ca="1" si="152"/>
        <v>-36105138413.355576</v>
      </c>
      <c r="M2716" s="460">
        <f t="shared" si="154"/>
        <v>0.05</v>
      </c>
      <c r="N2716" s="464">
        <f t="shared" si="155"/>
        <v>133712</v>
      </c>
    </row>
    <row r="2717" spans="7:14" ht="11.25" customHeight="1" x14ac:dyDescent="0.25">
      <c r="G2717" s="459"/>
      <c r="H2717" s="459">
        <v>2710</v>
      </c>
      <c r="I2717" s="444">
        <f t="shared" ca="1" si="153"/>
        <v>-36105138413.355576</v>
      </c>
      <c r="J2717" s="444">
        <f t="array" ref="J2717">IFERROR(INDEX('Retirement Calculator'!J:J,MATCH('Isaac 401k'!N2717,'Retirement Calculator'!A:A,0),0),0)</f>
        <v>0</v>
      </c>
      <c r="K2717" s="444">
        <f t="shared" ca="1" si="151"/>
        <v>-150438076.72231489</v>
      </c>
      <c r="L2717" s="444">
        <f t="shared" ca="1" si="152"/>
        <v>-36255576490.077888</v>
      </c>
      <c r="M2717" s="460">
        <f t="shared" si="154"/>
        <v>0.05</v>
      </c>
      <c r="N2717" s="464">
        <f t="shared" si="155"/>
        <v>133740</v>
      </c>
    </row>
    <row r="2718" spans="7:14" ht="11.25" customHeight="1" x14ac:dyDescent="0.25">
      <c r="G2718" s="459"/>
      <c r="H2718" s="459">
        <v>2711</v>
      </c>
      <c r="I2718" s="444">
        <f t="shared" ca="1" si="153"/>
        <v>-36255576490.077888</v>
      </c>
      <c r="J2718" s="444">
        <f t="array" ref="J2718">IFERROR(INDEX('Retirement Calculator'!J:J,MATCH('Isaac 401k'!N2718,'Retirement Calculator'!A:A,0),0),0)</f>
        <v>0</v>
      </c>
      <c r="K2718" s="444">
        <f t="shared" ca="1" si="151"/>
        <v>-151064902.0419912</v>
      </c>
      <c r="L2718" s="444">
        <f t="shared" ca="1" si="152"/>
        <v>-36406641392.119881</v>
      </c>
      <c r="M2718" s="460">
        <f t="shared" si="154"/>
        <v>0.05</v>
      </c>
      <c r="N2718" s="464">
        <f t="shared" si="155"/>
        <v>133771</v>
      </c>
    </row>
    <row r="2719" spans="7:14" ht="11.25" customHeight="1" x14ac:dyDescent="0.25">
      <c r="G2719" s="459"/>
      <c r="H2719" s="459">
        <v>2712</v>
      </c>
      <c r="I2719" s="444">
        <f t="shared" ca="1" si="153"/>
        <v>-36406641392.119881</v>
      </c>
      <c r="J2719" s="444">
        <f t="array" ref="J2719">IFERROR(INDEX('Retirement Calculator'!J:J,MATCH('Isaac 401k'!N2719,'Retirement Calculator'!A:A,0),0),0)</f>
        <v>0</v>
      </c>
      <c r="K2719" s="444">
        <f t="shared" ca="1" si="151"/>
        <v>-151694339.13383284</v>
      </c>
      <c r="L2719" s="444">
        <f t="shared" ca="1" si="152"/>
        <v>-36558335731.253716</v>
      </c>
      <c r="M2719" s="460">
        <f t="shared" si="154"/>
        <v>0.05</v>
      </c>
      <c r="N2719" s="464">
        <f t="shared" si="155"/>
        <v>133801</v>
      </c>
    </row>
    <row r="2720" spans="7:14" ht="11.25" customHeight="1" x14ac:dyDescent="0.25">
      <c r="G2720" s="459"/>
      <c r="H2720" s="459">
        <v>2713</v>
      </c>
      <c r="I2720" s="444">
        <f t="shared" ca="1" si="153"/>
        <v>-36558335731.253716</v>
      </c>
      <c r="J2720" s="444">
        <f t="array" ref="J2720">IFERROR(INDEX('Retirement Calculator'!J:J,MATCH('Isaac 401k'!N2720,'Retirement Calculator'!A:A,0),0),0)</f>
        <v>0</v>
      </c>
      <c r="K2720" s="444">
        <f t="shared" ca="1" si="151"/>
        <v>-152326398.88022381</v>
      </c>
      <c r="L2720" s="444">
        <f t="shared" ca="1" si="152"/>
        <v>-36710662130.133942</v>
      </c>
      <c r="M2720" s="460">
        <f t="shared" si="154"/>
        <v>0.05</v>
      </c>
      <c r="N2720" s="464">
        <f t="shared" si="155"/>
        <v>133832</v>
      </c>
    </row>
    <row r="2721" spans="7:14" ht="11.25" customHeight="1" x14ac:dyDescent="0.25">
      <c r="G2721" s="459"/>
      <c r="H2721" s="459">
        <v>2714</v>
      </c>
      <c r="I2721" s="444">
        <f t="shared" ca="1" si="153"/>
        <v>-36710662130.133942</v>
      </c>
      <c r="J2721" s="444">
        <f t="array" ref="J2721">IFERROR(INDEX('Retirement Calculator'!J:J,MATCH('Isaac 401k'!N2721,'Retirement Calculator'!A:A,0),0),0)</f>
        <v>0</v>
      </c>
      <c r="K2721" s="444">
        <f t="shared" ca="1" si="151"/>
        <v>-152961092.20889142</v>
      </c>
      <c r="L2721" s="444">
        <f t="shared" ca="1" si="152"/>
        <v>-36863623222.342834</v>
      </c>
      <c r="M2721" s="460">
        <f t="shared" si="154"/>
        <v>0.05</v>
      </c>
      <c r="N2721" s="464">
        <f t="shared" si="155"/>
        <v>133862</v>
      </c>
    </row>
    <row r="2722" spans="7:14" ht="11.25" customHeight="1" x14ac:dyDescent="0.25">
      <c r="G2722" s="459"/>
      <c r="H2722" s="459">
        <v>2715</v>
      </c>
      <c r="I2722" s="444">
        <f t="shared" ca="1" si="153"/>
        <v>-36863623222.342834</v>
      </c>
      <c r="J2722" s="444">
        <f t="array" ref="J2722">IFERROR(INDEX('Retirement Calculator'!J:J,MATCH('Isaac 401k'!N2722,'Retirement Calculator'!A:A,0),0),0)</f>
        <v>0</v>
      </c>
      <c r="K2722" s="444">
        <f t="shared" ca="1" si="151"/>
        <v>-153598430.09309515</v>
      </c>
      <c r="L2722" s="444">
        <f t="shared" ca="1" si="152"/>
        <v>-37017221652.435928</v>
      </c>
      <c r="M2722" s="460">
        <f t="shared" si="154"/>
        <v>0.05</v>
      </c>
      <c r="N2722" s="464">
        <f t="shared" si="155"/>
        <v>133893</v>
      </c>
    </row>
    <row r="2723" spans="7:14" ht="11.25" customHeight="1" x14ac:dyDescent="0.25">
      <c r="G2723" s="459"/>
      <c r="H2723" s="459">
        <v>2716</v>
      </c>
      <c r="I2723" s="444">
        <f t="shared" ca="1" si="153"/>
        <v>-37017221652.435928</v>
      </c>
      <c r="J2723" s="444">
        <f t="array" ref="J2723">IFERROR(INDEX('Retirement Calculator'!J:J,MATCH('Isaac 401k'!N2723,'Retirement Calculator'!A:A,0),0),0)</f>
        <v>0</v>
      </c>
      <c r="K2723" s="444">
        <f t="shared" ca="1" si="151"/>
        <v>-154238423.55181637</v>
      </c>
      <c r="L2723" s="444">
        <f t="shared" ca="1" si="152"/>
        <v>-37171460075.987747</v>
      </c>
      <c r="M2723" s="460">
        <f t="shared" si="154"/>
        <v>0.05</v>
      </c>
      <c r="N2723" s="464">
        <f t="shared" si="155"/>
        <v>133924</v>
      </c>
    </row>
    <row r="2724" spans="7:14" ht="11.25" customHeight="1" x14ac:dyDescent="0.25">
      <c r="G2724" s="459"/>
      <c r="H2724" s="459">
        <v>2717</v>
      </c>
      <c r="I2724" s="444">
        <f t="shared" ca="1" si="153"/>
        <v>-37171460075.987747</v>
      </c>
      <c r="J2724" s="444">
        <f t="array" ref="J2724">IFERROR(INDEX('Retirement Calculator'!J:J,MATCH('Isaac 401k'!N2724,'Retirement Calculator'!A:A,0),0),0)</f>
        <v>0</v>
      </c>
      <c r="K2724" s="444">
        <f t="shared" ca="1" si="151"/>
        <v>-154881083.64994895</v>
      </c>
      <c r="L2724" s="444">
        <f t="shared" ca="1" si="152"/>
        <v>-37326341159.637695</v>
      </c>
      <c r="M2724" s="460">
        <f t="shared" si="154"/>
        <v>0.05</v>
      </c>
      <c r="N2724" s="464">
        <f t="shared" si="155"/>
        <v>133954</v>
      </c>
    </row>
    <row r="2725" spans="7:14" ht="11.25" customHeight="1" x14ac:dyDescent="0.25">
      <c r="G2725" s="459"/>
      <c r="H2725" s="459">
        <v>2718</v>
      </c>
      <c r="I2725" s="444">
        <f t="shared" ca="1" si="153"/>
        <v>-37326341159.637695</v>
      </c>
      <c r="J2725" s="444">
        <f t="array" ref="J2725">IFERROR(INDEX('Retirement Calculator'!J:J,MATCH('Isaac 401k'!N2725,'Retirement Calculator'!A:A,0),0),0)</f>
        <v>0</v>
      </c>
      <c r="K2725" s="444">
        <f t="shared" ca="1" si="151"/>
        <v>-155526421.49849039</v>
      </c>
      <c r="L2725" s="444">
        <f t="shared" ca="1" si="152"/>
        <v>-37481867581.136185</v>
      </c>
      <c r="M2725" s="460">
        <f t="shared" si="154"/>
        <v>0.05</v>
      </c>
      <c r="N2725" s="464">
        <f t="shared" si="155"/>
        <v>133985</v>
      </c>
    </row>
    <row r="2726" spans="7:14" ht="11.25" customHeight="1" x14ac:dyDescent="0.25">
      <c r="G2726" s="459"/>
      <c r="H2726" s="459">
        <v>2719</v>
      </c>
      <c r="I2726" s="444">
        <f t="shared" ca="1" si="153"/>
        <v>-37481867581.136185</v>
      </c>
      <c r="J2726" s="444">
        <f t="array" ref="J2726">IFERROR(INDEX('Retirement Calculator'!J:J,MATCH('Isaac 401k'!N2726,'Retirement Calculator'!A:A,0),0),0)</f>
        <v>0</v>
      </c>
      <c r="K2726" s="444">
        <f t="shared" ca="1" si="151"/>
        <v>-156174448.2547341</v>
      </c>
      <c r="L2726" s="444">
        <f t="shared" ca="1" si="152"/>
        <v>-37638042029.390923</v>
      </c>
      <c r="M2726" s="460">
        <f t="shared" si="154"/>
        <v>0.05</v>
      </c>
      <c r="N2726" s="464">
        <f t="shared" si="155"/>
        <v>134015</v>
      </c>
    </row>
    <row r="2727" spans="7:14" ht="11.25" customHeight="1" x14ac:dyDescent="0.25">
      <c r="G2727" s="459"/>
      <c r="H2727" s="459">
        <v>2720</v>
      </c>
      <c r="I2727" s="444">
        <f t="shared" ca="1" si="153"/>
        <v>-37638042029.390923</v>
      </c>
      <c r="J2727" s="444">
        <f t="array" ref="J2727">IFERROR(INDEX('Retirement Calculator'!J:J,MATCH('Isaac 401k'!N2727,'Retirement Calculator'!A:A,0),0),0)</f>
        <v>0</v>
      </c>
      <c r="K2727" s="444">
        <f t="shared" ca="1" si="151"/>
        <v>-156825175.12246218</v>
      </c>
      <c r="L2727" s="444">
        <f t="shared" ca="1" si="152"/>
        <v>-37794867204.513382</v>
      </c>
      <c r="M2727" s="460">
        <f t="shared" si="154"/>
        <v>0.05</v>
      </c>
      <c r="N2727" s="464">
        <f t="shared" si="155"/>
        <v>134046</v>
      </c>
    </row>
    <row r="2728" spans="7:14" ht="11.25" customHeight="1" x14ac:dyDescent="0.25">
      <c r="G2728" s="459"/>
      <c r="H2728" s="459">
        <v>2721</v>
      </c>
      <c r="I2728" s="444">
        <f t="shared" ca="1" si="153"/>
        <v>-37794867204.513382</v>
      </c>
      <c r="J2728" s="444">
        <f t="array" ref="J2728">IFERROR(INDEX('Retirement Calculator'!J:J,MATCH('Isaac 401k'!N2728,'Retirement Calculator'!A:A,0),0),0)</f>
        <v>0</v>
      </c>
      <c r="K2728" s="444">
        <f t="shared" ca="1" si="151"/>
        <v>-157478613.35213909</v>
      </c>
      <c r="L2728" s="444">
        <f t="shared" ca="1" si="152"/>
        <v>-37952345817.865524</v>
      </c>
      <c r="M2728" s="460">
        <f t="shared" si="154"/>
        <v>0.05</v>
      </c>
      <c r="N2728" s="464">
        <f t="shared" si="155"/>
        <v>134077</v>
      </c>
    </row>
    <row r="2729" spans="7:14" ht="11.25" customHeight="1" x14ac:dyDescent="0.25">
      <c r="G2729" s="459"/>
      <c r="H2729" s="459">
        <v>2722</v>
      </c>
      <c r="I2729" s="444">
        <f t="shared" ca="1" si="153"/>
        <v>-37952345817.865524</v>
      </c>
      <c r="J2729" s="444">
        <f t="array" ref="J2729">IFERROR(INDEX('Retirement Calculator'!J:J,MATCH('Isaac 401k'!N2729,'Retirement Calculator'!A:A,0),0),0)</f>
        <v>0</v>
      </c>
      <c r="K2729" s="444">
        <f t="shared" ca="1" si="151"/>
        <v>-158134774.24110636</v>
      </c>
      <c r="L2729" s="444">
        <f t="shared" ca="1" si="152"/>
        <v>-38110480592.106628</v>
      </c>
      <c r="M2729" s="460">
        <f t="shared" si="154"/>
        <v>0.05</v>
      </c>
      <c r="N2729" s="464">
        <f t="shared" si="155"/>
        <v>134105</v>
      </c>
    </row>
    <row r="2730" spans="7:14" ht="11.25" customHeight="1" x14ac:dyDescent="0.25">
      <c r="G2730" s="459"/>
      <c r="H2730" s="459">
        <v>2723</v>
      </c>
      <c r="I2730" s="444">
        <f t="shared" ca="1" si="153"/>
        <v>-38110480592.106628</v>
      </c>
      <c r="J2730" s="444">
        <f t="array" ref="J2730">IFERROR(INDEX('Retirement Calculator'!J:J,MATCH('Isaac 401k'!N2730,'Retirement Calculator'!A:A,0),0),0)</f>
        <v>0</v>
      </c>
      <c r="K2730" s="444">
        <f t="shared" ca="1" si="151"/>
        <v>-158793669.13377762</v>
      </c>
      <c r="L2730" s="444">
        <f t="shared" ca="1" si="152"/>
        <v>-38269274261.240402</v>
      </c>
      <c r="M2730" s="460">
        <f t="shared" si="154"/>
        <v>0.05</v>
      </c>
      <c r="N2730" s="464">
        <f t="shared" si="155"/>
        <v>134136</v>
      </c>
    </row>
    <row r="2731" spans="7:14" ht="11.25" customHeight="1" x14ac:dyDescent="0.25">
      <c r="G2731" s="459"/>
      <c r="H2731" s="459">
        <v>2724</v>
      </c>
      <c r="I2731" s="444">
        <f t="shared" ca="1" si="153"/>
        <v>-38269274261.240402</v>
      </c>
      <c r="J2731" s="444">
        <f t="array" ref="J2731">IFERROR(INDEX('Retirement Calculator'!J:J,MATCH('Isaac 401k'!N2731,'Retirement Calculator'!A:A,0),0),0)</f>
        <v>0</v>
      </c>
      <c r="K2731" s="444">
        <f t="shared" ca="1" si="151"/>
        <v>-159455309.42183501</v>
      </c>
      <c r="L2731" s="444">
        <f t="shared" ca="1" si="152"/>
        <v>-38428729570.662239</v>
      </c>
      <c r="M2731" s="460">
        <f t="shared" si="154"/>
        <v>0.05</v>
      </c>
      <c r="N2731" s="464">
        <f t="shared" si="155"/>
        <v>134166</v>
      </c>
    </row>
    <row r="2732" spans="7:14" ht="11.25" customHeight="1" x14ac:dyDescent="0.25">
      <c r="G2732" s="459"/>
      <c r="H2732" s="459">
        <v>2725</v>
      </c>
      <c r="I2732" s="444">
        <f t="shared" ca="1" si="153"/>
        <v>-38428729570.662239</v>
      </c>
      <c r="J2732" s="444">
        <f t="array" ref="J2732">IFERROR(INDEX('Retirement Calculator'!J:J,MATCH('Isaac 401k'!N2732,'Retirement Calculator'!A:A,0),0),0)</f>
        <v>0</v>
      </c>
      <c r="K2732" s="444">
        <f t="shared" ca="1" si="151"/>
        <v>-160119706.54442599</v>
      </c>
      <c r="L2732" s="444">
        <f t="shared" ca="1" si="152"/>
        <v>-38588849277.206665</v>
      </c>
      <c r="M2732" s="460">
        <f t="shared" si="154"/>
        <v>0.05</v>
      </c>
      <c r="N2732" s="464">
        <f t="shared" si="155"/>
        <v>134197</v>
      </c>
    </row>
    <row r="2733" spans="7:14" ht="11.25" customHeight="1" x14ac:dyDescent="0.25">
      <c r="G2733" s="459"/>
      <c r="H2733" s="459">
        <v>2726</v>
      </c>
      <c r="I2733" s="444">
        <f t="shared" ca="1" si="153"/>
        <v>-38588849277.206665</v>
      </c>
      <c r="J2733" s="444">
        <f t="array" ref="J2733">IFERROR(INDEX('Retirement Calculator'!J:J,MATCH('Isaac 401k'!N2733,'Retirement Calculator'!A:A,0),0),0)</f>
        <v>0</v>
      </c>
      <c r="K2733" s="444">
        <f t="shared" ca="1" si="151"/>
        <v>-160786871.98836109</v>
      </c>
      <c r="L2733" s="444">
        <f t="shared" ca="1" si="152"/>
        <v>-38749636149.195023</v>
      </c>
      <c r="M2733" s="460">
        <f t="shared" si="154"/>
        <v>0.05</v>
      </c>
      <c r="N2733" s="464">
        <f t="shared" si="155"/>
        <v>134227</v>
      </c>
    </row>
    <row r="2734" spans="7:14" ht="11.25" customHeight="1" x14ac:dyDescent="0.25">
      <c r="G2734" s="459"/>
      <c r="H2734" s="459">
        <v>2727</v>
      </c>
      <c r="I2734" s="444">
        <f t="shared" ca="1" si="153"/>
        <v>-38749636149.195023</v>
      </c>
      <c r="J2734" s="444">
        <f t="array" ref="J2734">IFERROR(INDEX('Retirement Calculator'!J:J,MATCH('Isaac 401k'!N2734,'Retirement Calculator'!A:A,0),0),0)</f>
        <v>0</v>
      </c>
      <c r="K2734" s="444">
        <f t="shared" ca="1" si="151"/>
        <v>-161456817.28831258</v>
      </c>
      <c r="L2734" s="444">
        <f t="shared" ca="1" si="152"/>
        <v>-38911092966.483337</v>
      </c>
      <c r="M2734" s="460">
        <f t="shared" si="154"/>
        <v>0.05</v>
      </c>
      <c r="N2734" s="464">
        <f t="shared" si="155"/>
        <v>134258</v>
      </c>
    </row>
    <row r="2735" spans="7:14" ht="11.25" customHeight="1" x14ac:dyDescent="0.25">
      <c r="G2735" s="459"/>
      <c r="H2735" s="459">
        <v>2728</v>
      </c>
      <c r="I2735" s="444">
        <f t="shared" ca="1" si="153"/>
        <v>-38911092966.483337</v>
      </c>
      <c r="J2735" s="444">
        <f t="array" ref="J2735">IFERROR(INDEX('Retirement Calculator'!J:J,MATCH('Isaac 401k'!N2735,'Retirement Calculator'!A:A,0),0),0)</f>
        <v>0</v>
      </c>
      <c r="K2735" s="444">
        <f t="shared" ca="1" si="151"/>
        <v>-162129554.0270139</v>
      </c>
      <c r="L2735" s="444">
        <f t="shared" ca="1" si="152"/>
        <v>-39073222520.510353</v>
      </c>
      <c r="M2735" s="460">
        <f t="shared" si="154"/>
        <v>0.05</v>
      </c>
      <c r="N2735" s="464">
        <f t="shared" si="155"/>
        <v>134289</v>
      </c>
    </row>
    <row r="2736" spans="7:14" ht="11.25" customHeight="1" x14ac:dyDescent="0.25">
      <c r="G2736" s="459"/>
      <c r="H2736" s="459">
        <v>2729</v>
      </c>
      <c r="I2736" s="444">
        <f t="shared" ca="1" si="153"/>
        <v>-39073222520.510353</v>
      </c>
      <c r="J2736" s="444">
        <f t="array" ref="J2736">IFERROR(INDEX('Retirement Calculator'!J:J,MATCH('Isaac 401k'!N2736,'Retirement Calculator'!A:A,0),0),0)</f>
        <v>0</v>
      </c>
      <c r="K2736" s="444">
        <f t="shared" ca="1" si="151"/>
        <v>-162805093.8354598</v>
      </c>
      <c r="L2736" s="444">
        <f t="shared" ca="1" si="152"/>
        <v>-39236027614.34581</v>
      </c>
      <c r="M2736" s="460">
        <f t="shared" si="154"/>
        <v>0.05</v>
      </c>
      <c r="N2736" s="464">
        <f t="shared" si="155"/>
        <v>134319</v>
      </c>
    </row>
    <row r="2737" spans="7:14" ht="11.25" customHeight="1" x14ac:dyDescent="0.25">
      <c r="G2737" s="459"/>
      <c r="H2737" s="459">
        <v>2730</v>
      </c>
      <c r="I2737" s="444">
        <f t="shared" ca="1" si="153"/>
        <v>-39236027614.34581</v>
      </c>
      <c r="J2737" s="444">
        <f t="array" ref="J2737">IFERROR(INDEX('Retirement Calculator'!J:J,MATCH('Isaac 401k'!N2737,'Retirement Calculator'!A:A,0),0),0)</f>
        <v>0</v>
      </c>
      <c r="K2737" s="444">
        <f t="shared" ca="1" si="151"/>
        <v>-163483448.39310753</v>
      </c>
      <c r="L2737" s="444">
        <f t="shared" ca="1" si="152"/>
        <v>-39399511062.738914</v>
      </c>
      <c r="M2737" s="460">
        <f t="shared" si="154"/>
        <v>0.05</v>
      </c>
      <c r="N2737" s="464">
        <f t="shared" si="155"/>
        <v>134350</v>
      </c>
    </row>
    <row r="2738" spans="7:14" ht="11.25" customHeight="1" x14ac:dyDescent="0.25">
      <c r="G2738" s="459"/>
      <c r="H2738" s="459">
        <v>2731</v>
      </c>
      <c r="I2738" s="444">
        <f t="shared" ca="1" si="153"/>
        <v>-39399511062.738914</v>
      </c>
      <c r="J2738" s="444">
        <f t="array" ref="J2738">IFERROR(INDEX('Retirement Calculator'!J:J,MATCH('Isaac 401k'!N2738,'Retirement Calculator'!A:A,0),0),0)</f>
        <v>0</v>
      </c>
      <c r="K2738" s="444">
        <f t="shared" ca="1" si="151"/>
        <v>-164164629.4280788</v>
      </c>
      <c r="L2738" s="444">
        <f t="shared" ca="1" si="152"/>
        <v>-39563675692.166992</v>
      </c>
      <c r="M2738" s="460">
        <f t="shared" si="154"/>
        <v>0.05</v>
      </c>
      <c r="N2738" s="464">
        <f t="shared" si="155"/>
        <v>134380</v>
      </c>
    </row>
    <row r="2739" spans="7:14" ht="11.25" customHeight="1" x14ac:dyDescent="0.25">
      <c r="G2739" s="459"/>
      <c r="H2739" s="459">
        <v>2732</v>
      </c>
      <c r="I2739" s="444">
        <f t="shared" ca="1" si="153"/>
        <v>-39563675692.166992</v>
      </c>
      <c r="J2739" s="444">
        <f t="array" ref="J2739">IFERROR(INDEX('Retirement Calculator'!J:J,MATCH('Isaac 401k'!N2739,'Retirement Calculator'!A:A,0),0),0)</f>
        <v>0</v>
      </c>
      <c r="K2739" s="444">
        <f t="shared" ca="1" si="151"/>
        <v>-164848648.71736246</v>
      </c>
      <c r="L2739" s="444">
        <f t="shared" ca="1" si="152"/>
        <v>-39728524340.884354</v>
      </c>
      <c r="M2739" s="460">
        <f t="shared" si="154"/>
        <v>0.05</v>
      </c>
      <c r="N2739" s="464">
        <f t="shared" si="155"/>
        <v>134411</v>
      </c>
    </row>
    <row r="2740" spans="7:14" ht="11.25" customHeight="1" x14ac:dyDescent="0.25">
      <c r="G2740" s="459"/>
      <c r="H2740" s="459">
        <v>2733</v>
      </c>
      <c r="I2740" s="444">
        <f t="shared" ca="1" si="153"/>
        <v>-39728524340.884354</v>
      </c>
      <c r="J2740" s="444">
        <f t="array" ref="J2740">IFERROR(INDEX('Retirement Calculator'!J:J,MATCH('Isaac 401k'!N2740,'Retirement Calculator'!A:A,0),0),0)</f>
        <v>0</v>
      </c>
      <c r="K2740" s="444">
        <f t="shared" ca="1" si="151"/>
        <v>-165535518.08701813</v>
      </c>
      <c r="L2740" s="444">
        <f t="shared" ca="1" si="152"/>
        <v>-39894059858.971375</v>
      </c>
      <c r="M2740" s="460">
        <f t="shared" si="154"/>
        <v>0.05</v>
      </c>
      <c r="N2740" s="464">
        <f t="shared" si="155"/>
        <v>134442</v>
      </c>
    </row>
    <row r="2741" spans="7:14" ht="11.25" customHeight="1" x14ac:dyDescent="0.25">
      <c r="G2741" s="459"/>
      <c r="H2741" s="459">
        <v>2734</v>
      </c>
      <c r="I2741" s="444">
        <f t="shared" ca="1" si="153"/>
        <v>-39894059858.971375</v>
      </c>
      <c r="J2741" s="444">
        <f t="array" ref="J2741">IFERROR(INDEX('Retirement Calculator'!J:J,MATCH('Isaac 401k'!N2741,'Retirement Calculator'!A:A,0),0),0)</f>
        <v>0</v>
      </c>
      <c r="K2741" s="444">
        <f t="shared" ca="1" si="151"/>
        <v>-166225249.41238073</v>
      </c>
      <c r="L2741" s="444">
        <f t="shared" ca="1" si="152"/>
        <v>-40060285108.383759</v>
      </c>
      <c r="M2741" s="460">
        <f t="shared" si="154"/>
        <v>0.05</v>
      </c>
      <c r="N2741" s="464">
        <f t="shared" si="155"/>
        <v>134471</v>
      </c>
    </row>
    <row r="2742" spans="7:14" ht="11.25" customHeight="1" x14ac:dyDescent="0.25">
      <c r="G2742" s="459"/>
      <c r="H2742" s="459">
        <v>2735</v>
      </c>
      <c r="I2742" s="444">
        <f t="shared" ca="1" si="153"/>
        <v>-40060285108.383759</v>
      </c>
      <c r="J2742" s="444">
        <f t="array" ref="J2742">IFERROR(INDEX('Retirement Calculator'!J:J,MATCH('Isaac 401k'!N2742,'Retirement Calculator'!A:A,0),0),0)</f>
        <v>0</v>
      </c>
      <c r="K2742" s="444">
        <f t="shared" ca="1" si="151"/>
        <v>-166917854.61826566</v>
      </c>
      <c r="L2742" s="444">
        <f t="shared" ca="1" si="152"/>
        <v>-40227202963.002022</v>
      </c>
      <c r="M2742" s="460">
        <f t="shared" si="154"/>
        <v>0.05</v>
      </c>
      <c r="N2742" s="464">
        <f t="shared" si="155"/>
        <v>134502</v>
      </c>
    </row>
    <row r="2743" spans="7:14" ht="11.25" customHeight="1" x14ac:dyDescent="0.25">
      <c r="G2743" s="459"/>
      <c r="H2743" s="459">
        <v>2736</v>
      </c>
      <c r="I2743" s="444">
        <f t="shared" ca="1" si="153"/>
        <v>-40227202963.002022</v>
      </c>
      <c r="J2743" s="444">
        <f t="array" ref="J2743">IFERROR(INDEX('Retirement Calculator'!J:J,MATCH('Isaac 401k'!N2743,'Retirement Calculator'!A:A,0),0),0)</f>
        <v>0</v>
      </c>
      <c r="K2743" s="444">
        <f t="shared" ca="1" si="151"/>
        <v>-167613345.67917508</v>
      </c>
      <c r="L2743" s="444">
        <f t="shared" ca="1" si="152"/>
        <v>-40394816308.681198</v>
      </c>
      <c r="M2743" s="460">
        <f t="shared" si="154"/>
        <v>0.05</v>
      </c>
      <c r="N2743" s="464">
        <f t="shared" si="155"/>
        <v>134532</v>
      </c>
    </row>
    <row r="2744" spans="7:14" ht="11.25" customHeight="1" x14ac:dyDescent="0.25">
      <c r="G2744" s="459"/>
      <c r="H2744" s="459">
        <v>2737</v>
      </c>
      <c r="I2744" s="444">
        <f t="shared" ca="1" si="153"/>
        <v>-40394816308.681198</v>
      </c>
      <c r="J2744" s="444">
        <f t="array" ref="J2744">IFERROR(INDEX('Retirement Calculator'!J:J,MATCH('Isaac 401k'!N2744,'Retirement Calculator'!A:A,0),0),0)</f>
        <v>0</v>
      </c>
      <c r="K2744" s="444">
        <f t="shared" ca="1" si="151"/>
        <v>-168311734.61950499</v>
      </c>
      <c r="L2744" s="444">
        <f t="shared" ca="1" si="152"/>
        <v>-40563128043.300705</v>
      </c>
      <c r="M2744" s="460">
        <f t="shared" si="154"/>
        <v>0.05</v>
      </c>
      <c r="N2744" s="464">
        <f t="shared" si="155"/>
        <v>134563</v>
      </c>
    </row>
    <row r="2745" spans="7:14" ht="11.25" customHeight="1" x14ac:dyDescent="0.25">
      <c r="G2745" s="459"/>
      <c r="H2745" s="459">
        <v>2738</v>
      </c>
      <c r="I2745" s="444">
        <f t="shared" ca="1" si="153"/>
        <v>-40563128043.300705</v>
      </c>
      <c r="J2745" s="444">
        <f t="array" ref="J2745">IFERROR(INDEX('Retirement Calculator'!J:J,MATCH('Isaac 401k'!N2745,'Retirement Calculator'!A:A,0),0),0)</f>
        <v>0</v>
      </c>
      <c r="K2745" s="444">
        <f t="shared" ca="1" si="151"/>
        <v>-169013033.51375294</v>
      </c>
      <c r="L2745" s="444">
        <f t="shared" ca="1" si="152"/>
        <v>-40732141076.814461</v>
      </c>
      <c r="M2745" s="460">
        <f t="shared" si="154"/>
        <v>0.05</v>
      </c>
      <c r="N2745" s="464">
        <f t="shared" si="155"/>
        <v>134593</v>
      </c>
    </row>
    <row r="2746" spans="7:14" ht="11.25" customHeight="1" x14ac:dyDescent="0.25">
      <c r="G2746" s="459"/>
      <c r="H2746" s="459">
        <v>2739</v>
      </c>
      <c r="I2746" s="444">
        <f t="shared" ca="1" si="153"/>
        <v>-40732141076.814461</v>
      </c>
      <c r="J2746" s="444">
        <f t="array" ref="J2746">IFERROR(INDEX('Retirement Calculator'!J:J,MATCH('Isaac 401k'!N2746,'Retirement Calculator'!A:A,0),0),0)</f>
        <v>0</v>
      </c>
      <c r="K2746" s="444">
        <f t="shared" ca="1" si="151"/>
        <v>-169717254.48672691</v>
      </c>
      <c r="L2746" s="444">
        <f t="shared" ca="1" si="152"/>
        <v>-40901858331.301186</v>
      </c>
      <c r="M2746" s="460">
        <f t="shared" si="154"/>
        <v>0.05</v>
      </c>
      <c r="N2746" s="464">
        <f t="shared" si="155"/>
        <v>134624</v>
      </c>
    </row>
    <row r="2747" spans="7:14" ht="11.25" customHeight="1" x14ac:dyDescent="0.25">
      <c r="G2747" s="459"/>
      <c r="H2747" s="459">
        <v>2740</v>
      </c>
      <c r="I2747" s="444">
        <f t="shared" ca="1" si="153"/>
        <v>-40901858331.301186</v>
      </c>
      <c r="J2747" s="444">
        <f t="array" ref="J2747">IFERROR(INDEX('Retirement Calculator'!J:J,MATCH('Isaac 401k'!N2747,'Retirement Calculator'!A:A,0),0),0)</f>
        <v>0</v>
      </c>
      <c r="K2747" s="444">
        <f t="shared" ca="1" si="151"/>
        <v>-170424409.71375495</v>
      </c>
      <c r="L2747" s="444">
        <f t="shared" ca="1" si="152"/>
        <v>-41072282741.014938</v>
      </c>
      <c r="M2747" s="460">
        <f t="shared" si="154"/>
        <v>0.05</v>
      </c>
      <c r="N2747" s="464">
        <f t="shared" si="155"/>
        <v>134655</v>
      </c>
    </row>
    <row r="2748" spans="7:14" ht="11.25" customHeight="1" x14ac:dyDescent="0.25">
      <c r="G2748" s="459"/>
      <c r="H2748" s="459">
        <v>2741</v>
      </c>
      <c r="I2748" s="444">
        <f t="shared" ca="1" si="153"/>
        <v>-41072282741.014938</v>
      </c>
      <c r="J2748" s="444">
        <f t="array" ref="J2748">IFERROR(INDEX('Retirement Calculator'!J:J,MATCH('Isaac 401k'!N2748,'Retirement Calculator'!A:A,0),0),0)</f>
        <v>0</v>
      </c>
      <c r="K2748" s="444">
        <f t="shared" ca="1" si="151"/>
        <v>-171134511.42089558</v>
      </c>
      <c r="L2748" s="444">
        <f t="shared" ca="1" si="152"/>
        <v>-41243417252.435837</v>
      </c>
      <c r="M2748" s="460">
        <f t="shared" si="154"/>
        <v>0.05</v>
      </c>
      <c r="N2748" s="464">
        <f t="shared" si="155"/>
        <v>134685</v>
      </c>
    </row>
    <row r="2749" spans="7:14" ht="11.25" customHeight="1" x14ac:dyDescent="0.25">
      <c r="G2749" s="459"/>
      <c r="H2749" s="459">
        <v>2742</v>
      </c>
      <c r="I2749" s="444">
        <f t="shared" ca="1" si="153"/>
        <v>-41243417252.435837</v>
      </c>
      <c r="J2749" s="444">
        <f t="array" ref="J2749">IFERROR(INDEX('Retirement Calculator'!J:J,MATCH('Isaac 401k'!N2749,'Retirement Calculator'!A:A,0),0),0)</f>
        <v>0</v>
      </c>
      <c r="K2749" s="444">
        <f t="shared" ca="1" si="151"/>
        <v>-171847571.88514933</v>
      </c>
      <c r="L2749" s="444">
        <f t="shared" ca="1" si="152"/>
        <v>-41415264824.320984</v>
      </c>
      <c r="M2749" s="460">
        <f t="shared" si="154"/>
        <v>0.05</v>
      </c>
      <c r="N2749" s="464">
        <f t="shared" si="155"/>
        <v>134716</v>
      </c>
    </row>
    <row r="2750" spans="7:14" ht="11.25" customHeight="1" x14ac:dyDescent="0.25">
      <c r="G2750" s="459"/>
      <c r="H2750" s="459">
        <v>2743</v>
      </c>
      <c r="I2750" s="444">
        <f t="shared" ca="1" si="153"/>
        <v>-41415264824.320984</v>
      </c>
      <c r="J2750" s="444">
        <f t="array" ref="J2750">IFERROR(INDEX('Retirement Calculator'!J:J,MATCH('Isaac 401k'!N2750,'Retirement Calculator'!A:A,0),0),0)</f>
        <v>0</v>
      </c>
      <c r="K2750" s="444">
        <f t="shared" ca="1" si="151"/>
        <v>-172563603.43467078</v>
      </c>
      <c r="L2750" s="444">
        <f t="shared" ca="1" si="152"/>
        <v>-41587828427.755653</v>
      </c>
      <c r="M2750" s="460">
        <f t="shared" si="154"/>
        <v>0.05</v>
      </c>
      <c r="N2750" s="464">
        <f t="shared" si="155"/>
        <v>134746</v>
      </c>
    </row>
    <row r="2751" spans="7:14" ht="11.25" customHeight="1" x14ac:dyDescent="0.25">
      <c r="G2751" s="459"/>
      <c r="H2751" s="459">
        <v>2744</v>
      </c>
      <c r="I2751" s="444">
        <f t="shared" ca="1" si="153"/>
        <v>-41587828427.755653</v>
      </c>
      <c r="J2751" s="444">
        <f t="array" ref="J2751">IFERROR(INDEX('Retirement Calculator'!J:J,MATCH('Isaac 401k'!N2751,'Retirement Calculator'!A:A,0),0),0)</f>
        <v>0</v>
      </c>
      <c r="K2751" s="444">
        <f t="shared" ca="1" si="151"/>
        <v>-173282618.44898188</v>
      </c>
      <c r="L2751" s="444">
        <f t="shared" ca="1" si="152"/>
        <v>-41761111046.204636</v>
      </c>
      <c r="M2751" s="460">
        <f t="shared" si="154"/>
        <v>0.05</v>
      </c>
      <c r="N2751" s="464">
        <f t="shared" si="155"/>
        <v>134777</v>
      </c>
    </row>
    <row r="2752" spans="7:14" ht="11.25" customHeight="1" x14ac:dyDescent="0.25">
      <c r="G2752" s="459"/>
      <c r="H2752" s="459">
        <v>2745</v>
      </c>
      <c r="I2752" s="444">
        <f t="shared" ca="1" si="153"/>
        <v>-41761111046.204636</v>
      </c>
      <c r="J2752" s="444">
        <f t="array" ref="J2752">IFERROR(INDEX('Retirement Calculator'!J:J,MATCH('Isaac 401k'!N2752,'Retirement Calculator'!A:A,0),0),0)</f>
        <v>0</v>
      </c>
      <c r="K2752" s="444">
        <f t="shared" ca="1" si="151"/>
        <v>-174004629.35918599</v>
      </c>
      <c r="L2752" s="444">
        <f t="shared" ca="1" si="152"/>
        <v>-41935115675.56382</v>
      </c>
      <c r="M2752" s="460">
        <f t="shared" si="154"/>
        <v>0.05</v>
      </c>
      <c r="N2752" s="464">
        <f t="shared" si="155"/>
        <v>134808</v>
      </c>
    </row>
    <row r="2753" spans="7:14" ht="11.25" customHeight="1" x14ac:dyDescent="0.25">
      <c r="G2753" s="459"/>
      <c r="H2753" s="459">
        <v>2746</v>
      </c>
      <c r="I2753" s="444">
        <f t="shared" ca="1" si="153"/>
        <v>-41935115675.56382</v>
      </c>
      <c r="J2753" s="444">
        <f t="array" ref="J2753">IFERROR(INDEX('Retirement Calculator'!J:J,MATCH('Isaac 401k'!N2753,'Retirement Calculator'!A:A,0),0),0)</f>
        <v>0</v>
      </c>
      <c r="K2753" s="444">
        <f t="shared" ca="1" si="151"/>
        <v>-174729648.64818257</v>
      </c>
      <c r="L2753" s="444">
        <f t="shared" ca="1" si="152"/>
        <v>-42109845324.212006</v>
      </c>
      <c r="M2753" s="460">
        <f t="shared" si="154"/>
        <v>0.05</v>
      </c>
      <c r="N2753" s="464">
        <f t="shared" si="155"/>
        <v>134836</v>
      </c>
    </row>
    <row r="2754" spans="7:14" ht="11.25" customHeight="1" x14ac:dyDescent="0.25">
      <c r="G2754" s="459"/>
      <c r="H2754" s="459">
        <v>2747</v>
      </c>
      <c r="I2754" s="444">
        <f t="shared" ca="1" si="153"/>
        <v>-42109845324.212006</v>
      </c>
      <c r="J2754" s="444">
        <f t="array" ref="J2754">IFERROR(INDEX('Retirement Calculator'!J:J,MATCH('Isaac 401k'!N2754,'Retirement Calculator'!A:A,0),0),0)</f>
        <v>0</v>
      </c>
      <c r="K2754" s="444">
        <f t="shared" ca="1" si="151"/>
        <v>-175457688.85088336</v>
      </c>
      <c r="L2754" s="444">
        <f t="shared" ca="1" si="152"/>
        <v>-42285303013.062889</v>
      </c>
      <c r="M2754" s="460">
        <f t="shared" si="154"/>
        <v>0.05</v>
      </c>
      <c r="N2754" s="464">
        <f t="shared" si="155"/>
        <v>134867</v>
      </c>
    </row>
    <row r="2755" spans="7:14" ht="11.25" customHeight="1" x14ac:dyDescent="0.25">
      <c r="G2755" s="459"/>
      <c r="H2755" s="459">
        <v>2748</v>
      </c>
      <c r="I2755" s="444">
        <f t="shared" ca="1" si="153"/>
        <v>-42285303013.062889</v>
      </c>
      <c r="J2755" s="444">
        <f t="array" ref="J2755">IFERROR(INDEX('Retirement Calculator'!J:J,MATCH('Isaac 401k'!N2755,'Retirement Calculator'!A:A,0),0),0)</f>
        <v>0</v>
      </c>
      <c r="K2755" s="444">
        <f t="shared" ca="1" si="151"/>
        <v>-176188762.5544287</v>
      </c>
      <c r="L2755" s="444">
        <f t="shared" ca="1" si="152"/>
        <v>-42461491775.617317</v>
      </c>
      <c r="M2755" s="460">
        <f t="shared" si="154"/>
        <v>0.05</v>
      </c>
      <c r="N2755" s="464">
        <f t="shared" si="155"/>
        <v>134897</v>
      </c>
    </row>
    <row r="2756" spans="7:14" ht="11.25" customHeight="1" x14ac:dyDescent="0.25">
      <c r="G2756" s="459"/>
      <c r="H2756" s="459">
        <v>2749</v>
      </c>
      <c r="I2756" s="444">
        <f t="shared" ca="1" si="153"/>
        <v>-42461491775.617317</v>
      </c>
      <c r="J2756" s="444">
        <f t="array" ref="J2756">IFERROR(INDEX('Retirement Calculator'!J:J,MATCH('Isaac 401k'!N2756,'Retirement Calculator'!A:A,0),0),0)</f>
        <v>0</v>
      </c>
      <c r="K2756" s="444">
        <f t="shared" ca="1" si="151"/>
        <v>-176922882.39840549</v>
      </c>
      <c r="L2756" s="444">
        <f t="shared" ca="1" si="152"/>
        <v>-42638414658.015724</v>
      </c>
      <c r="M2756" s="460">
        <f t="shared" si="154"/>
        <v>0.05</v>
      </c>
      <c r="N2756" s="464">
        <f t="shared" si="155"/>
        <v>134928</v>
      </c>
    </row>
    <row r="2757" spans="7:14" ht="11.25" customHeight="1" x14ac:dyDescent="0.25">
      <c r="G2757" s="459"/>
      <c r="H2757" s="459">
        <v>2750</v>
      </c>
      <c r="I2757" s="444">
        <f t="shared" ca="1" si="153"/>
        <v>-42638414658.015724</v>
      </c>
      <c r="J2757" s="444">
        <f t="array" ref="J2757">IFERROR(INDEX('Retirement Calculator'!J:J,MATCH('Isaac 401k'!N2757,'Retirement Calculator'!A:A,0),0),0)</f>
        <v>0</v>
      </c>
      <c r="K2757" s="444">
        <f t="shared" ca="1" si="151"/>
        <v>-177660061.07506552</v>
      </c>
      <c r="L2757" s="444">
        <f t="shared" ca="1" si="152"/>
        <v>-42816074719.09079</v>
      </c>
      <c r="M2757" s="460">
        <f t="shared" si="154"/>
        <v>0.05</v>
      </c>
      <c r="N2757" s="464">
        <f t="shared" si="155"/>
        <v>134958</v>
      </c>
    </row>
    <row r="2758" spans="7:14" ht="11.25" customHeight="1" x14ac:dyDescent="0.25">
      <c r="G2758" s="459"/>
      <c r="H2758" s="459">
        <v>2751</v>
      </c>
      <c r="I2758" s="444">
        <f t="shared" ca="1" si="153"/>
        <v>-42816074719.09079</v>
      </c>
      <c r="J2758" s="444">
        <f t="array" ref="J2758">IFERROR(INDEX('Retirement Calculator'!J:J,MATCH('Isaac 401k'!N2758,'Retirement Calculator'!A:A,0),0),0)</f>
        <v>0</v>
      </c>
      <c r="K2758" s="444">
        <f t="shared" ca="1" si="151"/>
        <v>-178400311.32954496</v>
      </c>
      <c r="L2758" s="444">
        <f t="shared" ca="1" si="152"/>
        <v>-42994475030.420334</v>
      </c>
      <c r="M2758" s="460">
        <f t="shared" si="154"/>
        <v>0.05</v>
      </c>
      <c r="N2758" s="464">
        <f t="shared" si="155"/>
        <v>134989</v>
      </c>
    </row>
    <row r="2759" spans="7:14" ht="11.25" customHeight="1" x14ac:dyDescent="0.25">
      <c r="G2759" s="459"/>
      <c r="H2759" s="459">
        <v>2752</v>
      </c>
      <c r="I2759" s="444">
        <f t="shared" ca="1" si="153"/>
        <v>-42994475030.420334</v>
      </c>
      <c r="J2759" s="444">
        <f t="array" ref="J2759">IFERROR(INDEX('Retirement Calculator'!J:J,MATCH('Isaac 401k'!N2759,'Retirement Calculator'!A:A,0),0),0)</f>
        <v>0</v>
      </c>
      <c r="K2759" s="444">
        <f t="shared" ca="1" si="151"/>
        <v>-179143645.96008474</v>
      </c>
      <c r="L2759" s="444">
        <f t="shared" ca="1" si="152"/>
        <v>-43173618676.380417</v>
      </c>
      <c r="M2759" s="460">
        <f t="shared" si="154"/>
        <v>0.05</v>
      </c>
      <c r="N2759" s="464">
        <f t="shared" si="155"/>
        <v>135020</v>
      </c>
    </row>
    <row r="2760" spans="7:14" ht="11.25" customHeight="1" x14ac:dyDescent="0.25">
      <c r="G2760" s="459"/>
      <c r="H2760" s="459">
        <v>2753</v>
      </c>
      <c r="I2760" s="444">
        <f t="shared" ca="1" si="153"/>
        <v>-43173618676.380417</v>
      </c>
      <c r="J2760" s="444">
        <f t="array" ref="J2760">IFERROR(INDEX('Retirement Calculator'!J:J,MATCH('Isaac 401k'!N2760,'Retirement Calculator'!A:A,0),0),0)</f>
        <v>0</v>
      </c>
      <c r="K2760" s="444">
        <f t="shared" ca="1" si="151"/>
        <v>-179890077.81825173</v>
      </c>
      <c r="L2760" s="444">
        <f t="shared" ca="1" si="152"/>
        <v>-43353508754.198669</v>
      </c>
      <c r="M2760" s="460">
        <f t="shared" si="154"/>
        <v>0.05</v>
      </c>
      <c r="N2760" s="464">
        <f t="shared" si="155"/>
        <v>135050</v>
      </c>
    </row>
    <row r="2761" spans="7:14" ht="11.25" customHeight="1" x14ac:dyDescent="0.25">
      <c r="G2761" s="459"/>
      <c r="H2761" s="459">
        <v>2754</v>
      </c>
      <c r="I2761" s="444">
        <f t="shared" ca="1" si="153"/>
        <v>-43353508754.198669</v>
      </c>
      <c r="J2761" s="444">
        <f t="array" ref="J2761">IFERROR(INDEX('Retirement Calculator'!J:J,MATCH('Isaac 401k'!N2761,'Retirement Calculator'!A:A,0),0),0)</f>
        <v>0</v>
      </c>
      <c r="K2761" s="444">
        <f t="shared" ca="1" si="151"/>
        <v>-180639619.80916113</v>
      </c>
      <c r="L2761" s="444">
        <f t="shared" ca="1" si="152"/>
        <v>-43534148374.007828</v>
      </c>
      <c r="M2761" s="460">
        <f t="shared" si="154"/>
        <v>0.05</v>
      </c>
      <c r="N2761" s="464">
        <f t="shared" si="155"/>
        <v>135081</v>
      </c>
    </row>
    <row r="2762" spans="7:14" ht="11.25" customHeight="1" x14ac:dyDescent="0.25">
      <c r="G2762" s="459"/>
      <c r="H2762" s="459">
        <v>2755</v>
      </c>
      <c r="I2762" s="444">
        <f t="shared" ca="1" si="153"/>
        <v>-43534148374.007828</v>
      </c>
      <c r="J2762" s="444">
        <f t="array" ref="J2762">IFERROR(INDEX('Retirement Calculator'!J:J,MATCH('Isaac 401k'!N2762,'Retirement Calculator'!A:A,0),0),0)</f>
        <v>0</v>
      </c>
      <c r="K2762" s="444">
        <f t="shared" ca="1" si="151"/>
        <v>-181392284.89169928</v>
      </c>
      <c r="L2762" s="444">
        <f t="shared" ca="1" si="152"/>
        <v>-43715540658.899529</v>
      </c>
      <c r="M2762" s="460">
        <f t="shared" si="154"/>
        <v>0.05</v>
      </c>
      <c r="N2762" s="464">
        <f t="shared" si="155"/>
        <v>135111</v>
      </c>
    </row>
    <row r="2763" spans="7:14" ht="11.25" customHeight="1" x14ac:dyDescent="0.25">
      <c r="G2763" s="459"/>
      <c r="H2763" s="459">
        <v>2756</v>
      </c>
      <c r="I2763" s="444">
        <f t="shared" ca="1" si="153"/>
        <v>-43715540658.899529</v>
      </c>
      <c r="J2763" s="444">
        <f t="array" ref="J2763">IFERROR(INDEX('Retirement Calculator'!J:J,MATCH('Isaac 401k'!N2763,'Retirement Calculator'!A:A,0),0),0)</f>
        <v>0</v>
      </c>
      <c r="K2763" s="444">
        <f t="shared" ca="1" si="151"/>
        <v>-182148086.07874805</v>
      </c>
      <c r="L2763" s="444">
        <f t="shared" ca="1" si="152"/>
        <v>-43897688744.978279</v>
      </c>
      <c r="M2763" s="460">
        <f t="shared" si="154"/>
        <v>0.05</v>
      </c>
      <c r="N2763" s="464">
        <f t="shared" si="155"/>
        <v>135142</v>
      </c>
    </row>
    <row r="2764" spans="7:14" ht="11.25" customHeight="1" x14ac:dyDescent="0.25">
      <c r="G2764" s="459"/>
      <c r="H2764" s="459">
        <v>2757</v>
      </c>
      <c r="I2764" s="444">
        <f t="shared" ca="1" si="153"/>
        <v>-43897688744.978279</v>
      </c>
      <c r="J2764" s="444">
        <f t="array" ref="J2764">IFERROR(INDEX('Retirement Calculator'!J:J,MATCH('Isaac 401k'!N2764,'Retirement Calculator'!A:A,0),0),0)</f>
        <v>0</v>
      </c>
      <c r="K2764" s="444">
        <f t="shared" ca="1" si="151"/>
        <v>-182907036.43740949</v>
      </c>
      <c r="L2764" s="444">
        <f t="shared" ca="1" si="152"/>
        <v>-44080595781.415688</v>
      </c>
      <c r="M2764" s="460">
        <f t="shared" si="154"/>
        <v>0.05</v>
      </c>
      <c r="N2764" s="464">
        <f t="shared" si="155"/>
        <v>135173</v>
      </c>
    </row>
    <row r="2765" spans="7:14" ht="11.25" customHeight="1" x14ac:dyDescent="0.25">
      <c r="G2765" s="459"/>
      <c r="H2765" s="459">
        <v>2758</v>
      </c>
      <c r="I2765" s="444">
        <f t="shared" ca="1" si="153"/>
        <v>-44080595781.415688</v>
      </c>
      <c r="J2765" s="444">
        <f t="array" ref="J2765">IFERROR(INDEX('Retirement Calculator'!J:J,MATCH('Isaac 401k'!N2765,'Retirement Calculator'!A:A,0),0),0)</f>
        <v>0</v>
      </c>
      <c r="K2765" s="444">
        <f t="shared" ca="1" si="151"/>
        <v>-183669149.08923203</v>
      </c>
      <c r="L2765" s="444">
        <f t="shared" ca="1" si="152"/>
        <v>-44264264930.504921</v>
      </c>
      <c r="M2765" s="460">
        <f t="shared" si="154"/>
        <v>0.05</v>
      </c>
      <c r="N2765" s="464">
        <f t="shared" si="155"/>
        <v>135201</v>
      </c>
    </row>
    <row r="2766" spans="7:14" ht="11.25" customHeight="1" x14ac:dyDescent="0.25">
      <c r="G2766" s="459"/>
      <c r="H2766" s="459">
        <v>2759</v>
      </c>
      <c r="I2766" s="444">
        <f t="shared" ca="1" si="153"/>
        <v>-44264264930.504921</v>
      </c>
      <c r="J2766" s="444">
        <f t="array" ref="J2766">IFERROR(INDEX('Retirement Calculator'!J:J,MATCH('Isaac 401k'!N2766,'Retirement Calculator'!A:A,0),0),0)</f>
        <v>0</v>
      </c>
      <c r="K2766" s="444">
        <f t="shared" ca="1" si="151"/>
        <v>-184434437.21043718</v>
      </c>
      <c r="L2766" s="444">
        <f t="shared" ca="1" si="152"/>
        <v>-44448699367.715355</v>
      </c>
      <c r="M2766" s="460">
        <f t="shared" si="154"/>
        <v>0.05</v>
      </c>
      <c r="N2766" s="464">
        <f t="shared" si="155"/>
        <v>135232</v>
      </c>
    </row>
    <row r="2767" spans="7:14" ht="11.25" customHeight="1" x14ac:dyDescent="0.25">
      <c r="G2767" s="459"/>
      <c r="H2767" s="459">
        <v>2760</v>
      </c>
      <c r="I2767" s="444">
        <f t="shared" ca="1" si="153"/>
        <v>-44448699367.715355</v>
      </c>
      <c r="J2767" s="444">
        <f t="array" ref="J2767">IFERROR(INDEX('Retirement Calculator'!J:J,MATCH('Isaac 401k'!N2767,'Retirement Calculator'!A:A,0),0),0)</f>
        <v>0</v>
      </c>
      <c r="K2767" s="444">
        <f t="shared" ca="1" si="151"/>
        <v>-185202914.03214732</v>
      </c>
      <c r="L2767" s="444">
        <f t="shared" ca="1" si="152"/>
        <v>-44633902281.747505</v>
      </c>
      <c r="M2767" s="460">
        <f t="shared" si="154"/>
        <v>0.05</v>
      </c>
      <c r="N2767" s="464">
        <f t="shared" si="155"/>
        <v>135262</v>
      </c>
    </row>
    <row r="2768" spans="7:14" ht="11.25" customHeight="1" x14ac:dyDescent="0.25">
      <c r="G2768" s="459"/>
      <c r="H2768" s="459">
        <v>2761</v>
      </c>
      <c r="I2768" s="444">
        <f t="shared" ca="1" si="153"/>
        <v>-44633902281.747505</v>
      </c>
      <c r="J2768" s="444">
        <f t="array" ref="J2768">IFERROR(INDEX('Retirement Calculator'!J:J,MATCH('Isaac 401k'!N2768,'Retirement Calculator'!A:A,0),0),0)</f>
        <v>0</v>
      </c>
      <c r="K2768" s="444">
        <f t="shared" ca="1" si="151"/>
        <v>-185974592.84061462</v>
      </c>
      <c r="L2768" s="444">
        <f t="shared" ca="1" si="152"/>
        <v>-44819876874.58812</v>
      </c>
      <c r="M2768" s="460">
        <f t="shared" si="154"/>
        <v>0.05</v>
      </c>
      <c r="N2768" s="464">
        <f t="shared" si="155"/>
        <v>135293</v>
      </c>
    </row>
    <row r="2769" spans="7:14" ht="11.25" customHeight="1" x14ac:dyDescent="0.25">
      <c r="G2769" s="459"/>
      <c r="H2769" s="459">
        <v>2762</v>
      </c>
      <c r="I2769" s="444">
        <f t="shared" ca="1" si="153"/>
        <v>-44819876874.58812</v>
      </c>
      <c r="J2769" s="444">
        <f t="array" ref="J2769">IFERROR(INDEX('Retirement Calculator'!J:J,MATCH('Isaac 401k'!N2769,'Retirement Calculator'!A:A,0),0),0)</f>
        <v>0</v>
      </c>
      <c r="K2769" s="444">
        <f t="shared" ca="1" si="151"/>
        <v>-186749486.97745049</v>
      </c>
      <c r="L2769" s="444">
        <f t="shared" ca="1" si="152"/>
        <v>-45006626361.565567</v>
      </c>
      <c r="M2769" s="460">
        <f t="shared" si="154"/>
        <v>0.05</v>
      </c>
      <c r="N2769" s="464">
        <f t="shared" si="155"/>
        <v>135323</v>
      </c>
    </row>
    <row r="2770" spans="7:14" ht="11.25" customHeight="1" x14ac:dyDescent="0.25">
      <c r="G2770" s="459"/>
      <c r="H2770" s="459">
        <v>2763</v>
      </c>
      <c r="I2770" s="444">
        <f t="shared" ca="1" si="153"/>
        <v>-45006626361.565567</v>
      </c>
      <c r="J2770" s="444">
        <f t="array" ref="J2770">IFERROR(INDEX('Retirement Calculator'!J:J,MATCH('Isaac 401k'!N2770,'Retirement Calculator'!A:A,0),0),0)</f>
        <v>0</v>
      </c>
      <c r="K2770" s="444">
        <f t="shared" ca="1" si="151"/>
        <v>-187527609.83985654</v>
      </c>
      <c r="L2770" s="444">
        <f t="shared" ca="1" si="152"/>
        <v>-45194153971.405426</v>
      </c>
      <c r="M2770" s="460">
        <f t="shared" si="154"/>
        <v>0.05</v>
      </c>
      <c r="N2770" s="464">
        <f t="shared" si="155"/>
        <v>135354</v>
      </c>
    </row>
    <row r="2771" spans="7:14" ht="11.25" customHeight="1" x14ac:dyDescent="0.25">
      <c r="G2771" s="459"/>
      <c r="H2771" s="459">
        <v>2764</v>
      </c>
      <c r="I2771" s="444">
        <f t="shared" ca="1" si="153"/>
        <v>-45194153971.405426</v>
      </c>
      <c r="J2771" s="444">
        <f t="array" ref="J2771">IFERROR(INDEX('Retirement Calculator'!J:J,MATCH('Isaac 401k'!N2771,'Retirement Calculator'!A:A,0),0),0)</f>
        <v>0</v>
      </c>
      <c r="K2771" s="444">
        <f t="shared" ca="1" si="151"/>
        <v>-188308974.88085595</v>
      </c>
      <c r="L2771" s="444">
        <f t="shared" ca="1" si="152"/>
        <v>-45382462946.286285</v>
      </c>
      <c r="M2771" s="460">
        <f t="shared" si="154"/>
        <v>0.05</v>
      </c>
      <c r="N2771" s="464">
        <f t="shared" si="155"/>
        <v>135385</v>
      </c>
    </row>
    <row r="2772" spans="7:14" ht="11.25" customHeight="1" x14ac:dyDescent="0.25">
      <c r="G2772" s="459"/>
      <c r="H2772" s="459">
        <v>2765</v>
      </c>
      <c r="I2772" s="444">
        <f t="shared" ca="1" si="153"/>
        <v>-45382462946.286285</v>
      </c>
      <c r="J2772" s="444">
        <f t="array" ref="J2772">IFERROR(INDEX('Retirement Calculator'!J:J,MATCH('Isaac 401k'!N2772,'Retirement Calculator'!A:A,0),0),0)</f>
        <v>0</v>
      </c>
      <c r="K2772" s="444">
        <f t="shared" ca="1" si="151"/>
        <v>-189093595.60952619</v>
      </c>
      <c r="L2772" s="444">
        <f t="shared" ca="1" si="152"/>
        <v>-45571556541.895813</v>
      </c>
      <c r="M2772" s="460">
        <f t="shared" si="154"/>
        <v>0.05</v>
      </c>
      <c r="N2772" s="464">
        <f t="shared" si="155"/>
        <v>135415</v>
      </c>
    </row>
    <row r="2773" spans="7:14" ht="11.25" customHeight="1" x14ac:dyDescent="0.25">
      <c r="G2773" s="459"/>
      <c r="H2773" s="459">
        <v>2766</v>
      </c>
      <c r="I2773" s="444">
        <f t="shared" ca="1" si="153"/>
        <v>-45571556541.895813</v>
      </c>
      <c r="J2773" s="444">
        <f t="array" ref="J2773">IFERROR(INDEX('Retirement Calculator'!J:J,MATCH('Isaac 401k'!N2773,'Retirement Calculator'!A:A,0),0),0)</f>
        <v>0</v>
      </c>
      <c r="K2773" s="444">
        <f t="shared" ca="1" si="151"/>
        <v>-189881485.59123254</v>
      </c>
      <c r="L2773" s="444">
        <f t="shared" ca="1" si="152"/>
        <v>-45761438027.487045</v>
      </c>
      <c r="M2773" s="460">
        <f t="shared" si="154"/>
        <v>0.05</v>
      </c>
      <c r="N2773" s="464">
        <f t="shared" si="155"/>
        <v>135446</v>
      </c>
    </row>
    <row r="2774" spans="7:14" ht="11.25" customHeight="1" x14ac:dyDescent="0.25">
      <c r="G2774" s="459"/>
      <c r="H2774" s="459">
        <v>2767</v>
      </c>
      <c r="I2774" s="444">
        <f t="shared" ca="1" si="153"/>
        <v>-45761438027.487045</v>
      </c>
      <c r="J2774" s="444">
        <f t="array" ref="J2774">IFERROR(INDEX('Retirement Calculator'!J:J,MATCH('Isaac 401k'!N2774,'Retirement Calculator'!A:A,0),0),0)</f>
        <v>0</v>
      </c>
      <c r="K2774" s="444">
        <f t="shared" ca="1" si="151"/>
        <v>-190672658.44786268</v>
      </c>
      <c r="L2774" s="444">
        <f t="shared" ca="1" si="152"/>
        <v>-45952110685.934906</v>
      </c>
      <c r="M2774" s="460">
        <f t="shared" si="154"/>
        <v>0.05</v>
      </c>
      <c r="N2774" s="464">
        <f t="shared" si="155"/>
        <v>135476</v>
      </c>
    </row>
    <row r="2775" spans="7:14" ht="11.25" customHeight="1" x14ac:dyDescent="0.25">
      <c r="G2775" s="459"/>
      <c r="H2775" s="459">
        <v>2768</v>
      </c>
      <c r="I2775" s="444">
        <f t="shared" ca="1" si="153"/>
        <v>-45952110685.934906</v>
      </c>
      <c r="J2775" s="444">
        <f t="array" ref="J2775">IFERROR(INDEX('Retirement Calculator'!J:J,MATCH('Isaac 401k'!N2775,'Retirement Calculator'!A:A,0),0),0)</f>
        <v>0</v>
      </c>
      <c r="K2775" s="444">
        <f t="shared" ca="1" si="151"/>
        <v>-191467127.85806212</v>
      </c>
      <c r="L2775" s="444">
        <f t="shared" ca="1" si="152"/>
        <v>-46143577813.792969</v>
      </c>
      <c r="M2775" s="460">
        <f t="shared" si="154"/>
        <v>0.05</v>
      </c>
      <c r="N2775" s="464">
        <f t="shared" si="155"/>
        <v>135507</v>
      </c>
    </row>
    <row r="2776" spans="7:14" ht="11.25" customHeight="1" x14ac:dyDescent="0.25">
      <c r="G2776" s="459"/>
      <c r="H2776" s="459">
        <v>2769</v>
      </c>
      <c r="I2776" s="444">
        <f t="shared" ca="1" si="153"/>
        <v>-46143577813.792969</v>
      </c>
      <c r="J2776" s="444">
        <f t="array" ref="J2776">IFERROR(INDEX('Retirement Calculator'!J:J,MATCH('Isaac 401k'!N2776,'Retirement Calculator'!A:A,0),0),0)</f>
        <v>0</v>
      </c>
      <c r="K2776" s="444">
        <f t="shared" ca="1" si="151"/>
        <v>-192264907.55747071</v>
      </c>
      <c r="L2776" s="444">
        <f t="shared" ca="1" si="152"/>
        <v>-46335842721.350441</v>
      </c>
      <c r="M2776" s="460">
        <f t="shared" si="154"/>
        <v>0.05</v>
      </c>
      <c r="N2776" s="464">
        <f t="shared" si="155"/>
        <v>135538</v>
      </c>
    </row>
    <row r="2777" spans="7:14" ht="11.25" customHeight="1" x14ac:dyDescent="0.25">
      <c r="G2777" s="459"/>
      <c r="H2777" s="459">
        <v>2770</v>
      </c>
      <c r="I2777" s="444">
        <f t="shared" ca="1" si="153"/>
        <v>-46335842721.350441</v>
      </c>
      <c r="J2777" s="444">
        <f t="array" ref="J2777">IFERROR(INDEX('Retirement Calculator'!J:J,MATCH('Isaac 401k'!N2777,'Retirement Calculator'!A:A,0),0),0)</f>
        <v>0</v>
      </c>
      <c r="K2777" s="444">
        <f t="shared" ca="1" si="151"/>
        <v>-193066011.33896017</v>
      </c>
      <c r="L2777" s="444">
        <f t="shared" ca="1" si="152"/>
        <v>-46528908732.6894</v>
      </c>
      <c r="M2777" s="460">
        <f t="shared" si="154"/>
        <v>0.05</v>
      </c>
      <c r="N2777" s="464">
        <f t="shared" si="155"/>
        <v>135566</v>
      </c>
    </row>
    <row r="2778" spans="7:14" ht="11.25" customHeight="1" x14ac:dyDescent="0.25">
      <c r="G2778" s="459"/>
      <c r="H2778" s="459">
        <v>2771</v>
      </c>
      <c r="I2778" s="444">
        <f t="shared" ca="1" si="153"/>
        <v>-46528908732.6894</v>
      </c>
      <c r="J2778" s="444">
        <f t="array" ref="J2778">IFERROR(INDEX('Retirement Calculator'!J:J,MATCH('Isaac 401k'!N2778,'Retirement Calculator'!A:A,0),0),0)</f>
        <v>0</v>
      </c>
      <c r="K2778" s="444">
        <f t="shared" ca="1" si="151"/>
        <v>-193870453.05287251</v>
      </c>
      <c r="L2778" s="444">
        <f t="shared" ca="1" si="152"/>
        <v>-46722779185.742271</v>
      </c>
      <c r="M2778" s="460">
        <f t="shared" si="154"/>
        <v>0.05</v>
      </c>
      <c r="N2778" s="464">
        <f t="shared" si="155"/>
        <v>135597</v>
      </c>
    </row>
    <row r="2779" spans="7:14" ht="11.25" customHeight="1" x14ac:dyDescent="0.25">
      <c r="G2779" s="459"/>
      <c r="H2779" s="459">
        <v>2772</v>
      </c>
      <c r="I2779" s="444">
        <f t="shared" ca="1" si="153"/>
        <v>-46722779185.742271</v>
      </c>
      <c r="J2779" s="444">
        <f t="array" ref="J2779">IFERROR(INDEX('Retirement Calculator'!J:J,MATCH('Isaac 401k'!N2779,'Retirement Calculator'!A:A,0),0),0)</f>
        <v>0</v>
      </c>
      <c r="K2779" s="444">
        <f t="shared" ca="1" si="151"/>
        <v>-194678246.60725945</v>
      </c>
      <c r="L2779" s="444">
        <f t="shared" ca="1" si="152"/>
        <v>-46917457432.349533</v>
      </c>
      <c r="M2779" s="460">
        <f t="shared" si="154"/>
        <v>0.05</v>
      </c>
      <c r="N2779" s="464">
        <f t="shared" si="155"/>
        <v>135627</v>
      </c>
    </row>
    <row r="2780" spans="7:14" ht="11.25" customHeight="1" x14ac:dyDescent="0.25">
      <c r="G2780" s="459"/>
      <c r="H2780" s="459">
        <v>2773</v>
      </c>
      <c r="I2780" s="444">
        <f t="shared" ca="1" si="153"/>
        <v>-46917457432.349533</v>
      </c>
      <c r="J2780" s="444">
        <f t="array" ref="J2780">IFERROR(INDEX('Retirement Calculator'!J:J,MATCH('Isaac 401k'!N2780,'Retirement Calculator'!A:A,0),0),0)</f>
        <v>0</v>
      </c>
      <c r="K2780" s="444">
        <f t="shared" ca="1" si="151"/>
        <v>-195489405.96812305</v>
      </c>
      <c r="L2780" s="444">
        <f t="shared" ca="1" si="152"/>
        <v>-47112946838.317657</v>
      </c>
      <c r="M2780" s="460">
        <f t="shared" si="154"/>
        <v>0.05</v>
      </c>
      <c r="N2780" s="464">
        <f t="shared" si="155"/>
        <v>135658</v>
      </c>
    </row>
    <row r="2781" spans="7:14" ht="11.25" customHeight="1" x14ac:dyDescent="0.25">
      <c r="G2781" s="459"/>
      <c r="H2781" s="459">
        <v>2774</v>
      </c>
      <c r="I2781" s="444">
        <f t="shared" ca="1" si="153"/>
        <v>-47112946838.317657</v>
      </c>
      <c r="J2781" s="444">
        <f t="array" ref="J2781">IFERROR(INDEX('Retirement Calculator'!J:J,MATCH('Isaac 401k'!N2781,'Retirement Calculator'!A:A,0),0),0)</f>
        <v>0</v>
      </c>
      <c r="K2781" s="444">
        <f t="shared" ca="1" si="151"/>
        <v>-196303945.15965691</v>
      </c>
      <c r="L2781" s="444">
        <f t="shared" ca="1" si="152"/>
        <v>-47309250783.477318</v>
      </c>
      <c r="M2781" s="460">
        <f t="shared" si="154"/>
        <v>0.05</v>
      </c>
      <c r="N2781" s="464">
        <f t="shared" si="155"/>
        <v>135688</v>
      </c>
    </row>
    <row r="2782" spans="7:14" ht="11.25" customHeight="1" x14ac:dyDescent="0.25">
      <c r="G2782" s="459"/>
      <c r="H2782" s="459">
        <v>2775</v>
      </c>
      <c r="I2782" s="444">
        <f t="shared" ca="1" si="153"/>
        <v>-47309250783.477318</v>
      </c>
      <c r="J2782" s="444">
        <f t="array" ref="J2782">IFERROR(INDEX('Retirement Calculator'!J:J,MATCH('Isaac 401k'!N2782,'Retirement Calculator'!A:A,0),0),0)</f>
        <v>0</v>
      </c>
      <c r="K2782" s="444">
        <f t="shared" ca="1" si="151"/>
        <v>-197121878.26448882</v>
      </c>
      <c r="L2782" s="444">
        <f t="shared" ca="1" si="152"/>
        <v>-47506372661.741806</v>
      </c>
      <c r="M2782" s="460">
        <f t="shared" si="154"/>
        <v>0.05</v>
      </c>
      <c r="N2782" s="464">
        <f t="shared" si="155"/>
        <v>135719</v>
      </c>
    </row>
    <row r="2783" spans="7:14" ht="11.25" customHeight="1" x14ac:dyDescent="0.25">
      <c r="G2783" s="459"/>
      <c r="H2783" s="459">
        <v>2776</v>
      </c>
      <c r="I2783" s="444">
        <f t="shared" ca="1" si="153"/>
        <v>-47506372661.741806</v>
      </c>
      <c r="J2783" s="444">
        <f t="array" ref="J2783">IFERROR(INDEX('Retirement Calculator'!J:J,MATCH('Isaac 401k'!N2783,'Retirement Calculator'!A:A,0),0),0)</f>
        <v>0</v>
      </c>
      <c r="K2783" s="444">
        <f t="shared" ca="1" si="151"/>
        <v>-197943219.42392418</v>
      </c>
      <c r="L2783" s="444">
        <f t="shared" ca="1" si="152"/>
        <v>-47704315881.165733</v>
      </c>
      <c r="M2783" s="460">
        <f t="shared" si="154"/>
        <v>0.05</v>
      </c>
      <c r="N2783" s="464">
        <f t="shared" si="155"/>
        <v>135750</v>
      </c>
    </row>
    <row r="2784" spans="7:14" ht="11.25" customHeight="1" x14ac:dyDescent="0.25">
      <c r="G2784" s="459"/>
      <c r="H2784" s="459">
        <v>2777</v>
      </c>
      <c r="I2784" s="444">
        <f t="shared" ca="1" si="153"/>
        <v>-47704315881.165733</v>
      </c>
      <c r="J2784" s="444">
        <f t="array" ref="J2784">IFERROR(INDEX('Retirement Calculator'!J:J,MATCH('Isaac 401k'!N2784,'Retirement Calculator'!A:A,0),0),0)</f>
        <v>0</v>
      </c>
      <c r="K2784" s="444">
        <f t="shared" ca="1" si="151"/>
        <v>-198767982.83819056</v>
      </c>
      <c r="L2784" s="444">
        <f t="shared" ca="1" si="152"/>
        <v>-47903083864.003922</v>
      </c>
      <c r="M2784" s="460">
        <f t="shared" si="154"/>
        <v>0.05</v>
      </c>
      <c r="N2784" s="464">
        <f t="shared" si="155"/>
        <v>135780</v>
      </c>
    </row>
    <row r="2785" spans="7:14" ht="11.25" customHeight="1" x14ac:dyDescent="0.25">
      <c r="G2785" s="459"/>
      <c r="H2785" s="459">
        <v>2778</v>
      </c>
      <c r="I2785" s="444">
        <f t="shared" ca="1" si="153"/>
        <v>-47903083864.003922</v>
      </c>
      <c r="J2785" s="444">
        <f t="array" ref="J2785">IFERROR(INDEX('Retirement Calculator'!J:J,MATCH('Isaac 401k'!N2785,'Retirement Calculator'!A:A,0),0),0)</f>
        <v>0</v>
      </c>
      <c r="K2785" s="444">
        <f t="shared" ca="1" si="151"/>
        <v>-199596182.76668301</v>
      </c>
      <c r="L2785" s="444">
        <f t="shared" ca="1" si="152"/>
        <v>-48102680046.770607</v>
      </c>
      <c r="M2785" s="460">
        <f t="shared" si="154"/>
        <v>0.05</v>
      </c>
      <c r="N2785" s="464">
        <f t="shared" si="155"/>
        <v>135811</v>
      </c>
    </row>
    <row r="2786" spans="7:14" ht="11.25" customHeight="1" x14ac:dyDescent="0.25">
      <c r="G2786" s="459"/>
      <c r="H2786" s="459">
        <v>2779</v>
      </c>
      <c r="I2786" s="444">
        <f t="shared" ca="1" si="153"/>
        <v>-48102680046.770607</v>
      </c>
      <c r="J2786" s="444">
        <f t="array" ref="J2786">IFERROR(INDEX('Retirement Calculator'!J:J,MATCH('Isaac 401k'!N2786,'Retirement Calculator'!A:A,0),0),0)</f>
        <v>0</v>
      </c>
      <c r="K2786" s="444">
        <f t="shared" ca="1" si="151"/>
        <v>-200427833.52821085</v>
      </c>
      <c r="L2786" s="444">
        <f t="shared" ca="1" si="152"/>
        <v>-48303107880.29882</v>
      </c>
      <c r="M2786" s="460">
        <f t="shared" si="154"/>
        <v>0.05</v>
      </c>
      <c r="N2786" s="464">
        <f t="shared" si="155"/>
        <v>135841</v>
      </c>
    </row>
    <row r="2787" spans="7:14" ht="11.25" customHeight="1" x14ac:dyDescent="0.25">
      <c r="G2787" s="459"/>
      <c r="H2787" s="459">
        <v>2780</v>
      </c>
      <c r="I2787" s="444">
        <f t="shared" ca="1" si="153"/>
        <v>-48303107880.29882</v>
      </c>
      <c r="J2787" s="444">
        <f t="array" ref="J2787">IFERROR(INDEX('Retirement Calculator'!J:J,MATCH('Isaac 401k'!N2787,'Retirement Calculator'!A:A,0),0),0)</f>
        <v>0</v>
      </c>
      <c r="K2787" s="444">
        <f t="shared" ca="1" si="151"/>
        <v>-201262949.50124508</v>
      </c>
      <c r="L2787" s="444">
        <f t="shared" ca="1" si="152"/>
        <v>-48504370829.800064</v>
      </c>
      <c r="M2787" s="460">
        <f t="shared" si="154"/>
        <v>0.05</v>
      </c>
      <c r="N2787" s="464">
        <f t="shared" si="155"/>
        <v>135872</v>
      </c>
    </row>
    <row r="2788" spans="7:14" ht="11.25" customHeight="1" x14ac:dyDescent="0.25">
      <c r="G2788" s="459"/>
      <c r="H2788" s="459">
        <v>2781</v>
      </c>
      <c r="I2788" s="444">
        <f t="shared" ca="1" si="153"/>
        <v>-48504370829.800064</v>
      </c>
      <c r="J2788" s="444">
        <f t="array" ref="J2788">IFERROR(INDEX('Retirement Calculator'!J:J,MATCH('Isaac 401k'!N2788,'Retirement Calculator'!A:A,0),0),0)</f>
        <v>0</v>
      </c>
      <c r="K2788" s="444">
        <f t="shared" ca="1" si="151"/>
        <v>-202101545.12416694</v>
      </c>
      <c r="L2788" s="444">
        <f t="shared" ca="1" si="152"/>
        <v>-48706472374.924232</v>
      </c>
      <c r="M2788" s="460">
        <f t="shared" si="154"/>
        <v>0.05</v>
      </c>
      <c r="N2788" s="464">
        <f t="shared" si="155"/>
        <v>135903</v>
      </c>
    </row>
    <row r="2789" spans="7:14" ht="11.25" customHeight="1" x14ac:dyDescent="0.25">
      <c r="G2789" s="459"/>
      <c r="H2789" s="459">
        <v>2782</v>
      </c>
      <c r="I2789" s="444">
        <f t="shared" ca="1" si="153"/>
        <v>-48706472374.924232</v>
      </c>
      <c r="J2789" s="444">
        <f t="array" ref="J2789">IFERROR(INDEX('Retirement Calculator'!J:J,MATCH('Isaac 401k'!N2789,'Retirement Calculator'!A:A,0),0),0)</f>
        <v>0</v>
      </c>
      <c r="K2789" s="444">
        <f t="shared" ca="1" si="151"/>
        <v>-202943634.89551765</v>
      </c>
      <c r="L2789" s="444">
        <f t="shared" ca="1" si="152"/>
        <v>-48909416009.819748</v>
      </c>
      <c r="M2789" s="460">
        <f t="shared" si="154"/>
        <v>0.05</v>
      </c>
      <c r="N2789" s="464">
        <f t="shared" si="155"/>
        <v>135932</v>
      </c>
    </row>
    <row r="2790" spans="7:14" ht="11.25" customHeight="1" x14ac:dyDescent="0.25">
      <c r="G2790" s="459"/>
      <c r="H2790" s="459">
        <v>2783</v>
      </c>
      <c r="I2790" s="444">
        <f t="shared" ca="1" si="153"/>
        <v>-48909416009.819748</v>
      </c>
      <c r="J2790" s="444">
        <f t="array" ref="J2790">IFERROR(INDEX('Retirement Calculator'!J:J,MATCH('Isaac 401k'!N2790,'Retirement Calculator'!A:A,0),0),0)</f>
        <v>0</v>
      </c>
      <c r="K2790" s="444">
        <f t="shared" ca="1" si="151"/>
        <v>-203789233.37424895</v>
      </c>
      <c r="L2790" s="444">
        <f t="shared" ca="1" si="152"/>
        <v>-49113205243.194</v>
      </c>
      <c r="M2790" s="460">
        <f t="shared" si="154"/>
        <v>0.05</v>
      </c>
      <c r="N2790" s="464">
        <f t="shared" si="155"/>
        <v>135963</v>
      </c>
    </row>
    <row r="2791" spans="7:14" ht="11.25" customHeight="1" x14ac:dyDescent="0.25">
      <c r="G2791" s="459"/>
      <c r="H2791" s="459">
        <v>2784</v>
      </c>
      <c r="I2791" s="444">
        <f t="shared" ca="1" si="153"/>
        <v>-49113205243.194</v>
      </c>
      <c r="J2791" s="444">
        <f t="array" ref="J2791">IFERROR(INDEX('Retirement Calculator'!J:J,MATCH('Isaac 401k'!N2791,'Retirement Calculator'!A:A,0),0),0)</f>
        <v>0</v>
      </c>
      <c r="K2791" s="444">
        <f t="shared" ca="1" si="151"/>
        <v>-204638355.179975</v>
      </c>
      <c r="L2791" s="444">
        <f t="shared" ca="1" si="152"/>
        <v>-49317843598.373978</v>
      </c>
      <c r="M2791" s="460">
        <f t="shared" si="154"/>
        <v>0.05</v>
      </c>
      <c r="N2791" s="464">
        <f t="shared" si="155"/>
        <v>135993</v>
      </c>
    </row>
    <row r="2792" spans="7:14" ht="11.25" customHeight="1" x14ac:dyDescent="0.25">
      <c r="G2792" s="459"/>
      <c r="H2792" s="459">
        <v>2785</v>
      </c>
      <c r="I2792" s="444">
        <f t="shared" ca="1" si="153"/>
        <v>-49317843598.373978</v>
      </c>
      <c r="J2792" s="444">
        <f t="array" ref="J2792">IFERROR(INDEX('Retirement Calculator'!J:J,MATCH('Isaac 401k'!N2792,'Retirement Calculator'!A:A,0),0),0)</f>
        <v>0</v>
      </c>
      <c r="K2792" s="444">
        <f t="shared" ca="1" si="151"/>
        <v>-205491014.99322492</v>
      </c>
      <c r="L2792" s="444">
        <f t="shared" ca="1" si="152"/>
        <v>-49523334613.367203</v>
      </c>
      <c r="M2792" s="460">
        <f t="shared" si="154"/>
        <v>0.05</v>
      </c>
      <c r="N2792" s="464">
        <f t="shared" si="155"/>
        <v>136024</v>
      </c>
    </row>
    <row r="2793" spans="7:14" ht="11.25" customHeight="1" x14ac:dyDescent="0.25">
      <c r="G2793" s="459"/>
      <c r="H2793" s="459">
        <v>2786</v>
      </c>
      <c r="I2793" s="444">
        <f t="shared" ca="1" si="153"/>
        <v>-49523334613.367203</v>
      </c>
      <c r="J2793" s="444">
        <f t="array" ref="J2793">IFERROR(INDEX('Retirement Calculator'!J:J,MATCH('Isaac 401k'!N2793,'Retirement Calculator'!A:A,0),0),0)</f>
        <v>0</v>
      </c>
      <c r="K2793" s="444">
        <f t="shared" ca="1" si="151"/>
        <v>-206347227.55569667</v>
      </c>
      <c r="L2793" s="444">
        <f t="shared" ca="1" si="152"/>
        <v>-49729681840.922897</v>
      </c>
      <c r="M2793" s="460">
        <f t="shared" si="154"/>
        <v>0.05</v>
      </c>
      <c r="N2793" s="464">
        <f t="shared" si="155"/>
        <v>136054</v>
      </c>
    </row>
    <row r="2794" spans="7:14" ht="11.25" customHeight="1" x14ac:dyDescent="0.25">
      <c r="G2794" s="459"/>
      <c r="H2794" s="459">
        <v>2787</v>
      </c>
      <c r="I2794" s="444">
        <f t="shared" ca="1" si="153"/>
        <v>-49729681840.922897</v>
      </c>
      <c r="J2794" s="444">
        <f t="array" ref="J2794">IFERROR(INDEX('Retirement Calculator'!J:J,MATCH('Isaac 401k'!N2794,'Retirement Calculator'!A:A,0),0),0)</f>
        <v>0</v>
      </c>
      <c r="K2794" s="444">
        <f t="shared" ca="1" si="151"/>
        <v>-207207007.67051208</v>
      </c>
      <c r="L2794" s="444">
        <f t="shared" ca="1" si="152"/>
        <v>-49936888848.593407</v>
      </c>
      <c r="M2794" s="460">
        <f t="shared" si="154"/>
        <v>0.05</v>
      </c>
      <c r="N2794" s="464">
        <f t="shared" si="155"/>
        <v>136085</v>
      </c>
    </row>
    <row r="2795" spans="7:14" ht="11.25" customHeight="1" x14ac:dyDescent="0.25">
      <c r="G2795" s="459"/>
      <c r="H2795" s="459">
        <v>2788</v>
      </c>
      <c r="I2795" s="444">
        <f t="shared" ca="1" si="153"/>
        <v>-49936888848.593407</v>
      </c>
      <c r="J2795" s="444">
        <f t="array" ref="J2795">IFERROR(INDEX('Retirement Calculator'!J:J,MATCH('Isaac 401k'!N2795,'Retirement Calculator'!A:A,0),0),0)</f>
        <v>0</v>
      </c>
      <c r="K2795" s="444">
        <f t="shared" ca="1" si="151"/>
        <v>-208070370.20247254</v>
      </c>
      <c r="L2795" s="444">
        <f t="shared" ca="1" si="152"/>
        <v>-50144959218.795876</v>
      </c>
      <c r="M2795" s="460">
        <f t="shared" si="154"/>
        <v>0.05</v>
      </c>
      <c r="N2795" s="464">
        <f t="shared" si="155"/>
        <v>136116</v>
      </c>
    </row>
    <row r="2796" spans="7:14" ht="11.25" customHeight="1" x14ac:dyDescent="0.25">
      <c r="G2796" s="459"/>
      <c r="H2796" s="459">
        <v>2789</v>
      </c>
      <c r="I2796" s="444">
        <f t="shared" ca="1" si="153"/>
        <v>-50144959218.795876</v>
      </c>
      <c r="J2796" s="444">
        <f t="array" ref="J2796">IFERROR(INDEX('Retirement Calculator'!J:J,MATCH('Isaac 401k'!N2796,'Retirement Calculator'!A:A,0),0),0)</f>
        <v>0</v>
      </c>
      <c r="K2796" s="444">
        <f t="shared" ca="1" si="151"/>
        <v>-208937330.07831615</v>
      </c>
      <c r="L2796" s="444">
        <f t="shared" ca="1" si="152"/>
        <v>-50353896548.874191</v>
      </c>
      <c r="M2796" s="460">
        <f t="shared" si="154"/>
        <v>0.05</v>
      </c>
      <c r="N2796" s="464">
        <f t="shared" si="155"/>
        <v>136146</v>
      </c>
    </row>
    <row r="2797" spans="7:14" ht="11.25" customHeight="1" x14ac:dyDescent="0.25">
      <c r="G2797" s="459"/>
      <c r="H2797" s="459">
        <v>2790</v>
      </c>
      <c r="I2797" s="444">
        <f t="shared" ca="1" si="153"/>
        <v>-50353896548.874191</v>
      </c>
      <c r="J2797" s="444">
        <f t="array" ref="J2797">IFERROR(INDEX('Retirement Calculator'!J:J,MATCH('Isaac 401k'!N2797,'Retirement Calculator'!A:A,0),0),0)</f>
        <v>0</v>
      </c>
      <c r="K2797" s="444">
        <f t="shared" ca="1" si="151"/>
        <v>-209807902.2869758</v>
      </c>
      <c r="L2797" s="444">
        <f t="shared" ca="1" si="152"/>
        <v>-50563704451.161163</v>
      </c>
      <c r="M2797" s="460">
        <f t="shared" si="154"/>
        <v>0.05</v>
      </c>
      <c r="N2797" s="464">
        <f t="shared" si="155"/>
        <v>136177</v>
      </c>
    </row>
    <row r="2798" spans="7:14" ht="11.25" customHeight="1" x14ac:dyDescent="0.25">
      <c r="G2798" s="459"/>
      <c r="H2798" s="459">
        <v>2791</v>
      </c>
      <c r="I2798" s="444">
        <f t="shared" ca="1" si="153"/>
        <v>-50563704451.161163</v>
      </c>
      <c r="J2798" s="444">
        <f t="array" ref="J2798">IFERROR(INDEX('Retirement Calculator'!J:J,MATCH('Isaac 401k'!N2798,'Retirement Calculator'!A:A,0),0),0)</f>
        <v>0</v>
      </c>
      <c r="K2798" s="444">
        <f t="shared" ca="1" si="151"/>
        <v>-210682101.87983817</v>
      </c>
      <c r="L2798" s="444">
        <f t="shared" ca="1" si="152"/>
        <v>-50774386553.041</v>
      </c>
      <c r="M2798" s="460">
        <f t="shared" si="154"/>
        <v>0.05</v>
      </c>
      <c r="N2798" s="464">
        <f t="shared" si="155"/>
        <v>136207</v>
      </c>
    </row>
    <row r="2799" spans="7:14" ht="11.25" customHeight="1" x14ac:dyDescent="0.25">
      <c r="G2799" s="459"/>
      <c r="H2799" s="459">
        <v>2792</v>
      </c>
      <c r="I2799" s="444">
        <f t="shared" ca="1" si="153"/>
        <v>-50774386553.041</v>
      </c>
      <c r="J2799" s="444">
        <f t="array" ref="J2799">IFERROR(INDEX('Retirement Calculator'!J:J,MATCH('Isaac 401k'!N2799,'Retirement Calculator'!A:A,0),0),0)</f>
        <v>0</v>
      </c>
      <c r="K2799" s="444">
        <f t="shared" ca="1" si="151"/>
        <v>-211559943.97100416</v>
      </c>
      <c r="L2799" s="444">
        <f t="shared" ca="1" si="152"/>
        <v>-50985946497.012001</v>
      </c>
      <c r="M2799" s="460">
        <f t="shared" si="154"/>
        <v>0.05</v>
      </c>
      <c r="N2799" s="464">
        <f t="shared" si="155"/>
        <v>136238</v>
      </c>
    </row>
    <row r="2800" spans="7:14" ht="11.25" customHeight="1" x14ac:dyDescent="0.25">
      <c r="G2800" s="459"/>
      <c r="H2800" s="459">
        <v>2793</v>
      </c>
      <c r="I2800" s="444">
        <f t="shared" ca="1" si="153"/>
        <v>-50985946497.012001</v>
      </c>
      <c r="J2800" s="444">
        <f t="array" ref="J2800">IFERROR(INDEX('Retirement Calculator'!J:J,MATCH('Isaac 401k'!N2800,'Retirement Calculator'!A:A,0),0),0)</f>
        <v>0</v>
      </c>
      <c r="K2800" s="444">
        <f t="shared" ca="1" si="151"/>
        <v>-212441443.73754999</v>
      </c>
      <c r="L2800" s="444">
        <f t="shared" ca="1" si="152"/>
        <v>-51198387940.74955</v>
      </c>
      <c r="M2800" s="460">
        <f t="shared" si="154"/>
        <v>0.05</v>
      </c>
      <c r="N2800" s="464">
        <f t="shared" si="155"/>
        <v>136269</v>
      </c>
    </row>
    <row r="2801" spans="7:14" ht="11.25" customHeight="1" x14ac:dyDescent="0.25">
      <c r="G2801" s="459"/>
      <c r="H2801" s="459">
        <v>2794</v>
      </c>
      <c r="I2801" s="444">
        <f t="shared" ca="1" si="153"/>
        <v>-51198387940.74955</v>
      </c>
      <c r="J2801" s="444">
        <f t="array" ref="J2801">IFERROR(INDEX('Retirement Calculator'!J:J,MATCH('Isaac 401k'!N2801,'Retirement Calculator'!A:A,0),0),0)</f>
        <v>0</v>
      </c>
      <c r="K2801" s="444">
        <f t="shared" ca="1" si="151"/>
        <v>-213326616.41978979</v>
      </c>
      <c r="L2801" s="444">
        <f t="shared" ca="1" si="152"/>
        <v>-51411714557.169342</v>
      </c>
      <c r="M2801" s="460">
        <f t="shared" si="154"/>
        <v>0.05</v>
      </c>
      <c r="N2801" s="464">
        <f t="shared" si="155"/>
        <v>136297</v>
      </c>
    </row>
    <row r="2802" spans="7:14" ht="11.25" customHeight="1" x14ac:dyDescent="0.25">
      <c r="G2802" s="459"/>
      <c r="H2802" s="459">
        <v>2795</v>
      </c>
      <c r="I2802" s="444">
        <f t="shared" ca="1" si="153"/>
        <v>-51411714557.169342</v>
      </c>
      <c r="J2802" s="444">
        <f t="array" ref="J2802">IFERROR(INDEX('Retirement Calculator'!J:J,MATCH('Isaac 401k'!N2802,'Retirement Calculator'!A:A,0),0),0)</f>
        <v>0</v>
      </c>
      <c r="K2802" s="444">
        <f t="shared" ca="1" si="151"/>
        <v>-214215477.32153893</v>
      </c>
      <c r="L2802" s="444">
        <f t="shared" ca="1" si="152"/>
        <v>-51625930034.490883</v>
      </c>
      <c r="M2802" s="460">
        <f t="shared" si="154"/>
        <v>0.05</v>
      </c>
      <c r="N2802" s="464">
        <f t="shared" si="155"/>
        <v>136328</v>
      </c>
    </row>
    <row r="2803" spans="7:14" ht="11.25" customHeight="1" x14ac:dyDescent="0.25">
      <c r="G2803" s="459"/>
      <c r="H2803" s="459">
        <v>2796</v>
      </c>
      <c r="I2803" s="444">
        <f t="shared" ca="1" si="153"/>
        <v>-51625930034.490883</v>
      </c>
      <c r="J2803" s="444">
        <f t="array" ref="J2803">IFERROR(INDEX('Retirement Calculator'!J:J,MATCH('Isaac 401k'!N2803,'Retirement Calculator'!A:A,0),0),0)</f>
        <v>0</v>
      </c>
      <c r="K2803" s="444">
        <f t="shared" ca="1" si="151"/>
        <v>-215108041.81037867</v>
      </c>
      <c r="L2803" s="444">
        <f t="shared" ca="1" si="152"/>
        <v>-51841038076.301262</v>
      </c>
      <c r="M2803" s="460">
        <f t="shared" si="154"/>
        <v>0.05</v>
      </c>
      <c r="N2803" s="464">
        <f t="shared" si="155"/>
        <v>136358</v>
      </c>
    </row>
    <row r="2804" spans="7:14" ht="11.25" customHeight="1" x14ac:dyDescent="0.25">
      <c r="G2804" s="459"/>
      <c r="H2804" s="459">
        <v>2797</v>
      </c>
      <c r="I2804" s="444">
        <f t="shared" ca="1" si="153"/>
        <v>-51841038076.301262</v>
      </c>
      <c r="J2804" s="444">
        <f t="array" ref="J2804">IFERROR(INDEX('Retirement Calculator'!J:J,MATCH('Isaac 401k'!N2804,'Retirement Calculator'!A:A,0),0),0)</f>
        <v>0</v>
      </c>
      <c r="K2804" s="444">
        <f t="shared" ca="1" si="151"/>
        <v>-216004325.31792191</v>
      </c>
      <c r="L2804" s="444">
        <f t="shared" ca="1" si="152"/>
        <v>-52057042401.619186</v>
      </c>
      <c r="M2804" s="460">
        <f t="shared" si="154"/>
        <v>0.05</v>
      </c>
      <c r="N2804" s="464">
        <f t="shared" si="155"/>
        <v>136389</v>
      </c>
    </row>
    <row r="2805" spans="7:14" ht="11.25" customHeight="1" x14ac:dyDescent="0.25">
      <c r="G2805" s="459"/>
      <c r="H2805" s="459">
        <v>2798</v>
      </c>
      <c r="I2805" s="444">
        <f t="shared" ca="1" si="153"/>
        <v>-52057042401.619186</v>
      </c>
      <c r="J2805" s="444">
        <f t="array" ref="J2805">IFERROR(INDEX('Retirement Calculator'!J:J,MATCH('Isaac 401k'!N2805,'Retirement Calculator'!A:A,0),0),0)</f>
        <v>0</v>
      </c>
      <c r="K2805" s="444">
        <f t="shared" ca="1" si="151"/>
        <v>-216904343.34007993</v>
      </c>
      <c r="L2805" s="444">
        <f t="shared" ca="1" si="152"/>
        <v>-52273946744.959267</v>
      </c>
      <c r="M2805" s="460">
        <f t="shared" si="154"/>
        <v>0.05</v>
      </c>
      <c r="N2805" s="464">
        <f t="shared" si="155"/>
        <v>136419</v>
      </c>
    </row>
    <row r="2806" spans="7:14" ht="11.25" customHeight="1" x14ac:dyDescent="0.25">
      <c r="G2806" s="459"/>
      <c r="H2806" s="459">
        <v>2799</v>
      </c>
      <c r="I2806" s="444">
        <f t="shared" ca="1" si="153"/>
        <v>-52273946744.959267</v>
      </c>
      <c r="J2806" s="444">
        <f t="array" ref="J2806">IFERROR(INDEX('Retirement Calculator'!J:J,MATCH('Isaac 401k'!N2806,'Retirement Calculator'!A:A,0),0),0)</f>
        <v>0</v>
      </c>
      <c r="K2806" s="444">
        <f t="shared" ca="1" si="151"/>
        <v>-217808111.43733028</v>
      </c>
      <c r="L2806" s="444">
        <f t="shared" ca="1" si="152"/>
        <v>-52491754856.396599</v>
      </c>
      <c r="M2806" s="460">
        <f t="shared" si="154"/>
        <v>0.05</v>
      </c>
      <c r="N2806" s="464">
        <f t="shared" si="155"/>
        <v>136450</v>
      </c>
    </row>
    <row r="2807" spans="7:14" ht="11.25" customHeight="1" x14ac:dyDescent="0.25">
      <c r="G2807" s="459"/>
      <c r="H2807" s="459">
        <v>2800</v>
      </c>
      <c r="I2807" s="444">
        <f t="shared" ca="1" si="153"/>
        <v>-52491754856.396599</v>
      </c>
      <c r="J2807" s="444">
        <f t="array" ref="J2807">IFERROR(INDEX('Retirement Calculator'!J:J,MATCH('Isaac 401k'!N2807,'Retirement Calculator'!A:A,0),0),0)</f>
        <v>0</v>
      </c>
      <c r="K2807" s="444">
        <f t="shared" ca="1" si="151"/>
        <v>-218715645.23498583</v>
      </c>
      <c r="L2807" s="444">
        <f t="shared" ca="1" si="152"/>
        <v>-52710470501.631584</v>
      </c>
      <c r="M2807" s="460">
        <f t="shared" si="154"/>
        <v>0.05</v>
      </c>
      <c r="N2807" s="464">
        <f t="shared" si="155"/>
        <v>136481</v>
      </c>
    </row>
    <row r="2808" spans="7:14" ht="11.25" customHeight="1" x14ac:dyDescent="0.25">
      <c r="G2808" s="459"/>
      <c r="H2808" s="459">
        <v>2801</v>
      </c>
      <c r="I2808" s="444">
        <f t="shared" ca="1" si="153"/>
        <v>-52710470501.631584</v>
      </c>
      <c r="J2808" s="444">
        <f t="array" ref="J2808">IFERROR(INDEX('Retirement Calculator'!J:J,MATCH('Isaac 401k'!N2808,'Retirement Calculator'!A:A,0),0),0)</f>
        <v>0</v>
      </c>
      <c r="K2808" s="444">
        <f t="shared" ca="1" si="151"/>
        <v>-219626960.42346492</v>
      </c>
      <c r="L2808" s="444">
        <f t="shared" ca="1" si="152"/>
        <v>-52930097462.055046</v>
      </c>
      <c r="M2808" s="460">
        <f t="shared" si="154"/>
        <v>0.05</v>
      </c>
      <c r="N2808" s="464">
        <f t="shared" si="155"/>
        <v>136511</v>
      </c>
    </row>
    <row r="2809" spans="7:14" ht="11.25" customHeight="1" x14ac:dyDescent="0.25">
      <c r="G2809" s="459"/>
      <c r="H2809" s="459">
        <v>2802</v>
      </c>
      <c r="I2809" s="444">
        <f t="shared" ca="1" si="153"/>
        <v>-52930097462.055046</v>
      </c>
      <c r="J2809" s="444">
        <f t="array" ref="J2809">IFERROR(INDEX('Retirement Calculator'!J:J,MATCH('Isaac 401k'!N2809,'Retirement Calculator'!A:A,0),0),0)</f>
        <v>0</v>
      </c>
      <c r="K2809" s="444">
        <f t="shared" ca="1" si="151"/>
        <v>-220542072.75856268</v>
      </c>
      <c r="L2809" s="444">
        <f t="shared" ca="1" si="152"/>
        <v>-53150639534.813606</v>
      </c>
      <c r="M2809" s="460">
        <f t="shared" si="154"/>
        <v>0.05</v>
      </c>
      <c r="N2809" s="464">
        <f t="shared" si="155"/>
        <v>136542</v>
      </c>
    </row>
    <row r="2810" spans="7:14" ht="11.25" customHeight="1" x14ac:dyDescent="0.25">
      <c r="G2810" s="459"/>
      <c r="H2810" s="459">
        <v>2803</v>
      </c>
      <c r="I2810" s="444">
        <f t="shared" ca="1" si="153"/>
        <v>-53150639534.813606</v>
      </c>
      <c r="J2810" s="444">
        <f t="array" ref="J2810">IFERROR(INDEX('Retirement Calculator'!J:J,MATCH('Isaac 401k'!N2810,'Retirement Calculator'!A:A,0),0),0)</f>
        <v>0</v>
      </c>
      <c r="K2810" s="444">
        <f t="shared" ca="1" si="151"/>
        <v>-221460998.06172335</v>
      </c>
      <c r="L2810" s="444">
        <f t="shared" ca="1" si="152"/>
        <v>-53372100532.875328</v>
      </c>
      <c r="M2810" s="460">
        <f t="shared" si="154"/>
        <v>0.05</v>
      </c>
      <c r="N2810" s="464">
        <f t="shared" si="155"/>
        <v>136572</v>
      </c>
    </row>
    <row r="2811" spans="7:14" ht="11.25" customHeight="1" x14ac:dyDescent="0.25">
      <c r="G2811" s="459"/>
      <c r="H2811" s="459">
        <v>2804</v>
      </c>
      <c r="I2811" s="444">
        <f t="shared" ca="1" si="153"/>
        <v>-53372100532.875328</v>
      </c>
      <c r="J2811" s="444">
        <f t="array" ref="J2811">IFERROR(INDEX('Retirement Calculator'!J:J,MATCH('Isaac 401k'!N2811,'Retirement Calculator'!A:A,0),0),0)</f>
        <v>0</v>
      </c>
      <c r="K2811" s="444">
        <f t="shared" ca="1" si="151"/>
        <v>-222383752.22031388</v>
      </c>
      <c r="L2811" s="444">
        <f t="shared" ca="1" si="152"/>
        <v>-53594484285.095642</v>
      </c>
      <c r="M2811" s="460">
        <f t="shared" si="154"/>
        <v>0.05</v>
      </c>
      <c r="N2811" s="464">
        <f t="shared" si="155"/>
        <v>136603</v>
      </c>
    </row>
    <row r="2812" spans="7:14" ht="11.25" customHeight="1" x14ac:dyDescent="0.25">
      <c r="G2812" s="459"/>
      <c r="H2812" s="459">
        <v>2805</v>
      </c>
      <c r="I2812" s="444">
        <f t="shared" ca="1" si="153"/>
        <v>-53594484285.095642</v>
      </c>
      <c r="J2812" s="444">
        <f t="array" ref="J2812">IFERROR(INDEX('Retirement Calculator'!J:J,MATCH('Isaac 401k'!N2812,'Retirement Calculator'!A:A,0),0),0)</f>
        <v>0</v>
      </c>
      <c r="K2812" s="444">
        <f t="shared" ca="1" si="151"/>
        <v>-223310351.18789849</v>
      </c>
      <c r="L2812" s="444">
        <f t="shared" ca="1" si="152"/>
        <v>-53817794636.283539</v>
      </c>
      <c r="M2812" s="460">
        <f t="shared" si="154"/>
        <v>0.05</v>
      </c>
      <c r="N2812" s="464">
        <f t="shared" si="155"/>
        <v>136634</v>
      </c>
    </row>
    <row r="2813" spans="7:14" ht="11.25" customHeight="1" x14ac:dyDescent="0.25">
      <c r="G2813" s="459"/>
      <c r="H2813" s="459">
        <v>2806</v>
      </c>
      <c r="I2813" s="444">
        <f t="shared" ca="1" si="153"/>
        <v>-53817794636.283539</v>
      </c>
      <c r="J2813" s="444">
        <f t="array" ref="J2813">IFERROR(INDEX('Retirement Calculator'!J:J,MATCH('Isaac 401k'!N2813,'Retirement Calculator'!A:A,0),0),0)</f>
        <v>0</v>
      </c>
      <c r="K2813" s="444">
        <f t="shared" ref="K2813:K3067" ca="1" si="156">IPMT(M2813/12,1,12,-I2813+J2813,,0)</f>
        <v>-224240810.98451474</v>
      </c>
      <c r="L2813" s="444">
        <f t="shared" ref="L2813:L3067" ca="1" si="157">I2813-J2813+K2813</f>
        <v>-54042035447.268051</v>
      </c>
      <c r="M2813" s="460">
        <f t="shared" si="154"/>
        <v>0.05</v>
      </c>
      <c r="N2813" s="464">
        <f t="shared" si="155"/>
        <v>136662</v>
      </c>
    </row>
    <row r="2814" spans="7:14" ht="11.25" customHeight="1" x14ac:dyDescent="0.25">
      <c r="G2814" s="459"/>
      <c r="H2814" s="459">
        <v>2807</v>
      </c>
      <c r="I2814" s="444">
        <f t="shared" ref="I2814:I3068" ca="1" si="158">L2813</f>
        <v>-54042035447.268051</v>
      </c>
      <c r="J2814" s="444">
        <f t="array" ref="J2814">IFERROR(INDEX('Retirement Calculator'!J:J,MATCH('Isaac 401k'!N2814,'Retirement Calculator'!A:A,0),0),0)</f>
        <v>0</v>
      </c>
      <c r="K2814" s="444">
        <f t="shared" ca="1" si="156"/>
        <v>-225175147.69695017</v>
      </c>
      <c r="L2814" s="444">
        <f t="shared" ca="1" si="157"/>
        <v>-54267210594.965004</v>
      </c>
      <c r="M2814" s="460">
        <f t="shared" ref="M2814:M3068" si="159">M2813</f>
        <v>0.05</v>
      </c>
      <c r="N2814" s="464">
        <f t="shared" ref="N2814:N3068" si="160">EDATE(N2813,1)</f>
        <v>136693</v>
      </c>
    </row>
    <row r="2815" spans="7:14" ht="11.25" customHeight="1" x14ac:dyDescent="0.25">
      <c r="G2815" s="459"/>
      <c r="H2815" s="459">
        <v>2808</v>
      </c>
      <c r="I2815" s="444">
        <f t="shared" ca="1" si="158"/>
        <v>-54267210594.965004</v>
      </c>
      <c r="J2815" s="444">
        <f t="array" ref="J2815">IFERROR(INDEX('Retirement Calculator'!J:J,MATCH('Isaac 401k'!N2815,'Retirement Calculator'!A:A,0),0),0)</f>
        <v>0</v>
      </c>
      <c r="K2815" s="444">
        <f t="shared" ca="1" si="156"/>
        <v>-226113377.4790208</v>
      </c>
      <c r="L2815" s="444">
        <f t="shared" ca="1" si="157"/>
        <v>-54493323972.444023</v>
      </c>
      <c r="M2815" s="460">
        <f t="shared" si="159"/>
        <v>0.05</v>
      </c>
      <c r="N2815" s="464">
        <f t="shared" si="160"/>
        <v>136723</v>
      </c>
    </row>
    <row r="2816" spans="7:14" ht="11.25" customHeight="1" x14ac:dyDescent="0.25">
      <c r="G2816" s="459"/>
      <c r="H2816" s="459">
        <v>2809</v>
      </c>
      <c r="I2816" s="444">
        <f t="shared" ca="1" si="158"/>
        <v>-54493323972.444023</v>
      </c>
      <c r="J2816" s="444">
        <f t="array" ref="J2816">IFERROR(INDEX('Retirement Calculator'!J:J,MATCH('Isaac 401k'!N2816,'Retirement Calculator'!A:A,0),0),0)</f>
        <v>0</v>
      </c>
      <c r="K2816" s="444">
        <f t="shared" ca="1" si="156"/>
        <v>-227055516.55185008</v>
      </c>
      <c r="L2816" s="444">
        <f t="shared" ca="1" si="157"/>
        <v>-54720379488.995872</v>
      </c>
      <c r="M2816" s="460">
        <f t="shared" si="159"/>
        <v>0.05</v>
      </c>
      <c r="N2816" s="464">
        <f t="shared" si="160"/>
        <v>136754</v>
      </c>
    </row>
    <row r="2817" spans="7:14" ht="11.25" customHeight="1" x14ac:dyDescent="0.25">
      <c r="G2817" s="459"/>
      <c r="H2817" s="459">
        <v>2810</v>
      </c>
      <c r="I2817" s="444">
        <f t="shared" ca="1" si="158"/>
        <v>-54720379488.995872</v>
      </c>
      <c r="J2817" s="444">
        <f t="array" ref="J2817">IFERROR(INDEX('Retirement Calculator'!J:J,MATCH('Isaac 401k'!N2817,'Retirement Calculator'!A:A,0),0),0)</f>
        <v>0</v>
      </c>
      <c r="K2817" s="444">
        <f t="shared" ca="1" si="156"/>
        <v>-228001581.20414945</v>
      </c>
      <c r="L2817" s="444">
        <f t="shared" ca="1" si="157"/>
        <v>-54948381070.20002</v>
      </c>
      <c r="M2817" s="460">
        <f t="shared" si="159"/>
        <v>0.05</v>
      </c>
      <c r="N2817" s="464">
        <f t="shared" si="160"/>
        <v>136784</v>
      </c>
    </row>
    <row r="2818" spans="7:14" ht="11.25" customHeight="1" x14ac:dyDescent="0.25">
      <c r="G2818" s="459"/>
      <c r="H2818" s="459">
        <v>2811</v>
      </c>
      <c r="I2818" s="444">
        <f t="shared" ca="1" si="158"/>
        <v>-54948381070.20002</v>
      </c>
      <c r="J2818" s="444">
        <f t="array" ref="J2818">IFERROR(INDEX('Retirement Calculator'!J:J,MATCH('Isaac 401k'!N2818,'Retirement Calculator'!A:A,0),0),0)</f>
        <v>0</v>
      </c>
      <c r="K2818" s="444">
        <f t="shared" ca="1" si="156"/>
        <v>-228951587.79250008</v>
      </c>
      <c r="L2818" s="444">
        <f t="shared" ca="1" si="157"/>
        <v>-55177332657.992523</v>
      </c>
      <c r="M2818" s="460">
        <f t="shared" si="159"/>
        <v>0.05</v>
      </c>
      <c r="N2818" s="464">
        <f t="shared" si="160"/>
        <v>136815</v>
      </c>
    </row>
    <row r="2819" spans="7:14" ht="11.25" customHeight="1" x14ac:dyDescent="0.25">
      <c r="G2819" s="459"/>
      <c r="H2819" s="459">
        <v>2812</v>
      </c>
      <c r="I2819" s="444">
        <f t="shared" ca="1" si="158"/>
        <v>-55177332657.992523</v>
      </c>
      <c r="J2819" s="444">
        <f t="array" ref="J2819">IFERROR(INDEX('Retirement Calculator'!J:J,MATCH('Isaac 401k'!N2819,'Retirement Calculator'!A:A,0),0),0)</f>
        <v>0</v>
      </c>
      <c r="K2819" s="444">
        <f t="shared" ca="1" si="156"/>
        <v>-229905552.7416355</v>
      </c>
      <c r="L2819" s="444">
        <f t="shared" ca="1" si="157"/>
        <v>-55407238210.734161</v>
      </c>
      <c r="M2819" s="460">
        <f t="shared" si="159"/>
        <v>0.05</v>
      </c>
      <c r="N2819" s="464">
        <f t="shared" si="160"/>
        <v>136846</v>
      </c>
    </row>
    <row r="2820" spans="7:14" ht="11.25" customHeight="1" x14ac:dyDescent="0.25">
      <c r="G2820" s="459"/>
      <c r="H2820" s="459">
        <v>2813</v>
      </c>
      <c r="I2820" s="444">
        <f t="shared" ca="1" si="158"/>
        <v>-55407238210.734161</v>
      </c>
      <c r="J2820" s="444">
        <f t="array" ref="J2820">IFERROR(INDEX('Retirement Calculator'!J:J,MATCH('Isaac 401k'!N2820,'Retirement Calculator'!A:A,0),0),0)</f>
        <v>0</v>
      </c>
      <c r="K2820" s="444">
        <f t="shared" ca="1" si="156"/>
        <v>-230863492.54472566</v>
      </c>
      <c r="L2820" s="444">
        <f t="shared" ca="1" si="157"/>
        <v>-55638101703.278885</v>
      </c>
      <c r="M2820" s="460">
        <f t="shared" si="159"/>
        <v>0.05</v>
      </c>
      <c r="N2820" s="464">
        <f t="shared" si="160"/>
        <v>136876</v>
      </c>
    </row>
    <row r="2821" spans="7:14" ht="11.25" customHeight="1" x14ac:dyDescent="0.25">
      <c r="G2821" s="459"/>
      <c r="H2821" s="459">
        <v>2814</v>
      </c>
      <c r="I2821" s="444">
        <f t="shared" ca="1" si="158"/>
        <v>-55638101703.278885</v>
      </c>
      <c r="J2821" s="444">
        <f t="array" ref="J2821">IFERROR(INDEX('Retirement Calculator'!J:J,MATCH('Isaac 401k'!N2821,'Retirement Calculator'!A:A,0),0),0)</f>
        <v>0</v>
      </c>
      <c r="K2821" s="444">
        <f t="shared" ca="1" si="156"/>
        <v>-231825423.76366201</v>
      </c>
      <c r="L2821" s="444">
        <f t="shared" ca="1" si="157"/>
        <v>-55869927127.042549</v>
      </c>
      <c r="M2821" s="460">
        <f t="shared" si="159"/>
        <v>0.05</v>
      </c>
      <c r="N2821" s="464">
        <f t="shared" si="160"/>
        <v>136907</v>
      </c>
    </row>
    <row r="2822" spans="7:14" ht="11.25" customHeight="1" x14ac:dyDescent="0.25">
      <c r="G2822" s="459"/>
      <c r="H2822" s="459">
        <v>2815</v>
      </c>
      <c r="I2822" s="444">
        <f t="shared" ca="1" si="158"/>
        <v>-55869927127.042549</v>
      </c>
      <c r="J2822" s="444">
        <f t="array" ref="J2822">IFERROR(INDEX('Retirement Calculator'!J:J,MATCH('Isaac 401k'!N2822,'Retirement Calculator'!A:A,0),0),0)</f>
        <v>0</v>
      </c>
      <c r="K2822" s="444">
        <f t="shared" ca="1" si="156"/>
        <v>-232791363.02934396</v>
      </c>
      <c r="L2822" s="444">
        <f t="shared" ca="1" si="157"/>
        <v>-56102718490.071892</v>
      </c>
      <c r="M2822" s="460">
        <f t="shared" si="159"/>
        <v>0.05</v>
      </c>
      <c r="N2822" s="464">
        <f t="shared" si="160"/>
        <v>136937</v>
      </c>
    </row>
    <row r="2823" spans="7:14" ht="11.25" customHeight="1" x14ac:dyDescent="0.25">
      <c r="G2823" s="459"/>
      <c r="H2823" s="459">
        <v>2816</v>
      </c>
      <c r="I2823" s="444">
        <f t="shared" ca="1" si="158"/>
        <v>-56102718490.071892</v>
      </c>
      <c r="J2823" s="444">
        <f t="array" ref="J2823">IFERROR(INDEX('Retirement Calculator'!J:J,MATCH('Isaac 401k'!N2823,'Retirement Calculator'!A:A,0),0),0)</f>
        <v>0</v>
      </c>
      <c r="K2823" s="444">
        <f t="shared" ca="1" si="156"/>
        <v>-233761327.0419662</v>
      </c>
      <c r="L2823" s="444">
        <f t="shared" ca="1" si="157"/>
        <v>-56336479817.113861</v>
      </c>
      <c r="M2823" s="460">
        <f t="shared" si="159"/>
        <v>0.05</v>
      </c>
      <c r="N2823" s="464">
        <f t="shared" si="160"/>
        <v>136968</v>
      </c>
    </row>
    <row r="2824" spans="7:14" ht="11.25" customHeight="1" x14ac:dyDescent="0.25">
      <c r="G2824" s="459"/>
      <c r="H2824" s="459">
        <v>2817</v>
      </c>
      <c r="I2824" s="444">
        <f t="shared" ca="1" si="158"/>
        <v>-56336479817.113861</v>
      </c>
      <c r="J2824" s="444">
        <f t="array" ref="J2824">IFERROR(INDEX('Retirement Calculator'!J:J,MATCH('Isaac 401k'!N2824,'Retirement Calculator'!A:A,0),0),0)</f>
        <v>0</v>
      </c>
      <c r="K2824" s="444">
        <f t="shared" ca="1" si="156"/>
        <v>-234735332.57130775</v>
      </c>
      <c r="L2824" s="444">
        <f t="shared" ca="1" si="157"/>
        <v>-56571215149.685165</v>
      </c>
      <c r="M2824" s="460">
        <f t="shared" si="159"/>
        <v>0.05</v>
      </c>
      <c r="N2824" s="464">
        <f t="shared" si="160"/>
        <v>136999</v>
      </c>
    </row>
    <row r="2825" spans="7:14" ht="11.25" customHeight="1" x14ac:dyDescent="0.25">
      <c r="G2825" s="459"/>
      <c r="H2825" s="459">
        <v>2818</v>
      </c>
      <c r="I2825" s="444">
        <f t="shared" ca="1" si="158"/>
        <v>-56571215149.685165</v>
      </c>
      <c r="J2825" s="444">
        <f t="array" ref="J2825">IFERROR(INDEX('Retirement Calculator'!J:J,MATCH('Isaac 401k'!N2825,'Retirement Calculator'!A:A,0),0),0)</f>
        <v>0</v>
      </c>
      <c r="K2825" s="444">
        <f t="shared" ca="1" si="156"/>
        <v>-235713396.45702156</v>
      </c>
      <c r="L2825" s="444">
        <f t="shared" ca="1" si="157"/>
        <v>-56806928546.142189</v>
      </c>
      <c r="M2825" s="460">
        <f t="shared" si="159"/>
        <v>0.05</v>
      </c>
      <c r="N2825" s="464">
        <f t="shared" si="160"/>
        <v>137027</v>
      </c>
    </row>
    <row r="2826" spans="7:14" ht="11.25" customHeight="1" x14ac:dyDescent="0.25">
      <c r="G2826" s="459"/>
      <c r="H2826" s="459">
        <v>2819</v>
      </c>
      <c r="I2826" s="444">
        <f t="shared" ca="1" si="158"/>
        <v>-56806928546.142189</v>
      </c>
      <c r="J2826" s="444">
        <f t="array" ref="J2826">IFERROR(INDEX('Retirement Calculator'!J:J,MATCH('Isaac 401k'!N2826,'Retirement Calculator'!A:A,0),0),0)</f>
        <v>0</v>
      </c>
      <c r="K2826" s="444">
        <f t="shared" ca="1" si="156"/>
        <v>-236695535.60892579</v>
      </c>
      <c r="L2826" s="444">
        <f t="shared" ca="1" si="157"/>
        <v>-57043624081.751114</v>
      </c>
      <c r="M2826" s="460">
        <f t="shared" si="159"/>
        <v>0.05</v>
      </c>
      <c r="N2826" s="464">
        <f t="shared" si="160"/>
        <v>137058</v>
      </c>
    </row>
    <row r="2827" spans="7:14" ht="11.25" customHeight="1" x14ac:dyDescent="0.25">
      <c r="G2827" s="459"/>
      <c r="H2827" s="459">
        <v>2820</v>
      </c>
      <c r="I2827" s="444">
        <f t="shared" ca="1" si="158"/>
        <v>-57043624081.751114</v>
      </c>
      <c r="J2827" s="444">
        <f t="array" ref="J2827">IFERROR(INDEX('Retirement Calculator'!J:J,MATCH('Isaac 401k'!N2827,'Retirement Calculator'!A:A,0),0),0)</f>
        <v>0</v>
      </c>
      <c r="K2827" s="444">
        <f t="shared" ca="1" si="156"/>
        <v>-237681767.00729629</v>
      </c>
      <c r="L2827" s="444">
        <f t="shared" ca="1" si="157"/>
        <v>-57281305848.758408</v>
      </c>
      <c r="M2827" s="460">
        <f t="shared" si="159"/>
        <v>0.05</v>
      </c>
      <c r="N2827" s="464">
        <f t="shared" si="160"/>
        <v>137088</v>
      </c>
    </row>
    <row r="2828" spans="7:14" ht="11.25" customHeight="1" x14ac:dyDescent="0.25">
      <c r="G2828" s="459"/>
      <c r="H2828" s="459">
        <v>2821</v>
      </c>
      <c r="I2828" s="444">
        <f t="shared" ca="1" si="158"/>
        <v>-57281305848.758408</v>
      </c>
      <c r="J2828" s="444">
        <f t="array" ref="J2828">IFERROR(INDEX('Retirement Calculator'!J:J,MATCH('Isaac 401k'!N2828,'Retirement Calculator'!A:A,0),0),0)</f>
        <v>0</v>
      </c>
      <c r="K2828" s="444">
        <f t="shared" ca="1" si="156"/>
        <v>-238672107.70316002</v>
      </c>
      <c r="L2828" s="444">
        <f t="shared" ca="1" si="157"/>
        <v>-57519977956.461571</v>
      </c>
      <c r="M2828" s="460">
        <f t="shared" si="159"/>
        <v>0.05</v>
      </c>
      <c r="N2828" s="464">
        <f t="shared" si="160"/>
        <v>137119</v>
      </c>
    </row>
    <row r="2829" spans="7:14" ht="11.25" customHeight="1" x14ac:dyDescent="0.25">
      <c r="G2829" s="459"/>
      <c r="H2829" s="459">
        <v>2822</v>
      </c>
      <c r="I2829" s="444">
        <f t="shared" ca="1" si="158"/>
        <v>-57519977956.461571</v>
      </c>
      <c r="J2829" s="444">
        <f t="array" ref="J2829">IFERROR(INDEX('Retirement Calculator'!J:J,MATCH('Isaac 401k'!N2829,'Retirement Calculator'!A:A,0),0),0)</f>
        <v>0</v>
      </c>
      <c r="K2829" s="444">
        <f t="shared" ca="1" si="156"/>
        <v>-239666574.81858987</v>
      </c>
      <c r="L2829" s="444">
        <f t="shared" ca="1" si="157"/>
        <v>-57759644531.280159</v>
      </c>
      <c r="M2829" s="460">
        <f t="shared" si="159"/>
        <v>0.05</v>
      </c>
      <c r="N2829" s="464">
        <f t="shared" si="160"/>
        <v>137149</v>
      </c>
    </row>
    <row r="2830" spans="7:14" ht="11.25" customHeight="1" x14ac:dyDescent="0.25">
      <c r="G2830" s="459"/>
      <c r="H2830" s="459">
        <v>2823</v>
      </c>
      <c r="I2830" s="444">
        <f t="shared" ca="1" si="158"/>
        <v>-57759644531.280159</v>
      </c>
      <c r="J2830" s="444">
        <f t="array" ref="J2830">IFERROR(INDEX('Retirement Calculator'!J:J,MATCH('Isaac 401k'!N2830,'Retirement Calculator'!A:A,0),0),0)</f>
        <v>0</v>
      </c>
      <c r="K2830" s="444">
        <f t="shared" ca="1" si="156"/>
        <v>-240665185.54700065</v>
      </c>
      <c r="L2830" s="444">
        <f t="shared" ca="1" si="157"/>
        <v>-58000309716.827156</v>
      </c>
      <c r="M2830" s="460">
        <f t="shared" si="159"/>
        <v>0.05</v>
      </c>
      <c r="N2830" s="464">
        <f t="shared" si="160"/>
        <v>137180</v>
      </c>
    </row>
    <row r="2831" spans="7:14" ht="11.25" customHeight="1" x14ac:dyDescent="0.25">
      <c r="G2831" s="459"/>
      <c r="H2831" s="459">
        <v>2824</v>
      </c>
      <c r="I2831" s="444">
        <f t="shared" ca="1" si="158"/>
        <v>-58000309716.827156</v>
      </c>
      <c r="J2831" s="444">
        <f t="array" ref="J2831">IFERROR(INDEX('Retirement Calculator'!J:J,MATCH('Isaac 401k'!N2831,'Retirement Calculator'!A:A,0),0),0)</f>
        <v>0</v>
      </c>
      <c r="K2831" s="444">
        <f t="shared" ca="1" si="156"/>
        <v>-241667957.15344647</v>
      </c>
      <c r="L2831" s="444">
        <f t="shared" ca="1" si="157"/>
        <v>-58241977673.980606</v>
      </c>
      <c r="M2831" s="460">
        <f t="shared" si="159"/>
        <v>0.05</v>
      </c>
      <c r="N2831" s="464">
        <f t="shared" si="160"/>
        <v>137211</v>
      </c>
    </row>
    <row r="2832" spans="7:14" ht="11.25" customHeight="1" x14ac:dyDescent="0.25">
      <c r="G2832" s="459"/>
      <c r="H2832" s="459">
        <v>2825</v>
      </c>
      <c r="I2832" s="444">
        <f t="shared" ca="1" si="158"/>
        <v>-58241977673.980606</v>
      </c>
      <c r="J2832" s="444">
        <f t="array" ref="J2832">IFERROR(INDEX('Retirement Calculator'!J:J,MATCH('Isaac 401k'!N2832,'Retirement Calculator'!A:A,0),0),0)</f>
        <v>0</v>
      </c>
      <c r="K2832" s="444">
        <f t="shared" ca="1" si="156"/>
        <v>-242674906.97491923</v>
      </c>
      <c r="L2832" s="444">
        <f t="shared" ca="1" si="157"/>
        <v>-58484652580.955528</v>
      </c>
      <c r="M2832" s="460">
        <f t="shared" si="159"/>
        <v>0.05</v>
      </c>
      <c r="N2832" s="464">
        <f t="shared" si="160"/>
        <v>137241</v>
      </c>
    </row>
    <row r="2833" spans="7:14" ht="11.25" customHeight="1" x14ac:dyDescent="0.25">
      <c r="G2833" s="459"/>
      <c r="H2833" s="459">
        <v>2826</v>
      </c>
      <c r="I2833" s="444">
        <f t="shared" ca="1" si="158"/>
        <v>-58484652580.955528</v>
      </c>
      <c r="J2833" s="444">
        <f t="array" ref="J2833">IFERROR(INDEX('Retirement Calculator'!J:J,MATCH('Isaac 401k'!N2833,'Retirement Calculator'!A:A,0),0),0)</f>
        <v>0</v>
      </c>
      <c r="K2833" s="444">
        <f t="shared" ca="1" si="156"/>
        <v>-243686052.42064804</v>
      </c>
      <c r="L2833" s="444">
        <f t="shared" ca="1" si="157"/>
        <v>-58728338633.376175</v>
      </c>
      <c r="M2833" s="460">
        <f t="shared" si="159"/>
        <v>0.05</v>
      </c>
      <c r="N2833" s="464">
        <f t="shared" si="160"/>
        <v>137272</v>
      </c>
    </row>
    <row r="2834" spans="7:14" ht="11.25" customHeight="1" x14ac:dyDescent="0.25">
      <c r="G2834" s="459"/>
      <c r="H2834" s="459">
        <v>2827</v>
      </c>
      <c r="I2834" s="444">
        <f t="shared" ca="1" si="158"/>
        <v>-58728338633.376175</v>
      </c>
      <c r="J2834" s="444">
        <f t="array" ref="J2834">IFERROR(INDEX('Retirement Calculator'!J:J,MATCH('Isaac 401k'!N2834,'Retirement Calculator'!A:A,0),0),0)</f>
        <v>0</v>
      </c>
      <c r="K2834" s="444">
        <f t="shared" ca="1" si="156"/>
        <v>-244701410.97240072</v>
      </c>
      <c r="L2834" s="444">
        <f t="shared" ca="1" si="157"/>
        <v>-58973040044.348579</v>
      </c>
      <c r="M2834" s="460">
        <f t="shared" si="159"/>
        <v>0.05</v>
      </c>
      <c r="N2834" s="464">
        <f t="shared" si="160"/>
        <v>137302</v>
      </c>
    </row>
    <row r="2835" spans="7:14" ht="11.25" customHeight="1" x14ac:dyDescent="0.25">
      <c r="G2835" s="459"/>
      <c r="H2835" s="459">
        <v>2828</v>
      </c>
      <c r="I2835" s="444">
        <f t="shared" ca="1" si="158"/>
        <v>-58973040044.348579</v>
      </c>
      <c r="J2835" s="444">
        <f t="array" ref="J2835">IFERROR(INDEX('Retirement Calculator'!J:J,MATCH('Isaac 401k'!N2835,'Retirement Calculator'!A:A,0),0),0)</f>
        <v>0</v>
      </c>
      <c r="K2835" s="444">
        <f t="shared" ca="1" si="156"/>
        <v>-245721000.18478575</v>
      </c>
      <c r="L2835" s="444">
        <f t="shared" ca="1" si="157"/>
        <v>-59218761044.533363</v>
      </c>
      <c r="M2835" s="460">
        <f t="shared" si="159"/>
        <v>0.05</v>
      </c>
      <c r="N2835" s="464">
        <f t="shared" si="160"/>
        <v>137333</v>
      </c>
    </row>
    <row r="2836" spans="7:14" ht="11.25" customHeight="1" x14ac:dyDescent="0.25">
      <c r="G2836" s="459"/>
      <c r="H2836" s="459">
        <v>2829</v>
      </c>
      <c r="I2836" s="444">
        <f t="shared" ca="1" si="158"/>
        <v>-59218761044.533363</v>
      </c>
      <c r="J2836" s="444">
        <f t="array" ref="J2836">IFERROR(INDEX('Retirement Calculator'!J:J,MATCH('Isaac 401k'!N2836,'Retirement Calculator'!A:A,0),0),0)</f>
        <v>0</v>
      </c>
      <c r="K2836" s="444">
        <f t="shared" ca="1" si="156"/>
        <v>-246744837.68555567</v>
      </c>
      <c r="L2836" s="444">
        <f t="shared" ca="1" si="157"/>
        <v>-59465505882.218918</v>
      </c>
      <c r="M2836" s="460">
        <f t="shared" si="159"/>
        <v>0.05</v>
      </c>
      <c r="N2836" s="464">
        <f t="shared" si="160"/>
        <v>137364</v>
      </c>
    </row>
    <row r="2837" spans="7:14" ht="11.25" customHeight="1" x14ac:dyDescent="0.25">
      <c r="G2837" s="459"/>
      <c r="H2837" s="459">
        <v>2830</v>
      </c>
      <c r="I2837" s="444">
        <f t="shared" ca="1" si="158"/>
        <v>-59465505882.218918</v>
      </c>
      <c r="J2837" s="444">
        <f t="array" ref="J2837">IFERROR(INDEX('Retirement Calculator'!J:J,MATCH('Isaac 401k'!N2837,'Retirement Calculator'!A:A,0),0),0)</f>
        <v>0</v>
      </c>
      <c r="K2837" s="444">
        <f t="shared" ca="1" si="156"/>
        <v>-247772941.17591211</v>
      </c>
      <c r="L2837" s="444">
        <f t="shared" ca="1" si="157"/>
        <v>-59713278823.394829</v>
      </c>
      <c r="M2837" s="460">
        <f t="shared" si="159"/>
        <v>0.05</v>
      </c>
      <c r="N2837" s="464">
        <f t="shared" si="160"/>
        <v>137393</v>
      </c>
    </row>
    <row r="2838" spans="7:14" ht="11.25" customHeight="1" x14ac:dyDescent="0.25">
      <c r="G2838" s="459"/>
      <c r="H2838" s="459">
        <v>2831</v>
      </c>
      <c r="I2838" s="444">
        <f t="shared" ca="1" si="158"/>
        <v>-59713278823.394829</v>
      </c>
      <c r="J2838" s="444">
        <f t="array" ref="J2838">IFERROR(INDEX('Retirement Calculator'!J:J,MATCH('Isaac 401k'!N2838,'Retirement Calculator'!A:A,0),0),0)</f>
        <v>0</v>
      </c>
      <c r="K2838" s="444">
        <f t="shared" ca="1" si="156"/>
        <v>-248805328.43081176</v>
      </c>
      <c r="L2838" s="444">
        <f t="shared" ca="1" si="157"/>
        <v>-59962084151.825638</v>
      </c>
      <c r="M2838" s="460">
        <f t="shared" si="159"/>
        <v>0.05</v>
      </c>
      <c r="N2838" s="464">
        <f t="shared" si="160"/>
        <v>137424</v>
      </c>
    </row>
    <row r="2839" spans="7:14" ht="11.25" customHeight="1" x14ac:dyDescent="0.25">
      <c r="G2839" s="459"/>
      <c r="H2839" s="459">
        <v>2832</v>
      </c>
      <c r="I2839" s="444">
        <f t="shared" ca="1" si="158"/>
        <v>-59962084151.825638</v>
      </c>
      <c r="J2839" s="444">
        <f t="array" ref="J2839">IFERROR(INDEX('Retirement Calculator'!J:J,MATCH('Isaac 401k'!N2839,'Retirement Calculator'!A:A,0),0),0)</f>
        <v>0</v>
      </c>
      <c r="K2839" s="444">
        <f t="shared" ca="1" si="156"/>
        <v>-249842017.29927349</v>
      </c>
      <c r="L2839" s="444">
        <f t="shared" ca="1" si="157"/>
        <v>-60211926169.124908</v>
      </c>
      <c r="M2839" s="460">
        <f t="shared" si="159"/>
        <v>0.05</v>
      </c>
      <c r="N2839" s="464">
        <f t="shared" si="160"/>
        <v>137454</v>
      </c>
    </row>
    <row r="2840" spans="7:14" ht="11.25" customHeight="1" x14ac:dyDescent="0.25">
      <c r="G2840" s="459"/>
      <c r="H2840" s="459">
        <v>2833</v>
      </c>
      <c r="I2840" s="444">
        <f t="shared" ca="1" si="158"/>
        <v>-60211926169.124908</v>
      </c>
      <c r="J2840" s="444">
        <f t="array" ref="J2840">IFERROR(INDEX('Retirement Calculator'!J:J,MATCH('Isaac 401k'!N2840,'Retirement Calculator'!A:A,0),0),0)</f>
        <v>0</v>
      </c>
      <c r="K2840" s="444">
        <f t="shared" ca="1" si="156"/>
        <v>-250883025.70468712</v>
      </c>
      <c r="L2840" s="444">
        <f t="shared" ca="1" si="157"/>
        <v>-60462809194.829597</v>
      </c>
      <c r="M2840" s="460">
        <f t="shared" si="159"/>
        <v>0.05</v>
      </c>
      <c r="N2840" s="464">
        <f t="shared" si="160"/>
        <v>137485</v>
      </c>
    </row>
    <row r="2841" spans="7:14" ht="11.25" customHeight="1" x14ac:dyDescent="0.25">
      <c r="G2841" s="459"/>
      <c r="H2841" s="459">
        <v>2834</v>
      </c>
      <c r="I2841" s="444">
        <f t="shared" ca="1" si="158"/>
        <v>-60462809194.829597</v>
      </c>
      <c r="J2841" s="444">
        <f t="array" ref="J2841">IFERROR(INDEX('Retirement Calculator'!J:J,MATCH('Isaac 401k'!N2841,'Retirement Calculator'!A:A,0),0),0)</f>
        <v>0</v>
      </c>
      <c r="K2841" s="444">
        <f t="shared" ca="1" si="156"/>
        <v>-251928371.64512333</v>
      </c>
      <c r="L2841" s="444">
        <f t="shared" ca="1" si="157"/>
        <v>-60714737566.474724</v>
      </c>
      <c r="M2841" s="460">
        <f t="shared" si="159"/>
        <v>0.05</v>
      </c>
      <c r="N2841" s="464">
        <f t="shared" si="160"/>
        <v>137515</v>
      </c>
    </row>
    <row r="2842" spans="7:14" ht="11.25" customHeight="1" x14ac:dyDescent="0.25">
      <c r="G2842" s="459"/>
      <c r="H2842" s="459">
        <v>2835</v>
      </c>
      <c r="I2842" s="444">
        <f t="shared" ca="1" si="158"/>
        <v>-60714737566.474724</v>
      </c>
      <c r="J2842" s="444">
        <f t="array" ref="J2842">IFERROR(INDEX('Retirement Calculator'!J:J,MATCH('Isaac 401k'!N2842,'Retirement Calculator'!A:A,0),0),0)</f>
        <v>0</v>
      </c>
      <c r="K2842" s="444">
        <f t="shared" ca="1" si="156"/>
        <v>-252978073.19364467</v>
      </c>
      <c r="L2842" s="444">
        <f t="shared" ca="1" si="157"/>
        <v>-60967715639.668365</v>
      </c>
      <c r="M2842" s="460">
        <f t="shared" si="159"/>
        <v>0.05</v>
      </c>
      <c r="N2842" s="464">
        <f t="shared" si="160"/>
        <v>137546</v>
      </c>
    </row>
    <row r="2843" spans="7:14" ht="11.25" customHeight="1" x14ac:dyDescent="0.25">
      <c r="G2843" s="459"/>
      <c r="H2843" s="459">
        <v>2836</v>
      </c>
      <c r="I2843" s="444">
        <f t="shared" ca="1" si="158"/>
        <v>-60967715639.668365</v>
      </c>
      <c r="J2843" s="444">
        <f t="array" ref="J2843">IFERROR(INDEX('Retirement Calculator'!J:J,MATCH('Isaac 401k'!N2843,'Retirement Calculator'!A:A,0),0),0)</f>
        <v>0</v>
      </c>
      <c r="K2843" s="444">
        <f t="shared" ca="1" si="156"/>
        <v>-254032148.49861816</v>
      </c>
      <c r="L2843" s="444">
        <f t="shared" ca="1" si="157"/>
        <v>-61221747788.166985</v>
      </c>
      <c r="M2843" s="460">
        <f t="shared" si="159"/>
        <v>0.05</v>
      </c>
      <c r="N2843" s="464">
        <f t="shared" si="160"/>
        <v>137577</v>
      </c>
    </row>
    <row r="2844" spans="7:14" ht="11.25" customHeight="1" x14ac:dyDescent="0.25">
      <c r="G2844" s="459"/>
      <c r="H2844" s="459">
        <v>2837</v>
      </c>
      <c r="I2844" s="444">
        <f t="shared" ca="1" si="158"/>
        <v>-61221747788.166985</v>
      </c>
      <c r="J2844" s="444">
        <f t="array" ref="J2844">IFERROR(INDEX('Retirement Calculator'!J:J,MATCH('Isaac 401k'!N2844,'Retirement Calculator'!A:A,0),0),0)</f>
        <v>0</v>
      </c>
      <c r="K2844" s="444">
        <f t="shared" ca="1" si="156"/>
        <v>-255090615.78402907</v>
      </c>
      <c r="L2844" s="444">
        <f t="shared" ca="1" si="157"/>
        <v>-61476838403.951012</v>
      </c>
      <c r="M2844" s="460">
        <f t="shared" si="159"/>
        <v>0.05</v>
      </c>
      <c r="N2844" s="464">
        <f t="shared" si="160"/>
        <v>137607</v>
      </c>
    </row>
    <row r="2845" spans="7:14" ht="11.25" customHeight="1" x14ac:dyDescent="0.25">
      <c r="G2845" s="459"/>
      <c r="H2845" s="459">
        <v>2838</v>
      </c>
      <c r="I2845" s="444">
        <f t="shared" ca="1" si="158"/>
        <v>-61476838403.951012</v>
      </c>
      <c r="J2845" s="444">
        <f t="array" ref="J2845">IFERROR(INDEX('Retirement Calculator'!J:J,MATCH('Isaac 401k'!N2845,'Retirement Calculator'!A:A,0),0),0)</f>
        <v>0</v>
      </c>
      <c r="K2845" s="444">
        <f t="shared" ca="1" si="156"/>
        <v>-256153493.34979588</v>
      </c>
      <c r="L2845" s="444">
        <f t="shared" ca="1" si="157"/>
        <v>-61732991897.300804</v>
      </c>
      <c r="M2845" s="460">
        <f t="shared" si="159"/>
        <v>0.05</v>
      </c>
      <c r="N2845" s="464">
        <f t="shared" si="160"/>
        <v>137638</v>
      </c>
    </row>
    <row r="2846" spans="7:14" ht="11.25" customHeight="1" x14ac:dyDescent="0.25">
      <c r="G2846" s="459"/>
      <c r="H2846" s="459">
        <v>2839</v>
      </c>
      <c r="I2846" s="444">
        <f t="shared" ca="1" si="158"/>
        <v>-61732991897.300804</v>
      </c>
      <c r="J2846" s="444">
        <f t="array" ref="J2846">IFERROR(INDEX('Retirement Calculator'!J:J,MATCH('Isaac 401k'!N2846,'Retirement Calculator'!A:A,0),0),0)</f>
        <v>0</v>
      </c>
      <c r="K2846" s="444">
        <f t="shared" ca="1" si="156"/>
        <v>-257220799.57208669</v>
      </c>
      <c r="L2846" s="444">
        <f t="shared" ca="1" si="157"/>
        <v>-61990212696.872894</v>
      </c>
      <c r="M2846" s="460">
        <f t="shared" si="159"/>
        <v>0.05</v>
      </c>
      <c r="N2846" s="464">
        <f t="shared" si="160"/>
        <v>137668</v>
      </c>
    </row>
    <row r="2847" spans="7:14" ht="11.25" customHeight="1" x14ac:dyDescent="0.25">
      <c r="G2847" s="459"/>
      <c r="H2847" s="459">
        <v>2840</v>
      </c>
      <c r="I2847" s="444">
        <f t="shared" ca="1" si="158"/>
        <v>-61990212696.872894</v>
      </c>
      <c r="J2847" s="444">
        <f t="array" ref="J2847">IFERROR(INDEX('Retirement Calculator'!J:J,MATCH('Isaac 401k'!N2847,'Retirement Calculator'!A:A,0),0),0)</f>
        <v>0</v>
      </c>
      <c r="K2847" s="444">
        <f t="shared" ca="1" si="156"/>
        <v>-258292552.90363705</v>
      </c>
      <c r="L2847" s="444">
        <f t="shared" ca="1" si="157"/>
        <v>-62248505249.776535</v>
      </c>
      <c r="M2847" s="460">
        <f t="shared" si="159"/>
        <v>0.05</v>
      </c>
      <c r="N2847" s="464">
        <f t="shared" si="160"/>
        <v>137699</v>
      </c>
    </row>
    <row r="2848" spans="7:14" ht="11.25" customHeight="1" x14ac:dyDescent="0.25">
      <c r="G2848" s="459"/>
      <c r="H2848" s="459">
        <v>2841</v>
      </c>
      <c r="I2848" s="444">
        <f t="shared" ca="1" si="158"/>
        <v>-62248505249.776535</v>
      </c>
      <c r="J2848" s="444">
        <f t="array" ref="J2848">IFERROR(INDEX('Retirement Calculator'!J:J,MATCH('Isaac 401k'!N2848,'Retirement Calculator'!A:A,0),0),0)</f>
        <v>0</v>
      </c>
      <c r="K2848" s="444">
        <f t="shared" ca="1" si="156"/>
        <v>-259368771.87406889</v>
      </c>
      <c r="L2848" s="444">
        <f t="shared" ca="1" si="157"/>
        <v>-62507874021.650604</v>
      </c>
      <c r="M2848" s="460">
        <f t="shared" si="159"/>
        <v>0.05</v>
      </c>
      <c r="N2848" s="464">
        <f t="shared" si="160"/>
        <v>137730</v>
      </c>
    </row>
    <row r="2849" spans="7:14" ht="11.25" customHeight="1" x14ac:dyDescent="0.25">
      <c r="G2849" s="459"/>
      <c r="H2849" s="459">
        <v>2842</v>
      </c>
      <c r="I2849" s="444">
        <f t="shared" ca="1" si="158"/>
        <v>-62507874021.650604</v>
      </c>
      <c r="J2849" s="444">
        <f t="array" ref="J2849">IFERROR(INDEX('Retirement Calculator'!J:J,MATCH('Isaac 401k'!N2849,'Retirement Calculator'!A:A,0),0),0)</f>
        <v>0</v>
      </c>
      <c r="K2849" s="444">
        <f t="shared" ca="1" si="156"/>
        <v>-260449475.09021086</v>
      </c>
      <c r="L2849" s="444">
        <f t="shared" ca="1" si="157"/>
        <v>-62768323496.740814</v>
      </c>
      <c r="M2849" s="460">
        <f t="shared" si="159"/>
        <v>0.05</v>
      </c>
      <c r="N2849" s="464">
        <f t="shared" si="160"/>
        <v>137758</v>
      </c>
    </row>
    <row r="2850" spans="7:14" ht="11.25" customHeight="1" x14ac:dyDescent="0.25">
      <c r="G2850" s="459"/>
      <c r="H2850" s="459">
        <v>2843</v>
      </c>
      <c r="I2850" s="444">
        <f t="shared" ca="1" si="158"/>
        <v>-62768323496.740814</v>
      </c>
      <c r="J2850" s="444">
        <f t="array" ref="J2850">IFERROR(INDEX('Retirement Calculator'!J:J,MATCH('Isaac 401k'!N2850,'Retirement Calculator'!A:A,0),0),0)</f>
        <v>0</v>
      </c>
      <c r="K2850" s="444">
        <f t="shared" ca="1" si="156"/>
        <v>-261534681.23642007</v>
      </c>
      <c r="L2850" s="444">
        <f t="shared" ca="1" si="157"/>
        <v>-63029858177.977234</v>
      </c>
      <c r="M2850" s="460">
        <f t="shared" si="159"/>
        <v>0.05</v>
      </c>
      <c r="N2850" s="464">
        <f t="shared" si="160"/>
        <v>137789</v>
      </c>
    </row>
    <row r="2851" spans="7:14" ht="11.25" customHeight="1" x14ac:dyDescent="0.25">
      <c r="G2851" s="459"/>
      <c r="H2851" s="459">
        <v>2844</v>
      </c>
      <c r="I2851" s="444">
        <f t="shared" ca="1" si="158"/>
        <v>-63029858177.977234</v>
      </c>
      <c r="J2851" s="444">
        <f t="array" ref="J2851">IFERROR(INDEX('Retirement Calculator'!J:J,MATCH('Isaac 401k'!N2851,'Retirement Calculator'!A:A,0),0),0)</f>
        <v>0</v>
      </c>
      <c r="K2851" s="444">
        <f t="shared" ca="1" si="156"/>
        <v>-262624409.07490516</v>
      </c>
      <c r="L2851" s="444">
        <f t="shared" ca="1" si="157"/>
        <v>-63292482587.052139</v>
      </c>
      <c r="M2851" s="460">
        <f t="shared" si="159"/>
        <v>0.05</v>
      </c>
      <c r="N2851" s="464">
        <f t="shared" si="160"/>
        <v>137819</v>
      </c>
    </row>
    <row r="2852" spans="7:14" ht="11.25" customHeight="1" x14ac:dyDescent="0.25">
      <c r="G2852" s="459"/>
      <c r="H2852" s="459">
        <v>2845</v>
      </c>
      <c r="I2852" s="444">
        <f t="shared" ca="1" si="158"/>
        <v>-63292482587.052139</v>
      </c>
      <c r="J2852" s="444">
        <f t="array" ref="J2852">IFERROR(INDEX('Retirement Calculator'!J:J,MATCH('Isaac 401k'!N2852,'Retirement Calculator'!A:A,0),0),0)</f>
        <v>0</v>
      </c>
      <c r="K2852" s="444">
        <f t="shared" ca="1" si="156"/>
        <v>-263718677.44605061</v>
      </c>
      <c r="L2852" s="444">
        <f t="shared" ca="1" si="157"/>
        <v>-63556201264.498192</v>
      </c>
      <c r="M2852" s="460">
        <f t="shared" si="159"/>
        <v>0.05</v>
      </c>
      <c r="N2852" s="464">
        <f t="shared" si="160"/>
        <v>137850</v>
      </c>
    </row>
    <row r="2853" spans="7:14" ht="11.25" customHeight="1" x14ac:dyDescent="0.25">
      <c r="G2853" s="459"/>
      <c r="H2853" s="459">
        <v>2846</v>
      </c>
      <c r="I2853" s="444">
        <f t="shared" ca="1" si="158"/>
        <v>-63556201264.498192</v>
      </c>
      <c r="J2853" s="444">
        <f t="array" ref="J2853">IFERROR(INDEX('Retirement Calculator'!J:J,MATCH('Isaac 401k'!N2853,'Retirement Calculator'!A:A,0),0),0)</f>
        <v>0</v>
      </c>
      <c r="K2853" s="444">
        <f t="shared" ca="1" si="156"/>
        <v>-264817505.26874247</v>
      </c>
      <c r="L2853" s="444">
        <f t="shared" ca="1" si="157"/>
        <v>-63821018769.766937</v>
      </c>
      <c r="M2853" s="460">
        <f t="shared" si="159"/>
        <v>0.05</v>
      </c>
      <c r="N2853" s="464">
        <f t="shared" si="160"/>
        <v>137880</v>
      </c>
    </row>
    <row r="2854" spans="7:14" ht="11.25" customHeight="1" x14ac:dyDescent="0.25">
      <c r="G2854" s="459"/>
      <c r="H2854" s="459">
        <v>2847</v>
      </c>
      <c r="I2854" s="444">
        <f t="shared" ca="1" si="158"/>
        <v>-63821018769.766937</v>
      </c>
      <c r="J2854" s="444">
        <f t="array" ref="J2854">IFERROR(INDEX('Retirement Calculator'!J:J,MATCH('Isaac 401k'!N2854,'Retirement Calculator'!A:A,0),0),0)</f>
        <v>0</v>
      </c>
      <c r="K2854" s="444">
        <f t="shared" ca="1" si="156"/>
        <v>-265920911.54069558</v>
      </c>
      <c r="L2854" s="444">
        <f t="shared" ca="1" si="157"/>
        <v>-64086939681.307632</v>
      </c>
      <c r="M2854" s="460">
        <f t="shared" si="159"/>
        <v>0.05</v>
      </c>
      <c r="N2854" s="464">
        <f t="shared" si="160"/>
        <v>137911</v>
      </c>
    </row>
    <row r="2855" spans="7:14" ht="11.25" customHeight="1" x14ac:dyDescent="0.25">
      <c r="G2855" s="459"/>
      <c r="H2855" s="459">
        <v>2848</v>
      </c>
      <c r="I2855" s="444">
        <f t="shared" ca="1" si="158"/>
        <v>-64086939681.307632</v>
      </c>
      <c r="J2855" s="444">
        <f t="array" ref="J2855">IFERROR(INDEX('Retirement Calculator'!J:J,MATCH('Isaac 401k'!N2855,'Retirement Calculator'!A:A,0),0),0)</f>
        <v>0</v>
      </c>
      <c r="K2855" s="444">
        <f t="shared" ca="1" si="156"/>
        <v>-267028915.3387818</v>
      </c>
      <c r="L2855" s="444">
        <f t="shared" ca="1" si="157"/>
        <v>-64353968596.646416</v>
      </c>
      <c r="M2855" s="460">
        <f t="shared" si="159"/>
        <v>0.05</v>
      </c>
      <c r="N2855" s="464">
        <f t="shared" si="160"/>
        <v>137942</v>
      </c>
    </row>
    <row r="2856" spans="7:14" ht="11.25" customHeight="1" x14ac:dyDescent="0.25">
      <c r="G2856" s="459"/>
      <c r="H2856" s="459">
        <v>2849</v>
      </c>
      <c r="I2856" s="444">
        <f t="shared" ca="1" si="158"/>
        <v>-64353968596.646416</v>
      </c>
      <c r="J2856" s="444">
        <f t="array" ref="J2856">IFERROR(INDEX('Retirement Calculator'!J:J,MATCH('Isaac 401k'!N2856,'Retirement Calculator'!A:A,0),0),0)</f>
        <v>0</v>
      </c>
      <c r="K2856" s="444">
        <f t="shared" ca="1" si="156"/>
        <v>-268141535.81936005</v>
      </c>
      <c r="L2856" s="444">
        <f t="shared" ca="1" si="157"/>
        <v>-64622110132.465775</v>
      </c>
      <c r="M2856" s="460">
        <f t="shared" si="159"/>
        <v>0.05</v>
      </c>
      <c r="N2856" s="464">
        <f t="shared" si="160"/>
        <v>137972</v>
      </c>
    </row>
    <row r="2857" spans="7:14" ht="11.25" customHeight="1" x14ac:dyDescent="0.25">
      <c r="G2857" s="459"/>
      <c r="H2857" s="459">
        <v>2850</v>
      </c>
      <c r="I2857" s="444">
        <f t="shared" ca="1" si="158"/>
        <v>-64622110132.465775</v>
      </c>
      <c r="J2857" s="444">
        <f t="array" ref="J2857">IFERROR(INDEX('Retirement Calculator'!J:J,MATCH('Isaac 401k'!N2857,'Retirement Calculator'!A:A,0),0),0)</f>
        <v>0</v>
      </c>
      <c r="K2857" s="444">
        <f t="shared" ca="1" si="156"/>
        <v>-269258792.21860737</v>
      </c>
      <c r="L2857" s="444">
        <f t="shared" ca="1" si="157"/>
        <v>-64891368924.68438</v>
      </c>
      <c r="M2857" s="460">
        <f t="shared" si="159"/>
        <v>0.05</v>
      </c>
      <c r="N2857" s="464">
        <f t="shared" si="160"/>
        <v>138003</v>
      </c>
    </row>
    <row r="2858" spans="7:14" ht="11.25" customHeight="1" x14ac:dyDescent="0.25">
      <c r="G2858" s="459"/>
      <c r="H2858" s="459">
        <v>2851</v>
      </c>
      <c r="I2858" s="444">
        <f t="shared" ca="1" si="158"/>
        <v>-64891368924.68438</v>
      </c>
      <c r="J2858" s="444">
        <f t="array" ref="J2858">IFERROR(INDEX('Retirement Calculator'!J:J,MATCH('Isaac 401k'!N2858,'Retirement Calculator'!A:A,0),0),0)</f>
        <v>0</v>
      </c>
      <c r="K2858" s="444">
        <f t="shared" ca="1" si="156"/>
        <v>-270380703.85285157</v>
      </c>
      <c r="L2858" s="444">
        <f t="shared" ca="1" si="157"/>
        <v>-65161749628.537231</v>
      </c>
      <c r="M2858" s="460">
        <f t="shared" si="159"/>
        <v>0.05</v>
      </c>
      <c r="N2858" s="464">
        <f t="shared" si="160"/>
        <v>138033</v>
      </c>
    </row>
    <row r="2859" spans="7:14" ht="11.25" customHeight="1" x14ac:dyDescent="0.25">
      <c r="G2859" s="459"/>
      <c r="H2859" s="459">
        <v>2852</v>
      </c>
      <c r="I2859" s="444">
        <f t="shared" ca="1" si="158"/>
        <v>-65161749628.537231</v>
      </c>
      <c r="J2859" s="444">
        <f t="array" ref="J2859">IFERROR(INDEX('Retirement Calculator'!J:J,MATCH('Isaac 401k'!N2859,'Retirement Calculator'!A:A,0),0),0)</f>
        <v>0</v>
      </c>
      <c r="K2859" s="444">
        <f t="shared" ca="1" si="156"/>
        <v>-271507290.11890513</v>
      </c>
      <c r="L2859" s="444">
        <f t="shared" ca="1" si="157"/>
        <v>-65433256918.656136</v>
      </c>
      <c r="M2859" s="460">
        <f t="shared" si="159"/>
        <v>0.05</v>
      </c>
      <c r="N2859" s="464">
        <f t="shared" si="160"/>
        <v>138064</v>
      </c>
    </row>
    <row r="2860" spans="7:14" ht="11.25" customHeight="1" x14ac:dyDescent="0.25">
      <c r="G2860" s="459"/>
      <c r="H2860" s="459">
        <v>2853</v>
      </c>
      <c r="I2860" s="444">
        <f t="shared" ca="1" si="158"/>
        <v>-65433256918.656136</v>
      </c>
      <c r="J2860" s="444">
        <f t="array" ref="J2860">IFERROR(INDEX('Retirement Calculator'!J:J,MATCH('Isaac 401k'!N2860,'Retirement Calculator'!A:A,0),0),0)</f>
        <v>0</v>
      </c>
      <c r="K2860" s="444">
        <f t="shared" ca="1" si="156"/>
        <v>-272638570.49440056</v>
      </c>
      <c r="L2860" s="444">
        <f t="shared" ca="1" si="157"/>
        <v>-65705895489.150536</v>
      </c>
      <c r="M2860" s="460">
        <f t="shared" si="159"/>
        <v>0.05</v>
      </c>
      <c r="N2860" s="464">
        <f t="shared" si="160"/>
        <v>138095</v>
      </c>
    </row>
    <row r="2861" spans="7:14" ht="11.25" customHeight="1" x14ac:dyDescent="0.25">
      <c r="G2861" s="459"/>
      <c r="H2861" s="459">
        <v>2854</v>
      </c>
      <c r="I2861" s="444">
        <f t="shared" ca="1" si="158"/>
        <v>-65705895489.150536</v>
      </c>
      <c r="J2861" s="444">
        <f t="array" ref="J2861">IFERROR(INDEX('Retirement Calculator'!J:J,MATCH('Isaac 401k'!N2861,'Retirement Calculator'!A:A,0),0),0)</f>
        <v>0</v>
      </c>
      <c r="K2861" s="444">
        <f t="shared" ca="1" si="156"/>
        <v>-273774564.53812724</v>
      </c>
      <c r="L2861" s="444">
        <f t="shared" ca="1" si="157"/>
        <v>-65979670053.68866</v>
      </c>
      <c r="M2861" s="460">
        <f t="shared" si="159"/>
        <v>0.05</v>
      </c>
      <c r="N2861" s="464">
        <f t="shared" si="160"/>
        <v>138123</v>
      </c>
    </row>
    <row r="2862" spans="7:14" ht="11.25" customHeight="1" x14ac:dyDescent="0.25">
      <c r="G2862" s="459"/>
      <c r="H2862" s="459">
        <v>2855</v>
      </c>
      <c r="I2862" s="444">
        <f t="shared" ca="1" si="158"/>
        <v>-65979670053.68866</v>
      </c>
      <c r="J2862" s="444">
        <f t="array" ref="J2862">IFERROR(INDEX('Retirement Calculator'!J:J,MATCH('Isaac 401k'!N2862,'Retirement Calculator'!A:A,0),0),0)</f>
        <v>0</v>
      </c>
      <c r="K2862" s="444">
        <f t="shared" ca="1" si="156"/>
        <v>-274915291.89036936</v>
      </c>
      <c r="L2862" s="444">
        <f t="shared" ca="1" si="157"/>
        <v>-66254585345.579025</v>
      </c>
      <c r="M2862" s="460">
        <f t="shared" si="159"/>
        <v>0.05</v>
      </c>
      <c r="N2862" s="464">
        <f t="shared" si="160"/>
        <v>138154</v>
      </c>
    </row>
    <row r="2863" spans="7:14" ht="11.25" customHeight="1" x14ac:dyDescent="0.25">
      <c r="G2863" s="459"/>
      <c r="H2863" s="459">
        <v>2856</v>
      </c>
      <c r="I2863" s="444">
        <f t="shared" ca="1" si="158"/>
        <v>-66254585345.579025</v>
      </c>
      <c r="J2863" s="444">
        <f t="array" ref="J2863">IFERROR(INDEX('Retirement Calculator'!J:J,MATCH('Isaac 401k'!N2863,'Retirement Calculator'!A:A,0),0),0)</f>
        <v>0</v>
      </c>
      <c r="K2863" s="444">
        <f t="shared" ca="1" si="156"/>
        <v>-276060772.27324593</v>
      </c>
      <c r="L2863" s="444">
        <f t="shared" ca="1" si="157"/>
        <v>-66530646117.852272</v>
      </c>
      <c r="M2863" s="460">
        <f t="shared" si="159"/>
        <v>0.05</v>
      </c>
      <c r="N2863" s="464">
        <f t="shared" si="160"/>
        <v>138184</v>
      </c>
    </row>
    <row r="2864" spans="7:14" ht="11.25" customHeight="1" x14ac:dyDescent="0.25">
      <c r="G2864" s="459"/>
      <c r="H2864" s="459">
        <v>2857</v>
      </c>
      <c r="I2864" s="444">
        <f t="shared" ca="1" si="158"/>
        <v>-66530646117.852272</v>
      </c>
      <c r="J2864" s="444">
        <f t="array" ref="J2864">IFERROR(INDEX('Retirement Calculator'!J:J,MATCH('Isaac 401k'!N2864,'Retirement Calculator'!A:A,0),0),0)</f>
        <v>0</v>
      </c>
      <c r="K2864" s="444">
        <f t="shared" ca="1" si="156"/>
        <v>-277211025.49105114</v>
      </c>
      <c r="L2864" s="444">
        <f t="shared" ca="1" si="157"/>
        <v>-66807857143.343323</v>
      </c>
      <c r="M2864" s="460">
        <f t="shared" si="159"/>
        <v>0.05</v>
      </c>
      <c r="N2864" s="464">
        <f t="shared" si="160"/>
        <v>138215</v>
      </c>
    </row>
    <row r="2865" spans="7:14" ht="11.25" customHeight="1" x14ac:dyDescent="0.25">
      <c r="G2865" s="459"/>
      <c r="H2865" s="459">
        <v>2858</v>
      </c>
      <c r="I2865" s="444">
        <f t="shared" ca="1" si="158"/>
        <v>-66807857143.343323</v>
      </c>
      <c r="J2865" s="444">
        <f t="array" ref="J2865">IFERROR(INDEX('Retirement Calculator'!J:J,MATCH('Isaac 401k'!N2865,'Retirement Calculator'!A:A,0),0),0)</f>
        <v>0</v>
      </c>
      <c r="K2865" s="444">
        <f t="shared" ca="1" si="156"/>
        <v>-278366071.43059713</v>
      </c>
      <c r="L2865" s="444">
        <f t="shared" ca="1" si="157"/>
        <v>-67086223214.773918</v>
      </c>
      <c r="M2865" s="460">
        <f t="shared" si="159"/>
        <v>0.05</v>
      </c>
      <c r="N2865" s="464">
        <f t="shared" si="160"/>
        <v>138245</v>
      </c>
    </row>
    <row r="2866" spans="7:14" ht="11.25" customHeight="1" x14ac:dyDescent="0.25">
      <c r="G2866" s="459"/>
      <c r="H2866" s="459">
        <v>2859</v>
      </c>
      <c r="I2866" s="444">
        <f t="shared" ca="1" si="158"/>
        <v>-67086223214.773918</v>
      </c>
      <c r="J2866" s="444">
        <f t="array" ref="J2866">IFERROR(INDEX('Retirement Calculator'!J:J,MATCH('Isaac 401k'!N2866,'Retirement Calculator'!A:A,0),0),0)</f>
        <v>0</v>
      </c>
      <c r="K2866" s="444">
        <f t="shared" ca="1" si="156"/>
        <v>-279525930.06155801</v>
      </c>
      <c r="L2866" s="444">
        <f t="shared" ca="1" si="157"/>
        <v>-67365749144.83548</v>
      </c>
      <c r="M2866" s="460">
        <f t="shared" si="159"/>
        <v>0.05</v>
      </c>
      <c r="N2866" s="464">
        <f t="shared" si="160"/>
        <v>138276</v>
      </c>
    </row>
    <row r="2867" spans="7:14" ht="11.25" customHeight="1" x14ac:dyDescent="0.25">
      <c r="G2867" s="459"/>
      <c r="H2867" s="459">
        <v>2860</v>
      </c>
      <c r="I2867" s="444">
        <f t="shared" ca="1" si="158"/>
        <v>-67365749144.83548</v>
      </c>
      <c r="J2867" s="444">
        <f t="array" ref="J2867">IFERROR(INDEX('Retirement Calculator'!J:J,MATCH('Isaac 401k'!N2867,'Retirement Calculator'!A:A,0),0),0)</f>
        <v>0</v>
      </c>
      <c r="K2867" s="444">
        <f t="shared" ca="1" si="156"/>
        <v>-280690621.43681455</v>
      </c>
      <c r="L2867" s="444">
        <f t="shared" ca="1" si="157"/>
        <v>-67646439766.272293</v>
      </c>
      <c r="M2867" s="460">
        <f t="shared" si="159"/>
        <v>0.05</v>
      </c>
      <c r="N2867" s="464">
        <f t="shared" si="160"/>
        <v>138307</v>
      </c>
    </row>
    <row r="2868" spans="7:14" ht="11.25" customHeight="1" x14ac:dyDescent="0.25">
      <c r="G2868" s="459"/>
      <c r="H2868" s="459">
        <v>2861</v>
      </c>
      <c r="I2868" s="444">
        <f t="shared" ca="1" si="158"/>
        <v>-67646439766.272293</v>
      </c>
      <c r="J2868" s="444">
        <f t="array" ref="J2868">IFERROR(INDEX('Retirement Calculator'!J:J,MATCH('Isaac 401k'!N2868,'Retirement Calculator'!A:A,0),0),0)</f>
        <v>0</v>
      </c>
      <c r="K2868" s="444">
        <f t="shared" ca="1" si="156"/>
        <v>-281860165.69280124</v>
      </c>
      <c r="L2868" s="444">
        <f t="shared" ca="1" si="157"/>
        <v>-67928299931.965096</v>
      </c>
      <c r="M2868" s="460">
        <f t="shared" si="159"/>
        <v>0.05</v>
      </c>
      <c r="N2868" s="464">
        <f t="shared" si="160"/>
        <v>138337</v>
      </c>
    </row>
    <row r="2869" spans="7:14" ht="11.25" customHeight="1" x14ac:dyDescent="0.25">
      <c r="G2869" s="459"/>
      <c r="H2869" s="459">
        <v>2862</v>
      </c>
      <c r="I2869" s="444">
        <f t="shared" ca="1" si="158"/>
        <v>-67928299931.965096</v>
      </c>
      <c r="J2869" s="444">
        <f t="array" ref="J2869">IFERROR(INDEX('Retirement Calculator'!J:J,MATCH('Isaac 401k'!N2869,'Retirement Calculator'!A:A,0),0),0)</f>
        <v>0</v>
      </c>
      <c r="K2869" s="444">
        <f t="shared" ca="1" si="156"/>
        <v>-283034583.04985458</v>
      </c>
      <c r="L2869" s="444">
        <f t="shared" ca="1" si="157"/>
        <v>-68211334515.014954</v>
      </c>
      <c r="M2869" s="460">
        <f t="shared" si="159"/>
        <v>0.05</v>
      </c>
      <c r="N2869" s="464">
        <f t="shared" si="160"/>
        <v>138368</v>
      </c>
    </row>
    <row r="2870" spans="7:14" ht="11.25" customHeight="1" x14ac:dyDescent="0.25">
      <c r="G2870" s="459"/>
      <c r="H2870" s="459">
        <v>2863</v>
      </c>
      <c r="I2870" s="444">
        <f t="shared" ca="1" si="158"/>
        <v>-68211334515.014954</v>
      </c>
      <c r="J2870" s="444">
        <f t="array" ref="J2870">IFERROR(INDEX('Retirement Calculator'!J:J,MATCH('Isaac 401k'!N2870,'Retirement Calculator'!A:A,0),0),0)</f>
        <v>0</v>
      </c>
      <c r="K2870" s="444">
        <f t="shared" ca="1" si="156"/>
        <v>-284213893.81256229</v>
      </c>
      <c r="L2870" s="444">
        <f t="shared" ca="1" si="157"/>
        <v>-68495548408.827515</v>
      </c>
      <c r="M2870" s="460">
        <f t="shared" si="159"/>
        <v>0.05</v>
      </c>
      <c r="N2870" s="464">
        <f t="shared" si="160"/>
        <v>138398</v>
      </c>
    </row>
    <row r="2871" spans="7:14" ht="11.25" customHeight="1" x14ac:dyDescent="0.25">
      <c r="G2871" s="459"/>
      <c r="H2871" s="459">
        <v>2864</v>
      </c>
      <c r="I2871" s="444">
        <f t="shared" ca="1" si="158"/>
        <v>-68495548408.827515</v>
      </c>
      <c r="J2871" s="444">
        <f t="array" ref="J2871">IFERROR(INDEX('Retirement Calculator'!J:J,MATCH('Isaac 401k'!N2871,'Retirement Calculator'!A:A,0),0),0)</f>
        <v>0</v>
      </c>
      <c r="K2871" s="444">
        <f t="shared" ca="1" si="156"/>
        <v>-285398118.37011462</v>
      </c>
      <c r="L2871" s="444">
        <f t="shared" ca="1" si="157"/>
        <v>-68780946527.197632</v>
      </c>
      <c r="M2871" s="460">
        <f t="shared" si="159"/>
        <v>0.05</v>
      </c>
      <c r="N2871" s="464">
        <f t="shared" si="160"/>
        <v>138429</v>
      </c>
    </row>
    <row r="2872" spans="7:14" ht="11.25" customHeight="1" x14ac:dyDescent="0.25">
      <c r="G2872" s="459"/>
      <c r="H2872" s="459">
        <v>2865</v>
      </c>
      <c r="I2872" s="444">
        <f t="shared" ca="1" si="158"/>
        <v>-68780946527.197632</v>
      </c>
      <c r="J2872" s="444">
        <f t="array" ref="J2872">IFERROR(INDEX('Retirement Calculator'!J:J,MATCH('Isaac 401k'!N2872,'Retirement Calculator'!A:A,0),0),0)</f>
        <v>0</v>
      </c>
      <c r="K2872" s="444">
        <f t="shared" ca="1" si="156"/>
        <v>-286587277.19665682</v>
      </c>
      <c r="L2872" s="444">
        <f t="shared" ca="1" si="157"/>
        <v>-69067533804.394287</v>
      </c>
      <c r="M2872" s="460">
        <f t="shared" si="159"/>
        <v>0.05</v>
      </c>
      <c r="N2872" s="464">
        <f t="shared" si="160"/>
        <v>138460</v>
      </c>
    </row>
    <row r="2873" spans="7:14" ht="11.25" customHeight="1" x14ac:dyDescent="0.25">
      <c r="G2873" s="459"/>
      <c r="H2873" s="459">
        <v>2866</v>
      </c>
      <c r="I2873" s="444">
        <f t="shared" ca="1" si="158"/>
        <v>-69067533804.394287</v>
      </c>
      <c r="J2873" s="444">
        <f t="array" ref="J2873">IFERROR(INDEX('Retirement Calculator'!J:J,MATCH('Isaac 401k'!N2873,'Retirement Calculator'!A:A,0),0),0)</f>
        <v>0</v>
      </c>
      <c r="K2873" s="444">
        <f t="shared" ca="1" si="156"/>
        <v>-287781390.85164285</v>
      </c>
      <c r="L2873" s="444">
        <f t="shared" ca="1" si="157"/>
        <v>-69355315195.245926</v>
      </c>
      <c r="M2873" s="460">
        <f t="shared" si="159"/>
        <v>0.05</v>
      </c>
      <c r="N2873" s="464">
        <f t="shared" si="160"/>
        <v>138488</v>
      </c>
    </row>
    <row r="2874" spans="7:14" ht="11.25" customHeight="1" x14ac:dyDescent="0.25">
      <c r="G2874" s="459"/>
      <c r="H2874" s="459">
        <v>2867</v>
      </c>
      <c r="I2874" s="444">
        <f t="shared" ca="1" si="158"/>
        <v>-69355315195.245926</v>
      </c>
      <c r="J2874" s="444">
        <f t="array" ref="J2874">IFERROR(INDEX('Retirement Calculator'!J:J,MATCH('Isaac 401k'!N2874,'Retirement Calculator'!A:A,0),0),0)</f>
        <v>0</v>
      </c>
      <c r="K2874" s="444">
        <f t="shared" ca="1" si="156"/>
        <v>-288980479.98019135</v>
      </c>
      <c r="L2874" s="444">
        <f t="shared" ca="1" si="157"/>
        <v>-69644295675.22612</v>
      </c>
      <c r="M2874" s="460">
        <f t="shared" si="159"/>
        <v>0.05</v>
      </c>
      <c r="N2874" s="464">
        <f t="shared" si="160"/>
        <v>138519</v>
      </c>
    </row>
    <row r="2875" spans="7:14" ht="11.25" customHeight="1" x14ac:dyDescent="0.25">
      <c r="G2875" s="459"/>
      <c r="H2875" s="459">
        <v>2868</v>
      </c>
      <c r="I2875" s="444">
        <f t="shared" ca="1" si="158"/>
        <v>-69644295675.22612</v>
      </c>
      <c r="J2875" s="444">
        <f t="array" ref="J2875">IFERROR(INDEX('Retirement Calculator'!J:J,MATCH('Isaac 401k'!N2875,'Retirement Calculator'!A:A,0),0),0)</f>
        <v>0</v>
      </c>
      <c r="K2875" s="444">
        <f t="shared" ca="1" si="156"/>
        <v>-290184565.31344217</v>
      </c>
      <c r="L2875" s="444">
        <f t="shared" ca="1" si="157"/>
        <v>-69934480240.539566</v>
      </c>
      <c r="M2875" s="460">
        <f t="shared" si="159"/>
        <v>0.05</v>
      </c>
      <c r="N2875" s="464">
        <f t="shared" si="160"/>
        <v>138549</v>
      </c>
    </row>
    <row r="2876" spans="7:14" ht="11.25" customHeight="1" x14ac:dyDescent="0.25">
      <c r="G2876" s="459"/>
      <c r="H2876" s="459">
        <v>2869</v>
      </c>
      <c r="I2876" s="444">
        <f t="shared" ca="1" si="158"/>
        <v>-69934480240.539566</v>
      </c>
      <c r="J2876" s="444">
        <f t="array" ref="J2876">IFERROR(INDEX('Retirement Calculator'!J:J,MATCH('Isaac 401k'!N2876,'Retirement Calculator'!A:A,0),0),0)</f>
        <v>0</v>
      </c>
      <c r="K2876" s="444">
        <f t="shared" ca="1" si="156"/>
        <v>-291393667.66891485</v>
      </c>
      <c r="L2876" s="444">
        <f t="shared" ca="1" si="157"/>
        <v>-70225873908.208481</v>
      </c>
      <c r="M2876" s="460">
        <f t="shared" si="159"/>
        <v>0.05</v>
      </c>
      <c r="N2876" s="464">
        <f t="shared" si="160"/>
        <v>138580</v>
      </c>
    </row>
    <row r="2877" spans="7:14" ht="11.25" customHeight="1" x14ac:dyDescent="0.25">
      <c r="G2877" s="459"/>
      <c r="H2877" s="459">
        <v>2870</v>
      </c>
      <c r="I2877" s="444">
        <f t="shared" ca="1" si="158"/>
        <v>-70225873908.208481</v>
      </c>
      <c r="J2877" s="444">
        <f t="array" ref="J2877">IFERROR(INDEX('Retirement Calculator'!J:J,MATCH('Isaac 401k'!N2877,'Retirement Calculator'!A:A,0),0),0)</f>
        <v>0</v>
      </c>
      <c r="K2877" s="444">
        <f t="shared" ca="1" si="156"/>
        <v>-292607807.95086867</v>
      </c>
      <c r="L2877" s="444">
        <f t="shared" ca="1" si="157"/>
        <v>-70518481716.159348</v>
      </c>
      <c r="M2877" s="460">
        <f t="shared" si="159"/>
        <v>0.05</v>
      </c>
      <c r="N2877" s="464">
        <f t="shared" si="160"/>
        <v>138610</v>
      </c>
    </row>
    <row r="2878" spans="7:14" ht="11.25" customHeight="1" x14ac:dyDescent="0.25">
      <c r="G2878" s="459"/>
      <c r="H2878" s="459">
        <v>2871</v>
      </c>
      <c r="I2878" s="444">
        <f t="shared" ca="1" si="158"/>
        <v>-70518481716.159348</v>
      </c>
      <c r="J2878" s="444">
        <f t="array" ref="J2878">IFERROR(INDEX('Retirement Calculator'!J:J,MATCH('Isaac 401k'!N2878,'Retirement Calculator'!A:A,0),0),0)</f>
        <v>0</v>
      </c>
      <c r="K2878" s="444">
        <f t="shared" ca="1" si="156"/>
        <v>-293827007.15066397</v>
      </c>
      <c r="L2878" s="444">
        <f t="shared" ca="1" si="157"/>
        <v>-70812308723.310013</v>
      </c>
      <c r="M2878" s="460">
        <f t="shared" si="159"/>
        <v>0.05</v>
      </c>
      <c r="N2878" s="464">
        <f t="shared" si="160"/>
        <v>138641</v>
      </c>
    </row>
    <row r="2879" spans="7:14" ht="11.25" customHeight="1" x14ac:dyDescent="0.25">
      <c r="G2879" s="459"/>
      <c r="H2879" s="459">
        <v>2872</v>
      </c>
      <c r="I2879" s="444">
        <f t="shared" ca="1" si="158"/>
        <v>-70812308723.310013</v>
      </c>
      <c r="J2879" s="444">
        <f t="array" ref="J2879">IFERROR(INDEX('Retirement Calculator'!J:J,MATCH('Isaac 401k'!N2879,'Retirement Calculator'!A:A,0),0),0)</f>
        <v>0</v>
      </c>
      <c r="K2879" s="444">
        <f t="shared" ca="1" si="156"/>
        <v>-295051286.34712505</v>
      </c>
      <c r="L2879" s="444">
        <f t="shared" ca="1" si="157"/>
        <v>-71107360009.657135</v>
      </c>
      <c r="M2879" s="460">
        <f t="shared" si="159"/>
        <v>0.05</v>
      </c>
      <c r="N2879" s="464">
        <f t="shared" si="160"/>
        <v>138672</v>
      </c>
    </row>
    <row r="2880" spans="7:14" ht="11.25" customHeight="1" x14ac:dyDescent="0.25">
      <c r="G2880" s="459"/>
      <c r="H2880" s="459">
        <v>2873</v>
      </c>
      <c r="I2880" s="444">
        <f t="shared" ca="1" si="158"/>
        <v>-71107360009.657135</v>
      </c>
      <c r="J2880" s="444">
        <f t="array" ref="J2880">IFERROR(INDEX('Retirement Calculator'!J:J,MATCH('Isaac 401k'!N2880,'Retirement Calculator'!A:A,0),0),0)</f>
        <v>0</v>
      </c>
      <c r="K2880" s="444">
        <f t="shared" ca="1" si="156"/>
        <v>-296280666.70690471</v>
      </c>
      <c r="L2880" s="444">
        <f t="shared" ca="1" si="157"/>
        <v>-71403640676.364044</v>
      </c>
      <c r="M2880" s="460">
        <f t="shared" si="159"/>
        <v>0.05</v>
      </c>
      <c r="N2880" s="464">
        <f t="shared" si="160"/>
        <v>138702</v>
      </c>
    </row>
    <row r="2881" spans="7:14" ht="11.25" customHeight="1" x14ac:dyDescent="0.25">
      <c r="G2881" s="459"/>
      <c r="H2881" s="459">
        <v>2874</v>
      </c>
      <c r="I2881" s="444">
        <f t="shared" ca="1" si="158"/>
        <v>-71403640676.364044</v>
      </c>
      <c r="J2881" s="444">
        <f t="array" ref="J2881">IFERROR(INDEX('Retirement Calculator'!J:J,MATCH('Isaac 401k'!N2881,'Retirement Calculator'!A:A,0),0),0)</f>
        <v>0</v>
      </c>
      <c r="K2881" s="444">
        <f t="shared" ca="1" si="156"/>
        <v>-297515169.48485017</v>
      </c>
      <c r="L2881" s="444">
        <f t="shared" ca="1" si="157"/>
        <v>-71701155845.848892</v>
      </c>
      <c r="M2881" s="460">
        <f t="shared" si="159"/>
        <v>0.05</v>
      </c>
      <c r="N2881" s="464">
        <f t="shared" si="160"/>
        <v>138733</v>
      </c>
    </row>
    <row r="2882" spans="7:14" ht="11.25" customHeight="1" x14ac:dyDescent="0.25">
      <c r="G2882" s="459"/>
      <c r="H2882" s="459">
        <v>2875</v>
      </c>
      <c r="I2882" s="444">
        <f t="shared" ca="1" si="158"/>
        <v>-71701155845.848892</v>
      </c>
      <c r="J2882" s="444">
        <f t="array" ref="J2882">IFERROR(INDEX('Retirement Calculator'!J:J,MATCH('Isaac 401k'!N2882,'Retirement Calculator'!A:A,0),0),0)</f>
        <v>0</v>
      </c>
      <c r="K2882" s="444">
        <f t="shared" ca="1" si="156"/>
        <v>-298754816.02437037</v>
      </c>
      <c r="L2882" s="444">
        <f t="shared" ca="1" si="157"/>
        <v>-71999910661.87326</v>
      </c>
      <c r="M2882" s="460">
        <f t="shared" si="159"/>
        <v>0.05</v>
      </c>
      <c r="N2882" s="464">
        <f t="shared" si="160"/>
        <v>138763</v>
      </c>
    </row>
    <row r="2883" spans="7:14" ht="11.25" customHeight="1" x14ac:dyDescent="0.25">
      <c r="G2883" s="459"/>
      <c r="H2883" s="459">
        <v>2876</v>
      </c>
      <c r="I2883" s="444">
        <f t="shared" ca="1" si="158"/>
        <v>-71999910661.87326</v>
      </c>
      <c r="J2883" s="444">
        <f t="array" ref="J2883">IFERROR(INDEX('Retirement Calculator'!J:J,MATCH('Isaac 401k'!N2883,'Retirement Calculator'!A:A,0),0),0)</f>
        <v>0</v>
      </c>
      <c r="K2883" s="444">
        <f t="shared" ca="1" si="156"/>
        <v>-299999627.75780523</v>
      </c>
      <c r="L2883" s="444">
        <f t="shared" ca="1" si="157"/>
        <v>-72299910289.631073</v>
      </c>
      <c r="M2883" s="460">
        <f t="shared" si="159"/>
        <v>0.05</v>
      </c>
      <c r="N2883" s="464">
        <f t="shared" si="160"/>
        <v>138794</v>
      </c>
    </row>
    <row r="2884" spans="7:14" ht="11.25" customHeight="1" x14ac:dyDescent="0.25">
      <c r="G2884" s="459"/>
      <c r="H2884" s="459">
        <v>2877</v>
      </c>
      <c r="I2884" s="444">
        <f t="shared" ca="1" si="158"/>
        <v>-72299910289.631073</v>
      </c>
      <c r="J2884" s="444">
        <f t="array" ref="J2884">IFERROR(INDEX('Retirement Calculator'!J:J,MATCH('Isaac 401k'!N2884,'Retirement Calculator'!A:A,0),0),0)</f>
        <v>0</v>
      </c>
      <c r="K2884" s="444">
        <f t="shared" ca="1" si="156"/>
        <v>-301249626.20679611</v>
      </c>
      <c r="L2884" s="444">
        <f t="shared" ca="1" si="157"/>
        <v>-72601159915.837875</v>
      </c>
      <c r="M2884" s="460">
        <f t="shared" si="159"/>
        <v>0.05</v>
      </c>
      <c r="N2884" s="464">
        <f t="shared" si="160"/>
        <v>138825</v>
      </c>
    </row>
    <row r="2885" spans="7:14" ht="11.25" customHeight="1" x14ac:dyDescent="0.25">
      <c r="G2885" s="459"/>
      <c r="H2885" s="459">
        <v>2878</v>
      </c>
      <c r="I2885" s="444">
        <f t="shared" ca="1" si="158"/>
        <v>-72601159915.837875</v>
      </c>
      <c r="J2885" s="444">
        <f t="array" ref="J2885">IFERROR(INDEX('Retirement Calculator'!J:J,MATCH('Isaac 401k'!N2885,'Retirement Calculator'!A:A,0),0),0)</f>
        <v>0</v>
      </c>
      <c r="K2885" s="444">
        <f t="shared" ca="1" si="156"/>
        <v>-302504832.98265779</v>
      </c>
      <c r="L2885" s="444">
        <f t="shared" ca="1" si="157"/>
        <v>-72903664748.820526</v>
      </c>
      <c r="M2885" s="460">
        <f t="shared" si="159"/>
        <v>0.05</v>
      </c>
      <c r="N2885" s="464">
        <f t="shared" si="160"/>
        <v>138854</v>
      </c>
    </row>
    <row r="2886" spans="7:14" ht="11.25" customHeight="1" x14ac:dyDescent="0.25">
      <c r="G2886" s="459"/>
      <c r="H2886" s="459">
        <v>2879</v>
      </c>
      <c r="I2886" s="444">
        <f t="shared" ca="1" si="158"/>
        <v>-72903664748.820526</v>
      </c>
      <c r="J2886" s="444">
        <f t="array" ref="J2886">IFERROR(INDEX('Retirement Calculator'!J:J,MATCH('Isaac 401k'!N2886,'Retirement Calculator'!A:A,0),0),0)</f>
        <v>0</v>
      </c>
      <c r="K2886" s="444">
        <f t="shared" ca="1" si="156"/>
        <v>-303765269.78675216</v>
      </c>
      <c r="L2886" s="444">
        <f t="shared" ca="1" si="157"/>
        <v>-73207430018.607285</v>
      </c>
      <c r="M2886" s="460">
        <f t="shared" si="159"/>
        <v>0.05</v>
      </c>
      <c r="N2886" s="464">
        <f t="shared" si="160"/>
        <v>138885</v>
      </c>
    </row>
    <row r="2887" spans="7:14" ht="11.25" customHeight="1" x14ac:dyDescent="0.25">
      <c r="G2887" s="459"/>
      <c r="H2887" s="459">
        <v>2880</v>
      </c>
      <c r="I2887" s="444">
        <f t="shared" ca="1" si="158"/>
        <v>-73207430018.607285</v>
      </c>
      <c r="J2887" s="444">
        <f t="array" ref="J2887">IFERROR(INDEX('Retirement Calculator'!J:J,MATCH('Isaac 401k'!N2887,'Retirement Calculator'!A:A,0),0),0)</f>
        <v>0</v>
      </c>
      <c r="K2887" s="444">
        <f t="shared" ca="1" si="156"/>
        <v>-305030958.4108637</v>
      </c>
      <c r="L2887" s="444">
        <f t="shared" ca="1" si="157"/>
        <v>-73512460977.018143</v>
      </c>
      <c r="M2887" s="460">
        <f t="shared" si="159"/>
        <v>0.05</v>
      </c>
      <c r="N2887" s="464">
        <f t="shared" si="160"/>
        <v>138915</v>
      </c>
    </row>
    <row r="2888" spans="7:14" ht="11.25" customHeight="1" x14ac:dyDescent="0.25">
      <c r="G2888" s="459"/>
      <c r="H2888" s="459">
        <v>2881</v>
      </c>
      <c r="I2888" s="444">
        <f t="shared" ca="1" si="158"/>
        <v>-73512460977.018143</v>
      </c>
      <c r="J2888" s="444">
        <f t="array" ref="J2888">IFERROR(INDEX('Retirement Calculator'!J:J,MATCH('Isaac 401k'!N2888,'Retirement Calculator'!A:A,0),0),0)</f>
        <v>0</v>
      </c>
      <c r="K2888" s="444">
        <f t="shared" ca="1" si="156"/>
        <v>-306301920.73757559</v>
      </c>
      <c r="L2888" s="444">
        <f t="shared" ca="1" si="157"/>
        <v>-73818762897.755722</v>
      </c>
      <c r="M2888" s="460">
        <f t="shared" si="159"/>
        <v>0.05</v>
      </c>
      <c r="N2888" s="464">
        <f t="shared" si="160"/>
        <v>138946</v>
      </c>
    </row>
    <row r="2889" spans="7:14" ht="11.25" customHeight="1" x14ac:dyDescent="0.25">
      <c r="G2889" s="459"/>
      <c r="H2889" s="459">
        <v>2882</v>
      </c>
      <c r="I2889" s="444">
        <f t="shared" ca="1" si="158"/>
        <v>-73818762897.755722</v>
      </c>
      <c r="J2889" s="444">
        <f t="array" ref="J2889">IFERROR(INDEX('Retirement Calculator'!J:J,MATCH('Isaac 401k'!N2889,'Retirement Calculator'!A:A,0),0),0)</f>
        <v>0</v>
      </c>
      <c r="K2889" s="444">
        <f t="shared" ca="1" si="156"/>
        <v>-307578178.74064887</v>
      </c>
      <c r="L2889" s="444">
        <f t="shared" ca="1" si="157"/>
        <v>-74126341076.496368</v>
      </c>
      <c r="M2889" s="460">
        <f t="shared" si="159"/>
        <v>0.05</v>
      </c>
      <c r="N2889" s="464">
        <f t="shared" si="160"/>
        <v>138976</v>
      </c>
    </row>
    <row r="2890" spans="7:14" ht="11.25" customHeight="1" x14ac:dyDescent="0.25">
      <c r="G2890" s="459"/>
      <c r="H2890" s="459">
        <v>2883</v>
      </c>
      <c r="I2890" s="444">
        <f t="shared" ca="1" si="158"/>
        <v>-74126341076.496368</v>
      </c>
      <c r="J2890" s="444">
        <f t="array" ref="J2890">IFERROR(INDEX('Retirement Calculator'!J:J,MATCH('Isaac 401k'!N2890,'Retirement Calculator'!A:A,0),0),0)</f>
        <v>0</v>
      </c>
      <c r="K2890" s="444">
        <f t="shared" ca="1" si="156"/>
        <v>-308859754.48540151</v>
      </c>
      <c r="L2890" s="444">
        <f t="shared" ca="1" si="157"/>
        <v>-74435200830.981766</v>
      </c>
      <c r="M2890" s="460">
        <f t="shared" si="159"/>
        <v>0.05</v>
      </c>
      <c r="N2890" s="464">
        <f t="shared" si="160"/>
        <v>139007</v>
      </c>
    </row>
    <row r="2891" spans="7:14" ht="11.25" customHeight="1" x14ac:dyDescent="0.25">
      <c r="G2891" s="459"/>
      <c r="H2891" s="459">
        <v>2884</v>
      </c>
      <c r="I2891" s="444">
        <f t="shared" ca="1" si="158"/>
        <v>-74435200830.981766</v>
      </c>
      <c r="J2891" s="444">
        <f t="array" ref="J2891">IFERROR(INDEX('Retirement Calculator'!J:J,MATCH('Isaac 401k'!N2891,'Retirement Calculator'!A:A,0),0),0)</f>
        <v>0</v>
      </c>
      <c r="K2891" s="444">
        <f t="shared" ca="1" si="156"/>
        <v>-310146670.12909067</v>
      </c>
      <c r="L2891" s="444">
        <f t="shared" ca="1" si="157"/>
        <v>-74745347501.110855</v>
      </c>
      <c r="M2891" s="460">
        <f t="shared" si="159"/>
        <v>0.05</v>
      </c>
      <c r="N2891" s="464">
        <f t="shared" si="160"/>
        <v>139038</v>
      </c>
    </row>
    <row r="2892" spans="7:14" ht="11.25" customHeight="1" x14ac:dyDescent="0.25">
      <c r="G2892" s="459"/>
      <c r="H2892" s="459">
        <v>2885</v>
      </c>
      <c r="I2892" s="444">
        <f t="shared" ca="1" si="158"/>
        <v>-74745347501.110855</v>
      </c>
      <c r="J2892" s="444">
        <f t="array" ref="J2892">IFERROR(INDEX('Retirement Calculator'!J:J,MATCH('Isaac 401k'!N2892,'Retirement Calculator'!A:A,0),0),0)</f>
        <v>0</v>
      </c>
      <c r="K2892" s="444">
        <f t="shared" ca="1" si="156"/>
        <v>-311438947.92129523</v>
      </c>
      <c r="L2892" s="444">
        <f t="shared" ca="1" si="157"/>
        <v>-75056786449.03215</v>
      </c>
      <c r="M2892" s="460">
        <f t="shared" si="159"/>
        <v>0.05</v>
      </c>
      <c r="N2892" s="464">
        <f t="shared" si="160"/>
        <v>139068</v>
      </c>
    </row>
    <row r="2893" spans="7:14" ht="11.25" customHeight="1" x14ac:dyDescent="0.25">
      <c r="G2893" s="459"/>
      <c r="H2893" s="459">
        <v>2886</v>
      </c>
      <c r="I2893" s="444">
        <f t="shared" ca="1" si="158"/>
        <v>-75056786449.03215</v>
      </c>
      <c r="J2893" s="444">
        <f t="array" ref="J2893">IFERROR(INDEX('Retirement Calculator'!J:J,MATCH('Isaac 401k'!N2893,'Retirement Calculator'!A:A,0),0),0)</f>
        <v>0</v>
      </c>
      <c r="K2893" s="444">
        <f t="shared" ca="1" si="156"/>
        <v>-312736610.20430064</v>
      </c>
      <c r="L2893" s="444">
        <f t="shared" ca="1" si="157"/>
        <v>-75369523059.23645</v>
      </c>
      <c r="M2893" s="460">
        <f t="shared" si="159"/>
        <v>0.05</v>
      </c>
      <c r="N2893" s="464">
        <f t="shared" si="160"/>
        <v>139099</v>
      </c>
    </row>
    <row r="2894" spans="7:14" ht="11.25" customHeight="1" x14ac:dyDescent="0.25">
      <c r="G2894" s="459"/>
      <c r="H2894" s="459">
        <v>2887</v>
      </c>
      <c r="I2894" s="444">
        <f t="shared" ca="1" si="158"/>
        <v>-75369523059.23645</v>
      </c>
      <c r="J2894" s="444">
        <f t="array" ref="J2894">IFERROR(INDEX('Retirement Calculator'!J:J,MATCH('Isaac 401k'!N2894,'Retirement Calculator'!A:A,0),0),0)</f>
        <v>0</v>
      </c>
      <c r="K2894" s="444">
        <f t="shared" ca="1" si="156"/>
        <v>-314039679.41348523</v>
      </c>
      <c r="L2894" s="444">
        <f t="shared" ca="1" si="157"/>
        <v>-75683562738.649933</v>
      </c>
      <c r="M2894" s="460">
        <f t="shared" si="159"/>
        <v>0.05</v>
      </c>
      <c r="N2894" s="464">
        <f t="shared" si="160"/>
        <v>139129</v>
      </c>
    </row>
    <row r="2895" spans="7:14" ht="11.25" customHeight="1" x14ac:dyDescent="0.25">
      <c r="G2895" s="459"/>
      <c r="H2895" s="459">
        <v>2888</v>
      </c>
      <c r="I2895" s="444">
        <f t="shared" ca="1" si="158"/>
        <v>-75683562738.649933</v>
      </c>
      <c r="J2895" s="444">
        <f t="array" ref="J2895">IFERROR(INDEX('Retirement Calculator'!J:J,MATCH('Isaac 401k'!N2895,'Retirement Calculator'!A:A,0),0),0)</f>
        <v>0</v>
      </c>
      <c r="K2895" s="444">
        <f t="shared" ca="1" si="156"/>
        <v>-315348178.07770807</v>
      </c>
      <c r="L2895" s="444">
        <f t="shared" ca="1" si="157"/>
        <v>-75998910916.727646</v>
      </c>
      <c r="M2895" s="460">
        <f t="shared" si="159"/>
        <v>0.05</v>
      </c>
      <c r="N2895" s="464">
        <f t="shared" si="160"/>
        <v>139160</v>
      </c>
    </row>
    <row r="2896" spans="7:14" ht="11.25" customHeight="1" x14ac:dyDescent="0.25">
      <c r="G2896" s="459"/>
      <c r="H2896" s="459">
        <v>2889</v>
      </c>
      <c r="I2896" s="444">
        <f t="shared" ca="1" si="158"/>
        <v>-75998910916.727646</v>
      </c>
      <c r="J2896" s="444">
        <f t="array" ref="J2896">IFERROR(INDEX('Retirement Calculator'!J:J,MATCH('Isaac 401k'!N2896,'Retirement Calculator'!A:A,0),0),0)</f>
        <v>0</v>
      </c>
      <c r="K2896" s="444">
        <f t="shared" ca="1" si="156"/>
        <v>-316662128.81969851</v>
      </c>
      <c r="L2896" s="444">
        <f t="shared" ca="1" si="157"/>
        <v>-76315573045.547348</v>
      </c>
      <c r="M2896" s="460">
        <f t="shared" si="159"/>
        <v>0.05</v>
      </c>
      <c r="N2896" s="464">
        <f t="shared" si="160"/>
        <v>139191</v>
      </c>
    </row>
    <row r="2897" spans="7:14" ht="11.25" customHeight="1" x14ac:dyDescent="0.25">
      <c r="G2897" s="459"/>
      <c r="H2897" s="459">
        <v>2890</v>
      </c>
      <c r="I2897" s="444">
        <f t="shared" ca="1" si="158"/>
        <v>-76315573045.547348</v>
      </c>
      <c r="J2897" s="444">
        <f t="array" ref="J2897">IFERROR(INDEX('Retirement Calculator'!J:J,MATCH('Isaac 401k'!N2897,'Retirement Calculator'!A:A,0),0),0)</f>
        <v>0</v>
      </c>
      <c r="K2897" s="444">
        <f t="shared" ca="1" si="156"/>
        <v>-317981554.35644728</v>
      </c>
      <c r="L2897" s="444">
        <f t="shared" ca="1" si="157"/>
        <v>-76633554599.903793</v>
      </c>
      <c r="M2897" s="460">
        <f t="shared" si="159"/>
        <v>0.05</v>
      </c>
      <c r="N2897" s="464">
        <f t="shared" si="160"/>
        <v>139219</v>
      </c>
    </row>
    <row r="2898" spans="7:14" ht="11.25" customHeight="1" x14ac:dyDescent="0.25">
      <c r="G2898" s="459"/>
      <c r="H2898" s="459">
        <v>2891</v>
      </c>
      <c r="I2898" s="444">
        <f t="shared" ca="1" si="158"/>
        <v>-76633554599.903793</v>
      </c>
      <c r="J2898" s="444">
        <f t="array" ref="J2898">IFERROR(INDEX('Retirement Calculator'!J:J,MATCH('Isaac 401k'!N2898,'Retirement Calculator'!A:A,0),0),0)</f>
        <v>0</v>
      </c>
      <c r="K2898" s="444">
        <f t="shared" ca="1" si="156"/>
        <v>-319306477.49959916</v>
      </c>
      <c r="L2898" s="444">
        <f t="shared" ca="1" si="157"/>
        <v>-76952861077.403397</v>
      </c>
      <c r="M2898" s="460">
        <f t="shared" si="159"/>
        <v>0.05</v>
      </c>
      <c r="N2898" s="464">
        <f t="shared" si="160"/>
        <v>139250</v>
      </c>
    </row>
    <row r="2899" spans="7:14" ht="11.25" customHeight="1" x14ac:dyDescent="0.25">
      <c r="G2899" s="459"/>
      <c r="H2899" s="459">
        <v>2892</v>
      </c>
      <c r="I2899" s="444">
        <f t="shared" ca="1" si="158"/>
        <v>-76952861077.403397</v>
      </c>
      <c r="J2899" s="444">
        <f t="array" ref="J2899">IFERROR(INDEX('Retirement Calculator'!J:J,MATCH('Isaac 401k'!N2899,'Retirement Calculator'!A:A,0),0),0)</f>
        <v>0</v>
      </c>
      <c r="K2899" s="444">
        <f t="shared" ca="1" si="156"/>
        <v>-320636921.15584749</v>
      </c>
      <c r="L2899" s="444">
        <f t="shared" ca="1" si="157"/>
        <v>-77273497998.55925</v>
      </c>
      <c r="M2899" s="460">
        <f t="shared" si="159"/>
        <v>0.05</v>
      </c>
      <c r="N2899" s="464">
        <f t="shared" si="160"/>
        <v>139280</v>
      </c>
    </row>
    <row r="2900" spans="7:14" ht="11.25" customHeight="1" x14ac:dyDescent="0.25">
      <c r="G2900" s="459"/>
      <c r="H2900" s="459">
        <v>2893</v>
      </c>
      <c r="I2900" s="444">
        <f t="shared" ca="1" si="158"/>
        <v>-77273497998.55925</v>
      </c>
      <c r="J2900" s="444">
        <f t="array" ref="J2900">IFERROR(INDEX('Retirement Calculator'!J:J,MATCH('Isaac 401k'!N2900,'Retirement Calculator'!A:A,0),0),0)</f>
        <v>0</v>
      </c>
      <c r="K2900" s="444">
        <f t="shared" ca="1" si="156"/>
        <v>-321972908.32733023</v>
      </c>
      <c r="L2900" s="444">
        <f t="shared" ca="1" si="157"/>
        <v>-77595470906.886581</v>
      </c>
      <c r="M2900" s="460">
        <f t="shared" si="159"/>
        <v>0.05</v>
      </c>
      <c r="N2900" s="464">
        <f t="shared" si="160"/>
        <v>139311</v>
      </c>
    </row>
    <row r="2901" spans="7:14" ht="11.25" customHeight="1" x14ac:dyDescent="0.25">
      <c r="G2901" s="459"/>
      <c r="H2901" s="459">
        <v>2894</v>
      </c>
      <c r="I2901" s="444">
        <f t="shared" ca="1" si="158"/>
        <v>-77595470906.886581</v>
      </c>
      <c r="J2901" s="444">
        <f t="array" ref="J2901">IFERROR(INDEX('Retirement Calculator'!J:J,MATCH('Isaac 401k'!N2901,'Retirement Calculator'!A:A,0),0),0)</f>
        <v>0</v>
      </c>
      <c r="K2901" s="444">
        <f t="shared" ca="1" si="156"/>
        <v>-323314462.11202741</v>
      </c>
      <c r="L2901" s="444">
        <f t="shared" ca="1" si="157"/>
        <v>-77918785368.998611</v>
      </c>
      <c r="M2901" s="460">
        <f t="shared" si="159"/>
        <v>0.05</v>
      </c>
      <c r="N2901" s="464">
        <f t="shared" si="160"/>
        <v>139341</v>
      </c>
    </row>
    <row r="2902" spans="7:14" ht="11.25" customHeight="1" x14ac:dyDescent="0.25">
      <c r="G2902" s="459"/>
      <c r="H2902" s="459">
        <v>2895</v>
      </c>
      <c r="I2902" s="444">
        <f t="shared" ca="1" si="158"/>
        <v>-77918785368.998611</v>
      </c>
      <c r="J2902" s="444">
        <f t="array" ref="J2902">IFERROR(INDEX('Retirement Calculator'!J:J,MATCH('Isaac 401k'!N2902,'Retirement Calculator'!A:A,0),0),0)</f>
        <v>0</v>
      </c>
      <c r="K2902" s="444">
        <f t="shared" ca="1" si="156"/>
        <v>-324661605.70416087</v>
      </c>
      <c r="L2902" s="444">
        <f t="shared" ca="1" si="157"/>
        <v>-78243446974.702774</v>
      </c>
      <c r="M2902" s="460">
        <f t="shared" si="159"/>
        <v>0.05</v>
      </c>
      <c r="N2902" s="464">
        <f t="shared" si="160"/>
        <v>139372</v>
      </c>
    </row>
    <row r="2903" spans="7:14" ht="11.25" customHeight="1" x14ac:dyDescent="0.25">
      <c r="G2903" s="459"/>
      <c r="H2903" s="459">
        <v>2896</v>
      </c>
      <c r="I2903" s="444">
        <f t="shared" ca="1" si="158"/>
        <v>-78243446974.702774</v>
      </c>
      <c r="J2903" s="444">
        <f t="array" ref="J2903">IFERROR(INDEX('Retirement Calculator'!J:J,MATCH('Isaac 401k'!N2903,'Retirement Calculator'!A:A,0),0),0)</f>
        <v>0</v>
      </c>
      <c r="K2903" s="444">
        <f t="shared" ca="1" si="156"/>
        <v>-326014362.39459491</v>
      </c>
      <c r="L2903" s="444">
        <f t="shared" ca="1" si="157"/>
        <v>-78569461337.097366</v>
      </c>
      <c r="M2903" s="460">
        <f t="shared" si="159"/>
        <v>0.05</v>
      </c>
      <c r="N2903" s="464">
        <f t="shared" si="160"/>
        <v>139403</v>
      </c>
    </row>
    <row r="2904" spans="7:14" ht="11.25" customHeight="1" x14ac:dyDescent="0.25">
      <c r="G2904" s="459"/>
      <c r="H2904" s="459">
        <v>2897</v>
      </c>
      <c r="I2904" s="444">
        <f t="shared" ca="1" si="158"/>
        <v>-78569461337.097366</v>
      </c>
      <c r="J2904" s="444">
        <f t="array" ref="J2904">IFERROR(INDEX('Retirement Calculator'!J:J,MATCH('Isaac 401k'!N2904,'Retirement Calculator'!A:A,0),0),0)</f>
        <v>0</v>
      </c>
      <c r="K2904" s="444">
        <f t="shared" ca="1" si="156"/>
        <v>-327372755.57123899</v>
      </c>
      <c r="L2904" s="444">
        <f t="shared" ca="1" si="157"/>
        <v>-78896834092.66861</v>
      </c>
      <c r="M2904" s="460">
        <f t="shared" si="159"/>
        <v>0.05</v>
      </c>
      <c r="N2904" s="464">
        <f t="shared" si="160"/>
        <v>139433</v>
      </c>
    </row>
    <row r="2905" spans="7:14" ht="11.25" customHeight="1" x14ac:dyDescent="0.25">
      <c r="G2905" s="459"/>
      <c r="H2905" s="459">
        <v>2898</v>
      </c>
      <c r="I2905" s="444">
        <f t="shared" ca="1" si="158"/>
        <v>-78896834092.66861</v>
      </c>
      <c r="J2905" s="444">
        <f t="array" ref="J2905">IFERROR(INDEX('Retirement Calculator'!J:J,MATCH('Isaac 401k'!N2905,'Retirement Calculator'!A:A,0),0),0)</f>
        <v>0</v>
      </c>
      <c r="K2905" s="444">
        <f t="shared" ca="1" si="156"/>
        <v>-328736808.71945256</v>
      </c>
      <c r="L2905" s="444">
        <f t="shared" ca="1" si="157"/>
        <v>-79225570901.388062</v>
      </c>
      <c r="M2905" s="460">
        <f t="shared" si="159"/>
        <v>0.05</v>
      </c>
      <c r="N2905" s="464">
        <f t="shared" si="160"/>
        <v>139464</v>
      </c>
    </row>
    <row r="2906" spans="7:14" ht="11.25" customHeight="1" x14ac:dyDescent="0.25">
      <c r="G2906" s="459"/>
      <c r="H2906" s="459">
        <v>2899</v>
      </c>
      <c r="I2906" s="444">
        <f t="shared" ca="1" si="158"/>
        <v>-79225570901.388062</v>
      </c>
      <c r="J2906" s="444">
        <f t="array" ref="J2906">IFERROR(INDEX('Retirement Calculator'!J:J,MATCH('Isaac 401k'!N2906,'Retirement Calculator'!A:A,0),0),0)</f>
        <v>0</v>
      </c>
      <c r="K2906" s="444">
        <f t="shared" ca="1" si="156"/>
        <v>-330106545.42245024</v>
      </c>
      <c r="L2906" s="444">
        <f t="shared" ca="1" si="157"/>
        <v>-79555677446.810516</v>
      </c>
      <c r="M2906" s="460">
        <f t="shared" si="159"/>
        <v>0.05</v>
      </c>
      <c r="N2906" s="464">
        <f t="shared" si="160"/>
        <v>139494</v>
      </c>
    </row>
    <row r="2907" spans="7:14" ht="11.25" customHeight="1" x14ac:dyDescent="0.25">
      <c r="G2907" s="459"/>
      <c r="H2907" s="459">
        <v>2900</v>
      </c>
      <c r="I2907" s="444">
        <f t="shared" ca="1" si="158"/>
        <v>-79555677446.810516</v>
      </c>
      <c r="J2907" s="444">
        <f t="array" ref="J2907">IFERROR(INDEX('Retirement Calculator'!J:J,MATCH('Isaac 401k'!N2907,'Retirement Calculator'!A:A,0),0),0)</f>
        <v>0</v>
      </c>
      <c r="K2907" s="444">
        <f t="shared" ca="1" si="156"/>
        <v>-331481989.36171049</v>
      </c>
      <c r="L2907" s="444">
        <f t="shared" ca="1" si="157"/>
        <v>-79887159436.172226</v>
      </c>
      <c r="M2907" s="460">
        <f t="shared" si="159"/>
        <v>0.05</v>
      </c>
      <c r="N2907" s="464">
        <f t="shared" si="160"/>
        <v>139525</v>
      </c>
    </row>
    <row r="2908" spans="7:14" ht="11.25" customHeight="1" x14ac:dyDescent="0.25">
      <c r="G2908" s="459"/>
      <c r="H2908" s="459">
        <v>2901</v>
      </c>
      <c r="I2908" s="444">
        <f t="shared" ca="1" si="158"/>
        <v>-79887159436.172226</v>
      </c>
      <c r="J2908" s="444">
        <f t="array" ref="J2908">IFERROR(INDEX('Retirement Calculator'!J:J,MATCH('Isaac 401k'!N2908,'Retirement Calculator'!A:A,0),0),0)</f>
        <v>0</v>
      </c>
      <c r="K2908" s="444">
        <f t="shared" ca="1" si="156"/>
        <v>-332863164.31738424</v>
      </c>
      <c r="L2908" s="444">
        <f t="shared" ca="1" si="157"/>
        <v>-80220022600.489609</v>
      </c>
      <c r="M2908" s="460">
        <f t="shared" si="159"/>
        <v>0.05</v>
      </c>
      <c r="N2908" s="464">
        <f t="shared" si="160"/>
        <v>139556</v>
      </c>
    </row>
    <row r="2909" spans="7:14" ht="11.25" customHeight="1" x14ac:dyDescent="0.25">
      <c r="G2909" s="459"/>
      <c r="H2909" s="459">
        <v>2902</v>
      </c>
      <c r="I2909" s="444">
        <f t="shared" ca="1" si="158"/>
        <v>-80220022600.489609</v>
      </c>
      <c r="J2909" s="444">
        <f t="array" ref="J2909">IFERROR(INDEX('Retirement Calculator'!J:J,MATCH('Isaac 401k'!N2909,'Retirement Calculator'!A:A,0),0),0)</f>
        <v>0</v>
      </c>
      <c r="K2909" s="444">
        <f t="shared" ca="1" si="156"/>
        <v>-334250094.16870672</v>
      </c>
      <c r="L2909" s="444">
        <f t="shared" ca="1" si="157"/>
        <v>-80554272694.65831</v>
      </c>
      <c r="M2909" s="460">
        <f t="shared" si="159"/>
        <v>0.05</v>
      </c>
      <c r="N2909" s="464">
        <f t="shared" si="160"/>
        <v>139584</v>
      </c>
    </row>
    <row r="2910" spans="7:14" ht="11.25" customHeight="1" x14ac:dyDescent="0.25">
      <c r="G2910" s="459"/>
      <c r="H2910" s="459">
        <v>2903</v>
      </c>
      <c r="I2910" s="444">
        <f t="shared" ca="1" si="158"/>
        <v>-80554272694.65831</v>
      </c>
      <c r="J2910" s="444">
        <f t="array" ref="J2910">IFERROR(INDEX('Retirement Calculator'!J:J,MATCH('Isaac 401k'!N2910,'Retirement Calculator'!A:A,0),0),0)</f>
        <v>0</v>
      </c>
      <c r="K2910" s="444">
        <f t="shared" ca="1" si="156"/>
        <v>-335642802.8944096</v>
      </c>
      <c r="L2910" s="444">
        <f t="shared" ca="1" si="157"/>
        <v>-80889915497.552719</v>
      </c>
      <c r="M2910" s="460">
        <f t="shared" si="159"/>
        <v>0.05</v>
      </c>
      <c r="N2910" s="464">
        <f t="shared" si="160"/>
        <v>139615</v>
      </c>
    </row>
    <row r="2911" spans="7:14" ht="11.25" customHeight="1" x14ac:dyDescent="0.25">
      <c r="G2911" s="459"/>
      <c r="H2911" s="459">
        <v>2904</v>
      </c>
      <c r="I2911" s="444">
        <f t="shared" ca="1" si="158"/>
        <v>-80889915497.552719</v>
      </c>
      <c r="J2911" s="444">
        <f t="array" ref="J2911">IFERROR(INDEX('Retirement Calculator'!J:J,MATCH('Isaac 401k'!N2911,'Retirement Calculator'!A:A,0),0),0)</f>
        <v>0</v>
      </c>
      <c r="K2911" s="444">
        <f t="shared" ca="1" si="156"/>
        <v>-337041314.57313633</v>
      </c>
      <c r="L2911" s="444">
        <f t="shared" ca="1" si="157"/>
        <v>-81226956812.125854</v>
      </c>
      <c r="M2911" s="460">
        <f t="shared" si="159"/>
        <v>0.05</v>
      </c>
      <c r="N2911" s="464">
        <f t="shared" si="160"/>
        <v>139645</v>
      </c>
    </row>
    <row r="2912" spans="7:14" ht="11.25" customHeight="1" x14ac:dyDescent="0.25">
      <c r="G2912" s="459"/>
      <c r="H2912" s="459">
        <v>2905</v>
      </c>
      <c r="I2912" s="444">
        <f t="shared" ca="1" si="158"/>
        <v>-81226956812.125854</v>
      </c>
      <c r="J2912" s="444">
        <f t="array" ref="J2912">IFERROR(INDEX('Retirement Calculator'!J:J,MATCH('Isaac 401k'!N2912,'Retirement Calculator'!A:A,0),0),0)</f>
        <v>0</v>
      </c>
      <c r="K2912" s="444">
        <f t="shared" ca="1" si="156"/>
        <v>-338445653.38385773</v>
      </c>
      <c r="L2912" s="444">
        <f t="shared" ca="1" si="157"/>
        <v>-81565402465.509705</v>
      </c>
      <c r="M2912" s="460">
        <f t="shared" si="159"/>
        <v>0.05</v>
      </c>
      <c r="N2912" s="464">
        <f t="shared" si="160"/>
        <v>139676</v>
      </c>
    </row>
    <row r="2913" spans="7:14" ht="11.25" customHeight="1" x14ac:dyDescent="0.25">
      <c r="G2913" s="459"/>
      <c r="H2913" s="459">
        <v>2906</v>
      </c>
      <c r="I2913" s="444">
        <f t="shared" ca="1" si="158"/>
        <v>-81565402465.509705</v>
      </c>
      <c r="J2913" s="444">
        <f t="array" ref="J2913">IFERROR(INDEX('Retirement Calculator'!J:J,MATCH('Isaac 401k'!N2913,'Retirement Calculator'!A:A,0),0),0)</f>
        <v>0</v>
      </c>
      <c r="K2913" s="444">
        <f t="shared" ca="1" si="156"/>
        <v>-339855843.60629046</v>
      </c>
      <c r="L2913" s="444">
        <f t="shared" ca="1" si="157"/>
        <v>-81905258309.115997</v>
      </c>
      <c r="M2913" s="460">
        <f t="shared" si="159"/>
        <v>0.05</v>
      </c>
      <c r="N2913" s="464">
        <f t="shared" si="160"/>
        <v>139706</v>
      </c>
    </row>
    <row r="2914" spans="7:14" ht="11.25" customHeight="1" x14ac:dyDescent="0.25">
      <c r="G2914" s="459"/>
      <c r="H2914" s="459">
        <v>2907</v>
      </c>
      <c r="I2914" s="444">
        <f t="shared" ca="1" si="158"/>
        <v>-81905258309.115997</v>
      </c>
      <c r="J2914" s="444">
        <f t="array" ref="J2914">IFERROR(INDEX('Retirement Calculator'!J:J,MATCH('Isaac 401k'!N2914,'Retirement Calculator'!A:A,0),0),0)</f>
        <v>0</v>
      </c>
      <c r="K2914" s="444">
        <f t="shared" ca="1" si="156"/>
        <v>-341271909.62131667</v>
      </c>
      <c r="L2914" s="444">
        <f t="shared" ca="1" si="157"/>
        <v>-82246530218.73732</v>
      </c>
      <c r="M2914" s="460">
        <f t="shared" si="159"/>
        <v>0.05</v>
      </c>
      <c r="N2914" s="464">
        <f t="shared" si="160"/>
        <v>139737</v>
      </c>
    </row>
    <row r="2915" spans="7:14" ht="11.25" customHeight="1" x14ac:dyDescent="0.25">
      <c r="G2915" s="459"/>
      <c r="H2915" s="459">
        <v>2908</v>
      </c>
      <c r="I2915" s="444">
        <f t="shared" ca="1" si="158"/>
        <v>-82246530218.73732</v>
      </c>
      <c r="J2915" s="444">
        <f t="array" ref="J2915">IFERROR(INDEX('Retirement Calculator'!J:J,MATCH('Isaac 401k'!N2915,'Retirement Calculator'!A:A,0),0),0)</f>
        <v>0</v>
      </c>
      <c r="K2915" s="444">
        <f t="shared" ca="1" si="156"/>
        <v>-342693875.9114055</v>
      </c>
      <c r="L2915" s="444">
        <f t="shared" ca="1" si="157"/>
        <v>-82589224094.648727</v>
      </c>
      <c r="M2915" s="460">
        <f t="shared" si="159"/>
        <v>0.05</v>
      </c>
      <c r="N2915" s="464">
        <f t="shared" si="160"/>
        <v>139768</v>
      </c>
    </row>
    <row r="2916" spans="7:14" ht="11.25" customHeight="1" x14ac:dyDescent="0.25">
      <c r="G2916" s="459"/>
      <c r="H2916" s="459">
        <v>2909</v>
      </c>
      <c r="I2916" s="444">
        <f t="shared" ca="1" si="158"/>
        <v>-82589224094.648727</v>
      </c>
      <c r="J2916" s="444">
        <f t="array" ref="J2916">IFERROR(INDEX('Retirement Calculator'!J:J,MATCH('Isaac 401k'!N2916,'Retirement Calculator'!A:A,0),0),0)</f>
        <v>0</v>
      </c>
      <c r="K2916" s="444">
        <f t="shared" ca="1" si="156"/>
        <v>-344121767.06103635</v>
      </c>
      <c r="L2916" s="444">
        <f t="shared" ca="1" si="157"/>
        <v>-82933345861.709763</v>
      </c>
      <c r="M2916" s="460">
        <f t="shared" si="159"/>
        <v>0.05</v>
      </c>
      <c r="N2916" s="464">
        <f t="shared" si="160"/>
        <v>139798</v>
      </c>
    </row>
    <row r="2917" spans="7:14" ht="11.25" customHeight="1" x14ac:dyDescent="0.25">
      <c r="G2917" s="459"/>
      <c r="H2917" s="459">
        <v>2910</v>
      </c>
      <c r="I2917" s="444">
        <f t="shared" ca="1" si="158"/>
        <v>-82933345861.709763</v>
      </c>
      <c r="J2917" s="444">
        <f t="array" ref="J2917">IFERROR(INDEX('Retirement Calculator'!J:J,MATCH('Isaac 401k'!N2917,'Retirement Calculator'!A:A,0),0),0)</f>
        <v>0</v>
      </c>
      <c r="K2917" s="444">
        <f t="shared" ca="1" si="156"/>
        <v>-345555607.75712401</v>
      </c>
      <c r="L2917" s="444">
        <f t="shared" ca="1" si="157"/>
        <v>-83278901469.466888</v>
      </c>
      <c r="M2917" s="460">
        <f t="shared" si="159"/>
        <v>0.05</v>
      </c>
      <c r="N2917" s="464">
        <f t="shared" si="160"/>
        <v>139829</v>
      </c>
    </row>
    <row r="2918" spans="7:14" ht="11.25" customHeight="1" x14ac:dyDescent="0.25">
      <c r="G2918" s="459"/>
      <c r="H2918" s="459">
        <v>2911</v>
      </c>
      <c r="I2918" s="444">
        <f t="shared" ca="1" si="158"/>
        <v>-83278901469.466888</v>
      </c>
      <c r="J2918" s="444">
        <f t="array" ref="J2918">IFERROR(INDEX('Retirement Calculator'!J:J,MATCH('Isaac 401k'!N2918,'Retirement Calculator'!A:A,0),0),0)</f>
        <v>0</v>
      </c>
      <c r="K2918" s="444">
        <f t="shared" ca="1" si="156"/>
        <v>-346995422.78944534</v>
      </c>
      <c r="L2918" s="444">
        <f t="shared" ca="1" si="157"/>
        <v>-83625896892.256332</v>
      </c>
      <c r="M2918" s="460">
        <f t="shared" si="159"/>
        <v>0.05</v>
      </c>
      <c r="N2918" s="464">
        <f t="shared" si="160"/>
        <v>139859</v>
      </c>
    </row>
    <row r="2919" spans="7:14" ht="11.25" customHeight="1" x14ac:dyDescent="0.25">
      <c r="G2919" s="459"/>
      <c r="H2919" s="459">
        <v>2912</v>
      </c>
      <c r="I2919" s="444">
        <f t="shared" ca="1" si="158"/>
        <v>-83625896892.256332</v>
      </c>
      <c r="J2919" s="444">
        <f t="array" ref="J2919">IFERROR(INDEX('Retirement Calculator'!J:J,MATCH('Isaac 401k'!N2919,'Retirement Calculator'!A:A,0),0),0)</f>
        <v>0</v>
      </c>
      <c r="K2919" s="444">
        <f t="shared" ca="1" si="156"/>
        <v>-348441237.05106807</v>
      </c>
      <c r="L2919" s="444">
        <f t="shared" ca="1" si="157"/>
        <v>-83974338129.307404</v>
      </c>
      <c r="M2919" s="460">
        <f t="shared" si="159"/>
        <v>0.05</v>
      </c>
      <c r="N2919" s="464">
        <f t="shared" si="160"/>
        <v>139890</v>
      </c>
    </row>
    <row r="2920" spans="7:14" ht="11.25" customHeight="1" x14ac:dyDescent="0.25">
      <c r="G2920" s="459"/>
      <c r="H2920" s="459">
        <v>2913</v>
      </c>
      <c r="I2920" s="444">
        <f t="shared" ca="1" si="158"/>
        <v>-83974338129.307404</v>
      </c>
      <c r="J2920" s="444">
        <f t="array" ref="J2920">IFERROR(INDEX('Retirement Calculator'!J:J,MATCH('Isaac 401k'!N2920,'Retirement Calculator'!A:A,0),0),0)</f>
        <v>0</v>
      </c>
      <c r="K2920" s="444">
        <f t="shared" ca="1" si="156"/>
        <v>-349893075.53878087</v>
      </c>
      <c r="L2920" s="444">
        <f t="shared" ca="1" si="157"/>
        <v>-84324231204.846191</v>
      </c>
      <c r="M2920" s="460">
        <f t="shared" si="159"/>
        <v>0.05</v>
      </c>
      <c r="N2920" s="464">
        <f t="shared" si="160"/>
        <v>139921</v>
      </c>
    </row>
    <row r="2921" spans="7:14" ht="11.25" customHeight="1" x14ac:dyDescent="0.25">
      <c r="G2921" s="459"/>
      <c r="H2921" s="459">
        <v>2914</v>
      </c>
      <c r="I2921" s="444">
        <f t="shared" ca="1" si="158"/>
        <v>-84324231204.846191</v>
      </c>
      <c r="J2921" s="444">
        <f t="array" ref="J2921">IFERROR(INDEX('Retirement Calculator'!J:J,MATCH('Isaac 401k'!N2921,'Retirement Calculator'!A:A,0),0),0)</f>
        <v>0</v>
      </c>
      <c r="K2921" s="444">
        <f t="shared" ca="1" si="156"/>
        <v>-351350963.35352582</v>
      </c>
      <c r="L2921" s="444">
        <f t="shared" ca="1" si="157"/>
        <v>-84675582168.199722</v>
      </c>
      <c r="M2921" s="460">
        <f t="shared" si="159"/>
        <v>0.05</v>
      </c>
      <c r="N2921" s="464">
        <f t="shared" si="160"/>
        <v>139949</v>
      </c>
    </row>
    <row r="2922" spans="7:14" ht="11.25" customHeight="1" x14ac:dyDescent="0.25">
      <c r="G2922" s="459"/>
      <c r="H2922" s="459">
        <v>2915</v>
      </c>
      <c r="I2922" s="444">
        <f t="shared" ca="1" si="158"/>
        <v>-84675582168.199722</v>
      </c>
      <c r="J2922" s="444">
        <f t="array" ref="J2922">IFERROR(INDEX('Retirement Calculator'!J:J,MATCH('Isaac 401k'!N2922,'Retirement Calculator'!A:A,0),0),0)</f>
        <v>0</v>
      </c>
      <c r="K2922" s="444">
        <f t="shared" ca="1" si="156"/>
        <v>-352814925.70083219</v>
      </c>
      <c r="L2922" s="444">
        <f t="shared" ca="1" si="157"/>
        <v>-85028397093.900558</v>
      </c>
      <c r="M2922" s="460">
        <f t="shared" si="159"/>
        <v>0.05</v>
      </c>
      <c r="N2922" s="464">
        <f t="shared" si="160"/>
        <v>139980</v>
      </c>
    </row>
    <row r="2923" spans="7:14" ht="11.25" customHeight="1" x14ac:dyDescent="0.25">
      <c r="G2923" s="459"/>
      <c r="H2923" s="459">
        <v>2916</v>
      </c>
      <c r="I2923" s="444">
        <f t="shared" ca="1" si="158"/>
        <v>-85028397093.900558</v>
      </c>
      <c r="J2923" s="444">
        <f t="array" ref="J2923">IFERROR(INDEX('Retirement Calculator'!J:J,MATCH('Isaac 401k'!N2923,'Retirement Calculator'!A:A,0),0),0)</f>
        <v>0</v>
      </c>
      <c r="K2923" s="444">
        <f t="shared" ca="1" si="156"/>
        <v>-354284987.89125234</v>
      </c>
      <c r="L2923" s="444">
        <f t="shared" ca="1" si="157"/>
        <v>-85382682081.791809</v>
      </c>
      <c r="M2923" s="460">
        <f t="shared" si="159"/>
        <v>0.05</v>
      </c>
      <c r="N2923" s="464">
        <f t="shared" si="160"/>
        <v>140010</v>
      </c>
    </row>
    <row r="2924" spans="7:14" ht="11.25" customHeight="1" x14ac:dyDescent="0.25">
      <c r="G2924" s="459"/>
      <c r="H2924" s="459">
        <v>2917</v>
      </c>
      <c r="I2924" s="444">
        <f t="shared" ca="1" si="158"/>
        <v>-85382682081.791809</v>
      </c>
      <c r="J2924" s="444">
        <f t="array" ref="J2924">IFERROR(INDEX('Retirement Calculator'!J:J,MATCH('Isaac 401k'!N2924,'Retirement Calculator'!A:A,0),0),0)</f>
        <v>0</v>
      </c>
      <c r="K2924" s="444">
        <f t="shared" ca="1" si="156"/>
        <v>-355761175.34079921</v>
      </c>
      <c r="L2924" s="444">
        <f t="shared" ca="1" si="157"/>
        <v>-85738443257.132614</v>
      </c>
      <c r="M2924" s="460">
        <f t="shared" si="159"/>
        <v>0.05</v>
      </c>
      <c r="N2924" s="464">
        <f t="shared" si="160"/>
        <v>140041</v>
      </c>
    </row>
    <row r="2925" spans="7:14" ht="11.25" customHeight="1" x14ac:dyDescent="0.25">
      <c r="G2925" s="459"/>
      <c r="H2925" s="459">
        <v>2918</v>
      </c>
      <c r="I2925" s="444">
        <f t="shared" ca="1" si="158"/>
        <v>-85738443257.132614</v>
      </c>
      <c r="J2925" s="444">
        <f t="array" ref="J2925">IFERROR(INDEX('Retirement Calculator'!J:J,MATCH('Isaac 401k'!N2925,'Retirement Calculator'!A:A,0),0),0)</f>
        <v>0</v>
      </c>
      <c r="K2925" s="444">
        <f t="shared" ca="1" si="156"/>
        <v>-357243513.57138586</v>
      </c>
      <c r="L2925" s="444">
        <f t="shared" ca="1" si="157"/>
        <v>-86095686770.703995</v>
      </c>
      <c r="M2925" s="460">
        <f t="shared" si="159"/>
        <v>0.05</v>
      </c>
      <c r="N2925" s="464">
        <f t="shared" si="160"/>
        <v>140071</v>
      </c>
    </row>
    <row r="2926" spans="7:14" ht="11.25" customHeight="1" x14ac:dyDescent="0.25">
      <c r="G2926" s="459"/>
      <c r="H2926" s="459">
        <v>2919</v>
      </c>
      <c r="I2926" s="444">
        <f t="shared" ca="1" si="158"/>
        <v>-86095686770.703995</v>
      </c>
      <c r="J2926" s="444">
        <f t="array" ref="J2926">IFERROR(INDEX('Retirement Calculator'!J:J,MATCH('Isaac 401k'!N2926,'Retirement Calculator'!A:A,0),0),0)</f>
        <v>0</v>
      </c>
      <c r="K2926" s="444">
        <f t="shared" ca="1" si="156"/>
        <v>-358732028.21126664</v>
      </c>
      <c r="L2926" s="444">
        <f t="shared" ca="1" si="157"/>
        <v>-86454418798.915268</v>
      </c>
      <c r="M2926" s="460">
        <f t="shared" si="159"/>
        <v>0.05</v>
      </c>
      <c r="N2926" s="464">
        <f t="shared" si="160"/>
        <v>140102</v>
      </c>
    </row>
    <row r="2927" spans="7:14" ht="11.25" customHeight="1" x14ac:dyDescent="0.25">
      <c r="G2927" s="459"/>
      <c r="H2927" s="459">
        <v>2920</v>
      </c>
      <c r="I2927" s="444">
        <f t="shared" ca="1" si="158"/>
        <v>-86454418798.915268</v>
      </c>
      <c r="J2927" s="444">
        <f t="array" ref="J2927">IFERROR(INDEX('Retirement Calculator'!J:J,MATCH('Isaac 401k'!N2927,'Retirement Calculator'!A:A,0),0),0)</f>
        <v>0</v>
      </c>
      <c r="K2927" s="444">
        <f t="shared" ca="1" si="156"/>
        <v>-360226744.9954803</v>
      </c>
      <c r="L2927" s="444">
        <f t="shared" ca="1" si="157"/>
        <v>-86814645543.910751</v>
      </c>
      <c r="M2927" s="460">
        <f t="shared" si="159"/>
        <v>0.05</v>
      </c>
      <c r="N2927" s="464">
        <f t="shared" si="160"/>
        <v>140133</v>
      </c>
    </row>
    <row r="2928" spans="7:14" ht="11.25" customHeight="1" x14ac:dyDescent="0.25">
      <c r="G2928" s="459"/>
      <c r="H2928" s="459">
        <v>2921</v>
      </c>
      <c r="I2928" s="444">
        <f t="shared" ca="1" si="158"/>
        <v>-86814645543.910751</v>
      </c>
      <c r="J2928" s="444">
        <f t="array" ref="J2928">IFERROR(INDEX('Retirement Calculator'!J:J,MATCH('Isaac 401k'!N2928,'Retirement Calculator'!A:A,0),0),0)</f>
        <v>0</v>
      </c>
      <c r="K2928" s="444">
        <f t="shared" ca="1" si="156"/>
        <v>-361727689.76629478</v>
      </c>
      <c r="L2928" s="444">
        <f t="shared" ca="1" si="157"/>
        <v>-87176373233.677048</v>
      </c>
      <c r="M2928" s="460">
        <f t="shared" si="159"/>
        <v>0.05</v>
      </c>
      <c r="N2928" s="464">
        <f t="shared" si="160"/>
        <v>140163</v>
      </c>
    </row>
    <row r="2929" spans="7:14" ht="11.25" customHeight="1" x14ac:dyDescent="0.25">
      <c r="G2929" s="459"/>
      <c r="H2929" s="459">
        <v>2922</v>
      </c>
      <c r="I2929" s="444">
        <f t="shared" ca="1" si="158"/>
        <v>-87176373233.677048</v>
      </c>
      <c r="J2929" s="444">
        <f t="array" ref="J2929">IFERROR(INDEX('Retirement Calculator'!J:J,MATCH('Isaac 401k'!N2929,'Retirement Calculator'!A:A,0),0),0)</f>
        <v>0</v>
      </c>
      <c r="K2929" s="444">
        <f t="shared" ca="1" si="156"/>
        <v>-363234888.47365439</v>
      </c>
      <c r="L2929" s="444">
        <f t="shared" ca="1" si="157"/>
        <v>-87539608122.150696</v>
      </c>
      <c r="M2929" s="460">
        <f t="shared" si="159"/>
        <v>0.05</v>
      </c>
      <c r="N2929" s="464">
        <f t="shared" si="160"/>
        <v>140194</v>
      </c>
    </row>
    <row r="2930" spans="7:14" ht="11.25" customHeight="1" x14ac:dyDescent="0.25">
      <c r="G2930" s="459"/>
      <c r="H2930" s="459">
        <v>2923</v>
      </c>
      <c r="I2930" s="444">
        <f t="shared" ca="1" si="158"/>
        <v>-87539608122.150696</v>
      </c>
      <c r="J2930" s="444">
        <f t="array" ref="J2930">IFERROR(INDEX('Retirement Calculator'!J:J,MATCH('Isaac 401k'!N2930,'Retirement Calculator'!A:A,0),0),0)</f>
        <v>0</v>
      </c>
      <c r="K2930" s="444">
        <f t="shared" ca="1" si="156"/>
        <v>-364748367.17562789</v>
      </c>
      <c r="L2930" s="444">
        <f t="shared" ca="1" si="157"/>
        <v>-87904356489.326324</v>
      </c>
      <c r="M2930" s="460">
        <f t="shared" si="159"/>
        <v>0.05</v>
      </c>
      <c r="N2930" s="464">
        <f t="shared" si="160"/>
        <v>140224</v>
      </c>
    </row>
    <row r="2931" spans="7:14" ht="11.25" customHeight="1" x14ac:dyDescent="0.25">
      <c r="G2931" s="459"/>
      <c r="H2931" s="459">
        <v>2924</v>
      </c>
      <c r="I2931" s="444">
        <f t="shared" ca="1" si="158"/>
        <v>-87904356489.326324</v>
      </c>
      <c r="J2931" s="444">
        <f t="array" ref="J2931">IFERROR(INDEX('Retirement Calculator'!J:J,MATCH('Isaac 401k'!N2931,'Retirement Calculator'!A:A,0),0),0)</f>
        <v>0</v>
      </c>
      <c r="K2931" s="444">
        <f t="shared" ca="1" si="156"/>
        <v>-366268152.03885967</v>
      </c>
      <c r="L2931" s="444">
        <f t="shared" ca="1" si="157"/>
        <v>-88270624641.365189</v>
      </c>
      <c r="M2931" s="460">
        <f t="shared" si="159"/>
        <v>0.05</v>
      </c>
      <c r="N2931" s="464">
        <f t="shared" si="160"/>
        <v>140255</v>
      </c>
    </row>
    <row r="2932" spans="7:14" ht="11.25" customHeight="1" x14ac:dyDescent="0.25">
      <c r="G2932" s="459"/>
      <c r="H2932" s="459">
        <v>2925</v>
      </c>
      <c r="I2932" s="444">
        <f t="shared" ca="1" si="158"/>
        <v>-88270624641.365189</v>
      </c>
      <c r="J2932" s="444">
        <f t="array" ref="J2932">IFERROR(INDEX('Retirement Calculator'!J:J,MATCH('Isaac 401k'!N2932,'Retirement Calculator'!A:A,0),0),0)</f>
        <v>0</v>
      </c>
      <c r="K2932" s="444">
        <f t="shared" ca="1" si="156"/>
        <v>-367794269.33902162</v>
      </c>
      <c r="L2932" s="444">
        <f t="shared" ca="1" si="157"/>
        <v>-88638418910.704208</v>
      </c>
      <c r="M2932" s="460">
        <f t="shared" si="159"/>
        <v>0.05</v>
      </c>
      <c r="N2932" s="464">
        <f t="shared" si="160"/>
        <v>140286</v>
      </c>
    </row>
    <row r="2933" spans="7:14" ht="11.25" customHeight="1" x14ac:dyDescent="0.25">
      <c r="G2933" s="459"/>
      <c r="H2933" s="459">
        <v>2926</v>
      </c>
      <c r="I2933" s="444">
        <f t="shared" ca="1" si="158"/>
        <v>-88638418910.704208</v>
      </c>
      <c r="J2933" s="444">
        <f t="array" ref="J2933">IFERROR(INDEX('Retirement Calculator'!J:J,MATCH('Isaac 401k'!N2933,'Retirement Calculator'!A:A,0),0),0)</f>
        <v>0</v>
      </c>
      <c r="K2933" s="444">
        <f t="shared" ca="1" si="156"/>
        <v>-369326745.46126753</v>
      </c>
      <c r="L2933" s="444">
        <f t="shared" ca="1" si="157"/>
        <v>-89007745656.165482</v>
      </c>
      <c r="M2933" s="460">
        <f t="shared" si="159"/>
        <v>0.05</v>
      </c>
      <c r="N2933" s="464">
        <f t="shared" si="160"/>
        <v>140315</v>
      </c>
    </row>
    <row r="2934" spans="7:14" ht="11.25" customHeight="1" x14ac:dyDescent="0.25">
      <c r="G2934" s="459"/>
      <c r="H2934" s="459">
        <v>2927</v>
      </c>
      <c r="I2934" s="444">
        <f t="shared" ca="1" si="158"/>
        <v>-89007745656.165482</v>
      </c>
      <c r="J2934" s="444">
        <f t="array" ref="J2934">IFERROR(INDEX('Retirement Calculator'!J:J,MATCH('Isaac 401k'!N2934,'Retirement Calculator'!A:A,0),0),0)</f>
        <v>0</v>
      </c>
      <c r="K2934" s="444">
        <f t="shared" ca="1" si="156"/>
        <v>-370865606.90068948</v>
      </c>
      <c r="L2934" s="444">
        <f t="shared" ca="1" si="157"/>
        <v>-89378611263.066177</v>
      </c>
      <c r="M2934" s="460">
        <f t="shared" si="159"/>
        <v>0.05</v>
      </c>
      <c r="N2934" s="464">
        <f t="shared" si="160"/>
        <v>140346</v>
      </c>
    </row>
    <row r="2935" spans="7:14" ht="11.25" customHeight="1" x14ac:dyDescent="0.25">
      <c r="G2935" s="459"/>
      <c r="H2935" s="459">
        <v>2928</v>
      </c>
      <c r="I2935" s="444">
        <f t="shared" ca="1" si="158"/>
        <v>-89378611263.066177</v>
      </c>
      <c r="J2935" s="444">
        <f t="array" ref="J2935">IFERROR(INDEX('Retirement Calculator'!J:J,MATCH('Isaac 401k'!N2935,'Retirement Calculator'!A:A,0),0),0)</f>
        <v>0</v>
      </c>
      <c r="K2935" s="444">
        <f t="shared" ca="1" si="156"/>
        <v>-372410880.26277572</v>
      </c>
      <c r="L2935" s="444">
        <f t="shared" ca="1" si="157"/>
        <v>-89751022143.328949</v>
      </c>
      <c r="M2935" s="460">
        <f t="shared" si="159"/>
        <v>0.05</v>
      </c>
      <c r="N2935" s="464">
        <f t="shared" si="160"/>
        <v>140376</v>
      </c>
    </row>
    <row r="2936" spans="7:14" ht="11.25" customHeight="1" x14ac:dyDescent="0.25">
      <c r="G2936" s="459"/>
      <c r="H2936" s="459">
        <v>2929</v>
      </c>
      <c r="I2936" s="444">
        <f t="shared" ca="1" si="158"/>
        <v>-89751022143.328949</v>
      </c>
      <c r="J2936" s="444">
        <f t="array" ref="J2936">IFERROR(INDEX('Retirement Calculator'!J:J,MATCH('Isaac 401k'!N2936,'Retirement Calculator'!A:A,0),0),0)</f>
        <v>0</v>
      </c>
      <c r="K2936" s="444">
        <f t="shared" ca="1" si="156"/>
        <v>-373962592.2638706</v>
      </c>
      <c r="L2936" s="444">
        <f t="shared" ca="1" si="157"/>
        <v>-90124984735.592819</v>
      </c>
      <c r="M2936" s="460">
        <f t="shared" si="159"/>
        <v>0.05</v>
      </c>
      <c r="N2936" s="464">
        <f t="shared" si="160"/>
        <v>140407</v>
      </c>
    </row>
    <row r="2937" spans="7:14" ht="11.25" customHeight="1" x14ac:dyDescent="0.25">
      <c r="G2937" s="459"/>
      <c r="H2937" s="459">
        <v>2930</v>
      </c>
      <c r="I2937" s="444">
        <f t="shared" ca="1" si="158"/>
        <v>-90124984735.592819</v>
      </c>
      <c r="J2937" s="444">
        <f t="array" ref="J2937">IFERROR(INDEX('Retirement Calculator'!J:J,MATCH('Isaac 401k'!N2937,'Retirement Calculator'!A:A,0),0),0)</f>
        <v>0</v>
      </c>
      <c r="K2937" s="444">
        <f t="shared" ca="1" si="156"/>
        <v>-375520769.73163676</v>
      </c>
      <c r="L2937" s="444">
        <f t="shared" ca="1" si="157"/>
        <v>-90500505505.324463</v>
      </c>
      <c r="M2937" s="460">
        <f t="shared" si="159"/>
        <v>0.05</v>
      </c>
      <c r="N2937" s="464">
        <f t="shared" si="160"/>
        <v>140437</v>
      </c>
    </row>
    <row r="2938" spans="7:14" ht="11.25" customHeight="1" x14ac:dyDescent="0.25">
      <c r="G2938" s="459"/>
      <c r="H2938" s="459">
        <v>2931</v>
      </c>
      <c r="I2938" s="444">
        <f t="shared" ca="1" si="158"/>
        <v>-90500505505.324463</v>
      </c>
      <c r="J2938" s="444">
        <f t="array" ref="J2938">IFERROR(INDEX('Retirement Calculator'!J:J,MATCH('Isaac 401k'!N2938,'Retirement Calculator'!A:A,0),0),0)</f>
        <v>0</v>
      </c>
      <c r="K2938" s="444">
        <f t="shared" ca="1" si="156"/>
        <v>-377085439.60551858</v>
      </c>
      <c r="L2938" s="444">
        <f t="shared" ca="1" si="157"/>
        <v>-90877590944.929977</v>
      </c>
      <c r="M2938" s="460">
        <f t="shared" si="159"/>
        <v>0.05</v>
      </c>
      <c r="N2938" s="464">
        <f t="shared" si="160"/>
        <v>140468</v>
      </c>
    </row>
    <row r="2939" spans="7:14" ht="11.25" customHeight="1" x14ac:dyDescent="0.25">
      <c r="G2939" s="459"/>
      <c r="H2939" s="459">
        <v>2932</v>
      </c>
      <c r="I2939" s="444">
        <f t="shared" ca="1" si="158"/>
        <v>-90877590944.929977</v>
      </c>
      <c r="J2939" s="444">
        <f t="array" ref="J2939">IFERROR(INDEX('Retirement Calculator'!J:J,MATCH('Isaac 401k'!N2939,'Retirement Calculator'!A:A,0),0),0)</f>
        <v>0</v>
      </c>
      <c r="K2939" s="444">
        <f t="shared" ca="1" si="156"/>
        <v>-378656628.93720824</v>
      </c>
      <c r="L2939" s="444">
        <f t="shared" ca="1" si="157"/>
        <v>-91256247573.867188</v>
      </c>
      <c r="M2939" s="460">
        <f t="shared" si="159"/>
        <v>0.05</v>
      </c>
      <c r="N2939" s="464">
        <f t="shared" si="160"/>
        <v>140499</v>
      </c>
    </row>
    <row r="2940" spans="7:14" ht="11.25" customHeight="1" x14ac:dyDescent="0.25">
      <c r="G2940" s="459"/>
      <c r="H2940" s="459">
        <v>2933</v>
      </c>
      <c r="I2940" s="444">
        <f t="shared" ca="1" si="158"/>
        <v>-91256247573.867188</v>
      </c>
      <c r="J2940" s="444">
        <f t="array" ref="J2940">IFERROR(INDEX('Retirement Calculator'!J:J,MATCH('Isaac 401k'!N2940,'Retirement Calculator'!A:A,0),0),0)</f>
        <v>0</v>
      </c>
      <c r="K2940" s="444">
        <f t="shared" ca="1" si="156"/>
        <v>-380234364.89111328</v>
      </c>
      <c r="L2940" s="444">
        <f t="shared" ca="1" si="157"/>
        <v>-91636481938.758301</v>
      </c>
      <c r="M2940" s="460">
        <f t="shared" si="159"/>
        <v>0.05</v>
      </c>
      <c r="N2940" s="464">
        <f t="shared" si="160"/>
        <v>140529</v>
      </c>
    </row>
    <row r="2941" spans="7:14" ht="11.25" customHeight="1" x14ac:dyDescent="0.25">
      <c r="G2941" s="459"/>
      <c r="H2941" s="459">
        <v>2934</v>
      </c>
      <c r="I2941" s="444">
        <f t="shared" ca="1" si="158"/>
        <v>-91636481938.758301</v>
      </c>
      <c r="J2941" s="444">
        <f t="array" ref="J2941">IFERROR(INDEX('Retirement Calculator'!J:J,MATCH('Isaac 401k'!N2941,'Retirement Calculator'!A:A,0),0),0)</f>
        <v>0</v>
      </c>
      <c r="K2941" s="444">
        <f t="shared" ca="1" si="156"/>
        <v>-381818674.74482626</v>
      </c>
      <c r="L2941" s="444">
        <f t="shared" ca="1" si="157"/>
        <v>-92018300613.503128</v>
      </c>
      <c r="M2941" s="460">
        <f t="shared" si="159"/>
        <v>0.05</v>
      </c>
      <c r="N2941" s="464">
        <f t="shared" si="160"/>
        <v>140560</v>
      </c>
    </row>
    <row r="2942" spans="7:14" ht="11.25" customHeight="1" x14ac:dyDescent="0.25">
      <c r="G2942" s="459"/>
      <c r="H2942" s="459">
        <v>2935</v>
      </c>
      <c r="I2942" s="444">
        <f t="shared" ca="1" si="158"/>
        <v>-92018300613.503128</v>
      </c>
      <c r="J2942" s="444">
        <f t="array" ref="J2942">IFERROR(INDEX('Retirement Calculator'!J:J,MATCH('Isaac 401k'!N2942,'Retirement Calculator'!A:A,0),0),0)</f>
        <v>0</v>
      </c>
      <c r="K2942" s="444">
        <f t="shared" ca="1" si="156"/>
        <v>-383409585.88959634</v>
      </c>
      <c r="L2942" s="444">
        <f t="shared" ca="1" si="157"/>
        <v>-92401710199.392731</v>
      </c>
      <c r="M2942" s="460">
        <f t="shared" si="159"/>
        <v>0.05</v>
      </c>
      <c r="N2942" s="464">
        <f t="shared" si="160"/>
        <v>140590</v>
      </c>
    </row>
    <row r="2943" spans="7:14" ht="11.25" customHeight="1" x14ac:dyDescent="0.25">
      <c r="G2943" s="459"/>
      <c r="H2943" s="459">
        <v>2936</v>
      </c>
      <c r="I2943" s="444">
        <f t="shared" ca="1" si="158"/>
        <v>-92401710199.392731</v>
      </c>
      <c r="J2943" s="444">
        <f t="array" ref="J2943">IFERROR(INDEX('Retirement Calculator'!J:J,MATCH('Isaac 401k'!N2943,'Retirement Calculator'!A:A,0),0),0)</f>
        <v>0</v>
      </c>
      <c r="K2943" s="444">
        <f t="shared" ca="1" si="156"/>
        <v>-385007125.83080304</v>
      </c>
      <c r="L2943" s="444">
        <f t="shared" ca="1" si="157"/>
        <v>-92786717325.223541</v>
      </c>
      <c r="M2943" s="460">
        <f t="shared" si="159"/>
        <v>0.05</v>
      </c>
      <c r="N2943" s="464">
        <f t="shared" si="160"/>
        <v>140621</v>
      </c>
    </row>
    <row r="2944" spans="7:14" ht="11.25" customHeight="1" x14ac:dyDescent="0.25">
      <c r="G2944" s="459"/>
      <c r="H2944" s="459">
        <v>2937</v>
      </c>
      <c r="I2944" s="444">
        <f t="shared" ca="1" si="158"/>
        <v>-92786717325.223541</v>
      </c>
      <c r="J2944" s="444">
        <f t="array" ref="J2944">IFERROR(INDEX('Retirement Calculator'!J:J,MATCH('Isaac 401k'!N2944,'Retirement Calculator'!A:A,0),0),0)</f>
        <v>0</v>
      </c>
      <c r="K2944" s="444">
        <f t="shared" ca="1" si="156"/>
        <v>-386611322.18843144</v>
      </c>
      <c r="L2944" s="444">
        <f t="shared" ca="1" si="157"/>
        <v>-93173328647.411972</v>
      </c>
      <c r="M2944" s="460">
        <f t="shared" si="159"/>
        <v>0.05</v>
      </c>
      <c r="N2944" s="464">
        <f t="shared" si="160"/>
        <v>140652</v>
      </c>
    </row>
    <row r="2945" spans="7:14" ht="11.25" customHeight="1" x14ac:dyDescent="0.25">
      <c r="G2945" s="459"/>
      <c r="H2945" s="459">
        <v>2938</v>
      </c>
      <c r="I2945" s="444">
        <f t="shared" ca="1" si="158"/>
        <v>-93173328647.411972</v>
      </c>
      <c r="J2945" s="444">
        <f t="array" ref="J2945">IFERROR(INDEX('Retirement Calculator'!J:J,MATCH('Isaac 401k'!N2945,'Retirement Calculator'!A:A,0),0),0)</f>
        <v>0</v>
      </c>
      <c r="K2945" s="444">
        <f t="shared" ca="1" si="156"/>
        <v>-388222202.69754988</v>
      </c>
      <c r="L2945" s="444">
        <f t="shared" ca="1" si="157"/>
        <v>-93561550850.109528</v>
      </c>
      <c r="M2945" s="460">
        <f t="shared" si="159"/>
        <v>0.05</v>
      </c>
      <c r="N2945" s="464">
        <f t="shared" si="160"/>
        <v>140680</v>
      </c>
    </row>
    <row r="2946" spans="7:14" ht="11.25" customHeight="1" x14ac:dyDescent="0.25">
      <c r="G2946" s="459"/>
      <c r="H2946" s="459">
        <v>2939</v>
      </c>
      <c r="I2946" s="444">
        <f t="shared" ca="1" si="158"/>
        <v>-93561550850.109528</v>
      </c>
      <c r="J2946" s="444">
        <f t="array" ref="J2946">IFERROR(INDEX('Retirement Calculator'!J:J,MATCH('Isaac 401k'!N2946,'Retirement Calculator'!A:A,0),0),0)</f>
        <v>0</v>
      </c>
      <c r="K2946" s="444">
        <f t="shared" ca="1" si="156"/>
        <v>-389839795.20878971</v>
      </c>
      <c r="L2946" s="444">
        <f t="shared" ca="1" si="157"/>
        <v>-93951390645.318314</v>
      </c>
      <c r="M2946" s="460">
        <f t="shared" si="159"/>
        <v>0.05</v>
      </c>
      <c r="N2946" s="464">
        <f t="shared" si="160"/>
        <v>140711</v>
      </c>
    </row>
    <row r="2947" spans="7:14" ht="11.25" customHeight="1" x14ac:dyDescent="0.25">
      <c r="G2947" s="459"/>
      <c r="H2947" s="459">
        <v>2940</v>
      </c>
      <c r="I2947" s="444">
        <f t="shared" ca="1" si="158"/>
        <v>-93951390645.318314</v>
      </c>
      <c r="J2947" s="444">
        <f t="array" ref="J2947">IFERROR(INDEX('Retirement Calculator'!J:J,MATCH('Isaac 401k'!N2947,'Retirement Calculator'!A:A,0),0),0)</f>
        <v>0</v>
      </c>
      <c r="K2947" s="444">
        <f t="shared" ca="1" si="156"/>
        <v>-391464127.68882632</v>
      </c>
      <c r="L2947" s="444">
        <f t="shared" ca="1" si="157"/>
        <v>-94342854773.007141</v>
      </c>
      <c r="M2947" s="460">
        <f t="shared" si="159"/>
        <v>0.05</v>
      </c>
      <c r="N2947" s="464">
        <f t="shared" si="160"/>
        <v>140741</v>
      </c>
    </row>
    <row r="2948" spans="7:14" ht="11.25" customHeight="1" x14ac:dyDescent="0.25">
      <c r="G2948" s="459"/>
      <c r="H2948" s="459">
        <v>2941</v>
      </c>
      <c r="I2948" s="444">
        <f t="shared" ca="1" si="158"/>
        <v>-94342854773.007141</v>
      </c>
      <c r="J2948" s="444">
        <f t="array" ref="J2948">IFERROR(INDEX('Retirement Calculator'!J:J,MATCH('Isaac 401k'!N2948,'Retirement Calculator'!A:A,0),0),0)</f>
        <v>0</v>
      </c>
      <c r="K2948" s="444">
        <f t="shared" ca="1" si="156"/>
        <v>-393095228.2208631</v>
      </c>
      <c r="L2948" s="444">
        <f t="shared" ca="1" si="157"/>
        <v>-94735950001.227997</v>
      </c>
      <c r="M2948" s="460">
        <f t="shared" si="159"/>
        <v>0.05</v>
      </c>
      <c r="N2948" s="464">
        <f t="shared" si="160"/>
        <v>140772</v>
      </c>
    </row>
    <row r="2949" spans="7:14" ht="11.25" customHeight="1" x14ac:dyDescent="0.25">
      <c r="G2949" s="459"/>
      <c r="H2949" s="459">
        <v>2942</v>
      </c>
      <c r="I2949" s="444">
        <f t="shared" ca="1" si="158"/>
        <v>-94735950001.227997</v>
      </c>
      <c r="J2949" s="444">
        <f t="array" ref="J2949">IFERROR(INDEX('Retirement Calculator'!J:J,MATCH('Isaac 401k'!N2949,'Retirement Calculator'!A:A,0),0),0)</f>
        <v>0</v>
      </c>
      <c r="K2949" s="444">
        <f t="shared" ca="1" si="156"/>
        <v>-394733125.00511664</v>
      </c>
      <c r="L2949" s="444">
        <f t="shared" ca="1" si="157"/>
        <v>-95130683126.233109</v>
      </c>
      <c r="M2949" s="460">
        <f t="shared" si="159"/>
        <v>0.05</v>
      </c>
      <c r="N2949" s="464">
        <f t="shared" si="160"/>
        <v>140802</v>
      </c>
    </row>
    <row r="2950" spans="7:14" ht="11.25" customHeight="1" x14ac:dyDescent="0.25">
      <c r="G2950" s="459"/>
      <c r="H2950" s="459">
        <v>2943</v>
      </c>
      <c r="I2950" s="444">
        <f t="shared" ca="1" si="158"/>
        <v>-95130683126.233109</v>
      </c>
      <c r="J2950" s="444">
        <f t="array" ref="J2950">IFERROR(INDEX('Retirement Calculator'!J:J,MATCH('Isaac 401k'!N2950,'Retirement Calculator'!A:A,0),0),0)</f>
        <v>0</v>
      </c>
      <c r="K2950" s="444">
        <f t="shared" ca="1" si="156"/>
        <v>-396377846.35930461</v>
      </c>
      <c r="L2950" s="444">
        <f t="shared" ca="1" si="157"/>
        <v>-95527060972.592407</v>
      </c>
      <c r="M2950" s="460">
        <f t="shared" si="159"/>
        <v>0.05</v>
      </c>
      <c r="N2950" s="464">
        <f t="shared" si="160"/>
        <v>140833</v>
      </c>
    </row>
    <row r="2951" spans="7:14" ht="11.25" customHeight="1" x14ac:dyDescent="0.25">
      <c r="G2951" s="459"/>
      <c r="H2951" s="459">
        <v>2944</v>
      </c>
      <c r="I2951" s="444">
        <f t="shared" ca="1" si="158"/>
        <v>-95527060972.592407</v>
      </c>
      <c r="J2951" s="444">
        <f t="array" ref="J2951">IFERROR(INDEX('Retirement Calculator'!J:J,MATCH('Isaac 401k'!N2951,'Retirement Calculator'!A:A,0),0),0)</f>
        <v>0</v>
      </c>
      <c r="K2951" s="444">
        <f t="shared" ca="1" si="156"/>
        <v>-398029420.71913505</v>
      </c>
      <c r="L2951" s="444">
        <f t="shared" ca="1" si="157"/>
        <v>-95925090393.311539</v>
      </c>
      <c r="M2951" s="460">
        <f t="shared" si="159"/>
        <v>0.05</v>
      </c>
      <c r="N2951" s="464">
        <f t="shared" si="160"/>
        <v>140864</v>
      </c>
    </row>
    <row r="2952" spans="7:14" ht="11.25" customHeight="1" x14ac:dyDescent="0.25">
      <c r="G2952" s="459"/>
      <c r="H2952" s="459">
        <v>2945</v>
      </c>
      <c r="I2952" s="444">
        <f t="shared" ca="1" si="158"/>
        <v>-95925090393.311539</v>
      </c>
      <c r="J2952" s="444">
        <f t="array" ref="J2952">IFERROR(INDEX('Retirement Calculator'!J:J,MATCH('Isaac 401k'!N2952,'Retirement Calculator'!A:A,0),0),0)</f>
        <v>0</v>
      </c>
      <c r="K2952" s="444">
        <f t="shared" ca="1" si="156"/>
        <v>-399687876.63879806</v>
      </c>
      <c r="L2952" s="444">
        <f t="shared" ca="1" si="157"/>
        <v>-96324778269.950333</v>
      </c>
      <c r="M2952" s="460">
        <f t="shared" si="159"/>
        <v>0.05</v>
      </c>
      <c r="N2952" s="464">
        <f t="shared" si="160"/>
        <v>140894</v>
      </c>
    </row>
    <row r="2953" spans="7:14" ht="11.25" customHeight="1" x14ac:dyDescent="0.25">
      <c r="G2953" s="459"/>
      <c r="H2953" s="459">
        <v>2946</v>
      </c>
      <c r="I2953" s="444">
        <f t="shared" ca="1" si="158"/>
        <v>-96324778269.950333</v>
      </c>
      <c r="J2953" s="444">
        <f t="array" ref="J2953">IFERROR(INDEX('Retirement Calculator'!J:J,MATCH('Isaac 401k'!N2953,'Retirement Calculator'!A:A,0),0),0)</f>
        <v>0</v>
      </c>
      <c r="K2953" s="444">
        <f t="shared" ca="1" si="156"/>
        <v>-401353242.79145974</v>
      </c>
      <c r="L2953" s="444">
        <f t="shared" ca="1" si="157"/>
        <v>-96726131512.741791</v>
      </c>
      <c r="M2953" s="460">
        <f t="shared" si="159"/>
        <v>0.05</v>
      </c>
      <c r="N2953" s="464">
        <f t="shared" si="160"/>
        <v>140925</v>
      </c>
    </row>
    <row r="2954" spans="7:14" ht="11.25" customHeight="1" x14ac:dyDescent="0.25">
      <c r="G2954" s="459"/>
      <c r="H2954" s="459">
        <v>2947</v>
      </c>
      <c r="I2954" s="444">
        <f t="shared" ca="1" si="158"/>
        <v>-96726131512.741791</v>
      </c>
      <c r="J2954" s="444">
        <f t="array" ref="J2954">IFERROR(INDEX('Retirement Calculator'!J:J,MATCH('Isaac 401k'!N2954,'Retirement Calculator'!A:A,0),0),0)</f>
        <v>0</v>
      </c>
      <c r="K2954" s="444">
        <f t="shared" ca="1" si="156"/>
        <v>-403025547.96975744</v>
      </c>
      <c r="L2954" s="444">
        <f t="shared" ca="1" si="157"/>
        <v>-97129157060.711548</v>
      </c>
      <c r="M2954" s="460">
        <f t="shared" si="159"/>
        <v>0.05</v>
      </c>
      <c r="N2954" s="464">
        <f t="shared" si="160"/>
        <v>140955</v>
      </c>
    </row>
    <row r="2955" spans="7:14" ht="11.25" customHeight="1" x14ac:dyDescent="0.25">
      <c r="G2955" s="459"/>
      <c r="H2955" s="459">
        <v>2948</v>
      </c>
      <c r="I2955" s="444">
        <f t="shared" ca="1" si="158"/>
        <v>-97129157060.711548</v>
      </c>
      <c r="J2955" s="444">
        <f t="array" ref="J2955">IFERROR(INDEX('Retirement Calculator'!J:J,MATCH('Isaac 401k'!N2955,'Retirement Calculator'!A:A,0),0),0)</f>
        <v>0</v>
      </c>
      <c r="K2955" s="444">
        <f t="shared" ca="1" si="156"/>
        <v>-404704821.08629811</v>
      </c>
      <c r="L2955" s="444">
        <f t="shared" ca="1" si="157"/>
        <v>-97533861881.797852</v>
      </c>
      <c r="M2955" s="460">
        <f t="shared" si="159"/>
        <v>0.05</v>
      </c>
      <c r="N2955" s="464">
        <f t="shared" si="160"/>
        <v>140986</v>
      </c>
    </row>
    <row r="2956" spans="7:14" ht="11.25" customHeight="1" x14ac:dyDescent="0.25">
      <c r="G2956" s="459"/>
      <c r="H2956" s="459">
        <v>2949</v>
      </c>
      <c r="I2956" s="444">
        <f t="shared" ca="1" si="158"/>
        <v>-97533861881.797852</v>
      </c>
      <c r="J2956" s="444">
        <f t="array" ref="J2956">IFERROR(INDEX('Retirement Calculator'!J:J,MATCH('Isaac 401k'!N2956,'Retirement Calculator'!A:A,0),0),0)</f>
        <v>0</v>
      </c>
      <c r="K2956" s="444">
        <f t="shared" ca="1" si="156"/>
        <v>-406391091.17415774</v>
      </c>
      <c r="L2956" s="444">
        <f t="shared" ca="1" si="157"/>
        <v>-97940252972.972015</v>
      </c>
      <c r="M2956" s="460">
        <f t="shared" si="159"/>
        <v>0.05</v>
      </c>
      <c r="N2956" s="464">
        <f t="shared" si="160"/>
        <v>141017</v>
      </c>
    </row>
    <row r="2957" spans="7:14" ht="11.25" customHeight="1" x14ac:dyDescent="0.25">
      <c r="G2957" s="459"/>
      <c r="H2957" s="459">
        <v>2950</v>
      </c>
      <c r="I2957" s="444">
        <f t="shared" ca="1" si="158"/>
        <v>-97940252972.972015</v>
      </c>
      <c r="J2957" s="444">
        <f t="array" ref="J2957">IFERROR(INDEX('Retirement Calculator'!J:J,MATCH('Isaac 401k'!N2957,'Retirement Calculator'!A:A,0),0),0)</f>
        <v>0</v>
      </c>
      <c r="K2957" s="444">
        <f t="shared" ca="1" si="156"/>
        <v>-408084387.3873834</v>
      </c>
      <c r="L2957" s="444">
        <f t="shared" ca="1" si="157"/>
        <v>-98348337360.359406</v>
      </c>
      <c r="M2957" s="460">
        <f t="shared" si="159"/>
        <v>0.05</v>
      </c>
      <c r="N2957" s="464">
        <f t="shared" si="160"/>
        <v>141045</v>
      </c>
    </row>
    <row r="2958" spans="7:14" ht="11.25" customHeight="1" x14ac:dyDescent="0.25">
      <c r="G2958" s="459"/>
      <c r="H2958" s="459">
        <v>2951</v>
      </c>
      <c r="I2958" s="444">
        <f t="shared" ca="1" si="158"/>
        <v>-98348337360.359406</v>
      </c>
      <c r="J2958" s="444">
        <f t="array" ref="J2958">IFERROR(INDEX('Retirement Calculator'!J:J,MATCH('Isaac 401k'!N2958,'Retirement Calculator'!A:A,0),0),0)</f>
        <v>0</v>
      </c>
      <c r="K2958" s="444">
        <f t="shared" ca="1" si="156"/>
        <v>-409784739.00149751</v>
      </c>
      <c r="L2958" s="444">
        <f t="shared" ca="1" si="157"/>
        <v>-98758122099.360901</v>
      </c>
      <c r="M2958" s="460">
        <f t="shared" si="159"/>
        <v>0.05</v>
      </c>
      <c r="N2958" s="464">
        <f t="shared" si="160"/>
        <v>141076</v>
      </c>
    </row>
    <row r="2959" spans="7:14" ht="11.25" customHeight="1" x14ac:dyDescent="0.25">
      <c r="G2959" s="459"/>
      <c r="H2959" s="459">
        <v>2952</v>
      </c>
      <c r="I2959" s="444">
        <f t="shared" ca="1" si="158"/>
        <v>-98758122099.360901</v>
      </c>
      <c r="J2959" s="444">
        <f t="array" ref="J2959">IFERROR(INDEX('Retirement Calculator'!J:J,MATCH('Isaac 401k'!N2959,'Retirement Calculator'!A:A,0),0),0)</f>
        <v>0</v>
      </c>
      <c r="K2959" s="444">
        <f t="shared" ca="1" si="156"/>
        <v>-411492175.41400373</v>
      </c>
      <c r="L2959" s="444">
        <f t="shared" ca="1" si="157"/>
        <v>-99169614274.774902</v>
      </c>
      <c r="M2959" s="460">
        <f t="shared" si="159"/>
        <v>0.05</v>
      </c>
      <c r="N2959" s="464">
        <f t="shared" si="160"/>
        <v>141106</v>
      </c>
    </row>
    <row r="2960" spans="7:14" ht="11.25" customHeight="1" x14ac:dyDescent="0.25">
      <c r="G2960" s="459"/>
      <c r="H2960" s="459">
        <v>2953</v>
      </c>
      <c r="I2960" s="444">
        <f t="shared" ca="1" si="158"/>
        <v>-99169614274.774902</v>
      </c>
      <c r="J2960" s="444">
        <f t="array" ref="J2960">IFERROR(INDEX('Retirement Calculator'!J:J,MATCH('Isaac 401k'!N2960,'Retirement Calculator'!A:A,0),0),0)</f>
        <v>0</v>
      </c>
      <c r="K2960" s="444">
        <f t="shared" ca="1" si="156"/>
        <v>-413206726.14489543</v>
      </c>
      <c r="L2960" s="444">
        <f t="shared" ca="1" si="157"/>
        <v>-99582821000.9198</v>
      </c>
      <c r="M2960" s="460">
        <f t="shared" si="159"/>
        <v>0.05</v>
      </c>
      <c r="N2960" s="464">
        <f t="shared" si="160"/>
        <v>141137</v>
      </c>
    </row>
    <row r="2961" spans="7:14" ht="11.25" customHeight="1" x14ac:dyDescent="0.25">
      <c r="G2961" s="459"/>
      <c r="H2961" s="459">
        <v>2954</v>
      </c>
      <c r="I2961" s="444">
        <f t="shared" ca="1" si="158"/>
        <v>-99582821000.9198</v>
      </c>
      <c r="J2961" s="444">
        <f t="array" ref="J2961">IFERROR(INDEX('Retirement Calculator'!J:J,MATCH('Isaac 401k'!N2961,'Retirement Calculator'!A:A,0),0),0)</f>
        <v>0</v>
      </c>
      <c r="K2961" s="444">
        <f t="shared" ca="1" si="156"/>
        <v>-414928420.83716583</v>
      </c>
      <c r="L2961" s="444">
        <f t="shared" ca="1" si="157"/>
        <v>-99997749421.756958</v>
      </c>
      <c r="M2961" s="460">
        <f t="shared" si="159"/>
        <v>0.05</v>
      </c>
      <c r="N2961" s="464">
        <f t="shared" si="160"/>
        <v>141167</v>
      </c>
    </row>
    <row r="2962" spans="7:14" ht="11.25" customHeight="1" x14ac:dyDescent="0.25">
      <c r="G2962" s="459"/>
      <c r="H2962" s="459">
        <v>2955</v>
      </c>
      <c r="I2962" s="444">
        <f t="shared" ca="1" si="158"/>
        <v>-99997749421.756958</v>
      </c>
      <c r="J2962" s="444">
        <f t="array" ref="J2962">IFERROR(INDEX('Retirement Calculator'!J:J,MATCH('Isaac 401k'!N2962,'Retirement Calculator'!A:A,0),0),0)</f>
        <v>0</v>
      </c>
      <c r="K2962" s="444">
        <f t="shared" ca="1" si="156"/>
        <v>-416657289.25732064</v>
      </c>
      <c r="L2962" s="444">
        <f t="shared" ca="1" si="157"/>
        <v>-100414406711.01428</v>
      </c>
      <c r="M2962" s="460">
        <f t="shared" si="159"/>
        <v>0.05</v>
      </c>
      <c r="N2962" s="464">
        <f t="shared" si="160"/>
        <v>141198</v>
      </c>
    </row>
    <row r="2963" spans="7:14" ht="11.25" customHeight="1" x14ac:dyDescent="0.25">
      <c r="G2963" s="459"/>
      <c r="H2963" s="459">
        <v>2956</v>
      </c>
      <c r="I2963" s="444">
        <f t="shared" ca="1" si="158"/>
        <v>-100414406711.01428</v>
      </c>
      <c r="J2963" s="444">
        <f t="array" ref="J2963">IFERROR(INDEX('Retirement Calculator'!J:J,MATCH('Isaac 401k'!N2963,'Retirement Calculator'!A:A,0),0),0)</f>
        <v>0</v>
      </c>
      <c r="K2963" s="444">
        <f t="shared" ca="1" si="156"/>
        <v>-418393361.29589283</v>
      </c>
      <c r="L2963" s="444">
        <f t="shared" ca="1" si="157"/>
        <v>-100832800072.31018</v>
      </c>
      <c r="M2963" s="460">
        <f t="shared" si="159"/>
        <v>0.05</v>
      </c>
      <c r="N2963" s="464">
        <f t="shared" si="160"/>
        <v>141229</v>
      </c>
    </row>
    <row r="2964" spans="7:14" ht="11.25" customHeight="1" x14ac:dyDescent="0.25">
      <c r="G2964" s="459"/>
      <c r="H2964" s="459">
        <v>2957</v>
      </c>
      <c r="I2964" s="444">
        <f t="shared" ca="1" si="158"/>
        <v>-100832800072.31018</v>
      </c>
      <c r="J2964" s="444">
        <f t="array" ref="J2964">IFERROR(INDEX('Retirement Calculator'!J:J,MATCH('Isaac 401k'!N2964,'Retirement Calculator'!A:A,0),0),0)</f>
        <v>0</v>
      </c>
      <c r="K2964" s="444">
        <f t="shared" ca="1" si="156"/>
        <v>-420136666.96795911</v>
      </c>
      <c r="L2964" s="444">
        <f t="shared" ca="1" si="157"/>
        <v>-101252936739.27814</v>
      </c>
      <c r="M2964" s="460">
        <f t="shared" si="159"/>
        <v>0.05</v>
      </c>
      <c r="N2964" s="464">
        <f t="shared" si="160"/>
        <v>141259</v>
      </c>
    </row>
    <row r="2965" spans="7:14" ht="11.25" customHeight="1" x14ac:dyDescent="0.25">
      <c r="G2965" s="459"/>
      <c r="H2965" s="459">
        <v>2958</v>
      </c>
      <c r="I2965" s="444">
        <f t="shared" ca="1" si="158"/>
        <v>-101252936739.27814</v>
      </c>
      <c r="J2965" s="444">
        <f t="array" ref="J2965">IFERROR(INDEX('Retirement Calculator'!J:J,MATCH('Isaac 401k'!N2965,'Retirement Calculator'!A:A,0),0),0)</f>
        <v>0</v>
      </c>
      <c r="K2965" s="444">
        <f t="shared" ca="1" si="156"/>
        <v>-421887236.41365892</v>
      </c>
      <c r="L2965" s="444">
        <f t="shared" ca="1" si="157"/>
        <v>-101674823975.6918</v>
      </c>
      <c r="M2965" s="460">
        <f t="shared" si="159"/>
        <v>0.05</v>
      </c>
      <c r="N2965" s="464">
        <f t="shared" si="160"/>
        <v>141290</v>
      </c>
    </row>
    <row r="2966" spans="7:14" ht="11.25" customHeight="1" x14ac:dyDescent="0.25">
      <c r="G2966" s="459"/>
      <c r="H2966" s="459">
        <v>2959</v>
      </c>
      <c r="I2966" s="444">
        <f t="shared" ca="1" si="158"/>
        <v>-101674823975.6918</v>
      </c>
      <c r="J2966" s="444">
        <f t="array" ref="J2966">IFERROR(INDEX('Retirement Calculator'!J:J,MATCH('Isaac 401k'!N2966,'Retirement Calculator'!A:A,0),0),0)</f>
        <v>0</v>
      </c>
      <c r="K2966" s="444">
        <f t="shared" ca="1" si="156"/>
        <v>-423645099.89871585</v>
      </c>
      <c r="L2966" s="444">
        <f t="shared" ca="1" si="157"/>
        <v>-102098469075.59052</v>
      </c>
      <c r="M2966" s="460">
        <f t="shared" si="159"/>
        <v>0.05</v>
      </c>
      <c r="N2966" s="464">
        <f t="shared" si="160"/>
        <v>141320</v>
      </c>
    </row>
    <row r="2967" spans="7:14" ht="11.25" customHeight="1" x14ac:dyDescent="0.25">
      <c r="G2967" s="459"/>
      <c r="H2967" s="459">
        <v>2960</v>
      </c>
      <c r="I2967" s="444">
        <f t="shared" ca="1" si="158"/>
        <v>-102098469075.59052</v>
      </c>
      <c r="J2967" s="444">
        <f t="array" ref="J2967">IFERROR(INDEX('Retirement Calculator'!J:J,MATCH('Isaac 401k'!N2967,'Retirement Calculator'!A:A,0),0),0)</f>
        <v>0</v>
      </c>
      <c r="K2967" s="444">
        <f t="shared" ca="1" si="156"/>
        <v>-425410287.81496048</v>
      </c>
      <c r="L2967" s="444">
        <f t="shared" ca="1" si="157"/>
        <v>-102523879363.40547</v>
      </c>
      <c r="M2967" s="460">
        <f t="shared" si="159"/>
        <v>0.05</v>
      </c>
      <c r="N2967" s="464">
        <f t="shared" si="160"/>
        <v>141351</v>
      </c>
    </row>
    <row r="2968" spans="7:14" ht="11.25" customHeight="1" x14ac:dyDescent="0.25">
      <c r="G2968" s="459"/>
      <c r="H2968" s="459">
        <v>2961</v>
      </c>
      <c r="I2968" s="444">
        <f t="shared" ca="1" si="158"/>
        <v>-102523879363.40547</v>
      </c>
      <c r="J2968" s="444">
        <f t="array" ref="J2968">IFERROR(INDEX('Retirement Calculator'!J:J,MATCH('Isaac 401k'!N2968,'Retirement Calculator'!A:A,0),0),0)</f>
        <v>0</v>
      </c>
      <c r="K2968" s="444">
        <f t="shared" ca="1" si="156"/>
        <v>-427182830.68085611</v>
      </c>
      <c r="L2968" s="444">
        <f t="shared" ca="1" si="157"/>
        <v>-102951062194.08633</v>
      </c>
      <c r="M2968" s="460">
        <f t="shared" si="159"/>
        <v>0.05</v>
      </c>
      <c r="N2968" s="464">
        <f t="shared" si="160"/>
        <v>141382</v>
      </c>
    </row>
    <row r="2969" spans="7:14" ht="11.25" customHeight="1" x14ac:dyDescent="0.25">
      <c r="G2969" s="459"/>
      <c r="H2969" s="459">
        <v>2962</v>
      </c>
      <c r="I2969" s="444">
        <f t="shared" ca="1" si="158"/>
        <v>-102951062194.08633</v>
      </c>
      <c r="J2969" s="444">
        <f t="array" ref="J2969">IFERROR(INDEX('Retirement Calculator'!J:J,MATCH('Isaac 401k'!N2969,'Retirement Calculator'!A:A,0),0),0)</f>
        <v>0</v>
      </c>
      <c r="K2969" s="444">
        <f t="shared" ca="1" si="156"/>
        <v>-428962759.14202636</v>
      </c>
      <c r="L2969" s="444">
        <f t="shared" ca="1" si="157"/>
        <v>-103380024953.22836</v>
      </c>
      <c r="M2969" s="460">
        <f t="shared" si="159"/>
        <v>0.05</v>
      </c>
      <c r="N2969" s="464">
        <f t="shared" si="160"/>
        <v>141410</v>
      </c>
    </row>
    <row r="2970" spans="7:14" ht="11.25" customHeight="1" x14ac:dyDescent="0.25">
      <c r="G2970" s="459"/>
      <c r="H2970" s="459">
        <v>2963</v>
      </c>
      <c r="I2970" s="444">
        <f t="shared" ca="1" si="158"/>
        <v>-103380024953.22836</v>
      </c>
      <c r="J2970" s="444">
        <f t="array" ref="J2970">IFERROR(INDEX('Retirement Calculator'!J:J,MATCH('Isaac 401k'!N2970,'Retirement Calculator'!A:A,0),0),0)</f>
        <v>0</v>
      </c>
      <c r="K2970" s="444">
        <f t="shared" ca="1" si="156"/>
        <v>-430750103.97178483</v>
      </c>
      <c r="L2970" s="444">
        <f t="shared" ca="1" si="157"/>
        <v>-103810775057.20015</v>
      </c>
      <c r="M2970" s="460">
        <f t="shared" si="159"/>
        <v>0.05</v>
      </c>
      <c r="N2970" s="464">
        <f t="shared" si="160"/>
        <v>141441</v>
      </c>
    </row>
    <row r="2971" spans="7:14" ht="11.25" customHeight="1" x14ac:dyDescent="0.25">
      <c r="G2971" s="459"/>
      <c r="H2971" s="459">
        <v>2964</v>
      </c>
      <c r="I2971" s="444">
        <f t="shared" ca="1" si="158"/>
        <v>-103810775057.20015</v>
      </c>
      <c r="J2971" s="444">
        <f t="array" ref="J2971">IFERROR(INDEX('Retirement Calculator'!J:J,MATCH('Isaac 401k'!N2971,'Retirement Calculator'!A:A,0),0),0)</f>
        <v>0</v>
      </c>
      <c r="K2971" s="444">
        <f t="shared" ca="1" si="156"/>
        <v>-432544896.07166725</v>
      </c>
      <c r="L2971" s="444">
        <f t="shared" ca="1" si="157"/>
        <v>-104243319953.27182</v>
      </c>
      <c r="M2971" s="460">
        <f t="shared" si="159"/>
        <v>0.05</v>
      </c>
      <c r="N2971" s="464">
        <f t="shared" si="160"/>
        <v>141471</v>
      </c>
    </row>
    <row r="2972" spans="7:14" ht="11.25" customHeight="1" x14ac:dyDescent="0.25">
      <c r="G2972" s="459"/>
      <c r="H2972" s="459">
        <v>2965</v>
      </c>
      <c r="I2972" s="444">
        <f t="shared" ca="1" si="158"/>
        <v>-104243319953.27182</v>
      </c>
      <c r="J2972" s="444">
        <f t="array" ref="J2972">IFERROR(INDEX('Retirement Calculator'!J:J,MATCH('Isaac 401k'!N2972,'Retirement Calculator'!A:A,0),0),0)</f>
        <v>0</v>
      </c>
      <c r="K2972" s="444">
        <f t="shared" ca="1" si="156"/>
        <v>-434347166.47196591</v>
      </c>
      <c r="L2972" s="444">
        <f t="shared" ca="1" si="157"/>
        <v>-104677667119.74379</v>
      </c>
      <c r="M2972" s="460">
        <f t="shared" si="159"/>
        <v>0.05</v>
      </c>
      <c r="N2972" s="464">
        <f t="shared" si="160"/>
        <v>141502</v>
      </c>
    </row>
    <row r="2973" spans="7:14" ht="11.25" customHeight="1" x14ac:dyDescent="0.25">
      <c r="G2973" s="459"/>
      <c r="H2973" s="459">
        <v>2966</v>
      </c>
      <c r="I2973" s="444">
        <f t="shared" ca="1" si="158"/>
        <v>-104677667119.74379</v>
      </c>
      <c r="J2973" s="444">
        <f t="array" ref="J2973">IFERROR(INDEX('Retirement Calculator'!J:J,MATCH('Isaac 401k'!N2973,'Retirement Calculator'!A:A,0),0),0)</f>
        <v>0</v>
      </c>
      <c r="K2973" s="444">
        <f t="shared" ca="1" si="156"/>
        <v>-436156946.33226579</v>
      </c>
      <c r="L2973" s="444">
        <f t="shared" ca="1" si="157"/>
        <v>-105113824066.07605</v>
      </c>
      <c r="M2973" s="460">
        <f t="shared" si="159"/>
        <v>0.05</v>
      </c>
      <c r="N2973" s="464">
        <f t="shared" si="160"/>
        <v>141532</v>
      </c>
    </row>
    <row r="2974" spans="7:14" ht="11.25" customHeight="1" x14ac:dyDescent="0.25">
      <c r="G2974" s="459"/>
      <c r="H2974" s="459">
        <v>2967</v>
      </c>
      <c r="I2974" s="444">
        <f t="shared" ca="1" si="158"/>
        <v>-105113824066.07605</v>
      </c>
      <c r="J2974" s="444">
        <f t="array" ref="J2974">IFERROR(INDEX('Retirement Calculator'!J:J,MATCH('Isaac 401k'!N2974,'Retirement Calculator'!A:A,0),0),0)</f>
        <v>0</v>
      </c>
      <c r="K2974" s="444">
        <f t="shared" ca="1" si="156"/>
        <v>-437974266.94198352</v>
      </c>
      <c r="L2974" s="444">
        <f t="shared" ca="1" si="157"/>
        <v>-105551798333.01804</v>
      </c>
      <c r="M2974" s="460">
        <f t="shared" si="159"/>
        <v>0.05</v>
      </c>
      <c r="N2974" s="464">
        <f t="shared" si="160"/>
        <v>141563</v>
      </c>
    </row>
    <row r="2975" spans="7:14" ht="11.25" customHeight="1" x14ac:dyDescent="0.25">
      <c r="G2975" s="459"/>
      <c r="H2975" s="459">
        <v>2968</v>
      </c>
      <c r="I2975" s="444">
        <f t="shared" ca="1" si="158"/>
        <v>-105551798333.01804</v>
      </c>
      <c r="J2975" s="444">
        <f t="array" ref="J2975">IFERROR(INDEX('Retirement Calculator'!J:J,MATCH('Isaac 401k'!N2975,'Retirement Calculator'!A:A,0),0),0)</f>
        <v>0</v>
      </c>
      <c r="K2975" s="444">
        <f t="shared" ca="1" si="156"/>
        <v>-439799159.72090846</v>
      </c>
      <c r="L2975" s="444">
        <f t="shared" ca="1" si="157"/>
        <v>-105991597492.73894</v>
      </c>
      <c r="M2975" s="460">
        <f t="shared" si="159"/>
        <v>0.05</v>
      </c>
      <c r="N2975" s="464">
        <f t="shared" si="160"/>
        <v>141594</v>
      </c>
    </row>
    <row r="2976" spans="7:14" ht="11.25" customHeight="1" x14ac:dyDescent="0.25">
      <c r="G2976" s="459"/>
      <c r="H2976" s="459">
        <v>2969</v>
      </c>
      <c r="I2976" s="444">
        <f t="shared" ca="1" si="158"/>
        <v>-105991597492.73894</v>
      </c>
      <c r="J2976" s="444">
        <f t="array" ref="J2976">IFERROR(INDEX('Retirement Calculator'!J:J,MATCH('Isaac 401k'!N2976,'Retirement Calculator'!A:A,0),0),0)</f>
        <v>0</v>
      </c>
      <c r="K2976" s="444">
        <f t="shared" ca="1" si="156"/>
        <v>-441631656.21974558</v>
      </c>
      <c r="L2976" s="444">
        <f t="shared" ca="1" si="157"/>
        <v>-106433229148.95868</v>
      </c>
      <c r="M2976" s="460">
        <f t="shared" si="159"/>
        <v>0.05</v>
      </c>
      <c r="N2976" s="464">
        <f t="shared" si="160"/>
        <v>141624</v>
      </c>
    </row>
    <row r="2977" spans="7:14" ht="11.25" customHeight="1" x14ac:dyDescent="0.25">
      <c r="G2977" s="459"/>
      <c r="H2977" s="459">
        <v>2970</v>
      </c>
      <c r="I2977" s="444">
        <f t="shared" ca="1" si="158"/>
        <v>-106433229148.95868</v>
      </c>
      <c r="J2977" s="444">
        <f t="array" ref="J2977">IFERROR(INDEX('Retirement Calculator'!J:J,MATCH('Isaac 401k'!N2977,'Retirement Calculator'!A:A,0),0),0)</f>
        <v>0</v>
      </c>
      <c r="K2977" s="444">
        <f t="shared" ca="1" si="156"/>
        <v>-443471788.12066114</v>
      </c>
      <c r="L2977" s="444">
        <f t="shared" ca="1" si="157"/>
        <v>-106876700937.07935</v>
      </c>
      <c r="M2977" s="460">
        <f t="shared" si="159"/>
        <v>0.05</v>
      </c>
      <c r="N2977" s="464">
        <f t="shared" si="160"/>
        <v>141655</v>
      </c>
    </row>
    <row r="2978" spans="7:14" ht="11.25" customHeight="1" x14ac:dyDescent="0.25">
      <c r="G2978" s="459"/>
      <c r="H2978" s="459">
        <v>2971</v>
      </c>
      <c r="I2978" s="444">
        <f t="shared" ca="1" si="158"/>
        <v>-106876700937.07935</v>
      </c>
      <c r="J2978" s="444">
        <f t="array" ref="J2978">IFERROR(INDEX('Retirement Calculator'!J:J,MATCH('Isaac 401k'!N2978,'Retirement Calculator'!A:A,0),0),0)</f>
        <v>0</v>
      </c>
      <c r="K2978" s="444">
        <f t="shared" ca="1" si="156"/>
        <v>-445319587.23783058</v>
      </c>
      <c r="L2978" s="444">
        <f t="shared" ca="1" si="157"/>
        <v>-107322020524.31717</v>
      </c>
      <c r="M2978" s="460">
        <f t="shared" si="159"/>
        <v>0.05</v>
      </c>
      <c r="N2978" s="464">
        <f t="shared" si="160"/>
        <v>141685</v>
      </c>
    </row>
    <row r="2979" spans="7:14" ht="11.25" customHeight="1" x14ac:dyDescent="0.25">
      <c r="G2979" s="459"/>
      <c r="H2979" s="459">
        <v>2972</v>
      </c>
      <c r="I2979" s="444">
        <f t="shared" ca="1" si="158"/>
        <v>-107322020524.31717</v>
      </c>
      <c r="J2979" s="444">
        <f t="array" ref="J2979">IFERROR(INDEX('Retirement Calculator'!J:J,MATCH('Isaac 401k'!N2979,'Retirement Calculator'!A:A,0),0),0)</f>
        <v>0</v>
      </c>
      <c r="K2979" s="444">
        <f t="shared" ca="1" si="156"/>
        <v>-447175085.5179882</v>
      </c>
      <c r="L2979" s="444">
        <f t="shared" ca="1" si="157"/>
        <v>-107769195609.83516</v>
      </c>
      <c r="M2979" s="460">
        <f t="shared" si="159"/>
        <v>0.05</v>
      </c>
      <c r="N2979" s="464">
        <f t="shared" si="160"/>
        <v>141716</v>
      </c>
    </row>
    <row r="2980" spans="7:14" ht="11.25" customHeight="1" x14ac:dyDescent="0.25">
      <c r="G2980" s="459"/>
      <c r="H2980" s="459">
        <v>2973</v>
      </c>
      <c r="I2980" s="444">
        <f t="shared" ca="1" si="158"/>
        <v>-107769195609.83516</v>
      </c>
      <c r="J2980" s="444">
        <f t="array" ref="J2980">IFERROR(INDEX('Retirement Calculator'!J:J,MATCH('Isaac 401k'!N2980,'Retirement Calculator'!A:A,0),0),0)</f>
        <v>0</v>
      </c>
      <c r="K2980" s="444">
        <f t="shared" ca="1" si="156"/>
        <v>-449038315.0409798</v>
      </c>
      <c r="L2980" s="444">
        <f t="shared" ca="1" si="157"/>
        <v>-108218233924.87614</v>
      </c>
      <c r="M2980" s="460">
        <f t="shared" si="159"/>
        <v>0.05</v>
      </c>
      <c r="N2980" s="464">
        <f t="shared" si="160"/>
        <v>141747</v>
      </c>
    </row>
    <row r="2981" spans="7:14" ht="11.25" customHeight="1" x14ac:dyDescent="0.25">
      <c r="G2981" s="459"/>
      <c r="H2981" s="459">
        <v>2974</v>
      </c>
      <c r="I2981" s="444">
        <f t="shared" ca="1" si="158"/>
        <v>-108218233924.87614</v>
      </c>
      <c r="J2981" s="444">
        <f t="array" ref="J2981">IFERROR(INDEX('Retirement Calculator'!J:J,MATCH('Isaac 401k'!N2981,'Retirement Calculator'!A:A,0),0),0)</f>
        <v>0</v>
      </c>
      <c r="K2981" s="444">
        <f t="shared" ca="1" si="156"/>
        <v>-450909308.02031726</v>
      </c>
      <c r="L2981" s="444">
        <f t="shared" ca="1" si="157"/>
        <v>-108669143232.89647</v>
      </c>
      <c r="M2981" s="460">
        <f t="shared" si="159"/>
        <v>0.05</v>
      </c>
      <c r="N2981" s="464">
        <f t="shared" si="160"/>
        <v>141776</v>
      </c>
    </row>
    <row r="2982" spans="7:14" ht="11.25" customHeight="1" x14ac:dyDescent="0.25">
      <c r="G2982" s="459"/>
      <c r="H2982" s="459">
        <v>2975</v>
      </c>
      <c r="I2982" s="444">
        <f t="shared" ca="1" si="158"/>
        <v>-108669143232.89647</v>
      </c>
      <c r="J2982" s="444">
        <f t="array" ref="J2982">IFERROR(INDEX('Retirement Calculator'!J:J,MATCH('Isaac 401k'!N2982,'Retirement Calculator'!A:A,0),0),0)</f>
        <v>0</v>
      </c>
      <c r="K2982" s="444">
        <f t="shared" ca="1" si="156"/>
        <v>-452788096.8037352</v>
      </c>
      <c r="L2982" s="444">
        <f t="shared" ca="1" si="157"/>
        <v>-109121931329.70021</v>
      </c>
      <c r="M2982" s="460">
        <f t="shared" si="159"/>
        <v>0.05</v>
      </c>
      <c r="N2982" s="464">
        <f t="shared" si="160"/>
        <v>141807</v>
      </c>
    </row>
    <row r="2983" spans="7:14" ht="11.25" customHeight="1" x14ac:dyDescent="0.25">
      <c r="G2983" s="459"/>
      <c r="H2983" s="459">
        <v>2976</v>
      </c>
      <c r="I2983" s="444">
        <f t="shared" ca="1" si="158"/>
        <v>-109121931329.70021</v>
      </c>
      <c r="J2983" s="444">
        <f t="array" ref="J2983">IFERROR(INDEX('Retirement Calculator'!J:J,MATCH('Isaac 401k'!N2983,'Retirement Calculator'!A:A,0),0),0)</f>
        <v>0</v>
      </c>
      <c r="K2983" s="444">
        <f t="shared" ca="1" si="156"/>
        <v>-454674713.87375087</v>
      </c>
      <c r="L2983" s="444">
        <f t="shared" ca="1" si="157"/>
        <v>-109576606043.57396</v>
      </c>
      <c r="M2983" s="460">
        <f t="shared" si="159"/>
        <v>0.05</v>
      </c>
      <c r="N2983" s="464">
        <f t="shared" si="160"/>
        <v>141837</v>
      </c>
    </row>
    <row r="2984" spans="7:14" ht="11.25" customHeight="1" x14ac:dyDescent="0.25">
      <c r="G2984" s="459"/>
      <c r="H2984" s="459">
        <v>2977</v>
      </c>
      <c r="I2984" s="444">
        <f t="shared" ca="1" si="158"/>
        <v>-109576606043.57396</v>
      </c>
      <c r="J2984" s="444">
        <f t="array" ref="J2984">IFERROR(INDEX('Retirement Calculator'!J:J,MATCH('Isaac 401k'!N2984,'Retirement Calculator'!A:A,0),0),0)</f>
        <v>0</v>
      </c>
      <c r="K2984" s="444">
        <f t="shared" ca="1" si="156"/>
        <v>-456569191.84822482</v>
      </c>
      <c r="L2984" s="444">
        <f t="shared" ca="1" si="157"/>
        <v>-110033175235.42218</v>
      </c>
      <c r="M2984" s="460">
        <f t="shared" si="159"/>
        <v>0.05</v>
      </c>
      <c r="N2984" s="464">
        <f t="shared" si="160"/>
        <v>141868</v>
      </c>
    </row>
    <row r="2985" spans="7:14" ht="11.25" customHeight="1" x14ac:dyDescent="0.25">
      <c r="G2985" s="459"/>
      <c r="H2985" s="459">
        <v>2978</v>
      </c>
      <c r="I2985" s="444">
        <f t="shared" ca="1" si="158"/>
        <v>-110033175235.42218</v>
      </c>
      <c r="J2985" s="444">
        <f t="array" ref="J2985">IFERROR(INDEX('Retirement Calculator'!J:J,MATCH('Isaac 401k'!N2985,'Retirement Calculator'!A:A,0),0),0)</f>
        <v>0</v>
      </c>
      <c r="K2985" s="444">
        <f t="shared" ca="1" si="156"/>
        <v>-458471563.48092568</v>
      </c>
      <c r="L2985" s="444">
        <f t="shared" ca="1" si="157"/>
        <v>-110491646798.90311</v>
      </c>
      <c r="M2985" s="460">
        <f t="shared" si="159"/>
        <v>0.05</v>
      </c>
      <c r="N2985" s="464">
        <f t="shared" si="160"/>
        <v>141898</v>
      </c>
    </row>
    <row r="2986" spans="7:14" ht="11.25" customHeight="1" x14ac:dyDescent="0.25">
      <c r="G2986" s="459"/>
      <c r="H2986" s="459">
        <v>2979</v>
      </c>
      <c r="I2986" s="444">
        <f t="shared" ca="1" si="158"/>
        <v>-110491646798.90311</v>
      </c>
      <c r="J2986" s="444">
        <f t="array" ref="J2986">IFERROR(INDEX('Retirement Calculator'!J:J,MATCH('Isaac 401k'!N2986,'Retirement Calculator'!A:A,0),0),0)</f>
        <v>0</v>
      </c>
      <c r="K2986" s="444">
        <f t="shared" ca="1" si="156"/>
        <v>-460381861.66209626</v>
      </c>
      <c r="L2986" s="444">
        <f t="shared" ca="1" si="157"/>
        <v>-110952028660.5652</v>
      </c>
      <c r="M2986" s="460">
        <f t="shared" si="159"/>
        <v>0.05</v>
      </c>
      <c r="N2986" s="464">
        <f t="shared" si="160"/>
        <v>141929</v>
      </c>
    </row>
    <row r="2987" spans="7:14" ht="11.25" customHeight="1" x14ac:dyDescent="0.25">
      <c r="G2987" s="459"/>
      <c r="H2987" s="459">
        <v>2980</v>
      </c>
      <c r="I2987" s="444">
        <f t="shared" ca="1" si="158"/>
        <v>-110952028660.5652</v>
      </c>
      <c r="J2987" s="444">
        <f t="array" ref="J2987">IFERROR(INDEX('Retirement Calculator'!J:J,MATCH('Isaac 401k'!N2987,'Retirement Calculator'!A:A,0),0),0)</f>
        <v>0</v>
      </c>
      <c r="K2987" s="444">
        <f t="shared" ca="1" si="156"/>
        <v>-462300119.41902167</v>
      </c>
      <c r="L2987" s="444">
        <f t="shared" ca="1" si="157"/>
        <v>-111414328779.98422</v>
      </c>
      <c r="M2987" s="460">
        <f t="shared" si="159"/>
        <v>0.05</v>
      </c>
      <c r="N2987" s="464">
        <f t="shared" si="160"/>
        <v>141960</v>
      </c>
    </row>
    <row r="2988" spans="7:14" ht="11.25" customHeight="1" x14ac:dyDescent="0.25">
      <c r="G2988" s="459"/>
      <c r="H2988" s="459">
        <v>2981</v>
      </c>
      <c r="I2988" s="444">
        <f t="shared" ca="1" si="158"/>
        <v>-111414328779.98422</v>
      </c>
      <c r="J2988" s="444">
        <f t="array" ref="J2988">IFERROR(INDEX('Retirement Calculator'!J:J,MATCH('Isaac 401k'!N2988,'Retirement Calculator'!A:A,0),0),0)</f>
        <v>0</v>
      </c>
      <c r="K2988" s="444">
        <f t="shared" ca="1" si="156"/>
        <v>-464226369.91660094</v>
      </c>
      <c r="L2988" s="444">
        <f t="shared" ca="1" si="157"/>
        <v>-111878555149.90082</v>
      </c>
      <c r="M2988" s="460">
        <f t="shared" si="159"/>
        <v>0.05</v>
      </c>
      <c r="N2988" s="464">
        <f t="shared" si="160"/>
        <v>141990</v>
      </c>
    </row>
    <row r="2989" spans="7:14" ht="11.25" customHeight="1" x14ac:dyDescent="0.25">
      <c r="G2989" s="459"/>
      <c r="H2989" s="459">
        <v>2982</v>
      </c>
      <c r="I2989" s="444">
        <f t="shared" ca="1" si="158"/>
        <v>-111878555149.90082</v>
      </c>
      <c r="J2989" s="444">
        <f t="array" ref="J2989">IFERROR(INDEX('Retirement Calculator'!J:J,MATCH('Isaac 401k'!N2989,'Retirement Calculator'!A:A,0),0),0)</f>
        <v>0</v>
      </c>
      <c r="K2989" s="444">
        <f t="shared" ca="1" si="156"/>
        <v>-466160646.45792001</v>
      </c>
      <c r="L2989" s="444">
        <f t="shared" ca="1" si="157"/>
        <v>-112344715796.35873</v>
      </c>
      <c r="M2989" s="460">
        <f t="shared" si="159"/>
        <v>0.05</v>
      </c>
      <c r="N2989" s="464">
        <f t="shared" si="160"/>
        <v>142021</v>
      </c>
    </row>
    <row r="2990" spans="7:14" ht="11.25" customHeight="1" x14ac:dyDescent="0.25">
      <c r="G2990" s="459"/>
      <c r="H2990" s="459">
        <v>2983</v>
      </c>
      <c r="I2990" s="444">
        <f t="shared" ca="1" si="158"/>
        <v>-112344715796.35873</v>
      </c>
      <c r="J2990" s="444">
        <f t="array" ref="J2990">IFERROR(INDEX('Retirement Calculator'!J:J,MATCH('Isaac 401k'!N2990,'Retirement Calculator'!A:A,0),0),0)</f>
        <v>0</v>
      </c>
      <c r="K2990" s="444">
        <f t="shared" ca="1" si="156"/>
        <v>-468102982.48482805</v>
      </c>
      <c r="L2990" s="444">
        <f t="shared" ca="1" si="157"/>
        <v>-112812818778.84357</v>
      </c>
      <c r="M2990" s="460">
        <f t="shared" si="159"/>
        <v>0.05</v>
      </c>
      <c r="N2990" s="464">
        <f t="shared" si="160"/>
        <v>142051</v>
      </c>
    </row>
    <row r="2991" spans="7:14" ht="11.25" customHeight="1" x14ac:dyDescent="0.25">
      <c r="G2991" s="459"/>
      <c r="H2991" s="459">
        <v>2984</v>
      </c>
      <c r="I2991" s="444">
        <f t="shared" ca="1" si="158"/>
        <v>-112812818778.84357</v>
      </c>
      <c r="J2991" s="444">
        <f t="array" ref="J2991">IFERROR(INDEX('Retirement Calculator'!J:J,MATCH('Isaac 401k'!N2991,'Retirement Calculator'!A:A,0),0),0)</f>
        <v>0</v>
      </c>
      <c r="K2991" s="444">
        <f t="shared" ca="1" si="156"/>
        <v>-470053411.57851487</v>
      </c>
      <c r="L2991" s="444">
        <f t="shared" ca="1" si="157"/>
        <v>-113282872190.42209</v>
      </c>
      <c r="M2991" s="460">
        <f t="shared" si="159"/>
        <v>0.05</v>
      </c>
      <c r="N2991" s="464">
        <f t="shared" si="160"/>
        <v>142082</v>
      </c>
    </row>
    <row r="2992" spans="7:14" ht="11.25" customHeight="1" x14ac:dyDescent="0.25">
      <c r="G2992" s="459"/>
      <c r="H2992" s="459">
        <v>2985</v>
      </c>
      <c r="I2992" s="444">
        <f t="shared" ca="1" si="158"/>
        <v>-113282872190.42209</v>
      </c>
      <c r="J2992" s="444">
        <f t="array" ref="J2992">IFERROR(INDEX('Retirement Calculator'!J:J,MATCH('Isaac 401k'!N2992,'Retirement Calculator'!A:A,0),0),0)</f>
        <v>0</v>
      </c>
      <c r="K2992" s="444">
        <f t="shared" ca="1" si="156"/>
        <v>-472011967.46009201</v>
      </c>
      <c r="L2992" s="444">
        <f t="shared" ca="1" si="157"/>
        <v>-113754884157.88219</v>
      </c>
      <c r="M2992" s="460">
        <f t="shared" si="159"/>
        <v>0.05</v>
      </c>
      <c r="N2992" s="464">
        <f t="shared" si="160"/>
        <v>142113</v>
      </c>
    </row>
    <row r="2993" spans="7:14" ht="11.25" customHeight="1" x14ac:dyDescent="0.25">
      <c r="G2993" s="459"/>
      <c r="H2993" s="459">
        <v>2986</v>
      </c>
      <c r="I2993" s="444">
        <f t="shared" ca="1" si="158"/>
        <v>-113754884157.88219</v>
      </c>
      <c r="J2993" s="444">
        <f t="array" ref="J2993">IFERROR(INDEX('Retirement Calculator'!J:J,MATCH('Isaac 401k'!N2993,'Retirement Calculator'!A:A,0),0),0)</f>
        <v>0</v>
      </c>
      <c r="K2993" s="444">
        <f t="shared" ca="1" si="156"/>
        <v>-473978683.99117577</v>
      </c>
      <c r="L2993" s="444">
        <f t="shared" ca="1" si="157"/>
        <v>-114228862841.87337</v>
      </c>
      <c r="M2993" s="460">
        <f t="shared" si="159"/>
        <v>0.05</v>
      </c>
      <c r="N2993" s="464">
        <f t="shared" si="160"/>
        <v>142141</v>
      </c>
    </row>
    <row r="2994" spans="7:14" ht="11.25" customHeight="1" x14ac:dyDescent="0.25">
      <c r="G2994" s="459"/>
      <c r="H2994" s="459">
        <v>2987</v>
      </c>
      <c r="I2994" s="444">
        <f t="shared" ca="1" si="158"/>
        <v>-114228862841.87337</v>
      </c>
      <c r="J2994" s="444">
        <f t="array" ref="J2994">IFERROR(INDEX('Retirement Calculator'!J:J,MATCH('Isaac 401k'!N2994,'Retirement Calculator'!A:A,0),0),0)</f>
        <v>0</v>
      </c>
      <c r="K2994" s="444">
        <f t="shared" ca="1" si="156"/>
        <v>-475953595.17447239</v>
      </c>
      <c r="L2994" s="444">
        <f t="shared" ca="1" si="157"/>
        <v>-114704816437.04784</v>
      </c>
      <c r="M2994" s="460">
        <f t="shared" si="159"/>
        <v>0.05</v>
      </c>
      <c r="N2994" s="464">
        <f t="shared" si="160"/>
        <v>142172</v>
      </c>
    </row>
    <row r="2995" spans="7:14" ht="11.25" customHeight="1" x14ac:dyDescent="0.25">
      <c r="G2995" s="459"/>
      <c r="H2995" s="459">
        <v>2988</v>
      </c>
      <c r="I2995" s="444">
        <f t="shared" ca="1" si="158"/>
        <v>-114704816437.04784</v>
      </c>
      <c r="J2995" s="444">
        <f t="array" ref="J2995">IFERROR(INDEX('Retirement Calculator'!J:J,MATCH('Isaac 401k'!N2995,'Retirement Calculator'!A:A,0),0),0)</f>
        <v>0</v>
      </c>
      <c r="K2995" s="444">
        <f t="shared" ca="1" si="156"/>
        <v>-477936735.15436596</v>
      </c>
      <c r="L2995" s="444">
        <f t="shared" ca="1" si="157"/>
        <v>-115182753172.20221</v>
      </c>
      <c r="M2995" s="460">
        <f t="shared" si="159"/>
        <v>0.05</v>
      </c>
      <c r="N2995" s="464">
        <f t="shared" si="160"/>
        <v>142202</v>
      </c>
    </row>
    <row r="2996" spans="7:14" ht="11.25" customHeight="1" x14ac:dyDescent="0.25">
      <c r="G2996" s="459"/>
      <c r="H2996" s="459">
        <v>2989</v>
      </c>
      <c r="I2996" s="444">
        <f t="shared" ca="1" si="158"/>
        <v>-115182753172.20221</v>
      </c>
      <c r="J2996" s="444">
        <f t="array" ref="J2996">IFERROR(INDEX('Retirement Calculator'!J:J,MATCH('Isaac 401k'!N2996,'Retirement Calculator'!A:A,0),0),0)</f>
        <v>0</v>
      </c>
      <c r="K2996" s="444">
        <f t="shared" ca="1" si="156"/>
        <v>-479928138.21750915</v>
      </c>
      <c r="L2996" s="444">
        <f t="shared" ca="1" si="157"/>
        <v>-115662681310.41972</v>
      </c>
      <c r="M2996" s="460">
        <f t="shared" si="159"/>
        <v>0.05</v>
      </c>
      <c r="N2996" s="464">
        <f t="shared" si="160"/>
        <v>142233</v>
      </c>
    </row>
    <row r="2997" spans="7:14" ht="11.25" customHeight="1" x14ac:dyDescent="0.25">
      <c r="G2997" s="459"/>
      <c r="H2997" s="459">
        <v>2990</v>
      </c>
      <c r="I2997" s="444">
        <f t="shared" ca="1" si="158"/>
        <v>-115662681310.41972</v>
      </c>
      <c r="J2997" s="444">
        <f t="array" ref="J2997">IFERROR(INDEX('Retirement Calculator'!J:J,MATCH('Isaac 401k'!N2997,'Retirement Calculator'!A:A,0),0),0)</f>
        <v>0</v>
      </c>
      <c r="K2997" s="444">
        <f t="shared" ca="1" si="156"/>
        <v>-481927838.79341549</v>
      </c>
      <c r="L2997" s="444">
        <f t="shared" ca="1" si="157"/>
        <v>-116144609149.21313</v>
      </c>
      <c r="M2997" s="460">
        <f t="shared" si="159"/>
        <v>0.05</v>
      </c>
      <c r="N2997" s="464">
        <f t="shared" si="160"/>
        <v>142263</v>
      </c>
    </row>
    <row r="2998" spans="7:14" ht="11.25" customHeight="1" x14ac:dyDescent="0.25">
      <c r="G2998" s="459"/>
      <c r="H2998" s="459">
        <v>2991</v>
      </c>
      <c r="I2998" s="444">
        <f t="shared" ca="1" si="158"/>
        <v>-116144609149.21313</v>
      </c>
      <c r="J2998" s="444">
        <f t="array" ref="J2998">IFERROR(INDEX('Retirement Calculator'!J:J,MATCH('Isaac 401k'!N2998,'Retirement Calculator'!A:A,0),0),0)</f>
        <v>0</v>
      </c>
      <c r="K2998" s="444">
        <f t="shared" ca="1" si="156"/>
        <v>-483935871.45505464</v>
      </c>
      <c r="L2998" s="444">
        <f t="shared" ca="1" si="157"/>
        <v>-116628545020.66818</v>
      </c>
      <c r="M2998" s="460">
        <f t="shared" si="159"/>
        <v>0.05</v>
      </c>
      <c r="N2998" s="464">
        <f t="shared" si="160"/>
        <v>142294</v>
      </c>
    </row>
    <row r="2999" spans="7:14" ht="11.25" customHeight="1" x14ac:dyDescent="0.25">
      <c r="G2999" s="459"/>
      <c r="H2999" s="459">
        <v>2992</v>
      </c>
      <c r="I2999" s="444">
        <f t="shared" ca="1" si="158"/>
        <v>-116628545020.66818</v>
      </c>
      <c r="J2999" s="444">
        <f t="array" ref="J2999">IFERROR(INDEX('Retirement Calculator'!J:J,MATCH('Isaac 401k'!N2999,'Retirement Calculator'!A:A,0),0),0)</f>
        <v>0</v>
      </c>
      <c r="K2999" s="444">
        <f t="shared" ca="1" si="156"/>
        <v>-485952270.91945076</v>
      </c>
      <c r="L2999" s="444">
        <f t="shared" ca="1" si="157"/>
        <v>-117114497291.58763</v>
      </c>
      <c r="M2999" s="460">
        <f t="shared" si="159"/>
        <v>0.05</v>
      </c>
      <c r="N2999" s="464">
        <f t="shared" si="160"/>
        <v>142325</v>
      </c>
    </row>
    <row r="3000" spans="7:14" ht="11.25" customHeight="1" x14ac:dyDescent="0.25">
      <c r="G3000" s="459"/>
      <c r="H3000" s="459">
        <v>2993</v>
      </c>
      <c r="I3000" s="444">
        <f t="shared" ca="1" si="158"/>
        <v>-117114497291.58763</v>
      </c>
      <c r="J3000" s="444">
        <f t="array" ref="J3000">IFERROR(INDEX('Retirement Calculator'!J:J,MATCH('Isaac 401k'!N3000,'Retirement Calculator'!A:A,0),0),0)</f>
        <v>0</v>
      </c>
      <c r="K3000" s="444">
        <f t="shared" ca="1" si="156"/>
        <v>-487977072.04828185</v>
      </c>
      <c r="L3000" s="444">
        <f t="shared" ca="1" si="157"/>
        <v>-117602474363.63591</v>
      </c>
      <c r="M3000" s="460">
        <f t="shared" si="159"/>
        <v>0.05</v>
      </c>
      <c r="N3000" s="464">
        <f t="shared" si="160"/>
        <v>142355</v>
      </c>
    </row>
    <row r="3001" spans="7:14" ht="11.25" customHeight="1" x14ac:dyDescent="0.25">
      <c r="G3001" s="459"/>
      <c r="H3001" s="459">
        <v>2994</v>
      </c>
      <c r="I3001" s="444">
        <f t="shared" ca="1" si="158"/>
        <v>-117602474363.63591</v>
      </c>
      <c r="J3001" s="444">
        <f t="array" ref="J3001">IFERROR(INDEX('Retirement Calculator'!J:J,MATCH('Isaac 401k'!N3001,'Retirement Calculator'!A:A,0),0),0)</f>
        <v>0</v>
      </c>
      <c r="K3001" s="444">
        <f t="shared" ca="1" si="156"/>
        <v>-490010309.84848297</v>
      </c>
      <c r="L3001" s="444">
        <f t="shared" ca="1" si="157"/>
        <v>-118092484673.48439</v>
      </c>
      <c r="M3001" s="460">
        <f t="shared" si="159"/>
        <v>0.05</v>
      </c>
      <c r="N3001" s="464">
        <f t="shared" si="160"/>
        <v>142386</v>
      </c>
    </row>
    <row r="3002" spans="7:14" ht="11.25" customHeight="1" x14ac:dyDescent="0.25">
      <c r="G3002" s="459"/>
      <c r="H3002" s="459">
        <v>2995</v>
      </c>
      <c r="I3002" s="444">
        <f t="shared" ca="1" si="158"/>
        <v>-118092484673.48439</v>
      </c>
      <c r="J3002" s="444">
        <f t="array" ref="J3002">IFERROR(INDEX('Retirement Calculator'!J:J,MATCH('Isaac 401k'!N3002,'Retirement Calculator'!A:A,0),0),0)</f>
        <v>0</v>
      </c>
      <c r="K3002" s="444">
        <f t="shared" ca="1" si="156"/>
        <v>-492052019.47285163</v>
      </c>
      <c r="L3002" s="444">
        <f t="shared" ca="1" si="157"/>
        <v>-118584536692.95724</v>
      </c>
      <c r="M3002" s="460">
        <f t="shared" si="159"/>
        <v>0.05</v>
      </c>
      <c r="N3002" s="464">
        <f t="shared" si="160"/>
        <v>142416</v>
      </c>
    </row>
    <row r="3003" spans="7:14" ht="11.25" customHeight="1" x14ac:dyDescent="0.25">
      <c r="G3003" s="459"/>
      <c r="H3003" s="459">
        <v>2996</v>
      </c>
      <c r="I3003" s="444">
        <f t="shared" ca="1" si="158"/>
        <v>-118584536692.95724</v>
      </c>
      <c r="J3003" s="444">
        <f t="array" ref="J3003">IFERROR(INDEX('Retirement Calculator'!J:J,MATCH('Isaac 401k'!N3003,'Retirement Calculator'!A:A,0),0),0)</f>
        <v>0</v>
      </c>
      <c r="K3003" s="444">
        <f t="shared" ca="1" si="156"/>
        <v>-494102236.2206552</v>
      </c>
      <c r="L3003" s="444">
        <f t="shared" ca="1" si="157"/>
        <v>-119078638929.1779</v>
      </c>
      <c r="M3003" s="460">
        <f t="shared" si="159"/>
        <v>0.05</v>
      </c>
      <c r="N3003" s="464">
        <f t="shared" si="160"/>
        <v>142447</v>
      </c>
    </row>
    <row r="3004" spans="7:14" ht="11.25" customHeight="1" x14ac:dyDescent="0.25">
      <c r="G3004" s="459"/>
      <c r="H3004" s="459">
        <v>2997</v>
      </c>
      <c r="I3004" s="444">
        <f t="shared" ca="1" si="158"/>
        <v>-119078638929.1779</v>
      </c>
      <c r="J3004" s="444">
        <f t="array" ref="J3004">IFERROR(INDEX('Retirement Calculator'!J:J,MATCH('Isaac 401k'!N3004,'Retirement Calculator'!A:A,0),0),0)</f>
        <v>0</v>
      </c>
      <c r="K3004" s="444">
        <f t="shared" ca="1" si="156"/>
        <v>-496160995.53824127</v>
      </c>
      <c r="L3004" s="444">
        <f t="shared" ca="1" si="157"/>
        <v>-119574799924.71614</v>
      </c>
      <c r="M3004" s="460">
        <f t="shared" si="159"/>
        <v>0.05</v>
      </c>
      <c r="N3004" s="464">
        <f t="shared" si="160"/>
        <v>142478</v>
      </c>
    </row>
    <row r="3005" spans="7:14" ht="11.25" customHeight="1" x14ac:dyDescent="0.25">
      <c r="G3005" s="459"/>
      <c r="H3005" s="459">
        <v>2998</v>
      </c>
      <c r="I3005" s="444">
        <f t="shared" ca="1" si="158"/>
        <v>-119574799924.71614</v>
      </c>
      <c r="J3005" s="444">
        <f t="array" ref="J3005">IFERROR(INDEX('Retirement Calculator'!J:J,MATCH('Isaac 401k'!N3005,'Retirement Calculator'!A:A,0),0),0)</f>
        <v>0</v>
      </c>
      <c r="K3005" s="444">
        <f t="shared" ca="1" si="156"/>
        <v>-498228333.01965058</v>
      </c>
      <c r="L3005" s="444">
        <f t="shared" ca="1" si="157"/>
        <v>-120073028257.73579</v>
      </c>
      <c r="M3005" s="460">
        <f t="shared" si="159"/>
        <v>0.05</v>
      </c>
      <c r="N3005" s="464">
        <f t="shared" si="160"/>
        <v>142506</v>
      </c>
    </row>
    <row r="3006" spans="7:14" ht="11.25" customHeight="1" x14ac:dyDescent="0.25">
      <c r="G3006" s="459"/>
      <c r="H3006" s="459">
        <v>2999</v>
      </c>
      <c r="I3006" s="444">
        <f t="shared" ca="1" si="158"/>
        <v>-120073028257.73579</v>
      </c>
      <c r="J3006" s="444">
        <f t="array" ref="J3006">IFERROR(INDEX('Retirement Calculator'!J:J,MATCH('Isaac 401k'!N3006,'Retirement Calculator'!A:A,0),0),0)</f>
        <v>0</v>
      </c>
      <c r="K3006" s="444">
        <f t="shared" ca="1" si="156"/>
        <v>-500304284.4072324</v>
      </c>
      <c r="L3006" s="444">
        <f t="shared" ca="1" si="157"/>
        <v>-120573332542.14302</v>
      </c>
      <c r="M3006" s="460">
        <f t="shared" si="159"/>
        <v>0.05</v>
      </c>
      <c r="N3006" s="464">
        <f t="shared" si="160"/>
        <v>142537</v>
      </c>
    </row>
    <row r="3007" spans="7:14" ht="11.25" customHeight="1" x14ac:dyDescent="0.25">
      <c r="G3007" s="459"/>
      <c r="H3007" s="459">
        <v>3000</v>
      </c>
      <c r="I3007" s="444">
        <f t="shared" ca="1" si="158"/>
        <v>-120573332542.14302</v>
      </c>
      <c r="J3007" s="444">
        <f t="array" ref="J3007">IFERROR(INDEX('Retirement Calculator'!J:J,MATCH('Isaac 401k'!N3007,'Retirement Calculator'!A:A,0),0),0)</f>
        <v>0</v>
      </c>
      <c r="K3007" s="444">
        <f t="shared" ca="1" si="156"/>
        <v>-502388885.59226257</v>
      </c>
      <c r="L3007" s="444">
        <f t="shared" ca="1" si="157"/>
        <v>-121075721427.73529</v>
      </c>
      <c r="M3007" s="460">
        <f t="shared" si="159"/>
        <v>0.05</v>
      </c>
      <c r="N3007" s="464">
        <f t="shared" si="160"/>
        <v>142567</v>
      </c>
    </row>
    <row r="3008" spans="7:14" ht="11.25" customHeight="1" x14ac:dyDescent="0.25">
      <c r="G3008" s="459"/>
      <c r="H3008" s="459">
        <v>3001</v>
      </c>
      <c r="I3008" s="444">
        <f t="shared" ca="1" si="158"/>
        <v>-121075721427.73529</v>
      </c>
      <c r="J3008" s="444">
        <f t="array" ref="J3008">IFERROR(INDEX('Retirement Calculator'!J:J,MATCH('Isaac 401k'!N3008,'Retirement Calculator'!A:A,0),0),0)</f>
        <v>0</v>
      </c>
      <c r="K3008" s="444">
        <f t="shared" ca="1" si="156"/>
        <v>-504482172.61556369</v>
      </c>
      <c r="L3008" s="444">
        <f t="shared" ca="1" si="157"/>
        <v>-121580203600.35086</v>
      </c>
      <c r="M3008" s="460">
        <f t="shared" si="159"/>
        <v>0.05</v>
      </c>
      <c r="N3008" s="464">
        <f t="shared" si="160"/>
        <v>142598</v>
      </c>
    </row>
    <row r="3009" spans="7:14" ht="11.25" customHeight="1" x14ac:dyDescent="0.25">
      <c r="G3009" s="459"/>
      <c r="H3009" s="459">
        <v>3002</v>
      </c>
      <c r="I3009" s="444">
        <f t="shared" ca="1" si="158"/>
        <v>-121580203600.35086</v>
      </c>
      <c r="J3009" s="444">
        <f t="array" ref="J3009">IFERROR(INDEX('Retirement Calculator'!J:J,MATCH('Isaac 401k'!N3009,'Retirement Calculator'!A:A,0),0),0)</f>
        <v>0</v>
      </c>
      <c r="K3009" s="444">
        <f t="shared" ca="1" si="156"/>
        <v>-506584181.66812855</v>
      </c>
      <c r="L3009" s="444">
        <f t="shared" ca="1" si="157"/>
        <v>-122086787782.01898</v>
      </c>
      <c r="M3009" s="460">
        <f t="shared" si="159"/>
        <v>0.05</v>
      </c>
      <c r="N3009" s="464">
        <f t="shared" si="160"/>
        <v>142628</v>
      </c>
    </row>
    <row r="3010" spans="7:14" ht="11.25" customHeight="1" x14ac:dyDescent="0.25">
      <c r="G3010" s="459"/>
      <c r="H3010" s="459">
        <v>3003</v>
      </c>
      <c r="I3010" s="444">
        <f t="shared" ca="1" si="158"/>
        <v>-122086787782.01898</v>
      </c>
      <c r="J3010" s="444">
        <f t="array" ref="J3010">IFERROR(INDEX('Retirement Calculator'!J:J,MATCH('Isaac 401k'!N3010,'Retirement Calculator'!A:A,0),0),0)</f>
        <v>0</v>
      </c>
      <c r="K3010" s="444">
        <f t="shared" ca="1" si="156"/>
        <v>-508694949.09174573</v>
      </c>
      <c r="L3010" s="444">
        <f t="shared" ca="1" si="157"/>
        <v>-122595482731.11073</v>
      </c>
      <c r="M3010" s="460">
        <f t="shared" si="159"/>
        <v>0.05</v>
      </c>
      <c r="N3010" s="464">
        <f t="shared" si="160"/>
        <v>142659</v>
      </c>
    </row>
    <row r="3011" spans="7:14" ht="11.25" customHeight="1" x14ac:dyDescent="0.25">
      <c r="G3011" s="459"/>
      <c r="H3011" s="459">
        <v>3004</v>
      </c>
      <c r="I3011" s="444">
        <f t="shared" ca="1" si="158"/>
        <v>-122595482731.11073</v>
      </c>
      <c r="J3011" s="444">
        <f t="array" ref="J3011">IFERROR(INDEX('Retirement Calculator'!J:J,MATCH('Isaac 401k'!N3011,'Retirement Calculator'!A:A,0),0),0)</f>
        <v>0</v>
      </c>
      <c r="K3011" s="444">
        <f t="shared" ca="1" si="156"/>
        <v>-510814511.37962806</v>
      </c>
      <c r="L3011" s="444">
        <f t="shared" ca="1" si="157"/>
        <v>-123106297242.49036</v>
      </c>
      <c r="M3011" s="460">
        <f t="shared" si="159"/>
        <v>0.05</v>
      </c>
      <c r="N3011" s="464">
        <f t="shared" si="160"/>
        <v>142690</v>
      </c>
    </row>
    <row r="3012" spans="7:14" ht="11.25" customHeight="1" x14ac:dyDescent="0.25">
      <c r="G3012" s="459"/>
      <c r="H3012" s="459">
        <v>3005</v>
      </c>
      <c r="I3012" s="444">
        <f t="shared" ca="1" si="158"/>
        <v>-123106297242.49036</v>
      </c>
      <c r="J3012" s="444">
        <f t="array" ref="J3012">IFERROR(INDEX('Retirement Calculator'!J:J,MATCH('Isaac 401k'!N3012,'Retirement Calculator'!A:A,0),0),0)</f>
        <v>0</v>
      </c>
      <c r="K3012" s="444">
        <f t="shared" ca="1" si="156"/>
        <v>-512942905.17704314</v>
      </c>
      <c r="L3012" s="444">
        <f t="shared" ca="1" si="157"/>
        <v>-123619240147.6674</v>
      </c>
      <c r="M3012" s="460">
        <f t="shared" si="159"/>
        <v>0.05</v>
      </c>
      <c r="N3012" s="464">
        <f t="shared" si="160"/>
        <v>142720</v>
      </c>
    </row>
    <row r="3013" spans="7:14" ht="11.25" customHeight="1" x14ac:dyDescent="0.25">
      <c r="G3013" s="459"/>
      <c r="H3013" s="459">
        <v>3006</v>
      </c>
      <c r="I3013" s="444">
        <f t="shared" ca="1" si="158"/>
        <v>-123619240147.6674</v>
      </c>
      <c r="J3013" s="444">
        <f t="array" ref="J3013">IFERROR(INDEX('Retirement Calculator'!J:J,MATCH('Isaac 401k'!N3013,'Retirement Calculator'!A:A,0),0),0)</f>
        <v>0</v>
      </c>
      <c r="K3013" s="444">
        <f t="shared" ca="1" si="156"/>
        <v>-515080167.28194743</v>
      </c>
      <c r="L3013" s="444">
        <f t="shared" ca="1" si="157"/>
        <v>-124134320314.94936</v>
      </c>
      <c r="M3013" s="460">
        <f t="shared" si="159"/>
        <v>0.05</v>
      </c>
      <c r="N3013" s="464">
        <f t="shared" si="160"/>
        <v>142751</v>
      </c>
    </row>
    <row r="3014" spans="7:14" ht="11.25" customHeight="1" x14ac:dyDescent="0.25">
      <c r="G3014" s="459"/>
      <c r="H3014" s="459">
        <v>3007</v>
      </c>
      <c r="I3014" s="444">
        <f t="shared" ca="1" si="158"/>
        <v>-124134320314.94936</v>
      </c>
      <c r="J3014" s="444">
        <f t="array" ref="J3014">IFERROR(INDEX('Retirement Calculator'!J:J,MATCH('Isaac 401k'!N3014,'Retirement Calculator'!A:A,0),0),0)</f>
        <v>0</v>
      </c>
      <c r="K3014" s="444">
        <f t="shared" ca="1" si="156"/>
        <v>-517226334.64562231</v>
      </c>
      <c r="L3014" s="444">
        <f t="shared" ca="1" si="157"/>
        <v>-124651546649.59499</v>
      </c>
      <c r="M3014" s="460">
        <f t="shared" si="159"/>
        <v>0.05</v>
      </c>
      <c r="N3014" s="464">
        <f t="shared" si="160"/>
        <v>142781</v>
      </c>
    </row>
    <row r="3015" spans="7:14" ht="11.25" customHeight="1" x14ac:dyDescent="0.25">
      <c r="G3015" s="459"/>
      <c r="H3015" s="459">
        <v>3008</v>
      </c>
      <c r="I3015" s="444">
        <f t="shared" ca="1" si="158"/>
        <v>-124651546649.59499</v>
      </c>
      <c r="J3015" s="444">
        <f t="array" ref="J3015">IFERROR(INDEX('Retirement Calculator'!J:J,MATCH('Isaac 401k'!N3015,'Retirement Calculator'!A:A,0),0),0)</f>
        <v>0</v>
      </c>
      <c r="K3015" s="444">
        <f t="shared" ca="1" si="156"/>
        <v>-519381444.37331247</v>
      </c>
      <c r="L3015" s="444">
        <f t="shared" ca="1" si="157"/>
        <v>-125170928093.96829</v>
      </c>
      <c r="M3015" s="460">
        <f t="shared" si="159"/>
        <v>0.05</v>
      </c>
      <c r="N3015" s="464">
        <f t="shared" si="160"/>
        <v>142812</v>
      </c>
    </row>
    <row r="3016" spans="7:14" ht="11.25" customHeight="1" x14ac:dyDescent="0.25">
      <c r="G3016" s="459"/>
      <c r="H3016" s="459">
        <v>3009</v>
      </c>
      <c r="I3016" s="444">
        <f t="shared" ca="1" si="158"/>
        <v>-125170928093.96829</v>
      </c>
      <c r="J3016" s="444">
        <f t="array" ref="J3016">IFERROR(INDEX('Retirement Calculator'!J:J,MATCH('Isaac 401k'!N3016,'Retirement Calculator'!A:A,0),0),0)</f>
        <v>0</v>
      </c>
      <c r="K3016" s="444">
        <f t="shared" ca="1" si="156"/>
        <v>-521545533.72486788</v>
      </c>
      <c r="L3016" s="444">
        <f t="shared" ca="1" si="157"/>
        <v>-125692473627.69316</v>
      </c>
      <c r="M3016" s="460">
        <f t="shared" si="159"/>
        <v>0.05</v>
      </c>
      <c r="N3016" s="464">
        <f t="shared" si="160"/>
        <v>142843</v>
      </c>
    </row>
    <row r="3017" spans="7:14" ht="11.25" customHeight="1" x14ac:dyDescent="0.25">
      <c r="G3017" s="459"/>
      <c r="H3017" s="459">
        <v>3010</v>
      </c>
      <c r="I3017" s="444">
        <f t="shared" ca="1" si="158"/>
        <v>-125692473627.69316</v>
      </c>
      <c r="J3017" s="444">
        <f t="array" ref="J3017">IFERROR(INDEX('Retirement Calculator'!J:J,MATCH('Isaac 401k'!N3017,'Retirement Calculator'!A:A,0),0),0)</f>
        <v>0</v>
      </c>
      <c r="K3017" s="444">
        <f t="shared" ca="1" si="156"/>
        <v>-523718640.11538815</v>
      </c>
      <c r="L3017" s="444">
        <f t="shared" ca="1" si="157"/>
        <v>-126216192267.80855</v>
      </c>
      <c r="M3017" s="460">
        <f t="shared" si="159"/>
        <v>0.05</v>
      </c>
      <c r="N3017" s="464">
        <f t="shared" si="160"/>
        <v>142871</v>
      </c>
    </row>
    <row r="3018" spans="7:14" ht="11.25" customHeight="1" x14ac:dyDescent="0.25">
      <c r="G3018" s="459"/>
      <c r="H3018" s="459">
        <v>3011</v>
      </c>
      <c r="I3018" s="444">
        <f t="shared" ca="1" si="158"/>
        <v>-126216192267.80855</v>
      </c>
      <c r="J3018" s="444">
        <f t="array" ref="J3018">IFERROR(INDEX('Retirement Calculator'!J:J,MATCH('Isaac 401k'!N3018,'Retirement Calculator'!A:A,0),0),0)</f>
        <v>0</v>
      </c>
      <c r="K3018" s="444">
        <f t="shared" ca="1" si="156"/>
        <v>-525900801.11586893</v>
      </c>
      <c r="L3018" s="444">
        <f t="shared" ca="1" si="157"/>
        <v>-126742093068.92442</v>
      </c>
      <c r="M3018" s="460">
        <f t="shared" si="159"/>
        <v>0.05</v>
      </c>
      <c r="N3018" s="464">
        <f t="shared" si="160"/>
        <v>142902</v>
      </c>
    </row>
    <row r="3019" spans="7:14" ht="11.25" customHeight="1" x14ac:dyDescent="0.25">
      <c r="G3019" s="459"/>
      <c r="H3019" s="459">
        <v>3012</v>
      </c>
      <c r="I3019" s="444">
        <f t="shared" ca="1" si="158"/>
        <v>-126742093068.92442</v>
      </c>
      <c r="J3019" s="444">
        <f t="array" ref="J3019">IFERROR(INDEX('Retirement Calculator'!J:J,MATCH('Isaac 401k'!N3019,'Retirement Calculator'!A:A,0),0),0)</f>
        <v>0</v>
      </c>
      <c r="K3019" s="444">
        <f t="shared" ca="1" si="156"/>
        <v>-528092054.45385176</v>
      </c>
      <c r="L3019" s="444">
        <f t="shared" ca="1" si="157"/>
        <v>-127270185123.37828</v>
      </c>
      <c r="M3019" s="460">
        <f t="shared" si="159"/>
        <v>0.05</v>
      </c>
      <c r="N3019" s="464">
        <f t="shared" si="160"/>
        <v>142932</v>
      </c>
    </row>
    <row r="3020" spans="7:14" ht="11.25" customHeight="1" x14ac:dyDescent="0.25">
      <c r="G3020" s="459"/>
      <c r="H3020" s="459">
        <v>3013</v>
      </c>
      <c r="I3020" s="444">
        <f t="shared" ca="1" si="158"/>
        <v>-127270185123.37828</v>
      </c>
      <c r="J3020" s="444">
        <f t="array" ref="J3020">IFERROR(INDEX('Retirement Calculator'!J:J,MATCH('Isaac 401k'!N3020,'Retirement Calculator'!A:A,0),0),0)</f>
        <v>0</v>
      </c>
      <c r="K3020" s="444">
        <f t="shared" ca="1" si="156"/>
        <v>-530292438.01407623</v>
      </c>
      <c r="L3020" s="444">
        <f t="shared" ca="1" si="157"/>
        <v>-127800477561.39236</v>
      </c>
      <c r="M3020" s="460">
        <f t="shared" si="159"/>
        <v>0.05</v>
      </c>
      <c r="N3020" s="464">
        <f t="shared" si="160"/>
        <v>142963</v>
      </c>
    </row>
    <row r="3021" spans="7:14" ht="11.25" customHeight="1" x14ac:dyDescent="0.25">
      <c r="G3021" s="459"/>
      <c r="H3021" s="459">
        <v>3014</v>
      </c>
      <c r="I3021" s="444">
        <f t="shared" ca="1" si="158"/>
        <v>-127800477561.39236</v>
      </c>
      <c r="J3021" s="444">
        <f t="array" ref="J3021">IFERROR(INDEX('Retirement Calculator'!J:J,MATCH('Isaac 401k'!N3021,'Retirement Calculator'!A:A,0),0),0)</f>
        <v>0</v>
      </c>
      <c r="K3021" s="444">
        <f t="shared" ca="1" si="156"/>
        <v>-532501989.83913487</v>
      </c>
      <c r="L3021" s="444">
        <f t="shared" ca="1" si="157"/>
        <v>-128332979551.23151</v>
      </c>
      <c r="M3021" s="460">
        <f t="shared" si="159"/>
        <v>0.05</v>
      </c>
      <c r="N3021" s="464">
        <f t="shared" si="160"/>
        <v>142993</v>
      </c>
    </row>
    <row r="3022" spans="7:14" ht="11.25" customHeight="1" x14ac:dyDescent="0.25">
      <c r="G3022" s="459"/>
      <c r="H3022" s="459">
        <v>3015</v>
      </c>
      <c r="I3022" s="444">
        <f t="shared" ca="1" si="158"/>
        <v>-128332979551.23151</v>
      </c>
      <c r="J3022" s="444">
        <f t="array" ref="J3022">IFERROR(INDEX('Retirement Calculator'!J:J,MATCH('Isaac 401k'!N3022,'Retirement Calculator'!A:A,0),0),0)</f>
        <v>0</v>
      </c>
      <c r="K3022" s="444">
        <f t="shared" ca="1" si="156"/>
        <v>-534720748.1301313</v>
      </c>
      <c r="L3022" s="444">
        <f t="shared" ca="1" si="157"/>
        <v>-128867700299.36163</v>
      </c>
      <c r="M3022" s="460">
        <f t="shared" si="159"/>
        <v>0.05</v>
      </c>
      <c r="N3022" s="464">
        <f t="shared" si="160"/>
        <v>143024</v>
      </c>
    </row>
    <row r="3023" spans="7:14" ht="11.25" customHeight="1" x14ac:dyDescent="0.25">
      <c r="G3023" s="459"/>
      <c r="H3023" s="459">
        <v>3016</v>
      </c>
      <c r="I3023" s="444">
        <f t="shared" ca="1" si="158"/>
        <v>-128867700299.36163</v>
      </c>
      <c r="J3023" s="444">
        <f t="array" ref="J3023">IFERROR(INDEX('Retirement Calculator'!J:J,MATCH('Isaac 401k'!N3023,'Retirement Calculator'!A:A,0),0),0)</f>
        <v>0</v>
      </c>
      <c r="K3023" s="444">
        <f t="shared" ca="1" si="156"/>
        <v>-536948751.24734008</v>
      </c>
      <c r="L3023" s="444">
        <f t="shared" ca="1" si="157"/>
        <v>-129404649050.60898</v>
      </c>
      <c r="M3023" s="460">
        <f t="shared" si="159"/>
        <v>0.05</v>
      </c>
      <c r="N3023" s="464">
        <f t="shared" si="160"/>
        <v>143055</v>
      </c>
    </row>
    <row r="3024" spans="7:14" ht="11.25" customHeight="1" x14ac:dyDescent="0.25">
      <c r="G3024" s="459"/>
      <c r="H3024" s="459">
        <v>3017</v>
      </c>
      <c r="I3024" s="444">
        <f t="shared" ca="1" si="158"/>
        <v>-129404649050.60898</v>
      </c>
      <c r="J3024" s="444">
        <f t="array" ref="J3024">IFERROR(INDEX('Retirement Calculator'!J:J,MATCH('Isaac 401k'!N3024,'Retirement Calculator'!A:A,0),0),0)</f>
        <v>0</v>
      </c>
      <c r="K3024" s="444">
        <f t="shared" ca="1" si="156"/>
        <v>-539186037.71087074</v>
      </c>
      <c r="L3024" s="444">
        <f t="shared" ca="1" si="157"/>
        <v>-129943835088.31985</v>
      </c>
      <c r="M3024" s="460">
        <f t="shared" si="159"/>
        <v>0.05</v>
      </c>
      <c r="N3024" s="464">
        <f t="shared" si="160"/>
        <v>143085</v>
      </c>
    </row>
    <row r="3025" spans="7:14" ht="11.25" customHeight="1" x14ac:dyDescent="0.25">
      <c r="G3025" s="459"/>
      <c r="H3025" s="459">
        <v>3018</v>
      </c>
      <c r="I3025" s="444">
        <f t="shared" ca="1" si="158"/>
        <v>-129943835088.31985</v>
      </c>
      <c r="J3025" s="444">
        <f t="array" ref="J3025">IFERROR(INDEX('Retirement Calculator'!J:J,MATCH('Isaac 401k'!N3025,'Retirement Calculator'!A:A,0),0),0)</f>
        <v>0</v>
      </c>
      <c r="K3025" s="444">
        <f t="shared" ca="1" si="156"/>
        <v>-541432646.20133269</v>
      </c>
      <c r="L3025" s="444">
        <f t="shared" ca="1" si="157"/>
        <v>-130485267734.52119</v>
      </c>
      <c r="M3025" s="460">
        <f t="shared" si="159"/>
        <v>0.05</v>
      </c>
      <c r="N3025" s="464">
        <f t="shared" si="160"/>
        <v>143116</v>
      </c>
    </row>
    <row r="3026" spans="7:14" ht="11.25" customHeight="1" x14ac:dyDescent="0.25">
      <c r="G3026" s="459"/>
      <c r="H3026" s="459">
        <v>3019</v>
      </c>
      <c r="I3026" s="444">
        <f t="shared" ca="1" si="158"/>
        <v>-130485267734.52119</v>
      </c>
      <c r="J3026" s="444">
        <f t="array" ref="J3026">IFERROR(INDEX('Retirement Calculator'!J:J,MATCH('Isaac 401k'!N3026,'Retirement Calculator'!A:A,0),0),0)</f>
        <v>0</v>
      </c>
      <c r="K3026" s="444">
        <f t="shared" ca="1" si="156"/>
        <v>-543688615.56050491</v>
      </c>
      <c r="L3026" s="444">
        <f t="shared" ca="1" si="157"/>
        <v>-131028956350.0817</v>
      </c>
      <c r="M3026" s="460">
        <f t="shared" si="159"/>
        <v>0.05</v>
      </c>
      <c r="N3026" s="464">
        <f t="shared" si="160"/>
        <v>143146</v>
      </c>
    </row>
    <row r="3027" spans="7:14" ht="11.25" customHeight="1" x14ac:dyDescent="0.25">
      <c r="G3027" s="459"/>
      <c r="H3027" s="459">
        <v>3020</v>
      </c>
      <c r="I3027" s="444">
        <f t="shared" ca="1" si="158"/>
        <v>-131028956350.0817</v>
      </c>
      <c r="J3027" s="444">
        <f t="array" ref="J3027">IFERROR(INDEX('Retirement Calculator'!J:J,MATCH('Isaac 401k'!N3027,'Retirement Calculator'!A:A,0),0),0)</f>
        <v>0</v>
      </c>
      <c r="K3027" s="444">
        <f t="shared" ca="1" si="156"/>
        <v>-545953984.79200709</v>
      </c>
      <c r="L3027" s="444">
        <f t="shared" ca="1" si="157"/>
        <v>-131574910334.8737</v>
      </c>
      <c r="M3027" s="460">
        <f t="shared" si="159"/>
        <v>0.05</v>
      </c>
      <c r="N3027" s="464">
        <f t="shared" si="160"/>
        <v>143177</v>
      </c>
    </row>
    <row r="3028" spans="7:14" ht="11.25" customHeight="1" x14ac:dyDescent="0.25">
      <c r="G3028" s="459"/>
      <c r="H3028" s="459">
        <v>3021</v>
      </c>
      <c r="I3028" s="444">
        <f t="shared" ca="1" si="158"/>
        <v>-131574910334.8737</v>
      </c>
      <c r="J3028" s="444">
        <f t="array" ref="J3028">IFERROR(INDEX('Retirement Calculator'!J:J,MATCH('Isaac 401k'!N3028,'Retirement Calculator'!A:A,0),0),0)</f>
        <v>0</v>
      </c>
      <c r="K3028" s="444">
        <f t="shared" ca="1" si="156"/>
        <v>-548228793.06197381</v>
      </c>
      <c r="L3028" s="444">
        <f t="shared" ca="1" si="157"/>
        <v>-132123139127.93568</v>
      </c>
      <c r="M3028" s="460">
        <f t="shared" si="159"/>
        <v>0.05</v>
      </c>
      <c r="N3028" s="464">
        <f t="shared" si="160"/>
        <v>143208</v>
      </c>
    </row>
    <row r="3029" spans="7:14" ht="11.25" customHeight="1" x14ac:dyDescent="0.25">
      <c r="G3029" s="459"/>
      <c r="H3029" s="459">
        <v>3022</v>
      </c>
      <c r="I3029" s="444">
        <f t="shared" ca="1" si="158"/>
        <v>-132123139127.93568</v>
      </c>
      <c r="J3029" s="444">
        <f t="array" ref="J3029">IFERROR(INDEX('Retirement Calculator'!J:J,MATCH('Isaac 401k'!N3029,'Retirement Calculator'!A:A,0),0),0)</f>
        <v>0</v>
      </c>
      <c r="K3029" s="444">
        <f t="shared" ca="1" si="156"/>
        <v>-550513079.69973207</v>
      </c>
      <c r="L3029" s="444">
        <f t="shared" ca="1" si="157"/>
        <v>-132673652207.63542</v>
      </c>
      <c r="M3029" s="460">
        <f t="shared" si="159"/>
        <v>0.05</v>
      </c>
      <c r="N3029" s="464">
        <f t="shared" si="160"/>
        <v>143237</v>
      </c>
    </row>
    <row r="3030" spans="7:14" ht="11.25" customHeight="1" x14ac:dyDescent="0.25">
      <c r="G3030" s="459"/>
      <c r="H3030" s="459">
        <v>3023</v>
      </c>
      <c r="I3030" s="444">
        <f t="shared" ca="1" si="158"/>
        <v>-132673652207.63542</v>
      </c>
      <c r="J3030" s="444">
        <f t="array" ref="J3030">IFERROR(INDEX('Retirement Calculator'!J:J,MATCH('Isaac 401k'!N3030,'Retirement Calculator'!A:A,0),0),0)</f>
        <v>0</v>
      </c>
      <c r="K3030" s="444">
        <f t="shared" ca="1" si="156"/>
        <v>-552806884.19848096</v>
      </c>
      <c r="L3030" s="444">
        <f t="shared" ca="1" si="157"/>
        <v>-133226459091.83391</v>
      </c>
      <c r="M3030" s="460">
        <f t="shared" si="159"/>
        <v>0.05</v>
      </c>
      <c r="N3030" s="464">
        <f t="shared" si="160"/>
        <v>143268</v>
      </c>
    </row>
    <row r="3031" spans="7:14" ht="11.25" customHeight="1" x14ac:dyDescent="0.25">
      <c r="G3031" s="459"/>
      <c r="H3031" s="459">
        <v>3024</v>
      </c>
      <c r="I3031" s="444">
        <f t="shared" ca="1" si="158"/>
        <v>-133226459091.83391</v>
      </c>
      <c r="J3031" s="444">
        <f t="array" ref="J3031">IFERROR(INDEX('Retirement Calculator'!J:J,MATCH('Isaac 401k'!N3031,'Retirement Calculator'!A:A,0),0),0)</f>
        <v>0</v>
      </c>
      <c r="K3031" s="444">
        <f t="shared" ca="1" si="156"/>
        <v>-555110246.21597457</v>
      </c>
      <c r="L3031" s="444">
        <f t="shared" ca="1" si="157"/>
        <v>-133781569338.04988</v>
      </c>
      <c r="M3031" s="460">
        <f t="shared" si="159"/>
        <v>0.05</v>
      </c>
      <c r="N3031" s="464">
        <f t="shared" si="160"/>
        <v>143298</v>
      </c>
    </row>
    <row r="3032" spans="7:14" ht="11.25" customHeight="1" x14ac:dyDescent="0.25">
      <c r="G3032" s="459"/>
      <c r="H3032" s="459">
        <v>3025</v>
      </c>
      <c r="I3032" s="444">
        <f t="shared" ca="1" si="158"/>
        <v>-133781569338.04988</v>
      </c>
      <c r="J3032" s="444">
        <f t="array" ref="J3032">IFERROR(INDEX('Retirement Calculator'!J:J,MATCH('Isaac 401k'!N3032,'Retirement Calculator'!A:A,0),0),0)</f>
        <v>0</v>
      </c>
      <c r="K3032" s="444">
        <f t="shared" ca="1" si="156"/>
        <v>-557423205.57520795</v>
      </c>
      <c r="L3032" s="444">
        <f t="shared" ca="1" si="157"/>
        <v>-134338992543.62509</v>
      </c>
      <c r="M3032" s="460">
        <f t="shared" si="159"/>
        <v>0.05</v>
      </c>
      <c r="N3032" s="464">
        <f t="shared" si="160"/>
        <v>143329</v>
      </c>
    </row>
    <row r="3033" spans="7:14" ht="11.25" customHeight="1" x14ac:dyDescent="0.25">
      <c r="G3033" s="459"/>
      <c r="H3033" s="459">
        <v>3026</v>
      </c>
      <c r="I3033" s="444">
        <f t="shared" ca="1" si="158"/>
        <v>-134338992543.62509</v>
      </c>
      <c r="J3033" s="444">
        <f t="array" ref="J3033">IFERROR(INDEX('Retirement Calculator'!J:J,MATCH('Isaac 401k'!N3033,'Retirement Calculator'!A:A,0),0),0)</f>
        <v>0</v>
      </c>
      <c r="K3033" s="444">
        <f t="shared" ca="1" si="156"/>
        <v>-559745802.26510453</v>
      </c>
      <c r="L3033" s="444">
        <f t="shared" ca="1" si="157"/>
        <v>-134898738345.8902</v>
      </c>
      <c r="M3033" s="460">
        <f t="shared" si="159"/>
        <v>0.05</v>
      </c>
      <c r="N3033" s="464">
        <f t="shared" si="160"/>
        <v>143359</v>
      </c>
    </row>
    <row r="3034" spans="7:14" ht="11.25" customHeight="1" x14ac:dyDescent="0.25">
      <c r="G3034" s="459"/>
      <c r="H3034" s="459">
        <v>3027</v>
      </c>
      <c r="I3034" s="444">
        <f t="shared" ca="1" si="158"/>
        <v>-134898738345.8902</v>
      </c>
      <c r="J3034" s="444">
        <f t="array" ref="J3034">IFERROR(INDEX('Retirement Calculator'!J:J,MATCH('Isaac 401k'!N3034,'Retirement Calculator'!A:A,0),0),0)</f>
        <v>0</v>
      </c>
      <c r="K3034" s="444">
        <f t="shared" ca="1" si="156"/>
        <v>-562078076.4412092</v>
      </c>
      <c r="L3034" s="444">
        <f t="shared" ca="1" si="157"/>
        <v>-135460816422.33141</v>
      </c>
      <c r="M3034" s="460">
        <f t="shared" si="159"/>
        <v>0.05</v>
      </c>
      <c r="N3034" s="464">
        <f t="shared" si="160"/>
        <v>143390</v>
      </c>
    </row>
    <row r="3035" spans="7:14" ht="11.25" customHeight="1" x14ac:dyDescent="0.25">
      <c r="G3035" s="459"/>
      <c r="H3035" s="459">
        <v>3028</v>
      </c>
      <c r="I3035" s="444">
        <f t="shared" ca="1" si="158"/>
        <v>-135460816422.33141</v>
      </c>
      <c r="J3035" s="444">
        <f t="array" ref="J3035">IFERROR(INDEX('Retirement Calculator'!J:J,MATCH('Isaac 401k'!N3035,'Retirement Calculator'!A:A,0),0),0)</f>
        <v>0</v>
      </c>
      <c r="K3035" s="444">
        <f t="shared" ca="1" si="156"/>
        <v>-564420068.42638087</v>
      </c>
      <c r="L3035" s="444">
        <f t="shared" ca="1" si="157"/>
        <v>-136025236490.75778</v>
      </c>
      <c r="M3035" s="460">
        <f t="shared" si="159"/>
        <v>0.05</v>
      </c>
      <c r="N3035" s="464">
        <f t="shared" si="160"/>
        <v>143421</v>
      </c>
    </row>
    <row r="3036" spans="7:14" ht="11.25" customHeight="1" x14ac:dyDescent="0.25">
      <c r="G3036" s="459"/>
      <c r="H3036" s="459">
        <v>3029</v>
      </c>
      <c r="I3036" s="444">
        <f t="shared" ca="1" si="158"/>
        <v>-136025236490.75778</v>
      </c>
      <c r="J3036" s="444">
        <f t="array" ref="J3036">IFERROR(INDEX('Retirement Calculator'!J:J,MATCH('Isaac 401k'!N3036,'Retirement Calculator'!A:A,0),0),0)</f>
        <v>0</v>
      </c>
      <c r="K3036" s="444">
        <f t="shared" ca="1" si="156"/>
        <v>-566771818.71149087</v>
      </c>
      <c r="L3036" s="444">
        <f t="shared" ca="1" si="157"/>
        <v>-136592008309.46927</v>
      </c>
      <c r="M3036" s="460">
        <f t="shared" si="159"/>
        <v>0.05</v>
      </c>
      <c r="N3036" s="464">
        <f t="shared" si="160"/>
        <v>143451</v>
      </c>
    </row>
    <row r="3037" spans="7:14" ht="11.25" customHeight="1" x14ac:dyDescent="0.25">
      <c r="G3037" s="459"/>
      <c r="H3037" s="459">
        <v>3030</v>
      </c>
      <c r="I3037" s="444">
        <f t="shared" ca="1" si="158"/>
        <v>-136592008309.46927</v>
      </c>
      <c r="J3037" s="444">
        <f t="array" ref="J3037">IFERROR(INDEX('Retirement Calculator'!J:J,MATCH('Isaac 401k'!N3037,'Retirement Calculator'!A:A,0),0),0)</f>
        <v>0</v>
      </c>
      <c r="K3037" s="444">
        <f t="shared" ca="1" si="156"/>
        <v>-569133367.95612192</v>
      </c>
      <c r="L3037" s="444">
        <f t="shared" ca="1" si="157"/>
        <v>-137161141677.42538</v>
      </c>
      <c r="M3037" s="460">
        <f t="shared" si="159"/>
        <v>0.05</v>
      </c>
      <c r="N3037" s="464">
        <f t="shared" si="160"/>
        <v>143482</v>
      </c>
    </row>
    <row r="3038" spans="7:14" ht="11.25" customHeight="1" x14ac:dyDescent="0.25">
      <c r="G3038" s="459"/>
      <c r="H3038" s="459">
        <v>3031</v>
      </c>
      <c r="I3038" s="444">
        <f t="shared" ca="1" si="158"/>
        <v>-137161141677.42538</v>
      </c>
      <c r="J3038" s="444">
        <f t="array" ref="J3038">IFERROR(INDEX('Retirement Calculator'!J:J,MATCH('Isaac 401k'!N3038,'Retirement Calculator'!A:A,0),0),0)</f>
        <v>0</v>
      </c>
      <c r="K3038" s="444">
        <f t="shared" ca="1" si="156"/>
        <v>-571504756.98927248</v>
      </c>
      <c r="L3038" s="444">
        <f t="shared" ca="1" si="157"/>
        <v>-137732646434.41464</v>
      </c>
      <c r="M3038" s="460">
        <f t="shared" si="159"/>
        <v>0.05</v>
      </c>
      <c r="N3038" s="464">
        <f t="shared" si="160"/>
        <v>143512</v>
      </c>
    </row>
    <row r="3039" spans="7:14" ht="11.25" customHeight="1" x14ac:dyDescent="0.25">
      <c r="G3039" s="459"/>
      <c r="H3039" s="459">
        <v>3032</v>
      </c>
      <c r="I3039" s="444">
        <f t="shared" ca="1" si="158"/>
        <v>-137732646434.41464</v>
      </c>
      <c r="J3039" s="444">
        <f t="array" ref="J3039">IFERROR(INDEX('Retirement Calculator'!J:J,MATCH('Isaac 401k'!N3039,'Retirement Calculator'!A:A,0),0),0)</f>
        <v>0</v>
      </c>
      <c r="K3039" s="444">
        <f t="shared" ca="1" si="156"/>
        <v>-573886026.81006098</v>
      </c>
      <c r="L3039" s="444">
        <f t="shared" ca="1" si="157"/>
        <v>-138306532461.2247</v>
      </c>
      <c r="M3039" s="460">
        <f t="shared" si="159"/>
        <v>0.05</v>
      </c>
      <c r="N3039" s="464">
        <f t="shared" si="160"/>
        <v>143543</v>
      </c>
    </row>
    <row r="3040" spans="7:14" ht="11.25" customHeight="1" x14ac:dyDescent="0.25">
      <c r="G3040" s="459"/>
      <c r="H3040" s="459">
        <v>3033</v>
      </c>
      <c r="I3040" s="444">
        <f t="shared" ca="1" si="158"/>
        <v>-138306532461.2247</v>
      </c>
      <c r="J3040" s="444">
        <f t="array" ref="J3040">IFERROR(INDEX('Retirement Calculator'!J:J,MATCH('Isaac 401k'!N3040,'Retirement Calculator'!A:A,0),0),0)</f>
        <v>0</v>
      </c>
      <c r="K3040" s="444">
        <f t="shared" ca="1" si="156"/>
        <v>-576277218.58843625</v>
      </c>
      <c r="L3040" s="444">
        <f t="shared" ca="1" si="157"/>
        <v>-138882809679.81314</v>
      </c>
      <c r="M3040" s="460">
        <f t="shared" si="159"/>
        <v>0.05</v>
      </c>
      <c r="N3040" s="464">
        <f t="shared" si="160"/>
        <v>143574</v>
      </c>
    </row>
    <row r="3041" spans="7:14" ht="11.25" customHeight="1" x14ac:dyDescent="0.25">
      <c r="G3041" s="459"/>
      <c r="H3041" s="459">
        <v>3034</v>
      </c>
      <c r="I3041" s="444">
        <f t="shared" ca="1" si="158"/>
        <v>-138882809679.81314</v>
      </c>
      <c r="J3041" s="444">
        <f t="array" ref="J3041">IFERROR(INDEX('Retirement Calculator'!J:J,MATCH('Isaac 401k'!N3041,'Retirement Calculator'!A:A,0),0),0)</f>
        <v>0</v>
      </c>
      <c r="K3041" s="444">
        <f t="shared" ca="1" si="156"/>
        <v>-578678373.66588807</v>
      </c>
      <c r="L3041" s="444">
        <f t="shared" ca="1" si="157"/>
        <v>-139461488053.47903</v>
      </c>
      <c r="M3041" s="460">
        <f t="shared" si="159"/>
        <v>0.05</v>
      </c>
      <c r="N3041" s="464">
        <f t="shared" si="160"/>
        <v>143602</v>
      </c>
    </row>
    <row r="3042" spans="7:14" ht="11.25" customHeight="1" x14ac:dyDescent="0.25">
      <c r="G3042" s="459"/>
      <c r="H3042" s="459">
        <v>3035</v>
      </c>
      <c r="I3042" s="444">
        <f t="shared" ca="1" si="158"/>
        <v>-139461488053.47903</v>
      </c>
      <c r="J3042" s="444">
        <f t="array" ref="J3042">IFERROR(INDEX('Retirement Calculator'!J:J,MATCH('Isaac 401k'!N3042,'Retirement Calculator'!A:A,0),0),0)</f>
        <v>0</v>
      </c>
      <c r="K3042" s="444">
        <f t="shared" ca="1" si="156"/>
        <v>-581089533.5561626</v>
      </c>
      <c r="L3042" s="444">
        <f t="shared" ca="1" si="157"/>
        <v>-140042577587.03519</v>
      </c>
      <c r="M3042" s="460">
        <f t="shared" si="159"/>
        <v>0.05</v>
      </c>
      <c r="N3042" s="464">
        <f t="shared" si="160"/>
        <v>143633</v>
      </c>
    </row>
    <row r="3043" spans="7:14" ht="11.25" customHeight="1" x14ac:dyDescent="0.25">
      <c r="G3043" s="459"/>
      <c r="H3043" s="459">
        <v>3036</v>
      </c>
      <c r="I3043" s="444">
        <f t="shared" ca="1" si="158"/>
        <v>-140042577587.03519</v>
      </c>
      <c r="J3043" s="444">
        <f t="array" ref="J3043">IFERROR(INDEX('Retirement Calculator'!J:J,MATCH('Isaac 401k'!N3043,'Retirement Calculator'!A:A,0),0),0)</f>
        <v>0</v>
      </c>
      <c r="K3043" s="444">
        <f t="shared" ca="1" si="156"/>
        <v>-583510739.94597995</v>
      </c>
      <c r="L3043" s="444">
        <f t="shared" ca="1" si="157"/>
        <v>-140626088326.98117</v>
      </c>
      <c r="M3043" s="460">
        <f t="shared" si="159"/>
        <v>0.05</v>
      </c>
      <c r="N3043" s="464">
        <f t="shared" si="160"/>
        <v>143663</v>
      </c>
    </row>
    <row r="3044" spans="7:14" ht="11.25" customHeight="1" x14ac:dyDescent="0.25">
      <c r="G3044" s="459"/>
      <c r="H3044" s="459">
        <v>3037</v>
      </c>
      <c r="I3044" s="444">
        <f t="shared" ca="1" si="158"/>
        <v>-140626088326.98117</v>
      </c>
      <c r="J3044" s="444">
        <f t="array" ref="J3044">IFERROR(INDEX('Retirement Calculator'!J:J,MATCH('Isaac 401k'!N3044,'Retirement Calculator'!A:A,0),0),0)</f>
        <v>0</v>
      </c>
      <c r="K3044" s="444">
        <f t="shared" ca="1" si="156"/>
        <v>-585942034.69575489</v>
      </c>
      <c r="L3044" s="444">
        <f t="shared" ca="1" si="157"/>
        <v>-141212030361.67691</v>
      </c>
      <c r="M3044" s="460">
        <f t="shared" si="159"/>
        <v>0.05</v>
      </c>
      <c r="N3044" s="464">
        <f t="shared" si="160"/>
        <v>143694</v>
      </c>
    </row>
    <row r="3045" spans="7:14" ht="11.25" customHeight="1" x14ac:dyDescent="0.25">
      <c r="G3045" s="459"/>
      <c r="H3045" s="459">
        <v>3038</v>
      </c>
      <c r="I3045" s="444">
        <f t="shared" ca="1" si="158"/>
        <v>-141212030361.67691</v>
      </c>
      <c r="J3045" s="444">
        <f t="array" ref="J3045">IFERROR(INDEX('Retirement Calculator'!J:J,MATCH('Isaac 401k'!N3045,'Retirement Calculator'!A:A,0),0),0)</f>
        <v>0</v>
      </c>
      <c r="K3045" s="444">
        <f t="shared" ca="1" si="156"/>
        <v>-588383459.84032047</v>
      </c>
      <c r="L3045" s="444">
        <f t="shared" ca="1" si="157"/>
        <v>-141800413821.51724</v>
      </c>
      <c r="M3045" s="460">
        <f t="shared" si="159"/>
        <v>0.05</v>
      </c>
      <c r="N3045" s="464">
        <f t="shared" si="160"/>
        <v>143724</v>
      </c>
    </row>
    <row r="3046" spans="7:14" ht="11.25" customHeight="1" x14ac:dyDescent="0.25">
      <c r="G3046" s="459"/>
      <c r="H3046" s="459">
        <v>3039</v>
      </c>
      <c r="I3046" s="444">
        <f t="shared" ca="1" si="158"/>
        <v>-141800413821.51724</v>
      </c>
      <c r="J3046" s="444">
        <f t="array" ref="J3046">IFERROR(INDEX('Retirement Calculator'!J:J,MATCH('Isaac 401k'!N3046,'Retirement Calculator'!A:A,0),0),0)</f>
        <v>0</v>
      </c>
      <c r="K3046" s="444">
        <f t="shared" ca="1" si="156"/>
        <v>-590835057.58965516</v>
      </c>
      <c r="L3046" s="444">
        <f t="shared" ca="1" si="157"/>
        <v>-142391248879.1069</v>
      </c>
      <c r="M3046" s="460">
        <f t="shared" si="159"/>
        <v>0.05</v>
      </c>
      <c r="N3046" s="464">
        <f t="shared" si="160"/>
        <v>143755</v>
      </c>
    </row>
    <row r="3047" spans="7:14" ht="11.25" customHeight="1" x14ac:dyDescent="0.25">
      <c r="G3047" s="459"/>
      <c r="H3047" s="459">
        <v>3040</v>
      </c>
      <c r="I3047" s="444">
        <f t="shared" ca="1" si="158"/>
        <v>-142391248879.1069</v>
      </c>
      <c r="J3047" s="444">
        <f t="array" ref="J3047">IFERROR(INDEX('Retirement Calculator'!J:J,MATCH('Isaac 401k'!N3047,'Retirement Calculator'!A:A,0),0),0)</f>
        <v>0</v>
      </c>
      <c r="K3047" s="444">
        <f t="shared" ca="1" si="156"/>
        <v>-593296870.32961214</v>
      </c>
      <c r="L3047" s="444">
        <f t="shared" ca="1" si="157"/>
        <v>-142984545749.43652</v>
      </c>
      <c r="M3047" s="460">
        <f t="shared" si="159"/>
        <v>0.05</v>
      </c>
      <c r="N3047" s="464">
        <f t="shared" si="160"/>
        <v>143786</v>
      </c>
    </row>
    <row r="3048" spans="7:14" ht="11.25" customHeight="1" x14ac:dyDescent="0.25">
      <c r="G3048" s="459"/>
      <c r="H3048" s="459">
        <v>3041</v>
      </c>
      <c r="I3048" s="444">
        <f t="shared" ca="1" si="158"/>
        <v>-142984545749.43652</v>
      </c>
      <c r="J3048" s="444">
        <f t="array" ref="J3048">IFERROR(INDEX('Retirement Calculator'!J:J,MATCH('Isaac 401k'!N3048,'Retirement Calculator'!A:A,0),0),0)</f>
        <v>0</v>
      </c>
      <c r="K3048" s="444">
        <f t="shared" ca="1" si="156"/>
        <v>-595768940.62265217</v>
      </c>
      <c r="L3048" s="444">
        <f t="shared" ca="1" si="157"/>
        <v>-143580314690.05917</v>
      </c>
      <c r="M3048" s="460">
        <f t="shared" si="159"/>
        <v>0.05</v>
      </c>
      <c r="N3048" s="464">
        <f t="shared" si="160"/>
        <v>143816</v>
      </c>
    </row>
    <row r="3049" spans="7:14" ht="11.25" customHeight="1" x14ac:dyDescent="0.25">
      <c r="G3049" s="459"/>
      <c r="H3049" s="459">
        <v>3042</v>
      </c>
      <c r="I3049" s="444">
        <f t="shared" ca="1" si="158"/>
        <v>-143580314690.05917</v>
      </c>
      <c r="J3049" s="444">
        <f t="array" ref="J3049">IFERROR(INDEX('Retirement Calculator'!J:J,MATCH('Isaac 401k'!N3049,'Retirement Calculator'!A:A,0),0),0)</f>
        <v>0</v>
      </c>
      <c r="K3049" s="444">
        <f t="shared" ca="1" si="156"/>
        <v>-598251311.2085799</v>
      </c>
      <c r="L3049" s="444">
        <f t="shared" ca="1" si="157"/>
        <v>-144178566001.26776</v>
      </c>
      <c r="M3049" s="460">
        <f t="shared" si="159"/>
        <v>0.05</v>
      </c>
      <c r="N3049" s="464">
        <f t="shared" si="160"/>
        <v>143847</v>
      </c>
    </row>
    <row r="3050" spans="7:14" ht="11.25" customHeight="1" x14ac:dyDescent="0.25">
      <c r="G3050" s="459"/>
      <c r="H3050" s="459">
        <v>3043</v>
      </c>
      <c r="I3050" s="444">
        <f t="shared" ca="1" si="158"/>
        <v>-144178566001.26776</v>
      </c>
      <c r="J3050" s="444">
        <f t="array" ref="J3050">IFERROR(INDEX('Retirement Calculator'!J:J,MATCH('Isaac 401k'!N3050,'Retirement Calculator'!A:A,0),0),0)</f>
        <v>0</v>
      </c>
      <c r="K3050" s="444">
        <f t="shared" ca="1" si="156"/>
        <v>-600744025.00528228</v>
      </c>
      <c r="L3050" s="444">
        <f t="shared" ca="1" si="157"/>
        <v>-144779310026.27304</v>
      </c>
      <c r="M3050" s="460">
        <f t="shared" si="159"/>
        <v>0.05</v>
      </c>
      <c r="N3050" s="464">
        <f t="shared" si="160"/>
        <v>143877</v>
      </c>
    </row>
    <row r="3051" spans="7:14" ht="11.25" customHeight="1" x14ac:dyDescent="0.25">
      <c r="G3051" s="459"/>
      <c r="H3051" s="459">
        <v>3044</v>
      </c>
      <c r="I3051" s="444">
        <f t="shared" ca="1" si="158"/>
        <v>-144779310026.27304</v>
      </c>
      <c r="J3051" s="444">
        <f t="array" ref="J3051">IFERROR(INDEX('Retirement Calculator'!J:J,MATCH('Isaac 401k'!N3051,'Retirement Calculator'!A:A,0),0),0)</f>
        <v>0</v>
      </c>
      <c r="K3051" s="444">
        <f t="shared" ca="1" si="156"/>
        <v>-603247125.10947096</v>
      </c>
      <c r="L3051" s="444">
        <f t="shared" ca="1" si="157"/>
        <v>-145382557151.38251</v>
      </c>
      <c r="M3051" s="460">
        <f t="shared" si="159"/>
        <v>0.05</v>
      </c>
      <c r="N3051" s="464">
        <f t="shared" si="160"/>
        <v>143908</v>
      </c>
    </row>
    <row r="3052" spans="7:14" ht="11.25" customHeight="1" x14ac:dyDescent="0.25">
      <c r="G3052" s="459"/>
      <c r="H3052" s="459">
        <v>3045</v>
      </c>
      <c r="I3052" s="444">
        <f t="shared" ca="1" si="158"/>
        <v>-145382557151.38251</v>
      </c>
      <c r="J3052" s="444">
        <f t="array" ref="J3052">IFERROR(INDEX('Retirement Calculator'!J:J,MATCH('Isaac 401k'!N3052,'Retirement Calculator'!A:A,0),0),0)</f>
        <v>0</v>
      </c>
      <c r="K3052" s="444">
        <f t="shared" ca="1" si="156"/>
        <v>-605760654.79742706</v>
      </c>
      <c r="L3052" s="444">
        <f t="shared" ca="1" si="157"/>
        <v>-145988317806.17993</v>
      </c>
      <c r="M3052" s="460">
        <f t="shared" si="159"/>
        <v>0.05</v>
      </c>
      <c r="N3052" s="464">
        <f t="shared" si="160"/>
        <v>143939</v>
      </c>
    </row>
    <row r="3053" spans="7:14" ht="11.25" customHeight="1" x14ac:dyDescent="0.25">
      <c r="G3053" s="459"/>
      <c r="H3053" s="459">
        <v>3046</v>
      </c>
      <c r="I3053" s="444">
        <f t="shared" ca="1" si="158"/>
        <v>-145988317806.17993</v>
      </c>
      <c r="J3053" s="444">
        <f t="array" ref="J3053">IFERROR(INDEX('Retirement Calculator'!J:J,MATCH('Isaac 401k'!N3053,'Retirement Calculator'!A:A,0),0),0)</f>
        <v>0</v>
      </c>
      <c r="K3053" s="444">
        <f t="shared" ca="1" si="156"/>
        <v>-608284657.52574968</v>
      </c>
      <c r="L3053" s="444">
        <f t="shared" ca="1" si="157"/>
        <v>-146596602463.70569</v>
      </c>
      <c r="M3053" s="460">
        <f t="shared" si="159"/>
        <v>0.05</v>
      </c>
      <c r="N3053" s="464">
        <f t="shared" si="160"/>
        <v>143967</v>
      </c>
    </row>
    <row r="3054" spans="7:14" ht="11.25" customHeight="1" x14ac:dyDescent="0.25">
      <c r="G3054" s="459"/>
      <c r="H3054" s="459">
        <v>3047</v>
      </c>
      <c r="I3054" s="444">
        <f t="shared" ca="1" si="158"/>
        <v>-146596602463.70569</v>
      </c>
      <c r="J3054" s="444">
        <f t="array" ref="J3054">IFERROR(INDEX('Retirement Calculator'!J:J,MATCH('Isaac 401k'!N3054,'Retirement Calculator'!A:A,0),0),0)</f>
        <v>0</v>
      </c>
      <c r="K3054" s="444">
        <f t="shared" ca="1" si="156"/>
        <v>-610819176.93210697</v>
      </c>
      <c r="L3054" s="444">
        <f t="shared" ca="1" si="157"/>
        <v>-147207421640.63779</v>
      </c>
      <c r="M3054" s="460">
        <f t="shared" si="159"/>
        <v>0.05</v>
      </c>
      <c r="N3054" s="464">
        <f t="shared" si="160"/>
        <v>143998</v>
      </c>
    </row>
    <row r="3055" spans="7:14" ht="11.25" customHeight="1" x14ac:dyDescent="0.25">
      <c r="G3055" s="459"/>
      <c r="H3055" s="459">
        <v>3048</v>
      </c>
      <c r="I3055" s="444">
        <f t="shared" ca="1" si="158"/>
        <v>-147207421640.63779</v>
      </c>
      <c r="J3055" s="444">
        <f t="array" ref="J3055">IFERROR(INDEX('Retirement Calculator'!J:J,MATCH('Isaac 401k'!N3055,'Retirement Calculator'!A:A,0),0),0)</f>
        <v>0</v>
      </c>
      <c r="K3055" s="444">
        <f t="shared" ca="1" si="156"/>
        <v>-613364256.83599079</v>
      </c>
      <c r="L3055" s="444">
        <f t="shared" ca="1" si="157"/>
        <v>-147820785897.47379</v>
      </c>
      <c r="M3055" s="460">
        <f t="shared" si="159"/>
        <v>0.05</v>
      </c>
      <c r="N3055" s="464">
        <f t="shared" si="160"/>
        <v>144028</v>
      </c>
    </row>
    <row r="3056" spans="7:14" ht="11.25" customHeight="1" x14ac:dyDescent="0.25">
      <c r="G3056" s="459"/>
      <c r="H3056" s="459">
        <v>3049</v>
      </c>
      <c r="I3056" s="444">
        <f t="shared" ca="1" si="158"/>
        <v>-147820785897.47379</v>
      </c>
      <c r="J3056" s="444">
        <f t="array" ref="J3056">IFERROR(INDEX('Retirement Calculator'!J:J,MATCH('Isaac 401k'!N3056,'Retirement Calculator'!A:A,0),0),0)</f>
        <v>0</v>
      </c>
      <c r="K3056" s="444">
        <f t="shared" ca="1" si="156"/>
        <v>-615919941.23947406</v>
      </c>
      <c r="L3056" s="444">
        <f t="shared" ca="1" si="157"/>
        <v>-148436705838.71326</v>
      </c>
      <c r="M3056" s="460">
        <f t="shared" si="159"/>
        <v>0.05</v>
      </c>
      <c r="N3056" s="464">
        <f t="shared" si="160"/>
        <v>144059</v>
      </c>
    </row>
    <row r="3057" spans="7:14" ht="11.25" customHeight="1" x14ac:dyDescent="0.25">
      <c r="G3057" s="459"/>
      <c r="H3057" s="459">
        <v>3050</v>
      </c>
      <c r="I3057" s="444">
        <f t="shared" ca="1" si="158"/>
        <v>-148436705838.71326</v>
      </c>
      <c r="J3057" s="444">
        <f t="array" ref="J3057">IFERROR(INDEX('Retirement Calculator'!J:J,MATCH('Isaac 401k'!N3057,'Retirement Calculator'!A:A,0),0),0)</f>
        <v>0</v>
      </c>
      <c r="K3057" s="444">
        <f t="shared" ca="1" si="156"/>
        <v>-618486274.32797194</v>
      </c>
      <c r="L3057" s="444">
        <f t="shared" ca="1" si="157"/>
        <v>-149055192113.04123</v>
      </c>
      <c r="M3057" s="460">
        <f t="shared" si="159"/>
        <v>0.05</v>
      </c>
      <c r="N3057" s="464">
        <f t="shared" si="160"/>
        <v>144089</v>
      </c>
    </row>
    <row r="3058" spans="7:14" ht="11.25" customHeight="1" x14ac:dyDescent="0.25">
      <c r="G3058" s="459"/>
      <c r="H3058" s="459">
        <v>3051</v>
      </c>
      <c r="I3058" s="444">
        <f t="shared" ca="1" si="158"/>
        <v>-149055192113.04123</v>
      </c>
      <c r="J3058" s="444">
        <f t="array" ref="J3058">IFERROR(INDEX('Retirement Calculator'!J:J,MATCH('Isaac 401k'!N3058,'Retirement Calculator'!A:A,0),0),0)</f>
        <v>0</v>
      </c>
      <c r="K3058" s="444">
        <f t="shared" ca="1" si="156"/>
        <v>-621063300.47100508</v>
      </c>
      <c r="L3058" s="444">
        <f t="shared" ca="1" si="157"/>
        <v>-149676255413.51224</v>
      </c>
      <c r="M3058" s="460">
        <f t="shared" si="159"/>
        <v>0.05</v>
      </c>
      <c r="N3058" s="464">
        <f t="shared" si="160"/>
        <v>144120</v>
      </c>
    </row>
    <row r="3059" spans="7:14" ht="11.25" customHeight="1" x14ac:dyDescent="0.25">
      <c r="G3059" s="459"/>
      <c r="H3059" s="459">
        <v>3052</v>
      </c>
      <c r="I3059" s="444">
        <f t="shared" ca="1" si="158"/>
        <v>-149676255413.51224</v>
      </c>
      <c r="J3059" s="444">
        <f t="array" ref="J3059">IFERROR(INDEX('Retirement Calculator'!J:J,MATCH('Isaac 401k'!N3059,'Retirement Calculator'!A:A,0),0),0)</f>
        <v>0</v>
      </c>
      <c r="K3059" s="444">
        <f t="shared" ca="1" si="156"/>
        <v>-623651064.22296762</v>
      </c>
      <c r="L3059" s="444">
        <f t="shared" ca="1" si="157"/>
        <v>-150299906477.7352</v>
      </c>
      <c r="M3059" s="460">
        <f t="shared" si="159"/>
        <v>0.05</v>
      </c>
      <c r="N3059" s="464">
        <f t="shared" si="160"/>
        <v>144151</v>
      </c>
    </row>
    <row r="3060" spans="7:14" ht="11.25" customHeight="1" x14ac:dyDescent="0.25">
      <c r="G3060" s="459"/>
      <c r="H3060" s="459">
        <v>3053</v>
      </c>
      <c r="I3060" s="444">
        <f t="shared" ca="1" si="158"/>
        <v>-150299906477.7352</v>
      </c>
      <c r="J3060" s="444">
        <f t="array" ref="J3060">IFERROR(INDEX('Retirement Calculator'!J:J,MATCH('Isaac 401k'!N3060,'Retirement Calculator'!A:A,0),0),0)</f>
        <v>0</v>
      </c>
      <c r="K3060" s="444">
        <f t="shared" ca="1" si="156"/>
        <v>-626249610.32389665</v>
      </c>
      <c r="L3060" s="444">
        <f t="shared" ca="1" si="157"/>
        <v>-150926156088.05908</v>
      </c>
      <c r="M3060" s="460">
        <f t="shared" si="159"/>
        <v>0.05</v>
      </c>
      <c r="N3060" s="464">
        <f t="shared" si="160"/>
        <v>144181</v>
      </c>
    </row>
    <row r="3061" spans="7:14" ht="11.25" customHeight="1" x14ac:dyDescent="0.25">
      <c r="G3061" s="459"/>
      <c r="H3061" s="459">
        <v>3054</v>
      </c>
      <c r="I3061" s="444">
        <f t="shared" ca="1" si="158"/>
        <v>-150926156088.05908</v>
      </c>
      <c r="J3061" s="444">
        <f t="array" ref="J3061">IFERROR(INDEX('Retirement Calculator'!J:J,MATCH('Isaac 401k'!N3061,'Retirement Calculator'!A:A,0),0),0)</f>
        <v>0</v>
      </c>
      <c r="K3061" s="444">
        <f t="shared" ca="1" si="156"/>
        <v>-628858983.70024621</v>
      </c>
      <c r="L3061" s="444">
        <f t="shared" ca="1" si="157"/>
        <v>-151555015071.75934</v>
      </c>
      <c r="M3061" s="460">
        <f t="shared" si="159"/>
        <v>0.05</v>
      </c>
      <c r="N3061" s="464">
        <f t="shared" si="160"/>
        <v>144212</v>
      </c>
    </row>
    <row r="3062" spans="7:14" ht="11.25" customHeight="1" x14ac:dyDescent="0.25">
      <c r="G3062" s="459"/>
      <c r="H3062" s="459">
        <v>3055</v>
      </c>
      <c r="I3062" s="444">
        <f t="shared" ca="1" si="158"/>
        <v>-151555015071.75934</v>
      </c>
      <c r="J3062" s="444">
        <f t="array" ref="J3062">IFERROR(INDEX('Retirement Calculator'!J:J,MATCH('Isaac 401k'!N3062,'Retirement Calculator'!A:A,0),0),0)</f>
        <v>0</v>
      </c>
      <c r="K3062" s="444">
        <f t="shared" ca="1" si="156"/>
        <v>-631479229.46566391</v>
      </c>
      <c r="L3062" s="444">
        <f t="shared" ca="1" si="157"/>
        <v>-152186494301.22501</v>
      </c>
      <c r="M3062" s="460">
        <f t="shared" si="159"/>
        <v>0.05</v>
      </c>
      <c r="N3062" s="464">
        <f t="shared" si="160"/>
        <v>144242</v>
      </c>
    </row>
    <row r="3063" spans="7:14" ht="11.25" customHeight="1" x14ac:dyDescent="0.25">
      <c r="G3063" s="459"/>
      <c r="H3063" s="459">
        <v>3056</v>
      </c>
      <c r="I3063" s="444">
        <f t="shared" ca="1" si="158"/>
        <v>-152186494301.22501</v>
      </c>
      <c r="J3063" s="444">
        <f t="array" ref="J3063">IFERROR(INDEX('Retirement Calculator'!J:J,MATCH('Isaac 401k'!N3063,'Retirement Calculator'!A:A,0),0),0)</f>
        <v>0</v>
      </c>
      <c r="K3063" s="444">
        <f t="shared" ca="1" si="156"/>
        <v>-634110392.92177081</v>
      </c>
      <c r="L3063" s="444">
        <f t="shared" ca="1" si="157"/>
        <v>-152820604694.14679</v>
      </c>
      <c r="M3063" s="460">
        <f t="shared" si="159"/>
        <v>0.05</v>
      </c>
      <c r="N3063" s="464">
        <f t="shared" si="160"/>
        <v>144273</v>
      </c>
    </row>
    <row r="3064" spans="7:14" ht="11.25" customHeight="1" x14ac:dyDescent="0.25">
      <c r="G3064" s="459"/>
      <c r="H3064" s="459">
        <v>3057</v>
      </c>
      <c r="I3064" s="444">
        <f t="shared" ca="1" si="158"/>
        <v>-152820604694.14679</v>
      </c>
      <c r="J3064" s="444">
        <f t="array" ref="J3064">IFERROR(INDEX('Retirement Calculator'!J:J,MATCH('Isaac 401k'!N3064,'Retirement Calculator'!A:A,0),0),0)</f>
        <v>0</v>
      </c>
      <c r="K3064" s="444">
        <f t="shared" ca="1" si="156"/>
        <v>-636752519.55894494</v>
      </c>
      <c r="L3064" s="444">
        <f t="shared" ca="1" si="157"/>
        <v>-153457357213.70575</v>
      </c>
      <c r="M3064" s="460">
        <f t="shared" si="159"/>
        <v>0.05</v>
      </c>
      <c r="N3064" s="464">
        <f t="shared" si="160"/>
        <v>144304</v>
      </c>
    </row>
    <row r="3065" spans="7:14" ht="11.25" customHeight="1" x14ac:dyDescent="0.25">
      <c r="G3065" s="459"/>
      <c r="H3065" s="459">
        <v>3058</v>
      </c>
      <c r="I3065" s="444">
        <f t="shared" ca="1" si="158"/>
        <v>-153457357213.70575</v>
      </c>
      <c r="J3065" s="444">
        <f t="array" ref="J3065">IFERROR(INDEX('Retirement Calculator'!J:J,MATCH('Isaac 401k'!N3065,'Retirement Calculator'!A:A,0),0),0)</f>
        <v>0</v>
      </c>
      <c r="K3065" s="444">
        <f t="shared" ca="1" si="156"/>
        <v>-639405655.05710733</v>
      </c>
      <c r="L3065" s="444">
        <f t="shared" ca="1" si="157"/>
        <v>-154096762868.76285</v>
      </c>
      <c r="M3065" s="460">
        <f t="shared" si="159"/>
        <v>0.05</v>
      </c>
      <c r="N3065" s="464">
        <f t="shared" si="160"/>
        <v>144332</v>
      </c>
    </row>
    <row r="3066" spans="7:14" ht="11.25" customHeight="1" x14ac:dyDescent="0.25">
      <c r="G3066" s="459"/>
      <c r="H3066" s="459">
        <v>3059</v>
      </c>
      <c r="I3066" s="444">
        <f t="shared" ca="1" si="158"/>
        <v>-154096762868.76285</v>
      </c>
      <c r="J3066" s="444">
        <f t="array" ref="J3066">IFERROR(INDEX('Retirement Calculator'!J:J,MATCH('Isaac 401k'!N3066,'Retirement Calculator'!A:A,0),0),0)</f>
        <v>0</v>
      </c>
      <c r="K3066" s="444">
        <f t="shared" ca="1" si="156"/>
        <v>-642069845.2865119</v>
      </c>
      <c r="L3066" s="444">
        <f t="shared" ca="1" si="157"/>
        <v>-154738832714.04935</v>
      </c>
      <c r="M3066" s="460">
        <f t="shared" si="159"/>
        <v>0.05</v>
      </c>
      <c r="N3066" s="464">
        <f t="shared" si="160"/>
        <v>144363</v>
      </c>
    </row>
    <row r="3067" spans="7:14" ht="11.25" customHeight="1" x14ac:dyDescent="0.25">
      <c r="G3067" s="459"/>
      <c r="H3067" s="459">
        <v>3060</v>
      </c>
      <c r="I3067" s="444">
        <f t="shared" ca="1" si="158"/>
        <v>-154738832714.04935</v>
      </c>
      <c r="J3067" s="444">
        <f t="array" ref="J3067">IFERROR(INDEX('Retirement Calculator'!J:J,MATCH('Isaac 401k'!N3067,'Retirement Calculator'!A:A,0),0),0)</f>
        <v>0</v>
      </c>
      <c r="K3067" s="444">
        <f t="shared" ca="1" si="156"/>
        <v>-644745136.30853891</v>
      </c>
      <c r="L3067" s="444">
        <f t="shared" ca="1" si="157"/>
        <v>-155383577850.35788</v>
      </c>
      <c r="M3067" s="460">
        <f t="shared" si="159"/>
        <v>0.05</v>
      </c>
      <c r="N3067" s="464">
        <f t="shared" si="160"/>
        <v>144393</v>
      </c>
    </row>
    <row r="3068" spans="7:14" ht="11.25" customHeight="1" x14ac:dyDescent="0.25">
      <c r="G3068" s="459"/>
      <c r="H3068" s="459">
        <v>3061</v>
      </c>
      <c r="I3068" s="444">
        <f t="shared" ca="1" si="158"/>
        <v>-155383577850.35788</v>
      </c>
      <c r="J3068" s="444">
        <f t="array" ref="J3068">IFERROR(INDEX('Retirement Calculator'!J:J,MATCH('Isaac 401k'!N3068,'Retirement Calculator'!A:A,0),0),0)</f>
        <v>0</v>
      </c>
      <c r="K3068" s="444">
        <f t="shared" ref="K3068:K3322" ca="1" si="161">IPMT(M3068/12,1,12,-I3068+J3068,,0)</f>
        <v>-647431574.37649119</v>
      </c>
      <c r="L3068" s="444">
        <f t="shared" ref="L3068:L3322" ca="1" si="162">I3068-J3068+K3068</f>
        <v>-156031009424.73438</v>
      </c>
      <c r="M3068" s="460">
        <f t="shared" si="159"/>
        <v>0.05</v>
      </c>
      <c r="N3068" s="464">
        <f t="shared" si="160"/>
        <v>144424</v>
      </c>
    </row>
    <row r="3069" spans="7:14" ht="11.25" customHeight="1" x14ac:dyDescent="0.25">
      <c r="G3069" s="459"/>
      <c r="H3069" s="459">
        <v>3062</v>
      </c>
      <c r="I3069" s="444">
        <f t="shared" ref="I3069:I3323" ca="1" si="163">L3068</f>
        <v>-156031009424.73438</v>
      </c>
      <c r="J3069" s="444">
        <f t="array" ref="J3069">IFERROR(INDEX('Retirement Calculator'!J:J,MATCH('Isaac 401k'!N3069,'Retirement Calculator'!A:A,0),0),0)</f>
        <v>0</v>
      </c>
      <c r="K3069" s="444">
        <f t="shared" ca="1" si="161"/>
        <v>-650129205.93639326</v>
      </c>
      <c r="L3069" s="444">
        <f t="shared" ca="1" si="162"/>
        <v>-156681138630.67078</v>
      </c>
      <c r="M3069" s="460">
        <f t="shared" ref="M3069:M3323" si="164">M3068</f>
        <v>0.05</v>
      </c>
      <c r="N3069" s="464">
        <f t="shared" ref="N3069:N3323" si="165">EDATE(N3068,1)</f>
        <v>144454</v>
      </c>
    </row>
    <row r="3070" spans="7:14" ht="11.25" customHeight="1" x14ac:dyDescent="0.25">
      <c r="G3070" s="459"/>
      <c r="H3070" s="459">
        <v>3063</v>
      </c>
      <c r="I3070" s="444">
        <f t="shared" ca="1" si="163"/>
        <v>-156681138630.67078</v>
      </c>
      <c r="J3070" s="444">
        <f t="array" ref="J3070">IFERROR(INDEX('Retirement Calculator'!J:J,MATCH('Isaac 401k'!N3070,'Retirement Calculator'!A:A,0),0),0)</f>
        <v>0</v>
      </c>
      <c r="K3070" s="444">
        <f t="shared" ca="1" si="161"/>
        <v>-652838077.62779486</v>
      </c>
      <c r="L3070" s="444">
        <f t="shared" ca="1" si="162"/>
        <v>-157333976708.29858</v>
      </c>
      <c r="M3070" s="460">
        <f t="shared" si="164"/>
        <v>0.05</v>
      </c>
      <c r="N3070" s="464">
        <f t="shared" si="165"/>
        <v>144485</v>
      </c>
    </row>
    <row r="3071" spans="7:14" ht="11.25" customHeight="1" x14ac:dyDescent="0.25">
      <c r="G3071" s="459"/>
      <c r="H3071" s="459">
        <v>3064</v>
      </c>
      <c r="I3071" s="444">
        <f t="shared" ca="1" si="163"/>
        <v>-157333976708.29858</v>
      </c>
      <c r="J3071" s="444">
        <f t="array" ref="J3071">IFERROR(INDEX('Retirement Calculator'!J:J,MATCH('Isaac 401k'!N3071,'Retirement Calculator'!A:A,0),0),0)</f>
        <v>0</v>
      </c>
      <c r="K3071" s="444">
        <f t="shared" ca="1" si="161"/>
        <v>-655558236.28457737</v>
      </c>
      <c r="L3071" s="444">
        <f t="shared" ca="1" si="162"/>
        <v>-157989534944.58316</v>
      </c>
      <c r="M3071" s="460">
        <f t="shared" si="164"/>
        <v>0.05</v>
      </c>
      <c r="N3071" s="464">
        <f t="shared" si="165"/>
        <v>144516</v>
      </c>
    </row>
    <row r="3072" spans="7:14" ht="11.25" customHeight="1" x14ac:dyDescent="0.25">
      <c r="G3072" s="459"/>
      <c r="H3072" s="459">
        <v>3065</v>
      </c>
      <c r="I3072" s="444">
        <f t="shared" ca="1" si="163"/>
        <v>-157989534944.58316</v>
      </c>
      <c r="J3072" s="444">
        <f t="array" ref="J3072">IFERROR(INDEX('Retirement Calculator'!J:J,MATCH('Isaac 401k'!N3072,'Retirement Calculator'!A:A,0),0),0)</f>
        <v>0</v>
      </c>
      <c r="K3072" s="444">
        <f t="shared" ca="1" si="161"/>
        <v>-658289728.93576312</v>
      </c>
      <c r="L3072" s="444">
        <f t="shared" ca="1" si="162"/>
        <v>-158647824673.51892</v>
      </c>
      <c r="M3072" s="460">
        <f t="shared" si="164"/>
        <v>0.05</v>
      </c>
      <c r="N3072" s="464">
        <f t="shared" si="165"/>
        <v>144546</v>
      </c>
    </row>
    <row r="3073" spans="7:14" ht="11.25" customHeight="1" x14ac:dyDescent="0.25">
      <c r="G3073" s="459"/>
      <c r="H3073" s="459">
        <v>3066</v>
      </c>
      <c r="I3073" s="444">
        <f t="shared" ca="1" si="163"/>
        <v>-158647824673.51892</v>
      </c>
      <c r="J3073" s="444">
        <f t="array" ref="J3073">IFERROR(INDEX('Retirement Calculator'!J:J,MATCH('Isaac 401k'!N3073,'Retirement Calculator'!A:A,0),0),0)</f>
        <v>0</v>
      </c>
      <c r="K3073" s="444">
        <f t="shared" ca="1" si="161"/>
        <v>-661032602.80632877</v>
      </c>
      <c r="L3073" s="444">
        <f t="shared" ca="1" si="162"/>
        <v>-159308857276.32526</v>
      </c>
      <c r="M3073" s="460">
        <f t="shared" si="164"/>
        <v>0.05</v>
      </c>
      <c r="N3073" s="464">
        <f t="shared" si="165"/>
        <v>144577</v>
      </c>
    </row>
    <row r="3074" spans="7:14" ht="11.25" customHeight="1" x14ac:dyDescent="0.25">
      <c r="G3074" s="459"/>
      <c r="H3074" s="459">
        <v>3067</v>
      </c>
      <c r="I3074" s="444">
        <f t="shared" ca="1" si="163"/>
        <v>-159308857276.32526</v>
      </c>
      <c r="J3074" s="444">
        <f t="array" ref="J3074">IFERROR(INDEX('Retirement Calculator'!J:J,MATCH('Isaac 401k'!N3074,'Retirement Calculator'!A:A,0),0),0)</f>
        <v>0</v>
      </c>
      <c r="K3074" s="444">
        <f t="shared" ca="1" si="161"/>
        <v>-663786905.31802189</v>
      </c>
      <c r="L3074" s="444">
        <f t="shared" ca="1" si="162"/>
        <v>-159972644181.64328</v>
      </c>
      <c r="M3074" s="460">
        <f t="shared" si="164"/>
        <v>0.05</v>
      </c>
      <c r="N3074" s="464">
        <f t="shared" si="165"/>
        <v>144607</v>
      </c>
    </row>
    <row r="3075" spans="7:14" ht="11.25" customHeight="1" x14ac:dyDescent="0.25">
      <c r="G3075" s="459"/>
      <c r="H3075" s="459">
        <v>3068</v>
      </c>
      <c r="I3075" s="444">
        <f t="shared" ca="1" si="163"/>
        <v>-159972644181.64328</v>
      </c>
      <c r="J3075" s="444">
        <f t="array" ref="J3075">IFERROR(INDEX('Retirement Calculator'!J:J,MATCH('Isaac 401k'!N3075,'Retirement Calculator'!A:A,0),0),0)</f>
        <v>0</v>
      </c>
      <c r="K3075" s="444">
        <f t="shared" ca="1" si="161"/>
        <v>-666552684.09018028</v>
      </c>
      <c r="L3075" s="444">
        <f t="shared" ca="1" si="162"/>
        <v>-160639196865.73346</v>
      </c>
      <c r="M3075" s="460">
        <f t="shared" si="164"/>
        <v>0.05</v>
      </c>
      <c r="N3075" s="464">
        <f t="shared" si="165"/>
        <v>144638</v>
      </c>
    </row>
    <row r="3076" spans="7:14" ht="11.25" customHeight="1" x14ac:dyDescent="0.25">
      <c r="G3076" s="459"/>
      <c r="H3076" s="459">
        <v>3069</v>
      </c>
      <c r="I3076" s="444">
        <f t="shared" ca="1" si="163"/>
        <v>-160639196865.73346</v>
      </c>
      <c r="J3076" s="444">
        <f t="array" ref="J3076">IFERROR(INDEX('Retirement Calculator'!J:J,MATCH('Isaac 401k'!N3076,'Retirement Calculator'!A:A,0),0),0)</f>
        <v>0</v>
      </c>
      <c r="K3076" s="444">
        <f t="shared" ca="1" si="161"/>
        <v>-669329986.94055605</v>
      </c>
      <c r="L3076" s="444">
        <f t="shared" ca="1" si="162"/>
        <v>-161308526852.67401</v>
      </c>
      <c r="M3076" s="460">
        <f t="shared" si="164"/>
        <v>0.05</v>
      </c>
      <c r="N3076" s="464">
        <f t="shared" si="165"/>
        <v>144669</v>
      </c>
    </row>
    <row r="3077" spans="7:14" ht="11.25" customHeight="1" x14ac:dyDescent="0.25">
      <c r="G3077" s="459"/>
      <c r="H3077" s="459">
        <v>3070</v>
      </c>
      <c r="I3077" s="444">
        <f t="shared" ca="1" si="163"/>
        <v>-161308526852.67401</v>
      </c>
      <c r="J3077" s="444">
        <f t="array" ref="J3077">IFERROR(INDEX('Retirement Calculator'!J:J,MATCH('Isaac 401k'!N3077,'Retirement Calculator'!A:A,0),0),0)</f>
        <v>0</v>
      </c>
      <c r="K3077" s="444">
        <f t="shared" ca="1" si="161"/>
        <v>-672118861.88614166</v>
      </c>
      <c r="L3077" s="444">
        <f t="shared" ca="1" si="162"/>
        <v>-161980645714.56015</v>
      </c>
      <c r="M3077" s="460">
        <f t="shared" si="164"/>
        <v>0.05</v>
      </c>
      <c r="N3077" s="464">
        <f t="shared" si="165"/>
        <v>144698</v>
      </c>
    </row>
    <row r="3078" spans="7:14" ht="11.25" customHeight="1" x14ac:dyDescent="0.25">
      <c r="G3078" s="459"/>
      <c r="H3078" s="459">
        <v>3071</v>
      </c>
      <c r="I3078" s="444">
        <f t="shared" ca="1" si="163"/>
        <v>-161980645714.56015</v>
      </c>
      <c r="J3078" s="444">
        <f t="array" ref="J3078">IFERROR(INDEX('Retirement Calculator'!J:J,MATCH('Isaac 401k'!N3078,'Retirement Calculator'!A:A,0),0),0)</f>
        <v>0</v>
      </c>
      <c r="K3078" s="444">
        <f t="shared" ca="1" si="161"/>
        <v>-674919357.14400065</v>
      </c>
      <c r="L3078" s="444">
        <f t="shared" ca="1" si="162"/>
        <v>-162655565071.70416</v>
      </c>
      <c r="M3078" s="460">
        <f t="shared" si="164"/>
        <v>0.05</v>
      </c>
      <c r="N3078" s="464">
        <f t="shared" si="165"/>
        <v>144729</v>
      </c>
    </row>
    <row r="3079" spans="7:14" ht="11.25" customHeight="1" x14ac:dyDescent="0.25">
      <c r="G3079" s="459"/>
      <c r="H3079" s="459">
        <v>3072</v>
      </c>
      <c r="I3079" s="444">
        <f t="shared" ca="1" si="163"/>
        <v>-162655565071.70416</v>
      </c>
      <c r="J3079" s="444">
        <f t="array" ref="J3079">IFERROR(INDEX('Retirement Calculator'!J:J,MATCH('Isaac 401k'!N3079,'Retirement Calculator'!A:A,0),0),0)</f>
        <v>0</v>
      </c>
      <c r="K3079" s="444">
        <f t="shared" ca="1" si="161"/>
        <v>-677731521.1321007</v>
      </c>
      <c r="L3079" s="444">
        <f t="shared" ca="1" si="162"/>
        <v>-163333296592.83627</v>
      </c>
      <c r="M3079" s="460">
        <f t="shared" si="164"/>
        <v>0.05</v>
      </c>
      <c r="N3079" s="464">
        <f t="shared" si="165"/>
        <v>144759</v>
      </c>
    </row>
    <row r="3080" spans="7:14" ht="11.25" customHeight="1" x14ac:dyDescent="0.25">
      <c r="G3080" s="459"/>
      <c r="H3080" s="459">
        <v>3073</v>
      </c>
      <c r="I3080" s="444">
        <f t="shared" ca="1" si="163"/>
        <v>-163333296592.83627</v>
      </c>
      <c r="J3080" s="444">
        <f t="array" ref="J3080">IFERROR(INDEX('Retirement Calculator'!J:J,MATCH('Isaac 401k'!N3080,'Retirement Calculator'!A:A,0),0),0)</f>
        <v>0</v>
      </c>
      <c r="K3080" s="444">
        <f t="shared" ca="1" si="161"/>
        <v>-680555402.47015119</v>
      </c>
      <c r="L3080" s="444">
        <f t="shared" ca="1" si="162"/>
        <v>-164013851995.30643</v>
      </c>
      <c r="M3080" s="460">
        <f t="shared" si="164"/>
        <v>0.05</v>
      </c>
      <c r="N3080" s="464">
        <f t="shared" si="165"/>
        <v>144790</v>
      </c>
    </row>
    <row r="3081" spans="7:14" ht="11.25" customHeight="1" x14ac:dyDescent="0.25">
      <c r="G3081" s="459"/>
      <c r="H3081" s="459">
        <v>3074</v>
      </c>
      <c r="I3081" s="444">
        <f t="shared" ca="1" si="163"/>
        <v>-164013851995.30643</v>
      </c>
      <c r="J3081" s="444">
        <f t="array" ref="J3081">IFERROR(INDEX('Retirement Calculator'!J:J,MATCH('Isaac 401k'!N3081,'Retirement Calculator'!A:A,0),0),0)</f>
        <v>0</v>
      </c>
      <c r="K3081" s="444">
        <f t="shared" ca="1" si="161"/>
        <v>-683391049.98044348</v>
      </c>
      <c r="L3081" s="444">
        <f t="shared" ca="1" si="162"/>
        <v>-164697243045.28687</v>
      </c>
      <c r="M3081" s="460">
        <f t="shared" si="164"/>
        <v>0.05</v>
      </c>
      <c r="N3081" s="464">
        <f t="shared" si="165"/>
        <v>144820</v>
      </c>
    </row>
    <row r="3082" spans="7:14" ht="11.25" customHeight="1" x14ac:dyDescent="0.25">
      <c r="G3082" s="459"/>
      <c r="H3082" s="459">
        <v>3075</v>
      </c>
      <c r="I3082" s="444">
        <f t="shared" ca="1" si="163"/>
        <v>-164697243045.28687</v>
      </c>
      <c r="J3082" s="444">
        <f t="array" ref="J3082">IFERROR(INDEX('Retirement Calculator'!J:J,MATCH('Isaac 401k'!N3082,'Retirement Calculator'!A:A,0),0),0)</f>
        <v>0</v>
      </c>
      <c r="K3082" s="444">
        <f t="shared" ca="1" si="161"/>
        <v>-686238512.68869531</v>
      </c>
      <c r="L3082" s="444">
        <f t="shared" ca="1" si="162"/>
        <v>-165383481557.97556</v>
      </c>
      <c r="M3082" s="460">
        <f t="shared" si="164"/>
        <v>0.05</v>
      </c>
      <c r="N3082" s="464">
        <f t="shared" si="165"/>
        <v>144851</v>
      </c>
    </row>
    <row r="3083" spans="7:14" ht="11.25" customHeight="1" x14ac:dyDescent="0.25">
      <c r="G3083" s="459"/>
      <c r="H3083" s="459">
        <v>3076</v>
      </c>
      <c r="I3083" s="444">
        <f t="shared" ca="1" si="163"/>
        <v>-165383481557.97556</v>
      </c>
      <c r="J3083" s="444">
        <f t="array" ref="J3083">IFERROR(INDEX('Retirement Calculator'!J:J,MATCH('Isaac 401k'!N3083,'Retirement Calculator'!A:A,0),0),0)</f>
        <v>0</v>
      </c>
      <c r="K3083" s="444">
        <f t="shared" ca="1" si="161"/>
        <v>-689097839.82489812</v>
      </c>
      <c r="L3083" s="444">
        <f t="shared" ca="1" si="162"/>
        <v>-166072579397.80045</v>
      </c>
      <c r="M3083" s="460">
        <f t="shared" si="164"/>
        <v>0.05</v>
      </c>
      <c r="N3083" s="464">
        <f t="shared" si="165"/>
        <v>144882</v>
      </c>
    </row>
    <row r="3084" spans="7:14" ht="11.25" customHeight="1" x14ac:dyDescent="0.25">
      <c r="G3084" s="459"/>
      <c r="H3084" s="459">
        <v>3077</v>
      </c>
      <c r="I3084" s="444">
        <f t="shared" ca="1" si="163"/>
        <v>-166072579397.80045</v>
      </c>
      <c r="J3084" s="444">
        <f t="array" ref="J3084">IFERROR(INDEX('Retirement Calculator'!J:J,MATCH('Isaac 401k'!N3084,'Retirement Calculator'!A:A,0),0),0)</f>
        <v>0</v>
      </c>
      <c r="K3084" s="444">
        <f t="shared" ca="1" si="161"/>
        <v>-691969080.82416856</v>
      </c>
      <c r="L3084" s="444">
        <f t="shared" ca="1" si="162"/>
        <v>-166764548478.6246</v>
      </c>
      <c r="M3084" s="460">
        <f t="shared" si="164"/>
        <v>0.05</v>
      </c>
      <c r="N3084" s="464">
        <f t="shared" si="165"/>
        <v>144912</v>
      </c>
    </row>
    <row r="3085" spans="7:14" ht="11.25" customHeight="1" x14ac:dyDescent="0.25">
      <c r="G3085" s="459"/>
      <c r="H3085" s="459">
        <v>3078</v>
      </c>
      <c r="I3085" s="444">
        <f t="shared" ca="1" si="163"/>
        <v>-166764548478.6246</v>
      </c>
      <c r="J3085" s="444">
        <f t="array" ref="J3085">IFERROR(INDEX('Retirement Calculator'!J:J,MATCH('Isaac 401k'!N3085,'Retirement Calculator'!A:A,0),0),0)</f>
        <v>0</v>
      </c>
      <c r="K3085" s="444">
        <f t="shared" ca="1" si="161"/>
        <v>-694852285.32760251</v>
      </c>
      <c r="L3085" s="444">
        <f t="shared" ca="1" si="162"/>
        <v>-167459400763.95221</v>
      </c>
      <c r="M3085" s="460">
        <f t="shared" si="164"/>
        <v>0.05</v>
      </c>
      <c r="N3085" s="464">
        <f t="shared" si="165"/>
        <v>144943</v>
      </c>
    </row>
    <row r="3086" spans="7:14" ht="11.25" customHeight="1" x14ac:dyDescent="0.25">
      <c r="G3086" s="459"/>
      <c r="H3086" s="459">
        <v>3079</v>
      </c>
      <c r="I3086" s="444">
        <f t="shared" ca="1" si="163"/>
        <v>-167459400763.95221</v>
      </c>
      <c r="J3086" s="444">
        <f t="array" ref="J3086">IFERROR(INDEX('Retirement Calculator'!J:J,MATCH('Isaac 401k'!N3086,'Retirement Calculator'!A:A,0),0),0)</f>
        <v>0</v>
      </c>
      <c r="K3086" s="444">
        <f t="shared" ca="1" si="161"/>
        <v>-697747503.1831342</v>
      </c>
      <c r="L3086" s="444">
        <f t="shared" ca="1" si="162"/>
        <v>-168157148267.13535</v>
      </c>
      <c r="M3086" s="460">
        <f t="shared" si="164"/>
        <v>0.05</v>
      </c>
      <c r="N3086" s="464">
        <f t="shared" si="165"/>
        <v>144973</v>
      </c>
    </row>
    <row r="3087" spans="7:14" ht="11.25" customHeight="1" x14ac:dyDescent="0.25">
      <c r="G3087" s="459"/>
      <c r="H3087" s="459">
        <v>3080</v>
      </c>
      <c r="I3087" s="444">
        <f t="shared" ca="1" si="163"/>
        <v>-168157148267.13535</v>
      </c>
      <c r="J3087" s="444">
        <f t="array" ref="J3087">IFERROR(INDEX('Retirement Calculator'!J:J,MATCH('Isaac 401k'!N3087,'Retirement Calculator'!A:A,0),0),0)</f>
        <v>0</v>
      </c>
      <c r="K3087" s="444">
        <f t="shared" ca="1" si="161"/>
        <v>-700654784.4463973</v>
      </c>
      <c r="L3087" s="444">
        <f t="shared" ca="1" si="162"/>
        <v>-168857803051.58176</v>
      </c>
      <c r="M3087" s="460">
        <f t="shared" si="164"/>
        <v>0.05</v>
      </c>
      <c r="N3087" s="464">
        <f t="shared" si="165"/>
        <v>145004</v>
      </c>
    </row>
    <row r="3088" spans="7:14" ht="11.25" customHeight="1" x14ac:dyDescent="0.25">
      <c r="G3088" s="459"/>
      <c r="H3088" s="459">
        <v>3081</v>
      </c>
      <c r="I3088" s="444">
        <f t="shared" ca="1" si="163"/>
        <v>-168857803051.58176</v>
      </c>
      <c r="J3088" s="444">
        <f t="array" ref="J3088">IFERROR(INDEX('Retirement Calculator'!J:J,MATCH('Isaac 401k'!N3088,'Retirement Calculator'!A:A,0),0),0)</f>
        <v>0</v>
      </c>
      <c r="K3088" s="444">
        <f t="shared" ca="1" si="161"/>
        <v>-703574179.3815906</v>
      </c>
      <c r="L3088" s="444">
        <f t="shared" ca="1" si="162"/>
        <v>-169561377230.96335</v>
      </c>
      <c r="M3088" s="460">
        <f t="shared" si="164"/>
        <v>0.05</v>
      </c>
      <c r="N3088" s="464">
        <f t="shared" si="165"/>
        <v>145035</v>
      </c>
    </row>
    <row r="3089" spans="7:14" ht="11.25" customHeight="1" x14ac:dyDescent="0.25">
      <c r="G3089" s="459"/>
      <c r="H3089" s="459">
        <v>3082</v>
      </c>
      <c r="I3089" s="444">
        <f t="shared" ca="1" si="163"/>
        <v>-169561377230.96335</v>
      </c>
      <c r="J3089" s="444">
        <f t="array" ref="J3089">IFERROR(INDEX('Retirement Calculator'!J:J,MATCH('Isaac 401k'!N3089,'Retirement Calculator'!A:A,0),0),0)</f>
        <v>0</v>
      </c>
      <c r="K3089" s="444">
        <f t="shared" ca="1" si="161"/>
        <v>-706505738.46234727</v>
      </c>
      <c r="L3089" s="444">
        <f t="shared" ca="1" si="162"/>
        <v>-170267882969.42569</v>
      </c>
      <c r="M3089" s="460">
        <f t="shared" si="164"/>
        <v>0.05</v>
      </c>
      <c r="N3089" s="464">
        <f t="shared" si="165"/>
        <v>145063</v>
      </c>
    </row>
    <row r="3090" spans="7:14" ht="11.25" customHeight="1" x14ac:dyDescent="0.25">
      <c r="G3090" s="459"/>
      <c r="H3090" s="459">
        <v>3083</v>
      </c>
      <c r="I3090" s="444">
        <f t="shared" ca="1" si="163"/>
        <v>-170267882969.42569</v>
      </c>
      <c r="J3090" s="444">
        <f t="array" ref="J3090">IFERROR(INDEX('Retirement Calculator'!J:J,MATCH('Isaac 401k'!N3090,'Retirement Calculator'!A:A,0),0),0)</f>
        <v>0</v>
      </c>
      <c r="K3090" s="444">
        <f t="shared" ca="1" si="161"/>
        <v>-709449512.37260699</v>
      </c>
      <c r="L3090" s="444">
        <f t="shared" ca="1" si="162"/>
        <v>-170977332481.79831</v>
      </c>
      <c r="M3090" s="460">
        <f t="shared" si="164"/>
        <v>0.05</v>
      </c>
      <c r="N3090" s="464">
        <f t="shared" si="165"/>
        <v>145094</v>
      </c>
    </row>
    <row r="3091" spans="7:14" ht="11.25" customHeight="1" x14ac:dyDescent="0.25">
      <c r="G3091" s="459"/>
      <c r="H3091" s="459">
        <v>3084</v>
      </c>
      <c r="I3091" s="444">
        <f t="shared" ca="1" si="163"/>
        <v>-170977332481.79831</v>
      </c>
      <c r="J3091" s="444">
        <f t="array" ref="J3091">IFERROR(INDEX('Retirement Calculator'!J:J,MATCH('Isaac 401k'!N3091,'Retirement Calculator'!A:A,0),0),0)</f>
        <v>0</v>
      </c>
      <c r="K3091" s="444">
        <f t="shared" ca="1" si="161"/>
        <v>-712405552.0074929</v>
      </c>
      <c r="L3091" s="444">
        <f t="shared" ca="1" si="162"/>
        <v>-171689738033.80582</v>
      </c>
      <c r="M3091" s="460">
        <f t="shared" si="164"/>
        <v>0.05</v>
      </c>
      <c r="N3091" s="464">
        <f t="shared" si="165"/>
        <v>145124</v>
      </c>
    </row>
    <row r="3092" spans="7:14" ht="11.25" customHeight="1" x14ac:dyDescent="0.25">
      <c r="G3092" s="459"/>
      <c r="H3092" s="459">
        <v>3085</v>
      </c>
      <c r="I3092" s="444">
        <f t="shared" ca="1" si="163"/>
        <v>-171689738033.80582</v>
      </c>
      <c r="J3092" s="444">
        <f t="array" ref="J3092">IFERROR(INDEX('Retirement Calculator'!J:J,MATCH('Isaac 401k'!N3092,'Retirement Calculator'!A:A,0),0),0)</f>
        <v>0</v>
      </c>
      <c r="K3092" s="444">
        <f t="shared" ca="1" si="161"/>
        <v>-715373908.47419095</v>
      </c>
      <c r="L3092" s="444">
        <f t="shared" ca="1" si="162"/>
        <v>-172405111942.28</v>
      </c>
      <c r="M3092" s="460">
        <f t="shared" si="164"/>
        <v>0.05</v>
      </c>
      <c r="N3092" s="464">
        <f t="shared" si="165"/>
        <v>145155</v>
      </c>
    </row>
    <row r="3093" spans="7:14" ht="11.25" customHeight="1" x14ac:dyDescent="0.25">
      <c r="G3093" s="459"/>
      <c r="H3093" s="459">
        <v>3086</v>
      </c>
      <c r="I3093" s="444">
        <f t="shared" ca="1" si="163"/>
        <v>-172405111942.28</v>
      </c>
      <c r="J3093" s="444">
        <f t="array" ref="J3093">IFERROR(INDEX('Retirement Calculator'!J:J,MATCH('Isaac 401k'!N3093,'Retirement Calculator'!A:A,0),0),0)</f>
        <v>0</v>
      </c>
      <c r="K3093" s="444">
        <f t="shared" ca="1" si="161"/>
        <v>-718354633.09283328</v>
      </c>
      <c r="L3093" s="444">
        <f t="shared" ca="1" si="162"/>
        <v>-173123466575.37283</v>
      </c>
      <c r="M3093" s="460">
        <f t="shared" si="164"/>
        <v>0.05</v>
      </c>
      <c r="N3093" s="464">
        <f t="shared" si="165"/>
        <v>145185</v>
      </c>
    </row>
    <row r="3094" spans="7:14" ht="11.25" customHeight="1" x14ac:dyDescent="0.25">
      <c r="G3094" s="459"/>
      <c r="H3094" s="459">
        <v>3087</v>
      </c>
      <c r="I3094" s="444">
        <f t="shared" ca="1" si="163"/>
        <v>-173123466575.37283</v>
      </c>
      <c r="J3094" s="444">
        <f t="array" ref="J3094">IFERROR(INDEX('Retirement Calculator'!J:J,MATCH('Isaac 401k'!N3094,'Retirement Calculator'!A:A,0),0),0)</f>
        <v>0</v>
      </c>
      <c r="K3094" s="444">
        <f t="shared" ca="1" si="161"/>
        <v>-721347777.39738679</v>
      </c>
      <c r="L3094" s="444">
        <f t="shared" ca="1" si="162"/>
        <v>-173844814352.77023</v>
      </c>
      <c r="M3094" s="460">
        <f t="shared" si="164"/>
        <v>0.05</v>
      </c>
      <c r="N3094" s="464">
        <f t="shared" si="165"/>
        <v>145216</v>
      </c>
    </row>
    <row r="3095" spans="7:14" ht="11.25" customHeight="1" x14ac:dyDescent="0.25">
      <c r="G3095" s="459"/>
      <c r="H3095" s="459">
        <v>3088</v>
      </c>
      <c r="I3095" s="444">
        <f t="shared" ca="1" si="163"/>
        <v>-173844814352.77023</v>
      </c>
      <c r="J3095" s="444">
        <f t="array" ref="J3095">IFERROR(INDEX('Retirement Calculator'!J:J,MATCH('Isaac 401k'!N3095,'Retirement Calculator'!A:A,0),0),0)</f>
        <v>0</v>
      </c>
      <c r="K3095" s="444">
        <f t="shared" ca="1" si="161"/>
        <v>-724353393.13654268</v>
      </c>
      <c r="L3095" s="444">
        <f t="shared" ca="1" si="162"/>
        <v>-174569167745.90677</v>
      </c>
      <c r="M3095" s="460">
        <f t="shared" si="164"/>
        <v>0.05</v>
      </c>
      <c r="N3095" s="464">
        <f t="shared" si="165"/>
        <v>145247</v>
      </c>
    </row>
    <row r="3096" spans="7:14" ht="11.25" customHeight="1" x14ac:dyDescent="0.25">
      <c r="G3096" s="459"/>
      <c r="H3096" s="459">
        <v>3089</v>
      </c>
      <c r="I3096" s="444">
        <f t="shared" ca="1" si="163"/>
        <v>-174569167745.90677</v>
      </c>
      <c r="J3096" s="444">
        <f t="array" ref="J3096">IFERROR(INDEX('Retirement Calculator'!J:J,MATCH('Isaac 401k'!N3096,'Retirement Calculator'!A:A,0),0),0)</f>
        <v>0</v>
      </c>
      <c r="K3096" s="444">
        <f t="shared" ca="1" si="161"/>
        <v>-727371532.27461147</v>
      </c>
      <c r="L3096" s="444">
        <f t="shared" ca="1" si="162"/>
        <v>-175296539278.18137</v>
      </c>
      <c r="M3096" s="460">
        <f t="shared" si="164"/>
        <v>0.05</v>
      </c>
      <c r="N3096" s="464">
        <f t="shared" si="165"/>
        <v>145277</v>
      </c>
    </row>
    <row r="3097" spans="7:14" ht="11.25" customHeight="1" x14ac:dyDescent="0.25">
      <c r="G3097" s="459"/>
      <c r="H3097" s="459">
        <v>3090</v>
      </c>
      <c r="I3097" s="444">
        <f t="shared" ca="1" si="163"/>
        <v>-175296539278.18137</v>
      </c>
      <c r="J3097" s="444">
        <f t="array" ref="J3097">IFERROR(INDEX('Retirement Calculator'!J:J,MATCH('Isaac 401k'!N3097,'Retirement Calculator'!A:A,0),0),0)</f>
        <v>0</v>
      </c>
      <c r="K3097" s="444">
        <f t="shared" ca="1" si="161"/>
        <v>-730402246.99242234</v>
      </c>
      <c r="L3097" s="444">
        <f t="shared" ca="1" si="162"/>
        <v>-176026941525.1738</v>
      </c>
      <c r="M3097" s="460">
        <f t="shared" si="164"/>
        <v>0.05</v>
      </c>
      <c r="N3097" s="464">
        <f t="shared" si="165"/>
        <v>145308</v>
      </c>
    </row>
    <row r="3098" spans="7:14" ht="11.25" customHeight="1" x14ac:dyDescent="0.25">
      <c r="G3098" s="459"/>
      <c r="H3098" s="459">
        <v>3091</v>
      </c>
      <c r="I3098" s="444">
        <f t="shared" ca="1" si="163"/>
        <v>-176026941525.1738</v>
      </c>
      <c r="J3098" s="444">
        <f t="array" ref="J3098">IFERROR(INDEX('Retirement Calculator'!J:J,MATCH('Isaac 401k'!N3098,'Retirement Calculator'!A:A,0),0),0)</f>
        <v>0</v>
      </c>
      <c r="K3098" s="444">
        <f t="shared" ca="1" si="161"/>
        <v>-733445589.6882242</v>
      </c>
      <c r="L3098" s="444">
        <f t="shared" ca="1" si="162"/>
        <v>-176760387114.86203</v>
      </c>
      <c r="M3098" s="460">
        <f t="shared" si="164"/>
        <v>0.05</v>
      </c>
      <c r="N3098" s="464">
        <f t="shared" si="165"/>
        <v>145338</v>
      </c>
    </row>
    <row r="3099" spans="7:14" ht="11.25" customHeight="1" x14ac:dyDescent="0.25">
      <c r="G3099" s="459"/>
      <c r="H3099" s="459">
        <v>3092</v>
      </c>
      <c r="I3099" s="444">
        <f t="shared" ca="1" si="163"/>
        <v>-176760387114.86203</v>
      </c>
      <c r="J3099" s="444">
        <f t="array" ref="J3099">IFERROR(INDEX('Retirement Calculator'!J:J,MATCH('Isaac 401k'!N3099,'Retirement Calculator'!A:A,0),0),0)</f>
        <v>0</v>
      </c>
      <c r="K3099" s="444">
        <f t="shared" ca="1" si="161"/>
        <v>-736501612.9785918</v>
      </c>
      <c r="L3099" s="444">
        <f t="shared" ca="1" si="162"/>
        <v>-177496888727.84061</v>
      </c>
      <c r="M3099" s="460">
        <f t="shared" si="164"/>
        <v>0.05</v>
      </c>
      <c r="N3099" s="464">
        <f t="shared" si="165"/>
        <v>145369</v>
      </c>
    </row>
    <row r="3100" spans="7:14" ht="11.25" customHeight="1" x14ac:dyDescent="0.25">
      <c r="G3100" s="459"/>
      <c r="H3100" s="459">
        <v>3093</v>
      </c>
      <c r="I3100" s="444">
        <f t="shared" ca="1" si="163"/>
        <v>-177496888727.84061</v>
      </c>
      <c r="J3100" s="444">
        <f t="array" ref="J3100">IFERROR(INDEX('Retirement Calculator'!J:J,MATCH('Isaac 401k'!N3100,'Retirement Calculator'!A:A,0),0),0)</f>
        <v>0</v>
      </c>
      <c r="K3100" s="444">
        <f t="shared" ca="1" si="161"/>
        <v>-739570369.69933581</v>
      </c>
      <c r="L3100" s="444">
        <f t="shared" ca="1" si="162"/>
        <v>-178236459097.53995</v>
      </c>
      <c r="M3100" s="460">
        <f t="shared" si="164"/>
        <v>0.05</v>
      </c>
      <c r="N3100" s="464">
        <f t="shared" si="165"/>
        <v>145400</v>
      </c>
    </row>
    <row r="3101" spans="7:14" ht="11.25" customHeight="1" x14ac:dyDescent="0.25">
      <c r="G3101" s="459"/>
      <c r="H3101" s="459">
        <v>3094</v>
      </c>
      <c r="I3101" s="444">
        <f t="shared" ca="1" si="163"/>
        <v>-178236459097.53995</v>
      </c>
      <c r="J3101" s="444">
        <f t="array" ref="J3101">IFERROR(INDEX('Retirement Calculator'!J:J,MATCH('Isaac 401k'!N3101,'Retirement Calculator'!A:A,0),0),0)</f>
        <v>0</v>
      </c>
      <c r="K3101" s="444">
        <f t="shared" ca="1" si="161"/>
        <v>-742651912.90641642</v>
      </c>
      <c r="L3101" s="444">
        <f t="shared" ca="1" si="162"/>
        <v>-178979111010.44635</v>
      </c>
      <c r="M3101" s="460">
        <f t="shared" si="164"/>
        <v>0.05</v>
      </c>
      <c r="N3101" s="464">
        <f t="shared" si="165"/>
        <v>145428</v>
      </c>
    </row>
    <row r="3102" spans="7:14" ht="11.25" customHeight="1" x14ac:dyDescent="0.25">
      <c r="G3102" s="459"/>
      <c r="H3102" s="459">
        <v>3095</v>
      </c>
      <c r="I3102" s="444">
        <f t="shared" ca="1" si="163"/>
        <v>-178979111010.44635</v>
      </c>
      <c r="J3102" s="444">
        <f t="array" ref="J3102">IFERROR(INDEX('Retirement Calculator'!J:J,MATCH('Isaac 401k'!N3102,'Retirement Calculator'!A:A,0),0),0)</f>
        <v>0</v>
      </c>
      <c r="K3102" s="444">
        <f t="shared" ca="1" si="161"/>
        <v>-745746295.87685978</v>
      </c>
      <c r="L3102" s="444">
        <f t="shared" ca="1" si="162"/>
        <v>-179724857306.32321</v>
      </c>
      <c r="M3102" s="460">
        <f t="shared" si="164"/>
        <v>0.05</v>
      </c>
      <c r="N3102" s="464">
        <f t="shared" si="165"/>
        <v>145459</v>
      </c>
    </row>
    <row r="3103" spans="7:14" ht="11.25" customHeight="1" x14ac:dyDescent="0.25">
      <c r="G3103" s="459"/>
      <c r="H3103" s="459">
        <v>3096</v>
      </c>
      <c r="I3103" s="444">
        <f t="shared" ca="1" si="163"/>
        <v>-179724857306.32321</v>
      </c>
      <c r="J3103" s="444">
        <f t="array" ref="J3103">IFERROR(INDEX('Retirement Calculator'!J:J,MATCH('Isaac 401k'!N3103,'Retirement Calculator'!A:A,0),0),0)</f>
        <v>0</v>
      </c>
      <c r="K3103" s="444">
        <f t="shared" ca="1" si="161"/>
        <v>-748853572.10968006</v>
      </c>
      <c r="L3103" s="444">
        <f t="shared" ca="1" si="162"/>
        <v>-180473710878.43289</v>
      </c>
      <c r="M3103" s="460">
        <f t="shared" si="164"/>
        <v>0.05</v>
      </c>
      <c r="N3103" s="464">
        <f t="shared" si="165"/>
        <v>145489</v>
      </c>
    </row>
    <row r="3104" spans="7:14" ht="11.25" customHeight="1" x14ac:dyDescent="0.25">
      <c r="G3104" s="459"/>
      <c r="H3104" s="459">
        <v>3097</v>
      </c>
      <c r="I3104" s="444">
        <f t="shared" ca="1" si="163"/>
        <v>-180473710878.43289</v>
      </c>
      <c r="J3104" s="444">
        <f t="array" ref="J3104">IFERROR(INDEX('Retirement Calculator'!J:J,MATCH('Isaac 401k'!N3104,'Retirement Calculator'!A:A,0),0),0)</f>
        <v>0</v>
      </c>
      <c r="K3104" s="444">
        <f t="shared" ca="1" si="161"/>
        <v>-751973795.32680368</v>
      </c>
      <c r="L3104" s="444">
        <f t="shared" ca="1" si="162"/>
        <v>-181225684673.7597</v>
      </c>
      <c r="M3104" s="460">
        <f t="shared" si="164"/>
        <v>0.05</v>
      </c>
      <c r="N3104" s="464">
        <f t="shared" si="165"/>
        <v>145520</v>
      </c>
    </row>
    <row r="3105" spans="7:14" ht="11.25" customHeight="1" x14ac:dyDescent="0.25">
      <c r="G3105" s="459"/>
      <c r="H3105" s="459">
        <v>3098</v>
      </c>
      <c r="I3105" s="444">
        <f t="shared" ca="1" si="163"/>
        <v>-181225684673.7597</v>
      </c>
      <c r="J3105" s="444">
        <f t="array" ref="J3105">IFERROR(INDEX('Retirement Calculator'!J:J,MATCH('Isaac 401k'!N3105,'Retirement Calculator'!A:A,0),0),0)</f>
        <v>0</v>
      </c>
      <c r="K3105" s="444">
        <f t="shared" ca="1" si="161"/>
        <v>-755107019.47399879</v>
      </c>
      <c r="L3105" s="444">
        <f t="shared" ca="1" si="162"/>
        <v>-181980791693.2337</v>
      </c>
      <c r="M3105" s="460">
        <f t="shared" si="164"/>
        <v>0.05</v>
      </c>
      <c r="N3105" s="464">
        <f t="shared" si="165"/>
        <v>145550</v>
      </c>
    </row>
    <row r="3106" spans="7:14" ht="11.25" customHeight="1" x14ac:dyDescent="0.25">
      <c r="G3106" s="459"/>
      <c r="H3106" s="459">
        <v>3099</v>
      </c>
      <c r="I3106" s="444">
        <f t="shared" ca="1" si="163"/>
        <v>-181980791693.2337</v>
      </c>
      <c r="J3106" s="444">
        <f t="array" ref="J3106">IFERROR(INDEX('Retirement Calculator'!J:J,MATCH('Isaac 401k'!N3106,'Retirement Calculator'!A:A,0),0),0)</f>
        <v>0</v>
      </c>
      <c r="K3106" s="444">
        <f t="shared" ca="1" si="161"/>
        <v>-758253298.72180712</v>
      </c>
      <c r="L3106" s="444">
        <f t="shared" ca="1" si="162"/>
        <v>-182739044991.95551</v>
      </c>
      <c r="M3106" s="460">
        <f t="shared" si="164"/>
        <v>0.05</v>
      </c>
      <c r="N3106" s="464">
        <f t="shared" si="165"/>
        <v>145581</v>
      </c>
    </row>
    <row r="3107" spans="7:14" ht="11.25" customHeight="1" x14ac:dyDescent="0.25">
      <c r="G3107" s="459"/>
      <c r="H3107" s="459">
        <v>3100</v>
      </c>
      <c r="I3107" s="444">
        <f t="shared" ca="1" si="163"/>
        <v>-182739044991.95551</v>
      </c>
      <c r="J3107" s="444">
        <f t="array" ref="J3107">IFERROR(INDEX('Retirement Calculator'!J:J,MATCH('Isaac 401k'!N3107,'Retirement Calculator'!A:A,0),0),0)</f>
        <v>0</v>
      </c>
      <c r="K3107" s="444">
        <f t="shared" ca="1" si="161"/>
        <v>-761412687.46648121</v>
      </c>
      <c r="L3107" s="444">
        <f t="shared" ca="1" si="162"/>
        <v>-183500457679.422</v>
      </c>
      <c r="M3107" s="460">
        <f t="shared" si="164"/>
        <v>0.05</v>
      </c>
      <c r="N3107" s="464">
        <f t="shared" si="165"/>
        <v>145612</v>
      </c>
    </row>
    <row r="3108" spans="7:14" ht="11.25" customHeight="1" x14ac:dyDescent="0.25">
      <c r="G3108" s="459"/>
      <c r="H3108" s="459">
        <v>3101</v>
      </c>
      <c r="I3108" s="444">
        <f t="shared" ca="1" si="163"/>
        <v>-183500457679.422</v>
      </c>
      <c r="J3108" s="444">
        <f t="array" ref="J3108">IFERROR(INDEX('Retirement Calculator'!J:J,MATCH('Isaac 401k'!N3108,'Retirement Calculator'!A:A,0),0),0)</f>
        <v>0</v>
      </c>
      <c r="K3108" s="444">
        <f t="shared" ca="1" si="161"/>
        <v>-764585240.33092499</v>
      </c>
      <c r="L3108" s="444">
        <f t="shared" ca="1" si="162"/>
        <v>-184265042919.75293</v>
      </c>
      <c r="M3108" s="460">
        <f t="shared" si="164"/>
        <v>0.05</v>
      </c>
      <c r="N3108" s="464">
        <f t="shared" si="165"/>
        <v>145642</v>
      </c>
    </row>
    <row r="3109" spans="7:14" ht="11.25" customHeight="1" x14ac:dyDescent="0.25">
      <c r="G3109" s="459"/>
      <c r="H3109" s="459">
        <v>3102</v>
      </c>
      <c r="I3109" s="444">
        <f t="shared" ca="1" si="163"/>
        <v>-184265042919.75293</v>
      </c>
      <c r="J3109" s="444">
        <f t="array" ref="J3109">IFERROR(INDEX('Retirement Calculator'!J:J,MATCH('Isaac 401k'!N3109,'Retirement Calculator'!A:A,0),0),0)</f>
        <v>0</v>
      </c>
      <c r="K3109" s="444">
        <f t="shared" ca="1" si="161"/>
        <v>-767771012.16563725</v>
      </c>
      <c r="L3109" s="444">
        <f t="shared" ca="1" si="162"/>
        <v>-185032813931.91858</v>
      </c>
      <c r="M3109" s="460">
        <f t="shared" si="164"/>
        <v>0.05</v>
      </c>
      <c r="N3109" s="464">
        <f t="shared" si="165"/>
        <v>145673</v>
      </c>
    </row>
    <row r="3110" spans="7:14" ht="11.25" customHeight="1" x14ac:dyDescent="0.25">
      <c r="G3110" s="459"/>
      <c r="H3110" s="459">
        <v>3103</v>
      </c>
      <c r="I3110" s="444">
        <f t="shared" ca="1" si="163"/>
        <v>-185032813931.91858</v>
      </c>
      <c r="J3110" s="444">
        <f t="array" ref="J3110">IFERROR(INDEX('Retirement Calculator'!J:J,MATCH('Isaac 401k'!N3110,'Retirement Calculator'!A:A,0),0),0)</f>
        <v>0</v>
      </c>
      <c r="K3110" s="444">
        <f t="shared" ca="1" si="161"/>
        <v>-770970058.04966068</v>
      </c>
      <c r="L3110" s="444">
        <f t="shared" ca="1" si="162"/>
        <v>-185803783989.96823</v>
      </c>
      <c r="M3110" s="460">
        <f t="shared" si="164"/>
        <v>0.05</v>
      </c>
      <c r="N3110" s="464">
        <f t="shared" si="165"/>
        <v>145703</v>
      </c>
    </row>
    <row r="3111" spans="7:14" ht="11.25" customHeight="1" x14ac:dyDescent="0.25">
      <c r="G3111" s="459"/>
      <c r="H3111" s="459">
        <v>3104</v>
      </c>
      <c r="I3111" s="444">
        <f t="shared" ca="1" si="163"/>
        <v>-185803783989.96823</v>
      </c>
      <c r="J3111" s="444">
        <f t="array" ref="J3111">IFERROR(INDEX('Retirement Calculator'!J:J,MATCH('Isaac 401k'!N3111,'Retirement Calculator'!A:A,0),0),0)</f>
        <v>0</v>
      </c>
      <c r="K3111" s="444">
        <f t="shared" ca="1" si="161"/>
        <v>-774182433.2915343</v>
      </c>
      <c r="L3111" s="444">
        <f t="shared" ca="1" si="162"/>
        <v>-186577966423.25977</v>
      </c>
      <c r="M3111" s="460">
        <f t="shared" si="164"/>
        <v>0.05</v>
      </c>
      <c r="N3111" s="464">
        <f t="shared" si="165"/>
        <v>145734</v>
      </c>
    </row>
    <row r="3112" spans="7:14" ht="11.25" customHeight="1" x14ac:dyDescent="0.25">
      <c r="G3112" s="459"/>
      <c r="H3112" s="459">
        <v>3105</v>
      </c>
      <c r="I3112" s="444">
        <f t="shared" ca="1" si="163"/>
        <v>-186577966423.25977</v>
      </c>
      <c r="J3112" s="444">
        <f t="array" ref="J3112">IFERROR(INDEX('Retirement Calculator'!J:J,MATCH('Isaac 401k'!N3112,'Retirement Calculator'!A:A,0),0),0)</f>
        <v>0</v>
      </c>
      <c r="K3112" s="444">
        <f t="shared" ca="1" si="161"/>
        <v>-777408193.43024898</v>
      </c>
      <c r="L3112" s="444">
        <f t="shared" ca="1" si="162"/>
        <v>-187355374616.69</v>
      </c>
      <c r="M3112" s="460">
        <f t="shared" si="164"/>
        <v>0.05</v>
      </c>
      <c r="N3112" s="464">
        <f t="shared" si="165"/>
        <v>145765</v>
      </c>
    </row>
    <row r="3113" spans="7:14" ht="11.25" customHeight="1" x14ac:dyDescent="0.25">
      <c r="G3113" s="459"/>
      <c r="H3113" s="459">
        <v>3106</v>
      </c>
      <c r="I3113" s="444">
        <f t="shared" ca="1" si="163"/>
        <v>-187355374616.69</v>
      </c>
      <c r="J3113" s="444">
        <f t="array" ref="J3113">IFERROR(INDEX('Retirement Calculator'!J:J,MATCH('Isaac 401k'!N3113,'Retirement Calculator'!A:A,0),0),0)</f>
        <v>0</v>
      </c>
      <c r="K3113" s="444">
        <f t="shared" ca="1" si="161"/>
        <v>-780647394.23620832</v>
      </c>
      <c r="L3113" s="444">
        <f t="shared" ca="1" si="162"/>
        <v>-188136022010.92621</v>
      </c>
      <c r="M3113" s="460">
        <f t="shared" si="164"/>
        <v>0.05</v>
      </c>
      <c r="N3113" s="464">
        <f t="shared" si="165"/>
        <v>145793</v>
      </c>
    </row>
    <row r="3114" spans="7:14" ht="11.25" customHeight="1" x14ac:dyDescent="0.25">
      <c r="G3114" s="459"/>
      <c r="H3114" s="459">
        <v>3107</v>
      </c>
      <c r="I3114" s="444">
        <f t="shared" ca="1" si="163"/>
        <v>-188136022010.92621</v>
      </c>
      <c r="J3114" s="444">
        <f t="array" ref="J3114">IFERROR(INDEX('Retirement Calculator'!J:J,MATCH('Isaac 401k'!N3114,'Retirement Calculator'!A:A,0),0),0)</f>
        <v>0</v>
      </c>
      <c r="K3114" s="444">
        <f t="shared" ca="1" si="161"/>
        <v>-783900091.71219254</v>
      </c>
      <c r="L3114" s="444">
        <f t="shared" ca="1" si="162"/>
        <v>-188919922102.6384</v>
      </c>
      <c r="M3114" s="460">
        <f t="shared" si="164"/>
        <v>0.05</v>
      </c>
      <c r="N3114" s="464">
        <f t="shared" si="165"/>
        <v>145824</v>
      </c>
    </row>
    <row r="3115" spans="7:14" ht="11.25" customHeight="1" x14ac:dyDescent="0.25">
      <c r="G3115" s="459"/>
      <c r="H3115" s="459">
        <v>3108</v>
      </c>
      <c r="I3115" s="444">
        <f t="shared" ca="1" si="163"/>
        <v>-188919922102.6384</v>
      </c>
      <c r="J3115" s="444">
        <f t="array" ref="J3115">IFERROR(INDEX('Retirement Calculator'!J:J,MATCH('Isaac 401k'!N3115,'Retirement Calculator'!A:A,0),0),0)</f>
        <v>0</v>
      </c>
      <c r="K3115" s="444">
        <f t="shared" ca="1" si="161"/>
        <v>-787166342.09432662</v>
      </c>
      <c r="L3115" s="444">
        <f t="shared" ca="1" si="162"/>
        <v>-189707088444.73273</v>
      </c>
      <c r="M3115" s="460">
        <f t="shared" si="164"/>
        <v>0.05</v>
      </c>
      <c r="N3115" s="464">
        <f t="shared" si="165"/>
        <v>145854</v>
      </c>
    </row>
    <row r="3116" spans="7:14" ht="11.25" customHeight="1" x14ac:dyDescent="0.25">
      <c r="G3116" s="459"/>
      <c r="H3116" s="459">
        <v>3109</v>
      </c>
      <c r="I3116" s="444">
        <f t="shared" ca="1" si="163"/>
        <v>-189707088444.73273</v>
      </c>
      <c r="J3116" s="444">
        <f t="array" ref="J3116">IFERROR(INDEX('Retirement Calculator'!J:J,MATCH('Isaac 401k'!N3116,'Retirement Calculator'!A:A,0),0),0)</f>
        <v>0</v>
      </c>
      <c r="K3116" s="444">
        <f t="shared" ca="1" si="161"/>
        <v>-790446201.85305297</v>
      </c>
      <c r="L3116" s="444">
        <f t="shared" ca="1" si="162"/>
        <v>-190497534646.58578</v>
      </c>
      <c r="M3116" s="460">
        <f t="shared" si="164"/>
        <v>0.05</v>
      </c>
      <c r="N3116" s="464">
        <f t="shared" si="165"/>
        <v>145885</v>
      </c>
    </row>
    <row r="3117" spans="7:14" ht="11.25" customHeight="1" x14ac:dyDescent="0.25">
      <c r="G3117" s="459"/>
      <c r="H3117" s="459">
        <v>3110</v>
      </c>
      <c r="I3117" s="444">
        <f t="shared" ca="1" si="163"/>
        <v>-190497534646.58578</v>
      </c>
      <c r="J3117" s="444">
        <f t="array" ref="J3117">IFERROR(INDEX('Retirement Calculator'!J:J,MATCH('Isaac 401k'!N3117,'Retirement Calculator'!A:A,0),0),0)</f>
        <v>0</v>
      </c>
      <c r="K3117" s="444">
        <f t="shared" ca="1" si="161"/>
        <v>-793739727.69410741</v>
      </c>
      <c r="L3117" s="444">
        <f t="shared" ca="1" si="162"/>
        <v>-191291274374.27991</v>
      </c>
      <c r="M3117" s="460">
        <f t="shared" si="164"/>
        <v>0.05</v>
      </c>
      <c r="N3117" s="464">
        <f t="shared" si="165"/>
        <v>145915</v>
      </c>
    </row>
    <row r="3118" spans="7:14" ht="11.25" customHeight="1" x14ac:dyDescent="0.25">
      <c r="G3118" s="459"/>
      <c r="H3118" s="459">
        <v>3111</v>
      </c>
      <c r="I3118" s="444">
        <f t="shared" ca="1" si="163"/>
        <v>-191291274374.27991</v>
      </c>
      <c r="J3118" s="444">
        <f t="array" ref="J3118">IFERROR(INDEX('Retirement Calculator'!J:J,MATCH('Isaac 401k'!N3118,'Retirement Calculator'!A:A,0),0),0)</f>
        <v>0</v>
      </c>
      <c r="K3118" s="444">
        <f t="shared" ca="1" si="161"/>
        <v>-797046976.55949962</v>
      </c>
      <c r="L3118" s="444">
        <f t="shared" ca="1" si="162"/>
        <v>-192088321350.83942</v>
      </c>
      <c r="M3118" s="460">
        <f t="shared" si="164"/>
        <v>0.05</v>
      </c>
      <c r="N3118" s="464">
        <f t="shared" si="165"/>
        <v>145946</v>
      </c>
    </row>
    <row r="3119" spans="7:14" ht="11.25" customHeight="1" x14ac:dyDescent="0.25">
      <c r="G3119" s="459"/>
      <c r="H3119" s="459">
        <v>3112</v>
      </c>
      <c r="I3119" s="444">
        <f t="shared" ca="1" si="163"/>
        <v>-192088321350.83942</v>
      </c>
      <c r="J3119" s="444">
        <f t="array" ref="J3119">IFERROR(INDEX('Retirement Calculator'!J:J,MATCH('Isaac 401k'!N3119,'Retirement Calculator'!A:A,0),0),0)</f>
        <v>0</v>
      </c>
      <c r="K3119" s="444">
        <f t="shared" ca="1" si="161"/>
        <v>-800368005.6284976</v>
      </c>
      <c r="L3119" s="444">
        <f t="shared" ca="1" si="162"/>
        <v>-192888689356.46793</v>
      </c>
      <c r="M3119" s="460">
        <f t="shared" si="164"/>
        <v>0.05</v>
      </c>
      <c r="N3119" s="464">
        <f t="shared" si="165"/>
        <v>145977</v>
      </c>
    </row>
    <row r="3120" spans="7:14" ht="11.25" customHeight="1" x14ac:dyDescent="0.25">
      <c r="G3120" s="459"/>
      <c r="H3120" s="459">
        <v>3113</v>
      </c>
      <c r="I3120" s="444">
        <f t="shared" ca="1" si="163"/>
        <v>-192888689356.46793</v>
      </c>
      <c r="J3120" s="444">
        <f t="array" ref="J3120">IFERROR(INDEX('Retirement Calculator'!J:J,MATCH('Isaac 401k'!N3120,'Retirement Calculator'!A:A,0),0),0)</f>
        <v>0</v>
      </c>
      <c r="K3120" s="444">
        <f t="shared" ca="1" si="161"/>
        <v>-803702872.31861639</v>
      </c>
      <c r="L3120" s="444">
        <f t="shared" ca="1" si="162"/>
        <v>-193692392228.78653</v>
      </c>
      <c r="M3120" s="460">
        <f t="shared" si="164"/>
        <v>0.05</v>
      </c>
      <c r="N3120" s="464">
        <f t="shared" si="165"/>
        <v>146007</v>
      </c>
    </row>
    <row r="3121" spans="7:14" ht="11.25" customHeight="1" x14ac:dyDescent="0.25">
      <c r="G3121" s="459"/>
      <c r="H3121" s="459">
        <v>3114</v>
      </c>
      <c r="I3121" s="444">
        <f t="shared" ca="1" si="163"/>
        <v>-193692392228.78653</v>
      </c>
      <c r="J3121" s="444">
        <f t="array" ref="J3121">IFERROR(INDEX('Retirement Calculator'!J:J,MATCH('Isaac 401k'!N3121,'Retirement Calculator'!A:A,0),0),0)</f>
        <v>0</v>
      </c>
      <c r="K3121" s="444">
        <f t="shared" ca="1" si="161"/>
        <v>-807051634.28661048</v>
      </c>
      <c r="L3121" s="444">
        <f t="shared" ca="1" si="162"/>
        <v>-194499443863.07315</v>
      </c>
      <c r="M3121" s="460">
        <f t="shared" si="164"/>
        <v>0.05</v>
      </c>
      <c r="N3121" s="464">
        <f t="shared" si="165"/>
        <v>146038</v>
      </c>
    </row>
    <row r="3122" spans="7:14" ht="11.25" customHeight="1" x14ac:dyDescent="0.25">
      <c r="G3122" s="459"/>
      <c r="H3122" s="459">
        <v>3115</v>
      </c>
      <c r="I3122" s="444">
        <f t="shared" ca="1" si="163"/>
        <v>-194499443863.07315</v>
      </c>
      <c r="J3122" s="444">
        <f t="array" ref="J3122">IFERROR(INDEX('Retirement Calculator'!J:J,MATCH('Isaac 401k'!N3122,'Retirement Calculator'!A:A,0),0),0)</f>
        <v>0</v>
      </c>
      <c r="K3122" s="444">
        <f t="shared" ca="1" si="161"/>
        <v>-810414349.42947149</v>
      </c>
      <c r="L3122" s="444">
        <f t="shared" ca="1" si="162"/>
        <v>-195309858212.50262</v>
      </c>
      <c r="M3122" s="460">
        <f t="shared" si="164"/>
        <v>0.05</v>
      </c>
      <c r="N3122" s="464">
        <f t="shared" si="165"/>
        <v>146068</v>
      </c>
    </row>
    <row r="3123" spans="7:14" ht="11.25" customHeight="1" x14ac:dyDescent="0.25">
      <c r="G3123" s="459"/>
      <c r="H3123" s="459">
        <v>3116</v>
      </c>
      <c r="I3123" s="444">
        <f t="shared" ca="1" si="163"/>
        <v>-195309858212.50262</v>
      </c>
      <c r="J3123" s="444">
        <f t="array" ref="J3123">IFERROR(INDEX('Retirement Calculator'!J:J,MATCH('Isaac 401k'!N3123,'Retirement Calculator'!A:A,0),0),0)</f>
        <v>0</v>
      </c>
      <c r="K3123" s="444">
        <f t="shared" ca="1" si="161"/>
        <v>-813791075.88542759</v>
      </c>
      <c r="L3123" s="444">
        <f t="shared" ca="1" si="162"/>
        <v>-196123649288.38806</v>
      </c>
      <c r="M3123" s="460">
        <f t="shared" si="164"/>
        <v>0.05</v>
      </c>
      <c r="N3123" s="464">
        <f t="shared" si="165"/>
        <v>146099</v>
      </c>
    </row>
    <row r="3124" spans="7:14" ht="11.25" customHeight="1" x14ac:dyDescent="0.25">
      <c r="G3124" s="459"/>
      <c r="H3124" s="459">
        <v>3117</v>
      </c>
      <c r="I3124" s="444">
        <f t="shared" ca="1" si="163"/>
        <v>-196123649288.38806</v>
      </c>
      <c r="J3124" s="444">
        <f t="array" ref="J3124">IFERROR(INDEX('Retirement Calculator'!J:J,MATCH('Isaac 401k'!N3124,'Retirement Calculator'!A:A,0),0),0)</f>
        <v>0</v>
      </c>
      <c r="K3124" s="444">
        <f t="shared" ca="1" si="161"/>
        <v>-817181872.03495026</v>
      </c>
      <c r="L3124" s="444">
        <f t="shared" ca="1" si="162"/>
        <v>-196940831160.423</v>
      </c>
      <c r="M3124" s="460">
        <f t="shared" si="164"/>
        <v>0.05</v>
      </c>
      <c r="N3124" s="464">
        <f t="shared" si="165"/>
        <v>146130</v>
      </c>
    </row>
    <row r="3125" spans="7:14" ht="11.25" customHeight="1" x14ac:dyDescent="0.25">
      <c r="G3125" s="459"/>
      <c r="H3125" s="459">
        <v>3118</v>
      </c>
      <c r="I3125" s="444">
        <f t="shared" ca="1" si="163"/>
        <v>-196940831160.423</v>
      </c>
      <c r="J3125" s="444">
        <f t="array" ref="J3125">IFERROR(INDEX('Retirement Calculator'!J:J,MATCH('Isaac 401k'!N3125,'Retirement Calculator'!A:A,0),0),0)</f>
        <v>0</v>
      </c>
      <c r="K3125" s="444">
        <f t="shared" ca="1" si="161"/>
        <v>-820586796.50176251</v>
      </c>
      <c r="L3125" s="444">
        <f t="shared" ca="1" si="162"/>
        <v>-197761417956.92477</v>
      </c>
      <c r="M3125" s="460">
        <f t="shared" si="164"/>
        <v>0.05</v>
      </c>
      <c r="N3125" s="464">
        <f t="shared" si="165"/>
        <v>146158</v>
      </c>
    </row>
    <row r="3126" spans="7:14" ht="11.25" customHeight="1" x14ac:dyDescent="0.25">
      <c r="G3126" s="459"/>
      <c r="H3126" s="459">
        <v>3119</v>
      </c>
      <c r="I3126" s="444">
        <f t="shared" ca="1" si="163"/>
        <v>-197761417956.92477</v>
      </c>
      <c r="J3126" s="444">
        <f t="array" ref="J3126">IFERROR(INDEX('Retirement Calculator'!J:J,MATCH('Isaac 401k'!N3126,'Retirement Calculator'!A:A,0),0),0)</f>
        <v>0</v>
      </c>
      <c r="K3126" s="444">
        <f t="shared" ca="1" si="161"/>
        <v>-824005908.15385318</v>
      </c>
      <c r="L3126" s="444">
        <f t="shared" ca="1" si="162"/>
        <v>-198585423865.07861</v>
      </c>
      <c r="M3126" s="460">
        <f t="shared" si="164"/>
        <v>0.05</v>
      </c>
      <c r="N3126" s="464">
        <f t="shared" si="165"/>
        <v>146189</v>
      </c>
    </row>
    <row r="3127" spans="7:14" ht="11.25" customHeight="1" x14ac:dyDescent="0.25">
      <c r="G3127" s="459"/>
      <c r="H3127" s="459">
        <v>3120</v>
      </c>
      <c r="I3127" s="444">
        <f t="shared" ca="1" si="163"/>
        <v>-198585423865.07861</v>
      </c>
      <c r="J3127" s="444">
        <f t="array" ref="J3127">IFERROR(INDEX('Retirement Calculator'!J:J,MATCH('Isaac 401k'!N3127,'Retirement Calculator'!A:A,0),0),0)</f>
        <v>0</v>
      </c>
      <c r="K3127" s="444">
        <f t="shared" ca="1" si="161"/>
        <v>-827439266.10449421</v>
      </c>
      <c r="L3127" s="444">
        <f t="shared" ca="1" si="162"/>
        <v>-199412863131.18311</v>
      </c>
      <c r="M3127" s="460">
        <f t="shared" si="164"/>
        <v>0.05</v>
      </c>
      <c r="N3127" s="464">
        <f t="shared" si="165"/>
        <v>146219</v>
      </c>
    </row>
    <row r="3128" spans="7:14" ht="11.25" customHeight="1" x14ac:dyDescent="0.25">
      <c r="G3128" s="459"/>
      <c r="H3128" s="459">
        <v>3121</v>
      </c>
      <c r="I3128" s="444">
        <f t="shared" ca="1" si="163"/>
        <v>-199412863131.18311</v>
      </c>
      <c r="J3128" s="444">
        <f t="array" ref="J3128">IFERROR(INDEX('Retirement Calculator'!J:J,MATCH('Isaac 401k'!N3128,'Retirement Calculator'!A:A,0),0),0)</f>
        <v>0</v>
      </c>
      <c r="K3128" s="444">
        <f t="shared" ca="1" si="161"/>
        <v>-830886929.71326292</v>
      </c>
      <c r="L3128" s="444">
        <f t="shared" ca="1" si="162"/>
        <v>-200243750060.89636</v>
      </c>
      <c r="M3128" s="460">
        <f t="shared" si="164"/>
        <v>0.05</v>
      </c>
      <c r="N3128" s="464">
        <f t="shared" si="165"/>
        <v>146250</v>
      </c>
    </row>
    <row r="3129" spans="7:14" ht="11.25" customHeight="1" x14ac:dyDescent="0.25">
      <c r="G3129" s="459"/>
      <c r="H3129" s="459">
        <v>3122</v>
      </c>
      <c r="I3129" s="444">
        <f t="shared" ca="1" si="163"/>
        <v>-200243750060.89636</v>
      </c>
      <c r="J3129" s="444">
        <f t="array" ref="J3129">IFERROR(INDEX('Retirement Calculator'!J:J,MATCH('Isaac 401k'!N3129,'Retirement Calculator'!A:A,0),0),0)</f>
        <v>0</v>
      </c>
      <c r="K3129" s="444">
        <f t="shared" ca="1" si="161"/>
        <v>-834348958.5870682</v>
      </c>
      <c r="L3129" s="444">
        <f t="shared" ca="1" si="162"/>
        <v>-201078099019.48343</v>
      </c>
      <c r="M3129" s="460">
        <f t="shared" si="164"/>
        <v>0.05</v>
      </c>
      <c r="N3129" s="464">
        <f t="shared" si="165"/>
        <v>146280</v>
      </c>
    </row>
    <row r="3130" spans="7:14" ht="11.25" customHeight="1" x14ac:dyDescent="0.25">
      <c r="G3130" s="459"/>
      <c r="H3130" s="459">
        <v>3123</v>
      </c>
      <c r="I3130" s="444">
        <f t="shared" ca="1" si="163"/>
        <v>-201078099019.48343</v>
      </c>
      <c r="J3130" s="444">
        <f t="array" ref="J3130">IFERROR(INDEX('Retirement Calculator'!J:J,MATCH('Isaac 401k'!N3130,'Retirement Calculator'!A:A,0),0),0)</f>
        <v>0</v>
      </c>
      <c r="K3130" s="444">
        <f t="shared" ca="1" si="161"/>
        <v>-837825412.58118093</v>
      </c>
      <c r="L3130" s="444">
        <f t="shared" ca="1" si="162"/>
        <v>-201915924432.06461</v>
      </c>
      <c r="M3130" s="460">
        <f t="shared" si="164"/>
        <v>0.05</v>
      </c>
      <c r="N3130" s="464">
        <f t="shared" si="165"/>
        <v>146311</v>
      </c>
    </row>
    <row r="3131" spans="7:14" ht="11.25" customHeight="1" x14ac:dyDescent="0.25">
      <c r="G3131" s="459"/>
      <c r="H3131" s="459">
        <v>3124</v>
      </c>
      <c r="I3131" s="444">
        <f t="shared" ca="1" si="163"/>
        <v>-201915924432.06461</v>
      </c>
      <c r="J3131" s="444">
        <f t="array" ref="J3131">IFERROR(INDEX('Retirement Calculator'!J:J,MATCH('Isaac 401k'!N3131,'Retirement Calculator'!A:A,0),0),0)</f>
        <v>0</v>
      </c>
      <c r="K3131" s="444">
        <f t="shared" ca="1" si="161"/>
        <v>-841316351.80026913</v>
      </c>
      <c r="L3131" s="444">
        <f t="shared" ca="1" si="162"/>
        <v>-202757240783.86487</v>
      </c>
      <c r="M3131" s="460">
        <f t="shared" si="164"/>
        <v>0.05</v>
      </c>
      <c r="N3131" s="464">
        <f t="shared" si="165"/>
        <v>146342</v>
      </c>
    </row>
    <row r="3132" spans="7:14" ht="11.25" customHeight="1" x14ac:dyDescent="0.25">
      <c r="G3132" s="459"/>
      <c r="H3132" s="459">
        <v>3125</v>
      </c>
      <c r="I3132" s="444">
        <f t="shared" ca="1" si="163"/>
        <v>-202757240783.86487</v>
      </c>
      <c r="J3132" s="444">
        <f t="array" ref="J3132">IFERROR(INDEX('Retirement Calculator'!J:J,MATCH('Isaac 401k'!N3132,'Retirement Calculator'!A:A,0),0),0)</f>
        <v>0</v>
      </c>
      <c r="K3132" s="444">
        <f t="shared" ca="1" si="161"/>
        <v>-844821836.599437</v>
      </c>
      <c r="L3132" s="444">
        <f t="shared" ca="1" si="162"/>
        <v>-203602062620.46429</v>
      </c>
      <c r="M3132" s="460">
        <f t="shared" si="164"/>
        <v>0.05</v>
      </c>
      <c r="N3132" s="464">
        <f t="shared" si="165"/>
        <v>146372</v>
      </c>
    </row>
    <row r="3133" spans="7:14" ht="11.25" customHeight="1" x14ac:dyDescent="0.25">
      <c r="G3133" s="459"/>
      <c r="H3133" s="459">
        <v>3126</v>
      </c>
      <c r="I3133" s="444">
        <f t="shared" ca="1" si="163"/>
        <v>-203602062620.46429</v>
      </c>
      <c r="J3133" s="444">
        <f t="array" ref="J3133">IFERROR(INDEX('Retirement Calculator'!J:J,MATCH('Isaac 401k'!N3133,'Retirement Calculator'!A:A,0),0),0)</f>
        <v>0</v>
      </c>
      <c r="K3133" s="444">
        <f t="shared" ca="1" si="161"/>
        <v>-848341927.5852679</v>
      </c>
      <c r="L3133" s="444">
        <f t="shared" ca="1" si="162"/>
        <v>-204450404548.04956</v>
      </c>
      <c r="M3133" s="460">
        <f t="shared" si="164"/>
        <v>0.05</v>
      </c>
      <c r="N3133" s="464">
        <f t="shared" si="165"/>
        <v>146403</v>
      </c>
    </row>
    <row r="3134" spans="7:14" ht="11.25" customHeight="1" x14ac:dyDescent="0.25">
      <c r="G3134" s="459"/>
      <c r="H3134" s="459">
        <v>3127</v>
      </c>
      <c r="I3134" s="444">
        <f t="shared" ca="1" si="163"/>
        <v>-204450404548.04956</v>
      </c>
      <c r="J3134" s="444">
        <f t="array" ref="J3134">IFERROR(INDEX('Retirement Calculator'!J:J,MATCH('Isaac 401k'!N3134,'Retirement Calculator'!A:A,0),0),0)</f>
        <v>0</v>
      </c>
      <c r="K3134" s="444">
        <f t="shared" ca="1" si="161"/>
        <v>-851876685.61687315</v>
      </c>
      <c r="L3134" s="444">
        <f t="shared" ca="1" si="162"/>
        <v>-205302281233.66644</v>
      </c>
      <c r="M3134" s="460">
        <f t="shared" si="164"/>
        <v>0.05</v>
      </c>
      <c r="N3134" s="464">
        <f t="shared" si="165"/>
        <v>146433</v>
      </c>
    </row>
    <row r="3135" spans="7:14" ht="11.25" customHeight="1" x14ac:dyDescent="0.25">
      <c r="G3135" s="459"/>
      <c r="H3135" s="459">
        <v>3128</v>
      </c>
      <c r="I3135" s="444">
        <f t="shared" ca="1" si="163"/>
        <v>-205302281233.66644</v>
      </c>
      <c r="J3135" s="444">
        <f t="array" ref="J3135">IFERROR(INDEX('Retirement Calculator'!J:J,MATCH('Isaac 401k'!N3135,'Retirement Calculator'!A:A,0),0),0)</f>
        <v>0</v>
      </c>
      <c r="K3135" s="444">
        <f t="shared" ca="1" si="161"/>
        <v>-855426171.80694354</v>
      </c>
      <c r="L3135" s="444">
        <f t="shared" ca="1" si="162"/>
        <v>-206157707405.47339</v>
      </c>
      <c r="M3135" s="460">
        <f t="shared" si="164"/>
        <v>0.05</v>
      </c>
      <c r="N3135" s="464">
        <f t="shared" si="165"/>
        <v>146464</v>
      </c>
    </row>
    <row r="3136" spans="7:14" ht="11.25" customHeight="1" x14ac:dyDescent="0.25">
      <c r="G3136" s="459"/>
      <c r="H3136" s="459">
        <v>3129</v>
      </c>
      <c r="I3136" s="444">
        <f t="shared" ca="1" si="163"/>
        <v>-206157707405.47339</v>
      </c>
      <c r="J3136" s="444">
        <f t="array" ref="J3136">IFERROR(INDEX('Retirement Calculator'!J:J,MATCH('Isaac 401k'!N3136,'Retirement Calculator'!A:A,0),0),0)</f>
        <v>0</v>
      </c>
      <c r="K3136" s="444">
        <f t="shared" ca="1" si="161"/>
        <v>-858990447.52280581</v>
      </c>
      <c r="L3136" s="444">
        <f t="shared" ca="1" si="162"/>
        <v>-207016697852.99619</v>
      </c>
      <c r="M3136" s="460">
        <f t="shared" si="164"/>
        <v>0.05</v>
      </c>
      <c r="N3136" s="464">
        <f t="shared" si="165"/>
        <v>146495</v>
      </c>
    </row>
    <row r="3137" spans="7:14" ht="11.25" customHeight="1" x14ac:dyDescent="0.25">
      <c r="G3137" s="459"/>
      <c r="H3137" s="459">
        <v>3130</v>
      </c>
      <c r="I3137" s="444">
        <f t="shared" ca="1" si="163"/>
        <v>-207016697852.99619</v>
      </c>
      <c r="J3137" s="444">
        <f t="array" ref="J3137">IFERROR(INDEX('Retirement Calculator'!J:J,MATCH('Isaac 401k'!N3137,'Retirement Calculator'!A:A,0),0),0)</f>
        <v>0</v>
      </c>
      <c r="K3137" s="444">
        <f t="shared" ca="1" si="161"/>
        <v>-862569574.38748407</v>
      </c>
      <c r="L3137" s="444">
        <f t="shared" ca="1" si="162"/>
        <v>-207879267427.38367</v>
      </c>
      <c r="M3137" s="460">
        <f t="shared" si="164"/>
        <v>0.05</v>
      </c>
      <c r="N3137" s="464">
        <f t="shared" si="165"/>
        <v>146523</v>
      </c>
    </row>
    <row r="3138" spans="7:14" ht="11.25" customHeight="1" x14ac:dyDescent="0.25">
      <c r="G3138" s="459"/>
      <c r="H3138" s="459">
        <v>3131</v>
      </c>
      <c r="I3138" s="444">
        <f t="shared" ca="1" si="163"/>
        <v>-207879267427.38367</v>
      </c>
      <c r="J3138" s="444">
        <f t="array" ref="J3138">IFERROR(INDEX('Retirement Calculator'!J:J,MATCH('Isaac 401k'!N3138,'Retirement Calculator'!A:A,0),0),0)</f>
        <v>0</v>
      </c>
      <c r="K3138" s="444">
        <f t="shared" ca="1" si="161"/>
        <v>-866163614.2807653</v>
      </c>
      <c r="L3138" s="444">
        <f t="shared" ca="1" si="162"/>
        <v>-208745431041.66443</v>
      </c>
      <c r="M3138" s="460">
        <f t="shared" si="164"/>
        <v>0.05</v>
      </c>
      <c r="N3138" s="464">
        <f t="shared" si="165"/>
        <v>146554</v>
      </c>
    </row>
    <row r="3139" spans="7:14" ht="11.25" customHeight="1" x14ac:dyDescent="0.25">
      <c r="G3139" s="459"/>
      <c r="H3139" s="459">
        <v>3132</v>
      </c>
      <c r="I3139" s="444">
        <f t="shared" ca="1" si="163"/>
        <v>-208745431041.66443</v>
      </c>
      <c r="J3139" s="444">
        <f t="array" ref="J3139">IFERROR(INDEX('Retirement Calculator'!J:J,MATCH('Isaac 401k'!N3139,'Retirement Calculator'!A:A,0),0),0)</f>
        <v>0</v>
      </c>
      <c r="K3139" s="444">
        <f t="shared" ca="1" si="161"/>
        <v>-869772629.34026849</v>
      </c>
      <c r="L3139" s="444">
        <f t="shared" ca="1" si="162"/>
        <v>-209615203671.0047</v>
      </c>
      <c r="M3139" s="460">
        <f t="shared" si="164"/>
        <v>0.05</v>
      </c>
      <c r="N3139" s="464">
        <f t="shared" si="165"/>
        <v>146584</v>
      </c>
    </row>
    <row r="3140" spans="7:14" ht="11.25" customHeight="1" x14ac:dyDescent="0.25">
      <c r="G3140" s="459"/>
      <c r="H3140" s="459">
        <v>3133</v>
      </c>
      <c r="I3140" s="444">
        <f t="shared" ca="1" si="163"/>
        <v>-209615203671.0047</v>
      </c>
      <c r="J3140" s="444">
        <f t="array" ref="J3140">IFERROR(INDEX('Retirement Calculator'!J:J,MATCH('Isaac 401k'!N3140,'Retirement Calculator'!A:A,0),0),0)</f>
        <v>0</v>
      </c>
      <c r="K3140" s="444">
        <f t="shared" ca="1" si="161"/>
        <v>-873396681.96251953</v>
      </c>
      <c r="L3140" s="444">
        <f t="shared" ca="1" si="162"/>
        <v>-210488600352.96722</v>
      </c>
      <c r="M3140" s="460">
        <f t="shared" si="164"/>
        <v>0.05</v>
      </c>
      <c r="N3140" s="464">
        <f t="shared" si="165"/>
        <v>146615</v>
      </c>
    </row>
    <row r="3141" spans="7:14" ht="11.25" customHeight="1" x14ac:dyDescent="0.25">
      <c r="G3141" s="459"/>
      <c r="H3141" s="459">
        <v>3134</v>
      </c>
      <c r="I3141" s="444">
        <f t="shared" ca="1" si="163"/>
        <v>-210488600352.96722</v>
      </c>
      <c r="J3141" s="444">
        <f t="array" ref="J3141">IFERROR(INDEX('Retirement Calculator'!J:J,MATCH('Isaac 401k'!N3141,'Retirement Calculator'!A:A,0),0),0)</f>
        <v>0</v>
      </c>
      <c r="K3141" s="444">
        <f t="shared" ca="1" si="161"/>
        <v>-877035834.80403006</v>
      </c>
      <c r="L3141" s="444">
        <f t="shared" ca="1" si="162"/>
        <v>-211365636187.77124</v>
      </c>
      <c r="M3141" s="460">
        <f t="shared" si="164"/>
        <v>0.05</v>
      </c>
      <c r="N3141" s="464">
        <f t="shared" si="165"/>
        <v>146645</v>
      </c>
    </row>
    <row r="3142" spans="7:14" ht="11.25" customHeight="1" x14ac:dyDescent="0.25">
      <c r="G3142" s="459"/>
      <c r="H3142" s="459">
        <v>3135</v>
      </c>
      <c r="I3142" s="444">
        <f t="shared" ca="1" si="163"/>
        <v>-211365636187.77124</v>
      </c>
      <c r="J3142" s="444">
        <f t="array" ref="J3142">IFERROR(INDEX('Retirement Calculator'!J:J,MATCH('Isaac 401k'!N3142,'Retirement Calculator'!A:A,0),0),0)</f>
        <v>0</v>
      </c>
      <c r="K3142" s="444">
        <f t="shared" ca="1" si="161"/>
        <v>-880690150.7823801</v>
      </c>
      <c r="L3142" s="444">
        <f t="shared" ca="1" si="162"/>
        <v>-212246326338.55362</v>
      </c>
      <c r="M3142" s="460">
        <f t="shared" si="164"/>
        <v>0.05</v>
      </c>
      <c r="N3142" s="464">
        <f t="shared" si="165"/>
        <v>146676</v>
      </c>
    </row>
    <row r="3143" spans="7:14" ht="11.25" customHeight="1" x14ac:dyDescent="0.25">
      <c r="G3143" s="459"/>
      <c r="H3143" s="459">
        <v>3136</v>
      </c>
      <c r="I3143" s="444">
        <f t="shared" ca="1" si="163"/>
        <v>-212246326338.55362</v>
      </c>
      <c r="J3143" s="444">
        <f t="array" ref="J3143">IFERROR(INDEX('Retirement Calculator'!J:J,MATCH('Isaac 401k'!N3143,'Retirement Calculator'!A:A,0),0),0)</f>
        <v>0</v>
      </c>
      <c r="K3143" s="444">
        <f t="shared" ca="1" si="161"/>
        <v>-884359693.07730675</v>
      </c>
      <c r="L3143" s="444">
        <f t="shared" ca="1" si="162"/>
        <v>-213130686031.63092</v>
      </c>
      <c r="M3143" s="460">
        <f t="shared" si="164"/>
        <v>0.05</v>
      </c>
      <c r="N3143" s="464">
        <f t="shared" si="165"/>
        <v>146707</v>
      </c>
    </row>
    <row r="3144" spans="7:14" ht="11.25" customHeight="1" x14ac:dyDescent="0.25">
      <c r="G3144" s="459"/>
      <c r="H3144" s="459">
        <v>3137</v>
      </c>
      <c r="I3144" s="444">
        <f t="shared" ca="1" si="163"/>
        <v>-213130686031.63092</v>
      </c>
      <c r="J3144" s="444">
        <f t="array" ref="J3144">IFERROR(INDEX('Retirement Calculator'!J:J,MATCH('Isaac 401k'!N3144,'Retirement Calculator'!A:A,0),0),0)</f>
        <v>0</v>
      </c>
      <c r="K3144" s="444">
        <f t="shared" ca="1" si="161"/>
        <v>-888044525.13179553</v>
      </c>
      <c r="L3144" s="444">
        <f t="shared" ca="1" si="162"/>
        <v>-214018730556.76273</v>
      </c>
      <c r="M3144" s="460">
        <f t="shared" si="164"/>
        <v>0.05</v>
      </c>
      <c r="N3144" s="464">
        <f t="shared" si="165"/>
        <v>146737</v>
      </c>
    </row>
    <row r="3145" spans="7:14" ht="11.25" customHeight="1" x14ac:dyDescent="0.25">
      <c r="G3145" s="459"/>
      <c r="H3145" s="459">
        <v>3138</v>
      </c>
      <c r="I3145" s="444">
        <f t="shared" ca="1" si="163"/>
        <v>-214018730556.76273</v>
      </c>
      <c r="J3145" s="444">
        <f t="array" ref="J3145">IFERROR(INDEX('Retirement Calculator'!J:J,MATCH('Isaac 401k'!N3145,'Retirement Calculator'!A:A,0),0),0)</f>
        <v>0</v>
      </c>
      <c r="K3145" s="444">
        <f t="shared" ca="1" si="161"/>
        <v>-891744710.65317798</v>
      </c>
      <c r="L3145" s="444">
        <f t="shared" ca="1" si="162"/>
        <v>-214910475267.41589</v>
      </c>
      <c r="M3145" s="460">
        <f t="shared" si="164"/>
        <v>0.05</v>
      </c>
      <c r="N3145" s="464">
        <f t="shared" si="165"/>
        <v>146768</v>
      </c>
    </row>
    <row r="3146" spans="7:14" ht="11.25" customHeight="1" x14ac:dyDescent="0.25">
      <c r="G3146" s="459"/>
      <c r="H3146" s="459">
        <v>3139</v>
      </c>
      <c r="I3146" s="444">
        <f t="shared" ca="1" si="163"/>
        <v>-214910475267.41589</v>
      </c>
      <c r="J3146" s="444">
        <f t="array" ref="J3146">IFERROR(INDEX('Retirement Calculator'!J:J,MATCH('Isaac 401k'!N3146,'Retirement Calculator'!A:A,0),0),0)</f>
        <v>0</v>
      </c>
      <c r="K3146" s="444">
        <f t="shared" ca="1" si="161"/>
        <v>-895460313.61423278</v>
      </c>
      <c r="L3146" s="444">
        <f t="shared" ca="1" si="162"/>
        <v>-215805935581.03012</v>
      </c>
      <c r="M3146" s="460">
        <f t="shared" si="164"/>
        <v>0.05</v>
      </c>
      <c r="N3146" s="464">
        <f t="shared" si="165"/>
        <v>146798</v>
      </c>
    </row>
    <row r="3147" spans="7:14" ht="11.25" customHeight="1" x14ac:dyDescent="0.25">
      <c r="G3147" s="459"/>
      <c r="H3147" s="459">
        <v>3140</v>
      </c>
      <c r="I3147" s="444">
        <f t="shared" ca="1" si="163"/>
        <v>-215805935581.03012</v>
      </c>
      <c r="J3147" s="444">
        <f t="array" ref="J3147">IFERROR(INDEX('Retirement Calculator'!J:J,MATCH('Isaac 401k'!N3147,'Retirement Calculator'!A:A,0),0),0)</f>
        <v>0</v>
      </c>
      <c r="K3147" s="444">
        <f t="shared" ca="1" si="161"/>
        <v>-899191398.25429213</v>
      </c>
      <c r="L3147" s="444">
        <f t="shared" ca="1" si="162"/>
        <v>-216705126979.28442</v>
      </c>
      <c r="M3147" s="460">
        <f t="shared" si="164"/>
        <v>0.05</v>
      </c>
      <c r="N3147" s="464">
        <f t="shared" si="165"/>
        <v>146829</v>
      </c>
    </row>
    <row r="3148" spans="7:14" ht="11.25" customHeight="1" x14ac:dyDescent="0.25">
      <c r="G3148" s="459"/>
      <c r="H3148" s="459">
        <v>3141</v>
      </c>
      <c r="I3148" s="444">
        <f t="shared" ca="1" si="163"/>
        <v>-216705126979.28442</v>
      </c>
      <c r="J3148" s="444">
        <f t="array" ref="J3148">IFERROR(INDEX('Retirement Calculator'!J:J,MATCH('Isaac 401k'!N3148,'Retirement Calculator'!A:A,0),0),0)</f>
        <v>0</v>
      </c>
      <c r="K3148" s="444">
        <f t="shared" ca="1" si="161"/>
        <v>-902938029.08035183</v>
      </c>
      <c r="L3148" s="444">
        <f t="shared" ca="1" si="162"/>
        <v>-217608065008.36478</v>
      </c>
      <c r="M3148" s="460">
        <f t="shared" si="164"/>
        <v>0.05</v>
      </c>
      <c r="N3148" s="464">
        <f t="shared" si="165"/>
        <v>146860</v>
      </c>
    </row>
    <row r="3149" spans="7:14" ht="11.25" customHeight="1" x14ac:dyDescent="0.25">
      <c r="G3149" s="459"/>
      <c r="H3149" s="459">
        <v>3142</v>
      </c>
      <c r="I3149" s="444">
        <f t="shared" ca="1" si="163"/>
        <v>-217608065008.36478</v>
      </c>
      <c r="J3149" s="444">
        <f t="array" ref="J3149">IFERROR(INDEX('Retirement Calculator'!J:J,MATCH('Isaac 401k'!N3149,'Retirement Calculator'!A:A,0),0),0)</f>
        <v>0</v>
      </c>
      <c r="K3149" s="444">
        <f t="shared" ca="1" si="161"/>
        <v>-906700270.86818671</v>
      </c>
      <c r="L3149" s="444">
        <f t="shared" ca="1" si="162"/>
        <v>-218514765279.23297</v>
      </c>
      <c r="M3149" s="460">
        <f t="shared" si="164"/>
        <v>0.05</v>
      </c>
      <c r="N3149" s="464">
        <f t="shared" si="165"/>
        <v>146888</v>
      </c>
    </row>
    <row r="3150" spans="7:14" ht="11.25" customHeight="1" x14ac:dyDescent="0.25">
      <c r="G3150" s="459"/>
      <c r="H3150" s="459">
        <v>3143</v>
      </c>
      <c r="I3150" s="444">
        <f t="shared" ca="1" si="163"/>
        <v>-218514765279.23297</v>
      </c>
      <c r="J3150" s="444">
        <f t="array" ref="J3150">IFERROR(INDEX('Retirement Calculator'!J:J,MATCH('Isaac 401k'!N3150,'Retirement Calculator'!A:A,0),0),0)</f>
        <v>0</v>
      </c>
      <c r="K3150" s="444">
        <f t="shared" ca="1" si="161"/>
        <v>-910478188.66347063</v>
      </c>
      <c r="L3150" s="444">
        <f t="shared" ca="1" si="162"/>
        <v>-219425243467.89645</v>
      </c>
      <c r="M3150" s="460">
        <f t="shared" si="164"/>
        <v>0.05</v>
      </c>
      <c r="N3150" s="464">
        <f t="shared" si="165"/>
        <v>146919</v>
      </c>
    </row>
    <row r="3151" spans="7:14" ht="11.25" customHeight="1" x14ac:dyDescent="0.25">
      <c r="G3151" s="459"/>
      <c r="H3151" s="459">
        <v>3144</v>
      </c>
      <c r="I3151" s="444">
        <f t="shared" ca="1" si="163"/>
        <v>-219425243467.89645</v>
      </c>
      <c r="J3151" s="444">
        <f t="array" ref="J3151">IFERROR(INDEX('Retirement Calculator'!J:J,MATCH('Isaac 401k'!N3151,'Retirement Calculator'!A:A,0),0),0)</f>
        <v>0</v>
      </c>
      <c r="K3151" s="444">
        <f t="shared" ca="1" si="161"/>
        <v>-914271847.78290176</v>
      </c>
      <c r="L3151" s="444">
        <f t="shared" ca="1" si="162"/>
        <v>-220339515315.67935</v>
      </c>
      <c r="M3151" s="460">
        <f t="shared" si="164"/>
        <v>0.05</v>
      </c>
      <c r="N3151" s="464">
        <f t="shared" si="165"/>
        <v>146949</v>
      </c>
    </row>
    <row r="3152" spans="7:14" ht="11.25" customHeight="1" x14ac:dyDescent="0.25">
      <c r="G3152" s="459"/>
      <c r="H3152" s="459">
        <v>3145</v>
      </c>
      <c r="I3152" s="444">
        <f t="shared" ca="1" si="163"/>
        <v>-220339515315.67935</v>
      </c>
      <c r="J3152" s="444">
        <f t="array" ref="J3152">IFERROR(INDEX('Retirement Calculator'!J:J,MATCH('Isaac 401k'!N3152,'Retirement Calculator'!A:A,0),0),0)</f>
        <v>0</v>
      </c>
      <c r="K3152" s="444">
        <f t="shared" ca="1" si="161"/>
        <v>-918081313.81533062</v>
      </c>
      <c r="L3152" s="444">
        <f t="shared" ca="1" si="162"/>
        <v>-221257596629.49469</v>
      </c>
      <c r="M3152" s="460">
        <f t="shared" si="164"/>
        <v>0.05</v>
      </c>
      <c r="N3152" s="464">
        <f t="shared" si="165"/>
        <v>146980</v>
      </c>
    </row>
    <row r="3153" spans="7:14" ht="11.25" customHeight="1" x14ac:dyDescent="0.25">
      <c r="G3153" s="459"/>
      <c r="H3153" s="459">
        <v>3146</v>
      </c>
      <c r="I3153" s="444">
        <f t="shared" ca="1" si="163"/>
        <v>-221257596629.49469</v>
      </c>
      <c r="J3153" s="444">
        <f t="array" ref="J3153">IFERROR(INDEX('Retirement Calculator'!J:J,MATCH('Isaac 401k'!N3153,'Retirement Calculator'!A:A,0),0),0)</f>
        <v>0</v>
      </c>
      <c r="K3153" s="444">
        <f t="shared" ca="1" si="161"/>
        <v>-921906652.62289464</v>
      </c>
      <c r="L3153" s="444">
        <f t="shared" ca="1" si="162"/>
        <v>-222179503282.11758</v>
      </c>
      <c r="M3153" s="460">
        <f t="shared" si="164"/>
        <v>0.05</v>
      </c>
      <c r="N3153" s="464">
        <f t="shared" si="165"/>
        <v>147010</v>
      </c>
    </row>
    <row r="3154" spans="7:14" ht="11.25" customHeight="1" x14ac:dyDescent="0.25">
      <c r="G3154" s="459"/>
      <c r="H3154" s="459">
        <v>3147</v>
      </c>
      <c r="I3154" s="444">
        <f t="shared" ca="1" si="163"/>
        <v>-222179503282.11758</v>
      </c>
      <c r="J3154" s="444">
        <f t="array" ref="J3154">IFERROR(INDEX('Retirement Calculator'!J:J,MATCH('Isaac 401k'!N3154,'Retirement Calculator'!A:A,0),0),0)</f>
        <v>0</v>
      </c>
      <c r="K3154" s="444">
        <f t="shared" ca="1" si="161"/>
        <v>-925747930.34215677</v>
      </c>
      <c r="L3154" s="444">
        <f t="shared" ca="1" si="162"/>
        <v>-223105251212.45975</v>
      </c>
      <c r="M3154" s="460">
        <f t="shared" si="164"/>
        <v>0.05</v>
      </c>
      <c r="N3154" s="464">
        <f t="shared" si="165"/>
        <v>147041</v>
      </c>
    </row>
    <row r="3155" spans="7:14" ht="11.25" customHeight="1" x14ac:dyDescent="0.25">
      <c r="G3155" s="459"/>
      <c r="H3155" s="459">
        <v>3148</v>
      </c>
      <c r="I3155" s="444">
        <f t="shared" ca="1" si="163"/>
        <v>-223105251212.45975</v>
      </c>
      <c r="J3155" s="444">
        <f t="array" ref="J3155">IFERROR(INDEX('Retirement Calculator'!J:J,MATCH('Isaac 401k'!N3155,'Retirement Calculator'!A:A,0),0),0)</f>
        <v>0</v>
      </c>
      <c r="K3155" s="444">
        <f t="shared" ca="1" si="161"/>
        <v>-929605213.3852489</v>
      </c>
      <c r="L3155" s="444">
        <f t="shared" ca="1" si="162"/>
        <v>-224034856425.845</v>
      </c>
      <c r="M3155" s="460">
        <f t="shared" si="164"/>
        <v>0.05</v>
      </c>
      <c r="N3155" s="464">
        <f t="shared" si="165"/>
        <v>147072</v>
      </c>
    </row>
    <row r="3156" spans="7:14" ht="11.25" customHeight="1" x14ac:dyDescent="0.25">
      <c r="G3156" s="459"/>
      <c r="H3156" s="459">
        <v>3149</v>
      </c>
      <c r="I3156" s="444">
        <f t="shared" ca="1" si="163"/>
        <v>-224034856425.845</v>
      </c>
      <c r="J3156" s="444">
        <f t="array" ref="J3156">IFERROR(INDEX('Retirement Calculator'!J:J,MATCH('Isaac 401k'!N3156,'Retirement Calculator'!A:A,0),0),0)</f>
        <v>0</v>
      </c>
      <c r="K3156" s="444">
        <f t="shared" ca="1" si="161"/>
        <v>-933478568.44102085</v>
      </c>
      <c r="L3156" s="444">
        <f t="shared" ca="1" si="162"/>
        <v>-224968334994.28601</v>
      </c>
      <c r="M3156" s="460">
        <f t="shared" si="164"/>
        <v>0.05</v>
      </c>
      <c r="N3156" s="464">
        <f t="shared" si="165"/>
        <v>147102</v>
      </c>
    </row>
    <row r="3157" spans="7:14" ht="11.25" customHeight="1" x14ac:dyDescent="0.25">
      <c r="G3157" s="459"/>
      <c r="H3157" s="459">
        <v>3150</v>
      </c>
      <c r="I3157" s="444">
        <f t="shared" ca="1" si="163"/>
        <v>-224968334994.28601</v>
      </c>
      <c r="J3157" s="444">
        <f t="array" ref="J3157">IFERROR(INDEX('Retirement Calculator'!J:J,MATCH('Isaac 401k'!N3157,'Retirement Calculator'!A:A,0),0),0)</f>
        <v>0</v>
      </c>
      <c r="K3157" s="444">
        <f t="shared" ca="1" si="161"/>
        <v>-937368062.47619152</v>
      </c>
      <c r="L3157" s="444">
        <f t="shared" ca="1" si="162"/>
        <v>-225905703056.76221</v>
      </c>
      <c r="M3157" s="460">
        <f t="shared" si="164"/>
        <v>0.05</v>
      </c>
      <c r="N3157" s="464">
        <f t="shared" si="165"/>
        <v>147133</v>
      </c>
    </row>
    <row r="3158" spans="7:14" ht="11.25" customHeight="1" x14ac:dyDescent="0.25">
      <c r="G3158" s="459"/>
      <c r="H3158" s="459">
        <v>3151</v>
      </c>
      <c r="I3158" s="444">
        <f t="shared" ca="1" si="163"/>
        <v>-225905703056.76221</v>
      </c>
      <c r="J3158" s="444">
        <f t="array" ref="J3158">IFERROR(INDEX('Retirement Calculator'!J:J,MATCH('Isaac 401k'!N3158,'Retirement Calculator'!A:A,0),0),0)</f>
        <v>0</v>
      </c>
      <c r="K3158" s="444">
        <f t="shared" ca="1" si="161"/>
        <v>-941273762.73650932</v>
      </c>
      <c r="L3158" s="444">
        <f t="shared" ca="1" si="162"/>
        <v>-226846976819.49872</v>
      </c>
      <c r="M3158" s="460">
        <f t="shared" si="164"/>
        <v>0.05</v>
      </c>
      <c r="N3158" s="464">
        <f t="shared" si="165"/>
        <v>147163</v>
      </c>
    </row>
    <row r="3159" spans="7:14" ht="11.25" customHeight="1" x14ac:dyDescent="0.25">
      <c r="G3159" s="459"/>
      <c r="H3159" s="459">
        <v>3152</v>
      </c>
      <c r="I3159" s="444">
        <f t="shared" ca="1" si="163"/>
        <v>-226846976819.49872</v>
      </c>
      <c r="J3159" s="444">
        <f t="array" ref="J3159">IFERROR(INDEX('Retirement Calculator'!J:J,MATCH('Isaac 401k'!N3159,'Retirement Calculator'!A:A,0),0),0)</f>
        <v>0</v>
      </c>
      <c r="K3159" s="444">
        <f t="shared" ca="1" si="161"/>
        <v>-945195736.74791145</v>
      </c>
      <c r="L3159" s="444">
        <f t="shared" ca="1" si="162"/>
        <v>-227792172556.24664</v>
      </c>
      <c r="M3159" s="460">
        <f t="shared" si="164"/>
        <v>0.05</v>
      </c>
      <c r="N3159" s="464">
        <f t="shared" si="165"/>
        <v>147194</v>
      </c>
    </row>
    <row r="3160" spans="7:14" ht="11.25" customHeight="1" x14ac:dyDescent="0.25">
      <c r="G3160" s="459"/>
      <c r="H3160" s="459">
        <v>3153</v>
      </c>
      <c r="I3160" s="444">
        <f t="shared" ca="1" si="163"/>
        <v>-227792172556.24664</v>
      </c>
      <c r="J3160" s="444">
        <f t="array" ref="J3160">IFERROR(INDEX('Retirement Calculator'!J:J,MATCH('Isaac 401k'!N3160,'Retirement Calculator'!A:A,0),0),0)</f>
        <v>0</v>
      </c>
      <c r="K3160" s="444">
        <f t="shared" ca="1" si="161"/>
        <v>-949134052.31769431</v>
      </c>
      <c r="L3160" s="444">
        <f t="shared" ca="1" si="162"/>
        <v>-228741306608.56433</v>
      </c>
      <c r="M3160" s="460">
        <f t="shared" si="164"/>
        <v>0.05</v>
      </c>
      <c r="N3160" s="464">
        <f t="shared" si="165"/>
        <v>147225</v>
      </c>
    </row>
    <row r="3161" spans="7:14" ht="11.25" customHeight="1" x14ac:dyDescent="0.25">
      <c r="G3161" s="459"/>
      <c r="H3161" s="459">
        <v>3154</v>
      </c>
      <c r="I3161" s="444">
        <f t="shared" ca="1" si="163"/>
        <v>-228741306608.56433</v>
      </c>
      <c r="J3161" s="444">
        <f t="array" ref="J3161">IFERROR(INDEX('Retirement Calculator'!J:J,MATCH('Isaac 401k'!N3161,'Retirement Calculator'!A:A,0),0),0)</f>
        <v>0</v>
      </c>
      <c r="K3161" s="444">
        <f t="shared" ca="1" si="161"/>
        <v>-953088777.5356847</v>
      </c>
      <c r="L3161" s="444">
        <f t="shared" ca="1" si="162"/>
        <v>-229694395386.10001</v>
      </c>
      <c r="M3161" s="460">
        <f t="shared" si="164"/>
        <v>0.05</v>
      </c>
      <c r="N3161" s="464">
        <f t="shared" si="165"/>
        <v>147253</v>
      </c>
    </row>
    <row r="3162" spans="7:14" ht="11.25" customHeight="1" x14ac:dyDescent="0.25">
      <c r="G3162" s="459"/>
      <c r="H3162" s="459">
        <v>3155</v>
      </c>
      <c r="I3162" s="444">
        <f t="shared" ca="1" si="163"/>
        <v>-229694395386.10001</v>
      </c>
      <c r="J3162" s="444">
        <f t="array" ref="J3162">IFERROR(INDEX('Retirement Calculator'!J:J,MATCH('Isaac 401k'!N3162,'Retirement Calculator'!A:A,0),0),0)</f>
        <v>0</v>
      </c>
      <c r="K3162" s="444">
        <f t="shared" ca="1" si="161"/>
        <v>-957059980.77541673</v>
      </c>
      <c r="L3162" s="444">
        <f t="shared" ca="1" si="162"/>
        <v>-230651455366.87543</v>
      </c>
      <c r="M3162" s="460">
        <f t="shared" si="164"/>
        <v>0.05</v>
      </c>
      <c r="N3162" s="464">
        <f t="shared" si="165"/>
        <v>147284</v>
      </c>
    </row>
    <row r="3163" spans="7:14" ht="11.25" customHeight="1" x14ac:dyDescent="0.25">
      <c r="G3163" s="459"/>
      <c r="H3163" s="459">
        <v>3156</v>
      </c>
      <c r="I3163" s="444">
        <f t="shared" ca="1" si="163"/>
        <v>-230651455366.87543</v>
      </c>
      <c r="J3163" s="444">
        <f t="array" ref="J3163">IFERROR(INDEX('Retirement Calculator'!J:J,MATCH('Isaac 401k'!N3163,'Retirement Calculator'!A:A,0),0),0)</f>
        <v>0</v>
      </c>
      <c r="K3163" s="444">
        <f t="shared" ca="1" si="161"/>
        <v>-961047730.69531429</v>
      </c>
      <c r="L3163" s="444">
        <f t="shared" ca="1" si="162"/>
        <v>-231612503097.57074</v>
      </c>
      <c r="M3163" s="460">
        <f t="shared" si="164"/>
        <v>0.05</v>
      </c>
      <c r="N3163" s="464">
        <f t="shared" si="165"/>
        <v>147314</v>
      </c>
    </row>
    <row r="3164" spans="7:14" ht="11.25" customHeight="1" x14ac:dyDescent="0.25">
      <c r="G3164" s="459"/>
      <c r="H3164" s="459">
        <v>3157</v>
      </c>
      <c r="I3164" s="444">
        <f t="shared" ca="1" si="163"/>
        <v>-231612503097.57074</v>
      </c>
      <c r="J3164" s="444">
        <f t="array" ref="J3164">IFERROR(INDEX('Retirement Calculator'!J:J,MATCH('Isaac 401k'!N3164,'Retirement Calculator'!A:A,0),0),0)</f>
        <v>0</v>
      </c>
      <c r="K3164" s="444">
        <f t="shared" ca="1" si="161"/>
        <v>-965052096.23987818</v>
      </c>
      <c r="L3164" s="444">
        <f t="shared" ca="1" si="162"/>
        <v>-232577555193.81061</v>
      </c>
      <c r="M3164" s="460">
        <f t="shared" si="164"/>
        <v>0.05</v>
      </c>
      <c r="N3164" s="464">
        <f t="shared" si="165"/>
        <v>147345</v>
      </c>
    </row>
    <row r="3165" spans="7:14" ht="11.25" customHeight="1" x14ac:dyDescent="0.25">
      <c r="G3165" s="459"/>
      <c r="H3165" s="459">
        <v>3158</v>
      </c>
      <c r="I3165" s="444">
        <f t="shared" ca="1" si="163"/>
        <v>-232577555193.81061</v>
      </c>
      <c r="J3165" s="444">
        <f t="array" ref="J3165">IFERROR(INDEX('Retirement Calculator'!J:J,MATCH('Isaac 401k'!N3165,'Retirement Calculator'!A:A,0),0),0)</f>
        <v>0</v>
      </c>
      <c r="K3165" s="444">
        <f t="shared" ca="1" si="161"/>
        <v>-969073146.6408776</v>
      </c>
      <c r="L3165" s="444">
        <f t="shared" ca="1" si="162"/>
        <v>-233546628340.45148</v>
      </c>
      <c r="M3165" s="460">
        <f t="shared" si="164"/>
        <v>0.05</v>
      </c>
      <c r="N3165" s="464">
        <f t="shared" si="165"/>
        <v>147375</v>
      </c>
    </row>
    <row r="3166" spans="7:14" ht="11.25" customHeight="1" x14ac:dyDescent="0.25">
      <c r="G3166" s="459"/>
      <c r="H3166" s="459">
        <v>3159</v>
      </c>
      <c r="I3166" s="444">
        <f t="shared" ca="1" si="163"/>
        <v>-233546628340.45148</v>
      </c>
      <c r="J3166" s="444">
        <f t="array" ref="J3166">IFERROR(INDEX('Retirement Calculator'!J:J,MATCH('Isaac 401k'!N3166,'Retirement Calculator'!A:A,0),0),0)</f>
        <v>0</v>
      </c>
      <c r="K3166" s="444">
        <f t="shared" ca="1" si="161"/>
        <v>-973110951.41854775</v>
      </c>
      <c r="L3166" s="444">
        <f t="shared" ca="1" si="162"/>
        <v>-234519739291.87003</v>
      </c>
      <c r="M3166" s="460">
        <f t="shared" si="164"/>
        <v>0.05</v>
      </c>
      <c r="N3166" s="464">
        <f t="shared" si="165"/>
        <v>147406</v>
      </c>
    </row>
    <row r="3167" spans="7:14" ht="11.25" customHeight="1" x14ac:dyDescent="0.25">
      <c r="G3167" s="459"/>
      <c r="H3167" s="459">
        <v>3160</v>
      </c>
      <c r="I3167" s="444">
        <f t="shared" ca="1" si="163"/>
        <v>-234519739291.87003</v>
      </c>
      <c r="J3167" s="444">
        <f t="array" ref="J3167">IFERROR(INDEX('Retirement Calculator'!J:J,MATCH('Isaac 401k'!N3167,'Retirement Calculator'!A:A,0),0),0)</f>
        <v>0</v>
      </c>
      <c r="K3167" s="444">
        <f t="shared" ca="1" si="161"/>
        <v>-977165580.38279176</v>
      </c>
      <c r="L3167" s="444">
        <f t="shared" ca="1" si="162"/>
        <v>-235496904872.25281</v>
      </c>
      <c r="M3167" s="460">
        <f t="shared" si="164"/>
        <v>0.05</v>
      </c>
      <c r="N3167" s="464">
        <f t="shared" si="165"/>
        <v>147437</v>
      </c>
    </row>
    <row r="3168" spans="7:14" ht="11.25" customHeight="1" x14ac:dyDescent="0.25">
      <c r="G3168" s="459"/>
      <c r="H3168" s="459">
        <v>3161</v>
      </c>
      <c r="I3168" s="444">
        <f t="shared" ca="1" si="163"/>
        <v>-235496904872.25281</v>
      </c>
      <c r="J3168" s="444">
        <f t="array" ref="J3168">IFERROR(INDEX('Retirement Calculator'!J:J,MATCH('Isaac 401k'!N3168,'Retirement Calculator'!A:A,0),0),0)</f>
        <v>0</v>
      </c>
      <c r="K3168" s="444">
        <f t="shared" ca="1" si="161"/>
        <v>-981237103.63438678</v>
      </c>
      <c r="L3168" s="444">
        <f t="shared" ca="1" si="162"/>
        <v>-236478141975.88721</v>
      </c>
      <c r="M3168" s="460">
        <f t="shared" si="164"/>
        <v>0.05</v>
      </c>
      <c r="N3168" s="464">
        <f t="shared" si="165"/>
        <v>147467</v>
      </c>
    </row>
    <row r="3169" spans="7:14" ht="11.25" customHeight="1" x14ac:dyDescent="0.25">
      <c r="G3169" s="459"/>
      <c r="H3169" s="459">
        <v>3162</v>
      </c>
      <c r="I3169" s="444">
        <f t="shared" ca="1" si="163"/>
        <v>-236478141975.88721</v>
      </c>
      <c r="J3169" s="444">
        <f t="array" ref="J3169">IFERROR(INDEX('Retirement Calculator'!J:J,MATCH('Isaac 401k'!N3169,'Retirement Calculator'!A:A,0),0),0)</f>
        <v>0</v>
      </c>
      <c r="K3169" s="444">
        <f t="shared" ca="1" si="161"/>
        <v>-985325591.56619668</v>
      </c>
      <c r="L3169" s="444">
        <f t="shared" ca="1" si="162"/>
        <v>-237463467567.4534</v>
      </c>
      <c r="M3169" s="460">
        <f t="shared" si="164"/>
        <v>0.05</v>
      </c>
      <c r="N3169" s="464">
        <f t="shared" si="165"/>
        <v>147498</v>
      </c>
    </row>
    <row r="3170" spans="7:14" ht="11.25" customHeight="1" x14ac:dyDescent="0.25">
      <c r="G3170" s="459"/>
      <c r="H3170" s="459">
        <v>3163</v>
      </c>
      <c r="I3170" s="444">
        <f t="shared" ca="1" si="163"/>
        <v>-237463467567.4534</v>
      </c>
      <c r="J3170" s="444">
        <f t="array" ref="J3170">IFERROR(INDEX('Retirement Calculator'!J:J,MATCH('Isaac 401k'!N3170,'Retirement Calculator'!A:A,0),0),0)</f>
        <v>0</v>
      </c>
      <c r="K3170" s="444">
        <f t="shared" ca="1" si="161"/>
        <v>-989431114.8643893</v>
      </c>
      <c r="L3170" s="444">
        <f t="shared" ca="1" si="162"/>
        <v>-238452898682.31778</v>
      </c>
      <c r="M3170" s="460">
        <f t="shared" si="164"/>
        <v>0.05</v>
      </c>
      <c r="N3170" s="464">
        <f t="shared" si="165"/>
        <v>147528</v>
      </c>
    </row>
    <row r="3171" spans="7:14" ht="11.25" customHeight="1" x14ac:dyDescent="0.25">
      <c r="G3171" s="459"/>
      <c r="H3171" s="459">
        <v>3164</v>
      </c>
      <c r="I3171" s="444">
        <f t="shared" ca="1" si="163"/>
        <v>-238452898682.31778</v>
      </c>
      <c r="J3171" s="444">
        <f t="array" ref="J3171">IFERROR(INDEX('Retirement Calculator'!J:J,MATCH('Isaac 401k'!N3171,'Retirement Calculator'!A:A,0),0),0)</f>
        <v>0</v>
      </c>
      <c r="K3171" s="444">
        <f t="shared" ca="1" si="161"/>
        <v>-993553744.50965726</v>
      </c>
      <c r="L3171" s="444">
        <f t="shared" ca="1" si="162"/>
        <v>-239446452426.82742</v>
      </c>
      <c r="M3171" s="460">
        <f t="shared" si="164"/>
        <v>0.05</v>
      </c>
      <c r="N3171" s="464">
        <f t="shared" si="165"/>
        <v>147559</v>
      </c>
    </row>
    <row r="3172" spans="7:14" ht="11.25" customHeight="1" x14ac:dyDescent="0.25">
      <c r="G3172" s="459"/>
      <c r="H3172" s="459">
        <v>3165</v>
      </c>
      <c r="I3172" s="444">
        <f t="shared" ca="1" si="163"/>
        <v>-239446452426.82742</v>
      </c>
      <c r="J3172" s="444">
        <f t="array" ref="J3172">IFERROR(INDEX('Retirement Calculator'!J:J,MATCH('Isaac 401k'!N3172,'Retirement Calculator'!A:A,0),0),0)</f>
        <v>0</v>
      </c>
      <c r="K3172" s="444">
        <f t="shared" ca="1" si="161"/>
        <v>-997693551.77844751</v>
      </c>
      <c r="L3172" s="444">
        <f t="shared" ca="1" si="162"/>
        <v>-240444145978.60587</v>
      </c>
      <c r="M3172" s="460">
        <f t="shared" si="164"/>
        <v>0.05</v>
      </c>
      <c r="N3172" s="464">
        <f t="shared" si="165"/>
        <v>147590</v>
      </c>
    </row>
    <row r="3173" spans="7:14" ht="11.25" customHeight="1" x14ac:dyDescent="0.25">
      <c r="G3173" s="459"/>
      <c r="H3173" s="459">
        <v>3166</v>
      </c>
      <c r="I3173" s="444">
        <f t="shared" ca="1" si="163"/>
        <v>-240444145978.60587</v>
      </c>
      <c r="J3173" s="444">
        <f t="array" ref="J3173">IFERROR(INDEX('Retirement Calculator'!J:J,MATCH('Isaac 401k'!N3173,'Retirement Calculator'!A:A,0),0),0)</f>
        <v>0</v>
      </c>
      <c r="K3173" s="444">
        <f t="shared" ca="1" si="161"/>
        <v>-1001850608.2441912</v>
      </c>
      <c r="L3173" s="444">
        <f t="shared" ca="1" si="162"/>
        <v>-241445996586.85007</v>
      </c>
      <c r="M3173" s="460">
        <f t="shared" si="164"/>
        <v>0.05</v>
      </c>
      <c r="N3173" s="464">
        <f t="shared" si="165"/>
        <v>147619</v>
      </c>
    </row>
    <row r="3174" spans="7:14" ht="11.25" customHeight="1" x14ac:dyDescent="0.25">
      <c r="G3174" s="459"/>
      <c r="H3174" s="459">
        <v>3167</v>
      </c>
      <c r="I3174" s="444">
        <f t="shared" ca="1" si="163"/>
        <v>-241445996586.85007</v>
      </c>
      <c r="J3174" s="444">
        <f t="array" ref="J3174">IFERROR(INDEX('Retirement Calculator'!J:J,MATCH('Isaac 401k'!N3174,'Retirement Calculator'!A:A,0),0),0)</f>
        <v>0</v>
      </c>
      <c r="K3174" s="444">
        <f t="shared" ca="1" si="161"/>
        <v>-1006024985.7785419</v>
      </c>
      <c r="L3174" s="444">
        <f t="shared" ca="1" si="162"/>
        <v>-242452021572.6286</v>
      </c>
      <c r="M3174" s="460">
        <f t="shared" si="164"/>
        <v>0.05</v>
      </c>
      <c r="N3174" s="464">
        <f t="shared" si="165"/>
        <v>147650</v>
      </c>
    </row>
    <row r="3175" spans="7:14" ht="11.25" customHeight="1" x14ac:dyDescent="0.25">
      <c r="G3175" s="459"/>
      <c r="H3175" s="459">
        <v>3168</v>
      </c>
      <c r="I3175" s="444">
        <f t="shared" ca="1" si="163"/>
        <v>-242452021572.6286</v>
      </c>
      <c r="J3175" s="444">
        <f t="array" ref="J3175">IFERROR(INDEX('Retirement Calculator'!J:J,MATCH('Isaac 401k'!N3175,'Retirement Calculator'!A:A,0),0),0)</f>
        <v>0</v>
      </c>
      <c r="K3175" s="444">
        <f t="shared" ca="1" si="161"/>
        <v>-1010216756.5526191</v>
      </c>
      <c r="L3175" s="444">
        <f t="shared" ca="1" si="162"/>
        <v>-243462238329.18121</v>
      </c>
      <c r="M3175" s="460">
        <f t="shared" si="164"/>
        <v>0.05</v>
      </c>
      <c r="N3175" s="464">
        <f t="shared" si="165"/>
        <v>147680</v>
      </c>
    </row>
    <row r="3176" spans="7:14" ht="11.25" customHeight="1" x14ac:dyDescent="0.25">
      <c r="G3176" s="459"/>
      <c r="H3176" s="459">
        <v>3169</v>
      </c>
      <c r="I3176" s="444">
        <f t="shared" ca="1" si="163"/>
        <v>-243462238329.18121</v>
      </c>
      <c r="J3176" s="444">
        <f t="array" ref="J3176">IFERROR(INDEX('Retirement Calculator'!J:J,MATCH('Isaac 401k'!N3176,'Retirement Calculator'!A:A,0),0),0)</f>
        <v>0</v>
      </c>
      <c r="K3176" s="444">
        <f t="shared" ca="1" si="161"/>
        <v>-1014425993.0382551</v>
      </c>
      <c r="L3176" s="444">
        <f t="shared" ca="1" si="162"/>
        <v>-244476664322.21948</v>
      </c>
      <c r="M3176" s="460">
        <f t="shared" si="164"/>
        <v>0.05</v>
      </c>
      <c r="N3176" s="464">
        <f t="shared" si="165"/>
        <v>147711</v>
      </c>
    </row>
    <row r="3177" spans="7:14" ht="11.25" customHeight="1" x14ac:dyDescent="0.25">
      <c r="G3177" s="459"/>
      <c r="H3177" s="459">
        <v>3170</v>
      </c>
      <c r="I3177" s="444">
        <f t="shared" ca="1" si="163"/>
        <v>-244476664322.21948</v>
      </c>
      <c r="J3177" s="444">
        <f t="array" ref="J3177">IFERROR(INDEX('Retirement Calculator'!J:J,MATCH('Isaac 401k'!N3177,'Retirement Calculator'!A:A,0),0),0)</f>
        <v>0</v>
      </c>
      <c r="K3177" s="444">
        <f t="shared" ca="1" si="161"/>
        <v>-1018652768.0092478</v>
      </c>
      <c r="L3177" s="444">
        <f t="shared" ca="1" si="162"/>
        <v>-245495317090.22873</v>
      </c>
      <c r="M3177" s="460">
        <f t="shared" si="164"/>
        <v>0.05</v>
      </c>
      <c r="N3177" s="464">
        <f t="shared" si="165"/>
        <v>147741</v>
      </c>
    </row>
    <row r="3178" spans="7:14" ht="11.25" customHeight="1" x14ac:dyDescent="0.25">
      <c r="G3178" s="459"/>
      <c r="H3178" s="459">
        <v>3171</v>
      </c>
      <c r="I3178" s="444">
        <f t="shared" ca="1" si="163"/>
        <v>-245495317090.22873</v>
      </c>
      <c r="J3178" s="444">
        <f t="array" ref="J3178">IFERROR(INDEX('Retirement Calculator'!J:J,MATCH('Isaac 401k'!N3178,'Retirement Calculator'!A:A,0),0),0)</f>
        <v>0</v>
      </c>
      <c r="K3178" s="444">
        <f t="shared" ca="1" si="161"/>
        <v>-1022897154.5426198</v>
      </c>
      <c r="L3178" s="444">
        <f t="shared" ca="1" si="162"/>
        <v>-246518214244.77136</v>
      </c>
      <c r="M3178" s="460">
        <f t="shared" si="164"/>
        <v>0.05</v>
      </c>
      <c r="N3178" s="464">
        <f t="shared" si="165"/>
        <v>147772</v>
      </c>
    </row>
    <row r="3179" spans="7:14" ht="11.25" customHeight="1" x14ac:dyDescent="0.25">
      <c r="G3179" s="459"/>
      <c r="H3179" s="459">
        <v>3172</v>
      </c>
      <c r="I3179" s="444">
        <f t="shared" ca="1" si="163"/>
        <v>-246518214244.77136</v>
      </c>
      <c r="J3179" s="444">
        <f t="array" ref="J3179">IFERROR(INDEX('Retirement Calculator'!J:J,MATCH('Isaac 401k'!N3179,'Retirement Calculator'!A:A,0),0),0)</f>
        <v>0</v>
      </c>
      <c r="K3179" s="444">
        <f t="shared" ca="1" si="161"/>
        <v>-1027159226.0198805</v>
      </c>
      <c r="L3179" s="444">
        <f t="shared" ca="1" si="162"/>
        <v>-247545373470.79123</v>
      </c>
      <c r="M3179" s="460">
        <f t="shared" si="164"/>
        <v>0.05</v>
      </c>
      <c r="N3179" s="464">
        <f t="shared" si="165"/>
        <v>147803</v>
      </c>
    </row>
    <row r="3180" spans="7:14" ht="11.25" customHeight="1" x14ac:dyDescent="0.25">
      <c r="G3180" s="459"/>
      <c r="H3180" s="459">
        <v>3173</v>
      </c>
      <c r="I3180" s="444">
        <f t="shared" ca="1" si="163"/>
        <v>-247545373470.79123</v>
      </c>
      <c r="J3180" s="444">
        <f t="array" ref="J3180">IFERROR(INDEX('Retirement Calculator'!J:J,MATCH('Isaac 401k'!N3180,'Retirement Calculator'!A:A,0),0),0)</f>
        <v>0</v>
      </c>
      <c r="K3180" s="444">
        <f t="shared" ca="1" si="161"/>
        <v>-1031439056.1282969</v>
      </c>
      <c r="L3180" s="444">
        <f t="shared" ca="1" si="162"/>
        <v>-248576812526.91953</v>
      </c>
      <c r="M3180" s="460">
        <f t="shared" si="164"/>
        <v>0.05</v>
      </c>
      <c r="N3180" s="464">
        <f t="shared" si="165"/>
        <v>147833</v>
      </c>
    </row>
    <row r="3181" spans="7:14" ht="11.25" customHeight="1" x14ac:dyDescent="0.25">
      <c r="G3181" s="459"/>
      <c r="H3181" s="459">
        <v>3174</v>
      </c>
      <c r="I3181" s="444">
        <f t="shared" ca="1" si="163"/>
        <v>-248576812526.91953</v>
      </c>
      <c r="J3181" s="444">
        <f t="array" ref="J3181">IFERROR(INDEX('Retirement Calculator'!J:J,MATCH('Isaac 401k'!N3181,'Retirement Calculator'!A:A,0),0),0)</f>
        <v>0</v>
      </c>
      <c r="K3181" s="444">
        <f t="shared" ca="1" si="161"/>
        <v>-1035736718.8621646</v>
      </c>
      <c r="L3181" s="444">
        <f t="shared" ca="1" si="162"/>
        <v>-249612549245.78168</v>
      </c>
      <c r="M3181" s="460">
        <f t="shared" si="164"/>
        <v>0.05</v>
      </c>
      <c r="N3181" s="464">
        <f t="shared" si="165"/>
        <v>147864</v>
      </c>
    </row>
    <row r="3182" spans="7:14" ht="11.25" customHeight="1" x14ac:dyDescent="0.25">
      <c r="G3182" s="459"/>
      <c r="H3182" s="459">
        <v>3175</v>
      </c>
      <c r="I3182" s="444">
        <f t="shared" ca="1" si="163"/>
        <v>-249612549245.78168</v>
      </c>
      <c r="J3182" s="444">
        <f t="array" ref="J3182">IFERROR(INDEX('Retirement Calculator'!J:J,MATCH('Isaac 401k'!N3182,'Retirement Calculator'!A:A,0),0),0)</f>
        <v>0</v>
      </c>
      <c r="K3182" s="444">
        <f t="shared" ca="1" si="161"/>
        <v>-1040052288.5240902</v>
      </c>
      <c r="L3182" s="444">
        <f t="shared" ca="1" si="162"/>
        <v>-250652601534.30576</v>
      </c>
      <c r="M3182" s="460">
        <f t="shared" si="164"/>
        <v>0.05</v>
      </c>
      <c r="N3182" s="464">
        <f t="shared" si="165"/>
        <v>147894</v>
      </c>
    </row>
    <row r="3183" spans="7:14" ht="11.25" customHeight="1" x14ac:dyDescent="0.25">
      <c r="G3183" s="459"/>
      <c r="H3183" s="459">
        <v>3176</v>
      </c>
      <c r="I3183" s="444">
        <f t="shared" ca="1" si="163"/>
        <v>-250652601534.30576</v>
      </c>
      <c r="J3183" s="444">
        <f t="array" ref="J3183">IFERROR(INDEX('Retirement Calculator'!J:J,MATCH('Isaac 401k'!N3183,'Retirement Calculator'!A:A,0),0),0)</f>
        <v>0</v>
      </c>
      <c r="K3183" s="444">
        <f t="shared" ca="1" si="161"/>
        <v>-1044385839.726274</v>
      </c>
      <c r="L3183" s="444">
        <f t="shared" ca="1" si="162"/>
        <v>-251696987374.03204</v>
      </c>
      <c r="M3183" s="460">
        <f t="shared" si="164"/>
        <v>0.05</v>
      </c>
      <c r="N3183" s="464">
        <f t="shared" si="165"/>
        <v>147925</v>
      </c>
    </row>
    <row r="3184" spans="7:14" ht="11.25" customHeight="1" x14ac:dyDescent="0.25">
      <c r="G3184" s="459"/>
      <c r="H3184" s="459">
        <v>3177</v>
      </c>
      <c r="I3184" s="444">
        <f t="shared" ca="1" si="163"/>
        <v>-251696987374.03204</v>
      </c>
      <c r="J3184" s="444">
        <f t="array" ref="J3184">IFERROR(INDEX('Retirement Calculator'!J:J,MATCH('Isaac 401k'!N3184,'Retirement Calculator'!A:A,0),0),0)</f>
        <v>0</v>
      </c>
      <c r="K3184" s="444">
        <f t="shared" ca="1" si="161"/>
        <v>-1048737447.3918002</v>
      </c>
      <c r="L3184" s="444">
        <f t="shared" ca="1" si="162"/>
        <v>-252745724821.42386</v>
      </c>
      <c r="M3184" s="460">
        <f t="shared" si="164"/>
        <v>0.05</v>
      </c>
      <c r="N3184" s="464">
        <f t="shared" si="165"/>
        <v>147956</v>
      </c>
    </row>
    <row r="3185" spans="7:14" ht="11.25" customHeight="1" x14ac:dyDescent="0.25">
      <c r="G3185" s="459"/>
      <c r="H3185" s="459">
        <v>3178</v>
      </c>
      <c r="I3185" s="444">
        <f t="shared" ca="1" si="163"/>
        <v>-252745724821.42386</v>
      </c>
      <c r="J3185" s="444">
        <f t="array" ref="J3185">IFERROR(INDEX('Retirement Calculator'!J:J,MATCH('Isaac 401k'!N3185,'Retirement Calculator'!A:A,0),0),0)</f>
        <v>0</v>
      </c>
      <c r="K3185" s="444">
        <f t="shared" ca="1" si="161"/>
        <v>-1053107186.7559327</v>
      </c>
      <c r="L3185" s="444">
        <f t="shared" ca="1" si="162"/>
        <v>-253798832008.17978</v>
      </c>
      <c r="M3185" s="460">
        <f t="shared" si="164"/>
        <v>0.05</v>
      </c>
      <c r="N3185" s="464">
        <f t="shared" si="165"/>
        <v>147984</v>
      </c>
    </row>
    <row r="3186" spans="7:14" ht="11.25" customHeight="1" x14ac:dyDescent="0.25">
      <c r="G3186" s="459"/>
      <c r="H3186" s="459">
        <v>3179</v>
      </c>
      <c r="I3186" s="444">
        <f t="shared" ca="1" si="163"/>
        <v>-253798832008.17978</v>
      </c>
      <c r="J3186" s="444">
        <f t="array" ref="J3186">IFERROR(INDEX('Retirement Calculator'!J:J,MATCH('Isaac 401k'!N3186,'Retirement Calculator'!A:A,0),0),0)</f>
        <v>0</v>
      </c>
      <c r="K3186" s="444">
        <f t="shared" ca="1" si="161"/>
        <v>-1057495133.3674158</v>
      </c>
      <c r="L3186" s="444">
        <f t="shared" ca="1" si="162"/>
        <v>-254856327141.54718</v>
      </c>
      <c r="M3186" s="460">
        <f t="shared" si="164"/>
        <v>0.05</v>
      </c>
      <c r="N3186" s="464">
        <f t="shared" si="165"/>
        <v>148015</v>
      </c>
    </row>
    <row r="3187" spans="7:14" ht="11.25" customHeight="1" x14ac:dyDescent="0.25">
      <c r="G3187" s="459"/>
      <c r="H3187" s="459">
        <v>3180</v>
      </c>
      <c r="I3187" s="444">
        <f t="shared" ca="1" si="163"/>
        <v>-254856327141.54718</v>
      </c>
      <c r="J3187" s="444">
        <f t="array" ref="J3187">IFERROR(INDEX('Retirement Calculator'!J:J,MATCH('Isaac 401k'!N3187,'Retirement Calculator'!A:A,0),0),0)</f>
        <v>0</v>
      </c>
      <c r="K3187" s="444">
        <f t="shared" ca="1" si="161"/>
        <v>-1061901363.0897799</v>
      </c>
      <c r="L3187" s="444">
        <f t="shared" ca="1" si="162"/>
        <v>-255918228504.63696</v>
      </c>
      <c r="M3187" s="460">
        <f t="shared" si="164"/>
        <v>0.05</v>
      </c>
      <c r="N3187" s="464">
        <f t="shared" si="165"/>
        <v>148045</v>
      </c>
    </row>
    <row r="3188" spans="7:14" ht="11.25" customHeight="1" x14ac:dyDescent="0.25">
      <c r="G3188" s="459"/>
      <c r="H3188" s="459">
        <v>3181</v>
      </c>
      <c r="I3188" s="444">
        <f t="shared" ca="1" si="163"/>
        <v>-255918228504.63696</v>
      </c>
      <c r="J3188" s="444">
        <f t="array" ref="J3188">IFERROR(INDEX('Retirement Calculator'!J:J,MATCH('Isaac 401k'!N3188,'Retirement Calculator'!A:A,0),0),0)</f>
        <v>0</v>
      </c>
      <c r="K3188" s="444">
        <f t="shared" ca="1" si="161"/>
        <v>-1066325952.102654</v>
      </c>
      <c r="L3188" s="444">
        <f t="shared" ca="1" si="162"/>
        <v>-256984554456.73962</v>
      </c>
      <c r="M3188" s="460">
        <f t="shared" si="164"/>
        <v>0.05</v>
      </c>
      <c r="N3188" s="464">
        <f t="shared" si="165"/>
        <v>148076</v>
      </c>
    </row>
    <row r="3189" spans="7:14" ht="11.25" customHeight="1" x14ac:dyDescent="0.25">
      <c r="G3189" s="459"/>
      <c r="H3189" s="459">
        <v>3182</v>
      </c>
      <c r="I3189" s="444">
        <f t="shared" ca="1" si="163"/>
        <v>-256984554456.73962</v>
      </c>
      <c r="J3189" s="444">
        <f t="array" ref="J3189">IFERROR(INDEX('Retirement Calculator'!J:J,MATCH('Isaac 401k'!N3189,'Retirement Calculator'!A:A,0),0),0)</f>
        <v>0</v>
      </c>
      <c r="K3189" s="444">
        <f t="shared" ca="1" si="161"/>
        <v>-1070768976.9030818</v>
      </c>
      <c r="L3189" s="444">
        <f t="shared" ca="1" si="162"/>
        <v>-258055323433.6427</v>
      </c>
      <c r="M3189" s="460">
        <f t="shared" si="164"/>
        <v>0.05</v>
      </c>
      <c r="N3189" s="464">
        <f t="shared" si="165"/>
        <v>148106</v>
      </c>
    </row>
    <row r="3190" spans="7:14" ht="11.25" customHeight="1" x14ac:dyDescent="0.25">
      <c r="G3190" s="459"/>
      <c r="H3190" s="459">
        <v>3183</v>
      </c>
      <c r="I3190" s="444">
        <f t="shared" ca="1" si="163"/>
        <v>-258055323433.6427</v>
      </c>
      <c r="J3190" s="444">
        <f t="array" ref="J3190">IFERROR(INDEX('Retirement Calculator'!J:J,MATCH('Isaac 401k'!N3190,'Retirement Calculator'!A:A,0),0),0)</f>
        <v>0</v>
      </c>
      <c r="K3190" s="444">
        <f t="shared" ca="1" si="161"/>
        <v>-1075230514.3068445</v>
      </c>
      <c r="L3190" s="444">
        <f t="shared" ca="1" si="162"/>
        <v>-259130553947.94955</v>
      </c>
      <c r="M3190" s="460">
        <f t="shared" si="164"/>
        <v>0.05</v>
      </c>
      <c r="N3190" s="464">
        <f t="shared" si="165"/>
        <v>148137</v>
      </c>
    </row>
    <row r="3191" spans="7:14" ht="11.25" customHeight="1" x14ac:dyDescent="0.25">
      <c r="G3191" s="459"/>
      <c r="H3191" s="459">
        <v>3184</v>
      </c>
      <c r="I3191" s="444">
        <f t="shared" ca="1" si="163"/>
        <v>-259130553947.94955</v>
      </c>
      <c r="J3191" s="444">
        <f t="array" ref="J3191">IFERROR(INDEX('Retirement Calculator'!J:J,MATCH('Isaac 401k'!N3191,'Retirement Calculator'!A:A,0),0),0)</f>
        <v>0</v>
      </c>
      <c r="K3191" s="444">
        <f t="shared" ca="1" si="161"/>
        <v>-1079710641.4497898</v>
      </c>
      <c r="L3191" s="444">
        <f t="shared" ca="1" si="162"/>
        <v>-260210264589.39935</v>
      </c>
      <c r="M3191" s="460">
        <f t="shared" si="164"/>
        <v>0.05</v>
      </c>
      <c r="N3191" s="464">
        <f t="shared" si="165"/>
        <v>148168</v>
      </c>
    </row>
    <row r="3192" spans="7:14" ht="11.25" customHeight="1" x14ac:dyDescent="0.25">
      <c r="G3192" s="459"/>
      <c r="H3192" s="459">
        <v>3185</v>
      </c>
      <c r="I3192" s="444">
        <f t="shared" ca="1" si="163"/>
        <v>-260210264589.39935</v>
      </c>
      <c r="J3192" s="444">
        <f t="array" ref="J3192">IFERROR(INDEX('Retirement Calculator'!J:J,MATCH('Isaac 401k'!N3192,'Retirement Calculator'!A:A,0),0),0)</f>
        <v>0</v>
      </c>
      <c r="K3192" s="444">
        <f t="shared" ca="1" si="161"/>
        <v>-1084209435.7891638</v>
      </c>
      <c r="L3192" s="444">
        <f t="shared" ca="1" si="162"/>
        <v>-261294474025.18851</v>
      </c>
      <c r="M3192" s="460">
        <f t="shared" si="164"/>
        <v>0.05</v>
      </c>
      <c r="N3192" s="464">
        <f t="shared" si="165"/>
        <v>148198</v>
      </c>
    </row>
    <row r="3193" spans="7:14" ht="11.25" customHeight="1" x14ac:dyDescent="0.25">
      <c r="G3193" s="459"/>
      <c r="H3193" s="459">
        <v>3186</v>
      </c>
      <c r="I3193" s="444">
        <f t="shared" ca="1" si="163"/>
        <v>-261294474025.18851</v>
      </c>
      <c r="J3193" s="444">
        <f t="array" ref="J3193">IFERROR(INDEX('Retirement Calculator'!J:J,MATCH('Isaac 401k'!N3193,'Retirement Calculator'!A:A,0),0),0)</f>
        <v>0</v>
      </c>
      <c r="K3193" s="444">
        <f t="shared" ca="1" si="161"/>
        <v>-1088726975.1049521</v>
      </c>
      <c r="L3193" s="444">
        <f t="shared" ca="1" si="162"/>
        <v>-262383201000.29346</v>
      </c>
      <c r="M3193" s="460">
        <f t="shared" si="164"/>
        <v>0.05</v>
      </c>
      <c r="N3193" s="464">
        <f t="shared" si="165"/>
        <v>148229</v>
      </c>
    </row>
    <row r="3194" spans="7:14" ht="11.25" customHeight="1" x14ac:dyDescent="0.25">
      <c r="G3194" s="459"/>
      <c r="H3194" s="459">
        <v>3187</v>
      </c>
      <c r="I3194" s="444">
        <f t="shared" ca="1" si="163"/>
        <v>-262383201000.29346</v>
      </c>
      <c r="J3194" s="444">
        <f t="array" ref="J3194">IFERROR(INDEX('Retirement Calculator'!J:J,MATCH('Isaac 401k'!N3194,'Retirement Calculator'!A:A,0),0),0)</f>
        <v>0</v>
      </c>
      <c r="K3194" s="444">
        <f t="shared" ca="1" si="161"/>
        <v>-1093263337.5012226</v>
      </c>
      <c r="L3194" s="444">
        <f t="shared" ca="1" si="162"/>
        <v>-263476464337.79468</v>
      </c>
      <c r="M3194" s="460">
        <f t="shared" si="164"/>
        <v>0.05</v>
      </c>
      <c r="N3194" s="464">
        <f t="shared" si="165"/>
        <v>148259</v>
      </c>
    </row>
    <row r="3195" spans="7:14" ht="11.25" customHeight="1" x14ac:dyDescent="0.25">
      <c r="G3195" s="459"/>
      <c r="H3195" s="459">
        <v>3188</v>
      </c>
      <c r="I3195" s="444">
        <f t="shared" ca="1" si="163"/>
        <v>-263476464337.79468</v>
      </c>
      <c r="J3195" s="444">
        <f t="array" ref="J3195">IFERROR(INDEX('Retirement Calculator'!J:J,MATCH('Isaac 401k'!N3195,'Retirement Calculator'!A:A,0),0),0)</f>
        <v>0</v>
      </c>
      <c r="K3195" s="444">
        <f t="shared" ca="1" si="161"/>
        <v>-1097818601.4074779</v>
      </c>
      <c r="L3195" s="444">
        <f t="shared" ca="1" si="162"/>
        <v>-264574282939.20215</v>
      </c>
      <c r="M3195" s="460">
        <f t="shared" si="164"/>
        <v>0.05</v>
      </c>
      <c r="N3195" s="464">
        <f t="shared" si="165"/>
        <v>148290</v>
      </c>
    </row>
    <row r="3196" spans="7:14" ht="11.25" customHeight="1" x14ac:dyDescent="0.25">
      <c r="G3196" s="459"/>
      <c r="H3196" s="459">
        <v>3189</v>
      </c>
      <c r="I3196" s="444">
        <f t="shared" ca="1" si="163"/>
        <v>-264574282939.20215</v>
      </c>
      <c r="J3196" s="444">
        <f t="array" ref="J3196">IFERROR(INDEX('Retirement Calculator'!J:J,MATCH('Isaac 401k'!N3196,'Retirement Calculator'!A:A,0),0),0)</f>
        <v>0</v>
      </c>
      <c r="K3196" s="444">
        <f t="shared" ca="1" si="161"/>
        <v>-1102392845.580009</v>
      </c>
      <c r="L3196" s="444">
        <f t="shared" ca="1" si="162"/>
        <v>-265676675784.78217</v>
      </c>
      <c r="M3196" s="460">
        <f t="shared" si="164"/>
        <v>0.05</v>
      </c>
      <c r="N3196" s="464">
        <f t="shared" si="165"/>
        <v>148321</v>
      </c>
    </row>
    <row r="3197" spans="7:14" ht="11.25" customHeight="1" x14ac:dyDescent="0.25">
      <c r="G3197" s="459"/>
      <c r="H3197" s="459">
        <v>3190</v>
      </c>
      <c r="I3197" s="444">
        <f t="shared" ca="1" si="163"/>
        <v>-265676675784.78217</v>
      </c>
      <c r="J3197" s="444">
        <f t="array" ref="J3197">IFERROR(INDEX('Retirement Calculator'!J:J,MATCH('Isaac 401k'!N3197,'Retirement Calculator'!A:A,0),0),0)</f>
        <v>0</v>
      </c>
      <c r="K3197" s="444">
        <f t="shared" ca="1" si="161"/>
        <v>-1106986149.1032591</v>
      </c>
      <c r="L3197" s="444">
        <f t="shared" ca="1" si="162"/>
        <v>-266783661933.88544</v>
      </c>
      <c r="M3197" s="460">
        <f t="shared" si="164"/>
        <v>0.05</v>
      </c>
      <c r="N3197" s="464">
        <f t="shared" si="165"/>
        <v>148349</v>
      </c>
    </row>
    <row r="3198" spans="7:14" ht="11.25" customHeight="1" x14ac:dyDescent="0.25">
      <c r="G3198" s="459"/>
      <c r="H3198" s="459">
        <v>3191</v>
      </c>
      <c r="I3198" s="444">
        <f t="shared" ca="1" si="163"/>
        <v>-266783661933.88544</v>
      </c>
      <c r="J3198" s="444">
        <f t="array" ref="J3198">IFERROR(INDEX('Retirement Calculator'!J:J,MATCH('Isaac 401k'!N3198,'Retirement Calculator'!A:A,0),0),0)</f>
        <v>0</v>
      </c>
      <c r="K3198" s="444">
        <f t="shared" ca="1" si="161"/>
        <v>-1111598591.3911893</v>
      </c>
      <c r="L3198" s="444">
        <f t="shared" ca="1" si="162"/>
        <v>-267895260525.27661</v>
      </c>
      <c r="M3198" s="460">
        <f t="shared" si="164"/>
        <v>0.05</v>
      </c>
      <c r="N3198" s="464">
        <f t="shared" si="165"/>
        <v>148380</v>
      </c>
    </row>
    <row r="3199" spans="7:14" ht="11.25" customHeight="1" x14ac:dyDescent="0.25">
      <c r="G3199" s="459"/>
      <c r="H3199" s="459">
        <v>3192</v>
      </c>
      <c r="I3199" s="444">
        <f t="shared" ca="1" si="163"/>
        <v>-267895260525.27661</v>
      </c>
      <c r="J3199" s="444">
        <f t="array" ref="J3199">IFERROR(INDEX('Retirement Calculator'!J:J,MATCH('Isaac 401k'!N3199,'Retirement Calculator'!A:A,0),0),0)</f>
        <v>0</v>
      </c>
      <c r="K3199" s="444">
        <f t="shared" ca="1" si="161"/>
        <v>-1116230252.1886525</v>
      </c>
      <c r="L3199" s="444">
        <f t="shared" ca="1" si="162"/>
        <v>-269011490777.46527</v>
      </c>
      <c r="M3199" s="460">
        <f t="shared" si="164"/>
        <v>0.05</v>
      </c>
      <c r="N3199" s="464">
        <f t="shared" si="165"/>
        <v>148410</v>
      </c>
    </row>
    <row r="3200" spans="7:14" ht="11.25" customHeight="1" x14ac:dyDescent="0.25">
      <c r="G3200" s="459"/>
      <c r="H3200" s="459">
        <v>3193</v>
      </c>
      <c r="I3200" s="444">
        <f t="shared" ca="1" si="163"/>
        <v>-269011490777.46527</v>
      </c>
      <c r="J3200" s="444">
        <f t="array" ref="J3200">IFERROR(INDEX('Retirement Calculator'!J:J,MATCH('Isaac 401k'!N3200,'Retirement Calculator'!A:A,0),0),0)</f>
        <v>0</v>
      </c>
      <c r="K3200" s="444">
        <f t="shared" ca="1" si="161"/>
        <v>-1120881211.572772</v>
      </c>
      <c r="L3200" s="444">
        <f t="shared" ca="1" si="162"/>
        <v>-270132371989.03806</v>
      </c>
      <c r="M3200" s="460">
        <f t="shared" si="164"/>
        <v>0.05</v>
      </c>
      <c r="N3200" s="464">
        <f t="shared" si="165"/>
        <v>148441</v>
      </c>
    </row>
    <row r="3201" spans="7:14" ht="11.25" customHeight="1" x14ac:dyDescent="0.25">
      <c r="G3201" s="459"/>
      <c r="H3201" s="459">
        <v>3194</v>
      </c>
      <c r="I3201" s="444">
        <f t="shared" ca="1" si="163"/>
        <v>-270132371989.03806</v>
      </c>
      <c r="J3201" s="444">
        <f t="array" ref="J3201">IFERROR(INDEX('Retirement Calculator'!J:J,MATCH('Isaac 401k'!N3201,'Retirement Calculator'!A:A,0),0),0)</f>
        <v>0</v>
      </c>
      <c r="K3201" s="444">
        <f t="shared" ca="1" si="161"/>
        <v>-1125551549.9543252</v>
      </c>
      <c r="L3201" s="444">
        <f t="shared" ca="1" si="162"/>
        <v>-271257923538.99237</v>
      </c>
      <c r="M3201" s="460">
        <f t="shared" si="164"/>
        <v>0.05</v>
      </c>
      <c r="N3201" s="464">
        <f t="shared" si="165"/>
        <v>148471</v>
      </c>
    </row>
    <row r="3202" spans="7:14" ht="11.25" customHeight="1" x14ac:dyDescent="0.25">
      <c r="G3202" s="459"/>
      <c r="H3202" s="459">
        <v>3195</v>
      </c>
      <c r="I3202" s="444">
        <f t="shared" ca="1" si="163"/>
        <v>-271257923538.99237</v>
      </c>
      <c r="J3202" s="444">
        <f t="array" ref="J3202">IFERROR(INDEX('Retirement Calculator'!J:J,MATCH('Isaac 401k'!N3202,'Retirement Calculator'!A:A,0),0),0)</f>
        <v>0</v>
      </c>
      <c r="K3202" s="444">
        <f t="shared" ca="1" si="161"/>
        <v>-1130241348.0791349</v>
      </c>
      <c r="L3202" s="444">
        <f t="shared" ca="1" si="162"/>
        <v>-272388164887.0715</v>
      </c>
      <c r="M3202" s="460">
        <f t="shared" si="164"/>
        <v>0.05</v>
      </c>
      <c r="N3202" s="464">
        <f t="shared" si="165"/>
        <v>148502</v>
      </c>
    </row>
    <row r="3203" spans="7:14" ht="11.25" customHeight="1" x14ac:dyDescent="0.25">
      <c r="G3203" s="459"/>
      <c r="H3203" s="459">
        <v>3196</v>
      </c>
      <c r="I3203" s="444">
        <f t="shared" ca="1" si="163"/>
        <v>-272388164887.0715</v>
      </c>
      <c r="J3203" s="444">
        <f t="array" ref="J3203">IFERROR(INDEX('Retirement Calculator'!J:J,MATCH('Isaac 401k'!N3203,'Retirement Calculator'!A:A,0),0),0)</f>
        <v>0</v>
      </c>
      <c r="K3203" s="444">
        <f t="shared" ca="1" si="161"/>
        <v>-1134950687.0294647</v>
      </c>
      <c r="L3203" s="444">
        <f t="shared" ca="1" si="162"/>
        <v>-273523115574.10095</v>
      </c>
      <c r="M3203" s="460">
        <f t="shared" si="164"/>
        <v>0.05</v>
      </c>
      <c r="N3203" s="464">
        <f t="shared" si="165"/>
        <v>148533</v>
      </c>
    </row>
    <row r="3204" spans="7:14" ht="11.25" customHeight="1" x14ac:dyDescent="0.25">
      <c r="G3204" s="459"/>
      <c r="H3204" s="459">
        <v>3197</v>
      </c>
      <c r="I3204" s="444">
        <f t="shared" ca="1" si="163"/>
        <v>-273523115574.10095</v>
      </c>
      <c r="J3204" s="444">
        <f t="array" ref="J3204">IFERROR(INDEX('Retirement Calculator'!J:J,MATCH('Isaac 401k'!N3204,'Retirement Calculator'!A:A,0),0),0)</f>
        <v>0</v>
      </c>
      <c r="K3204" s="444">
        <f t="shared" ca="1" si="161"/>
        <v>-1139679648.2254205</v>
      </c>
      <c r="L3204" s="444">
        <f t="shared" ca="1" si="162"/>
        <v>-274662795222.32639</v>
      </c>
      <c r="M3204" s="460">
        <f t="shared" si="164"/>
        <v>0.05</v>
      </c>
      <c r="N3204" s="464">
        <f t="shared" si="165"/>
        <v>148563</v>
      </c>
    </row>
    <row r="3205" spans="7:14" ht="11.25" customHeight="1" x14ac:dyDescent="0.25">
      <c r="G3205" s="459"/>
      <c r="H3205" s="459">
        <v>3198</v>
      </c>
      <c r="I3205" s="444">
        <f t="shared" ca="1" si="163"/>
        <v>-274662795222.32639</v>
      </c>
      <c r="J3205" s="444">
        <f t="array" ref="J3205">IFERROR(INDEX('Retirement Calculator'!J:J,MATCH('Isaac 401k'!N3205,'Retirement Calculator'!A:A,0),0),0)</f>
        <v>0</v>
      </c>
      <c r="K3205" s="444">
        <f t="shared" ca="1" si="161"/>
        <v>-1144428313.4263599</v>
      </c>
      <c r="L3205" s="444">
        <f t="shared" ca="1" si="162"/>
        <v>-275807223535.75275</v>
      </c>
      <c r="M3205" s="460">
        <f t="shared" si="164"/>
        <v>0.05</v>
      </c>
      <c r="N3205" s="464">
        <f t="shared" si="165"/>
        <v>148594</v>
      </c>
    </row>
    <row r="3206" spans="7:14" ht="11.25" customHeight="1" x14ac:dyDescent="0.25">
      <c r="G3206" s="459"/>
      <c r="H3206" s="459">
        <v>3199</v>
      </c>
      <c r="I3206" s="444">
        <f t="shared" ca="1" si="163"/>
        <v>-275807223535.75275</v>
      </c>
      <c r="J3206" s="444">
        <f t="array" ref="J3206">IFERROR(INDEX('Retirement Calculator'!J:J,MATCH('Isaac 401k'!N3206,'Retirement Calculator'!A:A,0),0),0)</f>
        <v>0</v>
      </c>
      <c r="K3206" s="444">
        <f t="shared" ca="1" si="161"/>
        <v>-1149196764.7323031</v>
      </c>
      <c r="L3206" s="444">
        <f t="shared" ca="1" si="162"/>
        <v>-276956420300.48505</v>
      </c>
      <c r="M3206" s="460">
        <f t="shared" si="164"/>
        <v>0.05</v>
      </c>
      <c r="N3206" s="464">
        <f t="shared" si="165"/>
        <v>148624</v>
      </c>
    </row>
    <row r="3207" spans="7:14" ht="11.25" customHeight="1" x14ac:dyDescent="0.25">
      <c r="G3207" s="459"/>
      <c r="H3207" s="459">
        <v>3200</v>
      </c>
      <c r="I3207" s="444">
        <f t="shared" ca="1" si="163"/>
        <v>-276956420300.48505</v>
      </c>
      <c r="J3207" s="444">
        <f t="array" ref="J3207">IFERROR(INDEX('Retirement Calculator'!J:J,MATCH('Isaac 401k'!N3207,'Retirement Calculator'!A:A,0),0),0)</f>
        <v>0</v>
      </c>
      <c r="K3207" s="444">
        <f t="shared" ca="1" si="161"/>
        <v>-1153985084.5853543</v>
      </c>
      <c r="L3207" s="444">
        <f t="shared" ca="1" si="162"/>
        <v>-278110405385.07037</v>
      </c>
      <c r="M3207" s="460">
        <f t="shared" si="164"/>
        <v>0.05</v>
      </c>
      <c r="N3207" s="464">
        <f t="shared" si="165"/>
        <v>148655</v>
      </c>
    </row>
    <row r="3208" spans="7:14" ht="11.25" customHeight="1" x14ac:dyDescent="0.25">
      <c r="G3208" s="459"/>
      <c r="H3208" s="459">
        <v>3201</v>
      </c>
      <c r="I3208" s="444">
        <f t="shared" ca="1" si="163"/>
        <v>-278110405385.07037</v>
      </c>
      <c r="J3208" s="444">
        <f t="array" ref="J3208">IFERROR(INDEX('Retirement Calculator'!J:J,MATCH('Isaac 401k'!N3208,'Retirement Calculator'!A:A,0),0),0)</f>
        <v>0</v>
      </c>
      <c r="K3208" s="444">
        <f t="shared" ca="1" si="161"/>
        <v>-1158793355.7711265</v>
      </c>
      <c r="L3208" s="444">
        <f t="shared" ca="1" si="162"/>
        <v>-279269198740.84149</v>
      </c>
      <c r="M3208" s="460">
        <f t="shared" si="164"/>
        <v>0.05</v>
      </c>
      <c r="N3208" s="464">
        <f t="shared" si="165"/>
        <v>148686</v>
      </c>
    </row>
    <row r="3209" spans="7:14" ht="11.25" customHeight="1" x14ac:dyDescent="0.25">
      <c r="G3209" s="459"/>
      <c r="H3209" s="459">
        <v>3202</v>
      </c>
      <c r="I3209" s="444">
        <f t="shared" ca="1" si="163"/>
        <v>-279269198740.84149</v>
      </c>
      <c r="J3209" s="444">
        <f t="array" ref="J3209">IFERROR(INDEX('Retirement Calculator'!J:J,MATCH('Isaac 401k'!N3209,'Retirement Calculator'!A:A,0),0),0)</f>
        <v>0</v>
      </c>
      <c r="K3209" s="444">
        <f t="shared" ca="1" si="161"/>
        <v>-1163621661.4201729</v>
      </c>
      <c r="L3209" s="444">
        <f t="shared" ca="1" si="162"/>
        <v>-280432820402.26166</v>
      </c>
      <c r="M3209" s="460">
        <f t="shared" si="164"/>
        <v>0.05</v>
      </c>
      <c r="N3209" s="464">
        <f t="shared" si="165"/>
        <v>148714</v>
      </c>
    </row>
    <row r="3210" spans="7:14" ht="11.25" customHeight="1" x14ac:dyDescent="0.25">
      <c r="G3210" s="459"/>
      <c r="H3210" s="459">
        <v>3203</v>
      </c>
      <c r="I3210" s="444">
        <f t="shared" ca="1" si="163"/>
        <v>-280432820402.26166</v>
      </c>
      <c r="J3210" s="444">
        <f t="array" ref="J3210">IFERROR(INDEX('Retirement Calculator'!J:J,MATCH('Isaac 401k'!N3210,'Retirement Calculator'!A:A,0),0),0)</f>
        <v>0</v>
      </c>
      <c r="K3210" s="444">
        <f t="shared" ca="1" si="161"/>
        <v>-1168470085.0094235</v>
      </c>
      <c r="L3210" s="444">
        <f t="shared" ca="1" si="162"/>
        <v>-281601290487.27106</v>
      </c>
      <c r="M3210" s="460">
        <f t="shared" si="164"/>
        <v>0.05</v>
      </c>
      <c r="N3210" s="464">
        <f t="shared" si="165"/>
        <v>148745</v>
      </c>
    </row>
    <row r="3211" spans="7:14" ht="11.25" customHeight="1" x14ac:dyDescent="0.25">
      <c r="G3211" s="459"/>
      <c r="H3211" s="459">
        <v>3204</v>
      </c>
      <c r="I3211" s="444">
        <f t="shared" ca="1" si="163"/>
        <v>-281601290487.27106</v>
      </c>
      <c r="J3211" s="444">
        <f t="array" ref="J3211">IFERROR(INDEX('Retirement Calculator'!J:J,MATCH('Isaac 401k'!N3211,'Retirement Calculator'!A:A,0),0),0)</f>
        <v>0</v>
      </c>
      <c r="K3211" s="444">
        <f t="shared" ca="1" si="161"/>
        <v>-1173338710.3636293</v>
      </c>
      <c r="L3211" s="444">
        <f t="shared" ca="1" si="162"/>
        <v>-282774629197.6347</v>
      </c>
      <c r="M3211" s="460">
        <f t="shared" si="164"/>
        <v>0.05</v>
      </c>
      <c r="N3211" s="464">
        <f t="shared" si="165"/>
        <v>148775</v>
      </c>
    </row>
    <row r="3212" spans="7:14" ht="11.25" customHeight="1" x14ac:dyDescent="0.25">
      <c r="G3212" s="459"/>
      <c r="H3212" s="459">
        <v>3205</v>
      </c>
      <c r="I3212" s="444">
        <f t="shared" ca="1" si="163"/>
        <v>-282774629197.6347</v>
      </c>
      <c r="J3212" s="444">
        <f t="array" ref="J3212">IFERROR(INDEX('Retirement Calculator'!J:J,MATCH('Isaac 401k'!N3212,'Retirement Calculator'!A:A,0),0),0)</f>
        <v>0</v>
      </c>
      <c r="K3212" s="444">
        <f t="shared" ca="1" si="161"/>
        <v>-1178227621.6568112</v>
      </c>
      <c r="L3212" s="444">
        <f t="shared" ca="1" si="162"/>
        <v>-283952856819.2915</v>
      </c>
      <c r="M3212" s="460">
        <f t="shared" si="164"/>
        <v>0.05</v>
      </c>
      <c r="N3212" s="464">
        <f t="shared" si="165"/>
        <v>148806</v>
      </c>
    </row>
    <row r="3213" spans="7:14" ht="11.25" customHeight="1" x14ac:dyDescent="0.25">
      <c r="G3213" s="459"/>
      <c r="H3213" s="459">
        <v>3206</v>
      </c>
      <c r="I3213" s="444">
        <f t="shared" ca="1" si="163"/>
        <v>-283952856819.2915</v>
      </c>
      <c r="J3213" s="444">
        <f t="array" ref="J3213">IFERROR(INDEX('Retirement Calculator'!J:J,MATCH('Isaac 401k'!N3213,'Retirement Calculator'!A:A,0),0),0)</f>
        <v>0</v>
      </c>
      <c r="K3213" s="444">
        <f t="shared" ca="1" si="161"/>
        <v>-1183136903.4137146</v>
      </c>
      <c r="L3213" s="444">
        <f t="shared" ca="1" si="162"/>
        <v>-285135993722.7052</v>
      </c>
      <c r="M3213" s="460">
        <f t="shared" si="164"/>
        <v>0.05</v>
      </c>
      <c r="N3213" s="464">
        <f t="shared" si="165"/>
        <v>148836</v>
      </c>
    </row>
    <row r="3214" spans="7:14" ht="11.25" customHeight="1" x14ac:dyDescent="0.25">
      <c r="G3214" s="459"/>
      <c r="H3214" s="459">
        <v>3207</v>
      </c>
      <c r="I3214" s="444">
        <f t="shared" ca="1" si="163"/>
        <v>-285135993722.7052</v>
      </c>
      <c r="J3214" s="444">
        <f t="array" ref="J3214">IFERROR(INDEX('Retirement Calculator'!J:J,MATCH('Isaac 401k'!N3214,'Retirement Calculator'!A:A,0),0),0)</f>
        <v>0</v>
      </c>
      <c r="K3214" s="444">
        <f t="shared" ca="1" si="161"/>
        <v>-1188066640.5112717</v>
      </c>
      <c r="L3214" s="444">
        <f t="shared" ca="1" si="162"/>
        <v>-286324060363.21649</v>
      </c>
      <c r="M3214" s="460">
        <f t="shared" si="164"/>
        <v>0.05</v>
      </c>
      <c r="N3214" s="464">
        <f t="shared" si="165"/>
        <v>148867</v>
      </c>
    </row>
    <row r="3215" spans="7:14" ht="11.25" customHeight="1" x14ac:dyDescent="0.25">
      <c r="G3215" s="459"/>
      <c r="H3215" s="459">
        <v>3208</v>
      </c>
      <c r="I3215" s="444">
        <f t="shared" ca="1" si="163"/>
        <v>-286324060363.21649</v>
      </c>
      <c r="J3215" s="444">
        <f t="array" ref="J3215">IFERROR(INDEX('Retirement Calculator'!J:J,MATCH('Isaac 401k'!N3215,'Retirement Calculator'!A:A,0),0),0)</f>
        <v>0</v>
      </c>
      <c r="K3215" s="444">
        <f t="shared" ca="1" si="161"/>
        <v>-1193016918.1800687</v>
      </c>
      <c r="L3215" s="444">
        <f t="shared" ca="1" si="162"/>
        <v>-287517077281.39655</v>
      </c>
      <c r="M3215" s="460">
        <f t="shared" si="164"/>
        <v>0.05</v>
      </c>
      <c r="N3215" s="464">
        <f t="shared" si="165"/>
        <v>148898</v>
      </c>
    </row>
    <row r="3216" spans="7:14" ht="11.25" customHeight="1" x14ac:dyDescent="0.25">
      <c r="G3216" s="459"/>
      <c r="H3216" s="459">
        <v>3209</v>
      </c>
      <c r="I3216" s="444">
        <f t="shared" ca="1" si="163"/>
        <v>-287517077281.39655</v>
      </c>
      <c r="J3216" s="444">
        <f t="array" ref="J3216">IFERROR(INDEX('Retirement Calculator'!J:J,MATCH('Isaac 401k'!N3216,'Retirement Calculator'!A:A,0),0),0)</f>
        <v>0</v>
      </c>
      <c r="K3216" s="444">
        <f t="shared" ca="1" si="161"/>
        <v>-1197987822.0058188</v>
      </c>
      <c r="L3216" s="444">
        <f t="shared" ca="1" si="162"/>
        <v>-288715065103.40234</v>
      </c>
      <c r="M3216" s="460">
        <f t="shared" si="164"/>
        <v>0.05</v>
      </c>
      <c r="N3216" s="464">
        <f t="shared" si="165"/>
        <v>148928</v>
      </c>
    </row>
    <row r="3217" spans="7:14" ht="11.25" customHeight="1" x14ac:dyDescent="0.25">
      <c r="G3217" s="459"/>
      <c r="H3217" s="459">
        <v>3210</v>
      </c>
      <c r="I3217" s="444">
        <f t="shared" ca="1" si="163"/>
        <v>-288715065103.40234</v>
      </c>
      <c r="J3217" s="444">
        <f t="array" ref="J3217">IFERROR(INDEX('Retirement Calculator'!J:J,MATCH('Isaac 401k'!N3217,'Retirement Calculator'!A:A,0),0),0)</f>
        <v>0</v>
      </c>
      <c r="K3217" s="444">
        <f t="shared" ca="1" si="161"/>
        <v>-1202979437.9308431</v>
      </c>
      <c r="L3217" s="444">
        <f t="shared" ca="1" si="162"/>
        <v>-289918044541.33319</v>
      </c>
      <c r="M3217" s="460">
        <f t="shared" si="164"/>
        <v>0.05</v>
      </c>
      <c r="N3217" s="464">
        <f t="shared" si="165"/>
        <v>148959</v>
      </c>
    </row>
    <row r="3218" spans="7:14" ht="11.25" customHeight="1" x14ac:dyDescent="0.25">
      <c r="G3218" s="459"/>
      <c r="H3218" s="459">
        <v>3211</v>
      </c>
      <c r="I3218" s="444">
        <f t="shared" ca="1" si="163"/>
        <v>-289918044541.33319</v>
      </c>
      <c r="J3218" s="444">
        <f t="array" ref="J3218">IFERROR(INDEX('Retirement Calculator'!J:J,MATCH('Isaac 401k'!N3218,'Retirement Calculator'!A:A,0),0),0)</f>
        <v>0</v>
      </c>
      <c r="K3218" s="444">
        <f t="shared" ca="1" si="161"/>
        <v>-1207991852.2555549</v>
      </c>
      <c r="L3218" s="444">
        <f t="shared" ca="1" si="162"/>
        <v>-291126036393.58875</v>
      </c>
      <c r="M3218" s="460">
        <f t="shared" si="164"/>
        <v>0.05</v>
      </c>
      <c r="N3218" s="464">
        <f t="shared" si="165"/>
        <v>148989</v>
      </c>
    </row>
    <row r="3219" spans="7:14" ht="11.25" customHeight="1" x14ac:dyDescent="0.25">
      <c r="G3219" s="459"/>
      <c r="H3219" s="459">
        <v>3212</v>
      </c>
      <c r="I3219" s="444">
        <f t="shared" ca="1" si="163"/>
        <v>-291126036393.58875</v>
      </c>
      <c r="J3219" s="444">
        <f t="array" ref="J3219">IFERROR(INDEX('Retirement Calculator'!J:J,MATCH('Isaac 401k'!N3219,'Retirement Calculator'!A:A,0),0),0)</f>
        <v>0</v>
      </c>
      <c r="K3219" s="444">
        <f t="shared" ca="1" si="161"/>
        <v>-1213025151.6399531</v>
      </c>
      <c r="L3219" s="444">
        <f t="shared" ca="1" si="162"/>
        <v>-292339061545.2287</v>
      </c>
      <c r="M3219" s="460">
        <f t="shared" si="164"/>
        <v>0.05</v>
      </c>
      <c r="N3219" s="464">
        <f t="shared" si="165"/>
        <v>149020</v>
      </c>
    </row>
    <row r="3220" spans="7:14" ht="11.25" customHeight="1" x14ac:dyDescent="0.25">
      <c r="G3220" s="459"/>
      <c r="H3220" s="459">
        <v>3213</v>
      </c>
      <c r="I3220" s="444">
        <f t="shared" ca="1" si="163"/>
        <v>-292339061545.2287</v>
      </c>
      <c r="J3220" s="444">
        <f t="array" ref="J3220">IFERROR(INDEX('Retirement Calculator'!J:J,MATCH('Isaac 401k'!N3220,'Retirement Calculator'!A:A,0),0),0)</f>
        <v>0</v>
      </c>
      <c r="K3220" s="444">
        <f t="shared" ca="1" si="161"/>
        <v>-1218079423.1051195</v>
      </c>
      <c r="L3220" s="444">
        <f t="shared" ca="1" si="162"/>
        <v>-293557140968.3338</v>
      </c>
      <c r="M3220" s="460">
        <f t="shared" si="164"/>
        <v>0.05</v>
      </c>
      <c r="N3220" s="464">
        <f t="shared" si="165"/>
        <v>149051</v>
      </c>
    </row>
    <row r="3221" spans="7:14" ht="11.25" customHeight="1" x14ac:dyDescent="0.25">
      <c r="G3221" s="459"/>
      <c r="H3221" s="459">
        <v>3214</v>
      </c>
      <c r="I3221" s="444">
        <f t="shared" ca="1" si="163"/>
        <v>-293557140968.3338</v>
      </c>
      <c r="J3221" s="444">
        <f t="array" ref="J3221">IFERROR(INDEX('Retirement Calculator'!J:J,MATCH('Isaac 401k'!N3221,'Retirement Calculator'!A:A,0),0),0)</f>
        <v>0</v>
      </c>
      <c r="K3221" s="444">
        <f t="shared" ca="1" si="161"/>
        <v>-1223154754.0347242</v>
      </c>
      <c r="L3221" s="444">
        <f t="shared" ca="1" si="162"/>
        <v>-294780295722.36853</v>
      </c>
      <c r="M3221" s="460">
        <f t="shared" si="164"/>
        <v>0.05</v>
      </c>
      <c r="N3221" s="464">
        <f t="shared" si="165"/>
        <v>149080</v>
      </c>
    </row>
    <row r="3222" spans="7:14" ht="11.25" customHeight="1" x14ac:dyDescent="0.25">
      <c r="G3222" s="459"/>
      <c r="H3222" s="459">
        <v>3215</v>
      </c>
      <c r="I3222" s="444">
        <f t="shared" ca="1" si="163"/>
        <v>-294780295722.36853</v>
      </c>
      <c r="J3222" s="444">
        <f t="array" ref="J3222">IFERROR(INDEX('Retirement Calculator'!J:J,MATCH('Isaac 401k'!N3222,'Retirement Calculator'!A:A,0),0),0)</f>
        <v>0</v>
      </c>
      <c r="K3222" s="444">
        <f t="shared" ca="1" si="161"/>
        <v>-1228251232.1765356</v>
      </c>
      <c r="L3222" s="444">
        <f t="shared" ca="1" si="162"/>
        <v>-296008546954.54504</v>
      </c>
      <c r="M3222" s="460">
        <f t="shared" si="164"/>
        <v>0.05</v>
      </c>
      <c r="N3222" s="464">
        <f t="shared" si="165"/>
        <v>149111</v>
      </c>
    </row>
    <row r="3223" spans="7:14" ht="11.25" customHeight="1" x14ac:dyDescent="0.25">
      <c r="G3223" s="459"/>
      <c r="H3223" s="459">
        <v>3216</v>
      </c>
      <c r="I3223" s="444">
        <f t="shared" ca="1" si="163"/>
        <v>-296008546954.54504</v>
      </c>
      <c r="J3223" s="444">
        <f t="array" ref="J3223">IFERROR(INDEX('Retirement Calculator'!J:J,MATCH('Isaac 401k'!N3223,'Retirement Calculator'!A:A,0),0),0)</f>
        <v>0</v>
      </c>
      <c r="K3223" s="444">
        <f t="shared" ca="1" si="161"/>
        <v>-1233368945.6439376</v>
      </c>
      <c r="L3223" s="444">
        <f t="shared" ca="1" si="162"/>
        <v>-297241915900.18896</v>
      </c>
      <c r="M3223" s="460">
        <f t="shared" si="164"/>
        <v>0.05</v>
      </c>
      <c r="N3223" s="464">
        <f t="shared" si="165"/>
        <v>149141</v>
      </c>
    </row>
    <row r="3224" spans="7:14" ht="11.25" customHeight="1" x14ac:dyDescent="0.25">
      <c r="G3224" s="459"/>
      <c r="H3224" s="459">
        <v>3217</v>
      </c>
      <c r="I3224" s="444">
        <f t="shared" ca="1" si="163"/>
        <v>-297241915900.18896</v>
      </c>
      <c r="J3224" s="444">
        <f t="array" ref="J3224">IFERROR(INDEX('Retirement Calculator'!J:J,MATCH('Isaac 401k'!N3224,'Retirement Calculator'!A:A,0),0),0)</f>
        <v>0</v>
      </c>
      <c r="K3224" s="444">
        <f t="shared" ca="1" si="161"/>
        <v>-1238507982.917454</v>
      </c>
      <c r="L3224" s="444">
        <f t="shared" ca="1" si="162"/>
        <v>-298480423883.10645</v>
      </c>
      <c r="M3224" s="460">
        <f t="shared" si="164"/>
        <v>0.05</v>
      </c>
      <c r="N3224" s="464">
        <f t="shared" si="165"/>
        <v>149172</v>
      </c>
    </row>
    <row r="3225" spans="7:14" ht="11.25" customHeight="1" x14ac:dyDescent="0.25">
      <c r="G3225" s="459"/>
      <c r="H3225" s="459">
        <v>3218</v>
      </c>
      <c r="I3225" s="444">
        <f t="shared" ca="1" si="163"/>
        <v>-298480423883.10645</v>
      </c>
      <c r="J3225" s="444">
        <f t="array" ref="J3225">IFERROR(INDEX('Retirement Calculator'!J:J,MATCH('Isaac 401k'!N3225,'Retirement Calculator'!A:A,0),0),0)</f>
        <v>0</v>
      </c>
      <c r="K3225" s="444">
        <f t="shared" ca="1" si="161"/>
        <v>-1243668432.8462768</v>
      </c>
      <c r="L3225" s="444">
        <f t="shared" ca="1" si="162"/>
        <v>-299724092315.9527</v>
      </c>
      <c r="M3225" s="460">
        <f t="shared" si="164"/>
        <v>0.05</v>
      </c>
      <c r="N3225" s="464">
        <f t="shared" si="165"/>
        <v>149202</v>
      </c>
    </row>
    <row r="3226" spans="7:14" ht="11.25" customHeight="1" x14ac:dyDescent="0.25">
      <c r="G3226" s="459"/>
      <c r="H3226" s="459">
        <v>3219</v>
      </c>
      <c r="I3226" s="444">
        <f t="shared" ca="1" si="163"/>
        <v>-299724092315.9527</v>
      </c>
      <c r="J3226" s="444">
        <f t="array" ref="J3226">IFERROR(INDEX('Retirement Calculator'!J:J,MATCH('Isaac 401k'!N3226,'Retirement Calculator'!A:A,0),0),0)</f>
        <v>0</v>
      </c>
      <c r="K3226" s="444">
        <f t="shared" ca="1" si="161"/>
        <v>-1248850384.6498029</v>
      </c>
      <c r="L3226" s="444">
        <f t="shared" ca="1" si="162"/>
        <v>-300972942700.60248</v>
      </c>
      <c r="M3226" s="460">
        <f t="shared" si="164"/>
        <v>0.05</v>
      </c>
      <c r="N3226" s="464">
        <f t="shared" si="165"/>
        <v>149233</v>
      </c>
    </row>
    <row r="3227" spans="7:14" ht="11.25" customHeight="1" x14ac:dyDescent="0.25">
      <c r="G3227" s="459"/>
      <c r="H3227" s="459">
        <v>3220</v>
      </c>
      <c r="I3227" s="444">
        <f t="shared" ca="1" si="163"/>
        <v>-300972942700.60248</v>
      </c>
      <c r="J3227" s="444">
        <f t="array" ref="J3227">IFERROR(INDEX('Retirement Calculator'!J:J,MATCH('Isaac 401k'!N3227,'Retirement Calculator'!A:A,0),0),0)</f>
        <v>0</v>
      </c>
      <c r="K3227" s="444">
        <f t="shared" ca="1" si="161"/>
        <v>-1254053927.9191771</v>
      </c>
      <c r="L3227" s="444">
        <f t="shared" ca="1" si="162"/>
        <v>-302226996628.52167</v>
      </c>
      <c r="M3227" s="460">
        <f t="shared" si="164"/>
        <v>0.05</v>
      </c>
      <c r="N3227" s="464">
        <f t="shared" si="165"/>
        <v>149264</v>
      </c>
    </row>
    <row r="3228" spans="7:14" ht="11.25" customHeight="1" x14ac:dyDescent="0.25">
      <c r="G3228" s="459"/>
      <c r="H3228" s="459">
        <v>3221</v>
      </c>
      <c r="I3228" s="444">
        <f t="shared" ca="1" si="163"/>
        <v>-302226996628.52167</v>
      </c>
      <c r="J3228" s="444">
        <f t="array" ref="J3228">IFERROR(INDEX('Retirement Calculator'!J:J,MATCH('Isaac 401k'!N3228,'Retirement Calculator'!A:A,0),0),0)</f>
        <v>0</v>
      </c>
      <c r="K3228" s="444">
        <f t="shared" ca="1" si="161"/>
        <v>-1259279152.6188402</v>
      </c>
      <c r="L3228" s="444">
        <f t="shared" ca="1" si="162"/>
        <v>-303486275781.1405</v>
      </c>
      <c r="M3228" s="460">
        <f t="shared" si="164"/>
        <v>0.05</v>
      </c>
      <c r="N3228" s="464">
        <f t="shared" si="165"/>
        <v>149294</v>
      </c>
    </row>
    <row r="3229" spans="7:14" ht="11.25" customHeight="1" x14ac:dyDescent="0.25">
      <c r="G3229" s="459"/>
      <c r="H3229" s="459">
        <v>3222</v>
      </c>
      <c r="I3229" s="444">
        <f t="shared" ca="1" si="163"/>
        <v>-303486275781.1405</v>
      </c>
      <c r="J3229" s="444">
        <f t="array" ref="J3229">IFERROR(INDEX('Retirement Calculator'!J:J,MATCH('Isaac 401k'!N3229,'Retirement Calculator'!A:A,0),0),0)</f>
        <v>0</v>
      </c>
      <c r="K3229" s="444">
        <f t="shared" ca="1" si="161"/>
        <v>-1264526149.0880854</v>
      </c>
      <c r="L3229" s="444">
        <f t="shared" ca="1" si="162"/>
        <v>-304750801930.22858</v>
      </c>
      <c r="M3229" s="460">
        <f t="shared" si="164"/>
        <v>0.05</v>
      </c>
      <c r="N3229" s="464">
        <f t="shared" si="165"/>
        <v>149325</v>
      </c>
    </row>
    <row r="3230" spans="7:14" ht="11.25" customHeight="1" x14ac:dyDescent="0.25">
      <c r="G3230" s="459"/>
      <c r="H3230" s="459">
        <v>3223</v>
      </c>
      <c r="I3230" s="444">
        <f t="shared" ca="1" si="163"/>
        <v>-304750801930.22858</v>
      </c>
      <c r="J3230" s="444">
        <f t="array" ref="J3230">IFERROR(INDEX('Retirement Calculator'!J:J,MATCH('Isaac 401k'!N3230,'Retirement Calculator'!A:A,0),0),0)</f>
        <v>0</v>
      </c>
      <c r="K3230" s="444">
        <f t="shared" ca="1" si="161"/>
        <v>-1269795008.042619</v>
      </c>
      <c r="L3230" s="444">
        <f t="shared" ca="1" si="162"/>
        <v>-306020596938.27118</v>
      </c>
      <c r="M3230" s="460">
        <f t="shared" si="164"/>
        <v>0.05</v>
      </c>
      <c r="N3230" s="464">
        <f t="shared" si="165"/>
        <v>149355</v>
      </c>
    </row>
    <row r="3231" spans="7:14" ht="11.25" customHeight="1" x14ac:dyDescent="0.25">
      <c r="G3231" s="459"/>
      <c r="H3231" s="459">
        <v>3224</v>
      </c>
      <c r="I3231" s="444">
        <f t="shared" ca="1" si="163"/>
        <v>-306020596938.27118</v>
      </c>
      <c r="J3231" s="444">
        <f t="array" ref="J3231">IFERROR(INDEX('Retirement Calculator'!J:J,MATCH('Isaac 401k'!N3231,'Retirement Calculator'!A:A,0),0),0)</f>
        <v>0</v>
      </c>
      <c r="K3231" s="444">
        <f t="shared" ca="1" si="161"/>
        <v>-1275085820.5761299</v>
      </c>
      <c r="L3231" s="444">
        <f t="shared" ca="1" si="162"/>
        <v>-307295682758.84729</v>
      </c>
      <c r="M3231" s="460">
        <f t="shared" si="164"/>
        <v>0.05</v>
      </c>
      <c r="N3231" s="464">
        <f t="shared" si="165"/>
        <v>149386</v>
      </c>
    </row>
    <row r="3232" spans="7:14" ht="11.25" customHeight="1" x14ac:dyDescent="0.25">
      <c r="G3232" s="459"/>
      <c r="H3232" s="459">
        <v>3225</v>
      </c>
      <c r="I3232" s="444">
        <f t="shared" ca="1" si="163"/>
        <v>-307295682758.84729</v>
      </c>
      <c r="J3232" s="444">
        <f t="array" ref="J3232">IFERROR(INDEX('Retirement Calculator'!J:J,MATCH('Isaac 401k'!N3232,'Retirement Calculator'!A:A,0),0),0)</f>
        <v>0</v>
      </c>
      <c r="K3232" s="444">
        <f t="shared" ca="1" si="161"/>
        <v>-1280398678.1618638</v>
      </c>
      <c r="L3232" s="444">
        <f t="shared" ca="1" si="162"/>
        <v>-308576081437.00916</v>
      </c>
      <c r="M3232" s="460">
        <f t="shared" si="164"/>
        <v>0.05</v>
      </c>
      <c r="N3232" s="464">
        <f t="shared" si="165"/>
        <v>149417</v>
      </c>
    </row>
    <row r="3233" spans="7:14" ht="11.25" customHeight="1" x14ac:dyDescent="0.25">
      <c r="G3233" s="459"/>
      <c r="H3233" s="459">
        <v>3226</v>
      </c>
      <c r="I3233" s="444">
        <f t="shared" ca="1" si="163"/>
        <v>-308576081437.00916</v>
      </c>
      <c r="J3233" s="444">
        <f t="array" ref="J3233">IFERROR(INDEX('Retirement Calculator'!J:J,MATCH('Isaac 401k'!N3233,'Retirement Calculator'!A:A,0),0),0)</f>
        <v>0</v>
      </c>
      <c r="K3233" s="444">
        <f t="shared" ca="1" si="161"/>
        <v>-1285733672.6542048</v>
      </c>
      <c r="L3233" s="444">
        <f t="shared" ca="1" si="162"/>
        <v>-309861815109.66333</v>
      </c>
      <c r="M3233" s="460">
        <f t="shared" si="164"/>
        <v>0.05</v>
      </c>
      <c r="N3233" s="464">
        <f t="shared" si="165"/>
        <v>149445</v>
      </c>
    </row>
    <row r="3234" spans="7:14" ht="11.25" customHeight="1" x14ac:dyDescent="0.25">
      <c r="G3234" s="459"/>
      <c r="H3234" s="459">
        <v>3227</v>
      </c>
      <c r="I3234" s="444">
        <f t="shared" ca="1" si="163"/>
        <v>-309861815109.66333</v>
      </c>
      <c r="J3234" s="444">
        <f t="array" ref="J3234">IFERROR(INDEX('Retirement Calculator'!J:J,MATCH('Isaac 401k'!N3234,'Retirement Calculator'!A:A,0),0),0)</f>
        <v>0</v>
      </c>
      <c r="K3234" s="444">
        <f t="shared" ca="1" si="161"/>
        <v>-1291090896.2902639</v>
      </c>
      <c r="L3234" s="444">
        <f t="shared" ca="1" si="162"/>
        <v>-311152906005.95361</v>
      </c>
      <c r="M3234" s="460">
        <f t="shared" si="164"/>
        <v>0.05</v>
      </c>
      <c r="N3234" s="464">
        <f t="shared" si="165"/>
        <v>149476</v>
      </c>
    </row>
    <row r="3235" spans="7:14" ht="11.25" customHeight="1" x14ac:dyDescent="0.25">
      <c r="G3235" s="459"/>
      <c r="H3235" s="459">
        <v>3228</v>
      </c>
      <c r="I3235" s="444">
        <f t="shared" ca="1" si="163"/>
        <v>-311152906005.95361</v>
      </c>
      <c r="J3235" s="444">
        <f t="array" ref="J3235">IFERROR(INDEX('Retirement Calculator'!J:J,MATCH('Isaac 401k'!N3235,'Retirement Calculator'!A:A,0),0),0)</f>
        <v>0</v>
      </c>
      <c r="K3235" s="444">
        <f t="shared" ca="1" si="161"/>
        <v>-1296470441.6914735</v>
      </c>
      <c r="L3235" s="444">
        <f t="shared" ca="1" si="162"/>
        <v>-312449376447.64508</v>
      </c>
      <c r="M3235" s="460">
        <f t="shared" si="164"/>
        <v>0.05</v>
      </c>
      <c r="N3235" s="464">
        <f t="shared" si="165"/>
        <v>149506</v>
      </c>
    </row>
    <row r="3236" spans="7:14" ht="11.25" customHeight="1" x14ac:dyDescent="0.25">
      <c r="G3236" s="459"/>
      <c r="H3236" s="459">
        <v>3229</v>
      </c>
      <c r="I3236" s="444">
        <f t="shared" ca="1" si="163"/>
        <v>-312449376447.64508</v>
      </c>
      <c r="J3236" s="444">
        <f t="array" ref="J3236">IFERROR(INDEX('Retirement Calculator'!J:J,MATCH('Isaac 401k'!N3236,'Retirement Calculator'!A:A,0),0),0)</f>
        <v>0</v>
      </c>
      <c r="K3236" s="444">
        <f t="shared" ca="1" si="161"/>
        <v>-1301872401.8651879</v>
      </c>
      <c r="L3236" s="444">
        <f t="shared" ca="1" si="162"/>
        <v>-313751248849.51025</v>
      </c>
      <c r="M3236" s="460">
        <f t="shared" si="164"/>
        <v>0.05</v>
      </c>
      <c r="N3236" s="464">
        <f t="shared" si="165"/>
        <v>149537</v>
      </c>
    </row>
    <row r="3237" spans="7:14" ht="11.25" customHeight="1" x14ac:dyDescent="0.25">
      <c r="G3237" s="459"/>
      <c r="H3237" s="459">
        <v>3230</v>
      </c>
      <c r="I3237" s="444">
        <f t="shared" ca="1" si="163"/>
        <v>-313751248849.51025</v>
      </c>
      <c r="J3237" s="444">
        <f t="array" ref="J3237">IFERROR(INDEX('Retirement Calculator'!J:J,MATCH('Isaac 401k'!N3237,'Retirement Calculator'!A:A,0),0),0)</f>
        <v>0</v>
      </c>
      <c r="K3237" s="444">
        <f t="shared" ca="1" si="161"/>
        <v>-1307296870.2062926</v>
      </c>
      <c r="L3237" s="444">
        <f t="shared" ca="1" si="162"/>
        <v>-315058545719.71655</v>
      </c>
      <c r="M3237" s="460">
        <f t="shared" si="164"/>
        <v>0.05</v>
      </c>
      <c r="N3237" s="464">
        <f t="shared" si="165"/>
        <v>149567</v>
      </c>
    </row>
    <row r="3238" spans="7:14" ht="11.25" customHeight="1" x14ac:dyDescent="0.25">
      <c r="G3238" s="459"/>
      <c r="H3238" s="459">
        <v>3231</v>
      </c>
      <c r="I3238" s="444">
        <f t="shared" ca="1" si="163"/>
        <v>-315058545719.71655</v>
      </c>
      <c r="J3238" s="444">
        <f t="array" ref="J3238">IFERROR(INDEX('Retirement Calculator'!J:J,MATCH('Isaac 401k'!N3238,'Retirement Calculator'!A:A,0),0),0)</f>
        <v>0</v>
      </c>
      <c r="K3238" s="444">
        <f t="shared" ca="1" si="161"/>
        <v>-1312743940.4988189</v>
      </c>
      <c r="L3238" s="444">
        <f t="shared" ca="1" si="162"/>
        <v>-316371289660.21539</v>
      </c>
      <c r="M3238" s="460">
        <f t="shared" si="164"/>
        <v>0.05</v>
      </c>
      <c r="N3238" s="464">
        <f t="shared" si="165"/>
        <v>149598</v>
      </c>
    </row>
    <row r="3239" spans="7:14" ht="11.25" customHeight="1" x14ac:dyDescent="0.25">
      <c r="G3239" s="459"/>
      <c r="H3239" s="459">
        <v>3232</v>
      </c>
      <c r="I3239" s="444">
        <f t="shared" ca="1" si="163"/>
        <v>-316371289660.21539</v>
      </c>
      <c r="J3239" s="444">
        <f t="array" ref="J3239">IFERROR(INDEX('Retirement Calculator'!J:J,MATCH('Isaac 401k'!N3239,'Retirement Calculator'!A:A,0),0),0)</f>
        <v>0</v>
      </c>
      <c r="K3239" s="444">
        <f t="shared" ca="1" si="161"/>
        <v>-1318213706.9175642</v>
      </c>
      <c r="L3239" s="444">
        <f t="shared" ca="1" si="162"/>
        <v>-317689503367.13293</v>
      </c>
      <c r="M3239" s="460">
        <f t="shared" si="164"/>
        <v>0.05</v>
      </c>
      <c r="N3239" s="464">
        <f t="shared" si="165"/>
        <v>149629</v>
      </c>
    </row>
    <row r="3240" spans="7:14" ht="11.25" customHeight="1" x14ac:dyDescent="0.25">
      <c r="G3240" s="459"/>
      <c r="H3240" s="459">
        <v>3233</v>
      </c>
      <c r="I3240" s="444">
        <f t="shared" ca="1" si="163"/>
        <v>-317689503367.13293</v>
      </c>
      <c r="J3240" s="444">
        <f t="array" ref="J3240">IFERROR(INDEX('Retirement Calculator'!J:J,MATCH('Isaac 401k'!N3240,'Retirement Calculator'!A:A,0),0),0)</f>
        <v>0</v>
      </c>
      <c r="K3240" s="444">
        <f t="shared" ca="1" si="161"/>
        <v>-1323706264.0297205</v>
      </c>
      <c r="L3240" s="444">
        <f t="shared" ca="1" si="162"/>
        <v>-319013209631.16266</v>
      </c>
      <c r="M3240" s="460">
        <f t="shared" si="164"/>
        <v>0.05</v>
      </c>
      <c r="N3240" s="464">
        <f t="shared" si="165"/>
        <v>149659</v>
      </c>
    </row>
    <row r="3241" spans="7:14" ht="11.25" customHeight="1" x14ac:dyDescent="0.25">
      <c r="G3241" s="459"/>
      <c r="H3241" s="459">
        <v>3234</v>
      </c>
      <c r="I3241" s="444">
        <f t="shared" ca="1" si="163"/>
        <v>-319013209631.16266</v>
      </c>
      <c r="J3241" s="444">
        <f t="array" ref="J3241">IFERROR(INDEX('Retirement Calculator'!J:J,MATCH('Isaac 401k'!N3241,'Retirement Calculator'!A:A,0),0),0)</f>
        <v>0</v>
      </c>
      <c r="K3241" s="444">
        <f t="shared" ca="1" si="161"/>
        <v>-1329221706.7965112</v>
      </c>
      <c r="L3241" s="444">
        <f t="shared" ca="1" si="162"/>
        <v>-320342431337.95917</v>
      </c>
      <c r="M3241" s="460">
        <f t="shared" si="164"/>
        <v>0.05</v>
      </c>
      <c r="N3241" s="464">
        <f t="shared" si="165"/>
        <v>149690</v>
      </c>
    </row>
    <row r="3242" spans="7:14" ht="11.25" customHeight="1" x14ac:dyDescent="0.25">
      <c r="G3242" s="459"/>
      <c r="H3242" s="459">
        <v>3235</v>
      </c>
      <c r="I3242" s="444">
        <f t="shared" ca="1" si="163"/>
        <v>-320342431337.95917</v>
      </c>
      <c r="J3242" s="444">
        <f t="array" ref="J3242">IFERROR(INDEX('Retirement Calculator'!J:J,MATCH('Isaac 401k'!N3242,'Retirement Calculator'!A:A,0),0),0)</f>
        <v>0</v>
      </c>
      <c r="K3242" s="444">
        <f t="shared" ca="1" si="161"/>
        <v>-1334760130.5748298</v>
      </c>
      <c r="L3242" s="444">
        <f t="shared" ca="1" si="162"/>
        <v>-321677191468.534</v>
      </c>
      <c r="M3242" s="460">
        <f t="shared" si="164"/>
        <v>0.05</v>
      </c>
      <c r="N3242" s="464">
        <f t="shared" si="165"/>
        <v>149720</v>
      </c>
    </row>
    <row r="3243" spans="7:14" ht="11.25" customHeight="1" x14ac:dyDescent="0.25">
      <c r="G3243" s="459"/>
      <c r="H3243" s="459">
        <v>3236</v>
      </c>
      <c r="I3243" s="444">
        <f t="shared" ca="1" si="163"/>
        <v>-321677191468.534</v>
      </c>
      <c r="J3243" s="444">
        <f t="array" ref="J3243">IFERROR(INDEX('Retirement Calculator'!J:J,MATCH('Isaac 401k'!N3243,'Retirement Calculator'!A:A,0),0),0)</f>
        <v>0</v>
      </c>
      <c r="K3243" s="444">
        <f t="shared" ca="1" si="161"/>
        <v>-1340321631.1188917</v>
      </c>
      <c r="L3243" s="444">
        <f t="shared" ca="1" si="162"/>
        <v>-323017513099.65289</v>
      </c>
      <c r="M3243" s="460">
        <f t="shared" si="164"/>
        <v>0.05</v>
      </c>
      <c r="N3243" s="464">
        <f t="shared" si="165"/>
        <v>149751</v>
      </c>
    </row>
    <row r="3244" spans="7:14" ht="11.25" customHeight="1" x14ac:dyDescent="0.25">
      <c r="G3244" s="459"/>
      <c r="H3244" s="459">
        <v>3237</v>
      </c>
      <c r="I3244" s="444">
        <f t="shared" ca="1" si="163"/>
        <v>-323017513099.65289</v>
      </c>
      <c r="J3244" s="444">
        <f t="array" ref="J3244">IFERROR(INDEX('Retirement Calculator'!J:J,MATCH('Isaac 401k'!N3244,'Retirement Calculator'!A:A,0),0),0)</f>
        <v>0</v>
      </c>
      <c r="K3244" s="444">
        <f t="shared" ca="1" si="161"/>
        <v>-1345906304.581887</v>
      </c>
      <c r="L3244" s="444">
        <f t="shared" ca="1" si="162"/>
        <v>-324363419404.2348</v>
      </c>
      <c r="M3244" s="460">
        <f t="shared" si="164"/>
        <v>0.05</v>
      </c>
      <c r="N3244" s="464">
        <f t="shared" si="165"/>
        <v>149782</v>
      </c>
    </row>
    <row r="3245" spans="7:14" ht="11.25" customHeight="1" x14ac:dyDescent="0.25">
      <c r="G3245" s="459"/>
      <c r="H3245" s="459">
        <v>3238</v>
      </c>
      <c r="I3245" s="444">
        <f t="shared" ca="1" si="163"/>
        <v>-324363419404.2348</v>
      </c>
      <c r="J3245" s="444">
        <f t="array" ref="J3245">IFERROR(INDEX('Retirement Calculator'!J:J,MATCH('Isaac 401k'!N3245,'Retirement Calculator'!A:A,0),0),0)</f>
        <v>0</v>
      </c>
      <c r="K3245" s="444">
        <f t="shared" ca="1" si="161"/>
        <v>-1351514247.5176449</v>
      </c>
      <c r="L3245" s="444">
        <f t="shared" ca="1" si="162"/>
        <v>-325714933651.75244</v>
      </c>
      <c r="M3245" s="460">
        <f t="shared" si="164"/>
        <v>0.05</v>
      </c>
      <c r="N3245" s="464">
        <f t="shared" si="165"/>
        <v>149810</v>
      </c>
    </row>
    <row r="3246" spans="7:14" ht="11.25" customHeight="1" x14ac:dyDescent="0.25">
      <c r="G3246" s="459"/>
      <c r="H3246" s="459">
        <v>3239</v>
      </c>
      <c r="I3246" s="444">
        <f t="shared" ca="1" si="163"/>
        <v>-325714933651.75244</v>
      </c>
      <c r="J3246" s="444">
        <f t="array" ref="J3246">IFERROR(INDEX('Retirement Calculator'!J:J,MATCH('Isaac 401k'!N3246,'Retirement Calculator'!A:A,0),0),0)</f>
        <v>0</v>
      </c>
      <c r="K3246" s="444">
        <f t="shared" ca="1" si="161"/>
        <v>-1357145556.8823018</v>
      </c>
      <c r="L3246" s="444">
        <f t="shared" ca="1" si="162"/>
        <v>-327072079208.63477</v>
      </c>
      <c r="M3246" s="460">
        <f t="shared" si="164"/>
        <v>0.05</v>
      </c>
      <c r="N3246" s="464">
        <f t="shared" si="165"/>
        <v>149841</v>
      </c>
    </row>
    <row r="3247" spans="7:14" ht="11.25" customHeight="1" x14ac:dyDescent="0.25">
      <c r="G3247" s="459"/>
      <c r="H3247" s="459">
        <v>3240</v>
      </c>
      <c r="I3247" s="444">
        <f t="shared" ca="1" si="163"/>
        <v>-327072079208.63477</v>
      </c>
      <c r="J3247" s="444">
        <f t="array" ref="J3247">IFERROR(INDEX('Retirement Calculator'!J:J,MATCH('Isaac 401k'!N3247,'Retirement Calculator'!A:A,0),0),0)</f>
        <v>0</v>
      </c>
      <c r="K3247" s="444">
        <f t="shared" ca="1" si="161"/>
        <v>-1362800330.0359781</v>
      </c>
      <c r="L3247" s="444">
        <f t="shared" ca="1" si="162"/>
        <v>-328434879538.67072</v>
      </c>
      <c r="M3247" s="460">
        <f t="shared" si="164"/>
        <v>0.05</v>
      </c>
      <c r="N3247" s="464">
        <f t="shared" si="165"/>
        <v>149871</v>
      </c>
    </row>
    <row r="3248" spans="7:14" ht="11.25" customHeight="1" x14ac:dyDescent="0.25">
      <c r="G3248" s="459"/>
      <c r="H3248" s="459">
        <v>3241</v>
      </c>
      <c r="I3248" s="444">
        <f t="shared" ca="1" si="163"/>
        <v>-328434879538.67072</v>
      </c>
      <c r="J3248" s="444">
        <f t="array" ref="J3248">IFERROR(INDEX('Retirement Calculator'!J:J,MATCH('Isaac 401k'!N3248,'Retirement Calculator'!A:A,0),0),0)</f>
        <v>0</v>
      </c>
      <c r="K3248" s="444">
        <f t="shared" ca="1" si="161"/>
        <v>-1368478664.7444613</v>
      </c>
      <c r="L3248" s="444">
        <f t="shared" ca="1" si="162"/>
        <v>-329803358203.41516</v>
      </c>
      <c r="M3248" s="460">
        <f t="shared" si="164"/>
        <v>0.05</v>
      </c>
      <c r="N3248" s="464">
        <f t="shared" si="165"/>
        <v>149902</v>
      </c>
    </row>
    <row r="3249" spans="7:14" ht="11.25" customHeight="1" x14ac:dyDescent="0.25">
      <c r="G3249" s="459"/>
      <c r="H3249" s="459">
        <v>3242</v>
      </c>
      <c r="I3249" s="444">
        <f t="shared" ca="1" si="163"/>
        <v>-329803358203.41516</v>
      </c>
      <c r="J3249" s="444">
        <f t="array" ref="J3249">IFERROR(INDEX('Retirement Calculator'!J:J,MATCH('Isaac 401k'!N3249,'Retirement Calculator'!A:A,0),0),0)</f>
        <v>0</v>
      </c>
      <c r="K3249" s="444">
        <f t="shared" ca="1" si="161"/>
        <v>-1374180659.1808965</v>
      </c>
      <c r="L3249" s="444">
        <f t="shared" ca="1" si="162"/>
        <v>-331177538862.59607</v>
      </c>
      <c r="M3249" s="460">
        <f t="shared" si="164"/>
        <v>0.05</v>
      </c>
      <c r="N3249" s="464">
        <f t="shared" si="165"/>
        <v>149932</v>
      </c>
    </row>
    <row r="3250" spans="7:14" ht="11.25" customHeight="1" x14ac:dyDescent="0.25">
      <c r="G3250" s="459"/>
      <c r="H3250" s="459">
        <v>3243</v>
      </c>
      <c r="I3250" s="444">
        <f t="shared" ca="1" si="163"/>
        <v>-331177538862.59607</v>
      </c>
      <c r="J3250" s="444">
        <f t="array" ref="J3250">IFERROR(INDEX('Retirement Calculator'!J:J,MATCH('Isaac 401k'!N3250,'Retirement Calculator'!A:A,0),0),0)</f>
        <v>0</v>
      </c>
      <c r="K3250" s="444">
        <f t="shared" ca="1" si="161"/>
        <v>-1379906411.9274836</v>
      </c>
      <c r="L3250" s="444">
        <f t="shared" ca="1" si="162"/>
        <v>-332557445274.52356</v>
      </c>
      <c r="M3250" s="460">
        <f t="shared" si="164"/>
        <v>0.05</v>
      </c>
      <c r="N3250" s="464">
        <f t="shared" si="165"/>
        <v>149963</v>
      </c>
    </row>
    <row r="3251" spans="7:14" ht="11.25" customHeight="1" x14ac:dyDescent="0.25">
      <c r="G3251" s="459"/>
      <c r="H3251" s="459">
        <v>3244</v>
      </c>
      <c r="I3251" s="444">
        <f t="shared" ca="1" si="163"/>
        <v>-332557445274.52356</v>
      </c>
      <c r="J3251" s="444">
        <f t="array" ref="J3251">IFERROR(INDEX('Retirement Calculator'!J:J,MATCH('Isaac 401k'!N3251,'Retirement Calculator'!A:A,0),0),0)</f>
        <v>0</v>
      </c>
      <c r="K3251" s="444">
        <f t="shared" ca="1" si="161"/>
        <v>-1385656021.9771814</v>
      </c>
      <c r="L3251" s="444">
        <f t="shared" ca="1" si="162"/>
        <v>-333943101296.50073</v>
      </c>
      <c r="M3251" s="460">
        <f t="shared" si="164"/>
        <v>0.05</v>
      </c>
      <c r="N3251" s="464">
        <f t="shared" si="165"/>
        <v>149994</v>
      </c>
    </row>
    <row r="3252" spans="7:14" ht="11.25" customHeight="1" x14ac:dyDescent="0.25">
      <c r="G3252" s="459"/>
      <c r="H3252" s="459">
        <v>3245</v>
      </c>
      <c r="I3252" s="444">
        <f t="shared" ca="1" si="163"/>
        <v>-333943101296.50073</v>
      </c>
      <c r="J3252" s="444">
        <f t="array" ref="J3252">IFERROR(INDEX('Retirement Calculator'!J:J,MATCH('Isaac 401k'!N3252,'Retirement Calculator'!A:A,0),0),0)</f>
        <v>0</v>
      </c>
      <c r="K3252" s="444">
        <f t="shared" ca="1" si="161"/>
        <v>-1391429588.7354198</v>
      </c>
      <c r="L3252" s="444">
        <f t="shared" ca="1" si="162"/>
        <v>-335334530885.23615</v>
      </c>
      <c r="M3252" s="460">
        <f t="shared" si="164"/>
        <v>0.05</v>
      </c>
      <c r="N3252" s="464">
        <f t="shared" si="165"/>
        <v>150024</v>
      </c>
    </row>
    <row r="3253" spans="7:14" ht="11.25" customHeight="1" x14ac:dyDescent="0.25">
      <c r="G3253" s="459"/>
      <c r="H3253" s="459">
        <v>3246</v>
      </c>
      <c r="I3253" s="444">
        <f t="shared" ca="1" si="163"/>
        <v>-335334530885.23615</v>
      </c>
      <c r="J3253" s="444">
        <f t="array" ref="J3253">IFERROR(INDEX('Retirement Calculator'!J:J,MATCH('Isaac 401k'!N3253,'Retirement Calculator'!A:A,0),0),0)</f>
        <v>0</v>
      </c>
      <c r="K3253" s="444">
        <f t="shared" ca="1" si="161"/>
        <v>-1397227212.0218172</v>
      </c>
      <c r="L3253" s="444">
        <f t="shared" ca="1" si="162"/>
        <v>-336731758097.25793</v>
      </c>
      <c r="M3253" s="460">
        <f t="shared" si="164"/>
        <v>0.05</v>
      </c>
      <c r="N3253" s="464">
        <f t="shared" si="165"/>
        <v>150055</v>
      </c>
    </row>
    <row r="3254" spans="7:14" ht="11.25" customHeight="1" x14ac:dyDescent="0.25">
      <c r="G3254" s="459"/>
      <c r="H3254" s="459">
        <v>3247</v>
      </c>
      <c r="I3254" s="444">
        <f t="shared" ca="1" si="163"/>
        <v>-336731758097.25793</v>
      </c>
      <c r="J3254" s="444">
        <f t="array" ref="J3254">IFERROR(INDEX('Retirement Calculator'!J:J,MATCH('Isaac 401k'!N3254,'Retirement Calculator'!A:A,0),0),0)</f>
        <v>0</v>
      </c>
      <c r="K3254" s="444">
        <f t="shared" ca="1" si="161"/>
        <v>-1403048992.071908</v>
      </c>
      <c r="L3254" s="444">
        <f t="shared" ca="1" si="162"/>
        <v>-338134807089.32983</v>
      </c>
      <c r="M3254" s="460">
        <f t="shared" si="164"/>
        <v>0.05</v>
      </c>
      <c r="N3254" s="464">
        <f t="shared" si="165"/>
        <v>150085</v>
      </c>
    </row>
    <row r="3255" spans="7:14" ht="11.25" customHeight="1" x14ac:dyDescent="0.25">
      <c r="G3255" s="459"/>
      <c r="H3255" s="459">
        <v>3248</v>
      </c>
      <c r="I3255" s="444">
        <f t="shared" ca="1" si="163"/>
        <v>-338134807089.32983</v>
      </c>
      <c r="J3255" s="444">
        <f t="array" ref="J3255">IFERROR(INDEX('Retirement Calculator'!J:J,MATCH('Isaac 401k'!N3255,'Retirement Calculator'!A:A,0),0),0)</f>
        <v>0</v>
      </c>
      <c r="K3255" s="444">
        <f t="shared" ca="1" si="161"/>
        <v>-1408895029.5388744</v>
      </c>
      <c r="L3255" s="444">
        <f t="shared" ca="1" si="162"/>
        <v>-339543702118.86871</v>
      </c>
      <c r="M3255" s="460">
        <f t="shared" si="164"/>
        <v>0.05</v>
      </c>
      <c r="N3255" s="464">
        <f t="shared" si="165"/>
        <v>150116</v>
      </c>
    </row>
    <row r="3256" spans="7:14" ht="11.25" customHeight="1" x14ac:dyDescent="0.25">
      <c r="G3256" s="459"/>
      <c r="H3256" s="459">
        <v>3249</v>
      </c>
      <c r="I3256" s="444">
        <f t="shared" ca="1" si="163"/>
        <v>-339543702118.86871</v>
      </c>
      <c r="J3256" s="444">
        <f t="array" ref="J3256">IFERROR(INDEX('Retirement Calculator'!J:J,MATCH('Isaac 401k'!N3256,'Retirement Calculator'!A:A,0),0),0)</f>
        <v>0</v>
      </c>
      <c r="K3256" s="444">
        <f t="shared" ca="1" si="161"/>
        <v>-1414765425.4952862</v>
      </c>
      <c r="L3256" s="444">
        <f t="shared" ca="1" si="162"/>
        <v>-340958467544.36401</v>
      </c>
      <c r="M3256" s="460">
        <f t="shared" si="164"/>
        <v>0.05</v>
      </c>
      <c r="N3256" s="464">
        <f t="shared" si="165"/>
        <v>150147</v>
      </c>
    </row>
    <row r="3257" spans="7:14" ht="11.25" customHeight="1" x14ac:dyDescent="0.25">
      <c r="G3257" s="459"/>
      <c r="H3257" s="459">
        <v>3250</v>
      </c>
      <c r="I3257" s="444">
        <f t="shared" ca="1" si="163"/>
        <v>-340958467544.36401</v>
      </c>
      <c r="J3257" s="444">
        <f t="array" ref="J3257">IFERROR(INDEX('Retirement Calculator'!J:J,MATCH('Isaac 401k'!N3257,'Retirement Calculator'!A:A,0),0),0)</f>
        <v>0</v>
      </c>
      <c r="K3257" s="444">
        <f t="shared" ca="1" si="161"/>
        <v>-1420660281.43485</v>
      </c>
      <c r="L3257" s="444">
        <f t="shared" ca="1" si="162"/>
        <v>-342379127825.79889</v>
      </c>
      <c r="M3257" s="460">
        <f t="shared" si="164"/>
        <v>0.05</v>
      </c>
      <c r="N3257" s="464">
        <f t="shared" si="165"/>
        <v>150175</v>
      </c>
    </row>
    <row r="3258" spans="7:14" ht="11.25" customHeight="1" x14ac:dyDescent="0.25">
      <c r="G3258" s="459"/>
      <c r="H3258" s="459">
        <v>3251</v>
      </c>
      <c r="I3258" s="444">
        <f t="shared" ca="1" si="163"/>
        <v>-342379127825.79889</v>
      </c>
      <c r="J3258" s="444">
        <f t="array" ref="J3258">IFERROR(INDEX('Retirement Calculator'!J:J,MATCH('Isaac 401k'!N3258,'Retirement Calculator'!A:A,0),0),0)</f>
        <v>0</v>
      </c>
      <c r="K3258" s="444">
        <f t="shared" ca="1" si="161"/>
        <v>-1426579699.2741621</v>
      </c>
      <c r="L3258" s="444">
        <f t="shared" ca="1" si="162"/>
        <v>-343805707525.07306</v>
      </c>
      <c r="M3258" s="460">
        <f t="shared" si="164"/>
        <v>0.05</v>
      </c>
      <c r="N3258" s="464">
        <f t="shared" si="165"/>
        <v>150206</v>
      </c>
    </row>
    <row r="3259" spans="7:14" ht="11.25" customHeight="1" x14ac:dyDescent="0.25">
      <c r="G3259" s="459"/>
      <c r="H3259" s="459">
        <v>3252</v>
      </c>
      <c r="I3259" s="444">
        <f t="shared" ca="1" si="163"/>
        <v>-343805707525.07306</v>
      </c>
      <c r="J3259" s="444">
        <f t="array" ref="J3259">IFERROR(INDEX('Retirement Calculator'!J:J,MATCH('Isaac 401k'!N3259,'Retirement Calculator'!A:A,0),0),0)</f>
        <v>0</v>
      </c>
      <c r="K3259" s="444">
        <f t="shared" ca="1" si="161"/>
        <v>-1432523781.354471</v>
      </c>
      <c r="L3259" s="444">
        <f t="shared" ca="1" si="162"/>
        <v>-345238231306.42755</v>
      </c>
      <c r="M3259" s="460">
        <f t="shared" si="164"/>
        <v>0.05</v>
      </c>
      <c r="N3259" s="464">
        <f t="shared" si="165"/>
        <v>150236</v>
      </c>
    </row>
    <row r="3260" spans="7:14" ht="11.25" customHeight="1" x14ac:dyDescent="0.25">
      <c r="G3260" s="459"/>
      <c r="H3260" s="459">
        <v>3253</v>
      </c>
      <c r="I3260" s="444">
        <f t="shared" ca="1" si="163"/>
        <v>-345238231306.42755</v>
      </c>
      <c r="J3260" s="444">
        <f t="array" ref="J3260">IFERROR(INDEX('Retirement Calculator'!J:J,MATCH('Isaac 401k'!N3260,'Retirement Calculator'!A:A,0),0),0)</f>
        <v>0</v>
      </c>
      <c r="K3260" s="444">
        <f t="shared" ca="1" si="161"/>
        <v>-1438492630.4434481</v>
      </c>
      <c r="L3260" s="444">
        <f t="shared" ca="1" si="162"/>
        <v>-346676723936.87097</v>
      </c>
      <c r="M3260" s="460">
        <f t="shared" si="164"/>
        <v>0.05</v>
      </c>
      <c r="N3260" s="464">
        <f t="shared" si="165"/>
        <v>150267</v>
      </c>
    </row>
    <row r="3261" spans="7:14" ht="11.25" customHeight="1" x14ac:dyDescent="0.25">
      <c r="G3261" s="459"/>
      <c r="H3261" s="459">
        <v>3254</v>
      </c>
      <c r="I3261" s="444">
        <f t="shared" ca="1" si="163"/>
        <v>-346676723936.87097</v>
      </c>
      <c r="J3261" s="444">
        <f t="array" ref="J3261">IFERROR(INDEX('Retirement Calculator'!J:J,MATCH('Isaac 401k'!N3261,'Retirement Calculator'!A:A,0),0),0)</f>
        <v>0</v>
      </c>
      <c r="K3261" s="444">
        <f t="shared" ca="1" si="161"/>
        <v>-1444486349.7369623</v>
      </c>
      <c r="L3261" s="444">
        <f t="shared" ca="1" si="162"/>
        <v>-348121210286.60791</v>
      </c>
      <c r="M3261" s="460">
        <f t="shared" si="164"/>
        <v>0.05</v>
      </c>
      <c r="N3261" s="464">
        <f t="shared" si="165"/>
        <v>150297</v>
      </c>
    </row>
    <row r="3262" spans="7:14" ht="11.25" customHeight="1" x14ac:dyDescent="0.25">
      <c r="G3262" s="459"/>
      <c r="H3262" s="459">
        <v>3255</v>
      </c>
      <c r="I3262" s="444">
        <f t="shared" ca="1" si="163"/>
        <v>-348121210286.60791</v>
      </c>
      <c r="J3262" s="444">
        <f t="array" ref="J3262">IFERROR(INDEX('Retirement Calculator'!J:J,MATCH('Isaac 401k'!N3262,'Retirement Calculator'!A:A,0),0),0)</f>
        <v>0</v>
      </c>
      <c r="K3262" s="444">
        <f t="shared" ca="1" si="161"/>
        <v>-1450505042.8608663</v>
      </c>
      <c r="L3262" s="444">
        <f t="shared" ca="1" si="162"/>
        <v>-349571715329.46875</v>
      </c>
      <c r="M3262" s="460">
        <f t="shared" si="164"/>
        <v>0.05</v>
      </c>
      <c r="N3262" s="464">
        <f t="shared" si="165"/>
        <v>150328</v>
      </c>
    </row>
    <row r="3263" spans="7:14" ht="11.25" customHeight="1" x14ac:dyDescent="0.25">
      <c r="G3263" s="459"/>
      <c r="H3263" s="459">
        <v>3256</v>
      </c>
      <c r="I3263" s="444">
        <f t="shared" ca="1" si="163"/>
        <v>-349571715329.46875</v>
      </c>
      <c r="J3263" s="444">
        <f t="array" ref="J3263">IFERROR(INDEX('Retirement Calculator'!J:J,MATCH('Isaac 401k'!N3263,'Retirement Calculator'!A:A,0),0),0)</f>
        <v>0</v>
      </c>
      <c r="K3263" s="444">
        <f t="shared" ca="1" si="161"/>
        <v>-1456548813.8727865</v>
      </c>
      <c r="L3263" s="444">
        <f t="shared" ca="1" si="162"/>
        <v>-351028264143.34155</v>
      </c>
      <c r="M3263" s="460">
        <f t="shared" si="164"/>
        <v>0.05</v>
      </c>
      <c r="N3263" s="464">
        <f t="shared" si="165"/>
        <v>150359</v>
      </c>
    </row>
    <row r="3264" spans="7:14" ht="11.25" customHeight="1" x14ac:dyDescent="0.25">
      <c r="G3264" s="459"/>
      <c r="H3264" s="459">
        <v>3257</v>
      </c>
      <c r="I3264" s="444">
        <f t="shared" ca="1" si="163"/>
        <v>-351028264143.34155</v>
      </c>
      <c r="J3264" s="444">
        <f t="array" ref="J3264">IFERROR(INDEX('Retirement Calculator'!J:J,MATCH('Isaac 401k'!N3264,'Retirement Calculator'!A:A,0),0),0)</f>
        <v>0</v>
      </c>
      <c r="K3264" s="444">
        <f t="shared" ca="1" si="161"/>
        <v>-1462617767.2639232</v>
      </c>
      <c r="L3264" s="444">
        <f t="shared" ca="1" si="162"/>
        <v>-352490881910.60547</v>
      </c>
      <c r="M3264" s="460">
        <f t="shared" si="164"/>
        <v>0.05</v>
      </c>
      <c r="N3264" s="464">
        <f t="shared" si="165"/>
        <v>150389</v>
      </c>
    </row>
    <row r="3265" spans="7:14" ht="11.25" customHeight="1" x14ac:dyDescent="0.25">
      <c r="G3265" s="459"/>
      <c r="H3265" s="459">
        <v>3258</v>
      </c>
      <c r="I3265" s="444">
        <f t="shared" ca="1" si="163"/>
        <v>-352490881910.60547</v>
      </c>
      <c r="J3265" s="444">
        <f t="array" ref="J3265">IFERROR(INDEX('Retirement Calculator'!J:J,MATCH('Isaac 401k'!N3265,'Retirement Calculator'!A:A,0),0),0)</f>
        <v>0</v>
      </c>
      <c r="K3265" s="444">
        <f t="shared" ca="1" si="161"/>
        <v>-1468712007.9608562</v>
      </c>
      <c r="L3265" s="444">
        <f t="shared" ca="1" si="162"/>
        <v>-353959593918.56635</v>
      </c>
      <c r="M3265" s="460">
        <f t="shared" si="164"/>
        <v>0.05</v>
      </c>
      <c r="N3265" s="464">
        <f t="shared" si="165"/>
        <v>150420</v>
      </c>
    </row>
    <row r="3266" spans="7:14" ht="11.25" customHeight="1" x14ac:dyDescent="0.25">
      <c r="G3266" s="459"/>
      <c r="H3266" s="459">
        <v>3259</v>
      </c>
      <c r="I3266" s="444">
        <f t="shared" ca="1" si="163"/>
        <v>-353959593918.56635</v>
      </c>
      <c r="J3266" s="444">
        <f t="array" ref="J3266">IFERROR(INDEX('Retirement Calculator'!J:J,MATCH('Isaac 401k'!N3266,'Retirement Calculator'!A:A,0),0),0)</f>
        <v>0</v>
      </c>
      <c r="K3266" s="444">
        <f t="shared" ca="1" si="161"/>
        <v>-1474831641.3273597</v>
      </c>
      <c r="L3266" s="444">
        <f t="shared" ca="1" si="162"/>
        <v>-355434425559.89368</v>
      </c>
      <c r="M3266" s="460">
        <f t="shared" si="164"/>
        <v>0.05</v>
      </c>
      <c r="N3266" s="464">
        <f t="shared" si="165"/>
        <v>150450</v>
      </c>
    </row>
    <row r="3267" spans="7:14" ht="11.25" customHeight="1" x14ac:dyDescent="0.25">
      <c r="G3267" s="459"/>
      <c r="H3267" s="459">
        <v>3260</v>
      </c>
      <c r="I3267" s="444">
        <f t="shared" ca="1" si="163"/>
        <v>-355434425559.89368</v>
      </c>
      <c r="J3267" s="444">
        <f t="array" ref="J3267">IFERROR(INDEX('Retirement Calculator'!J:J,MATCH('Isaac 401k'!N3267,'Retirement Calculator'!A:A,0),0),0)</f>
        <v>0</v>
      </c>
      <c r="K3267" s="444">
        <f t="shared" ca="1" si="161"/>
        <v>-1480976773.1662235</v>
      </c>
      <c r="L3267" s="444">
        <f t="shared" ca="1" si="162"/>
        <v>-356915402333.05988</v>
      </c>
      <c r="M3267" s="460">
        <f t="shared" si="164"/>
        <v>0.05</v>
      </c>
      <c r="N3267" s="464">
        <f t="shared" si="165"/>
        <v>150481</v>
      </c>
    </row>
    <row r="3268" spans="7:14" ht="11.25" customHeight="1" x14ac:dyDescent="0.25">
      <c r="G3268" s="459"/>
      <c r="H3268" s="459">
        <v>3261</v>
      </c>
      <c r="I3268" s="444">
        <f t="shared" ca="1" si="163"/>
        <v>-356915402333.05988</v>
      </c>
      <c r="J3268" s="444">
        <f t="array" ref="J3268">IFERROR(INDEX('Retirement Calculator'!J:J,MATCH('Isaac 401k'!N3268,'Retirement Calculator'!A:A,0),0),0)</f>
        <v>0</v>
      </c>
      <c r="K3268" s="444">
        <f t="shared" ca="1" si="161"/>
        <v>-1487147509.7210827</v>
      </c>
      <c r="L3268" s="444">
        <f t="shared" ca="1" si="162"/>
        <v>-358402549842.78094</v>
      </c>
      <c r="M3268" s="460">
        <f t="shared" si="164"/>
        <v>0.05</v>
      </c>
      <c r="N3268" s="464">
        <f t="shared" si="165"/>
        <v>150512</v>
      </c>
    </row>
    <row r="3269" spans="7:14" ht="11.25" customHeight="1" x14ac:dyDescent="0.25">
      <c r="G3269" s="459"/>
      <c r="H3269" s="459">
        <v>3262</v>
      </c>
      <c r="I3269" s="444">
        <f t="shared" ca="1" si="163"/>
        <v>-358402549842.78094</v>
      </c>
      <c r="J3269" s="444">
        <f t="array" ref="J3269">IFERROR(INDEX('Retirement Calculator'!J:J,MATCH('Isaac 401k'!N3269,'Retirement Calculator'!A:A,0),0),0)</f>
        <v>0</v>
      </c>
      <c r="K3269" s="444">
        <f t="shared" ca="1" si="161"/>
        <v>-1493343957.6782539</v>
      </c>
      <c r="L3269" s="444">
        <f t="shared" ca="1" si="162"/>
        <v>-359895893800.45923</v>
      </c>
      <c r="M3269" s="460">
        <f t="shared" si="164"/>
        <v>0.05</v>
      </c>
      <c r="N3269" s="464">
        <f t="shared" si="165"/>
        <v>150541</v>
      </c>
    </row>
    <row r="3270" spans="7:14" ht="11.25" customHeight="1" x14ac:dyDescent="0.25">
      <c r="G3270" s="459"/>
      <c r="H3270" s="459">
        <v>3263</v>
      </c>
      <c r="I3270" s="444">
        <f t="shared" ca="1" si="163"/>
        <v>-359895893800.45923</v>
      </c>
      <c r="J3270" s="444">
        <f t="array" ref="J3270">IFERROR(INDEX('Retirement Calculator'!J:J,MATCH('Isaac 401k'!N3270,'Retirement Calculator'!A:A,0),0),0)</f>
        <v>0</v>
      </c>
      <c r="K3270" s="444">
        <f t="shared" ca="1" si="161"/>
        <v>-1499566224.1685801</v>
      </c>
      <c r="L3270" s="444">
        <f t="shared" ca="1" si="162"/>
        <v>-361395460024.62781</v>
      </c>
      <c r="M3270" s="460">
        <f t="shared" si="164"/>
        <v>0.05</v>
      </c>
      <c r="N3270" s="464">
        <f t="shared" si="165"/>
        <v>150572</v>
      </c>
    </row>
    <row r="3271" spans="7:14" ht="11.25" customHeight="1" x14ac:dyDescent="0.25">
      <c r="G3271" s="459"/>
      <c r="H3271" s="459">
        <v>3264</v>
      </c>
      <c r="I3271" s="444">
        <f t="shared" ca="1" si="163"/>
        <v>-361395460024.62781</v>
      </c>
      <c r="J3271" s="444">
        <f t="array" ref="J3271">IFERROR(INDEX('Retirement Calculator'!J:J,MATCH('Isaac 401k'!N3271,'Retirement Calculator'!A:A,0),0),0)</f>
        <v>0</v>
      </c>
      <c r="K3271" s="444">
        <f t="shared" ca="1" si="161"/>
        <v>-1505814416.7692826</v>
      </c>
      <c r="L3271" s="444">
        <f t="shared" ca="1" si="162"/>
        <v>-362901274441.39709</v>
      </c>
      <c r="M3271" s="460">
        <f t="shared" si="164"/>
        <v>0.05</v>
      </c>
      <c r="N3271" s="464">
        <f t="shared" si="165"/>
        <v>150602</v>
      </c>
    </row>
    <row r="3272" spans="7:14" ht="11.25" customHeight="1" x14ac:dyDescent="0.25">
      <c r="G3272" s="459"/>
      <c r="H3272" s="459">
        <v>3265</v>
      </c>
      <c r="I3272" s="444">
        <f t="shared" ca="1" si="163"/>
        <v>-362901274441.39709</v>
      </c>
      <c r="J3272" s="444">
        <f t="array" ref="J3272">IFERROR(INDEX('Retirement Calculator'!J:J,MATCH('Isaac 401k'!N3272,'Retirement Calculator'!A:A,0),0),0)</f>
        <v>0</v>
      </c>
      <c r="K3272" s="444">
        <f t="shared" ca="1" si="161"/>
        <v>-1512088643.5058212</v>
      </c>
      <c r="L3272" s="444">
        <f t="shared" ca="1" si="162"/>
        <v>-364413363084.90289</v>
      </c>
      <c r="M3272" s="460">
        <f t="shared" si="164"/>
        <v>0.05</v>
      </c>
      <c r="N3272" s="464">
        <f t="shared" si="165"/>
        <v>150633</v>
      </c>
    </row>
    <row r="3273" spans="7:14" ht="11.25" customHeight="1" x14ac:dyDescent="0.25">
      <c r="G3273" s="459"/>
      <c r="H3273" s="459">
        <v>3266</v>
      </c>
      <c r="I3273" s="444">
        <f t="shared" ca="1" si="163"/>
        <v>-364413363084.90289</v>
      </c>
      <c r="J3273" s="444">
        <f t="array" ref="J3273">IFERROR(INDEX('Retirement Calculator'!J:J,MATCH('Isaac 401k'!N3273,'Retirement Calculator'!A:A,0),0),0)</f>
        <v>0</v>
      </c>
      <c r="K3273" s="444">
        <f t="shared" ca="1" si="161"/>
        <v>-1518389012.8537621</v>
      </c>
      <c r="L3273" s="444">
        <f t="shared" ca="1" si="162"/>
        <v>-365931752097.75665</v>
      </c>
      <c r="M3273" s="460">
        <f t="shared" si="164"/>
        <v>0.05</v>
      </c>
      <c r="N3273" s="464">
        <f t="shared" si="165"/>
        <v>150663</v>
      </c>
    </row>
    <row r="3274" spans="7:14" ht="11.25" customHeight="1" x14ac:dyDescent="0.25">
      <c r="G3274" s="459"/>
      <c r="H3274" s="459">
        <v>3267</v>
      </c>
      <c r="I3274" s="444">
        <f t="shared" ca="1" si="163"/>
        <v>-365931752097.75665</v>
      </c>
      <c r="J3274" s="444">
        <f t="array" ref="J3274">IFERROR(INDEX('Retirement Calculator'!J:J,MATCH('Isaac 401k'!N3274,'Retirement Calculator'!A:A,0),0),0)</f>
        <v>0</v>
      </c>
      <c r="K3274" s="444">
        <f t="shared" ca="1" si="161"/>
        <v>-1524715633.7406528</v>
      </c>
      <c r="L3274" s="444">
        <f t="shared" ca="1" si="162"/>
        <v>-367456467731.49731</v>
      </c>
      <c r="M3274" s="460">
        <f t="shared" si="164"/>
        <v>0.05</v>
      </c>
      <c r="N3274" s="464">
        <f t="shared" si="165"/>
        <v>150694</v>
      </c>
    </row>
    <row r="3275" spans="7:14" ht="11.25" customHeight="1" x14ac:dyDescent="0.25">
      <c r="G3275" s="459"/>
      <c r="H3275" s="459">
        <v>3268</v>
      </c>
      <c r="I3275" s="444">
        <f t="shared" ca="1" si="163"/>
        <v>-367456467731.49731</v>
      </c>
      <c r="J3275" s="444">
        <f t="array" ref="J3275">IFERROR(INDEX('Retirement Calculator'!J:J,MATCH('Isaac 401k'!N3275,'Retirement Calculator'!A:A,0),0),0)</f>
        <v>0</v>
      </c>
      <c r="K3275" s="444">
        <f t="shared" ca="1" si="161"/>
        <v>-1531068615.5479054</v>
      </c>
      <c r="L3275" s="444">
        <f t="shared" ca="1" si="162"/>
        <v>-368987536347.04523</v>
      </c>
      <c r="M3275" s="460">
        <f t="shared" si="164"/>
        <v>0.05</v>
      </c>
      <c r="N3275" s="464">
        <f t="shared" si="165"/>
        <v>150725</v>
      </c>
    </row>
    <row r="3276" spans="7:14" ht="11.25" customHeight="1" x14ac:dyDescent="0.25">
      <c r="G3276" s="459"/>
      <c r="H3276" s="459">
        <v>3269</v>
      </c>
      <c r="I3276" s="444">
        <f t="shared" ca="1" si="163"/>
        <v>-368987536347.04523</v>
      </c>
      <c r="J3276" s="444">
        <f t="array" ref="J3276">IFERROR(INDEX('Retirement Calculator'!J:J,MATCH('Isaac 401k'!N3276,'Retirement Calculator'!A:A,0),0),0)</f>
        <v>0</v>
      </c>
      <c r="K3276" s="444">
        <f t="shared" ca="1" si="161"/>
        <v>-1537448068.1126885</v>
      </c>
      <c r="L3276" s="444">
        <f t="shared" ca="1" si="162"/>
        <v>-370524984415.1579</v>
      </c>
      <c r="M3276" s="460">
        <f t="shared" si="164"/>
        <v>0.05</v>
      </c>
      <c r="N3276" s="464">
        <f t="shared" si="165"/>
        <v>150755</v>
      </c>
    </row>
    <row r="3277" spans="7:14" ht="11.25" customHeight="1" x14ac:dyDescent="0.25">
      <c r="G3277" s="459"/>
      <c r="H3277" s="459">
        <v>3270</v>
      </c>
      <c r="I3277" s="444">
        <f t="shared" ca="1" si="163"/>
        <v>-370524984415.1579</v>
      </c>
      <c r="J3277" s="444">
        <f t="array" ref="J3277">IFERROR(INDEX('Retirement Calculator'!J:J,MATCH('Isaac 401k'!N3277,'Retirement Calculator'!A:A,0),0),0)</f>
        <v>0</v>
      </c>
      <c r="K3277" s="444">
        <f t="shared" ca="1" si="161"/>
        <v>-1543854101.7298245</v>
      </c>
      <c r="L3277" s="444">
        <f t="shared" ca="1" si="162"/>
        <v>-372068838516.8877</v>
      </c>
      <c r="M3277" s="460">
        <f t="shared" si="164"/>
        <v>0.05</v>
      </c>
      <c r="N3277" s="464">
        <f t="shared" si="165"/>
        <v>150786</v>
      </c>
    </row>
    <row r="3278" spans="7:14" ht="11.25" customHeight="1" x14ac:dyDescent="0.25">
      <c r="G3278" s="459"/>
      <c r="H3278" s="459">
        <v>3271</v>
      </c>
      <c r="I3278" s="444">
        <f t="shared" ca="1" si="163"/>
        <v>-372068838516.8877</v>
      </c>
      <c r="J3278" s="444">
        <f t="array" ref="J3278">IFERROR(INDEX('Retirement Calculator'!J:J,MATCH('Isaac 401k'!N3278,'Retirement Calculator'!A:A,0),0),0)</f>
        <v>0</v>
      </c>
      <c r="K3278" s="444">
        <f t="shared" ca="1" si="161"/>
        <v>-1550286827.1536987</v>
      </c>
      <c r="L3278" s="444">
        <f t="shared" ca="1" si="162"/>
        <v>-373619125344.04138</v>
      </c>
      <c r="M3278" s="460">
        <f t="shared" si="164"/>
        <v>0.05</v>
      </c>
      <c r="N3278" s="464">
        <f t="shared" si="165"/>
        <v>150816</v>
      </c>
    </row>
    <row r="3279" spans="7:14" ht="11.25" customHeight="1" x14ac:dyDescent="0.25">
      <c r="G3279" s="459"/>
      <c r="H3279" s="459">
        <v>3272</v>
      </c>
      <c r="I3279" s="444">
        <f t="shared" ca="1" si="163"/>
        <v>-373619125344.04138</v>
      </c>
      <c r="J3279" s="444">
        <f t="array" ref="J3279">IFERROR(INDEX('Retirement Calculator'!J:J,MATCH('Isaac 401k'!N3279,'Retirement Calculator'!A:A,0),0),0)</f>
        <v>0</v>
      </c>
      <c r="K3279" s="444">
        <f t="shared" ca="1" si="161"/>
        <v>-1556746355.6001725</v>
      </c>
      <c r="L3279" s="444">
        <f t="shared" ca="1" si="162"/>
        <v>-375175871699.64154</v>
      </c>
      <c r="M3279" s="460">
        <f t="shared" si="164"/>
        <v>0.05</v>
      </c>
      <c r="N3279" s="464">
        <f t="shared" si="165"/>
        <v>150847</v>
      </c>
    </row>
    <row r="3280" spans="7:14" ht="11.25" customHeight="1" x14ac:dyDescent="0.25">
      <c r="G3280" s="459"/>
      <c r="H3280" s="459">
        <v>3273</v>
      </c>
      <c r="I3280" s="444">
        <f t="shared" ca="1" si="163"/>
        <v>-375175871699.64154</v>
      </c>
      <c r="J3280" s="444">
        <f t="array" ref="J3280">IFERROR(INDEX('Retirement Calculator'!J:J,MATCH('Isaac 401k'!N3280,'Retirement Calculator'!A:A,0),0),0)</f>
        <v>0</v>
      </c>
      <c r="K3280" s="444">
        <f t="shared" ca="1" si="161"/>
        <v>-1563232798.7485063</v>
      </c>
      <c r="L3280" s="444">
        <f t="shared" ca="1" si="162"/>
        <v>-376739104498.39008</v>
      </c>
      <c r="M3280" s="460">
        <f t="shared" si="164"/>
        <v>0.05</v>
      </c>
      <c r="N3280" s="464">
        <f t="shared" si="165"/>
        <v>150878</v>
      </c>
    </row>
    <row r="3281" spans="7:14" ht="11.25" customHeight="1" x14ac:dyDescent="0.25">
      <c r="G3281" s="459"/>
      <c r="H3281" s="459">
        <v>3274</v>
      </c>
      <c r="I3281" s="444">
        <f t="shared" ca="1" si="163"/>
        <v>-376739104498.39008</v>
      </c>
      <c r="J3281" s="444">
        <f t="array" ref="J3281">IFERROR(INDEX('Retirement Calculator'!J:J,MATCH('Isaac 401k'!N3281,'Retirement Calculator'!A:A,0),0),0)</f>
        <v>0</v>
      </c>
      <c r="K3281" s="444">
        <f t="shared" ca="1" si="161"/>
        <v>-1569746268.7432919</v>
      </c>
      <c r="L3281" s="444">
        <f t="shared" ca="1" si="162"/>
        <v>-378308850767.13336</v>
      </c>
      <c r="M3281" s="460">
        <f t="shared" si="164"/>
        <v>0.05</v>
      </c>
      <c r="N3281" s="464">
        <f t="shared" si="165"/>
        <v>150906</v>
      </c>
    </row>
    <row r="3282" spans="7:14" ht="11.25" customHeight="1" x14ac:dyDescent="0.25">
      <c r="G3282" s="459"/>
      <c r="H3282" s="459">
        <v>3275</v>
      </c>
      <c r="I3282" s="444">
        <f t="shared" ca="1" si="163"/>
        <v>-378308850767.13336</v>
      </c>
      <c r="J3282" s="444">
        <f t="array" ref="J3282">IFERROR(INDEX('Retirement Calculator'!J:J,MATCH('Isaac 401k'!N3282,'Retirement Calculator'!A:A,0),0),0)</f>
        <v>0</v>
      </c>
      <c r="K3282" s="444">
        <f t="shared" ca="1" si="161"/>
        <v>-1576286878.196389</v>
      </c>
      <c r="L3282" s="444">
        <f t="shared" ca="1" si="162"/>
        <v>-379885137645.32977</v>
      </c>
      <c r="M3282" s="460">
        <f t="shared" si="164"/>
        <v>0.05</v>
      </c>
      <c r="N3282" s="464">
        <f t="shared" si="165"/>
        <v>150937</v>
      </c>
    </row>
    <row r="3283" spans="7:14" ht="11.25" customHeight="1" x14ac:dyDescent="0.25">
      <c r="G3283" s="459"/>
      <c r="H3283" s="459">
        <v>3276</v>
      </c>
      <c r="I3283" s="444">
        <f t="shared" ca="1" si="163"/>
        <v>-379885137645.32977</v>
      </c>
      <c r="J3283" s="444">
        <f t="array" ref="J3283">IFERROR(INDEX('Retirement Calculator'!J:J,MATCH('Isaac 401k'!N3283,'Retirement Calculator'!A:A,0),0),0)</f>
        <v>0</v>
      </c>
      <c r="K3283" s="444">
        <f t="shared" ca="1" si="161"/>
        <v>-1582854740.188874</v>
      </c>
      <c r="L3283" s="444">
        <f t="shared" ca="1" si="162"/>
        <v>-381467992385.51868</v>
      </c>
      <c r="M3283" s="460">
        <f t="shared" si="164"/>
        <v>0.05</v>
      </c>
      <c r="N3283" s="464">
        <f t="shared" si="165"/>
        <v>150967</v>
      </c>
    </row>
    <row r="3284" spans="7:14" ht="11.25" customHeight="1" x14ac:dyDescent="0.25">
      <c r="G3284" s="459"/>
      <c r="H3284" s="459">
        <v>3277</v>
      </c>
      <c r="I3284" s="444">
        <f t="shared" ca="1" si="163"/>
        <v>-381467992385.51868</v>
      </c>
      <c r="J3284" s="444">
        <f t="array" ref="J3284">IFERROR(INDEX('Retirement Calculator'!J:J,MATCH('Isaac 401k'!N3284,'Retirement Calculator'!A:A,0),0),0)</f>
        <v>0</v>
      </c>
      <c r="K3284" s="444">
        <f t="shared" ca="1" si="161"/>
        <v>-1589449968.2729945</v>
      </c>
      <c r="L3284" s="444">
        <f t="shared" ca="1" si="162"/>
        <v>-383057442353.79169</v>
      </c>
      <c r="M3284" s="460">
        <f t="shared" si="164"/>
        <v>0.05</v>
      </c>
      <c r="N3284" s="464">
        <f t="shared" si="165"/>
        <v>150998</v>
      </c>
    </row>
    <row r="3285" spans="7:14" ht="11.25" customHeight="1" x14ac:dyDescent="0.25">
      <c r="G3285" s="459"/>
      <c r="H3285" s="459">
        <v>3278</v>
      </c>
      <c r="I3285" s="444">
        <f t="shared" ca="1" si="163"/>
        <v>-383057442353.79169</v>
      </c>
      <c r="J3285" s="444">
        <f t="array" ref="J3285">IFERROR(INDEX('Retirement Calculator'!J:J,MATCH('Isaac 401k'!N3285,'Retirement Calculator'!A:A,0),0),0)</f>
        <v>0</v>
      </c>
      <c r="K3285" s="444">
        <f t="shared" ca="1" si="161"/>
        <v>-1596072676.4741321</v>
      </c>
      <c r="L3285" s="444">
        <f t="shared" ca="1" si="162"/>
        <v>-384653515030.26581</v>
      </c>
      <c r="M3285" s="460">
        <f t="shared" si="164"/>
        <v>0.05</v>
      </c>
      <c r="N3285" s="464">
        <f t="shared" si="165"/>
        <v>151028</v>
      </c>
    </row>
    <row r="3286" spans="7:14" ht="11.25" customHeight="1" x14ac:dyDescent="0.25">
      <c r="G3286" s="459"/>
      <c r="H3286" s="459">
        <v>3279</v>
      </c>
      <c r="I3286" s="444">
        <f t="shared" ca="1" si="163"/>
        <v>-384653515030.26581</v>
      </c>
      <c r="J3286" s="444">
        <f t="array" ref="J3286">IFERROR(INDEX('Retirement Calculator'!J:J,MATCH('Isaac 401k'!N3286,'Retirement Calculator'!A:A,0),0),0)</f>
        <v>0</v>
      </c>
      <c r="K3286" s="444">
        <f t="shared" ca="1" si="161"/>
        <v>-1602722979.2927742</v>
      </c>
      <c r="L3286" s="444">
        <f t="shared" ca="1" si="162"/>
        <v>-386256238009.55859</v>
      </c>
      <c r="M3286" s="460">
        <f t="shared" si="164"/>
        <v>0.05</v>
      </c>
      <c r="N3286" s="464">
        <f t="shared" si="165"/>
        <v>151059</v>
      </c>
    </row>
    <row r="3287" spans="7:14" ht="11.25" customHeight="1" x14ac:dyDescent="0.25">
      <c r="G3287" s="459"/>
      <c r="H3287" s="459">
        <v>3280</v>
      </c>
      <c r="I3287" s="444">
        <f t="shared" ca="1" si="163"/>
        <v>-386256238009.55859</v>
      </c>
      <c r="J3287" s="444">
        <f t="array" ref="J3287">IFERROR(INDEX('Retirement Calculator'!J:J,MATCH('Isaac 401k'!N3287,'Retirement Calculator'!A:A,0),0),0)</f>
        <v>0</v>
      </c>
      <c r="K3287" s="444">
        <f t="shared" ca="1" si="161"/>
        <v>-1609400991.7064941</v>
      </c>
      <c r="L3287" s="444">
        <f t="shared" ca="1" si="162"/>
        <v>-387865639001.26508</v>
      </c>
      <c r="M3287" s="460">
        <f t="shared" si="164"/>
        <v>0.05</v>
      </c>
      <c r="N3287" s="464">
        <f t="shared" si="165"/>
        <v>151090</v>
      </c>
    </row>
    <row r="3288" spans="7:14" ht="11.25" customHeight="1" x14ac:dyDescent="0.25">
      <c r="G3288" s="459"/>
      <c r="H3288" s="459">
        <v>3281</v>
      </c>
      <c r="I3288" s="444">
        <f t="shared" ca="1" si="163"/>
        <v>-387865639001.26508</v>
      </c>
      <c r="J3288" s="444">
        <f t="array" ref="J3288">IFERROR(INDEX('Retirement Calculator'!J:J,MATCH('Isaac 401k'!N3288,'Retirement Calculator'!A:A,0),0),0)</f>
        <v>0</v>
      </c>
      <c r="K3288" s="444">
        <f t="shared" ca="1" si="161"/>
        <v>-1616106829.1719377</v>
      </c>
      <c r="L3288" s="444">
        <f t="shared" ca="1" si="162"/>
        <v>-389481745830.43701</v>
      </c>
      <c r="M3288" s="460">
        <f t="shared" si="164"/>
        <v>0.05</v>
      </c>
      <c r="N3288" s="464">
        <f t="shared" si="165"/>
        <v>151120</v>
      </c>
    </row>
    <row r="3289" spans="7:14" ht="11.25" customHeight="1" x14ac:dyDescent="0.25">
      <c r="G3289" s="459"/>
      <c r="H3289" s="459">
        <v>3282</v>
      </c>
      <c r="I3289" s="444">
        <f t="shared" ca="1" si="163"/>
        <v>-389481745830.43701</v>
      </c>
      <c r="J3289" s="444">
        <f t="array" ref="J3289">IFERROR(INDEX('Retirement Calculator'!J:J,MATCH('Isaac 401k'!N3289,'Retirement Calculator'!A:A,0),0),0)</f>
        <v>0</v>
      </c>
      <c r="K3289" s="444">
        <f t="shared" ca="1" si="161"/>
        <v>-1622840607.6268208</v>
      </c>
      <c r="L3289" s="444">
        <f t="shared" ca="1" si="162"/>
        <v>-391104586438.06384</v>
      </c>
      <c r="M3289" s="460">
        <f t="shared" si="164"/>
        <v>0.05</v>
      </c>
      <c r="N3289" s="464">
        <f t="shared" si="165"/>
        <v>151151</v>
      </c>
    </row>
    <row r="3290" spans="7:14" ht="11.25" customHeight="1" x14ac:dyDescent="0.25">
      <c r="G3290" s="459"/>
      <c r="H3290" s="459">
        <v>3283</v>
      </c>
      <c r="I3290" s="444">
        <f t="shared" ca="1" si="163"/>
        <v>-391104586438.06384</v>
      </c>
      <c r="J3290" s="444">
        <f t="array" ref="J3290">IFERROR(INDEX('Retirement Calculator'!J:J,MATCH('Isaac 401k'!N3290,'Retirement Calculator'!A:A,0),0),0)</f>
        <v>0</v>
      </c>
      <c r="K3290" s="444">
        <f t="shared" ca="1" si="161"/>
        <v>-1629602443.4919326</v>
      </c>
      <c r="L3290" s="444">
        <f t="shared" ca="1" si="162"/>
        <v>-392734188881.55579</v>
      </c>
      <c r="M3290" s="460">
        <f t="shared" si="164"/>
        <v>0.05</v>
      </c>
      <c r="N3290" s="464">
        <f t="shared" si="165"/>
        <v>151181</v>
      </c>
    </row>
    <row r="3291" spans="7:14" ht="11.25" customHeight="1" x14ac:dyDescent="0.25">
      <c r="G3291" s="459"/>
      <c r="H3291" s="459">
        <v>3284</v>
      </c>
      <c r="I3291" s="444">
        <f t="shared" ca="1" si="163"/>
        <v>-392734188881.55579</v>
      </c>
      <c r="J3291" s="444">
        <f t="array" ref="J3291">IFERROR(INDEX('Retirement Calculator'!J:J,MATCH('Isaac 401k'!N3291,'Retirement Calculator'!A:A,0),0),0)</f>
        <v>0</v>
      </c>
      <c r="K3291" s="444">
        <f t="shared" ca="1" si="161"/>
        <v>-1636392453.6731491</v>
      </c>
      <c r="L3291" s="444">
        <f t="shared" ca="1" si="162"/>
        <v>-394370581335.22894</v>
      </c>
      <c r="M3291" s="460">
        <f t="shared" si="164"/>
        <v>0.05</v>
      </c>
      <c r="N3291" s="464">
        <f t="shared" si="165"/>
        <v>151212</v>
      </c>
    </row>
    <row r="3292" spans="7:14" ht="11.25" customHeight="1" x14ac:dyDescent="0.25">
      <c r="G3292" s="459"/>
      <c r="H3292" s="459">
        <v>3285</v>
      </c>
      <c r="I3292" s="444">
        <f t="shared" ca="1" si="163"/>
        <v>-394370581335.22894</v>
      </c>
      <c r="J3292" s="444">
        <f t="array" ref="J3292">IFERROR(INDEX('Retirement Calculator'!J:J,MATCH('Isaac 401k'!N3292,'Retirement Calculator'!A:A,0),0),0)</f>
        <v>0</v>
      </c>
      <c r="K3292" s="444">
        <f t="shared" ca="1" si="161"/>
        <v>-1643210755.5634539</v>
      </c>
      <c r="L3292" s="444">
        <f t="shared" ca="1" si="162"/>
        <v>-396013792090.79242</v>
      </c>
      <c r="M3292" s="460">
        <f t="shared" si="164"/>
        <v>0.05</v>
      </c>
      <c r="N3292" s="464">
        <f t="shared" si="165"/>
        <v>151243</v>
      </c>
    </row>
    <row r="3293" spans="7:14" ht="11.25" customHeight="1" x14ac:dyDescent="0.25">
      <c r="G3293" s="459"/>
      <c r="H3293" s="459">
        <v>3286</v>
      </c>
      <c r="I3293" s="444">
        <f t="shared" ca="1" si="163"/>
        <v>-396013792090.79242</v>
      </c>
      <c r="J3293" s="444">
        <f t="array" ref="J3293">IFERROR(INDEX('Retirement Calculator'!J:J,MATCH('Isaac 401k'!N3293,'Retirement Calculator'!A:A,0),0),0)</f>
        <v>0</v>
      </c>
      <c r="K3293" s="444">
        <f t="shared" ca="1" si="161"/>
        <v>-1650057467.0449684</v>
      </c>
      <c r="L3293" s="444">
        <f t="shared" ca="1" si="162"/>
        <v>-397663849557.8374</v>
      </c>
      <c r="M3293" s="460">
        <f t="shared" si="164"/>
        <v>0.05</v>
      </c>
      <c r="N3293" s="464">
        <f t="shared" si="165"/>
        <v>151271</v>
      </c>
    </row>
    <row r="3294" spans="7:14" ht="11.25" customHeight="1" x14ac:dyDescent="0.25">
      <c r="G3294" s="459"/>
      <c r="H3294" s="459">
        <v>3287</v>
      </c>
      <c r="I3294" s="444">
        <f t="shared" ca="1" si="163"/>
        <v>-397663849557.8374</v>
      </c>
      <c r="J3294" s="444">
        <f t="array" ref="J3294">IFERROR(INDEX('Retirement Calculator'!J:J,MATCH('Isaac 401k'!N3294,'Retirement Calculator'!A:A,0),0),0)</f>
        <v>0</v>
      </c>
      <c r="K3294" s="444">
        <f t="shared" ca="1" si="161"/>
        <v>-1656932706.4909892</v>
      </c>
      <c r="L3294" s="444">
        <f t="shared" ca="1" si="162"/>
        <v>-399320782264.32837</v>
      </c>
      <c r="M3294" s="460">
        <f t="shared" si="164"/>
        <v>0.05</v>
      </c>
      <c r="N3294" s="464">
        <f t="shared" si="165"/>
        <v>151302</v>
      </c>
    </row>
    <row r="3295" spans="7:14" ht="11.25" customHeight="1" x14ac:dyDescent="0.25">
      <c r="G3295" s="459"/>
      <c r="H3295" s="459">
        <v>3288</v>
      </c>
      <c r="I3295" s="444">
        <f t="shared" ca="1" si="163"/>
        <v>-399320782264.32837</v>
      </c>
      <c r="J3295" s="444">
        <f t="array" ref="J3295">IFERROR(INDEX('Retirement Calculator'!J:J,MATCH('Isaac 401k'!N3295,'Retirement Calculator'!A:A,0),0),0)</f>
        <v>0</v>
      </c>
      <c r="K3295" s="444">
        <f t="shared" ca="1" si="161"/>
        <v>-1663836592.7680349</v>
      </c>
      <c r="L3295" s="444">
        <f t="shared" ca="1" si="162"/>
        <v>-400984618857.09637</v>
      </c>
      <c r="M3295" s="460">
        <f t="shared" si="164"/>
        <v>0.05</v>
      </c>
      <c r="N3295" s="464">
        <f t="shared" si="165"/>
        <v>151332</v>
      </c>
    </row>
    <row r="3296" spans="7:14" ht="11.25" customHeight="1" x14ac:dyDescent="0.25">
      <c r="G3296" s="459"/>
      <c r="H3296" s="459">
        <v>3289</v>
      </c>
      <c r="I3296" s="444">
        <f t="shared" ca="1" si="163"/>
        <v>-400984618857.09637</v>
      </c>
      <c r="J3296" s="444">
        <f t="array" ref="J3296">IFERROR(INDEX('Retirement Calculator'!J:J,MATCH('Isaac 401k'!N3296,'Retirement Calculator'!A:A,0),0),0)</f>
        <v>0</v>
      </c>
      <c r="K3296" s="444">
        <f t="shared" ca="1" si="161"/>
        <v>-1670769245.2379014</v>
      </c>
      <c r="L3296" s="444">
        <f t="shared" ca="1" si="162"/>
        <v>-402655388102.33429</v>
      </c>
      <c r="M3296" s="460">
        <f t="shared" si="164"/>
        <v>0.05</v>
      </c>
      <c r="N3296" s="464">
        <f t="shared" si="165"/>
        <v>151363</v>
      </c>
    </row>
    <row r="3297" spans="7:14" ht="11.25" customHeight="1" x14ac:dyDescent="0.25">
      <c r="G3297" s="459"/>
      <c r="H3297" s="459">
        <v>3290</v>
      </c>
      <c r="I3297" s="444">
        <f t="shared" ca="1" si="163"/>
        <v>-402655388102.33429</v>
      </c>
      <c r="J3297" s="444">
        <f t="array" ref="J3297">IFERROR(INDEX('Retirement Calculator'!J:J,MATCH('Isaac 401k'!N3297,'Retirement Calculator'!A:A,0),0),0)</f>
        <v>0</v>
      </c>
      <c r="K3297" s="444">
        <f t="shared" ca="1" si="161"/>
        <v>-1677730783.7597263</v>
      </c>
      <c r="L3297" s="444">
        <f t="shared" ca="1" si="162"/>
        <v>-404333118886.09399</v>
      </c>
      <c r="M3297" s="460">
        <f t="shared" si="164"/>
        <v>0.05</v>
      </c>
      <c r="N3297" s="464">
        <f t="shared" si="165"/>
        <v>151393</v>
      </c>
    </row>
    <row r="3298" spans="7:14" ht="11.25" customHeight="1" x14ac:dyDescent="0.25">
      <c r="G3298" s="459"/>
      <c r="H3298" s="459">
        <v>3291</v>
      </c>
      <c r="I3298" s="444">
        <f t="shared" ca="1" si="163"/>
        <v>-404333118886.09399</v>
      </c>
      <c r="J3298" s="444">
        <f t="array" ref="J3298">IFERROR(INDEX('Retirement Calculator'!J:J,MATCH('Isaac 401k'!N3298,'Retirement Calculator'!A:A,0),0),0)</f>
        <v>0</v>
      </c>
      <c r="K3298" s="444">
        <f t="shared" ca="1" si="161"/>
        <v>-1684721328.6920583</v>
      </c>
      <c r="L3298" s="444">
        <f t="shared" ca="1" si="162"/>
        <v>-406017840214.78607</v>
      </c>
      <c r="M3298" s="460">
        <f t="shared" si="164"/>
        <v>0.05</v>
      </c>
      <c r="N3298" s="464">
        <f t="shared" si="165"/>
        <v>151424</v>
      </c>
    </row>
    <row r="3299" spans="7:14" ht="11.25" customHeight="1" x14ac:dyDescent="0.25">
      <c r="G3299" s="459"/>
      <c r="H3299" s="459">
        <v>3292</v>
      </c>
      <c r="I3299" s="444">
        <f t="shared" ca="1" si="163"/>
        <v>-406017840214.78607</v>
      </c>
      <c r="J3299" s="444">
        <f t="array" ref="J3299">IFERROR(INDEX('Retirement Calculator'!J:J,MATCH('Isaac 401k'!N3299,'Retirement Calculator'!A:A,0),0),0)</f>
        <v>0</v>
      </c>
      <c r="K3299" s="444">
        <f t="shared" ca="1" si="161"/>
        <v>-1691741000.894942</v>
      </c>
      <c r="L3299" s="444">
        <f t="shared" ca="1" si="162"/>
        <v>-407709581215.68103</v>
      </c>
      <c r="M3299" s="460">
        <f t="shared" si="164"/>
        <v>0.05</v>
      </c>
      <c r="N3299" s="464">
        <f t="shared" si="165"/>
        <v>151455</v>
      </c>
    </row>
    <row r="3300" spans="7:14" ht="11.25" customHeight="1" x14ac:dyDescent="0.25">
      <c r="G3300" s="459"/>
      <c r="H3300" s="459">
        <v>3293</v>
      </c>
      <c r="I3300" s="444">
        <f t="shared" ca="1" si="163"/>
        <v>-407709581215.68103</v>
      </c>
      <c r="J3300" s="444">
        <f t="array" ref="J3300">IFERROR(INDEX('Retirement Calculator'!J:J,MATCH('Isaac 401k'!N3300,'Retirement Calculator'!A:A,0),0),0)</f>
        <v>0</v>
      </c>
      <c r="K3300" s="444">
        <f t="shared" ca="1" si="161"/>
        <v>-1698789921.7320042</v>
      </c>
      <c r="L3300" s="444">
        <f t="shared" ca="1" si="162"/>
        <v>-409408371137.41302</v>
      </c>
      <c r="M3300" s="460">
        <f t="shared" si="164"/>
        <v>0.05</v>
      </c>
      <c r="N3300" s="464">
        <f t="shared" si="165"/>
        <v>151485</v>
      </c>
    </row>
    <row r="3301" spans="7:14" ht="11.25" customHeight="1" x14ac:dyDescent="0.25">
      <c r="G3301" s="459"/>
      <c r="H3301" s="459">
        <v>3294</v>
      </c>
      <c r="I3301" s="444">
        <f t="shared" ca="1" si="163"/>
        <v>-409408371137.41302</v>
      </c>
      <c r="J3301" s="444">
        <f t="array" ref="J3301">IFERROR(INDEX('Retirement Calculator'!J:J,MATCH('Isaac 401k'!N3301,'Retirement Calculator'!A:A,0),0),0)</f>
        <v>0</v>
      </c>
      <c r="K3301" s="444">
        <f t="shared" ca="1" si="161"/>
        <v>-1705868213.0725543</v>
      </c>
      <c r="L3301" s="444">
        <f t="shared" ca="1" si="162"/>
        <v>-411114239350.4856</v>
      </c>
      <c r="M3301" s="460">
        <f t="shared" si="164"/>
        <v>0.05</v>
      </c>
      <c r="N3301" s="464">
        <f t="shared" si="165"/>
        <v>151516</v>
      </c>
    </row>
    <row r="3302" spans="7:14" ht="11.25" customHeight="1" x14ac:dyDescent="0.25">
      <c r="G3302" s="459"/>
      <c r="H3302" s="459">
        <v>3295</v>
      </c>
      <c r="I3302" s="444">
        <f t="shared" ca="1" si="163"/>
        <v>-411114239350.4856</v>
      </c>
      <c r="J3302" s="444">
        <f t="array" ref="J3302">IFERROR(INDEX('Retirement Calculator'!J:J,MATCH('Isaac 401k'!N3302,'Retirement Calculator'!A:A,0),0),0)</f>
        <v>0</v>
      </c>
      <c r="K3302" s="444">
        <f t="shared" ca="1" si="161"/>
        <v>-1712975997.29369</v>
      </c>
      <c r="L3302" s="444">
        <f t="shared" ca="1" si="162"/>
        <v>-412827215347.7793</v>
      </c>
      <c r="M3302" s="460">
        <f t="shared" si="164"/>
        <v>0.05</v>
      </c>
      <c r="N3302" s="464">
        <f t="shared" si="165"/>
        <v>151546</v>
      </c>
    </row>
    <row r="3303" spans="7:14" ht="11.25" customHeight="1" x14ac:dyDescent="0.25">
      <c r="G3303" s="459"/>
      <c r="H3303" s="459">
        <v>3296</v>
      </c>
      <c r="I3303" s="444">
        <f t="shared" ca="1" si="163"/>
        <v>-412827215347.7793</v>
      </c>
      <c r="J3303" s="444">
        <f t="array" ref="J3303">IFERROR(INDEX('Retirement Calculator'!J:J,MATCH('Isaac 401k'!N3303,'Retirement Calculator'!A:A,0),0),0)</f>
        <v>0</v>
      </c>
      <c r="K3303" s="444">
        <f t="shared" ca="1" si="161"/>
        <v>-1720113397.2824137</v>
      </c>
      <c r="L3303" s="444">
        <f t="shared" ca="1" si="162"/>
        <v>-414547328745.06171</v>
      </c>
      <c r="M3303" s="460">
        <f t="shared" si="164"/>
        <v>0.05</v>
      </c>
      <c r="N3303" s="464">
        <f t="shared" si="165"/>
        <v>151577</v>
      </c>
    </row>
    <row r="3304" spans="7:14" ht="11.25" customHeight="1" x14ac:dyDescent="0.25">
      <c r="G3304" s="459"/>
      <c r="H3304" s="459">
        <v>3297</v>
      </c>
      <c r="I3304" s="444">
        <f t="shared" ca="1" si="163"/>
        <v>-414547328745.06171</v>
      </c>
      <c r="J3304" s="444">
        <f t="array" ref="J3304">IFERROR(INDEX('Retirement Calculator'!J:J,MATCH('Isaac 401k'!N3304,'Retirement Calculator'!A:A,0),0),0)</f>
        <v>0</v>
      </c>
      <c r="K3304" s="444">
        <f t="shared" ca="1" si="161"/>
        <v>-1727280536.437757</v>
      </c>
      <c r="L3304" s="444">
        <f t="shared" ca="1" si="162"/>
        <v>-416274609281.49945</v>
      </c>
      <c r="M3304" s="460">
        <f t="shared" si="164"/>
        <v>0.05</v>
      </c>
      <c r="N3304" s="464">
        <f t="shared" si="165"/>
        <v>151608</v>
      </c>
    </row>
    <row r="3305" spans="7:14" ht="11.25" customHeight="1" x14ac:dyDescent="0.25">
      <c r="G3305" s="459"/>
      <c r="H3305" s="459">
        <v>3298</v>
      </c>
      <c r="I3305" s="444">
        <f t="shared" ca="1" si="163"/>
        <v>-416274609281.49945</v>
      </c>
      <c r="J3305" s="444">
        <f t="array" ref="J3305">IFERROR(INDEX('Retirement Calculator'!J:J,MATCH('Isaac 401k'!N3305,'Retirement Calculator'!A:A,0),0),0)</f>
        <v>0</v>
      </c>
      <c r="K3305" s="444">
        <f t="shared" ca="1" si="161"/>
        <v>-1734477538.6729143</v>
      </c>
      <c r="L3305" s="444">
        <f t="shared" ca="1" si="162"/>
        <v>-418009086820.17236</v>
      </c>
      <c r="M3305" s="460">
        <f t="shared" si="164"/>
        <v>0.05</v>
      </c>
      <c r="N3305" s="464">
        <f t="shared" si="165"/>
        <v>151636</v>
      </c>
    </row>
    <row r="3306" spans="7:14" ht="11.25" customHeight="1" x14ac:dyDescent="0.25">
      <c r="G3306" s="459"/>
      <c r="H3306" s="459">
        <v>3299</v>
      </c>
      <c r="I3306" s="444">
        <f t="shared" ca="1" si="163"/>
        <v>-418009086820.17236</v>
      </c>
      <c r="J3306" s="444">
        <f t="array" ref="J3306">IFERROR(INDEX('Retirement Calculator'!J:J,MATCH('Isaac 401k'!N3306,'Retirement Calculator'!A:A,0),0),0)</f>
        <v>0</v>
      </c>
      <c r="K3306" s="444">
        <f t="shared" ca="1" si="161"/>
        <v>-1741704528.4173849</v>
      </c>
      <c r="L3306" s="444">
        <f t="shared" ca="1" si="162"/>
        <v>-419750791348.58972</v>
      </c>
      <c r="M3306" s="460">
        <f t="shared" si="164"/>
        <v>0.05</v>
      </c>
      <c r="N3306" s="464">
        <f t="shared" si="165"/>
        <v>151667</v>
      </c>
    </row>
    <row r="3307" spans="7:14" ht="11.25" customHeight="1" x14ac:dyDescent="0.25">
      <c r="G3307" s="459"/>
      <c r="H3307" s="459">
        <v>3300</v>
      </c>
      <c r="I3307" s="444">
        <f t="shared" ca="1" si="163"/>
        <v>-419750791348.58972</v>
      </c>
      <c r="J3307" s="444">
        <f t="array" ref="J3307">IFERROR(INDEX('Retirement Calculator'!J:J,MATCH('Isaac 401k'!N3307,'Retirement Calculator'!A:A,0),0),0)</f>
        <v>0</v>
      </c>
      <c r="K3307" s="444">
        <f t="shared" ca="1" si="161"/>
        <v>-1748961630.6191237</v>
      </c>
      <c r="L3307" s="444">
        <f t="shared" ca="1" si="162"/>
        <v>-421499752979.20886</v>
      </c>
      <c r="M3307" s="460">
        <f t="shared" si="164"/>
        <v>0.05</v>
      </c>
      <c r="N3307" s="464">
        <f t="shared" si="165"/>
        <v>151697</v>
      </c>
    </row>
    <row r="3308" spans="7:14" ht="11.25" customHeight="1" x14ac:dyDescent="0.25">
      <c r="G3308" s="459"/>
      <c r="H3308" s="459">
        <v>3301</v>
      </c>
      <c r="I3308" s="444">
        <f t="shared" ca="1" si="163"/>
        <v>-421499752979.20886</v>
      </c>
      <c r="J3308" s="444">
        <f t="array" ref="J3308">IFERROR(INDEX('Retirement Calculator'!J:J,MATCH('Isaac 401k'!N3308,'Retirement Calculator'!A:A,0),0),0)</f>
        <v>0</v>
      </c>
      <c r="K3308" s="444">
        <f t="shared" ca="1" si="161"/>
        <v>-1756248970.7467036</v>
      </c>
      <c r="L3308" s="444">
        <f t="shared" ca="1" si="162"/>
        <v>-423256001949.95557</v>
      </c>
      <c r="M3308" s="460">
        <f t="shared" si="164"/>
        <v>0.05</v>
      </c>
      <c r="N3308" s="464">
        <f t="shared" si="165"/>
        <v>151728</v>
      </c>
    </row>
    <row r="3309" spans="7:14" ht="11.25" customHeight="1" x14ac:dyDescent="0.25">
      <c r="G3309" s="459"/>
      <c r="H3309" s="459">
        <v>3302</v>
      </c>
      <c r="I3309" s="444">
        <f t="shared" ca="1" si="163"/>
        <v>-423256001949.95557</v>
      </c>
      <c r="J3309" s="444">
        <f t="array" ref="J3309">IFERROR(INDEX('Retirement Calculator'!J:J,MATCH('Isaac 401k'!N3309,'Retirement Calculator'!A:A,0),0),0)</f>
        <v>0</v>
      </c>
      <c r="K3309" s="444">
        <f t="shared" ca="1" si="161"/>
        <v>-1763566674.7914815</v>
      </c>
      <c r="L3309" s="444">
        <f t="shared" ca="1" si="162"/>
        <v>-425019568624.74707</v>
      </c>
      <c r="M3309" s="460">
        <f t="shared" si="164"/>
        <v>0.05</v>
      </c>
      <c r="N3309" s="464">
        <f t="shared" si="165"/>
        <v>151758</v>
      </c>
    </row>
    <row r="3310" spans="7:14" ht="11.25" customHeight="1" x14ac:dyDescent="0.25">
      <c r="G3310" s="459"/>
      <c r="H3310" s="459">
        <v>3303</v>
      </c>
      <c r="I3310" s="444">
        <f t="shared" ca="1" si="163"/>
        <v>-425019568624.74707</v>
      </c>
      <c r="J3310" s="444">
        <f t="array" ref="J3310">IFERROR(INDEX('Retirement Calculator'!J:J,MATCH('Isaac 401k'!N3310,'Retirement Calculator'!A:A,0),0),0)</f>
        <v>0</v>
      </c>
      <c r="K3310" s="444">
        <f t="shared" ca="1" si="161"/>
        <v>-1770914869.2697794</v>
      </c>
      <c r="L3310" s="444">
        <f t="shared" ca="1" si="162"/>
        <v>-426790483494.01685</v>
      </c>
      <c r="M3310" s="460">
        <f t="shared" si="164"/>
        <v>0.05</v>
      </c>
      <c r="N3310" s="464">
        <f t="shared" si="165"/>
        <v>151789</v>
      </c>
    </row>
    <row r="3311" spans="7:14" ht="11.25" customHeight="1" x14ac:dyDescent="0.25">
      <c r="G3311" s="459"/>
      <c r="H3311" s="459">
        <v>3304</v>
      </c>
      <c r="I3311" s="444">
        <f t="shared" ca="1" si="163"/>
        <v>-426790483494.01685</v>
      </c>
      <c r="J3311" s="444">
        <f t="array" ref="J3311">IFERROR(INDEX('Retirement Calculator'!J:J,MATCH('Isaac 401k'!N3311,'Retirement Calculator'!A:A,0),0),0)</f>
        <v>0</v>
      </c>
      <c r="K3311" s="444">
        <f t="shared" ca="1" si="161"/>
        <v>-1778293681.2250702</v>
      </c>
      <c r="L3311" s="444">
        <f t="shared" ca="1" si="162"/>
        <v>-428568777175.24194</v>
      </c>
      <c r="M3311" s="460">
        <f t="shared" si="164"/>
        <v>0.05</v>
      </c>
      <c r="N3311" s="464">
        <f t="shared" si="165"/>
        <v>151820</v>
      </c>
    </row>
    <row r="3312" spans="7:14" ht="11.25" customHeight="1" x14ac:dyDescent="0.25">
      <c r="G3312" s="459"/>
      <c r="H3312" s="459">
        <v>3305</v>
      </c>
      <c r="I3312" s="444">
        <f t="shared" ca="1" si="163"/>
        <v>-428568777175.24194</v>
      </c>
      <c r="J3312" s="444">
        <f t="array" ref="J3312">IFERROR(INDEX('Retirement Calculator'!J:J,MATCH('Isaac 401k'!N3312,'Retirement Calculator'!A:A,0),0),0)</f>
        <v>0</v>
      </c>
      <c r="K3312" s="444">
        <f t="shared" ca="1" si="161"/>
        <v>-1785703238.2301745</v>
      </c>
      <c r="L3312" s="444">
        <f t="shared" ca="1" si="162"/>
        <v>-430354480413.47211</v>
      </c>
      <c r="M3312" s="460">
        <f t="shared" si="164"/>
        <v>0.05</v>
      </c>
      <c r="N3312" s="464">
        <f t="shared" si="165"/>
        <v>151850</v>
      </c>
    </row>
    <row r="3313" spans="7:14" ht="11.25" customHeight="1" x14ac:dyDescent="0.25">
      <c r="G3313" s="459"/>
      <c r="H3313" s="459">
        <v>3306</v>
      </c>
      <c r="I3313" s="444">
        <f t="shared" ca="1" si="163"/>
        <v>-430354480413.47211</v>
      </c>
      <c r="J3313" s="444">
        <f t="array" ref="J3313">IFERROR(INDEX('Retirement Calculator'!J:J,MATCH('Isaac 401k'!N3313,'Retirement Calculator'!A:A,0),0),0)</f>
        <v>0</v>
      </c>
      <c r="K3313" s="444">
        <f t="shared" ca="1" si="161"/>
        <v>-1793143668.3894672</v>
      </c>
      <c r="L3313" s="444">
        <f t="shared" ca="1" si="162"/>
        <v>-432147624081.86157</v>
      </c>
      <c r="M3313" s="460">
        <f t="shared" si="164"/>
        <v>0.05</v>
      </c>
      <c r="N3313" s="464">
        <f t="shared" si="165"/>
        <v>151881</v>
      </c>
    </row>
    <row r="3314" spans="7:14" ht="11.25" customHeight="1" x14ac:dyDescent="0.25">
      <c r="G3314" s="459"/>
      <c r="H3314" s="459">
        <v>3307</v>
      </c>
      <c r="I3314" s="444">
        <f t="shared" ca="1" si="163"/>
        <v>-432147624081.86157</v>
      </c>
      <c r="J3314" s="444">
        <f t="array" ref="J3314">IFERROR(INDEX('Retirement Calculator'!J:J,MATCH('Isaac 401k'!N3314,'Retirement Calculator'!A:A,0),0),0)</f>
        <v>0</v>
      </c>
      <c r="K3314" s="444">
        <f t="shared" ca="1" si="161"/>
        <v>-1800615100.34109</v>
      </c>
      <c r="L3314" s="444">
        <f t="shared" ca="1" si="162"/>
        <v>-433948239182.20264</v>
      </c>
      <c r="M3314" s="460">
        <f t="shared" si="164"/>
        <v>0.05</v>
      </c>
      <c r="N3314" s="464">
        <f t="shared" si="165"/>
        <v>151911</v>
      </c>
    </row>
    <row r="3315" spans="7:14" ht="11.25" customHeight="1" x14ac:dyDescent="0.25">
      <c r="G3315" s="459"/>
      <c r="H3315" s="459">
        <v>3308</v>
      </c>
      <c r="I3315" s="444">
        <f t="shared" ca="1" si="163"/>
        <v>-433948239182.20264</v>
      </c>
      <c r="J3315" s="444">
        <f t="array" ref="J3315">IFERROR(INDEX('Retirement Calculator'!J:J,MATCH('Isaac 401k'!N3315,'Retirement Calculator'!A:A,0),0),0)</f>
        <v>0</v>
      </c>
      <c r="K3315" s="444">
        <f t="shared" ca="1" si="161"/>
        <v>-1808117663.2591777</v>
      </c>
      <c r="L3315" s="444">
        <f t="shared" ca="1" si="162"/>
        <v>-435756356845.46179</v>
      </c>
      <c r="M3315" s="460">
        <f t="shared" si="164"/>
        <v>0.05</v>
      </c>
      <c r="N3315" s="464">
        <f t="shared" si="165"/>
        <v>151942</v>
      </c>
    </row>
    <row r="3316" spans="7:14" ht="11.25" customHeight="1" x14ac:dyDescent="0.25">
      <c r="G3316" s="459"/>
      <c r="H3316" s="459">
        <v>3309</v>
      </c>
      <c r="I3316" s="444">
        <f t="shared" ca="1" si="163"/>
        <v>-435756356845.46179</v>
      </c>
      <c r="J3316" s="444">
        <f t="array" ref="J3316">IFERROR(INDEX('Retirement Calculator'!J:J,MATCH('Isaac 401k'!N3316,'Retirement Calculator'!A:A,0),0),0)</f>
        <v>0</v>
      </c>
      <c r="K3316" s="444">
        <f t="shared" ca="1" si="161"/>
        <v>-1815651486.856091</v>
      </c>
      <c r="L3316" s="444">
        <f t="shared" ca="1" si="162"/>
        <v>-437572008332.31787</v>
      </c>
      <c r="M3316" s="460">
        <f t="shared" si="164"/>
        <v>0.05</v>
      </c>
      <c r="N3316" s="464">
        <f t="shared" si="165"/>
        <v>151973</v>
      </c>
    </row>
    <row r="3317" spans="7:14" ht="11.25" customHeight="1" x14ac:dyDescent="0.25">
      <c r="G3317" s="459"/>
      <c r="H3317" s="459">
        <v>3310</v>
      </c>
      <c r="I3317" s="444">
        <f t="shared" ca="1" si="163"/>
        <v>-437572008332.31787</v>
      </c>
      <c r="J3317" s="444">
        <f t="array" ref="J3317">IFERROR(INDEX('Retirement Calculator'!J:J,MATCH('Isaac 401k'!N3317,'Retirement Calculator'!A:A,0),0),0)</f>
        <v>0</v>
      </c>
      <c r="K3317" s="444">
        <f t="shared" ca="1" si="161"/>
        <v>-1823216701.3846579</v>
      </c>
      <c r="L3317" s="444">
        <f t="shared" ca="1" si="162"/>
        <v>-439395225033.70251</v>
      </c>
      <c r="M3317" s="460">
        <f t="shared" si="164"/>
        <v>0.05</v>
      </c>
      <c r="N3317" s="464">
        <f t="shared" si="165"/>
        <v>152002</v>
      </c>
    </row>
    <row r="3318" spans="7:14" ht="11.25" customHeight="1" x14ac:dyDescent="0.25">
      <c r="G3318" s="459"/>
      <c r="H3318" s="459">
        <v>3311</v>
      </c>
      <c r="I3318" s="444">
        <f t="shared" ca="1" si="163"/>
        <v>-439395225033.70251</v>
      </c>
      <c r="J3318" s="444">
        <f t="array" ref="J3318">IFERROR(INDEX('Retirement Calculator'!J:J,MATCH('Isaac 401k'!N3318,'Retirement Calculator'!A:A,0),0),0)</f>
        <v>0</v>
      </c>
      <c r="K3318" s="444">
        <f t="shared" ca="1" si="161"/>
        <v>-1830813437.6404269</v>
      </c>
      <c r="L3318" s="444">
        <f t="shared" ca="1" si="162"/>
        <v>-441226038471.34296</v>
      </c>
      <c r="M3318" s="460">
        <f t="shared" si="164"/>
        <v>0.05</v>
      </c>
      <c r="N3318" s="464">
        <f t="shared" si="165"/>
        <v>152033</v>
      </c>
    </row>
    <row r="3319" spans="7:14" ht="11.25" customHeight="1" x14ac:dyDescent="0.25">
      <c r="G3319" s="459"/>
      <c r="H3319" s="459">
        <v>3312</v>
      </c>
      <c r="I3319" s="444">
        <f t="shared" ca="1" si="163"/>
        <v>-441226038471.34296</v>
      </c>
      <c r="J3319" s="444">
        <f t="array" ref="J3319">IFERROR(INDEX('Retirement Calculator'!J:J,MATCH('Isaac 401k'!N3319,'Retirement Calculator'!A:A,0),0),0)</f>
        <v>0</v>
      </c>
      <c r="K3319" s="444">
        <f t="shared" ca="1" si="161"/>
        <v>-1838441826.9639289</v>
      </c>
      <c r="L3319" s="444">
        <f t="shared" ca="1" si="162"/>
        <v>-443064480298.30688</v>
      </c>
      <c r="M3319" s="460">
        <f t="shared" si="164"/>
        <v>0.05</v>
      </c>
      <c r="N3319" s="464">
        <f t="shared" si="165"/>
        <v>152063</v>
      </c>
    </row>
    <row r="3320" spans="7:14" ht="11.25" customHeight="1" x14ac:dyDescent="0.25">
      <c r="G3320" s="459"/>
      <c r="H3320" s="459">
        <v>3313</v>
      </c>
      <c r="I3320" s="444">
        <f t="shared" ca="1" si="163"/>
        <v>-443064480298.30688</v>
      </c>
      <c r="J3320" s="444">
        <f t="array" ref="J3320">IFERROR(INDEX('Retirement Calculator'!J:J,MATCH('Isaac 401k'!N3320,'Retirement Calculator'!A:A,0),0),0)</f>
        <v>0</v>
      </c>
      <c r="K3320" s="444">
        <f t="shared" ca="1" si="161"/>
        <v>-1846102001.2429457</v>
      </c>
      <c r="L3320" s="444">
        <f t="shared" ca="1" si="162"/>
        <v>-444910582299.5498</v>
      </c>
      <c r="M3320" s="460">
        <f t="shared" si="164"/>
        <v>0.05</v>
      </c>
      <c r="N3320" s="464">
        <f t="shared" si="165"/>
        <v>152094</v>
      </c>
    </row>
    <row r="3321" spans="7:14" ht="11.25" customHeight="1" x14ac:dyDescent="0.25">
      <c r="G3321" s="459"/>
      <c r="H3321" s="459">
        <v>3314</v>
      </c>
      <c r="I3321" s="444">
        <f t="shared" ca="1" si="163"/>
        <v>-444910582299.5498</v>
      </c>
      <c r="J3321" s="444">
        <f t="array" ref="J3321">IFERROR(INDEX('Retirement Calculator'!J:J,MATCH('Isaac 401k'!N3321,'Retirement Calculator'!A:A,0),0),0)</f>
        <v>0</v>
      </c>
      <c r="K3321" s="444">
        <f t="shared" ca="1" si="161"/>
        <v>-1853794092.9147906</v>
      </c>
      <c r="L3321" s="444">
        <f t="shared" ca="1" si="162"/>
        <v>-446764376392.4646</v>
      </c>
      <c r="M3321" s="460">
        <f t="shared" si="164"/>
        <v>0.05</v>
      </c>
      <c r="N3321" s="464">
        <f t="shared" si="165"/>
        <v>152124</v>
      </c>
    </row>
    <row r="3322" spans="7:14" ht="11.25" customHeight="1" x14ac:dyDescent="0.25">
      <c r="G3322" s="459"/>
      <c r="H3322" s="459">
        <v>3315</v>
      </c>
      <c r="I3322" s="444">
        <f t="shared" ca="1" si="163"/>
        <v>-446764376392.4646</v>
      </c>
      <c r="J3322" s="444">
        <f t="array" ref="J3322">IFERROR(INDEX('Retirement Calculator'!J:J,MATCH('Isaac 401k'!N3322,'Retirement Calculator'!A:A,0),0),0)</f>
        <v>0</v>
      </c>
      <c r="K3322" s="444">
        <f t="shared" ca="1" si="161"/>
        <v>-1861518234.9686022</v>
      </c>
      <c r="L3322" s="444">
        <f t="shared" ca="1" si="162"/>
        <v>-448625894627.43323</v>
      </c>
      <c r="M3322" s="460">
        <f t="shared" si="164"/>
        <v>0.05</v>
      </c>
      <c r="N3322" s="464">
        <f t="shared" si="165"/>
        <v>152155</v>
      </c>
    </row>
    <row r="3323" spans="7:14" ht="11.25" customHeight="1" x14ac:dyDescent="0.25">
      <c r="G3323" s="459"/>
      <c r="H3323" s="459">
        <v>3316</v>
      </c>
      <c r="I3323" s="444">
        <f t="shared" ca="1" si="163"/>
        <v>-448625894627.43323</v>
      </c>
      <c r="J3323" s="444">
        <f t="array" ref="J3323">IFERROR(INDEX('Retirement Calculator'!J:J,MATCH('Isaac 401k'!N3323,'Retirement Calculator'!A:A,0),0),0)</f>
        <v>0</v>
      </c>
      <c r="K3323" s="444">
        <f t="shared" ref="K3323:K3577" ca="1" si="166">IPMT(M3323/12,1,12,-I3323+J3323,,0)</f>
        <v>-1869274560.9476388</v>
      </c>
      <c r="L3323" s="444">
        <f t="shared" ref="L3323:L3577" ca="1" si="167">I3323-J3323+K3323</f>
        <v>-450495169188.38086</v>
      </c>
      <c r="M3323" s="460">
        <f t="shared" si="164"/>
        <v>0.05</v>
      </c>
      <c r="N3323" s="464">
        <f t="shared" si="165"/>
        <v>152186</v>
      </c>
    </row>
    <row r="3324" spans="7:14" ht="11.25" customHeight="1" x14ac:dyDescent="0.25">
      <c r="G3324" s="459"/>
      <c r="H3324" s="459">
        <v>3317</v>
      </c>
      <c r="I3324" s="444">
        <f t="shared" ref="I3324:I3578" ca="1" si="168">L3323</f>
        <v>-450495169188.38086</v>
      </c>
      <c r="J3324" s="444">
        <f t="array" ref="J3324">IFERROR(INDEX('Retirement Calculator'!J:J,MATCH('Isaac 401k'!N3324,'Retirement Calculator'!A:A,0),0),0)</f>
        <v>0</v>
      </c>
      <c r="K3324" s="444">
        <f t="shared" ca="1" si="166"/>
        <v>-1877063204.951587</v>
      </c>
      <c r="L3324" s="444">
        <f t="shared" ca="1" si="167"/>
        <v>-452372232393.33246</v>
      </c>
      <c r="M3324" s="460">
        <f t="shared" ref="M3324:M3578" si="169">M3323</f>
        <v>0.05</v>
      </c>
      <c r="N3324" s="464">
        <f t="shared" ref="N3324:N3578" si="170">EDATE(N3323,1)</f>
        <v>152216</v>
      </c>
    </row>
    <row r="3325" spans="7:14" ht="11.25" customHeight="1" x14ac:dyDescent="0.25">
      <c r="G3325" s="459"/>
      <c r="H3325" s="459">
        <v>3318</v>
      </c>
      <c r="I3325" s="444">
        <f t="shared" ca="1" si="168"/>
        <v>-452372232393.33246</v>
      </c>
      <c r="J3325" s="444">
        <f t="array" ref="J3325">IFERROR(INDEX('Retirement Calculator'!J:J,MATCH('Isaac 401k'!N3325,'Retirement Calculator'!A:A,0),0),0)</f>
        <v>0</v>
      </c>
      <c r="K3325" s="444">
        <f t="shared" ca="1" si="166"/>
        <v>-1884884301.6388853</v>
      </c>
      <c r="L3325" s="444">
        <f t="shared" ca="1" si="167"/>
        <v>-454257116694.97131</v>
      </c>
      <c r="M3325" s="460">
        <f t="shared" si="169"/>
        <v>0.05</v>
      </c>
      <c r="N3325" s="464">
        <f t="shared" si="170"/>
        <v>152247</v>
      </c>
    </row>
    <row r="3326" spans="7:14" ht="11.25" customHeight="1" x14ac:dyDescent="0.25">
      <c r="G3326" s="459"/>
      <c r="H3326" s="459">
        <v>3319</v>
      </c>
      <c r="I3326" s="444">
        <f t="shared" ca="1" si="168"/>
        <v>-454257116694.97131</v>
      </c>
      <c r="J3326" s="444">
        <f t="array" ref="J3326">IFERROR(INDEX('Retirement Calculator'!J:J,MATCH('Isaac 401k'!N3326,'Retirement Calculator'!A:A,0),0),0)</f>
        <v>0</v>
      </c>
      <c r="K3326" s="444">
        <f t="shared" ca="1" si="166"/>
        <v>-1892737986.2290471</v>
      </c>
      <c r="L3326" s="444">
        <f t="shared" ca="1" si="167"/>
        <v>-456149854681.20038</v>
      </c>
      <c r="M3326" s="460">
        <f t="shared" si="169"/>
        <v>0.05</v>
      </c>
      <c r="N3326" s="464">
        <f t="shared" si="170"/>
        <v>152277</v>
      </c>
    </row>
    <row r="3327" spans="7:14" ht="11.25" customHeight="1" x14ac:dyDescent="0.25">
      <c r="G3327" s="459"/>
      <c r="H3327" s="459">
        <v>3320</v>
      </c>
      <c r="I3327" s="444">
        <f t="shared" ca="1" si="168"/>
        <v>-456149854681.20038</v>
      </c>
      <c r="J3327" s="444">
        <f t="array" ref="J3327">IFERROR(INDEX('Retirement Calculator'!J:J,MATCH('Isaac 401k'!N3327,'Retirement Calculator'!A:A,0),0),0)</f>
        <v>0</v>
      </c>
      <c r="K3327" s="444">
        <f t="shared" ca="1" si="166"/>
        <v>-1900624394.5050015</v>
      </c>
      <c r="L3327" s="444">
        <f t="shared" ca="1" si="167"/>
        <v>-458050479075.70538</v>
      </c>
      <c r="M3327" s="460">
        <f t="shared" si="169"/>
        <v>0.05</v>
      </c>
      <c r="N3327" s="464">
        <f t="shared" si="170"/>
        <v>152308</v>
      </c>
    </row>
    <row r="3328" spans="7:14" ht="11.25" customHeight="1" x14ac:dyDescent="0.25">
      <c r="G3328" s="459"/>
      <c r="H3328" s="459">
        <v>3321</v>
      </c>
      <c r="I3328" s="444">
        <f t="shared" ca="1" si="168"/>
        <v>-458050479075.70538</v>
      </c>
      <c r="J3328" s="444">
        <f t="array" ref="J3328">IFERROR(INDEX('Retirement Calculator'!J:J,MATCH('Isaac 401k'!N3328,'Retirement Calculator'!A:A,0),0),0)</f>
        <v>0</v>
      </c>
      <c r="K3328" s="444">
        <f t="shared" ca="1" si="166"/>
        <v>-1908543662.815439</v>
      </c>
      <c r="L3328" s="444">
        <f t="shared" ca="1" si="167"/>
        <v>-459959022738.52081</v>
      </c>
      <c r="M3328" s="460">
        <f t="shared" si="169"/>
        <v>0.05</v>
      </c>
      <c r="N3328" s="464">
        <f t="shared" si="170"/>
        <v>152339</v>
      </c>
    </row>
    <row r="3329" spans="7:14" ht="11.25" customHeight="1" x14ac:dyDescent="0.25">
      <c r="G3329" s="459"/>
      <c r="H3329" s="459">
        <v>3322</v>
      </c>
      <c r="I3329" s="444">
        <f t="shared" ca="1" si="168"/>
        <v>-459959022738.52081</v>
      </c>
      <c r="J3329" s="444">
        <f t="array" ref="J3329">IFERROR(INDEX('Retirement Calculator'!J:J,MATCH('Isaac 401k'!N3329,'Retirement Calculator'!A:A,0),0),0)</f>
        <v>0</v>
      </c>
      <c r="K3329" s="444">
        <f t="shared" ca="1" si="166"/>
        <v>-1916495928.0771701</v>
      </c>
      <c r="L3329" s="444">
        <f t="shared" ca="1" si="167"/>
        <v>-461875518666.59796</v>
      </c>
      <c r="M3329" s="460">
        <f t="shared" si="169"/>
        <v>0.05</v>
      </c>
      <c r="N3329" s="464">
        <f t="shared" si="170"/>
        <v>152367</v>
      </c>
    </row>
    <row r="3330" spans="7:14" ht="11.25" customHeight="1" x14ac:dyDescent="0.25">
      <c r="G3330" s="459"/>
      <c r="H3330" s="459">
        <v>3323</v>
      </c>
      <c r="I3330" s="444">
        <f t="shared" ca="1" si="168"/>
        <v>-461875518666.59796</v>
      </c>
      <c r="J3330" s="444">
        <f t="array" ref="J3330">IFERROR(INDEX('Retirement Calculator'!J:J,MATCH('Isaac 401k'!N3330,'Retirement Calculator'!A:A,0),0),0)</f>
        <v>0</v>
      </c>
      <c r="K3330" s="444">
        <f t="shared" ca="1" si="166"/>
        <v>-1924481327.7774913</v>
      </c>
      <c r="L3330" s="444">
        <f t="shared" ca="1" si="167"/>
        <v>-463799999994.37543</v>
      </c>
      <c r="M3330" s="460">
        <f t="shared" si="169"/>
        <v>0.05</v>
      </c>
      <c r="N3330" s="464">
        <f t="shared" si="170"/>
        <v>152398</v>
      </c>
    </row>
    <row r="3331" spans="7:14" ht="11.25" customHeight="1" x14ac:dyDescent="0.25">
      <c r="G3331" s="459"/>
      <c r="H3331" s="459">
        <v>3324</v>
      </c>
      <c r="I3331" s="444">
        <f t="shared" ca="1" si="168"/>
        <v>-463799999994.37543</v>
      </c>
      <c r="J3331" s="444">
        <f t="array" ref="J3331">IFERROR(INDEX('Retirement Calculator'!J:J,MATCH('Isaac 401k'!N3331,'Retirement Calculator'!A:A,0),0),0)</f>
        <v>0</v>
      </c>
      <c r="K3331" s="444">
        <f t="shared" ca="1" si="166"/>
        <v>-1932499999.9765639</v>
      </c>
      <c r="L3331" s="444">
        <f t="shared" ca="1" si="167"/>
        <v>-465732499994.35199</v>
      </c>
      <c r="M3331" s="460">
        <f t="shared" si="169"/>
        <v>0.05</v>
      </c>
      <c r="N3331" s="464">
        <f t="shared" si="170"/>
        <v>152428</v>
      </c>
    </row>
    <row r="3332" spans="7:14" ht="11.25" customHeight="1" x14ac:dyDescent="0.25">
      <c r="G3332" s="459"/>
      <c r="H3332" s="459">
        <v>3325</v>
      </c>
      <c r="I3332" s="444">
        <f t="shared" ca="1" si="168"/>
        <v>-465732499994.35199</v>
      </c>
      <c r="J3332" s="444">
        <f t="array" ref="J3332">IFERROR(INDEX('Retirement Calculator'!J:J,MATCH('Isaac 401k'!N3332,'Retirement Calculator'!A:A,0),0),0)</f>
        <v>0</v>
      </c>
      <c r="K3332" s="444">
        <f t="shared" ca="1" si="166"/>
        <v>-1940552083.3097999</v>
      </c>
      <c r="L3332" s="444">
        <f t="shared" ca="1" si="167"/>
        <v>-467673052077.6618</v>
      </c>
      <c r="M3332" s="460">
        <f t="shared" si="169"/>
        <v>0.05</v>
      </c>
      <c r="N3332" s="464">
        <f t="shared" si="170"/>
        <v>152459</v>
      </c>
    </row>
    <row r="3333" spans="7:14" ht="11.25" customHeight="1" x14ac:dyDescent="0.25">
      <c r="G3333" s="459"/>
      <c r="H3333" s="459">
        <v>3326</v>
      </c>
      <c r="I3333" s="444">
        <f t="shared" ca="1" si="168"/>
        <v>-467673052077.6618</v>
      </c>
      <c r="J3333" s="444">
        <f t="array" ref="J3333">IFERROR(INDEX('Retirement Calculator'!J:J,MATCH('Isaac 401k'!N3333,'Retirement Calculator'!A:A,0),0),0)</f>
        <v>0</v>
      </c>
      <c r="K3333" s="444">
        <f t="shared" ca="1" si="166"/>
        <v>-1948637716.9902575</v>
      </c>
      <c r="L3333" s="444">
        <f t="shared" ca="1" si="167"/>
        <v>-469621689794.65204</v>
      </c>
      <c r="M3333" s="460">
        <f t="shared" si="169"/>
        <v>0.05</v>
      </c>
      <c r="N3333" s="464">
        <f t="shared" si="170"/>
        <v>152489</v>
      </c>
    </row>
    <row r="3334" spans="7:14" ht="11.25" customHeight="1" x14ac:dyDescent="0.25">
      <c r="G3334" s="459"/>
      <c r="H3334" s="459">
        <v>3327</v>
      </c>
      <c r="I3334" s="444">
        <f t="shared" ca="1" si="168"/>
        <v>-469621689794.65204</v>
      </c>
      <c r="J3334" s="444">
        <f t="array" ref="J3334">IFERROR(INDEX('Retirement Calculator'!J:J,MATCH('Isaac 401k'!N3334,'Retirement Calculator'!A:A,0),0),0)</f>
        <v>0</v>
      </c>
      <c r="K3334" s="444">
        <f t="shared" ca="1" si="166"/>
        <v>-1956757040.8110502</v>
      </c>
      <c r="L3334" s="444">
        <f t="shared" ca="1" si="167"/>
        <v>-471578446835.46307</v>
      </c>
      <c r="M3334" s="460">
        <f t="shared" si="169"/>
        <v>0.05</v>
      </c>
      <c r="N3334" s="464">
        <f t="shared" si="170"/>
        <v>152520</v>
      </c>
    </row>
    <row r="3335" spans="7:14" ht="11.25" customHeight="1" x14ac:dyDescent="0.25">
      <c r="G3335" s="459"/>
      <c r="H3335" s="459">
        <v>3328</v>
      </c>
      <c r="I3335" s="444">
        <f t="shared" ca="1" si="168"/>
        <v>-471578446835.46307</v>
      </c>
      <c r="J3335" s="444">
        <f t="array" ref="J3335">IFERROR(INDEX('Retirement Calculator'!J:J,MATCH('Isaac 401k'!N3335,'Retirement Calculator'!A:A,0),0),0)</f>
        <v>0</v>
      </c>
      <c r="K3335" s="444">
        <f t="shared" ca="1" si="166"/>
        <v>-1964910195.1477628</v>
      </c>
      <c r="L3335" s="444">
        <f t="shared" ca="1" si="167"/>
        <v>-473543357030.61084</v>
      </c>
      <c r="M3335" s="460">
        <f t="shared" si="169"/>
        <v>0.05</v>
      </c>
      <c r="N3335" s="464">
        <f t="shared" si="170"/>
        <v>152551</v>
      </c>
    </row>
    <row r="3336" spans="7:14" ht="11.25" customHeight="1" x14ac:dyDescent="0.25">
      <c r="G3336" s="459"/>
      <c r="H3336" s="459">
        <v>3329</v>
      </c>
      <c r="I3336" s="444">
        <f t="shared" ca="1" si="168"/>
        <v>-473543357030.61084</v>
      </c>
      <c r="J3336" s="444">
        <f t="array" ref="J3336">IFERROR(INDEX('Retirement Calculator'!J:J,MATCH('Isaac 401k'!N3336,'Retirement Calculator'!A:A,0),0),0)</f>
        <v>0</v>
      </c>
      <c r="K3336" s="444">
        <f t="shared" ca="1" si="166"/>
        <v>-1973097320.9608784</v>
      </c>
      <c r="L3336" s="444">
        <f t="shared" ca="1" si="167"/>
        <v>-475516454351.57172</v>
      </c>
      <c r="M3336" s="460">
        <f t="shared" si="169"/>
        <v>0.05</v>
      </c>
      <c r="N3336" s="464">
        <f t="shared" si="170"/>
        <v>152581</v>
      </c>
    </row>
    <row r="3337" spans="7:14" ht="11.25" customHeight="1" x14ac:dyDescent="0.25">
      <c r="G3337" s="459"/>
      <c r="H3337" s="459">
        <v>3330</v>
      </c>
      <c r="I3337" s="444">
        <f t="shared" ca="1" si="168"/>
        <v>-475516454351.57172</v>
      </c>
      <c r="J3337" s="444">
        <f t="array" ref="J3337">IFERROR(INDEX('Retirement Calculator'!J:J,MATCH('Isaac 401k'!N3337,'Retirement Calculator'!A:A,0),0),0)</f>
        <v>0</v>
      </c>
      <c r="K3337" s="444">
        <f t="shared" ca="1" si="166"/>
        <v>-1981318559.7982154</v>
      </c>
      <c r="L3337" s="444">
        <f t="shared" ca="1" si="167"/>
        <v>-477497772911.36993</v>
      </c>
      <c r="M3337" s="460">
        <f t="shared" si="169"/>
        <v>0.05</v>
      </c>
      <c r="N3337" s="464">
        <f t="shared" si="170"/>
        <v>152612</v>
      </c>
    </row>
    <row r="3338" spans="7:14" ht="11.25" customHeight="1" x14ac:dyDescent="0.25">
      <c r="G3338" s="459"/>
      <c r="H3338" s="459">
        <v>3331</v>
      </c>
      <c r="I3338" s="444">
        <f t="shared" ca="1" si="168"/>
        <v>-477497772911.36993</v>
      </c>
      <c r="J3338" s="444">
        <f t="array" ref="J3338">IFERROR(INDEX('Retirement Calculator'!J:J,MATCH('Isaac 401k'!N3338,'Retirement Calculator'!A:A,0),0),0)</f>
        <v>0</v>
      </c>
      <c r="K3338" s="444">
        <f t="shared" ca="1" si="166"/>
        <v>-1989574053.797375</v>
      </c>
      <c r="L3338" s="444">
        <f t="shared" ca="1" si="167"/>
        <v>-479487346965.1673</v>
      </c>
      <c r="M3338" s="460">
        <f t="shared" si="169"/>
        <v>0.05</v>
      </c>
      <c r="N3338" s="464">
        <f t="shared" si="170"/>
        <v>152642</v>
      </c>
    </row>
    <row r="3339" spans="7:14" ht="11.25" customHeight="1" x14ac:dyDescent="0.25">
      <c r="G3339" s="459"/>
      <c r="H3339" s="459">
        <v>3332</v>
      </c>
      <c r="I3339" s="444">
        <f t="shared" ca="1" si="168"/>
        <v>-479487346965.1673</v>
      </c>
      <c r="J3339" s="444">
        <f t="array" ref="J3339">IFERROR(INDEX('Retirement Calculator'!J:J,MATCH('Isaac 401k'!N3339,'Retirement Calculator'!A:A,0),0),0)</f>
        <v>0</v>
      </c>
      <c r="K3339" s="444">
        <f t="shared" ca="1" si="166"/>
        <v>-1997863945.6881971</v>
      </c>
      <c r="L3339" s="444">
        <f t="shared" ca="1" si="167"/>
        <v>-481485210910.85547</v>
      </c>
      <c r="M3339" s="460">
        <f t="shared" si="169"/>
        <v>0.05</v>
      </c>
      <c r="N3339" s="464">
        <f t="shared" si="170"/>
        <v>152673</v>
      </c>
    </row>
    <row r="3340" spans="7:14" ht="11.25" customHeight="1" x14ac:dyDescent="0.25">
      <c r="G3340" s="459"/>
      <c r="H3340" s="459">
        <v>3333</v>
      </c>
      <c r="I3340" s="444">
        <f t="shared" ca="1" si="168"/>
        <v>-481485210910.85547</v>
      </c>
      <c r="J3340" s="444">
        <f t="array" ref="J3340">IFERROR(INDEX('Retirement Calculator'!J:J,MATCH('Isaac 401k'!N3340,'Retirement Calculator'!A:A,0),0),0)</f>
        <v>0</v>
      </c>
      <c r="K3340" s="444">
        <f t="shared" ca="1" si="166"/>
        <v>-2006188378.7952313</v>
      </c>
      <c r="L3340" s="444">
        <f t="shared" ca="1" si="167"/>
        <v>-483491399289.6507</v>
      </c>
      <c r="M3340" s="460">
        <f t="shared" si="169"/>
        <v>0.05</v>
      </c>
      <c r="N3340" s="464">
        <f t="shared" si="170"/>
        <v>152704</v>
      </c>
    </row>
    <row r="3341" spans="7:14" ht="11.25" customHeight="1" x14ac:dyDescent="0.25">
      <c r="G3341" s="459"/>
      <c r="H3341" s="459">
        <v>3334</v>
      </c>
      <c r="I3341" s="444">
        <f t="shared" ca="1" si="168"/>
        <v>-483491399289.6507</v>
      </c>
      <c r="J3341" s="444">
        <f t="array" ref="J3341">IFERROR(INDEX('Retirement Calculator'!J:J,MATCH('Isaac 401k'!N3341,'Retirement Calculator'!A:A,0),0),0)</f>
        <v>0</v>
      </c>
      <c r="K3341" s="444">
        <f t="shared" ca="1" si="166"/>
        <v>-2014547497.0402112</v>
      </c>
      <c r="L3341" s="444">
        <f t="shared" ca="1" si="167"/>
        <v>-485505946786.69092</v>
      </c>
      <c r="M3341" s="460">
        <f t="shared" si="169"/>
        <v>0.05</v>
      </c>
      <c r="N3341" s="464">
        <f t="shared" si="170"/>
        <v>152732</v>
      </c>
    </row>
    <row r="3342" spans="7:14" ht="11.25" customHeight="1" x14ac:dyDescent="0.25">
      <c r="G3342" s="459"/>
      <c r="H3342" s="459">
        <v>3335</v>
      </c>
      <c r="I3342" s="444">
        <f t="shared" ca="1" si="168"/>
        <v>-485505946786.69092</v>
      </c>
      <c r="J3342" s="444">
        <f t="array" ref="J3342">IFERROR(INDEX('Retirement Calculator'!J:J,MATCH('Isaac 401k'!N3342,'Retirement Calculator'!A:A,0),0),0)</f>
        <v>0</v>
      </c>
      <c r="K3342" s="444">
        <f t="shared" ca="1" si="166"/>
        <v>-2022941444.9445453</v>
      </c>
      <c r="L3342" s="444">
        <f t="shared" ca="1" si="167"/>
        <v>-487528888231.63544</v>
      </c>
      <c r="M3342" s="460">
        <f t="shared" si="169"/>
        <v>0.05</v>
      </c>
      <c r="N3342" s="464">
        <f t="shared" si="170"/>
        <v>152763</v>
      </c>
    </row>
    <row r="3343" spans="7:14" ht="11.25" customHeight="1" x14ac:dyDescent="0.25">
      <c r="G3343" s="459"/>
      <c r="H3343" s="459">
        <v>3336</v>
      </c>
      <c r="I3343" s="444">
        <f t="shared" ca="1" si="168"/>
        <v>-487528888231.63544</v>
      </c>
      <c r="J3343" s="444">
        <f t="array" ref="J3343">IFERROR(INDEX('Retirement Calculator'!J:J,MATCH('Isaac 401k'!N3343,'Retirement Calculator'!A:A,0),0),0)</f>
        <v>0</v>
      </c>
      <c r="K3343" s="444">
        <f t="shared" ca="1" si="166"/>
        <v>-2031370367.6318142</v>
      </c>
      <c r="L3343" s="444">
        <f t="shared" ca="1" si="167"/>
        <v>-489560258599.26727</v>
      </c>
      <c r="M3343" s="460">
        <f t="shared" si="169"/>
        <v>0.05</v>
      </c>
      <c r="N3343" s="464">
        <f t="shared" si="170"/>
        <v>152793</v>
      </c>
    </row>
    <row r="3344" spans="7:14" ht="11.25" customHeight="1" x14ac:dyDescent="0.25">
      <c r="G3344" s="459"/>
      <c r="H3344" s="459">
        <v>3337</v>
      </c>
      <c r="I3344" s="444">
        <f t="shared" ca="1" si="168"/>
        <v>-489560258599.26727</v>
      </c>
      <c r="J3344" s="444">
        <f t="array" ref="J3344">IFERROR(INDEX('Retirement Calculator'!J:J,MATCH('Isaac 401k'!N3344,'Retirement Calculator'!A:A,0),0),0)</f>
        <v>0</v>
      </c>
      <c r="K3344" s="444">
        <f t="shared" ca="1" si="166"/>
        <v>-2039834410.8302805</v>
      </c>
      <c r="L3344" s="444">
        <f t="shared" ca="1" si="167"/>
        <v>-491600093010.09753</v>
      </c>
      <c r="M3344" s="460">
        <f t="shared" si="169"/>
        <v>0.05</v>
      </c>
      <c r="N3344" s="464">
        <f t="shared" si="170"/>
        <v>152824</v>
      </c>
    </row>
    <row r="3345" spans="7:14" ht="11.25" customHeight="1" x14ac:dyDescent="0.25">
      <c r="G3345" s="459"/>
      <c r="H3345" s="459">
        <v>3338</v>
      </c>
      <c r="I3345" s="444">
        <f t="shared" ca="1" si="168"/>
        <v>-491600093010.09753</v>
      </c>
      <c r="J3345" s="444">
        <f t="array" ref="J3345">IFERROR(INDEX('Retirement Calculator'!J:J,MATCH('Isaac 401k'!N3345,'Retirement Calculator'!A:A,0),0),0)</f>
        <v>0</v>
      </c>
      <c r="K3345" s="444">
        <f t="shared" ca="1" si="166"/>
        <v>-2048333720.8754063</v>
      </c>
      <c r="L3345" s="444">
        <f t="shared" ca="1" si="167"/>
        <v>-493648426730.97296</v>
      </c>
      <c r="M3345" s="460">
        <f t="shared" si="169"/>
        <v>0.05</v>
      </c>
      <c r="N3345" s="464">
        <f t="shared" si="170"/>
        <v>152854</v>
      </c>
    </row>
    <row r="3346" spans="7:14" ht="11.25" customHeight="1" x14ac:dyDescent="0.25">
      <c r="G3346" s="459"/>
      <c r="H3346" s="459">
        <v>3339</v>
      </c>
      <c r="I3346" s="444">
        <f t="shared" ca="1" si="168"/>
        <v>-493648426730.97296</v>
      </c>
      <c r="J3346" s="444">
        <f t="array" ref="J3346">IFERROR(INDEX('Retirement Calculator'!J:J,MATCH('Isaac 401k'!N3346,'Retirement Calculator'!A:A,0),0),0)</f>
        <v>0</v>
      </c>
      <c r="K3346" s="444">
        <f t="shared" ca="1" si="166"/>
        <v>-2056868444.7123876</v>
      </c>
      <c r="L3346" s="444">
        <f t="shared" ca="1" si="167"/>
        <v>-495705295175.68536</v>
      </c>
      <c r="M3346" s="460">
        <f t="shared" si="169"/>
        <v>0.05</v>
      </c>
      <c r="N3346" s="464">
        <f t="shared" si="170"/>
        <v>152885</v>
      </c>
    </row>
    <row r="3347" spans="7:14" ht="11.25" customHeight="1" x14ac:dyDescent="0.25">
      <c r="G3347" s="459"/>
      <c r="H3347" s="459">
        <v>3340</v>
      </c>
      <c r="I3347" s="444">
        <f t="shared" ca="1" si="168"/>
        <v>-495705295175.68536</v>
      </c>
      <c r="J3347" s="444">
        <f t="array" ref="J3347">IFERROR(INDEX('Retirement Calculator'!J:J,MATCH('Isaac 401k'!N3347,'Retirement Calculator'!A:A,0),0),0)</f>
        <v>0</v>
      </c>
      <c r="K3347" s="444">
        <f t="shared" ca="1" si="166"/>
        <v>-2065438729.8986893</v>
      </c>
      <c r="L3347" s="444">
        <f t="shared" ca="1" si="167"/>
        <v>-497770733905.58405</v>
      </c>
      <c r="M3347" s="460">
        <f t="shared" si="169"/>
        <v>0.05</v>
      </c>
      <c r="N3347" s="464">
        <f t="shared" si="170"/>
        <v>152916</v>
      </c>
    </row>
    <row r="3348" spans="7:14" ht="11.25" customHeight="1" x14ac:dyDescent="0.25">
      <c r="G3348" s="459"/>
      <c r="H3348" s="459">
        <v>3341</v>
      </c>
      <c r="I3348" s="444">
        <f t="shared" ca="1" si="168"/>
        <v>-497770733905.58405</v>
      </c>
      <c r="J3348" s="444">
        <f t="array" ref="J3348">IFERROR(INDEX('Retirement Calculator'!J:J,MATCH('Isaac 401k'!N3348,'Retirement Calculator'!A:A,0),0),0)</f>
        <v>0</v>
      </c>
      <c r="K3348" s="444">
        <f t="shared" ca="1" si="166"/>
        <v>-2074044724.6066005</v>
      </c>
      <c r="L3348" s="444">
        <f t="shared" ca="1" si="167"/>
        <v>-499844778630.19067</v>
      </c>
      <c r="M3348" s="460">
        <f t="shared" si="169"/>
        <v>0.05</v>
      </c>
      <c r="N3348" s="464">
        <f t="shared" si="170"/>
        <v>152946</v>
      </c>
    </row>
    <row r="3349" spans="7:14" ht="11.25" customHeight="1" x14ac:dyDescent="0.25">
      <c r="G3349" s="459"/>
      <c r="H3349" s="459">
        <v>3342</v>
      </c>
      <c r="I3349" s="444">
        <f t="shared" ca="1" si="168"/>
        <v>-499844778630.19067</v>
      </c>
      <c r="J3349" s="444">
        <f t="array" ref="J3349">IFERROR(INDEX('Retirement Calculator'!J:J,MATCH('Isaac 401k'!N3349,'Retirement Calculator'!A:A,0),0),0)</f>
        <v>0</v>
      </c>
      <c r="K3349" s="444">
        <f t="shared" ca="1" si="166"/>
        <v>-2082686577.6257944</v>
      </c>
      <c r="L3349" s="444">
        <f t="shared" ca="1" si="167"/>
        <v>-501927465207.81647</v>
      </c>
      <c r="M3349" s="460">
        <f t="shared" si="169"/>
        <v>0.05</v>
      </c>
      <c r="N3349" s="464">
        <f t="shared" si="170"/>
        <v>152977</v>
      </c>
    </row>
    <row r="3350" spans="7:14" ht="11.25" customHeight="1" x14ac:dyDescent="0.25">
      <c r="G3350" s="459"/>
      <c r="H3350" s="459">
        <v>3343</v>
      </c>
      <c r="I3350" s="444">
        <f t="shared" ca="1" si="168"/>
        <v>-501927465207.81647</v>
      </c>
      <c r="J3350" s="444">
        <f t="array" ref="J3350">IFERROR(INDEX('Retirement Calculator'!J:J,MATCH('Isaac 401k'!N3350,'Retirement Calculator'!A:A,0),0),0)</f>
        <v>0</v>
      </c>
      <c r="K3350" s="444">
        <f t="shared" ca="1" si="166"/>
        <v>-2091364438.3659019</v>
      </c>
      <c r="L3350" s="444">
        <f t="shared" ca="1" si="167"/>
        <v>-504018829646.18237</v>
      </c>
      <c r="M3350" s="460">
        <f t="shared" si="169"/>
        <v>0.05</v>
      </c>
      <c r="N3350" s="464">
        <f t="shared" si="170"/>
        <v>153007</v>
      </c>
    </row>
    <row r="3351" spans="7:14" ht="11.25" customHeight="1" x14ac:dyDescent="0.25">
      <c r="G3351" s="459"/>
      <c r="H3351" s="459">
        <v>3344</v>
      </c>
      <c r="I3351" s="444">
        <f t="shared" ca="1" si="168"/>
        <v>-504018829646.18237</v>
      </c>
      <c r="J3351" s="444">
        <f t="array" ref="J3351">IFERROR(INDEX('Retirement Calculator'!J:J,MATCH('Isaac 401k'!N3351,'Retirement Calculator'!A:A,0),0),0)</f>
        <v>0</v>
      </c>
      <c r="K3351" s="444">
        <f t="shared" ca="1" si="166"/>
        <v>-2100078456.859093</v>
      </c>
      <c r="L3351" s="444">
        <f t="shared" ca="1" si="167"/>
        <v>-506118908103.04144</v>
      </c>
      <c r="M3351" s="460">
        <f t="shared" si="169"/>
        <v>0.05</v>
      </c>
      <c r="N3351" s="464">
        <f t="shared" si="170"/>
        <v>153038</v>
      </c>
    </row>
    <row r="3352" spans="7:14" ht="11.25" customHeight="1" x14ac:dyDescent="0.25">
      <c r="G3352" s="459"/>
      <c r="H3352" s="459">
        <v>3345</v>
      </c>
      <c r="I3352" s="444">
        <f t="shared" ca="1" si="168"/>
        <v>-506118908103.04144</v>
      </c>
      <c r="J3352" s="444">
        <f t="array" ref="J3352">IFERROR(INDEX('Retirement Calculator'!J:J,MATCH('Isaac 401k'!N3352,'Retirement Calculator'!A:A,0),0),0)</f>
        <v>0</v>
      </c>
      <c r="K3352" s="444">
        <f t="shared" ca="1" si="166"/>
        <v>-2108828783.7626727</v>
      </c>
      <c r="L3352" s="444">
        <f t="shared" ca="1" si="167"/>
        <v>-508227736886.80414</v>
      </c>
      <c r="M3352" s="460">
        <f t="shared" si="169"/>
        <v>0.05</v>
      </c>
      <c r="N3352" s="464">
        <f t="shared" si="170"/>
        <v>153069</v>
      </c>
    </row>
    <row r="3353" spans="7:14" ht="11.25" customHeight="1" x14ac:dyDescent="0.25">
      <c r="G3353" s="459"/>
      <c r="H3353" s="459">
        <v>3346</v>
      </c>
      <c r="I3353" s="444">
        <f t="shared" ca="1" si="168"/>
        <v>-508227736886.80414</v>
      </c>
      <c r="J3353" s="444">
        <f t="array" ref="J3353">IFERROR(INDEX('Retirement Calculator'!J:J,MATCH('Isaac 401k'!N3353,'Retirement Calculator'!A:A,0),0),0)</f>
        <v>0</v>
      </c>
      <c r="K3353" s="444">
        <f t="shared" ca="1" si="166"/>
        <v>-2117615570.3616838</v>
      </c>
      <c r="L3353" s="444">
        <f t="shared" ca="1" si="167"/>
        <v>-510345352457.16583</v>
      </c>
      <c r="M3353" s="460">
        <f t="shared" si="169"/>
        <v>0.05</v>
      </c>
      <c r="N3353" s="464">
        <f t="shared" si="170"/>
        <v>153097</v>
      </c>
    </row>
    <row r="3354" spans="7:14" ht="11.25" customHeight="1" x14ac:dyDescent="0.25">
      <c r="G3354" s="459"/>
      <c r="H3354" s="459">
        <v>3347</v>
      </c>
      <c r="I3354" s="444">
        <f t="shared" ca="1" si="168"/>
        <v>-510345352457.16583</v>
      </c>
      <c r="J3354" s="444">
        <f t="array" ref="J3354">IFERROR(INDEX('Retirement Calculator'!J:J,MATCH('Isaac 401k'!N3354,'Retirement Calculator'!A:A,0),0),0)</f>
        <v>0</v>
      </c>
      <c r="K3354" s="444">
        <f t="shared" ca="1" si="166"/>
        <v>-2126438968.5715244</v>
      </c>
      <c r="L3354" s="444">
        <f t="shared" ca="1" si="167"/>
        <v>-512471791425.73737</v>
      </c>
      <c r="M3354" s="460">
        <f t="shared" si="169"/>
        <v>0.05</v>
      </c>
      <c r="N3354" s="464">
        <f t="shared" si="170"/>
        <v>153128</v>
      </c>
    </row>
    <row r="3355" spans="7:14" ht="11.25" customHeight="1" x14ac:dyDescent="0.25">
      <c r="G3355" s="459"/>
      <c r="H3355" s="459">
        <v>3348</v>
      </c>
      <c r="I3355" s="444">
        <f t="shared" ca="1" si="168"/>
        <v>-512471791425.73737</v>
      </c>
      <c r="J3355" s="444">
        <f t="array" ref="J3355">IFERROR(INDEX('Retirement Calculator'!J:J,MATCH('Isaac 401k'!N3355,'Retirement Calculator'!A:A,0),0),0)</f>
        <v>0</v>
      </c>
      <c r="K3355" s="444">
        <f t="shared" ca="1" si="166"/>
        <v>-2135299130.940572</v>
      </c>
      <c r="L3355" s="444">
        <f t="shared" ca="1" si="167"/>
        <v>-514607090556.67792</v>
      </c>
      <c r="M3355" s="460">
        <f t="shared" si="169"/>
        <v>0.05</v>
      </c>
      <c r="N3355" s="464">
        <f t="shared" si="170"/>
        <v>153158</v>
      </c>
    </row>
    <row r="3356" spans="7:14" ht="11.25" customHeight="1" x14ac:dyDescent="0.25">
      <c r="G3356" s="459"/>
      <c r="H3356" s="459">
        <v>3349</v>
      </c>
      <c r="I3356" s="444">
        <f t="shared" ca="1" si="168"/>
        <v>-514607090556.67792</v>
      </c>
      <c r="J3356" s="444">
        <f t="array" ref="J3356">IFERROR(INDEX('Retirement Calculator'!J:J,MATCH('Isaac 401k'!N3356,'Retirement Calculator'!A:A,0),0),0)</f>
        <v>0</v>
      </c>
      <c r="K3356" s="444">
        <f t="shared" ca="1" si="166"/>
        <v>-2144196210.6528246</v>
      </c>
      <c r="L3356" s="444">
        <f t="shared" ca="1" si="167"/>
        <v>-516751286767.33075</v>
      </c>
      <c r="M3356" s="460">
        <f t="shared" si="169"/>
        <v>0.05</v>
      </c>
      <c r="N3356" s="464">
        <f t="shared" si="170"/>
        <v>153189</v>
      </c>
    </row>
    <row r="3357" spans="7:14" ht="11.25" customHeight="1" x14ac:dyDescent="0.25">
      <c r="G3357" s="459"/>
      <c r="H3357" s="459">
        <v>3350</v>
      </c>
      <c r="I3357" s="444">
        <f t="shared" ca="1" si="168"/>
        <v>-516751286767.33075</v>
      </c>
      <c r="J3357" s="444">
        <f t="array" ref="J3357">IFERROR(INDEX('Retirement Calculator'!J:J,MATCH('Isaac 401k'!N3357,'Retirement Calculator'!A:A,0),0),0)</f>
        <v>0</v>
      </c>
      <c r="K3357" s="444">
        <f t="shared" ca="1" si="166"/>
        <v>-2153130361.5305448</v>
      </c>
      <c r="L3357" s="444">
        <f t="shared" ca="1" si="167"/>
        <v>-518904417128.86127</v>
      </c>
      <c r="M3357" s="460">
        <f t="shared" si="169"/>
        <v>0.05</v>
      </c>
      <c r="N3357" s="464">
        <f t="shared" si="170"/>
        <v>153219</v>
      </c>
    </row>
    <row r="3358" spans="7:14" ht="11.25" customHeight="1" x14ac:dyDescent="0.25">
      <c r="G3358" s="459"/>
      <c r="H3358" s="459">
        <v>3351</v>
      </c>
      <c r="I3358" s="444">
        <f t="shared" ca="1" si="168"/>
        <v>-518904417128.86127</v>
      </c>
      <c r="J3358" s="444">
        <f t="array" ref="J3358">IFERROR(INDEX('Retirement Calculator'!J:J,MATCH('Isaac 401k'!N3358,'Retirement Calculator'!A:A,0),0),0)</f>
        <v>0</v>
      </c>
      <c r="K3358" s="444">
        <f t="shared" ca="1" si="166"/>
        <v>-2162101738.036922</v>
      </c>
      <c r="L3358" s="444">
        <f t="shared" ca="1" si="167"/>
        <v>-521066518866.89819</v>
      </c>
      <c r="M3358" s="460">
        <f t="shared" si="169"/>
        <v>0.05</v>
      </c>
      <c r="N3358" s="464">
        <f t="shared" si="170"/>
        <v>153250</v>
      </c>
    </row>
    <row r="3359" spans="7:14" ht="11.25" customHeight="1" x14ac:dyDescent="0.25">
      <c r="G3359" s="459"/>
      <c r="H3359" s="459">
        <v>3352</v>
      </c>
      <c r="I3359" s="444">
        <f t="shared" ca="1" si="168"/>
        <v>-521066518866.89819</v>
      </c>
      <c r="J3359" s="444">
        <f t="array" ref="J3359">IFERROR(INDEX('Retirement Calculator'!J:J,MATCH('Isaac 401k'!N3359,'Retirement Calculator'!A:A,0),0),0)</f>
        <v>0</v>
      </c>
      <c r="K3359" s="444">
        <f t="shared" ca="1" si="166"/>
        <v>-2171110495.2787428</v>
      </c>
      <c r="L3359" s="444">
        <f t="shared" ca="1" si="167"/>
        <v>-523237629362.17694</v>
      </c>
      <c r="M3359" s="460">
        <f t="shared" si="169"/>
        <v>0.05</v>
      </c>
      <c r="N3359" s="464">
        <f t="shared" si="170"/>
        <v>153281</v>
      </c>
    </row>
    <row r="3360" spans="7:14" ht="11.25" customHeight="1" x14ac:dyDescent="0.25">
      <c r="G3360" s="459"/>
      <c r="H3360" s="459">
        <v>3353</v>
      </c>
      <c r="I3360" s="444">
        <f t="shared" ca="1" si="168"/>
        <v>-523237629362.17694</v>
      </c>
      <c r="J3360" s="444">
        <f t="array" ref="J3360">IFERROR(INDEX('Retirement Calculator'!J:J,MATCH('Isaac 401k'!N3360,'Retirement Calculator'!A:A,0),0),0)</f>
        <v>0</v>
      </c>
      <c r="K3360" s="444">
        <f t="shared" ca="1" si="166"/>
        <v>-2180156789.0090704</v>
      </c>
      <c r="L3360" s="444">
        <f t="shared" ca="1" si="167"/>
        <v>-525417786151.18604</v>
      </c>
      <c r="M3360" s="460">
        <f t="shared" si="169"/>
        <v>0.05</v>
      </c>
      <c r="N3360" s="464">
        <f t="shared" si="170"/>
        <v>153311</v>
      </c>
    </row>
    <row r="3361" spans="7:14" ht="11.25" customHeight="1" x14ac:dyDescent="0.25">
      <c r="G3361" s="459"/>
      <c r="H3361" s="459">
        <v>3354</v>
      </c>
      <c r="I3361" s="444">
        <f t="shared" ca="1" si="168"/>
        <v>-525417786151.18604</v>
      </c>
      <c r="J3361" s="444">
        <f t="array" ref="J3361">IFERROR(INDEX('Retirement Calculator'!J:J,MATCH('Isaac 401k'!N3361,'Retirement Calculator'!A:A,0),0),0)</f>
        <v>0</v>
      </c>
      <c r="K3361" s="444">
        <f t="shared" ca="1" si="166"/>
        <v>-2189240775.6299419</v>
      </c>
      <c r="L3361" s="444">
        <f t="shared" ca="1" si="167"/>
        <v>-527607026926.81598</v>
      </c>
      <c r="M3361" s="460">
        <f t="shared" si="169"/>
        <v>0.05</v>
      </c>
      <c r="N3361" s="464">
        <f t="shared" si="170"/>
        <v>153342</v>
      </c>
    </row>
    <row r="3362" spans="7:14" ht="11.25" customHeight="1" x14ac:dyDescent="0.25">
      <c r="G3362" s="459"/>
      <c r="H3362" s="459">
        <v>3355</v>
      </c>
      <c r="I3362" s="444">
        <f t="shared" ca="1" si="168"/>
        <v>-527607026926.81598</v>
      </c>
      <c r="J3362" s="444">
        <f t="array" ref="J3362">IFERROR(INDEX('Retirement Calculator'!J:J,MATCH('Isaac 401k'!N3362,'Retirement Calculator'!A:A,0),0),0)</f>
        <v>0</v>
      </c>
      <c r="K3362" s="444">
        <f t="shared" ca="1" si="166"/>
        <v>-2198362612.1950665</v>
      </c>
      <c r="L3362" s="444">
        <f t="shared" ca="1" si="167"/>
        <v>-529805389539.01105</v>
      </c>
      <c r="M3362" s="460">
        <f t="shared" si="169"/>
        <v>0.05</v>
      </c>
      <c r="N3362" s="464">
        <f t="shared" si="170"/>
        <v>153372</v>
      </c>
    </row>
    <row r="3363" spans="7:14" ht="11.25" customHeight="1" x14ac:dyDescent="0.25">
      <c r="G3363" s="459"/>
      <c r="H3363" s="459">
        <v>3356</v>
      </c>
      <c r="I3363" s="444">
        <f t="shared" ca="1" si="168"/>
        <v>-529805389539.01105</v>
      </c>
      <c r="J3363" s="444">
        <f t="array" ref="J3363">IFERROR(INDEX('Retirement Calculator'!J:J,MATCH('Isaac 401k'!N3363,'Retirement Calculator'!A:A,0),0),0)</f>
        <v>0</v>
      </c>
      <c r="K3363" s="444">
        <f t="shared" ca="1" si="166"/>
        <v>-2207522456.4125457</v>
      </c>
      <c r="L3363" s="444">
        <f t="shared" ca="1" si="167"/>
        <v>-532012911995.42358</v>
      </c>
      <c r="M3363" s="460">
        <f t="shared" si="169"/>
        <v>0.05</v>
      </c>
      <c r="N3363" s="464">
        <f t="shared" si="170"/>
        <v>153403</v>
      </c>
    </row>
    <row r="3364" spans="7:14" ht="11.25" customHeight="1" x14ac:dyDescent="0.25">
      <c r="G3364" s="459"/>
      <c r="H3364" s="459">
        <v>3357</v>
      </c>
      <c r="I3364" s="444">
        <f t="shared" ca="1" si="168"/>
        <v>-532012911995.42358</v>
      </c>
      <c r="J3364" s="444">
        <f t="array" ref="J3364">IFERROR(INDEX('Retirement Calculator'!J:J,MATCH('Isaac 401k'!N3364,'Retirement Calculator'!A:A,0),0),0)</f>
        <v>0</v>
      </c>
      <c r="K3364" s="444">
        <f t="shared" ca="1" si="166"/>
        <v>-2216720466.6475983</v>
      </c>
      <c r="L3364" s="444">
        <f t="shared" ca="1" si="167"/>
        <v>-534229632462.07117</v>
      </c>
      <c r="M3364" s="460">
        <f t="shared" si="169"/>
        <v>0.05</v>
      </c>
      <c r="N3364" s="464">
        <f t="shared" si="170"/>
        <v>153434</v>
      </c>
    </row>
    <row r="3365" spans="7:14" ht="11.25" customHeight="1" x14ac:dyDescent="0.25">
      <c r="G3365" s="459"/>
      <c r="H3365" s="459">
        <v>3358</v>
      </c>
      <c r="I3365" s="444">
        <f t="shared" ca="1" si="168"/>
        <v>-534229632462.07117</v>
      </c>
      <c r="J3365" s="444">
        <f t="array" ref="J3365">IFERROR(INDEX('Retirement Calculator'!J:J,MATCH('Isaac 401k'!N3365,'Retirement Calculator'!A:A,0),0),0)</f>
        <v>0</v>
      </c>
      <c r="K3365" s="444">
        <f t="shared" ca="1" si="166"/>
        <v>-2225956801.9252963</v>
      </c>
      <c r="L3365" s="444">
        <f t="shared" ca="1" si="167"/>
        <v>-536455589263.99646</v>
      </c>
      <c r="M3365" s="460">
        <f t="shared" si="169"/>
        <v>0.05</v>
      </c>
      <c r="N3365" s="464">
        <f t="shared" si="170"/>
        <v>153463</v>
      </c>
    </row>
    <row r="3366" spans="7:14" ht="11.25" customHeight="1" x14ac:dyDescent="0.25">
      <c r="G3366" s="459"/>
      <c r="H3366" s="459">
        <v>3359</v>
      </c>
      <c r="I3366" s="444">
        <f t="shared" ca="1" si="168"/>
        <v>-536455589263.99646</v>
      </c>
      <c r="J3366" s="444">
        <f t="array" ref="J3366">IFERROR(INDEX('Retirement Calculator'!J:J,MATCH('Isaac 401k'!N3366,'Retirement Calculator'!A:A,0),0),0)</f>
        <v>0</v>
      </c>
      <c r="K3366" s="444">
        <f t="shared" ca="1" si="166"/>
        <v>-2235231621.9333186</v>
      </c>
      <c r="L3366" s="444">
        <f t="shared" ca="1" si="167"/>
        <v>-538690820885.92975</v>
      </c>
      <c r="M3366" s="460">
        <f t="shared" si="169"/>
        <v>0.05</v>
      </c>
      <c r="N3366" s="464">
        <f t="shared" si="170"/>
        <v>153494</v>
      </c>
    </row>
    <row r="3367" spans="7:14" ht="11.25" customHeight="1" x14ac:dyDescent="0.25">
      <c r="G3367" s="459"/>
      <c r="H3367" s="459">
        <v>3360</v>
      </c>
      <c r="I3367" s="444">
        <f t="shared" ca="1" si="168"/>
        <v>-538690820885.92975</v>
      </c>
      <c r="J3367" s="444">
        <f t="array" ref="J3367">IFERROR(INDEX('Retirement Calculator'!J:J,MATCH('Isaac 401k'!N3367,'Retirement Calculator'!A:A,0),0),0)</f>
        <v>0</v>
      </c>
      <c r="K3367" s="444">
        <f t="shared" ca="1" si="166"/>
        <v>-2244545087.0247073</v>
      </c>
      <c r="L3367" s="444">
        <f t="shared" ca="1" si="167"/>
        <v>-540935365972.95447</v>
      </c>
      <c r="M3367" s="460">
        <f t="shared" si="169"/>
        <v>0.05</v>
      </c>
      <c r="N3367" s="464">
        <f t="shared" si="170"/>
        <v>153524</v>
      </c>
    </row>
    <row r="3368" spans="7:14" ht="11.25" customHeight="1" x14ac:dyDescent="0.25">
      <c r="G3368" s="459"/>
      <c r="H3368" s="459">
        <v>3361</v>
      </c>
      <c r="I3368" s="444">
        <f t="shared" ca="1" si="168"/>
        <v>-540935365972.95447</v>
      </c>
      <c r="J3368" s="444">
        <f t="array" ref="J3368">IFERROR(INDEX('Retirement Calculator'!J:J,MATCH('Isaac 401k'!N3368,'Retirement Calculator'!A:A,0),0),0)</f>
        <v>0</v>
      </c>
      <c r="K3368" s="444">
        <f t="shared" ca="1" si="166"/>
        <v>-2253897358.220644</v>
      </c>
      <c r="L3368" s="444">
        <f t="shared" ca="1" si="167"/>
        <v>-543189263331.17511</v>
      </c>
      <c r="M3368" s="460">
        <f t="shared" si="169"/>
        <v>0.05</v>
      </c>
      <c r="N3368" s="464">
        <f t="shared" si="170"/>
        <v>153555</v>
      </c>
    </row>
    <row r="3369" spans="7:14" ht="11.25" customHeight="1" x14ac:dyDescent="0.25">
      <c r="G3369" s="459"/>
      <c r="H3369" s="459">
        <v>3362</v>
      </c>
      <c r="I3369" s="444">
        <f t="shared" ca="1" si="168"/>
        <v>-543189263331.17511</v>
      </c>
      <c r="J3369" s="444">
        <f t="array" ref="J3369">IFERROR(INDEX('Retirement Calculator'!J:J,MATCH('Isaac 401k'!N3369,'Retirement Calculator'!A:A,0),0),0)</f>
        <v>0</v>
      </c>
      <c r="K3369" s="444">
        <f t="shared" ca="1" si="166"/>
        <v>-2263288597.2132297</v>
      </c>
      <c r="L3369" s="444">
        <f t="shared" ca="1" si="167"/>
        <v>-545452551928.38837</v>
      </c>
      <c r="M3369" s="460">
        <f t="shared" si="169"/>
        <v>0.05</v>
      </c>
      <c r="N3369" s="464">
        <f t="shared" si="170"/>
        <v>153585</v>
      </c>
    </row>
    <row r="3370" spans="7:14" ht="11.25" customHeight="1" x14ac:dyDescent="0.25">
      <c r="G3370" s="459"/>
      <c r="H3370" s="459">
        <v>3363</v>
      </c>
      <c r="I3370" s="444">
        <f t="shared" ca="1" si="168"/>
        <v>-545452551928.38837</v>
      </c>
      <c r="J3370" s="444">
        <f t="array" ref="J3370">IFERROR(INDEX('Retirement Calculator'!J:J,MATCH('Isaac 401k'!N3370,'Retirement Calculator'!A:A,0),0),0)</f>
        <v>0</v>
      </c>
      <c r="K3370" s="444">
        <f t="shared" ca="1" si="166"/>
        <v>-2272718966.3682847</v>
      </c>
      <c r="L3370" s="444">
        <f t="shared" ca="1" si="167"/>
        <v>-547725270894.75665</v>
      </c>
      <c r="M3370" s="460">
        <f t="shared" si="169"/>
        <v>0.05</v>
      </c>
      <c r="N3370" s="464">
        <f t="shared" si="170"/>
        <v>153616</v>
      </c>
    </row>
    <row r="3371" spans="7:14" ht="11.25" customHeight="1" x14ac:dyDescent="0.25">
      <c r="G3371" s="459"/>
      <c r="H3371" s="459">
        <v>3364</v>
      </c>
      <c r="I3371" s="444">
        <f t="shared" ca="1" si="168"/>
        <v>-547725270894.75665</v>
      </c>
      <c r="J3371" s="444">
        <f t="array" ref="J3371">IFERROR(INDEX('Retirement Calculator'!J:J,MATCH('Isaac 401k'!N3371,'Retirement Calculator'!A:A,0),0),0)</f>
        <v>0</v>
      </c>
      <c r="K3371" s="444">
        <f t="shared" ca="1" si="166"/>
        <v>-2282188628.7281528</v>
      </c>
      <c r="L3371" s="444">
        <f t="shared" ca="1" si="167"/>
        <v>-550007459523.48486</v>
      </c>
      <c r="M3371" s="460">
        <f t="shared" si="169"/>
        <v>0.05</v>
      </c>
      <c r="N3371" s="464">
        <f t="shared" si="170"/>
        <v>153647</v>
      </c>
    </row>
    <row r="3372" spans="7:14" ht="11.25" customHeight="1" x14ac:dyDescent="0.25">
      <c r="G3372" s="459"/>
      <c r="H3372" s="459">
        <v>3365</v>
      </c>
      <c r="I3372" s="444">
        <f t="shared" ca="1" si="168"/>
        <v>-550007459523.48486</v>
      </c>
      <c r="J3372" s="444">
        <f t="array" ref="J3372">IFERROR(INDEX('Retirement Calculator'!J:J,MATCH('Isaac 401k'!N3372,'Retirement Calculator'!A:A,0),0),0)</f>
        <v>0</v>
      </c>
      <c r="K3372" s="444">
        <f t="shared" ca="1" si="166"/>
        <v>-2291697748.0145202</v>
      </c>
      <c r="L3372" s="444">
        <f t="shared" ca="1" si="167"/>
        <v>-552299157271.49939</v>
      </c>
      <c r="M3372" s="460">
        <f t="shared" si="169"/>
        <v>0.05</v>
      </c>
      <c r="N3372" s="464">
        <f t="shared" si="170"/>
        <v>153677</v>
      </c>
    </row>
    <row r="3373" spans="7:14" ht="11.25" customHeight="1" x14ac:dyDescent="0.25">
      <c r="G3373" s="459"/>
      <c r="H3373" s="459">
        <v>3366</v>
      </c>
      <c r="I3373" s="444">
        <f t="shared" ca="1" si="168"/>
        <v>-552299157271.49939</v>
      </c>
      <c r="J3373" s="444">
        <f t="array" ref="J3373">IFERROR(INDEX('Retirement Calculator'!J:J,MATCH('Isaac 401k'!N3373,'Retirement Calculator'!A:A,0),0),0)</f>
        <v>0</v>
      </c>
      <c r="K3373" s="444">
        <f t="shared" ca="1" si="166"/>
        <v>-2301246488.6312475</v>
      </c>
      <c r="L3373" s="444">
        <f t="shared" ca="1" si="167"/>
        <v>-554600403760.13062</v>
      </c>
      <c r="M3373" s="460">
        <f t="shared" si="169"/>
        <v>0.05</v>
      </c>
      <c r="N3373" s="464">
        <f t="shared" si="170"/>
        <v>153708</v>
      </c>
    </row>
    <row r="3374" spans="7:14" ht="11.25" customHeight="1" x14ac:dyDescent="0.25">
      <c r="G3374" s="459"/>
      <c r="H3374" s="459">
        <v>3367</v>
      </c>
      <c r="I3374" s="444">
        <f t="shared" ca="1" si="168"/>
        <v>-554600403760.13062</v>
      </c>
      <c r="J3374" s="444">
        <f t="array" ref="J3374">IFERROR(INDEX('Retirement Calculator'!J:J,MATCH('Isaac 401k'!N3374,'Retirement Calculator'!A:A,0),0),0)</f>
        <v>0</v>
      </c>
      <c r="K3374" s="444">
        <f t="shared" ca="1" si="166"/>
        <v>-2310835015.6672111</v>
      </c>
      <c r="L3374" s="444">
        <f t="shared" ca="1" si="167"/>
        <v>-556911238775.79785</v>
      </c>
      <c r="M3374" s="460">
        <f t="shared" si="169"/>
        <v>0.05</v>
      </c>
      <c r="N3374" s="464">
        <f t="shared" si="170"/>
        <v>153738</v>
      </c>
    </row>
    <row r="3375" spans="7:14" ht="11.25" customHeight="1" x14ac:dyDescent="0.25">
      <c r="G3375" s="459"/>
      <c r="H3375" s="459">
        <v>3368</v>
      </c>
      <c r="I3375" s="444">
        <f t="shared" ca="1" si="168"/>
        <v>-556911238775.79785</v>
      </c>
      <c r="J3375" s="444">
        <f t="array" ref="J3375">IFERROR(INDEX('Retirement Calculator'!J:J,MATCH('Isaac 401k'!N3375,'Retirement Calculator'!A:A,0),0),0)</f>
        <v>0</v>
      </c>
      <c r="K3375" s="444">
        <f t="shared" ca="1" si="166"/>
        <v>-2320463494.8991575</v>
      </c>
      <c r="L3375" s="444">
        <f t="shared" ca="1" si="167"/>
        <v>-559231702270.69702</v>
      </c>
      <c r="M3375" s="460">
        <f t="shared" si="169"/>
        <v>0.05</v>
      </c>
      <c r="N3375" s="464">
        <f t="shared" si="170"/>
        <v>153769</v>
      </c>
    </row>
    <row r="3376" spans="7:14" ht="11.25" customHeight="1" x14ac:dyDescent="0.25">
      <c r="G3376" s="459"/>
      <c r="H3376" s="459">
        <v>3369</v>
      </c>
      <c r="I3376" s="444">
        <f t="shared" ca="1" si="168"/>
        <v>-559231702270.69702</v>
      </c>
      <c r="J3376" s="444">
        <f t="array" ref="J3376">IFERROR(INDEX('Retirement Calculator'!J:J,MATCH('Isaac 401k'!N3376,'Retirement Calculator'!A:A,0),0),0)</f>
        <v>0</v>
      </c>
      <c r="K3376" s="444">
        <f t="shared" ca="1" si="166"/>
        <v>-2330132092.7945709</v>
      </c>
      <c r="L3376" s="444">
        <f t="shared" ca="1" si="167"/>
        <v>-561561834363.49158</v>
      </c>
      <c r="M3376" s="460">
        <f t="shared" si="169"/>
        <v>0.05</v>
      </c>
      <c r="N3376" s="464">
        <f t="shared" si="170"/>
        <v>153800</v>
      </c>
    </row>
    <row r="3377" spans="7:14" ht="11.25" customHeight="1" x14ac:dyDescent="0.25">
      <c r="G3377" s="459"/>
      <c r="H3377" s="459">
        <v>3370</v>
      </c>
      <c r="I3377" s="444">
        <f t="shared" ca="1" si="168"/>
        <v>-561561834363.49158</v>
      </c>
      <c r="J3377" s="444">
        <f t="array" ref="J3377">IFERROR(INDEX('Retirement Calculator'!J:J,MATCH('Isaac 401k'!N3377,'Retirement Calculator'!A:A,0),0),0)</f>
        <v>0</v>
      </c>
      <c r="K3377" s="444">
        <f t="shared" ca="1" si="166"/>
        <v>-2339840976.5145483</v>
      </c>
      <c r="L3377" s="444">
        <f t="shared" ca="1" si="167"/>
        <v>-563901675340.0061</v>
      </c>
      <c r="M3377" s="460">
        <f t="shared" si="169"/>
        <v>0.05</v>
      </c>
      <c r="N3377" s="464">
        <f t="shared" si="170"/>
        <v>153828</v>
      </c>
    </row>
    <row r="3378" spans="7:14" ht="11.25" customHeight="1" x14ac:dyDescent="0.25">
      <c r="G3378" s="459"/>
      <c r="H3378" s="459">
        <v>3371</v>
      </c>
      <c r="I3378" s="444">
        <f t="shared" ca="1" si="168"/>
        <v>-563901675340.0061</v>
      </c>
      <c r="J3378" s="444">
        <f t="array" ref="J3378">IFERROR(INDEX('Retirement Calculator'!J:J,MATCH('Isaac 401k'!N3378,'Retirement Calculator'!A:A,0),0),0)</f>
        <v>0</v>
      </c>
      <c r="K3378" s="444">
        <f t="shared" ca="1" si="166"/>
        <v>-2349590313.9166923</v>
      </c>
      <c r="L3378" s="444">
        <f t="shared" ca="1" si="167"/>
        <v>-566251265653.92285</v>
      </c>
      <c r="M3378" s="460">
        <f t="shared" si="169"/>
        <v>0.05</v>
      </c>
      <c r="N3378" s="464">
        <f t="shared" si="170"/>
        <v>153859</v>
      </c>
    </row>
    <row r="3379" spans="7:14" ht="11.25" customHeight="1" x14ac:dyDescent="0.25">
      <c r="G3379" s="459"/>
      <c r="H3379" s="459">
        <v>3372</v>
      </c>
      <c r="I3379" s="444">
        <f t="shared" ca="1" si="168"/>
        <v>-566251265653.92285</v>
      </c>
      <c r="J3379" s="444">
        <f t="array" ref="J3379">IFERROR(INDEX('Retirement Calculator'!J:J,MATCH('Isaac 401k'!N3379,'Retirement Calculator'!A:A,0),0),0)</f>
        <v>0</v>
      </c>
      <c r="K3379" s="444">
        <f t="shared" ca="1" si="166"/>
        <v>-2359380273.558012</v>
      </c>
      <c r="L3379" s="444">
        <f t="shared" ca="1" si="167"/>
        <v>-568610645927.48083</v>
      </c>
      <c r="M3379" s="460">
        <f t="shared" si="169"/>
        <v>0.05</v>
      </c>
      <c r="N3379" s="464">
        <f t="shared" si="170"/>
        <v>153889</v>
      </c>
    </row>
    <row r="3380" spans="7:14" ht="11.25" customHeight="1" x14ac:dyDescent="0.25">
      <c r="G3380" s="459"/>
      <c r="H3380" s="459">
        <v>3373</v>
      </c>
      <c r="I3380" s="444">
        <f t="shared" ca="1" si="168"/>
        <v>-568610645927.48083</v>
      </c>
      <c r="J3380" s="444">
        <f t="array" ref="J3380">IFERROR(INDEX('Retirement Calculator'!J:J,MATCH('Isaac 401k'!N3380,'Retirement Calculator'!A:A,0),0),0)</f>
        <v>0</v>
      </c>
      <c r="K3380" s="444">
        <f t="shared" ca="1" si="166"/>
        <v>-2369211024.6978369</v>
      </c>
      <c r="L3380" s="444">
        <f t="shared" ca="1" si="167"/>
        <v>-570979856952.17871</v>
      </c>
      <c r="M3380" s="460">
        <f t="shared" si="169"/>
        <v>0.05</v>
      </c>
      <c r="N3380" s="464">
        <f t="shared" si="170"/>
        <v>153920</v>
      </c>
    </row>
    <row r="3381" spans="7:14" ht="11.25" customHeight="1" x14ac:dyDescent="0.25">
      <c r="G3381" s="459"/>
      <c r="H3381" s="459">
        <v>3374</v>
      </c>
      <c r="I3381" s="444">
        <f t="shared" ca="1" si="168"/>
        <v>-570979856952.17871</v>
      </c>
      <c r="J3381" s="444">
        <f t="array" ref="J3381">IFERROR(INDEX('Retirement Calculator'!J:J,MATCH('Isaac 401k'!N3381,'Retirement Calculator'!A:A,0),0),0)</f>
        <v>0</v>
      </c>
      <c r="K3381" s="444">
        <f t="shared" ca="1" si="166"/>
        <v>-2379082737.3007445</v>
      </c>
      <c r="L3381" s="444">
        <f t="shared" ca="1" si="167"/>
        <v>-573358939689.47949</v>
      </c>
      <c r="M3381" s="460">
        <f t="shared" si="169"/>
        <v>0.05</v>
      </c>
      <c r="N3381" s="464">
        <f t="shared" si="170"/>
        <v>153950</v>
      </c>
    </row>
    <row r="3382" spans="7:14" ht="11.25" customHeight="1" x14ac:dyDescent="0.25">
      <c r="G3382" s="459"/>
      <c r="H3382" s="459">
        <v>3375</v>
      </c>
      <c r="I3382" s="444">
        <f t="shared" ca="1" si="168"/>
        <v>-573358939689.47949</v>
      </c>
      <c r="J3382" s="444">
        <f t="array" ref="J3382">IFERROR(INDEX('Retirement Calculator'!J:J,MATCH('Isaac 401k'!N3382,'Retirement Calculator'!A:A,0),0),0)</f>
        <v>0</v>
      </c>
      <c r="K3382" s="444">
        <f t="shared" ca="1" si="166"/>
        <v>-2388995582.0394979</v>
      </c>
      <c r="L3382" s="444">
        <f t="shared" ca="1" si="167"/>
        <v>-575747935271.51904</v>
      </c>
      <c r="M3382" s="460">
        <f t="shared" si="169"/>
        <v>0.05</v>
      </c>
      <c r="N3382" s="464">
        <f t="shared" si="170"/>
        <v>153981</v>
      </c>
    </row>
    <row r="3383" spans="7:14" ht="11.25" customHeight="1" x14ac:dyDescent="0.25">
      <c r="G3383" s="459"/>
      <c r="H3383" s="459">
        <v>3376</v>
      </c>
      <c r="I3383" s="444">
        <f t="shared" ca="1" si="168"/>
        <v>-575747935271.51904</v>
      </c>
      <c r="J3383" s="444">
        <f t="array" ref="J3383">IFERROR(INDEX('Retirement Calculator'!J:J,MATCH('Isaac 401k'!N3383,'Retirement Calculator'!A:A,0),0),0)</f>
        <v>0</v>
      </c>
      <c r="K3383" s="444">
        <f t="shared" ca="1" si="166"/>
        <v>-2398949730.297996</v>
      </c>
      <c r="L3383" s="444">
        <f t="shared" ca="1" si="167"/>
        <v>-578146885001.81702</v>
      </c>
      <c r="M3383" s="460">
        <f t="shared" si="169"/>
        <v>0.05</v>
      </c>
      <c r="N3383" s="464">
        <f t="shared" si="170"/>
        <v>154012</v>
      </c>
    </row>
    <row r="3384" spans="7:14" ht="11.25" customHeight="1" x14ac:dyDescent="0.25">
      <c r="G3384" s="459"/>
      <c r="H3384" s="459">
        <v>3377</v>
      </c>
      <c r="I3384" s="444">
        <f t="shared" ca="1" si="168"/>
        <v>-578146885001.81702</v>
      </c>
      <c r="J3384" s="444">
        <f t="array" ref="J3384">IFERROR(INDEX('Retirement Calculator'!J:J,MATCH('Isaac 401k'!N3384,'Retirement Calculator'!A:A,0),0),0)</f>
        <v>0</v>
      </c>
      <c r="K3384" s="444">
        <f t="shared" ca="1" si="166"/>
        <v>-2408945354.1742377</v>
      </c>
      <c r="L3384" s="444">
        <f t="shared" ca="1" si="167"/>
        <v>-580555830355.99121</v>
      </c>
      <c r="M3384" s="460">
        <f t="shared" si="169"/>
        <v>0.05</v>
      </c>
      <c r="N3384" s="464">
        <f t="shared" si="170"/>
        <v>154042</v>
      </c>
    </row>
    <row r="3385" spans="7:14" ht="11.25" customHeight="1" x14ac:dyDescent="0.25">
      <c r="G3385" s="459"/>
      <c r="H3385" s="459">
        <v>3378</v>
      </c>
      <c r="I3385" s="444">
        <f t="shared" ca="1" si="168"/>
        <v>-580555830355.99121</v>
      </c>
      <c r="J3385" s="444">
        <f t="array" ref="J3385">IFERROR(INDEX('Retirement Calculator'!J:J,MATCH('Isaac 401k'!N3385,'Retirement Calculator'!A:A,0),0),0)</f>
        <v>0</v>
      </c>
      <c r="K3385" s="444">
        <f t="shared" ca="1" si="166"/>
        <v>-2418982626.4832969</v>
      </c>
      <c r="L3385" s="444">
        <f t="shared" ca="1" si="167"/>
        <v>-582974812982.47449</v>
      </c>
      <c r="M3385" s="460">
        <f t="shared" si="169"/>
        <v>0.05</v>
      </c>
      <c r="N3385" s="464">
        <f t="shared" si="170"/>
        <v>154073</v>
      </c>
    </row>
    <row r="3386" spans="7:14" ht="11.25" customHeight="1" x14ac:dyDescent="0.25">
      <c r="G3386" s="459"/>
      <c r="H3386" s="459">
        <v>3379</v>
      </c>
      <c r="I3386" s="444">
        <f t="shared" ca="1" si="168"/>
        <v>-582974812982.47449</v>
      </c>
      <c r="J3386" s="444">
        <f t="array" ref="J3386">IFERROR(INDEX('Retirement Calculator'!J:J,MATCH('Isaac 401k'!N3386,'Retirement Calculator'!A:A,0),0),0)</f>
        <v>0</v>
      </c>
      <c r="K3386" s="444">
        <f t="shared" ca="1" si="166"/>
        <v>-2429061720.7603102</v>
      </c>
      <c r="L3386" s="444">
        <f t="shared" ca="1" si="167"/>
        <v>-585403874703.23474</v>
      </c>
      <c r="M3386" s="460">
        <f t="shared" si="169"/>
        <v>0.05</v>
      </c>
      <c r="N3386" s="464">
        <f t="shared" si="170"/>
        <v>154103</v>
      </c>
    </row>
    <row r="3387" spans="7:14" ht="11.25" customHeight="1" x14ac:dyDescent="0.25">
      <c r="G3387" s="459"/>
      <c r="H3387" s="459">
        <v>3380</v>
      </c>
      <c r="I3387" s="444">
        <f t="shared" ca="1" si="168"/>
        <v>-585403874703.23474</v>
      </c>
      <c r="J3387" s="444">
        <f t="array" ref="J3387">IFERROR(INDEX('Retirement Calculator'!J:J,MATCH('Isaac 401k'!N3387,'Retirement Calculator'!A:A,0),0),0)</f>
        <v>0</v>
      </c>
      <c r="K3387" s="444">
        <f t="shared" ca="1" si="166"/>
        <v>-2439182811.2634783</v>
      </c>
      <c r="L3387" s="444">
        <f t="shared" ca="1" si="167"/>
        <v>-587843057514.49817</v>
      </c>
      <c r="M3387" s="460">
        <f t="shared" si="169"/>
        <v>0.05</v>
      </c>
      <c r="N3387" s="464">
        <f t="shared" si="170"/>
        <v>154134</v>
      </c>
    </row>
    <row r="3388" spans="7:14" ht="11.25" customHeight="1" x14ac:dyDescent="0.25">
      <c r="G3388" s="459"/>
      <c r="H3388" s="459">
        <v>3381</v>
      </c>
      <c r="I3388" s="444">
        <f t="shared" ca="1" si="168"/>
        <v>-587843057514.49817</v>
      </c>
      <c r="J3388" s="444">
        <f t="array" ref="J3388">IFERROR(INDEX('Retirement Calculator'!J:J,MATCH('Isaac 401k'!N3388,'Retirement Calculator'!A:A,0),0),0)</f>
        <v>0</v>
      </c>
      <c r="K3388" s="444">
        <f t="shared" ca="1" si="166"/>
        <v>-2449346072.9770756</v>
      </c>
      <c r="L3388" s="444">
        <f t="shared" ca="1" si="167"/>
        <v>-590292403587.47522</v>
      </c>
      <c r="M3388" s="460">
        <f t="shared" si="169"/>
        <v>0.05</v>
      </c>
      <c r="N3388" s="464">
        <f t="shared" si="170"/>
        <v>154165</v>
      </c>
    </row>
    <row r="3389" spans="7:14" ht="11.25" customHeight="1" x14ac:dyDescent="0.25">
      <c r="G3389" s="459"/>
      <c r="H3389" s="459">
        <v>3382</v>
      </c>
      <c r="I3389" s="444">
        <f t="shared" ca="1" si="168"/>
        <v>-590292403587.47522</v>
      </c>
      <c r="J3389" s="444">
        <f t="array" ref="J3389">IFERROR(INDEX('Retirement Calculator'!J:J,MATCH('Isaac 401k'!N3389,'Retirement Calculator'!A:A,0),0),0)</f>
        <v>0</v>
      </c>
      <c r="K3389" s="444">
        <f t="shared" ca="1" si="166"/>
        <v>-2459551681.61448</v>
      </c>
      <c r="L3389" s="444">
        <f t="shared" ca="1" si="167"/>
        <v>-592751955269.08972</v>
      </c>
      <c r="M3389" s="460">
        <f t="shared" si="169"/>
        <v>0.05</v>
      </c>
      <c r="N3389" s="464">
        <f t="shared" si="170"/>
        <v>154193</v>
      </c>
    </row>
    <row r="3390" spans="7:14" ht="11.25" customHeight="1" x14ac:dyDescent="0.25">
      <c r="G3390" s="459"/>
      <c r="H3390" s="459">
        <v>3383</v>
      </c>
      <c r="I3390" s="444">
        <f t="shared" ca="1" si="168"/>
        <v>-592751955269.08972</v>
      </c>
      <c r="J3390" s="444">
        <f t="array" ref="J3390">IFERROR(INDEX('Retirement Calculator'!J:J,MATCH('Isaac 401k'!N3390,'Retirement Calculator'!A:A,0),0),0)</f>
        <v>0</v>
      </c>
      <c r="K3390" s="444">
        <f t="shared" ca="1" si="166"/>
        <v>-2469799813.6212072</v>
      </c>
      <c r="L3390" s="444">
        <f t="shared" ca="1" si="167"/>
        <v>-595221755082.71094</v>
      </c>
      <c r="M3390" s="460">
        <f t="shared" si="169"/>
        <v>0.05</v>
      </c>
      <c r="N3390" s="464">
        <f t="shared" si="170"/>
        <v>154224</v>
      </c>
    </row>
    <row r="3391" spans="7:14" ht="11.25" customHeight="1" x14ac:dyDescent="0.25">
      <c r="G3391" s="459"/>
      <c r="H3391" s="459">
        <v>3384</v>
      </c>
      <c r="I3391" s="444">
        <f t="shared" ca="1" si="168"/>
        <v>-595221755082.71094</v>
      </c>
      <c r="J3391" s="444">
        <f t="array" ref="J3391">IFERROR(INDEX('Retirement Calculator'!J:J,MATCH('Isaac 401k'!N3391,'Retirement Calculator'!A:A,0),0),0)</f>
        <v>0</v>
      </c>
      <c r="K3391" s="444">
        <f t="shared" ca="1" si="166"/>
        <v>-2480090646.1779623</v>
      </c>
      <c r="L3391" s="444">
        <f t="shared" ca="1" si="167"/>
        <v>-597701845728.88892</v>
      </c>
      <c r="M3391" s="460">
        <f t="shared" si="169"/>
        <v>0.05</v>
      </c>
      <c r="N3391" s="464">
        <f t="shared" si="170"/>
        <v>154254</v>
      </c>
    </row>
    <row r="3392" spans="7:14" ht="11.25" customHeight="1" x14ac:dyDescent="0.25">
      <c r="G3392" s="459"/>
      <c r="H3392" s="459">
        <v>3385</v>
      </c>
      <c r="I3392" s="444">
        <f t="shared" ca="1" si="168"/>
        <v>-597701845728.88892</v>
      </c>
      <c r="J3392" s="444">
        <f t="array" ref="J3392">IFERROR(INDEX('Retirement Calculator'!J:J,MATCH('Isaac 401k'!N3392,'Retirement Calculator'!A:A,0),0),0)</f>
        <v>0</v>
      </c>
      <c r="K3392" s="444">
        <f t="shared" ca="1" si="166"/>
        <v>-2490424357.2037039</v>
      </c>
      <c r="L3392" s="444">
        <f t="shared" ca="1" si="167"/>
        <v>-600192270086.09265</v>
      </c>
      <c r="M3392" s="460">
        <f t="shared" si="169"/>
        <v>0.05</v>
      </c>
      <c r="N3392" s="464">
        <f t="shared" si="170"/>
        <v>154285</v>
      </c>
    </row>
    <row r="3393" spans="7:14" ht="11.25" customHeight="1" x14ac:dyDescent="0.25">
      <c r="G3393" s="459"/>
      <c r="H3393" s="459">
        <v>3386</v>
      </c>
      <c r="I3393" s="444">
        <f t="shared" ca="1" si="168"/>
        <v>-600192270086.09265</v>
      </c>
      <c r="J3393" s="444">
        <f t="array" ref="J3393">IFERROR(INDEX('Retirement Calculator'!J:J,MATCH('Isaac 401k'!N3393,'Retirement Calculator'!A:A,0),0),0)</f>
        <v>0</v>
      </c>
      <c r="K3393" s="444">
        <f t="shared" ca="1" si="166"/>
        <v>-2500801125.3587193</v>
      </c>
      <c r="L3393" s="444">
        <f t="shared" ca="1" si="167"/>
        <v>-602693071211.45142</v>
      </c>
      <c r="M3393" s="460">
        <f t="shared" si="169"/>
        <v>0.05</v>
      </c>
      <c r="N3393" s="464">
        <f t="shared" si="170"/>
        <v>154315</v>
      </c>
    </row>
    <row r="3394" spans="7:14" ht="11.25" customHeight="1" x14ac:dyDescent="0.25">
      <c r="G3394" s="459"/>
      <c r="H3394" s="459">
        <v>3387</v>
      </c>
      <c r="I3394" s="444">
        <f t="shared" ca="1" si="168"/>
        <v>-602693071211.45142</v>
      </c>
      <c r="J3394" s="444">
        <f t="array" ref="J3394">IFERROR(INDEX('Retirement Calculator'!J:J,MATCH('Isaac 401k'!N3394,'Retirement Calculator'!A:A,0),0),0)</f>
        <v>0</v>
      </c>
      <c r="K3394" s="444">
        <f t="shared" ca="1" si="166"/>
        <v>-2511221130.0477142</v>
      </c>
      <c r="L3394" s="444">
        <f t="shared" ca="1" si="167"/>
        <v>-605204292341.49915</v>
      </c>
      <c r="M3394" s="460">
        <f t="shared" si="169"/>
        <v>0.05</v>
      </c>
      <c r="N3394" s="464">
        <f t="shared" si="170"/>
        <v>154346</v>
      </c>
    </row>
    <row r="3395" spans="7:14" ht="11.25" customHeight="1" x14ac:dyDescent="0.25">
      <c r="G3395" s="459"/>
      <c r="H3395" s="459">
        <v>3388</v>
      </c>
      <c r="I3395" s="444">
        <f t="shared" ca="1" si="168"/>
        <v>-605204292341.49915</v>
      </c>
      <c r="J3395" s="444">
        <f t="array" ref="J3395">IFERROR(INDEX('Retirement Calculator'!J:J,MATCH('Isaac 401k'!N3395,'Retirement Calculator'!A:A,0),0),0)</f>
        <v>0</v>
      </c>
      <c r="K3395" s="444">
        <f t="shared" ca="1" si="166"/>
        <v>-2521684551.4229131</v>
      </c>
      <c r="L3395" s="444">
        <f t="shared" ca="1" si="167"/>
        <v>-607725976892.92212</v>
      </c>
      <c r="M3395" s="460">
        <f t="shared" si="169"/>
        <v>0.05</v>
      </c>
      <c r="N3395" s="464">
        <f t="shared" si="170"/>
        <v>154377</v>
      </c>
    </row>
    <row r="3396" spans="7:14" ht="11.25" customHeight="1" x14ac:dyDescent="0.25">
      <c r="G3396" s="459"/>
      <c r="H3396" s="459">
        <v>3389</v>
      </c>
      <c r="I3396" s="444">
        <f t="shared" ca="1" si="168"/>
        <v>-607725976892.92212</v>
      </c>
      <c r="J3396" s="444">
        <f t="array" ref="J3396">IFERROR(INDEX('Retirement Calculator'!J:J,MATCH('Isaac 401k'!N3396,'Retirement Calculator'!A:A,0),0),0)</f>
        <v>0</v>
      </c>
      <c r="K3396" s="444">
        <f t="shared" ca="1" si="166"/>
        <v>-2532191570.3871756</v>
      </c>
      <c r="L3396" s="444">
        <f t="shared" ca="1" si="167"/>
        <v>-610258168463.30933</v>
      </c>
      <c r="M3396" s="460">
        <f t="shared" si="169"/>
        <v>0.05</v>
      </c>
      <c r="N3396" s="464">
        <f t="shared" si="170"/>
        <v>154407</v>
      </c>
    </row>
    <row r="3397" spans="7:14" ht="11.25" customHeight="1" x14ac:dyDescent="0.25">
      <c r="G3397" s="459"/>
      <c r="H3397" s="459">
        <v>3390</v>
      </c>
      <c r="I3397" s="444">
        <f t="shared" ca="1" si="168"/>
        <v>-610258168463.30933</v>
      </c>
      <c r="J3397" s="444">
        <f t="array" ref="J3397">IFERROR(INDEX('Retirement Calculator'!J:J,MATCH('Isaac 401k'!N3397,'Retirement Calculator'!A:A,0),0),0)</f>
        <v>0</v>
      </c>
      <c r="K3397" s="444">
        <f t="shared" ca="1" si="166"/>
        <v>-2542742368.5971222</v>
      </c>
      <c r="L3397" s="444">
        <f t="shared" ca="1" si="167"/>
        <v>-612800910831.90649</v>
      </c>
      <c r="M3397" s="460">
        <f t="shared" si="169"/>
        <v>0.05</v>
      </c>
      <c r="N3397" s="464">
        <f t="shared" si="170"/>
        <v>154438</v>
      </c>
    </row>
    <row r="3398" spans="7:14" ht="11.25" customHeight="1" x14ac:dyDescent="0.25">
      <c r="G3398" s="459"/>
      <c r="H3398" s="459">
        <v>3391</v>
      </c>
      <c r="I3398" s="444">
        <f t="shared" ca="1" si="168"/>
        <v>-612800910831.90649</v>
      </c>
      <c r="J3398" s="444">
        <f t="array" ref="J3398">IFERROR(INDEX('Retirement Calculator'!J:J,MATCH('Isaac 401k'!N3398,'Retirement Calculator'!A:A,0),0),0)</f>
        <v>0</v>
      </c>
      <c r="K3398" s="444">
        <f t="shared" ca="1" si="166"/>
        <v>-2553337128.4662771</v>
      </c>
      <c r="L3398" s="444">
        <f t="shared" ca="1" si="167"/>
        <v>-615354247960.3728</v>
      </c>
      <c r="M3398" s="460">
        <f t="shared" si="169"/>
        <v>0.05</v>
      </c>
      <c r="N3398" s="464">
        <f t="shared" si="170"/>
        <v>154468</v>
      </c>
    </row>
    <row r="3399" spans="7:14" ht="11.25" customHeight="1" x14ac:dyDescent="0.25">
      <c r="G3399" s="459"/>
      <c r="H3399" s="459">
        <v>3392</v>
      </c>
      <c r="I3399" s="444">
        <f t="shared" ca="1" si="168"/>
        <v>-615354247960.3728</v>
      </c>
      <c r="J3399" s="444">
        <f t="array" ref="J3399">IFERROR(INDEX('Retirement Calculator'!J:J,MATCH('Isaac 401k'!N3399,'Retirement Calculator'!A:A,0),0),0)</f>
        <v>0</v>
      </c>
      <c r="K3399" s="444">
        <f t="shared" ca="1" si="166"/>
        <v>-2563976033.16822</v>
      </c>
      <c r="L3399" s="444">
        <f t="shared" ca="1" si="167"/>
        <v>-617918223993.54102</v>
      </c>
      <c r="M3399" s="460">
        <f t="shared" si="169"/>
        <v>0.05</v>
      </c>
      <c r="N3399" s="464">
        <f t="shared" si="170"/>
        <v>154499</v>
      </c>
    </row>
    <row r="3400" spans="7:14" ht="11.25" customHeight="1" x14ac:dyDescent="0.25">
      <c r="G3400" s="459"/>
      <c r="H3400" s="459">
        <v>3393</v>
      </c>
      <c r="I3400" s="444">
        <f t="shared" ca="1" si="168"/>
        <v>-617918223993.54102</v>
      </c>
      <c r="J3400" s="444">
        <f t="array" ref="J3400">IFERROR(INDEX('Retirement Calculator'!J:J,MATCH('Isaac 401k'!N3400,'Retirement Calculator'!A:A,0),0),0)</f>
        <v>0</v>
      </c>
      <c r="K3400" s="444">
        <f t="shared" ca="1" si="166"/>
        <v>-2574659266.6397543</v>
      </c>
      <c r="L3400" s="444">
        <f t="shared" ca="1" si="167"/>
        <v>-620492883260.18079</v>
      </c>
      <c r="M3400" s="460">
        <f t="shared" si="169"/>
        <v>0.05</v>
      </c>
      <c r="N3400" s="464">
        <f t="shared" si="170"/>
        <v>154530</v>
      </c>
    </row>
    <row r="3401" spans="7:14" ht="11.25" customHeight="1" x14ac:dyDescent="0.25">
      <c r="G3401" s="459"/>
      <c r="H3401" s="459">
        <v>3394</v>
      </c>
      <c r="I3401" s="444">
        <f t="shared" ca="1" si="168"/>
        <v>-620492883260.18079</v>
      </c>
      <c r="J3401" s="444">
        <f t="array" ref="J3401">IFERROR(INDEX('Retirement Calculator'!J:J,MATCH('Isaac 401k'!N3401,'Retirement Calculator'!A:A,0),0),0)</f>
        <v>0</v>
      </c>
      <c r="K3401" s="444">
        <f t="shared" ca="1" si="166"/>
        <v>-2585387013.5840864</v>
      </c>
      <c r="L3401" s="444">
        <f t="shared" ca="1" si="167"/>
        <v>-623078270273.76489</v>
      </c>
      <c r="M3401" s="460">
        <f t="shared" si="169"/>
        <v>0.05</v>
      </c>
      <c r="N3401" s="464">
        <f t="shared" si="170"/>
        <v>154558</v>
      </c>
    </row>
    <row r="3402" spans="7:14" ht="11.25" customHeight="1" x14ac:dyDescent="0.25">
      <c r="G3402" s="459"/>
      <c r="H3402" s="459">
        <v>3395</v>
      </c>
      <c r="I3402" s="444">
        <f t="shared" ca="1" si="168"/>
        <v>-623078270273.76489</v>
      </c>
      <c r="J3402" s="444">
        <f t="array" ref="J3402">IFERROR(INDEX('Retirement Calculator'!J:J,MATCH('Isaac 401k'!N3402,'Retirement Calculator'!A:A,0),0),0)</f>
        <v>0</v>
      </c>
      <c r="K3402" s="444">
        <f t="shared" ca="1" si="166"/>
        <v>-2596159459.4740205</v>
      </c>
      <c r="L3402" s="444">
        <f t="shared" ca="1" si="167"/>
        <v>-625674429733.23889</v>
      </c>
      <c r="M3402" s="460">
        <f t="shared" si="169"/>
        <v>0.05</v>
      </c>
      <c r="N3402" s="464">
        <f t="shared" si="170"/>
        <v>154589</v>
      </c>
    </row>
    <row r="3403" spans="7:14" ht="11.25" customHeight="1" x14ac:dyDescent="0.25">
      <c r="G3403" s="459"/>
      <c r="H3403" s="459">
        <v>3396</v>
      </c>
      <c r="I3403" s="444">
        <f t="shared" ca="1" si="168"/>
        <v>-625674429733.23889</v>
      </c>
      <c r="J3403" s="444">
        <f t="array" ref="J3403">IFERROR(INDEX('Retirement Calculator'!J:J,MATCH('Isaac 401k'!N3403,'Retirement Calculator'!A:A,0),0),0)</f>
        <v>0</v>
      </c>
      <c r="K3403" s="444">
        <f t="shared" ca="1" si="166"/>
        <v>-2606976790.555162</v>
      </c>
      <c r="L3403" s="444">
        <f t="shared" ca="1" si="167"/>
        <v>-628281406523.79407</v>
      </c>
      <c r="M3403" s="460">
        <f t="shared" si="169"/>
        <v>0.05</v>
      </c>
      <c r="N3403" s="464">
        <f t="shared" si="170"/>
        <v>154619</v>
      </c>
    </row>
    <row r="3404" spans="7:14" ht="11.25" customHeight="1" x14ac:dyDescent="0.25">
      <c r="G3404" s="459"/>
      <c r="H3404" s="459">
        <v>3397</v>
      </c>
      <c r="I3404" s="444">
        <f t="shared" ca="1" si="168"/>
        <v>-628281406523.79407</v>
      </c>
      <c r="J3404" s="444">
        <f t="array" ref="J3404">IFERROR(INDEX('Retirement Calculator'!J:J,MATCH('Isaac 401k'!N3404,'Retirement Calculator'!A:A,0),0),0)</f>
        <v>0</v>
      </c>
      <c r="K3404" s="444">
        <f t="shared" ca="1" si="166"/>
        <v>-2617839193.8491421</v>
      </c>
      <c r="L3404" s="444">
        <f t="shared" ca="1" si="167"/>
        <v>-630899245717.64319</v>
      </c>
      <c r="M3404" s="460">
        <f t="shared" si="169"/>
        <v>0.05</v>
      </c>
      <c r="N3404" s="464">
        <f t="shared" si="170"/>
        <v>154650</v>
      </c>
    </row>
    <row r="3405" spans="7:14" ht="11.25" customHeight="1" x14ac:dyDescent="0.25">
      <c r="G3405" s="459"/>
      <c r="H3405" s="459">
        <v>3398</v>
      </c>
      <c r="I3405" s="444">
        <f t="shared" ca="1" si="168"/>
        <v>-630899245717.64319</v>
      </c>
      <c r="J3405" s="444">
        <f t="array" ref="J3405">IFERROR(INDEX('Retirement Calculator'!J:J,MATCH('Isaac 401k'!N3405,'Retirement Calculator'!A:A,0),0),0)</f>
        <v>0</v>
      </c>
      <c r="K3405" s="444">
        <f t="shared" ca="1" si="166"/>
        <v>-2628746857.1568465</v>
      </c>
      <c r="L3405" s="444">
        <f t="shared" ca="1" si="167"/>
        <v>-633527992574.80005</v>
      </c>
      <c r="M3405" s="460">
        <f t="shared" si="169"/>
        <v>0.05</v>
      </c>
      <c r="N3405" s="464">
        <f t="shared" si="170"/>
        <v>154680</v>
      </c>
    </row>
    <row r="3406" spans="7:14" ht="11.25" customHeight="1" x14ac:dyDescent="0.25">
      <c r="G3406" s="459"/>
      <c r="H3406" s="459">
        <v>3399</v>
      </c>
      <c r="I3406" s="444">
        <f t="shared" ca="1" si="168"/>
        <v>-633527992574.80005</v>
      </c>
      <c r="J3406" s="444">
        <f t="array" ref="J3406">IFERROR(INDEX('Retirement Calculator'!J:J,MATCH('Isaac 401k'!N3406,'Retirement Calculator'!A:A,0),0),0)</f>
        <v>0</v>
      </c>
      <c r="K3406" s="444">
        <f t="shared" ca="1" si="166"/>
        <v>-2639699969.061667</v>
      </c>
      <c r="L3406" s="444">
        <f t="shared" ca="1" si="167"/>
        <v>-636167692543.86169</v>
      </c>
      <c r="M3406" s="460">
        <f t="shared" si="169"/>
        <v>0.05</v>
      </c>
      <c r="N3406" s="464">
        <f t="shared" si="170"/>
        <v>154711</v>
      </c>
    </row>
    <row r="3407" spans="7:14" ht="11.25" customHeight="1" x14ac:dyDescent="0.25">
      <c r="G3407" s="459"/>
      <c r="H3407" s="459">
        <v>3400</v>
      </c>
      <c r="I3407" s="444">
        <f t="shared" ca="1" si="168"/>
        <v>-636167692543.86169</v>
      </c>
      <c r="J3407" s="444">
        <f t="array" ref="J3407">IFERROR(INDEX('Retirement Calculator'!J:J,MATCH('Isaac 401k'!N3407,'Retirement Calculator'!A:A,0),0),0)</f>
        <v>0</v>
      </c>
      <c r="K3407" s="444">
        <f t="shared" ca="1" si="166"/>
        <v>-2650698718.9327569</v>
      </c>
      <c r="L3407" s="444">
        <f t="shared" ca="1" si="167"/>
        <v>-638818391262.79443</v>
      </c>
      <c r="M3407" s="460">
        <f t="shared" si="169"/>
        <v>0.05</v>
      </c>
      <c r="N3407" s="464">
        <f t="shared" si="170"/>
        <v>154742</v>
      </c>
    </row>
    <row r="3408" spans="7:14" ht="11.25" customHeight="1" x14ac:dyDescent="0.25">
      <c r="G3408" s="459"/>
      <c r="H3408" s="459">
        <v>3401</v>
      </c>
      <c r="I3408" s="444">
        <f t="shared" ca="1" si="168"/>
        <v>-638818391262.79443</v>
      </c>
      <c r="J3408" s="444">
        <f t="array" ref="J3408">IFERROR(INDEX('Retirement Calculator'!J:J,MATCH('Isaac 401k'!N3408,'Retirement Calculator'!A:A,0),0),0)</f>
        <v>0</v>
      </c>
      <c r="K3408" s="444">
        <f t="shared" ca="1" si="166"/>
        <v>-2661743296.9283099</v>
      </c>
      <c r="L3408" s="444">
        <f t="shared" ca="1" si="167"/>
        <v>-641480134559.72278</v>
      </c>
      <c r="M3408" s="460">
        <f t="shared" si="169"/>
        <v>0.05</v>
      </c>
      <c r="N3408" s="464">
        <f t="shared" si="170"/>
        <v>154772</v>
      </c>
    </row>
    <row r="3409" spans="7:14" ht="11.25" customHeight="1" x14ac:dyDescent="0.25">
      <c r="G3409" s="459"/>
      <c r="H3409" s="459">
        <v>3402</v>
      </c>
      <c r="I3409" s="444">
        <f t="shared" ca="1" si="168"/>
        <v>-641480134559.72278</v>
      </c>
      <c r="J3409" s="444">
        <f t="array" ref="J3409">IFERROR(INDEX('Retirement Calculator'!J:J,MATCH('Isaac 401k'!N3409,'Retirement Calculator'!A:A,0),0),0)</f>
        <v>0</v>
      </c>
      <c r="K3409" s="444">
        <f t="shared" ca="1" si="166"/>
        <v>-2672833893.9988451</v>
      </c>
      <c r="L3409" s="444">
        <f t="shared" ca="1" si="167"/>
        <v>-644152968453.72168</v>
      </c>
      <c r="M3409" s="460">
        <f t="shared" si="169"/>
        <v>0.05</v>
      </c>
      <c r="N3409" s="464">
        <f t="shared" si="170"/>
        <v>154803</v>
      </c>
    </row>
    <row r="3410" spans="7:14" ht="11.25" customHeight="1" x14ac:dyDescent="0.25">
      <c r="G3410" s="459"/>
      <c r="H3410" s="459">
        <v>3403</v>
      </c>
      <c r="I3410" s="444">
        <f t="shared" ca="1" si="168"/>
        <v>-644152968453.72168</v>
      </c>
      <c r="J3410" s="444">
        <f t="array" ref="J3410">IFERROR(INDEX('Retirement Calculator'!J:J,MATCH('Isaac 401k'!N3410,'Retirement Calculator'!A:A,0),0),0)</f>
        <v>0</v>
      </c>
      <c r="K3410" s="444">
        <f t="shared" ca="1" si="166"/>
        <v>-2683970701.8905067</v>
      </c>
      <c r="L3410" s="444">
        <f t="shared" ca="1" si="167"/>
        <v>-646836939155.61218</v>
      </c>
      <c r="M3410" s="460">
        <f t="shared" si="169"/>
        <v>0.05</v>
      </c>
      <c r="N3410" s="464">
        <f t="shared" si="170"/>
        <v>154833</v>
      </c>
    </row>
    <row r="3411" spans="7:14" ht="11.25" customHeight="1" x14ac:dyDescent="0.25">
      <c r="G3411" s="459"/>
      <c r="H3411" s="459">
        <v>3404</v>
      </c>
      <c r="I3411" s="444">
        <f t="shared" ca="1" si="168"/>
        <v>-646836939155.61218</v>
      </c>
      <c r="J3411" s="444">
        <f t="array" ref="J3411">IFERROR(INDEX('Retirement Calculator'!J:J,MATCH('Isaac 401k'!N3411,'Retirement Calculator'!A:A,0),0),0)</f>
        <v>0</v>
      </c>
      <c r="K3411" s="444">
        <f t="shared" ca="1" si="166"/>
        <v>-2695153913.1483841</v>
      </c>
      <c r="L3411" s="444">
        <f t="shared" ca="1" si="167"/>
        <v>-649532093068.76062</v>
      </c>
      <c r="M3411" s="460">
        <f t="shared" si="169"/>
        <v>0.05</v>
      </c>
      <c r="N3411" s="464">
        <f t="shared" si="170"/>
        <v>154864</v>
      </c>
    </row>
    <row r="3412" spans="7:14" ht="11.25" customHeight="1" x14ac:dyDescent="0.25">
      <c r="G3412" s="459"/>
      <c r="H3412" s="459">
        <v>3405</v>
      </c>
      <c r="I3412" s="444">
        <f t="shared" ca="1" si="168"/>
        <v>-649532093068.76062</v>
      </c>
      <c r="J3412" s="444">
        <f t="array" ref="J3412">IFERROR(INDEX('Retirement Calculator'!J:J,MATCH('Isaac 401k'!N3412,'Retirement Calculator'!A:A,0),0),0)</f>
        <v>0</v>
      </c>
      <c r="K3412" s="444">
        <f t="shared" ca="1" si="166"/>
        <v>-2706383721.1198359</v>
      </c>
      <c r="L3412" s="444">
        <f t="shared" ca="1" si="167"/>
        <v>-652238476789.88049</v>
      </c>
      <c r="M3412" s="460">
        <f t="shared" si="169"/>
        <v>0.05</v>
      </c>
      <c r="N3412" s="464">
        <f t="shared" si="170"/>
        <v>154895</v>
      </c>
    </row>
    <row r="3413" spans="7:14" ht="11.25" customHeight="1" x14ac:dyDescent="0.25">
      <c r="G3413" s="459"/>
      <c r="H3413" s="459">
        <v>3406</v>
      </c>
      <c r="I3413" s="444">
        <f t="shared" ca="1" si="168"/>
        <v>-652238476789.88049</v>
      </c>
      <c r="J3413" s="444">
        <f t="array" ref="J3413">IFERROR(INDEX('Retirement Calculator'!J:J,MATCH('Isaac 401k'!N3413,'Retirement Calculator'!A:A,0),0),0)</f>
        <v>0</v>
      </c>
      <c r="K3413" s="444">
        <f t="shared" ca="1" si="166"/>
        <v>-2717660319.9578352</v>
      </c>
      <c r="L3413" s="444">
        <f t="shared" ca="1" si="167"/>
        <v>-654956137109.83838</v>
      </c>
      <c r="M3413" s="460">
        <f t="shared" si="169"/>
        <v>0.05</v>
      </c>
      <c r="N3413" s="464">
        <f t="shared" si="170"/>
        <v>154924</v>
      </c>
    </row>
    <row r="3414" spans="7:14" ht="11.25" customHeight="1" x14ac:dyDescent="0.25">
      <c r="G3414" s="459"/>
      <c r="H3414" s="459">
        <v>3407</v>
      </c>
      <c r="I3414" s="444">
        <f t="shared" ca="1" si="168"/>
        <v>-654956137109.83838</v>
      </c>
      <c r="J3414" s="444">
        <f t="array" ref="J3414">IFERROR(INDEX('Retirement Calculator'!J:J,MATCH('Isaac 401k'!N3414,'Retirement Calculator'!A:A,0),0),0)</f>
        <v>0</v>
      </c>
      <c r="K3414" s="444">
        <f t="shared" ca="1" si="166"/>
        <v>-2728983904.6243267</v>
      </c>
      <c r="L3414" s="444">
        <f t="shared" ca="1" si="167"/>
        <v>-657685121014.46265</v>
      </c>
      <c r="M3414" s="460">
        <f t="shared" si="169"/>
        <v>0.05</v>
      </c>
      <c r="N3414" s="464">
        <f t="shared" si="170"/>
        <v>154955</v>
      </c>
    </row>
    <row r="3415" spans="7:14" ht="11.25" customHeight="1" x14ac:dyDescent="0.25">
      <c r="G3415" s="459"/>
      <c r="H3415" s="459">
        <v>3408</v>
      </c>
      <c r="I3415" s="444">
        <f t="shared" ca="1" si="168"/>
        <v>-657685121014.46265</v>
      </c>
      <c r="J3415" s="444">
        <f t="array" ref="J3415">IFERROR(INDEX('Retirement Calculator'!J:J,MATCH('Isaac 401k'!N3415,'Retirement Calculator'!A:A,0),0),0)</f>
        <v>0</v>
      </c>
      <c r="K3415" s="444">
        <f t="shared" ca="1" si="166"/>
        <v>-2740354670.8935943</v>
      </c>
      <c r="L3415" s="444">
        <f t="shared" ca="1" si="167"/>
        <v>-660425475685.3562</v>
      </c>
      <c r="M3415" s="460">
        <f t="shared" si="169"/>
        <v>0.05</v>
      </c>
      <c r="N3415" s="464">
        <f t="shared" si="170"/>
        <v>154985</v>
      </c>
    </row>
    <row r="3416" spans="7:14" ht="11.25" customHeight="1" x14ac:dyDescent="0.25">
      <c r="G3416" s="459"/>
      <c r="H3416" s="459">
        <v>3409</v>
      </c>
      <c r="I3416" s="444">
        <f t="shared" ca="1" si="168"/>
        <v>-660425475685.3562</v>
      </c>
      <c r="J3416" s="444">
        <f t="array" ref="J3416">IFERROR(INDEX('Retirement Calculator'!J:J,MATCH('Isaac 401k'!N3416,'Retirement Calculator'!A:A,0),0),0)</f>
        <v>0</v>
      </c>
      <c r="K3416" s="444">
        <f t="shared" ca="1" si="166"/>
        <v>-2751772815.3556509</v>
      </c>
      <c r="L3416" s="444">
        <f t="shared" ca="1" si="167"/>
        <v>-663177248500.71179</v>
      </c>
      <c r="M3416" s="460">
        <f t="shared" si="169"/>
        <v>0.05</v>
      </c>
      <c r="N3416" s="464">
        <f t="shared" si="170"/>
        <v>155016</v>
      </c>
    </row>
    <row r="3417" spans="7:14" ht="11.25" customHeight="1" x14ac:dyDescent="0.25">
      <c r="G3417" s="459"/>
      <c r="H3417" s="459">
        <v>3410</v>
      </c>
      <c r="I3417" s="444">
        <f t="shared" ca="1" si="168"/>
        <v>-663177248500.71179</v>
      </c>
      <c r="J3417" s="444">
        <f t="array" ref="J3417">IFERROR(INDEX('Retirement Calculator'!J:J,MATCH('Isaac 401k'!N3417,'Retirement Calculator'!A:A,0),0),0)</f>
        <v>0</v>
      </c>
      <c r="K3417" s="444">
        <f t="shared" ca="1" si="166"/>
        <v>-2763238535.4196324</v>
      </c>
      <c r="L3417" s="444">
        <f t="shared" ca="1" si="167"/>
        <v>-665940487036.13147</v>
      </c>
      <c r="M3417" s="460">
        <f t="shared" si="169"/>
        <v>0.05</v>
      </c>
      <c r="N3417" s="464">
        <f t="shared" si="170"/>
        <v>155046</v>
      </c>
    </row>
    <row r="3418" spans="7:14" ht="11.25" customHeight="1" x14ac:dyDescent="0.25">
      <c r="G3418" s="459"/>
      <c r="H3418" s="459">
        <v>3411</v>
      </c>
      <c r="I3418" s="444">
        <f t="shared" ca="1" si="168"/>
        <v>-665940487036.13147</v>
      </c>
      <c r="J3418" s="444">
        <f t="array" ref="J3418">IFERROR(INDEX('Retirement Calculator'!J:J,MATCH('Isaac 401k'!N3418,'Retirement Calculator'!A:A,0),0),0)</f>
        <v>0</v>
      </c>
      <c r="K3418" s="444">
        <f t="shared" ca="1" si="166"/>
        <v>-2774752029.3172145</v>
      </c>
      <c r="L3418" s="444">
        <f t="shared" ca="1" si="167"/>
        <v>-668715239065.44873</v>
      </c>
      <c r="M3418" s="460">
        <f t="shared" si="169"/>
        <v>0.05</v>
      </c>
      <c r="N3418" s="464">
        <f t="shared" si="170"/>
        <v>155077</v>
      </c>
    </row>
    <row r="3419" spans="7:14" ht="11.25" customHeight="1" x14ac:dyDescent="0.25">
      <c r="G3419" s="459"/>
      <c r="H3419" s="459">
        <v>3412</v>
      </c>
      <c r="I3419" s="444">
        <f t="shared" ca="1" si="168"/>
        <v>-668715239065.44873</v>
      </c>
      <c r="J3419" s="444">
        <f t="array" ref="J3419">IFERROR(INDEX('Retirement Calculator'!J:J,MATCH('Isaac 401k'!N3419,'Retirement Calculator'!A:A,0),0),0)</f>
        <v>0</v>
      </c>
      <c r="K3419" s="444">
        <f t="shared" ca="1" si="166"/>
        <v>-2786313496.1060362</v>
      </c>
      <c r="L3419" s="444">
        <f t="shared" ca="1" si="167"/>
        <v>-671501552561.55481</v>
      </c>
      <c r="M3419" s="460">
        <f t="shared" si="169"/>
        <v>0.05</v>
      </c>
      <c r="N3419" s="464">
        <f t="shared" si="170"/>
        <v>155108</v>
      </c>
    </row>
    <row r="3420" spans="7:14" ht="11.25" customHeight="1" x14ac:dyDescent="0.25">
      <c r="G3420" s="459"/>
      <c r="H3420" s="459">
        <v>3413</v>
      </c>
      <c r="I3420" s="444">
        <f t="shared" ca="1" si="168"/>
        <v>-671501552561.55481</v>
      </c>
      <c r="J3420" s="444">
        <f t="array" ref="J3420">IFERROR(INDEX('Retirement Calculator'!J:J,MATCH('Isaac 401k'!N3420,'Retirement Calculator'!A:A,0),0),0)</f>
        <v>0</v>
      </c>
      <c r="K3420" s="444">
        <f t="shared" ca="1" si="166"/>
        <v>-2797923135.6731448</v>
      </c>
      <c r="L3420" s="444">
        <f t="shared" ca="1" si="167"/>
        <v>-674299475697.22791</v>
      </c>
      <c r="M3420" s="460">
        <f t="shared" si="169"/>
        <v>0.05</v>
      </c>
      <c r="N3420" s="464">
        <f t="shared" si="170"/>
        <v>155138</v>
      </c>
    </row>
    <row r="3421" spans="7:14" ht="11.25" customHeight="1" x14ac:dyDescent="0.25">
      <c r="G3421" s="459"/>
      <c r="H3421" s="459">
        <v>3414</v>
      </c>
      <c r="I3421" s="444">
        <f t="shared" ca="1" si="168"/>
        <v>-674299475697.22791</v>
      </c>
      <c r="J3421" s="444">
        <f t="array" ref="J3421">IFERROR(INDEX('Retirement Calculator'!J:J,MATCH('Isaac 401k'!N3421,'Retirement Calculator'!A:A,0),0),0)</f>
        <v>0</v>
      </c>
      <c r="K3421" s="444">
        <f t="shared" ca="1" si="166"/>
        <v>-2809581148.7384496</v>
      </c>
      <c r="L3421" s="444">
        <f t="shared" ca="1" si="167"/>
        <v>-677109056845.96631</v>
      </c>
      <c r="M3421" s="460">
        <f t="shared" si="169"/>
        <v>0.05</v>
      </c>
      <c r="N3421" s="464">
        <f t="shared" si="170"/>
        <v>155169</v>
      </c>
    </row>
    <row r="3422" spans="7:14" ht="11.25" customHeight="1" x14ac:dyDescent="0.25">
      <c r="G3422" s="459"/>
      <c r="H3422" s="459">
        <v>3415</v>
      </c>
      <c r="I3422" s="444">
        <f t="shared" ca="1" si="168"/>
        <v>-677109056845.96631</v>
      </c>
      <c r="J3422" s="444">
        <f t="array" ref="J3422">IFERROR(INDEX('Retirement Calculator'!J:J,MATCH('Isaac 401k'!N3422,'Retirement Calculator'!A:A,0),0),0)</f>
        <v>0</v>
      </c>
      <c r="K3422" s="444">
        <f t="shared" ca="1" si="166"/>
        <v>-2821287736.8581929</v>
      </c>
      <c r="L3422" s="444">
        <f t="shared" ca="1" si="167"/>
        <v>-679930344582.82446</v>
      </c>
      <c r="M3422" s="460">
        <f t="shared" si="169"/>
        <v>0.05</v>
      </c>
      <c r="N3422" s="464">
        <f t="shared" si="170"/>
        <v>155199</v>
      </c>
    </row>
    <row r="3423" spans="7:14" ht="11.25" customHeight="1" x14ac:dyDescent="0.25">
      <c r="G3423" s="459"/>
      <c r="H3423" s="459">
        <v>3416</v>
      </c>
      <c r="I3423" s="444">
        <f t="shared" ca="1" si="168"/>
        <v>-679930344582.82446</v>
      </c>
      <c r="J3423" s="444">
        <f t="array" ref="J3423">IFERROR(INDEX('Retirement Calculator'!J:J,MATCH('Isaac 401k'!N3423,'Retirement Calculator'!A:A,0),0),0)</f>
        <v>0</v>
      </c>
      <c r="K3423" s="444">
        <f t="shared" ca="1" si="166"/>
        <v>-2833043102.4284353</v>
      </c>
      <c r="L3423" s="444">
        <f t="shared" ca="1" si="167"/>
        <v>-682763387685.25293</v>
      </c>
      <c r="M3423" s="460">
        <f t="shared" si="169"/>
        <v>0.05</v>
      </c>
      <c r="N3423" s="464">
        <f t="shared" si="170"/>
        <v>155230</v>
      </c>
    </row>
    <row r="3424" spans="7:14" ht="11.25" customHeight="1" x14ac:dyDescent="0.25">
      <c r="G3424" s="459"/>
      <c r="H3424" s="459">
        <v>3417</v>
      </c>
      <c r="I3424" s="444">
        <f t="shared" ca="1" si="168"/>
        <v>-682763387685.25293</v>
      </c>
      <c r="J3424" s="444">
        <f t="array" ref="J3424">IFERROR(INDEX('Retirement Calculator'!J:J,MATCH('Isaac 401k'!N3424,'Retirement Calculator'!A:A,0),0),0)</f>
        <v>0</v>
      </c>
      <c r="K3424" s="444">
        <f t="shared" ca="1" si="166"/>
        <v>-2844847448.6885538</v>
      </c>
      <c r="L3424" s="444">
        <f t="shared" ca="1" si="167"/>
        <v>-685608235133.94153</v>
      </c>
      <c r="M3424" s="460">
        <f t="shared" si="169"/>
        <v>0.05</v>
      </c>
      <c r="N3424" s="464">
        <f t="shared" si="170"/>
        <v>155261</v>
      </c>
    </row>
    <row r="3425" spans="7:14" ht="11.25" customHeight="1" x14ac:dyDescent="0.25">
      <c r="G3425" s="459"/>
      <c r="H3425" s="459">
        <v>3418</v>
      </c>
      <c r="I3425" s="444">
        <f t="shared" ca="1" si="168"/>
        <v>-685608235133.94153</v>
      </c>
      <c r="J3425" s="444">
        <f t="array" ref="J3425">IFERROR(INDEX('Retirement Calculator'!J:J,MATCH('Isaac 401k'!N3425,'Retirement Calculator'!A:A,0),0),0)</f>
        <v>0</v>
      </c>
      <c r="K3425" s="444">
        <f t="shared" ca="1" si="166"/>
        <v>-2856700979.7247562</v>
      </c>
      <c r="L3425" s="444">
        <f t="shared" ca="1" si="167"/>
        <v>-688464936113.66626</v>
      </c>
      <c r="M3425" s="460">
        <f t="shared" si="169"/>
        <v>0.05</v>
      </c>
      <c r="N3425" s="464">
        <f t="shared" si="170"/>
        <v>155289</v>
      </c>
    </row>
    <row r="3426" spans="7:14" ht="11.25" customHeight="1" x14ac:dyDescent="0.25">
      <c r="G3426" s="459"/>
      <c r="H3426" s="459">
        <v>3419</v>
      </c>
      <c r="I3426" s="444">
        <f t="shared" ca="1" si="168"/>
        <v>-688464936113.66626</v>
      </c>
      <c r="J3426" s="444">
        <f t="array" ref="J3426">IFERROR(INDEX('Retirement Calculator'!J:J,MATCH('Isaac 401k'!N3426,'Retirement Calculator'!A:A,0),0),0)</f>
        <v>0</v>
      </c>
      <c r="K3426" s="444">
        <f t="shared" ca="1" si="166"/>
        <v>-2868603900.4736094</v>
      </c>
      <c r="L3426" s="444">
        <f t="shared" ca="1" si="167"/>
        <v>-691333540014.13989</v>
      </c>
      <c r="M3426" s="460">
        <f t="shared" si="169"/>
        <v>0.05</v>
      </c>
      <c r="N3426" s="464">
        <f t="shared" si="170"/>
        <v>155320</v>
      </c>
    </row>
    <row r="3427" spans="7:14" ht="11.25" customHeight="1" x14ac:dyDescent="0.25">
      <c r="G3427" s="459"/>
      <c r="H3427" s="459">
        <v>3420</v>
      </c>
      <c r="I3427" s="444">
        <f t="shared" ca="1" si="168"/>
        <v>-691333540014.13989</v>
      </c>
      <c r="J3427" s="444">
        <f t="array" ref="J3427">IFERROR(INDEX('Retirement Calculator'!J:J,MATCH('Isaac 401k'!N3427,'Retirement Calculator'!A:A,0),0),0)</f>
        <v>0</v>
      </c>
      <c r="K3427" s="444">
        <f t="shared" ca="1" si="166"/>
        <v>-2880556416.7255831</v>
      </c>
      <c r="L3427" s="444">
        <f t="shared" ca="1" si="167"/>
        <v>-694214096430.86548</v>
      </c>
      <c r="M3427" s="460">
        <f t="shared" si="169"/>
        <v>0.05</v>
      </c>
      <c r="N3427" s="464">
        <f t="shared" si="170"/>
        <v>155350</v>
      </c>
    </row>
    <row r="3428" spans="7:14" ht="11.25" customHeight="1" x14ac:dyDescent="0.25">
      <c r="G3428" s="459"/>
      <c r="H3428" s="459">
        <v>3421</v>
      </c>
      <c r="I3428" s="444">
        <f t="shared" ca="1" si="168"/>
        <v>-694214096430.86548</v>
      </c>
      <c r="J3428" s="444">
        <f t="array" ref="J3428">IFERROR(INDEX('Retirement Calculator'!J:J,MATCH('Isaac 401k'!N3428,'Retirement Calculator'!A:A,0),0),0)</f>
        <v>0</v>
      </c>
      <c r="K3428" s="444">
        <f t="shared" ca="1" si="166"/>
        <v>-2892558735.1286063</v>
      </c>
      <c r="L3428" s="444">
        <f t="shared" ca="1" si="167"/>
        <v>-697106655165.99414</v>
      </c>
      <c r="M3428" s="460">
        <f t="shared" si="169"/>
        <v>0.05</v>
      </c>
      <c r="N3428" s="464">
        <f t="shared" si="170"/>
        <v>155381</v>
      </c>
    </row>
    <row r="3429" spans="7:14" ht="11.25" customHeight="1" x14ac:dyDescent="0.25">
      <c r="G3429" s="459"/>
      <c r="H3429" s="459">
        <v>3422</v>
      </c>
      <c r="I3429" s="444">
        <f t="shared" ca="1" si="168"/>
        <v>-697106655165.99414</v>
      </c>
      <c r="J3429" s="444">
        <f t="array" ref="J3429">IFERROR(INDEX('Retirement Calculator'!J:J,MATCH('Isaac 401k'!N3429,'Retirement Calculator'!A:A,0),0),0)</f>
        <v>0</v>
      </c>
      <c r="K3429" s="444">
        <f t="shared" ca="1" si="166"/>
        <v>-2904611063.1916423</v>
      </c>
      <c r="L3429" s="444">
        <f t="shared" ca="1" si="167"/>
        <v>-700011266229.18579</v>
      </c>
      <c r="M3429" s="460">
        <f t="shared" si="169"/>
        <v>0.05</v>
      </c>
      <c r="N3429" s="464">
        <f t="shared" si="170"/>
        <v>155411</v>
      </c>
    </row>
    <row r="3430" spans="7:14" ht="11.25" customHeight="1" x14ac:dyDescent="0.25">
      <c r="G3430" s="459"/>
      <c r="H3430" s="459">
        <v>3423</v>
      </c>
      <c r="I3430" s="444">
        <f t="shared" ca="1" si="168"/>
        <v>-700011266229.18579</v>
      </c>
      <c r="J3430" s="444">
        <f t="array" ref="J3430">IFERROR(INDEX('Retirement Calculator'!J:J,MATCH('Isaac 401k'!N3430,'Retirement Calculator'!A:A,0),0),0)</f>
        <v>0</v>
      </c>
      <c r="K3430" s="444">
        <f t="shared" ca="1" si="166"/>
        <v>-2916713609.2882743</v>
      </c>
      <c r="L3430" s="444">
        <f t="shared" ca="1" si="167"/>
        <v>-702927979838.47412</v>
      </c>
      <c r="M3430" s="460">
        <f t="shared" si="169"/>
        <v>0.05</v>
      </c>
      <c r="N3430" s="464">
        <f t="shared" si="170"/>
        <v>155442</v>
      </c>
    </row>
    <row r="3431" spans="7:14" ht="11.25" customHeight="1" x14ac:dyDescent="0.25">
      <c r="G3431" s="459"/>
      <c r="H3431" s="459">
        <v>3424</v>
      </c>
      <c r="I3431" s="444">
        <f t="shared" ca="1" si="168"/>
        <v>-702927979838.47412</v>
      </c>
      <c r="J3431" s="444">
        <f t="array" ref="J3431">IFERROR(INDEX('Retirement Calculator'!J:J,MATCH('Isaac 401k'!N3431,'Retirement Calculator'!A:A,0),0),0)</f>
        <v>0</v>
      </c>
      <c r="K3431" s="444">
        <f t="shared" ca="1" si="166"/>
        <v>-2928866582.6603088</v>
      </c>
      <c r="L3431" s="444">
        <f t="shared" ca="1" si="167"/>
        <v>-705856846421.1344</v>
      </c>
      <c r="M3431" s="460">
        <f t="shared" si="169"/>
        <v>0.05</v>
      </c>
      <c r="N3431" s="464">
        <f t="shared" si="170"/>
        <v>155473</v>
      </c>
    </row>
    <row r="3432" spans="7:14" ht="11.25" customHeight="1" x14ac:dyDescent="0.25">
      <c r="G3432" s="459"/>
      <c r="H3432" s="459">
        <v>3425</v>
      </c>
      <c r="I3432" s="444">
        <f t="shared" ca="1" si="168"/>
        <v>-705856846421.1344</v>
      </c>
      <c r="J3432" s="444">
        <f t="array" ref="J3432">IFERROR(INDEX('Retirement Calculator'!J:J,MATCH('Isaac 401k'!N3432,'Retirement Calculator'!A:A,0),0),0)</f>
        <v>0</v>
      </c>
      <c r="K3432" s="444">
        <f t="shared" ca="1" si="166"/>
        <v>-2941070193.4213934</v>
      </c>
      <c r="L3432" s="444">
        <f t="shared" ca="1" si="167"/>
        <v>-708797916614.55579</v>
      </c>
      <c r="M3432" s="460">
        <f t="shared" si="169"/>
        <v>0.05</v>
      </c>
      <c r="N3432" s="464">
        <f t="shared" si="170"/>
        <v>155503</v>
      </c>
    </row>
    <row r="3433" spans="7:14" ht="11.25" customHeight="1" x14ac:dyDescent="0.25">
      <c r="G3433" s="459"/>
      <c r="H3433" s="459">
        <v>3426</v>
      </c>
      <c r="I3433" s="444">
        <f t="shared" ca="1" si="168"/>
        <v>-708797916614.55579</v>
      </c>
      <c r="J3433" s="444">
        <f t="array" ref="J3433">IFERROR(INDEX('Retirement Calculator'!J:J,MATCH('Isaac 401k'!N3433,'Retirement Calculator'!A:A,0),0),0)</f>
        <v>0</v>
      </c>
      <c r="K3433" s="444">
        <f t="shared" ca="1" si="166"/>
        <v>-2953324652.5606489</v>
      </c>
      <c r="L3433" s="444">
        <f t="shared" ca="1" si="167"/>
        <v>-711751241267.11646</v>
      </c>
      <c r="M3433" s="460">
        <f t="shared" si="169"/>
        <v>0.05</v>
      </c>
      <c r="N3433" s="464">
        <f t="shared" si="170"/>
        <v>155534</v>
      </c>
    </row>
    <row r="3434" spans="7:14" ht="11.25" customHeight="1" x14ac:dyDescent="0.25">
      <c r="G3434" s="459"/>
      <c r="H3434" s="459">
        <v>3427</v>
      </c>
      <c r="I3434" s="444">
        <f t="shared" ca="1" si="168"/>
        <v>-711751241267.11646</v>
      </c>
      <c r="J3434" s="444">
        <f t="array" ref="J3434">IFERROR(INDEX('Retirement Calculator'!J:J,MATCH('Isaac 401k'!N3434,'Retirement Calculator'!A:A,0),0),0)</f>
        <v>0</v>
      </c>
      <c r="K3434" s="444">
        <f t="shared" ca="1" si="166"/>
        <v>-2965630171.9463186</v>
      </c>
      <c r="L3434" s="444">
        <f t="shared" ca="1" si="167"/>
        <v>-714716871439.06274</v>
      </c>
      <c r="M3434" s="460">
        <f t="shared" si="169"/>
        <v>0.05</v>
      </c>
      <c r="N3434" s="464">
        <f t="shared" si="170"/>
        <v>155564</v>
      </c>
    </row>
    <row r="3435" spans="7:14" ht="11.25" customHeight="1" x14ac:dyDescent="0.25">
      <c r="G3435" s="459"/>
      <c r="H3435" s="459">
        <v>3428</v>
      </c>
      <c r="I3435" s="444">
        <f t="shared" ca="1" si="168"/>
        <v>-714716871439.06274</v>
      </c>
      <c r="J3435" s="444">
        <f t="array" ref="J3435">IFERROR(INDEX('Retirement Calculator'!J:J,MATCH('Isaac 401k'!N3435,'Retirement Calculator'!A:A,0),0),0)</f>
        <v>0</v>
      </c>
      <c r="K3435" s="444">
        <f t="shared" ca="1" si="166"/>
        <v>-2977986964.3294282</v>
      </c>
      <c r="L3435" s="444">
        <f t="shared" ca="1" si="167"/>
        <v>-717694858403.39221</v>
      </c>
      <c r="M3435" s="460">
        <f t="shared" si="169"/>
        <v>0.05</v>
      </c>
      <c r="N3435" s="464">
        <f t="shared" si="170"/>
        <v>155595</v>
      </c>
    </row>
    <row r="3436" spans="7:14" ht="11.25" customHeight="1" x14ac:dyDescent="0.25">
      <c r="G3436" s="459"/>
      <c r="H3436" s="459">
        <v>3429</v>
      </c>
      <c r="I3436" s="444">
        <f t="shared" ca="1" si="168"/>
        <v>-717694858403.39221</v>
      </c>
      <c r="J3436" s="444">
        <f t="array" ref="J3436">IFERROR(INDEX('Retirement Calculator'!J:J,MATCH('Isaac 401k'!N3436,'Retirement Calculator'!A:A,0),0),0)</f>
        <v>0</v>
      </c>
      <c r="K3436" s="444">
        <f t="shared" ca="1" si="166"/>
        <v>-2990395243.3474674</v>
      </c>
      <c r="L3436" s="444">
        <f t="shared" ca="1" si="167"/>
        <v>-720685253646.73962</v>
      </c>
      <c r="M3436" s="460">
        <f t="shared" si="169"/>
        <v>0.05</v>
      </c>
      <c r="N3436" s="464">
        <f t="shared" si="170"/>
        <v>155626</v>
      </c>
    </row>
    <row r="3437" spans="7:14" ht="11.25" customHeight="1" x14ac:dyDescent="0.25">
      <c r="G3437" s="459"/>
      <c r="H3437" s="459">
        <v>3430</v>
      </c>
      <c r="I3437" s="444">
        <f t="shared" ca="1" si="168"/>
        <v>-720685253646.73962</v>
      </c>
      <c r="J3437" s="444">
        <f t="array" ref="J3437">IFERROR(INDEX('Retirement Calculator'!J:J,MATCH('Isaac 401k'!N3437,'Retirement Calculator'!A:A,0),0),0)</f>
        <v>0</v>
      </c>
      <c r="K3437" s="444">
        <f t="shared" ca="1" si="166"/>
        <v>-3002855223.5280819</v>
      </c>
      <c r="L3437" s="444">
        <f t="shared" ca="1" si="167"/>
        <v>-723688108870.2677</v>
      </c>
      <c r="M3437" s="460">
        <f t="shared" si="169"/>
        <v>0.05</v>
      </c>
      <c r="N3437" s="464">
        <f t="shared" si="170"/>
        <v>155654</v>
      </c>
    </row>
    <row r="3438" spans="7:14" ht="11.25" customHeight="1" x14ac:dyDescent="0.25">
      <c r="G3438" s="459"/>
      <c r="H3438" s="459">
        <v>3431</v>
      </c>
      <c r="I3438" s="444">
        <f t="shared" ca="1" si="168"/>
        <v>-723688108870.2677</v>
      </c>
      <c r="J3438" s="444">
        <f t="array" ref="J3438">IFERROR(INDEX('Retirement Calculator'!J:J,MATCH('Isaac 401k'!N3438,'Retirement Calculator'!A:A,0),0),0)</f>
        <v>0</v>
      </c>
      <c r="K3438" s="444">
        <f t="shared" ca="1" si="166"/>
        <v>-3015367120.2927818</v>
      </c>
      <c r="L3438" s="444">
        <f t="shared" ca="1" si="167"/>
        <v>-726703475990.56042</v>
      </c>
      <c r="M3438" s="460">
        <f t="shared" si="169"/>
        <v>0.05</v>
      </c>
      <c r="N3438" s="464">
        <f t="shared" si="170"/>
        <v>155685</v>
      </c>
    </row>
    <row r="3439" spans="7:14" ht="11.25" customHeight="1" x14ac:dyDescent="0.25">
      <c r="G3439" s="459"/>
      <c r="H3439" s="459">
        <v>3432</v>
      </c>
      <c r="I3439" s="444">
        <f t="shared" ca="1" si="168"/>
        <v>-726703475990.56042</v>
      </c>
      <c r="J3439" s="444">
        <f t="array" ref="J3439">IFERROR(INDEX('Retirement Calculator'!J:J,MATCH('Isaac 401k'!N3439,'Retirement Calculator'!A:A,0),0),0)</f>
        <v>0</v>
      </c>
      <c r="K3439" s="444">
        <f t="shared" ca="1" si="166"/>
        <v>-3027931149.9606686</v>
      </c>
      <c r="L3439" s="444">
        <f t="shared" ca="1" si="167"/>
        <v>-729731407140.52112</v>
      </c>
      <c r="M3439" s="460">
        <f t="shared" si="169"/>
        <v>0.05</v>
      </c>
      <c r="N3439" s="464">
        <f t="shared" si="170"/>
        <v>155715</v>
      </c>
    </row>
    <row r="3440" spans="7:14" ht="11.25" customHeight="1" x14ac:dyDescent="0.25">
      <c r="G3440" s="459"/>
      <c r="H3440" s="459">
        <v>3433</v>
      </c>
      <c r="I3440" s="444">
        <f t="shared" ca="1" si="168"/>
        <v>-729731407140.52112</v>
      </c>
      <c r="J3440" s="444">
        <f t="array" ref="J3440">IFERROR(INDEX('Retirement Calculator'!J:J,MATCH('Isaac 401k'!N3440,'Retirement Calculator'!A:A,0),0),0)</f>
        <v>0</v>
      </c>
      <c r="K3440" s="444">
        <f t="shared" ca="1" si="166"/>
        <v>-3040547529.7521715</v>
      </c>
      <c r="L3440" s="444">
        <f t="shared" ca="1" si="167"/>
        <v>-732771954670.27332</v>
      </c>
      <c r="M3440" s="460">
        <f t="shared" si="169"/>
        <v>0.05</v>
      </c>
      <c r="N3440" s="464">
        <f t="shared" si="170"/>
        <v>155746</v>
      </c>
    </row>
    <row r="3441" spans="7:14" ht="11.25" customHeight="1" x14ac:dyDescent="0.25">
      <c r="G3441" s="459"/>
      <c r="H3441" s="459">
        <v>3434</v>
      </c>
      <c r="I3441" s="444">
        <f t="shared" ca="1" si="168"/>
        <v>-732771954670.27332</v>
      </c>
      <c r="J3441" s="444">
        <f t="array" ref="J3441">IFERROR(INDEX('Retirement Calculator'!J:J,MATCH('Isaac 401k'!N3441,'Retirement Calculator'!A:A,0),0),0)</f>
        <v>0</v>
      </c>
      <c r="K3441" s="444">
        <f t="shared" ca="1" si="166"/>
        <v>-3053216477.7928057</v>
      </c>
      <c r="L3441" s="444">
        <f t="shared" ca="1" si="167"/>
        <v>-735825171148.06616</v>
      </c>
      <c r="M3441" s="460">
        <f t="shared" si="169"/>
        <v>0.05</v>
      </c>
      <c r="N3441" s="464">
        <f t="shared" si="170"/>
        <v>155776</v>
      </c>
    </row>
    <row r="3442" spans="7:14" ht="11.25" customHeight="1" x14ac:dyDescent="0.25">
      <c r="G3442" s="459"/>
      <c r="H3442" s="459">
        <v>3435</v>
      </c>
      <c r="I3442" s="444">
        <f t="shared" ca="1" si="168"/>
        <v>-735825171148.06616</v>
      </c>
      <c r="J3442" s="444">
        <f t="array" ref="J3442">IFERROR(INDEX('Retirement Calculator'!J:J,MATCH('Isaac 401k'!N3442,'Retirement Calculator'!A:A,0),0),0)</f>
        <v>0</v>
      </c>
      <c r="K3442" s="444">
        <f t="shared" ca="1" si="166"/>
        <v>-3065938213.1169424</v>
      </c>
      <c r="L3442" s="444">
        <f t="shared" ca="1" si="167"/>
        <v>-738891109361.18311</v>
      </c>
      <c r="M3442" s="460">
        <f t="shared" si="169"/>
        <v>0.05</v>
      </c>
      <c r="N3442" s="464">
        <f t="shared" si="170"/>
        <v>155807</v>
      </c>
    </row>
    <row r="3443" spans="7:14" ht="11.25" customHeight="1" x14ac:dyDescent="0.25">
      <c r="G3443" s="459"/>
      <c r="H3443" s="459">
        <v>3436</v>
      </c>
      <c r="I3443" s="444">
        <f t="shared" ca="1" si="168"/>
        <v>-738891109361.18311</v>
      </c>
      <c r="J3443" s="444">
        <f t="array" ref="J3443">IFERROR(INDEX('Retirement Calculator'!J:J,MATCH('Isaac 401k'!N3443,'Retirement Calculator'!A:A,0),0),0)</f>
        <v>0</v>
      </c>
      <c r="K3443" s="444">
        <f t="shared" ca="1" si="166"/>
        <v>-3078712955.6715961</v>
      </c>
      <c r="L3443" s="444">
        <f t="shared" ca="1" si="167"/>
        <v>-741969822316.85474</v>
      </c>
      <c r="M3443" s="460">
        <f t="shared" si="169"/>
        <v>0.05</v>
      </c>
      <c r="N3443" s="464">
        <f t="shared" si="170"/>
        <v>155838</v>
      </c>
    </row>
    <row r="3444" spans="7:14" ht="11.25" customHeight="1" x14ac:dyDescent="0.25">
      <c r="G3444" s="459"/>
      <c r="H3444" s="459">
        <v>3437</v>
      </c>
      <c r="I3444" s="444">
        <f t="shared" ca="1" si="168"/>
        <v>-741969822316.85474</v>
      </c>
      <c r="J3444" s="444">
        <f t="array" ref="J3444">IFERROR(INDEX('Retirement Calculator'!J:J,MATCH('Isaac 401k'!N3444,'Retirement Calculator'!A:A,0),0),0)</f>
        <v>0</v>
      </c>
      <c r="K3444" s="444">
        <f t="shared" ca="1" si="166"/>
        <v>-3091540926.3202281</v>
      </c>
      <c r="L3444" s="444">
        <f t="shared" ca="1" si="167"/>
        <v>-745061363243.17493</v>
      </c>
      <c r="M3444" s="460">
        <f t="shared" si="169"/>
        <v>0.05</v>
      </c>
      <c r="N3444" s="464">
        <f t="shared" si="170"/>
        <v>155868</v>
      </c>
    </row>
    <row r="3445" spans="7:14" ht="11.25" customHeight="1" x14ac:dyDescent="0.25">
      <c r="G3445" s="459"/>
      <c r="H3445" s="459">
        <v>3438</v>
      </c>
      <c r="I3445" s="444">
        <f t="shared" ca="1" si="168"/>
        <v>-745061363243.17493</v>
      </c>
      <c r="J3445" s="444">
        <f t="array" ref="J3445">IFERROR(INDEX('Retirement Calculator'!J:J,MATCH('Isaac 401k'!N3445,'Retirement Calculator'!A:A,0),0),0)</f>
        <v>0</v>
      </c>
      <c r="K3445" s="444">
        <f t="shared" ca="1" si="166"/>
        <v>-3104422346.8465624</v>
      </c>
      <c r="L3445" s="444">
        <f t="shared" ca="1" si="167"/>
        <v>-748165785590.02148</v>
      </c>
      <c r="M3445" s="460">
        <f t="shared" si="169"/>
        <v>0.05</v>
      </c>
      <c r="N3445" s="464">
        <f t="shared" si="170"/>
        <v>155899</v>
      </c>
    </row>
    <row r="3446" spans="7:14" ht="11.25" customHeight="1" x14ac:dyDescent="0.25">
      <c r="G3446" s="459"/>
      <c r="H3446" s="459">
        <v>3439</v>
      </c>
      <c r="I3446" s="444">
        <f t="shared" ca="1" si="168"/>
        <v>-748165785590.02148</v>
      </c>
      <c r="J3446" s="444">
        <f t="array" ref="J3446">IFERROR(INDEX('Retirement Calculator'!J:J,MATCH('Isaac 401k'!N3446,'Retirement Calculator'!A:A,0),0),0)</f>
        <v>0</v>
      </c>
      <c r="K3446" s="444">
        <f t="shared" ca="1" si="166"/>
        <v>-3117357439.9584227</v>
      </c>
      <c r="L3446" s="444">
        <f t="shared" ca="1" si="167"/>
        <v>-751283143029.97986</v>
      </c>
      <c r="M3446" s="460">
        <f t="shared" si="169"/>
        <v>0.05</v>
      </c>
      <c r="N3446" s="464">
        <f t="shared" si="170"/>
        <v>155929</v>
      </c>
    </row>
    <row r="3447" spans="7:14" ht="11.25" customHeight="1" x14ac:dyDescent="0.25">
      <c r="G3447" s="459"/>
      <c r="H3447" s="459">
        <v>3440</v>
      </c>
      <c r="I3447" s="444">
        <f t="shared" ca="1" si="168"/>
        <v>-751283143029.97986</v>
      </c>
      <c r="J3447" s="444">
        <f t="array" ref="J3447">IFERROR(INDEX('Retirement Calculator'!J:J,MATCH('Isaac 401k'!N3447,'Retirement Calculator'!A:A,0),0),0)</f>
        <v>0</v>
      </c>
      <c r="K3447" s="444">
        <f t="shared" ca="1" si="166"/>
        <v>-3130346429.2915826</v>
      </c>
      <c r="L3447" s="444">
        <f t="shared" ca="1" si="167"/>
        <v>-754413489459.27148</v>
      </c>
      <c r="M3447" s="460">
        <f t="shared" si="169"/>
        <v>0.05</v>
      </c>
      <c r="N3447" s="464">
        <f t="shared" si="170"/>
        <v>155960</v>
      </c>
    </row>
    <row r="3448" spans="7:14" ht="11.25" customHeight="1" x14ac:dyDescent="0.25">
      <c r="G3448" s="459"/>
      <c r="H3448" s="459">
        <v>3441</v>
      </c>
      <c r="I3448" s="444">
        <f t="shared" ca="1" si="168"/>
        <v>-754413489459.27148</v>
      </c>
      <c r="J3448" s="444">
        <f t="array" ref="J3448">IFERROR(INDEX('Retirement Calculator'!J:J,MATCH('Isaac 401k'!N3448,'Retirement Calculator'!A:A,0),0),0)</f>
        <v>0</v>
      </c>
      <c r="K3448" s="444">
        <f t="shared" ca="1" si="166"/>
        <v>-3143389539.413631</v>
      </c>
      <c r="L3448" s="444">
        <f t="shared" ca="1" si="167"/>
        <v>-757556878998.68506</v>
      </c>
      <c r="M3448" s="460">
        <f t="shared" si="169"/>
        <v>0.05</v>
      </c>
      <c r="N3448" s="464">
        <f t="shared" si="170"/>
        <v>155991</v>
      </c>
    </row>
    <row r="3449" spans="7:14" ht="11.25" customHeight="1" x14ac:dyDescent="0.25">
      <c r="G3449" s="459"/>
      <c r="H3449" s="459">
        <v>3442</v>
      </c>
      <c r="I3449" s="444">
        <f t="shared" ca="1" si="168"/>
        <v>-757556878998.68506</v>
      </c>
      <c r="J3449" s="444">
        <f t="array" ref="J3449">IFERROR(INDEX('Retirement Calculator'!J:J,MATCH('Isaac 401k'!N3449,'Retirement Calculator'!A:A,0),0),0)</f>
        <v>0</v>
      </c>
      <c r="K3449" s="444">
        <f t="shared" ca="1" si="166"/>
        <v>-3156486995.8278542</v>
      </c>
      <c r="L3449" s="444">
        <f t="shared" ca="1" si="167"/>
        <v>-760713365994.51294</v>
      </c>
      <c r="M3449" s="460">
        <f t="shared" si="169"/>
        <v>0.05</v>
      </c>
      <c r="N3449" s="464">
        <f t="shared" si="170"/>
        <v>156019</v>
      </c>
    </row>
    <row r="3450" spans="7:14" ht="11.25" customHeight="1" x14ac:dyDescent="0.25">
      <c r="G3450" s="459"/>
      <c r="H3450" s="459">
        <v>3443</v>
      </c>
      <c r="I3450" s="444">
        <f t="shared" ca="1" si="168"/>
        <v>-760713365994.51294</v>
      </c>
      <c r="J3450" s="444">
        <f t="array" ref="J3450">IFERROR(INDEX('Retirement Calculator'!J:J,MATCH('Isaac 401k'!N3450,'Retirement Calculator'!A:A,0),0),0)</f>
        <v>0</v>
      </c>
      <c r="K3450" s="444">
        <f t="shared" ca="1" si="166"/>
        <v>-3169639024.9771371</v>
      </c>
      <c r="L3450" s="444">
        <f t="shared" ca="1" si="167"/>
        <v>-763883005019.49011</v>
      </c>
      <c r="M3450" s="460">
        <f t="shared" si="169"/>
        <v>0.05</v>
      </c>
      <c r="N3450" s="464">
        <f t="shared" si="170"/>
        <v>156050</v>
      </c>
    </row>
    <row r="3451" spans="7:14" ht="11.25" customHeight="1" x14ac:dyDescent="0.25">
      <c r="G3451" s="459"/>
      <c r="H3451" s="459">
        <v>3444</v>
      </c>
      <c r="I3451" s="444">
        <f t="shared" ca="1" si="168"/>
        <v>-763883005019.49011</v>
      </c>
      <c r="J3451" s="444">
        <f t="array" ref="J3451">IFERROR(INDEX('Retirement Calculator'!J:J,MATCH('Isaac 401k'!N3451,'Retirement Calculator'!A:A,0),0),0)</f>
        <v>0</v>
      </c>
      <c r="K3451" s="444">
        <f t="shared" ca="1" si="166"/>
        <v>-3182845854.2478752</v>
      </c>
      <c r="L3451" s="444">
        <f t="shared" ca="1" si="167"/>
        <v>-767065850873.73804</v>
      </c>
      <c r="M3451" s="460">
        <f t="shared" si="169"/>
        <v>0.05</v>
      </c>
      <c r="N3451" s="464">
        <f t="shared" si="170"/>
        <v>156080</v>
      </c>
    </row>
    <row r="3452" spans="7:14" ht="11.25" customHeight="1" x14ac:dyDescent="0.25">
      <c r="G3452" s="459"/>
      <c r="H3452" s="459">
        <v>3445</v>
      </c>
      <c r="I3452" s="444">
        <f t="shared" ca="1" si="168"/>
        <v>-767065850873.73804</v>
      </c>
      <c r="J3452" s="444">
        <f t="array" ref="J3452">IFERROR(INDEX('Retirement Calculator'!J:J,MATCH('Isaac 401k'!N3452,'Retirement Calculator'!A:A,0),0),0)</f>
        <v>0</v>
      </c>
      <c r="K3452" s="444">
        <f t="shared" ca="1" si="166"/>
        <v>-3196107711.9739084</v>
      </c>
      <c r="L3452" s="444">
        <f t="shared" ca="1" si="167"/>
        <v>-770261958585.71191</v>
      </c>
      <c r="M3452" s="460">
        <f t="shared" si="169"/>
        <v>0.05</v>
      </c>
      <c r="N3452" s="464">
        <f t="shared" si="170"/>
        <v>156111</v>
      </c>
    </row>
    <row r="3453" spans="7:14" ht="11.25" customHeight="1" x14ac:dyDescent="0.25">
      <c r="G3453" s="459"/>
      <c r="H3453" s="459">
        <v>3446</v>
      </c>
      <c r="I3453" s="444">
        <f t="shared" ca="1" si="168"/>
        <v>-770261958585.71191</v>
      </c>
      <c r="J3453" s="444">
        <f t="array" ref="J3453">IFERROR(INDEX('Retirement Calculator'!J:J,MATCH('Isaac 401k'!N3453,'Retirement Calculator'!A:A,0),0),0)</f>
        <v>0</v>
      </c>
      <c r="K3453" s="444">
        <f t="shared" ca="1" si="166"/>
        <v>-3209424827.4404664</v>
      </c>
      <c r="L3453" s="444">
        <f t="shared" ca="1" si="167"/>
        <v>-773471383413.15234</v>
      </c>
      <c r="M3453" s="460">
        <f t="shared" si="169"/>
        <v>0.05</v>
      </c>
      <c r="N3453" s="464">
        <f t="shared" si="170"/>
        <v>156141</v>
      </c>
    </row>
    <row r="3454" spans="7:14" ht="11.25" customHeight="1" x14ac:dyDescent="0.25">
      <c r="G3454" s="459"/>
      <c r="H3454" s="459">
        <v>3447</v>
      </c>
      <c r="I3454" s="444">
        <f t="shared" ca="1" si="168"/>
        <v>-773471383413.15234</v>
      </c>
      <c r="J3454" s="444">
        <f t="array" ref="J3454">IFERROR(INDEX('Retirement Calculator'!J:J,MATCH('Isaac 401k'!N3454,'Retirement Calculator'!A:A,0),0),0)</f>
        <v>0</v>
      </c>
      <c r="K3454" s="444">
        <f t="shared" ca="1" si="166"/>
        <v>-3222797430.888135</v>
      </c>
      <c r="L3454" s="444">
        <f t="shared" ca="1" si="167"/>
        <v>-776694180844.04053</v>
      </c>
      <c r="M3454" s="460">
        <f t="shared" si="169"/>
        <v>0.05</v>
      </c>
      <c r="N3454" s="464">
        <f t="shared" si="170"/>
        <v>156172</v>
      </c>
    </row>
    <row r="3455" spans="7:14" ht="11.25" customHeight="1" x14ac:dyDescent="0.25">
      <c r="G3455" s="459"/>
      <c r="H3455" s="459">
        <v>3448</v>
      </c>
      <c r="I3455" s="444">
        <f t="shared" ca="1" si="168"/>
        <v>-776694180844.04053</v>
      </c>
      <c r="J3455" s="444">
        <f t="array" ref="J3455">IFERROR(INDEX('Retirement Calculator'!J:J,MATCH('Isaac 401k'!N3455,'Retirement Calculator'!A:A,0),0),0)</f>
        <v>0</v>
      </c>
      <c r="K3455" s="444">
        <f t="shared" ca="1" si="166"/>
        <v>-3236225753.5168357</v>
      </c>
      <c r="L3455" s="444">
        <f t="shared" ca="1" si="167"/>
        <v>-779930406597.55737</v>
      </c>
      <c r="M3455" s="460">
        <f t="shared" si="169"/>
        <v>0.05</v>
      </c>
      <c r="N3455" s="464">
        <f t="shared" si="170"/>
        <v>156203</v>
      </c>
    </row>
    <row r="3456" spans="7:14" ht="11.25" customHeight="1" x14ac:dyDescent="0.25">
      <c r="G3456" s="459"/>
      <c r="H3456" s="459">
        <v>3449</v>
      </c>
      <c r="I3456" s="444">
        <f t="shared" ca="1" si="168"/>
        <v>-779930406597.55737</v>
      </c>
      <c r="J3456" s="444">
        <f t="array" ref="J3456">IFERROR(INDEX('Retirement Calculator'!J:J,MATCH('Isaac 401k'!N3456,'Retirement Calculator'!A:A,0),0),0)</f>
        <v>0</v>
      </c>
      <c r="K3456" s="444">
        <f t="shared" ca="1" si="166"/>
        <v>-3249710027.4898224</v>
      </c>
      <c r="L3456" s="444">
        <f t="shared" ca="1" si="167"/>
        <v>-783180116625.04724</v>
      </c>
      <c r="M3456" s="460">
        <f t="shared" si="169"/>
        <v>0.05</v>
      </c>
      <c r="N3456" s="464">
        <f t="shared" si="170"/>
        <v>156233</v>
      </c>
    </row>
    <row r="3457" spans="7:14" ht="11.25" customHeight="1" x14ac:dyDescent="0.25">
      <c r="G3457" s="459"/>
      <c r="H3457" s="459">
        <v>3450</v>
      </c>
      <c r="I3457" s="444">
        <f t="shared" ca="1" si="168"/>
        <v>-783180116625.04724</v>
      </c>
      <c r="J3457" s="444">
        <f t="array" ref="J3457">IFERROR(INDEX('Retirement Calculator'!J:J,MATCH('Isaac 401k'!N3457,'Retirement Calculator'!A:A,0),0),0)</f>
        <v>0</v>
      </c>
      <c r="K3457" s="444">
        <f t="shared" ca="1" si="166"/>
        <v>-3263250485.9376969</v>
      </c>
      <c r="L3457" s="444">
        <f t="shared" ca="1" si="167"/>
        <v>-786443367110.98499</v>
      </c>
      <c r="M3457" s="460">
        <f t="shared" si="169"/>
        <v>0.05</v>
      </c>
      <c r="N3457" s="464">
        <f t="shared" si="170"/>
        <v>156264</v>
      </c>
    </row>
    <row r="3458" spans="7:14" ht="11.25" customHeight="1" x14ac:dyDescent="0.25">
      <c r="G3458" s="459"/>
      <c r="H3458" s="459">
        <v>3451</v>
      </c>
      <c r="I3458" s="444">
        <f t="shared" ca="1" si="168"/>
        <v>-786443367110.98499</v>
      </c>
      <c r="J3458" s="444">
        <f t="array" ref="J3458">IFERROR(INDEX('Retirement Calculator'!J:J,MATCH('Isaac 401k'!N3458,'Retirement Calculator'!A:A,0),0),0)</f>
        <v>0</v>
      </c>
      <c r="K3458" s="444">
        <f t="shared" ca="1" si="166"/>
        <v>-3276847362.9624376</v>
      </c>
      <c r="L3458" s="444">
        <f t="shared" ca="1" si="167"/>
        <v>-789720214473.94739</v>
      </c>
      <c r="M3458" s="460">
        <f t="shared" si="169"/>
        <v>0.05</v>
      </c>
      <c r="N3458" s="464">
        <f t="shared" si="170"/>
        <v>156294</v>
      </c>
    </row>
    <row r="3459" spans="7:14" ht="11.25" customHeight="1" x14ac:dyDescent="0.25">
      <c r="G3459" s="459"/>
      <c r="H3459" s="459">
        <v>3452</v>
      </c>
      <c r="I3459" s="444">
        <f t="shared" ca="1" si="168"/>
        <v>-789720214473.94739</v>
      </c>
      <c r="J3459" s="444">
        <f t="array" ref="J3459">IFERROR(INDEX('Retirement Calculator'!J:J,MATCH('Isaac 401k'!N3459,'Retirement Calculator'!A:A,0),0),0)</f>
        <v>0</v>
      </c>
      <c r="K3459" s="444">
        <f t="shared" ca="1" si="166"/>
        <v>-3290500893.6414475</v>
      </c>
      <c r="L3459" s="444">
        <f t="shared" ca="1" si="167"/>
        <v>-793010715367.58887</v>
      </c>
      <c r="M3459" s="460">
        <f t="shared" si="169"/>
        <v>0.05</v>
      </c>
      <c r="N3459" s="464">
        <f t="shared" si="170"/>
        <v>156325</v>
      </c>
    </row>
    <row r="3460" spans="7:14" ht="11.25" customHeight="1" x14ac:dyDescent="0.25">
      <c r="G3460" s="459"/>
      <c r="H3460" s="459">
        <v>3453</v>
      </c>
      <c r="I3460" s="444">
        <f t="shared" ca="1" si="168"/>
        <v>-793010715367.58887</v>
      </c>
      <c r="J3460" s="444">
        <f t="array" ref="J3460">IFERROR(INDEX('Retirement Calculator'!J:J,MATCH('Isaac 401k'!N3460,'Retirement Calculator'!A:A,0),0),0)</f>
        <v>0</v>
      </c>
      <c r="K3460" s="444">
        <f t="shared" ca="1" si="166"/>
        <v>-3304211314.03162</v>
      </c>
      <c r="L3460" s="444">
        <f t="shared" ca="1" si="167"/>
        <v>-796314926681.62048</v>
      </c>
      <c r="M3460" s="460">
        <f t="shared" si="169"/>
        <v>0.05</v>
      </c>
      <c r="N3460" s="464">
        <f t="shared" si="170"/>
        <v>156356</v>
      </c>
    </row>
    <row r="3461" spans="7:14" ht="11.25" customHeight="1" x14ac:dyDescent="0.25">
      <c r="G3461" s="459"/>
      <c r="H3461" s="459">
        <v>3454</v>
      </c>
      <c r="I3461" s="444">
        <f t="shared" ca="1" si="168"/>
        <v>-796314926681.62048</v>
      </c>
      <c r="J3461" s="444">
        <f t="array" ref="J3461">IFERROR(INDEX('Retirement Calculator'!J:J,MATCH('Isaac 401k'!N3461,'Retirement Calculator'!A:A,0),0),0)</f>
        <v>0</v>
      </c>
      <c r="K3461" s="444">
        <f t="shared" ca="1" si="166"/>
        <v>-3317978861.1734185</v>
      </c>
      <c r="L3461" s="444">
        <f t="shared" ca="1" si="167"/>
        <v>-799632905542.79395</v>
      </c>
      <c r="M3461" s="460">
        <f t="shared" si="169"/>
        <v>0.05</v>
      </c>
      <c r="N3461" s="464">
        <f t="shared" si="170"/>
        <v>156385</v>
      </c>
    </row>
    <row r="3462" spans="7:14" ht="11.25" customHeight="1" x14ac:dyDescent="0.25">
      <c r="G3462" s="459"/>
      <c r="H3462" s="459">
        <v>3455</v>
      </c>
      <c r="I3462" s="444">
        <f t="shared" ca="1" si="168"/>
        <v>-799632905542.79395</v>
      </c>
      <c r="J3462" s="444">
        <f t="array" ref="J3462">IFERROR(INDEX('Retirement Calculator'!J:J,MATCH('Isaac 401k'!N3462,'Retirement Calculator'!A:A,0),0),0)</f>
        <v>0</v>
      </c>
      <c r="K3462" s="444">
        <f t="shared" ca="1" si="166"/>
        <v>-3331803773.0949745</v>
      </c>
      <c r="L3462" s="444">
        <f t="shared" ca="1" si="167"/>
        <v>-802964709315.88892</v>
      </c>
      <c r="M3462" s="460">
        <f t="shared" si="169"/>
        <v>0.05</v>
      </c>
      <c r="N3462" s="464">
        <f t="shared" si="170"/>
        <v>156416</v>
      </c>
    </row>
    <row r="3463" spans="7:14" ht="11.25" customHeight="1" x14ac:dyDescent="0.25">
      <c r="G3463" s="459"/>
      <c r="H3463" s="459">
        <v>3456</v>
      </c>
      <c r="I3463" s="444">
        <f t="shared" ca="1" si="168"/>
        <v>-802964709315.88892</v>
      </c>
      <c r="J3463" s="444">
        <f t="array" ref="J3463">IFERROR(INDEX('Retirement Calculator'!J:J,MATCH('Isaac 401k'!N3463,'Retirement Calculator'!A:A,0),0),0)</f>
        <v>0</v>
      </c>
      <c r="K3463" s="444">
        <f t="shared" ca="1" si="166"/>
        <v>-3345686288.8162036</v>
      </c>
      <c r="L3463" s="444">
        <f t="shared" ca="1" si="167"/>
        <v>-806310395604.70508</v>
      </c>
      <c r="M3463" s="460">
        <f t="shared" si="169"/>
        <v>0.05</v>
      </c>
      <c r="N3463" s="464">
        <f t="shared" si="170"/>
        <v>156446</v>
      </c>
    </row>
    <row r="3464" spans="7:14" ht="11.25" customHeight="1" x14ac:dyDescent="0.25">
      <c r="G3464" s="459"/>
      <c r="H3464" s="459">
        <v>3457</v>
      </c>
      <c r="I3464" s="444">
        <f t="shared" ca="1" si="168"/>
        <v>-806310395604.70508</v>
      </c>
      <c r="J3464" s="444">
        <f t="array" ref="J3464">IFERROR(INDEX('Retirement Calculator'!J:J,MATCH('Isaac 401k'!N3464,'Retirement Calculator'!A:A,0),0),0)</f>
        <v>0</v>
      </c>
      <c r="K3464" s="444">
        <f t="shared" ca="1" si="166"/>
        <v>-3359626648.3529377</v>
      </c>
      <c r="L3464" s="444">
        <f t="shared" ca="1" si="167"/>
        <v>-809670022253.05798</v>
      </c>
      <c r="M3464" s="460">
        <f t="shared" si="169"/>
        <v>0.05</v>
      </c>
      <c r="N3464" s="464">
        <f t="shared" si="170"/>
        <v>156477</v>
      </c>
    </row>
    <row r="3465" spans="7:14" ht="11.25" customHeight="1" x14ac:dyDescent="0.25">
      <c r="G3465" s="459"/>
      <c r="H3465" s="459">
        <v>3458</v>
      </c>
      <c r="I3465" s="444">
        <f t="shared" ca="1" si="168"/>
        <v>-809670022253.05798</v>
      </c>
      <c r="J3465" s="444">
        <f t="array" ref="J3465">IFERROR(INDEX('Retirement Calculator'!J:J,MATCH('Isaac 401k'!N3465,'Retirement Calculator'!A:A,0),0),0)</f>
        <v>0</v>
      </c>
      <c r="K3465" s="444">
        <f t="shared" ca="1" si="166"/>
        <v>-3373625092.7210751</v>
      </c>
      <c r="L3465" s="444">
        <f t="shared" ca="1" si="167"/>
        <v>-813043647345.77905</v>
      </c>
      <c r="M3465" s="460">
        <f t="shared" si="169"/>
        <v>0.05</v>
      </c>
      <c r="N3465" s="464">
        <f t="shared" si="170"/>
        <v>156507</v>
      </c>
    </row>
    <row r="3466" spans="7:14" ht="11.25" customHeight="1" x14ac:dyDescent="0.25">
      <c r="G3466" s="459"/>
      <c r="H3466" s="459">
        <v>3459</v>
      </c>
      <c r="I3466" s="444">
        <f t="shared" ca="1" si="168"/>
        <v>-813043647345.77905</v>
      </c>
      <c r="J3466" s="444">
        <f t="array" ref="J3466">IFERROR(INDEX('Retirement Calculator'!J:J,MATCH('Isaac 401k'!N3466,'Retirement Calculator'!A:A,0),0),0)</f>
        <v>0</v>
      </c>
      <c r="K3466" s="444">
        <f t="shared" ca="1" si="166"/>
        <v>-3387681863.9407458</v>
      </c>
      <c r="L3466" s="444">
        <f t="shared" ca="1" si="167"/>
        <v>-816431329209.71985</v>
      </c>
      <c r="M3466" s="460">
        <f t="shared" si="169"/>
        <v>0.05</v>
      </c>
      <c r="N3466" s="464">
        <f t="shared" si="170"/>
        <v>156538</v>
      </c>
    </row>
    <row r="3467" spans="7:14" ht="11.25" customHeight="1" x14ac:dyDescent="0.25">
      <c r="G3467" s="459"/>
      <c r="H3467" s="459">
        <v>3460</v>
      </c>
      <c r="I3467" s="444">
        <f t="shared" ca="1" si="168"/>
        <v>-816431329209.71985</v>
      </c>
      <c r="J3467" s="444">
        <f t="array" ref="J3467">IFERROR(INDEX('Retirement Calculator'!J:J,MATCH('Isaac 401k'!N3467,'Retirement Calculator'!A:A,0),0),0)</f>
        <v>0</v>
      </c>
      <c r="K3467" s="444">
        <f t="shared" ca="1" si="166"/>
        <v>-3401797205.0404992</v>
      </c>
      <c r="L3467" s="444">
        <f t="shared" ca="1" si="167"/>
        <v>-819833126414.76038</v>
      </c>
      <c r="M3467" s="460">
        <f t="shared" si="169"/>
        <v>0.05</v>
      </c>
      <c r="N3467" s="464">
        <f t="shared" si="170"/>
        <v>156569</v>
      </c>
    </row>
    <row r="3468" spans="7:14" ht="11.25" customHeight="1" x14ac:dyDescent="0.25">
      <c r="G3468" s="459"/>
      <c r="H3468" s="459">
        <v>3461</v>
      </c>
      <c r="I3468" s="444">
        <f t="shared" ca="1" si="168"/>
        <v>-819833126414.76038</v>
      </c>
      <c r="J3468" s="444">
        <f t="array" ref="J3468">IFERROR(INDEX('Retirement Calculator'!J:J,MATCH('Isaac 401k'!N3468,'Retirement Calculator'!A:A,0),0),0)</f>
        <v>0</v>
      </c>
      <c r="K3468" s="444">
        <f t="shared" ca="1" si="166"/>
        <v>-3415971360.0615015</v>
      </c>
      <c r="L3468" s="444">
        <f t="shared" ca="1" si="167"/>
        <v>-823249097774.8219</v>
      </c>
      <c r="M3468" s="460">
        <f t="shared" si="169"/>
        <v>0.05</v>
      </c>
      <c r="N3468" s="464">
        <f t="shared" si="170"/>
        <v>156599</v>
      </c>
    </row>
    <row r="3469" spans="7:14" ht="11.25" customHeight="1" x14ac:dyDescent="0.25">
      <c r="G3469" s="459"/>
      <c r="H3469" s="459">
        <v>3462</v>
      </c>
      <c r="I3469" s="444">
        <f t="shared" ca="1" si="168"/>
        <v>-823249097774.8219</v>
      </c>
      <c r="J3469" s="444">
        <f t="array" ref="J3469">IFERROR(INDEX('Retirement Calculator'!J:J,MATCH('Isaac 401k'!N3469,'Retirement Calculator'!A:A,0),0),0)</f>
        <v>0</v>
      </c>
      <c r="K3469" s="444">
        <f t="shared" ca="1" si="166"/>
        <v>-3430204574.061758</v>
      </c>
      <c r="L3469" s="444">
        <f t="shared" ca="1" si="167"/>
        <v>-826679302348.88367</v>
      </c>
      <c r="M3469" s="460">
        <f t="shared" si="169"/>
        <v>0.05</v>
      </c>
      <c r="N3469" s="464">
        <f t="shared" si="170"/>
        <v>156630</v>
      </c>
    </row>
    <row r="3470" spans="7:14" ht="11.25" customHeight="1" x14ac:dyDescent="0.25">
      <c r="G3470" s="459"/>
      <c r="H3470" s="459">
        <v>3463</v>
      </c>
      <c r="I3470" s="444">
        <f t="shared" ca="1" si="168"/>
        <v>-826679302348.88367</v>
      </c>
      <c r="J3470" s="444">
        <f t="array" ref="J3470">IFERROR(INDEX('Retirement Calculator'!J:J,MATCH('Isaac 401k'!N3470,'Retirement Calculator'!A:A,0),0),0)</f>
        <v>0</v>
      </c>
      <c r="K3470" s="444">
        <f t="shared" ca="1" si="166"/>
        <v>-3444497093.1203485</v>
      </c>
      <c r="L3470" s="444">
        <f t="shared" ca="1" si="167"/>
        <v>-830123799442.00403</v>
      </c>
      <c r="M3470" s="460">
        <f t="shared" si="169"/>
        <v>0.05</v>
      </c>
      <c r="N3470" s="464">
        <f t="shared" si="170"/>
        <v>156660</v>
      </c>
    </row>
    <row r="3471" spans="7:14" ht="11.25" customHeight="1" x14ac:dyDescent="0.25">
      <c r="G3471" s="459"/>
      <c r="H3471" s="459">
        <v>3464</v>
      </c>
      <c r="I3471" s="444">
        <f t="shared" ca="1" si="168"/>
        <v>-830123799442.00403</v>
      </c>
      <c r="J3471" s="444">
        <f t="array" ref="J3471">IFERROR(INDEX('Retirement Calculator'!J:J,MATCH('Isaac 401k'!N3471,'Retirement Calculator'!A:A,0),0),0)</f>
        <v>0</v>
      </c>
      <c r="K3471" s="444">
        <f t="shared" ca="1" si="166"/>
        <v>-3458849164.3416834</v>
      </c>
      <c r="L3471" s="444">
        <f t="shared" ca="1" si="167"/>
        <v>-833582648606.3457</v>
      </c>
      <c r="M3471" s="460">
        <f t="shared" si="169"/>
        <v>0.05</v>
      </c>
      <c r="N3471" s="464">
        <f t="shared" si="170"/>
        <v>156691</v>
      </c>
    </row>
    <row r="3472" spans="7:14" ht="11.25" customHeight="1" x14ac:dyDescent="0.25">
      <c r="G3472" s="459"/>
      <c r="H3472" s="459">
        <v>3465</v>
      </c>
      <c r="I3472" s="444">
        <f t="shared" ca="1" si="168"/>
        <v>-833582648606.3457</v>
      </c>
      <c r="J3472" s="444">
        <f t="array" ref="J3472">IFERROR(INDEX('Retirement Calculator'!J:J,MATCH('Isaac 401k'!N3472,'Retirement Calculator'!A:A,0),0),0)</f>
        <v>0</v>
      </c>
      <c r="K3472" s="444">
        <f t="shared" ca="1" si="166"/>
        <v>-3473261035.8597736</v>
      </c>
      <c r="L3472" s="444">
        <f t="shared" ca="1" si="167"/>
        <v>-837055909642.20544</v>
      </c>
      <c r="M3472" s="460">
        <f t="shared" si="169"/>
        <v>0.05</v>
      </c>
      <c r="N3472" s="464">
        <f t="shared" si="170"/>
        <v>156722</v>
      </c>
    </row>
    <row r="3473" spans="7:14" ht="11.25" customHeight="1" x14ac:dyDescent="0.25">
      <c r="G3473" s="459"/>
      <c r="H3473" s="459">
        <v>3466</v>
      </c>
      <c r="I3473" s="444">
        <f t="shared" ca="1" si="168"/>
        <v>-837055909642.20544</v>
      </c>
      <c r="J3473" s="444">
        <f t="array" ref="J3473">IFERROR(INDEX('Retirement Calculator'!J:J,MATCH('Isaac 401k'!N3473,'Retirement Calculator'!A:A,0),0),0)</f>
        <v>0</v>
      </c>
      <c r="K3473" s="444">
        <f t="shared" ca="1" si="166"/>
        <v>-3487732956.8425226</v>
      </c>
      <c r="L3473" s="444">
        <f t="shared" ca="1" si="167"/>
        <v>-840543642599.04797</v>
      </c>
      <c r="M3473" s="460">
        <f t="shared" si="169"/>
        <v>0.05</v>
      </c>
      <c r="N3473" s="464">
        <f t="shared" si="170"/>
        <v>156750</v>
      </c>
    </row>
    <row r="3474" spans="7:14" ht="11.25" customHeight="1" x14ac:dyDescent="0.25">
      <c r="G3474" s="459"/>
      <c r="H3474" s="459">
        <v>3467</v>
      </c>
      <c r="I3474" s="444">
        <f t="shared" ca="1" si="168"/>
        <v>-840543642599.04797</v>
      </c>
      <c r="J3474" s="444">
        <f t="array" ref="J3474">IFERROR(INDEX('Retirement Calculator'!J:J,MATCH('Isaac 401k'!N3474,'Retirement Calculator'!A:A,0),0),0)</f>
        <v>0</v>
      </c>
      <c r="K3474" s="444">
        <f t="shared" ca="1" si="166"/>
        <v>-3502265177.4960332</v>
      </c>
      <c r="L3474" s="444">
        <f t="shared" ca="1" si="167"/>
        <v>-844045907776.54407</v>
      </c>
      <c r="M3474" s="460">
        <f t="shared" si="169"/>
        <v>0.05</v>
      </c>
      <c r="N3474" s="464">
        <f t="shared" si="170"/>
        <v>156781</v>
      </c>
    </row>
    <row r="3475" spans="7:14" ht="11.25" customHeight="1" x14ac:dyDescent="0.25">
      <c r="G3475" s="459"/>
      <c r="H3475" s="459">
        <v>3468</v>
      </c>
      <c r="I3475" s="444">
        <f t="shared" ca="1" si="168"/>
        <v>-844045907776.54407</v>
      </c>
      <c r="J3475" s="444">
        <f t="array" ref="J3475">IFERROR(INDEX('Retirement Calculator'!J:J,MATCH('Isaac 401k'!N3475,'Retirement Calculator'!A:A,0),0),0)</f>
        <v>0</v>
      </c>
      <c r="K3475" s="444">
        <f t="shared" ca="1" si="166"/>
        <v>-3516857949.0689335</v>
      </c>
      <c r="L3475" s="444">
        <f t="shared" ca="1" si="167"/>
        <v>-847562765725.61304</v>
      </c>
      <c r="M3475" s="460">
        <f t="shared" si="169"/>
        <v>0.05</v>
      </c>
      <c r="N3475" s="464">
        <f t="shared" si="170"/>
        <v>156811</v>
      </c>
    </row>
    <row r="3476" spans="7:14" ht="11.25" customHeight="1" x14ac:dyDescent="0.25">
      <c r="G3476" s="459"/>
      <c r="H3476" s="459">
        <v>3469</v>
      </c>
      <c r="I3476" s="444">
        <f t="shared" ca="1" si="168"/>
        <v>-847562765725.61304</v>
      </c>
      <c r="J3476" s="444">
        <f t="array" ref="J3476">IFERROR(INDEX('Retirement Calculator'!J:J,MATCH('Isaac 401k'!N3476,'Retirement Calculator'!A:A,0),0),0)</f>
        <v>0</v>
      </c>
      <c r="K3476" s="444">
        <f t="shared" ca="1" si="166"/>
        <v>-3531511523.8567209</v>
      </c>
      <c r="L3476" s="444">
        <f t="shared" ca="1" si="167"/>
        <v>-851094277249.46973</v>
      </c>
      <c r="M3476" s="460">
        <f t="shared" si="169"/>
        <v>0.05</v>
      </c>
      <c r="N3476" s="464">
        <f t="shared" si="170"/>
        <v>156842</v>
      </c>
    </row>
    <row r="3477" spans="7:14" ht="11.25" customHeight="1" x14ac:dyDescent="0.25">
      <c r="G3477" s="459"/>
      <c r="H3477" s="459">
        <v>3470</v>
      </c>
      <c r="I3477" s="444">
        <f t="shared" ca="1" si="168"/>
        <v>-851094277249.46973</v>
      </c>
      <c r="J3477" s="444">
        <f t="array" ref="J3477">IFERROR(INDEX('Retirement Calculator'!J:J,MATCH('Isaac 401k'!N3477,'Retirement Calculator'!A:A,0),0),0)</f>
        <v>0</v>
      </c>
      <c r="K3477" s="444">
        <f t="shared" ca="1" si="166"/>
        <v>-3546226155.2061238</v>
      </c>
      <c r="L3477" s="444">
        <f t="shared" ca="1" si="167"/>
        <v>-854640503404.6759</v>
      </c>
      <c r="M3477" s="460">
        <f t="shared" si="169"/>
        <v>0.05</v>
      </c>
      <c r="N3477" s="464">
        <f t="shared" si="170"/>
        <v>156872</v>
      </c>
    </row>
    <row r="3478" spans="7:14" ht="11.25" customHeight="1" x14ac:dyDescent="0.25">
      <c r="G3478" s="459"/>
      <c r="H3478" s="459">
        <v>3471</v>
      </c>
      <c r="I3478" s="444">
        <f t="shared" ca="1" si="168"/>
        <v>-854640503404.6759</v>
      </c>
      <c r="J3478" s="444">
        <f t="array" ref="J3478">IFERROR(INDEX('Retirement Calculator'!J:J,MATCH('Isaac 401k'!N3478,'Retirement Calculator'!A:A,0),0),0)</f>
        <v>0</v>
      </c>
      <c r="K3478" s="444">
        <f t="shared" ca="1" si="166"/>
        <v>-3561002097.5194831</v>
      </c>
      <c r="L3478" s="444">
        <f t="shared" ca="1" si="167"/>
        <v>-858201505502.19543</v>
      </c>
      <c r="M3478" s="460">
        <f t="shared" si="169"/>
        <v>0.05</v>
      </c>
      <c r="N3478" s="464">
        <f t="shared" si="170"/>
        <v>156903</v>
      </c>
    </row>
    <row r="3479" spans="7:14" ht="11.25" customHeight="1" x14ac:dyDescent="0.25">
      <c r="G3479" s="459"/>
      <c r="H3479" s="459">
        <v>3472</v>
      </c>
      <c r="I3479" s="444">
        <f t="shared" ca="1" si="168"/>
        <v>-858201505502.19543</v>
      </c>
      <c r="J3479" s="444">
        <f t="array" ref="J3479">IFERROR(INDEX('Retirement Calculator'!J:J,MATCH('Isaac 401k'!N3479,'Retirement Calculator'!A:A,0),0),0)</f>
        <v>0</v>
      </c>
      <c r="K3479" s="444">
        <f t="shared" ca="1" si="166"/>
        <v>-3575839606.2591481</v>
      </c>
      <c r="L3479" s="444">
        <f t="shared" ca="1" si="167"/>
        <v>-861777345108.45459</v>
      </c>
      <c r="M3479" s="460">
        <f t="shared" si="169"/>
        <v>0.05</v>
      </c>
      <c r="N3479" s="464">
        <f t="shared" si="170"/>
        <v>156934</v>
      </c>
    </row>
    <row r="3480" spans="7:14" ht="11.25" customHeight="1" x14ac:dyDescent="0.25">
      <c r="G3480" s="459"/>
      <c r="H3480" s="459">
        <v>3473</v>
      </c>
      <c r="I3480" s="444">
        <f t="shared" ca="1" si="168"/>
        <v>-861777345108.45459</v>
      </c>
      <c r="J3480" s="444">
        <f t="array" ref="J3480">IFERROR(INDEX('Retirement Calculator'!J:J,MATCH('Isaac 401k'!N3480,'Retirement Calculator'!A:A,0),0),0)</f>
        <v>0</v>
      </c>
      <c r="K3480" s="444">
        <f t="shared" ca="1" si="166"/>
        <v>-3590738937.9518943</v>
      </c>
      <c r="L3480" s="444">
        <f t="shared" ca="1" si="167"/>
        <v>-865368084046.40649</v>
      </c>
      <c r="M3480" s="460">
        <f t="shared" si="169"/>
        <v>0.05</v>
      </c>
      <c r="N3480" s="464">
        <f t="shared" si="170"/>
        <v>156964</v>
      </c>
    </row>
    <row r="3481" spans="7:14" ht="11.25" customHeight="1" x14ac:dyDescent="0.25">
      <c r="G3481" s="459"/>
      <c r="H3481" s="459">
        <v>3474</v>
      </c>
      <c r="I3481" s="444">
        <f t="shared" ca="1" si="168"/>
        <v>-865368084046.40649</v>
      </c>
      <c r="J3481" s="444">
        <f t="array" ref="J3481">IFERROR(INDEX('Retirement Calculator'!J:J,MATCH('Isaac 401k'!N3481,'Retirement Calculator'!A:A,0),0),0)</f>
        <v>0</v>
      </c>
      <c r="K3481" s="444">
        <f t="shared" ca="1" si="166"/>
        <v>-3605700350.1933603</v>
      </c>
      <c r="L3481" s="444">
        <f t="shared" ca="1" si="167"/>
        <v>-868973784396.59985</v>
      </c>
      <c r="M3481" s="460">
        <f t="shared" si="169"/>
        <v>0.05</v>
      </c>
      <c r="N3481" s="464">
        <f t="shared" si="170"/>
        <v>156995</v>
      </c>
    </row>
    <row r="3482" spans="7:14" ht="11.25" customHeight="1" x14ac:dyDescent="0.25">
      <c r="G3482" s="459"/>
      <c r="H3482" s="459">
        <v>3475</v>
      </c>
      <c r="I3482" s="444">
        <f t="shared" ca="1" si="168"/>
        <v>-868973784396.59985</v>
      </c>
      <c r="J3482" s="444">
        <f t="array" ref="J3482">IFERROR(INDEX('Retirement Calculator'!J:J,MATCH('Isaac 401k'!N3482,'Retirement Calculator'!A:A,0),0),0)</f>
        <v>0</v>
      </c>
      <c r="K3482" s="444">
        <f t="shared" ca="1" si="166"/>
        <v>-3620724101.6524992</v>
      </c>
      <c r="L3482" s="444">
        <f t="shared" ca="1" si="167"/>
        <v>-872594508498.25232</v>
      </c>
      <c r="M3482" s="460">
        <f t="shared" si="169"/>
        <v>0.05</v>
      </c>
      <c r="N3482" s="464">
        <f t="shared" si="170"/>
        <v>157025</v>
      </c>
    </row>
    <row r="3483" spans="7:14" ht="11.25" customHeight="1" x14ac:dyDescent="0.25">
      <c r="G3483" s="459"/>
      <c r="H3483" s="459">
        <v>3476</v>
      </c>
      <c r="I3483" s="444">
        <f t="shared" ca="1" si="168"/>
        <v>-872594508498.25232</v>
      </c>
      <c r="J3483" s="444">
        <f t="array" ref="J3483">IFERROR(INDEX('Retirement Calculator'!J:J,MATCH('Isaac 401k'!N3483,'Retirement Calculator'!A:A,0),0),0)</f>
        <v>0</v>
      </c>
      <c r="K3483" s="444">
        <f t="shared" ca="1" si="166"/>
        <v>-3635810452.0760512</v>
      </c>
      <c r="L3483" s="444">
        <f t="shared" ca="1" si="167"/>
        <v>-876230318950.32837</v>
      </c>
      <c r="M3483" s="460">
        <f t="shared" si="169"/>
        <v>0.05</v>
      </c>
      <c r="N3483" s="464">
        <f t="shared" si="170"/>
        <v>157056</v>
      </c>
    </row>
    <row r="3484" spans="7:14" ht="11.25" customHeight="1" x14ac:dyDescent="0.25">
      <c r="G3484" s="459"/>
      <c r="H3484" s="459">
        <v>3477</v>
      </c>
      <c r="I3484" s="444">
        <f t="shared" ca="1" si="168"/>
        <v>-876230318950.32837</v>
      </c>
      <c r="J3484" s="444">
        <f t="array" ref="J3484">IFERROR(INDEX('Retirement Calculator'!J:J,MATCH('Isaac 401k'!N3484,'Retirement Calculator'!A:A,0),0),0)</f>
        <v>0</v>
      </c>
      <c r="K3484" s="444">
        <f t="shared" ca="1" si="166"/>
        <v>-3650959662.293035</v>
      </c>
      <c r="L3484" s="444">
        <f t="shared" ca="1" si="167"/>
        <v>-879881278612.62146</v>
      </c>
      <c r="M3484" s="460">
        <f t="shared" si="169"/>
        <v>0.05</v>
      </c>
      <c r="N3484" s="464">
        <f t="shared" si="170"/>
        <v>157087</v>
      </c>
    </row>
    <row r="3485" spans="7:14" ht="11.25" customHeight="1" x14ac:dyDescent="0.25">
      <c r="G3485" s="459"/>
      <c r="H3485" s="459">
        <v>3478</v>
      </c>
      <c r="I3485" s="444">
        <f t="shared" ca="1" si="168"/>
        <v>-879881278612.62146</v>
      </c>
      <c r="J3485" s="444">
        <f t="array" ref="J3485">IFERROR(INDEX('Retirement Calculator'!J:J,MATCH('Isaac 401k'!N3485,'Retirement Calculator'!A:A,0),0),0)</f>
        <v>0</v>
      </c>
      <c r="K3485" s="444">
        <f t="shared" ca="1" si="166"/>
        <v>-3666171994.2192559</v>
      </c>
      <c r="L3485" s="444">
        <f t="shared" ca="1" si="167"/>
        <v>-883547450606.8407</v>
      </c>
      <c r="M3485" s="460">
        <f t="shared" si="169"/>
        <v>0.05</v>
      </c>
      <c r="N3485" s="464">
        <f t="shared" si="170"/>
        <v>157115</v>
      </c>
    </row>
    <row r="3486" spans="7:14" ht="11.25" customHeight="1" x14ac:dyDescent="0.25">
      <c r="G3486" s="459"/>
      <c r="H3486" s="459">
        <v>3479</v>
      </c>
      <c r="I3486" s="444">
        <f t="shared" ca="1" si="168"/>
        <v>-883547450606.8407</v>
      </c>
      <c r="J3486" s="444">
        <f t="array" ref="J3486">IFERROR(INDEX('Retirement Calculator'!J:J,MATCH('Isaac 401k'!N3486,'Retirement Calculator'!A:A,0),0),0)</f>
        <v>0</v>
      </c>
      <c r="K3486" s="444">
        <f t="shared" ca="1" si="166"/>
        <v>-3681447710.861836</v>
      </c>
      <c r="L3486" s="444">
        <f t="shared" ca="1" si="167"/>
        <v>-887228898317.70251</v>
      </c>
      <c r="M3486" s="460">
        <f t="shared" si="169"/>
        <v>0.05</v>
      </c>
      <c r="N3486" s="464">
        <f t="shared" si="170"/>
        <v>157146</v>
      </c>
    </row>
    <row r="3487" spans="7:14" ht="11.25" customHeight="1" x14ac:dyDescent="0.25">
      <c r="G3487" s="459"/>
      <c r="H3487" s="459">
        <v>3480</v>
      </c>
      <c r="I3487" s="444">
        <f t="shared" ca="1" si="168"/>
        <v>-887228898317.70251</v>
      </c>
      <c r="J3487" s="444">
        <f t="array" ref="J3487">IFERROR(INDEX('Retirement Calculator'!J:J,MATCH('Isaac 401k'!N3487,'Retirement Calculator'!A:A,0),0),0)</f>
        <v>0</v>
      </c>
      <c r="K3487" s="444">
        <f t="shared" ca="1" si="166"/>
        <v>-3696787076.3237605</v>
      </c>
      <c r="L3487" s="444">
        <f t="shared" ca="1" si="167"/>
        <v>-890925685394.02625</v>
      </c>
      <c r="M3487" s="460">
        <f t="shared" si="169"/>
        <v>0.05</v>
      </c>
      <c r="N3487" s="464">
        <f t="shared" si="170"/>
        <v>157176</v>
      </c>
    </row>
    <row r="3488" spans="7:14" ht="11.25" customHeight="1" x14ac:dyDescent="0.25">
      <c r="G3488" s="459"/>
      <c r="H3488" s="459">
        <v>3481</v>
      </c>
      <c r="I3488" s="444">
        <f t="shared" ca="1" si="168"/>
        <v>-890925685394.02625</v>
      </c>
      <c r="J3488" s="444">
        <f t="array" ref="J3488">IFERROR(INDEX('Retirement Calculator'!J:J,MATCH('Isaac 401k'!N3488,'Retirement Calculator'!A:A,0),0),0)</f>
        <v>0</v>
      </c>
      <c r="K3488" s="444">
        <f t="shared" ca="1" si="166"/>
        <v>-3712190355.8084426</v>
      </c>
      <c r="L3488" s="444">
        <f t="shared" ca="1" si="167"/>
        <v>-894637875749.83472</v>
      </c>
      <c r="M3488" s="460">
        <f t="shared" si="169"/>
        <v>0.05</v>
      </c>
      <c r="N3488" s="464">
        <f t="shared" si="170"/>
        <v>157207</v>
      </c>
    </row>
    <row r="3489" spans="7:14" ht="11.25" customHeight="1" x14ac:dyDescent="0.25">
      <c r="G3489" s="459"/>
      <c r="H3489" s="459">
        <v>3482</v>
      </c>
      <c r="I3489" s="444">
        <f t="shared" ca="1" si="168"/>
        <v>-894637875749.83472</v>
      </c>
      <c r="J3489" s="444">
        <f t="array" ref="J3489">IFERROR(INDEX('Retirement Calculator'!J:J,MATCH('Isaac 401k'!N3489,'Retirement Calculator'!A:A,0),0),0)</f>
        <v>0</v>
      </c>
      <c r="K3489" s="444">
        <f t="shared" ca="1" si="166"/>
        <v>-3727657815.624311</v>
      </c>
      <c r="L3489" s="444">
        <f t="shared" ca="1" si="167"/>
        <v>-898365533565.45898</v>
      </c>
      <c r="M3489" s="460">
        <f t="shared" si="169"/>
        <v>0.05</v>
      </c>
      <c r="N3489" s="464">
        <f t="shared" si="170"/>
        <v>157237</v>
      </c>
    </row>
    <row r="3490" spans="7:14" ht="11.25" customHeight="1" x14ac:dyDescent="0.25">
      <c r="G3490" s="459"/>
      <c r="H3490" s="459">
        <v>3483</v>
      </c>
      <c r="I3490" s="444">
        <f t="shared" ca="1" si="168"/>
        <v>-898365533565.45898</v>
      </c>
      <c r="J3490" s="444">
        <f t="array" ref="J3490">IFERROR(INDEX('Retirement Calculator'!J:J,MATCH('Isaac 401k'!N3490,'Retirement Calculator'!A:A,0),0),0)</f>
        <v>0</v>
      </c>
      <c r="K3490" s="444">
        <f t="shared" ca="1" si="166"/>
        <v>-3743189723.1894126</v>
      </c>
      <c r="L3490" s="444">
        <f t="shared" ca="1" si="167"/>
        <v>-902108723288.64844</v>
      </c>
      <c r="M3490" s="460">
        <f t="shared" si="169"/>
        <v>0.05</v>
      </c>
      <c r="N3490" s="464">
        <f t="shared" si="170"/>
        <v>157268</v>
      </c>
    </row>
    <row r="3491" spans="7:14" ht="11.25" customHeight="1" x14ac:dyDescent="0.25">
      <c r="G3491" s="459"/>
      <c r="H3491" s="459">
        <v>3484</v>
      </c>
      <c r="I3491" s="444">
        <f t="shared" ca="1" si="168"/>
        <v>-902108723288.64844</v>
      </c>
      <c r="J3491" s="444">
        <f t="array" ref="J3491">IFERROR(INDEX('Retirement Calculator'!J:J,MATCH('Isaac 401k'!N3491,'Retirement Calculator'!A:A,0),0),0)</f>
        <v>0</v>
      </c>
      <c r="K3491" s="444">
        <f t="shared" ca="1" si="166"/>
        <v>-3758786347.0360351</v>
      </c>
      <c r="L3491" s="444">
        <f t="shared" ca="1" si="167"/>
        <v>-905867509635.68445</v>
      </c>
      <c r="M3491" s="460">
        <f t="shared" si="169"/>
        <v>0.05</v>
      </c>
      <c r="N3491" s="464">
        <f t="shared" si="170"/>
        <v>157299</v>
      </c>
    </row>
    <row r="3492" spans="7:14" ht="11.25" customHeight="1" x14ac:dyDescent="0.25">
      <c r="G3492" s="459"/>
      <c r="H3492" s="459">
        <v>3485</v>
      </c>
      <c r="I3492" s="444">
        <f t="shared" ca="1" si="168"/>
        <v>-905867509635.68445</v>
      </c>
      <c r="J3492" s="444">
        <f t="array" ref="J3492">IFERROR(INDEX('Retirement Calculator'!J:J,MATCH('Isaac 401k'!N3492,'Retirement Calculator'!A:A,0),0),0)</f>
        <v>0</v>
      </c>
      <c r="K3492" s="444">
        <f t="shared" ca="1" si="166"/>
        <v>-3774447956.815352</v>
      </c>
      <c r="L3492" s="444">
        <f t="shared" ca="1" si="167"/>
        <v>-909641957592.49976</v>
      </c>
      <c r="M3492" s="460">
        <f t="shared" si="169"/>
        <v>0.05</v>
      </c>
      <c r="N3492" s="464">
        <f t="shared" si="170"/>
        <v>157329</v>
      </c>
    </row>
    <row r="3493" spans="7:14" ht="11.25" customHeight="1" x14ac:dyDescent="0.25">
      <c r="G3493" s="459"/>
      <c r="H3493" s="459">
        <v>3486</v>
      </c>
      <c r="I3493" s="444">
        <f t="shared" ca="1" si="168"/>
        <v>-909641957592.49976</v>
      </c>
      <c r="J3493" s="444">
        <f t="array" ref="J3493">IFERROR(INDEX('Retirement Calculator'!J:J,MATCH('Isaac 401k'!N3493,'Retirement Calculator'!A:A,0),0),0)</f>
        <v>0</v>
      </c>
      <c r="K3493" s="444">
        <f t="shared" ca="1" si="166"/>
        <v>-3790174823.3020816</v>
      </c>
      <c r="L3493" s="444">
        <f t="shared" ca="1" si="167"/>
        <v>-913432132415.80188</v>
      </c>
      <c r="M3493" s="460">
        <f t="shared" si="169"/>
        <v>0.05</v>
      </c>
      <c r="N3493" s="464">
        <f t="shared" si="170"/>
        <v>157360</v>
      </c>
    </row>
    <row r="3494" spans="7:14" ht="11.25" customHeight="1" x14ac:dyDescent="0.25">
      <c r="G3494" s="459"/>
      <c r="H3494" s="459">
        <v>3487</v>
      </c>
      <c r="I3494" s="444">
        <f t="shared" ca="1" si="168"/>
        <v>-913432132415.80188</v>
      </c>
      <c r="J3494" s="444">
        <f t="array" ref="J3494">IFERROR(INDEX('Retirement Calculator'!J:J,MATCH('Isaac 401k'!N3494,'Retirement Calculator'!A:A,0),0),0)</f>
        <v>0</v>
      </c>
      <c r="K3494" s="444">
        <f t="shared" ca="1" si="166"/>
        <v>-3805967218.3991742</v>
      </c>
      <c r="L3494" s="444">
        <f t="shared" ca="1" si="167"/>
        <v>-917238099634.20105</v>
      </c>
      <c r="M3494" s="460">
        <f t="shared" si="169"/>
        <v>0.05</v>
      </c>
      <c r="N3494" s="464">
        <f t="shared" si="170"/>
        <v>157390</v>
      </c>
    </row>
    <row r="3495" spans="7:14" ht="11.25" customHeight="1" x14ac:dyDescent="0.25">
      <c r="G3495" s="459"/>
      <c r="H3495" s="459">
        <v>3488</v>
      </c>
      <c r="I3495" s="444">
        <f t="shared" ca="1" si="168"/>
        <v>-917238099634.20105</v>
      </c>
      <c r="J3495" s="444">
        <f t="array" ref="J3495">IFERROR(INDEX('Retirement Calculator'!J:J,MATCH('Isaac 401k'!N3495,'Retirement Calculator'!A:A,0),0),0)</f>
        <v>0</v>
      </c>
      <c r="K3495" s="444">
        <f t="shared" ca="1" si="166"/>
        <v>-3821825415.1425042</v>
      </c>
      <c r="L3495" s="444">
        <f t="shared" ca="1" si="167"/>
        <v>-921059925049.34351</v>
      </c>
      <c r="M3495" s="460">
        <f t="shared" si="169"/>
        <v>0.05</v>
      </c>
      <c r="N3495" s="464">
        <f t="shared" si="170"/>
        <v>157421</v>
      </c>
    </row>
    <row r="3496" spans="7:14" ht="11.25" customHeight="1" x14ac:dyDescent="0.25">
      <c r="G3496" s="459"/>
      <c r="H3496" s="459">
        <v>3489</v>
      </c>
      <c r="I3496" s="444">
        <f t="shared" ca="1" si="168"/>
        <v>-921059925049.34351</v>
      </c>
      <c r="J3496" s="444">
        <f t="array" ref="J3496">IFERROR(INDEX('Retirement Calculator'!J:J,MATCH('Isaac 401k'!N3496,'Retirement Calculator'!A:A,0),0),0)</f>
        <v>0</v>
      </c>
      <c r="K3496" s="444">
        <f t="shared" ca="1" si="166"/>
        <v>-3837749687.7055974</v>
      </c>
      <c r="L3496" s="444">
        <f t="shared" ca="1" si="167"/>
        <v>-924897674737.04907</v>
      </c>
      <c r="M3496" s="460">
        <f t="shared" si="169"/>
        <v>0.05</v>
      </c>
      <c r="N3496" s="464">
        <f t="shared" si="170"/>
        <v>157452</v>
      </c>
    </row>
    <row r="3497" spans="7:14" ht="11.25" customHeight="1" x14ac:dyDescent="0.25">
      <c r="G3497" s="459"/>
      <c r="H3497" s="459">
        <v>3490</v>
      </c>
      <c r="I3497" s="444">
        <f t="shared" ca="1" si="168"/>
        <v>-924897674737.04907</v>
      </c>
      <c r="J3497" s="444">
        <f t="array" ref="J3497">IFERROR(INDEX('Retirement Calculator'!J:J,MATCH('Isaac 401k'!N3497,'Retirement Calculator'!A:A,0),0),0)</f>
        <v>0</v>
      </c>
      <c r="K3497" s="444">
        <f t="shared" ca="1" si="166"/>
        <v>-3853740311.4043713</v>
      </c>
      <c r="L3497" s="444">
        <f t="shared" ca="1" si="167"/>
        <v>-928751415048.45349</v>
      </c>
      <c r="M3497" s="460">
        <f t="shared" si="169"/>
        <v>0.05</v>
      </c>
      <c r="N3497" s="464">
        <f t="shared" si="170"/>
        <v>157480</v>
      </c>
    </row>
    <row r="3498" spans="7:14" ht="11.25" customHeight="1" x14ac:dyDescent="0.25">
      <c r="G3498" s="459"/>
      <c r="H3498" s="459">
        <v>3491</v>
      </c>
      <c r="I3498" s="444">
        <f t="shared" ca="1" si="168"/>
        <v>-928751415048.45349</v>
      </c>
      <c r="J3498" s="444">
        <f t="array" ref="J3498">IFERROR(INDEX('Retirement Calculator'!J:J,MATCH('Isaac 401k'!N3498,'Retirement Calculator'!A:A,0),0),0)</f>
        <v>0</v>
      </c>
      <c r="K3498" s="444">
        <f t="shared" ca="1" si="166"/>
        <v>-3869797562.701889</v>
      </c>
      <c r="L3498" s="444">
        <f t="shared" ca="1" si="167"/>
        <v>-932621212611.1554</v>
      </c>
      <c r="M3498" s="460">
        <f t="shared" si="169"/>
        <v>0.05</v>
      </c>
      <c r="N3498" s="464">
        <f t="shared" si="170"/>
        <v>157511</v>
      </c>
    </row>
    <row r="3499" spans="7:14" ht="11.25" customHeight="1" x14ac:dyDescent="0.25">
      <c r="G3499" s="459"/>
      <c r="H3499" s="459">
        <v>3492</v>
      </c>
      <c r="I3499" s="444">
        <f t="shared" ca="1" si="168"/>
        <v>-932621212611.1554</v>
      </c>
      <c r="J3499" s="444">
        <f t="array" ref="J3499">IFERROR(INDEX('Retirement Calculator'!J:J,MATCH('Isaac 401k'!N3499,'Retirement Calculator'!A:A,0),0),0)</f>
        <v>0</v>
      </c>
      <c r="K3499" s="444">
        <f t="shared" ca="1" si="166"/>
        <v>-3885921719.2131481</v>
      </c>
      <c r="L3499" s="444">
        <f t="shared" ca="1" si="167"/>
        <v>-936507134330.36853</v>
      </c>
      <c r="M3499" s="460">
        <f t="shared" si="169"/>
        <v>0.05</v>
      </c>
      <c r="N3499" s="464">
        <f t="shared" si="170"/>
        <v>157541</v>
      </c>
    </row>
    <row r="3500" spans="7:14" ht="11.25" customHeight="1" x14ac:dyDescent="0.25">
      <c r="G3500" s="459"/>
      <c r="H3500" s="459">
        <v>3493</v>
      </c>
      <c r="I3500" s="444">
        <f t="shared" ca="1" si="168"/>
        <v>-936507134330.36853</v>
      </c>
      <c r="J3500" s="444">
        <f t="array" ref="J3500">IFERROR(INDEX('Retirement Calculator'!J:J,MATCH('Isaac 401k'!N3500,'Retirement Calculator'!A:A,0),0),0)</f>
        <v>0</v>
      </c>
      <c r="K3500" s="444">
        <f t="shared" ca="1" si="166"/>
        <v>-3902113059.7098689</v>
      </c>
      <c r="L3500" s="444">
        <f t="shared" ca="1" si="167"/>
        <v>-940409247390.07837</v>
      </c>
      <c r="M3500" s="460">
        <f t="shared" si="169"/>
        <v>0.05</v>
      </c>
      <c r="N3500" s="464">
        <f t="shared" si="170"/>
        <v>157572</v>
      </c>
    </row>
    <row r="3501" spans="7:14" ht="11.25" customHeight="1" x14ac:dyDescent="0.25">
      <c r="G3501" s="459"/>
      <c r="H3501" s="459">
        <v>3494</v>
      </c>
      <c r="I3501" s="444">
        <f t="shared" ca="1" si="168"/>
        <v>-940409247390.07837</v>
      </c>
      <c r="J3501" s="444">
        <f t="array" ref="J3501">IFERROR(INDEX('Retirement Calculator'!J:J,MATCH('Isaac 401k'!N3501,'Retirement Calculator'!A:A,0),0),0)</f>
        <v>0</v>
      </c>
      <c r="K3501" s="444">
        <f t="shared" ca="1" si="166"/>
        <v>-3918371864.1253266</v>
      </c>
      <c r="L3501" s="444">
        <f t="shared" ca="1" si="167"/>
        <v>-944327619254.20374</v>
      </c>
      <c r="M3501" s="460">
        <f t="shared" si="169"/>
        <v>0.05</v>
      </c>
      <c r="N3501" s="464">
        <f t="shared" si="170"/>
        <v>157602</v>
      </c>
    </row>
    <row r="3502" spans="7:14" ht="11.25" customHeight="1" x14ac:dyDescent="0.25">
      <c r="G3502" s="459"/>
      <c r="H3502" s="459">
        <v>3495</v>
      </c>
      <c r="I3502" s="444">
        <f t="shared" ca="1" si="168"/>
        <v>-944327619254.20374</v>
      </c>
      <c r="J3502" s="444">
        <f t="array" ref="J3502">IFERROR(INDEX('Retirement Calculator'!J:J,MATCH('Isaac 401k'!N3502,'Retirement Calculator'!A:A,0),0),0)</f>
        <v>0</v>
      </c>
      <c r="K3502" s="444">
        <f t="shared" ca="1" si="166"/>
        <v>-3934698413.5591822</v>
      </c>
      <c r="L3502" s="444">
        <f t="shared" ca="1" si="167"/>
        <v>-948262317667.76294</v>
      </c>
      <c r="M3502" s="460">
        <f t="shared" si="169"/>
        <v>0.05</v>
      </c>
      <c r="N3502" s="464">
        <f t="shared" si="170"/>
        <v>157633</v>
      </c>
    </row>
    <row r="3503" spans="7:14" ht="11.25" customHeight="1" x14ac:dyDescent="0.25">
      <c r="G3503" s="459"/>
      <c r="H3503" s="459">
        <v>3496</v>
      </c>
      <c r="I3503" s="444">
        <f t="shared" ca="1" si="168"/>
        <v>-948262317667.76294</v>
      </c>
      <c r="J3503" s="444">
        <f t="array" ref="J3503">IFERROR(INDEX('Retirement Calculator'!J:J,MATCH('Isaac 401k'!N3503,'Retirement Calculator'!A:A,0),0),0)</f>
        <v>0</v>
      </c>
      <c r="K3503" s="444">
        <f t="shared" ca="1" si="166"/>
        <v>-3951092990.2823453</v>
      </c>
      <c r="L3503" s="444">
        <f t="shared" ca="1" si="167"/>
        <v>-952213410658.04529</v>
      </c>
      <c r="M3503" s="460">
        <f t="shared" si="169"/>
        <v>0.05</v>
      </c>
      <c r="N3503" s="464">
        <f t="shared" si="170"/>
        <v>157664</v>
      </c>
    </row>
    <row r="3504" spans="7:14" ht="11.25" customHeight="1" x14ac:dyDescent="0.25">
      <c r="G3504" s="459"/>
      <c r="H3504" s="459">
        <v>3497</v>
      </c>
      <c r="I3504" s="444">
        <f t="shared" ca="1" si="168"/>
        <v>-952213410658.04529</v>
      </c>
      <c r="J3504" s="444">
        <f t="array" ref="J3504">IFERROR(INDEX('Retirement Calculator'!J:J,MATCH('Isaac 401k'!N3504,'Retirement Calculator'!A:A,0),0),0)</f>
        <v>0</v>
      </c>
      <c r="K3504" s="444">
        <f t="shared" ca="1" si="166"/>
        <v>-3967555877.7418556</v>
      </c>
      <c r="L3504" s="444">
        <f t="shared" ca="1" si="167"/>
        <v>-956180966535.78711</v>
      </c>
      <c r="M3504" s="460">
        <f t="shared" si="169"/>
        <v>0.05</v>
      </c>
      <c r="N3504" s="464">
        <f t="shared" si="170"/>
        <v>157694</v>
      </c>
    </row>
    <row r="3505" spans="7:14" ht="11.25" customHeight="1" x14ac:dyDescent="0.25">
      <c r="G3505" s="459"/>
      <c r="H3505" s="459">
        <v>3498</v>
      </c>
      <c r="I3505" s="444">
        <f t="shared" ca="1" si="168"/>
        <v>-956180966535.78711</v>
      </c>
      <c r="J3505" s="444">
        <f t="array" ref="J3505">IFERROR(INDEX('Retirement Calculator'!J:J,MATCH('Isaac 401k'!N3505,'Retirement Calculator'!A:A,0),0),0)</f>
        <v>0</v>
      </c>
      <c r="K3505" s="444">
        <f t="shared" ca="1" si="166"/>
        <v>-3984087360.5657797</v>
      </c>
      <c r="L3505" s="444">
        <f t="shared" ca="1" si="167"/>
        <v>-960165053896.35291</v>
      </c>
      <c r="M3505" s="460">
        <f t="shared" si="169"/>
        <v>0.05</v>
      </c>
      <c r="N3505" s="464">
        <f t="shared" si="170"/>
        <v>157725</v>
      </c>
    </row>
    <row r="3506" spans="7:14" ht="11.25" customHeight="1" x14ac:dyDescent="0.25">
      <c r="G3506" s="459"/>
      <c r="H3506" s="459">
        <v>3499</v>
      </c>
      <c r="I3506" s="444">
        <f t="shared" ca="1" si="168"/>
        <v>-960165053896.35291</v>
      </c>
      <c r="J3506" s="444">
        <f t="array" ref="J3506">IFERROR(INDEX('Retirement Calculator'!J:J,MATCH('Isaac 401k'!N3506,'Retirement Calculator'!A:A,0),0),0)</f>
        <v>0</v>
      </c>
      <c r="K3506" s="444">
        <f t="shared" ca="1" si="166"/>
        <v>-4000687724.5681372</v>
      </c>
      <c r="L3506" s="444">
        <f t="shared" ca="1" si="167"/>
        <v>-964165741620.92102</v>
      </c>
      <c r="M3506" s="460">
        <f t="shared" si="169"/>
        <v>0.05</v>
      </c>
      <c r="N3506" s="464">
        <f t="shared" si="170"/>
        <v>157755</v>
      </c>
    </row>
    <row r="3507" spans="7:14" ht="11.25" customHeight="1" x14ac:dyDescent="0.25">
      <c r="G3507" s="459"/>
      <c r="H3507" s="459">
        <v>3500</v>
      </c>
      <c r="I3507" s="444">
        <f t="shared" ca="1" si="168"/>
        <v>-964165741620.92102</v>
      </c>
      <c r="J3507" s="444">
        <f t="array" ref="J3507">IFERROR(INDEX('Retirement Calculator'!J:J,MATCH('Isaac 401k'!N3507,'Retirement Calculator'!A:A,0),0),0)</f>
        <v>0</v>
      </c>
      <c r="K3507" s="444">
        <f t="shared" ca="1" si="166"/>
        <v>-4017357256.7538376</v>
      </c>
      <c r="L3507" s="444">
        <f t="shared" ca="1" si="167"/>
        <v>-968183098877.6748</v>
      </c>
      <c r="M3507" s="460">
        <f t="shared" si="169"/>
        <v>0.05</v>
      </c>
      <c r="N3507" s="464">
        <f t="shared" si="170"/>
        <v>157786</v>
      </c>
    </row>
    <row r="3508" spans="7:14" ht="11.25" customHeight="1" x14ac:dyDescent="0.25">
      <c r="G3508" s="459"/>
      <c r="H3508" s="459">
        <v>3501</v>
      </c>
      <c r="I3508" s="444">
        <f t="shared" ca="1" si="168"/>
        <v>-968183098877.6748</v>
      </c>
      <c r="J3508" s="444">
        <f t="array" ref="J3508">IFERROR(INDEX('Retirement Calculator'!J:J,MATCH('Isaac 401k'!N3508,'Retirement Calculator'!A:A,0),0),0)</f>
        <v>0</v>
      </c>
      <c r="K3508" s="444">
        <f t="shared" ca="1" si="166"/>
        <v>-4034096245.3236451</v>
      </c>
      <c r="L3508" s="444">
        <f t="shared" ca="1" si="167"/>
        <v>-972217195122.99841</v>
      </c>
      <c r="M3508" s="460">
        <f t="shared" si="169"/>
        <v>0.05</v>
      </c>
      <c r="N3508" s="464">
        <f t="shared" si="170"/>
        <v>157817</v>
      </c>
    </row>
    <row r="3509" spans="7:14" ht="11.25" customHeight="1" x14ac:dyDescent="0.25">
      <c r="G3509" s="459"/>
      <c r="H3509" s="459">
        <v>3502</v>
      </c>
      <c r="I3509" s="444">
        <f t="shared" ca="1" si="168"/>
        <v>-972217195122.99841</v>
      </c>
      <c r="J3509" s="444">
        <f t="array" ref="J3509">IFERROR(INDEX('Retirement Calculator'!J:J,MATCH('Isaac 401k'!N3509,'Retirement Calculator'!A:A,0),0),0)</f>
        <v>0</v>
      </c>
      <c r="K3509" s="444">
        <f t="shared" ca="1" si="166"/>
        <v>-4050904979.6791601</v>
      </c>
      <c r="L3509" s="444">
        <f t="shared" ca="1" si="167"/>
        <v>-976268100102.67761</v>
      </c>
      <c r="M3509" s="460">
        <f t="shared" si="169"/>
        <v>0.05</v>
      </c>
      <c r="N3509" s="464">
        <f t="shared" si="170"/>
        <v>157846</v>
      </c>
    </row>
    <row r="3510" spans="7:14" ht="11.25" customHeight="1" x14ac:dyDescent="0.25">
      <c r="G3510" s="459"/>
      <c r="H3510" s="459">
        <v>3503</v>
      </c>
      <c r="I3510" s="444">
        <f t="shared" ca="1" si="168"/>
        <v>-976268100102.67761</v>
      </c>
      <c r="J3510" s="444">
        <f t="array" ref="J3510">IFERROR(INDEX('Retirement Calculator'!J:J,MATCH('Isaac 401k'!N3510,'Retirement Calculator'!A:A,0),0),0)</f>
        <v>0</v>
      </c>
      <c r="K3510" s="444">
        <f t="shared" ca="1" si="166"/>
        <v>-4067783750.427824</v>
      </c>
      <c r="L3510" s="444">
        <f t="shared" ca="1" si="167"/>
        <v>-980335883853.10547</v>
      </c>
      <c r="M3510" s="460">
        <f t="shared" si="169"/>
        <v>0.05</v>
      </c>
      <c r="N3510" s="464">
        <f t="shared" si="170"/>
        <v>157877</v>
      </c>
    </row>
    <row r="3511" spans="7:14" ht="11.25" customHeight="1" x14ac:dyDescent="0.25">
      <c r="G3511" s="459"/>
      <c r="H3511" s="459">
        <v>3504</v>
      </c>
      <c r="I3511" s="444">
        <f t="shared" ca="1" si="168"/>
        <v>-980335883853.10547</v>
      </c>
      <c r="J3511" s="444">
        <f t="array" ref="J3511">IFERROR(INDEX('Retirement Calculator'!J:J,MATCH('Isaac 401k'!N3511,'Retirement Calculator'!A:A,0),0),0)</f>
        <v>0</v>
      </c>
      <c r="K3511" s="444">
        <f t="shared" ca="1" si="166"/>
        <v>-4084732849.387939</v>
      </c>
      <c r="L3511" s="444">
        <f t="shared" ca="1" si="167"/>
        <v>-984420616702.49341</v>
      </c>
      <c r="M3511" s="460">
        <f t="shared" si="169"/>
        <v>0.05</v>
      </c>
      <c r="N3511" s="464">
        <f t="shared" si="170"/>
        <v>157907</v>
      </c>
    </row>
    <row r="3512" spans="7:14" ht="11.25" customHeight="1" x14ac:dyDescent="0.25">
      <c r="G3512" s="459"/>
      <c r="H3512" s="459">
        <v>3505</v>
      </c>
      <c r="I3512" s="444">
        <f t="shared" ca="1" si="168"/>
        <v>-984420616702.49341</v>
      </c>
      <c r="J3512" s="444">
        <f t="array" ref="J3512">IFERROR(INDEX('Retirement Calculator'!J:J,MATCH('Isaac 401k'!N3512,'Retirement Calculator'!A:A,0),0),0)</f>
        <v>0</v>
      </c>
      <c r="K3512" s="444">
        <f t="shared" ca="1" si="166"/>
        <v>-4101752569.5937228</v>
      </c>
      <c r="L3512" s="444">
        <f t="shared" ca="1" si="167"/>
        <v>-988522369272.08716</v>
      </c>
      <c r="M3512" s="460">
        <f t="shared" si="169"/>
        <v>0.05</v>
      </c>
      <c r="N3512" s="464">
        <f t="shared" si="170"/>
        <v>157938</v>
      </c>
    </row>
    <row r="3513" spans="7:14" ht="11.25" customHeight="1" x14ac:dyDescent="0.25">
      <c r="G3513" s="459"/>
      <c r="H3513" s="459">
        <v>3506</v>
      </c>
      <c r="I3513" s="444">
        <f t="shared" ca="1" si="168"/>
        <v>-988522369272.08716</v>
      </c>
      <c r="J3513" s="444">
        <f t="array" ref="J3513">IFERROR(INDEX('Retirement Calculator'!J:J,MATCH('Isaac 401k'!N3513,'Retirement Calculator'!A:A,0),0),0)</f>
        <v>0</v>
      </c>
      <c r="K3513" s="444">
        <f t="shared" ca="1" si="166"/>
        <v>-4118843205.3003635</v>
      </c>
      <c r="L3513" s="444">
        <f t="shared" ca="1" si="167"/>
        <v>-992641212477.38757</v>
      </c>
      <c r="M3513" s="460">
        <f t="shared" si="169"/>
        <v>0.05</v>
      </c>
      <c r="N3513" s="464">
        <f t="shared" si="170"/>
        <v>157968</v>
      </c>
    </row>
    <row r="3514" spans="7:14" ht="11.25" customHeight="1" x14ac:dyDescent="0.25">
      <c r="G3514" s="459"/>
      <c r="H3514" s="459">
        <v>3507</v>
      </c>
      <c r="I3514" s="444">
        <f t="shared" ca="1" si="168"/>
        <v>-992641212477.38757</v>
      </c>
      <c r="J3514" s="444">
        <f t="array" ref="J3514">IFERROR(INDEX('Retirement Calculator'!J:J,MATCH('Isaac 401k'!N3514,'Retirement Calculator'!A:A,0),0),0)</f>
        <v>0</v>
      </c>
      <c r="K3514" s="444">
        <f t="shared" ca="1" si="166"/>
        <v>-4136005051.9891152</v>
      </c>
      <c r="L3514" s="444">
        <f t="shared" ca="1" si="167"/>
        <v>-996777217529.37671</v>
      </c>
      <c r="M3514" s="460">
        <f t="shared" si="169"/>
        <v>0.05</v>
      </c>
      <c r="N3514" s="464">
        <f t="shared" si="170"/>
        <v>157999</v>
      </c>
    </row>
    <row r="3515" spans="7:14" ht="11.25" customHeight="1" x14ac:dyDescent="0.25">
      <c r="G3515" s="459"/>
      <c r="H3515" s="459">
        <v>3508</v>
      </c>
      <c r="I3515" s="444">
        <f t="shared" ca="1" si="168"/>
        <v>-996777217529.37671</v>
      </c>
      <c r="J3515" s="444">
        <f t="array" ref="J3515">IFERROR(INDEX('Retirement Calculator'!J:J,MATCH('Isaac 401k'!N3515,'Retirement Calculator'!A:A,0),0),0)</f>
        <v>0</v>
      </c>
      <c r="K3515" s="444">
        <f t="shared" ca="1" si="166"/>
        <v>-4153238406.3724036</v>
      </c>
      <c r="L3515" s="444">
        <f t="shared" ca="1" si="167"/>
        <v>-1000930455935.7491</v>
      </c>
      <c r="M3515" s="460">
        <f t="shared" si="169"/>
        <v>0.05</v>
      </c>
      <c r="N3515" s="464">
        <f t="shared" si="170"/>
        <v>158030</v>
      </c>
    </row>
    <row r="3516" spans="7:14" ht="11.25" customHeight="1" x14ac:dyDescent="0.25">
      <c r="G3516" s="459"/>
      <c r="H3516" s="459">
        <v>3509</v>
      </c>
      <c r="I3516" s="444">
        <f t="shared" ca="1" si="168"/>
        <v>-1000930455935.7491</v>
      </c>
      <c r="J3516" s="444">
        <f t="array" ref="J3516">IFERROR(INDEX('Retirement Calculator'!J:J,MATCH('Isaac 401k'!N3516,'Retirement Calculator'!A:A,0),0),0)</f>
        <v>0</v>
      </c>
      <c r="K3516" s="444">
        <f t="shared" ca="1" si="166"/>
        <v>-4170543566.3989549</v>
      </c>
      <c r="L3516" s="444">
        <f t="shared" ca="1" si="167"/>
        <v>-1005100999502.1481</v>
      </c>
      <c r="M3516" s="460">
        <f t="shared" si="169"/>
        <v>0.05</v>
      </c>
      <c r="N3516" s="464">
        <f t="shared" si="170"/>
        <v>158060</v>
      </c>
    </row>
    <row r="3517" spans="7:14" ht="11.25" customHeight="1" x14ac:dyDescent="0.25">
      <c r="G3517" s="459"/>
      <c r="H3517" s="459">
        <v>3510</v>
      </c>
      <c r="I3517" s="444">
        <f t="shared" ca="1" si="168"/>
        <v>-1005100999502.1481</v>
      </c>
      <c r="J3517" s="444">
        <f t="array" ref="J3517">IFERROR(INDEX('Retirement Calculator'!J:J,MATCH('Isaac 401k'!N3517,'Retirement Calculator'!A:A,0),0),0)</f>
        <v>0</v>
      </c>
      <c r="K3517" s="444">
        <f t="shared" ca="1" si="166"/>
        <v>-4187920831.2589498</v>
      </c>
      <c r="L3517" s="444">
        <f t="shared" ca="1" si="167"/>
        <v>-1009288920333.407</v>
      </c>
      <c r="M3517" s="460">
        <f t="shared" si="169"/>
        <v>0.05</v>
      </c>
      <c r="N3517" s="464">
        <f t="shared" si="170"/>
        <v>158091</v>
      </c>
    </row>
    <row r="3518" spans="7:14" ht="11.25" customHeight="1" x14ac:dyDescent="0.25">
      <c r="G3518" s="459"/>
      <c r="H3518" s="459">
        <v>3511</v>
      </c>
      <c r="I3518" s="444">
        <f t="shared" ca="1" si="168"/>
        <v>-1009288920333.407</v>
      </c>
      <c r="J3518" s="444">
        <f t="array" ref="J3518">IFERROR(INDEX('Retirement Calculator'!J:J,MATCH('Isaac 401k'!N3518,'Retirement Calculator'!A:A,0),0),0)</f>
        <v>0</v>
      </c>
      <c r="K3518" s="444">
        <f t="shared" ca="1" si="166"/>
        <v>-4205370501.389195</v>
      </c>
      <c r="L3518" s="444">
        <f t="shared" ca="1" si="167"/>
        <v>-1013494290834.7961</v>
      </c>
      <c r="M3518" s="460">
        <f t="shared" si="169"/>
        <v>0.05</v>
      </c>
      <c r="N3518" s="464">
        <f t="shared" si="170"/>
        <v>158121</v>
      </c>
    </row>
    <row r="3519" spans="7:14" ht="11.25" customHeight="1" x14ac:dyDescent="0.25">
      <c r="G3519" s="459"/>
      <c r="H3519" s="459">
        <v>3512</v>
      </c>
      <c r="I3519" s="444">
        <f t="shared" ca="1" si="168"/>
        <v>-1013494290834.7961</v>
      </c>
      <c r="J3519" s="444">
        <f t="array" ref="J3519">IFERROR(INDEX('Retirement Calculator'!J:J,MATCH('Isaac 401k'!N3519,'Retirement Calculator'!A:A,0),0),0)</f>
        <v>0</v>
      </c>
      <c r="K3519" s="444">
        <f t="shared" ca="1" si="166"/>
        <v>-4222892878.4783177</v>
      </c>
      <c r="L3519" s="444">
        <f t="shared" ca="1" si="167"/>
        <v>-1017717183713.2744</v>
      </c>
      <c r="M3519" s="460">
        <f t="shared" si="169"/>
        <v>0.05</v>
      </c>
      <c r="N3519" s="464">
        <f t="shared" si="170"/>
        <v>158152</v>
      </c>
    </row>
    <row r="3520" spans="7:14" ht="11.25" customHeight="1" x14ac:dyDescent="0.25">
      <c r="G3520" s="459"/>
      <c r="H3520" s="459">
        <v>3513</v>
      </c>
      <c r="I3520" s="444">
        <f t="shared" ca="1" si="168"/>
        <v>-1017717183713.2744</v>
      </c>
      <c r="J3520" s="444">
        <f t="array" ref="J3520">IFERROR(INDEX('Retirement Calculator'!J:J,MATCH('Isaac 401k'!N3520,'Retirement Calculator'!A:A,0),0),0)</f>
        <v>0</v>
      </c>
      <c r="K3520" s="444">
        <f t="shared" ca="1" si="166"/>
        <v>-4240488265.4719763</v>
      </c>
      <c r="L3520" s="444">
        <f t="shared" ca="1" si="167"/>
        <v>-1021957671978.7463</v>
      </c>
      <c r="M3520" s="460">
        <f t="shared" si="169"/>
        <v>0.05</v>
      </c>
      <c r="N3520" s="464">
        <f t="shared" si="170"/>
        <v>158183</v>
      </c>
    </row>
    <row r="3521" spans="7:14" ht="11.25" customHeight="1" x14ac:dyDescent="0.25">
      <c r="G3521" s="459"/>
      <c r="H3521" s="459">
        <v>3514</v>
      </c>
      <c r="I3521" s="444">
        <f t="shared" ca="1" si="168"/>
        <v>-1021957671978.7463</v>
      </c>
      <c r="J3521" s="444">
        <f t="array" ref="J3521">IFERROR(INDEX('Retirement Calculator'!J:J,MATCH('Isaac 401k'!N3521,'Retirement Calculator'!A:A,0),0),0)</f>
        <v>0</v>
      </c>
      <c r="K3521" s="444">
        <f t="shared" ca="1" si="166"/>
        <v>-4258156966.5781093</v>
      </c>
      <c r="L3521" s="444">
        <f t="shared" ca="1" si="167"/>
        <v>-1026215828945.3245</v>
      </c>
      <c r="M3521" s="460">
        <f t="shared" si="169"/>
        <v>0.05</v>
      </c>
      <c r="N3521" s="464">
        <f t="shared" si="170"/>
        <v>158211</v>
      </c>
    </row>
    <row r="3522" spans="7:14" ht="11.25" customHeight="1" x14ac:dyDescent="0.25">
      <c r="G3522" s="459"/>
      <c r="H3522" s="459">
        <v>3515</v>
      </c>
      <c r="I3522" s="444">
        <f t="shared" ca="1" si="168"/>
        <v>-1026215828945.3245</v>
      </c>
      <c r="J3522" s="444">
        <f t="array" ref="J3522">IFERROR(INDEX('Retirement Calculator'!J:J,MATCH('Isaac 401k'!N3522,'Retirement Calculator'!A:A,0),0),0)</f>
        <v>0</v>
      </c>
      <c r="K3522" s="444">
        <f t="shared" ca="1" si="166"/>
        <v>-4275899287.2721853</v>
      </c>
      <c r="L3522" s="444">
        <f t="shared" ca="1" si="167"/>
        <v>-1030491728232.5967</v>
      </c>
      <c r="M3522" s="460">
        <f t="shared" si="169"/>
        <v>0.05</v>
      </c>
      <c r="N3522" s="464">
        <f t="shared" si="170"/>
        <v>158242</v>
      </c>
    </row>
    <row r="3523" spans="7:14" ht="11.25" customHeight="1" x14ac:dyDescent="0.25">
      <c r="G3523" s="459"/>
      <c r="H3523" s="459">
        <v>3516</v>
      </c>
      <c r="I3523" s="444">
        <f t="shared" ca="1" si="168"/>
        <v>-1030491728232.5967</v>
      </c>
      <c r="J3523" s="444">
        <f t="array" ref="J3523">IFERROR(INDEX('Retirement Calculator'!J:J,MATCH('Isaac 401k'!N3523,'Retirement Calculator'!A:A,0),0),0)</f>
        <v>0</v>
      </c>
      <c r="K3523" s="444">
        <f t="shared" ca="1" si="166"/>
        <v>-4293715534.3024859</v>
      </c>
      <c r="L3523" s="444">
        <f t="shared" ca="1" si="167"/>
        <v>-1034785443766.8992</v>
      </c>
      <c r="M3523" s="460">
        <f t="shared" si="169"/>
        <v>0.05</v>
      </c>
      <c r="N3523" s="464">
        <f t="shared" si="170"/>
        <v>158272</v>
      </c>
    </row>
    <row r="3524" spans="7:14" ht="11.25" customHeight="1" x14ac:dyDescent="0.25">
      <c r="G3524" s="459"/>
      <c r="H3524" s="459">
        <v>3517</v>
      </c>
      <c r="I3524" s="444">
        <f t="shared" ca="1" si="168"/>
        <v>-1034785443766.8992</v>
      </c>
      <c r="J3524" s="444">
        <f t="array" ref="J3524">IFERROR(INDEX('Retirement Calculator'!J:J,MATCH('Isaac 401k'!N3524,'Retirement Calculator'!A:A,0),0),0)</f>
        <v>0</v>
      </c>
      <c r="K3524" s="444">
        <f t="shared" ca="1" si="166"/>
        <v>-4311606015.6954136</v>
      </c>
      <c r="L3524" s="444">
        <f t="shared" ca="1" si="167"/>
        <v>-1039097049782.5946</v>
      </c>
      <c r="M3524" s="460">
        <f t="shared" si="169"/>
        <v>0.05</v>
      </c>
      <c r="N3524" s="464">
        <f t="shared" si="170"/>
        <v>158303</v>
      </c>
    </row>
    <row r="3525" spans="7:14" ht="11.25" customHeight="1" x14ac:dyDescent="0.25">
      <c r="G3525" s="459"/>
      <c r="H3525" s="459">
        <v>3518</v>
      </c>
      <c r="I3525" s="444">
        <f t="shared" ca="1" si="168"/>
        <v>-1039097049782.5946</v>
      </c>
      <c r="J3525" s="444">
        <f t="array" ref="J3525">IFERROR(INDEX('Retirement Calculator'!J:J,MATCH('Isaac 401k'!N3525,'Retirement Calculator'!A:A,0),0),0)</f>
        <v>0</v>
      </c>
      <c r="K3525" s="444">
        <f t="shared" ca="1" si="166"/>
        <v>-4329571040.7608109</v>
      </c>
      <c r="L3525" s="444">
        <f t="shared" ca="1" si="167"/>
        <v>-1043426620823.3555</v>
      </c>
      <c r="M3525" s="460">
        <f t="shared" si="169"/>
        <v>0.05</v>
      </c>
      <c r="N3525" s="464">
        <f t="shared" si="170"/>
        <v>158333</v>
      </c>
    </row>
    <row r="3526" spans="7:14" ht="11.25" customHeight="1" x14ac:dyDescent="0.25">
      <c r="G3526" s="459"/>
      <c r="H3526" s="459">
        <v>3519</v>
      </c>
      <c r="I3526" s="444">
        <f t="shared" ca="1" si="168"/>
        <v>-1043426620823.3555</v>
      </c>
      <c r="J3526" s="444">
        <f t="array" ref="J3526">IFERROR(INDEX('Retirement Calculator'!J:J,MATCH('Isaac 401k'!N3526,'Retirement Calculator'!A:A,0),0),0)</f>
        <v>0</v>
      </c>
      <c r="K3526" s="444">
        <f t="shared" ca="1" si="166"/>
        <v>-4347610920.0973148</v>
      </c>
      <c r="L3526" s="444">
        <f t="shared" ca="1" si="167"/>
        <v>-1047774231743.4528</v>
      </c>
      <c r="M3526" s="460">
        <f t="shared" si="169"/>
        <v>0.05</v>
      </c>
      <c r="N3526" s="464">
        <f t="shared" si="170"/>
        <v>158364</v>
      </c>
    </row>
    <row r="3527" spans="7:14" ht="11.25" customHeight="1" x14ac:dyDescent="0.25">
      <c r="G3527" s="459"/>
      <c r="H3527" s="459">
        <v>3520</v>
      </c>
      <c r="I3527" s="444">
        <f t="shared" ca="1" si="168"/>
        <v>-1047774231743.4528</v>
      </c>
      <c r="J3527" s="444">
        <f t="array" ref="J3527">IFERROR(INDEX('Retirement Calculator'!J:J,MATCH('Isaac 401k'!N3527,'Retirement Calculator'!A:A,0),0),0)</f>
        <v>0</v>
      </c>
      <c r="K3527" s="444">
        <f t="shared" ca="1" si="166"/>
        <v>-4365725965.5977201</v>
      </c>
      <c r="L3527" s="444">
        <f t="shared" ca="1" si="167"/>
        <v>-1052139957709.0505</v>
      </c>
      <c r="M3527" s="460">
        <f t="shared" si="169"/>
        <v>0.05</v>
      </c>
      <c r="N3527" s="464">
        <f t="shared" si="170"/>
        <v>158395</v>
      </c>
    </row>
    <row r="3528" spans="7:14" ht="11.25" customHeight="1" x14ac:dyDescent="0.25">
      <c r="G3528" s="459"/>
      <c r="H3528" s="459">
        <v>3521</v>
      </c>
      <c r="I3528" s="444">
        <f t="shared" ca="1" si="168"/>
        <v>-1052139957709.0505</v>
      </c>
      <c r="J3528" s="444">
        <f t="array" ref="J3528">IFERROR(INDEX('Retirement Calculator'!J:J,MATCH('Isaac 401k'!N3528,'Retirement Calculator'!A:A,0),0),0)</f>
        <v>0</v>
      </c>
      <c r="K3528" s="444">
        <f t="shared" ca="1" si="166"/>
        <v>-4383916490.4543781</v>
      </c>
      <c r="L3528" s="444">
        <f t="shared" ca="1" si="167"/>
        <v>-1056523874199.5049</v>
      </c>
      <c r="M3528" s="460">
        <f t="shared" si="169"/>
        <v>0.05</v>
      </c>
      <c r="N3528" s="464">
        <f t="shared" si="170"/>
        <v>158425</v>
      </c>
    </row>
    <row r="3529" spans="7:14" ht="11.25" customHeight="1" x14ac:dyDescent="0.25">
      <c r="G3529" s="459"/>
      <c r="H3529" s="459">
        <v>3522</v>
      </c>
      <c r="I3529" s="444">
        <f t="shared" ca="1" si="168"/>
        <v>-1056523874199.5049</v>
      </c>
      <c r="J3529" s="444">
        <f t="array" ref="J3529">IFERROR(INDEX('Retirement Calculator'!J:J,MATCH('Isaac 401k'!N3529,'Retirement Calculator'!A:A,0),0),0)</f>
        <v>0</v>
      </c>
      <c r="K3529" s="444">
        <f t="shared" ca="1" si="166"/>
        <v>-4402182809.1646032</v>
      </c>
      <c r="L3529" s="444">
        <f t="shared" ca="1" si="167"/>
        <v>-1060926057008.6694</v>
      </c>
      <c r="M3529" s="460">
        <f t="shared" si="169"/>
        <v>0.05</v>
      </c>
      <c r="N3529" s="464">
        <f t="shared" si="170"/>
        <v>158456</v>
      </c>
    </row>
    <row r="3530" spans="7:14" ht="11.25" customHeight="1" x14ac:dyDescent="0.25">
      <c r="G3530" s="459"/>
      <c r="H3530" s="459">
        <v>3523</v>
      </c>
      <c r="I3530" s="444">
        <f t="shared" ca="1" si="168"/>
        <v>-1060926057008.6694</v>
      </c>
      <c r="J3530" s="444">
        <f t="array" ref="J3530">IFERROR(INDEX('Retirement Calculator'!J:J,MATCH('Isaac 401k'!N3530,'Retirement Calculator'!A:A,0),0),0)</f>
        <v>0</v>
      </c>
      <c r="K3530" s="444">
        <f t="shared" ca="1" si="166"/>
        <v>-4420525237.5361233</v>
      </c>
      <c r="L3530" s="444">
        <f t="shared" ca="1" si="167"/>
        <v>-1065346582246.2056</v>
      </c>
      <c r="M3530" s="460">
        <f t="shared" si="169"/>
        <v>0.05</v>
      </c>
      <c r="N3530" s="464">
        <f t="shared" si="170"/>
        <v>158486</v>
      </c>
    </row>
    <row r="3531" spans="7:14" ht="11.25" customHeight="1" x14ac:dyDescent="0.25">
      <c r="G3531" s="459"/>
      <c r="H3531" s="459">
        <v>3524</v>
      </c>
      <c r="I3531" s="444">
        <f t="shared" ca="1" si="168"/>
        <v>-1065346582246.2056</v>
      </c>
      <c r="J3531" s="444">
        <f t="array" ref="J3531">IFERROR(INDEX('Retirement Calculator'!J:J,MATCH('Isaac 401k'!N3531,'Retirement Calculator'!A:A,0),0),0)</f>
        <v>0</v>
      </c>
      <c r="K3531" s="444">
        <f t="shared" ca="1" si="166"/>
        <v>-4438944092.692523</v>
      </c>
      <c r="L3531" s="444">
        <f t="shared" ca="1" si="167"/>
        <v>-1069785526338.8981</v>
      </c>
      <c r="M3531" s="460">
        <f t="shared" si="169"/>
        <v>0.05</v>
      </c>
      <c r="N3531" s="464">
        <f t="shared" si="170"/>
        <v>158517</v>
      </c>
    </row>
    <row r="3532" spans="7:14" ht="11.25" customHeight="1" x14ac:dyDescent="0.25">
      <c r="G3532" s="459"/>
      <c r="H3532" s="459">
        <v>3525</v>
      </c>
      <c r="I3532" s="444">
        <f t="shared" ca="1" si="168"/>
        <v>-1069785526338.8981</v>
      </c>
      <c r="J3532" s="444">
        <f t="array" ref="J3532">IFERROR(INDEX('Retirement Calculator'!J:J,MATCH('Isaac 401k'!N3532,'Retirement Calculator'!A:A,0),0),0)</f>
        <v>0</v>
      </c>
      <c r="K3532" s="444">
        <f t="shared" ca="1" si="166"/>
        <v>-4457439693.0787411</v>
      </c>
      <c r="L3532" s="444">
        <f t="shared" ca="1" si="167"/>
        <v>-1074242966031.9768</v>
      </c>
      <c r="M3532" s="460">
        <f t="shared" si="169"/>
        <v>0.05</v>
      </c>
      <c r="N3532" s="464">
        <f t="shared" si="170"/>
        <v>158548</v>
      </c>
    </row>
    <row r="3533" spans="7:14" ht="11.25" customHeight="1" x14ac:dyDescent="0.25">
      <c r="G3533" s="459"/>
      <c r="H3533" s="459">
        <v>3526</v>
      </c>
      <c r="I3533" s="444">
        <f t="shared" ca="1" si="168"/>
        <v>-1074242966031.9768</v>
      </c>
      <c r="J3533" s="444">
        <f t="array" ref="J3533">IFERROR(INDEX('Retirement Calculator'!J:J,MATCH('Isaac 401k'!N3533,'Retirement Calculator'!A:A,0),0),0)</f>
        <v>0</v>
      </c>
      <c r="K3533" s="444">
        <f t="shared" ca="1" si="166"/>
        <v>-4476012358.4665699</v>
      </c>
      <c r="L3533" s="444">
        <f t="shared" ca="1" si="167"/>
        <v>-1078718978390.4434</v>
      </c>
      <c r="M3533" s="460">
        <f t="shared" si="169"/>
        <v>0.05</v>
      </c>
      <c r="N3533" s="464">
        <f t="shared" si="170"/>
        <v>158576</v>
      </c>
    </row>
    <row r="3534" spans="7:14" ht="11.25" customHeight="1" x14ac:dyDescent="0.25">
      <c r="G3534" s="459"/>
      <c r="H3534" s="459">
        <v>3527</v>
      </c>
      <c r="I3534" s="444">
        <f t="shared" ca="1" si="168"/>
        <v>-1078718978390.4434</v>
      </c>
      <c r="J3534" s="444">
        <f t="array" ref="J3534">IFERROR(INDEX('Retirement Calculator'!J:J,MATCH('Isaac 401k'!N3534,'Retirement Calculator'!A:A,0),0),0)</f>
        <v>0</v>
      </c>
      <c r="K3534" s="444">
        <f t="shared" ca="1" si="166"/>
        <v>-4494662409.9601803</v>
      </c>
      <c r="L3534" s="444">
        <f t="shared" ca="1" si="167"/>
        <v>-1083213640800.4036</v>
      </c>
      <c r="M3534" s="460">
        <f t="shared" si="169"/>
        <v>0.05</v>
      </c>
      <c r="N3534" s="464">
        <f t="shared" si="170"/>
        <v>158607</v>
      </c>
    </row>
    <row r="3535" spans="7:14" ht="11.25" customHeight="1" x14ac:dyDescent="0.25">
      <c r="G3535" s="459"/>
      <c r="H3535" s="459">
        <v>3528</v>
      </c>
      <c r="I3535" s="444">
        <f t="shared" ca="1" si="168"/>
        <v>-1083213640800.4036</v>
      </c>
      <c r="J3535" s="444">
        <f t="array" ref="J3535">IFERROR(INDEX('Retirement Calculator'!J:J,MATCH('Isaac 401k'!N3535,'Retirement Calculator'!A:A,0),0),0)</f>
        <v>0</v>
      </c>
      <c r="K3535" s="444">
        <f t="shared" ca="1" si="166"/>
        <v>-4513390170.0016823</v>
      </c>
      <c r="L3535" s="444">
        <f t="shared" ca="1" si="167"/>
        <v>-1087727030970.4053</v>
      </c>
      <c r="M3535" s="460">
        <f t="shared" si="169"/>
        <v>0.05</v>
      </c>
      <c r="N3535" s="464">
        <f t="shared" si="170"/>
        <v>158637</v>
      </c>
    </row>
    <row r="3536" spans="7:14" ht="11.25" customHeight="1" x14ac:dyDescent="0.25">
      <c r="G3536" s="459"/>
      <c r="H3536" s="459">
        <v>3529</v>
      </c>
      <c r="I3536" s="444">
        <f t="shared" ca="1" si="168"/>
        <v>-1087727030970.4053</v>
      </c>
      <c r="J3536" s="444">
        <f t="array" ref="J3536">IFERROR(INDEX('Retirement Calculator'!J:J,MATCH('Isaac 401k'!N3536,'Retirement Calculator'!A:A,0),0),0)</f>
        <v>0</v>
      </c>
      <c r="K3536" s="444">
        <f t="shared" ca="1" si="166"/>
        <v>-4532195962.376689</v>
      </c>
      <c r="L3536" s="444">
        <f t="shared" ca="1" si="167"/>
        <v>-1092259226932.782</v>
      </c>
      <c r="M3536" s="460">
        <f t="shared" si="169"/>
        <v>0.05</v>
      </c>
      <c r="N3536" s="464">
        <f t="shared" si="170"/>
        <v>158668</v>
      </c>
    </row>
    <row r="3537" spans="7:14" ht="11.25" customHeight="1" x14ac:dyDescent="0.25">
      <c r="G3537" s="459"/>
      <c r="H3537" s="459">
        <v>3530</v>
      </c>
      <c r="I3537" s="444">
        <f t="shared" ca="1" si="168"/>
        <v>-1092259226932.782</v>
      </c>
      <c r="J3537" s="444">
        <f t="array" ref="J3537">IFERROR(INDEX('Retirement Calculator'!J:J,MATCH('Isaac 401k'!N3537,'Retirement Calculator'!A:A,0),0),0)</f>
        <v>0</v>
      </c>
      <c r="K3537" s="444">
        <f t="shared" ca="1" si="166"/>
        <v>-4551080112.2199249</v>
      </c>
      <c r="L3537" s="444">
        <f t="shared" ca="1" si="167"/>
        <v>-1096810307045.002</v>
      </c>
      <c r="M3537" s="460">
        <f t="shared" si="169"/>
        <v>0.05</v>
      </c>
      <c r="N3537" s="464">
        <f t="shared" si="170"/>
        <v>158698</v>
      </c>
    </row>
    <row r="3538" spans="7:14" ht="11.25" customHeight="1" x14ac:dyDescent="0.25">
      <c r="G3538" s="459"/>
      <c r="H3538" s="459">
        <v>3531</v>
      </c>
      <c r="I3538" s="444">
        <f t="shared" ca="1" si="168"/>
        <v>-1096810307045.002</v>
      </c>
      <c r="J3538" s="444">
        <f t="array" ref="J3538">IFERROR(INDEX('Retirement Calculator'!J:J,MATCH('Isaac 401k'!N3538,'Retirement Calculator'!A:A,0),0),0)</f>
        <v>0</v>
      </c>
      <c r="K3538" s="444">
        <f t="shared" ca="1" si="166"/>
        <v>-4570042946.0208416</v>
      </c>
      <c r="L3538" s="444">
        <f t="shared" ca="1" si="167"/>
        <v>-1101380349991.0227</v>
      </c>
      <c r="M3538" s="460">
        <f t="shared" si="169"/>
        <v>0.05</v>
      </c>
      <c r="N3538" s="464">
        <f t="shared" si="170"/>
        <v>158729</v>
      </c>
    </row>
    <row r="3539" spans="7:14" ht="11.25" customHeight="1" x14ac:dyDescent="0.25">
      <c r="G3539" s="459"/>
      <c r="H3539" s="459">
        <v>3532</v>
      </c>
      <c r="I3539" s="444">
        <f t="shared" ca="1" si="168"/>
        <v>-1101380349991.0227</v>
      </c>
      <c r="J3539" s="444">
        <f t="array" ref="J3539">IFERROR(INDEX('Retirement Calculator'!J:J,MATCH('Isaac 401k'!N3539,'Retirement Calculator'!A:A,0),0),0)</f>
        <v>0</v>
      </c>
      <c r="K3539" s="444">
        <f t="shared" ca="1" si="166"/>
        <v>-4589084791.629261</v>
      </c>
      <c r="L3539" s="444">
        <f t="shared" ca="1" si="167"/>
        <v>-1105969434782.6519</v>
      </c>
      <c r="M3539" s="460">
        <f t="shared" si="169"/>
        <v>0.05</v>
      </c>
      <c r="N3539" s="464">
        <f t="shared" si="170"/>
        <v>158760</v>
      </c>
    </row>
    <row r="3540" spans="7:14" ht="11.25" customHeight="1" x14ac:dyDescent="0.25">
      <c r="G3540" s="459"/>
      <c r="H3540" s="459">
        <v>3533</v>
      </c>
      <c r="I3540" s="444">
        <f t="shared" ca="1" si="168"/>
        <v>-1105969434782.6519</v>
      </c>
      <c r="J3540" s="444">
        <f t="array" ref="J3540">IFERROR(INDEX('Retirement Calculator'!J:J,MATCH('Isaac 401k'!N3540,'Retirement Calculator'!A:A,0),0),0)</f>
        <v>0</v>
      </c>
      <c r="K3540" s="444">
        <f t="shared" ca="1" si="166"/>
        <v>-4608205978.2610493</v>
      </c>
      <c r="L3540" s="444">
        <f t="shared" ca="1" si="167"/>
        <v>-1110577640760.9128</v>
      </c>
      <c r="M3540" s="460">
        <f t="shared" si="169"/>
        <v>0.05</v>
      </c>
      <c r="N3540" s="464">
        <f t="shared" si="170"/>
        <v>158790</v>
      </c>
    </row>
    <row r="3541" spans="7:14" ht="11.25" customHeight="1" x14ac:dyDescent="0.25">
      <c r="G3541" s="459"/>
      <c r="H3541" s="459">
        <v>3534</v>
      </c>
      <c r="I3541" s="444">
        <f t="shared" ca="1" si="168"/>
        <v>-1110577640760.9128</v>
      </c>
      <c r="J3541" s="444">
        <f t="array" ref="J3541">IFERROR(INDEX('Retirement Calculator'!J:J,MATCH('Isaac 401k'!N3541,'Retirement Calculator'!A:A,0),0),0)</f>
        <v>0</v>
      </c>
      <c r="K3541" s="444">
        <f t="shared" ca="1" si="166"/>
        <v>-4627406836.5038033</v>
      </c>
      <c r="L3541" s="444">
        <f t="shared" ca="1" si="167"/>
        <v>-1115205047597.4167</v>
      </c>
      <c r="M3541" s="460">
        <f t="shared" si="169"/>
        <v>0.05</v>
      </c>
      <c r="N3541" s="464">
        <f t="shared" si="170"/>
        <v>158821</v>
      </c>
    </row>
    <row r="3542" spans="7:14" ht="11.25" customHeight="1" x14ac:dyDescent="0.25">
      <c r="G3542" s="459"/>
      <c r="H3542" s="459">
        <v>3535</v>
      </c>
      <c r="I3542" s="444">
        <f t="shared" ca="1" si="168"/>
        <v>-1115205047597.4167</v>
      </c>
      <c r="J3542" s="444">
        <f t="array" ref="J3542">IFERROR(INDEX('Retirement Calculator'!J:J,MATCH('Isaac 401k'!N3542,'Retirement Calculator'!A:A,0),0),0)</f>
        <v>0</v>
      </c>
      <c r="K3542" s="444">
        <f t="shared" ca="1" si="166"/>
        <v>-4646687698.3225698</v>
      </c>
      <c r="L3542" s="444">
        <f t="shared" ca="1" si="167"/>
        <v>-1119851735295.7393</v>
      </c>
      <c r="M3542" s="460">
        <f t="shared" si="169"/>
        <v>0.05</v>
      </c>
      <c r="N3542" s="464">
        <f t="shared" si="170"/>
        <v>158851</v>
      </c>
    </row>
    <row r="3543" spans="7:14" ht="11.25" customHeight="1" x14ac:dyDescent="0.25">
      <c r="G3543" s="459"/>
      <c r="H3543" s="459">
        <v>3536</v>
      </c>
      <c r="I3543" s="444">
        <f t="shared" ca="1" si="168"/>
        <v>-1119851735295.7393</v>
      </c>
      <c r="J3543" s="444">
        <f t="array" ref="J3543">IFERROR(INDEX('Retirement Calculator'!J:J,MATCH('Isaac 401k'!N3543,'Retirement Calculator'!A:A,0),0),0)</f>
        <v>0</v>
      </c>
      <c r="K3543" s="444">
        <f t="shared" ca="1" si="166"/>
        <v>-4666048897.0655804</v>
      </c>
      <c r="L3543" s="444">
        <f t="shared" ca="1" si="167"/>
        <v>-1124517784192.8049</v>
      </c>
      <c r="M3543" s="460">
        <f t="shared" si="169"/>
        <v>0.05</v>
      </c>
      <c r="N3543" s="464">
        <f t="shared" si="170"/>
        <v>158882</v>
      </c>
    </row>
    <row r="3544" spans="7:14" ht="11.25" customHeight="1" x14ac:dyDescent="0.25">
      <c r="G3544" s="459"/>
      <c r="H3544" s="459">
        <v>3537</v>
      </c>
      <c r="I3544" s="444">
        <f t="shared" ca="1" si="168"/>
        <v>-1124517784192.8049</v>
      </c>
      <c r="J3544" s="444">
        <f t="array" ref="J3544">IFERROR(INDEX('Retirement Calculator'!J:J,MATCH('Isaac 401k'!N3544,'Retirement Calculator'!A:A,0),0),0)</f>
        <v>0</v>
      </c>
      <c r="K3544" s="444">
        <f t="shared" ca="1" si="166"/>
        <v>-4685490767.4700203</v>
      </c>
      <c r="L3544" s="444">
        <f t="shared" ca="1" si="167"/>
        <v>-1129203274960.2749</v>
      </c>
      <c r="M3544" s="460">
        <f t="shared" si="169"/>
        <v>0.05</v>
      </c>
      <c r="N3544" s="464">
        <f t="shared" si="170"/>
        <v>158913</v>
      </c>
    </row>
    <row r="3545" spans="7:14" ht="11.25" customHeight="1" x14ac:dyDescent="0.25">
      <c r="G3545" s="459"/>
      <c r="H3545" s="459">
        <v>3538</v>
      </c>
      <c r="I3545" s="444">
        <f t="shared" ca="1" si="168"/>
        <v>-1129203274960.2749</v>
      </c>
      <c r="J3545" s="444">
        <f t="array" ref="J3545">IFERROR(INDEX('Retirement Calculator'!J:J,MATCH('Isaac 401k'!N3545,'Retirement Calculator'!A:A,0),0),0)</f>
        <v>0</v>
      </c>
      <c r="K3545" s="444">
        <f t="shared" ca="1" si="166"/>
        <v>-4705013645.6678123</v>
      </c>
      <c r="L3545" s="444">
        <f t="shared" ca="1" si="167"/>
        <v>-1133908288605.9426</v>
      </c>
      <c r="M3545" s="460">
        <f t="shared" si="169"/>
        <v>0.05</v>
      </c>
      <c r="N3545" s="464">
        <f t="shared" si="170"/>
        <v>158941</v>
      </c>
    </row>
    <row r="3546" spans="7:14" ht="11.25" customHeight="1" x14ac:dyDescent="0.25">
      <c r="G3546" s="459"/>
      <c r="H3546" s="459">
        <v>3539</v>
      </c>
      <c r="I3546" s="444">
        <f t="shared" ca="1" si="168"/>
        <v>-1133908288605.9426</v>
      </c>
      <c r="J3546" s="444">
        <f t="array" ref="J3546">IFERROR(INDEX('Retirement Calculator'!J:J,MATCH('Isaac 401k'!N3546,'Retirement Calculator'!A:A,0),0),0)</f>
        <v>0</v>
      </c>
      <c r="K3546" s="444">
        <f t="shared" ca="1" si="166"/>
        <v>-4724617869.1914272</v>
      </c>
      <c r="L3546" s="444">
        <f t="shared" ca="1" si="167"/>
        <v>-1138632906475.134</v>
      </c>
      <c r="M3546" s="460">
        <f t="shared" si="169"/>
        <v>0.05</v>
      </c>
      <c r="N3546" s="464">
        <f t="shared" si="170"/>
        <v>158972</v>
      </c>
    </row>
    <row r="3547" spans="7:14" ht="11.25" customHeight="1" x14ac:dyDescent="0.25">
      <c r="G3547" s="459"/>
      <c r="H3547" s="459">
        <v>3540</v>
      </c>
      <c r="I3547" s="444">
        <f t="shared" ca="1" si="168"/>
        <v>-1138632906475.134</v>
      </c>
      <c r="J3547" s="444">
        <f t="array" ref="J3547">IFERROR(INDEX('Retirement Calculator'!J:J,MATCH('Isaac 401k'!N3547,'Retirement Calculator'!A:A,0),0),0)</f>
        <v>0</v>
      </c>
      <c r="K3547" s="444">
        <f t="shared" ca="1" si="166"/>
        <v>-4744303776.9797249</v>
      </c>
      <c r="L3547" s="444">
        <f t="shared" ca="1" si="167"/>
        <v>-1143377210252.1138</v>
      </c>
      <c r="M3547" s="460">
        <f t="shared" si="169"/>
        <v>0.05</v>
      </c>
      <c r="N3547" s="464">
        <f t="shared" si="170"/>
        <v>159002</v>
      </c>
    </row>
    <row r="3548" spans="7:14" ht="11.25" customHeight="1" x14ac:dyDescent="0.25">
      <c r="G3548" s="459"/>
      <c r="H3548" s="459">
        <v>3541</v>
      </c>
      <c r="I3548" s="444">
        <f t="shared" ca="1" si="168"/>
        <v>-1143377210252.1138</v>
      </c>
      <c r="J3548" s="444">
        <f t="array" ref="J3548">IFERROR(INDEX('Retirement Calculator'!J:J,MATCH('Isaac 401k'!N3548,'Retirement Calculator'!A:A,0),0),0)</f>
        <v>0</v>
      </c>
      <c r="K3548" s="444">
        <f t="shared" ca="1" si="166"/>
        <v>-4764071709.3838072</v>
      </c>
      <c r="L3548" s="444">
        <f t="shared" ca="1" si="167"/>
        <v>-1148141281961.4976</v>
      </c>
      <c r="M3548" s="460">
        <f t="shared" si="169"/>
        <v>0.05</v>
      </c>
      <c r="N3548" s="464">
        <f t="shared" si="170"/>
        <v>159033</v>
      </c>
    </row>
    <row r="3549" spans="7:14" ht="11.25" customHeight="1" x14ac:dyDescent="0.25">
      <c r="G3549" s="459"/>
      <c r="H3549" s="459">
        <v>3542</v>
      </c>
      <c r="I3549" s="444">
        <f t="shared" ca="1" si="168"/>
        <v>-1148141281961.4976</v>
      </c>
      <c r="J3549" s="444">
        <f t="array" ref="J3549">IFERROR(INDEX('Retirement Calculator'!J:J,MATCH('Isaac 401k'!N3549,'Retirement Calculator'!A:A,0),0),0)</f>
        <v>0</v>
      </c>
      <c r="K3549" s="444">
        <f t="shared" ca="1" si="166"/>
        <v>-4783922008.1729069</v>
      </c>
      <c r="L3549" s="444">
        <f t="shared" ca="1" si="167"/>
        <v>-1152925203969.6704</v>
      </c>
      <c r="M3549" s="460">
        <f t="shared" si="169"/>
        <v>0.05</v>
      </c>
      <c r="N3549" s="464">
        <f t="shared" si="170"/>
        <v>159063</v>
      </c>
    </row>
    <row r="3550" spans="7:14" ht="11.25" customHeight="1" x14ac:dyDescent="0.25">
      <c r="G3550" s="459"/>
      <c r="H3550" s="459">
        <v>3543</v>
      </c>
      <c r="I3550" s="444">
        <f t="shared" ca="1" si="168"/>
        <v>-1152925203969.6704</v>
      </c>
      <c r="J3550" s="444">
        <f t="array" ref="J3550">IFERROR(INDEX('Retirement Calculator'!J:J,MATCH('Isaac 401k'!N3550,'Retirement Calculator'!A:A,0),0),0)</f>
        <v>0</v>
      </c>
      <c r="K3550" s="444">
        <f t="shared" ca="1" si="166"/>
        <v>-4803855016.5402937</v>
      </c>
      <c r="L3550" s="444">
        <f t="shared" ca="1" si="167"/>
        <v>-1157729058986.2107</v>
      </c>
      <c r="M3550" s="460">
        <f t="shared" si="169"/>
        <v>0.05</v>
      </c>
      <c r="N3550" s="464">
        <f t="shared" si="170"/>
        <v>159094</v>
      </c>
    </row>
    <row r="3551" spans="7:14" ht="11.25" customHeight="1" x14ac:dyDescent="0.25">
      <c r="G3551" s="459"/>
      <c r="H3551" s="459">
        <v>3544</v>
      </c>
      <c r="I3551" s="444">
        <f t="shared" ca="1" si="168"/>
        <v>-1157729058986.2107</v>
      </c>
      <c r="J3551" s="444">
        <f t="array" ref="J3551">IFERROR(INDEX('Retirement Calculator'!J:J,MATCH('Isaac 401k'!N3551,'Retirement Calculator'!A:A,0),0),0)</f>
        <v>0</v>
      </c>
      <c r="K3551" s="444">
        <f t="shared" ca="1" si="166"/>
        <v>-4823871079.109211</v>
      </c>
      <c r="L3551" s="444">
        <f t="shared" ca="1" si="167"/>
        <v>-1162552930065.3198</v>
      </c>
      <c r="M3551" s="460">
        <f t="shared" si="169"/>
        <v>0.05</v>
      </c>
      <c r="N3551" s="464">
        <f t="shared" si="170"/>
        <v>159125</v>
      </c>
    </row>
    <row r="3552" spans="7:14" ht="11.25" customHeight="1" x14ac:dyDescent="0.25">
      <c r="G3552" s="459"/>
      <c r="H3552" s="459">
        <v>3545</v>
      </c>
      <c r="I3552" s="444">
        <f t="shared" ca="1" si="168"/>
        <v>-1162552930065.3198</v>
      </c>
      <c r="J3552" s="444">
        <f t="array" ref="J3552">IFERROR(INDEX('Retirement Calculator'!J:J,MATCH('Isaac 401k'!N3552,'Retirement Calculator'!A:A,0),0),0)</f>
        <v>0</v>
      </c>
      <c r="K3552" s="444">
        <f t="shared" ca="1" si="166"/>
        <v>-4843970541.9388323</v>
      </c>
      <c r="L3552" s="444">
        <f t="shared" ca="1" si="167"/>
        <v>-1167396900607.2585</v>
      </c>
      <c r="M3552" s="460">
        <f t="shared" si="169"/>
        <v>0.05</v>
      </c>
      <c r="N3552" s="464">
        <f t="shared" si="170"/>
        <v>159155</v>
      </c>
    </row>
    <row r="3553" spans="7:14" ht="11.25" customHeight="1" x14ac:dyDescent="0.25">
      <c r="G3553" s="459"/>
      <c r="H3553" s="459">
        <v>3546</v>
      </c>
      <c r="I3553" s="444">
        <f t="shared" ca="1" si="168"/>
        <v>-1167396900607.2585</v>
      </c>
      <c r="J3553" s="444">
        <f t="array" ref="J3553">IFERROR(INDEX('Retirement Calculator'!J:J,MATCH('Isaac 401k'!N3553,'Retirement Calculator'!A:A,0),0),0)</f>
        <v>0</v>
      </c>
      <c r="K3553" s="444">
        <f t="shared" ca="1" si="166"/>
        <v>-4864153752.5302439</v>
      </c>
      <c r="L3553" s="444">
        <f t="shared" ca="1" si="167"/>
        <v>-1172261054359.7888</v>
      </c>
      <c r="M3553" s="460">
        <f t="shared" si="169"/>
        <v>0.05</v>
      </c>
      <c r="N3553" s="464">
        <f t="shared" si="170"/>
        <v>159186</v>
      </c>
    </row>
    <row r="3554" spans="7:14" ht="11.25" customHeight="1" x14ac:dyDescent="0.25">
      <c r="G3554" s="459"/>
      <c r="H3554" s="459">
        <v>3547</v>
      </c>
      <c r="I3554" s="444">
        <f t="shared" ca="1" si="168"/>
        <v>-1172261054359.7888</v>
      </c>
      <c r="J3554" s="444">
        <f t="array" ref="J3554">IFERROR(INDEX('Retirement Calculator'!J:J,MATCH('Isaac 401k'!N3554,'Retirement Calculator'!A:A,0),0),0)</f>
        <v>0</v>
      </c>
      <c r="K3554" s="444">
        <f t="shared" ca="1" si="166"/>
        <v>-4884421059.8324537</v>
      </c>
      <c r="L3554" s="444">
        <f t="shared" ca="1" si="167"/>
        <v>-1177145475419.6213</v>
      </c>
      <c r="M3554" s="460">
        <f t="shared" si="169"/>
        <v>0.05</v>
      </c>
      <c r="N3554" s="464">
        <f t="shared" si="170"/>
        <v>159216</v>
      </c>
    </row>
    <row r="3555" spans="7:14" ht="11.25" customHeight="1" x14ac:dyDescent="0.25">
      <c r="G3555" s="459"/>
      <c r="H3555" s="459">
        <v>3548</v>
      </c>
      <c r="I3555" s="444">
        <f t="shared" ca="1" si="168"/>
        <v>-1177145475419.6213</v>
      </c>
      <c r="J3555" s="444">
        <f t="array" ref="J3555">IFERROR(INDEX('Retirement Calculator'!J:J,MATCH('Isaac 401k'!N3555,'Retirement Calculator'!A:A,0),0),0)</f>
        <v>0</v>
      </c>
      <c r="K3555" s="444">
        <f t="shared" ca="1" si="166"/>
        <v>-4904772814.2484226</v>
      </c>
      <c r="L3555" s="444">
        <f t="shared" ca="1" si="167"/>
        <v>-1182050248233.8699</v>
      </c>
      <c r="M3555" s="460">
        <f t="shared" si="169"/>
        <v>0.05</v>
      </c>
      <c r="N3555" s="464">
        <f t="shared" si="170"/>
        <v>159247</v>
      </c>
    </row>
    <row r="3556" spans="7:14" ht="11.25" customHeight="1" x14ac:dyDescent="0.25">
      <c r="G3556" s="459"/>
      <c r="H3556" s="459">
        <v>3549</v>
      </c>
      <c r="I3556" s="444">
        <f t="shared" ca="1" si="168"/>
        <v>-1182050248233.8699</v>
      </c>
      <c r="J3556" s="444">
        <f t="array" ref="J3556">IFERROR(INDEX('Retirement Calculator'!J:J,MATCH('Isaac 401k'!N3556,'Retirement Calculator'!A:A,0),0),0)</f>
        <v>0</v>
      </c>
      <c r="K3556" s="444">
        <f t="shared" ca="1" si="166"/>
        <v>-4925209367.6411247</v>
      </c>
      <c r="L3556" s="444">
        <f t="shared" ca="1" si="167"/>
        <v>-1186975457601.511</v>
      </c>
      <c r="M3556" s="460">
        <f t="shared" si="169"/>
        <v>0.05</v>
      </c>
      <c r="N3556" s="464">
        <f t="shared" si="170"/>
        <v>159278</v>
      </c>
    </row>
    <row r="3557" spans="7:14" ht="11.25" customHeight="1" x14ac:dyDescent="0.25">
      <c r="G3557" s="459"/>
      <c r="H3557" s="459">
        <v>3550</v>
      </c>
      <c r="I3557" s="444">
        <f t="shared" ca="1" si="168"/>
        <v>-1186975457601.511</v>
      </c>
      <c r="J3557" s="444">
        <f t="array" ref="J3557">IFERROR(INDEX('Retirement Calculator'!J:J,MATCH('Isaac 401k'!N3557,'Retirement Calculator'!A:A,0),0),0)</f>
        <v>0</v>
      </c>
      <c r="K3557" s="444">
        <f t="shared" ca="1" si="166"/>
        <v>-4945731073.3396292</v>
      </c>
      <c r="L3557" s="444">
        <f t="shared" ca="1" si="167"/>
        <v>-1191921188674.8506</v>
      </c>
      <c r="M3557" s="460">
        <f t="shared" si="169"/>
        <v>0.05</v>
      </c>
      <c r="N3557" s="464">
        <f t="shared" si="170"/>
        <v>159307</v>
      </c>
    </row>
    <row r="3558" spans="7:14" ht="11.25" customHeight="1" x14ac:dyDescent="0.25">
      <c r="G3558" s="459"/>
      <c r="H3558" s="459">
        <v>3551</v>
      </c>
      <c r="I3558" s="444">
        <f t="shared" ca="1" si="168"/>
        <v>-1191921188674.8506</v>
      </c>
      <c r="J3558" s="444">
        <f t="array" ref="J3558">IFERROR(INDEX('Retirement Calculator'!J:J,MATCH('Isaac 401k'!N3558,'Retirement Calculator'!A:A,0),0),0)</f>
        <v>0</v>
      </c>
      <c r="K3558" s="444">
        <f t="shared" ca="1" si="166"/>
        <v>-4966338286.1452103</v>
      </c>
      <c r="L3558" s="444">
        <f t="shared" ca="1" si="167"/>
        <v>-1196887526960.9958</v>
      </c>
      <c r="M3558" s="460">
        <f t="shared" si="169"/>
        <v>0.05</v>
      </c>
      <c r="N3558" s="464">
        <f t="shared" si="170"/>
        <v>159338</v>
      </c>
    </row>
    <row r="3559" spans="7:14" ht="11.25" customHeight="1" x14ac:dyDescent="0.25">
      <c r="G3559" s="459"/>
      <c r="H3559" s="459">
        <v>3552</v>
      </c>
      <c r="I3559" s="444">
        <f t="shared" ca="1" si="168"/>
        <v>-1196887526960.9958</v>
      </c>
      <c r="J3559" s="444">
        <f t="array" ref="J3559">IFERROR(INDEX('Retirement Calculator'!J:J,MATCH('Isaac 401k'!N3559,'Retirement Calculator'!A:A,0),0),0)</f>
        <v>0</v>
      </c>
      <c r="K3559" s="444">
        <f t="shared" ca="1" si="166"/>
        <v>-4987031362.3374825</v>
      </c>
      <c r="L3559" s="444">
        <f t="shared" ca="1" si="167"/>
        <v>-1201874558323.3333</v>
      </c>
      <c r="M3559" s="460">
        <f t="shared" si="169"/>
        <v>0.05</v>
      </c>
      <c r="N3559" s="464">
        <f t="shared" si="170"/>
        <v>159368</v>
      </c>
    </row>
    <row r="3560" spans="7:14" ht="11.25" customHeight="1" x14ac:dyDescent="0.25">
      <c r="G3560" s="459"/>
      <c r="H3560" s="459">
        <v>3553</v>
      </c>
      <c r="I3560" s="444">
        <f t="shared" ca="1" si="168"/>
        <v>-1201874558323.3333</v>
      </c>
      <c r="J3560" s="444">
        <f t="array" ref="J3560">IFERROR(INDEX('Retirement Calculator'!J:J,MATCH('Isaac 401k'!N3560,'Retirement Calculator'!A:A,0),0),0)</f>
        <v>0</v>
      </c>
      <c r="K3560" s="444">
        <f t="shared" ca="1" si="166"/>
        <v>-5007810659.6805553</v>
      </c>
      <c r="L3560" s="444">
        <f t="shared" ca="1" si="167"/>
        <v>-1206882368983.0139</v>
      </c>
      <c r="M3560" s="460">
        <f t="shared" si="169"/>
        <v>0.05</v>
      </c>
      <c r="N3560" s="464">
        <f t="shared" si="170"/>
        <v>159399</v>
      </c>
    </row>
    <row r="3561" spans="7:14" ht="11.25" customHeight="1" x14ac:dyDescent="0.25">
      <c r="G3561" s="459"/>
      <c r="H3561" s="459">
        <v>3554</v>
      </c>
      <c r="I3561" s="444">
        <f t="shared" ca="1" si="168"/>
        <v>-1206882368983.0139</v>
      </c>
      <c r="J3561" s="444">
        <f t="array" ref="J3561">IFERROR(INDEX('Retirement Calculator'!J:J,MATCH('Isaac 401k'!N3561,'Retirement Calculator'!A:A,0),0),0)</f>
        <v>0</v>
      </c>
      <c r="K3561" s="444">
        <f t="shared" ca="1" si="166"/>
        <v>-5028676537.429225</v>
      </c>
      <c r="L3561" s="444">
        <f t="shared" ca="1" si="167"/>
        <v>-1211911045520.4431</v>
      </c>
      <c r="M3561" s="460">
        <f t="shared" si="169"/>
        <v>0.05</v>
      </c>
      <c r="N3561" s="464">
        <f t="shared" si="170"/>
        <v>159429</v>
      </c>
    </row>
    <row r="3562" spans="7:14" ht="11.25" customHeight="1" x14ac:dyDescent="0.25">
      <c r="G3562" s="459"/>
      <c r="H3562" s="459">
        <v>3555</v>
      </c>
      <c r="I3562" s="444">
        <f t="shared" ca="1" si="168"/>
        <v>-1211911045520.4431</v>
      </c>
      <c r="J3562" s="444">
        <f t="array" ref="J3562">IFERROR(INDEX('Retirement Calculator'!J:J,MATCH('Isaac 401k'!N3562,'Retirement Calculator'!A:A,0),0),0)</f>
        <v>0</v>
      </c>
      <c r="K3562" s="444">
        <f t="shared" ca="1" si="166"/>
        <v>-5049629356.3351793</v>
      </c>
      <c r="L3562" s="444">
        <f t="shared" ca="1" si="167"/>
        <v>-1216960674876.7783</v>
      </c>
      <c r="M3562" s="460">
        <f t="shared" si="169"/>
        <v>0.05</v>
      </c>
      <c r="N3562" s="464">
        <f t="shared" si="170"/>
        <v>159460</v>
      </c>
    </row>
    <row r="3563" spans="7:14" ht="11.25" customHeight="1" x14ac:dyDescent="0.25">
      <c r="G3563" s="459"/>
      <c r="H3563" s="459">
        <v>3556</v>
      </c>
      <c r="I3563" s="444">
        <f t="shared" ca="1" si="168"/>
        <v>-1216960674876.7783</v>
      </c>
      <c r="J3563" s="444">
        <f t="array" ref="J3563">IFERROR(INDEX('Retirement Calculator'!J:J,MATCH('Isaac 401k'!N3563,'Retirement Calculator'!A:A,0),0),0)</f>
        <v>0</v>
      </c>
      <c r="K3563" s="444">
        <f t="shared" ca="1" si="166"/>
        <v>-5070669478.6532431</v>
      </c>
      <c r="L3563" s="444">
        <f t="shared" ca="1" si="167"/>
        <v>-1222031344355.4316</v>
      </c>
      <c r="M3563" s="460">
        <f t="shared" si="169"/>
        <v>0.05</v>
      </c>
      <c r="N3563" s="464">
        <f t="shared" si="170"/>
        <v>159491</v>
      </c>
    </row>
    <row r="3564" spans="7:14" ht="11.25" customHeight="1" x14ac:dyDescent="0.25">
      <c r="G3564" s="459"/>
      <c r="H3564" s="459">
        <v>3557</v>
      </c>
      <c r="I3564" s="444">
        <f t="shared" ca="1" si="168"/>
        <v>-1222031344355.4316</v>
      </c>
      <c r="J3564" s="444">
        <f t="array" ref="J3564">IFERROR(INDEX('Retirement Calculator'!J:J,MATCH('Isaac 401k'!N3564,'Retirement Calculator'!A:A,0),0),0)</f>
        <v>0</v>
      </c>
      <c r="K3564" s="444">
        <f t="shared" ca="1" si="166"/>
        <v>-5091797268.1476316</v>
      </c>
      <c r="L3564" s="444">
        <f t="shared" ca="1" si="167"/>
        <v>-1227123141623.5793</v>
      </c>
      <c r="M3564" s="460">
        <f t="shared" si="169"/>
        <v>0.05</v>
      </c>
      <c r="N3564" s="464">
        <f t="shared" si="170"/>
        <v>159521</v>
      </c>
    </row>
    <row r="3565" spans="7:14" ht="11.25" customHeight="1" x14ac:dyDescent="0.25">
      <c r="G3565" s="459"/>
      <c r="H3565" s="459">
        <v>3558</v>
      </c>
      <c r="I3565" s="444">
        <f t="shared" ca="1" si="168"/>
        <v>-1227123141623.5793</v>
      </c>
      <c r="J3565" s="444">
        <f t="array" ref="J3565">IFERROR(INDEX('Retirement Calculator'!J:J,MATCH('Isaac 401k'!N3565,'Retirement Calculator'!A:A,0),0),0)</f>
        <v>0</v>
      </c>
      <c r="K3565" s="444">
        <f t="shared" ca="1" si="166"/>
        <v>-5113013090.0982475</v>
      </c>
      <c r="L3565" s="444">
        <f t="shared" ca="1" si="167"/>
        <v>-1232236154713.6775</v>
      </c>
      <c r="M3565" s="460">
        <f t="shared" si="169"/>
        <v>0.05</v>
      </c>
      <c r="N3565" s="464">
        <f t="shared" si="170"/>
        <v>159552</v>
      </c>
    </row>
    <row r="3566" spans="7:14" ht="11.25" customHeight="1" x14ac:dyDescent="0.25">
      <c r="G3566" s="459"/>
      <c r="H3566" s="459">
        <v>3559</v>
      </c>
      <c r="I3566" s="444">
        <f t="shared" ca="1" si="168"/>
        <v>-1232236154713.6775</v>
      </c>
      <c r="J3566" s="444">
        <f t="array" ref="J3566">IFERROR(INDEX('Retirement Calculator'!J:J,MATCH('Isaac 401k'!N3566,'Retirement Calculator'!A:A,0),0),0)</f>
        <v>0</v>
      </c>
      <c r="K3566" s="444">
        <f t="shared" ca="1" si="166"/>
        <v>-5134317311.3069897</v>
      </c>
      <c r="L3566" s="444">
        <f t="shared" ca="1" si="167"/>
        <v>-1237370472024.9844</v>
      </c>
      <c r="M3566" s="460">
        <f t="shared" si="169"/>
        <v>0.05</v>
      </c>
      <c r="N3566" s="464">
        <f t="shared" si="170"/>
        <v>159582</v>
      </c>
    </row>
    <row r="3567" spans="7:14" ht="11.25" customHeight="1" x14ac:dyDescent="0.25">
      <c r="G3567" s="459"/>
      <c r="H3567" s="459">
        <v>3560</v>
      </c>
      <c r="I3567" s="444">
        <f t="shared" ca="1" si="168"/>
        <v>-1237370472024.9844</v>
      </c>
      <c r="J3567" s="444">
        <f t="array" ref="J3567">IFERROR(INDEX('Retirement Calculator'!J:J,MATCH('Isaac 401k'!N3567,'Retirement Calculator'!A:A,0),0),0)</f>
        <v>0</v>
      </c>
      <c r="K3567" s="444">
        <f t="shared" ca="1" si="166"/>
        <v>-5155710300.1041012</v>
      </c>
      <c r="L3567" s="444">
        <f t="shared" ca="1" si="167"/>
        <v>-1242526182325.0884</v>
      </c>
      <c r="M3567" s="460">
        <f t="shared" si="169"/>
        <v>0.05</v>
      </c>
      <c r="N3567" s="464">
        <f t="shared" si="170"/>
        <v>159613</v>
      </c>
    </row>
    <row r="3568" spans="7:14" ht="11.25" customHeight="1" x14ac:dyDescent="0.25">
      <c r="G3568" s="459"/>
      <c r="H3568" s="459">
        <v>3561</v>
      </c>
      <c r="I3568" s="444">
        <f t="shared" ca="1" si="168"/>
        <v>-1242526182325.0884</v>
      </c>
      <c r="J3568" s="444">
        <f t="array" ref="J3568">IFERROR(INDEX('Retirement Calculator'!J:J,MATCH('Isaac 401k'!N3568,'Retirement Calculator'!A:A,0),0),0)</f>
        <v>0</v>
      </c>
      <c r="K3568" s="444">
        <f t="shared" ca="1" si="166"/>
        <v>-5177192426.3545351</v>
      </c>
      <c r="L3568" s="444">
        <f t="shared" ca="1" si="167"/>
        <v>-1247703374751.4429</v>
      </c>
      <c r="M3568" s="460">
        <f t="shared" si="169"/>
        <v>0.05</v>
      </c>
      <c r="N3568" s="464">
        <f t="shared" si="170"/>
        <v>159644</v>
      </c>
    </row>
    <row r="3569" spans="7:14" ht="11.25" customHeight="1" x14ac:dyDescent="0.25">
      <c r="G3569" s="459"/>
      <c r="H3569" s="459">
        <v>3562</v>
      </c>
      <c r="I3569" s="444">
        <f t="shared" ca="1" si="168"/>
        <v>-1247703374751.4429</v>
      </c>
      <c r="J3569" s="444">
        <f t="array" ref="J3569">IFERROR(INDEX('Retirement Calculator'!J:J,MATCH('Isaac 401k'!N3569,'Retirement Calculator'!A:A,0),0),0)</f>
        <v>0</v>
      </c>
      <c r="K3569" s="444">
        <f t="shared" ca="1" si="166"/>
        <v>-5198764061.464345</v>
      </c>
      <c r="L3569" s="444">
        <f t="shared" ca="1" si="167"/>
        <v>-1252902138812.9072</v>
      </c>
      <c r="M3569" s="460">
        <f t="shared" si="169"/>
        <v>0.05</v>
      </c>
      <c r="N3569" s="464">
        <f t="shared" si="170"/>
        <v>159672</v>
      </c>
    </row>
    <row r="3570" spans="7:14" ht="11.25" customHeight="1" x14ac:dyDescent="0.25">
      <c r="G3570" s="459"/>
      <c r="H3570" s="459">
        <v>3563</v>
      </c>
      <c r="I3570" s="444">
        <f t="shared" ca="1" si="168"/>
        <v>-1252902138812.9072</v>
      </c>
      <c r="J3570" s="444">
        <f t="array" ref="J3570">IFERROR(INDEX('Retirement Calculator'!J:J,MATCH('Isaac 401k'!N3570,'Retirement Calculator'!A:A,0),0),0)</f>
        <v>0</v>
      </c>
      <c r="K3570" s="444">
        <f t="shared" ca="1" si="166"/>
        <v>-5220425578.3871136</v>
      </c>
      <c r="L3570" s="444">
        <f t="shared" ca="1" si="167"/>
        <v>-1258122564391.2944</v>
      </c>
      <c r="M3570" s="460">
        <f t="shared" si="169"/>
        <v>0.05</v>
      </c>
      <c r="N3570" s="464">
        <f t="shared" si="170"/>
        <v>159703</v>
      </c>
    </row>
    <row r="3571" spans="7:14" ht="11.25" customHeight="1" x14ac:dyDescent="0.25">
      <c r="G3571" s="459"/>
      <c r="H3571" s="459">
        <v>3564</v>
      </c>
      <c r="I3571" s="444">
        <f t="shared" ca="1" si="168"/>
        <v>-1258122564391.2944</v>
      </c>
      <c r="J3571" s="444">
        <f t="array" ref="J3571">IFERROR(INDEX('Retirement Calculator'!J:J,MATCH('Isaac 401k'!N3571,'Retirement Calculator'!A:A,0),0),0)</f>
        <v>0</v>
      </c>
      <c r="K3571" s="444">
        <f t="shared" ca="1" si="166"/>
        <v>-5242177351.630393</v>
      </c>
      <c r="L3571" s="444">
        <f t="shared" ca="1" si="167"/>
        <v>-1263364741742.9248</v>
      </c>
      <c r="M3571" s="460">
        <f t="shared" si="169"/>
        <v>0.05</v>
      </c>
      <c r="N3571" s="464">
        <f t="shared" si="170"/>
        <v>159733</v>
      </c>
    </row>
    <row r="3572" spans="7:14" ht="11.25" customHeight="1" x14ac:dyDescent="0.25">
      <c r="G3572" s="459"/>
      <c r="H3572" s="459">
        <v>3565</v>
      </c>
      <c r="I3572" s="444">
        <f t="shared" ca="1" si="168"/>
        <v>-1263364741742.9248</v>
      </c>
      <c r="J3572" s="444">
        <f t="array" ref="J3572">IFERROR(INDEX('Retirement Calculator'!J:J,MATCH('Isaac 401k'!N3572,'Retirement Calculator'!A:A,0),0),0)</f>
        <v>0</v>
      </c>
      <c r="K3572" s="444">
        <f t="shared" ca="1" si="166"/>
        <v>-5264019757.262187</v>
      </c>
      <c r="L3572" s="444">
        <f t="shared" ca="1" si="167"/>
        <v>-1268628761500.187</v>
      </c>
      <c r="M3572" s="460">
        <f t="shared" si="169"/>
        <v>0.05</v>
      </c>
      <c r="N3572" s="464">
        <f t="shared" si="170"/>
        <v>159764</v>
      </c>
    </row>
    <row r="3573" spans="7:14" ht="11.25" customHeight="1" x14ac:dyDescent="0.25">
      <c r="G3573" s="459"/>
      <c r="H3573" s="459">
        <v>3566</v>
      </c>
      <c r="I3573" s="444">
        <f t="shared" ca="1" si="168"/>
        <v>-1268628761500.187</v>
      </c>
      <c r="J3573" s="444">
        <f t="array" ref="J3573">IFERROR(INDEX('Retirement Calculator'!J:J,MATCH('Isaac 401k'!N3573,'Retirement Calculator'!A:A,0),0),0)</f>
        <v>0</v>
      </c>
      <c r="K3573" s="444">
        <f t="shared" ca="1" si="166"/>
        <v>-5285953172.9174461</v>
      </c>
      <c r="L3573" s="444">
        <f t="shared" ca="1" si="167"/>
        <v>-1273914714673.1045</v>
      </c>
      <c r="M3573" s="460">
        <f t="shared" si="169"/>
        <v>0.05</v>
      </c>
      <c r="N3573" s="464">
        <f t="shared" si="170"/>
        <v>159794</v>
      </c>
    </row>
    <row r="3574" spans="7:14" ht="11.25" customHeight="1" x14ac:dyDescent="0.25">
      <c r="G3574" s="459"/>
      <c r="H3574" s="459">
        <v>3567</v>
      </c>
      <c r="I3574" s="444">
        <f t="shared" ca="1" si="168"/>
        <v>-1273914714673.1045</v>
      </c>
      <c r="J3574" s="444">
        <f t="array" ref="J3574">IFERROR(INDEX('Retirement Calculator'!J:J,MATCH('Isaac 401k'!N3574,'Retirement Calculator'!A:A,0),0),0)</f>
        <v>0</v>
      </c>
      <c r="K3574" s="444">
        <f t="shared" ca="1" si="166"/>
        <v>-5307977977.8046017</v>
      </c>
      <c r="L3574" s="444">
        <f t="shared" ca="1" si="167"/>
        <v>-1279222692650.9092</v>
      </c>
      <c r="M3574" s="460">
        <f t="shared" si="169"/>
        <v>0.05</v>
      </c>
      <c r="N3574" s="464">
        <f t="shared" si="170"/>
        <v>159825</v>
      </c>
    </row>
    <row r="3575" spans="7:14" ht="11.25" customHeight="1" x14ac:dyDescent="0.25">
      <c r="G3575" s="459"/>
      <c r="H3575" s="459">
        <v>3568</v>
      </c>
      <c r="I3575" s="444">
        <f t="shared" ca="1" si="168"/>
        <v>-1279222692650.9092</v>
      </c>
      <c r="J3575" s="444">
        <f t="array" ref="J3575">IFERROR(INDEX('Retirement Calculator'!J:J,MATCH('Isaac 401k'!N3575,'Retirement Calculator'!A:A,0),0),0)</f>
        <v>0</v>
      </c>
      <c r="K3575" s="444">
        <f t="shared" ca="1" si="166"/>
        <v>-5330094552.712122</v>
      </c>
      <c r="L3575" s="444">
        <f t="shared" ca="1" si="167"/>
        <v>-1284552787203.6213</v>
      </c>
      <c r="M3575" s="460">
        <f t="shared" si="169"/>
        <v>0.05</v>
      </c>
      <c r="N3575" s="464">
        <f t="shared" si="170"/>
        <v>159856</v>
      </c>
    </row>
    <row r="3576" spans="7:14" ht="11.25" customHeight="1" x14ac:dyDescent="0.25">
      <c r="G3576" s="459"/>
      <c r="H3576" s="459">
        <v>3569</v>
      </c>
      <c r="I3576" s="444">
        <f t="shared" ca="1" si="168"/>
        <v>-1284552787203.6213</v>
      </c>
      <c r="J3576" s="444">
        <f t="array" ref="J3576">IFERROR(INDEX('Retirement Calculator'!J:J,MATCH('Isaac 401k'!N3576,'Retirement Calculator'!A:A,0),0),0)</f>
        <v>0</v>
      </c>
      <c r="K3576" s="444">
        <f t="shared" ca="1" si="166"/>
        <v>-5352303280.015089</v>
      </c>
      <c r="L3576" s="444">
        <f t="shared" ca="1" si="167"/>
        <v>-1289905090483.6365</v>
      </c>
      <c r="M3576" s="460">
        <f t="shared" si="169"/>
        <v>0.05</v>
      </c>
      <c r="N3576" s="464">
        <f t="shared" si="170"/>
        <v>159886</v>
      </c>
    </row>
    <row r="3577" spans="7:14" ht="11.25" customHeight="1" x14ac:dyDescent="0.25">
      <c r="G3577" s="459"/>
      <c r="H3577" s="459">
        <v>3570</v>
      </c>
      <c r="I3577" s="444">
        <f t="shared" ca="1" si="168"/>
        <v>-1289905090483.6365</v>
      </c>
      <c r="J3577" s="444">
        <f t="array" ref="J3577">IFERROR(INDEX('Retirement Calculator'!J:J,MATCH('Isaac 401k'!N3577,'Retirement Calculator'!A:A,0),0),0)</f>
        <v>0</v>
      </c>
      <c r="K3577" s="444">
        <f t="shared" ca="1" si="166"/>
        <v>-5374604543.681819</v>
      </c>
      <c r="L3577" s="444">
        <f t="shared" ca="1" si="167"/>
        <v>-1295279695027.3184</v>
      </c>
      <c r="M3577" s="460">
        <f t="shared" si="169"/>
        <v>0.05</v>
      </c>
      <c r="N3577" s="464">
        <f t="shared" si="170"/>
        <v>159917</v>
      </c>
    </row>
    <row r="3578" spans="7:14" ht="11.25" customHeight="1" x14ac:dyDescent="0.25">
      <c r="G3578" s="459"/>
      <c r="H3578" s="459">
        <v>3571</v>
      </c>
      <c r="I3578" s="444">
        <f t="shared" ca="1" si="168"/>
        <v>-1295279695027.3184</v>
      </c>
      <c r="J3578" s="444">
        <f t="array" ref="J3578">IFERROR(INDEX('Retirement Calculator'!J:J,MATCH('Isaac 401k'!N3578,'Retirement Calculator'!A:A,0),0),0)</f>
        <v>0</v>
      </c>
      <c r="K3578" s="444">
        <f t="shared" ref="K3578:K3832" ca="1" si="171">IPMT(M3578/12,1,12,-I3578+J3578,,0)</f>
        <v>-5396998729.2804928</v>
      </c>
      <c r="L3578" s="444">
        <f t="shared" ref="L3578:L3832" ca="1" si="172">I3578-J3578+K3578</f>
        <v>-1300676693756.5989</v>
      </c>
      <c r="M3578" s="460">
        <f t="shared" si="169"/>
        <v>0.05</v>
      </c>
      <c r="N3578" s="464">
        <f t="shared" si="170"/>
        <v>159947</v>
      </c>
    </row>
    <row r="3579" spans="7:14" ht="11.25" customHeight="1" x14ac:dyDescent="0.25">
      <c r="G3579" s="459"/>
      <c r="H3579" s="459">
        <v>3572</v>
      </c>
      <c r="I3579" s="444">
        <f t="shared" ref="I3579:I3833" ca="1" si="173">L3578</f>
        <v>-1300676693756.5989</v>
      </c>
      <c r="J3579" s="444">
        <f t="array" ref="J3579">IFERROR(INDEX('Retirement Calculator'!J:J,MATCH('Isaac 401k'!N3579,'Retirement Calculator'!A:A,0),0),0)</f>
        <v>0</v>
      </c>
      <c r="K3579" s="444">
        <f t="shared" ca="1" si="171"/>
        <v>-5419486223.9858284</v>
      </c>
      <c r="L3579" s="444">
        <f t="shared" ca="1" si="172"/>
        <v>-1306096179980.5847</v>
      </c>
      <c r="M3579" s="460">
        <f t="shared" ref="M3579:M3833" si="174">M3578</f>
        <v>0.05</v>
      </c>
      <c r="N3579" s="464">
        <f t="shared" ref="N3579:N3833" si="175">EDATE(N3578,1)</f>
        <v>159978</v>
      </c>
    </row>
    <row r="3580" spans="7:14" ht="11.25" customHeight="1" x14ac:dyDescent="0.25">
      <c r="G3580" s="459"/>
      <c r="H3580" s="459">
        <v>3573</v>
      </c>
      <c r="I3580" s="444">
        <f t="shared" ca="1" si="173"/>
        <v>-1306096179980.5847</v>
      </c>
      <c r="J3580" s="444">
        <f t="array" ref="J3580">IFERROR(INDEX('Retirement Calculator'!J:J,MATCH('Isaac 401k'!N3580,'Retirement Calculator'!A:A,0),0),0)</f>
        <v>0</v>
      </c>
      <c r="K3580" s="444">
        <f t="shared" ca="1" si="171"/>
        <v>-5442067416.5857697</v>
      </c>
      <c r="L3580" s="444">
        <f t="shared" ca="1" si="172"/>
        <v>-1311538247397.1704</v>
      </c>
      <c r="M3580" s="460">
        <f t="shared" si="174"/>
        <v>0.05</v>
      </c>
      <c r="N3580" s="464">
        <f t="shared" si="175"/>
        <v>160009</v>
      </c>
    </row>
    <row r="3581" spans="7:14" ht="11.25" customHeight="1" x14ac:dyDescent="0.25">
      <c r="G3581" s="459"/>
      <c r="H3581" s="459">
        <v>3574</v>
      </c>
      <c r="I3581" s="444">
        <f t="shared" ca="1" si="173"/>
        <v>-1311538247397.1704</v>
      </c>
      <c r="J3581" s="444">
        <f t="array" ref="J3581">IFERROR(INDEX('Retirement Calculator'!J:J,MATCH('Isaac 401k'!N3581,'Retirement Calculator'!A:A,0),0),0)</f>
        <v>0</v>
      </c>
      <c r="K3581" s="444">
        <f t="shared" ca="1" si="171"/>
        <v>-5464742697.4882097</v>
      </c>
      <c r="L3581" s="444">
        <f t="shared" ca="1" si="172"/>
        <v>-1317002990094.6587</v>
      </c>
      <c r="M3581" s="460">
        <f t="shared" si="174"/>
        <v>0.05</v>
      </c>
      <c r="N3581" s="464">
        <f t="shared" si="175"/>
        <v>160037</v>
      </c>
    </row>
    <row r="3582" spans="7:14" ht="11.25" customHeight="1" x14ac:dyDescent="0.25">
      <c r="G3582" s="459"/>
      <c r="H3582" s="459">
        <v>3575</v>
      </c>
      <c r="I3582" s="444">
        <f t="shared" ca="1" si="173"/>
        <v>-1317002990094.6587</v>
      </c>
      <c r="J3582" s="444">
        <f t="array" ref="J3582">IFERROR(INDEX('Retirement Calculator'!J:J,MATCH('Isaac 401k'!N3582,'Retirement Calculator'!A:A,0),0),0)</f>
        <v>0</v>
      </c>
      <c r="K3582" s="444">
        <f t="shared" ca="1" si="171"/>
        <v>-5487512458.7277441</v>
      </c>
      <c r="L3582" s="444">
        <f t="shared" ca="1" si="172"/>
        <v>-1322490502553.3865</v>
      </c>
      <c r="M3582" s="460">
        <f t="shared" si="174"/>
        <v>0.05</v>
      </c>
      <c r="N3582" s="464">
        <f t="shared" si="175"/>
        <v>160068</v>
      </c>
    </row>
    <row r="3583" spans="7:14" ht="11.25" customHeight="1" x14ac:dyDescent="0.25">
      <c r="G3583" s="459"/>
      <c r="H3583" s="459">
        <v>3576</v>
      </c>
      <c r="I3583" s="444">
        <f t="shared" ca="1" si="173"/>
        <v>-1322490502553.3865</v>
      </c>
      <c r="J3583" s="444">
        <f t="array" ref="J3583">IFERROR(INDEX('Retirement Calculator'!J:J,MATCH('Isaac 401k'!N3583,'Retirement Calculator'!A:A,0),0),0)</f>
        <v>0</v>
      </c>
      <c r="K3583" s="444">
        <f t="shared" ca="1" si="171"/>
        <v>-5510377093.9724436</v>
      </c>
      <c r="L3583" s="444">
        <f t="shared" ca="1" si="172"/>
        <v>-1328000879647.3589</v>
      </c>
      <c r="M3583" s="460">
        <f t="shared" si="174"/>
        <v>0.05</v>
      </c>
      <c r="N3583" s="464">
        <f t="shared" si="175"/>
        <v>160098</v>
      </c>
    </row>
    <row r="3584" spans="7:14" ht="11.25" customHeight="1" x14ac:dyDescent="0.25">
      <c r="G3584" s="459"/>
      <c r="H3584" s="459">
        <v>3577</v>
      </c>
      <c r="I3584" s="444">
        <f t="shared" ca="1" si="173"/>
        <v>-1328000879647.3589</v>
      </c>
      <c r="J3584" s="444">
        <f t="array" ref="J3584">IFERROR(INDEX('Retirement Calculator'!J:J,MATCH('Isaac 401k'!N3584,'Retirement Calculator'!A:A,0),0),0)</f>
        <v>0</v>
      </c>
      <c r="K3584" s="444">
        <f t="shared" ca="1" si="171"/>
        <v>-5533336998.5306616</v>
      </c>
      <c r="L3584" s="444">
        <f t="shared" ca="1" si="172"/>
        <v>-1333534216645.8896</v>
      </c>
      <c r="M3584" s="460">
        <f t="shared" si="174"/>
        <v>0.05</v>
      </c>
      <c r="N3584" s="464">
        <f t="shared" si="175"/>
        <v>160129</v>
      </c>
    </row>
    <row r="3585" spans="7:14" ht="11.25" customHeight="1" x14ac:dyDescent="0.25">
      <c r="G3585" s="459"/>
      <c r="H3585" s="459">
        <v>3578</v>
      </c>
      <c r="I3585" s="444">
        <f t="shared" ca="1" si="173"/>
        <v>-1333534216645.8896</v>
      </c>
      <c r="J3585" s="444">
        <f t="array" ref="J3585">IFERROR(INDEX('Retirement Calculator'!J:J,MATCH('Isaac 401k'!N3585,'Retirement Calculator'!A:A,0),0),0)</f>
        <v>0</v>
      </c>
      <c r="K3585" s="444">
        <f t="shared" ca="1" si="171"/>
        <v>-5556392569.3578739</v>
      </c>
      <c r="L3585" s="444">
        <f t="shared" ca="1" si="172"/>
        <v>-1339090609215.2476</v>
      </c>
      <c r="M3585" s="460">
        <f t="shared" si="174"/>
        <v>0.05</v>
      </c>
      <c r="N3585" s="464">
        <f t="shared" si="175"/>
        <v>160159</v>
      </c>
    </row>
    <row r="3586" spans="7:14" ht="11.25" customHeight="1" x14ac:dyDescent="0.25">
      <c r="G3586" s="459"/>
      <c r="H3586" s="459">
        <v>3579</v>
      </c>
      <c r="I3586" s="444">
        <f t="shared" ca="1" si="173"/>
        <v>-1339090609215.2476</v>
      </c>
      <c r="J3586" s="444">
        <f t="array" ref="J3586">IFERROR(INDEX('Retirement Calculator'!J:J,MATCH('Isaac 401k'!N3586,'Retirement Calculator'!A:A,0),0),0)</f>
        <v>0</v>
      </c>
      <c r="K3586" s="444">
        <f t="shared" ca="1" si="171"/>
        <v>-5579544205.0635319</v>
      </c>
      <c r="L3586" s="444">
        <f t="shared" ca="1" si="172"/>
        <v>-1344670153420.311</v>
      </c>
      <c r="M3586" s="460">
        <f t="shared" si="174"/>
        <v>0.05</v>
      </c>
      <c r="N3586" s="464">
        <f t="shared" si="175"/>
        <v>160190</v>
      </c>
    </row>
    <row r="3587" spans="7:14" ht="11.25" customHeight="1" x14ac:dyDescent="0.25">
      <c r="G3587" s="459"/>
      <c r="H3587" s="459">
        <v>3580</v>
      </c>
      <c r="I3587" s="444">
        <f t="shared" ca="1" si="173"/>
        <v>-1344670153420.311</v>
      </c>
      <c r="J3587" s="444">
        <f t="array" ref="J3587">IFERROR(INDEX('Retirement Calculator'!J:J,MATCH('Isaac 401k'!N3587,'Retirement Calculator'!A:A,0),0),0)</f>
        <v>0</v>
      </c>
      <c r="K3587" s="444">
        <f t="shared" ca="1" si="171"/>
        <v>-5602792305.917963</v>
      </c>
      <c r="L3587" s="444">
        <f t="shared" ca="1" si="172"/>
        <v>-1350272945726.229</v>
      </c>
      <c r="M3587" s="460">
        <f t="shared" si="174"/>
        <v>0.05</v>
      </c>
      <c r="N3587" s="464">
        <f t="shared" si="175"/>
        <v>160221</v>
      </c>
    </row>
    <row r="3588" spans="7:14" ht="11.25" customHeight="1" x14ac:dyDescent="0.25">
      <c r="G3588" s="459"/>
      <c r="H3588" s="459">
        <v>3581</v>
      </c>
      <c r="I3588" s="444">
        <f t="shared" ca="1" si="173"/>
        <v>-1350272945726.229</v>
      </c>
      <c r="J3588" s="444">
        <f t="array" ref="J3588">IFERROR(INDEX('Retirement Calculator'!J:J,MATCH('Isaac 401k'!N3588,'Retirement Calculator'!A:A,0),0),0)</f>
        <v>0</v>
      </c>
      <c r="K3588" s="444">
        <f t="shared" ca="1" si="171"/>
        <v>-5626137273.8592873</v>
      </c>
      <c r="L3588" s="444">
        <f t="shared" ca="1" si="172"/>
        <v>-1355899083000.0884</v>
      </c>
      <c r="M3588" s="460">
        <f t="shared" si="174"/>
        <v>0.05</v>
      </c>
      <c r="N3588" s="464">
        <f t="shared" si="175"/>
        <v>160251</v>
      </c>
    </row>
    <row r="3589" spans="7:14" ht="11.25" customHeight="1" x14ac:dyDescent="0.25">
      <c r="G3589" s="459"/>
      <c r="H3589" s="459">
        <v>3582</v>
      </c>
      <c r="I3589" s="444">
        <f t="shared" ca="1" si="173"/>
        <v>-1355899083000.0884</v>
      </c>
      <c r="J3589" s="444">
        <f t="array" ref="J3589">IFERROR(INDEX('Retirement Calculator'!J:J,MATCH('Isaac 401k'!N3589,'Retirement Calculator'!A:A,0),0),0)</f>
        <v>0</v>
      </c>
      <c r="K3589" s="444">
        <f t="shared" ca="1" si="171"/>
        <v>-5649579512.5003681</v>
      </c>
      <c r="L3589" s="444">
        <f t="shared" ca="1" si="172"/>
        <v>-1361548662512.5889</v>
      </c>
      <c r="M3589" s="460">
        <f t="shared" si="174"/>
        <v>0.05</v>
      </c>
      <c r="N3589" s="464">
        <f t="shared" si="175"/>
        <v>160282</v>
      </c>
    </row>
    <row r="3590" spans="7:14" ht="11.25" customHeight="1" x14ac:dyDescent="0.25">
      <c r="G3590" s="459"/>
      <c r="H3590" s="459">
        <v>3583</v>
      </c>
      <c r="I3590" s="444">
        <f t="shared" ca="1" si="173"/>
        <v>-1361548662512.5889</v>
      </c>
      <c r="J3590" s="444">
        <f t="array" ref="J3590">IFERROR(INDEX('Retirement Calculator'!J:J,MATCH('Isaac 401k'!N3590,'Retirement Calculator'!A:A,0),0),0)</f>
        <v>0</v>
      </c>
      <c r="K3590" s="444">
        <f t="shared" ca="1" si="171"/>
        <v>-5673119427.135787</v>
      </c>
      <c r="L3590" s="444">
        <f t="shared" ca="1" si="172"/>
        <v>-1367221781939.7246</v>
      </c>
      <c r="M3590" s="460">
        <f t="shared" si="174"/>
        <v>0.05</v>
      </c>
      <c r="N3590" s="464">
        <f t="shared" si="175"/>
        <v>160312</v>
      </c>
    </row>
    <row r="3591" spans="7:14" ht="11.25" customHeight="1" x14ac:dyDescent="0.25">
      <c r="G3591" s="459"/>
      <c r="H3591" s="459">
        <v>3584</v>
      </c>
      <c r="I3591" s="444">
        <f t="shared" ca="1" si="173"/>
        <v>-1367221781939.7246</v>
      </c>
      <c r="J3591" s="444">
        <f t="array" ref="J3591">IFERROR(INDEX('Retirement Calculator'!J:J,MATCH('Isaac 401k'!N3591,'Retirement Calculator'!A:A,0),0),0)</f>
        <v>0</v>
      </c>
      <c r="K3591" s="444">
        <f t="shared" ca="1" si="171"/>
        <v>-5696757424.7488527</v>
      </c>
      <c r="L3591" s="444">
        <f t="shared" ca="1" si="172"/>
        <v>-1372918539364.4734</v>
      </c>
      <c r="M3591" s="460">
        <f t="shared" si="174"/>
        <v>0.05</v>
      </c>
      <c r="N3591" s="464">
        <f t="shared" si="175"/>
        <v>160343</v>
      </c>
    </row>
    <row r="3592" spans="7:14" ht="11.25" customHeight="1" x14ac:dyDescent="0.25">
      <c r="G3592" s="459"/>
      <c r="H3592" s="459">
        <v>3585</v>
      </c>
      <c r="I3592" s="444">
        <f t="shared" ca="1" si="173"/>
        <v>-1372918539364.4734</v>
      </c>
      <c r="J3592" s="444">
        <f t="array" ref="J3592">IFERROR(INDEX('Retirement Calculator'!J:J,MATCH('Isaac 401k'!N3592,'Retirement Calculator'!A:A,0),0),0)</f>
        <v>0</v>
      </c>
      <c r="K3592" s="444">
        <f t="shared" ca="1" si="171"/>
        <v>-5720493914.0186386</v>
      </c>
      <c r="L3592" s="444">
        <f t="shared" ca="1" si="172"/>
        <v>-1378639033278.4919</v>
      </c>
      <c r="M3592" s="460">
        <f t="shared" si="174"/>
        <v>0.05</v>
      </c>
      <c r="N3592" s="464">
        <f t="shared" si="175"/>
        <v>160374</v>
      </c>
    </row>
    <row r="3593" spans="7:14" ht="11.25" customHeight="1" x14ac:dyDescent="0.25">
      <c r="G3593" s="459"/>
      <c r="H3593" s="459">
        <v>3586</v>
      </c>
      <c r="I3593" s="444">
        <f t="shared" ca="1" si="173"/>
        <v>-1378639033278.4919</v>
      </c>
      <c r="J3593" s="444">
        <f t="array" ref="J3593">IFERROR(INDEX('Retirement Calculator'!J:J,MATCH('Isaac 401k'!N3593,'Retirement Calculator'!A:A,0),0),0)</f>
        <v>0</v>
      </c>
      <c r="K3593" s="444">
        <f t="shared" ca="1" si="171"/>
        <v>-5744329305.3270493</v>
      </c>
      <c r="L3593" s="444">
        <f t="shared" ca="1" si="172"/>
        <v>-1384383362583.8191</v>
      </c>
      <c r="M3593" s="460">
        <f t="shared" si="174"/>
        <v>0.05</v>
      </c>
      <c r="N3593" s="464">
        <f t="shared" si="175"/>
        <v>160402</v>
      </c>
    </row>
    <row r="3594" spans="7:14" ht="11.25" customHeight="1" x14ac:dyDescent="0.25">
      <c r="G3594" s="459"/>
      <c r="H3594" s="459">
        <v>3587</v>
      </c>
      <c r="I3594" s="444">
        <f t="shared" ca="1" si="173"/>
        <v>-1384383362583.8191</v>
      </c>
      <c r="J3594" s="444">
        <f t="array" ref="J3594">IFERROR(INDEX('Retirement Calculator'!J:J,MATCH('Isaac 401k'!N3594,'Retirement Calculator'!A:A,0),0),0)</f>
        <v>0</v>
      </c>
      <c r="K3594" s="444">
        <f t="shared" ca="1" si="171"/>
        <v>-5768264010.765913</v>
      </c>
      <c r="L3594" s="444">
        <f t="shared" ca="1" si="172"/>
        <v>-1390151626594.585</v>
      </c>
      <c r="M3594" s="460">
        <f t="shared" si="174"/>
        <v>0.05</v>
      </c>
      <c r="N3594" s="464">
        <f t="shared" si="175"/>
        <v>160433</v>
      </c>
    </row>
    <row r="3595" spans="7:14" ht="11.25" customHeight="1" x14ac:dyDescent="0.25">
      <c r="G3595" s="459"/>
      <c r="H3595" s="459">
        <v>3588</v>
      </c>
      <c r="I3595" s="444">
        <f t="shared" ca="1" si="173"/>
        <v>-1390151626594.585</v>
      </c>
      <c r="J3595" s="444">
        <f t="array" ref="J3595">IFERROR(INDEX('Retirement Calculator'!J:J,MATCH('Isaac 401k'!N3595,'Retirement Calculator'!A:A,0),0),0)</f>
        <v>0</v>
      </c>
      <c r="K3595" s="444">
        <f t="shared" ca="1" si="171"/>
        <v>-5792298444.144104</v>
      </c>
      <c r="L3595" s="444">
        <f t="shared" ca="1" si="172"/>
        <v>-1395943925038.729</v>
      </c>
      <c r="M3595" s="460">
        <f t="shared" si="174"/>
        <v>0.05</v>
      </c>
      <c r="N3595" s="464">
        <f t="shared" si="175"/>
        <v>160463</v>
      </c>
    </row>
    <row r="3596" spans="7:14" ht="11.25" customHeight="1" x14ac:dyDescent="0.25">
      <c r="G3596" s="459"/>
      <c r="H3596" s="459">
        <v>3589</v>
      </c>
      <c r="I3596" s="444">
        <f t="shared" ca="1" si="173"/>
        <v>-1395943925038.729</v>
      </c>
      <c r="J3596" s="444">
        <f t="array" ref="J3596">IFERROR(INDEX('Retirement Calculator'!J:J,MATCH('Isaac 401k'!N3596,'Retirement Calculator'!A:A,0),0),0)</f>
        <v>0</v>
      </c>
      <c r="K3596" s="444">
        <f t="shared" ca="1" si="171"/>
        <v>-5816433020.9947042</v>
      </c>
      <c r="L3596" s="444">
        <f t="shared" ca="1" si="172"/>
        <v>-1401760358059.7236</v>
      </c>
      <c r="M3596" s="460">
        <f t="shared" si="174"/>
        <v>0.05</v>
      </c>
      <c r="N3596" s="464">
        <f t="shared" si="175"/>
        <v>160494</v>
      </c>
    </row>
    <row r="3597" spans="7:14" ht="11.25" customHeight="1" x14ac:dyDescent="0.25">
      <c r="G3597" s="459"/>
      <c r="H3597" s="459">
        <v>3590</v>
      </c>
      <c r="I3597" s="444">
        <f t="shared" ca="1" si="173"/>
        <v>-1401760358059.7236</v>
      </c>
      <c r="J3597" s="444">
        <f t="array" ref="J3597">IFERROR(INDEX('Retirement Calculator'!J:J,MATCH('Isaac 401k'!N3597,'Retirement Calculator'!A:A,0),0),0)</f>
        <v>0</v>
      </c>
      <c r="K3597" s="444">
        <f t="shared" ca="1" si="171"/>
        <v>-5840668158.5821819</v>
      </c>
      <c r="L3597" s="444">
        <f t="shared" ca="1" si="172"/>
        <v>-1407601026218.3059</v>
      </c>
      <c r="M3597" s="460">
        <f t="shared" si="174"/>
        <v>0.05</v>
      </c>
      <c r="N3597" s="464">
        <f t="shared" si="175"/>
        <v>160524</v>
      </c>
    </row>
    <row r="3598" spans="7:14" ht="11.25" customHeight="1" x14ac:dyDescent="0.25">
      <c r="G3598" s="459"/>
      <c r="H3598" s="459">
        <v>3591</v>
      </c>
      <c r="I3598" s="444">
        <f t="shared" ca="1" si="173"/>
        <v>-1407601026218.3059</v>
      </c>
      <c r="J3598" s="444">
        <f t="array" ref="J3598">IFERROR(INDEX('Retirement Calculator'!J:J,MATCH('Isaac 401k'!N3598,'Retirement Calculator'!A:A,0),0),0)</f>
        <v>0</v>
      </c>
      <c r="K3598" s="444">
        <f t="shared" ca="1" si="171"/>
        <v>-5865004275.9096079</v>
      </c>
      <c r="L3598" s="444">
        <f t="shared" ca="1" si="172"/>
        <v>-1413466030494.2156</v>
      </c>
      <c r="M3598" s="460">
        <f t="shared" si="174"/>
        <v>0.05</v>
      </c>
      <c r="N3598" s="464">
        <f t="shared" si="175"/>
        <v>160555</v>
      </c>
    </row>
    <row r="3599" spans="7:14" ht="11.25" customHeight="1" x14ac:dyDescent="0.25">
      <c r="G3599" s="459"/>
      <c r="H3599" s="459">
        <v>3592</v>
      </c>
      <c r="I3599" s="444">
        <f t="shared" ca="1" si="173"/>
        <v>-1413466030494.2156</v>
      </c>
      <c r="J3599" s="444">
        <f t="array" ref="J3599">IFERROR(INDEX('Retirement Calculator'!J:J,MATCH('Isaac 401k'!N3599,'Retirement Calculator'!A:A,0),0),0)</f>
        <v>0</v>
      </c>
      <c r="K3599" s="444">
        <f t="shared" ca="1" si="171"/>
        <v>-5889441793.7258978</v>
      </c>
      <c r="L3599" s="444">
        <f t="shared" ca="1" si="172"/>
        <v>-1419355472287.9414</v>
      </c>
      <c r="M3599" s="460">
        <f t="shared" si="174"/>
        <v>0.05</v>
      </c>
      <c r="N3599" s="464">
        <f t="shared" si="175"/>
        <v>160586</v>
      </c>
    </row>
    <row r="3600" spans="7:14" ht="11.25" customHeight="1" x14ac:dyDescent="0.25">
      <c r="G3600" s="459"/>
      <c r="H3600" s="459">
        <v>3593</v>
      </c>
      <c r="I3600" s="444">
        <f t="shared" ca="1" si="173"/>
        <v>-1419355472287.9414</v>
      </c>
      <c r="J3600" s="444">
        <f t="array" ref="J3600">IFERROR(INDEX('Retirement Calculator'!J:J,MATCH('Isaac 401k'!N3600,'Retirement Calculator'!A:A,0),0),0)</f>
        <v>0</v>
      </c>
      <c r="K3600" s="444">
        <f t="shared" ca="1" si="171"/>
        <v>-5913981134.5330887</v>
      </c>
      <c r="L3600" s="444">
        <f t="shared" ca="1" si="172"/>
        <v>-1425269453422.4746</v>
      </c>
      <c r="M3600" s="460">
        <f t="shared" si="174"/>
        <v>0.05</v>
      </c>
      <c r="N3600" s="464">
        <f t="shared" si="175"/>
        <v>160616</v>
      </c>
    </row>
    <row r="3601" spans="7:14" ht="11.25" customHeight="1" x14ac:dyDescent="0.25">
      <c r="G3601" s="459"/>
      <c r="H3601" s="459">
        <v>3594</v>
      </c>
      <c r="I3601" s="444">
        <f t="shared" ca="1" si="173"/>
        <v>-1425269453422.4746</v>
      </c>
      <c r="J3601" s="444">
        <f t="array" ref="J3601">IFERROR(INDEX('Retirement Calculator'!J:J,MATCH('Isaac 401k'!N3601,'Retirement Calculator'!A:A,0),0),0)</f>
        <v>0</v>
      </c>
      <c r="K3601" s="444">
        <f t="shared" ca="1" si="171"/>
        <v>-5938622722.5936441</v>
      </c>
      <c r="L3601" s="444">
        <f t="shared" ca="1" si="172"/>
        <v>-1431208076145.0684</v>
      </c>
      <c r="M3601" s="460">
        <f t="shared" si="174"/>
        <v>0.05</v>
      </c>
      <c r="N3601" s="464">
        <f t="shared" si="175"/>
        <v>160647</v>
      </c>
    </row>
    <row r="3602" spans="7:14" ht="11.25" customHeight="1" x14ac:dyDescent="0.25">
      <c r="G3602" s="459"/>
      <c r="H3602" s="459">
        <v>3595</v>
      </c>
      <c r="I3602" s="444">
        <f t="shared" ca="1" si="173"/>
        <v>-1431208076145.0684</v>
      </c>
      <c r="J3602" s="444">
        <f t="array" ref="J3602">IFERROR(INDEX('Retirement Calculator'!J:J,MATCH('Isaac 401k'!N3602,'Retirement Calculator'!A:A,0),0),0)</f>
        <v>0</v>
      </c>
      <c r="K3602" s="444">
        <f t="shared" ca="1" si="171"/>
        <v>-5963366983.9377851</v>
      </c>
      <c r="L3602" s="444">
        <f t="shared" ca="1" si="172"/>
        <v>-1437171443129.0061</v>
      </c>
      <c r="M3602" s="460">
        <f t="shared" si="174"/>
        <v>0.05</v>
      </c>
      <c r="N3602" s="464">
        <f t="shared" si="175"/>
        <v>160677</v>
      </c>
    </row>
    <row r="3603" spans="7:14" ht="11.25" customHeight="1" x14ac:dyDescent="0.25">
      <c r="G3603" s="459"/>
      <c r="H3603" s="459">
        <v>3596</v>
      </c>
      <c r="I3603" s="444">
        <f t="shared" ca="1" si="173"/>
        <v>-1437171443129.0061</v>
      </c>
      <c r="J3603" s="444">
        <f t="array" ref="J3603">IFERROR(INDEX('Retirement Calculator'!J:J,MATCH('Isaac 401k'!N3603,'Retirement Calculator'!A:A,0),0),0)</f>
        <v>0</v>
      </c>
      <c r="K3603" s="444">
        <f t="shared" ca="1" si="171"/>
        <v>-5988214346.3708591</v>
      </c>
      <c r="L3603" s="444">
        <f t="shared" ca="1" si="172"/>
        <v>-1443159657475.377</v>
      </c>
      <c r="M3603" s="460">
        <f t="shared" si="174"/>
        <v>0.05</v>
      </c>
      <c r="N3603" s="464">
        <f t="shared" si="175"/>
        <v>160708</v>
      </c>
    </row>
    <row r="3604" spans="7:14" ht="11.25" customHeight="1" x14ac:dyDescent="0.25">
      <c r="G3604" s="459"/>
      <c r="H3604" s="459">
        <v>3597</v>
      </c>
      <c r="I3604" s="444">
        <f t="shared" ca="1" si="173"/>
        <v>-1443159657475.377</v>
      </c>
      <c r="J3604" s="444">
        <f t="array" ref="J3604">IFERROR(INDEX('Retirement Calculator'!J:J,MATCH('Isaac 401k'!N3604,'Retirement Calculator'!A:A,0),0),0)</f>
        <v>0</v>
      </c>
      <c r="K3604" s="444">
        <f t="shared" ca="1" si="171"/>
        <v>-6013165239.4807377</v>
      </c>
      <c r="L3604" s="444">
        <f t="shared" ca="1" si="172"/>
        <v>-1449172822714.8577</v>
      </c>
      <c r="M3604" s="460">
        <f t="shared" si="174"/>
        <v>0.05</v>
      </c>
      <c r="N3604" s="464">
        <f t="shared" si="175"/>
        <v>160739</v>
      </c>
    </row>
    <row r="3605" spans="7:14" ht="11.25" customHeight="1" x14ac:dyDescent="0.25">
      <c r="G3605" s="459"/>
      <c r="H3605" s="459">
        <v>3598</v>
      </c>
      <c r="I3605" s="444">
        <f t="shared" ca="1" si="173"/>
        <v>-1449172822714.8577</v>
      </c>
      <c r="J3605" s="444">
        <f t="array" ref="J3605">IFERROR(INDEX('Retirement Calculator'!J:J,MATCH('Isaac 401k'!N3605,'Retirement Calculator'!A:A,0),0),0)</f>
        <v>0</v>
      </c>
      <c r="K3605" s="444">
        <f t="shared" ca="1" si="171"/>
        <v>-6038220094.6452398</v>
      </c>
      <c r="L3605" s="444">
        <f t="shared" ca="1" si="172"/>
        <v>-1455211042809.5029</v>
      </c>
      <c r="M3605" s="460">
        <f t="shared" si="174"/>
        <v>0.05</v>
      </c>
      <c r="N3605" s="464">
        <f t="shared" si="175"/>
        <v>160768</v>
      </c>
    </row>
    <row r="3606" spans="7:14" ht="11.25" customHeight="1" x14ac:dyDescent="0.25">
      <c r="G3606" s="459"/>
      <c r="H3606" s="459">
        <v>3599</v>
      </c>
      <c r="I3606" s="444">
        <f t="shared" ca="1" si="173"/>
        <v>-1455211042809.5029</v>
      </c>
      <c r="J3606" s="444">
        <f t="array" ref="J3606">IFERROR(INDEX('Retirement Calculator'!J:J,MATCH('Isaac 401k'!N3606,'Retirement Calculator'!A:A,0),0),0)</f>
        <v>0</v>
      </c>
      <c r="K3606" s="444">
        <f t="shared" ca="1" si="171"/>
        <v>-6063379345.0395956</v>
      </c>
      <c r="L3606" s="444">
        <f t="shared" ca="1" si="172"/>
        <v>-1461274422154.5425</v>
      </c>
      <c r="M3606" s="460">
        <f t="shared" si="174"/>
        <v>0.05</v>
      </c>
      <c r="N3606" s="464">
        <f t="shared" si="175"/>
        <v>160799</v>
      </c>
    </row>
    <row r="3607" spans="7:14" ht="11.25" customHeight="1" x14ac:dyDescent="0.25">
      <c r="G3607" s="459"/>
      <c r="H3607" s="459">
        <v>3600</v>
      </c>
      <c r="I3607" s="444">
        <f t="shared" ca="1" si="173"/>
        <v>-1461274422154.5425</v>
      </c>
      <c r="J3607" s="444">
        <f t="array" ref="J3607">IFERROR(INDEX('Retirement Calculator'!J:J,MATCH('Isaac 401k'!N3607,'Retirement Calculator'!A:A,0),0),0)</f>
        <v>0</v>
      </c>
      <c r="K3607" s="444">
        <f t="shared" ca="1" si="171"/>
        <v>-6088643425.6439266</v>
      </c>
      <c r="L3607" s="444">
        <f t="shared" ca="1" si="172"/>
        <v>-1467363065580.1865</v>
      </c>
      <c r="M3607" s="460">
        <f t="shared" si="174"/>
        <v>0.05</v>
      </c>
      <c r="N3607" s="464">
        <f t="shared" si="175"/>
        <v>160829</v>
      </c>
    </row>
    <row r="3608" spans="7:14" ht="11.25" customHeight="1" x14ac:dyDescent="0.25">
      <c r="G3608" s="459"/>
      <c r="H3608" s="459">
        <v>3601</v>
      </c>
      <c r="I3608" s="444">
        <f t="shared" ca="1" si="173"/>
        <v>-1467363065580.1865</v>
      </c>
      <c r="J3608" s="444">
        <f t="array" ref="J3608">IFERROR(INDEX('Retirement Calculator'!J:J,MATCH('Isaac 401k'!N3608,'Retirement Calculator'!A:A,0),0),0)</f>
        <v>0</v>
      </c>
      <c r="K3608" s="444">
        <f t="shared" ca="1" si="171"/>
        <v>-6114012773.2507772</v>
      </c>
      <c r="L3608" s="444">
        <f t="shared" ca="1" si="172"/>
        <v>-1473477078353.4373</v>
      </c>
      <c r="M3608" s="460">
        <f t="shared" si="174"/>
        <v>0.05</v>
      </c>
      <c r="N3608" s="464">
        <f t="shared" si="175"/>
        <v>160860</v>
      </c>
    </row>
    <row r="3609" spans="7:14" ht="11.25" customHeight="1" x14ac:dyDescent="0.25">
      <c r="G3609" s="459"/>
      <c r="H3609" s="459">
        <v>3602</v>
      </c>
      <c r="I3609" s="444">
        <f t="shared" ca="1" si="173"/>
        <v>-1473477078353.4373</v>
      </c>
      <c r="J3609" s="444">
        <f t="array" ref="J3609">IFERROR(INDEX('Retirement Calculator'!J:J,MATCH('Isaac 401k'!N3609,'Retirement Calculator'!A:A,0),0),0)</f>
        <v>0</v>
      </c>
      <c r="K3609" s="444">
        <f t="shared" ca="1" si="171"/>
        <v>-6139487826.4726553</v>
      </c>
      <c r="L3609" s="444">
        <f t="shared" ca="1" si="172"/>
        <v>-1479616566179.9099</v>
      </c>
      <c r="M3609" s="460">
        <f t="shared" si="174"/>
        <v>0.05</v>
      </c>
      <c r="N3609" s="464">
        <f t="shared" si="175"/>
        <v>160890</v>
      </c>
    </row>
    <row r="3610" spans="7:14" ht="11.25" customHeight="1" x14ac:dyDescent="0.25">
      <c r="G3610" s="459"/>
      <c r="H3610" s="459">
        <v>3603</v>
      </c>
      <c r="I3610" s="444">
        <f t="shared" ca="1" si="173"/>
        <v>-1479616566179.9099</v>
      </c>
      <c r="J3610" s="444">
        <f t="array" ref="J3610">IFERROR(INDEX('Retirement Calculator'!J:J,MATCH('Isaac 401k'!N3610,'Retirement Calculator'!A:A,0),0),0)</f>
        <v>0</v>
      </c>
      <c r="K3610" s="444">
        <f t="shared" ca="1" si="171"/>
        <v>-6165069025.7496243</v>
      </c>
      <c r="L3610" s="444">
        <f t="shared" ca="1" si="172"/>
        <v>-1485781635205.6594</v>
      </c>
      <c r="M3610" s="460">
        <f t="shared" si="174"/>
        <v>0.05</v>
      </c>
      <c r="N3610" s="464">
        <f t="shared" si="175"/>
        <v>160921</v>
      </c>
    </row>
    <row r="3611" spans="7:14" ht="11.25" customHeight="1" x14ac:dyDescent="0.25">
      <c r="G3611" s="459"/>
      <c r="H3611" s="459">
        <v>3604</v>
      </c>
      <c r="I3611" s="444">
        <f t="shared" ca="1" si="173"/>
        <v>-1485781635205.6594</v>
      </c>
      <c r="J3611" s="444">
        <f t="array" ref="J3611">IFERROR(INDEX('Retirement Calculator'!J:J,MATCH('Isaac 401k'!N3611,'Retirement Calculator'!A:A,0),0),0)</f>
        <v>0</v>
      </c>
      <c r="K3611" s="444">
        <f t="shared" ca="1" si="171"/>
        <v>-6190756813.3569145</v>
      </c>
      <c r="L3611" s="444">
        <f t="shared" ca="1" si="172"/>
        <v>-1491972392019.0164</v>
      </c>
      <c r="M3611" s="460">
        <f t="shared" si="174"/>
        <v>0.05</v>
      </c>
      <c r="N3611" s="464">
        <f t="shared" si="175"/>
        <v>160952</v>
      </c>
    </row>
    <row r="3612" spans="7:14" ht="11.25" customHeight="1" x14ac:dyDescent="0.25">
      <c r="G3612" s="459"/>
      <c r="H3612" s="459">
        <v>3605</v>
      </c>
      <c r="I3612" s="444">
        <f t="shared" ca="1" si="173"/>
        <v>-1491972392019.0164</v>
      </c>
      <c r="J3612" s="444">
        <f t="array" ref="J3612">IFERROR(INDEX('Retirement Calculator'!J:J,MATCH('Isaac 401k'!N3612,'Retirement Calculator'!A:A,0),0),0)</f>
        <v>0</v>
      </c>
      <c r="K3612" s="444">
        <f t="shared" ca="1" si="171"/>
        <v>-6216551633.4125681</v>
      </c>
      <c r="L3612" s="444">
        <f t="shared" ca="1" si="172"/>
        <v>-1498188943652.429</v>
      </c>
      <c r="M3612" s="460">
        <f t="shared" si="174"/>
        <v>0.05</v>
      </c>
      <c r="N3612" s="464">
        <f t="shared" si="175"/>
        <v>160982</v>
      </c>
    </row>
    <row r="3613" spans="7:14" ht="11.25" customHeight="1" x14ac:dyDescent="0.25">
      <c r="G3613" s="459"/>
      <c r="H3613" s="459">
        <v>3606</v>
      </c>
      <c r="I3613" s="444">
        <f t="shared" ca="1" si="173"/>
        <v>-1498188943652.429</v>
      </c>
      <c r="J3613" s="444">
        <f t="array" ref="J3613">IFERROR(INDEX('Retirement Calculator'!J:J,MATCH('Isaac 401k'!N3613,'Retirement Calculator'!A:A,0),0),0)</f>
        <v>0</v>
      </c>
      <c r="K3613" s="444">
        <f t="shared" ca="1" si="171"/>
        <v>-6242453931.8851204</v>
      </c>
      <c r="L3613" s="444">
        <f t="shared" ca="1" si="172"/>
        <v>-1504431397584.314</v>
      </c>
      <c r="M3613" s="460">
        <f t="shared" si="174"/>
        <v>0.05</v>
      </c>
      <c r="N3613" s="464">
        <f t="shared" si="175"/>
        <v>161013</v>
      </c>
    </row>
    <row r="3614" spans="7:14" ht="11.25" customHeight="1" x14ac:dyDescent="0.25">
      <c r="G3614" s="459"/>
      <c r="H3614" s="459">
        <v>3607</v>
      </c>
      <c r="I3614" s="444">
        <f t="shared" ca="1" si="173"/>
        <v>-1504431397584.314</v>
      </c>
      <c r="J3614" s="444">
        <f t="array" ref="J3614">IFERROR(INDEX('Retirement Calculator'!J:J,MATCH('Isaac 401k'!N3614,'Retirement Calculator'!A:A,0),0),0)</f>
        <v>0</v>
      </c>
      <c r="K3614" s="444">
        <f t="shared" ca="1" si="171"/>
        <v>-6268464156.6013079</v>
      </c>
      <c r="L3614" s="444">
        <f t="shared" ca="1" si="172"/>
        <v>-1510699861740.9153</v>
      </c>
      <c r="M3614" s="460">
        <f t="shared" si="174"/>
        <v>0.05</v>
      </c>
      <c r="N3614" s="464">
        <f t="shared" si="175"/>
        <v>161043</v>
      </c>
    </row>
    <row r="3615" spans="7:14" ht="11.25" customHeight="1" x14ac:dyDescent="0.25">
      <c r="G3615" s="459"/>
      <c r="H3615" s="459">
        <v>3608</v>
      </c>
      <c r="I3615" s="444">
        <f t="shared" ca="1" si="173"/>
        <v>-1510699861740.9153</v>
      </c>
      <c r="J3615" s="444">
        <f t="array" ref="J3615">IFERROR(INDEX('Retirement Calculator'!J:J,MATCH('Isaac 401k'!N3615,'Retirement Calculator'!A:A,0),0),0)</f>
        <v>0</v>
      </c>
      <c r="K3615" s="444">
        <f t="shared" ca="1" si="171"/>
        <v>-6294582757.2538137</v>
      </c>
      <c r="L3615" s="444">
        <f t="shared" ca="1" si="172"/>
        <v>-1516994444498.1692</v>
      </c>
      <c r="M3615" s="460">
        <f t="shared" si="174"/>
        <v>0.05</v>
      </c>
      <c r="N3615" s="464">
        <f t="shared" si="175"/>
        <v>161074</v>
      </c>
    </row>
    <row r="3616" spans="7:14" ht="11.25" customHeight="1" x14ac:dyDescent="0.25">
      <c r="G3616" s="459"/>
      <c r="H3616" s="459">
        <v>3609</v>
      </c>
      <c r="I3616" s="444">
        <f t="shared" ca="1" si="173"/>
        <v>-1516994444498.1692</v>
      </c>
      <c r="J3616" s="444">
        <f t="array" ref="J3616">IFERROR(INDEX('Retirement Calculator'!J:J,MATCH('Isaac 401k'!N3616,'Retirement Calculator'!A:A,0),0),0)</f>
        <v>0</v>
      </c>
      <c r="K3616" s="444">
        <f t="shared" ca="1" si="171"/>
        <v>-6320810185.4090385</v>
      </c>
      <c r="L3616" s="444">
        <f t="shared" ca="1" si="172"/>
        <v>-1523315254683.5781</v>
      </c>
      <c r="M3616" s="460">
        <f t="shared" si="174"/>
        <v>0.05</v>
      </c>
      <c r="N3616" s="464">
        <f t="shared" si="175"/>
        <v>161105</v>
      </c>
    </row>
    <row r="3617" spans="7:14" ht="11.25" customHeight="1" x14ac:dyDescent="0.25">
      <c r="G3617" s="459"/>
      <c r="H3617" s="459">
        <v>3610</v>
      </c>
      <c r="I3617" s="444">
        <f t="shared" ca="1" si="173"/>
        <v>-1523315254683.5781</v>
      </c>
      <c r="J3617" s="444">
        <f t="array" ref="J3617">IFERROR(INDEX('Retirement Calculator'!J:J,MATCH('Isaac 401k'!N3617,'Retirement Calculator'!A:A,0),0),0)</f>
        <v>0</v>
      </c>
      <c r="K3617" s="444">
        <f t="shared" ca="1" si="171"/>
        <v>-6347146894.5149088</v>
      </c>
      <c r="L3617" s="444">
        <f t="shared" ca="1" si="172"/>
        <v>-1529662401578.093</v>
      </c>
      <c r="M3617" s="460">
        <f t="shared" si="174"/>
        <v>0.05</v>
      </c>
      <c r="N3617" s="464">
        <f t="shared" si="175"/>
        <v>161133</v>
      </c>
    </row>
    <row r="3618" spans="7:14" ht="11.25" customHeight="1" x14ac:dyDescent="0.25">
      <c r="G3618" s="459"/>
      <c r="H3618" s="459">
        <v>3611</v>
      </c>
      <c r="I3618" s="444">
        <f t="shared" ca="1" si="173"/>
        <v>-1529662401578.093</v>
      </c>
      <c r="J3618" s="444">
        <f t="array" ref="J3618">IFERROR(INDEX('Retirement Calculator'!J:J,MATCH('Isaac 401k'!N3618,'Retirement Calculator'!A:A,0),0),0)</f>
        <v>0</v>
      </c>
      <c r="K3618" s="444">
        <f t="shared" ca="1" si="171"/>
        <v>-6373593339.908721</v>
      </c>
      <c r="L3618" s="444">
        <f t="shared" ca="1" si="172"/>
        <v>-1536035994918.0017</v>
      </c>
      <c r="M3618" s="460">
        <f t="shared" si="174"/>
        <v>0.05</v>
      </c>
      <c r="N3618" s="464">
        <f t="shared" si="175"/>
        <v>161164</v>
      </c>
    </row>
    <row r="3619" spans="7:14" ht="11.25" customHeight="1" x14ac:dyDescent="0.25">
      <c r="G3619" s="459"/>
      <c r="H3619" s="459">
        <v>3612</v>
      </c>
      <c r="I3619" s="444">
        <f t="shared" ca="1" si="173"/>
        <v>-1536035994918.0017</v>
      </c>
      <c r="J3619" s="444">
        <f t="array" ref="J3619">IFERROR(INDEX('Retirement Calculator'!J:J,MATCH('Isaac 401k'!N3619,'Retirement Calculator'!A:A,0),0),0)</f>
        <v>0</v>
      </c>
      <c r="K3619" s="444">
        <f t="shared" ca="1" si="171"/>
        <v>-6400149978.8250074</v>
      </c>
      <c r="L3619" s="444">
        <f t="shared" ca="1" si="172"/>
        <v>-1542436144896.8267</v>
      </c>
      <c r="M3619" s="460">
        <f t="shared" si="174"/>
        <v>0.05</v>
      </c>
      <c r="N3619" s="464">
        <f t="shared" si="175"/>
        <v>161194</v>
      </c>
    </row>
    <row r="3620" spans="7:14" ht="11.25" customHeight="1" x14ac:dyDescent="0.25">
      <c r="G3620" s="459"/>
      <c r="H3620" s="459">
        <v>3613</v>
      </c>
      <c r="I3620" s="444">
        <f t="shared" ca="1" si="173"/>
        <v>-1542436144896.8267</v>
      </c>
      <c r="J3620" s="444">
        <f t="array" ref="J3620">IFERROR(INDEX('Retirement Calculator'!J:J,MATCH('Isaac 401k'!N3620,'Retirement Calculator'!A:A,0),0),0)</f>
        <v>0</v>
      </c>
      <c r="K3620" s="444">
        <f t="shared" ca="1" si="171"/>
        <v>-6426817270.4034443</v>
      </c>
      <c r="L3620" s="444">
        <f t="shared" ca="1" si="172"/>
        <v>-1548862962167.2302</v>
      </c>
      <c r="M3620" s="460">
        <f t="shared" si="174"/>
        <v>0.05</v>
      </c>
      <c r="N3620" s="464">
        <f t="shared" si="175"/>
        <v>161225</v>
      </c>
    </row>
    <row r="3621" spans="7:14" ht="11.25" customHeight="1" x14ac:dyDescent="0.25">
      <c r="G3621" s="459"/>
      <c r="H3621" s="459">
        <v>3614</v>
      </c>
      <c r="I3621" s="444">
        <f t="shared" ca="1" si="173"/>
        <v>-1548862962167.2302</v>
      </c>
      <c r="J3621" s="444">
        <f t="array" ref="J3621">IFERROR(INDEX('Retirement Calculator'!J:J,MATCH('Isaac 401k'!N3621,'Retirement Calculator'!A:A,0),0),0)</f>
        <v>0</v>
      </c>
      <c r="K3621" s="444">
        <f t="shared" ca="1" si="171"/>
        <v>-6453595675.6967926</v>
      </c>
      <c r="L3621" s="444">
        <f t="shared" ca="1" si="172"/>
        <v>-1555316557842.927</v>
      </c>
      <c r="M3621" s="460">
        <f t="shared" si="174"/>
        <v>0.05</v>
      </c>
      <c r="N3621" s="464">
        <f t="shared" si="175"/>
        <v>161255</v>
      </c>
    </row>
    <row r="3622" spans="7:14" ht="11.25" customHeight="1" x14ac:dyDescent="0.25">
      <c r="G3622" s="459"/>
      <c r="H3622" s="459">
        <v>3615</v>
      </c>
      <c r="I3622" s="444">
        <f t="shared" ca="1" si="173"/>
        <v>-1555316557842.927</v>
      </c>
      <c r="J3622" s="444">
        <f t="array" ref="J3622">IFERROR(INDEX('Retirement Calculator'!J:J,MATCH('Isaac 401k'!N3622,'Retirement Calculator'!A:A,0),0),0)</f>
        <v>0</v>
      </c>
      <c r="K3622" s="444">
        <f t="shared" ca="1" si="171"/>
        <v>-6480485657.6788626</v>
      </c>
      <c r="L3622" s="444">
        <f t="shared" ca="1" si="172"/>
        <v>-1561797043500.606</v>
      </c>
      <c r="M3622" s="460">
        <f t="shared" si="174"/>
        <v>0.05</v>
      </c>
      <c r="N3622" s="464">
        <f t="shared" si="175"/>
        <v>161286</v>
      </c>
    </row>
    <row r="3623" spans="7:14" ht="11.25" customHeight="1" x14ac:dyDescent="0.25">
      <c r="G3623" s="459"/>
      <c r="H3623" s="459">
        <v>3616</v>
      </c>
      <c r="I3623" s="444">
        <f t="shared" ca="1" si="173"/>
        <v>-1561797043500.606</v>
      </c>
      <c r="J3623" s="444">
        <f t="array" ref="J3623">IFERROR(INDEX('Retirement Calculator'!J:J,MATCH('Isaac 401k'!N3623,'Retirement Calculator'!A:A,0),0),0)</f>
        <v>0</v>
      </c>
      <c r="K3623" s="444">
        <f t="shared" ca="1" si="171"/>
        <v>-6507487681.2525244</v>
      </c>
      <c r="L3623" s="444">
        <f t="shared" ca="1" si="172"/>
        <v>-1568304531181.8584</v>
      </c>
      <c r="M3623" s="460">
        <f t="shared" si="174"/>
        <v>0.05</v>
      </c>
      <c r="N3623" s="464">
        <f t="shared" si="175"/>
        <v>161317</v>
      </c>
    </row>
    <row r="3624" spans="7:14" ht="11.25" customHeight="1" x14ac:dyDescent="0.25">
      <c r="G3624" s="459"/>
      <c r="H3624" s="459">
        <v>3617</v>
      </c>
      <c r="I3624" s="444">
        <f t="shared" ca="1" si="173"/>
        <v>-1568304531181.8584</v>
      </c>
      <c r="J3624" s="444">
        <f t="array" ref="J3624">IFERROR(INDEX('Retirement Calculator'!J:J,MATCH('Isaac 401k'!N3624,'Retirement Calculator'!A:A,0),0),0)</f>
        <v>0</v>
      </c>
      <c r="K3624" s="444">
        <f t="shared" ca="1" si="171"/>
        <v>-6534602213.2577429</v>
      </c>
      <c r="L3624" s="444">
        <f t="shared" ca="1" si="172"/>
        <v>-1574839133395.1162</v>
      </c>
      <c r="M3624" s="460">
        <f t="shared" si="174"/>
        <v>0.05</v>
      </c>
      <c r="N3624" s="464">
        <f t="shared" si="175"/>
        <v>161347</v>
      </c>
    </row>
    <row r="3625" spans="7:14" ht="11.25" customHeight="1" x14ac:dyDescent="0.25">
      <c r="G3625" s="459"/>
      <c r="H3625" s="459">
        <v>3618</v>
      </c>
      <c r="I3625" s="444">
        <f t="shared" ca="1" si="173"/>
        <v>-1574839133395.1162</v>
      </c>
      <c r="J3625" s="444">
        <f t="array" ref="J3625">IFERROR(INDEX('Retirement Calculator'!J:J,MATCH('Isaac 401k'!N3625,'Retirement Calculator'!A:A,0),0),0)</f>
        <v>0</v>
      </c>
      <c r="K3625" s="444">
        <f t="shared" ca="1" si="171"/>
        <v>-6561829722.4796505</v>
      </c>
      <c r="L3625" s="444">
        <f t="shared" ca="1" si="172"/>
        <v>-1581400963117.5959</v>
      </c>
      <c r="M3625" s="460">
        <f t="shared" si="174"/>
        <v>0.05</v>
      </c>
      <c r="N3625" s="464">
        <f t="shared" si="175"/>
        <v>161378</v>
      </c>
    </row>
    <row r="3626" spans="7:14" ht="11.25" customHeight="1" x14ac:dyDescent="0.25">
      <c r="G3626" s="459"/>
      <c r="H3626" s="459">
        <v>3619</v>
      </c>
      <c r="I3626" s="444">
        <f t="shared" ca="1" si="173"/>
        <v>-1581400963117.5959</v>
      </c>
      <c r="J3626" s="444">
        <f t="array" ref="J3626">IFERROR(INDEX('Retirement Calculator'!J:J,MATCH('Isaac 401k'!N3626,'Retirement Calculator'!A:A,0),0),0)</f>
        <v>0</v>
      </c>
      <c r="K3626" s="444">
        <f t="shared" ca="1" si="171"/>
        <v>-6589170679.6566496</v>
      </c>
      <c r="L3626" s="444">
        <f t="shared" ca="1" si="172"/>
        <v>-1587990133797.2527</v>
      </c>
      <c r="M3626" s="460">
        <f t="shared" si="174"/>
        <v>0.05</v>
      </c>
      <c r="N3626" s="464">
        <f t="shared" si="175"/>
        <v>161408</v>
      </c>
    </row>
    <row r="3627" spans="7:14" ht="11.25" customHeight="1" x14ac:dyDescent="0.25">
      <c r="G3627" s="459"/>
      <c r="H3627" s="459">
        <v>3620</v>
      </c>
      <c r="I3627" s="444">
        <f t="shared" ca="1" si="173"/>
        <v>-1587990133797.2527</v>
      </c>
      <c r="J3627" s="444">
        <f t="array" ref="J3627">IFERROR(INDEX('Retirement Calculator'!J:J,MATCH('Isaac 401k'!N3627,'Retirement Calculator'!A:A,0),0),0)</f>
        <v>0</v>
      </c>
      <c r="K3627" s="444">
        <f t="shared" ca="1" si="171"/>
        <v>-6616625557.488553</v>
      </c>
      <c r="L3627" s="444">
        <f t="shared" ca="1" si="172"/>
        <v>-1594606759354.7412</v>
      </c>
      <c r="M3627" s="460">
        <f t="shared" si="174"/>
        <v>0.05</v>
      </c>
      <c r="N3627" s="464">
        <f t="shared" si="175"/>
        <v>161439</v>
      </c>
    </row>
    <row r="3628" spans="7:14" ht="11.25" customHeight="1" x14ac:dyDescent="0.25">
      <c r="G3628" s="459"/>
      <c r="H3628" s="459">
        <v>3621</v>
      </c>
      <c r="I3628" s="444">
        <f t="shared" ca="1" si="173"/>
        <v>-1594606759354.7412</v>
      </c>
      <c r="J3628" s="444">
        <f t="array" ref="J3628">IFERROR(INDEX('Retirement Calculator'!J:J,MATCH('Isaac 401k'!N3628,'Retirement Calculator'!A:A,0),0),0)</f>
        <v>0</v>
      </c>
      <c r="K3628" s="444">
        <f t="shared" ca="1" si="171"/>
        <v>-6644194830.6447554</v>
      </c>
      <c r="L3628" s="444">
        <f t="shared" ca="1" si="172"/>
        <v>-1601250954185.386</v>
      </c>
      <c r="M3628" s="460">
        <f t="shared" si="174"/>
        <v>0.05</v>
      </c>
      <c r="N3628" s="464">
        <f t="shared" si="175"/>
        <v>161470</v>
      </c>
    </row>
    <row r="3629" spans="7:14" ht="11.25" customHeight="1" x14ac:dyDescent="0.25">
      <c r="G3629" s="459"/>
      <c r="H3629" s="459">
        <v>3622</v>
      </c>
      <c r="I3629" s="444">
        <f t="shared" ca="1" si="173"/>
        <v>-1601250954185.386</v>
      </c>
      <c r="J3629" s="444">
        <f t="array" ref="J3629">IFERROR(INDEX('Retirement Calculator'!J:J,MATCH('Isaac 401k'!N3629,'Retirement Calculator'!A:A,0),0),0)</f>
        <v>0</v>
      </c>
      <c r="K3629" s="444">
        <f t="shared" ca="1" si="171"/>
        <v>-6671878975.7724419</v>
      </c>
      <c r="L3629" s="444">
        <f t="shared" ca="1" si="172"/>
        <v>-1607922833161.1584</v>
      </c>
      <c r="M3629" s="460">
        <f t="shared" si="174"/>
        <v>0.05</v>
      </c>
      <c r="N3629" s="464">
        <f t="shared" si="175"/>
        <v>161498</v>
      </c>
    </row>
    <row r="3630" spans="7:14" ht="11.25" customHeight="1" x14ac:dyDescent="0.25">
      <c r="G3630" s="459"/>
      <c r="H3630" s="459">
        <v>3623</v>
      </c>
      <c r="I3630" s="444">
        <f t="shared" ca="1" si="173"/>
        <v>-1607922833161.1584</v>
      </c>
      <c r="J3630" s="444">
        <f t="array" ref="J3630">IFERROR(INDEX('Retirement Calculator'!J:J,MATCH('Isaac 401k'!N3630,'Retirement Calculator'!A:A,0),0),0)</f>
        <v>0</v>
      </c>
      <c r="K3630" s="444">
        <f t="shared" ca="1" si="171"/>
        <v>-6699678471.5048265</v>
      </c>
      <c r="L3630" s="444">
        <f t="shared" ca="1" si="172"/>
        <v>-1614622511632.6633</v>
      </c>
      <c r="M3630" s="460">
        <f t="shared" si="174"/>
        <v>0.05</v>
      </c>
      <c r="N3630" s="464">
        <f t="shared" si="175"/>
        <v>161529</v>
      </c>
    </row>
    <row r="3631" spans="7:14" ht="11.25" customHeight="1" x14ac:dyDescent="0.25">
      <c r="G3631" s="459"/>
      <c r="H3631" s="459">
        <v>3624</v>
      </c>
      <c r="I3631" s="444">
        <f t="shared" ca="1" si="173"/>
        <v>-1614622511632.6633</v>
      </c>
      <c r="J3631" s="444">
        <f t="array" ref="J3631">IFERROR(INDEX('Retirement Calculator'!J:J,MATCH('Isaac 401k'!N3631,'Retirement Calculator'!A:A,0),0),0)</f>
        <v>0</v>
      </c>
      <c r="K3631" s="444">
        <f t="shared" ca="1" si="171"/>
        <v>-6727593798.4694309</v>
      </c>
      <c r="L3631" s="444">
        <f t="shared" ca="1" si="172"/>
        <v>-1621350105431.1328</v>
      </c>
      <c r="M3631" s="460">
        <f t="shared" si="174"/>
        <v>0.05</v>
      </c>
      <c r="N3631" s="464">
        <f t="shared" si="175"/>
        <v>161559</v>
      </c>
    </row>
    <row r="3632" spans="7:14" ht="11.25" customHeight="1" x14ac:dyDescent="0.25">
      <c r="G3632" s="459"/>
      <c r="H3632" s="459">
        <v>3625</v>
      </c>
      <c r="I3632" s="444">
        <f t="shared" ca="1" si="173"/>
        <v>-1621350105431.1328</v>
      </c>
      <c r="J3632" s="444">
        <f t="array" ref="J3632">IFERROR(INDEX('Retirement Calculator'!J:J,MATCH('Isaac 401k'!N3632,'Retirement Calculator'!A:A,0),0),0)</f>
        <v>0</v>
      </c>
      <c r="K3632" s="444">
        <f t="shared" ca="1" si="171"/>
        <v>-6755625439.2963867</v>
      </c>
      <c r="L3632" s="444">
        <f t="shared" ca="1" si="172"/>
        <v>-1628105730870.4292</v>
      </c>
      <c r="M3632" s="460">
        <f t="shared" si="174"/>
        <v>0.05</v>
      </c>
      <c r="N3632" s="464">
        <f t="shared" si="175"/>
        <v>161590</v>
      </c>
    </row>
    <row r="3633" spans="7:14" ht="11.25" customHeight="1" x14ac:dyDescent="0.25">
      <c r="G3633" s="459"/>
      <c r="H3633" s="459">
        <v>3626</v>
      </c>
      <c r="I3633" s="444">
        <f t="shared" ca="1" si="173"/>
        <v>-1628105730870.4292</v>
      </c>
      <c r="J3633" s="444">
        <f t="array" ref="J3633">IFERROR(INDEX('Retirement Calculator'!J:J,MATCH('Isaac 401k'!N3633,'Retirement Calculator'!A:A,0),0),0)</f>
        <v>0</v>
      </c>
      <c r="K3633" s="444">
        <f t="shared" ca="1" si="171"/>
        <v>-6783773878.6267881</v>
      </c>
      <c r="L3633" s="444">
        <f t="shared" ca="1" si="172"/>
        <v>-1634889504749.0559</v>
      </c>
      <c r="M3633" s="460">
        <f t="shared" si="174"/>
        <v>0.05</v>
      </c>
      <c r="N3633" s="464">
        <f t="shared" si="175"/>
        <v>161620</v>
      </c>
    </row>
    <row r="3634" spans="7:14" ht="11.25" customHeight="1" x14ac:dyDescent="0.25">
      <c r="G3634" s="459"/>
      <c r="H3634" s="459">
        <v>3627</v>
      </c>
      <c r="I3634" s="444">
        <f t="shared" ca="1" si="173"/>
        <v>-1634889504749.0559</v>
      </c>
      <c r="J3634" s="444">
        <f t="array" ref="J3634">IFERROR(INDEX('Retirement Calculator'!J:J,MATCH('Isaac 401k'!N3634,'Retirement Calculator'!A:A,0),0),0)</f>
        <v>0</v>
      </c>
      <c r="K3634" s="444">
        <f t="shared" ca="1" si="171"/>
        <v>-6812039603.1210661</v>
      </c>
      <c r="L3634" s="444">
        <f t="shared" ca="1" si="172"/>
        <v>-1641701544352.177</v>
      </c>
      <c r="M3634" s="460">
        <f t="shared" si="174"/>
        <v>0.05</v>
      </c>
      <c r="N3634" s="464">
        <f t="shared" si="175"/>
        <v>161651</v>
      </c>
    </row>
    <row r="3635" spans="7:14" ht="11.25" customHeight="1" x14ac:dyDescent="0.25">
      <c r="G3635" s="459"/>
      <c r="H3635" s="459">
        <v>3628</v>
      </c>
      <c r="I3635" s="444">
        <f t="shared" ca="1" si="173"/>
        <v>-1641701544352.177</v>
      </c>
      <c r="J3635" s="444">
        <f t="array" ref="J3635">IFERROR(INDEX('Retirement Calculator'!J:J,MATCH('Isaac 401k'!N3635,'Retirement Calculator'!A:A,0),0),0)</f>
        <v>0</v>
      </c>
      <c r="K3635" s="444">
        <f t="shared" ca="1" si="171"/>
        <v>-6840423101.4674044</v>
      </c>
      <c r="L3635" s="444">
        <f t="shared" ca="1" si="172"/>
        <v>-1648541967453.6443</v>
      </c>
      <c r="M3635" s="460">
        <f t="shared" si="174"/>
        <v>0.05</v>
      </c>
      <c r="N3635" s="464">
        <f t="shared" si="175"/>
        <v>161682</v>
      </c>
    </row>
    <row r="3636" spans="7:14" ht="11.25" customHeight="1" x14ac:dyDescent="0.25">
      <c r="G3636" s="459"/>
      <c r="H3636" s="459">
        <v>3629</v>
      </c>
      <c r="I3636" s="444">
        <f t="shared" ca="1" si="173"/>
        <v>-1648541967453.6443</v>
      </c>
      <c r="J3636" s="444">
        <f t="array" ref="J3636">IFERROR(INDEX('Retirement Calculator'!J:J,MATCH('Isaac 401k'!N3636,'Retirement Calculator'!A:A,0),0),0)</f>
        <v>0</v>
      </c>
      <c r="K3636" s="444">
        <f t="shared" ca="1" si="171"/>
        <v>-6868924864.3901844</v>
      </c>
      <c r="L3636" s="444">
        <f t="shared" ca="1" si="172"/>
        <v>-1655410892318.0344</v>
      </c>
      <c r="M3636" s="460">
        <f t="shared" si="174"/>
        <v>0.05</v>
      </c>
      <c r="N3636" s="464">
        <f t="shared" si="175"/>
        <v>161712</v>
      </c>
    </row>
    <row r="3637" spans="7:14" ht="11.25" customHeight="1" x14ac:dyDescent="0.25">
      <c r="G3637" s="459"/>
      <c r="H3637" s="459">
        <v>3630</v>
      </c>
      <c r="I3637" s="444">
        <f t="shared" ca="1" si="173"/>
        <v>-1655410892318.0344</v>
      </c>
      <c r="J3637" s="444">
        <f t="array" ref="J3637">IFERROR(INDEX('Retirement Calculator'!J:J,MATCH('Isaac 401k'!N3637,'Retirement Calculator'!A:A,0),0),0)</f>
        <v>0</v>
      </c>
      <c r="K3637" s="444">
        <f t="shared" ca="1" si="171"/>
        <v>-6897545384.6584768</v>
      </c>
      <c r="L3637" s="444">
        <f t="shared" ca="1" si="172"/>
        <v>-1662308437702.6929</v>
      </c>
      <c r="M3637" s="460">
        <f t="shared" si="174"/>
        <v>0.05</v>
      </c>
      <c r="N3637" s="464">
        <f t="shared" si="175"/>
        <v>161743</v>
      </c>
    </row>
    <row r="3638" spans="7:14" ht="11.25" customHeight="1" x14ac:dyDescent="0.25">
      <c r="G3638" s="459"/>
      <c r="H3638" s="459">
        <v>3631</v>
      </c>
      <c r="I3638" s="444">
        <f t="shared" ca="1" si="173"/>
        <v>-1662308437702.6929</v>
      </c>
      <c r="J3638" s="444">
        <f t="array" ref="J3638">IFERROR(INDEX('Retirement Calculator'!J:J,MATCH('Isaac 401k'!N3638,'Retirement Calculator'!A:A,0),0),0)</f>
        <v>0</v>
      </c>
      <c r="K3638" s="444">
        <f t="shared" ca="1" si="171"/>
        <v>-6926285157.0945539</v>
      </c>
      <c r="L3638" s="444">
        <f t="shared" ca="1" si="172"/>
        <v>-1669234722859.7874</v>
      </c>
      <c r="M3638" s="460">
        <f t="shared" si="174"/>
        <v>0.05</v>
      </c>
      <c r="N3638" s="464">
        <f t="shared" si="175"/>
        <v>161773</v>
      </c>
    </row>
    <row r="3639" spans="7:14" ht="11.25" customHeight="1" x14ac:dyDescent="0.25">
      <c r="G3639" s="459"/>
      <c r="H3639" s="459">
        <v>3632</v>
      </c>
      <c r="I3639" s="444">
        <f t="shared" ca="1" si="173"/>
        <v>-1669234722859.7874</v>
      </c>
      <c r="J3639" s="444">
        <f t="array" ref="J3639">IFERROR(INDEX('Retirement Calculator'!J:J,MATCH('Isaac 401k'!N3639,'Retirement Calculator'!A:A,0),0),0)</f>
        <v>0</v>
      </c>
      <c r="K3639" s="444">
        <f t="shared" ca="1" si="171"/>
        <v>-6955144678.5824471</v>
      </c>
      <c r="L3639" s="444">
        <f t="shared" ca="1" si="172"/>
        <v>-1676189867538.3699</v>
      </c>
      <c r="M3639" s="460">
        <f t="shared" si="174"/>
        <v>0.05</v>
      </c>
      <c r="N3639" s="464">
        <f t="shared" si="175"/>
        <v>161804</v>
      </c>
    </row>
    <row r="3640" spans="7:14" ht="11.25" customHeight="1" x14ac:dyDescent="0.25">
      <c r="G3640" s="459"/>
      <c r="H3640" s="459">
        <v>3633</v>
      </c>
      <c r="I3640" s="444">
        <f t="shared" ca="1" si="173"/>
        <v>-1676189867538.3699</v>
      </c>
      <c r="J3640" s="444">
        <f t="array" ref="J3640">IFERROR(INDEX('Retirement Calculator'!J:J,MATCH('Isaac 401k'!N3640,'Retirement Calculator'!A:A,0),0),0)</f>
        <v>0</v>
      </c>
      <c r="K3640" s="444">
        <f t="shared" ca="1" si="171"/>
        <v>-6984124448.0765409</v>
      </c>
      <c r="L3640" s="444">
        <f t="shared" ca="1" si="172"/>
        <v>-1683173991986.4465</v>
      </c>
      <c r="M3640" s="460">
        <f t="shared" si="174"/>
        <v>0.05</v>
      </c>
      <c r="N3640" s="464">
        <f t="shared" si="175"/>
        <v>161835</v>
      </c>
    </row>
    <row r="3641" spans="7:14" ht="11.25" customHeight="1" x14ac:dyDescent="0.25">
      <c r="G3641" s="459"/>
      <c r="H3641" s="459">
        <v>3634</v>
      </c>
      <c r="I3641" s="444">
        <f t="shared" ca="1" si="173"/>
        <v>-1683173991986.4465</v>
      </c>
      <c r="J3641" s="444">
        <f t="array" ref="J3641">IFERROR(INDEX('Retirement Calculator'!J:J,MATCH('Isaac 401k'!N3641,'Retirement Calculator'!A:A,0),0),0)</f>
        <v>0</v>
      </c>
      <c r="K3641" s="444">
        <f t="shared" ca="1" si="171"/>
        <v>-7013224966.6101942</v>
      </c>
      <c r="L3641" s="444">
        <f t="shared" ca="1" si="172"/>
        <v>-1690187216953.0566</v>
      </c>
      <c r="M3641" s="460">
        <f t="shared" si="174"/>
        <v>0.05</v>
      </c>
      <c r="N3641" s="464">
        <f t="shared" si="175"/>
        <v>161863</v>
      </c>
    </row>
    <row r="3642" spans="7:14" ht="11.25" customHeight="1" x14ac:dyDescent="0.25">
      <c r="G3642" s="459"/>
      <c r="H3642" s="459">
        <v>3635</v>
      </c>
      <c r="I3642" s="444">
        <f t="shared" ca="1" si="173"/>
        <v>-1690187216953.0566</v>
      </c>
      <c r="J3642" s="444">
        <f t="array" ref="J3642">IFERROR(INDEX('Retirement Calculator'!J:J,MATCH('Isaac 401k'!N3642,'Retirement Calculator'!A:A,0),0),0)</f>
        <v>0</v>
      </c>
      <c r="K3642" s="444">
        <f t="shared" ca="1" si="171"/>
        <v>-7042446737.3044024</v>
      </c>
      <c r="L3642" s="444">
        <f t="shared" ca="1" si="172"/>
        <v>-1697229663690.3611</v>
      </c>
      <c r="M3642" s="460">
        <f t="shared" si="174"/>
        <v>0.05</v>
      </c>
      <c r="N3642" s="464">
        <f t="shared" si="175"/>
        <v>161894</v>
      </c>
    </row>
    <row r="3643" spans="7:14" ht="11.25" customHeight="1" x14ac:dyDescent="0.25">
      <c r="G3643" s="459"/>
      <c r="H3643" s="459">
        <v>3636</v>
      </c>
      <c r="I3643" s="444">
        <f t="shared" ca="1" si="173"/>
        <v>-1697229663690.3611</v>
      </c>
      <c r="J3643" s="444">
        <f t="array" ref="J3643">IFERROR(INDEX('Retirement Calculator'!J:J,MATCH('Isaac 401k'!N3643,'Retirement Calculator'!A:A,0),0),0)</f>
        <v>0</v>
      </c>
      <c r="K3643" s="444">
        <f t="shared" ca="1" si="171"/>
        <v>-7071790265.3765039</v>
      </c>
      <c r="L3643" s="444">
        <f t="shared" ca="1" si="172"/>
        <v>-1704301453955.7375</v>
      </c>
      <c r="M3643" s="460">
        <f t="shared" si="174"/>
        <v>0.05</v>
      </c>
      <c r="N3643" s="464">
        <f t="shared" si="175"/>
        <v>161924</v>
      </c>
    </row>
    <row r="3644" spans="7:14" ht="11.25" customHeight="1" x14ac:dyDescent="0.25">
      <c r="G3644" s="459"/>
      <c r="H3644" s="459">
        <v>3637</v>
      </c>
      <c r="I3644" s="444">
        <f t="shared" ca="1" si="173"/>
        <v>-1704301453955.7375</v>
      </c>
      <c r="J3644" s="444">
        <f t="array" ref="J3644">IFERROR(INDEX('Retirement Calculator'!J:J,MATCH('Isaac 401k'!N3644,'Retirement Calculator'!A:A,0),0),0)</f>
        <v>0</v>
      </c>
      <c r="K3644" s="444">
        <f t="shared" ca="1" si="171"/>
        <v>-7101256058.1489067</v>
      </c>
      <c r="L3644" s="444">
        <f t="shared" ca="1" si="172"/>
        <v>-1711402710013.8865</v>
      </c>
      <c r="M3644" s="460">
        <f t="shared" si="174"/>
        <v>0.05</v>
      </c>
      <c r="N3644" s="464">
        <f t="shared" si="175"/>
        <v>161955</v>
      </c>
    </row>
    <row r="3645" spans="7:14" ht="11.25" customHeight="1" x14ac:dyDescent="0.25">
      <c r="G3645" s="459"/>
      <c r="H3645" s="459">
        <v>3638</v>
      </c>
      <c r="I3645" s="444">
        <f t="shared" ca="1" si="173"/>
        <v>-1711402710013.8865</v>
      </c>
      <c r="J3645" s="444">
        <f t="array" ref="J3645">IFERROR(INDEX('Retirement Calculator'!J:J,MATCH('Isaac 401k'!N3645,'Retirement Calculator'!A:A,0),0),0)</f>
        <v>0</v>
      </c>
      <c r="K3645" s="444">
        <f t="shared" ca="1" si="171"/>
        <v>-7130844625.0578604</v>
      </c>
      <c r="L3645" s="444">
        <f t="shared" ca="1" si="172"/>
        <v>-1718533554638.9443</v>
      </c>
      <c r="M3645" s="460">
        <f t="shared" si="174"/>
        <v>0.05</v>
      </c>
      <c r="N3645" s="464">
        <f t="shared" si="175"/>
        <v>161985</v>
      </c>
    </row>
    <row r="3646" spans="7:14" ht="11.25" customHeight="1" x14ac:dyDescent="0.25">
      <c r="G3646" s="459"/>
      <c r="H3646" s="459">
        <v>3639</v>
      </c>
      <c r="I3646" s="444">
        <f t="shared" ca="1" si="173"/>
        <v>-1718533554638.9443</v>
      </c>
      <c r="J3646" s="444">
        <f t="array" ref="J3646">IFERROR(INDEX('Retirement Calculator'!J:J,MATCH('Isaac 401k'!N3646,'Retirement Calculator'!A:A,0),0),0)</f>
        <v>0</v>
      </c>
      <c r="K3646" s="444">
        <f t="shared" ca="1" si="171"/>
        <v>-7160556477.6622677</v>
      </c>
      <c r="L3646" s="444">
        <f t="shared" ca="1" si="172"/>
        <v>-1725694111116.6067</v>
      </c>
      <c r="M3646" s="460">
        <f t="shared" si="174"/>
        <v>0.05</v>
      </c>
      <c r="N3646" s="464">
        <f t="shared" si="175"/>
        <v>162016</v>
      </c>
    </row>
    <row r="3647" spans="7:14" ht="11.25" customHeight="1" x14ac:dyDescent="0.25">
      <c r="G3647" s="459"/>
      <c r="H3647" s="459">
        <v>3640</v>
      </c>
      <c r="I3647" s="444">
        <f t="shared" ca="1" si="173"/>
        <v>-1725694111116.6067</v>
      </c>
      <c r="J3647" s="444">
        <f t="array" ref="J3647">IFERROR(INDEX('Retirement Calculator'!J:J,MATCH('Isaac 401k'!N3647,'Retirement Calculator'!A:A,0),0),0)</f>
        <v>0</v>
      </c>
      <c r="K3647" s="444">
        <f t="shared" ca="1" si="171"/>
        <v>-7190392129.6525278</v>
      </c>
      <c r="L3647" s="444">
        <f t="shared" ca="1" si="172"/>
        <v>-1732884503246.2593</v>
      </c>
      <c r="M3647" s="460">
        <f t="shared" si="174"/>
        <v>0.05</v>
      </c>
      <c r="N3647" s="464">
        <f t="shared" si="175"/>
        <v>162047</v>
      </c>
    </row>
    <row r="3648" spans="7:14" ht="11.25" customHeight="1" x14ac:dyDescent="0.25">
      <c r="G3648" s="459"/>
      <c r="H3648" s="459">
        <v>3641</v>
      </c>
      <c r="I3648" s="444">
        <f t="shared" ca="1" si="173"/>
        <v>-1732884503246.2593</v>
      </c>
      <c r="J3648" s="444">
        <f t="array" ref="J3648">IFERROR(INDEX('Retirement Calculator'!J:J,MATCH('Isaac 401k'!N3648,'Retirement Calculator'!A:A,0),0),0)</f>
        <v>0</v>
      </c>
      <c r="K3648" s="444">
        <f t="shared" ca="1" si="171"/>
        <v>-7220352096.8594141</v>
      </c>
      <c r="L3648" s="444">
        <f t="shared" ca="1" si="172"/>
        <v>-1740104855343.1187</v>
      </c>
      <c r="M3648" s="460">
        <f t="shared" si="174"/>
        <v>0.05</v>
      </c>
      <c r="N3648" s="464">
        <f t="shared" si="175"/>
        <v>162077</v>
      </c>
    </row>
    <row r="3649" spans="7:14" ht="11.25" customHeight="1" x14ac:dyDescent="0.25">
      <c r="G3649" s="459"/>
      <c r="H3649" s="459">
        <v>3642</v>
      </c>
      <c r="I3649" s="444">
        <f t="shared" ca="1" si="173"/>
        <v>-1740104855343.1187</v>
      </c>
      <c r="J3649" s="444">
        <f t="array" ref="J3649">IFERROR(INDEX('Retirement Calculator'!J:J,MATCH('Isaac 401k'!N3649,'Retirement Calculator'!A:A,0),0),0)</f>
        <v>0</v>
      </c>
      <c r="K3649" s="444">
        <f t="shared" ca="1" si="171"/>
        <v>-7250436897.2629929</v>
      </c>
      <c r="L3649" s="444">
        <f t="shared" ca="1" si="172"/>
        <v>-1747355292240.3816</v>
      </c>
      <c r="M3649" s="460">
        <f t="shared" si="174"/>
        <v>0.05</v>
      </c>
      <c r="N3649" s="464">
        <f t="shared" si="175"/>
        <v>162108</v>
      </c>
    </row>
    <row r="3650" spans="7:14" ht="11.25" customHeight="1" x14ac:dyDescent="0.25">
      <c r="G3650" s="459"/>
      <c r="H3650" s="459">
        <v>3643</v>
      </c>
      <c r="I3650" s="444">
        <f t="shared" ca="1" si="173"/>
        <v>-1747355292240.3816</v>
      </c>
      <c r="J3650" s="444">
        <f t="array" ref="J3650">IFERROR(INDEX('Retirement Calculator'!J:J,MATCH('Isaac 401k'!N3650,'Retirement Calculator'!A:A,0),0),0)</f>
        <v>0</v>
      </c>
      <c r="K3650" s="444">
        <f t="shared" ca="1" si="171"/>
        <v>-7280647051.0015898</v>
      </c>
      <c r="L3650" s="444">
        <f t="shared" ca="1" si="172"/>
        <v>-1754635939291.3833</v>
      </c>
      <c r="M3650" s="460">
        <f t="shared" si="174"/>
        <v>0.05</v>
      </c>
      <c r="N3650" s="464">
        <f t="shared" si="175"/>
        <v>162138</v>
      </c>
    </row>
    <row r="3651" spans="7:14" ht="11.25" customHeight="1" x14ac:dyDescent="0.25">
      <c r="G3651" s="459"/>
      <c r="H3651" s="459">
        <v>3644</v>
      </c>
      <c r="I3651" s="444">
        <f t="shared" ca="1" si="173"/>
        <v>-1754635939291.3833</v>
      </c>
      <c r="J3651" s="444">
        <f t="array" ref="J3651">IFERROR(INDEX('Retirement Calculator'!J:J,MATCH('Isaac 401k'!N3651,'Retirement Calculator'!A:A,0),0),0)</f>
        <v>0</v>
      </c>
      <c r="K3651" s="444">
        <f t="shared" ca="1" si="171"/>
        <v>-7310983080.380764</v>
      </c>
      <c r="L3651" s="444">
        <f t="shared" ca="1" si="172"/>
        <v>-1761946922371.7642</v>
      </c>
      <c r="M3651" s="460">
        <f t="shared" si="174"/>
        <v>0.05</v>
      </c>
      <c r="N3651" s="464">
        <f t="shared" si="175"/>
        <v>162169</v>
      </c>
    </row>
    <row r="3652" spans="7:14" ht="11.25" customHeight="1" x14ac:dyDescent="0.25">
      <c r="G3652" s="459"/>
      <c r="H3652" s="459">
        <v>3645</v>
      </c>
      <c r="I3652" s="444">
        <f t="shared" ca="1" si="173"/>
        <v>-1761946922371.7642</v>
      </c>
      <c r="J3652" s="444">
        <f t="array" ref="J3652">IFERROR(INDEX('Retirement Calculator'!J:J,MATCH('Isaac 401k'!N3652,'Retirement Calculator'!A:A,0),0),0)</f>
        <v>0</v>
      </c>
      <c r="K3652" s="444">
        <f t="shared" ca="1" si="171"/>
        <v>-7341445509.8823519</v>
      </c>
      <c r="L3652" s="444">
        <f t="shared" ca="1" si="172"/>
        <v>-1769288367881.6465</v>
      </c>
      <c r="M3652" s="460">
        <f t="shared" si="174"/>
        <v>0.05</v>
      </c>
      <c r="N3652" s="464">
        <f t="shared" si="175"/>
        <v>162200</v>
      </c>
    </row>
    <row r="3653" spans="7:14" ht="11.25" customHeight="1" x14ac:dyDescent="0.25">
      <c r="G3653" s="459"/>
      <c r="H3653" s="459">
        <v>3646</v>
      </c>
      <c r="I3653" s="444">
        <f t="shared" ca="1" si="173"/>
        <v>-1769288367881.6465</v>
      </c>
      <c r="J3653" s="444">
        <f t="array" ref="J3653">IFERROR(INDEX('Retirement Calculator'!J:J,MATCH('Isaac 401k'!N3653,'Retirement Calculator'!A:A,0),0),0)</f>
        <v>0</v>
      </c>
      <c r="K3653" s="444">
        <f t="shared" ca="1" si="171"/>
        <v>-7372034866.1735268</v>
      </c>
      <c r="L3653" s="444">
        <f t="shared" ca="1" si="172"/>
        <v>-1776660402747.8201</v>
      </c>
      <c r="M3653" s="460">
        <f t="shared" si="174"/>
        <v>0.05</v>
      </c>
      <c r="N3653" s="464">
        <f t="shared" si="175"/>
        <v>162229</v>
      </c>
    </row>
    <row r="3654" spans="7:14" ht="11.25" customHeight="1" x14ac:dyDescent="0.25">
      <c r="G3654" s="459"/>
      <c r="H3654" s="459">
        <v>3647</v>
      </c>
      <c r="I3654" s="444">
        <f t="shared" ca="1" si="173"/>
        <v>-1776660402747.8201</v>
      </c>
      <c r="J3654" s="444">
        <f t="array" ref="J3654">IFERROR(INDEX('Retirement Calculator'!J:J,MATCH('Isaac 401k'!N3654,'Retirement Calculator'!A:A,0),0),0)</f>
        <v>0</v>
      </c>
      <c r="K3654" s="444">
        <f t="shared" ca="1" si="171"/>
        <v>-7402751678.1159172</v>
      </c>
      <c r="L3654" s="444">
        <f t="shared" ca="1" si="172"/>
        <v>-1784063154425.936</v>
      </c>
      <c r="M3654" s="460">
        <f t="shared" si="174"/>
        <v>0.05</v>
      </c>
      <c r="N3654" s="464">
        <f t="shared" si="175"/>
        <v>162260</v>
      </c>
    </row>
    <row r="3655" spans="7:14" ht="11.25" customHeight="1" x14ac:dyDescent="0.25">
      <c r="G3655" s="459"/>
      <c r="H3655" s="459">
        <v>3648</v>
      </c>
      <c r="I3655" s="444">
        <f t="shared" ca="1" si="173"/>
        <v>-1784063154425.936</v>
      </c>
      <c r="J3655" s="444">
        <f t="array" ref="J3655">IFERROR(INDEX('Retirement Calculator'!J:J,MATCH('Isaac 401k'!N3655,'Retirement Calculator'!A:A,0),0),0)</f>
        <v>0</v>
      </c>
      <c r="K3655" s="444">
        <f t="shared" ca="1" si="171"/>
        <v>-7433596476.7747345</v>
      </c>
      <c r="L3655" s="444">
        <f t="shared" ca="1" si="172"/>
        <v>-1791496750902.7107</v>
      </c>
      <c r="M3655" s="460">
        <f t="shared" si="174"/>
        <v>0.05</v>
      </c>
      <c r="N3655" s="464">
        <f t="shared" si="175"/>
        <v>162290</v>
      </c>
    </row>
    <row r="3656" spans="7:14" ht="11.25" customHeight="1" x14ac:dyDescent="0.25">
      <c r="G3656" s="459"/>
      <c r="H3656" s="459">
        <v>3649</v>
      </c>
      <c r="I3656" s="444">
        <f t="shared" ca="1" si="173"/>
        <v>-1791496750902.7107</v>
      </c>
      <c r="J3656" s="444">
        <f t="array" ref="J3656">IFERROR(INDEX('Retirement Calculator'!J:J,MATCH('Isaac 401k'!N3656,'Retirement Calculator'!A:A,0),0),0)</f>
        <v>0</v>
      </c>
      <c r="K3656" s="444">
        <f t="shared" ca="1" si="171"/>
        <v>-7464569795.4279604</v>
      </c>
      <c r="L3656" s="444">
        <f t="shared" ca="1" si="172"/>
        <v>-1798961320698.1387</v>
      </c>
      <c r="M3656" s="460">
        <f t="shared" si="174"/>
        <v>0.05</v>
      </c>
      <c r="N3656" s="464">
        <f t="shared" si="175"/>
        <v>162321</v>
      </c>
    </row>
    <row r="3657" spans="7:14" ht="11.25" customHeight="1" x14ac:dyDescent="0.25">
      <c r="G3657" s="459"/>
      <c r="H3657" s="459">
        <v>3650</v>
      </c>
      <c r="I3657" s="444">
        <f t="shared" ca="1" si="173"/>
        <v>-1798961320698.1387</v>
      </c>
      <c r="J3657" s="444">
        <f t="array" ref="J3657">IFERROR(INDEX('Retirement Calculator'!J:J,MATCH('Isaac 401k'!N3657,'Retirement Calculator'!A:A,0),0),0)</f>
        <v>0</v>
      </c>
      <c r="K3657" s="444">
        <f t="shared" ca="1" si="171"/>
        <v>-7495672169.5755777</v>
      </c>
      <c r="L3657" s="444">
        <f t="shared" ca="1" si="172"/>
        <v>-1806456992867.7144</v>
      </c>
      <c r="M3657" s="460">
        <f t="shared" si="174"/>
        <v>0.05</v>
      </c>
      <c r="N3657" s="464">
        <f t="shared" si="175"/>
        <v>162351</v>
      </c>
    </row>
    <row r="3658" spans="7:14" ht="11.25" customHeight="1" x14ac:dyDescent="0.25">
      <c r="G3658" s="459"/>
      <c r="H3658" s="459">
        <v>3651</v>
      </c>
      <c r="I3658" s="444">
        <f t="shared" ca="1" si="173"/>
        <v>-1806456992867.7144</v>
      </c>
      <c r="J3658" s="444">
        <f t="array" ref="J3658">IFERROR(INDEX('Retirement Calculator'!J:J,MATCH('Isaac 401k'!N3658,'Retirement Calculator'!A:A,0),0),0)</f>
        <v>0</v>
      </c>
      <c r="K3658" s="444">
        <f t="shared" ca="1" si="171"/>
        <v>-7526904136.9488087</v>
      </c>
      <c r="L3658" s="444">
        <f t="shared" ca="1" si="172"/>
        <v>-1813983897004.6631</v>
      </c>
      <c r="M3658" s="460">
        <f t="shared" si="174"/>
        <v>0.05</v>
      </c>
      <c r="N3658" s="464">
        <f t="shared" si="175"/>
        <v>162382</v>
      </c>
    </row>
    <row r="3659" spans="7:14" ht="11.25" customHeight="1" x14ac:dyDescent="0.25">
      <c r="G3659" s="459"/>
      <c r="H3659" s="459">
        <v>3652</v>
      </c>
      <c r="I3659" s="444">
        <f t="shared" ca="1" si="173"/>
        <v>-1813983897004.6631</v>
      </c>
      <c r="J3659" s="444">
        <f t="array" ref="J3659">IFERROR(INDEX('Retirement Calculator'!J:J,MATCH('Isaac 401k'!N3659,'Retirement Calculator'!A:A,0),0),0)</f>
        <v>0</v>
      </c>
      <c r="K3659" s="444">
        <f t="shared" ca="1" si="171"/>
        <v>-7558266237.5194283</v>
      </c>
      <c r="L3659" s="444">
        <f t="shared" ca="1" si="172"/>
        <v>-1821542163242.1826</v>
      </c>
      <c r="M3659" s="460">
        <f t="shared" si="174"/>
        <v>0.05</v>
      </c>
      <c r="N3659" s="464">
        <f t="shared" si="175"/>
        <v>162413</v>
      </c>
    </row>
    <row r="3660" spans="7:14" ht="11.25" customHeight="1" x14ac:dyDescent="0.25">
      <c r="G3660" s="459"/>
      <c r="H3660" s="459">
        <v>3653</v>
      </c>
      <c r="I3660" s="444">
        <f t="shared" ca="1" si="173"/>
        <v>-1821542163242.1826</v>
      </c>
      <c r="J3660" s="444">
        <f t="array" ref="J3660">IFERROR(INDEX('Retirement Calculator'!J:J,MATCH('Isaac 401k'!N3660,'Retirement Calculator'!A:A,0),0),0)</f>
        <v>0</v>
      </c>
      <c r="K3660" s="444">
        <f t="shared" ca="1" si="171"/>
        <v>-7589759013.5090942</v>
      </c>
      <c r="L3660" s="444">
        <f t="shared" ca="1" si="172"/>
        <v>-1829131922255.6917</v>
      </c>
      <c r="M3660" s="460">
        <f t="shared" si="174"/>
        <v>0.05</v>
      </c>
      <c r="N3660" s="464">
        <f t="shared" si="175"/>
        <v>162443</v>
      </c>
    </row>
    <row r="3661" spans="7:14" ht="11.25" customHeight="1" x14ac:dyDescent="0.25">
      <c r="G3661" s="459"/>
      <c r="H3661" s="459">
        <v>3654</v>
      </c>
      <c r="I3661" s="444">
        <f t="shared" ca="1" si="173"/>
        <v>-1829131922255.6917</v>
      </c>
      <c r="J3661" s="444">
        <f t="array" ref="J3661">IFERROR(INDEX('Retirement Calculator'!J:J,MATCH('Isaac 401k'!N3661,'Retirement Calculator'!A:A,0),0),0)</f>
        <v>0</v>
      </c>
      <c r="K3661" s="444">
        <f t="shared" ca="1" si="171"/>
        <v>-7621383009.398716</v>
      </c>
      <c r="L3661" s="444">
        <f t="shared" ca="1" si="172"/>
        <v>-1836753305265.0903</v>
      </c>
      <c r="M3661" s="460">
        <f t="shared" si="174"/>
        <v>0.05</v>
      </c>
      <c r="N3661" s="464">
        <f t="shared" si="175"/>
        <v>162474</v>
      </c>
    </row>
    <row r="3662" spans="7:14" ht="11.25" customHeight="1" x14ac:dyDescent="0.25">
      <c r="G3662" s="459"/>
      <c r="H3662" s="459">
        <v>3655</v>
      </c>
      <c r="I3662" s="444">
        <f t="shared" ca="1" si="173"/>
        <v>-1836753305265.0903</v>
      </c>
      <c r="J3662" s="444">
        <f t="array" ref="J3662">IFERROR(INDEX('Retirement Calculator'!J:J,MATCH('Isaac 401k'!N3662,'Retirement Calculator'!A:A,0),0),0)</f>
        <v>0</v>
      </c>
      <c r="K3662" s="444">
        <f t="shared" ca="1" si="171"/>
        <v>-7653138771.9378767</v>
      </c>
      <c r="L3662" s="444">
        <f t="shared" ca="1" si="172"/>
        <v>-1844406444037.0283</v>
      </c>
      <c r="M3662" s="460">
        <f t="shared" si="174"/>
        <v>0.05</v>
      </c>
      <c r="N3662" s="464">
        <f t="shared" si="175"/>
        <v>162504</v>
      </c>
    </row>
    <row r="3663" spans="7:14" ht="11.25" customHeight="1" x14ac:dyDescent="0.25">
      <c r="G3663" s="459"/>
      <c r="H3663" s="459">
        <v>3656</v>
      </c>
      <c r="I3663" s="444">
        <f t="shared" ca="1" si="173"/>
        <v>-1844406444037.0283</v>
      </c>
      <c r="J3663" s="444">
        <f t="array" ref="J3663">IFERROR(INDEX('Retirement Calculator'!J:J,MATCH('Isaac 401k'!N3663,'Retirement Calculator'!A:A,0),0),0)</f>
        <v>0</v>
      </c>
      <c r="K3663" s="444">
        <f t="shared" ca="1" si="171"/>
        <v>-7685026850.1542845</v>
      </c>
      <c r="L3663" s="444">
        <f t="shared" ca="1" si="172"/>
        <v>-1852091470887.1826</v>
      </c>
      <c r="M3663" s="460">
        <f t="shared" si="174"/>
        <v>0.05</v>
      </c>
      <c r="N3663" s="464">
        <f t="shared" si="175"/>
        <v>162535</v>
      </c>
    </row>
    <row r="3664" spans="7:14" ht="11.25" customHeight="1" x14ac:dyDescent="0.25">
      <c r="G3664" s="459"/>
      <c r="H3664" s="459">
        <v>3657</v>
      </c>
      <c r="I3664" s="444">
        <f t="shared" ca="1" si="173"/>
        <v>-1852091470887.1826</v>
      </c>
      <c r="J3664" s="444">
        <f t="array" ref="J3664">IFERROR(INDEX('Retirement Calculator'!J:J,MATCH('Isaac 401k'!N3664,'Retirement Calculator'!A:A,0),0),0)</f>
        <v>0</v>
      </c>
      <c r="K3664" s="444">
        <f t="shared" ca="1" si="171"/>
        <v>-7717047795.3632593</v>
      </c>
      <c r="L3664" s="444">
        <f t="shared" ca="1" si="172"/>
        <v>-1859808518682.5459</v>
      </c>
      <c r="M3664" s="460">
        <f t="shared" si="174"/>
        <v>0.05</v>
      </c>
      <c r="N3664" s="464">
        <f t="shared" si="175"/>
        <v>162566</v>
      </c>
    </row>
    <row r="3665" spans="7:14" ht="11.25" customHeight="1" x14ac:dyDescent="0.25">
      <c r="G3665" s="459"/>
      <c r="H3665" s="459">
        <v>3658</v>
      </c>
      <c r="I3665" s="444">
        <f t="shared" ca="1" si="173"/>
        <v>-1859808518682.5459</v>
      </c>
      <c r="J3665" s="444">
        <f t="array" ref="J3665">IFERROR(INDEX('Retirement Calculator'!J:J,MATCH('Isaac 401k'!N3665,'Retirement Calculator'!A:A,0),0),0)</f>
        <v>0</v>
      </c>
      <c r="K3665" s="444">
        <f t="shared" ca="1" si="171"/>
        <v>-7749202161.1772747</v>
      </c>
      <c r="L3665" s="444">
        <f t="shared" ca="1" si="172"/>
        <v>-1867557720843.7231</v>
      </c>
      <c r="M3665" s="460">
        <f t="shared" si="174"/>
        <v>0.05</v>
      </c>
      <c r="N3665" s="464">
        <f t="shared" si="175"/>
        <v>162594</v>
      </c>
    </row>
    <row r="3666" spans="7:14" ht="11.25" customHeight="1" x14ac:dyDescent="0.25">
      <c r="G3666" s="459"/>
      <c r="H3666" s="459">
        <v>3659</v>
      </c>
      <c r="I3666" s="444">
        <f t="shared" ca="1" si="173"/>
        <v>-1867557720843.7231</v>
      </c>
      <c r="J3666" s="444">
        <f t="array" ref="J3666">IFERROR(INDEX('Retirement Calculator'!J:J,MATCH('Isaac 401k'!N3666,'Retirement Calculator'!A:A,0),0),0)</f>
        <v>0</v>
      </c>
      <c r="K3666" s="444">
        <f t="shared" ca="1" si="171"/>
        <v>-7781490503.5155134</v>
      </c>
      <c r="L3666" s="444">
        <f t="shared" ca="1" si="172"/>
        <v>-1875339211347.2388</v>
      </c>
      <c r="M3666" s="460">
        <f t="shared" si="174"/>
        <v>0.05</v>
      </c>
      <c r="N3666" s="464">
        <f t="shared" si="175"/>
        <v>162625</v>
      </c>
    </row>
    <row r="3667" spans="7:14" ht="11.25" customHeight="1" x14ac:dyDescent="0.25">
      <c r="G3667" s="459"/>
      <c r="H3667" s="459">
        <v>3660</v>
      </c>
      <c r="I3667" s="444">
        <f t="shared" ca="1" si="173"/>
        <v>-1875339211347.2388</v>
      </c>
      <c r="J3667" s="444">
        <f t="array" ref="J3667">IFERROR(INDEX('Retirement Calculator'!J:J,MATCH('Isaac 401k'!N3667,'Retirement Calculator'!A:A,0),0),0)</f>
        <v>0</v>
      </c>
      <c r="K3667" s="444">
        <f t="shared" ca="1" si="171"/>
        <v>-7813913380.6134958</v>
      </c>
      <c r="L3667" s="444">
        <f t="shared" ca="1" si="172"/>
        <v>-1883153124727.8523</v>
      </c>
      <c r="M3667" s="460">
        <f t="shared" si="174"/>
        <v>0.05</v>
      </c>
      <c r="N3667" s="464">
        <f t="shared" si="175"/>
        <v>162655</v>
      </c>
    </row>
    <row r="3668" spans="7:14" ht="11.25" customHeight="1" x14ac:dyDescent="0.25">
      <c r="G3668" s="459"/>
      <c r="H3668" s="459">
        <v>3661</v>
      </c>
      <c r="I3668" s="444">
        <f t="shared" ca="1" si="173"/>
        <v>-1883153124727.8523</v>
      </c>
      <c r="J3668" s="444">
        <f t="array" ref="J3668">IFERROR(INDEX('Retirement Calculator'!J:J,MATCH('Isaac 401k'!N3668,'Retirement Calculator'!A:A,0),0),0)</f>
        <v>0</v>
      </c>
      <c r="K3668" s="444">
        <f t="shared" ca="1" si="171"/>
        <v>-7846471353.0327168</v>
      </c>
      <c r="L3668" s="444">
        <f t="shared" ca="1" si="172"/>
        <v>-1890999596080.885</v>
      </c>
      <c r="M3668" s="460">
        <f t="shared" si="174"/>
        <v>0.05</v>
      </c>
      <c r="N3668" s="464">
        <f t="shared" si="175"/>
        <v>162686</v>
      </c>
    </row>
    <row r="3669" spans="7:14" ht="11.25" customHeight="1" x14ac:dyDescent="0.25">
      <c r="G3669" s="459"/>
      <c r="H3669" s="459">
        <v>3662</v>
      </c>
      <c r="I3669" s="444">
        <f t="shared" ca="1" si="173"/>
        <v>-1890999596080.885</v>
      </c>
      <c r="J3669" s="444">
        <f t="array" ref="J3669">IFERROR(INDEX('Retirement Calculator'!J:J,MATCH('Isaac 401k'!N3669,'Retirement Calculator'!A:A,0),0),0)</f>
        <v>0</v>
      </c>
      <c r="K3669" s="444">
        <f t="shared" ca="1" si="171"/>
        <v>-7879164983.6703539</v>
      </c>
      <c r="L3669" s="444">
        <f t="shared" ca="1" si="172"/>
        <v>-1898878761064.5554</v>
      </c>
      <c r="M3669" s="460">
        <f t="shared" si="174"/>
        <v>0.05</v>
      </c>
      <c r="N3669" s="464">
        <f t="shared" si="175"/>
        <v>162716</v>
      </c>
    </row>
    <row r="3670" spans="7:14" ht="11.25" customHeight="1" x14ac:dyDescent="0.25">
      <c r="G3670" s="459"/>
      <c r="H3670" s="459">
        <v>3663</v>
      </c>
      <c r="I3670" s="444">
        <f t="shared" ca="1" si="173"/>
        <v>-1898878761064.5554</v>
      </c>
      <c r="J3670" s="444">
        <f t="array" ref="J3670">IFERROR(INDEX('Retirement Calculator'!J:J,MATCH('Isaac 401k'!N3670,'Retirement Calculator'!A:A,0),0),0)</f>
        <v>0</v>
      </c>
      <c r="K3670" s="444">
        <f t="shared" ca="1" si="171"/>
        <v>-7911994837.768981</v>
      </c>
      <c r="L3670" s="444">
        <f t="shared" ca="1" si="172"/>
        <v>-1906790755902.3245</v>
      </c>
      <c r="M3670" s="460">
        <f t="shared" si="174"/>
        <v>0.05</v>
      </c>
      <c r="N3670" s="464">
        <f t="shared" si="175"/>
        <v>162747</v>
      </c>
    </row>
    <row r="3671" spans="7:14" ht="11.25" customHeight="1" x14ac:dyDescent="0.25">
      <c r="G3671" s="459"/>
      <c r="H3671" s="459">
        <v>3664</v>
      </c>
      <c r="I3671" s="444">
        <f t="shared" ca="1" si="173"/>
        <v>-1906790755902.3245</v>
      </c>
      <c r="J3671" s="444">
        <f t="array" ref="J3671">IFERROR(INDEX('Retirement Calculator'!J:J,MATCH('Isaac 401k'!N3671,'Retirement Calculator'!A:A,0),0),0)</f>
        <v>0</v>
      </c>
      <c r="K3671" s="444">
        <f t="shared" ca="1" si="171"/>
        <v>-7944961482.9263515</v>
      </c>
      <c r="L3671" s="444">
        <f t="shared" ca="1" si="172"/>
        <v>-1914735717385.2507</v>
      </c>
      <c r="M3671" s="460">
        <f t="shared" si="174"/>
        <v>0.05</v>
      </c>
      <c r="N3671" s="464">
        <f t="shared" si="175"/>
        <v>162778</v>
      </c>
    </row>
    <row r="3672" spans="7:14" ht="11.25" customHeight="1" x14ac:dyDescent="0.25">
      <c r="G3672" s="459"/>
      <c r="H3672" s="459">
        <v>3665</v>
      </c>
      <c r="I3672" s="444">
        <f t="shared" ca="1" si="173"/>
        <v>-1914735717385.2507</v>
      </c>
      <c r="J3672" s="444">
        <f t="array" ref="J3672">IFERROR(INDEX('Retirement Calculator'!J:J,MATCH('Isaac 401k'!N3672,'Retirement Calculator'!A:A,0),0),0)</f>
        <v>0</v>
      </c>
      <c r="K3672" s="444">
        <f t="shared" ca="1" si="171"/>
        <v>-7978065489.1052103</v>
      </c>
      <c r="L3672" s="444">
        <f t="shared" ca="1" si="172"/>
        <v>-1922713782874.356</v>
      </c>
      <c r="M3672" s="460">
        <f t="shared" si="174"/>
        <v>0.05</v>
      </c>
      <c r="N3672" s="464">
        <f t="shared" si="175"/>
        <v>162808</v>
      </c>
    </row>
    <row r="3673" spans="7:14" ht="11.25" customHeight="1" x14ac:dyDescent="0.25">
      <c r="G3673" s="459"/>
      <c r="H3673" s="459">
        <v>3666</v>
      </c>
      <c r="I3673" s="444">
        <f t="shared" ca="1" si="173"/>
        <v>-1922713782874.356</v>
      </c>
      <c r="J3673" s="444">
        <f t="array" ref="J3673">IFERROR(INDEX('Retirement Calculator'!J:J,MATCH('Isaac 401k'!N3673,'Retirement Calculator'!A:A,0),0),0)</f>
        <v>0</v>
      </c>
      <c r="K3673" s="444">
        <f t="shared" ca="1" si="171"/>
        <v>-8011307428.6431494</v>
      </c>
      <c r="L3673" s="444">
        <f t="shared" ca="1" si="172"/>
        <v>-1930725090302.999</v>
      </c>
      <c r="M3673" s="460">
        <f t="shared" si="174"/>
        <v>0.05</v>
      </c>
      <c r="N3673" s="464">
        <f t="shared" si="175"/>
        <v>162839</v>
      </c>
    </row>
    <row r="3674" spans="7:14" ht="11.25" customHeight="1" x14ac:dyDescent="0.25">
      <c r="G3674" s="459"/>
      <c r="H3674" s="459">
        <v>3667</v>
      </c>
      <c r="I3674" s="444">
        <f t="shared" ca="1" si="173"/>
        <v>-1930725090302.999</v>
      </c>
      <c r="J3674" s="444">
        <f t="array" ref="J3674">IFERROR(INDEX('Retirement Calculator'!J:J,MATCH('Isaac 401k'!N3674,'Retirement Calculator'!A:A,0),0),0)</f>
        <v>0</v>
      </c>
      <c r="K3674" s="444">
        <f t="shared" ca="1" si="171"/>
        <v>-8044687876.2624969</v>
      </c>
      <c r="L3674" s="444">
        <f t="shared" ca="1" si="172"/>
        <v>-1938769778179.2615</v>
      </c>
      <c r="M3674" s="460">
        <f t="shared" si="174"/>
        <v>0.05</v>
      </c>
      <c r="N3674" s="464">
        <f t="shared" si="175"/>
        <v>162869</v>
      </c>
    </row>
    <row r="3675" spans="7:14" ht="11.25" customHeight="1" x14ac:dyDescent="0.25">
      <c r="G3675" s="459"/>
      <c r="H3675" s="459">
        <v>3668</v>
      </c>
      <c r="I3675" s="444">
        <f t="shared" ca="1" si="173"/>
        <v>-1938769778179.2615</v>
      </c>
      <c r="J3675" s="444">
        <f t="array" ref="J3675">IFERROR(INDEX('Retirement Calculator'!J:J,MATCH('Isaac 401k'!N3675,'Retirement Calculator'!A:A,0),0),0)</f>
        <v>0</v>
      </c>
      <c r="K3675" s="444">
        <f t="shared" ca="1" si="171"/>
        <v>-8078207409.0802565</v>
      </c>
      <c r="L3675" s="444">
        <f t="shared" ca="1" si="172"/>
        <v>-1946847985588.3418</v>
      </c>
      <c r="M3675" s="460">
        <f t="shared" si="174"/>
        <v>0.05</v>
      </c>
      <c r="N3675" s="464">
        <f t="shared" si="175"/>
        <v>162900</v>
      </c>
    </row>
    <row r="3676" spans="7:14" ht="11.25" customHeight="1" x14ac:dyDescent="0.25">
      <c r="G3676" s="459"/>
      <c r="H3676" s="459">
        <v>3669</v>
      </c>
      <c r="I3676" s="444">
        <f t="shared" ca="1" si="173"/>
        <v>-1946847985588.3418</v>
      </c>
      <c r="J3676" s="444">
        <f t="array" ref="J3676">IFERROR(INDEX('Retirement Calculator'!J:J,MATCH('Isaac 401k'!N3676,'Retirement Calculator'!A:A,0),0),0)</f>
        <v>0</v>
      </c>
      <c r="K3676" s="444">
        <f t="shared" ca="1" si="171"/>
        <v>-8111866606.6180897</v>
      </c>
      <c r="L3676" s="444">
        <f t="shared" ca="1" si="172"/>
        <v>-1954959852194.96</v>
      </c>
      <c r="M3676" s="460">
        <f t="shared" si="174"/>
        <v>0.05</v>
      </c>
      <c r="N3676" s="464">
        <f t="shared" si="175"/>
        <v>162931</v>
      </c>
    </row>
    <row r="3677" spans="7:14" ht="11.25" customHeight="1" x14ac:dyDescent="0.25">
      <c r="G3677" s="459"/>
      <c r="H3677" s="459">
        <v>3670</v>
      </c>
      <c r="I3677" s="444">
        <f t="shared" ca="1" si="173"/>
        <v>-1954959852194.96</v>
      </c>
      <c r="J3677" s="444">
        <f t="array" ref="J3677">IFERROR(INDEX('Retirement Calculator'!J:J,MATCH('Isaac 401k'!N3677,'Retirement Calculator'!A:A,0),0),0)</f>
        <v>0</v>
      </c>
      <c r="K3677" s="444">
        <f t="shared" ca="1" si="171"/>
        <v>-8145666050.8123331</v>
      </c>
      <c r="L3677" s="444">
        <f t="shared" ca="1" si="172"/>
        <v>-1963105518245.7722</v>
      </c>
      <c r="M3677" s="460">
        <f t="shared" si="174"/>
        <v>0.05</v>
      </c>
      <c r="N3677" s="464">
        <f t="shared" si="175"/>
        <v>162959</v>
      </c>
    </row>
    <row r="3678" spans="7:14" ht="11.25" customHeight="1" x14ac:dyDescent="0.25">
      <c r="G3678" s="459"/>
      <c r="H3678" s="459">
        <v>3671</v>
      </c>
      <c r="I3678" s="444">
        <f t="shared" ca="1" si="173"/>
        <v>-1963105518245.7722</v>
      </c>
      <c r="J3678" s="444">
        <f t="array" ref="J3678">IFERROR(INDEX('Retirement Calculator'!J:J,MATCH('Isaac 401k'!N3678,'Retirement Calculator'!A:A,0),0),0)</f>
        <v>0</v>
      </c>
      <c r="K3678" s="444">
        <f t="shared" ca="1" si="171"/>
        <v>-8179606326.0240498</v>
      </c>
      <c r="L3678" s="444">
        <f t="shared" ca="1" si="172"/>
        <v>-1971285124571.7964</v>
      </c>
      <c r="M3678" s="460">
        <f t="shared" si="174"/>
        <v>0.05</v>
      </c>
      <c r="N3678" s="464">
        <f t="shared" si="175"/>
        <v>162990</v>
      </c>
    </row>
    <row r="3679" spans="7:14" ht="11.25" customHeight="1" x14ac:dyDescent="0.25">
      <c r="G3679" s="459"/>
      <c r="H3679" s="459">
        <v>3672</v>
      </c>
      <c r="I3679" s="444">
        <f t="shared" ca="1" si="173"/>
        <v>-1971285124571.7964</v>
      </c>
      <c r="J3679" s="444">
        <f t="array" ref="J3679">IFERROR(INDEX('Retirement Calculator'!J:J,MATCH('Isaac 401k'!N3679,'Retirement Calculator'!A:A,0),0),0)</f>
        <v>0</v>
      </c>
      <c r="K3679" s="444">
        <f t="shared" ca="1" si="171"/>
        <v>-8213688019.0491514</v>
      </c>
      <c r="L3679" s="444">
        <f t="shared" ca="1" si="172"/>
        <v>-1979498812590.8455</v>
      </c>
      <c r="M3679" s="460">
        <f t="shared" si="174"/>
        <v>0.05</v>
      </c>
      <c r="N3679" s="464">
        <f t="shared" si="175"/>
        <v>163020</v>
      </c>
    </row>
    <row r="3680" spans="7:14" ht="11.25" customHeight="1" x14ac:dyDescent="0.25">
      <c r="G3680" s="459"/>
      <c r="H3680" s="459">
        <v>3673</v>
      </c>
      <c r="I3680" s="444">
        <f t="shared" ca="1" si="173"/>
        <v>-1979498812590.8455</v>
      </c>
      <c r="J3680" s="444">
        <f t="array" ref="J3680">IFERROR(INDEX('Retirement Calculator'!J:J,MATCH('Isaac 401k'!N3680,'Retirement Calculator'!A:A,0),0),0)</f>
        <v>0</v>
      </c>
      <c r="K3680" s="444">
        <f t="shared" ca="1" si="171"/>
        <v>-8247911719.1285229</v>
      </c>
      <c r="L3680" s="444">
        <f t="shared" ca="1" si="172"/>
        <v>-1987746724309.9739</v>
      </c>
      <c r="M3680" s="460">
        <f t="shared" si="174"/>
        <v>0.05</v>
      </c>
      <c r="N3680" s="464">
        <f t="shared" si="175"/>
        <v>163051</v>
      </c>
    </row>
    <row r="3681" spans="7:14" ht="11.25" customHeight="1" x14ac:dyDescent="0.25">
      <c r="G3681" s="459"/>
      <c r="H3681" s="459">
        <v>3674</v>
      </c>
      <c r="I3681" s="444">
        <f t="shared" ca="1" si="173"/>
        <v>-1987746724309.9739</v>
      </c>
      <c r="J3681" s="444">
        <f t="array" ref="J3681">IFERROR(INDEX('Retirement Calculator'!J:J,MATCH('Isaac 401k'!N3681,'Retirement Calculator'!A:A,0),0),0)</f>
        <v>0</v>
      </c>
      <c r="K3681" s="444">
        <f t="shared" ca="1" si="171"/>
        <v>-8282278017.9582233</v>
      </c>
      <c r="L3681" s="444">
        <f t="shared" ca="1" si="172"/>
        <v>-1996029002327.9321</v>
      </c>
      <c r="M3681" s="460">
        <f t="shared" si="174"/>
        <v>0.05</v>
      </c>
      <c r="N3681" s="464">
        <f t="shared" si="175"/>
        <v>163081</v>
      </c>
    </row>
    <row r="3682" spans="7:14" ht="11.25" customHeight="1" x14ac:dyDescent="0.25">
      <c r="G3682" s="459"/>
      <c r="H3682" s="459">
        <v>3675</v>
      </c>
      <c r="I3682" s="444">
        <f t="shared" ca="1" si="173"/>
        <v>-1996029002327.9321</v>
      </c>
      <c r="J3682" s="444">
        <f t="array" ref="J3682">IFERROR(INDEX('Retirement Calculator'!J:J,MATCH('Isaac 401k'!N3682,'Retirement Calculator'!A:A,0),0),0)</f>
        <v>0</v>
      </c>
      <c r="K3682" s="444">
        <f t="shared" ca="1" si="171"/>
        <v>-8316787509.6997175</v>
      </c>
      <c r="L3682" s="444">
        <f t="shared" ca="1" si="172"/>
        <v>-2004345789837.6318</v>
      </c>
      <c r="M3682" s="460">
        <f t="shared" si="174"/>
        <v>0.05</v>
      </c>
      <c r="N3682" s="464">
        <f t="shared" si="175"/>
        <v>163112</v>
      </c>
    </row>
    <row r="3683" spans="7:14" ht="11.25" customHeight="1" x14ac:dyDescent="0.25">
      <c r="G3683" s="459"/>
      <c r="H3683" s="459">
        <v>3676</v>
      </c>
      <c r="I3683" s="444">
        <f t="shared" ca="1" si="173"/>
        <v>-2004345789837.6318</v>
      </c>
      <c r="J3683" s="444">
        <f t="array" ref="J3683">IFERROR(INDEX('Retirement Calculator'!J:J,MATCH('Isaac 401k'!N3683,'Retirement Calculator'!A:A,0),0),0)</f>
        <v>0</v>
      </c>
      <c r="K3683" s="444">
        <f t="shared" ca="1" si="171"/>
        <v>-8351440790.9901314</v>
      </c>
      <c r="L3683" s="444">
        <f t="shared" ca="1" si="172"/>
        <v>-2012697230628.6221</v>
      </c>
      <c r="M3683" s="460">
        <f t="shared" si="174"/>
        <v>0.05</v>
      </c>
      <c r="N3683" s="464">
        <f t="shared" si="175"/>
        <v>163143</v>
      </c>
    </row>
    <row r="3684" spans="7:14" ht="11.25" customHeight="1" x14ac:dyDescent="0.25">
      <c r="G3684" s="459"/>
      <c r="H3684" s="459">
        <v>3677</v>
      </c>
      <c r="I3684" s="444">
        <f t="shared" ca="1" si="173"/>
        <v>-2012697230628.6221</v>
      </c>
      <c r="J3684" s="444">
        <f t="array" ref="J3684">IFERROR(INDEX('Retirement Calculator'!J:J,MATCH('Isaac 401k'!N3684,'Retirement Calculator'!A:A,0),0),0)</f>
        <v>0</v>
      </c>
      <c r="K3684" s="444">
        <f t="shared" ca="1" si="171"/>
        <v>-8386238460.9525919</v>
      </c>
      <c r="L3684" s="444">
        <f t="shared" ca="1" si="172"/>
        <v>-2021083469089.5747</v>
      </c>
      <c r="M3684" s="460">
        <f t="shared" si="174"/>
        <v>0.05</v>
      </c>
      <c r="N3684" s="464">
        <f t="shared" si="175"/>
        <v>163173</v>
      </c>
    </row>
    <row r="3685" spans="7:14" ht="11.25" customHeight="1" x14ac:dyDescent="0.25">
      <c r="G3685" s="459"/>
      <c r="H3685" s="459">
        <v>3678</v>
      </c>
      <c r="I3685" s="444">
        <f t="shared" ca="1" si="173"/>
        <v>-2021083469089.5747</v>
      </c>
      <c r="J3685" s="444">
        <f t="array" ref="J3685">IFERROR(INDEX('Retirement Calculator'!J:J,MATCH('Isaac 401k'!N3685,'Retirement Calculator'!A:A,0),0),0)</f>
        <v>0</v>
      </c>
      <c r="K3685" s="444">
        <f t="shared" ca="1" si="171"/>
        <v>-8421181121.206562</v>
      </c>
      <c r="L3685" s="444">
        <f t="shared" ca="1" si="172"/>
        <v>-2029504650210.7813</v>
      </c>
      <c r="M3685" s="460">
        <f t="shared" si="174"/>
        <v>0.05</v>
      </c>
      <c r="N3685" s="464">
        <f t="shared" si="175"/>
        <v>163204</v>
      </c>
    </row>
    <row r="3686" spans="7:14" ht="11.25" customHeight="1" x14ac:dyDescent="0.25">
      <c r="G3686" s="459"/>
      <c r="H3686" s="459">
        <v>3679</v>
      </c>
      <c r="I3686" s="444">
        <f t="shared" ca="1" si="173"/>
        <v>-2029504650210.7813</v>
      </c>
      <c r="J3686" s="444">
        <f t="array" ref="J3686">IFERROR(INDEX('Retirement Calculator'!J:J,MATCH('Isaac 401k'!N3686,'Retirement Calculator'!A:A,0),0),0)</f>
        <v>0</v>
      </c>
      <c r="K3686" s="444">
        <f t="shared" ca="1" si="171"/>
        <v>-8456269375.8782549</v>
      </c>
      <c r="L3686" s="444">
        <f t="shared" ca="1" si="172"/>
        <v>-2037960919586.6594</v>
      </c>
      <c r="M3686" s="460">
        <f t="shared" si="174"/>
        <v>0.05</v>
      </c>
      <c r="N3686" s="464">
        <f t="shared" si="175"/>
        <v>163234</v>
      </c>
    </row>
    <row r="3687" spans="7:14" ht="11.25" customHeight="1" x14ac:dyDescent="0.25">
      <c r="G3687" s="459"/>
      <c r="H3687" s="459">
        <v>3680</v>
      </c>
      <c r="I3687" s="444">
        <f t="shared" ca="1" si="173"/>
        <v>-2037960919586.6594</v>
      </c>
      <c r="J3687" s="444">
        <f t="array" ref="J3687">IFERROR(INDEX('Retirement Calculator'!J:J,MATCH('Isaac 401k'!N3687,'Retirement Calculator'!A:A,0),0),0)</f>
        <v>0</v>
      </c>
      <c r="K3687" s="444">
        <f t="shared" ca="1" si="171"/>
        <v>-8491503831.6110802</v>
      </c>
      <c r="L3687" s="444">
        <f t="shared" ca="1" si="172"/>
        <v>-2046452423418.2705</v>
      </c>
      <c r="M3687" s="460">
        <f t="shared" si="174"/>
        <v>0.05</v>
      </c>
      <c r="N3687" s="464">
        <f t="shared" si="175"/>
        <v>163265</v>
      </c>
    </row>
    <row r="3688" spans="7:14" ht="11.25" customHeight="1" x14ac:dyDescent="0.25">
      <c r="G3688" s="459"/>
      <c r="H3688" s="459">
        <v>3681</v>
      </c>
      <c r="I3688" s="444">
        <f t="shared" ca="1" si="173"/>
        <v>-2046452423418.2705</v>
      </c>
      <c r="J3688" s="444">
        <f t="array" ref="J3688">IFERROR(INDEX('Retirement Calculator'!J:J,MATCH('Isaac 401k'!N3688,'Retirement Calculator'!A:A,0),0),0)</f>
        <v>0</v>
      </c>
      <c r="K3688" s="444">
        <f t="shared" ca="1" si="171"/>
        <v>-8526885097.5761271</v>
      </c>
      <c r="L3688" s="444">
        <f t="shared" ca="1" si="172"/>
        <v>-2054979308515.8467</v>
      </c>
      <c r="M3688" s="460">
        <f t="shared" si="174"/>
        <v>0.05</v>
      </c>
      <c r="N3688" s="464">
        <f t="shared" si="175"/>
        <v>163296</v>
      </c>
    </row>
    <row r="3689" spans="7:14" ht="11.25" customHeight="1" x14ac:dyDescent="0.25">
      <c r="G3689" s="459"/>
      <c r="H3689" s="459">
        <v>3682</v>
      </c>
      <c r="I3689" s="444">
        <f t="shared" ca="1" si="173"/>
        <v>-2054979308515.8467</v>
      </c>
      <c r="J3689" s="444">
        <f t="array" ref="J3689">IFERROR(INDEX('Retirement Calculator'!J:J,MATCH('Isaac 401k'!N3689,'Retirement Calculator'!A:A,0),0),0)</f>
        <v>0</v>
      </c>
      <c r="K3689" s="444">
        <f t="shared" ca="1" si="171"/>
        <v>-8562413785.4826956</v>
      </c>
      <c r="L3689" s="444">
        <f t="shared" ca="1" si="172"/>
        <v>-2063541722301.3293</v>
      </c>
      <c r="M3689" s="460">
        <f t="shared" si="174"/>
        <v>0.05</v>
      </c>
      <c r="N3689" s="464">
        <f t="shared" si="175"/>
        <v>163324</v>
      </c>
    </row>
    <row r="3690" spans="7:14" ht="11.25" customHeight="1" x14ac:dyDescent="0.25">
      <c r="G3690" s="459"/>
      <c r="H3690" s="459">
        <v>3683</v>
      </c>
      <c r="I3690" s="444">
        <f t="shared" ca="1" si="173"/>
        <v>-2063541722301.3293</v>
      </c>
      <c r="J3690" s="444">
        <f t="array" ref="J3690">IFERROR(INDEX('Retirement Calculator'!J:J,MATCH('Isaac 401k'!N3690,'Retirement Calculator'!A:A,0),0),0)</f>
        <v>0</v>
      </c>
      <c r="K3690" s="444">
        <f t="shared" ca="1" si="171"/>
        <v>-8598090509.5888729</v>
      </c>
      <c r="L3690" s="444">
        <f t="shared" ca="1" si="172"/>
        <v>-2072139812810.9182</v>
      </c>
      <c r="M3690" s="460">
        <f t="shared" si="174"/>
        <v>0.05</v>
      </c>
      <c r="N3690" s="464">
        <f t="shared" si="175"/>
        <v>163355</v>
      </c>
    </row>
    <row r="3691" spans="7:14" ht="11.25" customHeight="1" x14ac:dyDescent="0.25">
      <c r="G3691" s="459"/>
      <c r="H3691" s="459">
        <v>3684</v>
      </c>
      <c r="I3691" s="444">
        <f t="shared" ca="1" si="173"/>
        <v>-2072139812810.9182</v>
      </c>
      <c r="J3691" s="444">
        <f t="array" ref="J3691">IFERROR(INDEX('Retirement Calculator'!J:J,MATCH('Isaac 401k'!N3691,'Retirement Calculator'!A:A,0),0),0)</f>
        <v>0</v>
      </c>
      <c r="K3691" s="444">
        <f t="shared" ca="1" si="171"/>
        <v>-8633915886.7121582</v>
      </c>
      <c r="L3691" s="444">
        <f t="shared" ca="1" si="172"/>
        <v>-2080773728697.6304</v>
      </c>
      <c r="M3691" s="460">
        <f t="shared" si="174"/>
        <v>0.05</v>
      </c>
      <c r="N3691" s="464">
        <f t="shared" si="175"/>
        <v>163385</v>
      </c>
    </row>
    <row r="3692" spans="7:14" ht="11.25" customHeight="1" x14ac:dyDescent="0.25">
      <c r="G3692" s="459"/>
      <c r="H3692" s="459">
        <v>3685</v>
      </c>
      <c r="I3692" s="444">
        <f t="shared" ca="1" si="173"/>
        <v>-2080773728697.6304</v>
      </c>
      <c r="J3692" s="444">
        <f t="array" ref="J3692">IFERROR(INDEX('Retirement Calculator'!J:J,MATCH('Isaac 401k'!N3692,'Retirement Calculator'!A:A,0),0),0)</f>
        <v>0</v>
      </c>
      <c r="K3692" s="444">
        <f t="shared" ca="1" si="171"/>
        <v>-8669890536.2401257</v>
      </c>
      <c r="L3692" s="444">
        <f t="shared" ca="1" si="172"/>
        <v>-2089443619233.8706</v>
      </c>
      <c r="M3692" s="460">
        <f t="shared" si="174"/>
        <v>0.05</v>
      </c>
      <c r="N3692" s="464">
        <f t="shared" si="175"/>
        <v>163416</v>
      </c>
    </row>
    <row r="3693" spans="7:14" ht="11.25" customHeight="1" x14ac:dyDescent="0.25">
      <c r="G3693" s="459"/>
      <c r="H3693" s="459">
        <v>3686</v>
      </c>
      <c r="I3693" s="444">
        <f t="shared" ca="1" si="173"/>
        <v>-2089443619233.8706</v>
      </c>
      <c r="J3693" s="444">
        <f t="array" ref="J3693">IFERROR(INDEX('Retirement Calculator'!J:J,MATCH('Isaac 401k'!N3693,'Retirement Calculator'!A:A,0),0),0)</f>
        <v>0</v>
      </c>
      <c r="K3693" s="444">
        <f t="shared" ca="1" si="171"/>
        <v>-8706015080.1411266</v>
      </c>
      <c r="L3693" s="444">
        <f t="shared" ca="1" si="172"/>
        <v>-2098149634314.0117</v>
      </c>
      <c r="M3693" s="460">
        <f t="shared" si="174"/>
        <v>0.05</v>
      </c>
      <c r="N3693" s="464">
        <f t="shared" si="175"/>
        <v>163446</v>
      </c>
    </row>
    <row r="3694" spans="7:14" ht="11.25" customHeight="1" x14ac:dyDescent="0.25">
      <c r="G3694" s="459"/>
      <c r="H3694" s="459">
        <v>3687</v>
      </c>
      <c r="I3694" s="444">
        <f t="shared" ca="1" si="173"/>
        <v>-2098149634314.0117</v>
      </c>
      <c r="J3694" s="444">
        <f t="array" ref="J3694">IFERROR(INDEX('Retirement Calculator'!J:J,MATCH('Isaac 401k'!N3694,'Retirement Calculator'!A:A,0),0),0)</f>
        <v>0</v>
      </c>
      <c r="K3694" s="444">
        <f t="shared" ca="1" si="171"/>
        <v>-8742290142.9750481</v>
      </c>
      <c r="L3694" s="444">
        <f t="shared" ca="1" si="172"/>
        <v>-2106891924456.9868</v>
      </c>
      <c r="M3694" s="460">
        <f t="shared" si="174"/>
        <v>0.05</v>
      </c>
      <c r="N3694" s="464">
        <f t="shared" si="175"/>
        <v>163477</v>
      </c>
    </row>
    <row r="3695" spans="7:14" ht="11.25" customHeight="1" x14ac:dyDescent="0.25">
      <c r="G3695" s="459"/>
      <c r="H3695" s="459">
        <v>3688</v>
      </c>
      <c r="I3695" s="444">
        <f t="shared" ca="1" si="173"/>
        <v>-2106891924456.9868</v>
      </c>
      <c r="J3695" s="444">
        <f t="array" ref="J3695">IFERROR(INDEX('Retirement Calculator'!J:J,MATCH('Isaac 401k'!N3695,'Retirement Calculator'!A:A,0),0),0)</f>
        <v>0</v>
      </c>
      <c r="K3695" s="444">
        <f t="shared" ca="1" si="171"/>
        <v>-8778716351.9041119</v>
      </c>
      <c r="L3695" s="444">
        <f t="shared" ca="1" si="172"/>
        <v>-2115670640808.8909</v>
      </c>
      <c r="M3695" s="460">
        <f t="shared" si="174"/>
        <v>0.05</v>
      </c>
      <c r="N3695" s="464">
        <f t="shared" si="175"/>
        <v>163508</v>
      </c>
    </row>
    <row r="3696" spans="7:14" ht="11.25" customHeight="1" x14ac:dyDescent="0.25">
      <c r="G3696" s="459"/>
      <c r="H3696" s="459">
        <v>3689</v>
      </c>
      <c r="I3696" s="444">
        <f t="shared" ca="1" si="173"/>
        <v>-2115670640808.8909</v>
      </c>
      <c r="J3696" s="444">
        <f t="array" ref="J3696">IFERROR(INDEX('Retirement Calculator'!J:J,MATCH('Isaac 401k'!N3696,'Retirement Calculator'!A:A,0),0),0)</f>
        <v>0</v>
      </c>
      <c r="K3696" s="444">
        <f t="shared" ca="1" si="171"/>
        <v>-8815294336.7037125</v>
      </c>
      <c r="L3696" s="444">
        <f t="shared" ca="1" si="172"/>
        <v>-2124485935145.5945</v>
      </c>
      <c r="M3696" s="460">
        <f t="shared" si="174"/>
        <v>0.05</v>
      </c>
      <c r="N3696" s="464">
        <f t="shared" si="175"/>
        <v>163538</v>
      </c>
    </row>
    <row r="3697" spans="7:14" ht="11.25" customHeight="1" x14ac:dyDescent="0.25">
      <c r="G3697" s="459"/>
      <c r="H3697" s="459">
        <v>3690</v>
      </c>
      <c r="I3697" s="444">
        <f t="shared" ca="1" si="173"/>
        <v>-2124485935145.5945</v>
      </c>
      <c r="J3697" s="444">
        <f t="array" ref="J3697">IFERROR(INDEX('Retirement Calculator'!J:J,MATCH('Isaac 401k'!N3697,'Retirement Calculator'!A:A,0),0),0)</f>
        <v>0</v>
      </c>
      <c r="K3697" s="444">
        <f t="shared" ca="1" si="171"/>
        <v>-8852024729.7733116</v>
      </c>
      <c r="L3697" s="444">
        <f t="shared" ca="1" si="172"/>
        <v>-2133337959875.3677</v>
      </c>
      <c r="M3697" s="460">
        <f t="shared" si="174"/>
        <v>0.05</v>
      </c>
      <c r="N3697" s="464">
        <f t="shared" si="175"/>
        <v>163569</v>
      </c>
    </row>
    <row r="3698" spans="7:14" ht="11.25" customHeight="1" x14ac:dyDescent="0.25">
      <c r="G3698" s="459"/>
      <c r="H3698" s="459">
        <v>3691</v>
      </c>
      <c r="I3698" s="444">
        <f t="shared" ca="1" si="173"/>
        <v>-2133337959875.3677</v>
      </c>
      <c r="J3698" s="444">
        <f t="array" ref="J3698">IFERROR(INDEX('Retirement Calculator'!J:J,MATCH('Isaac 401k'!N3698,'Retirement Calculator'!A:A,0),0),0)</f>
        <v>0</v>
      </c>
      <c r="K3698" s="444">
        <f t="shared" ca="1" si="171"/>
        <v>-8888908166.1473656</v>
      </c>
      <c r="L3698" s="444">
        <f t="shared" ca="1" si="172"/>
        <v>-2142226868041.5151</v>
      </c>
      <c r="M3698" s="460">
        <f t="shared" si="174"/>
        <v>0.05</v>
      </c>
      <c r="N3698" s="464">
        <f t="shared" si="175"/>
        <v>163599</v>
      </c>
    </row>
    <row r="3699" spans="7:14" ht="11.25" customHeight="1" x14ac:dyDescent="0.25">
      <c r="G3699" s="459"/>
      <c r="H3699" s="459">
        <v>3692</v>
      </c>
      <c r="I3699" s="444">
        <f t="shared" ca="1" si="173"/>
        <v>-2142226868041.5151</v>
      </c>
      <c r="J3699" s="444">
        <f t="array" ref="J3699">IFERROR(INDEX('Retirement Calculator'!J:J,MATCH('Isaac 401k'!N3699,'Retirement Calculator'!A:A,0),0),0)</f>
        <v>0</v>
      </c>
      <c r="K3699" s="444">
        <f t="shared" ca="1" si="171"/>
        <v>-8925945283.5063114</v>
      </c>
      <c r="L3699" s="444">
        <f t="shared" ca="1" si="172"/>
        <v>-2151152813325.0215</v>
      </c>
      <c r="M3699" s="460">
        <f t="shared" si="174"/>
        <v>0.05</v>
      </c>
      <c r="N3699" s="464">
        <f t="shared" si="175"/>
        <v>163630</v>
      </c>
    </row>
    <row r="3700" spans="7:14" ht="11.25" customHeight="1" x14ac:dyDescent="0.25">
      <c r="G3700" s="459"/>
      <c r="H3700" s="459">
        <v>3693</v>
      </c>
      <c r="I3700" s="444">
        <f t="shared" ca="1" si="173"/>
        <v>-2151152813325.0215</v>
      </c>
      <c r="J3700" s="444">
        <f t="array" ref="J3700">IFERROR(INDEX('Retirement Calculator'!J:J,MATCH('Isaac 401k'!N3700,'Retirement Calculator'!A:A,0),0),0)</f>
        <v>0</v>
      </c>
      <c r="K3700" s="444">
        <f t="shared" ca="1" si="171"/>
        <v>-8963136722.1875896</v>
      </c>
      <c r="L3700" s="444">
        <f t="shared" ca="1" si="172"/>
        <v>-2160115950047.209</v>
      </c>
      <c r="M3700" s="460">
        <f t="shared" si="174"/>
        <v>0.05</v>
      </c>
      <c r="N3700" s="464">
        <f t="shared" si="175"/>
        <v>163661</v>
      </c>
    </row>
    <row r="3701" spans="7:14" ht="11.25" customHeight="1" x14ac:dyDescent="0.25">
      <c r="G3701" s="459"/>
      <c r="H3701" s="459">
        <v>3694</v>
      </c>
      <c r="I3701" s="444">
        <f t="shared" ca="1" si="173"/>
        <v>-2160115950047.209</v>
      </c>
      <c r="J3701" s="444">
        <f t="array" ref="J3701">IFERROR(INDEX('Retirement Calculator'!J:J,MATCH('Isaac 401k'!N3701,'Retirement Calculator'!A:A,0),0),0)</f>
        <v>0</v>
      </c>
      <c r="K3701" s="444">
        <f t="shared" ca="1" si="171"/>
        <v>-9000483125.1967049</v>
      </c>
      <c r="L3701" s="444">
        <f t="shared" ca="1" si="172"/>
        <v>-2169116433172.4058</v>
      </c>
      <c r="M3701" s="460">
        <f t="shared" si="174"/>
        <v>0.05</v>
      </c>
      <c r="N3701" s="464">
        <f t="shared" si="175"/>
        <v>163690</v>
      </c>
    </row>
    <row r="3702" spans="7:14" ht="11.25" customHeight="1" x14ac:dyDescent="0.25">
      <c r="G3702" s="459"/>
      <c r="H3702" s="459">
        <v>3695</v>
      </c>
      <c r="I3702" s="444">
        <f t="shared" ca="1" si="173"/>
        <v>-2169116433172.4058</v>
      </c>
      <c r="J3702" s="444">
        <f t="array" ref="J3702">IFERROR(INDEX('Retirement Calculator'!J:J,MATCH('Isaac 401k'!N3702,'Retirement Calculator'!A:A,0),0),0)</f>
        <v>0</v>
      </c>
      <c r="K3702" s="444">
        <f t="shared" ca="1" si="171"/>
        <v>-9037985138.218359</v>
      </c>
      <c r="L3702" s="444">
        <f t="shared" ca="1" si="172"/>
        <v>-2178154418310.624</v>
      </c>
      <c r="M3702" s="460">
        <f t="shared" si="174"/>
        <v>0.05</v>
      </c>
      <c r="N3702" s="464">
        <f t="shared" si="175"/>
        <v>163721</v>
      </c>
    </row>
    <row r="3703" spans="7:14" ht="11.25" customHeight="1" x14ac:dyDescent="0.25">
      <c r="G3703" s="459"/>
      <c r="H3703" s="459">
        <v>3696</v>
      </c>
      <c r="I3703" s="444">
        <f t="shared" ca="1" si="173"/>
        <v>-2178154418310.624</v>
      </c>
      <c r="J3703" s="444">
        <f t="array" ref="J3703">IFERROR(INDEX('Retirement Calculator'!J:J,MATCH('Isaac 401k'!N3703,'Retirement Calculator'!A:A,0),0),0)</f>
        <v>0</v>
      </c>
      <c r="K3703" s="444">
        <f t="shared" ca="1" si="171"/>
        <v>-9075643409.6275997</v>
      </c>
      <c r="L3703" s="444">
        <f t="shared" ca="1" si="172"/>
        <v>-2187230061720.2517</v>
      </c>
      <c r="M3703" s="460">
        <f t="shared" si="174"/>
        <v>0.05</v>
      </c>
      <c r="N3703" s="464">
        <f t="shared" si="175"/>
        <v>163751</v>
      </c>
    </row>
    <row r="3704" spans="7:14" ht="11.25" customHeight="1" x14ac:dyDescent="0.25">
      <c r="G3704" s="459"/>
      <c r="H3704" s="459">
        <v>3697</v>
      </c>
      <c r="I3704" s="444">
        <f t="shared" ca="1" si="173"/>
        <v>-2187230061720.2517</v>
      </c>
      <c r="J3704" s="444">
        <f t="array" ref="J3704">IFERROR(INDEX('Retirement Calculator'!J:J,MATCH('Isaac 401k'!N3704,'Retirement Calculator'!A:A,0),0),0)</f>
        <v>0</v>
      </c>
      <c r="K3704" s="444">
        <f t="shared" ca="1" si="171"/>
        <v>-9113458590.501049</v>
      </c>
      <c r="L3704" s="444">
        <f t="shared" ca="1" si="172"/>
        <v>-2196343520310.7527</v>
      </c>
      <c r="M3704" s="460">
        <f t="shared" si="174"/>
        <v>0.05</v>
      </c>
      <c r="N3704" s="464">
        <f t="shared" si="175"/>
        <v>163782</v>
      </c>
    </row>
    <row r="3705" spans="7:14" ht="11.25" customHeight="1" x14ac:dyDescent="0.25">
      <c r="G3705" s="459"/>
      <c r="H3705" s="459">
        <v>3698</v>
      </c>
      <c r="I3705" s="444">
        <f t="shared" ca="1" si="173"/>
        <v>-2196343520310.7527</v>
      </c>
      <c r="J3705" s="444">
        <f t="array" ref="J3705">IFERROR(INDEX('Retirement Calculator'!J:J,MATCH('Isaac 401k'!N3705,'Retirement Calculator'!A:A,0),0),0)</f>
        <v>0</v>
      </c>
      <c r="K3705" s="444">
        <f t="shared" ca="1" si="171"/>
        <v>-9151431334.6281357</v>
      </c>
      <c r="L3705" s="444">
        <f t="shared" ca="1" si="172"/>
        <v>-2205494951645.3809</v>
      </c>
      <c r="M3705" s="460">
        <f t="shared" si="174"/>
        <v>0.05</v>
      </c>
      <c r="N3705" s="464">
        <f t="shared" si="175"/>
        <v>163812</v>
      </c>
    </row>
    <row r="3706" spans="7:14" ht="11.25" customHeight="1" x14ac:dyDescent="0.25">
      <c r="G3706" s="459"/>
      <c r="H3706" s="459">
        <v>3699</v>
      </c>
      <c r="I3706" s="444">
        <f t="shared" ca="1" si="173"/>
        <v>-2205494951645.3809</v>
      </c>
      <c r="J3706" s="444">
        <f t="array" ref="J3706">IFERROR(INDEX('Retirement Calculator'!J:J,MATCH('Isaac 401k'!N3706,'Retirement Calculator'!A:A,0),0),0)</f>
        <v>0</v>
      </c>
      <c r="K3706" s="444">
        <f t="shared" ca="1" si="171"/>
        <v>-9189562298.5224209</v>
      </c>
      <c r="L3706" s="444">
        <f t="shared" ca="1" si="172"/>
        <v>-2214684513943.9033</v>
      </c>
      <c r="M3706" s="460">
        <f t="shared" si="174"/>
        <v>0.05</v>
      </c>
      <c r="N3706" s="464">
        <f t="shared" si="175"/>
        <v>163843</v>
      </c>
    </row>
    <row r="3707" spans="7:14" ht="11.25" customHeight="1" x14ac:dyDescent="0.25">
      <c r="G3707" s="459"/>
      <c r="H3707" s="459">
        <v>3700</v>
      </c>
      <c r="I3707" s="444">
        <f t="shared" ca="1" si="173"/>
        <v>-2214684513943.9033</v>
      </c>
      <c r="J3707" s="444">
        <f t="array" ref="J3707">IFERROR(INDEX('Retirement Calculator'!J:J,MATCH('Isaac 401k'!N3707,'Retirement Calculator'!A:A,0),0),0)</f>
        <v>0</v>
      </c>
      <c r="K3707" s="444">
        <f t="shared" ca="1" si="171"/>
        <v>-9227852141.43293</v>
      </c>
      <c r="L3707" s="444">
        <f t="shared" ca="1" si="172"/>
        <v>-2223912366085.3364</v>
      </c>
      <c r="M3707" s="460">
        <f t="shared" si="174"/>
        <v>0.05</v>
      </c>
      <c r="N3707" s="464">
        <f t="shared" si="175"/>
        <v>163874</v>
      </c>
    </row>
    <row r="3708" spans="7:14" ht="11.25" customHeight="1" x14ac:dyDescent="0.25">
      <c r="G3708" s="459"/>
      <c r="H3708" s="459">
        <v>3701</v>
      </c>
      <c r="I3708" s="444">
        <f t="shared" ca="1" si="173"/>
        <v>-2223912366085.3364</v>
      </c>
      <c r="J3708" s="444">
        <f t="array" ref="J3708">IFERROR(INDEX('Retirement Calculator'!J:J,MATCH('Isaac 401k'!N3708,'Retirement Calculator'!A:A,0),0),0)</f>
        <v>0</v>
      </c>
      <c r="K3708" s="444">
        <f t="shared" ca="1" si="171"/>
        <v>-9266301525.3555679</v>
      </c>
      <c r="L3708" s="444">
        <f t="shared" ca="1" si="172"/>
        <v>-2233178667610.6919</v>
      </c>
      <c r="M3708" s="460">
        <f t="shared" si="174"/>
        <v>0.05</v>
      </c>
      <c r="N3708" s="464">
        <f t="shared" si="175"/>
        <v>163904</v>
      </c>
    </row>
    <row r="3709" spans="7:14" ht="11.25" customHeight="1" x14ac:dyDescent="0.25">
      <c r="G3709" s="459"/>
      <c r="H3709" s="459">
        <v>3702</v>
      </c>
      <c r="I3709" s="444">
        <f t="shared" ca="1" si="173"/>
        <v>-2233178667610.6919</v>
      </c>
      <c r="J3709" s="444">
        <f t="array" ref="J3709">IFERROR(INDEX('Retirement Calculator'!J:J,MATCH('Isaac 401k'!N3709,'Retirement Calculator'!A:A,0),0),0)</f>
        <v>0</v>
      </c>
      <c r="K3709" s="444">
        <f t="shared" ca="1" si="171"/>
        <v>-9304911115.0445499</v>
      </c>
      <c r="L3709" s="444">
        <f t="shared" ca="1" si="172"/>
        <v>-2242483578725.7363</v>
      </c>
      <c r="M3709" s="460">
        <f t="shared" si="174"/>
        <v>0.05</v>
      </c>
      <c r="N3709" s="464">
        <f t="shared" si="175"/>
        <v>163935</v>
      </c>
    </row>
    <row r="3710" spans="7:14" ht="11.25" customHeight="1" x14ac:dyDescent="0.25">
      <c r="G3710" s="459"/>
      <c r="H3710" s="459">
        <v>3703</v>
      </c>
      <c r="I3710" s="444">
        <f t="shared" ca="1" si="173"/>
        <v>-2242483578725.7363</v>
      </c>
      <c r="J3710" s="444">
        <f t="array" ref="J3710">IFERROR(INDEX('Retirement Calculator'!J:J,MATCH('Isaac 401k'!N3710,'Retirement Calculator'!A:A,0),0),0)</f>
        <v>0</v>
      </c>
      <c r="K3710" s="444">
        <f t="shared" ca="1" si="171"/>
        <v>-9343681578.023901</v>
      </c>
      <c r="L3710" s="444">
        <f t="shared" ca="1" si="172"/>
        <v>-2251827260303.7603</v>
      </c>
      <c r="M3710" s="460">
        <f t="shared" si="174"/>
        <v>0.05</v>
      </c>
      <c r="N3710" s="464">
        <f t="shared" si="175"/>
        <v>163965</v>
      </c>
    </row>
    <row r="3711" spans="7:14" ht="11.25" customHeight="1" x14ac:dyDescent="0.25">
      <c r="G3711" s="459"/>
      <c r="H3711" s="459">
        <v>3704</v>
      </c>
      <c r="I3711" s="444">
        <f t="shared" ca="1" si="173"/>
        <v>-2251827260303.7603</v>
      </c>
      <c r="J3711" s="444">
        <f t="array" ref="J3711">IFERROR(INDEX('Retirement Calculator'!J:J,MATCH('Isaac 401k'!N3711,'Retirement Calculator'!A:A,0),0),0)</f>
        <v>0</v>
      </c>
      <c r="K3711" s="444">
        <f t="shared" ca="1" si="171"/>
        <v>-9382613584.5990009</v>
      </c>
      <c r="L3711" s="444">
        <f t="shared" ca="1" si="172"/>
        <v>-2261209873888.3594</v>
      </c>
      <c r="M3711" s="460">
        <f t="shared" si="174"/>
        <v>0.05</v>
      </c>
      <c r="N3711" s="464">
        <f t="shared" si="175"/>
        <v>163996</v>
      </c>
    </row>
    <row r="3712" spans="7:14" ht="11.25" customHeight="1" x14ac:dyDescent="0.25">
      <c r="G3712" s="459"/>
      <c r="H3712" s="459">
        <v>3705</v>
      </c>
      <c r="I3712" s="444">
        <f t="shared" ca="1" si="173"/>
        <v>-2261209873888.3594</v>
      </c>
      <c r="J3712" s="444">
        <f t="array" ref="J3712">IFERROR(INDEX('Retirement Calculator'!J:J,MATCH('Isaac 401k'!N3712,'Retirement Calculator'!A:A,0),0),0)</f>
        <v>0</v>
      </c>
      <c r="K3712" s="444">
        <f t="shared" ca="1" si="171"/>
        <v>-9421707807.8681641</v>
      </c>
      <c r="L3712" s="444">
        <f t="shared" ca="1" si="172"/>
        <v>-2270631581696.2275</v>
      </c>
      <c r="M3712" s="460">
        <f t="shared" si="174"/>
        <v>0.05</v>
      </c>
      <c r="N3712" s="464">
        <f t="shared" si="175"/>
        <v>164027</v>
      </c>
    </row>
    <row r="3713" spans="7:14" ht="11.25" customHeight="1" x14ac:dyDescent="0.25">
      <c r="G3713" s="459"/>
      <c r="H3713" s="459">
        <v>3706</v>
      </c>
      <c r="I3713" s="444">
        <f t="shared" ca="1" si="173"/>
        <v>-2270631581696.2275</v>
      </c>
      <c r="J3713" s="444">
        <f t="array" ref="J3713">IFERROR(INDEX('Retirement Calculator'!J:J,MATCH('Isaac 401k'!N3713,'Retirement Calculator'!A:A,0),0),0)</f>
        <v>0</v>
      </c>
      <c r="K3713" s="444">
        <f t="shared" ca="1" si="171"/>
        <v>-9460964923.7342815</v>
      </c>
      <c r="L3713" s="444">
        <f t="shared" ca="1" si="172"/>
        <v>-2280092546619.9619</v>
      </c>
      <c r="M3713" s="460">
        <f t="shared" si="174"/>
        <v>0.05</v>
      </c>
      <c r="N3713" s="464">
        <f t="shared" si="175"/>
        <v>164055</v>
      </c>
    </row>
    <row r="3714" spans="7:14" ht="11.25" customHeight="1" x14ac:dyDescent="0.25">
      <c r="G3714" s="459"/>
      <c r="H3714" s="459">
        <v>3707</v>
      </c>
      <c r="I3714" s="444">
        <f t="shared" ca="1" si="173"/>
        <v>-2280092546619.9619</v>
      </c>
      <c r="J3714" s="444">
        <f t="array" ref="J3714">IFERROR(INDEX('Retirement Calculator'!J:J,MATCH('Isaac 401k'!N3714,'Retirement Calculator'!A:A,0),0),0)</f>
        <v>0</v>
      </c>
      <c r="K3714" s="444">
        <f t="shared" ca="1" si="171"/>
        <v>-9500385610.9165077</v>
      </c>
      <c r="L3714" s="444">
        <f t="shared" ca="1" si="172"/>
        <v>-2289592932230.8784</v>
      </c>
      <c r="M3714" s="460">
        <f t="shared" si="174"/>
        <v>0.05</v>
      </c>
      <c r="N3714" s="464">
        <f t="shared" si="175"/>
        <v>164086</v>
      </c>
    </row>
    <row r="3715" spans="7:14" ht="11.25" customHeight="1" x14ac:dyDescent="0.25">
      <c r="G3715" s="459"/>
      <c r="H3715" s="459">
        <v>3708</v>
      </c>
      <c r="I3715" s="444">
        <f t="shared" ca="1" si="173"/>
        <v>-2289592932230.8784</v>
      </c>
      <c r="J3715" s="444">
        <f t="array" ref="J3715">IFERROR(INDEX('Retirement Calculator'!J:J,MATCH('Isaac 401k'!N3715,'Retirement Calculator'!A:A,0),0),0)</f>
        <v>0</v>
      </c>
      <c r="K3715" s="444">
        <f t="shared" ca="1" si="171"/>
        <v>-9539970550.9619942</v>
      </c>
      <c r="L3715" s="444">
        <f t="shared" ca="1" si="172"/>
        <v>-2299132902781.8403</v>
      </c>
      <c r="M3715" s="460">
        <f t="shared" si="174"/>
        <v>0.05</v>
      </c>
      <c r="N3715" s="464">
        <f t="shared" si="175"/>
        <v>164116</v>
      </c>
    </row>
    <row r="3716" spans="7:14" ht="11.25" customHeight="1" x14ac:dyDescent="0.25">
      <c r="G3716" s="459"/>
      <c r="H3716" s="459">
        <v>3709</v>
      </c>
      <c r="I3716" s="444">
        <f t="shared" ca="1" si="173"/>
        <v>-2299132902781.8403</v>
      </c>
      <c r="J3716" s="444">
        <f t="array" ref="J3716">IFERROR(INDEX('Retirement Calculator'!J:J,MATCH('Isaac 401k'!N3716,'Retirement Calculator'!A:A,0),0),0)</f>
        <v>0</v>
      </c>
      <c r="K3716" s="444">
        <f t="shared" ca="1" si="171"/>
        <v>-9579720428.2576675</v>
      </c>
      <c r="L3716" s="444">
        <f t="shared" ca="1" si="172"/>
        <v>-2308712623210.0981</v>
      </c>
      <c r="M3716" s="460">
        <f t="shared" si="174"/>
        <v>0.05</v>
      </c>
      <c r="N3716" s="464">
        <f t="shared" si="175"/>
        <v>164147</v>
      </c>
    </row>
    <row r="3717" spans="7:14" ht="11.25" customHeight="1" x14ac:dyDescent="0.25">
      <c r="G3717" s="459"/>
      <c r="H3717" s="459">
        <v>3710</v>
      </c>
      <c r="I3717" s="444">
        <f t="shared" ca="1" si="173"/>
        <v>-2308712623210.0981</v>
      </c>
      <c r="J3717" s="444">
        <f t="array" ref="J3717">IFERROR(INDEX('Retirement Calculator'!J:J,MATCH('Isaac 401k'!N3717,'Retirement Calculator'!A:A,0),0),0)</f>
        <v>0</v>
      </c>
      <c r="K3717" s="444">
        <f t="shared" ca="1" si="171"/>
        <v>-9619635930.0420761</v>
      </c>
      <c r="L3717" s="444">
        <f t="shared" ca="1" si="172"/>
        <v>-2318332259140.1401</v>
      </c>
      <c r="M3717" s="460">
        <f t="shared" si="174"/>
        <v>0.05</v>
      </c>
      <c r="N3717" s="464">
        <f t="shared" si="175"/>
        <v>164177</v>
      </c>
    </row>
    <row r="3718" spans="7:14" ht="11.25" customHeight="1" x14ac:dyDescent="0.25">
      <c r="G3718" s="459"/>
      <c r="H3718" s="459">
        <v>3711</v>
      </c>
      <c r="I3718" s="444">
        <f t="shared" ca="1" si="173"/>
        <v>-2318332259140.1401</v>
      </c>
      <c r="J3718" s="444">
        <f t="array" ref="J3718">IFERROR(INDEX('Retirement Calculator'!J:J,MATCH('Isaac 401k'!N3718,'Retirement Calculator'!A:A,0),0),0)</f>
        <v>0</v>
      </c>
      <c r="K3718" s="444">
        <f t="shared" ca="1" si="171"/>
        <v>-9659717746.4172497</v>
      </c>
      <c r="L3718" s="444">
        <f t="shared" ca="1" si="172"/>
        <v>-2327991976886.5576</v>
      </c>
      <c r="M3718" s="460">
        <f t="shared" si="174"/>
        <v>0.05</v>
      </c>
      <c r="N3718" s="464">
        <f t="shared" si="175"/>
        <v>164208</v>
      </c>
    </row>
    <row r="3719" spans="7:14" ht="11.25" customHeight="1" x14ac:dyDescent="0.25">
      <c r="G3719" s="459"/>
      <c r="H3719" s="459">
        <v>3712</v>
      </c>
      <c r="I3719" s="444">
        <f t="shared" ca="1" si="173"/>
        <v>-2327991976886.5576</v>
      </c>
      <c r="J3719" s="444">
        <f t="array" ref="J3719">IFERROR(INDEX('Retirement Calculator'!J:J,MATCH('Isaac 401k'!N3719,'Retirement Calculator'!A:A,0),0),0)</f>
        <v>0</v>
      </c>
      <c r="K3719" s="444">
        <f t="shared" ca="1" si="171"/>
        <v>-9699966570.3606567</v>
      </c>
      <c r="L3719" s="444">
        <f t="shared" ca="1" si="172"/>
        <v>-2337691943456.9185</v>
      </c>
      <c r="M3719" s="460">
        <f t="shared" si="174"/>
        <v>0.05</v>
      </c>
      <c r="N3719" s="464">
        <f t="shared" si="175"/>
        <v>164239</v>
      </c>
    </row>
    <row r="3720" spans="7:14" ht="11.25" customHeight="1" x14ac:dyDescent="0.25">
      <c r="G3720" s="459"/>
      <c r="H3720" s="459">
        <v>3713</v>
      </c>
      <c r="I3720" s="444">
        <f t="shared" ca="1" si="173"/>
        <v>-2337691943456.9185</v>
      </c>
      <c r="J3720" s="444">
        <f t="array" ref="J3720">IFERROR(INDEX('Retirement Calculator'!J:J,MATCH('Isaac 401k'!N3720,'Retirement Calculator'!A:A,0),0),0)</f>
        <v>0</v>
      </c>
      <c r="K3720" s="444">
        <f t="shared" ca="1" si="171"/>
        <v>-9740383097.7371597</v>
      </c>
      <c r="L3720" s="444">
        <f t="shared" ca="1" si="172"/>
        <v>-2347432326554.6558</v>
      </c>
      <c r="M3720" s="460">
        <f t="shared" si="174"/>
        <v>0.05</v>
      </c>
      <c r="N3720" s="464">
        <f t="shared" si="175"/>
        <v>164269</v>
      </c>
    </row>
    <row r="3721" spans="7:14" ht="11.25" customHeight="1" x14ac:dyDescent="0.25">
      <c r="G3721" s="459"/>
      <c r="H3721" s="459">
        <v>3714</v>
      </c>
      <c r="I3721" s="444">
        <f t="shared" ca="1" si="173"/>
        <v>-2347432326554.6558</v>
      </c>
      <c r="J3721" s="444">
        <f t="array" ref="J3721">IFERROR(INDEX('Retirement Calculator'!J:J,MATCH('Isaac 401k'!N3721,'Retirement Calculator'!A:A,0),0),0)</f>
        <v>0</v>
      </c>
      <c r="K3721" s="444">
        <f t="shared" ca="1" si="171"/>
        <v>-9780968027.3110657</v>
      </c>
      <c r="L3721" s="444">
        <f t="shared" ca="1" si="172"/>
        <v>-2357213294581.9668</v>
      </c>
      <c r="M3721" s="460">
        <f t="shared" si="174"/>
        <v>0.05</v>
      </c>
      <c r="N3721" s="464">
        <f t="shared" si="175"/>
        <v>164300</v>
      </c>
    </row>
    <row r="3722" spans="7:14" ht="11.25" customHeight="1" x14ac:dyDescent="0.25">
      <c r="G3722" s="459"/>
      <c r="H3722" s="459">
        <v>3715</v>
      </c>
      <c r="I3722" s="444">
        <f t="shared" ca="1" si="173"/>
        <v>-2357213294581.9668</v>
      </c>
      <c r="J3722" s="444">
        <f t="array" ref="J3722">IFERROR(INDEX('Retirement Calculator'!J:J,MATCH('Isaac 401k'!N3722,'Retirement Calculator'!A:A,0),0),0)</f>
        <v>0</v>
      </c>
      <c r="K3722" s="444">
        <f t="shared" ca="1" si="171"/>
        <v>-9821722060.758194</v>
      </c>
      <c r="L3722" s="444">
        <f t="shared" ca="1" si="172"/>
        <v>-2367035016642.7251</v>
      </c>
      <c r="M3722" s="460">
        <f t="shared" si="174"/>
        <v>0.05</v>
      </c>
      <c r="N3722" s="464">
        <f t="shared" si="175"/>
        <v>164330</v>
      </c>
    </row>
    <row r="3723" spans="7:14" ht="11.25" customHeight="1" x14ac:dyDescent="0.25">
      <c r="G3723" s="459"/>
      <c r="H3723" s="459">
        <v>3716</v>
      </c>
      <c r="I3723" s="444">
        <f t="shared" ca="1" si="173"/>
        <v>-2367035016642.7251</v>
      </c>
      <c r="J3723" s="444">
        <f t="array" ref="J3723">IFERROR(INDEX('Retirement Calculator'!J:J,MATCH('Isaac 401k'!N3723,'Retirement Calculator'!A:A,0),0),0)</f>
        <v>0</v>
      </c>
      <c r="K3723" s="444">
        <f t="shared" ca="1" si="171"/>
        <v>-9862645902.6780205</v>
      </c>
      <c r="L3723" s="444">
        <f t="shared" ca="1" si="172"/>
        <v>-2376897662545.4033</v>
      </c>
      <c r="M3723" s="460">
        <f t="shared" si="174"/>
        <v>0.05</v>
      </c>
      <c r="N3723" s="464">
        <f t="shared" si="175"/>
        <v>164361</v>
      </c>
    </row>
    <row r="3724" spans="7:14" ht="11.25" customHeight="1" x14ac:dyDescent="0.25">
      <c r="G3724" s="459"/>
      <c r="H3724" s="459">
        <v>3717</v>
      </c>
      <c r="I3724" s="444">
        <f t="shared" ca="1" si="173"/>
        <v>-2376897662545.4033</v>
      </c>
      <c r="J3724" s="444">
        <f t="array" ref="J3724">IFERROR(INDEX('Retirement Calculator'!J:J,MATCH('Isaac 401k'!N3724,'Retirement Calculator'!A:A,0),0),0)</f>
        <v>0</v>
      </c>
      <c r="K3724" s="444">
        <f t="shared" ca="1" si="171"/>
        <v>-9903740260.6058464</v>
      </c>
      <c r="L3724" s="444">
        <f t="shared" ca="1" si="172"/>
        <v>-2386801402806.0093</v>
      </c>
      <c r="M3724" s="460">
        <f t="shared" si="174"/>
        <v>0.05</v>
      </c>
      <c r="N3724" s="464">
        <f t="shared" si="175"/>
        <v>164392</v>
      </c>
    </row>
    <row r="3725" spans="7:14" ht="11.25" customHeight="1" x14ac:dyDescent="0.25">
      <c r="G3725" s="459"/>
      <c r="H3725" s="459">
        <v>3718</v>
      </c>
      <c r="I3725" s="444">
        <f t="shared" ca="1" si="173"/>
        <v>-2386801402806.0093</v>
      </c>
      <c r="J3725" s="444">
        <f t="array" ref="J3725">IFERROR(INDEX('Retirement Calculator'!J:J,MATCH('Isaac 401k'!N3725,'Retirement Calculator'!A:A,0),0),0)</f>
        <v>0</v>
      </c>
      <c r="K3725" s="444">
        <f t="shared" ca="1" si="171"/>
        <v>-9945005845.0250378</v>
      </c>
      <c r="L3725" s="444">
        <f t="shared" ca="1" si="172"/>
        <v>-2396746408651.0342</v>
      </c>
      <c r="M3725" s="460">
        <f t="shared" si="174"/>
        <v>0.05</v>
      </c>
      <c r="N3725" s="464">
        <f t="shared" si="175"/>
        <v>164420</v>
      </c>
    </row>
    <row r="3726" spans="7:14" ht="11.25" customHeight="1" x14ac:dyDescent="0.25">
      <c r="G3726" s="459"/>
      <c r="H3726" s="459">
        <v>3719</v>
      </c>
      <c r="I3726" s="444">
        <f t="shared" ca="1" si="173"/>
        <v>-2396746408651.0342</v>
      </c>
      <c r="J3726" s="444">
        <f t="array" ref="J3726">IFERROR(INDEX('Retirement Calculator'!J:J,MATCH('Isaac 401k'!N3726,'Retirement Calculator'!A:A,0),0),0)</f>
        <v>0</v>
      </c>
      <c r="K3726" s="444">
        <f t="shared" ca="1" si="171"/>
        <v>-9986443369.3793087</v>
      </c>
      <c r="L3726" s="444">
        <f t="shared" ca="1" si="172"/>
        <v>-2406732852020.4136</v>
      </c>
      <c r="M3726" s="460">
        <f t="shared" si="174"/>
        <v>0.05</v>
      </c>
      <c r="N3726" s="464">
        <f t="shared" si="175"/>
        <v>164451</v>
      </c>
    </row>
    <row r="3727" spans="7:14" ht="11.25" customHeight="1" x14ac:dyDescent="0.25">
      <c r="G3727" s="459"/>
      <c r="H3727" s="459">
        <v>3720</v>
      </c>
      <c r="I3727" s="444">
        <f t="shared" ca="1" si="173"/>
        <v>-2406732852020.4136</v>
      </c>
      <c r="J3727" s="444">
        <f t="array" ref="J3727">IFERROR(INDEX('Retirement Calculator'!J:J,MATCH('Isaac 401k'!N3727,'Retirement Calculator'!A:A,0),0),0)</f>
        <v>0</v>
      </c>
      <c r="K3727" s="444">
        <f t="shared" ca="1" si="171"/>
        <v>-10028053550.085056</v>
      </c>
      <c r="L3727" s="444">
        <f t="shared" ca="1" si="172"/>
        <v>-2416760905570.4985</v>
      </c>
      <c r="M3727" s="460">
        <f t="shared" si="174"/>
        <v>0.05</v>
      </c>
      <c r="N3727" s="464">
        <f t="shared" si="175"/>
        <v>164481</v>
      </c>
    </row>
    <row r="3728" spans="7:14" ht="11.25" customHeight="1" x14ac:dyDescent="0.25">
      <c r="G3728" s="459"/>
      <c r="H3728" s="459">
        <v>3721</v>
      </c>
      <c r="I3728" s="444">
        <f t="shared" ca="1" si="173"/>
        <v>-2416760905570.4985</v>
      </c>
      <c r="J3728" s="444">
        <f t="array" ref="J3728">IFERROR(INDEX('Retirement Calculator'!J:J,MATCH('Isaac 401k'!N3728,'Retirement Calculator'!A:A,0),0),0)</f>
        <v>0</v>
      </c>
      <c r="K3728" s="444">
        <f t="shared" ca="1" si="171"/>
        <v>-10069837106.543743</v>
      </c>
      <c r="L3728" s="444">
        <f t="shared" ca="1" si="172"/>
        <v>-2426830742677.0425</v>
      </c>
      <c r="M3728" s="460">
        <f t="shared" si="174"/>
        <v>0.05</v>
      </c>
      <c r="N3728" s="464">
        <f t="shared" si="175"/>
        <v>164512</v>
      </c>
    </row>
    <row r="3729" spans="7:14" ht="11.25" customHeight="1" x14ac:dyDescent="0.25">
      <c r="G3729" s="459"/>
      <c r="H3729" s="459">
        <v>3722</v>
      </c>
      <c r="I3729" s="444">
        <f t="shared" ca="1" si="173"/>
        <v>-2426830742677.0425</v>
      </c>
      <c r="J3729" s="444">
        <f t="array" ref="J3729">IFERROR(INDEX('Retirement Calculator'!J:J,MATCH('Isaac 401k'!N3729,'Retirement Calculator'!A:A,0),0),0)</f>
        <v>0</v>
      </c>
      <c r="K3729" s="444">
        <f t="shared" ca="1" si="171"/>
        <v>-10111794761.154343</v>
      </c>
      <c r="L3729" s="444">
        <f t="shared" ca="1" si="172"/>
        <v>-2436942537438.1968</v>
      </c>
      <c r="M3729" s="460">
        <f t="shared" si="174"/>
        <v>0.05</v>
      </c>
      <c r="N3729" s="464">
        <f t="shared" si="175"/>
        <v>164542</v>
      </c>
    </row>
    <row r="3730" spans="7:14" ht="11.25" customHeight="1" x14ac:dyDescent="0.25">
      <c r="G3730" s="459"/>
      <c r="H3730" s="459">
        <v>3723</v>
      </c>
      <c r="I3730" s="444">
        <f t="shared" ca="1" si="173"/>
        <v>-2436942537438.1968</v>
      </c>
      <c r="J3730" s="444">
        <f t="array" ref="J3730">IFERROR(INDEX('Retirement Calculator'!J:J,MATCH('Isaac 401k'!N3730,'Retirement Calculator'!A:A,0),0),0)</f>
        <v>0</v>
      </c>
      <c r="K3730" s="444">
        <f t="shared" ca="1" si="171"/>
        <v>-10153927239.325819</v>
      </c>
      <c r="L3730" s="444">
        <f t="shared" ca="1" si="172"/>
        <v>-2447096464677.5225</v>
      </c>
      <c r="M3730" s="460">
        <f t="shared" si="174"/>
        <v>0.05</v>
      </c>
      <c r="N3730" s="464">
        <f t="shared" si="175"/>
        <v>164573</v>
      </c>
    </row>
    <row r="3731" spans="7:14" ht="11.25" customHeight="1" x14ac:dyDescent="0.25">
      <c r="G3731" s="459"/>
      <c r="H3731" s="459">
        <v>3724</v>
      </c>
      <c r="I3731" s="444">
        <f t="shared" ca="1" si="173"/>
        <v>-2447096464677.5225</v>
      </c>
      <c r="J3731" s="444">
        <f t="array" ref="J3731">IFERROR(INDEX('Retirement Calculator'!J:J,MATCH('Isaac 401k'!N3731,'Retirement Calculator'!A:A,0),0),0)</f>
        <v>0</v>
      </c>
      <c r="K3731" s="444">
        <f t="shared" ca="1" si="171"/>
        <v>-10196235269.489677</v>
      </c>
      <c r="L3731" s="444">
        <f t="shared" ca="1" si="172"/>
        <v>-2457292699947.0122</v>
      </c>
      <c r="M3731" s="460">
        <f t="shared" si="174"/>
        <v>0.05</v>
      </c>
      <c r="N3731" s="464">
        <f t="shared" si="175"/>
        <v>164604</v>
      </c>
    </row>
    <row r="3732" spans="7:14" ht="11.25" customHeight="1" x14ac:dyDescent="0.25">
      <c r="G3732" s="459"/>
      <c r="H3732" s="459">
        <v>3725</v>
      </c>
      <c r="I3732" s="444">
        <f t="shared" ca="1" si="173"/>
        <v>-2457292699947.0122</v>
      </c>
      <c r="J3732" s="444">
        <f t="array" ref="J3732">IFERROR(INDEX('Retirement Calculator'!J:J,MATCH('Isaac 401k'!N3732,'Retirement Calculator'!A:A,0),0),0)</f>
        <v>0</v>
      </c>
      <c r="K3732" s="444">
        <f t="shared" ca="1" si="171"/>
        <v>-10238719583.112551</v>
      </c>
      <c r="L3732" s="444">
        <f t="shared" ca="1" si="172"/>
        <v>-2467531419530.125</v>
      </c>
      <c r="M3732" s="460">
        <f t="shared" si="174"/>
        <v>0.05</v>
      </c>
      <c r="N3732" s="464">
        <f t="shared" si="175"/>
        <v>164634</v>
      </c>
    </row>
    <row r="3733" spans="7:14" ht="11.25" customHeight="1" x14ac:dyDescent="0.25">
      <c r="G3733" s="459"/>
      <c r="H3733" s="459">
        <v>3726</v>
      </c>
      <c r="I3733" s="444">
        <f t="shared" ca="1" si="173"/>
        <v>-2467531419530.125</v>
      </c>
      <c r="J3733" s="444">
        <f t="array" ref="J3733">IFERROR(INDEX('Retirement Calculator'!J:J,MATCH('Isaac 401k'!N3733,'Retirement Calculator'!A:A,0),0),0)</f>
        <v>0</v>
      </c>
      <c r="K3733" s="444">
        <f t="shared" ca="1" si="171"/>
        <v>-10281380914.708855</v>
      </c>
      <c r="L3733" s="444">
        <f t="shared" ca="1" si="172"/>
        <v>-2477812800444.834</v>
      </c>
      <c r="M3733" s="460">
        <f t="shared" si="174"/>
        <v>0.05</v>
      </c>
      <c r="N3733" s="464">
        <f t="shared" si="175"/>
        <v>164665</v>
      </c>
    </row>
    <row r="3734" spans="7:14" ht="11.25" customHeight="1" x14ac:dyDescent="0.25">
      <c r="G3734" s="459"/>
      <c r="H3734" s="459">
        <v>3727</v>
      </c>
      <c r="I3734" s="444">
        <f t="shared" ca="1" si="173"/>
        <v>-2477812800444.834</v>
      </c>
      <c r="J3734" s="444">
        <f t="array" ref="J3734">IFERROR(INDEX('Retirement Calculator'!J:J,MATCH('Isaac 401k'!N3734,'Retirement Calculator'!A:A,0),0),0)</f>
        <v>0</v>
      </c>
      <c r="K3734" s="444">
        <f t="shared" ca="1" si="171"/>
        <v>-10324220001.853476</v>
      </c>
      <c r="L3734" s="444">
        <f t="shared" ca="1" si="172"/>
        <v>-2488137020446.6875</v>
      </c>
      <c r="M3734" s="460">
        <f t="shared" si="174"/>
        <v>0.05</v>
      </c>
      <c r="N3734" s="464">
        <f t="shared" si="175"/>
        <v>164695</v>
      </c>
    </row>
    <row r="3735" spans="7:14" ht="11.25" customHeight="1" x14ac:dyDescent="0.25">
      <c r="G3735" s="459"/>
      <c r="H3735" s="459">
        <v>3728</v>
      </c>
      <c r="I3735" s="444">
        <f t="shared" ca="1" si="173"/>
        <v>-2488137020446.6875</v>
      </c>
      <c r="J3735" s="444">
        <f t="array" ref="J3735">IFERROR(INDEX('Retirement Calculator'!J:J,MATCH('Isaac 401k'!N3735,'Retirement Calculator'!A:A,0),0),0)</f>
        <v>0</v>
      </c>
      <c r="K3735" s="444">
        <f t="shared" ca="1" si="171"/>
        <v>-10367237585.19453</v>
      </c>
      <c r="L3735" s="444">
        <f t="shared" ca="1" si="172"/>
        <v>-2498504258031.8818</v>
      </c>
      <c r="M3735" s="460">
        <f t="shared" si="174"/>
        <v>0.05</v>
      </c>
      <c r="N3735" s="464">
        <f t="shared" si="175"/>
        <v>164726</v>
      </c>
    </row>
    <row r="3736" spans="7:14" ht="11.25" customHeight="1" x14ac:dyDescent="0.25">
      <c r="G3736" s="459"/>
      <c r="H3736" s="459">
        <v>3729</v>
      </c>
      <c r="I3736" s="444">
        <f t="shared" ca="1" si="173"/>
        <v>-2498504258031.8818</v>
      </c>
      <c r="J3736" s="444">
        <f t="array" ref="J3736">IFERROR(INDEX('Retirement Calculator'!J:J,MATCH('Isaac 401k'!N3736,'Retirement Calculator'!A:A,0),0),0)</f>
        <v>0</v>
      </c>
      <c r="K3736" s="444">
        <f t="shared" ca="1" si="171"/>
        <v>-10410434408.466175</v>
      </c>
      <c r="L3736" s="444">
        <f t="shared" ca="1" si="172"/>
        <v>-2508914692440.3481</v>
      </c>
      <c r="M3736" s="460">
        <f t="shared" si="174"/>
        <v>0.05</v>
      </c>
      <c r="N3736" s="464">
        <f t="shared" si="175"/>
        <v>164757</v>
      </c>
    </row>
    <row r="3737" spans="7:14" ht="11.25" customHeight="1" x14ac:dyDescent="0.25">
      <c r="G3737" s="459"/>
      <c r="H3737" s="459">
        <v>3730</v>
      </c>
      <c r="I3737" s="444">
        <f t="shared" ca="1" si="173"/>
        <v>-2508914692440.3481</v>
      </c>
      <c r="J3737" s="444">
        <f t="array" ref="J3737">IFERROR(INDEX('Retirement Calculator'!J:J,MATCH('Isaac 401k'!N3737,'Retirement Calculator'!A:A,0),0),0)</f>
        <v>0</v>
      </c>
      <c r="K3737" s="444">
        <f t="shared" ca="1" si="171"/>
        <v>-10453811218.50145</v>
      </c>
      <c r="L3737" s="444">
        <f t="shared" ca="1" si="172"/>
        <v>-2519368503658.8496</v>
      </c>
      <c r="M3737" s="460">
        <f t="shared" si="174"/>
        <v>0.05</v>
      </c>
      <c r="N3737" s="464">
        <f t="shared" si="175"/>
        <v>164785</v>
      </c>
    </row>
    <row r="3738" spans="7:14" ht="11.25" customHeight="1" x14ac:dyDescent="0.25">
      <c r="G3738" s="459"/>
      <c r="H3738" s="459">
        <v>3731</v>
      </c>
      <c r="I3738" s="444">
        <f t="shared" ca="1" si="173"/>
        <v>-2519368503658.8496</v>
      </c>
      <c r="J3738" s="444">
        <f t="array" ref="J3738">IFERROR(INDEX('Retirement Calculator'!J:J,MATCH('Isaac 401k'!N3738,'Retirement Calculator'!A:A,0),0),0)</f>
        <v>0</v>
      </c>
      <c r="K3738" s="444">
        <f t="shared" ca="1" si="171"/>
        <v>-10497368765.245207</v>
      </c>
      <c r="L3738" s="444">
        <f t="shared" ca="1" si="172"/>
        <v>-2529865872424.0947</v>
      </c>
      <c r="M3738" s="460">
        <f t="shared" si="174"/>
        <v>0.05</v>
      </c>
      <c r="N3738" s="464">
        <f t="shared" si="175"/>
        <v>164816</v>
      </c>
    </row>
    <row r="3739" spans="7:14" ht="11.25" customHeight="1" x14ac:dyDescent="0.25">
      <c r="G3739" s="459"/>
      <c r="H3739" s="459">
        <v>3732</v>
      </c>
      <c r="I3739" s="444">
        <f t="shared" ca="1" si="173"/>
        <v>-2529865872424.0947</v>
      </c>
      <c r="J3739" s="444">
        <f t="array" ref="J3739">IFERROR(INDEX('Retirement Calculator'!J:J,MATCH('Isaac 401k'!N3739,'Retirement Calculator'!A:A,0),0),0)</f>
        <v>0</v>
      </c>
      <c r="K3739" s="444">
        <f t="shared" ca="1" si="171"/>
        <v>-10541107801.767061</v>
      </c>
      <c r="L3739" s="444">
        <f t="shared" ca="1" si="172"/>
        <v>-2540406980225.8618</v>
      </c>
      <c r="M3739" s="460">
        <f t="shared" si="174"/>
        <v>0.05</v>
      </c>
      <c r="N3739" s="464">
        <f t="shared" si="175"/>
        <v>164846</v>
      </c>
    </row>
    <row r="3740" spans="7:14" ht="11.25" customHeight="1" x14ac:dyDescent="0.25">
      <c r="G3740" s="459"/>
      <c r="H3740" s="459">
        <v>3733</v>
      </c>
      <c r="I3740" s="444">
        <f t="shared" ca="1" si="173"/>
        <v>-2540406980225.8618</v>
      </c>
      <c r="J3740" s="444">
        <f t="array" ref="J3740">IFERROR(INDEX('Retirement Calculator'!J:J,MATCH('Isaac 401k'!N3740,'Retirement Calculator'!A:A,0),0),0)</f>
        <v>0</v>
      </c>
      <c r="K3740" s="444">
        <f t="shared" ca="1" si="171"/>
        <v>-10585029084.274424</v>
      </c>
      <c r="L3740" s="444">
        <f t="shared" ca="1" si="172"/>
        <v>-2550992009310.1362</v>
      </c>
      <c r="M3740" s="460">
        <f t="shared" si="174"/>
        <v>0.05</v>
      </c>
      <c r="N3740" s="464">
        <f t="shared" si="175"/>
        <v>164877</v>
      </c>
    </row>
    <row r="3741" spans="7:14" ht="11.25" customHeight="1" x14ac:dyDescent="0.25">
      <c r="G3741" s="459"/>
      <c r="H3741" s="459">
        <v>3734</v>
      </c>
      <c r="I3741" s="444">
        <f t="shared" ca="1" si="173"/>
        <v>-2550992009310.1362</v>
      </c>
      <c r="J3741" s="444">
        <f t="array" ref="J3741">IFERROR(INDEX('Retirement Calculator'!J:J,MATCH('Isaac 401k'!N3741,'Retirement Calculator'!A:A,0),0),0)</f>
        <v>0</v>
      </c>
      <c r="K3741" s="444">
        <f t="shared" ca="1" si="171"/>
        <v>-10629133372.125568</v>
      </c>
      <c r="L3741" s="444">
        <f t="shared" ca="1" si="172"/>
        <v>-2561621142682.2617</v>
      </c>
      <c r="M3741" s="460">
        <f t="shared" si="174"/>
        <v>0.05</v>
      </c>
      <c r="N3741" s="464">
        <f t="shared" si="175"/>
        <v>164907</v>
      </c>
    </row>
    <row r="3742" spans="7:14" ht="11.25" customHeight="1" x14ac:dyDescent="0.25">
      <c r="G3742" s="459"/>
      <c r="H3742" s="459">
        <v>3735</v>
      </c>
      <c r="I3742" s="444">
        <f t="shared" ca="1" si="173"/>
        <v>-2561621142682.2617</v>
      </c>
      <c r="J3742" s="444">
        <f t="array" ref="J3742">IFERROR(INDEX('Retirement Calculator'!J:J,MATCH('Isaac 401k'!N3742,'Retirement Calculator'!A:A,0),0),0)</f>
        <v>0</v>
      </c>
      <c r="K3742" s="444">
        <f t="shared" ca="1" si="171"/>
        <v>-10673421427.842756</v>
      </c>
      <c r="L3742" s="444">
        <f t="shared" ca="1" si="172"/>
        <v>-2572294564110.1045</v>
      </c>
      <c r="M3742" s="460">
        <f t="shared" si="174"/>
        <v>0.05</v>
      </c>
      <c r="N3742" s="464">
        <f t="shared" si="175"/>
        <v>164938</v>
      </c>
    </row>
    <row r="3743" spans="7:14" ht="11.25" customHeight="1" x14ac:dyDescent="0.25">
      <c r="G3743" s="459"/>
      <c r="H3743" s="459">
        <v>3736</v>
      </c>
      <c r="I3743" s="444">
        <f t="shared" ca="1" si="173"/>
        <v>-2572294564110.1045</v>
      </c>
      <c r="J3743" s="444">
        <f t="array" ref="J3743">IFERROR(INDEX('Retirement Calculator'!J:J,MATCH('Isaac 401k'!N3743,'Retirement Calculator'!A:A,0),0),0)</f>
        <v>0</v>
      </c>
      <c r="K3743" s="444">
        <f t="shared" ca="1" si="171"/>
        <v>-10717894017.125435</v>
      </c>
      <c r="L3743" s="444">
        <f t="shared" ca="1" si="172"/>
        <v>-2583012458127.23</v>
      </c>
      <c r="M3743" s="460">
        <f t="shared" si="174"/>
        <v>0.05</v>
      </c>
      <c r="N3743" s="464">
        <f t="shared" si="175"/>
        <v>164969</v>
      </c>
    </row>
    <row r="3744" spans="7:14" ht="11.25" customHeight="1" x14ac:dyDescent="0.25">
      <c r="G3744" s="459"/>
      <c r="H3744" s="459">
        <v>3737</v>
      </c>
      <c r="I3744" s="444">
        <f t="shared" ca="1" si="173"/>
        <v>-2583012458127.23</v>
      </c>
      <c r="J3744" s="444">
        <f t="array" ref="J3744">IFERROR(INDEX('Retirement Calculator'!J:J,MATCH('Isaac 401k'!N3744,'Retirement Calculator'!A:A,0),0),0)</f>
        <v>0</v>
      </c>
      <c r="K3744" s="444">
        <f t="shared" ca="1" si="171"/>
        <v>-10762551908.863459</v>
      </c>
      <c r="L3744" s="444">
        <f t="shared" ca="1" si="172"/>
        <v>-2593775010036.0933</v>
      </c>
      <c r="M3744" s="460">
        <f t="shared" si="174"/>
        <v>0.05</v>
      </c>
      <c r="N3744" s="464">
        <f t="shared" si="175"/>
        <v>164999</v>
      </c>
    </row>
    <row r="3745" spans="7:14" ht="11.25" customHeight="1" x14ac:dyDescent="0.25">
      <c r="G3745" s="459"/>
      <c r="H3745" s="459">
        <v>3738</v>
      </c>
      <c r="I3745" s="444">
        <f t="shared" ca="1" si="173"/>
        <v>-2593775010036.0933</v>
      </c>
      <c r="J3745" s="444">
        <f t="array" ref="J3745">IFERROR(INDEX('Retirement Calculator'!J:J,MATCH('Isaac 401k'!N3745,'Retirement Calculator'!A:A,0),0),0)</f>
        <v>0</v>
      </c>
      <c r="K3745" s="444">
        <f t="shared" ca="1" si="171"/>
        <v>-10807395875.150389</v>
      </c>
      <c r="L3745" s="444">
        <f t="shared" ca="1" si="172"/>
        <v>-2604582405911.2437</v>
      </c>
      <c r="M3745" s="460">
        <f t="shared" si="174"/>
        <v>0.05</v>
      </c>
      <c r="N3745" s="464">
        <f t="shared" si="175"/>
        <v>165030</v>
      </c>
    </row>
    <row r="3746" spans="7:14" ht="11.25" customHeight="1" x14ac:dyDescent="0.25">
      <c r="G3746" s="459"/>
      <c r="H3746" s="459">
        <v>3739</v>
      </c>
      <c r="I3746" s="444">
        <f t="shared" ca="1" si="173"/>
        <v>-2604582405911.2437</v>
      </c>
      <c r="J3746" s="444">
        <f t="array" ref="J3746">IFERROR(INDEX('Retirement Calculator'!J:J,MATCH('Isaac 401k'!N3746,'Retirement Calculator'!A:A,0),0),0)</f>
        <v>0</v>
      </c>
      <c r="K3746" s="444">
        <f t="shared" ca="1" si="171"/>
        <v>-10852426691.296848</v>
      </c>
      <c r="L3746" s="444">
        <f t="shared" ca="1" si="172"/>
        <v>-2615434832602.5405</v>
      </c>
      <c r="M3746" s="460">
        <f t="shared" si="174"/>
        <v>0.05</v>
      </c>
      <c r="N3746" s="464">
        <f t="shared" si="175"/>
        <v>165060</v>
      </c>
    </row>
    <row r="3747" spans="7:14" ht="11.25" customHeight="1" x14ac:dyDescent="0.25">
      <c r="G3747" s="459"/>
      <c r="H3747" s="459">
        <v>3740</v>
      </c>
      <c r="I3747" s="444">
        <f t="shared" ca="1" si="173"/>
        <v>-2615434832602.5405</v>
      </c>
      <c r="J3747" s="444">
        <f t="array" ref="J3747">IFERROR(INDEX('Retirement Calculator'!J:J,MATCH('Isaac 401k'!N3747,'Retirement Calculator'!A:A,0),0),0)</f>
        <v>0</v>
      </c>
      <c r="K3747" s="444">
        <f t="shared" ca="1" si="171"/>
        <v>-10897645135.843918</v>
      </c>
      <c r="L3747" s="444">
        <f t="shared" ca="1" si="172"/>
        <v>-2626332477738.3843</v>
      </c>
      <c r="M3747" s="460">
        <f t="shared" si="174"/>
        <v>0.05</v>
      </c>
      <c r="N3747" s="464">
        <f t="shared" si="175"/>
        <v>165091</v>
      </c>
    </row>
    <row r="3748" spans="7:14" ht="11.25" customHeight="1" x14ac:dyDescent="0.25">
      <c r="G3748" s="459"/>
      <c r="H3748" s="459">
        <v>3741</v>
      </c>
      <c r="I3748" s="444">
        <f t="shared" ca="1" si="173"/>
        <v>-2626332477738.3843</v>
      </c>
      <c r="J3748" s="444">
        <f t="array" ref="J3748">IFERROR(INDEX('Retirement Calculator'!J:J,MATCH('Isaac 401k'!N3748,'Retirement Calculator'!A:A,0),0),0)</f>
        <v>0</v>
      </c>
      <c r="K3748" s="444">
        <f t="shared" ca="1" si="171"/>
        <v>-10943051990.576601</v>
      </c>
      <c r="L3748" s="444">
        <f t="shared" ca="1" si="172"/>
        <v>-2637275529728.9609</v>
      </c>
      <c r="M3748" s="460">
        <f t="shared" si="174"/>
        <v>0.05</v>
      </c>
      <c r="N3748" s="464">
        <f t="shared" si="175"/>
        <v>165122</v>
      </c>
    </row>
    <row r="3749" spans="7:14" ht="11.25" customHeight="1" x14ac:dyDescent="0.25">
      <c r="G3749" s="459"/>
      <c r="H3749" s="459">
        <v>3742</v>
      </c>
      <c r="I3749" s="444">
        <f t="shared" ca="1" si="173"/>
        <v>-2637275529728.9609</v>
      </c>
      <c r="J3749" s="444">
        <f t="array" ref="J3749">IFERROR(INDEX('Retirement Calculator'!J:J,MATCH('Isaac 401k'!N3749,'Retirement Calculator'!A:A,0),0),0)</f>
        <v>0</v>
      </c>
      <c r="K3749" s="444">
        <f t="shared" ca="1" si="171"/>
        <v>-10988648040.537336</v>
      </c>
      <c r="L3749" s="444">
        <f t="shared" ca="1" si="172"/>
        <v>-2648264177769.498</v>
      </c>
      <c r="M3749" s="460">
        <f t="shared" si="174"/>
        <v>0.05</v>
      </c>
      <c r="N3749" s="464">
        <f t="shared" si="175"/>
        <v>165151</v>
      </c>
    </row>
    <row r="3750" spans="7:14" ht="11.25" customHeight="1" x14ac:dyDescent="0.25">
      <c r="G3750" s="459"/>
      <c r="H3750" s="459">
        <v>3743</v>
      </c>
      <c r="I3750" s="444">
        <f t="shared" ca="1" si="173"/>
        <v>-2648264177769.498</v>
      </c>
      <c r="J3750" s="444">
        <f t="array" ref="J3750">IFERROR(INDEX('Retirement Calculator'!J:J,MATCH('Isaac 401k'!N3750,'Retirement Calculator'!A:A,0),0),0)</f>
        <v>0</v>
      </c>
      <c r="K3750" s="444">
        <f t="shared" ca="1" si="171"/>
        <v>-11034434074.039576</v>
      </c>
      <c r="L3750" s="444">
        <f t="shared" ca="1" si="172"/>
        <v>-2659298611843.5376</v>
      </c>
      <c r="M3750" s="460">
        <f t="shared" si="174"/>
        <v>0.05</v>
      </c>
      <c r="N3750" s="464">
        <f t="shared" si="175"/>
        <v>165182</v>
      </c>
    </row>
    <row r="3751" spans="7:14" ht="11.25" customHeight="1" x14ac:dyDescent="0.25">
      <c r="G3751" s="459"/>
      <c r="H3751" s="459">
        <v>3744</v>
      </c>
      <c r="I3751" s="444">
        <f t="shared" ca="1" si="173"/>
        <v>-2659298611843.5376</v>
      </c>
      <c r="J3751" s="444">
        <f t="array" ref="J3751">IFERROR(INDEX('Retirement Calculator'!J:J,MATCH('Isaac 401k'!N3751,'Retirement Calculator'!A:A,0),0),0)</f>
        <v>0</v>
      </c>
      <c r="K3751" s="444">
        <f t="shared" ca="1" si="171"/>
        <v>-11080410882.681406</v>
      </c>
      <c r="L3751" s="444">
        <f t="shared" ca="1" si="172"/>
        <v>-2670379022726.2192</v>
      </c>
      <c r="M3751" s="460">
        <f t="shared" si="174"/>
        <v>0.05</v>
      </c>
      <c r="N3751" s="464">
        <f t="shared" si="175"/>
        <v>165212</v>
      </c>
    </row>
    <row r="3752" spans="7:14" ht="11.25" customHeight="1" x14ac:dyDescent="0.25">
      <c r="G3752" s="459"/>
      <c r="H3752" s="459">
        <v>3745</v>
      </c>
      <c r="I3752" s="444">
        <f t="shared" ca="1" si="173"/>
        <v>-2670379022726.2192</v>
      </c>
      <c r="J3752" s="444">
        <f t="array" ref="J3752">IFERROR(INDEX('Retirement Calculator'!J:J,MATCH('Isaac 401k'!N3752,'Retirement Calculator'!A:A,0),0),0)</f>
        <v>0</v>
      </c>
      <c r="K3752" s="444">
        <f t="shared" ca="1" si="171"/>
        <v>-11126579261.359247</v>
      </c>
      <c r="L3752" s="444">
        <f t="shared" ca="1" si="172"/>
        <v>-2681505601987.5786</v>
      </c>
      <c r="M3752" s="460">
        <f t="shared" si="174"/>
        <v>0.05</v>
      </c>
      <c r="N3752" s="464">
        <f t="shared" si="175"/>
        <v>165243</v>
      </c>
    </row>
    <row r="3753" spans="7:14" ht="11.25" customHeight="1" x14ac:dyDescent="0.25">
      <c r="G3753" s="459"/>
      <c r="H3753" s="459">
        <v>3746</v>
      </c>
      <c r="I3753" s="444">
        <f t="shared" ca="1" si="173"/>
        <v>-2681505601987.5786</v>
      </c>
      <c r="J3753" s="444">
        <f t="array" ref="J3753">IFERROR(INDEX('Retirement Calculator'!J:J,MATCH('Isaac 401k'!N3753,'Retirement Calculator'!A:A,0),0),0)</f>
        <v>0</v>
      </c>
      <c r="K3753" s="444">
        <f t="shared" ca="1" si="171"/>
        <v>-11172940008.281578</v>
      </c>
      <c r="L3753" s="444">
        <f t="shared" ca="1" si="172"/>
        <v>-2692678541995.8604</v>
      </c>
      <c r="M3753" s="460">
        <f t="shared" si="174"/>
        <v>0.05</v>
      </c>
      <c r="N3753" s="464">
        <f t="shared" si="175"/>
        <v>165273</v>
      </c>
    </row>
    <row r="3754" spans="7:14" ht="11.25" customHeight="1" x14ac:dyDescent="0.25">
      <c r="G3754" s="459"/>
      <c r="H3754" s="459">
        <v>3747</v>
      </c>
      <c r="I3754" s="444">
        <f t="shared" ca="1" si="173"/>
        <v>-2692678541995.8604</v>
      </c>
      <c r="J3754" s="444">
        <f t="array" ref="J3754">IFERROR(INDEX('Retirement Calculator'!J:J,MATCH('Isaac 401k'!N3754,'Retirement Calculator'!A:A,0),0),0)</f>
        <v>0</v>
      </c>
      <c r="K3754" s="444">
        <f t="shared" ca="1" si="171"/>
        <v>-11219493924.982752</v>
      </c>
      <c r="L3754" s="444">
        <f t="shared" ca="1" si="172"/>
        <v>-2703898035920.8433</v>
      </c>
      <c r="M3754" s="460">
        <f t="shared" si="174"/>
        <v>0.05</v>
      </c>
      <c r="N3754" s="464">
        <f t="shared" si="175"/>
        <v>165304</v>
      </c>
    </row>
    <row r="3755" spans="7:14" ht="11.25" customHeight="1" x14ac:dyDescent="0.25">
      <c r="G3755" s="459"/>
      <c r="H3755" s="459">
        <v>3748</v>
      </c>
      <c r="I3755" s="444">
        <f t="shared" ca="1" si="173"/>
        <v>-2703898035920.8433</v>
      </c>
      <c r="J3755" s="444">
        <f t="array" ref="J3755">IFERROR(INDEX('Retirement Calculator'!J:J,MATCH('Isaac 401k'!N3755,'Retirement Calculator'!A:A,0),0),0)</f>
        <v>0</v>
      </c>
      <c r="K3755" s="444">
        <f t="shared" ca="1" si="171"/>
        <v>-11266241816.336847</v>
      </c>
      <c r="L3755" s="444">
        <f t="shared" ca="1" si="172"/>
        <v>-2715164277737.1802</v>
      </c>
      <c r="M3755" s="460">
        <f t="shared" si="174"/>
        <v>0.05</v>
      </c>
      <c r="N3755" s="464">
        <f t="shared" si="175"/>
        <v>165335</v>
      </c>
    </row>
    <row r="3756" spans="7:14" ht="11.25" customHeight="1" x14ac:dyDescent="0.25">
      <c r="G3756" s="459"/>
      <c r="H3756" s="459">
        <v>3749</v>
      </c>
      <c r="I3756" s="444">
        <f t="shared" ca="1" si="173"/>
        <v>-2715164277737.1802</v>
      </c>
      <c r="J3756" s="444">
        <f t="array" ref="J3756">IFERROR(INDEX('Retirement Calculator'!J:J,MATCH('Isaac 401k'!N3756,'Retirement Calculator'!A:A,0),0),0)</f>
        <v>0</v>
      </c>
      <c r="K3756" s="444">
        <f t="shared" ca="1" si="171"/>
        <v>-11313184490.571585</v>
      </c>
      <c r="L3756" s="444">
        <f t="shared" ca="1" si="172"/>
        <v>-2726477462227.752</v>
      </c>
      <c r="M3756" s="460">
        <f t="shared" si="174"/>
        <v>0.05</v>
      </c>
      <c r="N3756" s="464">
        <f t="shared" si="175"/>
        <v>165365</v>
      </c>
    </row>
    <row r="3757" spans="7:14" ht="11.25" customHeight="1" x14ac:dyDescent="0.25">
      <c r="G3757" s="459"/>
      <c r="H3757" s="459">
        <v>3750</v>
      </c>
      <c r="I3757" s="444">
        <f t="shared" ca="1" si="173"/>
        <v>-2726477462227.752</v>
      </c>
      <c r="J3757" s="444">
        <f t="array" ref="J3757">IFERROR(INDEX('Retirement Calculator'!J:J,MATCH('Isaac 401k'!N3757,'Retirement Calculator'!A:A,0),0),0)</f>
        <v>0</v>
      </c>
      <c r="K3757" s="444">
        <f t="shared" ca="1" si="171"/>
        <v>-11360322759.282299</v>
      </c>
      <c r="L3757" s="444">
        <f t="shared" ca="1" si="172"/>
        <v>-2737837784987.0342</v>
      </c>
      <c r="M3757" s="460">
        <f t="shared" si="174"/>
        <v>0.05</v>
      </c>
      <c r="N3757" s="464">
        <f t="shared" si="175"/>
        <v>165396</v>
      </c>
    </row>
    <row r="3758" spans="7:14" ht="11.25" customHeight="1" x14ac:dyDescent="0.25">
      <c r="G3758" s="459"/>
      <c r="H3758" s="459">
        <v>3751</v>
      </c>
      <c r="I3758" s="444">
        <f t="shared" ca="1" si="173"/>
        <v>-2737837784987.0342</v>
      </c>
      <c r="J3758" s="444">
        <f t="array" ref="J3758">IFERROR(INDEX('Retirement Calculator'!J:J,MATCH('Isaac 401k'!N3758,'Retirement Calculator'!A:A,0),0),0)</f>
        <v>0</v>
      </c>
      <c r="K3758" s="444">
        <f t="shared" ca="1" si="171"/>
        <v>-11407657437.445976</v>
      </c>
      <c r="L3758" s="444">
        <f t="shared" ca="1" si="172"/>
        <v>-2749245442424.48</v>
      </c>
      <c r="M3758" s="460">
        <f t="shared" si="174"/>
        <v>0.05</v>
      </c>
      <c r="N3758" s="464">
        <f t="shared" si="175"/>
        <v>165426</v>
      </c>
    </row>
    <row r="3759" spans="7:14" ht="11.25" customHeight="1" x14ac:dyDescent="0.25">
      <c r="G3759" s="459"/>
      <c r="H3759" s="459">
        <v>3752</v>
      </c>
      <c r="I3759" s="444">
        <f t="shared" ca="1" si="173"/>
        <v>-2749245442424.48</v>
      </c>
      <c r="J3759" s="444">
        <f t="array" ref="J3759">IFERROR(INDEX('Retirement Calculator'!J:J,MATCH('Isaac 401k'!N3759,'Retirement Calculator'!A:A,0),0),0)</f>
        <v>0</v>
      </c>
      <c r="K3759" s="444">
        <f t="shared" ca="1" si="171"/>
        <v>-11455189343.435333</v>
      </c>
      <c r="L3759" s="444">
        <f t="shared" ca="1" si="172"/>
        <v>-2760700631767.9155</v>
      </c>
      <c r="M3759" s="460">
        <f t="shared" si="174"/>
        <v>0.05</v>
      </c>
      <c r="N3759" s="464">
        <f t="shared" si="175"/>
        <v>165457</v>
      </c>
    </row>
    <row r="3760" spans="7:14" ht="11.25" customHeight="1" x14ac:dyDescent="0.25">
      <c r="G3760" s="459"/>
      <c r="H3760" s="459">
        <v>3753</v>
      </c>
      <c r="I3760" s="444">
        <f t="shared" ca="1" si="173"/>
        <v>-2760700631767.9155</v>
      </c>
      <c r="J3760" s="444">
        <f t="array" ref="J3760">IFERROR(INDEX('Retirement Calculator'!J:J,MATCH('Isaac 401k'!N3760,'Retirement Calculator'!A:A,0),0),0)</f>
        <v>0</v>
      </c>
      <c r="K3760" s="444">
        <f t="shared" ca="1" si="171"/>
        <v>-11502919299.032982</v>
      </c>
      <c r="L3760" s="444">
        <f t="shared" ca="1" si="172"/>
        <v>-2772203551066.9487</v>
      </c>
      <c r="M3760" s="460">
        <f t="shared" si="174"/>
        <v>0.05</v>
      </c>
      <c r="N3760" s="464">
        <f t="shared" si="175"/>
        <v>165488</v>
      </c>
    </row>
    <row r="3761" spans="7:14" ht="11.25" customHeight="1" x14ac:dyDescent="0.25">
      <c r="G3761" s="459"/>
      <c r="H3761" s="459">
        <v>3754</v>
      </c>
      <c r="I3761" s="444">
        <f t="shared" ca="1" si="173"/>
        <v>-2772203551066.9487</v>
      </c>
      <c r="J3761" s="444">
        <f t="array" ref="J3761">IFERROR(INDEX('Retirement Calculator'!J:J,MATCH('Isaac 401k'!N3761,'Retirement Calculator'!A:A,0),0),0)</f>
        <v>0</v>
      </c>
      <c r="K3761" s="444">
        <f t="shared" ca="1" si="171"/>
        <v>-11550848129.44562</v>
      </c>
      <c r="L3761" s="444">
        <f t="shared" ca="1" si="172"/>
        <v>-2783754399196.3945</v>
      </c>
      <c r="M3761" s="460">
        <f t="shared" si="174"/>
        <v>0.05</v>
      </c>
      <c r="N3761" s="464">
        <f t="shared" si="175"/>
        <v>165516</v>
      </c>
    </row>
    <row r="3762" spans="7:14" ht="11.25" customHeight="1" x14ac:dyDescent="0.25">
      <c r="G3762" s="459"/>
      <c r="H3762" s="459">
        <v>3755</v>
      </c>
      <c r="I3762" s="444">
        <f t="shared" ca="1" si="173"/>
        <v>-2783754399196.3945</v>
      </c>
      <c r="J3762" s="444">
        <f t="array" ref="J3762">IFERROR(INDEX('Retirement Calculator'!J:J,MATCH('Isaac 401k'!N3762,'Retirement Calculator'!A:A,0),0),0)</f>
        <v>0</v>
      </c>
      <c r="K3762" s="444">
        <f t="shared" ca="1" si="171"/>
        <v>-11598976663.31831</v>
      </c>
      <c r="L3762" s="444">
        <f t="shared" ca="1" si="172"/>
        <v>-2795353375859.7129</v>
      </c>
      <c r="M3762" s="460">
        <f t="shared" si="174"/>
        <v>0.05</v>
      </c>
      <c r="N3762" s="464">
        <f t="shared" si="175"/>
        <v>165547</v>
      </c>
    </row>
    <row r="3763" spans="7:14" ht="11.25" customHeight="1" x14ac:dyDescent="0.25">
      <c r="G3763" s="459"/>
      <c r="H3763" s="459">
        <v>3756</v>
      </c>
      <c r="I3763" s="444">
        <f t="shared" ca="1" si="173"/>
        <v>-2795353375859.7129</v>
      </c>
      <c r="J3763" s="444">
        <f t="array" ref="J3763">IFERROR(INDEX('Retirement Calculator'!J:J,MATCH('Isaac 401k'!N3763,'Retirement Calculator'!A:A,0),0),0)</f>
        <v>0</v>
      </c>
      <c r="K3763" s="444">
        <f t="shared" ca="1" si="171"/>
        <v>-11647305732.748804</v>
      </c>
      <c r="L3763" s="444">
        <f t="shared" ca="1" si="172"/>
        <v>-2807000681592.4619</v>
      </c>
      <c r="M3763" s="460">
        <f t="shared" si="174"/>
        <v>0.05</v>
      </c>
      <c r="N3763" s="464">
        <f t="shared" si="175"/>
        <v>165577</v>
      </c>
    </row>
    <row r="3764" spans="7:14" ht="11.25" customHeight="1" x14ac:dyDescent="0.25">
      <c r="G3764" s="459"/>
      <c r="H3764" s="459">
        <v>3757</v>
      </c>
      <c r="I3764" s="444">
        <f t="shared" ca="1" si="173"/>
        <v>-2807000681592.4619</v>
      </c>
      <c r="J3764" s="444">
        <f t="array" ref="J3764">IFERROR(INDEX('Retirement Calculator'!J:J,MATCH('Isaac 401k'!N3764,'Retirement Calculator'!A:A,0),0),0)</f>
        <v>0</v>
      </c>
      <c r="K3764" s="444">
        <f t="shared" ca="1" si="171"/>
        <v>-11695836173.301924</v>
      </c>
      <c r="L3764" s="444">
        <f t="shared" ca="1" si="172"/>
        <v>-2818696517765.7637</v>
      </c>
      <c r="M3764" s="460">
        <f t="shared" si="174"/>
        <v>0.05</v>
      </c>
      <c r="N3764" s="464">
        <f t="shared" si="175"/>
        <v>165608</v>
      </c>
    </row>
    <row r="3765" spans="7:14" ht="11.25" customHeight="1" x14ac:dyDescent="0.25">
      <c r="G3765" s="459"/>
      <c r="H3765" s="459">
        <v>3758</v>
      </c>
      <c r="I3765" s="444">
        <f t="shared" ca="1" si="173"/>
        <v>-2818696517765.7637</v>
      </c>
      <c r="J3765" s="444">
        <f t="array" ref="J3765">IFERROR(INDEX('Retirement Calculator'!J:J,MATCH('Isaac 401k'!N3765,'Retirement Calculator'!A:A,0),0),0)</f>
        <v>0</v>
      </c>
      <c r="K3765" s="444">
        <f t="shared" ca="1" si="171"/>
        <v>-11744568824.024015</v>
      </c>
      <c r="L3765" s="444">
        <f t="shared" ca="1" si="172"/>
        <v>-2830441086589.7876</v>
      </c>
      <c r="M3765" s="460">
        <f t="shared" si="174"/>
        <v>0.05</v>
      </c>
      <c r="N3765" s="464">
        <f t="shared" si="175"/>
        <v>165638</v>
      </c>
    </row>
    <row r="3766" spans="7:14" ht="11.25" customHeight="1" x14ac:dyDescent="0.25">
      <c r="G3766" s="459"/>
      <c r="H3766" s="459">
        <v>3759</v>
      </c>
      <c r="I3766" s="444">
        <f t="shared" ca="1" si="173"/>
        <v>-2830441086589.7876</v>
      </c>
      <c r="J3766" s="444">
        <f t="array" ref="J3766">IFERROR(INDEX('Retirement Calculator'!J:J,MATCH('Isaac 401k'!N3766,'Retirement Calculator'!A:A,0),0),0)</f>
        <v>0</v>
      </c>
      <c r="K3766" s="444">
        <f t="shared" ca="1" si="171"/>
        <v>-11793504527.457449</v>
      </c>
      <c r="L3766" s="444">
        <f t="shared" ca="1" si="172"/>
        <v>-2842234591117.2451</v>
      </c>
      <c r="M3766" s="460">
        <f t="shared" si="174"/>
        <v>0.05</v>
      </c>
      <c r="N3766" s="464">
        <f t="shared" si="175"/>
        <v>165669</v>
      </c>
    </row>
    <row r="3767" spans="7:14" ht="11.25" customHeight="1" x14ac:dyDescent="0.25">
      <c r="G3767" s="459"/>
      <c r="H3767" s="459">
        <v>3760</v>
      </c>
      <c r="I3767" s="444">
        <f t="shared" ca="1" si="173"/>
        <v>-2842234591117.2451</v>
      </c>
      <c r="J3767" s="444">
        <f t="array" ref="J3767">IFERROR(INDEX('Retirement Calculator'!J:J,MATCH('Isaac 401k'!N3767,'Retirement Calculator'!A:A,0),0),0)</f>
        <v>0</v>
      </c>
      <c r="K3767" s="444">
        <f t="shared" ca="1" si="171"/>
        <v>-11842644129.655188</v>
      </c>
      <c r="L3767" s="444">
        <f t="shared" ca="1" si="172"/>
        <v>-2854077235246.9004</v>
      </c>
      <c r="M3767" s="460">
        <f t="shared" si="174"/>
        <v>0.05</v>
      </c>
      <c r="N3767" s="464">
        <f t="shared" si="175"/>
        <v>165700</v>
      </c>
    </row>
    <row r="3768" spans="7:14" ht="11.25" customHeight="1" x14ac:dyDescent="0.25">
      <c r="G3768" s="459"/>
      <c r="H3768" s="459">
        <v>3761</v>
      </c>
      <c r="I3768" s="444">
        <f t="shared" ca="1" si="173"/>
        <v>-2854077235246.9004</v>
      </c>
      <c r="J3768" s="444">
        <f t="array" ref="J3768">IFERROR(INDEX('Retirement Calculator'!J:J,MATCH('Isaac 401k'!N3768,'Retirement Calculator'!A:A,0),0),0)</f>
        <v>0</v>
      </c>
      <c r="K3768" s="444">
        <f t="shared" ca="1" si="171"/>
        <v>-11891988480.195417</v>
      </c>
      <c r="L3768" s="444">
        <f t="shared" ca="1" si="172"/>
        <v>-2865969223727.0957</v>
      </c>
      <c r="M3768" s="460">
        <f t="shared" si="174"/>
        <v>0.05</v>
      </c>
      <c r="N3768" s="464">
        <f t="shared" si="175"/>
        <v>165730</v>
      </c>
    </row>
    <row r="3769" spans="7:14" ht="11.25" customHeight="1" x14ac:dyDescent="0.25">
      <c r="G3769" s="459"/>
      <c r="H3769" s="459">
        <v>3762</v>
      </c>
      <c r="I3769" s="444">
        <f t="shared" ca="1" si="173"/>
        <v>-2865969223727.0957</v>
      </c>
      <c r="J3769" s="444">
        <f t="array" ref="J3769">IFERROR(INDEX('Retirement Calculator'!J:J,MATCH('Isaac 401k'!N3769,'Retirement Calculator'!A:A,0),0),0)</f>
        <v>0</v>
      </c>
      <c r="K3769" s="444">
        <f t="shared" ca="1" si="171"/>
        <v>-11941538432.196232</v>
      </c>
      <c r="L3769" s="444">
        <f t="shared" ca="1" si="172"/>
        <v>-2877910762159.292</v>
      </c>
      <c r="M3769" s="460">
        <f t="shared" si="174"/>
        <v>0.05</v>
      </c>
      <c r="N3769" s="464">
        <f t="shared" si="175"/>
        <v>165761</v>
      </c>
    </row>
    <row r="3770" spans="7:14" ht="11.25" customHeight="1" x14ac:dyDescent="0.25">
      <c r="G3770" s="459"/>
      <c r="H3770" s="459">
        <v>3763</v>
      </c>
      <c r="I3770" s="444">
        <f t="shared" ca="1" si="173"/>
        <v>-2877910762159.292</v>
      </c>
      <c r="J3770" s="444">
        <f t="array" ref="J3770">IFERROR(INDEX('Retirement Calculator'!J:J,MATCH('Isaac 401k'!N3770,'Retirement Calculator'!A:A,0),0),0)</f>
        <v>0</v>
      </c>
      <c r="K3770" s="444">
        <f t="shared" ca="1" si="171"/>
        <v>-11991294842.330383</v>
      </c>
      <c r="L3770" s="444">
        <f t="shared" ca="1" si="172"/>
        <v>-2889902057001.6226</v>
      </c>
      <c r="M3770" s="460">
        <f t="shared" si="174"/>
        <v>0.05</v>
      </c>
      <c r="N3770" s="464">
        <f t="shared" si="175"/>
        <v>165791</v>
      </c>
    </row>
    <row r="3771" spans="7:14" ht="11.25" customHeight="1" x14ac:dyDescent="0.25">
      <c r="G3771" s="459"/>
      <c r="H3771" s="459">
        <v>3764</v>
      </c>
      <c r="I3771" s="444">
        <f t="shared" ca="1" si="173"/>
        <v>-2889902057001.6226</v>
      </c>
      <c r="J3771" s="444">
        <f t="array" ref="J3771">IFERROR(INDEX('Retirement Calculator'!J:J,MATCH('Isaac 401k'!N3771,'Retirement Calculator'!A:A,0),0),0)</f>
        <v>0</v>
      </c>
      <c r="K3771" s="444">
        <f t="shared" ca="1" si="171"/>
        <v>-12041258570.840094</v>
      </c>
      <c r="L3771" s="444">
        <f t="shared" ca="1" si="172"/>
        <v>-2901943315572.4629</v>
      </c>
      <c r="M3771" s="460">
        <f t="shared" si="174"/>
        <v>0.05</v>
      </c>
      <c r="N3771" s="464">
        <f t="shared" si="175"/>
        <v>165822</v>
      </c>
    </row>
    <row r="3772" spans="7:14" ht="11.25" customHeight="1" x14ac:dyDescent="0.25">
      <c r="G3772" s="459"/>
      <c r="H3772" s="459">
        <v>3765</v>
      </c>
      <c r="I3772" s="444">
        <f t="shared" ca="1" si="173"/>
        <v>-2901943315572.4629</v>
      </c>
      <c r="J3772" s="444">
        <f t="array" ref="J3772">IFERROR(INDEX('Retirement Calculator'!J:J,MATCH('Isaac 401k'!N3772,'Retirement Calculator'!A:A,0),0),0)</f>
        <v>0</v>
      </c>
      <c r="K3772" s="444">
        <f t="shared" ca="1" si="171"/>
        <v>-12091430481.551929</v>
      </c>
      <c r="L3772" s="444">
        <f t="shared" ca="1" si="172"/>
        <v>-2914034746054.0146</v>
      </c>
      <c r="M3772" s="460">
        <f t="shared" si="174"/>
        <v>0.05</v>
      </c>
      <c r="N3772" s="464">
        <f t="shared" si="175"/>
        <v>165853</v>
      </c>
    </row>
    <row r="3773" spans="7:14" ht="11.25" customHeight="1" x14ac:dyDescent="0.25">
      <c r="G3773" s="459"/>
      <c r="H3773" s="459">
        <v>3766</v>
      </c>
      <c r="I3773" s="444">
        <f t="shared" ca="1" si="173"/>
        <v>-2914034746054.0146</v>
      </c>
      <c r="J3773" s="444">
        <f t="array" ref="J3773">IFERROR(INDEX('Retirement Calculator'!J:J,MATCH('Isaac 401k'!N3773,'Retirement Calculator'!A:A,0),0),0)</f>
        <v>0</v>
      </c>
      <c r="K3773" s="444">
        <f t="shared" ca="1" si="171"/>
        <v>-12141811441.891727</v>
      </c>
      <c r="L3773" s="444">
        <f t="shared" ca="1" si="172"/>
        <v>-2926176557495.9063</v>
      </c>
      <c r="M3773" s="460">
        <f t="shared" si="174"/>
        <v>0.05</v>
      </c>
      <c r="N3773" s="464">
        <f t="shared" si="175"/>
        <v>165881</v>
      </c>
    </row>
    <row r="3774" spans="7:14" ht="11.25" customHeight="1" x14ac:dyDescent="0.25">
      <c r="G3774" s="459"/>
      <c r="H3774" s="459">
        <v>3767</v>
      </c>
      <c r="I3774" s="444">
        <f t="shared" ca="1" si="173"/>
        <v>-2926176557495.9063</v>
      </c>
      <c r="J3774" s="444">
        <f t="array" ref="J3774">IFERROR(INDEX('Retirement Calculator'!J:J,MATCH('Isaac 401k'!N3774,'Retirement Calculator'!A:A,0),0),0)</f>
        <v>0</v>
      </c>
      <c r="K3774" s="444">
        <f t="shared" ca="1" si="171"/>
        <v>-12192402322.899609</v>
      </c>
      <c r="L3774" s="444">
        <f t="shared" ca="1" si="172"/>
        <v>-2938368959818.8057</v>
      </c>
      <c r="M3774" s="460">
        <f t="shared" si="174"/>
        <v>0.05</v>
      </c>
      <c r="N3774" s="464">
        <f t="shared" si="175"/>
        <v>165912</v>
      </c>
    </row>
    <row r="3775" spans="7:14" ht="11.25" customHeight="1" x14ac:dyDescent="0.25">
      <c r="G3775" s="459"/>
      <c r="H3775" s="459">
        <v>3768</v>
      </c>
      <c r="I3775" s="444">
        <f t="shared" ca="1" si="173"/>
        <v>-2938368959818.8057</v>
      </c>
      <c r="J3775" s="444">
        <f t="array" ref="J3775">IFERROR(INDEX('Retirement Calculator'!J:J,MATCH('Isaac 401k'!N3775,'Retirement Calculator'!A:A,0),0),0)</f>
        <v>0</v>
      </c>
      <c r="K3775" s="444">
        <f t="shared" ca="1" si="171"/>
        <v>-12243203999.245024</v>
      </c>
      <c r="L3775" s="444">
        <f t="shared" ca="1" si="172"/>
        <v>-2950612163818.0508</v>
      </c>
      <c r="M3775" s="460">
        <f t="shared" si="174"/>
        <v>0.05</v>
      </c>
      <c r="N3775" s="464">
        <f t="shared" si="175"/>
        <v>165942</v>
      </c>
    </row>
    <row r="3776" spans="7:14" ht="11.25" customHeight="1" x14ac:dyDescent="0.25">
      <c r="G3776" s="459"/>
      <c r="H3776" s="459">
        <v>3769</v>
      </c>
      <c r="I3776" s="444">
        <f t="shared" ca="1" si="173"/>
        <v>-2950612163818.0508</v>
      </c>
      <c r="J3776" s="444">
        <f t="array" ref="J3776">IFERROR(INDEX('Retirement Calculator'!J:J,MATCH('Isaac 401k'!N3776,'Retirement Calculator'!A:A,0),0),0)</f>
        <v>0</v>
      </c>
      <c r="K3776" s="444">
        <f t="shared" ca="1" si="171"/>
        <v>-12294217349.241879</v>
      </c>
      <c r="L3776" s="444">
        <f t="shared" ca="1" si="172"/>
        <v>-2962906381167.2925</v>
      </c>
      <c r="M3776" s="460">
        <f t="shared" si="174"/>
        <v>0.05</v>
      </c>
      <c r="N3776" s="464">
        <f t="shared" si="175"/>
        <v>165973</v>
      </c>
    </row>
    <row r="3777" spans="7:14" ht="11.25" customHeight="1" x14ac:dyDescent="0.25">
      <c r="G3777" s="459"/>
      <c r="H3777" s="459">
        <v>3770</v>
      </c>
      <c r="I3777" s="444">
        <f t="shared" ca="1" si="173"/>
        <v>-2962906381167.2925</v>
      </c>
      <c r="J3777" s="444">
        <f t="array" ref="J3777">IFERROR(INDEX('Retirement Calculator'!J:J,MATCH('Isaac 401k'!N3777,'Retirement Calculator'!A:A,0),0),0)</f>
        <v>0</v>
      </c>
      <c r="K3777" s="444">
        <f t="shared" ca="1" si="171"/>
        <v>-12345443254.863718</v>
      </c>
      <c r="L3777" s="444">
        <f t="shared" ca="1" si="172"/>
        <v>-2975251824422.1563</v>
      </c>
      <c r="M3777" s="460">
        <f t="shared" si="174"/>
        <v>0.05</v>
      </c>
      <c r="N3777" s="464">
        <f t="shared" si="175"/>
        <v>166003</v>
      </c>
    </row>
    <row r="3778" spans="7:14" ht="11.25" customHeight="1" x14ac:dyDescent="0.25">
      <c r="G3778" s="459"/>
      <c r="H3778" s="459">
        <v>3771</v>
      </c>
      <c r="I3778" s="444">
        <f t="shared" ca="1" si="173"/>
        <v>-2975251824422.1563</v>
      </c>
      <c r="J3778" s="444">
        <f t="array" ref="J3778">IFERROR(INDEX('Retirement Calculator'!J:J,MATCH('Isaac 401k'!N3778,'Retirement Calculator'!A:A,0),0),0)</f>
        <v>0</v>
      </c>
      <c r="K3778" s="444">
        <f t="shared" ca="1" si="171"/>
        <v>-12396882601.758984</v>
      </c>
      <c r="L3778" s="444">
        <f t="shared" ca="1" si="172"/>
        <v>-2987648707023.915</v>
      </c>
      <c r="M3778" s="460">
        <f t="shared" si="174"/>
        <v>0.05</v>
      </c>
      <c r="N3778" s="464">
        <f t="shared" si="175"/>
        <v>166034</v>
      </c>
    </row>
    <row r="3779" spans="7:14" ht="11.25" customHeight="1" x14ac:dyDescent="0.25">
      <c r="G3779" s="459"/>
      <c r="H3779" s="459">
        <v>3772</v>
      </c>
      <c r="I3779" s="444">
        <f t="shared" ca="1" si="173"/>
        <v>-2987648707023.915</v>
      </c>
      <c r="J3779" s="444">
        <f t="array" ref="J3779">IFERROR(INDEX('Retirement Calculator'!J:J,MATCH('Isaac 401k'!N3779,'Retirement Calculator'!A:A,0),0),0)</f>
        <v>0</v>
      </c>
      <c r="K3779" s="444">
        <f t="shared" ca="1" si="171"/>
        <v>-12448536279.266312</v>
      </c>
      <c r="L3779" s="444">
        <f t="shared" ca="1" si="172"/>
        <v>-3000097243303.1812</v>
      </c>
      <c r="M3779" s="460">
        <f t="shared" si="174"/>
        <v>0.05</v>
      </c>
      <c r="N3779" s="464">
        <f t="shared" si="175"/>
        <v>166065</v>
      </c>
    </row>
    <row r="3780" spans="7:14" ht="11.25" customHeight="1" x14ac:dyDescent="0.25">
      <c r="G3780" s="459"/>
      <c r="H3780" s="459">
        <v>3773</v>
      </c>
      <c r="I3780" s="444">
        <f t="shared" ca="1" si="173"/>
        <v>-3000097243303.1812</v>
      </c>
      <c r="J3780" s="444">
        <f t="array" ref="J3780">IFERROR(INDEX('Retirement Calculator'!J:J,MATCH('Isaac 401k'!N3780,'Retirement Calculator'!A:A,0),0),0)</f>
        <v>0</v>
      </c>
      <c r="K3780" s="444">
        <f t="shared" ca="1" si="171"/>
        <v>-12500405180.429922</v>
      </c>
      <c r="L3780" s="444">
        <f t="shared" ca="1" si="172"/>
        <v>-3012597648483.6108</v>
      </c>
      <c r="M3780" s="460">
        <f t="shared" si="174"/>
        <v>0.05</v>
      </c>
      <c r="N3780" s="464">
        <f t="shared" si="175"/>
        <v>166095</v>
      </c>
    </row>
    <row r="3781" spans="7:14" ht="11.25" customHeight="1" x14ac:dyDescent="0.25">
      <c r="G3781" s="459"/>
      <c r="H3781" s="459">
        <v>3774</v>
      </c>
      <c r="I3781" s="444">
        <f t="shared" ca="1" si="173"/>
        <v>-3012597648483.6108</v>
      </c>
      <c r="J3781" s="444">
        <f t="array" ref="J3781">IFERROR(INDEX('Retirement Calculator'!J:J,MATCH('Isaac 401k'!N3781,'Retirement Calculator'!A:A,0),0),0)</f>
        <v>0</v>
      </c>
      <c r="K3781" s="444">
        <f t="shared" ca="1" si="171"/>
        <v>-12552490202.015045</v>
      </c>
      <c r="L3781" s="444">
        <f t="shared" ca="1" si="172"/>
        <v>-3025150138685.626</v>
      </c>
      <c r="M3781" s="460">
        <f t="shared" si="174"/>
        <v>0.05</v>
      </c>
      <c r="N3781" s="464">
        <f t="shared" si="175"/>
        <v>166126</v>
      </c>
    </row>
    <row r="3782" spans="7:14" ht="11.25" customHeight="1" x14ac:dyDescent="0.25">
      <c r="G3782" s="459"/>
      <c r="H3782" s="459">
        <v>3775</v>
      </c>
      <c r="I3782" s="444">
        <f t="shared" ca="1" si="173"/>
        <v>-3025150138685.626</v>
      </c>
      <c r="J3782" s="444">
        <f t="array" ref="J3782">IFERROR(INDEX('Retirement Calculator'!J:J,MATCH('Isaac 401k'!N3782,'Retirement Calculator'!A:A,0),0),0)</f>
        <v>0</v>
      </c>
      <c r="K3782" s="444">
        <f t="shared" ca="1" si="171"/>
        <v>-12604792244.523441</v>
      </c>
      <c r="L3782" s="444">
        <f t="shared" ca="1" si="172"/>
        <v>-3037754930930.1494</v>
      </c>
      <c r="M3782" s="460">
        <f t="shared" si="174"/>
        <v>0.05</v>
      </c>
      <c r="N3782" s="464">
        <f t="shared" si="175"/>
        <v>166156</v>
      </c>
    </row>
    <row r="3783" spans="7:14" ht="11.25" customHeight="1" x14ac:dyDescent="0.25">
      <c r="G3783" s="459"/>
      <c r="H3783" s="459">
        <v>3776</v>
      </c>
      <c r="I3783" s="444">
        <f t="shared" ca="1" si="173"/>
        <v>-3037754930930.1494</v>
      </c>
      <c r="J3783" s="444">
        <f t="array" ref="J3783">IFERROR(INDEX('Retirement Calculator'!J:J,MATCH('Isaac 401k'!N3783,'Retirement Calculator'!A:A,0),0),0)</f>
        <v>0</v>
      </c>
      <c r="K3783" s="444">
        <f t="shared" ca="1" si="171"/>
        <v>-12657312212.208956</v>
      </c>
      <c r="L3783" s="444">
        <f t="shared" ca="1" si="172"/>
        <v>-3050412243142.3584</v>
      </c>
      <c r="M3783" s="460">
        <f t="shared" si="174"/>
        <v>0.05</v>
      </c>
      <c r="N3783" s="464">
        <f t="shared" si="175"/>
        <v>166187</v>
      </c>
    </row>
    <row r="3784" spans="7:14" ht="11.25" customHeight="1" x14ac:dyDescent="0.25">
      <c r="G3784" s="459"/>
      <c r="H3784" s="459">
        <v>3777</v>
      </c>
      <c r="I3784" s="444">
        <f t="shared" ca="1" si="173"/>
        <v>-3050412243142.3584</v>
      </c>
      <c r="J3784" s="444">
        <f t="array" ref="J3784">IFERROR(INDEX('Retirement Calculator'!J:J,MATCH('Isaac 401k'!N3784,'Retirement Calculator'!A:A,0),0),0)</f>
        <v>0</v>
      </c>
      <c r="K3784" s="444">
        <f t="shared" ca="1" si="171"/>
        <v>-12710051013.093161</v>
      </c>
      <c r="L3784" s="444">
        <f t="shared" ca="1" si="172"/>
        <v>-3063122294155.4517</v>
      </c>
      <c r="M3784" s="460">
        <f t="shared" si="174"/>
        <v>0.05</v>
      </c>
      <c r="N3784" s="464">
        <f t="shared" si="175"/>
        <v>166218</v>
      </c>
    </row>
    <row r="3785" spans="7:14" ht="11.25" customHeight="1" x14ac:dyDescent="0.25">
      <c r="G3785" s="459"/>
      <c r="H3785" s="459">
        <v>3778</v>
      </c>
      <c r="I3785" s="444">
        <f t="shared" ca="1" si="173"/>
        <v>-3063122294155.4517</v>
      </c>
      <c r="J3785" s="444">
        <f t="array" ref="J3785">IFERROR(INDEX('Retirement Calculator'!J:J,MATCH('Isaac 401k'!N3785,'Retirement Calculator'!A:A,0),0),0)</f>
        <v>0</v>
      </c>
      <c r="K3785" s="444">
        <f t="shared" ca="1" si="171"/>
        <v>-12763009558.981049</v>
      </c>
      <c r="L3785" s="444">
        <f t="shared" ca="1" si="172"/>
        <v>-3075885303714.4326</v>
      </c>
      <c r="M3785" s="460">
        <f t="shared" si="174"/>
        <v>0.05</v>
      </c>
      <c r="N3785" s="464">
        <f t="shared" si="175"/>
        <v>166246</v>
      </c>
    </row>
    <row r="3786" spans="7:14" ht="11.25" customHeight="1" x14ac:dyDescent="0.25">
      <c r="G3786" s="459"/>
      <c r="H3786" s="459">
        <v>3779</v>
      </c>
      <c r="I3786" s="444">
        <f t="shared" ca="1" si="173"/>
        <v>-3075885303714.4326</v>
      </c>
      <c r="J3786" s="444">
        <f t="array" ref="J3786">IFERROR(INDEX('Retirement Calculator'!J:J,MATCH('Isaac 401k'!N3786,'Retirement Calculator'!A:A,0),0),0)</f>
        <v>0</v>
      </c>
      <c r="K3786" s="444">
        <f t="shared" ca="1" si="171"/>
        <v>-12816188765.476803</v>
      </c>
      <c r="L3786" s="444">
        <f t="shared" ca="1" si="172"/>
        <v>-3088701492479.9092</v>
      </c>
      <c r="M3786" s="460">
        <f t="shared" si="174"/>
        <v>0.05</v>
      </c>
      <c r="N3786" s="464">
        <f t="shared" si="175"/>
        <v>166277</v>
      </c>
    </row>
    <row r="3787" spans="7:14" ht="11.25" customHeight="1" x14ac:dyDescent="0.25">
      <c r="G3787" s="459"/>
      <c r="H3787" s="459">
        <v>3780</v>
      </c>
      <c r="I3787" s="444">
        <f t="shared" ca="1" si="173"/>
        <v>-3088701492479.9092</v>
      </c>
      <c r="J3787" s="444">
        <f t="array" ref="J3787">IFERROR(INDEX('Retirement Calculator'!J:J,MATCH('Isaac 401k'!N3787,'Retirement Calculator'!A:A,0),0),0)</f>
        <v>0</v>
      </c>
      <c r="K3787" s="444">
        <f t="shared" ca="1" si="171"/>
        <v>-12869589551.999622</v>
      </c>
      <c r="L3787" s="444">
        <f t="shared" ca="1" si="172"/>
        <v>-3101571082031.9087</v>
      </c>
      <c r="M3787" s="460">
        <f t="shared" si="174"/>
        <v>0.05</v>
      </c>
      <c r="N3787" s="464">
        <f t="shared" si="175"/>
        <v>166307</v>
      </c>
    </row>
    <row r="3788" spans="7:14" ht="11.25" customHeight="1" x14ac:dyDescent="0.25">
      <c r="G3788" s="459"/>
      <c r="H3788" s="459">
        <v>3781</v>
      </c>
      <c r="I3788" s="444">
        <f t="shared" ca="1" si="173"/>
        <v>-3101571082031.9087</v>
      </c>
      <c r="J3788" s="444">
        <f t="array" ref="J3788">IFERROR(INDEX('Retirement Calculator'!J:J,MATCH('Isaac 401k'!N3788,'Retirement Calculator'!A:A,0),0),0)</f>
        <v>0</v>
      </c>
      <c r="K3788" s="444">
        <f t="shared" ca="1" si="171"/>
        <v>-12923212841.79962</v>
      </c>
      <c r="L3788" s="444">
        <f t="shared" ca="1" si="172"/>
        <v>-3114494294873.7085</v>
      </c>
      <c r="M3788" s="460">
        <f t="shared" si="174"/>
        <v>0.05</v>
      </c>
      <c r="N3788" s="464">
        <f t="shared" si="175"/>
        <v>166338</v>
      </c>
    </row>
    <row r="3789" spans="7:14" ht="11.25" customHeight="1" x14ac:dyDescent="0.25">
      <c r="G3789" s="459"/>
      <c r="H3789" s="459">
        <v>3782</v>
      </c>
      <c r="I3789" s="444">
        <f t="shared" ca="1" si="173"/>
        <v>-3114494294873.7085</v>
      </c>
      <c r="J3789" s="444">
        <f t="array" ref="J3789">IFERROR(INDEX('Retirement Calculator'!J:J,MATCH('Isaac 401k'!N3789,'Retirement Calculator'!A:A,0),0),0)</f>
        <v>0</v>
      </c>
      <c r="K3789" s="444">
        <f t="shared" ca="1" si="171"/>
        <v>-12977059561.973785</v>
      </c>
      <c r="L3789" s="444">
        <f t="shared" ca="1" si="172"/>
        <v>-3127471354435.6821</v>
      </c>
      <c r="M3789" s="460">
        <f t="shared" si="174"/>
        <v>0.05</v>
      </c>
      <c r="N3789" s="464">
        <f t="shared" si="175"/>
        <v>166368</v>
      </c>
    </row>
    <row r="3790" spans="7:14" ht="11.25" customHeight="1" x14ac:dyDescent="0.25">
      <c r="G3790" s="459"/>
      <c r="H3790" s="459">
        <v>3783</v>
      </c>
      <c r="I3790" s="444">
        <f t="shared" ca="1" si="173"/>
        <v>-3127471354435.6821</v>
      </c>
      <c r="J3790" s="444">
        <f t="array" ref="J3790">IFERROR(INDEX('Retirement Calculator'!J:J,MATCH('Isaac 401k'!N3790,'Retirement Calculator'!A:A,0),0),0)</f>
        <v>0</v>
      </c>
      <c r="K3790" s="444">
        <f t="shared" ca="1" si="171"/>
        <v>-13031130643.482008</v>
      </c>
      <c r="L3790" s="444">
        <f t="shared" ca="1" si="172"/>
        <v>-3140502485079.1641</v>
      </c>
      <c r="M3790" s="460">
        <f t="shared" si="174"/>
        <v>0.05</v>
      </c>
      <c r="N3790" s="464">
        <f t="shared" si="175"/>
        <v>166399</v>
      </c>
    </row>
    <row r="3791" spans="7:14" ht="11.25" customHeight="1" x14ac:dyDescent="0.25">
      <c r="G3791" s="459"/>
      <c r="H3791" s="459">
        <v>3784</v>
      </c>
      <c r="I3791" s="444">
        <f t="shared" ca="1" si="173"/>
        <v>-3140502485079.1641</v>
      </c>
      <c r="J3791" s="444">
        <f t="array" ref="J3791">IFERROR(INDEX('Retirement Calculator'!J:J,MATCH('Isaac 401k'!N3791,'Retirement Calculator'!A:A,0),0),0)</f>
        <v>0</v>
      </c>
      <c r="K3791" s="444">
        <f t="shared" ca="1" si="171"/>
        <v>-13085427021.163183</v>
      </c>
      <c r="L3791" s="444">
        <f t="shared" ca="1" si="172"/>
        <v>-3153587912100.3271</v>
      </c>
      <c r="M3791" s="460">
        <f t="shared" si="174"/>
        <v>0.05</v>
      </c>
      <c r="N3791" s="464">
        <f t="shared" si="175"/>
        <v>166430</v>
      </c>
    </row>
    <row r="3792" spans="7:14" ht="11.25" customHeight="1" x14ac:dyDescent="0.25">
      <c r="G3792" s="459"/>
      <c r="H3792" s="459">
        <v>3785</v>
      </c>
      <c r="I3792" s="444">
        <f t="shared" ca="1" si="173"/>
        <v>-3153587912100.3271</v>
      </c>
      <c r="J3792" s="444">
        <f t="array" ref="J3792">IFERROR(INDEX('Retirement Calculator'!J:J,MATCH('Isaac 401k'!N3792,'Retirement Calculator'!A:A,0),0),0)</f>
        <v>0</v>
      </c>
      <c r="K3792" s="444">
        <f t="shared" ca="1" si="171"/>
        <v>-13139949633.751364</v>
      </c>
      <c r="L3792" s="444">
        <f t="shared" ca="1" si="172"/>
        <v>-3166727861734.0786</v>
      </c>
      <c r="M3792" s="460">
        <f t="shared" si="174"/>
        <v>0.05</v>
      </c>
      <c r="N3792" s="464">
        <f t="shared" si="175"/>
        <v>166460</v>
      </c>
    </row>
    <row r="3793" spans="7:14" ht="11.25" customHeight="1" x14ac:dyDescent="0.25">
      <c r="G3793" s="459"/>
      <c r="H3793" s="459">
        <v>3786</v>
      </c>
      <c r="I3793" s="444">
        <f t="shared" ca="1" si="173"/>
        <v>-3166727861734.0786</v>
      </c>
      <c r="J3793" s="444">
        <f t="array" ref="J3793">IFERROR(INDEX('Retirement Calculator'!J:J,MATCH('Isaac 401k'!N3793,'Retirement Calculator'!A:A,0),0),0)</f>
        <v>0</v>
      </c>
      <c r="K3793" s="444">
        <f t="shared" ca="1" si="171"/>
        <v>-13194699423.891994</v>
      </c>
      <c r="L3793" s="444">
        <f t="shared" ca="1" si="172"/>
        <v>-3179922561157.9707</v>
      </c>
      <c r="M3793" s="460">
        <f t="shared" si="174"/>
        <v>0.05</v>
      </c>
      <c r="N3793" s="464">
        <f t="shared" si="175"/>
        <v>166491</v>
      </c>
    </row>
    <row r="3794" spans="7:14" ht="11.25" customHeight="1" x14ac:dyDescent="0.25">
      <c r="G3794" s="459"/>
      <c r="H3794" s="459">
        <v>3787</v>
      </c>
      <c r="I3794" s="444">
        <f t="shared" ca="1" si="173"/>
        <v>-3179922561157.9707</v>
      </c>
      <c r="J3794" s="444">
        <f t="array" ref="J3794">IFERROR(INDEX('Retirement Calculator'!J:J,MATCH('Isaac 401k'!N3794,'Retirement Calculator'!A:A,0),0),0)</f>
        <v>0</v>
      </c>
      <c r="K3794" s="444">
        <f t="shared" ca="1" si="171"/>
        <v>-13249677338.158211</v>
      </c>
      <c r="L3794" s="444">
        <f t="shared" ca="1" si="172"/>
        <v>-3193172238496.1289</v>
      </c>
      <c r="M3794" s="460">
        <f t="shared" si="174"/>
        <v>0.05</v>
      </c>
      <c r="N3794" s="464">
        <f t="shared" si="175"/>
        <v>166521</v>
      </c>
    </row>
    <row r="3795" spans="7:14" ht="11.25" customHeight="1" x14ac:dyDescent="0.25">
      <c r="G3795" s="459"/>
      <c r="H3795" s="459">
        <v>3788</v>
      </c>
      <c r="I3795" s="444">
        <f t="shared" ca="1" si="173"/>
        <v>-3193172238496.1289</v>
      </c>
      <c r="J3795" s="444">
        <f t="array" ref="J3795">IFERROR(INDEX('Retirement Calculator'!J:J,MATCH('Isaac 401k'!N3795,'Retirement Calculator'!A:A,0),0),0)</f>
        <v>0</v>
      </c>
      <c r="K3795" s="444">
        <f t="shared" ca="1" si="171"/>
        <v>-13304884327.067204</v>
      </c>
      <c r="L3795" s="444">
        <f t="shared" ca="1" si="172"/>
        <v>-3206477122823.1963</v>
      </c>
      <c r="M3795" s="460">
        <f t="shared" si="174"/>
        <v>0.05</v>
      </c>
      <c r="N3795" s="464">
        <f t="shared" si="175"/>
        <v>166552</v>
      </c>
    </row>
    <row r="3796" spans="7:14" ht="11.25" customHeight="1" x14ac:dyDescent="0.25">
      <c r="G3796" s="459"/>
      <c r="H3796" s="459">
        <v>3789</v>
      </c>
      <c r="I3796" s="444">
        <f t="shared" ca="1" si="173"/>
        <v>-3206477122823.1963</v>
      </c>
      <c r="J3796" s="444">
        <f t="array" ref="J3796">IFERROR(INDEX('Retirement Calculator'!J:J,MATCH('Isaac 401k'!N3796,'Retirement Calculator'!A:A,0),0),0)</f>
        <v>0</v>
      </c>
      <c r="K3796" s="444">
        <f t="shared" ca="1" si="171"/>
        <v>-13360321345.096651</v>
      </c>
      <c r="L3796" s="444">
        <f t="shared" ca="1" si="172"/>
        <v>-3219837444168.293</v>
      </c>
      <c r="M3796" s="460">
        <f t="shared" si="174"/>
        <v>0.05</v>
      </c>
      <c r="N3796" s="464">
        <f t="shared" si="175"/>
        <v>166583</v>
      </c>
    </row>
    <row r="3797" spans="7:14" ht="11.25" customHeight="1" x14ac:dyDescent="0.25">
      <c r="G3797" s="459"/>
      <c r="H3797" s="459">
        <v>3790</v>
      </c>
      <c r="I3797" s="444">
        <f t="shared" ca="1" si="173"/>
        <v>-3219837444168.293</v>
      </c>
      <c r="J3797" s="444">
        <f t="array" ref="J3797">IFERROR(INDEX('Retirement Calculator'!J:J,MATCH('Isaac 401k'!N3797,'Retirement Calculator'!A:A,0),0),0)</f>
        <v>0</v>
      </c>
      <c r="K3797" s="444">
        <f t="shared" ca="1" si="171"/>
        <v>-13415989350.701221</v>
      </c>
      <c r="L3797" s="444">
        <f t="shared" ca="1" si="172"/>
        <v>-3233253433518.9941</v>
      </c>
      <c r="M3797" s="460">
        <f t="shared" si="174"/>
        <v>0.05</v>
      </c>
      <c r="N3797" s="464">
        <f t="shared" si="175"/>
        <v>166612</v>
      </c>
    </row>
    <row r="3798" spans="7:14" ht="11.25" customHeight="1" x14ac:dyDescent="0.25">
      <c r="G3798" s="459"/>
      <c r="H3798" s="459">
        <v>3791</v>
      </c>
      <c r="I3798" s="444">
        <f t="shared" ca="1" si="173"/>
        <v>-3233253433518.9941</v>
      </c>
      <c r="J3798" s="444">
        <f t="array" ref="J3798">IFERROR(INDEX('Retirement Calculator'!J:J,MATCH('Isaac 401k'!N3798,'Retirement Calculator'!A:A,0),0),0)</f>
        <v>0</v>
      </c>
      <c r="K3798" s="444">
        <f t="shared" ca="1" si="171"/>
        <v>-13471889306.329142</v>
      </c>
      <c r="L3798" s="444">
        <f t="shared" ca="1" si="172"/>
        <v>-3246725322825.3232</v>
      </c>
      <c r="M3798" s="460">
        <f t="shared" si="174"/>
        <v>0.05</v>
      </c>
      <c r="N3798" s="464">
        <f t="shared" si="175"/>
        <v>166643</v>
      </c>
    </row>
    <row r="3799" spans="7:14" ht="11.25" customHeight="1" x14ac:dyDescent="0.25">
      <c r="G3799" s="459"/>
      <c r="H3799" s="459">
        <v>3792</v>
      </c>
      <c r="I3799" s="444">
        <f t="shared" ca="1" si="173"/>
        <v>-3246725322825.3232</v>
      </c>
      <c r="J3799" s="444">
        <f t="array" ref="J3799">IFERROR(INDEX('Retirement Calculator'!J:J,MATCH('Isaac 401k'!N3799,'Retirement Calculator'!A:A,0),0),0)</f>
        <v>0</v>
      </c>
      <c r="K3799" s="444">
        <f t="shared" ca="1" si="171"/>
        <v>-13528022178.438847</v>
      </c>
      <c r="L3799" s="444">
        <f t="shared" ca="1" si="172"/>
        <v>-3260253345003.7622</v>
      </c>
      <c r="M3799" s="460">
        <f t="shared" si="174"/>
        <v>0.05</v>
      </c>
      <c r="N3799" s="464">
        <f t="shared" si="175"/>
        <v>166673</v>
      </c>
    </row>
    <row r="3800" spans="7:14" ht="11.25" customHeight="1" x14ac:dyDescent="0.25">
      <c r="G3800" s="459"/>
      <c r="H3800" s="459">
        <v>3793</v>
      </c>
      <c r="I3800" s="444">
        <f t="shared" ca="1" si="173"/>
        <v>-3260253345003.7622</v>
      </c>
      <c r="J3800" s="444">
        <f t="array" ref="J3800">IFERROR(INDEX('Retirement Calculator'!J:J,MATCH('Isaac 401k'!N3800,'Retirement Calculator'!A:A,0),0),0)</f>
        <v>0</v>
      </c>
      <c r="K3800" s="444">
        <f t="shared" ca="1" si="171"/>
        <v>-13584388937.515676</v>
      </c>
      <c r="L3800" s="444">
        <f t="shared" ca="1" si="172"/>
        <v>-3273837733941.2778</v>
      </c>
      <c r="M3800" s="460">
        <f t="shared" si="174"/>
        <v>0.05</v>
      </c>
      <c r="N3800" s="464">
        <f t="shared" si="175"/>
        <v>166704</v>
      </c>
    </row>
    <row r="3801" spans="7:14" ht="11.25" customHeight="1" x14ac:dyDescent="0.25">
      <c r="G3801" s="459"/>
      <c r="H3801" s="459">
        <v>3794</v>
      </c>
      <c r="I3801" s="444">
        <f t="shared" ca="1" si="173"/>
        <v>-3273837733941.2778</v>
      </c>
      <c r="J3801" s="444">
        <f t="array" ref="J3801">IFERROR(INDEX('Retirement Calculator'!J:J,MATCH('Isaac 401k'!N3801,'Retirement Calculator'!A:A,0),0),0)</f>
        <v>0</v>
      </c>
      <c r="K3801" s="444">
        <f t="shared" ca="1" si="171"/>
        <v>-13640990558.088657</v>
      </c>
      <c r="L3801" s="444">
        <f t="shared" ca="1" si="172"/>
        <v>-3287478724499.3667</v>
      </c>
      <c r="M3801" s="460">
        <f t="shared" si="174"/>
        <v>0.05</v>
      </c>
      <c r="N3801" s="464">
        <f t="shared" si="175"/>
        <v>166734</v>
      </c>
    </row>
    <row r="3802" spans="7:14" ht="11.25" customHeight="1" x14ac:dyDescent="0.25">
      <c r="G3802" s="459"/>
      <c r="H3802" s="459">
        <v>3795</v>
      </c>
      <c r="I3802" s="444">
        <f t="shared" ca="1" si="173"/>
        <v>-3287478724499.3667</v>
      </c>
      <c r="J3802" s="444">
        <f t="array" ref="J3802">IFERROR(INDEX('Retirement Calculator'!J:J,MATCH('Isaac 401k'!N3802,'Retirement Calculator'!A:A,0),0),0)</f>
        <v>0</v>
      </c>
      <c r="K3802" s="444">
        <f t="shared" ca="1" si="171"/>
        <v>-13697828018.74736</v>
      </c>
      <c r="L3802" s="444">
        <f t="shared" ca="1" si="172"/>
        <v>-3301176552518.1143</v>
      </c>
      <c r="M3802" s="460">
        <f t="shared" si="174"/>
        <v>0.05</v>
      </c>
      <c r="N3802" s="464">
        <f t="shared" si="175"/>
        <v>166765</v>
      </c>
    </row>
    <row r="3803" spans="7:14" ht="11.25" customHeight="1" x14ac:dyDescent="0.25">
      <c r="G3803" s="459"/>
      <c r="H3803" s="459">
        <v>3796</v>
      </c>
      <c r="I3803" s="444">
        <f t="shared" ca="1" si="173"/>
        <v>-3301176552518.1143</v>
      </c>
      <c r="J3803" s="444">
        <f t="array" ref="J3803">IFERROR(INDEX('Retirement Calculator'!J:J,MATCH('Isaac 401k'!N3803,'Retirement Calculator'!A:A,0),0),0)</f>
        <v>0</v>
      </c>
      <c r="K3803" s="444">
        <f t="shared" ca="1" si="171"/>
        <v>-13754902302.15881</v>
      </c>
      <c r="L3803" s="444">
        <f t="shared" ca="1" si="172"/>
        <v>-3314931454820.2729</v>
      </c>
      <c r="M3803" s="460">
        <f t="shared" si="174"/>
        <v>0.05</v>
      </c>
      <c r="N3803" s="464">
        <f t="shared" si="175"/>
        <v>166796</v>
      </c>
    </row>
    <row r="3804" spans="7:14" ht="11.25" customHeight="1" x14ac:dyDescent="0.25">
      <c r="G3804" s="459"/>
      <c r="H3804" s="459">
        <v>3797</v>
      </c>
      <c r="I3804" s="444">
        <f t="shared" ca="1" si="173"/>
        <v>-3314931454820.2729</v>
      </c>
      <c r="J3804" s="444">
        <f t="array" ref="J3804">IFERROR(INDEX('Retirement Calculator'!J:J,MATCH('Isaac 401k'!N3804,'Retirement Calculator'!A:A,0),0),0)</f>
        <v>0</v>
      </c>
      <c r="K3804" s="444">
        <f t="shared" ca="1" si="171"/>
        <v>-13812214395.084471</v>
      </c>
      <c r="L3804" s="444">
        <f t="shared" ca="1" si="172"/>
        <v>-3328743669215.3574</v>
      </c>
      <c r="M3804" s="460">
        <f t="shared" si="174"/>
        <v>0.05</v>
      </c>
      <c r="N3804" s="464">
        <f t="shared" si="175"/>
        <v>166826</v>
      </c>
    </row>
    <row r="3805" spans="7:14" ht="11.25" customHeight="1" x14ac:dyDescent="0.25">
      <c r="G3805" s="459"/>
      <c r="H3805" s="459">
        <v>3798</v>
      </c>
      <c r="I3805" s="444">
        <f t="shared" ca="1" si="173"/>
        <v>-3328743669215.3574</v>
      </c>
      <c r="J3805" s="444">
        <f t="array" ref="J3805">IFERROR(INDEX('Retirement Calculator'!J:J,MATCH('Isaac 401k'!N3805,'Retirement Calculator'!A:A,0),0),0)</f>
        <v>0</v>
      </c>
      <c r="K3805" s="444">
        <f t="shared" ca="1" si="171"/>
        <v>-13869765288.397322</v>
      </c>
      <c r="L3805" s="444">
        <f t="shared" ca="1" si="172"/>
        <v>-3342613434503.7549</v>
      </c>
      <c r="M3805" s="460">
        <f t="shared" si="174"/>
        <v>0.05</v>
      </c>
      <c r="N3805" s="464">
        <f t="shared" si="175"/>
        <v>166857</v>
      </c>
    </row>
    <row r="3806" spans="7:14" ht="11.25" customHeight="1" x14ac:dyDescent="0.25">
      <c r="G3806" s="459"/>
      <c r="H3806" s="459">
        <v>3799</v>
      </c>
      <c r="I3806" s="444">
        <f t="shared" ca="1" si="173"/>
        <v>-3342613434503.7549</v>
      </c>
      <c r="J3806" s="444">
        <f t="array" ref="J3806">IFERROR(INDEX('Retirement Calculator'!J:J,MATCH('Isaac 401k'!N3806,'Retirement Calculator'!A:A,0),0),0)</f>
        <v>0</v>
      </c>
      <c r="K3806" s="444">
        <f t="shared" ca="1" si="171"/>
        <v>-13927555977.098978</v>
      </c>
      <c r="L3806" s="444">
        <f t="shared" ca="1" si="172"/>
        <v>-3356540990480.854</v>
      </c>
      <c r="M3806" s="460">
        <f t="shared" si="174"/>
        <v>0.05</v>
      </c>
      <c r="N3806" s="464">
        <f t="shared" si="175"/>
        <v>166887</v>
      </c>
    </row>
    <row r="3807" spans="7:14" ht="11.25" customHeight="1" x14ac:dyDescent="0.25">
      <c r="G3807" s="459"/>
      <c r="H3807" s="459">
        <v>3800</v>
      </c>
      <c r="I3807" s="444">
        <f t="shared" ca="1" si="173"/>
        <v>-3356540990480.854</v>
      </c>
      <c r="J3807" s="444">
        <f t="array" ref="J3807">IFERROR(INDEX('Retirement Calculator'!J:J,MATCH('Isaac 401k'!N3807,'Retirement Calculator'!A:A,0),0),0)</f>
        <v>0</v>
      </c>
      <c r="K3807" s="444">
        <f t="shared" ca="1" si="171"/>
        <v>-13985587460.336891</v>
      </c>
      <c r="L3807" s="444">
        <f t="shared" ca="1" si="172"/>
        <v>-3370526577941.1909</v>
      </c>
      <c r="M3807" s="460">
        <f t="shared" si="174"/>
        <v>0.05</v>
      </c>
      <c r="N3807" s="464">
        <f t="shared" si="175"/>
        <v>166918</v>
      </c>
    </row>
    <row r="3808" spans="7:14" ht="11.25" customHeight="1" x14ac:dyDescent="0.25">
      <c r="G3808" s="459"/>
      <c r="H3808" s="459">
        <v>3801</v>
      </c>
      <c r="I3808" s="444">
        <f t="shared" ca="1" si="173"/>
        <v>-3370526577941.1909</v>
      </c>
      <c r="J3808" s="444">
        <f t="array" ref="J3808">IFERROR(INDEX('Retirement Calculator'!J:J,MATCH('Isaac 401k'!N3808,'Retirement Calculator'!A:A,0),0),0)</f>
        <v>0</v>
      </c>
      <c r="K3808" s="444">
        <f t="shared" ca="1" si="171"/>
        <v>-14043860741.421629</v>
      </c>
      <c r="L3808" s="444">
        <f t="shared" ca="1" si="172"/>
        <v>-3384570438682.6123</v>
      </c>
      <c r="M3808" s="460">
        <f t="shared" si="174"/>
        <v>0.05</v>
      </c>
      <c r="N3808" s="464">
        <f t="shared" si="175"/>
        <v>166949</v>
      </c>
    </row>
    <row r="3809" spans="7:14" ht="11.25" customHeight="1" x14ac:dyDescent="0.25">
      <c r="G3809" s="459"/>
      <c r="H3809" s="459">
        <v>3802</v>
      </c>
      <c r="I3809" s="444">
        <f t="shared" ca="1" si="173"/>
        <v>-3384570438682.6123</v>
      </c>
      <c r="J3809" s="444">
        <f t="array" ref="J3809">IFERROR(INDEX('Retirement Calculator'!J:J,MATCH('Isaac 401k'!N3809,'Retirement Calculator'!A:A,0),0),0)</f>
        <v>0</v>
      </c>
      <c r="K3809" s="444">
        <f t="shared" ca="1" si="171"/>
        <v>-14102376827.844217</v>
      </c>
      <c r="L3809" s="444">
        <f t="shared" ca="1" si="172"/>
        <v>-3398672815510.4565</v>
      </c>
      <c r="M3809" s="460">
        <f t="shared" si="174"/>
        <v>0.05</v>
      </c>
      <c r="N3809" s="464">
        <f t="shared" si="175"/>
        <v>166977</v>
      </c>
    </row>
    <row r="3810" spans="7:14" ht="11.25" customHeight="1" x14ac:dyDescent="0.25">
      <c r="G3810" s="459"/>
      <c r="H3810" s="459">
        <v>3803</v>
      </c>
      <c r="I3810" s="444">
        <f t="shared" ca="1" si="173"/>
        <v>-3398672815510.4565</v>
      </c>
      <c r="J3810" s="444">
        <f t="array" ref="J3810">IFERROR(INDEX('Retirement Calculator'!J:J,MATCH('Isaac 401k'!N3810,'Retirement Calculator'!A:A,0),0),0)</f>
        <v>0</v>
      </c>
      <c r="K3810" s="444">
        <f t="shared" ca="1" si="171"/>
        <v>-14161136731.29357</v>
      </c>
      <c r="L3810" s="444">
        <f t="shared" ca="1" si="172"/>
        <v>-3412833952241.75</v>
      </c>
      <c r="M3810" s="460">
        <f t="shared" si="174"/>
        <v>0.05</v>
      </c>
      <c r="N3810" s="464">
        <f t="shared" si="175"/>
        <v>167008</v>
      </c>
    </row>
    <row r="3811" spans="7:14" ht="11.25" customHeight="1" x14ac:dyDescent="0.25">
      <c r="G3811" s="459"/>
      <c r="H3811" s="459">
        <v>3804</v>
      </c>
      <c r="I3811" s="444">
        <f t="shared" ca="1" si="173"/>
        <v>-3412833952241.75</v>
      </c>
      <c r="J3811" s="444">
        <f t="array" ref="J3811">IFERROR(INDEX('Retirement Calculator'!J:J,MATCH('Isaac 401k'!N3811,'Retirement Calculator'!A:A,0),0),0)</f>
        <v>0</v>
      </c>
      <c r="K3811" s="444">
        <f t="shared" ca="1" si="171"/>
        <v>-14220141467.673958</v>
      </c>
      <c r="L3811" s="444">
        <f t="shared" ca="1" si="172"/>
        <v>-3427054093709.4238</v>
      </c>
      <c r="M3811" s="460">
        <f t="shared" si="174"/>
        <v>0.05</v>
      </c>
      <c r="N3811" s="464">
        <f t="shared" si="175"/>
        <v>167038</v>
      </c>
    </row>
    <row r="3812" spans="7:14" ht="11.25" customHeight="1" x14ac:dyDescent="0.25">
      <c r="G3812" s="459"/>
      <c r="H3812" s="459">
        <v>3805</v>
      </c>
      <c r="I3812" s="444">
        <f t="shared" ca="1" si="173"/>
        <v>-3427054093709.4238</v>
      </c>
      <c r="J3812" s="444">
        <f t="array" ref="J3812">IFERROR(INDEX('Retirement Calculator'!J:J,MATCH('Isaac 401k'!N3812,'Retirement Calculator'!A:A,0),0),0)</f>
        <v>0</v>
      </c>
      <c r="K3812" s="444">
        <f t="shared" ca="1" si="171"/>
        <v>-14279392057.122599</v>
      </c>
      <c r="L3812" s="444">
        <f t="shared" ca="1" si="172"/>
        <v>-3441333485766.5464</v>
      </c>
      <c r="M3812" s="460">
        <f t="shared" si="174"/>
        <v>0.05</v>
      </c>
      <c r="N3812" s="464">
        <f t="shared" si="175"/>
        <v>167069</v>
      </c>
    </row>
    <row r="3813" spans="7:14" ht="11.25" customHeight="1" x14ac:dyDescent="0.25">
      <c r="G3813" s="459"/>
      <c r="H3813" s="459">
        <v>3806</v>
      </c>
      <c r="I3813" s="444">
        <f t="shared" ca="1" si="173"/>
        <v>-3441333485766.5464</v>
      </c>
      <c r="J3813" s="444">
        <f t="array" ref="J3813">IFERROR(INDEX('Retirement Calculator'!J:J,MATCH('Isaac 401k'!N3813,'Retirement Calculator'!A:A,0),0),0)</f>
        <v>0</v>
      </c>
      <c r="K3813" s="444">
        <f t="shared" ca="1" si="171"/>
        <v>-14338889524.027275</v>
      </c>
      <c r="L3813" s="444">
        <f t="shared" ca="1" si="172"/>
        <v>-3455672375290.5737</v>
      </c>
      <c r="M3813" s="460">
        <f t="shared" si="174"/>
        <v>0.05</v>
      </c>
      <c r="N3813" s="464">
        <f t="shared" si="175"/>
        <v>167099</v>
      </c>
    </row>
    <row r="3814" spans="7:14" ht="11.25" customHeight="1" x14ac:dyDescent="0.25">
      <c r="G3814" s="459"/>
      <c r="H3814" s="459">
        <v>3807</v>
      </c>
      <c r="I3814" s="444">
        <f t="shared" ca="1" si="173"/>
        <v>-3455672375290.5737</v>
      </c>
      <c r="J3814" s="444">
        <f t="array" ref="J3814">IFERROR(INDEX('Retirement Calculator'!J:J,MATCH('Isaac 401k'!N3814,'Retirement Calculator'!A:A,0),0),0)</f>
        <v>0</v>
      </c>
      <c r="K3814" s="444">
        <f t="shared" ca="1" si="171"/>
        <v>-14398634897.044058</v>
      </c>
      <c r="L3814" s="444">
        <f t="shared" ca="1" si="172"/>
        <v>-3470071010187.6177</v>
      </c>
      <c r="M3814" s="460">
        <f t="shared" si="174"/>
        <v>0.05</v>
      </c>
      <c r="N3814" s="464">
        <f t="shared" si="175"/>
        <v>167130</v>
      </c>
    </row>
    <row r="3815" spans="7:14" ht="11.25" customHeight="1" x14ac:dyDescent="0.25">
      <c r="G3815" s="459"/>
      <c r="H3815" s="459">
        <v>3808</v>
      </c>
      <c r="I3815" s="444">
        <f t="shared" ca="1" si="173"/>
        <v>-3470071010187.6177</v>
      </c>
      <c r="J3815" s="444">
        <f t="array" ref="J3815">IFERROR(INDEX('Retirement Calculator'!J:J,MATCH('Isaac 401k'!N3815,'Retirement Calculator'!A:A,0),0),0)</f>
        <v>0</v>
      </c>
      <c r="K3815" s="444">
        <f t="shared" ca="1" si="171"/>
        <v>-14458629209.115074</v>
      </c>
      <c r="L3815" s="444">
        <f t="shared" ca="1" si="172"/>
        <v>-3484529639396.7329</v>
      </c>
      <c r="M3815" s="460">
        <f t="shared" si="174"/>
        <v>0.05</v>
      </c>
      <c r="N3815" s="464">
        <f t="shared" si="175"/>
        <v>167161</v>
      </c>
    </row>
    <row r="3816" spans="7:14" ht="11.25" customHeight="1" x14ac:dyDescent="0.25">
      <c r="G3816" s="459"/>
      <c r="H3816" s="459">
        <v>3809</v>
      </c>
      <c r="I3816" s="444">
        <f t="shared" ca="1" si="173"/>
        <v>-3484529639396.7329</v>
      </c>
      <c r="J3816" s="444">
        <f t="array" ref="J3816">IFERROR(INDEX('Retirement Calculator'!J:J,MATCH('Isaac 401k'!N3816,'Retirement Calculator'!A:A,0),0),0)</f>
        <v>0</v>
      </c>
      <c r="K3816" s="444">
        <f t="shared" ca="1" si="171"/>
        <v>-14518873497.486387</v>
      </c>
      <c r="L3816" s="444">
        <f t="shared" ca="1" si="172"/>
        <v>-3499048512894.2192</v>
      </c>
      <c r="M3816" s="460">
        <f t="shared" si="174"/>
        <v>0.05</v>
      </c>
      <c r="N3816" s="464">
        <f t="shared" si="175"/>
        <v>167191</v>
      </c>
    </row>
    <row r="3817" spans="7:14" ht="11.25" customHeight="1" x14ac:dyDescent="0.25">
      <c r="G3817" s="459"/>
      <c r="H3817" s="459">
        <v>3810</v>
      </c>
      <c r="I3817" s="444">
        <f t="shared" ca="1" si="173"/>
        <v>-3499048512894.2192</v>
      </c>
      <c r="J3817" s="444">
        <f t="array" ref="J3817">IFERROR(INDEX('Retirement Calculator'!J:J,MATCH('Isaac 401k'!N3817,'Retirement Calculator'!A:A,0),0),0)</f>
        <v>0</v>
      </c>
      <c r="K3817" s="444">
        <f t="shared" ca="1" si="171"/>
        <v>-14579368803.725914</v>
      </c>
      <c r="L3817" s="444">
        <f t="shared" ca="1" si="172"/>
        <v>-3513627881697.9453</v>
      </c>
      <c r="M3817" s="460">
        <f t="shared" si="174"/>
        <v>0.05</v>
      </c>
      <c r="N3817" s="464">
        <f t="shared" si="175"/>
        <v>167222</v>
      </c>
    </row>
    <row r="3818" spans="7:14" ht="11.25" customHeight="1" x14ac:dyDescent="0.25">
      <c r="G3818" s="459"/>
      <c r="H3818" s="459">
        <v>3811</v>
      </c>
      <c r="I3818" s="444">
        <f t="shared" ca="1" si="173"/>
        <v>-3513627881697.9453</v>
      </c>
      <c r="J3818" s="444">
        <f t="array" ref="J3818">IFERROR(INDEX('Retirement Calculator'!J:J,MATCH('Isaac 401k'!N3818,'Retirement Calculator'!A:A,0),0),0)</f>
        <v>0</v>
      </c>
      <c r="K3818" s="444">
        <f t="shared" ca="1" si="171"/>
        <v>-14640116173.741436</v>
      </c>
      <c r="L3818" s="444">
        <f t="shared" ca="1" si="172"/>
        <v>-3528267997871.6865</v>
      </c>
      <c r="M3818" s="460">
        <f t="shared" si="174"/>
        <v>0.05</v>
      </c>
      <c r="N3818" s="464">
        <f t="shared" si="175"/>
        <v>167252</v>
      </c>
    </row>
    <row r="3819" spans="7:14" ht="11.25" customHeight="1" x14ac:dyDescent="0.25">
      <c r="G3819" s="459"/>
      <c r="H3819" s="459">
        <v>3812</v>
      </c>
      <c r="I3819" s="444">
        <f t="shared" ca="1" si="173"/>
        <v>-3528267997871.6865</v>
      </c>
      <c r="J3819" s="444">
        <f t="array" ref="J3819">IFERROR(INDEX('Retirement Calculator'!J:J,MATCH('Isaac 401k'!N3819,'Retirement Calculator'!A:A,0),0),0)</f>
        <v>0</v>
      </c>
      <c r="K3819" s="444">
        <f t="shared" ca="1" si="171"/>
        <v>-14701116657.798693</v>
      </c>
      <c r="L3819" s="444">
        <f t="shared" ca="1" si="172"/>
        <v>-3542969114529.4854</v>
      </c>
      <c r="M3819" s="460">
        <f t="shared" si="174"/>
        <v>0.05</v>
      </c>
      <c r="N3819" s="464">
        <f t="shared" si="175"/>
        <v>167283</v>
      </c>
    </row>
    <row r="3820" spans="7:14" ht="11.25" customHeight="1" x14ac:dyDescent="0.25">
      <c r="G3820" s="459"/>
      <c r="H3820" s="459">
        <v>3813</v>
      </c>
      <c r="I3820" s="444">
        <f t="shared" ca="1" si="173"/>
        <v>-3542969114529.4854</v>
      </c>
      <c r="J3820" s="444">
        <f t="array" ref="J3820">IFERROR(INDEX('Retirement Calculator'!J:J,MATCH('Isaac 401k'!N3820,'Retirement Calculator'!A:A,0),0),0)</f>
        <v>0</v>
      </c>
      <c r="K3820" s="444">
        <f t="shared" ca="1" si="171"/>
        <v>-14762371310.539522</v>
      </c>
      <c r="L3820" s="444">
        <f t="shared" ca="1" si="172"/>
        <v>-3557731485840.0249</v>
      </c>
      <c r="M3820" s="460">
        <f t="shared" si="174"/>
        <v>0.05</v>
      </c>
      <c r="N3820" s="464">
        <f t="shared" si="175"/>
        <v>167314</v>
      </c>
    </row>
    <row r="3821" spans="7:14" ht="11.25" customHeight="1" x14ac:dyDescent="0.25">
      <c r="G3821" s="459"/>
      <c r="H3821" s="459">
        <v>3814</v>
      </c>
      <c r="I3821" s="444">
        <f t="shared" ca="1" si="173"/>
        <v>-3557731485840.0249</v>
      </c>
      <c r="J3821" s="444">
        <f t="array" ref="J3821">IFERROR(INDEX('Retirement Calculator'!J:J,MATCH('Isaac 401k'!N3821,'Retirement Calculator'!A:A,0),0),0)</f>
        <v>0</v>
      </c>
      <c r="K3821" s="444">
        <f t="shared" ca="1" si="171"/>
        <v>-14823881191.000105</v>
      </c>
      <c r="L3821" s="444">
        <f t="shared" ca="1" si="172"/>
        <v>-3572555367031.0249</v>
      </c>
      <c r="M3821" s="460">
        <f t="shared" si="174"/>
        <v>0.05</v>
      </c>
      <c r="N3821" s="464">
        <f t="shared" si="175"/>
        <v>167342</v>
      </c>
    </row>
    <row r="3822" spans="7:14" ht="11.25" customHeight="1" x14ac:dyDescent="0.25">
      <c r="G3822" s="459"/>
      <c r="H3822" s="459">
        <v>3815</v>
      </c>
      <c r="I3822" s="444">
        <f t="shared" ca="1" si="173"/>
        <v>-3572555367031.0249</v>
      </c>
      <c r="J3822" s="444">
        <f t="array" ref="J3822">IFERROR(INDEX('Retirement Calculator'!J:J,MATCH('Isaac 401k'!N3822,'Retirement Calculator'!A:A,0),0),0)</f>
        <v>0</v>
      </c>
      <c r="K3822" s="444">
        <f t="shared" ca="1" si="171"/>
        <v>-14885647362.629271</v>
      </c>
      <c r="L3822" s="444">
        <f t="shared" ca="1" si="172"/>
        <v>-3587441014393.6543</v>
      </c>
      <c r="M3822" s="460">
        <f t="shared" si="174"/>
        <v>0.05</v>
      </c>
      <c r="N3822" s="464">
        <f t="shared" si="175"/>
        <v>167373</v>
      </c>
    </row>
    <row r="3823" spans="7:14" ht="11.25" customHeight="1" x14ac:dyDescent="0.25">
      <c r="G3823" s="459"/>
      <c r="H3823" s="459">
        <v>3816</v>
      </c>
      <c r="I3823" s="444">
        <f t="shared" ca="1" si="173"/>
        <v>-3587441014393.6543</v>
      </c>
      <c r="J3823" s="444">
        <f t="array" ref="J3823">IFERROR(INDEX('Retirement Calculator'!J:J,MATCH('Isaac 401k'!N3823,'Retirement Calculator'!A:A,0),0),0)</f>
        <v>0</v>
      </c>
      <c r="K3823" s="444">
        <f t="shared" ca="1" si="171"/>
        <v>-14947670893.306892</v>
      </c>
      <c r="L3823" s="444">
        <f t="shared" ca="1" si="172"/>
        <v>-3602388685286.9614</v>
      </c>
      <c r="M3823" s="460">
        <f t="shared" si="174"/>
        <v>0.05</v>
      </c>
      <c r="N3823" s="464">
        <f t="shared" si="175"/>
        <v>167403</v>
      </c>
    </row>
    <row r="3824" spans="7:14" ht="11.25" customHeight="1" x14ac:dyDescent="0.25">
      <c r="G3824" s="459"/>
      <c r="H3824" s="459">
        <v>3817</v>
      </c>
      <c r="I3824" s="444">
        <f t="shared" ca="1" si="173"/>
        <v>-3602388685286.9614</v>
      </c>
      <c r="J3824" s="444">
        <f t="array" ref="J3824">IFERROR(INDEX('Retirement Calculator'!J:J,MATCH('Isaac 401k'!N3824,'Retirement Calculator'!A:A,0),0),0)</f>
        <v>0</v>
      </c>
      <c r="K3824" s="444">
        <f t="shared" ca="1" si="171"/>
        <v>-15009952855.362339</v>
      </c>
      <c r="L3824" s="444">
        <f t="shared" ca="1" si="172"/>
        <v>-3617398638142.3237</v>
      </c>
      <c r="M3824" s="460">
        <f t="shared" si="174"/>
        <v>0.05</v>
      </c>
      <c r="N3824" s="464">
        <f t="shared" si="175"/>
        <v>167434</v>
      </c>
    </row>
    <row r="3825" spans="7:14" ht="11.25" customHeight="1" x14ac:dyDescent="0.25">
      <c r="G3825" s="459"/>
      <c r="H3825" s="459">
        <v>3818</v>
      </c>
      <c r="I3825" s="444">
        <f t="shared" ca="1" si="173"/>
        <v>-3617398638142.3237</v>
      </c>
      <c r="J3825" s="444">
        <f t="array" ref="J3825">IFERROR(INDEX('Retirement Calculator'!J:J,MATCH('Isaac 401k'!N3825,'Retirement Calculator'!A:A,0),0),0)</f>
        <v>0</v>
      </c>
      <c r="K3825" s="444">
        <f t="shared" ca="1" si="171"/>
        <v>-15072494325.593016</v>
      </c>
      <c r="L3825" s="444">
        <f t="shared" ca="1" si="172"/>
        <v>-3632471132467.9165</v>
      </c>
      <c r="M3825" s="460">
        <f t="shared" si="174"/>
        <v>0.05</v>
      </c>
      <c r="N3825" s="464">
        <f t="shared" si="175"/>
        <v>167464</v>
      </c>
    </row>
    <row r="3826" spans="7:14" ht="11.25" customHeight="1" x14ac:dyDescent="0.25">
      <c r="G3826" s="459"/>
      <c r="H3826" s="459">
        <v>3819</v>
      </c>
      <c r="I3826" s="444">
        <f t="shared" ca="1" si="173"/>
        <v>-3632471132467.9165</v>
      </c>
      <c r="J3826" s="444">
        <f t="array" ref="J3826">IFERROR(INDEX('Retirement Calculator'!J:J,MATCH('Isaac 401k'!N3826,'Retirement Calculator'!A:A,0),0),0)</f>
        <v>0</v>
      </c>
      <c r="K3826" s="444">
        <f t="shared" ca="1" si="171"/>
        <v>-15135296385.282986</v>
      </c>
      <c r="L3826" s="444">
        <f t="shared" ca="1" si="172"/>
        <v>-3647606428853.1997</v>
      </c>
      <c r="M3826" s="460">
        <f t="shared" si="174"/>
        <v>0.05</v>
      </c>
      <c r="N3826" s="464">
        <f t="shared" si="175"/>
        <v>167495</v>
      </c>
    </row>
    <row r="3827" spans="7:14" ht="11.25" customHeight="1" x14ac:dyDescent="0.25">
      <c r="G3827" s="459"/>
      <c r="H3827" s="459">
        <v>3820</v>
      </c>
      <c r="I3827" s="444">
        <f t="shared" ca="1" si="173"/>
        <v>-3647606428853.1997</v>
      </c>
      <c r="J3827" s="444">
        <f t="array" ref="J3827">IFERROR(INDEX('Retirement Calculator'!J:J,MATCH('Isaac 401k'!N3827,'Retirement Calculator'!A:A,0),0),0)</f>
        <v>0</v>
      </c>
      <c r="K3827" s="444">
        <f t="shared" ca="1" si="171"/>
        <v>-15198360120.221664</v>
      </c>
      <c r="L3827" s="444">
        <f t="shared" ca="1" si="172"/>
        <v>-3662804788973.4214</v>
      </c>
      <c r="M3827" s="460">
        <f t="shared" si="174"/>
        <v>0.05</v>
      </c>
      <c r="N3827" s="464">
        <f t="shared" si="175"/>
        <v>167526</v>
      </c>
    </row>
    <row r="3828" spans="7:14" ht="11.25" customHeight="1" x14ac:dyDescent="0.25">
      <c r="G3828" s="459"/>
      <c r="H3828" s="459">
        <v>3821</v>
      </c>
      <c r="I3828" s="444">
        <f t="shared" ca="1" si="173"/>
        <v>-3662804788973.4214</v>
      </c>
      <c r="J3828" s="444">
        <f t="array" ref="J3828">IFERROR(INDEX('Retirement Calculator'!J:J,MATCH('Isaac 401k'!N3828,'Retirement Calculator'!A:A,0),0),0)</f>
        <v>0</v>
      </c>
      <c r="K3828" s="444">
        <f t="shared" ca="1" si="171"/>
        <v>-15261686620.722589</v>
      </c>
      <c r="L3828" s="444">
        <f t="shared" ca="1" si="172"/>
        <v>-3678066475594.144</v>
      </c>
      <c r="M3828" s="460">
        <f t="shared" si="174"/>
        <v>0.05</v>
      </c>
      <c r="N3828" s="464">
        <f t="shared" si="175"/>
        <v>167556</v>
      </c>
    </row>
    <row r="3829" spans="7:14" ht="11.25" customHeight="1" x14ac:dyDescent="0.25">
      <c r="G3829" s="459"/>
      <c r="H3829" s="459">
        <v>3822</v>
      </c>
      <c r="I3829" s="444">
        <f t="shared" ca="1" si="173"/>
        <v>-3678066475594.144</v>
      </c>
      <c r="J3829" s="444">
        <f t="array" ref="J3829">IFERROR(INDEX('Retirement Calculator'!J:J,MATCH('Isaac 401k'!N3829,'Retirement Calculator'!A:A,0),0),0)</f>
        <v>0</v>
      </c>
      <c r="K3829" s="444">
        <f t="shared" ca="1" si="171"/>
        <v>-15325276981.642265</v>
      </c>
      <c r="L3829" s="444">
        <f t="shared" ca="1" si="172"/>
        <v>-3693391752575.7861</v>
      </c>
      <c r="M3829" s="460">
        <f t="shared" si="174"/>
        <v>0.05</v>
      </c>
      <c r="N3829" s="464">
        <f t="shared" si="175"/>
        <v>167587</v>
      </c>
    </row>
    <row r="3830" spans="7:14" ht="11.25" customHeight="1" x14ac:dyDescent="0.25">
      <c r="G3830" s="459"/>
      <c r="H3830" s="459">
        <v>3823</v>
      </c>
      <c r="I3830" s="444">
        <f t="shared" ca="1" si="173"/>
        <v>-3693391752575.7861</v>
      </c>
      <c r="J3830" s="444">
        <f t="array" ref="J3830">IFERROR(INDEX('Retirement Calculator'!J:J,MATCH('Isaac 401k'!N3830,'Retirement Calculator'!A:A,0),0),0)</f>
        <v>0</v>
      </c>
      <c r="K3830" s="444">
        <f t="shared" ca="1" si="171"/>
        <v>-15389132302.399109</v>
      </c>
      <c r="L3830" s="444">
        <f t="shared" ca="1" si="172"/>
        <v>-3708780884878.1851</v>
      </c>
      <c r="M3830" s="460">
        <f t="shared" si="174"/>
        <v>0.05</v>
      </c>
      <c r="N3830" s="464">
        <f t="shared" si="175"/>
        <v>167617</v>
      </c>
    </row>
    <row r="3831" spans="7:14" ht="11.25" customHeight="1" x14ac:dyDescent="0.25">
      <c r="G3831" s="459"/>
      <c r="H3831" s="459">
        <v>3824</v>
      </c>
      <c r="I3831" s="444">
        <f t="shared" ca="1" si="173"/>
        <v>-3708780884878.1851</v>
      </c>
      <c r="J3831" s="444">
        <f t="array" ref="J3831">IFERROR(INDEX('Retirement Calculator'!J:J,MATCH('Isaac 401k'!N3831,'Retirement Calculator'!A:A,0),0),0)</f>
        <v>0</v>
      </c>
      <c r="K3831" s="444">
        <f t="shared" ca="1" si="171"/>
        <v>-15453253686.992437</v>
      </c>
      <c r="L3831" s="444">
        <f t="shared" ca="1" si="172"/>
        <v>-3724234138565.1777</v>
      </c>
      <c r="M3831" s="460">
        <f t="shared" si="174"/>
        <v>0.05</v>
      </c>
      <c r="N3831" s="464">
        <f t="shared" si="175"/>
        <v>167648</v>
      </c>
    </row>
    <row r="3832" spans="7:14" ht="11.25" customHeight="1" x14ac:dyDescent="0.25">
      <c r="G3832" s="459"/>
      <c r="H3832" s="459">
        <v>3825</v>
      </c>
      <c r="I3832" s="444">
        <f t="shared" ca="1" si="173"/>
        <v>-3724234138565.1777</v>
      </c>
      <c r="J3832" s="444">
        <f t="array" ref="J3832">IFERROR(INDEX('Retirement Calculator'!J:J,MATCH('Isaac 401k'!N3832,'Retirement Calculator'!A:A,0),0),0)</f>
        <v>0</v>
      </c>
      <c r="K3832" s="444">
        <f t="shared" ca="1" si="171"/>
        <v>-15517642244.021572</v>
      </c>
      <c r="L3832" s="444">
        <f t="shared" ca="1" si="172"/>
        <v>-3739751780809.1992</v>
      </c>
      <c r="M3832" s="460">
        <f t="shared" si="174"/>
        <v>0.05</v>
      </c>
      <c r="N3832" s="464">
        <f t="shared" si="175"/>
        <v>167679</v>
      </c>
    </row>
    <row r="3833" spans="7:14" ht="11.25" customHeight="1" x14ac:dyDescent="0.25">
      <c r="G3833" s="459"/>
      <c r="H3833" s="459">
        <v>3826</v>
      </c>
      <c r="I3833" s="444">
        <f t="shared" ca="1" si="173"/>
        <v>-3739751780809.1992</v>
      </c>
      <c r="J3833" s="444">
        <f t="array" ref="J3833">IFERROR(INDEX('Retirement Calculator'!J:J,MATCH('Isaac 401k'!N3833,'Retirement Calculator'!A:A,0),0),0)</f>
        <v>0</v>
      </c>
      <c r="K3833" s="444">
        <f t="shared" ref="K3833:K4087" ca="1" si="176">IPMT(M3833/12,1,12,-I3833+J3833,,0)</f>
        <v>-15582299086.704998</v>
      </c>
      <c r="L3833" s="444">
        <f t="shared" ref="L3833:L4087" ca="1" si="177">I3833-J3833+K3833</f>
        <v>-3755334079895.9043</v>
      </c>
      <c r="M3833" s="460">
        <f t="shared" si="174"/>
        <v>0.05</v>
      </c>
      <c r="N3833" s="464">
        <f t="shared" si="175"/>
        <v>167707</v>
      </c>
    </row>
    <row r="3834" spans="7:14" ht="11.25" customHeight="1" x14ac:dyDescent="0.25">
      <c r="G3834" s="459"/>
      <c r="H3834" s="459">
        <v>3827</v>
      </c>
      <c r="I3834" s="444">
        <f t="shared" ref="I3834:I4088" ca="1" si="178">L3833</f>
        <v>-3755334079895.9043</v>
      </c>
      <c r="J3834" s="444">
        <f t="array" ref="J3834">IFERROR(INDEX('Retirement Calculator'!J:J,MATCH('Isaac 401k'!N3834,'Retirement Calculator'!A:A,0),0),0)</f>
        <v>0</v>
      </c>
      <c r="K3834" s="444">
        <f t="shared" ca="1" si="176"/>
        <v>-15647225332.899599</v>
      </c>
      <c r="L3834" s="444">
        <f t="shared" ca="1" si="177"/>
        <v>-3770981305228.8037</v>
      </c>
      <c r="M3834" s="460">
        <f t="shared" ref="M3834:M4088" si="179">M3833</f>
        <v>0.05</v>
      </c>
      <c r="N3834" s="464">
        <f t="shared" ref="N3834:N4088" si="180">EDATE(N3833,1)</f>
        <v>167738</v>
      </c>
    </row>
    <row r="3835" spans="7:14" ht="11.25" customHeight="1" x14ac:dyDescent="0.25">
      <c r="G3835" s="459"/>
      <c r="H3835" s="459">
        <v>3828</v>
      </c>
      <c r="I3835" s="444">
        <f t="shared" ca="1" si="178"/>
        <v>-3770981305228.8037</v>
      </c>
      <c r="J3835" s="444">
        <f t="array" ref="J3835">IFERROR(INDEX('Retirement Calculator'!J:J,MATCH('Isaac 401k'!N3835,'Retirement Calculator'!A:A,0),0),0)</f>
        <v>0</v>
      </c>
      <c r="K3835" s="444">
        <f t="shared" ca="1" si="176"/>
        <v>-15712422105.120016</v>
      </c>
      <c r="L3835" s="444">
        <f t="shared" ca="1" si="177"/>
        <v>-3786693727333.9238</v>
      </c>
      <c r="M3835" s="460">
        <f t="shared" si="179"/>
        <v>0.05</v>
      </c>
      <c r="N3835" s="464">
        <f t="shared" si="180"/>
        <v>167768</v>
      </c>
    </row>
    <row r="3836" spans="7:14" ht="11.25" customHeight="1" x14ac:dyDescent="0.25">
      <c r="G3836" s="459"/>
      <c r="H3836" s="459">
        <v>3829</v>
      </c>
      <c r="I3836" s="444">
        <f t="shared" ca="1" si="178"/>
        <v>-3786693727333.9238</v>
      </c>
      <c r="J3836" s="444">
        <f t="array" ref="J3836">IFERROR(INDEX('Retirement Calculator'!J:J,MATCH('Isaac 401k'!N3836,'Retirement Calculator'!A:A,0),0),0)</f>
        <v>0</v>
      </c>
      <c r="K3836" s="444">
        <f t="shared" ca="1" si="176"/>
        <v>-15777890530.558016</v>
      </c>
      <c r="L3836" s="444">
        <f t="shared" ca="1" si="177"/>
        <v>-3802471617864.4819</v>
      </c>
      <c r="M3836" s="460">
        <f t="shared" si="179"/>
        <v>0.05</v>
      </c>
      <c r="N3836" s="464">
        <f t="shared" si="180"/>
        <v>167799</v>
      </c>
    </row>
    <row r="3837" spans="7:14" ht="11.25" customHeight="1" x14ac:dyDescent="0.25">
      <c r="G3837" s="459"/>
      <c r="H3837" s="459">
        <v>3830</v>
      </c>
      <c r="I3837" s="444">
        <f t="shared" ca="1" si="178"/>
        <v>-3802471617864.4819</v>
      </c>
      <c r="J3837" s="444">
        <f t="array" ref="J3837">IFERROR(INDEX('Retirement Calculator'!J:J,MATCH('Isaac 401k'!N3837,'Retirement Calculator'!A:A,0),0),0)</f>
        <v>0</v>
      </c>
      <c r="K3837" s="444">
        <f t="shared" ca="1" si="176"/>
        <v>-15843631741.102011</v>
      </c>
      <c r="L3837" s="444">
        <f t="shared" ca="1" si="177"/>
        <v>-3818315249605.584</v>
      </c>
      <c r="M3837" s="460">
        <f t="shared" si="179"/>
        <v>0.05</v>
      </c>
      <c r="N3837" s="464">
        <f t="shared" si="180"/>
        <v>167829</v>
      </c>
    </row>
    <row r="3838" spans="7:14" ht="11.25" customHeight="1" x14ac:dyDescent="0.25">
      <c r="G3838" s="459"/>
      <c r="H3838" s="459">
        <v>3831</v>
      </c>
      <c r="I3838" s="444">
        <f t="shared" ca="1" si="178"/>
        <v>-3818315249605.584</v>
      </c>
      <c r="J3838" s="444">
        <f t="array" ref="J3838">IFERROR(INDEX('Retirement Calculator'!J:J,MATCH('Isaac 401k'!N3838,'Retirement Calculator'!A:A,0),0),0)</f>
        <v>0</v>
      </c>
      <c r="K3838" s="444">
        <f t="shared" ca="1" si="176"/>
        <v>-15909646873.356598</v>
      </c>
      <c r="L3838" s="444">
        <f t="shared" ca="1" si="177"/>
        <v>-3834224896478.9404</v>
      </c>
      <c r="M3838" s="460">
        <f t="shared" si="179"/>
        <v>0.05</v>
      </c>
      <c r="N3838" s="464">
        <f t="shared" si="180"/>
        <v>167860</v>
      </c>
    </row>
    <row r="3839" spans="7:14" ht="11.25" customHeight="1" x14ac:dyDescent="0.25">
      <c r="G3839" s="459"/>
      <c r="H3839" s="459">
        <v>3832</v>
      </c>
      <c r="I3839" s="444">
        <f t="shared" ca="1" si="178"/>
        <v>-3834224896478.9404</v>
      </c>
      <c r="J3839" s="444">
        <f t="array" ref="J3839">IFERROR(INDEX('Retirement Calculator'!J:J,MATCH('Isaac 401k'!N3839,'Retirement Calculator'!A:A,0),0),0)</f>
        <v>0</v>
      </c>
      <c r="K3839" s="444">
        <f t="shared" ca="1" si="176"/>
        <v>-15975937068.662252</v>
      </c>
      <c r="L3839" s="444">
        <f t="shared" ca="1" si="177"/>
        <v>-3850200833547.6025</v>
      </c>
      <c r="M3839" s="460">
        <f t="shared" si="179"/>
        <v>0.05</v>
      </c>
      <c r="N3839" s="464">
        <f t="shared" si="180"/>
        <v>167891</v>
      </c>
    </row>
    <row r="3840" spans="7:14" ht="11.25" customHeight="1" x14ac:dyDescent="0.25">
      <c r="G3840" s="459"/>
      <c r="H3840" s="459">
        <v>3833</v>
      </c>
      <c r="I3840" s="444">
        <f t="shared" ca="1" si="178"/>
        <v>-3850200833547.6025</v>
      </c>
      <c r="J3840" s="444">
        <f t="array" ref="J3840">IFERROR(INDEX('Retirement Calculator'!J:J,MATCH('Isaac 401k'!N3840,'Retirement Calculator'!A:A,0),0),0)</f>
        <v>0</v>
      </c>
      <c r="K3840" s="444">
        <f t="shared" ca="1" si="176"/>
        <v>-16042503473.115007</v>
      </c>
      <c r="L3840" s="444">
        <f t="shared" ca="1" si="177"/>
        <v>-3866243337020.7178</v>
      </c>
      <c r="M3840" s="460">
        <f t="shared" si="179"/>
        <v>0.05</v>
      </c>
      <c r="N3840" s="464">
        <f t="shared" si="180"/>
        <v>167921</v>
      </c>
    </row>
    <row r="3841" spans="7:14" ht="11.25" customHeight="1" x14ac:dyDescent="0.25">
      <c r="G3841" s="459"/>
      <c r="H3841" s="459">
        <v>3834</v>
      </c>
      <c r="I3841" s="444">
        <f t="shared" ca="1" si="178"/>
        <v>-3866243337020.7178</v>
      </c>
      <c r="J3841" s="444">
        <f t="array" ref="J3841">IFERROR(INDEX('Retirement Calculator'!J:J,MATCH('Isaac 401k'!N3841,'Retirement Calculator'!A:A,0),0),0)</f>
        <v>0</v>
      </c>
      <c r="K3841" s="444">
        <f t="shared" ca="1" si="176"/>
        <v>-16109347237.586325</v>
      </c>
      <c r="L3841" s="444">
        <f t="shared" ca="1" si="177"/>
        <v>-3882352684258.3042</v>
      </c>
      <c r="M3841" s="460">
        <f t="shared" si="179"/>
        <v>0.05</v>
      </c>
      <c r="N3841" s="464">
        <f t="shared" si="180"/>
        <v>167952</v>
      </c>
    </row>
    <row r="3842" spans="7:14" ht="11.25" customHeight="1" x14ac:dyDescent="0.25">
      <c r="G3842" s="459"/>
      <c r="H3842" s="459">
        <v>3835</v>
      </c>
      <c r="I3842" s="444">
        <f t="shared" ca="1" si="178"/>
        <v>-3882352684258.3042</v>
      </c>
      <c r="J3842" s="444">
        <f t="array" ref="J3842">IFERROR(INDEX('Retirement Calculator'!J:J,MATCH('Isaac 401k'!N3842,'Retirement Calculator'!A:A,0),0),0)</f>
        <v>0</v>
      </c>
      <c r="K3842" s="444">
        <f t="shared" ca="1" si="176"/>
        <v>-16176469517.742935</v>
      </c>
      <c r="L3842" s="444">
        <f t="shared" ca="1" si="177"/>
        <v>-3898529153776.0474</v>
      </c>
      <c r="M3842" s="460">
        <f t="shared" si="179"/>
        <v>0.05</v>
      </c>
      <c r="N3842" s="464">
        <f t="shared" si="180"/>
        <v>167982</v>
      </c>
    </row>
    <row r="3843" spans="7:14" ht="11.25" customHeight="1" x14ac:dyDescent="0.25">
      <c r="G3843" s="459"/>
      <c r="H3843" s="459">
        <v>3836</v>
      </c>
      <c r="I3843" s="444">
        <f t="shared" ca="1" si="178"/>
        <v>-3898529153776.0474</v>
      </c>
      <c r="J3843" s="444">
        <f t="array" ref="J3843">IFERROR(INDEX('Retirement Calculator'!J:J,MATCH('Isaac 401k'!N3843,'Retirement Calculator'!A:A,0),0),0)</f>
        <v>0</v>
      </c>
      <c r="K3843" s="444">
        <f t="shared" ca="1" si="176"/>
        <v>-16243871474.066864</v>
      </c>
      <c r="L3843" s="444">
        <f t="shared" ca="1" si="177"/>
        <v>-3914773025250.1143</v>
      </c>
      <c r="M3843" s="460">
        <f t="shared" si="179"/>
        <v>0.05</v>
      </c>
      <c r="N3843" s="464">
        <f t="shared" si="180"/>
        <v>168013</v>
      </c>
    </row>
    <row r="3844" spans="7:14" ht="11.25" customHeight="1" x14ac:dyDescent="0.25">
      <c r="G3844" s="459"/>
      <c r="H3844" s="459">
        <v>3837</v>
      </c>
      <c r="I3844" s="444">
        <f t="shared" ca="1" si="178"/>
        <v>-3914773025250.1143</v>
      </c>
      <c r="J3844" s="444">
        <f t="array" ref="J3844">IFERROR(INDEX('Retirement Calculator'!J:J,MATCH('Isaac 401k'!N3844,'Retirement Calculator'!A:A,0),0),0)</f>
        <v>0</v>
      </c>
      <c r="K3844" s="444">
        <f t="shared" ca="1" si="176"/>
        <v>-16311554271.875475</v>
      </c>
      <c r="L3844" s="444">
        <f t="shared" ca="1" si="177"/>
        <v>-3931084579521.9897</v>
      </c>
      <c r="M3844" s="460">
        <f t="shared" si="179"/>
        <v>0.05</v>
      </c>
      <c r="N3844" s="464">
        <f t="shared" si="180"/>
        <v>168044</v>
      </c>
    </row>
    <row r="3845" spans="7:14" ht="11.25" customHeight="1" x14ac:dyDescent="0.25">
      <c r="G3845" s="459"/>
      <c r="H3845" s="459">
        <v>3838</v>
      </c>
      <c r="I3845" s="444">
        <f t="shared" ca="1" si="178"/>
        <v>-3931084579521.9897</v>
      </c>
      <c r="J3845" s="444">
        <f t="array" ref="J3845">IFERROR(INDEX('Retirement Calculator'!J:J,MATCH('Isaac 401k'!N3845,'Retirement Calculator'!A:A,0),0),0)</f>
        <v>0</v>
      </c>
      <c r="K3845" s="444">
        <f t="shared" ca="1" si="176"/>
        <v>-16379519081.341621</v>
      </c>
      <c r="L3845" s="444">
        <f t="shared" ca="1" si="177"/>
        <v>-3947464098603.3315</v>
      </c>
      <c r="M3845" s="460">
        <f t="shared" si="179"/>
        <v>0.05</v>
      </c>
      <c r="N3845" s="464">
        <f t="shared" si="180"/>
        <v>168073</v>
      </c>
    </row>
    <row r="3846" spans="7:14" ht="11.25" customHeight="1" x14ac:dyDescent="0.25">
      <c r="G3846" s="459"/>
      <c r="H3846" s="459">
        <v>3839</v>
      </c>
      <c r="I3846" s="444">
        <f t="shared" ca="1" si="178"/>
        <v>-3947464098603.3315</v>
      </c>
      <c r="J3846" s="444">
        <f t="array" ref="J3846">IFERROR(INDEX('Retirement Calculator'!J:J,MATCH('Isaac 401k'!N3846,'Retirement Calculator'!A:A,0),0),0)</f>
        <v>0</v>
      </c>
      <c r="K3846" s="444">
        <f t="shared" ca="1" si="176"/>
        <v>-16447767077.513882</v>
      </c>
      <c r="L3846" s="444">
        <f t="shared" ca="1" si="177"/>
        <v>-3963911865680.8452</v>
      </c>
      <c r="M3846" s="460">
        <f t="shared" si="179"/>
        <v>0.05</v>
      </c>
      <c r="N3846" s="464">
        <f t="shared" si="180"/>
        <v>168104</v>
      </c>
    </row>
    <row r="3847" spans="7:14" ht="11.25" customHeight="1" x14ac:dyDescent="0.25">
      <c r="G3847" s="459"/>
      <c r="H3847" s="459">
        <v>3840</v>
      </c>
      <c r="I3847" s="444">
        <f t="shared" ca="1" si="178"/>
        <v>-3963911865680.8452</v>
      </c>
      <c r="J3847" s="444">
        <f t="array" ref="J3847">IFERROR(INDEX('Retirement Calculator'!J:J,MATCH('Isaac 401k'!N3847,'Retirement Calculator'!A:A,0),0),0)</f>
        <v>0</v>
      </c>
      <c r="K3847" s="444">
        <f t="shared" ca="1" si="176"/>
        <v>-16516299440.336855</v>
      </c>
      <c r="L3847" s="444">
        <f t="shared" ca="1" si="177"/>
        <v>-3980428165121.1821</v>
      </c>
      <c r="M3847" s="460">
        <f t="shared" si="179"/>
        <v>0.05</v>
      </c>
      <c r="N3847" s="464">
        <f t="shared" si="180"/>
        <v>168134</v>
      </c>
    </row>
    <row r="3848" spans="7:14" ht="11.25" customHeight="1" x14ac:dyDescent="0.25">
      <c r="G3848" s="459"/>
      <c r="H3848" s="459">
        <v>3841</v>
      </c>
      <c r="I3848" s="444">
        <f t="shared" ca="1" si="178"/>
        <v>-3980428165121.1821</v>
      </c>
      <c r="J3848" s="444">
        <f t="array" ref="J3848">IFERROR(INDEX('Retirement Calculator'!J:J,MATCH('Isaac 401k'!N3848,'Retirement Calculator'!A:A,0),0),0)</f>
        <v>0</v>
      </c>
      <c r="K3848" s="444">
        <f t="shared" ca="1" si="176"/>
        <v>-16585117354.671593</v>
      </c>
      <c r="L3848" s="444">
        <f t="shared" ca="1" si="177"/>
        <v>-3997013282475.8535</v>
      </c>
      <c r="M3848" s="460">
        <f t="shared" si="179"/>
        <v>0.05</v>
      </c>
      <c r="N3848" s="464">
        <f t="shared" si="180"/>
        <v>168165</v>
      </c>
    </row>
    <row r="3849" spans="7:14" ht="11.25" customHeight="1" x14ac:dyDescent="0.25">
      <c r="G3849" s="459"/>
      <c r="H3849" s="459">
        <v>3842</v>
      </c>
      <c r="I3849" s="444">
        <f t="shared" ca="1" si="178"/>
        <v>-3997013282475.8535</v>
      </c>
      <c r="J3849" s="444">
        <f t="array" ref="J3849">IFERROR(INDEX('Retirement Calculator'!J:J,MATCH('Isaac 401k'!N3849,'Retirement Calculator'!A:A,0),0),0)</f>
        <v>0</v>
      </c>
      <c r="K3849" s="444">
        <f t="shared" ca="1" si="176"/>
        <v>-16654222010.316053</v>
      </c>
      <c r="L3849" s="444">
        <f t="shared" ca="1" si="177"/>
        <v>-4013667504486.1694</v>
      </c>
      <c r="M3849" s="460">
        <f t="shared" si="179"/>
        <v>0.05</v>
      </c>
      <c r="N3849" s="464">
        <f t="shared" si="180"/>
        <v>168195</v>
      </c>
    </row>
    <row r="3850" spans="7:14" ht="11.25" customHeight="1" x14ac:dyDescent="0.25">
      <c r="G3850" s="459"/>
      <c r="H3850" s="459">
        <v>3843</v>
      </c>
      <c r="I3850" s="444">
        <f t="shared" ca="1" si="178"/>
        <v>-4013667504486.1694</v>
      </c>
      <c r="J3850" s="444">
        <f t="array" ref="J3850">IFERROR(INDEX('Retirement Calculator'!J:J,MATCH('Isaac 401k'!N3850,'Retirement Calculator'!A:A,0),0),0)</f>
        <v>0</v>
      </c>
      <c r="K3850" s="444">
        <f t="shared" ca="1" si="176"/>
        <v>-16723614602.025705</v>
      </c>
      <c r="L3850" s="444">
        <f t="shared" ca="1" si="177"/>
        <v>-4030391119088.1953</v>
      </c>
      <c r="M3850" s="460">
        <f t="shared" si="179"/>
        <v>0.05</v>
      </c>
      <c r="N3850" s="464">
        <f t="shared" si="180"/>
        <v>168226</v>
      </c>
    </row>
    <row r="3851" spans="7:14" ht="11.25" customHeight="1" x14ac:dyDescent="0.25">
      <c r="G3851" s="459"/>
      <c r="H3851" s="459">
        <v>3844</v>
      </c>
      <c r="I3851" s="444">
        <f t="shared" ca="1" si="178"/>
        <v>-4030391119088.1953</v>
      </c>
      <c r="J3851" s="444">
        <f t="array" ref="J3851">IFERROR(INDEX('Retirement Calculator'!J:J,MATCH('Isaac 401k'!N3851,'Retirement Calculator'!A:A,0),0),0)</f>
        <v>0</v>
      </c>
      <c r="K3851" s="444">
        <f t="shared" ca="1" si="176"/>
        <v>-16793296329.534147</v>
      </c>
      <c r="L3851" s="444">
        <f t="shared" ca="1" si="177"/>
        <v>-4047184415417.7295</v>
      </c>
      <c r="M3851" s="460">
        <f t="shared" si="179"/>
        <v>0.05</v>
      </c>
      <c r="N3851" s="464">
        <f t="shared" si="180"/>
        <v>168257</v>
      </c>
    </row>
    <row r="3852" spans="7:14" ht="11.25" customHeight="1" x14ac:dyDescent="0.25">
      <c r="G3852" s="459"/>
      <c r="H3852" s="459">
        <v>3845</v>
      </c>
      <c r="I3852" s="444">
        <f t="shared" ca="1" si="178"/>
        <v>-4047184415417.7295</v>
      </c>
      <c r="J3852" s="444">
        <f t="array" ref="J3852">IFERROR(INDEX('Retirement Calculator'!J:J,MATCH('Isaac 401k'!N3852,'Retirement Calculator'!A:A,0),0),0)</f>
        <v>0</v>
      </c>
      <c r="K3852" s="444">
        <f t="shared" ca="1" si="176"/>
        <v>-16863268397.573874</v>
      </c>
      <c r="L3852" s="444">
        <f t="shared" ca="1" si="177"/>
        <v>-4064047683815.3032</v>
      </c>
      <c r="M3852" s="460">
        <f t="shared" si="179"/>
        <v>0.05</v>
      </c>
      <c r="N3852" s="464">
        <f t="shared" si="180"/>
        <v>168287</v>
      </c>
    </row>
    <row r="3853" spans="7:14" ht="11.25" customHeight="1" x14ac:dyDescent="0.25">
      <c r="G3853" s="459"/>
      <c r="H3853" s="459">
        <v>3846</v>
      </c>
      <c r="I3853" s="444">
        <f t="shared" ca="1" si="178"/>
        <v>-4064047683815.3032</v>
      </c>
      <c r="J3853" s="444">
        <f t="array" ref="J3853">IFERROR(INDEX('Retirement Calculator'!J:J,MATCH('Isaac 401k'!N3853,'Retirement Calculator'!A:A,0),0),0)</f>
        <v>0</v>
      </c>
      <c r="K3853" s="444">
        <f t="shared" ca="1" si="176"/>
        <v>-16933532015.897097</v>
      </c>
      <c r="L3853" s="444">
        <f t="shared" ca="1" si="177"/>
        <v>-4080981215831.2002</v>
      </c>
      <c r="M3853" s="460">
        <f t="shared" si="179"/>
        <v>0.05</v>
      </c>
      <c r="N3853" s="464">
        <f t="shared" si="180"/>
        <v>168318</v>
      </c>
    </row>
    <row r="3854" spans="7:14" ht="11.25" customHeight="1" x14ac:dyDescent="0.25">
      <c r="G3854" s="459"/>
      <c r="H3854" s="459">
        <v>3847</v>
      </c>
      <c r="I3854" s="444">
        <f t="shared" ca="1" si="178"/>
        <v>-4080981215831.2002</v>
      </c>
      <c r="J3854" s="444">
        <f t="array" ref="J3854">IFERROR(INDEX('Retirement Calculator'!J:J,MATCH('Isaac 401k'!N3854,'Retirement Calculator'!A:A,0),0),0)</f>
        <v>0</v>
      </c>
      <c r="K3854" s="444">
        <f t="shared" ca="1" si="176"/>
        <v>-17004088399.296667</v>
      </c>
      <c r="L3854" s="444">
        <f t="shared" ca="1" si="177"/>
        <v>-4097985304230.4971</v>
      </c>
      <c r="M3854" s="460">
        <f t="shared" si="179"/>
        <v>0.05</v>
      </c>
      <c r="N3854" s="464">
        <f t="shared" si="180"/>
        <v>168348</v>
      </c>
    </row>
    <row r="3855" spans="7:14" ht="11.25" customHeight="1" x14ac:dyDescent="0.25">
      <c r="G3855" s="459"/>
      <c r="H3855" s="459">
        <v>3848</v>
      </c>
      <c r="I3855" s="444">
        <f t="shared" ca="1" si="178"/>
        <v>-4097985304230.4971</v>
      </c>
      <c r="J3855" s="444">
        <f t="array" ref="J3855">IFERROR(INDEX('Retirement Calculator'!J:J,MATCH('Isaac 401k'!N3855,'Retirement Calculator'!A:A,0),0),0)</f>
        <v>0</v>
      </c>
      <c r="K3855" s="444">
        <f t="shared" ca="1" si="176"/>
        <v>-17074938767.627073</v>
      </c>
      <c r="L3855" s="444">
        <f t="shared" ca="1" si="177"/>
        <v>-4115060242998.124</v>
      </c>
      <c r="M3855" s="460">
        <f t="shared" si="179"/>
        <v>0.05</v>
      </c>
      <c r="N3855" s="464">
        <f t="shared" si="180"/>
        <v>168379</v>
      </c>
    </row>
    <row r="3856" spans="7:14" ht="11.25" customHeight="1" x14ac:dyDescent="0.25">
      <c r="G3856" s="459"/>
      <c r="H3856" s="459">
        <v>3849</v>
      </c>
      <c r="I3856" s="444">
        <f t="shared" ca="1" si="178"/>
        <v>-4115060242998.124</v>
      </c>
      <c r="J3856" s="444">
        <f t="array" ref="J3856">IFERROR(INDEX('Retirement Calculator'!J:J,MATCH('Isaac 401k'!N3856,'Retirement Calculator'!A:A,0),0),0)</f>
        <v>0</v>
      </c>
      <c r="K3856" s="444">
        <f t="shared" ca="1" si="176"/>
        <v>-17146084345.825516</v>
      </c>
      <c r="L3856" s="444">
        <f t="shared" ca="1" si="177"/>
        <v>-4132206327343.9497</v>
      </c>
      <c r="M3856" s="460">
        <f t="shared" si="179"/>
        <v>0.05</v>
      </c>
      <c r="N3856" s="464">
        <f t="shared" si="180"/>
        <v>168410</v>
      </c>
    </row>
    <row r="3857" spans="7:14" ht="11.25" customHeight="1" x14ac:dyDescent="0.25">
      <c r="G3857" s="459"/>
      <c r="H3857" s="459">
        <v>3850</v>
      </c>
      <c r="I3857" s="444">
        <f t="shared" ca="1" si="178"/>
        <v>-4132206327343.9497</v>
      </c>
      <c r="J3857" s="444">
        <f t="array" ref="J3857">IFERROR(INDEX('Retirement Calculator'!J:J,MATCH('Isaac 401k'!N3857,'Retirement Calculator'!A:A,0),0),0)</f>
        <v>0</v>
      </c>
      <c r="K3857" s="444">
        <f t="shared" ca="1" si="176"/>
        <v>-17217526363.933125</v>
      </c>
      <c r="L3857" s="444">
        <f t="shared" ca="1" si="177"/>
        <v>-4149423853707.8828</v>
      </c>
      <c r="M3857" s="460">
        <f t="shared" si="179"/>
        <v>0.05</v>
      </c>
      <c r="N3857" s="464">
        <f t="shared" si="180"/>
        <v>168438</v>
      </c>
    </row>
    <row r="3858" spans="7:14" ht="11.25" customHeight="1" x14ac:dyDescent="0.25">
      <c r="G3858" s="459"/>
      <c r="H3858" s="459">
        <v>3851</v>
      </c>
      <c r="I3858" s="444">
        <f t="shared" ca="1" si="178"/>
        <v>-4149423853707.8828</v>
      </c>
      <c r="J3858" s="444">
        <f t="array" ref="J3858">IFERROR(INDEX('Retirement Calculator'!J:J,MATCH('Isaac 401k'!N3858,'Retirement Calculator'!A:A,0),0),0)</f>
        <v>0</v>
      </c>
      <c r="K3858" s="444">
        <f t="shared" ca="1" si="176"/>
        <v>-17289266057.116177</v>
      </c>
      <c r="L3858" s="444">
        <f t="shared" ca="1" si="177"/>
        <v>-4166713119764.999</v>
      </c>
      <c r="M3858" s="460">
        <f t="shared" si="179"/>
        <v>0.05</v>
      </c>
      <c r="N3858" s="464">
        <f t="shared" si="180"/>
        <v>168469</v>
      </c>
    </row>
    <row r="3859" spans="7:14" ht="11.25" customHeight="1" x14ac:dyDescent="0.25">
      <c r="G3859" s="459"/>
      <c r="H3859" s="459">
        <v>3852</v>
      </c>
      <c r="I3859" s="444">
        <f t="shared" ca="1" si="178"/>
        <v>-4166713119764.999</v>
      </c>
      <c r="J3859" s="444">
        <f t="array" ref="J3859">IFERROR(INDEX('Retirement Calculator'!J:J,MATCH('Isaac 401k'!N3859,'Retirement Calculator'!A:A,0),0),0)</f>
        <v>0</v>
      </c>
      <c r="K3859" s="444">
        <f t="shared" ca="1" si="176"/>
        <v>-17361304665.687496</v>
      </c>
      <c r="L3859" s="444">
        <f t="shared" ca="1" si="177"/>
        <v>-4184074424430.6865</v>
      </c>
      <c r="M3859" s="460">
        <f t="shared" si="179"/>
        <v>0.05</v>
      </c>
      <c r="N3859" s="464">
        <f t="shared" si="180"/>
        <v>168499</v>
      </c>
    </row>
    <row r="3860" spans="7:14" ht="11.25" customHeight="1" x14ac:dyDescent="0.25">
      <c r="G3860" s="459"/>
      <c r="H3860" s="459">
        <v>3853</v>
      </c>
      <c r="I3860" s="444">
        <f t="shared" ca="1" si="178"/>
        <v>-4184074424430.6865</v>
      </c>
      <c r="J3860" s="444">
        <f t="array" ref="J3860">IFERROR(INDEX('Retirement Calculator'!J:J,MATCH('Isaac 401k'!N3860,'Retirement Calculator'!A:A,0),0),0)</f>
        <v>0</v>
      </c>
      <c r="K3860" s="444">
        <f t="shared" ca="1" si="176"/>
        <v>-17433643435.127861</v>
      </c>
      <c r="L3860" s="444">
        <f t="shared" ca="1" si="177"/>
        <v>-4201508067865.8145</v>
      </c>
      <c r="M3860" s="460">
        <f t="shared" si="179"/>
        <v>0.05</v>
      </c>
      <c r="N3860" s="464">
        <f t="shared" si="180"/>
        <v>168530</v>
      </c>
    </row>
    <row r="3861" spans="7:14" ht="11.25" customHeight="1" x14ac:dyDescent="0.25">
      <c r="G3861" s="459"/>
      <c r="H3861" s="459">
        <v>3854</v>
      </c>
      <c r="I3861" s="444">
        <f t="shared" ca="1" si="178"/>
        <v>-4201508067865.8145</v>
      </c>
      <c r="J3861" s="444">
        <f t="array" ref="J3861">IFERROR(INDEX('Retirement Calculator'!J:J,MATCH('Isaac 401k'!N3861,'Retirement Calculator'!A:A,0),0),0)</f>
        <v>0</v>
      </c>
      <c r="K3861" s="444">
        <f t="shared" ca="1" si="176"/>
        <v>-17506283616.107559</v>
      </c>
      <c r="L3861" s="444">
        <f t="shared" ca="1" si="177"/>
        <v>-4219014351481.9219</v>
      </c>
      <c r="M3861" s="460">
        <f t="shared" si="179"/>
        <v>0.05</v>
      </c>
      <c r="N3861" s="464">
        <f t="shared" si="180"/>
        <v>168560</v>
      </c>
    </row>
    <row r="3862" spans="7:14" ht="11.25" customHeight="1" x14ac:dyDescent="0.25">
      <c r="G3862" s="459"/>
      <c r="H3862" s="459">
        <v>3855</v>
      </c>
      <c r="I3862" s="444">
        <f t="shared" ca="1" si="178"/>
        <v>-4219014351481.9219</v>
      </c>
      <c r="J3862" s="444">
        <f t="array" ref="J3862">IFERROR(INDEX('Retirement Calculator'!J:J,MATCH('Isaac 401k'!N3862,'Retirement Calculator'!A:A,0),0),0)</f>
        <v>0</v>
      </c>
      <c r="K3862" s="444">
        <f t="shared" ca="1" si="176"/>
        <v>-17579226464.508007</v>
      </c>
      <c r="L3862" s="444">
        <f t="shared" ca="1" si="177"/>
        <v>-4236593577946.4297</v>
      </c>
      <c r="M3862" s="460">
        <f t="shared" si="179"/>
        <v>0.05</v>
      </c>
      <c r="N3862" s="464">
        <f t="shared" si="180"/>
        <v>168591</v>
      </c>
    </row>
    <row r="3863" spans="7:14" ht="11.25" customHeight="1" x14ac:dyDescent="0.25">
      <c r="G3863" s="459"/>
      <c r="H3863" s="459">
        <v>3856</v>
      </c>
      <c r="I3863" s="444">
        <f t="shared" ca="1" si="178"/>
        <v>-4236593577946.4297</v>
      </c>
      <c r="J3863" s="444">
        <f t="array" ref="J3863">IFERROR(INDEX('Retirement Calculator'!J:J,MATCH('Isaac 401k'!N3863,'Retirement Calculator'!A:A,0),0),0)</f>
        <v>0</v>
      </c>
      <c r="K3863" s="444">
        <f t="shared" ca="1" si="176"/>
        <v>-17652473241.443459</v>
      </c>
      <c r="L3863" s="444">
        <f t="shared" ca="1" si="177"/>
        <v>-4254246051187.873</v>
      </c>
      <c r="M3863" s="460">
        <f t="shared" si="179"/>
        <v>0.05</v>
      </c>
      <c r="N3863" s="464">
        <f t="shared" si="180"/>
        <v>168622</v>
      </c>
    </row>
    <row r="3864" spans="7:14" ht="11.25" customHeight="1" x14ac:dyDescent="0.25">
      <c r="G3864" s="459"/>
      <c r="H3864" s="459">
        <v>3857</v>
      </c>
      <c r="I3864" s="444">
        <f t="shared" ca="1" si="178"/>
        <v>-4254246051187.873</v>
      </c>
      <c r="J3864" s="444">
        <f t="array" ref="J3864">IFERROR(INDEX('Retirement Calculator'!J:J,MATCH('Isaac 401k'!N3864,'Retirement Calculator'!A:A,0),0),0)</f>
        <v>0</v>
      </c>
      <c r="K3864" s="444">
        <f t="shared" ca="1" si="176"/>
        <v>-17726025213.282803</v>
      </c>
      <c r="L3864" s="444">
        <f t="shared" ca="1" si="177"/>
        <v>-4271972076401.1558</v>
      </c>
      <c r="M3864" s="460">
        <f t="shared" si="179"/>
        <v>0.05</v>
      </c>
      <c r="N3864" s="464">
        <f t="shared" si="180"/>
        <v>168652</v>
      </c>
    </row>
    <row r="3865" spans="7:14" ht="11.25" customHeight="1" x14ac:dyDescent="0.25">
      <c r="G3865" s="459"/>
      <c r="H3865" s="459">
        <v>3858</v>
      </c>
      <c r="I3865" s="444">
        <f t="shared" ca="1" si="178"/>
        <v>-4271972076401.1558</v>
      </c>
      <c r="J3865" s="444">
        <f t="array" ref="J3865">IFERROR(INDEX('Retirement Calculator'!J:J,MATCH('Isaac 401k'!N3865,'Retirement Calculator'!A:A,0),0),0)</f>
        <v>0</v>
      </c>
      <c r="K3865" s="444">
        <f t="shared" ca="1" si="176"/>
        <v>-17799883651.671478</v>
      </c>
      <c r="L3865" s="444">
        <f t="shared" ca="1" si="177"/>
        <v>-4289771960052.8271</v>
      </c>
      <c r="M3865" s="460">
        <f t="shared" si="179"/>
        <v>0.05</v>
      </c>
      <c r="N3865" s="464">
        <f t="shared" si="180"/>
        <v>168683</v>
      </c>
    </row>
    <row r="3866" spans="7:14" ht="11.25" customHeight="1" x14ac:dyDescent="0.25">
      <c r="G3866" s="459"/>
      <c r="H3866" s="459">
        <v>3859</v>
      </c>
      <c r="I3866" s="444">
        <f t="shared" ca="1" si="178"/>
        <v>-4289771960052.8271</v>
      </c>
      <c r="J3866" s="444">
        <f t="array" ref="J3866">IFERROR(INDEX('Retirement Calculator'!J:J,MATCH('Isaac 401k'!N3866,'Retirement Calculator'!A:A,0),0),0)</f>
        <v>0</v>
      </c>
      <c r="K3866" s="444">
        <f t="shared" ca="1" si="176"/>
        <v>-17874049833.553448</v>
      </c>
      <c r="L3866" s="444">
        <f t="shared" ca="1" si="177"/>
        <v>-4307646009886.3804</v>
      </c>
      <c r="M3866" s="460">
        <f t="shared" si="179"/>
        <v>0.05</v>
      </c>
      <c r="N3866" s="464">
        <f t="shared" si="180"/>
        <v>168713</v>
      </c>
    </row>
    <row r="3867" spans="7:14" ht="11.25" customHeight="1" x14ac:dyDescent="0.25">
      <c r="G3867" s="459"/>
      <c r="H3867" s="459">
        <v>3860</v>
      </c>
      <c r="I3867" s="444">
        <f t="shared" ca="1" si="178"/>
        <v>-4307646009886.3804</v>
      </c>
      <c r="J3867" s="444">
        <f t="array" ref="J3867">IFERROR(INDEX('Retirement Calculator'!J:J,MATCH('Isaac 401k'!N3867,'Retirement Calculator'!A:A,0),0),0)</f>
        <v>0</v>
      </c>
      <c r="K3867" s="444">
        <f t="shared" ca="1" si="176"/>
        <v>-17948525041.193253</v>
      </c>
      <c r="L3867" s="444">
        <f t="shared" ca="1" si="177"/>
        <v>-4325594534927.5737</v>
      </c>
      <c r="M3867" s="460">
        <f t="shared" si="179"/>
        <v>0.05</v>
      </c>
      <c r="N3867" s="464">
        <f t="shared" si="180"/>
        <v>168744</v>
      </c>
    </row>
    <row r="3868" spans="7:14" ht="11.25" customHeight="1" x14ac:dyDescent="0.25">
      <c r="G3868" s="459"/>
      <c r="H3868" s="459">
        <v>3861</v>
      </c>
      <c r="I3868" s="444">
        <f t="shared" ca="1" si="178"/>
        <v>-4325594534927.5737</v>
      </c>
      <c r="J3868" s="444">
        <f t="array" ref="J3868">IFERROR(INDEX('Retirement Calculator'!J:J,MATCH('Isaac 401k'!N3868,'Retirement Calculator'!A:A,0),0),0)</f>
        <v>0</v>
      </c>
      <c r="K3868" s="444">
        <f t="shared" ca="1" si="176"/>
        <v>-18023310562.198223</v>
      </c>
      <c r="L3868" s="444">
        <f t="shared" ca="1" si="177"/>
        <v>-4343617845489.772</v>
      </c>
      <c r="M3868" s="460">
        <f t="shared" si="179"/>
        <v>0.05</v>
      </c>
      <c r="N3868" s="464">
        <f t="shared" si="180"/>
        <v>168775</v>
      </c>
    </row>
    <row r="3869" spans="7:14" ht="11.25" customHeight="1" x14ac:dyDescent="0.25">
      <c r="G3869" s="459"/>
      <c r="H3869" s="459">
        <v>3862</v>
      </c>
      <c r="I3869" s="444">
        <f t="shared" ca="1" si="178"/>
        <v>-4343617845489.772</v>
      </c>
      <c r="J3869" s="444">
        <f t="array" ref="J3869">IFERROR(INDEX('Retirement Calculator'!J:J,MATCH('Isaac 401k'!N3869,'Retirement Calculator'!A:A,0),0),0)</f>
        <v>0</v>
      </c>
      <c r="K3869" s="444">
        <f t="shared" ca="1" si="176"/>
        <v>-18098407689.540718</v>
      </c>
      <c r="L3869" s="444">
        <f t="shared" ca="1" si="177"/>
        <v>-4361716253179.3125</v>
      </c>
      <c r="M3869" s="460">
        <f t="shared" si="179"/>
        <v>0.05</v>
      </c>
      <c r="N3869" s="464">
        <f t="shared" si="180"/>
        <v>168803</v>
      </c>
    </row>
    <row r="3870" spans="7:14" ht="11.25" customHeight="1" x14ac:dyDescent="0.25">
      <c r="G3870" s="459"/>
      <c r="H3870" s="459">
        <v>3863</v>
      </c>
      <c r="I3870" s="444">
        <f t="shared" ca="1" si="178"/>
        <v>-4361716253179.3125</v>
      </c>
      <c r="J3870" s="444">
        <f t="array" ref="J3870">IFERROR(INDEX('Retirement Calculator'!J:J,MATCH('Isaac 401k'!N3870,'Retirement Calculator'!A:A,0),0),0)</f>
        <v>0</v>
      </c>
      <c r="K3870" s="444">
        <f t="shared" ca="1" si="176"/>
        <v>-18173817721.580467</v>
      </c>
      <c r="L3870" s="444">
        <f t="shared" ca="1" si="177"/>
        <v>-4379890070900.8931</v>
      </c>
      <c r="M3870" s="460">
        <f t="shared" si="179"/>
        <v>0.05</v>
      </c>
      <c r="N3870" s="464">
        <f t="shared" si="180"/>
        <v>168834</v>
      </c>
    </row>
    <row r="3871" spans="7:14" ht="11.25" customHeight="1" x14ac:dyDescent="0.25">
      <c r="G3871" s="459"/>
      <c r="H3871" s="459">
        <v>3864</v>
      </c>
      <c r="I3871" s="444">
        <f t="shared" ca="1" si="178"/>
        <v>-4379890070900.8931</v>
      </c>
      <c r="J3871" s="444">
        <f t="array" ref="J3871">IFERROR(INDEX('Retirement Calculator'!J:J,MATCH('Isaac 401k'!N3871,'Retirement Calculator'!A:A,0),0),0)</f>
        <v>0</v>
      </c>
      <c r="K3871" s="444">
        <f t="shared" ca="1" si="176"/>
        <v>-18249541962.087055</v>
      </c>
      <c r="L3871" s="444">
        <f t="shared" ca="1" si="177"/>
        <v>-4398139612862.9805</v>
      </c>
      <c r="M3871" s="460">
        <f t="shared" si="179"/>
        <v>0.05</v>
      </c>
      <c r="N3871" s="464">
        <f t="shared" si="180"/>
        <v>168864</v>
      </c>
    </row>
    <row r="3872" spans="7:14" ht="11.25" customHeight="1" x14ac:dyDescent="0.25">
      <c r="G3872" s="459"/>
      <c r="H3872" s="459">
        <v>3865</v>
      </c>
      <c r="I3872" s="444">
        <f t="shared" ca="1" si="178"/>
        <v>-4398139612862.9805</v>
      </c>
      <c r="J3872" s="444">
        <f t="array" ref="J3872">IFERROR(INDEX('Retirement Calculator'!J:J,MATCH('Isaac 401k'!N3872,'Retirement Calculator'!A:A,0),0),0)</f>
        <v>0</v>
      </c>
      <c r="K3872" s="444">
        <f t="shared" ca="1" si="176"/>
        <v>-18325581720.262417</v>
      </c>
      <c r="L3872" s="444">
        <f t="shared" ca="1" si="177"/>
        <v>-4416465194583.2432</v>
      </c>
      <c r="M3872" s="460">
        <f t="shared" si="179"/>
        <v>0.05</v>
      </c>
      <c r="N3872" s="464">
        <f t="shared" si="180"/>
        <v>168895</v>
      </c>
    </row>
    <row r="3873" spans="7:14" ht="11.25" customHeight="1" x14ac:dyDescent="0.25">
      <c r="G3873" s="459"/>
      <c r="H3873" s="459">
        <v>3866</v>
      </c>
      <c r="I3873" s="444">
        <f t="shared" ca="1" si="178"/>
        <v>-4416465194583.2432</v>
      </c>
      <c r="J3873" s="444">
        <f t="array" ref="J3873">IFERROR(INDEX('Retirement Calculator'!J:J,MATCH('Isaac 401k'!N3873,'Retirement Calculator'!A:A,0),0),0)</f>
        <v>0</v>
      </c>
      <c r="K3873" s="444">
        <f t="shared" ca="1" si="176"/>
        <v>-18401938310.763512</v>
      </c>
      <c r="L3873" s="444">
        <f t="shared" ca="1" si="177"/>
        <v>-4434867132894.0068</v>
      </c>
      <c r="M3873" s="460">
        <f t="shared" si="179"/>
        <v>0.05</v>
      </c>
      <c r="N3873" s="464">
        <f t="shared" si="180"/>
        <v>168925</v>
      </c>
    </row>
    <row r="3874" spans="7:14" ht="11.25" customHeight="1" x14ac:dyDescent="0.25">
      <c r="G3874" s="459"/>
      <c r="H3874" s="459">
        <v>3867</v>
      </c>
      <c r="I3874" s="444">
        <f t="shared" ca="1" si="178"/>
        <v>-4434867132894.0068</v>
      </c>
      <c r="J3874" s="444">
        <f t="array" ref="J3874">IFERROR(INDEX('Retirement Calculator'!J:J,MATCH('Isaac 401k'!N3874,'Retirement Calculator'!A:A,0),0),0)</f>
        <v>0</v>
      </c>
      <c r="K3874" s="444">
        <f t="shared" ca="1" si="176"/>
        <v>-18478613053.725029</v>
      </c>
      <c r="L3874" s="444">
        <f t="shared" ca="1" si="177"/>
        <v>-4453345745947.7314</v>
      </c>
      <c r="M3874" s="460">
        <f t="shared" si="179"/>
        <v>0.05</v>
      </c>
      <c r="N3874" s="464">
        <f t="shared" si="180"/>
        <v>168956</v>
      </c>
    </row>
    <row r="3875" spans="7:14" ht="11.25" customHeight="1" x14ac:dyDescent="0.25">
      <c r="G3875" s="459"/>
      <c r="H3875" s="459">
        <v>3868</v>
      </c>
      <c r="I3875" s="444">
        <f t="shared" ca="1" si="178"/>
        <v>-4453345745947.7314</v>
      </c>
      <c r="J3875" s="444">
        <f t="array" ref="J3875">IFERROR(INDEX('Retirement Calculator'!J:J,MATCH('Isaac 401k'!N3875,'Retirement Calculator'!A:A,0),0),0)</f>
        <v>0</v>
      </c>
      <c r="K3875" s="444">
        <f t="shared" ca="1" si="176"/>
        <v>-18555607274.782215</v>
      </c>
      <c r="L3875" s="444">
        <f t="shared" ca="1" si="177"/>
        <v>-4471901353222.5137</v>
      </c>
      <c r="M3875" s="460">
        <f t="shared" si="179"/>
        <v>0.05</v>
      </c>
      <c r="N3875" s="464">
        <f t="shared" si="180"/>
        <v>168987</v>
      </c>
    </row>
    <row r="3876" spans="7:14" ht="11.25" customHeight="1" x14ac:dyDescent="0.25">
      <c r="G3876" s="459"/>
      <c r="H3876" s="459">
        <v>3869</v>
      </c>
      <c r="I3876" s="444">
        <f t="shared" ca="1" si="178"/>
        <v>-4471901353222.5137</v>
      </c>
      <c r="J3876" s="444">
        <f t="array" ref="J3876">IFERROR(INDEX('Retirement Calculator'!J:J,MATCH('Isaac 401k'!N3876,'Retirement Calculator'!A:A,0),0),0)</f>
        <v>0</v>
      </c>
      <c r="K3876" s="444">
        <f t="shared" ca="1" si="176"/>
        <v>-18632922305.093807</v>
      </c>
      <c r="L3876" s="444">
        <f t="shared" ca="1" si="177"/>
        <v>-4490534275527.6074</v>
      </c>
      <c r="M3876" s="460">
        <f t="shared" si="179"/>
        <v>0.05</v>
      </c>
      <c r="N3876" s="464">
        <f t="shared" si="180"/>
        <v>169017</v>
      </c>
    </row>
    <row r="3877" spans="7:14" ht="11.25" customHeight="1" x14ac:dyDescent="0.25">
      <c r="G3877" s="459"/>
      <c r="H3877" s="459">
        <v>3870</v>
      </c>
      <c r="I3877" s="444">
        <f t="shared" ca="1" si="178"/>
        <v>-4490534275527.6074</v>
      </c>
      <c r="J3877" s="444">
        <f t="array" ref="J3877">IFERROR(INDEX('Retirement Calculator'!J:J,MATCH('Isaac 401k'!N3877,'Retirement Calculator'!A:A,0),0),0)</f>
        <v>0</v>
      </c>
      <c r="K3877" s="444">
        <f t="shared" ca="1" si="176"/>
        <v>-18710559481.365032</v>
      </c>
      <c r="L3877" s="444">
        <f t="shared" ca="1" si="177"/>
        <v>-4509244835008.9727</v>
      </c>
      <c r="M3877" s="460">
        <f t="shared" si="179"/>
        <v>0.05</v>
      </c>
      <c r="N3877" s="464">
        <f t="shared" si="180"/>
        <v>169048</v>
      </c>
    </row>
    <row r="3878" spans="7:14" ht="11.25" customHeight="1" x14ac:dyDescent="0.25">
      <c r="G3878" s="459"/>
      <c r="H3878" s="459">
        <v>3871</v>
      </c>
      <c r="I3878" s="444">
        <f t="shared" ca="1" si="178"/>
        <v>-4509244835008.9727</v>
      </c>
      <c r="J3878" s="444">
        <f t="array" ref="J3878">IFERROR(INDEX('Retirement Calculator'!J:J,MATCH('Isaac 401k'!N3878,'Retirement Calculator'!A:A,0),0),0)</f>
        <v>0</v>
      </c>
      <c r="K3878" s="444">
        <f t="shared" ca="1" si="176"/>
        <v>-18788520145.87072</v>
      </c>
      <c r="L3878" s="444">
        <f t="shared" ca="1" si="177"/>
        <v>-4528033355154.8438</v>
      </c>
      <c r="M3878" s="460">
        <f t="shared" si="179"/>
        <v>0.05</v>
      </c>
      <c r="N3878" s="464">
        <f t="shared" si="180"/>
        <v>169078</v>
      </c>
    </row>
    <row r="3879" spans="7:14" ht="11.25" customHeight="1" x14ac:dyDescent="0.25">
      <c r="G3879" s="459"/>
      <c r="H3879" s="459">
        <v>3872</v>
      </c>
      <c r="I3879" s="444">
        <f t="shared" ca="1" si="178"/>
        <v>-4528033355154.8438</v>
      </c>
      <c r="J3879" s="444">
        <f t="array" ref="J3879">IFERROR(INDEX('Retirement Calculator'!J:J,MATCH('Isaac 401k'!N3879,'Retirement Calculator'!A:A,0),0),0)</f>
        <v>0</v>
      </c>
      <c r="K3879" s="444">
        <f t="shared" ca="1" si="176"/>
        <v>-18866805646.478516</v>
      </c>
      <c r="L3879" s="444">
        <f t="shared" ca="1" si="177"/>
        <v>-4546900160801.3223</v>
      </c>
      <c r="M3879" s="460">
        <f t="shared" si="179"/>
        <v>0.05</v>
      </c>
      <c r="N3879" s="464">
        <f t="shared" si="180"/>
        <v>169109</v>
      </c>
    </row>
    <row r="3880" spans="7:14" ht="11.25" customHeight="1" x14ac:dyDescent="0.25">
      <c r="G3880" s="459"/>
      <c r="H3880" s="459">
        <v>3873</v>
      </c>
      <c r="I3880" s="444">
        <f t="shared" ca="1" si="178"/>
        <v>-4546900160801.3223</v>
      </c>
      <c r="J3880" s="444">
        <f t="array" ref="J3880">IFERROR(INDEX('Retirement Calculator'!J:J,MATCH('Isaac 401k'!N3880,'Retirement Calculator'!A:A,0),0),0)</f>
        <v>0</v>
      </c>
      <c r="K3880" s="444">
        <f t="shared" ca="1" si="176"/>
        <v>-18945417336.672176</v>
      </c>
      <c r="L3880" s="444">
        <f t="shared" ca="1" si="177"/>
        <v>-4565845578137.9941</v>
      </c>
      <c r="M3880" s="460">
        <f t="shared" si="179"/>
        <v>0.05</v>
      </c>
      <c r="N3880" s="464">
        <f t="shared" si="180"/>
        <v>169140</v>
      </c>
    </row>
    <row r="3881" spans="7:14" ht="11.25" customHeight="1" x14ac:dyDescent="0.25">
      <c r="G3881" s="459"/>
      <c r="H3881" s="459">
        <v>3874</v>
      </c>
      <c r="I3881" s="444">
        <f t="shared" ca="1" si="178"/>
        <v>-4565845578137.9941</v>
      </c>
      <c r="J3881" s="444">
        <f t="array" ref="J3881">IFERROR(INDEX('Retirement Calculator'!J:J,MATCH('Isaac 401k'!N3881,'Retirement Calculator'!A:A,0),0),0)</f>
        <v>0</v>
      </c>
      <c r="K3881" s="444">
        <f t="shared" ca="1" si="176"/>
        <v>-19024356575.574974</v>
      </c>
      <c r="L3881" s="444">
        <f t="shared" ca="1" si="177"/>
        <v>-4584869934713.5693</v>
      </c>
      <c r="M3881" s="460">
        <f t="shared" si="179"/>
        <v>0.05</v>
      </c>
      <c r="N3881" s="464">
        <f t="shared" si="180"/>
        <v>169168</v>
      </c>
    </row>
    <row r="3882" spans="7:14" ht="11.25" customHeight="1" x14ac:dyDescent="0.25">
      <c r="G3882" s="459"/>
      <c r="H3882" s="459">
        <v>3875</v>
      </c>
      <c r="I3882" s="444">
        <f t="shared" ca="1" si="178"/>
        <v>-4584869934713.5693</v>
      </c>
      <c r="J3882" s="444">
        <f t="array" ref="J3882">IFERROR(INDEX('Retirement Calculator'!J:J,MATCH('Isaac 401k'!N3882,'Retirement Calculator'!A:A,0),0),0)</f>
        <v>0</v>
      </c>
      <c r="K3882" s="444">
        <f t="shared" ca="1" si="176"/>
        <v>-19103624727.973206</v>
      </c>
      <c r="L3882" s="444">
        <f t="shared" ca="1" si="177"/>
        <v>-4603973559441.543</v>
      </c>
      <c r="M3882" s="460">
        <f t="shared" si="179"/>
        <v>0.05</v>
      </c>
      <c r="N3882" s="464">
        <f t="shared" si="180"/>
        <v>169199</v>
      </c>
    </row>
    <row r="3883" spans="7:14" ht="11.25" customHeight="1" x14ac:dyDescent="0.25">
      <c r="G3883" s="459"/>
      <c r="H3883" s="459">
        <v>3876</v>
      </c>
      <c r="I3883" s="444">
        <f t="shared" ca="1" si="178"/>
        <v>-4603973559441.543</v>
      </c>
      <c r="J3883" s="444">
        <f t="array" ref="J3883">IFERROR(INDEX('Retirement Calculator'!J:J,MATCH('Isaac 401k'!N3883,'Retirement Calculator'!A:A,0),0),0)</f>
        <v>0</v>
      </c>
      <c r="K3883" s="444">
        <f t="shared" ca="1" si="176"/>
        <v>-19183223164.339764</v>
      </c>
      <c r="L3883" s="444">
        <f t="shared" ca="1" si="177"/>
        <v>-4623156782605.8828</v>
      </c>
      <c r="M3883" s="460">
        <f t="shared" si="179"/>
        <v>0.05</v>
      </c>
      <c r="N3883" s="464">
        <f t="shared" si="180"/>
        <v>169229</v>
      </c>
    </row>
    <row r="3884" spans="7:14" ht="11.25" customHeight="1" x14ac:dyDescent="0.25">
      <c r="G3884" s="459"/>
      <c r="H3884" s="459">
        <v>3877</v>
      </c>
      <c r="I3884" s="444">
        <f t="shared" ca="1" si="178"/>
        <v>-4623156782605.8828</v>
      </c>
      <c r="J3884" s="444">
        <f t="array" ref="J3884">IFERROR(INDEX('Retirement Calculator'!J:J,MATCH('Isaac 401k'!N3884,'Retirement Calculator'!A:A,0),0),0)</f>
        <v>0</v>
      </c>
      <c r="K3884" s="444">
        <f t="shared" ca="1" si="176"/>
        <v>-19263153260.857845</v>
      </c>
      <c r="L3884" s="444">
        <f t="shared" ca="1" si="177"/>
        <v>-4642419935866.7402</v>
      </c>
      <c r="M3884" s="460">
        <f t="shared" si="179"/>
        <v>0.05</v>
      </c>
      <c r="N3884" s="464">
        <f t="shared" si="180"/>
        <v>169260</v>
      </c>
    </row>
    <row r="3885" spans="7:14" ht="11.25" customHeight="1" x14ac:dyDescent="0.25">
      <c r="G3885" s="459"/>
      <c r="H3885" s="459">
        <v>3878</v>
      </c>
      <c r="I3885" s="444">
        <f t="shared" ca="1" si="178"/>
        <v>-4642419935866.7402</v>
      </c>
      <c r="J3885" s="444">
        <f t="array" ref="J3885">IFERROR(INDEX('Retirement Calculator'!J:J,MATCH('Isaac 401k'!N3885,'Retirement Calculator'!A:A,0),0),0)</f>
        <v>0</v>
      </c>
      <c r="K3885" s="444">
        <f t="shared" ca="1" si="176"/>
        <v>-19343416399.444752</v>
      </c>
      <c r="L3885" s="444">
        <f t="shared" ca="1" si="177"/>
        <v>-4661763352266.1846</v>
      </c>
      <c r="M3885" s="460">
        <f t="shared" si="179"/>
        <v>0.05</v>
      </c>
      <c r="N3885" s="464">
        <f t="shared" si="180"/>
        <v>169290</v>
      </c>
    </row>
    <row r="3886" spans="7:14" ht="11.25" customHeight="1" x14ac:dyDescent="0.25">
      <c r="G3886" s="459"/>
      <c r="H3886" s="459">
        <v>3879</v>
      </c>
      <c r="I3886" s="444">
        <f t="shared" ca="1" si="178"/>
        <v>-4661763352266.1846</v>
      </c>
      <c r="J3886" s="444">
        <f t="array" ref="J3886">IFERROR(INDEX('Retirement Calculator'!J:J,MATCH('Isaac 401k'!N3886,'Retirement Calculator'!A:A,0),0),0)</f>
        <v>0</v>
      </c>
      <c r="K3886" s="444">
        <f t="shared" ca="1" si="176"/>
        <v>-19424013967.775768</v>
      </c>
      <c r="L3886" s="444">
        <f t="shared" ca="1" si="177"/>
        <v>-4681187366233.96</v>
      </c>
      <c r="M3886" s="460">
        <f t="shared" si="179"/>
        <v>0.05</v>
      </c>
      <c r="N3886" s="464">
        <f t="shared" si="180"/>
        <v>169321</v>
      </c>
    </row>
    <row r="3887" spans="7:14" ht="11.25" customHeight="1" x14ac:dyDescent="0.25">
      <c r="G3887" s="459"/>
      <c r="H3887" s="459">
        <v>3880</v>
      </c>
      <c r="I3887" s="444">
        <f t="shared" ca="1" si="178"/>
        <v>-4681187366233.96</v>
      </c>
      <c r="J3887" s="444">
        <f t="array" ref="J3887">IFERROR(INDEX('Retirement Calculator'!J:J,MATCH('Isaac 401k'!N3887,'Retirement Calculator'!A:A,0),0),0)</f>
        <v>0</v>
      </c>
      <c r="K3887" s="444">
        <f t="shared" ca="1" si="176"/>
        <v>-19504947359.308167</v>
      </c>
      <c r="L3887" s="444">
        <f t="shared" ca="1" si="177"/>
        <v>-4700692313593.2686</v>
      </c>
      <c r="M3887" s="460">
        <f t="shared" si="179"/>
        <v>0.05</v>
      </c>
      <c r="N3887" s="464">
        <f t="shared" si="180"/>
        <v>169352</v>
      </c>
    </row>
    <row r="3888" spans="7:14" ht="11.25" customHeight="1" x14ac:dyDescent="0.25">
      <c r="G3888" s="459"/>
      <c r="H3888" s="459">
        <v>3881</v>
      </c>
      <c r="I3888" s="444">
        <f t="shared" ca="1" si="178"/>
        <v>-4700692313593.2686</v>
      </c>
      <c r="J3888" s="444">
        <f t="array" ref="J3888">IFERROR(INDEX('Retirement Calculator'!J:J,MATCH('Isaac 401k'!N3888,'Retirement Calculator'!A:A,0),0),0)</f>
        <v>0</v>
      </c>
      <c r="K3888" s="444">
        <f t="shared" ca="1" si="176"/>
        <v>-19586217973.305286</v>
      </c>
      <c r="L3888" s="444">
        <f t="shared" ca="1" si="177"/>
        <v>-4720278531566.5742</v>
      </c>
      <c r="M3888" s="460">
        <f t="shared" si="179"/>
        <v>0.05</v>
      </c>
      <c r="N3888" s="464">
        <f t="shared" si="180"/>
        <v>169382</v>
      </c>
    </row>
    <row r="3889" spans="7:14" ht="11.25" customHeight="1" x14ac:dyDescent="0.25">
      <c r="G3889" s="459"/>
      <c r="H3889" s="459">
        <v>3882</v>
      </c>
      <c r="I3889" s="444">
        <f t="shared" ca="1" si="178"/>
        <v>-4720278531566.5742</v>
      </c>
      <c r="J3889" s="444">
        <f t="array" ref="J3889">IFERROR(INDEX('Retirement Calculator'!J:J,MATCH('Isaac 401k'!N3889,'Retirement Calculator'!A:A,0),0),0)</f>
        <v>0</v>
      </c>
      <c r="K3889" s="444">
        <f t="shared" ca="1" si="176"/>
        <v>-19667827214.860725</v>
      </c>
      <c r="L3889" s="444">
        <f t="shared" ca="1" si="177"/>
        <v>-4739946358781.4346</v>
      </c>
      <c r="M3889" s="460">
        <f t="shared" si="179"/>
        <v>0.05</v>
      </c>
      <c r="N3889" s="464">
        <f t="shared" si="180"/>
        <v>169413</v>
      </c>
    </row>
    <row r="3890" spans="7:14" ht="11.25" customHeight="1" x14ac:dyDescent="0.25">
      <c r="G3890" s="459"/>
      <c r="H3890" s="459">
        <v>3883</v>
      </c>
      <c r="I3890" s="444">
        <f t="shared" ca="1" si="178"/>
        <v>-4739946358781.4346</v>
      </c>
      <c r="J3890" s="444">
        <f t="array" ref="J3890">IFERROR(INDEX('Retirement Calculator'!J:J,MATCH('Isaac 401k'!N3890,'Retirement Calculator'!A:A,0),0),0)</f>
        <v>0</v>
      </c>
      <c r="K3890" s="444">
        <f t="shared" ca="1" si="176"/>
        <v>-19749776494.922646</v>
      </c>
      <c r="L3890" s="444">
        <f t="shared" ca="1" si="177"/>
        <v>-4759696135276.3574</v>
      </c>
      <c r="M3890" s="460">
        <f t="shared" si="179"/>
        <v>0.05</v>
      </c>
      <c r="N3890" s="464">
        <f t="shared" si="180"/>
        <v>169443</v>
      </c>
    </row>
    <row r="3891" spans="7:14" ht="11.25" customHeight="1" x14ac:dyDescent="0.25">
      <c r="G3891" s="459"/>
      <c r="H3891" s="459">
        <v>3884</v>
      </c>
      <c r="I3891" s="444">
        <f t="shared" ca="1" si="178"/>
        <v>-4759696135276.3574</v>
      </c>
      <c r="J3891" s="444">
        <f t="array" ref="J3891">IFERROR(INDEX('Retirement Calculator'!J:J,MATCH('Isaac 401k'!N3891,'Retirement Calculator'!A:A,0),0),0)</f>
        <v>0</v>
      </c>
      <c r="K3891" s="444">
        <f t="shared" ca="1" si="176"/>
        <v>-19832067230.318157</v>
      </c>
      <c r="L3891" s="444">
        <f t="shared" ca="1" si="177"/>
        <v>-4779528202506.6758</v>
      </c>
      <c r="M3891" s="460">
        <f t="shared" si="179"/>
        <v>0.05</v>
      </c>
      <c r="N3891" s="464">
        <f t="shared" si="180"/>
        <v>169474</v>
      </c>
    </row>
    <row r="3892" spans="7:14" ht="11.25" customHeight="1" x14ac:dyDescent="0.25">
      <c r="G3892" s="459"/>
      <c r="H3892" s="459">
        <v>3885</v>
      </c>
      <c r="I3892" s="444">
        <f t="shared" ca="1" si="178"/>
        <v>-4779528202506.6758</v>
      </c>
      <c r="J3892" s="444">
        <f t="array" ref="J3892">IFERROR(INDEX('Retirement Calculator'!J:J,MATCH('Isaac 401k'!N3892,'Retirement Calculator'!A:A,0),0),0)</f>
        <v>0</v>
      </c>
      <c r="K3892" s="444">
        <f t="shared" ca="1" si="176"/>
        <v>-19914700843.777817</v>
      </c>
      <c r="L3892" s="444">
        <f t="shared" ca="1" si="177"/>
        <v>-4799442903350.4531</v>
      </c>
      <c r="M3892" s="460">
        <f t="shared" si="179"/>
        <v>0.05</v>
      </c>
      <c r="N3892" s="464">
        <f t="shared" si="180"/>
        <v>169505</v>
      </c>
    </row>
    <row r="3893" spans="7:14" ht="11.25" customHeight="1" x14ac:dyDescent="0.25">
      <c r="G3893" s="459"/>
      <c r="H3893" s="459">
        <v>3886</v>
      </c>
      <c r="I3893" s="444">
        <f t="shared" ca="1" si="178"/>
        <v>-4799442903350.4531</v>
      </c>
      <c r="J3893" s="444">
        <f t="array" ref="J3893">IFERROR(INDEX('Retirement Calculator'!J:J,MATCH('Isaac 401k'!N3893,'Retirement Calculator'!A:A,0),0),0)</f>
        <v>0</v>
      </c>
      <c r="K3893" s="444">
        <f t="shared" ca="1" si="176"/>
        <v>-19997678763.96022</v>
      </c>
      <c r="L3893" s="444">
        <f t="shared" ca="1" si="177"/>
        <v>-4819440582114.4131</v>
      </c>
      <c r="M3893" s="460">
        <f t="shared" si="179"/>
        <v>0.05</v>
      </c>
      <c r="N3893" s="464">
        <f t="shared" si="180"/>
        <v>169534</v>
      </c>
    </row>
    <row r="3894" spans="7:14" ht="11.25" customHeight="1" x14ac:dyDescent="0.25">
      <c r="G3894" s="459"/>
      <c r="H3894" s="459">
        <v>3887</v>
      </c>
      <c r="I3894" s="444">
        <f t="shared" ca="1" si="178"/>
        <v>-4819440582114.4131</v>
      </c>
      <c r="J3894" s="444">
        <f t="array" ref="J3894">IFERROR(INDEX('Retirement Calculator'!J:J,MATCH('Isaac 401k'!N3894,'Retirement Calculator'!A:A,0),0),0)</f>
        <v>0</v>
      </c>
      <c r="K3894" s="444">
        <f t="shared" ca="1" si="176"/>
        <v>-20081002425.476723</v>
      </c>
      <c r="L3894" s="444">
        <f t="shared" ca="1" si="177"/>
        <v>-4839521584539.8896</v>
      </c>
      <c r="M3894" s="460">
        <f t="shared" si="179"/>
        <v>0.05</v>
      </c>
      <c r="N3894" s="464">
        <f t="shared" si="180"/>
        <v>169565</v>
      </c>
    </row>
    <row r="3895" spans="7:14" ht="11.25" customHeight="1" x14ac:dyDescent="0.25">
      <c r="G3895" s="459"/>
      <c r="H3895" s="459">
        <v>3888</v>
      </c>
      <c r="I3895" s="444">
        <f t="shared" ca="1" si="178"/>
        <v>-4839521584539.8896</v>
      </c>
      <c r="J3895" s="444">
        <f t="array" ref="J3895">IFERROR(INDEX('Retirement Calculator'!J:J,MATCH('Isaac 401k'!N3895,'Retirement Calculator'!A:A,0),0),0)</f>
        <v>0</v>
      </c>
      <c r="K3895" s="444">
        <f t="shared" ca="1" si="176"/>
        <v>-20164673268.916206</v>
      </c>
      <c r="L3895" s="444">
        <f t="shared" ca="1" si="177"/>
        <v>-4859686257808.8057</v>
      </c>
      <c r="M3895" s="460">
        <f t="shared" si="179"/>
        <v>0.05</v>
      </c>
      <c r="N3895" s="464">
        <f t="shared" si="180"/>
        <v>169595</v>
      </c>
    </row>
    <row r="3896" spans="7:14" ht="11.25" customHeight="1" x14ac:dyDescent="0.25">
      <c r="G3896" s="459"/>
      <c r="H3896" s="459">
        <v>3889</v>
      </c>
      <c r="I3896" s="444">
        <f t="shared" ca="1" si="178"/>
        <v>-4859686257808.8057</v>
      </c>
      <c r="J3896" s="444">
        <f t="array" ref="J3896">IFERROR(INDEX('Retirement Calculator'!J:J,MATCH('Isaac 401k'!N3896,'Retirement Calculator'!A:A,0),0),0)</f>
        <v>0</v>
      </c>
      <c r="K3896" s="444">
        <f t="shared" ca="1" si="176"/>
        <v>-20248692740.870022</v>
      </c>
      <c r="L3896" s="444">
        <f t="shared" ca="1" si="177"/>
        <v>-4879934950549.6758</v>
      </c>
      <c r="M3896" s="460">
        <f t="shared" si="179"/>
        <v>0.05</v>
      </c>
      <c r="N3896" s="464">
        <f t="shared" si="180"/>
        <v>169626</v>
      </c>
    </row>
    <row r="3897" spans="7:14" ht="11.25" customHeight="1" x14ac:dyDescent="0.25">
      <c r="G3897" s="459"/>
      <c r="H3897" s="459">
        <v>3890</v>
      </c>
      <c r="I3897" s="444">
        <f t="shared" ca="1" si="178"/>
        <v>-4879934950549.6758</v>
      </c>
      <c r="J3897" s="444">
        <f t="array" ref="J3897">IFERROR(INDEX('Retirement Calculator'!J:J,MATCH('Isaac 401k'!N3897,'Retirement Calculator'!A:A,0),0),0)</f>
        <v>0</v>
      </c>
      <c r="K3897" s="444">
        <f t="shared" ca="1" si="176"/>
        <v>-20333062293.956982</v>
      </c>
      <c r="L3897" s="444">
        <f t="shared" ca="1" si="177"/>
        <v>-4900268012843.6328</v>
      </c>
      <c r="M3897" s="460">
        <f t="shared" si="179"/>
        <v>0.05</v>
      </c>
      <c r="N3897" s="464">
        <f t="shared" si="180"/>
        <v>169656</v>
      </c>
    </row>
    <row r="3898" spans="7:14" ht="11.25" customHeight="1" x14ac:dyDescent="0.25">
      <c r="G3898" s="459"/>
      <c r="H3898" s="459">
        <v>3891</v>
      </c>
      <c r="I3898" s="444">
        <f t="shared" ca="1" si="178"/>
        <v>-4900268012843.6328</v>
      </c>
      <c r="J3898" s="444">
        <f t="array" ref="J3898">IFERROR(INDEX('Retirement Calculator'!J:J,MATCH('Isaac 401k'!N3898,'Retirement Calculator'!A:A,0),0),0)</f>
        <v>0</v>
      </c>
      <c r="K3898" s="444">
        <f t="shared" ca="1" si="176"/>
        <v>-20417783386.848469</v>
      </c>
      <c r="L3898" s="444">
        <f t="shared" ca="1" si="177"/>
        <v>-4920685796230.4814</v>
      </c>
      <c r="M3898" s="460">
        <f t="shared" si="179"/>
        <v>0.05</v>
      </c>
      <c r="N3898" s="464">
        <f t="shared" si="180"/>
        <v>169687</v>
      </c>
    </row>
    <row r="3899" spans="7:14" ht="11.25" customHeight="1" x14ac:dyDescent="0.25">
      <c r="G3899" s="459"/>
      <c r="H3899" s="459">
        <v>3892</v>
      </c>
      <c r="I3899" s="444">
        <f t="shared" ca="1" si="178"/>
        <v>-4920685796230.4814</v>
      </c>
      <c r="J3899" s="444">
        <f t="array" ref="J3899">IFERROR(INDEX('Retirement Calculator'!J:J,MATCH('Isaac 401k'!N3899,'Retirement Calculator'!A:A,0),0),0)</f>
        <v>0</v>
      </c>
      <c r="K3899" s="444">
        <f t="shared" ca="1" si="176"/>
        <v>-20502857484.293671</v>
      </c>
      <c r="L3899" s="444">
        <f t="shared" ca="1" si="177"/>
        <v>-4941188653714.7754</v>
      </c>
      <c r="M3899" s="460">
        <f t="shared" si="179"/>
        <v>0.05</v>
      </c>
      <c r="N3899" s="464">
        <f t="shared" si="180"/>
        <v>169718</v>
      </c>
    </row>
    <row r="3900" spans="7:14" ht="11.25" customHeight="1" x14ac:dyDescent="0.25">
      <c r="G3900" s="459"/>
      <c r="H3900" s="459">
        <v>3893</v>
      </c>
      <c r="I3900" s="444">
        <f t="shared" ca="1" si="178"/>
        <v>-4941188653714.7754</v>
      </c>
      <c r="J3900" s="444">
        <f t="array" ref="J3900">IFERROR(INDEX('Retirement Calculator'!J:J,MATCH('Isaac 401k'!N3900,'Retirement Calculator'!A:A,0),0),0)</f>
        <v>0</v>
      </c>
      <c r="K3900" s="444">
        <f t="shared" ca="1" si="176"/>
        <v>-20588286057.144897</v>
      </c>
      <c r="L3900" s="444">
        <f t="shared" ca="1" si="177"/>
        <v>-4961776939771.9199</v>
      </c>
      <c r="M3900" s="460">
        <f t="shared" si="179"/>
        <v>0.05</v>
      </c>
      <c r="N3900" s="464">
        <f t="shared" si="180"/>
        <v>169748</v>
      </c>
    </row>
    <row r="3901" spans="7:14" ht="11.25" customHeight="1" x14ac:dyDescent="0.25">
      <c r="G3901" s="459"/>
      <c r="H3901" s="459">
        <v>3894</v>
      </c>
      <c r="I3901" s="444">
        <f t="shared" ca="1" si="178"/>
        <v>-4961776939771.9199</v>
      </c>
      <c r="J3901" s="444">
        <f t="array" ref="J3901">IFERROR(INDEX('Retirement Calculator'!J:J,MATCH('Isaac 401k'!N3901,'Retirement Calculator'!A:A,0),0),0)</f>
        <v>0</v>
      </c>
      <c r="K3901" s="444">
        <f t="shared" ca="1" si="176"/>
        <v>-20674070582.382999</v>
      </c>
      <c r="L3901" s="444">
        <f t="shared" ca="1" si="177"/>
        <v>-4982451010354.3027</v>
      </c>
      <c r="M3901" s="460">
        <f t="shared" si="179"/>
        <v>0.05</v>
      </c>
      <c r="N3901" s="464">
        <f t="shared" si="180"/>
        <v>169779</v>
      </c>
    </row>
    <row r="3902" spans="7:14" ht="11.25" customHeight="1" x14ac:dyDescent="0.25">
      <c r="G3902" s="459"/>
      <c r="H3902" s="459">
        <v>3895</v>
      </c>
      <c r="I3902" s="444">
        <f t="shared" ca="1" si="178"/>
        <v>-4982451010354.3027</v>
      </c>
      <c r="J3902" s="444">
        <f t="array" ref="J3902">IFERROR(INDEX('Retirement Calculator'!J:J,MATCH('Isaac 401k'!N3902,'Retirement Calculator'!A:A,0),0),0)</f>
        <v>0</v>
      </c>
      <c r="K3902" s="444">
        <f t="shared" ca="1" si="176"/>
        <v>-20760212543.142929</v>
      </c>
      <c r="L3902" s="444">
        <f t="shared" ca="1" si="177"/>
        <v>-5003211222897.4453</v>
      </c>
      <c r="M3902" s="460">
        <f t="shared" si="179"/>
        <v>0.05</v>
      </c>
      <c r="N3902" s="464">
        <f t="shared" si="180"/>
        <v>169809</v>
      </c>
    </row>
    <row r="3903" spans="7:14" ht="11.25" customHeight="1" x14ac:dyDescent="0.25">
      <c r="G3903" s="459"/>
      <c r="H3903" s="459">
        <v>3896</v>
      </c>
      <c r="I3903" s="444">
        <f t="shared" ca="1" si="178"/>
        <v>-5003211222897.4453</v>
      </c>
      <c r="J3903" s="444">
        <f t="array" ref="J3903">IFERROR(INDEX('Retirement Calculator'!J:J,MATCH('Isaac 401k'!N3903,'Retirement Calculator'!A:A,0),0),0)</f>
        <v>0</v>
      </c>
      <c r="K3903" s="444">
        <f t="shared" ca="1" si="176"/>
        <v>-20846713428.739357</v>
      </c>
      <c r="L3903" s="444">
        <f t="shared" ca="1" si="177"/>
        <v>-5024057936326.1846</v>
      </c>
      <c r="M3903" s="460">
        <f t="shared" si="179"/>
        <v>0.05</v>
      </c>
      <c r="N3903" s="464">
        <f t="shared" si="180"/>
        <v>169840</v>
      </c>
    </row>
    <row r="3904" spans="7:14" ht="11.25" customHeight="1" x14ac:dyDescent="0.25">
      <c r="G3904" s="459"/>
      <c r="H3904" s="459">
        <v>3897</v>
      </c>
      <c r="I3904" s="444">
        <f t="shared" ca="1" si="178"/>
        <v>-5024057936326.1846</v>
      </c>
      <c r="J3904" s="444">
        <f t="array" ref="J3904">IFERROR(INDEX('Retirement Calculator'!J:J,MATCH('Isaac 401k'!N3904,'Retirement Calculator'!A:A,0),0),0)</f>
        <v>0</v>
      </c>
      <c r="K3904" s="444">
        <f t="shared" ca="1" si="176"/>
        <v>-20933574734.692436</v>
      </c>
      <c r="L3904" s="444">
        <f t="shared" ca="1" si="177"/>
        <v>-5044991511060.877</v>
      </c>
      <c r="M3904" s="460">
        <f t="shared" si="179"/>
        <v>0.05</v>
      </c>
      <c r="N3904" s="464">
        <f t="shared" si="180"/>
        <v>169871</v>
      </c>
    </row>
    <row r="3905" spans="7:14" ht="11.25" customHeight="1" x14ac:dyDescent="0.25">
      <c r="G3905" s="459"/>
      <c r="H3905" s="459">
        <v>3898</v>
      </c>
      <c r="I3905" s="444">
        <f t="shared" ca="1" si="178"/>
        <v>-5044991511060.877</v>
      </c>
      <c r="J3905" s="444">
        <f t="array" ref="J3905">IFERROR(INDEX('Retirement Calculator'!J:J,MATCH('Isaac 401k'!N3905,'Retirement Calculator'!A:A,0),0),0)</f>
        <v>0</v>
      </c>
      <c r="K3905" s="444">
        <f t="shared" ca="1" si="176"/>
        <v>-21020797962.753654</v>
      </c>
      <c r="L3905" s="444">
        <f t="shared" ca="1" si="177"/>
        <v>-5066012309023.6309</v>
      </c>
      <c r="M3905" s="460">
        <f t="shared" si="179"/>
        <v>0.05</v>
      </c>
      <c r="N3905" s="464">
        <f t="shared" si="180"/>
        <v>169899</v>
      </c>
    </row>
    <row r="3906" spans="7:14" ht="11.25" customHeight="1" x14ac:dyDescent="0.25">
      <c r="G3906" s="459"/>
      <c r="H3906" s="459">
        <v>3899</v>
      </c>
      <c r="I3906" s="444">
        <f t="shared" ca="1" si="178"/>
        <v>-5066012309023.6309</v>
      </c>
      <c r="J3906" s="444">
        <f t="array" ref="J3906">IFERROR(INDEX('Retirement Calculator'!J:J,MATCH('Isaac 401k'!N3906,'Retirement Calculator'!A:A,0),0),0)</f>
        <v>0</v>
      </c>
      <c r="K3906" s="444">
        <f t="shared" ca="1" si="176"/>
        <v>-21108384620.931793</v>
      </c>
      <c r="L3906" s="444">
        <f t="shared" ca="1" si="177"/>
        <v>-5087120693644.5625</v>
      </c>
      <c r="M3906" s="460">
        <f t="shared" si="179"/>
        <v>0.05</v>
      </c>
      <c r="N3906" s="464">
        <f t="shared" si="180"/>
        <v>169930</v>
      </c>
    </row>
    <row r="3907" spans="7:14" ht="11.25" customHeight="1" x14ac:dyDescent="0.25">
      <c r="G3907" s="459"/>
      <c r="H3907" s="459">
        <v>3900</v>
      </c>
      <c r="I3907" s="444">
        <f t="shared" ca="1" si="178"/>
        <v>-5087120693644.5625</v>
      </c>
      <c r="J3907" s="444">
        <f t="array" ref="J3907">IFERROR(INDEX('Retirement Calculator'!J:J,MATCH('Isaac 401k'!N3907,'Retirement Calculator'!A:A,0),0),0)</f>
        <v>0</v>
      </c>
      <c r="K3907" s="444">
        <f t="shared" ca="1" si="176"/>
        <v>-21196336223.519009</v>
      </c>
      <c r="L3907" s="444">
        <f t="shared" ca="1" si="177"/>
        <v>-5108317029868.0811</v>
      </c>
      <c r="M3907" s="460">
        <f t="shared" si="179"/>
        <v>0.05</v>
      </c>
      <c r="N3907" s="464">
        <f t="shared" si="180"/>
        <v>169960</v>
      </c>
    </row>
    <row r="3908" spans="7:14" ht="11.25" customHeight="1" x14ac:dyDescent="0.25">
      <c r="G3908" s="459"/>
      <c r="H3908" s="459">
        <v>3901</v>
      </c>
      <c r="I3908" s="444">
        <f t="shared" ca="1" si="178"/>
        <v>-5108317029868.0811</v>
      </c>
      <c r="J3908" s="444">
        <f t="array" ref="J3908">IFERROR(INDEX('Retirement Calculator'!J:J,MATCH('Isaac 401k'!N3908,'Retirement Calculator'!A:A,0),0),0)</f>
        <v>0</v>
      </c>
      <c r="K3908" s="444">
        <f t="shared" ca="1" si="176"/>
        <v>-21284654291.117004</v>
      </c>
      <c r="L3908" s="444">
        <f t="shared" ca="1" si="177"/>
        <v>-5129601684159.1982</v>
      </c>
      <c r="M3908" s="460">
        <f t="shared" si="179"/>
        <v>0.05</v>
      </c>
      <c r="N3908" s="464">
        <f t="shared" si="180"/>
        <v>169991</v>
      </c>
    </row>
    <row r="3909" spans="7:14" ht="11.25" customHeight="1" x14ac:dyDescent="0.25">
      <c r="G3909" s="459"/>
      <c r="H3909" s="459">
        <v>3902</v>
      </c>
      <c r="I3909" s="444">
        <f t="shared" ca="1" si="178"/>
        <v>-5129601684159.1982</v>
      </c>
      <c r="J3909" s="444">
        <f t="array" ref="J3909">IFERROR(INDEX('Retirement Calculator'!J:J,MATCH('Isaac 401k'!N3909,'Retirement Calculator'!A:A,0),0),0)</f>
        <v>0</v>
      </c>
      <c r="K3909" s="444">
        <f t="shared" ca="1" si="176"/>
        <v>-21373340350.663326</v>
      </c>
      <c r="L3909" s="444">
        <f t="shared" ca="1" si="177"/>
        <v>-5150975024509.8613</v>
      </c>
      <c r="M3909" s="460">
        <f t="shared" si="179"/>
        <v>0.05</v>
      </c>
      <c r="N3909" s="464">
        <f t="shared" si="180"/>
        <v>170021</v>
      </c>
    </row>
    <row r="3910" spans="7:14" ht="11.25" customHeight="1" x14ac:dyDescent="0.25">
      <c r="G3910" s="459"/>
      <c r="H3910" s="459">
        <v>3903</v>
      </c>
      <c r="I3910" s="444">
        <f t="shared" ca="1" si="178"/>
        <v>-5150975024509.8613</v>
      </c>
      <c r="J3910" s="444">
        <f t="array" ref="J3910">IFERROR(INDEX('Retirement Calculator'!J:J,MATCH('Isaac 401k'!N3910,'Retirement Calculator'!A:A,0),0),0)</f>
        <v>0</v>
      </c>
      <c r="K3910" s="444">
        <f t="shared" ca="1" si="176"/>
        <v>-21462395935.457756</v>
      </c>
      <c r="L3910" s="444">
        <f t="shared" ca="1" si="177"/>
        <v>-5172437420445.3193</v>
      </c>
      <c r="M3910" s="460">
        <f t="shared" si="179"/>
        <v>0.05</v>
      </c>
      <c r="N3910" s="464">
        <f t="shared" si="180"/>
        <v>170052</v>
      </c>
    </row>
    <row r="3911" spans="7:14" ht="11.25" customHeight="1" x14ac:dyDescent="0.25">
      <c r="G3911" s="459"/>
      <c r="H3911" s="459">
        <v>3904</v>
      </c>
      <c r="I3911" s="444">
        <f t="shared" ca="1" si="178"/>
        <v>-5172437420445.3193</v>
      </c>
      <c r="J3911" s="444">
        <f t="array" ref="J3911">IFERROR(INDEX('Retirement Calculator'!J:J,MATCH('Isaac 401k'!N3911,'Retirement Calculator'!A:A,0),0),0)</f>
        <v>0</v>
      </c>
      <c r="K3911" s="444">
        <f t="shared" ca="1" si="176"/>
        <v>-21551822585.188831</v>
      </c>
      <c r="L3911" s="444">
        <f t="shared" ca="1" si="177"/>
        <v>-5193989243030.5078</v>
      </c>
      <c r="M3911" s="460">
        <f t="shared" si="179"/>
        <v>0.05</v>
      </c>
      <c r="N3911" s="464">
        <f t="shared" si="180"/>
        <v>170083</v>
      </c>
    </row>
    <row r="3912" spans="7:14" ht="11.25" customHeight="1" x14ac:dyDescent="0.25">
      <c r="G3912" s="459"/>
      <c r="H3912" s="459">
        <v>3905</v>
      </c>
      <c r="I3912" s="444">
        <f t="shared" ca="1" si="178"/>
        <v>-5193989243030.5078</v>
      </c>
      <c r="J3912" s="444">
        <f t="array" ref="J3912">IFERROR(INDEX('Retirement Calculator'!J:J,MATCH('Isaac 401k'!N3912,'Retirement Calculator'!A:A,0),0),0)</f>
        <v>0</v>
      </c>
      <c r="K3912" s="444">
        <f t="shared" ca="1" si="176"/>
        <v>-21641621845.960449</v>
      </c>
      <c r="L3912" s="444">
        <f t="shared" ca="1" si="177"/>
        <v>-5215630864876.4688</v>
      </c>
      <c r="M3912" s="460">
        <f t="shared" si="179"/>
        <v>0.05</v>
      </c>
      <c r="N3912" s="464">
        <f t="shared" si="180"/>
        <v>170113</v>
      </c>
    </row>
    <row r="3913" spans="7:14" ht="11.25" customHeight="1" x14ac:dyDescent="0.25">
      <c r="G3913" s="459"/>
      <c r="H3913" s="459">
        <v>3906</v>
      </c>
      <c r="I3913" s="444">
        <f t="shared" ca="1" si="178"/>
        <v>-5215630864876.4688</v>
      </c>
      <c r="J3913" s="444">
        <f t="array" ref="J3913">IFERROR(INDEX('Retirement Calculator'!J:J,MATCH('Isaac 401k'!N3913,'Retirement Calculator'!A:A,0),0),0)</f>
        <v>0</v>
      </c>
      <c r="K3913" s="444">
        <f t="shared" ca="1" si="176"/>
        <v>-21731795270.318619</v>
      </c>
      <c r="L3913" s="444">
        <f t="shared" ca="1" si="177"/>
        <v>-5237362660146.7871</v>
      </c>
      <c r="M3913" s="460">
        <f t="shared" si="179"/>
        <v>0.05</v>
      </c>
      <c r="N3913" s="464">
        <f t="shared" si="180"/>
        <v>170144</v>
      </c>
    </row>
    <row r="3914" spans="7:14" ht="11.25" customHeight="1" x14ac:dyDescent="0.25">
      <c r="G3914" s="459"/>
      <c r="H3914" s="459">
        <v>3907</v>
      </c>
      <c r="I3914" s="444">
        <f t="shared" ca="1" si="178"/>
        <v>-5237362660146.7871</v>
      </c>
      <c r="J3914" s="444">
        <f t="array" ref="J3914">IFERROR(INDEX('Retirement Calculator'!J:J,MATCH('Isaac 401k'!N3914,'Retirement Calculator'!A:A,0),0),0)</f>
        <v>0</v>
      </c>
      <c r="K3914" s="444">
        <f t="shared" ca="1" si="176"/>
        <v>-21822344417.278278</v>
      </c>
      <c r="L3914" s="444">
        <f t="shared" ca="1" si="177"/>
        <v>-5259185004564.0654</v>
      </c>
      <c r="M3914" s="460">
        <f t="shared" si="179"/>
        <v>0.05</v>
      </c>
      <c r="N3914" s="464">
        <f t="shared" si="180"/>
        <v>170174</v>
      </c>
    </row>
    <row r="3915" spans="7:14" ht="11.25" customHeight="1" x14ac:dyDescent="0.25">
      <c r="G3915" s="459"/>
      <c r="H3915" s="459">
        <v>3908</v>
      </c>
      <c r="I3915" s="444">
        <f t="shared" ca="1" si="178"/>
        <v>-5259185004564.0654</v>
      </c>
      <c r="J3915" s="444">
        <f t="array" ref="J3915">IFERROR(INDEX('Retirement Calculator'!J:J,MATCH('Isaac 401k'!N3915,'Retirement Calculator'!A:A,0),0),0)</f>
        <v>0</v>
      </c>
      <c r="K3915" s="444">
        <f t="shared" ca="1" si="176"/>
        <v>-21913270852.350273</v>
      </c>
      <c r="L3915" s="444">
        <f t="shared" ca="1" si="177"/>
        <v>-5281098275416.416</v>
      </c>
      <c r="M3915" s="460">
        <f t="shared" si="179"/>
        <v>0.05</v>
      </c>
      <c r="N3915" s="464">
        <f t="shared" si="180"/>
        <v>170205</v>
      </c>
    </row>
    <row r="3916" spans="7:14" ht="11.25" customHeight="1" x14ac:dyDescent="0.25">
      <c r="G3916" s="459"/>
      <c r="H3916" s="459">
        <v>3909</v>
      </c>
      <c r="I3916" s="444">
        <f t="shared" ca="1" si="178"/>
        <v>-5281098275416.416</v>
      </c>
      <c r="J3916" s="444">
        <f t="array" ref="J3916">IFERROR(INDEX('Retirement Calculator'!J:J,MATCH('Isaac 401k'!N3916,'Retirement Calculator'!A:A,0),0),0)</f>
        <v>0</v>
      </c>
      <c r="K3916" s="444">
        <f t="shared" ca="1" si="176"/>
        <v>-22004576147.568401</v>
      </c>
      <c r="L3916" s="444">
        <f t="shared" ca="1" si="177"/>
        <v>-5303102851563.9844</v>
      </c>
      <c r="M3916" s="460">
        <f t="shared" si="179"/>
        <v>0.05</v>
      </c>
      <c r="N3916" s="464">
        <f t="shared" si="180"/>
        <v>170236</v>
      </c>
    </row>
    <row r="3917" spans="7:14" ht="11.25" customHeight="1" x14ac:dyDescent="0.25">
      <c r="G3917" s="459"/>
      <c r="H3917" s="459">
        <v>3910</v>
      </c>
      <c r="I3917" s="444">
        <f t="shared" ca="1" si="178"/>
        <v>-5303102851563.9844</v>
      </c>
      <c r="J3917" s="444">
        <f t="array" ref="J3917">IFERROR(INDEX('Retirement Calculator'!J:J,MATCH('Isaac 401k'!N3917,'Retirement Calculator'!A:A,0),0),0)</f>
        <v>0</v>
      </c>
      <c r="K3917" s="444">
        <f t="shared" ca="1" si="176"/>
        <v>-22096261881.516602</v>
      </c>
      <c r="L3917" s="444">
        <f t="shared" ca="1" si="177"/>
        <v>-5325199113445.501</v>
      </c>
      <c r="M3917" s="460">
        <f t="shared" si="179"/>
        <v>0.05</v>
      </c>
      <c r="N3917" s="464">
        <f t="shared" si="180"/>
        <v>170264</v>
      </c>
    </row>
    <row r="3918" spans="7:14" ht="11.25" customHeight="1" x14ac:dyDescent="0.25">
      <c r="G3918" s="459"/>
      <c r="H3918" s="459">
        <v>3911</v>
      </c>
      <c r="I3918" s="444">
        <f t="shared" ca="1" si="178"/>
        <v>-5325199113445.501</v>
      </c>
      <c r="J3918" s="444">
        <f t="array" ref="J3918">IFERROR(INDEX('Retirement Calculator'!J:J,MATCH('Isaac 401k'!N3918,'Retirement Calculator'!A:A,0),0),0)</f>
        <v>0</v>
      </c>
      <c r="K3918" s="444">
        <f t="shared" ca="1" si="176"/>
        <v>-22188329639.356255</v>
      </c>
      <c r="L3918" s="444">
        <f t="shared" ca="1" si="177"/>
        <v>-5347387443084.8574</v>
      </c>
      <c r="M3918" s="460">
        <f t="shared" si="179"/>
        <v>0.05</v>
      </c>
      <c r="N3918" s="464">
        <f t="shared" si="180"/>
        <v>170295</v>
      </c>
    </row>
    <row r="3919" spans="7:14" ht="11.25" customHeight="1" x14ac:dyDescent="0.25">
      <c r="G3919" s="459"/>
      <c r="H3919" s="459">
        <v>3912</v>
      </c>
      <c r="I3919" s="444">
        <f t="shared" ca="1" si="178"/>
        <v>-5347387443084.8574</v>
      </c>
      <c r="J3919" s="444">
        <f t="array" ref="J3919">IFERROR(INDEX('Retirement Calculator'!J:J,MATCH('Isaac 401k'!N3919,'Retirement Calculator'!A:A,0),0),0)</f>
        <v>0</v>
      </c>
      <c r="K3919" s="444">
        <f t="shared" ca="1" si="176"/>
        <v>-22280781012.853573</v>
      </c>
      <c r="L3919" s="444">
        <f t="shared" ca="1" si="177"/>
        <v>-5369668224097.7109</v>
      </c>
      <c r="M3919" s="460">
        <f t="shared" si="179"/>
        <v>0.05</v>
      </c>
      <c r="N3919" s="464">
        <f t="shared" si="180"/>
        <v>170325</v>
      </c>
    </row>
    <row r="3920" spans="7:14" ht="11.25" customHeight="1" x14ac:dyDescent="0.25">
      <c r="G3920" s="459"/>
      <c r="H3920" s="459">
        <v>3913</v>
      </c>
      <c r="I3920" s="444">
        <f t="shared" ca="1" si="178"/>
        <v>-5369668224097.7109</v>
      </c>
      <c r="J3920" s="444">
        <f t="array" ref="J3920">IFERROR(INDEX('Retirement Calculator'!J:J,MATCH('Isaac 401k'!N3920,'Retirement Calculator'!A:A,0),0),0)</f>
        <v>0</v>
      </c>
      <c r="K3920" s="444">
        <f t="shared" ca="1" si="176"/>
        <v>-22373617600.407127</v>
      </c>
      <c r="L3920" s="444">
        <f t="shared" ca="1" si="177"/>
        <v>-5392041841698.1182</v>
      </c>
      <c r="M3920" s="460">
        <f t="shared" si="179"/>
        <v>0.05</v>
      </c>
      <c r="N3920" s="464">
        <f t="shared" si="180"/>
        <v>170356</v>
      </c>
    </row>
    <row r="3921" spans="7:14" ht="11.25" customHeight="1" x14ac:dyDescent="0.25">
      <c r="G3921" s="459"/>
      <c r="H3921" s="459">
        <v>3914</v>
      </c>
      <c r="I3921" s="444">
        <f t="shared" ca="1" si="178"/>
        <v>-5392041841698.1182</v>
      </c>
      <c r="J3921" s="444">
        <f t="array" ref="J3921">IFERROR(INDEX('Retirement Calculator'!J:J,MATCH('Isaac 401k'!N3921,'Retirement Calculator'!A:A,0),0),0)</f>
        <v>0</v>
      </c>
      <c r="K3921" s="444">
        <f t="shared" ca="1" si="176"/>
        <v>-22466841007.075493</v>
      </c>
      <c r="L3921" s="444">
        <f t="shared" ca="1" si="177"/>
        <v>-5414508682705.1934</v>
      </c>
      <c r="M3921" s="460">
        <f t="shared" si="179"/>
        <v>0.05</v>
      </c>
      <c r="N3921" s="464">
        <f t="shared" si="180"/>
        <v>170386</v>
      </c>
    </row>
    <row r="3922" spans="7:14" ht="11.25" customHeight="1" x14ac:dyDescent="0.25">
      <c r="G3922" s="459"/>
      <c r="H3922" s="459">
        <v>3915</v>
      </c>
      <c r="I3922" s="444">
        <f t="shared" ca="1" si="178"/>
        <v>-5414508682705.1934</v>
      </c>
      <c r="J3922" s="444">
        <f t="array" ref="J3922">IFERROR(INDEX('Retirement Calculator'!J:J,MATCH('Isaac 401k'!N3922,'Retirement Calculator'!A:A,0),0),0)</f>
        <v>0</v>
      </c>
      <c r="K3922" s="444">
        <f t="shared" ca="1" si="176"/>
        <v>-22560452844.604973</v>
      </c>
      <c r="L3922" s="444">
        <f t="shared" ca="1" si="177"/>
        <v>-5437069135549.7979</v>
      </c>
      <c r="M3922" s="460">
        <f t="shared" si="179"/>
        <v>0.05</v>
      </c>
      <c r="N3922" s="464">
        <f t="shared" si="180"/>
        <v>170417</v>
      </c>
    </row>
    <row r="3923" spans="7:14" ht="11.25" customHeight="1" x14ac:dyDescent="0.25">
      <c r="G3923" s="459"/>
      <c r="H3923" s="459">
        <v>3916</v>
      </c>
      <c r="I3923" s="444">
        <f t="shared" ca="1" si="178"/>
        <v>-5437069135549.7979</v>
      </c>
      <c r="J3923" s="444">
        <f t="array" ref="J3923">IFERROR(INDEX('Retirement Calculator'!J:J,MATCH('Isaac 401k'!N3923,'Retirement Calculator'!A:A,0),0),0)</f>
        <v>0</v>
      </c>
      <c r="K3923" s="444">
        <f t="shared" ca="1" si="176"/>
        <v>-22654454731.457489</v>
      </c>
      <c r="L3923" s="444">
        <f t="shared" ca="1" si="177"/>
        <v>-5459723590281.2549</v>
      </c>
      <c r="M3923" s="460">
        <f t="shared" si="179"/>
        <v>0.05</v>
      </c>
      <c r="N3923" s="464">
        <f t="shared" si="180"/>
        <v>170448</v>
      </c>
    </row>
    <row r="3924" spans="7:14" ht="11.25" customHeight="1" x14ac:dyDescent="0.25">
      <c r="G3924" s="459"/>
      <c r="H3924" s="459">
        <v>3917</v>
      </c>
      <c r="I3924" s="444">
        <f t="shared" ca="1" si="178"/>
        <v>-5459723590281.2549</v>
      </c>
      <c r="J3924" s="444">
        <f t="array" ref="J3924">IFERROR(INDEX('Retirement Calculator'!J:J,MATCH('Isaac 401k'!N3924,'Retirement Calculator'!A:A,0),0),0)</f>
        <v>0</v>
      </c>
      <c r="K3924" s="444">
        <f t="shared" ca="1" si="176"/>
        <v>-22748848292.838562</v>
      </c>
      <c r="L3924" s="444">
        <f t="shared" ca="1" si="177"/>
        <v>-5482472438574.0938</v>
      </c>
      <c r="M3924" s="460">
        <f t="shared" si="179"/>
        <v>0.05</v>
      </c>
      <c r="N3924" s="464">
        <f t="shared" si="180"/>
        <v>170478</v>
      </c>
    </row>
    <row r="3925" spans="7:14" ht="11.25" customHeight="1" x14ac:dyDescent="0.25">
      <c r="G3925" s="459"/>
      <c r="H3925" s="459">
        <v>3918</v>
      </c>
      <c r="I3925" s="444">
        <f t="shared" ca="1" si="178"/>
        <v>-5482472438574.0938</v>
      </c>
      <c r="J3925" s="444">
        <f t="array" ref="J3925">IFERROR(INDEX('Retirement Calculator'!J:J,MATCH('Isaac 401k'!N3925,'Retirement Calculator'!A:A,0),0),0)</f>
        <v>0</v>
      </c>
      <c r="K3925" s="444">
        <f t="shared" ca="1" si="176"/>
        <v>-22843635160.725391</v>
      </c>
      <c r="L3925" s="444">
        <f t="shared" ca="1" si="177"/>
        <v>-5505316073734.8193</v>
      </c>
      <c r="M3925" s="460">
        <f t="shared" si="179"/>
        <v>0.05</v>
      </c>
      <c r="N3925" s="464">
        <f t="shared" si="180"/>
        <v>170509</v>
      </c>
    </row>
    <row r="3926" spans="7:14" ht="11.25" customHeight="1" x14ac:dyDescent="0.25">
      <c r="G3926" s="459"/>
      <c r="H3926" s="459">
        <v>3919</v>
      </c>
      <c r="I3926" s="444">
        <f t="shared" ca="1" si="178"/>
        <v>-5505316073734.8193</v>
      </c>
      <c r="J3926" s="444">
        <f t="array" ref="J3926">IFERROR(INDEX('Retirement Calculator'!J:J,MATCH('Isaac 401k'!N3926,'Retirement Calculator'!A:A,0),0),0)</f>
        <v>0</v>
      </c>
      <c r="K3926" s="444">
        <f t="shared" ca="1" si="176"/>
        <v>-22938816973.895081</v>
      </c>
      <c r="L3926" s="444">
        <f t="shared" ca="1" si="177"/>
        <v>-5528254890708.7148</v>
      </c>
      <c r="M3926" s="460">
        <f t="shared" si="179"/>
        <v>0.05</v>
      </c>
      <c r="N3926" s="464">
        <f t="shared" si="180"/>
        <v>170539</v>
      </c>
    </row>
    <row r="3927" spans="7:14" ht="11.25" customHeight="1" x14ac:dyDescent="0.25">
      <c r="G3927" s="459"/>
      <c r="H3927" s="459">
        <v>3920</v>
      </c>
      <c r="I3927" s="444">
        <f t="shared" ca="1" si="178"/>
        <v>-5528254890708.7148</v>
      </c>
      <c r="J3927" s="444">
        <f t="array" ref="J3927">IFERROR(INDEX('Retirement Calculator'!J:J,MATCH('Isaac 401k'!N3927,'Retirement Calculator'!A:A,0),0),0)</f>
        <v>0</v>
      </c>
      <c r="K3927" s="444">
        <f t="shared" ca="1" si="176"/>
        <v>-23034395377.95298</v>
      </c>
      <c r="L3927" s="444">
        <f t="shared" ca="1" si="177"/>
        <v>-5551289286086.668</v>
      </c>
      <c r="M3927" s="460">
        <f t="shared" si="179"/>
        <v>0.05</v>
      </c>
      <c r="N3927" s="464">
        <f t="shared" si="180"/>
        <v>170570</v>
      </c>
    </row>
    <row r="3928" spans="7:14" ht="11.25" customHeight="1" x14ac:dyDescent="0.25">
      <c r="G3928" s="459"/>
      <c r="H3928" s="459">
        <v>3921</v>
      </c>
      <c r="I3928" s="444">
        <f t="shared" ca="1" si="178"/>
        <v>-5551289286086.668</v>
      </c>
      <c r="J3928" s="444">
        <f t="array" ref="J3928">IFERROR(INDEX('Retirement Calculator'!J:J,MATCH('Isaac 401k'!N3928,'Retirement Calculator'!A:A,0),0),0)</f>
        <v>0</v>
      </c>
      <c r="K3928" s="444">
        <f t="shared" ca="1" si="176"/>
        <v>-23130372025.361115</v>
      </c>
      <c r="L3928" s="444">
        <f t="shared" ca="1" si="177"/>
        <v>-5574419658112.0293</v>
      </c>
      <c r="M3928" s="460">
        <f t="shared" si="179"/>
        <v>0.05</v>
      </c>
      <c r="N3928" s="464">
        <f t="shared" si="180"/>
        <v>170601</v>
      </c>
    </row>
    <row r="3929" spans="7:14" ht="11.25" customHeight="1" x14ac:dyDescent="0.25">
      <c r="G3929" s="459"/>
      <c r="H3929" s="459">
        <v>3922</v>
      </c>
      <c r="I3929" s="444">
        <f t="shared" ca="1" si="178"/>
        <v>-5574419658112.0293</v>
      </c>
      <c r="J3929" s="444">
        <f t="array" ref="J3929">IFERROR(INDEX('Retirement Calculator'!J:J,MATCH('Isaac 401k'!N3929,'Retirement Calculator'!A:A,0),0),0)</f>
        <v>0</v>
      </c>
      <c r="K3929" s="444">
        <f t="shared" ca="1" si="176"/>
        <v>-23226748575.466789</v>
      </c>
      <c r="L3929" s="444">
        <f t="shared" ca="1" si="177"/>
        <v>-5597646406687.4961</v>
      </c>
      <c r="M3929" s="460">
        <f t="shared" si="179"/>
        <v>0.05</v>
      </c>
      <c r="N3929" s="464">
        <f t="shared" si="180"/>
        <v>170629</v>
      </c>
    </row>
    <row r="3930" spans="7:14" ht="11.25" customHeight="1" x14ac:dyDescent="0.25">
      <c r="G3930" s="459"/>
      <c r="H3930" s="459">
        <v>3923</v>
      </c>
      <c r="I3930" s="444">
        <f t="shared" ca="1" si="178"/>
        <v>-5597646406687.4961</v>
      </c>
      <c r="J3930" s="444">
        <f t="array" ref="J3930">IFERROR(INDEX('Retirement Calculator'!J:J,MATCH('Isaac 401k'!N3930,'Retirement Calculator'!A:A,0),0),0)</f>
        <v>0</v>
      </c>
      <c r="K3930" s="444">
        <f t="shared" ca="1" si="176"/>
        <v>-23323526694.531235</v>
      </c>
      <c r="L3930" s="444">
        <f t="shared" ca="1" si="177"/>
        <v>-5620969933382.0273</v>
      </c>
      <c r="M3930" s="460">
        <f t="shared" si="179"/>
        <v>0.05</v>
      </c>
      <c r="N3930" s="464">
        <f t="shared" si="180"/>
        <v>170660</v>
      </c>
    </row>
    <row r="3931" spans="7:14" ht="11.25" customHeight="1" x14ac:dyDescent="0.25">
      <c r="G3931" s="459"/>
      <c r="H3931" s="459">
        <v>3924</v>
      </c>
      <c r="I3931" s="444">
        <f t="shared" ca="1" si="178"/>
        <v>-5620969933382.0273</v>
      </c>
      <c r="J3931" s="444">
        <f t="array" ref="J3931">IFERROR(INDEX('Retirement Calculator'!J:J,MATCH('Isaac 401k'!N3931,'Retirement Calculator'!A:A,0),0),0)</f>
        <v>0</v>
      </c>
      <c r="K3931" s="444">
        <f t="shared" ca="1" si="176"/>
        <v>-23420708055.758446</v>
      </c>
      <c r="L3931" s="444">
        <f t="shared" ca="1" si="177"/>
        <v>-5644390641437.7861</v>
      </c>
      <c r="M3931" s="460">
        <f t="shared" si="179"/>
        <v>0.05</v>
      </c>
      <c r="N3931" s="464">
        <f t="shared" si="180"/>
        <v>170690</v>
      </c>
    </row>
    <row r="3932" spans="7:14" ht="11.25" customHeight="1" x14ac:dyDescent="0.25">
      <c r="G3932" s="459"/>
      <c r="H3932" s="459">
        <v>3925</v>
      </c>
      <c r="I3932" s="444">
        <f t="shared" ca="1" si="178"/>
        <v>-5644390641437.7861</v>
      </c>
      <c r="J3932" s="444">
        <f t="array" ref="J3932">IFERROR(INDEX('Retirement Calculator'!J:J,MATCH('Isaac 401k'!N3932,'Retirement Calculator'!A:A,0),0),0)</f>
        <v>0</v>
      </c>
      <c r="K3932" s="444">
        <f t="shared" ca="1" si="176"/>
        <v>-23518294339.324108</v>
      </c>
      <c r="L3932" s="444">
        <f t="shared" ca="1" si="177"/>
        <v>-5667908935777.1104</v>
      </c>
      <c r="M3932" s="460">
        <f t="shared" si="179"/>
        <v>0.05</v>
      </c>
      <c r="N3932" s="464">
        <f t="shared" si="180"/>
        <v>170721</v>
      </c>
    </row>
    <row r="3933" spans="7:14" ht="11.25" customHeight="1" x14ac:dyDescent="0.25">
      <c r="G3933" s="459"/>
      <c r="H3933" s="459">
        <v>3926</v>
      </c>
      <c r="I3933" s="444">
        <f t="shared" ca="1" si="178"/>
        <v>-5667908935777.1104</v>
      </c>
      <c r="J3933" s="444">
        <f t="array" ref="J3933">IFERROR(INDEX('Retirement Calculator'!J:J,MATCH('Isaac 401k'!N3933,'Retirement Calculator'!A:A,0),0),0)</f>
        <v>0</v>
      </c>
      <c r="K3933" s="444">
        <f t="shared" ca="1" si="176"/>
        <v>-23616287232.404625</v>
      </c>
      <c r="L3933" s="444">
        <f t="shared" ca="1" si="177"/>
        <v>-5691525223009.5146</v>
      </c>
      <c r="M3933" s="460">
        <f t="shared" si="179"/>
        <v>0.05</v>
      </c>
      <c r="N3933" s="464">
        <f t="shared" si="180"/>
        <v>170751</v>
      </c>
    </row>
    <row r="3934" spans="7:14" ht="11.25" customHeight="1" x14ac:dyDescent="0.25">
      <c r="G3934" s="459"/>
      <c r="H3934" s="459">
        <v>3927</v>
      </c>
      <c r="I3934" s="444">
        <f t="shared" ca="1" si="178"/>
        <v>-5691525223009.5146</v>
      </c>
      <c r="J3934" s="444">
        <f t="array" ref="J3934">IFERROR(INDEX('Retirement Calculator'!J:J,MATCH('Isaac 401k'!N3934,'Retirement Calculator'!A:A,0),0),0)</f>
        <v>0</v>
      </c>
      <c r="K3934" s="444">
        <f t="shared" ca="1" si="176"/>
        <v>-23714688429.20631</v>
      </c>
      <c r="L3934" s="444">
        <f t="shared" ca="1" si="177"/>
        <v>-5715239911438.7207</v>
      </c>
      <c r="M3934" s="460">
        <f t="shared" si="179"/>
        <v>0.05</v>
      </c>
      <c r="N3934" s="464">
        <f t="shared" si="180"/>
        <v>170782</v>
      </c>
    </row>
    <row r="3935" spans="7:14" ht="11.25" customHeight="1" x14ac:dyDescent="0.25">
      <c r="G3935" s="459"/>
      <c r="H3935" s="459">
        <v>3928</v>
      </c>
      <c r="I3935" s="444">
        <f t="shared" ca="1" si="178"/>
        <v>-5715239911438.7207</v>
      </c>
      <c r="J3935" s="444">
        <f t="array" ref="J3935">IFERROR(INDEX('Retirement Calculator'!J:J,MATCH('Isaac 401k'!N3935,'Retirement Calculator'!A:A,0),0),0)</f>
        <v>0</v>
      </c>
      <c r="K3935" s="444">
        <f t="shared" ca="1" si="176"/>
        <v>-23813499630.994671</v>
      </c>
      <c r="L3935" s="444">
        <f t="shared" ca="1" si="177"/>
        <v>-5739053411069.7158</v>
      </c>
      <c r="M3935" s="460">
        <f t="shared" si="179"/>
        <v>0.05</v>
      </c>
      <c r="N3935" s="464">
        <f t="shared" si="180"/>
        <v>170813</v>
      </c>
    </row>
    <row r="3936" spans="7:14" ht="11.25" customHeight="1" x14ac:dyDescent="0.25">
      <c r="G3936" s="459"/>
      <c r="H3936" s="459">
        <v>3929</v>
      </c>
      <c r="I3936" s="444">
        <f t="shared" ca="1" si="178"/>
        <v>-5739053411069.7158</v>
      </c>
      <c r="J3936" s="444">
        <f t="array" ref="J3936">IFERROR(INDEX('Retirement Calculator'!J:J,MATCH('Isaac 401k'!N3936,'Retirement Calculator'!A:A,0),0),0)</f>
        <v>0</v>
      </c>
      <c r="K3936" s="444">
        <f t="shared" ca="1" si="176"/>
        <v>-23912722546.123817</v>
      </c>
      <c r="L3936" s="444">
        <f t="shared" ca="1" si="177"/>
        <v>-5762966133615.8398</v>
      </c>
      <c r="M3936" s="460">
        <f t="shared" si="179"/>
        <v>0.05</v>
      </c>
      <c r="N3936" s="464">
        <f t="shared" si="180"/>
        <v>170843</v>
      </c>
    </row>
    <row r="3937" spans="7:14" ht="11.25" customHeight="1" x14ac:dyDescent="0.25">
      <c r="G3937" s="459"/>
      <c r="H3937" s="459">
        <v>3930</v>
      </c>
      <c r="I3937" s="444">
        <f t="shared" ca="1" si="178"/>
        <v>-5762966133615.8398</v>
      </c>
      <c r="J3937" s="444">
        <f t="array" ref="J3937">IFERROR(INDEX('Retirement Calculator'!J:J,MATCH('Isaac 401k'!N3937,'Retirement Calculator'!A:A,0),0),0)</f>
        <v>0</v>
      </c>
      <c r="K3937" s="444">
        <f t="shared" ca="1" si="176"/>
        <v>-24012358890.065998</v>
      </c>
      <c r="L3937" s="444">
        <f t="shared" ca="1" si="177"/>
        <v>-5786978492505.9063</v>
      </c>
      <c r="M3937" s="460">
        <f t="shared" si="179"/>
        <v>0.05</v>
      </c>
      <c r="N3937" s="464">
        <f t="shared" si="180"/>
        <v>170874</v>
      </c>
    </row>
    <row r="3938" spans="7:14" ht="11.25" customHeight="1" x14ac:dyDescent="0.25">
      <c r="G3938" s="459"/>
      <c r="H3938" s="459">
        <v>3931</v>
      </c>
      <c r="I3938" s="444">
        <f t="shared" ca="1" si="178"/>
        <v>-5786978492505.9063</v>
      </c>
      <c r="J3938" s="444">
        <f t="array" ref="J3938">IFERROR(INDEX('Retirement Calculator'!J:J,MATCH('Isaac 401k'!N3938,'Retirement Calculator'!A:A,0),0),0)</f>
        <v>0</v>
      </c>
      <c r="K3938" s="444">
        <f t="shared" ca="1" si="176"/>
        <v>-24112410385.441277</v>
      </c>
      <c r="L3938" s="444">
        <f t="shared" ca="1" si="177"/>
        <v>-5811090902891.3477</v>
      </c>
      <c r="M3938" s="460">
        <f t="shared" si="179"/>
        <v>0.05</v>
      </c>
      <c r="N3938" s="464">
        <f t="shared" si="180"/>
        <v>170904</v>
      </c>
    </row>
    <row r="3939" spans="7:14" ht="11.25" customHeight="1" x14ac:dyDescent="0.25">
      <c r="G3939" s="459"/>
      <c r="H3939" s="459">
        <v>3932</v>
      </c>
      <c r="I3939" s="444">
        <f t="shared" ca="1" si="178"/>
        <v>-5811090902891.3477</v>
      </c>
      <c r="J3939" s="444">
        <f t="array" ref="J3939">IFERROR(INDEX('Retirement Calculator'!J:J,MATCH('Isaac 401k'!N3939,'Retirement Calculator'!A:A,0),0),0)</f>
        <v>0</v>
      </c>
      <c r="K3939" s="444">
        <f t="shared" ca="1" si="176"/>
        <v>-24212878762.047283</v>
      </c>
      <c r="L3939" s="444">
        <f t="shared" ca="1" si="177"/>
        <v>-5835303781653.3945</v>
      </c>
      <c r="M3939" s="460">
        <f t="shared" si="179"/>
        <v>0.05</v>
      </c>
      <c r="N3939" s="464">
        <f t="shared" si="180"/>
        <v>170935</v>
      </c>
    </row>
    <row r="3940" spans="7:14" ht="11.25" customHeight="1" x14ac:dyDescent="0.25">
      <c r="G3940" s="459"/>
      <c r="H3940" s="459">
        <v>3933</v>
      </c>
      <c r="I3940" s="444">
        <f t="shared" ca="1" si="178"/>
        <v>-5835303781653.3945</v>
      </c>
      <c r="J3940" s="444">
        <f t="array" ref="J3940">IFERROR(INDEX('Retirement Calculator'!J:J,MATCH('Isaac 401k'!N3940,'Retirement Calculator'!A:A,0),0),0)</f>
        <v>0</v>
      </c>
      <c r="K3940" s="444">
        <f t="shared" ca="1" si="176"/>
        <v>-24313765756.889145</v>
      </c>
      <c r="L3940" s="444">
        <f t="shared" ca="1" si="177"/>
        <v>-5859617547410.2832</v>
      </c>
      <c r="M3940" s="460">
        <f t="shared" si="179"/>
        <v>0.05</v>
      </c>
      <c r="N3940" s="464">
        <f t="shared" si="180"/>
        <v>170966</v>
      </c>
    </row>
    <row r="3941" spans="7:14" ht="11.25" customHeight="1" x14ac:dyDescent="0.25">
      <c r="G3941" s="459"/>
      <c r="H3941" s="459">
        <v>3934</v>
      </c>
      <c r="I3941" s="444">
        <f t="shared" ca="1" si="178"/>
        <v>-5859617547410.2832</v>
      </c>
      <c r="J3941" s="444">
        <f t="array" ref="J3941">IFERROR(INDEX('Retirement Calculator'!J:J,MATCH('Isaac 401k'!N3941,'Retirement Calculator'!A:A,0),0),0)</f>
        <v>0</v>
      </c>
      <c r="K3941" s="444">
        <f t="shared" ca="1" si="176"/>
        <v>-24415073114.209515</v>
      </c>
      <c r="L3941" s="444">
        <f t="shared" ca="1" si="177"/>
        <v>-5884032620524.4932</v>
      </c>
      <c r="M3941" s="460">
        <f t="shared" si="179"/>
        <v>0.05</v>
      </c>
      <c r="N3941" s="464">
        <f t="shared" si="180"/>
        <v>170995</v>
      </c>
    </row>
    <row r="3942" spans="7:14" ht="11.25" customHeight="1" x14ac:dyDescent="0.25">
      <c r="G3942" s="459"/>
      <c r="H3942" s="459">
        <v>3935</v>
      </c>
      <c r="I3942" s="444">
        <f t="shared" ca="1" si="178"/>
        <v>-5884032620524.4932</v>
      </c>
      <c r="J3942" s="444">
        <f t="array" ref="J3942">IFERROR(INDEX('Retirement Calculator'!J:J,MATCH('Isaac 401k'!N3942,'Retirement Calculator'!A:A,0),0),0)</f>
        <v>0</v>
      </c>
      <c r="K3942" s="444">
        <f t="shared" ca="1" si="176"/>
        <v>-24516802585.518723</v>
      </c>
      <c r="L3942" s="444">
        <f t="shared" ca="1" si="177"/>
        <v>-5908549423110.0117</v>
      </c>
      <c r="M3942" s="460">
        <f t="shared" si="179"/>
        <v>0.05</v>
      </c>
      <c r="N3942" s="464">
        <f t="shared" si="180"/>
        <v>171026</v>
      </c>
    </row>
    <row r="3943" spans="7:14" ht="11.25" customHeight="1" x14ac:dyDescent="0.25">
      <c r="G3943" s="459"/>
      <c r="H3943" s="459">
        <v>3936</v>
      </c>
      <c r="I3943" s="444">
        <f t="shared" ca="1" si="178"/>
        <v>-5908549423110.0117</v>
      </c>
      <c r="J3943" s="444">
        <f t="array" ref="J3943">IFERROR(INDEX('Retirement Calculator'!J:J,MATCH('Isaac 401k'!N3943,'Retirement Calculator'!A:A,0),0),0)</f>
        <v>0</v>
      </c>
      <c r="K3943" s="444">
        <f t="shared" ca="1" si="176"/>
        <v>-24618955929.62505</v>
      </c>
      <c r="L3943" s="444">
        <f t="shared" ca="1" si="177"/>
        <v>-5933168379039.6367</v>
      </c>
      <c r="M3943" s="460">
        <f t="shared" si="179"/>
        <v>0.05</v>
      </c>
      <c r="N3943" s="464">
        <f t="shared" si="180"/>
        <v>171056</v>
      </c>
    </row>
    <row r="3944" spans="7:14" ht="11.25" customHeight="1" x14ac:dyDescent="0.25">
      <c r="G3944" s="459"/>
      <c r="H3944" s="459">
        <v>3937</v>
      </c>
      <c r="I3944" s="444">
        <f t="shared" ca="1" si="178"/>
        <v>-5933168379039.6367</v>
      </c>
      <c r="J3944" s="444">
        <f t="array" ref="J3944">IFERROR(INDEX('Retirement Calculator'!J:J,MATCH('Isaac 401k'!N3944,'Retirement Calculator'!A:A,0),0),0)</f>
        <v>0</v>
      </c>
      <c r="K3944" s="444">
        <f t="shared" ca="1" si="176"/>
        <v>-24721534912.665154</v>
      </c>
      <c r="L3944" s="444">
        <f t="shared" ca="1" si="177"/>
        <v>-5957889913952.3018</v>
      </c>
      <c r="M3944" s="460">
        <f t="shared" si="179"/>
        <v>0.05</v>
      </c>
      <c r="N3944" s="464">
        <f t="shared" si="180"/>
        <v>171087</v>
      </c>
    </row>
    <row r="3945" spans="7:14" ht="11.25" customHeight="1" x14ac:dyDescent="0.25">
      <c r="G3945" s="459"/>
      <c r="H3945" s="459">
        <v>3938</v>
      </c>
      <c r="I3945" s="444">
        <f t="shared" ca="1" si="178"/>
        <v>-5957889913952.3018</v>
      </c>
      <c r="J3945" s="444">
        <f t="array" ref="J3945">IFERROR(INDEX('Retirement Calculator'!J:J,MATCH('Isaac 401k'!N3945,'Retirement Calculator'!A:A,0),0),0)</f>
        <v>0</v>
      </c>
      <c r="K3945" s="444">
        <f t="shared" ca="1" si="176"/>
        <v>-24824541308.13459</v>
      </c>
      <c r="L3945" s="444">
        <f t="shared" ca="1" si="177"/>
        <v>-5982714455260.4365</v>
      </c>
      <c r="M3945" s="460">
        <f t="shared" si="179"/>
        <v>0.05</v>
      </c>
      <c r="N3945" s="464">
        <f t="shared" si="180"/>
        <v>171117</v>
      </c>
    </row>
    <row r="3946" spans="7:14" ht="11.25" customHeight="1" x14ac:dyDescent="0.25">
      <c r="G3946" s="459"/>
      <c r="H3946" s="459">
        <v>3939</v>
      </c>
      <c r="I3946" s="444">
        <f t="shared" ca="1" si="178"/>
        <v>-5982714455260.4365</v>
      </c>
      <c r="J3946" s="444">
        <f t="array" ref="J3946">IFERROR(INDEX('Retirement Calculator'!J:J,MATCH('Isaac 401k'!N3946,'Retirement Calculator'!A:A,0),0),0)</f>
        <v>0</v>
      </c>
      <c r="K3946" s="444">
        <f t="shared" ca="1" si="176"/>
        <v>-24927976896.918484</v>
      </c>
      <c r="L3946" s="444">
        <f t="shared" ca="1" si="177"/>
        <v>-6007642432157.3555</v>
      </c>
      <c r="M3946" s="460">
        <f t="shared" si="179"/>
        <v>0.05</v>
      </c>
      <c r="N3946" s="464">
        <f t="shared" si="180"/>
        <v>171148</v>
      </c>
    </row>
    <row r="3947" spans="7:14" ht="11.25" customHeight="1" x14ac:dyDescent="0.25">
      <c r="G3947" s="459"/>
      <c r="H3947" s="459">
        <v>3940</v>
      </c>
      <c r="I3947" s="444">
        <f t="shared" ca="1" si="178"/>
        <v>-6007642432157.3555</v>
      </c>
      <c r="J3947" s="444">
        <f t="array" ref="J3947">IFERROR(INDEX('Retirement Calculator'!J:J,MATCH('Isaac 401k'!N3947,'Retirement Calculator'!A:A,0),0),0)</f>
        <v>0</v>
      </c>
      <c r="K3947" s="444">
        <f t="shared" ca="1" si="176"/>
        <v>-25031843467.322315</v>
      </c>
      <c r="L3947" s="444">
        <f t="shared" ca="1" si="177"/>
        <v>-6032674275624.6777</v>
      </c>
      <c r="M3947" s="460">
        <f t="shared" si="179"/>
        <v>0.05</v>
      </c>
      <c r="N3947" s="464">
        <f t="shared" si="180"/>
        <v>171179</v>
      </c>
    </row>
    <row r="3948" spans="7:14" ht="11.25" customHeight="1" x14ac:dyDescent="0.25">
      <c r="G3948" s="459"/>
      <c r="H3948" s="459">
        <v>3941</v>
      </c>
      <c r="I3948" s="444">
        <f t="shared" ca="1" si="178"/>
        <v>-6032674275624.6777</v>
      </c>
      <c r="J3948" s="444">
        <f t="array" ref="J3948">IFERROR(INDEX('Retirement Calculator'!J:J,MATCH('Isaac 401k'!N3948,'Retirement Calculator'!A:A,0),0),0)</f>
        <v>0</v>
      </c>
      <c r="K3948" s="444">
        <f t="shared" ca="1" si="176"/>
        <v>-25136142815.102825</v>
      </c>
      <c r="L3948" s="444">
        <f t="shared" ca="1" si="177"/>
        <v>-6057810418439.7803</v>
      </c>
      <c r="M3948" s="460">
        <f t="shared" si="179"/>
        <v>0.05</v>
      </c>
      <c r="N3948" s="464">
        <f t="shared" si="180"/>
        <v>171209</v>
      </c>
    </row>
    <row r="3949" spans="7:14" ht="11.25" customHeight="1" x14ac:dyDescent="0.25">
      <c r="G3949" s="459"/>
      <c r="H3949" s="459">
        <v>3942</v>
      </c>
      <c r="I3949" s="444">
        <f t="shared" ca="1" si="178"/>
        <v>-6057810418439.7803</v>
      </c>
      <c r="J3949" s="444">
        <f t="array" ref="J3949">IFERROR(INDEX('Retirement Calculator'!J:J,MATCH('Isaac 401k'!N3949,'Retirement Calculator'!A:A,0),0),0)</f>
        <v>0</v>
      </c>
      <c r="K3949" s="444">
        <f t="shared" ca="1" si="176"/>
        <v>-25240876743.499084</v>
      </c>
      <c r="L3949" s="444">
        <f t="shared" ca="1" si="177"/>
        <v>-6083051295183.2793</v>
      </c>
      <c r="M3949" s="460">
        <f t="shared" si="179"/>
        <v>0.05</v>
      </c>
      <c r="N3949" s="464">
        <f t="shared" si="180"/>
        <v>171240</v>
      </c>
    </row>
    <row r="3950" spans="7:14" ht="11.25" customHeight="1" x14ac:dyDescent="0.25">
      <c r="G3950" s="459"/>
      <c r="H3950" s="459">
        <v>3943</v>
      </c>
      <c r="I3950" s="444">
        <f t="shared" ca="1" si="178"/>
        <v>-6083051295183.2793</v>
      </c>
      <c r="J3950" s="444">
        <f t="array" ref="J3950">IFERROR(INDEX('Retirement Calculator'!J:J,MATCH('Isaac 401k'!N3950,'Retirement Calculator'!A:A,0),0),0)</f>
        <v>0</v>
      </c>
      <c r="K3950" s="444">
        <f t="shared" ca="1" si="176"/>
        <v>-25346047063.263664</v>
      </c>
      <c r="L3950" s="444">
        <f t="shared" ca="1" si="177"/>
        <v>-6108397342246.543</v>
      </c>
      <c r="M3950" s="460">
        <f t="shared" si="179"/>
        <v>0.05</v>
      </c>
      <c r="N3950" s="464">
        <f t="shared" si="180"/>
        <v>171270</v>
      </c>
    </row>
    <row r="3951" spans="7:14" ht="11.25" customHeight="1" x14ac:dyDescent="0.25">
      <c r="G3951" s="459"/>
      <c r="H3951" s="459">
        <v>3944</v>
      </c>
      <c r="I3951" s="444">
        <f t="shared" ca="1" si="178"/>
        <v>-6108397342246.543</v>
      </c>
      <c r="J3951" s="444">
        <f t="array" ref="J3951">IFERROR(INDEX('Retirement Calculator'!J:J,MATCH('Isaac 401k'!N3951,'Retirement Calculator'!A:A,0),0),0)</f>
        <v>0</v>
      </c>
      <c r="K3951" s="444">
        <f t="shared" ca="1" si="176"/>
        <v>-25451655592.693928</v>
      </c>
      <c r="L3951" s="444">
        <f t="shared" ca="1" si="177"/>
        <v>-6133848997839.2373</v>
      </c>
      <c r="M3951" s="460">
        <f t="shared" si="179"/>
        <v>0.05</v>
      </c>
      <c r="N3951" s="464">
        <f t="shared" si="180"/>
        <v>171301</v>
      </c>
    </row>
    <row r="3952" spans="7:14" ht="11.25" customHeight="1" x14ac:dyDescent="0.25">
      <c r="G3952" s="459"/>
      <c r="H3952" s="459">
        <v>3945</v>
      </c>
      <c r="I3952" s="444">
        <f t="shared" ca="1" si="178"/>
        <v>-6133848997839.2373</v>
      </c>
      <c r="J3952" s="444">
        <f t="array" ref="J3952">IFERROR(INDEX('Retirement Calculator'!J:J,MATCH('Isaac 401k'!N3952,'Retirement Calculator'!A:A,0),0),0)</f>
        <v>0</v>
      </c>
      <c r="K3952" s="444">
        <f t="shared" ca="1" si="176"/>
        <v>-25557704157.66349</v>
      </c>
      <c r="L3952" s="444">
        <f t="shared" ca="1" si="177"/>
        <v>-6159406701996.9004</v>
      </c>
      <c r="M3952" s="460">
        <f t="shared" si="179"/>
        <v>0.05</v>
      </c>
      <c r="N3952" s="464">
        <f t="shared" si="180"/>
        <v>171332</v>
      </c>
    </row>
    <row r="3953" spans="7:14" ht="11.25" customHeight="1" x14ac:dyDescent="0.25">
      <c r="G3953" s="459"/>
      <c r="H3953" s="459">
        <v>3946</v>
      </c>
      <c r="I3953" s="444">
        <f t="shared" ca="1" si="178"/>
        <v>-6159406701996.9004</v>
      </c>
      <c r="J3953" s="444">
        <f t="array" ref="J3953">IFERROR(INDEX('Retirement Calculator'!J:J,MATCH('Isaac 401k'!N3953,'Retirement Calculator'!A:A,0),0),0)</f>
        <v>0</v>
      </c>
      <c r="K3953" s="444">
        <f t="shared" ca="1" si="176"/>
        <v>-25664194591.653751</v>
      </c>
      <c r="L3953" s="444">
        <f t="shared" ca="1" si="177"/>
        <v>-6185070896588.5537</v>
      </c>
      <c r="M3953" s="460">
        <f t="shared" si="179"/>
        <v>0.05</v>
      </c>
      <c r="N3953" s="464">
        <f t="shared" si="180"/>
        <v>171360</v>
      </c>
    </row>
    <row r="3954" spans="7:14" ht="11.25" customHeight="1" x14ac:dyDescent="0.25">
      <c r="G3954" s="459"/>
      <c r="H3954" s="459">
        <v>3947</v>
      </c>
      <c r="I3954" s="444">
        <f t="shared" ca="1" si="178"/>
        <v>-6185070896588.5537</v>
      </c>
      <c r="J3954" s="444">
        <f t="array" ref="J3954">IFERROR(INDEX('Retirement Calculator'!J:J,MATCH('Isaac 401k'!N3954,'Retirement Calculator'!A:A,0),0),0)</f>
        <v>0</v>
      </c>
      <c r="K3954" s="444">
        <f t="shared" ca="1" si="176"/>
        <v>-25771128735.785641</v>
      </c>
      <c r="L3954" s="444">
        <f t="shared" ca="1" si="177"/>
        <v>-6210842025324.3389</v>
      </c>
      <c r="M3954" s="460">
        <f t="shared" si="179"/>
        <v>0.05</v>
      </c>
      <c r="N3954" s="464">
        <f t="shared" si="180"/>
        <v>171391</v>
      </c>
    </row>
    <row r="3955" spans="7:14" ht="11.25" customHeight="1" x14ac:dyDescent="0.25">
      <c r="G3955" s="459"/>
      <c r="H3955" s="459">
        <v>3948</v>
      </c>
      <c r="I3955" s="444">
        <f t="shared" ca="1" si="178"/>
        <v>-6210842025324.3389</v>
      </c>
      <c r="J3955" s="444">
        <f t="array" ref="J3955">IFERROR(INDEX('Retirement Calculator'!J:J,MATCH('Isaac 401k'!N3955,'Retirement Calculator'!A:A,0),0),0)</f>
        <v>0</v>
      </c>
      <c r="K3955" s="444">
        <f t="shared" ca="1" si="176"/>
        <v>-25878508438.85141</v>
      </c>
      <c r="L3955" s="444">
        <f t="shared" ca="1" si="177"/>
        <v>-6236720533763.1904</v>
      </c>
      <c r="M3955" s="460">
        <f t="shared" si="179"/>
        <v>0.05</v>
      </c>
      <c r="N3955" s="464">
        <f t="shared" si="180"/>
        <v>171421</v>
      </c>
    </row>
    <row r="3956" spans="7:14" ht="11.25" customHeight="1" x14ac:dyDescent="0.25">
      <c r="G3956" s="459"/>
      <c r="H3956" s="459">
        <v>3949</v>
      </c>
      <c r="I3956" s="444">
        <f t="shared" ca="1" si="178"/>
        <v>-6236720533763.1904</v>
      </c>
      <c r="J3956" s="444">
        <f t="array" ref="J3956">IFERROR(INDEX('Retirement Calculator'!J:J,MATCH('Isaac 401k'!N3956,'Retirement Calculator'!A:A,0),0),0)</f>
        <v>0</v>
      </c>
      <c r="K3956" s="444">
        <f t="shared" ca="1" si="176"/>
        <v>-25986335557.346626</v>
      </c>
      <c r="L3956" s="444">
        <f t="shared" ca="1" si="177"/>
        <v>-6262706869320.5371</v>
      </c>
      <c r="M3956" s="460">
        <f t="shared" si="179"/>
        <v>0.05</v>
      </c>
      <c r="N3956" s="464">
        <f t="shared" si="180"/>
        <v>171452</v>
      </c>
    </row>
    <row r="3957" spans="7:14" ht="11.25" customHeight="1" x14ac:dyDescent="0.25">
      <c r="G3957" s="459"/>
      <c r="H3957" s="459">
        <v>3950</v>
      </c>
      <c r="I3957" s="444">
        <f t="shared" ca="1" si="178"/>
        <v>-6262706869320.5371</v>
      </c>
      <c r="J3957" s="444">
        <f t="array" ref="J3957">IFERROR(INDEX('Retirement Calculator'!J:J,MATCH('Isaac 401k'!N3957,'Retirement Calculator'!A:A,0),0),0)</f>
        <v>0</v>
      </c>
      <c r="K3957" s="444">
        <f t="shared" ca="1" si="176"/>
        <v>-26094611955.502239</v>
      </c>
      <c r="L3957" s="444">
        <f t="shared" ca="1" si="177"/>
        <v>-6288801481276.0391</v>
      </c>
      <c r="M3957" s="460">
        <f t="shared" si="179"/>
        <v>0.05</v>
      </c>
      <c r="N3957" s="464">
        <f t="shared" si="180"/>
        <v>171482</v>
      </c>
    </row>
    <row r="3958" spans="7:14" ht="11.25" customHeight="1" x14ac:dyDescent="0.25">
      <c r="G3958" s="459"/>
      <c r="H3958" s="459">
        <v>3951</v>
      </c>
      <c r="I3958" s="444">
        <f t="shared" ca="1" si="178"/>
        <v>-6288801481276.0391</v>
      </c>
      <c r="J3958" s="444">
        <f t="array" ref="J3958">IFERROR(INDEX('Retirement Calculator'!J:J,MATCH('Isaac 401k'!N3958,'Retirement Calculator'!A:A,0),0),0)</f>
        <v>0</v>
      </c>
      <c r="K3958" s="444">
        <f t="shared" ca="1" si="176"/>
        <v>-26203339505.31683</v>
      </c>
      <c r="L3958" s="444">
        <f t="shared" ca="1" si="177"/>
        <v>-6315004820781.3555</v>
      </c>
      <c r="M3958" s="460">
        <f t="shared" si="179"/>
        <v>0.05</v>
      </c>
      <c r="N3958" s="464">
        <f t="shared" si="180"/>
        <v>171513</v>
      </c>
    </row>
    <row r="3959" spans="7:14" ht="11.25" customHeight="1" x14ac:dyDescent="0.25">
      <c r="G3959" s="459"/>
      <c r="H3959" s="459">
        <v>3952</v>
      </c>
      <c r="I3959" s="444">
        <f t="shared" ca="1" si="178"/>
        <v>-6315004820781.3555</v>
      </c>
      <c r="J3959" s="444">
        <f t="array" ref="J3959">IFERROR(INDEX('Retirement Calculator'!J:J,MATCH('Isaac 401k'!N3959,'Retirement Calculator'!A:A,0),0),0)</f>
        <v>0</v>
      </c>
      <c r="K3959" s="444">
        <f t="shared" ca="1" si="176"/>
        <v>-26312520086.588982</v>
      </c>
      <c r="L3959" s="444">
        <f t="shared" ca="1" si="177"/>
        <v>-6341317340867.9443</v>
      </c>
      <c r="M3959" s="460">
        <f t="shared" si="179"/>
        <v>0.05</v>
      </c>
      <c r="N3959" s="464">
        <f t="shared" si="180"/>
        <v>171544</v>
      </c>
    </row>
    <row r="3960" spans="7:14" ht="11.25" customHeight="1" x14ac:dyDescent="0.25">
      <c r="G3960" s="459"/>
      <c r="H3960" s="459">
        <v>3953</v>
      </c>
      <c r="I3960" s="444">
        <f t="shared" ca="1" si="178"/>
        <v>-6341317340867.9443</v>
      </c>
      <c r="J3960" s="444">
        <f t="array" ref="J3960">IFERROR(INDEX('Retirement Calculator'!J:J,MATCH('Isaac 401k'!N3960,'Retirement Calculator'!A:A,0),0),0)</f>
        <v>0</v>
      </c>
      <c r="K3960" s="444">
        <f t="shared" ca="1" si="176"/>
        <v>-26422155586.949768</v>
      </c>
      <c r="L3960" s="444">
        <f t="shared" ca="1" si="177"/>
        <v>-6367739496454.8945</v>
      </c>
      <c r="M3960" s="460">
        <f t="shared" si="179"/>
        <v>0.05</v>
      </c>
      <c r="N3960" s="464">
        <f t="shared" si="180"/>
        <v>171574</v>
      </c>
    </row>
    <row r="3961" spans="7:14" ht="11.25" customHeight="1" x14ac:dyDescent="0.25">
      <c r="G3961" s="459"/>
      <c r="H3961" s="459">
        <v>3954</v>
      </c>
      <c r="I3961" s="444">
        <f t="shared" ca="1" si="178"/>
        <v>-6367739496454.8945</v>
      </c>
      <c r="J3961" s="444">
        <f t="array" ref="J3961">IFERROR(INDEX('Retirement Calculator'!J:J,MATCH('Isaac 401k'!N3961,'Retirement Calculator'!A:A,0),0),0)</f>
        <v>0</v>
      </c>
      <c r="K3961" s="444">
        <f t="shared" ca="1" si="176"/>
        <v>-26532247901.895393</v>
      </c>
      <c r="L3961" s="444">
        <f t="shared" ca="1" si="177"/>
        <v>-6394271744356.79</v>
      </c>
      <c r="M3961" s="460">
        <f t="shared" si="179"/>
        <v>0.05</v>
      </c>
      <c r="N3961" s="464">
        <f t="shared" si="180"/>
        <v>171605</v>
      </c>
    </row>
    <row r="3962" spans="7:14" ht="11.25" customHeight="1" x14ac:dyDescent="0.25">
      <c r="G3962" s="459"/>
      <c r="H3962" s="459">
        <v>3955</v>
      </c>
      <c r="I3962" s="444">
        <f t="shared" ca="1" si="178"/>
        <v>-6394271744356.79</v>
      </c>
      <c r="J3962" s="444">
        <f t="array" ref="J3962">IFERROR(INDEX('Retirement Calculator'!J:J,MATCH('Isaac 401k'!N3962,'Retirement Calculator'!A:A,0),0),0)</f>
        <v>0</v>
      </c>
      <c r="K3962" s="444">
        <f t="shared" ca="1" si="176"/>
        <v>-26642798934.819958</v>
      </c>
      <c r="L3962" s="444">
        <f t="shared" ca="1" si="177"/>
        <v>-6420914543291.6104</v>
      </c>
      <c r="M3962" s="460">
        <f t="shared" si="179"/>
        <v>0.05</v>
      </c>
      <c r="N3962" s="464">
        <f t="shared" si="180"/>
        <v>171635</v>
      </c>
    </row>
    <row r="3963" spans="7:14" ht="11.25" customHeight="1" x14ac:dyDescent="0.25">
      <c r="G3963" s="459"/>
      <c r="H3963" s="459">
        <v>3956</v>
      </c>
      <c r="I3963" s="444">
        <f t="shared" ca="1" si="178"/>
        <v>-6420914543291.6104</v>
      </c>
      <c r="J3963" s="444">
        <f t="array" ref="J3963">IFERROR(INDEX('Retirement Calculator'!J:J,MATCH('Isaac 401k'!N3963,'Retirement Calculator'!A:A,0),0),0)</f>
        <v>0</v>
      </c>
      <c r="K3963" s="444">
        <f t="shared" ca="1" si="176"/>
        <v>-26753810597.048378</v>
      </c>
      <c r="L3963" s="444">
        <f t="shared" ca="1" si="177"/>
        <v>-6447668353888.6592</v>
      </c>
      <c r="M3963" s="460">
        <f t="shared" si="179"/>
        <v>0.05</v>
      </c>
      <c r="N3963" s="464">
        <f t="shared" si="180"/>
        <v>171666</v>
      </c>
    </row>
    <row r="3964" spans="7:14" ht="11.25" customHeight="1" x14ac:dyDescent="0.25">
      <c r="G3964" s="459"/>
      <c r="H3964" s="459">
        <v>3957</v>
      </c>
      <c r="I3964" s="444">
        <f t="shared" ca="1" si="178"/>
        <v>-6447668353888.6592</v>
      </c>
      <c r="J3964" s="444">
        <f t="array" ref="J3964">IFERROR(INDEX('Retirement Calculator'!J:J,MATCH('Isaac 401k'!N3964,'Retirement Calculator'!A:A,0),0),0)</f>
        <v>0</v>
      </c>
      <c r="K3964" s="444">
        <f t="shared" ca="1" si="176"/>
        <v>-26865284807.869411</v>
      </c>
      <c r="L3964" s="444">
        <f t="shared" ca="1" si="177"/>
        <v>-6474533638696.5283</v>
      </c>
      <c r="M3964" s="460">
        <f t="shared" si="179"/>
        <v>0.05</v>
      </c>
      <c r="N3964" s="464">
        <f t="shared" si="180"/>
        <v>171697</v>
      </c>
    </row>
    <row r="3965" spans="7:14" ht="11.25" customHeight="1" x14ac:dyDescent="0.25">
      <c r="G3965" s="459"/>
      <c r="H3965" s="459">
        <v>3958</v>
      </c>
      <c r="I3965" s="444">
        <f t="shared" ca="1" si="178"/>
        <v>-6474533638696.5283</v>
      </c>
      <c r="J3965" s="444">
        <f t="array" ref="J3965">IFERROR(INDEX('Retirement Calculator'!J:J,MATCH('Isaac 401k'!N3965,'Retirement Calculator'!A:A,0),0),0)</f>
        <v>0</v>
      </c>
      <c r="K3965" s="444">
        <f t="shared" ca="1" si="176"/>
        <v>-26977223494.568867</v>
      </c>
      <c r="L3965" s="444">
        <f t="shared" ca="1" si="177"/>
        <v>-6501510862191.0977</v>
      </c>
      <c r="M3965" s="460">
        <f t="shared" si="179"/>
        <v>0.05</v>
      </c>
      <c r="N3965" s="464">
        <f t="shared" si="180"/>
        <v>171725</v>
      </c>
    </row>
    <row r="3966" spans="7:14" ht="11.25" customHeight="1" x14ac:dyDescent="0.25">
      <c r="G3966" s="459"/>
      <c r="H3966" s="459">
        <v>3959</v>
      </c>
      <c r="I3966" s="444">
        <f t="shared" ca="1" si="178"/>
        <v>-6501510862191.0977</v>
      </c>
      <c r="J3966" s="444">
        <f t="array" ref="J3966">IFERROR(INDEX('Retirement Calculator'!J:J,MATCH('Isaac 401k'!N3966,'Retirement Calculator'!A:A,0),0),0)</f>
        <v>0</v>
      </c>
      <c r="K3966" s="444">
        <f t="shared" ca="1" si="176"/>
        <v>-27089628592.462906</v>
      </c>
      <c r="L3966" s="444">
        <f t="shared" ca="1" si="177"/>
        <v>-6528600490783.5605</v>
      </c>
      <c r="M3966" s="460">
        <f t="shared" si="179"/>
        <v>0.05</v>
      </c>
      <c r="N3966" s="464">
        <f t="shared" si="180"/>
        <v>171756</v>
      </c>
    </row>
    <row r="3967" spans="7:14" ht="11.25" customHeight="1" x14ac:dyDescent="0.25">
      <c r="G3967" s="459"/>
      <c r="H3967" s="459">
        <v>3960</v>
      </c>
      <c r="I3967" s="444">
        <f t="shared" ca="1" si="178"/>
        <v>-6528600490783.5605</v>
      </c>
      <c r="J3967" s="444">
        <f t="array" ref="J3967">IFERROR(INDEX('Retirement Calculator'!J:J,MATCH('Isaac 401k'!N3967,'Retirement Calculator'!A:A,0),0),0)</f>
        <v>0</v>
      </c>
      <c r="K3967" s="444">
        <f t="shared" ca="1" si="176"/>
        <v>-27202502044.931503</v>
      </c>
      <c r="L3967" s="444">
        <f t="shared" ca="1" si="177"/>
        <v>-6555802992828.4922</v>
      </c>
      <c r="M3967" s="460">
        <f t="shared" si="179"/>
        <v>0.05</v>
      </c>
      <c r="N3967" s="464">
        <f t="shared" si="180"/>
        <v>171786</v>
      </c>
    </row>
    <row r="3968" spans="7:14" ht="11.25" customHeight="1" x14ac:dyDescent="0.25">
      <c r="G3968" s="459"/>
      <c r="H3968" s="459">
        <v>3961</v>
      </c>
      <c r="I3968" s="444">
        <f t="shared" ca="1" si="178"/>
        <v>-6555802992828.4922</v>
      </c>
      <c r="J3968" s="444">
        <f t="array" ref="J3968">IFERROR(INDEX('Retirement Calculator'!J:J,MATCH('Isaac 401k'!N3968,'Retirement Calculator'!A:A,0),0),0)</f>
        <v>0</v>
      </c>
      <c r="K3968" s="444">
        <f t="shared" ca="1" si="176"/>
        <v>-27315845803.452049</v>
      </c>
      <c r="L3968" s="444">
        <f t="shared" ca="1" si="177"/>
        <v>-6583118838631.9443</v>
      </c>
      <c r="M3968" s="460">
        <f t="shared" si="179"/>
        <v>0.05</v>
      </c>
      <c r="N3968" s="464">
        <f t="shared" si="180"/>
        <v>171817</v>
      </c>
    </row>
    <row r="3969" spans="7:14" ht="11.25" customHeight="1" x14ac:dyDescent="0.25">
      <c r="G3969" s="459"/>
      <c r="H3969" s="459">
        <v>3962</v>
      </c>
      <c r="I3969" s="444">
        <f t="shared" ca="1" si="178"/>
        <v>-6583118838631.9443</v>
      </c>
      <c r="J3969" s="444">
        <f t="array" ref="J3969">IFERROR(INDEX('Retirement Calculator'!J:J,MATCH('Isaac 401k'!N3969,'Retirement Calculator'!A:A,0),0),0)</f>
        <v>0</v>
      </c>
      <c r="K3969" s="444">
        <f t="shared" ca="1" si="176"/>
        <v>-27429661827.633102</v>
      </c>
      <c r="L3969" s="444">
        <f t="shared" ca="1" si="177"/>
        <v>-6610548500459.5771</v>
      </c>
      <c r="M3969" s="460">
        <f t="shared" si="179"/>
        <v>0.05</v>
      </c>
      <c r="N3969" s="464">
        <f t="shared" si="180"/>
        <v>171847</v>
      </c>
    </row>
    <row r="3970" spans="7:14" ht="11.25" customHeight="1" x14ac:dyDescent="0.25">
      <c r="G3970" s="459"/>
      <c r="H3970" s="459">
        <v>3963</v>
      </c>
      <c r="I3970" s="444">
        <f t="shared" ca="1" si="178"/>
        <v>-6610548500459.5771</v>
      </c>
      <c r="J3970" s="444">
        <f t="array" ref="J3970">IFERROR(INDEX('Retirement Calculator'!J:J,MATCH('Isaac 401k'!N3970,'Retirement Calculator'!A:A,0),0),0)</f>
        <v>0</v>
      </c>
      <c r="K3970" s="444">
        <f t="shared" ca="1" si="176"/>
        <v>-27543952085.248238</v>
      </c>
      <c r="L3970" s="444">
        <f t="shared" ca="1" si="177"/>
        <v>-6638092452544.8252</v>
      </c>
      <c r="M3970" s="460">
        <f t="shared" si="179"/>
        <v>0.05</v>
      </c>
      <c r="N3970" s="464">
        <f t="shared" si="180"/>
        <v>171878</v>
      </c>
    </row>
    <row r="3971" spans="7:14" ht="11.25" customHeight="1" x14ac:dyDescent="0.25">
      <c r="G3971" s="459"/>
      <c r="H3971" s="459">
        <v>3964</v>
      </c>
      <c r="I3971" s="444">
        <f t="shared" ca="1" si="178"/>
        <v>-6638092452544.8252</v>
      </c>
      <c r="J3971" s="444">
        <f t="array" ref="J3971">IFERROR(INDEX('Retirement Calculator'!J:J,MATCH('Isaac 401k'!N3971,'Retirement Calculator'!A:A,0),0),0)</f>
        <v>0</v>
      </c>
      <c r="K3971" s="444">
        <f t="shared" ca="1" si="176"/>
        <v>-27658718552.270103</v>
      </c>
      <c r="L3971" s="444">
        <f t="shared" ca="1" si="177"/>
        <v>-6665751171097.0957</v>
      </c>
      <c r="M3971" s="460">
        <f t="shared" si="179"/>
        <v>0.05</v>
      </c>
      <c r="N3971" s="464">
        <f t="shared" si="180"/>
        <v>171909</v>
      </c>
    </row>
    <row r="3972" spans="7:14" ht="11.25" customHeight="1" x14ac:dyDescent="0.25">
      <c r="G3972" s="459"/>
      <c r="H3972" s="459">
        <v>3965</v>
      </c>
      <c r="I3972" s="444">
        <f t="shared" ca="1" si="178"/>
        <v>-6665751171097.0957</v>
      </c>
      <c r="J3972" s="444">
        <f t="array" ref="J3972">IFERROR(INDEX('Retirement Calculator'!J:J,MATCH('Isaac 401k'!N3972,'Retirement Calculator'!A:A,0),0),0)</f>
        <v>0</v>
      </c>
      <c r="K3972" s="444">
        <f t="shared" ca="1" si="176"/>
        <v>-27773963212.904564</v>
      </c>
      <c r="L3972" s="444">
        <f t="shared" ca="1" si="177"/>
        <v>-6693525134310</v>
      </c>
      <c r="M3972" s="460">
        <f t="shared" si="179"/>
        <v>0.05</v>
      </c>
      <c r="N3972" s="464">
        <f t="shared" si="180"/>
        <v>171939</v>
      </c>
    </row>
    <row r="3973" spans="7:14" ht="11.25" customHeight="1" x14ac:dyDescent="0.25">
      <c r="G3973" s="459"/>
      <c r="H3973" s="459">
        <v>3966</v>
      </c>
      <c r="I3973" s="444">
        <f t="shared" ca="1" si="178"/>
        <v>-6693525134310</v>
      </c>
      <c r="J3973" s="444">
        <f t="array" ref="J3973">IFERROR(INDEX('Retirement Calculator'!J:J,MATCH('Isaac 401k'!N3973,'Retirement Calculator'!A:A,0),0),0)</f>
        <v>0</v>
      </c>
      <c r="K3973" s="444">
        <f t="shared" ca="1" si="176"/>
        <v>-27889688059.625</v>
      </c>
      <c r="L3973" s="444">
        <f t="shared" ca="1" si="177"/>
        <v>-6721414822369.625</v>
      </c>
      <c r="M3973" s="460">
        <f t="shared" si="179"/>
        <v>0.05</v>
      </c>
      <c r="N3973" s="464">
        <f t="shared" si="180"/>
        <v>171970</v>
      </c>
    </row>
    <row r="3974" spans="7:14" ht="11.25" customHeight="1" x14ac:dyDescent="0.25">
      <c r="G3974" s="459"/>
      <c r="H3974" s="459">
        <v>3967</v>
      </c>
      <c r="I3974" s="444">
        <f t="shared" ca="1" si="178"/>
        <v>-6721414822369.625</v>
      </c>
      <c r="J3974" s="444">
        <f t="array" ref="J3974">IFERROR(INDEX('Retirement Calculator'!J:J,MATCH('Isaac 401k'!N3974,'Retirement Calculator'!A:A,0),0),0)</f>
        <v>0</v>
      </c>
      <c r="K3974" s="444">
        <f t="shared" ca="1" si="176"/>
        <v>-28005895093.206772</v>
      </c>
      <c r="L3974" s="444">
        <f t="shared" ca="1" si="177"/>
        <v>-6749420717462.832</v>
      </c>
      <c r="M3974" s="460">
        <f t="shared" si="179"/>
        <v>0.05</v>
      </c>
      <c r="N3974" s="464">
        <f t="shared" si="180"/>
        <v>172000</v>
      </c>
    </row>
    <row r="3975" spans="7:14" ht="11.25" customHeight="1" x14ac:dyDescent="0.25">
      <c r="G3975" s="459"/>
      <c r="H3975" s="459">
        <v>3968</v>
      </c>
      <c r="I3975" s="444">
        <f t="shared" ca="1" si="178"/>
        <v>-6749420717462.832</v>
      </c>
      <c r="J3975" s="444">
        <f t="array" ref="J3975">IFERROR(INDEX('Retirement Calculator'!J:J,MATCH('Isaac 401k'!N3975,'Retirement Calculator'!A:A,0),0),0)</f>
        <v>0</v>
      </c>
      <c r="K3975" s="444">
        <f t="shared" ca="1" si="176"/>
        <v>-28122586322.761799</v>
      </c>
      <c r="L3975" s="444">
        <f t="shared" ca="1" si="177"/>
        <v>-6777543303785.5938</v>
      </c>
      <c r="M3975" s="460">
        <f t="shared" si="179"/>
        <v>0.05</v>
      </c>
      <c r="N3975" s="464">
        <f t="shared" si="180"/>
        <v>172031</v>
      </c>
    </row>
    <row r="3976" spans="7:14" ht="11.25" customHeight="1" x14ac:dyDescent="0.25">
      <c r="G3976" s="459"/>
      <c r="H3976" s="459">
        <v>3969</v>
      </c>
      <c r="I3976" s="444">
        <f t="shared" ca="1" si="178"/>
        <v>-6777543303785.5938</v>
      </c>
      <c r="J3976" s="444">
        <f t="array" ref="J3976">IFERROR(INDEX('Retirement Calculator'!J:J,MATCH('Isaac 401k'!N3976,'Retirement Calculator'!A:A,0),0),0)</f>
        <v>0</v>
      </c>
      <c r="K3976" s="444">
        <f t="shared" ca="1" si="176"/>
        <v>-28239763765.773308</v>
      </c>
      <c r="L3976" s="444">
        <f t="shared" ca="1" si="177"/>
        <v>-6805783067551.3672</v>
      </c>
      <c r="M3976" s="460">
        <f t="shared" si="179"/>
        <v>0.05</v>
      </c>
      <c r="N3976" s="464">
        <f t="shared" si="180"/>
        <v>172062</v>
      </c>
    </row>
    <row r="3977" spans="7:14" ht="11.25" customHeight="1" x14ac:dyDescent="0.25">
      <c r="G3977" s="459"/>
      <c r="H3977" s="459">
        <v>3970</v>
      </c>
      <c r="I3977" s="444">
        <f t="shared" ca="1" si="178"/>
        <v>-6805783067551.3672</v>
      </c>
      <c r="J3977" s="444">
        <f t="array" ref="J3977">IFERROR(INDEX('Retirement Calculator'!J:J,MATCH('Isaac 401k'!N3977,'Retirement Calculator'!A:A,0),0),0)</f>
        <v>0</v>
      </c>
      <c r="K3977" s="444">
        <f t="shared" ca="1" si="176"/>
        <v>-28357429448.130695</v>
      </c>
      <c r="L3977" s="444">
        <f t="shared" ca="1" si="177"/>
        <v>-6834140496999.498</v>
      </c>
      <c r="M3977" s="460">
        <f t="shared" si="179"/>
        <v>0.05</v>
      </c>
      <c r="N3977" s="464">
        <f t="shared" si="180"/>
        <v>172090</v>
      </c>
    </row>
    <row r="3978" spans="7:14" ht="11.25" customHeight="1" x14ac:dyDescent="0.25">
      <c r="G3978" s="459"/>
      <c r="H3978" s="459">
        <v>3971</v>
      </c>
      <c r="I3978" s="444">
        <f t="shared" ca="1" si="178"/>
        <v>-6834140496999.498</v>
      </c>
      <c r="J3978" s="444">
        <f t="array" ref="J3978">IFERROR(INDEX('Retirement Calculator'!J:J,MATCH('Isaac 401k'!N3978,'Retirement Calculator'!A:A,0),0),0)</f>
        <v>0</v>
      </c>
      <c r="K3978" s="444">
        <f t="shared" ca="1" si="176"/>
        <v>-28475585404.164574</v>
      </c>
      <c r="L3978" s="444">
        <f t="shared" ca="1" si="177"/>
        <v>-6862616082403.6631</v>
      </c>
      <c r="M3978" s="460">
        <f t="shared" si="179"/>
        <v>0.05</v>
      </c>
      <c r="N3978" s="464">
        <f t="shared" si="180"/>
        <v>172121</v>
      </c>
    </row>
    <row r="3979" spans="7:14" ht="11.25" customHeight="1" x14ac:dyDescent="0.25">
      <c r="G3979" s="459"/>
      <c r="H3979" s="459">
        <v>3972</v>
      </c>
      <c r="I3979" s="444">
        <f t="shared" ca="1" si="178"/>
        <v>-6862616082403.6631</v>
      </c>
      <c r="J3979" s="444">
        <f t="array" ref="J3979">IFERROR(INDEX('Retirement Calculator'!J:J,MATCH('Isaac 401k'!N3979,'Retirement Calculator'!A:A,0),0),0)</f>
        <v>0</v>
      </c>
      <c r="K3979" s="444">
        <f t="shared" ca="1" si="176"/>
        <v>-28594233676.681934</v>
      </c>
      <c r="L3979" s="444">
        <f t="shared" ca="1" si="177"/>
        <v>-6891210316080.3447</v>
      </c>
      <c r="M3979" s="460">
        <f t="shared" si="179"/>
        <v>0.05</v>
      </c>
      <c r="N3979" s="464">
        <f t="shared" si="180"/>
        <v>172151</v>
      </c>
    </row>
    <row r="3980" spans="7:14" ht="11.25" customHeight="1" x14ac:dyDescent="0.25">
      <c r="G3980" s="459"/>
      <c r="H3980" s="459">
        <v>3973</v>
      </c>
      <c r="I3980" s="444">
        <f t="shared" ca="1" si="178"/>
        <v>-6891210316080.3447</v>
      </c>
      <c r="J3980" s="444">
        <f t="array" ref="J3980">IFERROR(INDEX('Retirement Calculator'!J:J,MATCH('Isaac 401k'!N3980,'Retirement Calculator'!A:A,0),0),0)</f>
        <v>0</v>
      </c>
      <c r="K3980" s="444">
        <f t="shared" ca="1" si="176"/>
        <v>-28713376317.001434</v>
      </c>
      <c r="L3980" s="444">
        <f t="shared" ca="1" si="177"/>
        <v>-6919923692397.3457</v>
      </c>
      <c r="M3980" s="460">
        <f t="shared" si="179"/>
        <v>0.05</v>
      </c>
      <c r="N3980" s="464">
        <f t="shared" si="180"/>
        <v>172182</v>
      </c>
    </row>
    <row r="3981" spans="7:14" ht="11.25" customHeight="1" x14ac:dyDescent="0.25">
      <c r="G3981" s="459"/>
      <c r="H3981" s="459">
        <v>3974</v>
      </c>
      <c r="I3981" s="444">
        <f t="shared" ca="1" si="178"/>
        <v>-6919923692397.3457</v>
      </c>
      <c r="J3981" s="444">
        <f t="array" ref="J3981">IFERROR(INDEX('Retirement Calculator'!J:J,MATCH('Isaac 401k'!N3981,'Retirement Calculator'!A:A,0),0),0)</f>
        <v>0</v>
      </c>
      <c r="K3981" s="444">
        <f t="shared" ca="1" si="176"/>
        <v>-28833015384.988941</v>
      </c>
      <c r="L3981" s="444">
        <f t="shared" ca="1" si="177"/>
        <v>-6948756707782.335</v>
      </c>
      <c r="M3981" s="460">
        <f t="shared" si="179"/>
        <v>0.05</v>
      </c>
      <c r="N3981" s="464">
        <f t="shared" si="180"/>
        <v>172212</v>
      </c>
    </row>
    <row r="3982" spans="7:14" ht="11.25" customHeight="1" x14ac:dyDescent="0.25">
      <c r="G3982" s="459"/>
      <c r="H3982" s="459">
        <v>3975</v>
      </c>
      <c r="I3982" s="444">
        <f t="shared" ca="1" si="178"/>
        <v>-6948756707782.335</v>
      </c>
      <c r="J3982" s="444">
        <f t="array" ref="J3982">IFERROR(INDEX('Retirement Calculator'!J:J,MATCH('Isaac 401k'!N3982,'Retirement Calculator'!A:A,0),0),0)</f>
        <v>0</v>
      </c>
      <c r="K3982" s="444">
        <f t="shared" ca="1" si="176"/>
        <v>-28953152949.093067</v>
      </c>
      <c r="L3982" s="444">
        <f t="shared" ca="1" si="177"/>
        <v>-6977709860731.4277</v>
      </c>
      <c r="M3982" s="460">
        <f t="shared" si="179"/>
        <v>0.05</v>
      </c>
      <c r="N3982" s="464">
        <f t="shared" si="180"/>
        <v>172243</v>
      </c>
    </row>
    <row r="3983" spans="7:14" ht="11.25" customHeight="1" x14ac:dyDescent="0.25">
      <c r="G3983" s="459"/>
      <c r="H3983" s="459">
        <v>3976</v>
      </c>
      <c r="I3983" s="444">
        <f t="shared" ca="1" si="178"/>
        <v>-6977709860731.4277</v>
      </c>
      <c r="J3983" s="444">
        <f t="array" ref="J3983">IFERROR(INDEX('Retirement Calculator'!J:J,MATCH('Isaac 401k'!N3983,'Retirement Calculator'!A:A,0),0),0)</f>
        <v>0</v>
      </c>
      <c r="K3983" s="444">
        <f t="shared" ca="1" si="176"/>
        <v>-29073791086.380947</v>
      </c>
      <c r="L3983" s="444">
        <f t="shared" ca="1" si="177"/>
        <v>-7006783651817.8086</v>
      </c>
      <c r="M3983" s="460">
        <f t="shared" si="179"/>
        <v>0.05</v>
      </c>
      <c r="N3983" s="464">
        <f t="shared" si="180"/>
        <v>172274</v>
      </c>
    </row>
    <row r="3984" spans="7:14" ht="11.25" customHeight="1" x14ac:dyDescent="0.25">
      <c r="G3984" s="459"/>
      <c r="H3984" s="459">
        <v>3977</v>
      </c>
      <c r="I3984" s="444">
        <f t="shared" ca="1" si="178"/>
        <v>-7006783651817.8086</v>
      </c>
      <c r="J3984" s="444">
        <f t="array" ref="J3984">IFERROR(INDEX('Retirement Calculator'!J:J,MATCH('Isaac 401k'!N3984,'Retirement Calculator'!A:A,0),0),0)</f>
        <v>0</v>
      </c>
      <c r="K3984" s="444">
        <f t="shared" ca="1" si="176"/>
        <v>-29194931882.574203</v>
      </c>
      <c r="L3984" s="444">
        <f t="shared" ca="1" si="177"/>
        <v>-7035978583700.3828</v>
      </c>
      <c r="M3984" s="460">
        <f t="shared" si="179"/>
        <v>0.05</v>
      </c>
      <c r="N3984" s="464">
        <f t="shared" si="180"/>
        <v>172304</v>
      </c>
    </row>
    <row r="3985" spans="7:14" ht="11.25" customHeight="1" x14ac:dyDescent="0.25">
      <c r="G3985" s="459"/>
      <c r="H3985" s="459">
        <v>3978</v>
      </c>
      <c r="I3985" s="444">
        <f t="shared" ca="1" si="178"/>
        <v>-7035978583700.3828</v>
      </c>
      <c r="J3985" s="444">
        <f t="array" ref="J3985">IFERROR(INDEX('Retirement Calculator'!J:J,MATCH('Isaac 401k'!N3985,'Retirement Calculator'!A:A,0),0),0)</f>
        <v>0</v>
      </c>
      <c r="K3985" s="444">
        <f t="shared" ca="1" si="176"/>
        <v>-29316577432.084927</v>
      </c>
      <c r="L3985" s="444">
        <f t="shared" ca="1" si="177"/>
        <v>-7065295161132.4678</v>
      </c>
      <c r="M3985" s="460">
        <f t="shared" si="179"/>
        <v>0.05</v>
      </c>
      <c r="N3985" s="464">
        <f t="shared" si="180"/>
        <v>172335</v>
      </c>
    </row>
    <row r="3986" spans="7:14" ht="11.25" customHeight="1" x14ac:dyDescent="0.25">
      <c r="G3986" s="459"/>
      <c r="H3986" s="459">
        <v>3979</v>
      </c>
      <c r="I3986" s="444">
        <f t="shared" ca="1" si="178"/>
        <v>-7065295161132.4678</v>
      </c>
      <c r="J3986" s="444">
        <f t="array" ref="J3986">IFERROR(INDEX('Retirement Calculator'!J:J,MATCH('Isaac 401k'!N3986,'Retirement Calculator'!A:A,0),0),0)</f>
        <v>0</v>
      </c>
      <c r="K3986" s="444">
        <f t="shared" ca="1" si="176"/>
        <v>-29438729838.051949</v>
      </c>
      <c r="L3986" s="444">
        <f t="shared" ca="1" si="177"/>
        <v>-7094733890970.5195</v>
      </c>
      <c r="M3986" s="460">
        <f t="shared" si="179"/>
        <v>0.05</v>
      </c>
      <c r="N3986" s="464">
        <f t="shared" si="180"/>
        <v>172365</v>
      </c>
    </row>
    <row r="3987" spans="7:14" ht="11.25" customHeight="1" x14ac:dyDescent="0.25">
      <c r="G3987" s="459"/>
      <c r="H3987" s="459">
        <v>3980</v>
      </c>
      <c r="I3987" s="444">
        <f t="shared" ca="1" si="178"/>
        <v>-7094733890970.5195</v>
      </c>
      <c r="J3987" s="444">
        <f t="array" ref="J3987">IFERROR(INDEX('Retirement Calculator'!J:J,MATCH('Isaac 401k'!N3987,'Retirement Calculator'!A:A,0),0),0)</f>
        <v>0</v>
      </c>
      <c r="K3987" s="444">
        <f t="shared" ca="1" si="176"/>
        <v>-29561391212.377163</v>
      </c>
      <c r="L3987" s="444">
        <f t="shared" ca="1" si="177"/>
        <v>-7124295282182.8965</v>
      </c>
      <c r="M3987" s="460">
        <f t="shared" si="179"/>
        <v>0.05</v>
      </c>
      <c r="N3987" s="464">
        <f t="shared" si="180"/>
        <v>172396</v>
      </c>
    </row>
    <row r="3988" spans="7:14" ht="11.25" customHeight="1" x14ac:dyDescent="0.25">
      <c r="G3988" s="459"/>
      <c r="H3988" s="459">
        <v>3981</v>
      </c>
      <c r="I3988" s="444">
        <f t="shared" ca="1" si="178"/>
        <v>-7124295282182.8965</v>
      </c>
      <c r="J3988" s="444">
        <f t="array" ref="J3988">IFERROR(INDEX('Retirement Calculator'!J:J,MATCH('Isaac 401k'!N3988,'Retirement Calculator'!A:A,0),0),0)</f>
        <v>0</v>
      </c>
      <c r="K3988" s="444">
        <f t="shared" ca="1" si="176"/>
        <v>-29684563675.76207</v>
      </c>
      <c r="L3988" s="444">
        <f t="shared" ca="1" si="177"/>
        <v>-7153979845858.6582</v>
      </c>
      <c r="M3988" s="460">
        <f t="shared" si="179"/>
        <v>0.05</v>
      </c>
      <c r="N3988" s="464">
        <f t="shared" si="180"/>
        <v>172427</v>
      </c>
    </row>
    <row r="3989" spans="7:14" ht="11.25" customHeight="1" x14ac:dyDescent="0.25">
      <c r="G3989" s="459"/>
      <c r="H3989" s="459">
        <v>3982</v>
      </c>
      <c r="I3989" s="444">
        <f t="shared" ca="1" si="178"/>
        <v>-7153979845858.6582</v>
      </c>
      <c r="J3989" s="444">
        <f t="array" ref="J3989">IFERROR(INDEX('Retirement Calculator'!J:J,MATCH('Isaac 401k'!N3989,'Retirement Calculator'!A:A,0),0),0)</f>
        <v>0</v>
      </c>
      <c r="K3989" s="444">
        <f t="shared" ca="1" si="176"/>
        <v>-29808249357.744408</v>
      </c>
      <c r="L3989" s="444">
        <f t="shared" ca="1" si="177"/>
        <v>-7183788095216.4023</v>
      </c>
      <c r="M3989" s="460">
        <f t="shared" si="179"/>
        <v>0.05</v>
      </c>
      <c r="N3989" s="464">
        <f t="shared" si="180"/>
        <v>172456</v>
      </c>
    </row>
    <row r="3990" spans="7:14" ht="11.25" customHeight="1" x14ac:dyDescent="0.25">
      <c r="G3990" s="459"/>
      <c r="H3990" s="459">
        <v>3983</v>
      </c>
      <c r="I3990" s="444">
        <f t="shared" ca="1" si="178"/>
        <v>-7183788095216.4023</v>
      </c>
      <c r="J3990" s="444">
        <f t="array" ref="J3990">IFERROR(INDEX('Retirement Calculator'!J:J,MATCH('Isaac 401k'!N3990,'Retirement Calculator'!A:A,0),0),0)</f>
        <v>0</v>
      </c>
      <c r="K3990" s="444">
        <f t="shared" ca="1" si="176"/>
        <v>-29932450396.735012</v>
      </c>
      <c r="L3990" s="444">
        <f t="shared" ca="1" si="177"/>
        <v>-7213720545613.1377</v>
      </c>
      <c r="M3990" s="460">
        <f t="shared" si="179"/>
        <v>0.05</v>
      </c>
      <c r="N3990" s="464">
        <f t="shared" si="180"/>
        <v>172487</v>
      </c>
    </row>
    <row r="3991" spans="7:14" ht="11.25" customHeight="1" x14ac:dyDescent="0.25">
      <c r="G3991" s="459"/>
      <c r="H3991" s="459">
        <v>3984</v>
      </c>
      <c r="I3991" s="444">
        <f t="shared" ca="1" si="178"/>
        <v>-7213720545613.1377</v>
      </c>
      <c r="J3991" s="444">
        <f t="array" ref="J3991">IFERROR(INDEX('Retirement Calculator'!J:J,MATCH('Isaac 401k'!N3991,'Retirement Calculator'!A:A,0),0),0)</f>
        <v>0</v>
      </c>
      <c r="K3991" s="444">
        <f t="shared" ca="1" si="176"/>
        <v>-30057168940.054741</v>
      </c>
      <c r="L3991" s="444">
        <f t="shared" ca="1" si="177"/>
        <v>-7243777714553.1924</v>
      </c>
      <c r="M3991" s="460">
        <f t="shared" si="179"/>
        <v>0.05</v>
      </c>
      <c r="N3991" s="464">
        <f t="shared" si="180"/>
        <v>172517</v>
      </c>
    </row>
    <row r="3992" spans="7:14" ht="11.25" customHeight="1" x14ac:dyDescent="0.25">
      <c r="G3992" s="459"/>
      <c r="H3992" s="459">
        <v>3985</v>
      </c>
      <c r="I3992" s="444">
        <f t="shared" ca="1" si="178"/>
        <v>-7243777714553.1924</v>
      </c>
      <c r="J3992" s="444">
        <f t="array" ref="J3992">IFERROR(INDEX('Retirement Calculator'!J:J,MATCH('Isaac 401k'!N3992,'Retirement Calculator'!A:A,0),0),0)</f>
        <v>0</v>
      </c>
      <c r="K3992" s="444">
        <f t="shared" ca="1" si="176"/>
        <v>-30182407143.97163</v>
      </c>
      <c r="L3992" s="444">
        <f t="shared" ca="1" si="177"/>
        <v>-7273960121697.1641</v>
      </c>
      <c r="M3992" s="460">
        <f t="shared" si="179"/>
        <v>0.05</v>
      </c>
      <c r="N3992" s="464">
        <f t="shared" si="180"/>
        <v>172548</v>
      </c>
    </row>
    <row r="3993" spans="7:14" ht="11.25" customHeight="1" x14ac:dyDescent="0.25">
      <c r="G3993" s="459"/>
      <c r="H3993" s="459">
        <v>3986</v>
      </c>
      <c r="I3993" s="444">
        <f t="shared" ca="1" si="178"/>
        <v>-7273960121697.1641</v>
      </c>
      <c r="J3993" s="444">
        <f t="array" ref="J3993">IFERROR(INDEX('Retirement Calculator'!J:J,MATCH('Isaac 401k'!N3993,'Retirement Calculator'!A:A,0),0),0)</f>
        <v>0</v>
      </c>
      <c r="K3993" s="444">
        <f t="shared" ca="1" si="176"/>
        <v>-30308167173.738186</v>
      </c>
      <c r="L3993" s="444">
        <f t="shared" ca="1" si="177"/>
        <v>-7304268288870.9023</v>
      </c>
      <c r="M3993" s="460">
        <f t="shared" si="179"/>
        <v>0.05</v>
      </c>
      <c r="N3993" s="464">
        <f t="shared" si="180"/>
        <v>172578</v>
      </c>
    </row>
    <row r="3994" spans="7:14" ht="11.25" customHeight="1" x14ac:dyDescent="0.25">
      <c r="G3994" s="459"/>
      <c r="H3994" s="459">
        <v>3987</v>
      </c>
      <c r="I3994" s="444">
        <f t="shared" ca="1" si="178"/>
        <v>-7304268288870.9023</v>
      </c>
      <c r="J3994" s="444">
        <f t="array" ref="J3994">IFERROR(INDEX('Retirement Calculator'!J:J,MATCH('Isaac 401k'!N3994,'Retirement Calculator'!A:A,0),0),0)</f>
        <v>0</v>
      </c>
      <c r="K3994" s="444">
        <f t="shared" ca="1" si="176"/>
        <v>-30434451203.628757</v>
      </c>
      <c r="L3994" s="444">
        <f t="shared" ca="1" si="177"/>
        <v>-7334702740074.5313</v>
      </c>
      <c r="M3994" s="460">
        <f t="shared" si="179"/>
        <v>0.05</v>
      </c>
      <c r="N3994" s="464">
        <f t="shared" si="180"/>
        <v>172609</v>
      </c>
    </row>
    <row r="3995" spans="7:14" ht="11.25" customHeight="1" x14ac:dyDescent="0.25">
      <c r="G3995" s="459"/>
      <c r="H3995" s="459">
        <v>3988</v>
      </c>
      <c r="I3995" s="444">
        <f t="shared" ca="1" si="178"/>
        <v>-7334702740074.5313</v>
      </c>
      <c r="J3995" s="444">
        <f t="array" ref="J3995">IFERROR(INDEX('Retirement Calculator'!J:J,MATCH('Isaac 401k'!N3995,'Retirement Calculator'!A:A,0),0),0)</f>
        <v>0</v>
      </c>
      <c r="K3995" s="444">
        <f t="shared" ca="1" si="176"/>
        <v>-30561261416.977215</v>
      </c>
      <c r="L3995" s="444">
        <f t="shared" ca="1" si="177"/>
        <v>-7365264001491.5088</v>
      </c>
      <c r="M3995" s="460">
        <f t="shared" si="179"/>
        <v>0.05</v>
      </c>
      <c r="N3995" s="464">
        <f t="shared" si="180"/>
        <v>172640</v>
      </c>
    </row>
    <row r="3996" spans="7:14" ht="11.25" customHeight="1" x14ac:dyDescent="0.25">
      <c r="G3996" s="459"/>
      <c r="H3996" s="459">
        <v>3989</v>
      </c>
      <c r="I3996" s="444">
        <f t="shared" ca="1" si="178"/>
        <v>-7365264001491.5088</v>
      </c>
      <c r="J3996" s="444">
        <f t="array" ref="J3996">IFERROR(INDEX('Retirement Calculator'!J:J,MATCH('Isaac 401k'!N3996,'Retirement Calculator'!A:A,0),0),0)</f>
        <v>0</v>
      </c>
      <c r="K3996" s="444">
        <f t="shared" ca="1" si="176"/>
        <v>-30688600006.214619</v>
      </c>
      <c r="L3996" s="444">
        <f t="shared" ca="1" si="177"/>
        <v>-7395952601497.7236</v>
      </c>
      <c r="M3996" s="460">
        <f t="shared" si="179"/>
        <v>0.05</v>
      </c>
      <c r="N3996" s="464">
        <f t="shared" si="180"/>
        <v>172670</v>
      </c>
    </row>
    <row r="3997" spans="7:14" ht="11.25" customHeight="1" x14ac:dyDescent="0.25">
      <c r="G3997" s="459"/>
      <c r="H3997" s="459">
        <v>3990</v>
      </c>
      <c r="I3997" s="444">
        <f t="shared" ca="1" si="178"/>
        <v>-7395952601497.7236</v>
      </c>
      <c r="J3997" s="444">
        <f t="array" ref="J3997">IFERROR(INDEX('Retirement Calculator'!J:J,MATCH('Isaac 401k'!N3997,'Retirement Calculator'!A:A,0),0),0)</f>
        <v>0</v>
      </c>
      <c r="K3997" s="444">
        <f t="shared" ca="1" si="176"/>
        <v>-30816469172.907177</v>
      </c>
      <c r="L3997" s="444">
        <f t="shared" ca="1" si="177"/>
        <v>-7426769070670.6309</v>
      </c>
      <c r="M3997" s="460">
        <f t="shared" si="179"/>
        <v>0.05</v>
      </c>
      <c r="N3997" s="464">
        <f t="shared" si="180"/>
        <v>172701</v>
      </c>
    </row>
    <row r="3998" spans="7:14" ht="11.25" customHeight="1" x14ac:dyDescent="0.25">
      <c r="G3998" s="459"/>
      <c r="H3998" s="459">
        <v>3991</v>
      </c>
      <c r="I3998" s="444">
        <f t="shared" ca="1" si="178"/>
        <v>-7426769070670.6309</v>
      </c>
      <c r="J3998" s="444">
        <f t="array" ref="J3998">IFERROR(INDEX('Retirement Calculator'!J:J,MATCH('Isaac 401k'!N3998,'Retirement Calculator'!A:A,0),0),0)</f>
        <v>0</v>
      </c>
      <c r="K3998" s="444">
        <f t="shared" ca="1" si="176"/>
        <v>-30944871127.794296</v>
      </c>
      <c r="L3998" s="444">
        <f t="shared" ca="1" si="177"/>
        <v>-7457713941798.4248</v>
      </c>
      <c r="M3998" s="460">
        <f t="shared" si="179"/>
        <v>0.05</v>
      </c>
      <c r="N3998" s="464">
        <f t="shared" si="180"/>
        <v>172731</v>
      </c>
    </row>
    <row r="3999" spans="7:14" ht="11.25" customHeight="1" x14ac:dyDescent="0.25">
      <c r="G3999" s="459"/>
      <c r="H3999" s="459">
        <v>3992</v>
      </c>
      <c r="I3999" s="444">
        <f t="shared" ca="1" si="178"/>
        <v>-7457713941798.4248</v>
      </c>
      <c r="J3999" s="444">
        <f t="array" ref="J3999">IFERROR(INDEX('Retirement Calculator'!J:J,MATCH('Isaac 401k'!N3999,'Retirement Calculator'!A:A,0),0),0)</f>
        <v>0</v>
      </c>
      <c r="K3999" s="444">
        <f t="shared" ca="1" si="176"/>
        <v>-31073808090.826775</v>
      </c>
      <c r="L3999" s="444">
        <f t="shared" ca="1" si="177"/>
        <v>-7488787749889.252</v>
      </c>
      <c r="M3999" s="460">
        <f t="shared" si="179"/>
        <v>0.05</v>
      </c>
      <c r="N3999" s="464">
        <f t="shared" si="180"/>
        <v>172762</v>
      </c>
    </row>
    <row r="4000" spans="7:14" ht="11.25" customHeight="1" x14ac:dyDescent="0.25">
      <c r="G4000" s="459"/>
      <c r="H4000" s="459">
        <v>3993</v>
      </c>
      <c r="I4000" s="444">
        <f t="shared" ca="1" si="178"/>
        <v>-7488787749889.252</v>
      </c>
      <c r="J4000" s="444">
        <f t="array" ref="J4000">IFERROR(INDEX('Retirement Calculator'!J:J,MATCH('Isaac 401k'!N4000,'Retirement Calculator'!A:A,0),0),0)</f>
        <v>0</v>
      </c>
      <c r="K4000" s="444">
        <f t="shared" ca="1" si="176"/>
        <v>-31203282291.205215</v>
      </c>
      <c r="L4000" s="444">
        <f t="shared" ca="1" si="177"/>
        <v>-7519991032180.457</v>
      </c>
      <c r="M4000" s="460">
        <f t="shared" si="179"/>
        <v>0.05</v>
      </c>
      <c r="N4000" s="464">
        <f t="shared" si="180"/>
        <v>172793</v>
      </c>
    </row>
    <row r="4001" spans="7:14" ht="11.25" customHeight="1" x14ac:dyDescent="0.25">
      <c r="G4001" s="459"/>
      <c r="H4001" s="459">
        <v>3994</v>
      </c>
      <c r="I4001" s="444">
        <f t="shared" ca="1" si="178"/>
        <v>-7519991032180.457</v>
      </c>
      <c r="J4001" s="444">
        <f t="array" ref="J4001">IFERROR(INDEX('Retirement Calculator'!J:J,MATCH('Isaac 401k'!N4001,'Retirement Calculator'!A:A,0),0),0)</f>
        <v>0</v>
      </c>
      <c r="K4001" s="444">
        <f t="shared" ca="1" si="176"/>
        <v>-31333295967.418571</v>
      </c>
      <c r="L4001" s="444">
        <f t="shared" ca="1" si="177"/>
        <v>-7551324328147.876</v>
      </c>
      <c r="M4001" s="460">
        <f t="shared" si="179"/>
        <v>0.05</v>
      </c>
      <c r="N4001" s="464">
        <f t="shared" si="180"/>
        <v>172821</v>
      </c>
    </row>
    <row r="4002" spans="7:14" ht="11.25" customHeight="1" x14ac:dyDescent="0.25">
      <c r="G4002" s="459"/>
      <c r="H4002" s="459">
        <v>3995</v>
      </c>
      <c r="I4002" s="444">
        <f t="shared" ca="1" si="178"/>
        <v>-7551324328147.876</v>
      </c>
      <c r="J4002" s="444">
        <f t="array" ref="J4002">IFERROR(INDEX('Retirement Calculator'!J:J,MATCH('Isaac 401k'!N4002,'Retirement Calculator'!A:A,0),0),0)</f>
        <v>0</v>
      </c>
      <c r="K4002" s="444">
        <f t="shared" ca="1" si="176"/>
        <v>-31463851367.282822</v>
      </c>
      <c r="L4002" s="444">
        <f t="shared" ca="1" si="177"/>
        <v>-7582788179515.1592</v>
      </c>
      <c r="M4002" s="460">
        <f t="shared" si="179"/>
        <v>0.05</v>
      </c>
      <c r="N4002" s="464">
        <f t="shared" si="180"/>
        <v>172852</v>
      </c>
    </row>
    <row r="4003" spans="7:14" ht="11.25" customHeight="1" x14ac:dyDescent="0.25">
      <c r="G4003" s="459"/>
      <c r="H4003" s="459">
        <v>3996</v>
      </c>
      <c r="I4003" s="444">
        <f t="shared" ca="1" si="178"/>
        <v>-7582788179515.1592</v>
      </c>
      <c r="J4003" s="444">
        <f t="array" ref="J4003">IFERROR(INDEX('Retirement Calculator'!J:J,MATCH('Isaac 401k'!N4003,'Retirement Calculator'!A:A,0),0),0)</f>
        <v>0</v>
      </c>
      <c r="K4003" s="444">
        <f t="shared" ca="1" si="176"/>
        <v>-31594950747.979828</v>
      </c>
      <c r="L4003" s="444">
        <f t="shared" ca="1" si="177"/>
        <v>-7614383130263.1387</v>
      </c>
      <c r="M4003" s="460">
        <f t="shared" si="179"/>
        <v>0.05</v>
      </c>
      <c r="N4003" s="464">
        <f t="shared" si="180"/>
        <v>172882</v>
      </c>
    </row>
    <row r="4004" spans="7:14" ht="11.25" customHeight="1" x14ac:dyDescent="0.25">
      <c r="G4004" s="459"/>
      <c r="H4004" s="459">
        <v>3997</v>
      </c>
      <c r="I4004" s="444">
        <f t="shared" ca="1" si="178"/>
        <v>-7614383130263.1387</v>
      </c>
      <c r="J4004" s="444">
        <f t="array" ref="J4004">IFERROR(INDEX('Retirement Calculator'!J:J,MATCH('Isaac 401k'!N4004,'Retirement Calculator'!A:A,0),0),0)</f>
        <v>0</v>
      </c>
      <c r="K4004" s="444">
        <f t="shared" ca="1" si="176"/>
        <v>-31726596376.096416</v>
      </c>
      <c r="L4004" s="444">
        <f t="shared" ca="1" si="177"/>
        <v>-7646109726639.2354</v>
      </c>
      <c r="M4004" s="460">
        <f t="shared" si="179"/>
        <v>0.05</v>
      </c>
      <c r="N4004" s="464">
        <f t="shared" si="180"/>
        <v>172913</v>
      </c>
    </row>
    <row r="4005" spans="7:14" ht="11.25" customHeight="1" x14ac:dyDescent="0.25">
      <c r="G4005" s="459"/>
      <c r="H4005" s="459">
        <v>3998</v>
      </c>
      <c r="I4005" s="444">
        <f t="shared" ca="1" si="178"/>
        <v>-7646109726639.2354</v>
      </c>
      <c r="J4005" s="444">
        <f t="array" ref="J4005">IFERROR(INDEX('Retirement Calculator'!J:J,MATCH('Isaac 401k'!N4005,'Retirement Calculator'!A:A,0),0),0)</f>
        <v>0</v>
      </c>
      <c r="K4005" s="444">
        <f t="shared" ca="1" si="176"/>
        <v>-31858790527.663479</v>
      </c>
      <c r="L4005" s="444">
        <f t="shared" ca="1" si="177"/>
        <v>-7677968517166.8984</v>
      </c>
      <c r="M4005" s="460">
        <f t="shared" si="179"/>
        <v>0.05</v>
      </c>
      <c r="N4005" s="464">
        <f t="shared" si="180"/>
        <v>172943</v>
      </c>
    </row>
    <row r="4006" spans="7:14" ht="11.25" customHeight="1" x14ac:dyDescent="0.25">
      <c r="G4006" s="459"/>
      <c r="H4006" s="459">
        <v>3999</v>
      </c>
      <c r="I4006" s="444">
        <f t="shared" ca="1" si="178"/>
        <v>-7677968517166.8984</v>
      </c>
      <c r="J4006" s="444">
        <f t="array" ref="J4006">IFERROR(INDEX('Retirement Calculator'!J:J,MATCH('Isaac 401k'!N4006,'Retirement Calculator'!A:A,0),0),0)</f>
        <v>0</v>
      </c>
      <c r="K4006" s="444">
        <f t="shared" ca="1" si="176"/>
        <v>-31991535488.195408</v>
      </c>
      <c r="L4006" s="444">
        <f t="shared" ca="1" si="177"/>
        <v>-7709960052655.0938</v>
      </c>
      <c r="M4006" s="460">
        <f t="shared" si="179"/>
        <v>0.05</v>
      </c>
      <c r="N4006" s="464">
        <f t="shared" si="180"/>
        <v>172974</v>
      </c>
    </row>
    <row r="4007" spans="7:14" ht="11.25" customHeight="1" x14ac:dyDescent="0.25">
      <c r="G4007" s="459"/>
      <c r="H4007" s="459">
        <v>4000</v>
      </c>
      <c r="I4007" s="444">
        <f t="shared" ca="1" si="178"/>
        <v>-7709960052655.0938</v>
      </c>
      <c r="J4007" s="444">
        <f t="array" ref="J4007">IFERROR(INDEX('Retirement Calculator'!J:J,MATCH('Isaac 401k'!N4007,'Retirement Calculator'!A:A,0),0),0)</f>
        <v>0</v>
      </c>
      <c r="K4007" s="444">
        <f t="shared" ca="1" si="176"/>
        <v>-32124833552.729553</v>
      </c>
      <c r="L4007" s="444">
        <f t="shared" ca="1" si="177"/>
        <v>-7742084886207.8232</v>
      </c>
      <c r="M4007" s="460">
        <f t="shared" si="179"/>
        <v>0.05</v>
      </c>
      <c r="N4007" s="464">
        <f t="shared" si="180"/>
        <v>173005</v>
      </c>
    </row>
    <row r="4008" spans="7:14" ht="11.25" customHeight="1" x14ac:dyDescent="0.25">
      <c r="G4008" s="459"/>
      <c r="H4008" s="459">
        <v>4001</v>
      </c>
      <c r="I4008" s="444">
        <f t="shared" ca="1" si="178"/>
        <v>-7742084886207.8232</v>
      </c>
      <c r="J4008" s="444">
        <f t="array" ref="J4008">IFERROR(INDEX('Retirement Calculator'!J:J,MATCH('Isaac 401k'!N4008,'Retirement Calculator'!A:A,0),0),0)</f>
        <v>0</v>
      </c>
      <c r="K4008" s="444">
        <f t="shared" ca="1" si="176"/>
        <v>-32258687025.865929</v>
      </c>
      <c r="L4008" s="444">
        <f t="shared" ca="1" si="177"/>
        <v>-7774343573233.6895</v>
      </c>
      <c r="M4008" s="460">
        <f t="shared" si="179"/>
        <v>0.05</v>
      </c>
      <c r="N4008" s="464">
        <f t="shared" si="180"/>
        <v>173035</v>
      </c>
    </row>
    <row r="4009" spans="7:14" ht="11.25" customHeight="1" x14ac:dyDescent="0.25">
      <c r="G4009" s="459"/>
      <c r="H4009" s="459">
        <v>4002</v>
      </c>
      <c r="I4009" s="444">
        <f t="shared" ca="1" si="178"/>
        <v>-7774343573233.6895</v>
      </c>
      <c r="J4009" s="444">
        <f t="array" ref="J4009">IFERROR(INDEX('Retirement Calculator'!J:J,MATCH('Isaac 401k'!N4009,'Retirement Calculator'!A:A,0),0),0)</f>
        <v>0</v>
      </c>
      <c r="K4009" s="444">
        <f t="shared" ca="1" si="176"/>
        <v>-32393098221.807041</v>
      </c>
      <c r="L4009" s="444">
        <f t="shared" ca="1" si="177"/>
        <v>-7806736671455.4961</v>
      </c>
      <c r="M4009" s="460">
        <f t="shared" si="179"/>
        <v>0.05</v>
      </c>
      <c r="N4009" s="464">
        <f t="shared" si="180"/>
        <v>173066</v>
      </c>
    </row>
    <row r="4010" spans="7:14" ht="11.25" customHeight="1" x14ac:dyDescent="0.25">
      <c r="G4010" s="459"/>
      <c r="H4010" s="459">
        <v>4003</v>
      </c>
      <c r="I4010" s="444">
        <f t="shared" ca="1" si="178"/>
        <v>-7806736671455.4961</v>
      </c>
      <c r="J4010" s="444">
        <f t="array" ref="J4010">IFERROR(INDEX('Retirement Calculator'!J:J,MATCH('Isaac 401k'!N4010,'Retirement Calculator'!A:A,0),0),0)</f>
        <v>0</v>
      </c>
      <c r="K4010" s="444">
        <f t="shared" ca="1" si="176"/>
        <v>-32528069464.3979</v>
      </c>
      <c r="L4010" s="444">
        <f t="shared" ca="1" si="177"/>
        <v>-7839264740919.8936</v>
      </c>
      <c r="M4010" s="460">
        <f t="shared" si="179"/>
        <v>0.05</v>
      </c>
      <c r="N4010" s="464">
        <f t="shared" si="180"/>
        <v>173096</v>
      </c>
    </row>
    <row r="4011" spans="7:14" ht="11.25" customHeight="1" x14ac:dyDescent="0.25">
      <c r="G4011" s="459"/>
      <c r="H4011" s="459">
        <v>4004</v>
      </c>
      <c r="I4011" s="444">
        <f t="shared" ca="1" si="178"/>
        <v>-7839264740919.8936</v>
      </c>
      <c r="J4011" s="444">
        <f t="array" ref="J4011">IFERROR(INDEX('Retirement Calculator'!J:J,MATCH('Isaac 401k'!N4011,'Retirement Calculator'!A:A,0),0),0)</f>
        <v>0</v>
      </c>
      <c r="K4011" s="444">
        <f t="shared" ca="1" si="176"/>
        <v>-32663603087.166222</v>
      </c>
      <c r="L4011" s="444">
        <f t="shared" ca="1" si="177"/>
        <v>-7871928344007.0596</v>
      </c>
      <c r="M4011" s="460">
        <f t="shared" si="179"/>
        <v>0.05</v>
      </c>
      <c r="N4011" s="464">
        <f t="shared" si="180"/>
        <v>173127</v>
      </c>
    </row>
    <row r="4012" spans="7:14" ht="11.25" customHeight="1" x14ac:dyDescent="0.25">
      <c r="G4012" s="459"/>
      <c r="H4012" s="459">
        <v>4005</v>
      </c>
      <c r="I4012" s="444">
        <f t="shared" ca="1" si="178"/>
        <v>-7871928344007.0596</v>
      </c>
      <c r="J4012" s="444">
        <f t="array" ref="J4012">IFERROR(INDEX('Retirement Calculator'!J:J,MATCH('Isaac 401k'!N4012,'Retirement Calculator'!A:A,0),0),0)</f>
        <v>0</v>
      </c>
      <c r="K4012" s="444">
        <f t="shared" ca="1" si="176"/>
        <v>-32799701433.362751</v>
      </c>
      <c r="L4012" s="444">
        <f t="shared" ca="1" si="177"/>
        <v>-7904728045440.4219</v>
      </c>
      <c r="M4012" s="460">
        <f t="shared" si="179"/>
        <v>0.05</v>
      </c>
      <c r="N4012" s="464">
        <f t="shared" si="180"/>
        <v>173158</v>
      </c>
    </row>
    <row r="4013" spans="7:14" ht="11.25" customHeight="1" x14ac:dyDescent="0.25">
      <c r="G4013" s="459"/>
      <c r="H4013" s="459">
        <v>4006</v>
      </c>
      <c r="I4013" s="444">
        <f t="shared" ca="1" si="178"/>
        <v>-7904728045440.4219</v>
      </c>
      <c r="J4013" s="444">
        <f t="array" ref="J4013">IFERROR(INDEX('Retirement Calculator'!J:J,MATCH('Isaac 401k'!N4013,'Retirement Calculator'!A:A,0),0),0)</f>
        <v>0</v>
      </c>
      <c r="K4013" s="444">
        <f t="shared" ca="1" si="176"/>
        <v>-32936366856.001759</v>
      </c>
      <c r="L4013" s="444">
        <f t="shared" ca="1" si="177"/>
        <v>-7937664412296.4238</v>
      </c>
      <c r="M4013" s="460">
        <f t="shared" si="179"/>
        <v>0.05</v>
      </c>
      <c r="N4013" s="464">
        <f t="shared" si="180"/>
        <v>173186</v>
      </c>
    </row>
    <row r="4014" spans="7:14" ht="11.25" customHeight="1" x14ac:dyDescent="0.25">
      <c r="G4014" s="459"/>
      <c r="H4014" s="459">
        <v>4007</v>
      </c>
      <c r="I4014" s="444">
        <f t="shared" ca="1" si="178"/>
        <v>-7937664412296.4238</v>
      </c>
      <c r="J4014" s="444">
        <f t="array" ref="J4014">IFERROR(INDEX('Retirement Calculator'!J:J,MATCH('Isaac 401k'!N4014,'Retirement Calculator'!A:A,0),0),0)</f>
        <v>0</v>
      </c>
      <c r="K4014" s="444">
        <f t="shared" ca="1" si="176"/>
        <v>-33073601717.90176</v>
      </c>
      <c r="L4014" s="444">
        <f t="shared" ca="1" si="177"/>
        <v>-7970738014014.3252</v>
      </c>
      <c r="M4014" s="460">
        <f t="shared" si="179"/>
        <v>0.05</v>
      </c>
      <c r="N4014" s="464">
        <f t="shared" si="180"/>
        <v>173217</v>
      </c>
    </row>
    <row r="4015" spans="7:14" ht="11.25" customHeight="1" x14ac:dyDescent="0.25">
      <c r="G4015" s="459"/>
      <c r="H4015" s="459">
        <v>4008</v>
      </c>
      <c r="I4015" s="444">
        <f t="shared" ca="1" si="178"/>
        <v>-7970738014014.3252</v>
      </c>
      <c r="J4015" s="444">
        <f t="array" ref="J4015">IFERROR(INDEX('Retirement Calculator'!J:J,MATCH('Isaac 401k'!N4015,'Retirement Calculator'!A:A,0),0),0)</f>
        <v>0</v>
      </c>
      <c r="K4015" s="444">
        <f t="shared" ca="1" si="176"/>
        <v>-33211408391.726353</v>
      </c>
      <c r="L4015" s="444">
        <f t="shared" ca="1" si="177"/>
        <v>-8003949422406.0518</v>
      </c>
      <c r="M4015" s="460">
        <f t="shared" si="179"/>
        <v>0.05</v>
      </c>
      <c r="N4015" s="464">
        <f t="shared" si="180"/>
        <v>173247</v>
      </c>
    </row>
    <row r="4016" spans="7:14" ht="11.25" customHeight="1" x14ac:dyDescent="0.25">
      <c r="G4016" s="459"/>
      <c r="H4016" s="459">
        <v>4009</v>
      </c>
      <c r="I4016" s="444">
        <f t="shared" ca="1" si="178"/>
        <v>-8003949422406.0518</v>
      </c>
      <c r="J4016" s="444">
        <f t="array" ref="J4016">IFERROR(INDEX('Retirement Calculator'!J:J,MATCH('Isaac 401k'!N4016,'Retirement Calculator'!A:A,0),0),0)</f>
        <v>0</v>
      </c>
      <c r="K4016" s="444">
        <f t="shared" ca="1" si="176"/>
        <v>-33349789260.025211</v>
      </c>
      <c r="L4016" s="444">
        <f t="shared" ca="1" si="177"/>
        <v>-8037299211666.0771</v>
      </c>
      <c r="M4016" s="460">
        <f t="shared" si="179"/>
        <v>0.05</v>
      </c>
      <c r="N4016" s="464">
        <f t="shared" si="180"/>
        <v>173278</v>
      </c>
    </row>
    <row r="4017" spans="7:14" ht="11.25" customHeight="1" x14ac:dyDescent="0.25">
      <c r="G4017" s="459"/>
      <c r="H4017" s="459">
        <v>4010</v>
      </c>
      <c r="I4017" s="444">
        <f t="shared" ca="1" si="178"/>
        <v>-8037299211666.0771</v>
      </c>
      <c r="J4017" s="444">
        <f t="array" ref="J4017">IFERROR(INDEX('Retirement Calculator'!J:J,MATCH('Isaac 401k'!N4017,'Retirement Calculator'!A:A,0),0),0)</f>
        <v>0</v>
      </c>
      <c r="K4017" s="444">
        <f t="shared" ca="1" si="176"/>
        <v>-33488746715.275326</v>
      </c>
      <c r="L4017" s="444">
        <f t="shared" ca="1" si="177"/>
        <v>-8070787958381.3525</v>
      </c>
      <c r="M4017" s="460">
        <f t="shared" si="179"/>
        <v>0.05</v>
      </c>
      <c r="N4017" s="464">
        <f t="shared" si="180"/>
        <v>173308</v>
      </c>
    </row>
    <row r="4018" spans="7:14" ht="11.25" customHeight="1" x14ac:dyDescent="0.25">
      <c r="G4018" s="459"/>
      <c r="H4018" s="459">
        <v>4011</v>
      </c>
      <c r="I4018" s="444">
        <f t="shared" ca="1" si="178"/>
        <v>-8070787958381.3525</v>
      </c>
      <c r="J4018" s="444">
        <f t="array" ref="J4018">IFERROR(INDEX('Retirement Calculator'!J:J,MATCH('Isaac 401k'!N4018,'Retirement Calculator'!A:A,0),0),0)</f>
        <v>0</v>
      </c>
      <c r="K4018" s="444">
        <f t="shared" ca="1" si="176"/>
        <v>-33628283159.922302</v>
      </c>
      <c r="L4018" s="444">
        <f t="shared" ca="1" si="177"/>
        <v>-8104416241541.2744</v>
      </c>
      <c r="M4018" s="460">
        <f t="shared" si="179"/>
        <v>0.05</v>
      </c>
      <c r="N4018" s="464">
        <f t="shared" si="180"/>
        <v>173339</v>
      </c>
    </row>
    <row r="4019" spans="7:14" ht="11.25" customHeight="1" x14ac:dyDescent="0.25">
      <c r="G4019" s="459"/>
      <c r="H4019" s="459">
        <v>4012</v>
      </c>
      <c r="I4019" s="444">
        <f t="shared" ca="1" si="178"/>
        <v>-8104416241541.2744</v>
      </c>
      <c r="J4019" s="444">
        <f t="array" ref="J4019">IFERROR(INDEX('Retirement Calculator'!J:J,MATCH('Isaac 401k'!N4019,'Retirement Calculator'!A:A,0),0),0)</f>
        <v>0</v>
      </c>
      <c r="K4019" s="444">
        <f t="shared" ca="1" si="176"/>
        <v>-33768401006.42197</v>
      </c>
      <c r="L4019" s="444">
        <f t="shared" ca="1" si="177"/>
        <v>-8138184642547.6963</v>
      </c>
      <c r="M4019" s="460">
        <f t="shared" si="179"/>
        <v>0.05</v>
      </c>
      <c r="N4019" s="464">
        <f t="shared" si="180"/>
        <v>173370</v>
      </c>
    </row>
    <row r="4020" spans="7:14" ht="11.25" customHeight="1" x14ac:dyDescent="0.25">
      <c r="G4020" s="459"/>
      <c r="H4020" s="459">
        <v>4013</v>
      </c>
      <c r="I4020" s="444">
        <f t="shared" ca="1" si="178"/>
        <v>-8138184642547.6963</v>
      </c>
      <c r="J4020" s="444">
        <f t="array" ref="J4020">IFERROR(INDEX('Retirement Calculator'!J:J,MATCH('Isaac 401k'!N4020,'Retirement Calculator'!A:A,0),0),0)</f>
        <v>0</v>
      </c>
      <c r="K4020" s="444">
        <f t="shared" ca="1" si="176"/>
        <v>-33909102677.282066</v>
      </c>
      <c r="L4020" s="444">
        <f t="shared" ca="1" si="177"/>
        <v>-8172093745224.9785</v>
      </c>
      <c r="M4020" s="460">
        <f t="shared" si="179"/>
        <v>0.05</v>
      </c>
      <c r="N4020" s="464">
        <f t="shared" si="180"/>
        <v>173400</v>
      </c>
    </row>
    <row r="4021" spans="7:14" ht="11.25" customHeight="1" x14ac:dyDescent="0.25">
      <c r="G4021" s="459"/>
      <c r="H4021" s="459">
        <v>4014</v>
      </c>
      <c r="I4021" s="444">
        <f t="shared" ca="1" si="178"/>
        <v>-8172093745224.9785</v>
      </c>
      <c r="J4021" s="444">
        <f t="array" ref="J4021">IFERROR(INDEX('Retirement Calculator'!J:J,MATCH('Isaac 401k'!N4021,'Retirement Calculator'!A:A,0),0),0)</f>
        <v>0</v>
      </c>
      <c r="K4021" s="444">
        <f t="shared" ca="1" si="176"/>
        <v>-34050390605.104076</v>
      </c>
      <c r="L4021" s="444">
        <f t="shared" ca="1" si="177"/>
        <v>-8206144135830.083</v>
      </c>
      <c r="M4021" s="460">
        <f t="shared" si="179"/>
        <v>0.05</v>
      </c>
      <c r="N4021" s="464">
        <f t="shared" si="180"/>
        <v>173431</v>
      </c>
    </row>
    <row r="4022" spans="7:14" ht="11.25" customHeight="1" x14ac:dyDescent="0.25">
      <c r="G4022" s="459"/>
      <c r="H4022" s="459">
        <v>4015</v>
      </c>
      <c r="I4022" s="444">
        <f t="shared" ca="1" si="178"/>
        <v>-8206144135830.083</v>
      </c>
      <c r="J4022" s="444">
        <f t="array" ref="J4022">IFERROR(INDEX('Retirement Calculator'!J:J,MATCH('Isaac 401k'!N4022,'Retirement Calculator'!A:A,0),0),0)</f>
        <v>0</v>
      </c>
      <c r="K4022" s="444">
        <f t="shared" ca="1" si="176"/>
        <v>-34192267232.625347</v>
      </c>
      <c r="L4022" s="444">
        <f t="shared" ca="1" si="177"/>
        <v>-8240336403062.708</v>
      </c>
      <c r="M4022" s="460">
        <f t="shared" si="179"/>
        <v>0.05</v>
      </c>
      <c r="N4022" s="464">
        <f t="shared" si="180"/>
        <v>173461</v>
      </c>
    </row>
    <row r="4023" spans="7:14" ht="11.25" customHeight="1" x14ac:dyDescent="0.25">
      <c r="G4023" s="459"/>
      <c r="H4023" s="459">
        <v>4016</v>
      </c>
      <c r="I4023" s="444">
        <f t="shared" ca="1" si="178"/>
        <v>-8240336403062.708</v>
      </c>
      <c r="J4023" s="444">
        <f t="array" ref="J4023">IFERROR(INDEX('Retirement Calculator'!J:J,MATCH('Isaac 401k'!N4023,'Retirement Calculator'!A:A,0),0),0)</f>
        <v>0</v>
      </c>
      <c r="K4023" s="444">
        <f t="shared" ca="1" si="176"/>
        <v>-34334735012.76128</v>
      </c>
      <c r="L4023" s="444">
        <f t="shared" ca="1" si="177"/>
        <v>-8274671138075.4697</v>
      </c>
      <c r="M4023" s="460">
        <f t="shared" si="179"/>
        <v>0.05</v>
      </c>
      <c r="N4023" s="464">
        <f t="shared" si="180"/>
        <v>173492</v>
      </c>
    </row>
    <row r="4024" spans="7:14" ht="11.25" customHeight="1" x14ac:dyDescent="0.25">
      <c r="G4024" s="459"/>
      <c r="H4024" s="459">
        <v>4017</v>
      </c>
      <c r="I4024" s="444">
        <f t="shared" ca="1" si="178"/>
        <v>-8274671138075.4697</v>
      </c>
      <c r="J4024" s="444">
        <f t="array" ref="J4024">IFERROR(INDEX('Retirement Calculator'!J:J,MATCH('Isaac 401k'!N4024,'Retirement Calculator'!A:A,0),0),0)</f>
        <v>0</v>
      </c>
      <c r="K4024" s="444">
        <f t="shared" ca="1" si="176"/>
        <v>-34477796408.647789</v>
      </c>
      <c r="L4024" s="444">
        <f t="shared" ca="1" si="177"/>
        <v>-8309148934484.1172</v>
      </c>
      <c r="M4024" s="460">
        <f t="shared" si="179"/>
        <v>0.05</v>
      </c>
      <c r="N4024" s="464">
        <f t="shared" si="180"/>
        <v>173523</v>
      </c>
    </row>
    <row r="4025" spans="7:14" ht="11.25" customHeight="1" x14ac:dyDescent="0.25">
      <c r="G4025" s="459"/>
      <c r="H4025" s="459">
        <v>4018</v>
      </c>
      <c r="I4025" s="444">
        <f t="shared" ca="1" si="178"/>
        <v>-8309148934484.1172</v>
      </c>
      <c r="J4025" s="444">
        <f t="array" ref="J4025">IFERROR(INDEX('Retirement Calculator'!J:J,MATCH('Isaac 401k'!N4025,'Retirement Calculator'!A:A,0),0),0)</f>
        <v>0</v>
      </c>
      <c r="K4025" s="444">
        <f t="shared" ca="1" si="176"/>
        <v>-34621453893.683823</v>
      </c>
      <c r="L4025" s="444">
        <f t="shared" ca="1" si="177"/>
        <v>-8343770388377.8008</v>
      </c>
      <c r="M4025" s="460">
        <f t="shared" si="179"/>
        <v>0.05</v>
      </c>
      <c r="N4025" s="464">
        <f t="shared" si="180"/>
        <v>173551</v>
      </c>
    </row>
    <row r="4026" spans="7:14" ht="11.25" customHeight="1" x14ac:dyDescent="0.25">
      <c r="G4026" s="459"/>
      <c r="H4026" s="459">
        <v>4019</v>
      </c>
      <c r="I4026" s="444">
        <f t="shared" ca="1" si="178"/>
        <v>-8343770388377.8008</v>
      </c>
      <c r="J4026" s="444">
        <f t="array" ref="J4026">IFERROR(INDEX('Retirement Calculator'!J:J,MATCH('Isaac 401k'!N4026,'Retirement Calculator'!A:A,0),0),0)</f>
        <v>0</v>
      </c>
      <c r="K4026" s="444">
        <f t="shared" ca="1" si="176"/>
        <v>-34765709951.574173</v>
      </c>
      <c r="L4026" s="444">
        <f t="shared" ca="1" si="177"/>
        <v>-8378536098329.375</v>
      </c>
      <c r="M4026" s="460">
        <f t="shared" si="179"/>
        <v>0.05</v>
      </c>
      <c r="N4026" s="464">
        <f t="shared" si="180"/>
        <v>173582</v>
      </c>
    </row>
    <row r="4027" spans="7:14" ht="11.25" customHeight="1" x14ac:dyDescent="0.25">
      <c r="G4027" s="459"/>
      <c r="H4027" s="459">
        <v>4020</v>
      </c>
      <c r="I4027" s="444">
        <f t="shared" ca="1" si="178"/>
        <v>-8378536098329.375</v>
      </c>
      <c r="J4027" s="444">
        <f t="array" ref="J4027">IFERROR(INDEX('Retirement Calculator'!J:J,MATCH('Isaac 401k'!N4027,'Retirement Calculator'!A:A,0),0),0)</f>
        <v>0</v>
      </c>
      <c r="K4027" s="444">
        <f t="shared" ca="1" si="176"/>
        <v>-34910567076.372391</v>
      </c>
      <c r="L4027" s="444">
        <f t="shared" ca="1" si="177"/>
        <v>-8413446665405.7471</v>
      </c>
      <c r="M4027" s="460">
        <f t="shared" si="179"/>
        <v>0.05</v>
      </c>
      <c r="N4027" s="464">
        <f t="shared" si="180"/>
        <v>173612</v>
      </c>
    </row>
    <row r="4028" spans="7:14" ht="11.25" customHeight="1" x14ac:dyDescent="0.25">
      <c r="G4028" s="459"/>
      <c r="H4028" s="459">
        <v>4021</v>
      </c>
      <c r="I4028" s="444">
        <f t="shared" ca="1" si="178"/>
        <v>-8413446665405.7471</v>
      </c>
      <c r="J4028" s="444">
        <f t="array" ref="J4028">IFERROR(INDEX('Retirement Calculator'!J:J,MATCH('Isaac 401k'!N4028,'Retirement Calculator'!A:A,0),0),0)</f>
        <v>0</v>
      </c>
      <c r="K4028" s="444">
        <f t="shared" ca="1" si="176"/>
        <v>-35056027772.523949</v>
      </c>
      <c r="L4028" s="444">
        <f t="shared" ca="1" si="177"/>
        <v>-8448502693178.2715</v>
      </c>
      <c r="M4028" s="460">
        <f t="shared" si="179"/>
        <v>0.05</v>
      </c>
      <c r="N4028" s="464">
        <f t="shared" si="180"/>
        <v>173643</v>
      </c>
    </row>
    <row r="4029" spans="7:14" ht="11.25" customHeight="1" x14ac:dyDescent="0.25">
      <c r="G4029" s="459"/>
      <c r="H4029" s="459">
        <v>4022</v>
      </c>
      <c r="I4029" s="444">
        <f t="shared" ca="1" si="178"/>
        <v>-8448502693178.2715</v>
      </c>
      <c r="J4029" s="444">
        <f t="array" ref="J4029">IFERROR(INDEX('Retirement Calculator'!J:J,MATCH('Isaac 401k'!N4029,'Retirement Calculator'!A:A,0),0),0)</f>
        <v>0</v>
      </c>
      <c r="K4029" s="444">
        <f t="shared" ca="1" si="176"/>
        <v>-35202094554.909462</v>
      </c>
      <c r="L4029" s="444">
        <f t="shared" ca="1" si="177"/>
        <v>-8483704787733.1807</v>
      </c>
      <c r="M4029" s="460">
        <f t="shared" si="179"/>
        <v>0.05</v>
      </c>
      <c r="N4029" s="464">
        <f t="shared" si="180"/>
        <v>173673</v>
      </c>
    </row>
    <row r="4030" spans="7:14" ht="11.25" customHeight="1" x14ac:dyDescent="0.25">
      <c r="G4030" s="459"/>
      <c r="H4030" s="459">
        <v>4023</v>
      </c>
      <c r="I4030" s="444">
        <f t="shared" ca="1" si="178"/>
        <v>-8483704787733.1807</v>
      </c>
      <c r="J4030" s="444">
        <f t="array" ref="J4030">IFERROR(INDEX('Retirement Calculator'!J:J,MATCH('Isaac 401k'!N4030,'Retirement Calculator'!A:A,0),0),0)</f>
        <v>0</v>
      </c>
      <c r="K4030" s="444">
        <f t="shared" ca="1" si="176"/>
        <v>-35348769948.888245</v>
      </c>
      <c r="L4030" s="444">
        <f t="shared" ca="1" si="177"/>
        <v>-8519053557682.0693</v>
      </c>
      <c r="M4030" s="460">
        <f t="shared" si="179"/>
        <v>0.05</v>
      </c>
      <c r="N4030" s="464">
        <f t="shared" si="180"/>
        <v>173704</v>
      </c>
    </row>
    <row r="4031" spans="7:14" ht="11.25" customHeight="1" x14ac:dyDescent="0.25">
      <c r="G4031" s="459"/>
      <c r="H4031" s="459">
        <v>4024</v>
      </c>
      <c r="I4031" s="444">
        <f t="shared" ca="1" si="178"/>
        <v>-8519053557682.0693</v>
      </c>
      <c r="J4031" s="444">
        <f t="array" ref="J4031">IFERROR(INDEX('Retirement Calculator'!J:J,MATCH('Isaac 401k'!N4031,'Retirement Calculator'!A:A,0),0),0)</f>
        <v>0</v>
      </c>
      <c r="K4031" s="444">
        <f t="shared" ca="1" si="176"/>
        <v>-35496056490.341957</v>
      </c>
      <c r="L4031" s="444">
        <f t="shared" ca="1" si="177"/>
        <v>-8554549614172.4111</v>
      </c>
      <c r="M4031" s="460">
        <f t="shared" si="179"/>
        <v>0.05</v>
      </c>
      <c r="N4031" s="464">
        <f t="shared" si="180"/>
        <v>173735</v>
      </c>
    </row>
    <row r="4032" spans="7:14" ht="11.25" customHeight="1" x14ac:dyDescent="0.25">
      <c r="G4032" s="459"/>
      <c r="H4032" s="459">
        <v>4025</v>
      </c>
      <c r="I4032" s="444">
        <f t="shared" ca="1" si="178"/>
        <v>-8554549614172.4111</v>
      </c>
      <c r="J4032" s="444">
        <f t="array" ref="J4032">IFERROR(INDEX('Retirement Calculator'!J:J,MATCH('Isaac 401k'!N4032,'Retirement Calculator'!A:A,0),0),0)</f>
        <v>0</v>
      </c>
      <c r="K4032" s="444">
        <f t="shared" ca="1" si="176"/>
        <v>-35643956725.718384</v>
      </c>
      <c r="L4032" s="444">
        <f t="shared" ca="1" si="177"/>
        <v>-8590193570898.1299</v>
      </c>
      <c r="M4032" s="460">
        <f t="shared" si="179"/>
        <v>0.05</v>
      </c>
      <c r="N4032" s="464">
        <f t="shared" si="180"/>
        <v>173765</v>
      </c>
    </row>
    <row r="4033" spans="7:14" ht="11.25" customHeight="1" x14ac:dyDescent="0.25">
      <c r="G4033" s="459"/>
      <c r="H4033" s="459">
        <v>4026</v>
      </c>
      <c r="I4033" s="444">
        <f t="shared" ca="1" si="178"/>
        <v>-8590193570898.1299</v>
      </c>
      <c r="J4033" s="444">
        <f t="array" ref="J4033">IFERROR(INDEX('Retirement Calculator'!J:J,MATCH('Isaac 401k'!N4033,'Retirement Calculator'!A:A,0),0),0)</f>
        <v>0</v>
      </c>
      <c r="K4033" s="444">
        <f t="shared" ca="1" si="176"/>
        <v>-35792473212.075539</v>
      </c>
      <c r="L4033" s="444">
        <f t="shared" ca="1" si="177"/>
        <v>-8625986044110.2051</v>
      </c>
      <c r="M4033" s="460">
        <f t="shared" si="179"/>
        <v>0.05</v>
      </c>
      <c r="N4033" s="464">
        <f t="shared" si="180"/>
        <v>173796</v>
      </c>
    </row>
    <row r="4034" spans="7:14" ht="11.25" customHeight="1" x14ac:dyDescent="0.25">
      <c r="G4034" s="459"/>
      <c r="H4034" s="459">
        <v>4027</v>
      </c>
      <c r="I4034" s="444">
        <f t="shared" ca="1" si="178"/>
        <v>-8625986044110.2051</v>
      </c>
      <c r="J4034" s="444">
        <f t="array" ref="J4034">IFERROR(INDEX('Retirement Calculator'!J:J,MATCH('Isaac 401k'!N4034,'Retirement Calculator'!A:A,0),0),0)</f>
        <v>0</v>
      </c>
      <c r="K4034" s="444">
        <f t="shared" ca="1" si="176"/>
        <v>-35941608517.125847</v>
      </c>
      <c r="L4034" s="444">
        <f t="shared" ca="1" si="177"/>
        <v>-8661927652627.3311</v>
      </c>
      <c r="M4034" s="460">
        <f t="shared" si="179"/>
        <v>0.05</v>
      </c>
      <c r="N4034" s="464">
        <f t="shared" si="180"/>
        <v>173826</v>
      </c>
    </row>
    <row r="4035" spans="7:14" ht="11.25" customHeight="1" x14ac:dyDescent="0.25">
      <c r="G4035" s="459"/>
      <c r="H4035" s="459">
        <v>4028</v>
      </c>
      <c r="I4035" s="444">
        <f t="shared" ca="1" si="178"/>
        <v>-8661927652627.3311</v>
      </c>
      <c r="J4035" s="444">
        <f t="array" ref="J4035">IFERROR(INDEX('Retirement Calculator'!J:J,MATCH('Isaac 401k'!N4035,'Retirement Calculator'!A:A,0),0),0)</f>
        <v>0</v>
      </c>
      <c r="K4035" s="444">
        <f t="shared" ca="1" si="176"/>
        <v>-36091365219.280548</v>
      </c>
      <c r="L4035" s="444">
        <f t="shared" ca="1" si="177"/>
        <v>-8698019017846.6113</v>
      </c>
      <c r="M4035" s="460">
        <f t="shared" si="179"/>
        <v>0.05</v>
      </c>
      <c r="N4035" s="464">
        <f t="shared" si="180"/>
        <v>173857</v>
      </c>
    </row>
    <row r="4036" spans="7:14" ht="11.25" customHeight="1" x14ac:dyDescent="0.25">
      <c r="G4036" s="459"/>
      <c r="H4036" s="459">
        <v>4029</v>
      </c>
      <c r="I4036" s="444">
        <f t="shared" ca="1" si="178"/>
        <v>-8698019017846.6113</v>
      </c>
      <c r="J4036" s="444">
        <f t="array" ref="J4036">IFERROR(INDEX('Retirement Calculator'!J:J,MATCH('Isaac 401k'!N4036,'Retirement Calculator'!A:A,0),0),0)</f>
        <v>0</v>
      </c>
      <c r="K4036" s="444">
        <f t="shared" ca="1" si="176"/>
        <v>-36241745907.694214</v>
      </c>
      <c r="L4036" s="444">
        <f t="shared" ca="1" si="177"/>
        <v>-8734260763754.3057</v>
      </c>
      <c r="M4036" s="460">
        <f t="shared" si="179"/>
        <v>0.05</v>
      </c>
      <c r="N4036" s="464">
        <f t="shared" si="180"/>
        <v>173888</v>
      </c>
    </row>
    <row r="4037" spans="7:14" ht="11.25" customHeight="1" x14ac:dyDescent="0.25">
      <c r="G4037" s="459"/>
      <c r="H4037" s="459">
        <v>4030</v>
      </c>
      <c r="I4037" s="444">
        <f t="shared" ca="1" si="178"/>
        <v>-8734260763754.3057</v>
      </c>
      <c r="J4037" s="444">
        <f t="array" ref="J4037">IFERROR(INDEX('Retirement Calculator'!J:J,MATCH('Isaac 401k'!N4037,'Retirement Calculator'!A:A,0),0),0)</f>
        <v>0</v>
      </c>
      <c r="K4037" s="444">
        <f t="shared" ca="1" si="176"/>
        <v>-36392753182.309601</v>
      </c>
      <c r="L4037" s="444">
        <f t="shared" ca="1" si="177"/>
        <v>-8770653516936.6152</v>
      </c>
      <c r="M4037" s="460">
        <f t="shared" si="179"/>
        <v>0.05</v>
      </c>
      <c r="N4037" s="464">
        <f t="shared" si="180"/>
        <v>173917</v>
      </c>
    </row>
    <row r="4038" spans="7:14" ht="11.25" customHeight="1" x14ac:dyDescent="0.25">
      <c r="G4038" s="459"/>
      <c r="H4038" s="459">
        <v>4031</v>
      </c>
      <c r="I4038" s="444">
        <f t="shared" ca="1" si="178"/>
        <v>-8770653516936.6152</v>
      </c>
      <c r="J4038" s="444">
        <f t="array" ref="J4038">IFERROR(INDEX('Retirement Calculator'!J:J,MATCH('Isaac 401k'!N4038,'Retirement Calculator'!A:A,0),0),0)</f>
        <v>0</v>
      </c>
      <c r="K4038" s="444">
        <f t="shared" ca="1" si="176"/>
        <v>-36544389653.902565</v>
      </c>
      <c r="L4038" s="444">
        <f t="shared" ca="1" si="177"/>
        <v>-8807197906590.5176</v>
      </c>
      <c r="M4038" s="460">
        <f t="shared" si="179"/>
        <v>0.05</v>
      </c>
      <c r="N4038" s="464">
        <f t="shared" si="180"/>
        <v>173948</v>
      </c>
    </row>
    <row r="4039" spans="7:14" ht="11.25" customHeight="1" x14ac:dyDescent="0.25">
      <c r="G4039" s="459"/>
      <c r="H4039" s="459">
        <v>4032</v>
      </c>
      <c r="I4039" s="444">
        <f t="shared" ca="1" si="178"/>
        <v>-8807197906590.5176</v>
      </c>
      <c r="J4039" s="444">
        <f t="array" ref="J4039">IFERROR(INDEX('Retirement Calculator'!J:J,MATCH('Isaac 401k'!N4039,'Retirement Calculator'!A:A,0),0),0)</f>
        <v>0</v>
      </c>
      <c r="K4039" s="444">
        <f t="shared" ca="1" si="176"/>
        <v>-36696657944.127159</v>
      </c>
      <c r="L4039" s="444">
        <f t="shared" ca="1" si="177"/>
        <v>-8843894564534.6445</v>
      </c>
      <c r="M4039" s="460">
        <f t="shared" si="179"/>
        <v>0.05</v>
      </c>
      <c r="N4039" s="464">
        <f t="shared" si="180"/>
        <v>173978</v>
      </c>
    </row>
    <row r="4040" spans="7:14" ht="11.25" customHeight="1" x14ac:dyDescent="0.25">
      <c r="G4040" s="459"/>
      <c r="H4040" s="459">
        <v>4033</v>
      </c>
      <c r="I4040" s="444">
        <f t="shared" ca="1" si="178"/>
        <v>-8843894564534.6445</v>
      </c>
      <c r="J4040" s="444">
        <f t="array" ref="J4040">IFERROR(INDEX('Retirement Calculator'!J:J,MATCH('Isaac 401k'!N4040,'Retirement Calculator'!A:A,0),0),0)</f>
        <v>0</v>
      </c>
      <c r="K4040" s="444">
        <f t="shared" ca="1" si="176"/>
        <v>-36849560685.56102</v>
      </c>
      <c r="L4040" s="444">
        <f t="shared" ca="1" si="177"/>
        <v>-8880744125220.2051</v>
      </c>
      <c r="M4040" s="460">
        <f t="shared" si="179"/>
        <v>0.05</v>
      </c>
      <c r="N4040" s="464">
        <f t="shared" si="180"/>
        <v>174009</v>
      </c>
    </row>
    <row r="4041" spans="7:14" ht="11.25" customHeight="1" x14ac:dyDescent="0.25">
      <c r="G4041" s="459"/>
      <c r="H4041" s="459">
        <v>4034</v>
      </c>
      <c r="I4041" s="444">
        <f t="shared" ca="1" si="178"/>
        <v>-8880744125220.2051</v>
      </c>
      <c r="J4041" s="444">
        <f t="array" ref="J4041">IFERROR(INDEX('Retirement Calculator'!J:J,MATCH('Isaac 401k'!N4041,'Retirement Calculator'!A:A,0),0),0)</f>
        <v>0</v>
      </c>
      <c r="K4041" s="444">
        <f t="shared" ca="1" si="176"/>
        <v>-37003100521.750854</v>
      </c>
      <c r="L4041" s="444">
        <f t="shared" ca="1" si="177"/>
        <v>-8917747225741.9551</v>
      </c>
      <c r="M4041" s="460">
        <f t="shared" si="179"/>
        <v>0.05</v>
      </c>
      <c r="N4041" s="464">
        <f t="shared" si="180"/>
        <v>174039</v>
      </c>
    </row>
    <row r="4042" spans="7:14" ht="11.25" customHeight="1" x14ac:dyDescent="0.25">
      <c r="G4042" s="459"/>
      <c r="H4042" s="459">
        <v>4035</v>
      </c>
      <c r="I4042" s="444">
        <f t="shared" ca="1" si="178"/>
        <v>-8917747225741.9551</v>
      </c>
      <c r="J4042" s="444">
        <f t="array" ref="J4042">IFERROR(INDEX('Retirement Calculator'!J:J,MATCH('Isaac 401k'!N4042,'Retirement Calculator'!A:A,0),0),0)</f>
        <v>0</v>
      </c>
      <c r="K4042" s="444">
        <f t="shared" ca="1" si="176"/>
        <v>-37157280107.258148</v>
      </c>
      <c r="L4042" s="444">
        <f t="shared" ca="1" si="177"/>
        <v>-8954904505849.2129</v>
      </c>
      <c r="M4042" s="460">
        <f t="shared" si="179"/>
        <v>0.05</v>
      </c>
      <c r="N4042" s="464">
        <f t="shared" si="180"/>
        <v>174070</v>
      </c>
    </row>
    <row r="4043" spans="7:14" ht="11.25" customHeight="1" x14ac:dyDescent="0.25">
      <c r="G4043" s="459"/>
      <c r="H4043" s="459">
        <v>4036</v>
      </c>
      <c r="I4043" s="444">
        <f t="shared" ca="1" si="178"/>
        <v>-8954904505849.2129</v>
      </c>
      <c r="J4043" s="444">
        <f t="array" ref="J4043">IFERROR(INDEX('Retirement Calculator'!J:J,MATCH('Isaac 401k'!N4043,'Retirement Calculator'!A:A,0),0),0)</f>
        <v>0</v>
      </c>
      <c r="K4043" s="444">
        <f t="shared" ca="1" si="176"/>
        <v>-37312102107.705055</v>
      </c>
      <c r="L4043" s="444">
        <f t="shared" ca="1" si="177"/>
        <v>-8992216607956.918</v>
      </c>
      <c r="M4043" s="460">
        <f t="shared" si="179"/>
        <v>0.05</v>
      </c>
      <c r="N4043" s="464">
        <f t="shared" si="180"/>
        <v>174101</v>
      </c>
    </row>
    <row r="4044" spans="7:14" ht="11.25" customHeight="1" x14ac:dyDescent="0.25">
      <c r="G4044" s="459"/>
      <c r="H4044" s="459">
        <v>4037</v>
      </c>
      <c r="I4044" s="444">
        <f t="shared" ca="1" si="178"/>
        <v>-8992216607956.918</v>
      </c>
      <c r="J4044" s="444">
        <f t="array" ref="J4044">IFERROR(INDEX('Retirement Calculator'!J:J,MATCH('Isaac 401k'!N4044,'Retirement Calculator'!A:A,0),0),0)</f>
        <v>0</v>
      </c>
      <c r="K4044" s="444">
        <f t="shared" ca="1" si="176"/>
        <v>-37467569199.820488</v>
      </c>
      <c r="L4044" s="444">
        <f t="shared" ca="1" si="177"/>
        <v>-9029684177156.7383</v>
      </c>
      <c r="M4044" s="460">
        <f t="shared" si="179"/>
        <v>0.05</v>
      </c>
      <c r="N4044" s="464">
        <f t="shared" si="180"/>
        <v>174131</v>
      </c>
    </row>
    <row r="4045" spans="7:14" ht="11.25" customHeight="1" x14ac:dyDescent="0.25">
      <c r="G4045" s="459"/>
      <c r="H4045" s="459">
        <v>4038</v>
      </c>
      <c r="I4045" s="444">
        <f t="shared" ca="1" si="178"/>
        <v>-9029684177156.7383</v>
      </c>
      <c r="J4045" s="444">
        <f t="array" ref="J4045">IFERROR(INDEX('Retirement Calculator'!J:J,MATCH('Isaac 401k'!N4045,'Retirement Calculator'!A:A,0),0),0)</f>
        <v>0</v>
      </c>
      <c r="K4045" s="444">
        <f t="shared" ca="1" si="176"/>
        <v>-37623684071.486412</v>
      </c>
      <c r="L4045" s="444">
        <f t="shared" ca="1" si="177"/>
        <v>-9067307861228.2246</v>
      </c>
      <c r="M4045" s="460">
        <f t="shared" si="179"/>
        <v>0.05</v>
      </c>
      <c r="N4045" s="464">
        <f t="shared" si="180"/>
        <v>174162</v>
      </c>
    </row>
    <row r="4046" spans="7:14" ht="11.25" customHeight="1" x14ac:dyDescent="0.25">
      <c r="G4046" s="459"/>
      <c r="H4046" s="459">
        <v>4039</v>
      </c>
      <c r="I4046" s="444">
        <f t="shared" ca="1" si="178"/>
        <v>-9067307861228.2246</v>
      </c>
      <c r="J4046" s="444">
        <f t="array" ref="J4046">IFERROR(INDEX('Retirement Calculator'!J:J,MATCH('Isaac 401k'!N4046,'Retirement Calculator'!A:A,0),0),0)</f>
        <v>0</v>
      </c>
      <c r="K4046" s="444">
        <f t="shared" ca="1" si="176"/>
        <v>-37780449421.784271</v>
      </c>
      <c r="L4046" s="444">
        <f t="shared" ca="1" si="177"/>
        <v>-9105088310650.0098</v>
      </c>
      <c r="M4046" s="460">
        <f t="shared" si="179"/>
        <v>0.05</v>
      </c>
      <c r="N4046" s="464">
        <f t="shared" si="180"/>
        <v>174192</v>
      </c>
    </row>
    <row r="4047" spans="7:14" ht="11.25" customHeight="1" x14ac:dyDescent="0.25">
      <c r="G4047" s="459"/>
      <c r="H4047" s="459">
        <v>4040</v>
      </c>
      <c r="I4047" s="444">
        <f t="shared" ca="1" si="178"/>
        <v>-9105088310650.0098</v>
      </c>
      <c r="J4047" s="444">
        <f t="array" ref="J4047">IFERROR(INDEX('Retirement Calculator'!J:J,MATCH('Isaac 401k'!N4047,'Retirement Calculator'!A:A,0),0),0)</f>
        <v>0</v>
      </c>
      <c r="K4047" s="444">
        <f t="shared" ca="1" si="176"/>
        <v>-37937867961.04171</v>
      </c>
      <c r="L4047" s="444">
        <f t="shared" ca="1" si="177"/>
        <v>-9143026178611.0508</v>
      </c>
      <c r="M4047" s="460">
        <f t="shared" si="179"/>
        <v>0.05</v>
      </c>
      <c r="N4047" s="464">
        <f t="shared" si="180"/>
        <v>174223</v>
      </c>
    </row>
    <row r="4048" spans="7:14" ht="11.25" customHeight="1" x14ac:dyDescent="0.25">
      <c r="G4048" s="459"/>
      <c r="H4048" s="459">
        <v>4041</v>
      </c>
      <c r="I4048" s="444">
        <f t="shared" ca="1" si="178"/>
        <v>-9143026178611.0508</v>
      </c>
      <c r="J4048" s="444">
        <f t="array" ref="J4048">IFERROR(INDEX('Retirement Calculator'!J:J,MATCH('Isaac 401k'!N4048,'Retirement Calculator'!A:A,0),0),0)</f>
        <v>0</v>
      </c>
      <c r="K4048" s="444">
        <f t="shared" ca="1" si="176"/>
        <v>-38095942410.879379</v>
      </c>
      <c r="L4048" s="444">
        <f t="shared" ca="1" si="177"/>
        <v>-9181122121021.9297</v>
      </c>
      <c r="M4048" s="460">
        <f t="shared" si="179"/>
        <v>0.05</v>
      </c>
      <c r="N4048" s="464">
        <f t="shared" si="180"/>
        <v>174254</v>
      </c>
    </row>
    <row r="4049" spans="7:14" ht="11.25" customHeight="1" x14ac:dyDescent="0.25">
      <c r="G4049" s="459"/>
      <c r="H4049" s="459">
        <v>4042</v>
      </c>
      <c r="I4049" s="444">
        <f t="shared" ca="1" si="178"/>
        <v>-9181122121021.9297</v>
      </c>
      <c r="J4049" s="444">
        <f t="array" ref="J4049">IFERROR(INDEX('Retirement Calculator'!J:J,MATCH('Isaac 401k'!N4049,'Retirement Calculator'!A:A,0),0),0)</f>
        <v>0</v>
      </c>
      <c r="K4049" s="444">
        <f t="shared" ca="1" si="176"/>
        <v>-38254675504.258041</v>
      </c>
      <c r="L4049" s="444">
        <f t="shared" ca="1" si="177"/>
        <v>-9219376796526.1875</v>
      </c>
      <c r="M4049" s="460">
        <f t="shared" si="179"/>
        <v>0.05</v>
      </c>
      <c r="N4049" s="464">
        <f t="shared" si="180"/>
        <v>174282</v>
      </c>
    </row>
    <row r="4050" spans="7:14" ht="11.25" customHeight="1" x14ac:dyDescent="0.25">
      <c r="G4050" s="459"/>
      <c r="H4050" s="459">
        <v>4043</v>
      </c>
      <c r="I4050" s="444">
        <f t="shared" ca="1" si="178"/>
        <v>-9219376796526.1875</v>
      </c>
      <c r="J4050" s="444">
        <f t="array" ref="J4050">IFERROR(INDEX('Retirement Calculator'!J:J,MATCH('Isaac 401k'!N4050,'Retirement Calculator'!A:A,0),0),0)</f>
        <v>0</v>
      </c>
      <c r="K4050" s="444">
        <f t="shared" ca="1" si="176"/>
        <v>-38414069985.52578</v>
      </c>
      <c r="L4050" s="444">
        <f t="shared" ca="1" si="177"/>
        <v>-9257790866511.7129</v>
      </c>
      <c r="M4050" s="460">
        <f t="shared" si="179"/>
        <v>0.05</v>
      </c>
      <c r="N4050" s="464">
        <f t="shared" si="180"/>
        <v>174313</v>
      </c>
    </row>
    <row r="4051" spans="7:14" ht="11.25" customHeight="1" x14ac:dyDescent="0.25">
      <c r="G4051" s="459"/>
      <c r="H4051" s="459">
        <v>4044</v>
      </c>
      <c r="I4051" s="444">
        <f t="shared" ca="1" si="178"/>
        <v>-9257790866511.7129</v>
      </c>
      <c r="J4051" s="444">
        <f t="array" ref="J4051">IFERROR(INDEX('Retirement Calculator'!J:J,MATCH('Isaac 401k'!N4051,'Retirement Calculator'!A:A,0),0),0)</f>
        <v>0</v>
      </c>
      <c r="K4051" s="444">
        <f t="shared" ca="1" si="176"/>
        <v>-38574128610.465469</v>
      </c>
      <c r="L4051" s="444">
        <f t="shared" ca="1" si="177"/>
        <v>-9296364995122.1777</v>
      </c>
      <c r="M4051" s="460">
        <f t="shared" si="179"/>
        <v>0.05</v>
      </c>
      <c r="N4051" s="464">
        <f t="shared" si="180"/>
        <v>174343</v>
      </c>
    </row>
    <row r="4052" spans="7:14" ht="11.25" customHeight="1" x14ac:dyDescent="0.25">
      <c r="G4052" s="459"/>
      <c r="H4052" s="459">
        <v>4045</v>
      </c>
      <c r="I4052" s="444">
        <f t="shared" ca="1" si="178"/>
        <v>-9296364995122.1777</v>
      </c>
      <c r="J4052" s="444">
        <f t="array" ref="J4052">IFERROR(INDEX('Retirement Calculator'!J:J,MATCH('Isaac 401k'!N4052,'Retirement Calculator'!A:A,0),0),0)</f>
        <v>0</v>
      </c>
      <c r="K4052" s="444">
        <f t="shared" ca="1" si="176"/>
        <v>-38734854146.342407</v>
      </c>
      <c r="L4052" s="444">
        <f t="shared" ca="1" si="177"/>
        <v>-9335099849268.5195</v>
      </c>
      <c r="M4052" s="460">
        <f t="shared" si="179"/>
        <v>0.05</v>
      </c>
      <c r="N4052" s="464">
        <f t="shared" si="180"/>
        <v>174374</v>
      </c>
    </row>
    <row r="4053" spans="7:14" ht="11.25" customHeight="1" x14ac:dyDescent="0.25">
      <c r="G4053" s="459"/>
      <c r="H4053" s="459">
        <v>4046</v>
      </c>
      <c r="I4053" s="444">
        <f t="shared" ca="1" si="178"/>
        <v>-9335099849268.5195</v>
      </c>
      <c r="J4053" s="444">
        <f t="array" ref="J4053">IFERROR(INDEX('Retirement Calculator'!J:J,MATCH('Isaac 401k'!N4053,'Retirement Calculator'!A:A,0),0),0)</f>
        <v>0</v>
      </c>
      <c r="K4053" s="444">
        <f t="shared" ca="1" si="176"/>
        <v>-38896249371.952164</v>
      </c>
      <c r="L4053" s="444">
        <f t="shared" ca="1" si="177"/>
        <v>-9373996098640.4727</v>
      </c>
      <c r="M4053" s="460">
        <f t="shared" si="179"/>
        <v>0.05</v>
      </c>
      <c r="N4053" s="464">
        <f t="shared" si="180"/>
        <v>174404</v>
      </c>
    </row>
    <row r="4054" spans="7:14" ht="11.25" customHeight="1" x14ac:dyDescent="0.25">
      <c r="G4054" s="459"/>
      <c r="H4054" s="459">
        <v>4047</v>
      </c>
      <c r="I4054" s="444">
        <f t="shared" ca="1" si="178"/>
        <v>-9373996098640.4727</v>
      </c>
      <c r="J4054" s="444">
        <f t="array" ref="J4054">IFERROR(INDEX('Retirement Calculator'!J:J,MATCH('Isaac 401k'!N4054,'Retirement Calculator'!A:A,0),0),0)</f>
        <v>0</v>
      </c>
      <c r="K4054" s="444">
        <f t="shared" ca="1" si="176"/>
        <v>-39058317077.668633</v>
      </c>
      <c r="L4054" s="444">
        <f t="shared" ca="1" si="177"/>
        <v>-9413054415718.1406</v>
      </c>
      <c r="M4054" s="460">
        <f t="shared" si="179"/>
        <v>0.05</v>
      </c>
      <c r="N4054" s="464">
        <f t="shared" si="180"/>
        <v>174435</v>
      </c>
    </row>
    <row r="4055" spans="7:14" ht="11.25" customHeight="1" x14ac:dyDescent="0.25">
      <c r="G4055" s="459"/>
      <c r="H4055" s="459">
        <v>4048</v>
      </c>
      <c r="I4055" s="444">
        <f t="shared" ca="1" si="178"/>
        <v>-9413054415718.1406</v>
      </c>
      <c r="J4055" s="444">
        <f t="array" ref="J4055">IFERROR(INDEX('Retirement Calculator'!J:J,MATCH('Isaac 401k'!N4055,'Retirement Calculator'!A:A,0),0),0)</f>
        <v>0</v>
      </c>
      <c r="K4055" s="444">
        <f t="shared" ca="1" si="176"/>
        <v>-39221060065.492249</v>
      </c>
      <c r="L4055" s="444">
        <f t="shared" ca="1" si="177"/>
        <v>-9452275475783.6328</v>
      </c>
      <c r="M4055" s="460">
        <f t="shared" si="179"/>
        <v>0.05</v>
      </c>
      <c r="N4055" s="464">
        <f t="shared" si="180"/>
        <v>174466</v>
      </c>
    </row>
    <row r="4056" spans="7:14" ht="11.25" customHeight="1" x14ac:dyDescent="0.25">
      <c r="G4056" s="459"/>
      <c r="H4056" s="459">
        <v>4049</v>
      </c>
      <c r="I4056" s="444">
        <f t="shared" ca="1" si="178"/>
        <v>-9452275475783.6328</v>
      </c>
      <c r="J4056" s="444">
        <f t="array" ref="J4056">IFERROR(INDEX('Retirement Calculator'!J:J,MATCH('Isaac 401k'!N4056,'Retirement Calculator'!A:A,0),0),0)</f>
        <v>0</v>
      </c>
      <c r="K4056" s="444">
        <f t="shared" ca="1" si="176"/>
        <v>-39384481149.098473</v>
      </c>
      <c r="L4056" s="444">
        <f t="shared" ca="1" si="177"/>
        <v>-9491659956932.7305</v>
      </c>
      <c r="M4056" s="460">
        <f t="shared" si="179"/>
        <v>0.05</v>
      </c>
      <c r="N4056" s="464">
        <f t="shared" si="180"/>
        <v>174496</v>
      </c>
    </row>
    <row r="4057" spans="7:14" ht="11.25" customHeight="1" x14ac:dyDescent="0.25">
      <c r="G4057" s="459"/>
      <c r="H4057" s="459">
        <v>4050</v>
      </c>
      <c r="I4057" s="444">
        <f t="shared" ca="1" si="178"/>
        <v>-9491659956932.7305</v>
      </c>
      <c r="J4057" s="444">
        <f t="array" ref="J4057">IFERROR(INDEX('Retirement Calculator'!J:J,MATCH('Isaac 401k'!N4057,'Retirement Calculator'!A:A,0),0),0)</f>
        <v>0</v>
      </c>
      <c r="K4057" s="444">
        <f t="shared" ca="1" si="176"/>
        <v>-39548583153.886375</v>
      </c>
      <c r="L4057" s="444">
        <f t="shared" ca="1" si="177"/>
        <v>-9531208540086.6172</v>
      </c>
      <c r="M4057" s="460">
        <f t="shared" si="179"/>
        <v>0.05</v>
      </c>
      <c r="N4057" s="464">
        <f t="shared" si="180"/>
        <v>174527</v>
      </c>
    </row>
    <row r="4058" spans="7:14" ht="11.25" customHeight="1" x14ac:dyDescent="0.25">
      <c r="G4058" s="459"/>
      <c r="H4058" s="459">
        <v>4051</v>
      </c>
      <c r="I4058" s="444">
        <f t="shared" ca="1" si="178"/>
        <v>-9531208540086.6172</v>
      </c>
      <c r="J4058" s="444">
        <f t="array" ref="J4058">IFERROR(INDEX('Retirement Calculator'!J:J,MATCH('Isaac 401k'!N4058,'Retirement Calculator'!A:A,0),0),0)</f>
        <v>0</v>
      </c>
      <c r="K4058" s="444">
        <f t="shared" ca="1" si="176"/>
        <v>-39713368917.027573</v>
      </c>
      <c r="L4058" s="444">
        <f t="shared" ca="1" si="177"/>
        <v>-9570921909003.6445</v>
      </c>
      <c r="M4058" s="460">
        <f t="shared" si="179"/>
        <v>0.05</v>
      </c>
      <c r="N4058" s="464">
        <f t="shared" si="180"/>
        <v>174557</v>
      </c>
    </row>
    <row r="4059" spans="7:14" ht="11.25" customHeight="1" x14ac:dyDescent="0.25">
      <c r="G4059" s="459"/>
      <c r="H4059" s="459">
        <v>4052</v>
      </c>
      <c r="I4059" s="444">
        <f t="shared" ca="1" si="178"/>
        <v>-9570921909003.6445</v>
      </c>
      <c r="J4059" s="444">
        <f t="array" ref="J4059">IFERROR(INDEX('Retirement Calculator'!J:J,MATCH('Isaac 401k'!N4059,'Retirement Calculator'!A:A,0),0),0)</f>
        <v>0</v>
      </c>
      <c r="K4059" s="444">
        <f t="shared" ca="1" si="176"/>
        <v>-39878841287.515182</v>
      </c>
      <c r="L4059" s="444">
        <f t="shared" ca="1" si="177"/>
        <v>-9610800750291.1602</v>
      </c>
      <c r="M4059" s="460">
        <f t="shared" si="179"/>
        <v>0.05</v>
      </c>
      <c r="N4059" s="464">
        <f t="shared" si="180"/>
        <v>174588</v>
      </c>
    </row>
    <row r="4060" spans="7:14" ht="11.25" customHeight="1" x14ac:dyDescent="0.25">
      <c r="G4060" s="459"/>
      <c r="H4060" s="459">
        <v>4053</v>
      </c>
      <c r="I4060" s="444">
        <f t="shared" ca="1" si="178"/>
        <v>-9610800750291.1602</v>
      </c>
      <c r="J4060" s="444">
        <f t="array" ref="J4060">IFERROR(INDEX('Retirement Calculator'!J:J,MATCH('Isaac 401k'!N4060,'Retirement Calculator'!A:A,0),0),0)</f>
        <v>0</v>
      </c>
      <c r="K4060" s="444">
        <f t="shared" ca="1" si="176"/>
        <v>-40045003126.213165</v>
      </c>
      <c r="L4060" s="444">
        <f t="shared" ca="1" si="177"/>
        <v>-9650845753417.373</v>
      </c>
      <c r="M4060" s="460">
        <f t="shared" si="179"/>
        <v>0.05</v>
      </c>
      <c r="N4060" s="464">
        <f t="shared" si="180"/>
        <v>174619</v>
      </c>
    </row>
    <row r="4061" spans="7:14" ht="11.25" customHeight="1" x14ac:dyDescent="0.25">
      <c r="G4061" s="459"/>
      <c r="H4061" s="459">
        <v>4054</v>
      </c>
      <c r="I4061" s="444">
        <f t="shared" ca="1" si="178"/>
        <v>-9650845753417.373</v>
      </c>
      <c r="J4061" s="444">
        <f t="array" ref="J4061">IFERROR(INDEX('Retirement Calculator'!J:J,MATCH('Isaac 401k'!N4061,'Retirement Calculator'!A:A,0),0),0)</f>
        <v>0</v>
      </c>
      <c r="K4061" s="444">
        <f t="shared" ca="1" si="176"/>
        <v>-40211857305.905724</v>
      </c>
      <c r="L4061" s="444">
        <f t="shared" ca="1" si="177"/>
        <v>-9691057610723.2793</v>
      </c>
      <c r="M4061" s="460">
        <f t="shared" si="179"/>
        <v>0.05</v>
      </c>
      <c r="N4061" s="464">
        <f t="shared" si="180"/>
        <v>174647</v>
      </c>
    </row>
    <row r="4062" spans="7:14" ht="11.25" customHeight="1" x14ac:dyDescent="0.25">
      <c r="G4062" s="459"/>
      <c r="H4062" s="459">
        <v>4055</v>
      </c>
      <c r="I4062" s="444">
        <f t="shared" ca="1" si="178"/>
        <v>-9691057610723.2793</v>
      </c>
      <c r="J4062" s="444">
        <f t="array" ref="J4062">IFERROR(INDEX('Retirement Calculator'!J:J,MATCH('Isaac 401k'!N4062,'Retirement Calculator'!A:A,0),0),0)</f>
        <v>0</v>
      </c>
      <c r="K4062" s="444">
        <f t="shared" ca="1" si="176"/>
        <v>-40379406711.347</v>
      </c>
      <c r="L4062" s="444">
        <f t="shared" ca="1" si="177"/>
        <v>-9731437017434.627</v>
      </c>
      <c r="M4062" s="460">
        <f t="shared" si="179"/>
        <v>0.05</v>
      </c>
      <c r="N4062" s="464">
        <f t="shared" si="180"/>
        <v>174678</v>
      </c>
    </row>
    <row r="4063" spans="7:14" ht="11.25" customHeight="1" x14ac:dyDescent="0.25">
      <c r="G4063" s="459"/>
      <c r="H4063" s="459">
        <v>4056</v>
      </c>
      <c r="I4063" s="444">
        <f t="shared" ca="1" si="178"/>
        <v>-9731437017434.627</v>
      </c>
      <c r="J4063" s="444">
        <f t="array" ref="J4063">IFERROR(INDEX('Retirement Calculator'!J:J,MATCH('Isaac 401k'!N4063,'Retirement Calculator'!A:A,0),0),0)</f>
        <v>0</v>
      </c>
      <c r="K4063" s="444">
        <f t="shared" ca="1" si="176"/>
        <v>-40547654239.310944</v>
      </c>
      <c r="L4063" s="444">
        <f t="shared" ca="1" si="177"/>
        <v>-9771984671673.9375</v>
      </c>
      <c r="M4063" s="460">
        <f t="shared" si="179"/>
        <v>0.05</v>
      </c>
      <c r="N4063" s="464">
        <f t="shared" si="180"/>
        <v>174708</v>
      </c>
    </row>
    <row r="4064" spans="7:14" ht="11.25" customHeight="1" x14ac:dyDescent="0.25">
      <c r="G4064" s="459"/>
      <c r="H4064" s="459">
        <v>4057</v>
      </c>
      <c r="I4064" s="444">
        <f t="shared" ca="1" si="178"/>
        <v>-9771984671673.9375</v>
      </c>
      <c r="J4064" s="444">
        <f t="array" ref="J4064">IFERROR(INDEX('Retirement Calculator'!J:J,MATCH('Isaac 401k'!N4064,'Retirement Calculator'!A:A,0),0),0)</f>
        <v>0</v>
      </c>
      <c r="K4064" s="444">
        <f t="shared" ca="1" si="176"/>
        <v>-40716602798.641403</v>
      </c>
      <c r="L4064" s="444">
        <f t="shared" ca="1" si="177"/>
        <v>-9812701274472.5781</v>
      </c>
      <c r="M4064" s="460">
        <f t="shared" si="179"/>
        <v>0.05</v>
      </c>
      <c r="N4064" s="464">
        <f t="shared" si="180"/>
        <v>174739</v>
      </c>
    </row>
    <row r="4065" spans="7:14" ht="11.25" customHeight="1" x14ac:dyDescent="0.25">
      <c r="G4065" s="459"/>
      <c r="H4065" s="459">
        <v>4058</v>
      </c>
      <c r="I4065" s="444">
        <f t="shared" ca="1" si="178"/>
        <v>-9812701274472.5781</v>
      </c>
      <c r="J4065" s="444">
        <f t="array" ref="J4065">IFERROR(INDEX('Retirement Calculator'!J:J,MATCH('Isaac 401k'!N4065,'Retirement Calculator'!A:A,0),0),0)</f>
        <v>0</v>
      </c>
      <c r="K4065" s="444">
        <f t="shared" ca="1" si="176"/>
        <v>-40886255310.302406</v>
      </c>
      <c r="L4065" s="444">
        <f t="shared" ca="1" si="177"/>
        <v>-9853587529782.8809</v>
      </c>
      <c r="M4065" s="460">
        <f t="shared" si="179"/>
        <v>0.05</v>
      </c>
      <c r="N4065" s="464">
        <f t="shared" si="180"/>
        <v>174769</v>
      </c>
    </row>
    <row r="4066" spans="7:14" ht="11.25" customHeight="1" x14ac:dyDescent="0.25">
      <c r="G4066" s="459"/>
      <c r="H4066" s="459">
        <v>4059</v>
      </c>
      <c r="I4066" s="444">
        <f t="shared" ca="1" si="178"/>
        <v>-9853587529782.8809</v>
      </c>
      <c r="J4066" s="444">
        <f t="array" ref="J4066">IFERROR(INDEX('Retirement Calculator'!J:J,MATCH('Isaac 401k'!N4066,'Retirement Calculator'!A:A,0),0),0)</f>
        <v>0</v>
      </c>
      <c r="K4066" s="444">
        <f t="shared" ca="1" si="176"/>
        <v>-41056614707.428673</v>
      </c>
      <c r="L4066" s="444">
        <f t="shared" ca="1" si="177"/>
        <v>-9894644144490.3086</v>
      </c>
      <c r="M4066" s="460">
        <f t="shared" si="179"/>
        <v>0.05</v>
      </c>
      <c r="N4066" s="464">
        <f t="shared" si="180"/>
        <v>174800</v>
      </c>
    </row>
    <row r="4067" spans="7:14" ht="11.25" customHeight="1" x14ac:dyDescent="0.25">
      <c r="G4067" s="459"/>
      <c r="H4067" s="459">
        <v>4060</v>
      </c>
      <c r="I4067" s="444">
        <f t="shared" ca="1" si="178"/>
        <v>-9894644144490.3086</v>
      </c>
      <c r="J4067" s="444">
        <f t="array" ref="J4067">IFERROR(INDEX('Retirement Calculator'!J:J,MATCH('Isaac 401k'!N4067,'Retirement Calculator'!A:A,0),0),0)</f>
        <v>0</v>
      </c>
      <c r="K4067" s="444">
        <f t="shared" ca="1" si="176"/>
        <v>-41227683935.376282</v>
      </c>
      <c r="L4067" s="444">
        <f t="shared" ca="1" si="177"/>
        <v>-9935871828425.6855</v>
      </c>
      <c r="M4067" s="460">
        <f t="shared" si="179"/>
        <v>0.05</v>
      </c>
      <c r="N4067" s="464">
        <f t="shared" si="180"/>
        <v>174831</v>
      </c>
    </row>
    <row r="4068" spans="7:14" ht="11.25" customHeight="1" x14ac:dyDescent="0.25">
      <c r="G4068" s="459"/>
      <c r="H4068" s="459">
        <v>4061</v>
      </c>
      <c r="I4068" s="444">
        <f t="shared" ca="1" si="178"/>
        <v>-9935871828425.6855</v>
      </c>
      <c r="J4068" s="444">
        <f t="array" ref="J4068">IFERROR(INDEX('Retirement Calculator'!J:J,MATCH('Isaac 401k'!N4068,'Retirement Calculator'!A:A,0),0),0)</f>
        <v>0</v>
      </c>
      <c r="K4068" s="444">
        <f t="shared" ca="1" si="176"/>
        <v>-41399465951.773689</v>
      </c>
      <c r="L4068" s="444">
        <f t="shared" ca="1" si="177"/>
        <v>-9977271294377.459</v>
      </c>
      <c r="M4068" s="460">
        <f t="shared" si="179"/>
        <v>0.05</v>
      </c>
      <c r="N4068" s="464">
        <f t="shared" si="180"/>
        <v>174861</v>
      </c>
    </row>
    <row r="4069" spans="7:14" ht="11.25" customHeight="1" x14ac:dyDescent="0.25">
      <c r="G4069" s="459"/>
      <c r="H4069" s="459">
        <v>4062</v>
      </c>
      <c r="I4069" s="444">
        <f t="shared" ca="1" si="178"/>
        <v>-9977271294377.459</v>
      </c>
      <c r="J4069" s="444">
        <f t="array" ref="J4069">IFERROR(INDEX('Retirement Calculator'!J:J,MATCH('Isaac 401k'!N4069,'Retirement Calculator'!A:A,0),0),0)</f>
        <v>0</v>
      </c>
      <c r="K4069" s="444">
        <f t="shared" ca="1" si="176"/>
        <v>-41571963726.572746</v>
      </c>
      <c r="L4069" s="444">
        <f t="shared" ca="1" si="177"/>
        <v>-10018843258104.031</v>
      </c>
      <c r="M4069" s="460">
        <f t="shared" si="179"/>
        <v>0.05</v>
      </c>
      <c r="N4069" s="464">
        <f t="shared" si="180"/>
        <v>174892</v>
      </c>
    </row>
    <row r="4070" spans="7:14" ht="11.25" customHeight="1" x14ac:dyDescent="0.25">
      <c r="G4070" s="459"/>
      <c r="H4070" s="459">
        <v>4063</v>
      </c>
      <c r="I4070" s="444">
        <f t="shared" ca="1" si="178"/>
        <v>-10018843258104.031</v>
      </c>
      <c r="J4070" s="444">
        <f t="array" ref="J4070">IFERROR(INDEX('Retirement Calculator'!J:J,MATCH('Isaac 401k'!N4070,'Retirement Calculator'!A:A,0),0),0)</f>
        <v>0</v>
      </c>
      <c r="K4070" s="444">
        <f t="shared" ca="1" si="176"/>
        <v>-41745180242.100128</v>
      </c>
      <c r="L4070" s="444">
        <f t="shared" ca="1" si="177"/>
        <v>-10060588438346.131</v>
      </c>
      <c r="M4070" s="460">
        <f t="shared" si="179"/>
        <v>0.05</v>
      </c>
      <c r="N4070" s="464">
        <f t="shared" si="180"/>
        <v>174922</v>
      </c>
    </row>
    <row r="4071" spans="7:14" ht="11.25" customHeight="1" x14ac:dyDescent="0.25">
      <c r="G4071" s="459"/>
      <c r="H4071" s="459">
        <v>4064</v>
      </c>
      <c r="I4071" s="444">
        <f t="shared" ca="1" si="178"/>
        <v>-10060588438346.131</v>
      </c>
      <c r="J4071" s="444">
        <f t="array" ref="J4071">IFERROR(INDEX('Retirement Calculator'!J:J,MATCH('Isaac 401k'!N4071,'Retirement Calculator'!A:A,0),0),0)</f>
        <v>0</v>
      </c>
      <c r="K4071" s="444">
        <f t="shared" ca="1" si="176"/>
        <v>-41919118493.108879</v>
      </c>
      <c r="L4071" s="444">
        <f t="shared" ca="1" si="177"/>
        <v>-10102507556839.24</v>
      </c>
      <c r="M4071" s="460">
        <f t="shared" si="179"/>
        <v>0.05</v>
      </c>
      <c r="N4071" s="464">
        <f t="shared" si="180"/>
        <v>174953</v>
      </c>
    </row>
    <row r="4072" spans="7:14" ht="11.25" customHeight="1" x14ac:dyDescent="0.25">
      <c r="G4072" s="459"/>
      <c r="H4072" s="459">
        <v>4065</v>
      </c>
      <c r="I4072" s="444">
        <f t="shared" ca="1" si="178"/>
        <v>-10102507556839.24</v>
      </c>
      <c r="J4072" s="444">
        <f t="array" ref="J4072">IFERROR(INDEX('Retirement Calculator'!J:J,MATCH('Isaac 401k'!N4072,'Retirement Calculator'!A:A,0),0),0)</f>
        <v>0</v>
      </c>
      <c r="K4072" s="444">
        <f t="shared" ca="1" si="176"/>
        <v>-42093781486.83017</v>
      </c>
      <c r="L4072" s="444">
        <f t="shared" ca="1" si="177"/>
        <v>-10144601338326.07</v>
      </c>
      <c r="M4072" s="460">
        <f t="shared" si="179"/>
        <v>0.05</v>
      </c>
      <c r="N4072" s="464">
        <f t="shared" si="180"/>
        <v>174984</v>
      </c>
    </row>
    <row r="4073" spans="7:14" ht="11.25" customHeight="1" x14ac:dyDescent="0.25">
      <c r="G4073" s="459"/>
      <c r="H4073" s="459">
        <v>4066</v>
      </c>
      <c r="I4073" s="444">
        <f t="shared" ca="1" si="178"/>
        <v>-10144601338326.07</v>
      </c>
      <c r="J4073" s="444">
        <f t="array" ref="J4073">IFERROR(INDEX('Retirement Calculator'!J:J,MATCH('Isaac 401k'!N4073,'Retirement Calculator'!A:A,0),0),0)</f>
        <v>0</v>
      </c>
      <c r="K4073" s="444">
        <f t="shared" ca="1" si="176"/>
        <v>-42269172243.025291</v>
      </c>
      <c r="L4073" s="444">
        <f t="shared" ca="1" si="177"/>
        <v>-10186870510569.096</v>
      </c>
      <c r="M4073" s="460">
        <f t="shared" si="179"/>
        <v>0.05</v>
      </c>
      <c r="N4073" s="464">
        <f t="shared" si="180"/>
        <v>175012</v>
      </c>
    </row>
    <row r="4074" spans="7:14" ht="11.25" customHeight="1" x14ac:dyDescent="0.25">
      <c r="G4074" s="459"/>
      <c r="H4074" s="459">
        <v>4067</v>
      </c>
      <c r="I4074" s="444">
        <f t="shared" ca="1" si="178"/>
        <v>-10186870510569.096</v>
      </c>
      <c r="J4074" s="444">
        <f t="array" ref="J4074">IFERROR(INDEX('Retirement Calculator'!J:J,MATCH('Isaac 401k'!N4074,'Retirement Calculator'!A:A,0),0),0)</f>
        <v>0</v>
      </c>
      <c r="K4074" s="444">
        <f t="shared" ca="1" si="176"/>
        <v>-42445293794.037895</v>
      </c>
      <c r="L4074" s="444">
        <f t="shared" ca="1" si="177"/>
        <v>-10229315804363.133</v>
      </c>
      <c r="M4074" s="460">
        <f t="shared" si="179"/>
        <v>0.05</v>
      </c>
      <c r="N4074" s="464">
        <f t="shared" si="180"/>
        <v>175043</v>
      </c>
    </row>
    <row r="4075" spans="7:14" ht="11.25" customHeight="1" x14ac:dyDescent="0.25">
      <c r="G4075" s="459"/>
      <c r="H4075" s="459">
        <v>4068</v>
      </c>
      <c r="I4075" s="444">
        <f t="shared" ca="1" si="178"/>
        <v>-10229315804363.133</v>
      </c>
      <c r="J4075" s="444">
        <f t="array" ref="J4075">IFERROR(INDEX('Retirement Calculator'!J:J,MATCH('Isaac 401k'!N4075,'Retirement Calculator'!A:A,0),0),0)</f>
        <v>0</v>
      </c>
      <c r="K4075" s="444">
        <f t="shared" ca="1" si="176"/>
        <v>-42622149184.84639</v>
      </c>
      <c r="L4075" s="444">
        <f t="shared" ca="1" si="177"/>
        <v>-10271937953547.979</v>
      </c>
      <c r="M4075" s="460">
        <f t="shared" si="179"/>
        <v>0.05</v>
      </c>
      <c r="N4075" s="464">
        <f t="shared" si="180"/>
        <v>175073</v>
      </c>
    </row>
    <row r="4076" spans="7:14" ht="11.25" customHeight="1" x14ac:dyDescent="0.25">
      <c r="G4076" s="459"/>
      <c r="H4076" s="459">
        <v>4069</v>
      </c>
      <c r="I4076" s="444">
        <f t="shared" ca="1" si="178"/>
        <v>-10271937953547.979</v>
      </c>
      <c r="J4076" s="444">
        <f t="array" ref="J4076">IFERROR(INDEX('Retirement Calculator'!J:J,MATCH('Isaac 401k'!N4076,'Retirement Calculator'!A:A,0),0),0)</f>
        <v>0</v>
      </c>
      <c r="K4076" s="444">
        <f t="shared" ca="1" si="176"/>
        <v>-42799741473.116577</v>
      </c>
      <c r="L4076" s="444">
        <f t="shared" ca="1" si="177"/>
        <v>-10314737695021.096</v>
      </c>
      <c r="M4076" s="460">
        <f t="shared" si="179"/>
        <v>0.05</v>
      </c>
      <c r="N4076" s="464">
        <f t="shared" si="180"/>
        <v>175104</v>
      </c>
    </row>
    <row r="4077" spans="7:14" ht="11.25" customHeight="1" x14ac:dyDescent="0.25">
      <c r="G4077" s="459"/>
      <c r="H4077" s="459">
        <v>4070</v>
      </c>
      <c r="I4077" s="444">
        <f t="shared" ca="1" si="178"/>
        <v>-10314737695021.096</v>
      </c>
      <c r="J4077" s="444">
        <f t="array" ref="J4077">IFERROR(INDEX('Retirement Calculator'!J:J,MATCH('Isaac 401k'!N4077,'Retirement Calculator'!A:A,0),0),0)</f>
        <v>0</v>
      </c>
      <c r="K4077" s="444">
        <f t="shared" ca="1" si="176"/>
        <v>-42978073729.254562</v>
      </c>
      <c r="L4077" s="444">
        <f t="shared" ca="1" si="177"/>
        <v>-10357715768750.35</v>
      </c>
      <c r="M4077" s="460">
        <f t="shared" si="179"/>
        <v>0.05</v>
      </c>
      <c r="N4077" s="464">
        <f t="shared" si="180"/>
        <v>175134</v>
      </c>
    </row>
    <row r="4078" spans="7:14" ht="11.25" customHeight="1" x14ac:dyDescent="0.25">
      <c r="G4078" s="459"/>
      <c r="H4078" s="459">
        <v>4071</v>
      </c>
      <c r="I4078" s="444">
        <f t="shared" ca="1" si="178"/>
        <v>-10357715768750.35</v>
      </c>
      <c r="J4078" s="444">
        <f t="array" ref="J4078">IFERROR(INDEX('Retirement Calculator'!J:J,MATCH('Isaac 401k'!N4078,'Retirement Calculator'!A:A,0),0),0)</f>
        <v>0</v>
      </c>
      <c r="K4078" s="444">
        <f t="shared" ca="1" si="176"/>
        <v>-43157149036.459793</v>
      </c>
      <c r="L4078" s="444">
        <f t="shared" ca="1" si="177"/>
        <v>-10400872917786.809</v>
      </c>
      <c r="M4078" s="460">
        <f t="shared" si="179"/>
        <v>0.05</v>
      </c>
      <c r="N4078" s="464">
        <f t="shared" si="180"/>
        <v>175165</v>
      </c>
    </row>
    <row r="4079" spans="7:14" ht="11.25" customHeight="1" x14ac:dyDescent="0.25">
      <c r="G4079" s="459"/>
      <c r="H4079" s="459">
        <v>4072</v>
      </c>
      <c r="I4079" s="444">
        <f t="shared" ca="1" si="178"/>
        <v>-10400872917786.809</v>
      </c>
      <c r="J4079" s="444">
        <f t="array" ref="J4079">IFERROR(INDEX('Retirement Calculator'!J:J,MATCH('Isaac 401k'!N4079,'Retirement Calculator'!A:A,0),0),0)</f>
        <v>0</v>
      </c>
      <c r="K4079" s="444">
        <f t="shared" ca="1" si="176"/>
        <v>-43336970490.778366</v>
      </c>
      <c r="L4079" s="444">
        <f t="shared" ca="1" si="177"/>
        <v>-10444209888277.588</v>
      </c>
      <c r="M4079" s="460">
        <f t="shared" si="179"/>
        <v>0.05</v>
      </c>
      <c r="N4079" s="464">
        <f t="shared" si="180"/>
        <v>175196</v>
      </c>
    </row>
    <row r="4080" spans="7:14" ht="11.25" customHeight="1" x14ac:dyDescent="0.25">
      <c r="G4080" s="459"/>
      <c r="H4080" s="459">
        <v>4073</v>
      </c>
      <c r="I4080" s="444">
        <f t="shared" ca="1" si="178"/>
        <v>-10444209888277.588</v>
      </c>
      <c r="J4080" s="444">
        <f t="array" ref="J4080">IFERROR(INDEX('Retirement Calculator'!J:J,MATCH('Isaac 401k'!N4080,'Retirement Calculator'!A:A,0),0),0)</f>
        <v>0</v>
      </c>
      <c r="K4080" s="444">
        <f t="shared" ca="1" si="176"/>
        <v>-43517541201.156616</v>
      </c>
      <c r="L4080" s="444">
        <f t="shared" ca="1" si="177"/>
        <v>-10487727429478.744</v>
      </c>
      <c r="M4080" s="460">
        <f t="shared" si="179"/>
        <v>0.05</v>
      </c>
      <c r="N4080" s="464">
        <f t="shared" si="180"/>
        <v>175226</v>
      </c>
    </row>
    <row r="4081" spans="7:14" ht="11.25" customHeight="1" x14ac:dyDescent="0.25">
      <c r="G4081" s="459"/>
      <c r="H4081" s="459">
        <v>4074</v>
      </c>
      <c r="I4081" s="444">
        <f t="shared" ca="1" si="178"/>
        <v>-10487727429478.744</v>
      </c>
      <c r="J4081" s="444">
        <f t="array" ref="J4081">IFERROR(INDEX('Retirement Calculator'!J:J,MATCH('Isaac 401k'!N4081,'Retirement Calculator'!A:A,0),0),0)</f>
        <v>0</v>
      </c>
      <c r="K4081" s="444">
        <f t="shared" ca="1" si="176"/>
        <v>-43698864289.494766</v>
      </c>
      <c r="L4081" s="444">
        <f t="shared" ca="1" si="177"/>
        <v>-10531426293768.238</v>
      </c>
      <c r="M4081" s="460">
        <f t="shared" si="179"/>
        <v>0.05</v>
      </c>
      <c r="N4081" s="464">
        <f t="shared" si="180"/>
        <v>175257</v>
      </c>
    </row>
    <row r="4082" spans="7:14" ht="11.25" customHeight="1" x14ac:dyDescent="0.25">
      <c r="G4082" s="459"/>
      <c r="H4082" s="459">
        <v>4075</v>
      </c>
      <c r="I4082" s="444">
        <f t="shared" ca="1" si="178"/>
        <v>-10531426293768.238</v>
      </c>
      <c r="J4082" s="444">
        <f t="array" ref="J4082">IFERROR(INDEX('Retirement Calculator'!J:J,MATCH('Isaac 401k'!N4082,'Retirement Calculator'!A:A,0),0),0)</f>
        <v>0</v>
      </c>
      <c r="K4082" s="444">
        <f t="shared" ca="1" si="176"/>
        <v>-43880942890.700989</v>
      </c>
      <c r="L4082" s="444">
        <f t="shared" ca="1" si="177"/>
        <v>-10575307236658.939</v>
      </c>
      <c r="M4082" s="460">
        <f t="shared" si="179"/>
        <v>0.05</v>
      </c>
      <c r="N4082" s="464">
        <f t="shared" si="180"/>
        <v>175287</v>
      </c>
    </row>
    <row r="4083" spans="7:14" ht="11.25" customHeight="1" x14ac:dyDescent="0.25">
      <c r="G4083" s="459"/>
      <c r="H4083" s="459">
        <v>4076</v>
      </c>
      <c r="I4083" s="444">
        <f t="shared" ca="1" si="178"/>
        <v>-10575307236658.939</v>
      </c>
      <c r="J4083" s="444">
        <f t="array" ref="J4083">IFERROR(INDEX('Retirement Calculator'!J:J,MATCH('Isaac 401k'!N4083,'Retirement Calculator'!A:A,0),0),0)</f>
        <v>0</v>
      </c>
      <c r="K4083" s="444">
        <f t="shared" ca="1" si="176"/>
        <v>-44063780152.745583</v>
      </c>
      <c r="L4083" s="444">
        <f t="shared" ca="1" si="177"/>
        <v>-10619371016811.686</v>
      </c>
      <c r="M4083" s="460">
        <f t="shared" si="179"/>
        <v>0.05</v>
      </c>
      <c r="N4083" s="464">
        <f t="shared" si="180"/>
        <v>175318</v>
      </c>
    </row>
    <row r="4084" spans="7:14" ht="11.25" customHeight="1" x14ac:dyDescent="0.25">
      <c r="G4084" s="459"/>
      <c r="H4084" s="459">
        <v>4077</v>
      </c>
      <c r="I4084" s="444">
        <f t="shared" ca="1" si="178"/>
        <v>-10619371016811.686</v>
      </c>
      <c r="J4084" s="444">
        <f t="array" ref="J4084">IFERROR(INDEX('Retirement Calculator'!J:J,MATCH('Isaac 401k'!N4084,'Retirement Calculator'!A:A,0),0),0)</f>
        <v>0</v>
      </c>
      <c r="K4084" s="444">
        <f t="shared" ca="1" si="176"/>
        <v>-44247379236.715355</v>
      </c>
      <c r="L4084" s="444">
        <f t="shared" ca="1" si="177"/>
        <v>-10663618396048.4</v>
      </c>
      <c r="M4084" s="460">
        <f t="shared" si="179"/>
        <v>0.05</v>
      </c>
      <c r="N4084" s="464">
        <f t="shared" si="180"/>
        <v>175349</v>
      </c>
    </row>
    <row r="4085" spans="7:14" ht="11.25" customHeight="1" x14ac:dyDescent="0.25">
      <c r="G4085" s="459"/>
      <c r="H4085" s="459">
        <v>4078</v>
      </c>
      <c r="I4085" s="444">
        <f t="shared" ca="1" si="178"/>
        <v>-10663618396048.4</v>
      </c>
      <c r="J4085" s="444">
        <f t="array" ref="J4085">IFERROR(INDEX('Retirement Calculator'!J:J,MATCH('Isaac 401k'!N4085,'Retirement Calculator'!A:A,0),0),0)</f>
        <v>0</v>
      </c>
      <c r="K4085" s="444">
        <f t="shared" ca="1" si="176"/>
        <v>-44431743316.868332</v>
      </c>
      <c r="L4085" s="444">
        <f t="shared" ca="1" si="177"/>
        <v>-10708050139365.27</v>
      </c>
      <c r="M4085" s="460">
        <f t="shared" si="179"/>
        <v>0.05</v>
      </c>
      <c r="N4085" s="464">
        <f t="shared" si="180"/>
        <v>175378</v>
      </c>
    </row>
    <row r="4086" spans="7:14" ht="11.25" customHeight="1" x14ac:dyDescent="0.25">
      <c r="G4086" s="459"/>
      <c r="H4086" s="459">
        <v>4079</v>
      </c>
      <c r="I4086" s="444">
        <f t="shared" ca="1" si="178"/>
        <v>-10708050139365.27</v>
      </c>
      <c r="J4086" s="444">
        <f t="array" ref="J4086">IFERROR(INDEX('Retirement Calculator'!J:J,MATCH('Isaac 401k'!N4086,'Retirement Calculator'!A:A,0),0),0)</f>
        <v>0</v>
      </c>
      <c r="K4086" s="444">
        <f t="shared" ca="1" si="176"/>
        <v>-44616875580.688622</v>
      </c>
      <c r="L4086" s="444">
        <f t="shared" ca="1" si="177"/>
        <v>-10752667014945.959</v>
      </c>
      <c r="M4086" s="460">
        <f t="shared" si="179"/>
        <v>0.05</v>
      </c>
      <c r="N4086" s="464">
        <f t="shared" si="180"/>
        <v>175409</v>
      </c>
    </row>
    <row r="4087" spans="7:14" ht="11.25" customHeight="1" x14ac:dyDescent="0.25">
      <c r="G4087" s="459"/>
      <c r="H4087" s="459">
        <v>4080</v>
      </c>
      <c r="I4087" s="444">
        <f t="shared" ca="1" si="178"/>
        <v>-10752667014945.959</v>
      </c>
      <c r="J4087" s="444">
        <f t="array" ref="J4087">IFERROR(INDEX('Retirement Calculator'!J:J,MATCH('Isaac 401k'!N4087,'Retirement Calculator'!A:A,0),0),0)</f>
        <v>0</v>
      </c>
      <c r="K4087" s="444">
        <f t="shared" ca="1" si="176"/>
        <v>-44802779228.941498</v>
      </c>
      <c r="L4087" s="444">
        <f t="shared" ca="1" si="177"/>
        <v>-10797469794174.9</v>
      </c>
      <c r="M4087" s="460">
        <f t="shared" si="179"/>
        <v>0.05</v>
      </c>
      <c r="N4087" s="464">
        <f t="shared" si="180"/>
        <v>175439</v>
      </c>
    </row>
    <row r="4088" spans="7:14" ht="11.25" customHeight="1" x14ac:dyDescent="0.25">
      <c r="G4088" s="459"/>
      <c r="H4088" s="459">
        <v>4081</v>
      </c>
      <c r="I4088" s="444">
        <f t="shared" ca="1" si="178"/>
        <v>-10797469794174.9</v>
      </c>
      <c r="J4088" s="444">
        <f t="array" ref="J4088">IFERROR(INDEX('Retirement Calculator'!J:J,MATCH('Isaac 401k'!N4088,'Retirement Calculator'!A:A,0),0),0)</f>
        <v>0</v>
      </c>
      <c r="K4088" s="444">
        <f t="shared" ref="K4088:K4342" ca="1" si="181">IPMT(M4088/12,1,12,-I4088+J4088,,0)</f>
        <v>-44989457475.728752</v>
      </c>
      <c r="L4088" s="444">
        <f t="shared" ref="L4088:L4342" ca="1" si="182">I4088-J4088+K4088</f>
        <v>-10842459251650.629</v>
      </c>
      <c r="M4088" s="460">
        <f t="shared" si="179"/>
        <v>0.05</v>
      </c>
      <c r="N4088" s="464">
        <f t="shared" si="180"/>
        <v>175470</v>
      </c>
    </row>
    <row r="4089" spans="7:14" ht="11.25" customHeight="1" x14ac:dyDescent="0.25">
      <c r="G4089" s="459"/>
      <c r="H4089" s="459">
        <v>4082</v>
      </c>
      <c r="I4089" s="444">
        <f t="shared" ref="I4089:I4343" ca="1" si="183">L4088</f>
        <v>-10842459251650.629</v>
      </c>
      <c r="J4089" s="444">
        <f t="array" ref="J4089">IFERROR(INDEX('Retirement Calculator'!J:J,MATCH('Isaac 401k'!N4089,'Retirement Calculator'!A:A,0),0),0)</f>
        <v>0</v>
      </c>
      <c r="K4089" s="444">
        <f t="shared" ca="1" si="181"/>
        <v>-45176913548.544289</v>
      </c>
      <c r="L4089" s="444">
        <f t="shared" ca="1" si="182"/>
        <v>-10887636165199.174</v>
      </c>
      <c r="M4089" s="460">
        <f t="shared" ref="M4089:M4343" si="184">M4088</f>
        <v>0.05</v>
      </c>
      <c r="N4089" s="464">
        <f t="shared" ref="N4089:N4343" si="185">EDATE(N4088,1)</f>
        <v>175500</v>
      </c>
    </row>
    <row r="4090" spans="7:14" ht="11.25" customHeight="1" x14ac:dyDescent="0.25">
      <c r="G4090" s="459"/>
      <c r="H4090" s="459">
        <v>4083</v>
      </c>
      <c r="I4090" s="444">
        <f t="shared" ca="1" si="183"/>
        <v>-10887636165199.174</v>
      </c>
      <c r="J4090" s="444">
        <f t="array" ref="J4090">IFERROR(INDEX('Retirement Calculator'!J:J,MATCH('Isaac 401k'!N4090,'Retirement Calculator'!A:A,0),0),0)</f>
        <v>0</v>
      </c>
      <c r="K4090" s="444">
        <f t="shared" ca="1" si="181"/>
        <v>-45365150688.329887</v>
      </c>
      <c r="L4090" s="444">
        <f t="shared" ca="1" si="182"/>
        <v>-10933001315887.504</v>
      </c>
      <c r="M4090" s="460">
        <f t="shared" si="184"/>
        <v>0.05</v>
      </c>
      <c r="N4090" s="464">
        <f t="shared" si="185"/>
        <v>175531</v>
      </c>
    </row>
    <row r="4091" spans="7:14" ht="11.25" customHeight="1" x14ac:dyDescent="0.25">
      <c r="G4091" s="459"/>
      <c r="H4091" s="459">
        <v>4084</v>
      </c>
      <c r="I4091" s="444">
        <f t="shared" ca="1" si="183"/>
        <v>-10933001315887.504</v>
      </c>
      <c r="J4091" s="444">
        <f t="array" ref="J4091">IFERROR(INDEX('Retirement Calculator'!J:J,MATCH('Isaac 401k'!N4091,'Retirement Calculator'!A:A,0),0),0)</f>
        <v>0</v>
      </c>
      <c r="K4091" s="444">
        <f t="shared" ca="1" si="181"/>
        <v>-45554172149.531265</v>
      </c>
      <c r="L4091" s="444">
        <f t="shared" ca="1" si="182"/>
        <v>-10978555488037.035</v>
      </c>
      <c r="M4091" s="460">
        <f t="shared" si="184"/>
        <v>0.05</v>
      </c>
      <c r="N4091" s="464">
        <f t="shared" si="185"/>
        <v>175562</v>
      </c>
    </row>
    <row r="4092" spans="7:14" ht="11.25" customHeight="1" x14ac:dyDescent="0.25">
      <c r="G4092" s="459"/>
      <c r="H4092" s="459">
        <v>4085</v>
      </c>
      <c r="I4092" s="444">
        <f t="shared" ca="1" si="183"/>
        <v>-10978555488037.035</v>
      </c>
      <c r="J4092" s="444">
        <f t="array" ref="J4092">IFERROR(INDEX('Retirement Calculator'!J:J,MATCH('Isaac 401k'!N4092,'Retirement Calculator'!A:A,0),0),0)</f>
        <v>0</v>
      </c>
      <c r="K4092" s="444">
        <f t="shared" ca="1" si="181"/>
        <v>-45743981200.154312</v>
      </c>
      <c r="L4092" s="444">
        <f t="shared" ca="1" si="182"/>
        <v>-11024299469237.189</v>
      </c>
      <c r="M4092" s="460">
        <f t="shared" si="184"/>
        <v>0.05</v>
      </c>
      <c r="N4092" s="464">
        <f t="shared" si="185"/>
        <v>175592</v>
      </c>
    </row>
    <row r="4093" spans="7:14" ht="11.25" customHeight="1" x14ac:dyDescent="0.25">
      <c r="G4093" s="459"/>
      <c r="H4093" s="459">
        <v>4086</v>
      </c>
      <c r="I4093" s="444">
        <f t="shared" ca="1" si="183"/>
        <v>-11024299469237.189</v>
      </c>
      <c r="J4093" s="444">
        <f t="array" ref="J4093">IFERROR(INDEX('Retirement Calculator'!J:J,MATCH('Isaac 401k'!N4093,'Retirement Calculator'!A:A,0),0),0)</f>
        <v>0</v>
      </c>
      <c r="K4093" s="444">
        <f t="shared" ca="1" si="181"/>
        <v>-45934581121.821625</v>
      </c>
      <c r="L4093" s="444">
        <f t="shared" ca="1" si="182"/>
        <v>-11070234050359.012</v>
      </c>
      <c r="M4093" s="460">
        <f t="shared" si="184"/>
        <v>0.05</v>
      </c>
      <c r="N4093" s="464">
        <f t="shared" si="185"/>
        <v>175623</v>
      </c>
    </row>
    <row r="4094" spans="7:14" ht="11.25" customHeight="1" x14ac:dyDescent="0.25">
      <c r="G4094" s="459"/>
      <c r="H4094" s="459">
        <v>4087</v>
      </c>
      <c r="I4094" s="444">
        <f t="shared" ca="1" si="183"/>
        <v>-11070234050359.012</v>
      </c>
      <c r="J4094" s="444">
        <f t="array" ref="J4094">IFERROR(INDEX('Retirement Calculator'!J:J,MATCH('Isaac 401k'!N4094,'Retirement Calculator'!A:A,0),0),0)</f>
        <v>0</v>
      </c>
      <c r="K4094" s="444">
        <f t="shared" ca="1" si="181"/>
        <v>-46125975209.829216</v>
      </c>
      <c r="L4094" s="444">
        <f t="shared" ca="1" si="182"/>
        <v>-11116360025568.842</v>
      </c>
      <c r="M4094" s="460">
        <f t="shared" si="184"/>
        <v>0.05</v>
      </c>
      <c r="N4094" s="464">
        <f t="shared" si="185"/>
        <v>175653</v>
      </c>
    </row>
    <row r="4095" spans="7:14" ht="11.25" customHeight="1" x14ac:dyDescent="0.25">
      <c r="G4095" s="459"/>
      <c r="H4095" s="459">
        <v>4088</v>
      </c>
      <c r="I4095" s="444">
        <f t="shared" ca="1" si="183"/>
        <v>-11116360025568.842</v>
      </c>
      <c r="J4095" s="444">
        <f t="array" ref="J4095">IFERROR(INDEX('Retirement Calculator'!J:J,MATCH('Isaac 401k'!N4095,'Retirement Calculator'!A:A,0),0),0)</f>
        <v>0</v>
      </c>
      <c r="K4095" s="444">
        <f t="shared" ca="1" si="181"/>
        <v>-46318166773.203506</v>
      </c>
      <c r="L4095" s="444">
        <f t="shared" ca="1" si="182"/>
        <v>-11162678192342.045</v>
      </c>
      <c r="M4095" s="460">
        <f t="shared" si="184"/>
        <v>0.05</v>
      </c>
      <c r="N4095" s="464">
        <f t="shared" si="185"/>
        <v>175684</v>
      </c>
    </row>
    <row r="4096" spans="7:14" ht="11.25" customHeight="1" x14ac:dyDescent="0.25">
      <c r="G4096" s="459"/>
      <c r="H4096" s="459">
        <v>4089</v>
      </c>
      <c r="I4096" s="444">
        <f t="shared" ca="1" si="183"/>
        <v>-11162678192342.045</v>
      </c>
      <c r="J4096" s="444">
        <f t="array" ref="J4096">IFERROR(INDEX('Retirement Calculator'!J:J,MATCH('Isaac 401k'!N4096,'Retirement Calculator'!A:A,0),0),0)</f>
        <v>0</v>
      </c>
      <c r="K4096" s="444">
        <f t="shared" ca="1" si="181"/>
        <v>-46511159134.758522</v>
      </c>
      <c r="L4096" s="444">
        <f t="shared" ca="1" si="182"/>
        <v>-11209189351476.803</v>
      </c>
      <c r="M4096" s="460">
        <f t="shared" si="184"/>
        <v>0.05</v>
      </c>
      <c r="N4096" s="464">
        <f t="shared" si="185"/>
        <v>175715</v>
      </c>
    </row>
    <row r="4097" spans="7:14" ht="11.25" customHeight="1" x14ac:dyDescent="0.25">
      <c r="G4097" s="459"/>
      <c r="H4097" s="459">
        <v>4090</v>
      </c>
      <c r="I4097" s="444">
        <f t="shared" ca="1" si="183"/>
        <v>-11209189351476.803</v>
      </c>
      <c r="J4097" s="444">
        <f t="array" ref="J4097">IFERROR(INDEX('Retirement Calculator'!J:J,MATCH('Isaac 401k'!N4097,'Retirement Calculator'!A:A,0),0),0)</f>
        <v>0</v>
      </c>
      <c r="K4097" s="444">
        <f t="shared" ca="1" si="181"/>
        <v>-46704955631.153343</v>
      </c>
      <c r="L4097" s="444">
        <f t="shared" ca="1" si="182"/>
        <v>-11255894307107.957</v>
      </c>
      <c r="M4097" s="460">
        <f t="shared" si="184"/>
        <v>0.05</v>
      </c>
      <c r="N4097" s="464">
        <f t="shared" si="185"/>
        <v>175743</v>
      </c>
    </row>
    <row r="4098" spans="7:14" ht="11.25" customHeight="1" x14ac:dyDescent="0.25">
      <c r="G4098" s="459"/>
      <c r="H4098" s="459">
        <v>4091</v>
      </c>
      <c r="I4098" s="444">
        <f t="shared" ca="1" si="183"/>
        <v>-11255894307107.957</v>
      </c>
      <c r="J4098" s="444">
        <f t="array" ref="J4098">IFERROR(INDEX('Retirement Calculator'!J:J,MATCH('Isaac 401k'!N4098,'Retirement Calculator'!A:A,0),0),0)</f>
        <v>0</v>
      </c>
      <c r="K4098" s="444">
        <f t="shared" ca="1" si="181"/>
        <v>-46899559612.949821</v>
      </c>
      <c r="L4098" s="444">
        <f t="shared" ca="1" si="182"/>
        <v>-11302793866720.906</v>
      </c>
      <c r="M4098" s="460">
        <f t="shared" si="184"/>
        <v>0.05</v>
      </c>
      <c r="N4098" s="464">
        <f t="shared" si="185"/>
        <v>175774</v>
      </c>
    </row>
    <row r="4099" spans="7:14" ht="11.25" customHeight="1" x14ac:dyDescent="0.25">
      <c r="G4099" s="459"/>
      <c r="H4099" s="459">
        <v>4092</v>
      </c>
      <c r="I4099" s="444">
        <f t="shared" ca="1" si="183"/>
        <v>-11302793866720.906</v>
      </c>
      <c r="J4099" s="444">
        <f t="array" ref="J4099">IFERROR(INDEX('Retirement Calculator'!J:J,MATCH('Isaac 401k'!N4099,'Retirement Calculator'!A:A,0),0),0)</f>
        <v>0</v>
      </c>
      <c r="K4099" s="444">
        <f t="shared" ca="1" si="181"/>
        <v>-47094974444.670441</v>
      </c>
      <c r="L4099" s="444">
        <f t="shared" ca="1" si="182"/>
        <v>-11349888841165.576</v>
      </c>
      <c r="M4099" s="460">
        <f t="shared" si="184"/>
        <v>0.05</v>
      </c>
      <c r="N4099" s="464">
        <f t="shared" si="185"/>
        <v>175804</v>
      </c>
    </row>
    <row r="4100" spans="7:14" ht="11.25" customHeight="1" x14ac:dyDescent="0.25">
      <c r="G4100" s="459"/>
      <c r="H4100" s="459">
        <v>4093</v>
      </c>
      <c r="I4100" s="444">
        <f t="shared" ca="1" si="183"/>
        <v>-11349888841165.576</v>
      </c>
      <c r="J4100" s="444">
        <f t="array" ref="J4100">IFERROR(INDEX('Retirement Calculator'!J:J,MATCH('Isaac 401k'!N4100,'Retirement Calculator'!A:A,0),0),0)</f>
        <v>0</v>
      </c>
      <c r="K4100" s="444">
        <f t="shared" ca="1" si="181"/>
        <v>-47291203504.856567</v>
      </c>
      <c r="L4100" s="444">
        <f t="shared" ca="1" si="182"/>
        <v>-11397180044670.434</v>
      </c>
      <c r="M4100" s="460">
        <f t="shared" si="184"/>
        <v>0.05</v>
      </c>
      <c r="N4100" s="464">
        <f t="shared" si="185"/>
        <v>175835</v>
      </c>
    </row>
    <row r="4101" spans="7:14" ht="11.25" customHeight="1" x14ac:dyDescent="0.25">
      <c r="G4101" s="459"/>
      <c r="H4101" s="459">
        <v>4094</v>
      </c>
      <c r="I4101" s="444">
        <f t="shared" ca="1" si="183"/>
        <v>-11397180044670.434</v>
      </c>
      <c r="J4101" s="444">
        <f t="array" ref="J4101">IFERROR(INDEX('Retirement Calculator'!J:J,MATCH('Isaac 401k'!N4101,'Retirement Calculator'!A:A,0),0),0)</f>
        <v>0</v>
      </c>
      <c r="K4101" s="444">
        <f t="shared" ca="1" si="181"/>
        <v>-47488250186.126808</v>
      </c>
      <c r="L4101" s="444">
        <f t="shared" ca="1" si="182"/>
        <v>-11444668294856.561</v>
      </c>
      <c r="M4101" s="460">
        <f t="shared" si="184"/>
        <v>0.05</v>
      </c>
      <c r="N4101" s="464">
        <f t="shared" si="185"/>
        <v>175865</v>
      </c>
    </row>
    <row r="4102" spans="7:14" ht="11.25" customHeight="1" x14ac:dyDescent="0.25">
      <c r="G4102" s="459"/>
      <c r="H4102" s="459">
        <v>4095</v>
      </c>
      <c r="I4102" s="444">
        <f t="shared" ca="1" si="183"/>
        <v>-11444668294856.561</v>
      </c>
      <c r="J4102" s="444">
        <f t="array" ref="J4102">IFERROR(INDEX('Retirement Calculator'!J:J,MATCH('Isaac 401k'!N4102,'Retirement Calculator'!A:A,0),0),0)</f>
        <v>0</v>
      </c>
      <c r="K4102" s="444">
        <f t="shared" ca="1" si="181"/>
        <v>-47686117895.235672</v>
      </c>
      <c r="L4102" s="444">
        <f t="shared" ca="1" si="182"/>
        <v>-11492354412751.797</v>
      </c>
      <c r="M4102" s="460">
        <f t="shared" si="184"/>
        <v>0.05</v>
      </c>
      <c r="N4102" s="464">
        <f t="shared" si="185"/>
        <v>175896</v>
      </c>
    </row>
    <row r="4103" spans="7:14" ht="11.25" customHeight="1" x14ac:dyDescent="0.25">
      <c r="G4103" s="459"/>
      <c r="H4103" s="459">
        <v>4096</v>
      </c>
      <c r="I4103" s="444">
        <f t="shared" ca="1" si="183"/>
        <v>-11492354412751.797</v>
      </c>
      <c r="J4103" s="444">
        <f t="array" ref="J4103">IFERROR(INDEX('Retirement Calculator'!J:J,MATCH('Isaac 401k'!N4103,'Retirement Calculator'!A:A,0),0),0)</f>
        <v>0</v>
      </c>
      <c r="K4103" s="444">
        <f t="shared" ca="1" si="181"/>
        <v>-47884810053.132484</v>
      </c>
      <c r="L4103" s="444">
        <f t="shared" ca="1" si="182"/>
        <v>-11540239222804.93</v>
      </c>
      <c r="M4103" s="460">
        <f t="shared" si="184"/>
        <v>0.05</v>
      </c>
      <c r="N4103" s="464">
        <f t="shared" si="185"/>
        <v>175927</v>
      </c>
    </row>
    <row r="4104" spans="7:14" ht="11.25" customHeight="1" x14ac:dyDescent="0.25">
      <c r="G4104" s="459"/>
      <c r="H4104" s="459">
        <v>4097</v>
      </c>
      <c r="I4104" s="444">
        <f t="shared" ca="1" si="183"/>
        <v>-11540239222804.93</v>
      </c>
      <c r="J4104" s="444">
        <f t="array" ref="J4104">IFERROR(INDEX('Retirement Calculator'!J:J,MATCH('Isaac 401k'!N4104,'Retirement Calculator'!A:A,0),0),0)</f>
        <v>0</v>
      </c>
      <c r="K4104" s="444">
        <f t="shared" ca="1" si="181"/>
        <v>-48084330095.020538</v>
      </c>
      <c r="L4104" s="444">
        <f t="shared" ca="1" si="182"/>
        <v>-11588323552899.951</v>
      </c>
      <c r="M4104" s="460">
        <f t="shared" si="184"/>
        <v>0.05</v>
      </c>
      <c r="N4104" s="464">
        <f t="shared" si="185"/>
        <v>175957</v>
      </c>
    </row>
    <row r="4105" spans="7:14" ht="11.25" customHeight="1" x14ac:dyDescent="0.25">
      <c r="G4105" s="459"/>
      <c r="H4105" s="459">
        <v>4098</v>
      </c>
      <c r="I4105" s="444">
        <f t="shared" ca="1" si="183"/>
        <v>-11588323552899.951</v>
      </c>
      <c r="J4105" s="444">
        <f t="array" ref="J4105">IFERROR(INDEX('Retirement Calculator'!J:J,MATCH('Isaac 401k'!N4105,'Retirement Calculator'!A:A,0),0),0)</f>
        <v>0</v>
      </c>
      <c r="K4105" s="444">
        <f t="shared" ca="1" si="181"/>
        <v>-48284681470.416466</v>
      </c>
      <c r="L4105" s="444">
        <f t="shared" ca="1" si="182"/>
        <v>-11636608234370.367</v>
      </c>
      <c r="M4105" s="460">
        <f t="shared" si="184"/>
        <v>0.05</v>
      </c>
      <c r="N4105" s="464">
        <f t="shared" si="185"/>
        <v>175988</v>
      </c>
    </row>
    <row r="4106" spans="7:14" ht="11.25" customHeight="1" x14ac:dyDescent="0.25">
      <c r="G4106" s="459"/>
      <c r="H4106" s="459">
        <v>4099</v>
      </c>
      <c r="I4106" s="444">
        <f t="shared" ca="1" si="183"/>
        <v>-11636608234370.367</v>
      </c>
      <c r="J4106" s="444">
        <f t="array" ref="J4106">IFERROR(INDEX('Retirement Calculator'!J:J,MATCH('Isaac 401k'!N4106,'Retirement Calculator'!A:A,0),0),0)</f>
        <v>0</v>
      </c>
      <c r="K4106" s="444">
        <f t="shared" ca="1" si="181"/>
        <v>-48485867643.209862</v>
      </c>
      <c r="L4106" s="444">
        <f t="shared" ca="1" si="182"/>
        <v>-11685094102013.576</v>
      </c>
      <c r="M4106" s="460">
        <f t="shared" si="184"/>
        <v>0.05</v>
      </c>
      <c r="N4106" s="464">
        <f t="shared" si="185"/>
        <v>176018</v>
      </c>
    </row>
    <row r="4107" spans="7:14" ht="11.25" customHeight="1" x14ac:dyDescent="0.25">
      <c r="G4107" s="459"/>
      <c r="H4107" s="459">
        <v>4100</v>
      </c>
      <c r="I4107" s="444">
        <f t="shared" ca="1" si="183"/>
        <v>-11685094102013.576</v>
      </c>
      <c r="J4107" s="444">
        <f t="array" ref="J4107">IFERROR(INDEX('Retirement Calculator'!J:J,MATCH('Isaac 401k'!N4107,'Retirement Calculator'!A:A,0),0),0)</f>
        <v>0</v>
      </c>
      <c r="K4107" s="444">
        <f t="shared" ca="1" si="181"/>
        <v>-48687892091.723236</v>
      </c>
      <c r="L4107" s="444">
        <f t="shared" ca="1" si="182"/>
        <v>-11733781994105.299</v>
      </c>
      <c r="M4107" s="460">
        <f t="shared" si="184"/>
        <v>0.05</v>
      </c>
      <c r="N4107" s="464">
        <f t="shared" si="185"/>
        <v>176049</v>
      </c>
    </row>
    <row r="4108" spans="7:14" ht="11.25" customHeight="1" x14ac:dyDescent="0.25">
      <c r="G4108" s="459"/>
      <c r="H4108" s="459">
        <v>4101</v>
      </c>
      <c r="I4108" s="444">
        <f t="shared" ca="1" si="183"/>
        <v>-11733781994105.299</v>
      </c>
      <c r="J4108" s="444">
        <f t="array" ref="J4108">IFERROR(INDEX('Retirement Calculator'!J:J,MATCH('Isaac 401k'!N4108,'Retirement Calculator'!A:A,0),0),0)</f>
        <v>0</v>
      </c>
      <c r="K4108" s="444">
        <f t="shared" ca="1" si="181"/>
        <v>-48890758308.772079</v>
      </c>
      <c r="L4108" s="444">
        <f t="shared" ca="1" si="182"/>
        <v>-11782672752414.07</v>
      </c>
      <c r="M4108" s="460">
        <f t="shared" si="184"/>
        <v>0.05</v>
      </c>
      <c r="N4108" s="464">
        <f t="shared" si="185"/>
        <v>176080</v>
      </c>
    </row>
    <row r="4109" spans="7:14" ht="11.25" customHeight="1" x14ac:dyDescent="0.25">
      <c r="G4109" s="459"/>
      <c r="H4109" s="459">
        <v>4102</v>
      </c>
      <c r="I4109" s="444">
        <f t="shared" ca="1" si="183"/>
        <v>-11782672752414.07</v>
      </c>
      <c r="J4109" s="444">
        <f t="array" ref="J4109">IFERROR(INDEX('Retirement Calculator'!J:J,MATCH('Isaac 401k'!N4109,'Retirement Calculator'!A:A,0),0),0)</f>
        <v>0</v>
      </c>
      <c r="K4109" s="444">
        <f t="shared" ca="1" si="181"/>
        <v>-49094469801.725296</v>
      </c>
      <c r="L4109" s="444">
        <f t="shared" ca="1" si="182"/>
        <v>-11831767222215.795</v>
      </c>
      <c r="M4109" s="460">
        <f t="shared" si="184"/>
        <v>0.05</v>
      </c>
      <c r="N4109" s="464">
        <f t="shared" si="185"/>
        <v>176108</v>
      </c>
    </row>
    <row r="4110" spans="7:14" ht="11.25" customHeight="1" x14ac:dyDescent="0.25">
      <c r="G4110" s="459"/>
      <c r="H4110" s="459">
        <v>4103</v>
      </c>
      <c r="I4110" s="444">
        <f t="shared" ca="1" si="183"/>
        <v>-11831767222215.795</v>
      </c>
      <c r="J4110" s="444">
        <f t="array" ref="J4110">IFERROR(INDEX('Retirement Calculator'!J:J,MATCH('Isaac 401k'!N4110,'Retirement Calculator'!A:A,0),0),0)</f>
        <v>0</v>
      </c>
      <c r="K4110" s="444">
        <f t="shared" ca="1" si="181"/>
        <v>-49299030092.565811</v>
      </c>
      <c r="L4110" s="444">
        <f t="shared" ca="1" si="182"/>
        <v>-11881066252308.361</v>
      </c>
      <c r="M4110" s="460">
        <f t="shared" si="184"/>
        <v>0.05</v>
      </c>
      <c r="N4110" s="464">
        <f t="shared" si="185"/>
        <v>176139</v>
      </c>
    </row>
    <row r="4111" spans="7:14" ht="11.25" customHeight="1" x14ac:dyDescent="0.25">
      <c r="G4111" s="459"/>
      <c r="H4111" s="459">
        <v>4104</v>
      </c>
      <c r="I4111" s="444">
        <f t="shared" ca="1" si="183"/>
        <v>-11881066252308.361</v>
      </c>
      <c r="J4111" s="444">
        <f t="array" ref="J4111">IFERROR(INDEX('Retirement Calculator'!J:J,MATCH('Isaac 401k'!N4111,'Retirement Calculator'!A:A,0),0),0)</f>
        <v>0</v>
      </c>
      <c r="K4111" s="444">
        <f t="shared" ca="1" si="181"/>
        <v>-49504442717.951508</v>
      </c>
      <c r="L4111" s="444">
        <f t="shared" ca="1" si="182"/>
        <v>-11930570695026.313</v>
      </c>
      <c r="M4111" s="460">
        <f t="shared" si="184"/>
        <v>0.05</v>
      </c>
      <c r="N4111" s="464">
        <f t="shared" si="185"/>
        <v>176169</v>
      </c>
    </row>
    <row r="4112" spans="7:14" ht="11.25" customHeight="1" x14ac:dyDescent="0.25">
      <c r="G4112" s="459"/>
      <c r="H4112" s="459">
        <v>4105</v>
      </c>
      <c r="I4112" s="444">
        <f t="shared" ca="1" si="183"/>
        <v>-11930570695026.313</v>
      </c>
      <c r="J4112" s="444">
        <f t="array" ref="J4112">IFERROR(INDEX('Retirement Calculator'!J:J,MATCH('Isaac 401k'!N4112,'Retirement Calculator'!A:A,0),0),0)</f>
        <v>0</v>
      </c>
      <c r="K4112" s="444">
        <f t="shared" ca="1" si="181"/>
        <v>-49710711229.276299</v>
      </c>
      <c r="L4112" s="444">
        <f t="shared" ca="1" si="182"/>
        <v>-11980281406255.588</v>
      </c>
      <c r="M4112" s="460">
        <f t="shared" si="184"/>
        <v>0.05</v>
      </c>
      <c r="N4112" s="464">
        <f t="shared" si="185"/>
        <v>176200</v>
      </c>
    </row>
    <row r="4113" spans="7:14" ht="11.25" customHeight="1" x14ac:dyDescent="0.25">
      <c r="G4113" s="459"/>
      <c r="H4113" s="459">
        <v>4106</v>
      </c>
      <c r="I4113" s="444">
        <f t="shared" ca="1" si="183"/>
        <v>-11980281406255.588</v>
      </c>
      <c r="J4113" s="444">
        <f t="array" ref="J4113">IFERROR(INDEX('Retirement Calculator'!J:J,MATCH('Isaac 401k'!N4113,'Retirement Calculator'!A:A,0),0),0)</f>
        <v>0</v>
      </c>
      <c r="K4113" s="444">
        <f t="shared" ca="1" si="181"/>
        <v>-49917839192.731613</v>
      </c>
      <c r="L4113" s="444">
        <f t="shared" ca="1" si="182"/>
        <v>-12030199245448.32</v>
      </c>
      <c r="M4113" s="460">
        <f t="shared" si="184"/>
        <v>0.05</v>
      </c>
      <c r="N4113" s="464">
        <f t="shared" si="185"/>
        <v>176230</v>
      </c>
    </row>
    <row r="4114" spans="7:14" ht="11.25" customHeight="1" x14ac:dyDescent="0.25">
      <c r="G4114" s="459"/>
      <c r="H4114" s="459">
        <v>4107</v>
      </c>
      <c r="I4114" s="444">
        <f t="shared" ca="1" si="183"/>
        <v>-12030199245448.32</v>
      </c>
      <c r="J4114" s="444">
        <f t="array" ref="J4114">IFERROR(INDEX('Retirement Calculator'!J:J,MATCH('Isaac 401k'!N4114,'Retirement Calculator'!A:A,0),0),0)</f>
        <v>0</v>
      </c>
      <c r="K4114" s="444">
        <f t="shared" ca="1" si="181"/>
        <v>-50125830189.368004</v>
      </c>
      <c r="L4114" s="444">
        <f t="shared" ca="1" si="182"/>
        <v>-12080325075637.688</v>
      </c>
      <c r="M4114" s="460">
        <f t="shared" si="184"/>
        <v>0.05</v>
      </c>
      <c r="N4114" s="464">
        <f t="shared" si="185"/>
        <v>176261</v>
      </c>
    </row>
    <row r="4115" spans="7:14" ht="11.25" customHeight="1" x14ac:dyDescent="0.25">
      <c r="G4115" s="459"/>
      <c r="H4115" s="459">
        <v>4108</v>
      </c>
      <c r="I4115" s="444">
        <f t="shared" ca="1" si="183"/>
        <v>-12080325075637.688</v>
      </c>
      <c r="J4115" s="444">
        <f t="array" ref="J4115">IFERROR(INDEX('Retirement Calculator'!J:J,MATCH('Isaac 401k'!N4115,'Retirement Calculator'!A:A,0),0),0)</f>
        <v>0</v>
      </c>
      <c r="K4115" s="444">
        <f t="shared" ca="1" si="181"/>
        <v>-50334687815.157028</v>
      </c>
      <c r="L4115" s="444">
        <f t="shared" ca="1" si="182"/>
        <v>-12130659763452.844</v>
      </c>
      <c r="M4115" s="460">
        <f t="shared" si="184"/>
        <v>0.05</v>
      </c>
      <c r="N4115" s="464">
        <f t="shared" si="185"/>
        <v>176292</v>
      </c>
    </row>
    <row r="4116" spans="7:14" ht="11.25" customHeight="1" x14ac:dyDescent="0.25">
      <c r="G4116" s="459"/>
      <c r="H4116" s="459">
        <v>4109</v>
      </c>
      <c r="I4116" s="444">
        <f t="shared" ca="1" si="183"/>
        <v>-12130659763452.844</v>
      </c>
      <c r="J4116" s="444">
        <f t="array" ref="J4116">IFERROR(INDEX('Retirement Calculator'!J:J,MATCH('Isaac 401k'!N4116,'Retirement Calculator'!A:A,0),0),0)</f>
        <v>0</v>
      </c>
      <c r="K4116" s="444">
        <f t="shared" ca="1" si="181"/>
        <v>-50544415681.053513</v>
      </c>
      <c r="L4116" s="444">
        <f t="shared" ca="1" si="182"/>
        <v>-12181204179133.896</v>
      </c>
      <c r="M4116" s="460">
        <f t="shared" si="184"/>
        <v>0.05</v>
      </c>
      <c r="N4116" s="464">
        <f t="shared" si="185"/>
        <v>176322</v>
      </c>
    </row>
    <row r="4117" spans="7:14" ht="11.25" customHeight="1" x14ac:dyDescent="0.25">
      <c r="G4117" s="459"/>
      <c r="H4117" s="459">
        <v>4110</v>
      </c>
      <c r="I4117" s="444">
        <f t="shared" ca="1" si="183"/>
        <v>-12181204179133.896</v>
      </c>
      <c r="J4117" s="444">
        <f t="array" ref="J4117">IFERROR(INDEX('Retirement Calculator'!J:J,MATCH('Isaac 401k'!N4117,'Retirement Calculator'!A:A,0),0),0)</f>
        <v>0</v>
      </c>
      <c r="K4117" s="444">
        <f t="shared" ca="1" si="181"/>
        <v>-50755017413.057899</v>
      </c>
      <c r="L4117" s="444">
        <f t="shared" ca="1" si="182"/>
        <v>-12231959196546.955</v>
      </c>
      <c r="M4117" s="460">
        <f t="shared" si="184"/>
        <v>0.05</v>
      </c>
      <c r="N4117" s="464">
        <f t="shared" si="185"/>
        <v>176353</v>
      </c>
    </row>
    <row r="4118" spans="7:14" ht="11.25" customHeight="1" x14ac:dyDescent="0.25">
      <c r="G4118" s="459"/>
      <c r="H4118" s="459">
        <v>4111</v>
      </c>
      <c r="I4118" s="444">
        <f t="shared" ca="1" si="183"/>
        <v>-12231959196546.955</v>
      </c>
      <c r="J4118" s="444">
        <f t="array" ref="J4118">IFERROR(INDEX('Retirement Calculator'!J:J,MATCH('Isaac 401k'!N4118,'Retirement Calculator'!A:A,0),0),0)</f>
        <v>0</v>
      </c>
      <c r="K4118" s="444">
        <f t="shared" ca="1" si="181"/>
        <v>-50966496652.278976</v>
      </c>
      <c r="L4118" s="444">
        <f t="shared" ca="1" si="182"/>
        <v>-12282925693199.234</v>
      </c>
      <c r="M4118" s="460">
        <f t="shared" si="184"/>
        <v>0.05</v>
      </c>
      <c r="N4118" s="464">
        <f t="shared" si="185"/>
        <v>176383</v>
      </c>
    </row>
    <row r="4119" spans="7:14" ht="11.25" customHeight="1" x14ac:dyDescent="0.25">
      <c r="G4119" s="459"/>
      <c r="H4119" s="459">
        <v>4112</v>
      </c>
      <c r="I4119" s="444">
        <f t="shared" ca="1" si="183"/>
        <v>-12282925693199.234</v>
      </c>
      <c r="J4119" s="444">
        <f t="array" ref="J4119">IFERROR(INDEX('Retirement Calculator'!J:J,MATCH('Isaac 401k'!N4119,'Retirement Calculator'!A:A,0),0),0)</f>
        <v>0</v>
      </c>
      <c r="K4119" s="444">
        <f t="shared" ca="1" si="181"/>
        <v>-51178857054.996811</v>
      </c>
      <c r="L4119" s="444">
        <f t="shared" ca="1" si="182"/>
        <v>-12334104550254.23</v>
      </c>
      <c r="M4119" s="460">
        <f t="shared" si="184"/>
        <v>0.05</v>
      </c>
      <c r="N4119" s="464">
        <f t="shared" si="185"/>
        <v>176414</v>
      </c>
    </row>
    <row r="4120" spans="7:14" ht="11.25" customHeight="1" x14ac:dyDescent="0.25">
      <c r="G4120" s="459"/>
      <c r="H4120" s="459">
        <v>4113</v>
      </c>
      <c r="I4120" s="444">
        <f t="shared" ca="1" si="183"/>
        <v>-12334104550254.23</v>
      </c>
      <c r="J4120" s="444">
        <f t="array" ref="J4120">IFERROR(INDEX('Retirement Calculator'!J:J,MATCH('Isaac 401k'!N4120,'Retirement Calculator'!A:A,0),0),0)</f>
        <v>0</v>
      </c>
      <c r="K4120" s="444">
        <f t="shared" ca="1" si="181"/>
        <v>-51392102292.72596</v>
      </c>
      <c r="L4120" s="444">
        <f t="shared" ca="1" si="182"/>
        <v>-12385496652546.957</v>
      </c>
      <c r="M4120" s="460">
        <f t="shared" si="184"/>
        <v>0.05</v>
      </c>
      <c r="N4120" s="464">
        <f t="shared" si="185"/>
        <v>176445</v>
      </c>
    </row>
    <row r="4121" spans="7:14" ht="11.25" customHeight="1" x14ac:dyDescent="0.25">
      <c r="G4121" s="459"/>
      <c r="H4121" s="459">
        <v>4114</v>
      </c>
      <c r="I4121" s="444">
        <f t="shared" ca="1" si="183"/>
        <v>-12385496652546.957</v>
      </c>
      <c r="J4121" s="444">
        <f t="array" ref="J4121">IFERROR(INDEX('Retirement Calculator'!J:J,MATCH('Isaac 401k'!N4121,'Retirement Calculator'!A:A,0),0),0)</f>
        <v>0</v>
      </c>
      <c r="K4121" s="444">
        <f t="shared" ca="1" si="181"/>
        <v>-51606236052.278984</v>
      </c>
      <c r="L4121" s="444">
        <f t="shared" ca="1" si="182"/>
        <v>-12437102888599.236</v>
      </c>
      <c r="M4121" s="460">
        <f t="shared" si="184"/>
        <v>0.05</v>
      </c>
      <c r="N4121" s="464">
        <f t="shared" si="185"/>
        <v>176473</v>
      </c>
    </row>
    <row r="4122" spans="7:14" ht="11.25" customHeight="1" x14ac:dyDescent="0.25">
      <c r="G4122" s="459"/>
      <c r="H4122" s="459">
        <v>4115</v>
      </c>
      <c r="I4122" s="444">
        <f t="shared" ca="1" si="183"/>
        <v>-12437102888599.236</v>
      </c>
      <c r="J4122" s="444">
        <f t="array" ref="J4122">IFERROR(INDEX('Retirement Calculator'!J:J,MATCH('Isaac 401k'!N4122,'Retirement Calculator'!A:A,0),0),0)</f>
        <v>0</v>
      </c>
      <c r="K4122" s="444">
        <f t="shared" ca="1" si="181"/>
        <v>-51821262035.830154</v>
      </c>
      <c r="L4122" s="444">
        <f t="shared" ca="1" si="182"/>
        <v>-12488924150635.066</v>
      </c>
      <c r="M4122" s="460">
        <f t="shared" si="184"/>
        <v>0.05</v>
      </c>
      <c r="N4122" s="464">
        <f t="shared" si="185"/>
        <v>176504</v>
      </c>
    </row>
    <row r="4123" spans="7:14" ht="11.25" customHeight="1" x14ac:dyDescent="0.25">
      <c r="G4123" s="459"/>
      <c r="H4123" s="459">
        <v>4116</v>
      </c>
      <c r="I4123" s="444">
        <f t="shared" ca="1" si="183"/>
        <v>-12488924150635.066</v>
      </c>
      <c r="J4123" s="444">
        <f t="array" ref="J4123">IFERROR(INDEX('Retirement Calculator'!J:J,MATCH('Isaac 401k'!N4123,'Retirement Calculator'!A:A,0),0),0)</f>
        <v>0</v>
      </c>
      <c r="K4123" s="444">
        <f t="shared" ca="1" si="181"/>
        <v>-52037183960.979446</v>
      </c>
      <c r="L4123" s="444">
        <f t="shared" ca="1" si="182"/>
        <v>-12540961334596.045</v>
      </c>
      <c r="M4123" s="460">
        <f t="shared" si="184"/>
        <v>0.05</v>
      </c>
      <c r="N4123" s="464">
        <f t="shared" si="185"/>
        <v>176534</v>
      </c>
    </row>
    <row r="4124" spans="7:14" ht="11.25" customHeight="1" x14ac:dyDescent="0.25">
      <c r="G4124" s="459"/>
      <c r="H4124" s="459">
        <v>4117</v>
      </c>
      <c r="I4124" s="444">
        <f t="shared" ca="1" si="183"/>
        <v>-12540961334596.045</v>
      </c>
      <c r="J4124" s="444">
        <f t="array" ref="J4124">IFERROR(INDEX('Retirement Calculator'!J:J,MATCH('Isaac 401k'!N4124,'Retirement Calculator'!A:A,0),0),0)</f>
        <v>0</v>
      </c>
      <c r="K4124" s="444">
        <f t="shared" ca="1" si="181"/>
        <v>-52254005560.816856</v>
      </c>
      <c r="L4124" s="444">
        <f t="shared" ca="1" si="182"/>
        <v>-12593215340156.861</v>
      </c>
      <c r="M4124" s="460">
        <f t="shared" si="184"/>
        <v>0.05</v>
      </c>
      <c r="N4124" s="464">
        <f t="shared" si="185"/>
        <v>176565</v>
      </c>
    </row>
    <row r="4125" spans="7:14" ht="11.25" customHeight="1" x14ac:dyDescent="0.25">
      <c r="G4125" s="459"/>
      <c r="H4125" s="459">
        <v>4118</v>
      </c>
      <c r="I4125" s="444">
        <f t="shared" ca="1" si="183"/>
        <v>-12593215340156.861</v>
      </c>
      <c r="J4125" s="444">
        <f t="array" ref="J4125">IFERROR(INDEX('Retirement Calculator'!J:J,MATCH('Isaac 401k'!N4125,'Retirement Calculator'!A:A,0),0),0)</f>
        <v>0</v>
      </c>
      <c r="K4125" s="444">
        <f t="shared" ca="1" si="181"/>
        <v>-52471730583.986923</v>
      </c>
      <c r="L4125" s="444">
        <f t="shared" ca="1" si="182"/>
        <v>-12645687070740.848</v>
      </c>
      <c r="M4125" s="460">
        <f t="shared" si="184"/>
        <v>0.05</v>
      </c>
      <c r="N4125" s="464">
        <f t="shared" si="185"/>
        <v>176595</v>
      </c>
    </row>
    <row r="4126" spans="7:14" ht="11.25" customHeight="1" x14ac:dyDescent="0.25">
      <c r="G4126" s="459"/>
      <c r="H4126" s="459">
        <v>4119</v>
      </c>
      <c r="I4126" s="444">
        <f t="shared" ca="1" si="183"/>
        <v>-12645687070740.848</v>
      </c>
      <c r="J4126" s="444">
        <f t="array" ref="J4126">IFERROR(INDEX('Retirement Calculator'!J:J,MATCH('Isaac 401k'!N4126,'Retirement Calculator'!A:A,0),0),0)</f>
        <v>0</v>
      </c>
      <c r="K4126" s="444">
        <f t="shared" ca="1" si="181"/>
        <v>-52690362794.753532</v>
      </c>
      <c r="L4126" s="444">
        <f t="shared" ca="1" si="182"/>
        <v>-12698377433535.602</v>
      </c>
      <c r="M4126" s="460">
        <f t="shared" si="184"/>
        <v>0.05</v>
      </c>
      <c r="N4126" s="464">
        <f t="shared" si="185"/>
        <v>176626</v>
      </c>
    </row>
    <row r="4127" spans="7:14" ht="11.25" customHeight="1" x14ac:dyDescent="0.25">
      <c r="G4127" s="459"/>
      <c r="H4127" s="459">
        <v>4120</v>
      </c>
      <c r="I4127" s="444">
        <f t="shared" ca="1" si="183"/>
        <v>-12698377433535.602</v>
      </c>
      <c r="J4127" s="444">
        <f t="array" ref="J4127">IFERROR(INDEX('Retirement Calculator'!J:J,MATCH('Isaac 401k'!N4127,'Retirement Calculator'!A:A,0),0),0)</f>
        <v>0</v>
      </c>
      <c r="K4127" s="444">
        <f t="shared" ca="1" si="181"/>
        <v>-52909905973.065002</v>
      </c>
      <c r="L4127" s="444">
        <f t="shared" ca="1" si="182"/>
        <v>-12751287339508.666</v>
      </c>
      <c r="M4127" s="460">
        <f t="shared" si="184"/>
        <v>0.05</v>
      </c>
      <c r="N4127" s="464">
        <f t="shared" si="185"/>
        <v>176657</v>
      </c>
    </row>
    <row r="4128" spans="7:14" ht="11.25" customHeight="1" x14ac:dyDescent="0.25">
      <c r="G4128" s="459"/>
      <c r="H4128" s="459">
        <v>4121</v>
      </c>
      <c r="I4128" s="444">
        <f t="shared" ca="1" si="183"/>
        <v>-12751287339508.666</v>
      </c>
      <c r="J4128" s="444">
        <f t="array" ref="J4128">IFERROR(INDEX('Retirement Calculator'!J:J,MATCH('Isaac 401k'!N4128,'Retirement Calculator'!A:A,0),0),0)</f>
        <v>0</v>
      </c>
      <c r="K4128" s="444">
        <f t="shared" ca="1" si="181"/>
        <v>-53130363914.619438</v>
      </c>
      <c r="L4128" s="444">
        <f t="shared" ca="1" si="182"/>
        <v>-12804417703423.285</v>
      </c>
      <c r="M4128" s="460">
        <f t="shared" si="184"/>
        <v>0.05</v>
      </c>
      <c r="N4128" s="464">
        <f t="shared" si="185"/>
        <v>176687</v>
      </c>
    </row>
    <row r="4129" spans="7:14" ht="11.25" customHeight="1" x14ac:dyDescent="0.25">
      <c r="G4129" s="459"/>
      <c r="H4129" s="459">
        <v>4122</v>
      </c>
      <c r="I4129" s="444">
        <f t="shared" ca="1" si="183"/>
        <v>-12804417703423.285</v>
      </c>
      <c r="J4129" s="444">
        <f t="array" ref="J4129">IFERROR(INDEX('Retirement Calculator'!J:J,MATCH('Isaac 401k'!N4129,'Retirement Calculator'!A:A,0),0),0)</f>
        <v>0</v>
      </c>
      <c r="K4129" s="444">
        <f t="shared" ca="1" si="181"/>
        <v>-53351740430.930351</v>
      </c>
      <c r="L4129" s="444">
        <f t="shared" ca="1" si="182"/>
        <v>-12857769443854.215</v>
      </c>
      <c r="M4129" s="460">
        <f t="shared" si="184"/>
        <v>0.05</v>
      </c>
      <c r="N4129" s="464">
        <f t="shared" si="185"/>
        <v>176718</v>
      </c>
    </row>
    <row r="4130" spans="7:14" ht="11.25" customHeight="1" x14ac:dyDescent="0.25">
      <c r="G4130" s="459"/>
      <c r="H4130" s="459">
        <v>4123</v>
      </c>
      <c r="I4130" s="444">
        <f t="shared" ca="1" si="183"/>
        <v>-12857769443854.215</v>
      </c>
      <c r="J4130" s="444">
        <f t="array" ref="J4130">IFERROR(INDEX('Retirement Calculator'!J:J,MATCH('Isaac 401k'!N4130,'Retirement Calculator'!A:A,0),0),0)</f>
        <v>0</v>
      </c>
      <c r="K4130" s="444">
        <f t="shared" ca="1" si="181"/>
        <v>-53574039349.392563</v>
      </c>
      <c r="L4130" s="444">
        <f t="shared" ca="1" si="182"/>
        <v>-12911343483203.607</v>
      </c>
      <c r="M4130" s="460">
        <f t="shared" si="184"/>
        <v>0.05</v>
      </c>
      <c r="N4130" s="464">
        <f t="shared" si="185"/>
        <v>176748</v>
      </c>
    </row>
    <row r="4131" spans="7:14" ht="11.25" customHeight="1" x14ac:dyDescent="0.25">
      <c r="G4131" s="459"/>
      <c r="H4131" s="459">
        <v>4124</v>
      </c>
      <c r="I4131" s="444">
        <f t="shared" ca="1" si="183"/>
        <v>-12911343483203.607</v>
      </c>
      <c r="J4131" s="444">
        <f t="array" ref="J4131">IFERROR(INDEX('Retirement Calculator'!J:J,MATCH('Isaac 401k'!N4131,'Retirement Calculator'!A:A,0),0),0)</f>
        <v>0</v>
      </c>
      <c r="K4131" s="444">
        <f t="shared" ca="1" si="181"/>
        <v>-53797264513.348366</v>
      </c>
      <c r="L4131" s="444">
        <f t="shared" ca="1" si="182"/>
        <v>-12965140747716.955</v>
      </c>
      <c r="M4131" s="460">
        <f t="shared" si="184"/>
        <v>0.05</v>
      </c>
      <c r="N4131" s="464">
        <f t="shared" si="185"/>
        <v>176779</v>
      </c>
    </row>
    <row r="4132" spans="7:14" ht="11.25" customHeight="1" x14ac:dyDescent="0.25">
      <c r="G4132" s="459"/>
      <c r="H4132" s="459">
        <v>4125</v>
      </c>
      <c r="I4132" s="444">
        <f t="shared" ca="1" si="183"/>
        <v>-12965140747716.955</v>
      </c>
      <c r="J4132" s="444">
        <f t="array" ref="J4132">IFERROR(INDEX('Retirement Calculator'!J:J,MATCH('Isaac 401k'!N4132,'Retirement Calculator'!A:A,0),0),0)</f>
        <v>0</v>
      </c>
      <c r="K4132" s="444">
        <f t="shared" ca="1" si="181"/>
        <v>-54021419782.153976</v>
      </c>
      <c r="L4132" s="444">
        <f t="shared" ca="1" si="182"/>
        <v>-13019162167499.109</v>
      </c>
      <c r="M4132" s="460">
        <f t="shared" si="184"/>
        <v>0.05</v>
      </c>
      <c r="N4132" s="464">
        <f t="shared" si="185"/>
        <v>176810</v>
      </c>
    </row>
    <row r="4133" spans="7:14" ht="11.25" customHeight="1" x14ac:dyDescent="0.25">
      <c r="G4133" s="459"/>
      <c r="H4133" s="459">
        <v>4126</v>
      </c>
      <c r="I4133" s="444">
        <f t="shared" ca="1" si="183"/>
        <v>-13019162167499.109</v>
      </c>
      <c r="J4133" s="444">
        <f t="array" ref="J4133">IFERROR(INDEX('Retirement Calculator'!J:J,MATCH('Isaac 401k'!N4133,'Retirement Calculator'!A:A,0),0),0)</f>
        <v>0</v>
      </c>
      <c r="K4133" s="444">
        <f t="shared" ca="1" si="181"/>
        <v>-54246509031.246292</v>
      </c>
      <c r="L4133" s="444">
        <f t="shared" ca="1" si="182"/>
        <v>-13073408676530.355</v>
      </c>
      <c r="M4133" s="460">
        <f t="shared" si="184"/>
        <v>0.05</v>
      </c>
      <c r="N4133" s="464">
        <f t="shared" si="185"/>
        <v>176839</v>
      </c>
    </row>
    <row r="4134" spans="7:14" ht="11.25" customHeight="1" x14ac:dyDescent="0.25">
      <c r="G4134" s="459"/>
      <c r="H4134" s="459">
        <v>4127</v>
      </c>
      <c r="I4134" s="444">
        <f t="shared" ca="1" si="183"/>
        <v>-13073408676530.355</v>
      </c>
      <c r="J4134" s="444">
        <f t="array" ref="J4134">IFERROR(INDEX('Retirement Calculator'!J:J,MATCH('Isaac 401k'!N4134,'Retirement Calculator'!A:A,0),0),0)</f>
        <v>0</v>
      </c>
      <c r="K4134" s="444">
        <f t="shared" ca="1" si="181"/>
        <v>-54472536152.209816</v>
      </c>
      <c r="L4134" s="444">
        <f t="shared" ca="1" si="182"/>
        <v>-13127881212682.564</v>
      </c>
      <c r="M4134" s="460">
        <f t="shared" si="184"/>
        <v>0.05</v>
      </c>
      <c r="N4134" s="464">
        <f t="shared" si="185"/>
        <v>176870</v>
      </c>
    </row>
    <row r="4135" spans="7:14" ht="11.25" customHeight="1" x14ac:dyDescent="0.25">
      <c r="G4135" s="459"/>
      <c r="H4135" s="459">
        <v>4128</v>
      </c>
      <c r="I4135" s="444">
        <f t="shared" ca="1" si="183"/>
        <v>-13127881212682.564</v>
      </c>
      <c r="J4135" s="444">
        <f t="array" ref="J4135">IFERROR(INDEX('Retirement Calculator'!J:J,MATCH('Isaac 401k'!N4135,'Retirement Calculator'!A:A,0),0),0)</f>
        <v>0</v>
      </c>
      <c r="K4135" s="444">
        <f t="shared" ca="1" si="181"/>
        <v>-54699505052.844017</v>
      </c>
      <c r="L4135" s="444">
        <f t="shared" ca="1" si="182"/>
        <v>-13182580717735.408</v>
      </c>
      <c r="M4135" s="460">
        <f t="shared" si="184"/>
        <v>0.05</v>
      </c>
      <c r="N4135" s="464">
        <f t="shared" si="185"/>
        <v>176900</v>
      </c>
    </row>
    <row r="4136" spans="7:14" ht="11.25" customHeight="1" x14ac:dyDescent="0.25">
      <c r="G4136" s="459"/>
      <c r="H4136" s="459">
        <v>4129</v>
      </c>
      <c r="I4136" s="444">
        <f t="shared" ca="1" si="183"/>
        <v>-13182580717735.408</v>
      </c>
      <c r="J4136" s="444">
        <f t="array" ref="J4136">IFERROR(INDEX('Retirement Calculator'!J:J,MATCH('Isaac 401k'!N4136,'Retirement Calculator'!A:A,0),0),0)</f>
        <v>0</v>
      </c>
      <c r="K4136" s="444">
        <f t="shared" ca="1" si="181"/>
        <v>-54927419657.230865</v>
      </c>
      <c r="L4136" s="444">
        <f t="shared" ca="1" si="182"/>
        <v>-13237508137392.639</v>
      </c>
      <c r="M4136" s="460">
        <f t="shared" si="184"/>
        <v>0.05</v>
      </c>
      <c r="N4136" s="464">
        <f t="shared" si="185"/>
        <v>176931</v>
      </c>
    </row>
    <row r="4137" spans="7:14" ht="11.25" customHeight="1" x14ac:dyDescent="0.25">
      <c r="G4137" s="459"/>
      <c r="H4137" s="459">
        <v>4130</v>
      </c>
      <c r="I4137" s="444">
        <f t="shared" ca="1" si="183"/>
        <v>-13237508137392.639</v>
      </c>
      <c r="J4137" s="444">
        <f t="array" ref="J4137">IFERROR(INDEX('Retirement Calculator'!J:J,MATCH('Isaac 401k'!N4137,'Retirement Calculator'!A:A,0),0),0)</f>
        <v>0</v>
      </c>
      <c r="K4137" s="444">
        <f t="shared" ca="1" si="181"/>
        <v>-55156283905.802658</v>
      </c>
      <c r="L4137" s="444">
        <f t="shared" ca="1" si="182"/>
        <v>-13292664421298.441</v>
      </c>
      <c r="M4137" s="460">
        <f t="shared" si="184"/>
        <v>0.05</v>
      </c>
      <c r="N4137" s="464">
        <f t="shared" si="185"/>
        <v>176961</v>
      </c>
    </row>
    <row r="4138" spans="7:14" ht="11.25" customHeight="1" x14ac:dyDescent="0.25">
      <c r="G4138" s="459"/>
      <c r="H4138" s="459">
        <v>4131</v>
      </c>
      <c r="I4138" s="444">
        <f t="shared" ca="1" si="183"/>
        <v>-13292664421298.441</v>
      </c>
      <c r="J4138" s="444">
        <f t="array" ref="J4138">IFERROR(INDEX('Retirement Calculator'!J:J,MATCH('Isaac 401k'!N4138,'Retirement Calculator'!A:A,0),0),0)</f>
        <v>0</v>
      </c>
      <c r="K4138" s="444">
        <f t="shared" ca="1" si="181"/>
        <v>-55386101755.410172</v>
      </c>
      <c r="L4138" s="444">
        <f t="shared" ca="1" si="182"/>
        <v>-13348050523053.852</v>
      </c>
      <c r="M4138" s="460">
        <f t="shared" si="184"/>
        <v>0.05</v>
      </c>
      <c r="N4138" s="464">
        <f t="shared" si="185"/>
        <v>176992</v>
      </c>
    </row>
    <row r="4139" spans="7:14" ht="11.25" customHeight="1" x14ac:dyDescent="0.25">
      <c r="G4139" s="459"/>
      <c r="H4139" s="459">
        <v>4132</v>
      </c>
      <c r="I4139" s="444">
        <f t="shared" ca="1" si="183"/>
        <v>-13348050523053.852</v>
      </c>
      <c r="J4139" s="444">
        <f t="array" ref="J4139">IFERROR(INDEX('Retirement Calculator'!J:J,MATCH('Isaac 401k'!N4139,'Retirement Calculator'!A:A,0),0),0)</f>
        <v>0</v>
      </c>
      <c r="K4139" s="444">
        <f t="shared" ca="1" si="181"/>
        <v>-55616877179.391045</v>
      </c>
      <c r="L4139" s="444">
        <f t="shared" ca="1" si="182"/>
        <v>-13403667400233.242</v>
      </c>
      <c r="M4139" s="460">
        <f t="shared" si="184"/>
        <v>0.05</v>
      </c>
      <c r="N4139" s="464">
        <f t="shared" si="185"/>
        <v>177023</v>
      </c>
    </row>
    <row r="4140" spans="7:14" ht="11.25" customHeight="1" x14ac:dyDescent="0.25">
      <c r="G4140" s="459"/>
      <c r="H4140" s="459">
        <v>4133</v>
      </c>
      <c r="I4140" s="444">
        <f t="shared" ca="1" si="183"/>
        <v>-13403667400233.242</v>
      </c>
      <c r="J4140" s="444">
        <f t="array" ref="J4140">IFERROR(INDEX('Retirement Calculator'!J:J,MATCH('Isaac 401k'!N4140,'Retirement Calculator'!A:A,0),0),0)</f>
        <v>0</v>
      </c>
      <c r="K4140" s="444">
        <f t="shared" ca="1" si="181"/>
        <v>-55848614167.638512</v>
      </c>
      <c r="L4140" s="444">
        <f t="shared" ca="1" si="182"/>
        <v>-13459516014400.881</v>
      </c>
      <c r="M4140" s="460">
        <f t="shared" si="184"/>
        <v>0.05</v>
      </c>
      <c r="N4140" s="464">
        <f t="shared" si="185"/>
        <v>177053</v>
      </c>
    </row>
    <row r="4141" spans="7:14" ht="11.25" customHeight="1" x14ac:dyDescent="0.25">
      <c r="G4141" s="459"/>
      <c r="H4141" s="459">
        <v>4134</v>
      </c>
      <c r="I4141" s="444">
        <f t="shared" ca="1" si="183"/>
        <v>-13459516014400.881</v>
      </c>
      <c r="J4141" s="444">
        <f t="array" ref="J4141">IFERROR(INDEX('Retirement Calculator'!J:J,MATCH('Isaac 401k'!N4141,'Retirement Calculator'!A:A,0),0),0)</f>
        <v>0</v>
      </c>
      <c r="K4141" s="444">
        <f t="shared" ca="1" si="181"/>
        <v>-56081316726.670334</v>
      </c>
      <c r="L4141" s="444">
        <f t="shared" ca="1" si="182"/>
        <v>-13515597331127.551</v>
      </c>
      <c r="M4141" s="460">
        <f t="shared" si="184"/>
        <v>0.05</v>
      </c>
      <c r="N4141" s="464">
        <f t="shared" si="185"/>
        <v>177084</v>
      </c>
    </row>
    <row r="4142" spans="7:14" ht="11.25" customHeight="1" x14ac:dyDescent="0.25">
      <c r="G4142" s="459"/>
      <c r="H4142" s="459">
        <v>4135</v>
      </c>
      <c r="I4142" s="444">
        <f t="shared" ca="1" si="183"/>
        <v>-13515597331127.551</v>
      </c>
      <c r="J4142" s="444">
        <f t="array" ref="J4142">IFERROR(INDEX('Retirement Calculator'!J:J,MATCH('Isaac 401k'!N4142,'Retirement Calculator'!A:A,0),0),0)</f>
        <v>0</v>
      </c>
      <c r="K4142" s="444">
        <f t="shared" ca="1" si="181"/>
        <v>-56314988879.698128</v>
      </c>
      <c r="L4142" s="444">
        <f t="shared" ca="1" si="182"/>
        <v>-13571912320007.248</v>
      </c>
      <c r="M4142" s="460">
        <f t="shared" si="184"/>
        <v>0.05</v>
      </c>
      <c r="N4142" s="464">
        <f t="shared" si="185"/>
        <v>177114</v>
      </c>
    </row>
    <row r="4143" spans="7:14" ht="11.25" customHeight="1" x14ac:dyDescent="0.25">
      <c r="G4143" s="459"/>
      <c r="H4143" s="459">
        <v>4136</v>
      </c>
      <c r="I4143" s="444">
        <f t="shared" ca="1" si="183"/>
        <v>-13571912320007.248</v>
      </c>
      <c r="J4143" s="444">
        <f t="array" ref="J4143">IFERROR(INDEX('Retirement Calculator'!J:J,MATCH('Isaac 401k'!N4143,'Retirement Calculator'!A:A,0),0),0)</f>
        <v>0</v>
      </c>
      <c r="K4143" s="444">
        <f t="shared" ca="1" si="181"/>
        <v>-56549634666.696869</v>
      </c>
      <c r="L4143" s="444">
        <f t="shared" ca="1" si="182"/>
        <v>-13628461954673.945</v>
      </c>
      <c r="M4143" s="460">
        <f t="shared" si="184"/>
        <v>0.05</v>
      </c>
      <c r="N4143" s="464">
        <f t="shared" si="185"/>
        <v>177145</v>
      </c>
    </row>
    <row r="4144" spans="7:14" ht="11.25" customHeight="1" x14ac:dyDescent="0.25">
      <c r="G4144" s="459"/>
      <c r="H4144" s="459">
        <v>4137</v>
      </c>
      <c r="I4144" s="444">
        <f t="shared" ca="1" si="183"/>
        <v>-13628461954673.945</v>
      </c>
      <c r="J4144" s="444">
        <f t="array" ref="J4144">IFERROR(INDEX('Retirement Calculator'!J:J,MATCH('Isaac 401k'!N4144,'Retirement Calculator'!A:A,0),0),0)</f>
        <v>0</v>
      </c>
      <c r="K4144" s="444">
        <f t="shared" ca="1" si="181"/>
        <v>-56785258144.47477</v>
      </c>
      <c r="L4144" s="444">
        <f t="shared" ca="1" si="182"/>
        <v>-13685247212818.42</v>
      </c>
      <c r="M4144" s="460">
        <f t="shared" si="184"/>
        <v>0.05</v>
      </c>
      <c r="N4144" s="464">
        <f t="shared" si="185"/>
        <v>177176</v>
      </c>
    </row>
    <row r="4145" spans="7:14" ht="11.25" customHeight="1" x14ac:dyDescent="0.25">
      <c r="G4145" s="459"/>
      <c r="H4145" s="459">
        <v>4138</v>
      </c>
      <c r="I4145" s="444">
        <f t="shared" ca="1" si="183"/>
        <v>-13685247212818.42</v>
      </c>
      <c r="J4145" s="444">
        <f t="array" ref="J4145">IFERROR(INDEX('Retirement Calculator'!J:J,MATCH('Isaac 401k'!N4145,'Retirement Calculator'!A:A,0),0),0)</f>
        <v>0</v>
      </c>
      <c r="K4145" s="444">
        <f t="shared" ca="1" si="181"/>
        <v>-57021863386.743416</v>
      </c>
      <c r="L4145" s="444">
        <f t="shared" ca="1" si="182"/>
        <v>-13742269076205.164</v>
      </c>
      <c r="M4145" s="460">
        <f t="shared" si="184"/>
        <v>0.05</v>
      </c>
      <c r="N4145" s="464">
        <f t="shared" si="185"/>
        <v>177204</v>
      </c>
    </row>
    <row r="4146" spans="7:14" ht="11.25" customHeight="1" x14ac:dyDescent="0.25">
      <c r="G4146" s="459"/>
      <c r="H4146" s="459">
        <v>4139</v>
      </c>
      <c r="I4146" s="444">
        <f t="shared" ca="1" si="183"/>
        <v>-13742269076205.164</v>
      </c>
      <c r="J4146" s="444">
        <f t="array" ref="J4146">IFERROR(INDEX('Retirement Calculator'!J:J,MATCH('Isaac 401k'!N4146,'Retirement Calculator'!A:A,0),0),0)</f>
        <v>0</v>
      </c>
      <c r="K4146" s="444">
        <f t="shared" ca="1" si="181"/>
        <v>-57259454484.188194</v>
      </c>
      <c r="L4146" s="444">
        <f t="shared" ca="1" si="182"/>
        <v>-13799528530689.352</v>
      </c>
      <c r="M4146" s="460">
        <f t="shared" si="184"/>
        <v>0.05</v>
      </c>
      <c r="N4146" s="464">
        <f t="shared" si="185"/>
        <v>177235</v>
      </c>
    </row>
    <row r="4147" spans="7:14" ht="11.25" customHeight="1" x14ac:dyDescent="0.25">
      <c r="G4147" s="459"/>
      <c r="H4147" s="459">
        <v>4140</v>
      </c>
      <c r="I4147" s="444">
        <f t="shared" ca="1" si="183"/>
        <v>-13799528530689.352</v>
      </c>
      <c r="J4147" s="444">
        <f t="array" ref="J4147">IFERROR(INDEX('Retirement Calculator'!J:J,MATCH('Isaac 401k'!N4147,'Retirement Calculator'!A:A,0),0),0)</f>
        <v>0</v>
      </c>
      <c r="K4147" s="444">
        <f t="shared" ca="1" si="181"/>
        <v>-57498035544.538971</v>
      </c>
      <c r="L4147" s="444">
        <f t="shared" ca="1" si="182"/>
        <v>-13857026566233.891</v>
      </c>
      <c r="M4147" s="460">
        <f t="shared" si="184"/>
        <v>0.05</v>
      </c>
      <c r="N4147" s="464">
        <f t="shared" si="185"/>
        <v>177265</v>
      </c>
    </row>
    <row r="4148" spans="7:14" ht="11.25" customHeight="1" x14ac:dyDescent="0.25">
      <c r="G4148" s="459"/>
      <c r="H4148" s="459">
        <v>4141</v>
      </c>
      <c r="I4148" s="444">
        <f t="shared" ca="1" si="183"/>
        <v>-13857026566233.891</v>
      </c>
      <c r="J4148" s="444">
        <f t="array" ref="J4148">IFERROR(INDEX('Retirement Calculator'!J:J,MATCH('Isaac 401k'!N4148,'Retirement Calculator'!A:A,0),0),0)</f>
        <v>0</v>
      </c>
      <c r="K4148" s="444">
        <f t="shared" ca="1" si="181"/>
        <v>-57737610692.641212</v>
      </c>
      <c r="L4148" s="444">
        <f t="shared" ca="1" si="182"/>
        <v>-13914764176926.531</v>
      </c>
      <c r="M4148" s="460">
        <f t="shared" si="184"/>
        <v>0.05</v>
      </c>
      <c r="N4148" s="464">
        <f t="shared" si="185"/>
        <v>177296</v>
      </c>
    </row>
    <row r="4149" spans="7:14" ht="11.25" customHeight="1" x14ac:dyDescent="0.25">
      <c r="G4149" s="459"/>
      <c r="H4149" s="459">
        <v>4142</v>
      </c>
      <c r="I4149" s="444">
        <f t="shared" ca="1" si="183"/>
        <v>-13914764176926.531</v>
      </c>
      <c r="J4149" s="444">
        <f t="array" ref="J4149">IFERROR(INDEX('Retirement Calculator'!J:J,MATCH('Isaac 401k'!N4149,'Retirement Calculator'!A:A,0),0),0)</f>
        <v>0</v>
      </c>
      <c r="K4149" s="444">
        <f t="shared" ca="1" si="181"/>
        <v>-57978184070.527214</v>
      </c>
      <c r="L4149" s="444">
        <f t="shared" ca="1" si="182"/>
        <v>-13972742360997.059</v>
      </c>
      <c r="M4149" s="460">
        <f t="shared" si="184"/>
        <v>0.05</v>
      </c>
      <c r="N4149" s="464">
        <f t="shared" si="185"/>
        <v>177326</v>
      </c>
    </row>
    <row r="4150" spans="7:14" ht="11.25" customHeight="1" x14ac:dyDescent="0.25">
      <c r="G4150" s="459"/>
      <c r="H4150" s="459">
        <v>4143</v>
      </c>
      <c r="I4150" s="444">
        <f t="shared" ca="1" si="183"/>
        <v>-13972742360997.059</v>
      </c>
      <c r="J4150" s="444">
        <f t="array" ref="J4150">IFERROR(INDEX('Retirement Calculator'!J:J,MATCH('Isaac 401k'!N4150,'Retirement Calculator'!A:A,0),0),0)</f>
        <v>0</v>
      </c>
      <c r="K4150" s="444">
        <f t="shared" ca="1" si="181"/>
        <v>-58219759837.48774</v>
      </c>
      <c r="L4150" s="444">
        <f t="shared" ca="1" si="182"/>
        <v>-14030962120834.547</v>
      </c>
      <c r="M4150" s="460">
        <f t="shared" si="184"/>
        <v>0.05</v>
      </c>
      <c r="N4150" s="464">
        <f t="shared" si="185"/>
        <v>177357</v>
      </c>
    </row>
    <row r="4151" spans="7:14" ht="11.25" customHeight="1" x14ac:dyDescent="0.25">
      <c r="G4151" s="459"/>
      <c r="H4151" s="459">
        <v>4144</v>
      </c>
      <c r="I4151" s="444">
        <f t="shared" ca="1" si="183"/>
        <v>-14030962120834.547</v>
      </c>
      <c r="J4151" s="444">
        <f t="array" ref="J4151">IFERROR(INDEX('Retirement Calculator'!J:J,MATCH('Isaac 401k'!N4151,'Retirement Calculator'!A:A,0),0),0)</f>
        <v>0</v>
      </c>
      <c r="K4151" s="444">
        <f t="shared" ca="1" si="181"/>
        <v>-58462342170.143944</v>
      </c>
      <c r="L4151" s="444">
        <f t="shared" ca="1" si="182"/>
        <v>-14089424463004.691</v>
      </c>
      <c r="M4151" s="460">
        <f t="shared" si="184"/>
        <v>0.05</v>
      </c>
      <c r="N4151" s="464">
        <f t="shared" si="185"/>
        <v>177388</v>
      </c>
    </row>
    <row r="4152" spans="7:14" ht="11.25" customHeight="1" x14ac:dyDescent="0.25">
      <c r="G4152" s="459"/>
      <c r="H4152" s="459">
        <v>4145</v>
      </c>
      <c r="I4152" s="444">
        <f t="shared" ca="1" si="183"/>
        <v>-14089424463004.691</v>
      </c>
      <c r="J4152" s="444">
        <f t="array" ref="J4152">IFERROR(INDEX('Retirement Calculator'!J:J,MATCH('Isaac 401k'!N4152,'Retirement Calculator'!A:A,0),0),0)</f>
        <v>0</v>
      </c>
      <c r="K4152" s="444">
        <f t="shared" ca="1" si="181"/>
        <v>-58705935262.519539</v>
      </c>
      <c r="L4152" s="444">
        <f t="shared" ca="1" si="182"/>
        <v>-14148130398267.211</v>
      </c>
      <c r="M4152" s="460">
        <f t="shared" si="184"/>
        <v>0.05</v>
      </c>
      <c r="N4152" s="464">
        <f t="shared" si="185"/>
        <v>177418</v>
      </c>
    </row>
    <row r="4153" spans="7:14" ht="11.25" customHeight="1" x14ac:dyDescent="0.25">
      <c r="G4153" s="459"/>
      <c r="H4153" s="459">
        <v>4146</v>
      </c>
      <c r="I4153" s="444">
        <f t="shared" ca="1" si="183"/>
        <v>-14148130398267.211</v>
      </c>
      <c r="J4153" s="444">
        <f t="array" ref="J4153">IFERROR(INDEX('Retirement Calculator'!J:J,MATCH('Isaac 401k'!N4153,'Retirement Calculator'!A:A,0),0),0)</f>
        <v>0</v>
      </c>
      <c r="K4153" s="444">
        <f t="shared" ca="1" si="181"/>
        <v>-58950543326.11338</v>
      </c>
      <c r="L4153" s="444">
        <f t="shared" ca="1" si="182"/>
        <v>-14207080941593.324</v>
      </c>
      <c r="M4153" s="460">
        <f t="shared" si="184"/>
        <v>0.05</v>
      </c>
      <c r="N4153" s="464">
        <f t="shared" si="185"/>
        <v>177449</v>
      </c>
    </row>
    <row r="4154" spans="7:14" ht="11.25" customHeight="1" x14ac:dyDescent="0.25">
      <c r="G4154" s="459"/>
      <c r="H4154" s="459">
        <v>4147</v>
      </c>
      <c r="I4154" s="444">
        <f t="shared" ca="1" si="183"/>
        <v>-14207080941593.324</v>
      </c>
      <c r="J4154" s="444">
        <f t="array" ref="J4154">IFERROR(INDEX('Retirement Calculator'!J:J,MATCH('Isaac 401k'!N4154,'Retirement Calculator'!A:A,0),0),0)</f>
        <v>0</v>
      </c>
      <c r="K4154" s="444">
        <f t="shared" ca="1" si="181"/>
        <v>-59196170589.972183</v>
      </c>
      <c r="L4154" s="444">
        <f t="shared" ca="1" si="182"/>
        <v>-14266277112183.297</v>
      </c>
      <c r="M4154" s="460">
        <f t="shared" si="184"/>
        <v>0.05</v>
      </c>
      <c r="N4154" s="464">
        <f t="shared" si="185"/>
        <v>177479</v>
      </c>
    </row>
    <row r="4155" spans="7:14" ht="11.25" customHeight="1" x14ac:dyDescent="0.25">
      <c r="G4155" s="459"/>
      <c r="H4155" s="459">
        <v>4148</v>
      </c>
      <c r="I4155" s="444">
        <f t="shared" ca="1" si="183"/>
        <v>-14266277112183.297</v>
      </c>
      <c r="J4155" s="444">
        <f t="array" ref="J4155">IFERROR(INDEX('Retirement Calculator'!J:J,MATCH('Isaac 401k'!N4155,'Retirement Calculator'!A:A,0),0),0)</f>
        <v>0</v>
      </c>
      <c r="K4155" s="444">
        <f t="shared" ca="1" si="181"/>
        <v>-59442821300.763733</v>
      </c>
      <c r="L4155" s="444">
        <f t="shared" ca="1" si="182"/>
        <v>-14325719933484.061</v>
      </c>
      <c r="M4155" s="460">
        <f t="shared" si="184"/>
        <v>0.05</v>
      </c>
      <c r="N4155" s="464">
        <f t="shared" si="185"/>
        <v>177510</v>
      </c>
    </row>
    <row r="4156" spans="7:14" ht="11.25" customHeight="1" x14ac:dyDescent="0.25">
      <c r="G4156" s="459"/>
      <c r="H4156" s="459">
        <v>4149</v>
      </c>
      <c r="I4156" s="444">
        <f t="shared" ca="1" si="183"/>
        <v>-14325719933484.061</v>
      </c>
      <c r="J4156" s="444">
        <f t="array" ref="J4156">IFERROR(INDEX('Retirement Calculator'!J:J,MATCH('Isaac 401k'!N4156,'Retirement Calculator'!A:A,0),0),0)</f>
        <v>0</v>
      </c>
      <c r="K4156" s="444">
        <f t="shared" ca="1" si="181"/>
        <v>-59690499722.85025</v>
      </c>
      <c r="L4156" s="444">
        <f t="shared" ca="1" si="182"/>
        <v>-14385410433206.91</v>
      </c>
      <c r="M4156" s="460">
        <f t="shared" si="184"/>
        <v>0.05</v>
      </c>
      <c r="N4156" s="464">
        <f t="shared" si="185"/>
        <v>177541</v>
      </c>
    </row>
    <row r="4157" spans="7:14" ht="11.25" customHeight="1" x14ac:dyDescent="0.25">
      <c r="G4157" s="459"/>
      <c r="H4157" s="459">
        <v>4150</v>
      </c>
      <c r="I4157" s="444">
        <f t="shared" ca="1" si="183"/>
        <v>-14385410433206.91</v>
      </c>
      <c r="J4157" s="444">
        <f t="array" ref="J4157">IFERROR(INDEX('Retirement Calculator'!J:J,MATCH('Isaac 401k'!N4157,'Retirement Calculator'!A:A,0),0),0)</f>
        <v>0</v>
      </c>
      <c r="K4157" s="444">
        <f t="shared" ca="1" si="181"/>
        <v>-59939210138.362122</v>
      </c>
      <c r="L4157" s="444">
        <f t="shared" ca="1" si="182"/>
        <v>-14445349643345.271</v>
      </c>
      <c r="M4157" s="460">
        <f t="shared" si="184"/>
        <v>0.05</v>
      </c>
      <c r="N4157" s="464">
        <f t="shared" si="185"/>
        <v>177569</v>
      </c>
    </row>
    <row r="4158" spans="7:14" ht="11.25" customHeight="1" x14ac:dyDescent="0.25">
      <c r="G4158" s="459"/>
      <c r="H4158" s="459">
        <v>4151</v>
      </c>
      <c r="I4158" s="444">
        <f t="shared" ca="1" si="183"/>
        <v>-14445349643345.271</v>
      </c>
      <c r="J4158" s="444">
        <f t="array" ref="J4158">IFERROR(INDEX('Retirement Calculator'!J:J,MATCH('Isaac 401k'!N4158,'Retirement Calculator'!A:A,0),0),0)</f>
        <v>0</v>
      </c>
      <c r="K4158" s="444">
        <f t="shared" ca="1" si="181"/>
        <v>-60188956847.271973</v>
      </c>
      <c r="L4158" s="444">
        <f t="shared" ca="1" si="182"/>
        <v>-14505538600192.543</v>
      </c>
      <c r="M4158" s="460">
        <f t="shared" si="184"/>
        <v>0.05</v>
      </c>
      <c r="N4158" s="464">
        <f t="shared" si="185"/>
        <v>177600</v>
      </c>
    </row>
    <row r="4159" spans="7:14" ht="11.25" customHeight="1" x14ac:dyDescent="0.25">
      <c r="G4159" s="459"/>
      <c r="H4159" s="459">
        <v>4152</v>
      </c>
      <c r="I4159" s="444">
        <f t="shared" ca="1" si="183"/>
        <v>-14505538600192.543</v>
      </c>
      <c r="J4159" s="444">
        <f t="array" ref="J4159">IFERROR(INDEX('Retirement Calculator'!J:J,MATCH('Isaac 401k'!N4159,'Retirement Calculator'!A:A,0),0),0)</f>
        <v>0</v>
      </c>
      <c r="K4159" s="444">
        <f t="shared" ca="1" si="181"/>
        <v>-60439744167.468925</v>
      </c>
      <c r="L4159" s="444">
        <f t="shared" ca="1" si="182"/>
        <v>-14565978344360.012</v>
      </c>
      <c r="M4159" s="460">
        <f t="shared" si="184"/>
        <v>0.05</v>
      </c>
      <c r="N4159" s="464">
        <f t="shared" si="185"/>
        <v>177630</v>
      </c>
    </row>
    <row r="4160" spans="7:14" ht="11.25" customHeight="1" x14ac:dyDescent="0.25">
      <c r="G4160" s="459"/>
      <c r="H4160" s="459">
        <v>4153</v>
      </c>
      <c r="I4160" s="444">
        <f t="shared" ca="1" si="183"/>
        <v>-14565978344360.012</v>
      </c>
      <c r="J4160" s="444">
        <f t="array" ref="J4160">IFERROR(INDEX('Retirement Calculator'!J:J,MATCH('Isaac 401k'!N4160,'Retirement Calculator'!A:A,0),0),0)</f>
        <v>0</v>
      </c>
      <c r="K4160" s="444">
        <f t="shared" ca="1" si="181"/>
        <v>-60691576434.833382</v>
      </c>
      <c r="L4160" s="444">
        <f t="shared" ca="1" si="182"/>
        <v>-14626669920794.846</v>
      </c>
      <c r="M4160" s="460">
        <f t="shared" si="184"/>
        <v>0.05</v>
      </c>
      <c r="N4160" s="464">
        <f t="shared" si="185"/>
        <v>177661</v>
      </c>
    </row>
    <row r="4161" spans="7:14" ht="11.25" customHeight="1" x14ac:dyDescent="0.25">
      <c r="G4161" s="459"/>
      <c r="H4161" s="459">
        <v>4154</v>
      </c>
      <c r="I4161" s="444">
        <f t="shared" ca="1" si="183"/>
        <v>-14626669920794.846</v>
      </c>
      <c r="J4161" s="444">
        <f t="array" ref="J4161">IFERROR(INDEX('Retirement Calculator'!J:J,MATCH('Isaac 401k'!N4161,'Retirement Calculator'!A:A,0),0),0)</f>
        <v>0</v>
      </c>
      <c r="K4161" s="444">
        <f t="shared" ca="1" si="181"/>
        <v>-60944458003.311852</v>
      </c>
      <c r="L4161" s="444">
        <f t="shared" ca="1" si="182"/>
        <v>-14687614378798.158</v>
      </c>
      <c r="M4161" s="460">
        <f t="shared" si="184"/>
        <v>0.05</v>
      </c>
      <c r="N4161" s="464">
        <f t="shared" si="185"/>
        <v>177691</v>
      </c>
    </row>
    <row r="4162" spans="7:14" ht="11.25" customHeight="1" x14ac:dyDescent="0.25">
      <c r="G4162" s="459"/>
      <c r="H4162" s="459">
        <v>4155</v>
      </c>
      <c r="I4162" s="444">
        <f t="shared" ca="1" si="183"/>
        <v>-14687614378798.158</v>
      </c>
      <c r="J4162" s="444">
        <f t="array" ref="J4162">IFERROR(INDEX('Retirement Calculator'!J:J,MATCH('Isaac 401k'!N4162,'Retirement Calculator'!A:A,0),0),0)</f>
        <v>0</v>
      </c>
      <c r="K4162" s="444">
        <f t="shared" ca="1" si="181"/>
        <v>-61198393244.992332</v>
      </c>
      <c r="L4162" s="444">
        <f t="shared" ca="1" si="182"/>
        <v>-14748812772043.15</v>
      </c>
      <c r="M4162" s="460">
        <f t="shared" si="184"/>
        <v>0.05</v>
      </c>
      <c r="N4162" s="464">
        <f t="shared" si="185"/>
        <v>177722</v>
      </c>
    </row>
    <row r="4163" spans="7:14" ht="11.25" customHeight="1" x14ac:dyDescent="0.25">
      <c r="G4163" s="459"/>
      <c r="H4163" s="459">
        <v>4156</v>
      </c>
      <c r="I4163" s="444">
        <f t="shared" ca="1" si="183"/>
        <v>-14748812772043.15</v>
      </c>
      <c r="J4163" s="444">
        <f t="array" ref="J4163">IFERROR(INDEX('Retirement Calculator'!J:J,MATCH('Isaac 401k'!N4163,'Retirement Calculator'!A:A,0),0),0)</f>
        <v>0</v>
      </c>
      <c r="K4163" s="444">
        <f t="shared" ca="1" si="181"/>
        <v>-61453386550.179787</v>
      </c>
      <c r="L4163" s="444">
        <f t="shared" ca="1" si="182"/>
        <v>-14810266158593.33</v>
      </c>
      <c r="M4163" s="460">
        <f t="shared" si="184"/>
        <v>0.05</v>
      </c>
      <c r="N4163" s="464">
        <f t="shared" si="185"/>
        <v>177753</v>
      </c>
    </row>
    <row r="4164" spans="7:14" ht="11.25" customHeight="1" x14ac:dyDescent="0.25">
      <c r="G4164" s="459"/>
      <c r="H4164" s="459">
        <v>4157</v>
      </c>
      <c r="I4164" s="444">
        <f t="shared" ca="1" si="183"/>
        <v>-14810266158593.33</v>
      </c>
      <c r="J4164" s="444">
        <f t="array" ref="J4164">IFERROR(INDEX('Retirement Calculator'!J:J,MATCH('Isaac 401k'!N4164,'Retirement Calculator'!A:A,0),0),0)</f>
        <v>0</v>
      </c>
      <c r="K4164" s="444">
        <f t="shared" ca="1" si="181"/>
        <v>-61709442327.472198</v>
      </c>
      <c r="L4164" s="444">
        <f t="shared" ca="1" si="182"/>
        <v>-14871975600920.803</v>
      </c>
      <c r="M4164" s="460">
        <f t="shared" si="184"/>
        <v>0.05</v>
      </c>
      <c r="N4164" s="464">
        <f t="shared" si="185"/>
        <v>177783</v>
      </c>
    </row>
    <row r="4165" spans="7:14" ht="11.25" customHeight="1" x14ac:dyDescent="0.25">
      <c r="G4165" s="459"/>
      <c r="H4165" s="459">
        <v>4158</v>
      </c>
      <c r="I4165" s="444">
        <f t="shared" ca="1" si="183"/>
        <v>-14871975600920.803</v>
      </c>
      <c r="J4165" s="444">
        <f t="array" ref="J4165">IFERROR(INDEX('Retirement Calculator'!J:J,MATCH('Isaac 401k'!N4165,'Retirement Calculator'!A:A,0),0),0)</f>
        <v>0</v>
      </c>
      <c r="K4165" s="444">
        <f t="shared" ca="1" si="181"/>
        <v>-61966565003.836685</v>
      </c>
      <c r="L4165" s="444">
        <f t="shared" ca="1" si="182"/>
        <v>-14933942165924.639</v>
      </c>
      <c r="M4165" s="460">
        <f t="shared" si="184"/>
        <v>0.05</v>
      </c>
      <c r="N4165" s="464">
        <f t="shared" si="185"/>
        <v>177814</v>
      </c>
    </row>
    <row r="4166" spans="7:14" ht="11.25" customHeight="1" x14ac:dyDescent="0.25">
      <c r="G4166" s="459"/>
      <c r="H4166" s="459">
        <v>4159</v>
      </c>
      <c r="I4166" s="444">
        <f t="shared" ca="1" si="183"/>
        <v>-14933942165924.639</v>
      </c>
      <c r="J4166" s="444">
        <f t="array" ref="J4166">IFERROR(INDEX('Retirement Calculator'!J:J,MATCH('Isaac 401k'!N4166,'Retirement Calculator'!A:A,0),0),0)</f>
        <v>0</v>
      </c>
      <c r="K4166" s="444">
        <f t="shared" ca="1" si="181"/>
        <v>-62224759024.685997</v>
      </c>
      <c r="L4166" s="444">
        <f t="shared" ca="1" si="182"/>
        <v>-14996166924949.324</v>
      </c>
      <c r="M4166" s="460">
        <f t="shared" si="184"/>
        <v>0.05</v>
      </c>
      <c r="N4166" s="464">
        <f t="shared" si="185"/>
        <v>177844</v>
      </c>
    </row>
    <row r="4167" spans="7:14" ht="11.25" customHeight="1" x14ac:dyDescent="0.25">
      <c r="G4167" s="459"/>
      <c r="H4167" s="459">
        <v>4160</v>
      </c>
      <c r="I4167" s="444">
        <f t="shared" ca="1" si="183"/>
        <v>-14996166924949.324</v>
      </c>
      <c r="J4167" s="444">
        <f t="array" ref="J4167">IFERROR(INDEX('Retirement Calculator'!J:J,MATCH('Isaac 401k'!N4167,'Retirement Calculator'!A:A,0),0),0)</f>
        <v>0</v>
      </c>
      <c r="K4167" s="444">
        <f t="shared" ca="1" si="181"/>
        <v>-62484028853.955528</v>
      </c>
      <c r="L4167" s="444">
        <f t="shared" ca="1" si="182"/>
        <v>-15058650953803.279</v>
      </c>
      <c r="M4167" s="460">
        <f t="shared" si="184"/>
        <v>0.05</v>
      </c>
      <c r="N4167" s="464">
        <f t="shared" si="185"/>
        <v>177875</v>
      </c>
    </row>
    <row r="4168" spans="7:14" ht="11.25" customHeight="1" x14ac:dyDescent="0.25">
      <c r="G4168" s="459"/>
      <c r="H4168" s="459">
        <v>4161</v>
      </c>
      <c r="I4168" s="444">
        <f t="shared" ca="1" si="183"/>
        <v>-15058650953803.279</v>
      </c>
      <c r="J4168" s="444">
        <f t="array" ref="J4168">IFERROR(INDEX('Retirement Calculator'!J:J,MATCH('Isaac 401k'!N4168,'Retirement Calculator'!A:A,0),0),0)</f>
        <v>0</v>
      </c>
      <c r="K4168" s="444">
        <f t="shared" ca="1" si="181"/>
        <v>-62744378974.180328</v>
      </c>
      <c r="L4168" s="444">
        <f t="shared" ca="1" si="182"/>
        <v>-15121395332777.459</v>
      </c>
      <c r="M4168" s="460">
        <f t="shared" si="184"/>
        <v>0.05</v>
      </c>
      <c r="N4168" s="464">
        <f t="shared" si="185"/>
        <v>177906</v>
      </c>
    </row>
    <row r="4169" spans="7:14" ht="11.25" customHeight="1" x14ac:dyDescent="0.25">
      <c r="G4169" s="459"/>
      <c r="H4169" s="459">
        <v>4162</v>
      </c>
      <c r="I4169" s="444">
        <f t="shared" ca="1" si="183"/>
        <v>-15121395332777.459</v>
      </c>
      <c r="J4169" s="444">
        <f t="array" ref="J4169">IFERROR(INDEX('Retirement Calculator'!J:J,MATCH('Isaac 401k'!N4169,'Retirement Calculator'!A:A,0),0),0)</f>
        <v>0</v>
      </c>
      <c r="K4169" s="444">
        <f t="shared" ca="1" si="181"/>
        <v>-63005813886.572739</v>
      </c>
      <c r="L4169" s="444">
        <f t="shared" ca="1" si="182"/>
        <v>-15184401146664.031</v>
      </c>
      <c r="M4169" s="460">
        <f t="shared" si="184"/>
        <v>0.05</v>
      </c>
      <c r="N4169" s="464">
        <f t="shared" si="185"/>
        <v>177934</v>
      </c>
    </row>
    <row r="4170" spans="7:14" ht="11.25" customHeight="1" x14ac:dyDescent="0.25">
      <c r="G4170" s="459"/>
      <c r="H4170" s="459">
        <v>4163</v>
      </c>
      <c r="I4170" s="444">
        <f t="shared" ca="1" si="183"/>
        <v>-15184401146664.031</v>
      </c>
      <c r="J4170" s="444">
        <f t="array" ref="J4170">IFERROR(INDEX('Retirement Calculator'!J:J,MATCH('Isaac 401k'!N4170,'Retirement Calculator'!A:A,0),0),0)</f>
        <v>0</v>
      </c>
      <c r="K4170" s="444">
        <f t="shared" ca="1" si="181"/>
        <v>-63268338111.100136</v>
      </c>
      <c r="L4170" s="444">
        <f t="shared" ca="1" si="182"/>
        <v>-15247669484775.131</v>
      </c>
      <c r="M4170" s="460">
        <f t="shared" si="184"/>
        <v>0.05</v>
      </c>
      <c r="N4170" s="464">
        <f t="shared" si="185"/>
        <v>177965</v>
      </c>
    </row>
    <row r="4171" spans="7:14" ht="11.25" customHeight="1" x14ac:dyDescent="0.25">
      <c r="G4171" s="459"/>
      <c r="H4171" s="459">
        <v>4164</v>
      </c>
      <c r="I4171" s="444">
        <f t="shared" ca="1" si="183"/>
        <v>-15247669484775.131</v>
      </c>
      <c r="J4171" s="444">
        <f t="array" ref="J4171">IFERROR(INDEX('Retirement Calculator'!J:J,MATCH('Isaac 401k'!N4171,'Retirement Calculator'!A:A,0),0),0)</f>
        <v>0</v>
      </c>
      <c r="K4171" s="444">
        <f t="shared" ca="1" si="181"/>
        <v>-63531956186.563034</v>
      </c>
      <c r="L4171" s="444">
        <f t="shared" ca="1" si="182"/>
        <v>-15311201440961.693</v>
      </c>
      <c r="M4171" s="460">
        <f t="shared" si="184"/>
        <v>0.05</v>
      </c>
      <c r="N4171" s="464">
        <f t="shared" si="185"/>
        <v>177995</v>
      </c>
    </row>
    <row r="4172" spans="7:14" ht="11.25" customHeight="1" x14ac:dyDescent="0.25">
      <c r="G4172" s="459"/>
      <c r="H4172" s="459">
        <v>4165</v>
      </c>
      <c r="I4172" s="444">
        <f t="shared" ca="1" si="183"/>
        <v>-15311201440961.693</v>
      </c>
      <c r="J4172" s="444">
        <f t="array" ref="J4172">IFERROR(INDEX('Retirement Calculator'!J:J,MATCH('Isaac 401k'!N4172,'Retirement Calculator'!A:A,0),0),0)</f>
        <v>0</v>
      </c>
      <c r="K4172" s="444">
        <f t="shared" ca="1" si="181"/>
        <v>-63796672670.673729</v>
      </c>
      <c r="L4172" s="444">
        <f t="shared" ca="1" si="182"/>
        <v>-15374998113632.367</v>
      </c>
      <c r="M4172" s="460">
        <f t="shared" si="184"/>
        <v>0.05</v>
      </c>
      <c r="N4172" s="464">
        <f t="shared" si="185"/>
        <v>178026</v>
      </c>
    </row>
    <row r="4173" spans="7:14" ht="11.25" customHeight="1" x14ac:dyDescent="0.25">
      <c r="G4173" s="459"/>
      <c r="H4173" s="459">
        <v>4166</v>
      </c>
      <c r="I4173" s="444">
        <f t="shared" ca="1" si="183"/>
        <v>-15374998113632.367</v>
      </c>
      <c r="J4173" s="444">
        <f t="array" ref="J4173">IFERROR(INDEX('Retirement Calculator'!J:J,MATCH('Isaac 401k'!N4173,'Retirement Calculator'!A:A,0),0),0)</f>
        <v>0</v>
      </c>
      <c r="K4173" s="444">
        <f t="shared" ca="1" si="181"/>
        <v>-64062492140.134857</v>
      </c>
      <c r="L4173" s="444">
        <f t="shared" ca="1" si="182"/>
        <v>-15439060605772.502</v>
      </c>
      <c r="M4173" s="460">
        <f t="shared" si="184"/>
        <v>0.05</v>
      </c>
      <c r="N4173" s="464">
        <f t="shared" si="185"/>
        <v>178056</v>
      </c>
    </row>
    <row r="4174" spans="7:14" ht="11.25" customHeight="1" x14ac:dyDescent="0.25">
      <c r="G4174" s="459"/>
      <c r="H4174" s="459">
        <v>4167</v>
      </c>
      <c r="I4174" s="444">
        <f t="shared" ca="1" si="183"/>
        <v>-15439060605772.502</v>
      </c>
      <c r="J4174" s="444">
        <f t="array" ref="J4174">IFERROR(INDEX('Retirement Calculator'!J:J,MATCH('Isaac 401k'!N4174,'Retirement Calculator'!A:A,0),0),0)</f>
        <v>0</v>
      </c>
      <c r="K4174" s="444">
        <f t="shared" ca="1" si="181"/>
        <v>-64329419190.71875</v>
      </c>
      <c r="L4174" s="444">
        <f t="shared" ca="1" si="182"/>
        <v>-15503390024963.221</v>
      </c>
      <c r="M4174" s="460">
        <f t="shared" si="184"/>
        <v>0.05</v>
      </c>
      <c r="N4174" s="464">
        <f t="shared" si="185"/>
        <v>178087</v>
      </c>
    </row>
    <row r="4175" spans="7:14" ht="11.25" customHeight="1" x14ac:dyDescent="0.25">
      <c r="G4175" s="459"/>
      <c r="H4175" s="459">
        <v>4168</v>
      </c>
      <c r="I4175" s="444">
        <f t="shared" ca="1" si="183"/>
        <v>-15503390024963.221</v>
      </c>
      <c r="J4175" s="444">
        <f t="array" ref="J4175">IFERROR(INDEX('Retirement Calculator'!J:J,MATCH('Isaac 401k'!N4175,'Retirement Calculator'!A:A,0),0),0)</f>
        <v>0</v>
      </c>
      <c r="K4175" s="444">
        <f t="shared" ca="1" si="181"/>
        <v>-64597458437.346748</v>
      </c>
      <c r="L4175" s="444">
        <f t="shared" ca="1" si="182"/>
        <v>-15567987483400.568</v>
      </c>
      <c r="M4175" s="460">
        <f t="shared" si="184"/>
        <v>0.05</v>
      </c>
      <c r="N4175" s="464">
        <f t="shared" si="185"/>
        <v>178118</v>
      </c>
    </row>
    <row r="4176" spans="7:14" ht="11.25" customHeight="1" x14ac:dyDescent="0.25">
      <c r="G4176" s="459"/>
      <c r="H4176" s="459">
        <v>4169</v>
      </c>
      <c r="I4176" s="444">
        <f t="shared" ca="1" si="183"/>
        <v>-15567987483400.568</v>
      </c>
      <c r="J4176" s="444">
        <f t="array" ref="J4176">IFERROR(INDEX('Retirement Calculator'!J:J,MATCH('Isaac 401k'!N4176,'Retirement Calculator'!A:A,0),0),0)</f>
        <v>0</v>
      </c>
      <c r="K4176" s="444">
        <f t="shared" ca="1" si="181"/>
        <v>-64866614514.169037</v>
      </c>
      <c r="L4176" s="444">
        <f t="shared" ca="1" si="182"/>
        <v>-15632854097914.738</v>
      </c>
      <c r="M4176" s="460">
        <f t="shared" si="184"/>
        <v>0.05</v>
      </c>
      <c r="N4176" s="464">
        <f t="shared" si="185"/>
        <v>178148</v>
      </c>
    </row>
    <row r="4177" spans="7:14" ht="11.25" customHeight="1" x14ac:dyDescent="0.25">
      <c r="G4177" s="459"/>
      <c r="H4177" s="459">
        <v>4170</v>
      </c>
      <c r="I4177" s="444">
        <f t="shared" ca="1" si="183"/>
        <v>-15632854097914.738</v>
      </c>
      <c r="J4177" s="444">
        <f t="array" ref="J4177">IFERROR(INDEX('Retirement Calculator'!J:J,MATCH('Isaac 401k'!N4177,'Retirement Calculator'!A:A,0),0),0)</f>
        <v>0</v>
      </c>
      <c r="K4177" s="444">
        <f t="shared" ca="1" si="181"/>
        <v>-65136892074.644745</v>
      </c>
      <c r="L4177" s="444">
        <f t="shared" ca="1" si="182"/>
        <v>-15697990989989.383</v>
      </c>
      <c r="M4177" s="460">
        <f t="shared" si="184"/>
        <v>0.05</v>
      </c>
      <c r="N4177" s="464">
        <f t="shared" si="185"/>
        <v>178179</v>
      </c>
    </row>
    <row r="4178" spans="7:14" ht="11.25" customHeight="1" x14ac:dyDescent="0.25">
      <c r="G4178" s="459"/>
      <c r="H4178" s="459">
        <v>4171</v>
      </c>
      <c r="I4178" s="444">
        <f t="shared" ca="1" si="183"/>
        <v>-15697990989989.383</v>
      </c>
      <c r="J4178" s="444">
        <f t="array" ref="J4178">IFERROR(INDEX('Retirement Calculator'!J:J,MATCH('Isaac 401k'!N4178,'Retirement Calculator'!A:A,0),0),0)</f>
        <v>0</v>
      </c>
      <c r="K4178" s="444">
        <f t="shared" ca="1" si="181"/>
        <v>-65408295791.622429</v>
      </c>
      <c r="L4178" s="444">
        <f t="shared" ca="1" si="182"/>
        <v>-15763399285781.006</v>
      </c>
      <c r="M4178" s="460">
        <f t="shared" si="184"/>
        <v>0.05</v>
      </c>
      <c r="N4178" s="464">
        <f t="shared" si="185"/>
        <v>178209</v>
      </c>
    </row>
    <row r="4179" spans="7:14" ht="11.25" customHeight="1" x14ac:dyDescent="0.25">
      <c r="G4179" s="459"/>
      <c r="H4179" s="459">
        <v>4172</v>
      </c>
      <c r="I4179" s="444">
        <f t="shared" ca="1" si="183"/>
        <v>-15763399285781.006</v>
      </c>
      <c r="J4179" s="444">
        <f t="array" ref="J4179">IFERROR(INDEX('Retirement Calculator'!J:J,MATCH('Isaac 401k'!N4179,'Retirement Calculator'!A:A,0),0),0)</f>
        <v>0</v>
      </c>
      <c r="K4179" s="444">
        <f t="shared" ca="1" si="181"/>
        <v>-65680830357.420868</v>
      </c>
      <c r="L4179" s="444">
        <f t="shared" ca="1" si="182"/>
        <v>-15829080116138.426</v>
      </c>
      <c r="M4179" s="460">
        <f t="shared" si="184"/>
        <v>0.05</v>
      </c>
      <c r="N4179" s="464">
        <f t="shared" si="185"/>
        <v>178240</v>
      </c>
    </row>
    <row r="4180" spans="7:14" ht="11.25" customHeight="1" x14ac:dyDescent="0.25">
      <c r="G4180" s="459"/>
      <c r="H4180" s="459">
        <v>4173</v>
      </c>
      <c r="I4180" s="444">
        <f t="shared" ca="1" si="183"/>
        <v>-15829080116138.426</v>
      </c>
      <c r="J4180" s="444">
        <f t="array" ref="J4180">IFERROR(INDEX('Retirement Calculator'!J:J,MATCH('Isaac 401k'!N4180,'Retirement Calculator'!A:A,0),0),0)</f>
        <v>0</v>
      </c>
      <c r="K4180" s="444">
        <f t="shared" ca="1" si="181"/>
        <v>-65954500483.910118</v>
      </c>
      <c r="L4180" s="444">
        <f t="shared" ca="1" si="182"/>
        <v>-15895034616622.336</v>
      </c>
      <c r="M4180" s="460">
        <f t="shared" si="184"/>
        <v>0.05</v>
      </c>
      <c r="N4180" s="464">
        <f t="shared" si="185"/>
        <v>178271</v>
      </c>
    </row>
    <row r="4181" spans="7:14" ht="11.25" customHeight="1" x14ac:dyDescent="0.25">
      <c r="G4181" s="459"/>
      <c r="H4181" s="459">
        <v>4174</v>
      </c>
      <c r="I4181" s="444">
        <f t="shared" ca="1" si="183"/>
        <v>-15895034616622.336</v>
      </c>
      <c r="J4181" s="444">
        <f t="array" ref="J4181">IFERROR(INDEX('Retirement Calculator'!J:J,MATCH('Isaac 401k'!N4181,'Retirement Calculator'!A:A,0),0),0)</f>
        <v>0</v>
      </c>
      <c r="K4181" s="444">
        <f t="shared" ca="1" si="181"/>
        <v>-66229310902.593063</v>
      </c>
      <c r="L4181" s="444">
        <f t="shared" ca="1" si="182"/>
        <v>-15961263927524.93</v>
      </c>
      <c r="M4181" s="460">
        <f t="shared" si="184"/>
        <v>0.05</v>
      </c>
      <c r="N4181" s="464">
        <f t="shared" si="185"/>
        <v>178300</v>
      </c>
    </row>
    <row r="4182" spans="7:14" ht="11.25" customHeight="1" x14ac:dyDescent="0.25">
      <c r="G4182" s="459"/>
      <c r="H4182" s="459">
        <v>4175</v>
      </c>
      <c r="I4182" s="444">
        <f t="shared" ca="1" si="183"/>
        <v>-15961263927524.93</v>
      </c>
      <c r="J4182" s="444">
        <f t="array" ref="J4182">IFERROR(INDEX('Retirement Calculator'!J:J,MATCH('Isaac 401k'!N4182,'Retirement Calculator'!A:A,0),0),0)</f>
        <v>0</v>
      </c>
      <c r="K4182" s="444">
        <f t="shared" ca="1" si="181"/>
        <v>-66505266364.687202</v>
      </c>
      <c r="L4182" s="444">
        <f t="shared" ca="1" si="182"/>
        <v>-16027769193889.617</v>
      </c>
      <c r="M4182" s="460">
        <f t="shared" si="184"/>
        <v>0.05</v>
      </c>
      <c r="N4182" s="464">
        <f t="shared" si="185"/>
        <v>178331</v>
      </c>
    </row>
    <row r="4183" spans="7:14" ht="11.25" customHeight="1" x14ac:dyDescent="0.25">
      <c r="G4183" s="459"/>
      <c r="H4183" s="459">
        <v>4176</v>
      </c>
      <c r="I4183" s="444">
        <f t="shared" ca="1" si="183"/>
        <v>-16027769193889.617</v>
      </c>
      <c r="J4183" s="444">
        <f t="array" ref="J4183">IFERROR(INDEX('Retirement Calculator'!J:J,MATCH('Isaac 401k'!N4183,'Retirement Calculator'!A:A,0),0),0)</f>
        <v>0</v>
      </c>
      <c r="K4183" s="444">
        <f t="shared" ca="1" si="181"/>
        <v>-66782371641.206734</v>
      </c>
      <c r="L4183" s="444">
        <f t="shared" ca="1" si="182"/>
        <v>-16094551565530.824</v>
      </c>
      <c r="M4183" s="460">
        <f t="shared" si="184"/>
        <v>0.05</v>
      </c>
      <c r="N4183" s="464">
        <f t="shared" si="185"/>
        <v>178361</v>
      </c>
    </row>
    <row r="4184" spans="7:14" ht="11.25" customHeight="1" x14ac:dyDescent="0.25">
      <c r="G4184" s="459"/>
      <c r="H4184" s="459">
        <v>4177</v>
      </c>
      <c r="I4184" s="444">
        <f t="shared" ca="1" si="183"/>
        <v>-16094551565530.824</v>
      </c>
      <c r="J4184" s="444">
        <f t="array" ref="J4184">IFERROR(INDEX('Retirement Calculator'!J:J,MATCH('Isaac 401k'!N4184,'Retirement Calculator'!A:A,0),0),0)</f>
        <v>0</v>
      </c>
      <c r="K4184" s="444">
        <f t="shared" ca="1" si="181"/>
        <v>-67060631523.045105</v>
      </c>
      <c r="L4184" s="444">
        <f t="shared" ca="1" si="182"/>
        <v>-16161612197053.869</v>
      </c>
      <c r="M4184" s="460">
        <f t="shared" si="184"/>
        <v>0.05</v>
      </c>
      <c r="N4184" s="464">
        <f t="shared" si="185"/>
        <v>178392</v>
      </c>
    </row>
    <row r="4185" spans="7:14" ht="11.25" customHeight="1" x14ac:dyDescent="0.25">
      <c r="G4185" s="459"/>
      <c r="H4185" s="459">
        <v>4178</v>
      </c>
      <c r="I4185" s="444">
        <f t="shared" ca="1" si="183"/>
        <v>-16161612197053.869</v>
      </c>
      <c r="J4185" s="444">
        <f t="array" ref="J4185">IFERROR(INDEX('Retirement Calculator'!J:J,MATCH('Isaac 401k'!N4185,'Retirement Calculator'!A:A,0),0),0)</f>
        <v>0</v>
      </c>
      <c r="K4185" s="444">
        <f t="shared" ca="1" si="181"/>
        <v>-67340050821.057785</v>
      </c>
      <c r="L4185" s="444">
        <f t="shared" ca="1" si="182"/>
        <v>-16228952247874.928</v>
      </c>
      <c r="M4185" s="460">
        <f t="shared" si="184"/>
        <v>0.05</v>
      </c>
      <c r="N4185" s="464">
        <f t="shared" si="185"/>
        <v>178422</v>
      </c>
    </row>
    <row r="4186" spans="7:14" ht="11.25" customHeight="1" x14ac:dyDescent="0.25">
      <c r="G4186" s="459"/>
      <c r="H4186" s="459">
        <v>4179</v>
      </c>
      <c r="I4186" s="444">
        <f t="shared" ca="1" si="183"/>
        <v>-16228952247874.928</v>
      </c>
      <c r="J4186" s="444">
        <f t="array" ref="J4186">IFERROR(INDEX('Retirement Calculator'!J:J,MATCH('Isaac 401k'!N4186,'Retirement Calculator'!A:A,0),0),0)</f>
        <v>0</v>
      </c>
      <c r="K4186" s="444">
        <f t="shared" ca="1" si="181"/>
        <v>-67620634366.145523</v>
      </c>
      <c r="L4186" s="444">
        <f t="shared" ca="1" si="182"/>
        <v>-16296572882241.074</v>
      </c>
      <c r="M4186" s="460">
        <f t="shared" si="184"/>
        <v>0.05</v>
      </c>
      <c r="N4186" s="464">
        <f t="shared" si="185"/>
        <v>178453</v>
      </c>
    </row>
    <row r="4187" spans="7:14" ht="11.25" customHeight="1" x14ac:dyDescent="0.25">
      <c r="G4187" s="459"/>
      <c r="H4187" s="459">
        <v>4180</v>
      </c>
      <c r="I4187" s="444">
        <f t="shared" ca="1" si="183"/>
        <v>-16296572882241.074</v>
      </c>
      <c r="J4187" s="444">
        <f t="array" ref="J4187">IFERROR(INDEX('Retirement Calculator'!J:J,MATCH('Isaac 401k'!N4187,'Retirement Calculator'!A:A,0),0),0)</f>
        <v>0</v>
      </c>
      <c r="K4187" s="444">
        <f t="shared" ca="1" si="181"/>
        <v>-67902387009.337799</v>
      </c>
      <c r="L4187" s="444">
        <f t="shared" ca="1" si="182"/>
        <v>-16364475269250.412</v>
      </c>
      <c r="M4187" s="460">
        <f t="shared" si="184"/>
        <v>0.05</v>
      </c>
      <c r="N4187" s="464">
        <f t="shared" si="185"/>
        <v>178484</v>
      </c>
    </row>
    <row r="4188" spans="7:14" ht="11.25" customHeight="1" x14ac:dyDescent="0.25">
      <c r="G4188" s="459"/>
      <c r="H4188" s="459">
        <v>4181</v>
      </c>
      <c r="I4188" s="444">
        <f t="shared" ca="1" si="183"/>
        <v>-16364475269250.412</v>
      </c>
      <c r="J4188" s="444">
        <f t="array" ref="J4188">IFERROR(INDEX('Retirement Calculator'!J:J,MATCH('Isaac 401k'!N4188,'Retirement Calculator'!A:A,0),0),0)</f>
        <v>0</v>
      </c>
      <c r="K4188" s="444">
        <f t="shared" ca="1" si="181"/>
        <v>-68185313621.876709</v>
      </c>
      <c r="L4188" s="444">
        <f t="shared" ca="1" si="182"/>
        <v>-16432660582872.289</v>
      </c>
      <c r="M4188" s="460">
        <f t="shared" si="184"/>
        <v>0.05</v>
      </c>
      <c r="N4188" s="464">
        <f t="shared" si="185"/>
        <v>178514</v>
      </c>
    </row>
    <row r="4189" spans="7:14" ht="11.25" customHeight="1" x14ac:dyDescent="0.25">
      <c r="G4189" s="459"/>
      <c r="H4189" s="459">
        <v>4182</v>
      </c>
      <c r="I4189" s="444">
        <f t="shared" ca="1" si="183"/>
        <v>-16432660582872.289</v>
      </c>
      <c r="J4189" s="444">
        <f t="array" ref="J4189">IFERROR(INDEX('Retirement Calculator'!J:J,MATCH('Isaac 401k'!N4189,'Retirement Calculator'!A:A,0),0),0)</f>
        <v>0</v>
      </c>
      <c r="K4189" s="444">
        <f t="shared" ca="1" si="181"/>
        <v>-68469419095.301193</v>
      </c>
      <c r="L4189" s="444">
        <f t="shared" ca="1" si="182"/>
        <v>-16501130001967.59</v>
      </c>
      <c r="M4189" s="460">
        <f t="shared" si="184"/>
        <v>0.05</v>
      </c>
      <c r="N4189" s="464">
        <f t="shared" si="185"/>
        <v>178545</v>
      </c>
    </row>
    <row r="4190" spans="7:14" ht="11.25" customHeight="1" x14ac:dyDescent="0.25">
      <c r="G4190" s="459"/>
      <c r="H4190" s="459">
        <v>4183</v>
      </c>
      <c r="I4190" s="444">
        <f t="shared" ca="1" si="183"/>
        <v>-16501130001967.59</v>
      </c>
      <c r="J4190" s="444">
        <f t="array" ref="J4190">IFERROR(INDEX('Retirement Calculator'!J:J,MATCH('Isaac 401k'!N4190,'Retirement Calculator'!A:A,0),0),0)</f>
        <v>0</v>
      </c>
      <c r="K4190" s="444">
        <f t="shared" ca="1" si="181"/>
        <v>-68754708341.531616</v>
      </c>
      <c r="L4190" s="444">
        <f t="shared" ca="1" si="182"/>
        <v>-16569884710309.121</v>
      </c>
      <c r="M4190" s="460">
        <f t="shared" si="184"/>
        <v>0.05</v>
      </c>
      <c r="N4190" s="464">
        <f t="shared" si="185"/>
        <v>178575</v>
      </c>
    </row>
    <row r="4191" spans="7:14" ht="11.25" customHeight="1" x14ac:dyDescent="0.25">
      <c r="G4191" s="459"/>
      <c r="H4191" s="459">
        <v>4184</v>
      </c>
      <c r="I4191" s="444">
        <f t="shared" ca="1" si="183"/>
        <v>-16569884710309.121</v>
      </c>
      <c r="J4191" s="444">
        <f t="array" ref="J4191">IFERROR(INDEX('Retirement Calculator'!J:J,MATCH('Isaac 401k'!N4191,'Retirement Calculator'!A:A,0),0),0)</f>
        <v>0</v>
      </c>
      <c r="K4191" s="444">
        <f t="shared" ca="1" si="181"/>
        <v>-69041186292.954666</v>
      </c>
      <c r="L4191" s="444">
        <f t="shared" ca="1" si="182"/>
        <v>-16638925896602.076</v>
      </c>
      <c r="M4191" s="460">
        <f t="shared" si="184"/>
        <v>0.05</v>
      </c>
      <c r="N4191" s="464">
        <f t="shared" si="185"/>
        <v>178606</v>
      </c>
    </row>
    <row r="4192" spans="7:14" ht="11.25" customHeight="1" x14ac:dyDescent="0.25">
      <c r="G4192" s="459"/>
      <c r="H4192" s="459">
        <v>4185</v>
      </c>
      <c r="I4192" s="444">
        <f t="shared" ca="1" si="183"/>
        <v>-16638925896602.076</v>
      </c>
      <c r="J4192" s="444">
        <f t="array" ref="J4192">IFERROR(INDEX('Retirement Calculator'!J:J,MATCH('Isaac 401k'!N4192,'Retirement Calculator'!A:A,0),0),0)</f>
        <v>0</v>
      </c>
      <c r="K4192" s="444">
        <f t="shared" ca="1" si="181"/>
        <v>-69328857902.508652</v>
      </c>
      <c r="L4192" s="444">
        <f t="shared" ca="1" si="182"/>
        <v>-16708254754504.584</v>
      </c>
      <c r="M4192" s="460">
        <f t="shared" si="184"/>
        <v>0.05</v>
      </c>
      <c r="N4192" s="464">
        <f t="shared" si="185"/>
        <v>178637</v>
      </c>
    </row>
    <row r="4193" spans="7:14" ht="11.25" customHeight="1" x14ac:dyDescent="0.25">
      <c r="G4193" s="459"/>
      <c r="H4193" s="459">
        <v>4186</v>
      </c>
      <c r="I4193" s="444">
        <f t="shared" ca="1" si="183"/>
        <v>-16708254754504.584</v>
      </c>
      <c r="J4193" s="444">
        <f t="array" ref="J4193">IFERROR(INDEX('Retirement Calculator'!J:J,MATCH('Isaac 401k'!N4193,'Retirement Calculator'!A:A,0),0),0)</f>
        <v>0</v>
      </c>
      <c r="K4193" s="444">
        <f t="shared" ca="1" si="181"/>
        <v>-69617728143.769104</v>
      </c>
      <c r="L4193" s="444">
        <f t="shared" ca="1" si="182"/>
        <v>-16777872482648.354</v>
      </c>
      <c r="M4193" s="460">
        <f t="shared" si="184"/>
        <v>0.05</v>
      </c>
      <c r="N4193" s="464">
        <f t="shared" si="185"/>
        <v>178665</v>
      </c>
    </row>
    <row r="4194" spans="7:14" ht="11.25" customHeight="1" x14ac:dyDescent="0.25">
      <c r="G4194" s="459"/>
      <c r="H4194" s="459">
        <v>4187</v>
      </c>
      <c r="I4194" s="444">
        <f t="shared" ca="1" si="183"/>
        <v>-16777872482648.354</v>
      </c>
      <c r="J4194" s="444">
        <f t="array" ref="J4194">IFERROR(INDEX('Retirement Calculator'!J:J,MATCH('Isaac 401k'!N4194,'Retirement Calculator'!A:A,0),0),0)</f>
        <v>0</v>
      </c>
      <c r="K4194" s="444">
        <f t="shared" ca="1" si="181"/>
        <v>-69907802011.034805</v>
      </c>
      <c r="L4194" s="444">
        <f t="shared" ca="1" si="182"/>
        <v>-16847780284659.389</v>
      </c>
      <c r="M4194" s="460">
        <f t="shared" si="184"/>
        <v>0.05</v>
      </c>
      <c r="N4194" s="464">
        <f t="shared" si="185"/>
        <v>178696</v>
      </c>
    </row>
    <row r="4195" spans="7:14" ht="11.25" customHeight="1" x14ac:dyDescent="0.25">
      <c r="G4195" s="459"/>
      <c r="H4195" s="459">
        <v>4188</v>
      </c>
      <c r="I4195" s="444">
        <f t="shared" ca="1" si="183"/>
        <v>-16847780284659.389</v>
      </c>
      <c r="J4195" s="444">
        <f t="array" ref="J4195">IFERROR(INDEX('Retirement Calculator'!J:J,MATCH('Isaac 401k'!N4195,'Retirement Calculator'!A:A,0),0),0)</f>
        <v>0</v>
      </c>
      <c r="K4195" s="444">
        <f t="shared" ca="1" si="181"/>
        <v>-70199084519.414124</v>
      </c>
      <c r="L4195" s="444">
        <f t="shared" ca="1" si="182"/>
        <v>-16917979369178.803</v>
      </c>
      <c r="M4195" s="460">
        <f t="shared" si="184"/>
        <v>0.05</v>
      </c>
      <c r="N4195" s="464">
        <f t="shared" si="185"/>
        <v>178726</v>
      </c>
    </row>
    <row r="4196" spans="7:14" ht="11.25" customHeight="1" x14ac:dyDescent="0.25">
      <c r="G4196" s="459"/>
      <c r="H4196" s="459">
        <v>4189</v>
      </c>
      <c r="I4196" s="444">
        <f t="shared" ca="1" si="183"/>
        <v>-16917979369178.803</v>
      </c>
      <c r="J4196" s="444">
        <f t="array" ref="J4196">IFERROR(INDEX('Retirement Calculator'!J:J,MATCH('Isaac 401k'!N4196,'Retirement Calculator'!A:A,0),0),0)</f>
        <v>0</v>
      </c>
      <c r="K4196" s="444">
        <f t="shared" ca="1" si="181"/>
        <v>-70491580704.911682</v>
      </c>
      <c r="L4196" s="444">
        <f t="shared" ca="1" si="182"/>
        <v>-16988470949883.715</v>
      </c>
      <c r="M4196" s="460">
        <f t="shared" si="184"/>
        <v>0.05</v>
      </c>
      <c r="N4196" s="464">
        <f t="shared" si="185"/>
        <v>178757</v>
      </c>
    </row>
    <row r="4197" spans="7:14" ht="11.25" customHeight="1" x14ac:dyDescent="0.25">
      <c r="G4197" s="459"/>
      <c r="H4197" s="459">
        <v>4190</v>
      </c>
      <c r="I4197" s="444">
        <f t="shared" ca="1" si="183"/>
        <v>-16988470949883.715</v>
      </c>
      <c r="J4197" s="444">
        <f t="array" ref="J4197">IFERROR(INDEX('Retirement Calculator'!J:J,MATCH('Isaac 401k'!N4197,'Retirement Calculator'!A:A,0),0),0)</f>
        <v>0</v>
      </c>
      <c r="K4197" s="444">
        <f t="shared" ca="1" si="181"/>
        <v>-70785295624.515472</v>
      </c>
      <c r="L4197" s="444">
        <f t="shared" ca="1" si="182"/>
        <v>-17059256245508.23</v>
      </c>
      <c r="M4197" s="460">
        <f t="shared" si="184"/>
        <v>0.05</v>
      </c>
      <c r="N4197" s="464">
        <f t="shared" si="185"/>
        <v>178787</v>
      </c>
    </row>
    <row r="4198" spans="7:14" ht="11.25" customHeight="1" x14ac:dyDescent="0.25">
      <c r="G4198" s="459"/>
      <c r="H4198" s="459">
        <v>4191</v>
      </c>
      <c r="I4198" s="444">
        <f t="shared" ca="1" si="183"/>
        <v>-17059256245508.23</v>
      </c>
      <c r="J4198" s="444">
        <f t="array" ref="J4198">IFERROR(INDEX('Retirement Calculator'!J:J,MATCH('Isaac 401k'!N4198,'Retirement Calculator'!A:A,0),0),0)</f>
        <v>0</v>
      </c>
      <c r="K4198" s="444">
        <f t="shared" ca="1" si="181"/>
        <v>-71080234356.284302</v>
      </c>
      <c r="L4198" s="444">
        <f t="shared" ca="1" si="182"/>
        <v>-17130336479864.516</v>
      </c>
      <c r="M4198" s="460">
        <f t="shared" si="184"/>
        <v>0.05</v>
      </c>
      <c r="N4198" s="464">
        <f t="shared" si="185"/>
        <v>178818</v>
      </c>
    </row>
    <row r="4199" spans="7:14" ht="11.25" customHeight="1" x14ac:dyDescent="0.25">
      <c r="G4199" s="459"/>
      <c r="H4199" s="459">
        <v>4192</v>
      </c>
      <c r="I4199" s="444">
        <f t="shared" ca="1" si="183"/>
        <v>-17130336479864.516</v>
      </c>
      <c r="J4199" s="444">
        <f t="array" ref="J4199">IFERROR(INDEX('Retirement Calculator'!J:J,MATCH('Isaac 401k'!N4199,'Retirement Calculator'!A:A,0),0),0)</f>
        <v>0</v>
      </c>
      <c r="K4199" s="444">
        <f t="shared" ca="1" si="181"/>
        <v>-71376401999.435486</v>
      </c>
      <c r="L4199" s="444">
        <f t="shared" ca="1" si="182"/>
        <v>-17201712881863.951</v>
      </c>
      <c r="M4199" s="460">
        <f t="shared" si="184"/>
        <v>0.05</v>
      </c>
      <c r="N4199" s="464">
        <f t="shared" si="185"/>
        <v>178849</v>
      </c>
    </row>
    <row r="4200" spans="7:14" ht="11.25" customHeight="1" x14ac:dyDescent="0.25">
      <c r="G4200" s="459"/>
      <c r="H4200" s="459">
        <v>4193</v>
      </c>
      <c r="I4200" s="444">
        <f t="shared" ca="1" si="183"/>
        <v>-17201712881863.951</v>
      </c>
      <c r="J4200" s="444">
        <f t="array" ref="J4200">IFERROR(INDEX('Retirement Calculator'!J:J,MATCH('Isaac 401k'!N4200,'Retirement Calculator'!A:A,0),0),0)</f>
        <v>0</v>
      </c>
      <c r="K4200" s="444">
        <f t="shared" ca="1" si="181"/>
        <v>-71673803674.433136</v>
      </c>
      <c r="L4200" s="444">
        <f t="shared" ca="1" si="182"/>
        <v>-17273386685538.385</v>
      </c>
      <c r="M4200" s="460">
        <f t="shared" si="184"/>
        <v>0.05</v>
      </c>
      <c r="N4200" s="464">
        <f t="shared" si="185"/>
        <v>178879</v>
      </c>
    </row>
    <row r="4201" spans="7:14" ht="11.25" customHeight="1" x14ac:dyDescent="0.25">
      <c r="G4201" s="459"/>
      <c r="H4201" s="459">
        <v>4194</v>
      </c>
      <c r="I4201" s="444">
        <f t="shared" ca="1" si="183"/>
        <v>-17273386685538.385</v>
      </c>
      <c r="J4201" s="444">
        <f t="array" ref="J4201">IFERROR(INDEX('Retirement Calculator'!J:J,MATCH('Isaac 401k'!N4201,'Retirement Calculator'!A:A,0),0),0)</f>
        <v>0</v>
      </c>
      <c r="K4201" s="444">
        <f t="shared" ca="1" si="181"/>
        <v>-71972444523.076599</v>
      </c>
      <c r="L4201" s="444">
        <f t="shared" ca="1" si="182"/>
        <v>-17345359130061.461</v>
      </c>
      <c r="M4201" s="460">
        <f t="shared" si="184"/>
        <v>0.05</v>
      </c>
      <c r="N4201" s="464">
        <f t="shared" si="185"/>
        <v>178910</v>
      </c>
    </row>
    <row r="4202" spans="7:14" ht="11.25" customHeight="1" x14ac:dyDescent="0.25">
      <c r="G4202" s="459"/>
      <c r="H4202" s="459">
        <v>4195</v>
      </c>
      <c r="I4202" s="444">
        <f t="shared" ca="1" si="183"/>
        <v>-17345359130061.461</v>
      </c>
      <c r="J4202" s="444">
        <f t="array" ref="J4202">IFERROR(INDEX('Retirement Calculator'!J:J,MATCH('Isaac 401k'!N4202,'Retirement Calculator'!A:A,0),0),0)</f>
        <v>0</v>
      </c>
      <c r="K4202" s="444">
        <f t="shared" ca="1" si="181"/>
        <v>-72272329708.589417</v>
      </c>
      <c r="L4202" s="444">
        <f t="shared" ca="1" si="182"/>
        <v>-17417631459770.051</v>
      </c>
      <c r="M4202" s="460">
        <f t="shared" si="184"/>
        <v>0.05</v>
      </c>
      <c r="N4202" s="464">
        <f t="shared" si="185"/>
        <v>178940</v>
      </c>
    </row>
    <row r="4203" spans="7:14" ht="11.25" customHeight="1" x14ac:dyDescent="0.25">
      <c r="G4203" s="459"/>
      <c r="H4203" s="459">
        <v>4196</v>
      </c>
      <c r="I4203" s="444">
        <f t="shared" ca="1" si="183"/>
        <v>-17417631459770.051</v>
      </c>
      <c r="J4203" s="444">
        <f t="array" ref="J4203">IFERROR(INDEX('Retirement Calculator'!J:J,MATCH('Isaac 401k'!N4203,'Retirement Calculator'!A:A,0),0),0)</f>
        <v>0</v>
      </c>
      <c r="K4203" s="444">
        <f t="shared" ca="1" si="181"/>
        <v>-72573464415.708557</v>
      </c>
      <c r="L4203" s="444">
        <f t="shared" ca="1" si="182"/>
        <v>-17490204924185.76</v>
      </c>
      <c r="M4203" s="460">
        <f t="shared" si="184"/>
        <v>0.05</v>
      </c>
      <c r="N4203" s="464">
        <f t="shared" si="185"/>
        <v>178971</v>
      </c>
    </row>
    <row r="4204" spans="7:14" ht="11.25" customHeight="1" x14ac:dyDescent="0.25">
      <c r="G4204" s="459"/>
      <c r="H4204" s="459">
        <v>4197</v>
      </c>
      <c r="I4204" s="444">
        <f t="shared" ca="1" si="183"/>
        <v>-17490204924185.76</v>
      </c>
      <c r="J4204" s="444">
        <f t="array" ref="J4204">IFERROR(INDEX('Retirement Calculator'!J:J,MATCH('Isaac 401k'!N4204,'Retirement Calculator'!A:A,0),0),0)</f>
        <v>0</v>
      </c>
      <c r="K4204" s="444">
        <f t="shared" ca="1" si="181"/>
        <v>-72875853850.774002</v>
      </c>
      <c r="L4204" s="444">
        <f t="shared" ca="1" si="182"/>
        <v>-17563080778036.533</v>
      </c>
      <c r="M4204" s="460">
        <f t="shared" si="184"/>
        <v>0.05</v>
      </c>
      <c r="N4204" s="464">
        <f t="shared" si="185"/>
        <v>179002</v>
      </c>
    </row>
    <row r="4205" spans="7:14" ht="11.25" customHeight="1" x14ac:dyDescent="0.25">
      <c r="G4205" s="459"/>
      <c r="H4205" s="459">
        <v>4198</v>
      </c>
      <c r="I4205" s="444">
        <f t="shared" ca="1" si="183"/>
        <v>-17563080778036.533</v>
      </c>
      <c r="J4205" s="444">
        <f t="array" ref="J4205">IFERROR(INDEX('Retirement Calculator'!J:J,MATCH('Isaac 401k'!N4205,'Retirement Calculator'!A:A,0),0),0)</f>
        <v>0</v>
      </c>
      <c r="K4205" s="444">
        <f t="shared" ca="1" si="181"/>
        <v>-73179503241.818893</v>
      </c>
      <c r="L4205" s="444">
        <f t="shared" ca="1" si="182"/>
        <v>-17636260281278.352</v>
      </c>
      <c r="M4205" s="460">
        <f t="shared" si="184"/>
        <v>0.05</v>
      </c>
      <c r="N4205" s="464">
        <f t="shared" si="185"/>
        <v>179030</v>
      </c>
    </row>
    <row r="4206" spans="7:14" ht="11.25" customHeight="1" x14ac:dyDescent="0.25">
      <c r="G4206" s="459"/>
      <c r="H4206" s="459">
        <v>4199</v>
      </c>
      <c r="I4206" s="444">
        <f t="shared" ca="1" si="183"/>
        <v>-17636260281278.352</v>
      </c>
      <c r="J4206" s="444">
        <f t="array" ref="J4206">IFERROR(INDEX('Retirement Calculator'!J:J,MATCH('Isaac 401k'!N4206,'Retirement Calculator'!A:A,0),0),0)</f>
        <v>0</v>
      </c>
      <c r="K4206" s="444">
        <f t="shared" ca="1" si="181"/>
        <v>-73484417838.65979</v>
      </c>
      <c r="L4206" s="444">
        <f t="shared" ca="1" si="182"/>
        <v>-17709744699117.012</v>
      </c>
      <c r="M4206" s="460">
        <f t="shared" si="184"/>
        <v>0.05</v>
      </c>
      <c r="N4206" s="464">
        <f t="shared" si="185"/>
        <v>179061</v>
      </c>
    </row>
    <row r="4207" spans="7:14" ht="11.25" customHeight="1" x14ac:dyDescent="0.25">
      <c r="G4207" s="459"/>
      <c r="H4207" s="459">
        <v>4200</v>
      </c>
      <c r="I4207" s="444">
        <f t="shared" ca="1" si="183"/>
        <v>-17709744699117.012</v>
      </c>
      <c r="J4207" s="444">
        <f t="array" ref="J4207">IFERROR(INDEX('Retirement Calculator'!J:J,MATCH('Isaac 401k'!N4207,'Retirement Calculator'!A:A,0),0),0)</f>
        <v>0</v>
      </c>
      <c r="K4207" s="444">
        <f t="shared" ca="1" si="181"/>
        <v>-73790602912.987549</v>
      </c>
      <c r="L4207" s="444">
        <f t="shared" ca="1" si="182"/>
        <v>-17783535302030</v>
      </c>
      <c r="M4207" s="460">
        <f t="shared" si="184"/>
        <v>0.05</v>
      </c>
      <c r="N4207" s="464">
        <f t="shared" si="185"/>
        <v>179091</v>
      </c>
    </row>
    <row r="4208" spans="7:14" ht="11.25" customHeight="1" x14ac:dyDescent="0.25">
      <c r="G4208" s="459"/>
      <c r="H4208" s="459">
        <v>4201</v>
      </c>
      <c r="I4208" s="444">
        <f t="shared" ca="1" si="183"/>
        <v>-17783535302030</v>
      </c>
      <c r="J4208" s="444">
        <f t="array" ref="J4208">IFERROR(INDEX('Retirement Calculator'!J:J,MATCH('Isaac 401k'!N4208,'Retirement Calculator'!A:A,0),0),0)</f>
        <v>0</v>
      </c>
      <c r="K4208" s="444">
        <f t="shared" ca="1" si="181"/>
        <v>-74098063758.458328</v>
      </c>
      <c r="L4208" s="444">
        <f t="shared" ca="1" si="182"/>
        <v>-17857633365788.457</v>
      </c>
      <c r="M4208" s="460">
        <f t="shared" si="184"/>
        <v>0.05</v>
      </c>
      <c r="N4208" s="464">
        <f t="shared" si="185"/>
        <v>179122</v>
      </c>
    </row>
    <row r="4209" spans="7:14" ht="11.25" customHeight="1" x14ac:dyDescent="0.25">
      <c r="G4209" s="459"/>
      <c r="H4209" s="459">
        <v>4202</v>
      </c>
      <c r="I4209" s="444">
        <f t="shared" ca="1" si="183"/>
        <v>-17857633365788.457</v>
      </c>
      <c r="J4209" s="444">
        <f t="array" ref="J4209">IFERROR(INDEX('Retirement Calculator'!J:J,MATCH('Isaac 401k'!N4209,'Retirement Calculator'!A:A,0),0),0)</f>
        <v>0</v>
      </c>
      <c r="K4209" s="444">
        <f t="shared" ca="1" si="181"/>
        <v>-74406805690.785233</v>
      </c>
      <c r="L4209" s="444">
        <f t="shared" ca="1" si="182"/>
        <v>-17932040171479.242</v>
      </c>
      <c r="M4209" s="460">
        <f t="shared" si="184"/>
        <v>0.05</v>
      </c>
      <c r="N4209" s="464">
        <f t="shared" si="185"/>
        <v>179152</v>
      </c>
    </row>
    <row r="4210" spans="7:14" ht="11.25" customHeight="1" x14ac:dyDescent="0.25">
      <c r="G4210" s="459"/>
      <c r="H4210" s="459">
        <v>4203</v>
      </c>
      <c r="I4210" s="444">
        <f t="shared" ca="1" si="183"/>
        <v>-17932040171479.242</v>
      </c>
      <c r="J4210" s="444">
        <f t="array" ref="J4210">IFERROR(INDEX('Retirement Calculator'!J:J,MATCH('Isaac 401k'!N4210,'Retirement Calculator'!A:A,0),0),0)</f>
        <v>0</v>
      </c>
      <c r="K4210" s="444">
        <f t="shared" ca="1" si="181"/>
        <v>-74716834047.83017</v>
      </c>
      <c r="L4210" s="444">
        <f t="shared" ca="1" si="182"/>
        <v>-18006757005527.074</v>
      </c>
      <c r="M4210" s="460">
        <f t="shared" si="184"/>
        <v>0.05</v>
      </c>
      <c r="N4210" s="464">
        <f t="shared" si="185"/>
        <v>179183</v>
      </c>
    </row>
    <row r="4211" spans="7:14" ht="11.25" customHeight="1" x14ac:dyDescent="0.25">
      <c r="G4211" s="459"/>
      <c r="H4211" s="459">
        <v>4204</v>
      </c>
      <c r="I4211" s="444">
        <f t="shared" ca="1" si="183"/>
        <v>-18006757005527.074</v>
      </c>
      <c r="J4211" s="444">
        <f t="array" ref="J4211">IFERROR(INDEX('Retirement Calculator'!J:J,MATCH('Isaac 401k'!N4211,'Retirement Calculator'!A:A,0),0),0)</f>
        <v>0</v>
      </c>
      <c r="K4211" s="444">
        <f t="shared" ca="1" si="181"/>
        <v>-75028154189.696136</v>
      </c>
      <c r="L4211" s="444">
        <f t="shared" ca="1" si="182"/>
        <v>-18081785159716.77</v>
      </c>
      <c r="M4211" s="460">
        <f t="shared" si="184"/>
        <v>0.05</v>
      </c>
      <c r="N4211" s="464">
        <f t="shared" si="185"/>
        <v>179214</v>
      </c>
    </row>
    <row r="4212" spans="7:14" ht="11.25" customHeight="1" x14ac:dyDescent="0.25">
      <c r="G4212" s="459"/>
      <c r="H4212" s="459">
        <v>4205</v>
      </c>
      <c r="I4212" s="444">
        <f t="shared" ca="1" si="183"/>
        <v>-18081785159716.77</v>
      </c>
      <c r="J4212" s="444">
        <f t="array" ref="J4212">IFERROR(INDEX('Retirement Calculator'!J:J,MATCH('Isaac 401k'!N4212,'Retirement Calculator'!A:A,0),0),0)</f>
        <v>0</v>
      </c>
      <c r="K4212" s="444">
        <f t="shared" ca="1" si="181"/>
        <v>-75340771498.81987</v>
      </c>
      <c r="L4212" s="444">
        <f t="shared" ca="1" si="182"/>
        <v>-18157125931215.59</v>
      </c>
      <c r="M4212" s="460">
        <f t="shared" si="184"/>
        <v>0.05</v>
      </c>
      <c r="N4212" s="464">
        <f t="shared" si="185"/>
        <v>179244</v>
      </c>
    </row>
    <row r="4213" spans="7:14" ht="11.25" customHeight="1" x14ac:dyDescent="0.25">
      <c r="G4213" s="459"/>
      <c r="H4213" s="459">
        <v>4206</v>
      </c>
      <c r="I4213" s="444">
        <f t="shared" ca="1" si="183"/>
        <v>-18157125931215.59</v>
      </c>
      <c r="J4213" s="444">
        <f t="array" ref="J4213">IFERROR(INDEX('Retirement Calculator'!J:J,MATCH('Isaac 401k'!N4213,'Retirement Calculator'!A:A,0),0),0)</f>
        <v>0</v>
      </c>
      <c r="K4213" s="444">
        <f t="shared" ca="1" si="181"/>
        <v>-75654691380.064957</v>
      </c>
      <c r="L4213" s="444">
        <f t="shared" ca="1" si="182"/>
        <v>-18232780622595.656</v>
      </c>
      <c r="M4213" s="460">
        <f t="shared" si="184"/>
        <v>0.05</v>
      </c>
      <c r="N4213" s="464">
        <f t="shared" si="185"/>
        <v>179275</v>
      </c>
    </row>
    <row r="4214" spans="7:14" ht="11.25" customHeight="1" x14ac:dyDescent="0.25">
      <c r="G4214" s="459"/>
      <c r="H4214" s="459">
        <v>4207</v>
      </c>
      <c r="I4214" s="444">
        <f t="shared" ca="1" si="183"/>
        <v>-18232780622595.656</v>
      </c>
      <c r="J4214" s="444">
        <f t="array" ref="J4214">IFERROR(INDEX('Retirement Calculator'!J:J,MATCH('Isaac 401k'!N4214,'Retirement Calculator'!A:A,0),0),0)</f>
        <v>0</v>
      </c>
      <c r="K4214" s="444">
        <f t="shared" ca="1" si="181"/>
        <v>-75969919260.815231</v>
      </c>
      <c r="L4214" s="444">
        <f t="shared" ca="1" si="182"/>
        <v>-18308750541856.473</v>
      </c>
      <c r="M4214" s="460">
        <f t="shared" si="184"/>
        <v>0.05</v>
      </c>
      <c r="N4214" s="464">
        <f t="shared" si="185"/>
        <v>179305</v>
      </c>
    </row>
    <row r="4215" spans="7:14" ht="11.25" customHeight="1" x14ac:dyDescent="0.25">
      <c r="G4215" s="459"/>
      <c r="H4215" s="459">
        <v>4208</v>
      </c>
      <c r="I4215" s="444">
        <f t="shared" ca="1" si="183"/>
        <v>-18308750541856.473</v>
      </c>
      <c r="J4215" s="444">
        <f t="array" ref="J4215">IFERROR(INDEX('Retirement Calculator'!J:J,MATCH('Isaac 401k'!N4215,'Retirement Calculator'!A:A,0),0),0)</f>
        <v>0</v>
      </c>
      <c r="K4215" s="444">
        <f t="shared" ca="1" si="181"/>
        <v>-76286460591.068634</v>
      </c>
      <c r="L4215" s="444">
        <f t="shared" ca="1" si="182"/>
        <v>-18385037002447.543</v>
      </c>
      <c r="M4215" s="460">
        <f t="shared" si="184"/>
        <v>0.05</v>
      </c>
      <c r="N4215" s="464">
        <f t="shared" si="185"/>
        <v>179336</v>
      </c>
    </row>
    <row r="4216" spans="7:14" ht="11.25" customHeight="1" x14ac:dyDescent="0.25">
      <c r="G4216" s="459"/>
      <c r="H4216" s="459">
        <v>4209</v>
      </c>
      <c r="I4216" s="444">
        <f t="shared" ca="1" si="183"/>
        <v>-18385037002447.543</v>
      </c>
      <c r="J4216" s="444">
        <f t="array" ref="J4216">IFERROR(INDEX('Retirement Calculator'!J:J,MATCH('Isaac 401k'!N4216,'Retirement Calculator'!A:A,0),0),0)</f>
        <v>0</v>
      </c>
      <c r="K4216" s="444">
        <f t="shared" ca="1" si="181"/>
        <v>-76604320843.531433</v>
      </c>
      <c r="L4216" s="444">
        <f t="shared" ca="1" si="182"/>
        <v>-18461641323291.074</v>
      </c>
      <c r="M4216" s="460">
        <f t="shared" si="184"/>
        <v>0.05</v>
      </c>
      <c r="N4216" s="464">
        <f t="shared" si="185"/>
        <v>179367</v>
      </c>
    </row>
    <row r="4217" spans="7:14" ht="11.25" customHeight="1" x14ac:dyDescent="0.25">
      <c r="G4217" s="459"/>
      <c r="H4217" s="459">
        <v>4210</v>
      </c>
      <c r="I4217" s="444">
        <f t="shared" ca="1" si="183"/>
        <v>-18461641323291.074</v>
      </c>
      <c r="J4217" s="444">
        <f t="array" ref="J4217">IFERROR(INDEX('Retirement Calculator'!J:J,MATCH('Isaac 401k'!N4217,'Retirement Calculator'!A:A,0),0),0)</f>
        <v>0</v>
      </c>
      <c r="K4217" s="444">
        <f t="shared" ca="1" si="181"/>
        <v>-76923505513.712814</v>
      </c>
      <c r="L4217" s="444">
        <f t="shared" ca="1" si="182"/>
        <v>-18538564828804.785</v>
      </c>
      <c r="M4217" s="460">
        <f t="shared" si="184"/>
        <v>0.05</v>
      </c>
      <c r="N4217" s="464">
        <f t="shared" si="185"/>
        <v>179395</v>
      </c>
    </row>
    <row r="4218" spans="7:14" ht="11.25" customHeight="1" x14ac:dyDescent="0.25">
      <c r="G4218" s="459"/>
      <c r="H4218" s="459">
        <v>4211</v>
      </c>
      <c r="I4218" s="444">
        <f t="shared" ca="1" si="183"/>
        <v>-18538564828804.785</v>
      </c>
      <c r="J4218" s="444">
        <f t="array" ref="J4218">IFERROR(INDEX('Retirement Calculator'!J:J,MATCH('Isaac 401k'!N4218,'Retirement Calculator'!A:A,0),0),0)</f>
        <v>0</v>
      </c>
      <c r="K4218" s="444">
        <f t="shared" ca="1" si="181"/>
        <v>-77244020120.019943</v>
      </c>
      <c r="L4218" s="444">
        <f t="shared" ca="1" si="182"/>
        <v>-18615808848924.805</v>
      </c>
      <c r="M4218" s="460">
        <f t="shared" si="184"/>
        <v>0.05</v>
      </c>
      <c r="N4218" s="464">
        <f t="shared" si="185"/>
        <v>179426</v>
      </c>
    </row>
    <row r="4219" spans="7:14" ht="11.25" customHeight="1" x14ac:dyDescent="0.25">
      <c r="G4219" s="459"/>
      <c r="H4219" s="459">
        <v>4212</v>
      </c>
      <c r="I4219" s="444">
        <f t="shared" ca="1" si="183"/>
        <v>-18615808848924.805</v>
      </c>
      <c r="J4219" s="444">
        <f t="array" ref="J4219">IFERROR(INDEX('Retirement Calculator'!J:J,MATCH('Isaac 401k'!N4219,'Retirement Calculator'!A:A,0),0),0)</f>
        <v>0</v>
      </c>
      <c r="K4219" s="444">
        <f t="shared" ca="1" si="181"/>
        <v>-77565870203.853348</v>
      </c>
      <c r="L4219" s="444">
        <f t="shared" ca="1" si="182"/>
        <v>-18693374719128.656</v>
      </c>
      <c r="M4219" s="460">
        <f t="shared" si="184"/>
        <v>0.05</v>
      </c>
      <c r="N4219" s="464">
        <f t="shared" si="185"/>
        <v>179456</v>
      </c>
    </row>
    <row r="4220" spans="7:14" ht="11.25" customHeight="1" x14ac:dyDescent="0.25">
      <c r="G4220" s="459"/>
      <c r="H4220" s="459">
        <v>4213</v>
      </c>
      <c r="I4220" s="444">
        <f t="shared" ca="1" si="183"/>
        <v>-18693374719128.656</v>
      </c>
      <c r="J4220" s="444">
        <f t="array" ref="J4220">IFERROR(INDEX('Retirement Calculator'!J:J,MATCH('Isaac 401k'!N4220,'Retirement Calculator'!A:A,0),0),0)</f>
        <v>0</v>
      </c>
      <c r="K4220" s="444">
        <f t="shared" ca="1" si="181"/>
        <v>-77889061329.702728</v>
      </c>
      <c r="L4220" s="444">
        <f t="shared" ca="1" si="182"/>
        <v>-18771263780458.359</v>
      </c>
      <c r="M4220" s="460">
        <f t="shared" si="184"/>
        <v>0.05</v>
      </c>
      <c r="N4220" s="464">
        <f t="shared" si="185"/>
        <v>179487</v>
      </c>
    </row>
    <row r="4221" spans="7:14" ht="11.25" customHeight="1" x14ac:dyDescent="0.25">
      <c r="G4221" s="459"/>
      <c r="H4221" s="459">
        <v>4214</v>
      </c>
      <c r="I4221" s="444">
        <f t="shared" ca="1" si="183"/>
        <v>-18771263780458.359</v>
      </c>
      <c r="J4221" s="444">
        <f t="array" ref="J4221">IFERROR(INDEX('Retirement Calculator'!J:J,MATCH('Isaac 401k'!N4221,'Retirement Calculator'!A:A,0),0),0)</f>
        <v>0</v>
      </c>
      <c r="K4221" s="444">
        <f t="shared" ca="1" si="181"/>
        <v>-78213599085.243164</v>
      </c>
      <c r="L4221" s="444">
        <f t="shared" ca="1" si="182"/>
        <v>-18849477379543.602</v>
      </c>
      <c r="M4221" s="460">
        <f t="shared" si="184"/>
        <v>0.05</v>
      </c>
      <c r="N4221" s="464">
        <f t="shared" si="185"/>
        <v>179517</v>
      </c>
    </row>
    <row r="4222" spans="7:14" ht="11.25" customHeight="1" x14ac:dyDescent="0.25">
      <c r="G4222" s="459"/>
      <c r="H4222" s="459">
        <v>4215</v>
      </c>
      <c r="I4222" s="444">
        <f t="shared" ca="1" si="183"/>
        <v>-18849477379543.602</v>
      </c>
      <c r="J4222" s="444">
        <f t="array" ref="J4222">IFERROR(INDEX('Retirement Calculator'!J:J,MATCH('Isaac 401k'!N4222,'Retirement Calculator'!A:A,0),0),0)</f>
        <v>0</v>
      </c>
      <c r="K4222" s="444">
        <f t="shared" ca="1" si="181"/>
        <v>-78539489081.431671</v>
      </c>
      <c r="L4222" s="444">
        <f t="shared" ca="1" si="182"/>
        <v>-18928016868625.035</v>
      </c>
      <c r="M4222" s="460">
        <f t="shared" si="184"/>
        <v>0.05</v>
      </c>
      <c r="N4222" s="464">
        <f t="shared" si="185"/>
        <v>179548</v>
      </c>
    </row>
    <row r="4223" spans="7:14" ht="11.25" customHeight="1" x14ac:dyDescent="0.25">
      <c r="G4223" s="459"/>
      <c r="H4223" s="459">
        <v>4216</v>
      </c>
      <c r="I4223" s="444">
        <f t="shared" ca="1" si="183"/>
        <v>-18928016868625.035</v>
      </c>
      <c r="J4223" s="444">
        <f t="array" ref="J4223">IFERROR(INDEX('Retirement Calculator'!J:J,MATCH('Isaac 401k'!N4223,'Retirement Calculator'!A:A,0),0),0)</f>
        <v>0</v>
      </c>
      <c r="K4223" s="444">
        <f t="shared" ca="1" si="181"/>
        <v>-78866736952.604309</v>
      </c>
      <c r="L4223" s="444">
        <f t="shared" ca="1" si="182"/>
        <v>-19006883605577.641</v>
      </c>
      <c r="M4223" s="460">
        <f t="shared" si="184"/>
        <v>0.05</v>
      </c>
      <c r="N4223" s="464">
        <f t="shared" si="185"/>
        <v>179579</v>
      </c>
    </row>
    <row r="4224" spans="7:14" ht="11.25" customHeight="1" x14ac:dyDescent="0.25">
      <c r="G4224" s="459"/>
      <c r="H4224" s="459">
        <v>4217</v>
      </c>
      <c r="I4224" s="444">
        <f t="shared" ca="1" si="183"/>
        <v>-19006883605577.641</v>
      </c>
      <c r="J4224" s="444">
        <f t="array" ref="J4224">IFERROR(INDEX('Retirement Calculator'!J:J,MATCH('Isaac 401k'!N4224,'Retirement Calculator'!A:A,0),0),0)</f>
        <v>0</v>
      </c>
      <c r="K4224" s="444">
        <f t="shared" ca="1" si="181"/>
        <v>-79195348356.573502</v>
      </c>
      <c r="L4224" s="444">
        <f t="shared" ca="1" si="182"/>
        <v>-19086078953934.215</v>
      </c>
      <c r="M4224" s="460">
        <f t="shared" si="184"/>
        <v>0.05</v>
      </c>
      <c r="N4224" s="464">
        <f t="shared" si="185"/>
        <v>179609</v>
      </c>
    </row>
    <row r="4225" spans="7:14" ht="11.25" customHeight="1" x14ac:dyDescent="0.25">
      <c r="G4225" s="459"/>
      <c r="H4225" s="459">
        <v>4218</v>
      </c>
      <c r="I4225" s="444">
        <f t="shared" ca="1" si="183"/>
        <v>-19086078953934.215</v>
      </c>
      <c r="J4225" s="444">
        <f t="array" ref="J4225">IFERROR(INDEX('Retirement Calculator'!J:J,MATCH('Isaac 401k'!N4225,'Retirement Calculator'!A:A,0),0),0)</f>
        <v>0</v>
      </c>
      <c r="K4225" s="444">
        <f t="shared" ca="1" si="181"/>
        <v>-79525328974.725891</v>
      </c>
      <c r="L4225" s="444">
        <f t="shared" ca="1" si="182"/>
        <v>-19165604282908.941</v>
      </c>
      <c r="M4225" s="460">
        <f t="shared" si="184"/>
        <v>0.05</v>
      </c>
      <c r="N4225" s="464">
        <f t="shared" si="185"/>
        <v>179640</v>
      </c>
    </row>
    <row r="4226" spans="7:14" ht="11.25" customHeight="1" x14ac:dyDescent="0.25">
      <c r="G4226" s="459"/>
      <c r="H4226" s="459">
        <v>4219</v>
      </c>
      <c r="I4226" s="444">
        <f t="shared" ca="1" si="183"/>
        <v>-19165604282908.941</v>
      </c>
      <c r="J4226" s="444">
        <f t="array" ref="J4226">IFERROR(INDEX('Retirement Calculator'!J:J,MATCH('Isaac 401k'!N4226,'Retirement Calculator'!A:A,0),0),0)</f>
        <v>0</v>
      </c>
      <c r="K4226" s="444">
        <f t="shared" ca="1" si="181"/>
        <v>-79856684512.12059</v>
      </c>
      <c r="L4226" s="444">
        <f t="shared" ca="1" si="182"/>
        <v>-19245460967421.063</v>
      </c>
      <c r="M4226" s="460">
        <f t="shared" si="184"/>
        <v>0.05</v>
      </c>
      <c r="N4226" s="464">
        <f t="shared" si="185"/>
        <v>179670</v>
      </c>
    </row>
    <row r="4227" spans="7:14" ht="11.25" customHeight="1" x14ac:dyDescent="0.25">
      <c r="G4227" s="459"/>
      <c r="H4227" s="459">
        <v>4220</v>
      </c>
      <c r="I4227" s="444">
        <f t="shared" ca="1" si="183"/>
        <v>-19245460967421.063</v>
      </c>
      <c r="J4227" s="444">
        <f t="array" ref="J4227">IFERROR(INDEX('Retirement Calculator'!J:J,MATCH('Isaac 401k'!N4227,'Retirement Calculator'!A:A,0),0),0)</f>
        <v>0</v>
      </c>
      <c r="K4227" s="444">
        <f t="shared" ca="1" si="181"/>
        <v>-80189420697.587753</v>
      </c>
      <c r="L4227" s="444">
        <f t="shared" ca="1" si="182"/>
        <v>-19325650388118.648</v>
      </c>
      <c r="M4227" s="460">
        <f t="shared" si="184"/>
        <v>0.05</v>
      </c>
      <c r="N4227" s="464">
        <f t="shared" si="185"/>
        <v>179701</v>
      </c>
    </row>
    <row r="4228" spans="7:14" ht="11.25" customHeight="1" x14ac:dyDescent="0.25">
      <c r="G4228" s="459"/>
      <c r="H4228" s="459">
        <v>4221</v>
      </c>
      <c r="I4228" s="444">
        <f t="shared" ca="1" si="183"/>
        <v>-19325650388118.648</v>
      </c>
      <c r="J4228" s="444">
        <f t="array" ref="J4228">IFERROR(INDEX('Retirement Calculator'!J:J,MATCH('Isaac 401k'!N4228,'Retirement Calculator'!A:A,0),0),0)</f>
        <v>0</v>
      </c>
      <c r="K4228" s="444">
        <f t="shared" ca="1" si="181"/>
        <v>-80523543283.827698</v>
      </c>
      <c r="L4228" s="444">
        <f t="shared" ca="1" si="182"/>
        <v>-19406173931402.477</v>
      </c>
      <c r="M4228" s="460">
        <f t="shared" si="184"/>
        <v>0.05</v>
      </c>
      <c r="N4228" s="464">
        <f t="shared" si="185"/>
        <v>179732</v>
      </c>
    </row>
    <row r="4229" spans="7:14" ht="11.25" customHeight="1" x14ac:dyDescent="0.25">
      <c r="G4229" s="459"/>
      <c r="H4229" s="459">
        <v>4222</v>
      </c>
      <c r="I4229" s="444">
        <f t="shared" ca="1" si="183"/>
        <v>-19406173931402.477</v>
      </c>
      <c r="J4229" s="444">
        <f t="array" ref="J4229">IFERROR(INDEX('Retirement Calculator'!J:J,MATCH('Isaac 401k'!N4229,'Retirement Calculator'!A:A,0),0),0)</f>
        <v>0</v>
      </c>
      <c r="K4229" s="444">
        <f t="shared" ca="1" si="181"/>
        <v>-80859058047.510315</v>
      </c>
      <c r="L4229" s="444">
        <f t="shared" ca="1" si="182"/>
        <v>-19487032989449.988</v>
      </c>
      <c r="M4229" s="460">
        <f t="shared" si="184"/>
        <v>0.05</v>
      </c>
      <c r="N4229" s="464">
        <f t="shared" si="185"/>
        <v>179761</v>
      </c>
    </row>
    <row r="4230" spans="7:14" ht="11.25" customHeight="1" x14ac:dyDescent="0.25">
      <c r="G4230" s="459"/>
      <c r="H4230" s="459">
        <v>4223</v>
      </c>
      <c r="I4230" s="444">
        <f t="shared" ca="1" si="183"/>
        <v>-19487032989449.988</v>
      </c>
      <c r="J4230" s="444">
        <f t="array" ref="J4230">IFERROR(INDEX('Retirement Calculator'!J:J,MATCH('Isaac 401k'!N4230,'Retirement Calculator'!A:A,0),0),0)</f>
        <v>0</v>
      </c>
      <c r="K4230" s="444">
        <f t="shared" ca="1" si="181"/>
        <v>-81195970789.374954</v>
      </c>
      <c r="L4230" s="444">
        <f t="shared" ca="1" si="182"/>
        <v>-19568228960239.363</v>
      </c>
      <c r="M4230" s="460">
        <f t="shared" si="184"/>
        <v>0.05</v>
      </c>
      <c r="N4230" s="464">
        <f t="shared" si="185"/>
        <v>179792</v>
      </c>
    </row>
    <row r="4231" spans="7:14" ht="11.25" customHeight="1" x14ac:dyDescent="0.25">
      <c r="G4231" s="459"/>
      <c r="H4231" s="459">
        <v>4224</v>
      </c>
      <c r="I4231" s="444">
        <f t="shared" ca="1" si="183"/>
        <v>-19568228960239.363</v>
      </c>
      <c r="J4231" s="444">
        <f t="array" ref="J4231">IFERROR(INDEX('Retirement Calculator'!J:J,MATCH('Isaac 401k'!N4231,'Retirement Calculator'!A:A,0),0),0)</f>
        <v>0</v>
      </c>
      <c r="K4231" s="444">
        <f t="shared" ca="1" si="181"/>
        <v>-81534287334.330673</v>
      </c>
      <c r="L4231" s="444">
        <f t="shared" ca="1" si="182"/>
        <v>-19649763247573.695</v>
      </c>
      <c r="M4231" s="460">
        <f t="shared" si="184"/>
        <v>0.05</v>
      </c>
      <c r="N4231" s="464">
        <f t="shared" si="185"/>
        <v>179822</v>
      </c>
    </row>
    <row r="4232" spans="7:14" ht="11.25" customHeight="1" x14ac:dyDescent="0.25">
      <c r="G4232" s="459"/>
      <c r="H4232" s="459">
        <v>4225</v>
      </c>
      <c r="I4232" s="444">
        <f t="shared" ca="1" si="183"/>
        <v>-19649763247573.695</v>
      </c>
      <c r="J4232" s="444">
        <f t="array" ref="J4232">IFERROR(INDEX('Retirement Calculator'!J:J,MATCH('Isaac 401k'!N4232,'Retirement Calculator'!A:A,0),0),0)</f>
        <v>0</v>
      </c>
      <c r="K4232" s="444">
        <f t="shared" ca="1" si="181"/>
        <v>-81874013531.557068</v>
      </c>
      <c r="L4232" s="444">
        <f t="shared" ca="1" si="182"/>
        <v>-19731637261105.254</v>
      </c>
      <c r="M4232" s="460">
        <f t="shared" si="184"/>
        <v>0.05</v>
      </c>
      <c r="N4232" s="464">
        <f t="shared" si="185"/>
        <v>179853</v>
      </c>
    </row>
    <row r="4233" spans="7:14" ht="11.25" customHeight="1" x14ac:dyDescent="0.25">
      <c r="G4233" s="459"/>
      <c r="H4233" s="459">
        <v>4226</v>
      </c>
      <c r="I4233" s="444">
        <f t="shared" ca="1" si="183"/>
        <v>-19731637261105.254</v>
      </c>
      <c r="J4233" s="444">
        <f t="array" ref="J4233">IFERROR(INDEX('Retirement Calculator'!J:J,MATCH('Isaac 401k'!N4233,'Retirement Calculator'!A:A,0),0),0)</f>
        <v>0</v>
      </c>
      <c r="K4233" s="444">
        <f t="shared" ca="1" si="181"/>
        <v>-82215155254.605225</v>
      </c>
      <c r="L4233" s="444">
        <f t="shared" ca="1" si="182"/>
        <v>-19813852416359.859</v>
      </c>
      <c r="M4233" s="460">
        <f t="shared" si="184"/>
        <v>0.05</v>
      </c>
      <c r="N4233" s="464">
        <f t="shared" si="185"/>
        <v>179883</v>
      </c>
    </row>
    <row r="4234" spans="7:14" ht="11.25" customHeight="1" x14ac:dyDescent="0.25">
      <c r="G4234" s="459"/>
      <c r="H4234" s="459">
        <v>4227</v>
      </c>
      <c r="I4234" s="444">
        <f t="shared" ca="1" si="183"/>
        <v>-19813852416359.859</v>
      </c>
      <c r="J4234" s="444">
        <f t="array" ref="J4234">IFERROR(INDEX('Retirement Calculator'!J:J,MATCH('Isaac 401k'!N4234,'Retirement Calculator'!A:A,0),0),0)</f>
        <v>0</v>
      </c>
      <c r="K4234" s="444">
        <f t="shared" ca="1" si="181"/>
        <v>-82557718401.49942</v>
      </c>
      <c r="L4234" s="444">
        <f t="shared" ca="1" si="182"/>
        <v>-19896410134761.359</v>
      </c>
      <c r="M4234" s="460">
        <f t="shared" si="184"/>
        <v>0.05</v>
      </c>
      <c r="N4234" s="464">
        <f t="shared" si="185"/>
        <v>179914</v>
      </c>
    </row>
    <row r="4235" spans="7:14" ht="11.25" customHeight="1" x14ac:dyDescent="0.25">
      <c r="G4235" s="459"/>
      <c r="H4235" s="459">
        <v>4228</v>
      </c>
      <c r="I4235" s="444">
        <f t="shared" ca="1" si="183"/>
        <v>-19896410134761.359</v>
      </c>
      <c r="J4235" s="444">
        <f t="array" ref="J4235">IFERROR(INDEX('Retirement Calculator'!J:J,MATCH('Isaac 401k'!N4235,'Retirement Calculator'!A:A,0),0),0)</f>
        <v>0</v>
      </c>
      <c r="K4235" s="444">
        <f t="shared" ca="1" si="181"/>
        <v>-82901708894.838989</v>
      </c>
      <c r="L4235" s="444">
        <f t="shared" ca="1" si="182"/>
        <v>-19979311843656.199</v>
      </c>
      <c r="M4235" s="460">
        <f t="shared" si="184"/>
        <v>0.05</v>
      </c>
      <c r="N4235" s="464">
        <f t="shared" si="185"/>
        <v>179945</v>
      </c>
    </row>
    <row r="4236" spans="7:14" ht="11.25" customHeight="1" x14ac:dyDescent="0.25">
      <c r="G4236" s="459"/>
      <c r="H4236" s="459">
        <v>4229</v>
      </c>
      <c r="I4236" s="444">
        <f t="shared" ca="1" si="183"/>
        <v>-19979311843656.199</v>
      </c>
      <c r="J4236" s="444">
        <f t="array" ref="J4236">IFERROR(INDEX('Retirement Calculator'!J:J,MATCH('Isaac 401k'!N4236,'Retirement Calculator'!A:A,0),0),0)</f>
        <v>0</v>
      </c>
      <c r="K4236" s="444">
        <f t="shared" ca="1" si="181"/>
        <v>-83247132681.900833</v>
      </c>
      <c r="L4236" s="444">
        <f t="shared" ca="1" si="182"/>
        <v>-20062558976338.102</v>
      </c>
      <c r="M4236" s="460">
        <f t="shared" si="184"/>
        <v>0.05</v>
      </c>
      <c r="N4236" s="464">
        <f t="shared" si="185"/>
        <v>179975</v>
      </c>
    </row>
    <row r="4237" spans="7:14" ht="11.25" customHeight="1" x14ac:dyDescent="0.25">
      <c r="G4237" s="459"/>
      <c r="H4237" s="459">
        <v>4230</v>
      </c>
      <c r="I4237" s="444">
        <f t="shared" ca="1" si="183"/>
        <v>-20062558976338.102</v>
      </c>
      <c r="J4237" s="444">
        <f t="array" ref="J4237">IFERROR(INDEX('Retirement Calculator'!J:J,MATCH('Isaac 401k'!N4237,'Retirement Calculator'!A:A,0),0),0)</f>
        <v>0</v>
      </c>
      <c r="K4237" s="444">
        <f t="shared" ca="1" si="181"/>
        <v>-83593995734.742096</v>
      </c>
      <c r="L4237" s="444">
        <f t="shared" ca="1" si="182"/>
        <v>-20146152972072.844</v>
      </c>
      <c r="M4237" s="460">
        <f t="shared" si="184"/>
        <v>0.05</v>
      </c>
      <c r="N4237" s="464">
        <f t="shared" si="185"/>
        <v>180006</v>
      </c>
    </row>
    <row r="4238" spans="7:14" ht="11.25" customHeight="1" x14ac:dyDescent="0.25">
      <c r="G4238" s="459"/>
      <c r="H4238" s="459">
        <v>4231</v>
      </c>
      <c r="I4238" s="444">
        <f t="shared" ca="1" si="183"/>
        <v>-20146152972072.844</v>
      </c>
      <c r="J4238" s="444">
        <f t="array" ref="J4238">IFERROR(INDEX('Retirement Calculator'!J:J,MATCH('Isaac 401k'!N4238,'Retirement Calculator'!A:A,0),0),0)</f>
        <v>0</v>
      </c>
      <c r="K4238" s="444">
        <f t="shared" ca="1" si="181"/>
        <v>-83942304050.303513</v>
      </c>
      <c r="L4238" s="444">
        <f t="shared" ca="1" si="182"/>
        <v>-20230095276123.148</v>
      </c>
      <c r="M4238" s="460">
        <f t="shared" si="184"/>
        <v>0.05</v>
      </c>
      <c r="N4238" s="464">
        <f t="shared" si="185"/>
        <v>180036</v>
      </c>
    </row>
    <row r="4239" spans="7:14" ht="11.25" customHeight="1" x14ac:dyDescent="0.25">
      <c r="G4239" s="459"/>
      <c r="H4239" s="459">
        <v>4232</v>
      </c>
      <c r="I4239" s="444">
        <f t="shared" ca="1" si="183"/>
        <v>-20230095276123.148</v>
      </c>
      <c r="J4239" s="444">
        <f t="array" ref="J4239">IFERROR(INDEX('Retirement Calculator'!J:J,MATCH('Isaac 401k'!N4239,'Retirement Calculator'!A:A,0),0),0)</f>
        <v>0</v>
      </c>
      <c r="K4239" s="444">
        <f t="shared" ca="1" si="181"/>
        <v>-84292063650.513123</v>
      </c>
      <c r="L4239" s="444">
        <f t="shared" ca="1" si="182"/>
        <v>-20314387339773.66</v>
      </c>
      <c r="M4239" s="460">
        <f t="shared" si="184"/>
        <v>0.05</v>
      </c>
      <c r="N4239" s="464">
        <f t="shared" si="185"/>
        <v>180067</v>
      </c>
    </row>
    <row r="4240" spans="7:14" ht="11.25" customHeight="1" x14ac:dyDescent="0.25">
      <c r="G4240" s="459"/>
      <c r="H4240" s="459">
        <v>4233</v>
      </c>
      <c r="I4240" s="444">
        <f t="shared" ca="1" si="183"/>
        <v>-20314387339773.66</v>
      </c>
      <c r="J4240" s="444">
        <f t="array" ref="J4240">IFERROR(INDEX('Retirement Calculator'!J:J,MATCH('Isaac 401k'!N4240,'Retirement Calculator'!A:A,0),0),0)</f>
        <v>0</v>
      </c>
      <c r="K4240" s="444">
        <f t="shared" ca="1" si="181"/>
        <v>-84643280582.390244</v>
      </c>
      <c r="L4240" s="444">
        <f t="shared" ca="1" si="182"/>
        <v>-20399030620356.051</v>
      </c>
      <c r="M4240" s="460">
        <f t="shared" si="184"/>
        <v>0.05</v>
      </c>
      <c r="N4240" s="464">
        <f t="shared" si="185"/>
        <v>180098</v>
      </c>
    </row>
    <row r="4241" spans="7:14" ht="11.25" customHeight="1" x14ac:dyDescent="0.25">
      <c r="G4241" s="459"/>
      <c r="H4241" s="459">
        <v>4234</v>
      </c>
      <c r="I4241" s="444">
        <f t="shared" ca="1" si="183"/>
        <v>-20399030620356.051</v>
      </c>
      <c r="J4241" s="444">
        <f t="array" ref="J4241">IFERROR(INDEX('Retirement Calculator'!J:J,MATCH('Isaac 401k'!N4241,'Retirement Calculator'!A:A,0),0),0)</f>
        <v>0</v>
      </c>
      <c r="K4241" s="444">
        <f t="shared" ca="1" si="181"/>
        <v>-84995960918.150208</v>
      </c>
      <c r="L4241" s="444">
        <f t="shared" ca="1" si="182"/>
        <v>-20484026581274.199</v>
      </c>
      <c r="M4241" s="460">
        <f t="shared" si="184"/>
        <v>0.05</v>
      </c>
      <c r="N4241" s="464">
        <f t="shared" si="185"/>
        <v>180126</v>
      </c>
    </row>
    <row r="4242" spans="7:14" ht="11.25" customHeight="1" x14ac:dyDescent="0.25">
      <c r="G4242" s="459"/>
      <c r="H4242" s="459">
        <v>4235</v>
      </c>
      <c r="I4242" s="444">
        <f t="shared" ca="1" si="183"/>
        <v>-20484026581274.199</v>
      </c>
      <c r="J4242" s="444">
        <f t="array" ref="J4242">IFERROR(INDEX('Retirement Calculator'!J:J,MATCH('Isaac 401k'!N4242,'Retirement Calculator'!A:A,0),0),0)</f>
        <v>0</v>
      </c>
      <c r="K4242" s="444">
        <f t="shared" ca="1" si="181"/>
        <v>-85350110755.309158</v>
      </c>
      <c r="L4242" s="444">
        <f t="shared" ca="1" si="182"/>
        <v>-20569376692029.508</v>
      </c>
      <c r="M4242" s="460">
        <f t="shared" si="184"/>
        <v>0.05</v>
      </c>
      <c r="N4242" s="464">
        <f t="shared" si="185"/>
        <v>180157</v>
      </c>
    </row>
    <row r="4243" spans="7:14" ht="11.25" customHeight="1" x14ac:dyDescent="0.25">
      <c r="G4243" s="459"/>
      <c r="H4243" s="459">
        <v>4236</v>
      </c>
      <c r="I4243" s="444">
        <f t="shared" ca="1" si="183"/>
        <v>-20569376692029.508</v>
      </c>
      <c r="J4243" s="444">
        <f t="array" ref="J4243">IFERROR(INDEX('Retirement Calculator'!J:J,MATCH('Isaac 401k'!N4243,'Retirement Calculator'!A:A,0),0),0)</f>
        <v>0</v>
      </c>
      <c r="K4243" s="444">
        <f t="shared" ca="1" si="181"/>
        <v>-85705736216.789612</v>
      </c>
      <c r="L4243" s="444">
        <f t="shared" ca="1" si="182"/>
        <v>-20655082428246.297</v>
      </c>
      <c r="M4243" s="460">
        <f t="shared" si="184"/>
        <v>0.05</v>
      </c>
      <c r="N4243" s="464">
        <f t="shared" si="185"/>
        <v>180187</v>
      </c>
    </row>
    <row r="4244" spans="7:14" ht="11.25" customHeight="1" x14ac:dyDescent="0.25">
      <c r="G4244" s="459"/>
      <c r="H4244" s="459">
        <v>4237</v>
      </c>
      <c r="I4244" s="444">
        <f t="shared" ca="1" si="183"/>
        <v>-20655082428246.297</v>
      </c>
      <c r="J4244" s="444">
        <f t="array" ref="J4244">IFERROR(INDEX('Retirement Calculator'!J:J,MATCH('Isaac 401k'!N4244,'Retirement Calculator'!A:A,0),0),0)</f>
        <v>0</v>
      </c>
      <c r="K4244" s="444">
        <f t="shared" ca="1" si="181"/>
        <v>-86062843451.02623</v>
      </c>
      <c r="L4244" s="444">
        <f t="shared" ca="1" si="182"/>
        <v>-20741145271697.324</v>
      </c>
      <c r="M4244" s="460">
        <f t="shared" si="184"/>
        <v>0.05</v>
      </c>
      <c r="N4244" s="464">
        <f t="shared" si="185"/>
        <v>180218</v>
      </c>
    </row>
    <row r="4245" spans="7:14" ht="11.25" customHeight="1" x14ac:dyDescent="0.25">
      <c r="G4245" s="459"/>
      <c r="H4245" s="459">
        <v>4238</v>
      </c>
      <c r="I4245" s="444">
        <f t="shared" ca="1" si="183"/>
        <v>-20741145271697.324</v>
      </c>
      <c r="J4245" s="444">
        <f t="array" ref="J4245">IFERROR(INDEX('Retirement Calculator'!J:J,MATCH('Isaac 401k'!N4245,'Retirement Calculator'!A:A,0),0),0)</f>
        <v>0</v>
      </c>
      <c r="K4245" s="444">
        <f t="shared" ca="1" si="181"/>
        <v>-86421438632.072189</v>
      </c>
      <c r="L4245" s="444">
        <f t="shared" ca="1" si="182"/>
        <v>-20827566710329.395</v>
      </c>
      <c r="M4245" s="460">
        <f t="shared" si="184"/>
        <v>0.05</v>
      </c>
      <c r="N4245" s="464">
        <f t="shared" si="185"/>
        <v>180248</v>
      </c>
    </row>
    <row r="4246" spans="7:14" ht="11.25" customHeight="1" x14ac:dyDescent="0.25">
      <c r="G4246" s="459"/>
      <c r="H4246" s="459">
        <v>4239</v>
      </c>
      <c r="I4246" s="444">
        <f t="shared" ca="1" si="183"/>
        <v>-20827566710329.395</v>
      </c>
      <c r="J4246" s="444">
        <f t="array" ref="J4246">IFERROR(INDEX('Retirement Calculator'!J:J,MATCH('Isaac 401k'!N4246,'Retirement Calculator'!A:A,0),0),0)</f>
        <v>0</v>
      </c>
      <c r="K4246" s="444">
        <f t="shared" ca="1" si="181"/>
        <v>-86781527959.705811</v>
      </c>
      <c r="L4246" s="444">
        <f t="shared" ca="1" si="182"/>
        <v>-20914348238289.102</v>
      </c>
      <c r="M4246" s="460">
        <f t="shared" si="184"/>
        <v>0.05</v>
      </c>
      <c r="N4246" s="464">
        <f t="shared" si="185"/>
        <v>180279</v>
      </c>
    </row>
    <row r="4247" spans="7:14" ht="11.25" customHeight="1" x14ac:dyDescent="0.25">
      <c r="G4247" s="459"/>
      <c r="H4247" s="459">
        <v>4240</v>
      </c>
      <c r="I4247" s="444">
        <f t="shared" ca="1" si="183"/>
        <v>-20914348238289.102</v>
      </c>
      <c r="J4247" s="444">
        <f t="array" ref="J4247">IFERROR(INDEX('Retirement Calculator'!J:J,MATCH('Isaac 401k'!N4247,'Retirement Calculator'!A:A,0),0),0)</f>
        <v>0</v>
      </c>
      <c r="K4247" s="444">
        <f t="shared" ca="1" si="181"/>
        <v>-87143117659.537918</v>
      </c>
      <c r="L4247" s="444">
        <f t="shared" ca="1" si="182"/>
        <v>-21001491355948.641</v>
      </c>
      <c r="M4247" s="460">
        <f t="shared" si="184"/>
        <v>0.05</v>
      </c>
      <c r="N4247" s="464">
        <f t="shared" si="185"/>
        <v>180310</v>
      </c>
    </row>
    <row r="4248" spans="7:14" ht="11.25" customHeight="1" x14ac:dyDescent="0.25">
      <c r="G4248" s="459"/>
      <c r="H4248" s="459">
        <v>4241</v>
      </c>
      <c r="I4248" s="444">
        <f t="shared" ca="1" si="183"/>
        <v>-21001491355948.641</v>
      </c>
      <c r="J4248" s="444">
        <f t="array" ref="J4248">IFERROR(INDEX('Retirement Calculator'!J:J,MATCH('Isaac 401k'!N4248,'Retirement Calculator'!A:A,0),0),0)</f>
        <v>0</v>
      </c>
      <c r="K4248" s="444">
        <f t="shared" ca="1" si="181"/>
        <v>-87506213983.119339</v>
      </c>
      <c r="L4248" s="444">
        <f t="shared" ca="1" si="182"/>
        <v>-21088997569931.762</v>
      </c>
      <c r="M4248" s="460">
        <f t="shared" si="184"/>
        <v>0.05</v>
      </c>
      <c r="N4248" s="464">
        <f t="shared" si="185"/>
        <v>180340</v>
      </c>
    </row>
    <row r="4249" spans="7:14" ht="11.25" customHeight="1" x14ac:dyDescent="0.25">
      <c r="G4249" s="459"/>
      <c r="H4249" s="459">
        <v>4242</v>
      </c>
      <c r="I4249" s="444">
        <f t="shared" ca="1" si="183"/>
        <v>-21088997569931.762</v>
      </c>
      <c r="J4249" s="444">
        <f t="array" ref="J4249">IFERROR(INDEX('Retirement Calculator'!J:J,MATCH('Isaac 401k'!N4249,'Retirement Calculator'!A:A,0),0),0)</f>
        <v>0</v>
      </c>
      <c r="K4249" s="444">
        <f t="shared" ca="1" si="181"/>
        <v>-87870823208.049011</v>
      </c>
      <c r="L4249" s="444">
        <f t="shared" ca="1" si="182"/>
        <v>-21176868393139.813</v>
      </c>
      <c r="M4249" s="460">
        <f t="shared" si="184"/>
        <v>0.05</v>
      </c>
      <c r="N4249" s="464">
        <f t="shared" si="185"/>
        <v>180371</v>
      </c>
    </row>
    <row r="4250" spans="7:14" ht="11.25" customHeight="1" x14ac:dyDescent="0.25">
      <c r="G4250" s="459"/>
      <c r="H4250" s="459">
        <v>4243</v>
      </c>
      <c r="I4250" s="444">
        <f t="shared" ca="1" si="183"/>
        <v>-21176868393139.813</v>
      </c>
      <c r="J4250" s="444">
        <f t="array" ref="J4250">IFERROR(INDEX('Retirement Calculator'!J:J,MATCH('Isaac 401k'!N4250,'Retirement Calculator'!A:A,0),0),0)</f>
        <v>0</v>
      </c>
      <c r="K4250" s="444">
        <f t="shared" ca="1" si="181"/>
        <v>-88236951638.08255</v>
      </c>
      <c r="L4250" s="444">
        <f t="shared" ca="1" si="182"/>
        <v>-21265105344777.895</v>
      </c>
      <c r="M4250" s="460">
        <f t="shared" si="184"/>
        <v>0.05</v>
      </c>
      <c r="N4250" s="464">
        <f t="shared" si="185"/>
        <v>180401</v>
      </c>
    </row>
    <row r="4251" spans="7:14" ht="11.25" customHeight="1" x14ac:dyDescent="0.25">
      <c r="G4251" s="459"/>
      <c r="H4251" s="459">
        <v>4244</v>
      </c>
      <c r="I4251" s="444">
        <f t="shared" ca="1" si="183"/>
        <v>-21265105344777.895</v>
      </c>
      <c r="J4251" s="444">
        <f t="array" ref="J4251">IFERROR(INDEX('Retirement Calculator'!J:J,MATCH('Isaac 401k'!N4251,'Retirement Calculator'!A:A,0),0),0)</f>
        <v>0</v>
      </c>
      <c r="K4251" s="444">
        <f t="shared" ca="1" si="181"/>
        <v>-88604605603.241226</v>
      </c>
      <c r="L4251" s="444">
        <f t="shared" ca="1" si="182"/>
        <v>-21353709950381.137</v>
      </c>
      <c r="M4251" s="460">
        <f t="shared" si="184"/>
        <v>0.05</v>
      </c>
      <c r="N4251" s="464">
        <f t="shared" si="185"/>
        <v>180432</v>
      </c>
    </row>
    <row r="4252" spans="7:14" ht="11.25" customHeight="1" x14ac:dyDescent="0.25">
      <c r="G4252" s="459"/>
      <c r="H4252" s="459">
        <v>4245</v>
      </c>
      <c r="I4252" s="444">
        <f t="shared" ca="1" si="183"/>
        <v>-21353709950381.137</v>
      </c>
      <c r="J4252" s="444">
        <f t="array" ref="J4252">IFERROR(INDEX('Retirement Calculator'!J:J,MATCH('Isaac 401k'!N4252,'Retirement Calculator'!A:A,0),0),0)</f>
        <v>0</v>
      </c>
      <c r="K4252" s="444">
        <f t="shared" ca="1" si="181"/>
        <v>-88973791459.921402</v>
      </c>
      <c r="L4252" s="444">
        <f t="shared" ca="1" si="182"/>
        <v>-21442683741841.059</v>
      </c>
      <c r="M4252" s="460">
        <f t="shared" si="184"/>
        <v>0.05</v>
      </c>
      <c r="N4252" s="464">
        <f t="shared" si="185"/>
        <v>180463</v>
      </c>
    </row>
    <row r="4253" spans="7:14" ht="11.25" customHeight="1" x14ac:dyDescent="0.25">
      <c r="G4253" s="459"/>
      <c r="H4253" s="459">
        <v>4246</v>
      </c>
      <c r="I4253" s="444">
        <f t="shared" ca="1" si="183"/>
        <v>-21442683741841.059</v>
      </c>
      <c r="J4253" s="444">
        <f t="array" ref="J4253">IFERROR(INDEX('Retirement Calculator'!J:J,MATCH('Isaac 401k'!N4253,'Retirement Calculator'!A:A,0),0),0)</f>
        <v>0</v>
      </c>
      <c r="K4253" s="444">
        <f t="shared" ca="1" si="181"/>
        <v>-89344515591.00441</v>
      </c>
      <c r="L4253" s="444">
        <f t="shared" ca="1" si="182"/>
        <v>-21532028257432.063</v>
      </c>
      <c r="M4253" s="460">
        <f t="shared" si="184"/>
        <v>0.05</v>
      </c>
      <c r="N4253" s="464">
        <f t="shared" si="185"/>
        <v>180491</v>
      </c>
    </row>
    <row r="4254" spans="7:14" ht="11.25" customHeight="1" x14ac:dyDescent="0.25">
      <c r="G4254" s="459"/>
      <c r="H4254" s="459">
        <v>4247</v>
      </c>
      <c r="I4254" s="444">
        <f t="shared" ca="1" si="183"/>
        <v>-21532028257432.063</v>
      </c>
      <c r="J4254" s="444">
        <f t="array" ref="J4254">IFERROR(INDEX('Retirement Calculator'!J:J,MATCH('Isaac 401k'!N4254,'Retirement Calculator'!A:A,0),0),0)</f>
        <v>0</v>
      </c>
      <c r="K4254" s="444">
        <f t="shared" ca="1" si="181"/>
        <v>-89716784405.966919</v>
      </c>
      <c r="L4254" s="444">
        <f t="shared" ca="1" si="182"/>
        <v>-21621745041838.031</v>
      </c>
      <c r="M4254" s="460">
        <f t="shared" si="184"/>
        <v>0.05</v>
      </c>
      <c r="N4254" s="464">
        <f t="shared" si="185"/>
        <v>180522</v>
      </c>
    </row>
    <row r="4255" spans="7:14" ht="11.25" customHeight="1" x14ac:dyDescent="0.25">
      <c r="G4255" s="459"/>
      <c r="H4255" s="459">
        <v>4248</v>
      </c>
      <c r="I4255" s="444">
        <f t="shared" ca="1" si="183"/>
        <v>-21621745041838.031</v>
      </c>
      <c r="J4255" s="444">
        <f t="array" ref="J4255">IFERROR(INDEX('Retirement Calculator'!J:J,MATCH('Isaac 401k'!N4255,'Retirement Calculator'!A:A,0),0),0)</f>
        <v>0</v>
      </c>
      <c r="K4255" s="444">
        <f t="shared" ca="1" si="181"/>
        <v>-90090604340.991791</v>
      </c>
      <c r="L4255" s="444">
        <f t="shared" ca="1" si="182"/>
        <v>-21711835646179.023</v>
      </c>
      <c r="M4255" s="460">
        <f t="shared" si="184"/>
        <v>0.05</v>
      </c>
      <c r="N4255" s="464">
        <f t="shared" si="185"/>
        <v>180552</v>
      </c>
    </row>
    <row r="4256" spans="7:14" ht="11.25" customHeight="1" x14ac:dyDescent="0.25">
      <c r="G4256" s="459"/>
      <c r="H4256" s="459">
        <v>4249</v>
      </c>
      <c r="I4256" s="444">
        <f t="shared" ca="1" si="183"/>
        <v>-21711835646179.023</v>
      </c>
      <c r="J4256" s="444">
        <f t="array" ref="J4256">IFERROR(INDEX('Retirement Calculator'!J:J,MATCH('Isaac 401k'!N4256,'Retirement Calculator'!A:A,0),0),0)</f>
        <v>0</v>
      </c>
      <c r="K4256" s="444">
        <f t="shared" ca="1" si="181"/>
        <v>-90465981859.079269</v>
      </c>
      <c r="L4256" s="444">
        <f t="shared" ca="1" si="182"/>
        <v>-21802301628038.102</v>
      </c>
      <c r="M4256" s="460">
        <f t="shared" si="184"/>
        <v>0.05</v>
      </c>
      <c r="N4256" s="464">
        <f t="shared" si="185"/>
        <v>180583</v>
      </c>
    </row>
    <row r="4257" spans="7:14" ht="11.25" customHeight="1" x14ac:dyDescent="0.25">
      <c r="G4257" s="459"/>
      <c r="H4257" s="459">
        <v>4250</v>
      </c>
      <c r="I4257" s="444">
        <f t="shared" ca="1" si="183"/>
        <v>-21802301628038.102</v>
      </c>
      <c r="J4257" s="444">
        <f t="array" ref="J4257">IFERROR(INDEX('Retirement Calculator'!J:J,MATCH('Isaac 401k'!N4257,'Retirement Calculator'!A:A,0),0),0)</f>
        <v>0</v>
      </c>
      <c r="K4257" s="444">
        <f t="shared" ca="1" si="181"/>
        <v>-90842923450.158752</v>
      </c>
      <c r="L4257" s="444">
        <f t="shared" ca="1" si="182"/>
        <v>-21893144551488.262</v>
      </c>
      <c r="M4257" s="460">
        <f t="shared" si="184"/>
        <v>0.05</v>
      </c>
      <c r="N4257" s="464">
        <f t="shared" si="185"/>
        <v>180613</v>
      </c>
    </row>
    <row r="4258" spans="7:14" ht="11.25" customHeight="1" x14ac:dyDescent="0.25">
      <c r="G4258" s="459"/>
      <c r="H4258" s="459">
        <v>4251</v>
      </c>
      <c r="I4258" s="444">
        <f t="shared" ca="1" si="183"/>
        <v>-21893144551488.262</v>
      </c>
      <c r="J4258" s="444">
        <f t="array" ref="J4258">IFERROR(INDEX('Retirement Calculator'!J:J,MATCH('Isaac 401k'!N4258,'Retirement Calculator'!A:A,0),0),0)</f>
        <v>0</v>
      </c>
      <c r="K4258" s="444">
        <f t="shared" ca="1" si="181"/>
        <v>-91221435631.201096</v>
      </c>
      <c r="L4258" s="444">
        <f t="shared" ca="1" si="182"/>
        <v>-21984365987119.461</v>
      </c>
      <c r="M4258" s="460">
        <f t="shared" si="184"/>
        <v>0.05</v>
      </c>
      <c r="N4258" s="464">
        <f t="shared" si="185"/>
        <v>180644</v>
      </c>
    </row>
    <row r="4259" spans="7:14" ht="11.25" customHeight="1" x14ac:dyDescent="0.25">
      <c r="G4259" s="459"/>
      <c r="H4259" s="459">
        <v>4252</v>
      </c>
      <c r="I4259" s="444">
        <f t="shared" ca="1" si="183"/>
        <v>-21984365987119.461</v>
      </c>
      <c r="J4259" s="444">
        <f t="array" ref="J4259">IFERROR(INDEX('Retirement Calculator'!J:J,MATCH('Isaac 401k'!N4259,'Retirement Calculator'!A:A,0),0),0)</f>
        <v>0</v>
      </c>
      <c r="K4259" s="444">
        <f t="shared" ca="1" si="181"/>
        <v>-91601524946.331085</v>
      </c>
      <c r="L4259" s="444">
        <f t="shared" ca="1" si="182"/>
        <v>-22075967512065.793</v>
      </c>
      <c r="M4259" s="460">
        <f t="shared" si="184"/>
        <v>0.05</v>
      </c>
      <c r="N4259" s="464">
        <f t="shared" si="185"/>
        <v>180675</v>
      </c>
    </row>
    <row r="4260" spans="7:14" ht="11.25" customHeight="1" x14ac:dyDescent="0.25">
      <c r="G4260" s="459"/>
      <c r="H4260" s="459">
        <v>4253</v>
      </c>
      <c r="I4260" s="444">
        <f t="shared" ca="1" si="183"/>
        <v>-22075967512065.793</v>
      </c>
      <c r="J4260" s="444">
        <f t="array" ref="J4260">IFERROR(INDEX('Retirement Calculator'!J:J,MATCH('Isaac 401k'!N4260,'Retirement Calculator'!A:A,0),0),0)</f>
        <v>0</v>
      </c>
      <c r="K4260" s="444">
        <f t="shared" ca="1" si="181"/>
        <v>-91983197966.940796</v>
      </c>
      <c r="L4260" s="444">
        <f t="shared" ca="1" si="182"/>
        <v>-22167950710032.734</v>
      </c>
      <c r="M4260" s="460">
        <f t="shared" si="184"/>
        <v>0.05</v>
      </c>
      <c r="N4260" s="464">
        <f t="shared" si="185"/>
        <v>180705</v>
      </c>
    </row>
    <row r="4261" spans="7:14" ht="11.25" customHeight="1" x14ac:dyDescent="0.25">
      <c r="G4261" s="459"/>
      <c r="H4261" s="459">
        <v>4254</v>
      </c>
      <c r="I4261" s="444">
        <f t="shared" ca="1" si="183"/>
        <v>-22167950710032.734</v>
      </c>
      <c r="J4261" s="444">
        <f t="array" ref="J4261">IFERROR(INDEX('Retirement Calculator'!J:J,MATCH('Isaac 401k'!N4261,'Retirement Calculator'!A:A,0),0),0)</f>
        <v>0</v>
      </c>
      <c r="K4261" s="444">
        <f t="shared" ca="1" si="181"/>
        <v>-92366461291.803055</v>
      </c>
      <c r="L4261" s="444">
        <f t="shared" ca="1" si="182"/>
        <v>-22260317171324.539</v>
      </c>
      <c r="M4261" s="460">
        <f t="shared" si="184"/>
        <v>0.05</v>
      </c>
      <c r="N4261" s="464">
        <f t="shared" si="185"/>
        <v>180736</v>
      </c>
    </row>
    <row r="4262" spans="7:14" ht="11.25" customHeight="1" x14ac:dyDescent="0.25">
      <c r="G4262" s="459"/>
      <c r="H4262" s="459">
        <v>4255</v>
      </c>
      <c r="I4262" s="444">
        <f t="shared" ca="1" si="183"/>
        <v>-22260317171324.539</v>
      </c>
      <c r="J4262" s="444">
        <f t="array" ref="J4262">IFERROR(INDEX('Retirement Calculator'!J:J,MATCH('Isaac 401k'!N4262,'Retirement Calculator'!A:A,0),0),0)</f>
        <v>0</v>
      </c>
      <c r="K4262" s="444">
        <f t="shared" ca="1" si="181"/>
        <v>-92751321547.185577</v>
      </c>
      <c r="L4262" s="444">
        <f t="shared" ca="1" si="182"/>
        <v>-22353068492871.727</v>
      </c>
      <c r="M4262" s="460">
        <f t="shared" si="184"/>
        <v>0.05</v>
      </c>
      <c r="N4262" s="464">
        <f t="shared" si="185"/>
        <v>180766</v>
      </c>
    </row>
    <row r="4263" spans="7:14" ht="11.25" customHeight="1" x14ac:dyDescent="0.25">
      <c r="G4263" s="459"/>
      <c r="H4263" s="459">
        <v>4256</v>
      </c>
      <c r="I4263" s="444">
        <f t="shared" ca="1" si="183"/>
        <v>-22353068492871.727</v>
      </c>
      <c r="J4263" s="444">
        <f t="array" ref="J4263">IFERROR(INDEX('Retirement Calculator'!J:J,MATCH('Isaac 401k'!N4263,'Retirement Calculator'!A:A,0),0),0)</f>
        <v>0</v>
      </c>
      <c r="K4263" s="444">
        <f t="shared" ca="1" si="181"/>
        <v>-93137785386.96553</v>
      </c>
      <c r="L4263" s="444">
        <f t="shared" ca="1" si="182"/>
        <v>-22446206278258.691</v>
      </c>
      <c r="M4263" s="460">
        <f t="shared" si="184"/>
        <v>0.05</v>
      </c>
      <c r="N4263" s="464">
        <f t="shared" si="185"/>
        <v>180797</v>
      </c>
    </row>
    <row r="4264" spans="7:14" ht="11.25" customHeight="1" x14ac:dyDescent="0.25">
      <c r="G4264" s="459"/>
      <c r="H4264" s="459">
        <v>4257</v>
      </c>
      <c r="I4264" s="444">
        <f t="shared" ca="1" si="183"/>
        <v>-22446206278258.691</v>
      </c>
      <c r="J4264" s="444">
        <f t="array" ref="J4264">IFERROR(INDEX('Retirement Calculator'!J:J,MATCH('Isaac 401k'!N4264,'Retirement Calculator'!A:A,0),0),0)</f>
        <v>0</v>
      </c>
      <c r="K4264" s="444">
        <f t="shared" ca="1" si="181"/>
        <v>-93525859492.744553</v>
      </c>
      <c r="L4264" s="444">
        <f t="shared" ca="1" si="182"/>
        <v>-22539732137751.438</v>
      </c>
      <c r="M4264" s="460">
        <f t="shared" si="184"/>
        <v>0.05</v>
      </c>
      <c r="N4264" s="464">
        <f t="shared" si="185"/>
        <v>180828</v>
      </c>
    </row>
    <row r="4265" spans="7:14" ht="11.25" customHeight="1" x14ac:dyDescent="0.25">
      <c r="G4265" s="459"/>
      <c r="H4265" s="459">
        <v>4258</v>
      </c>
      <c r="I4265" s="444">
        <f t="shared" ca="1" si="183"/>
        <v>-22539732137751.438</v>
      </c>
      <c r="J4265" s="444">
        <f t="array" ref="J4265">IFERROR(INDEX('Retirement Calculator'!J:J,MATCH('Isaac 401k'!N4265,'Retirement Calculator'!A:A,0),0),0)</f>
        <v>0</v>
      </c>
      <c r="K4265" s="444">
        <f t="shared" ca="1" si="181"/>
        <v>-93915550573.964325</v>
      </c>
      <c r="L4265" s="444">
        <f t="shared" ca="1" si="182"/>
        <v>-22633647688325.402</v>
      </c>
      <c r="M4265" s="460">
        <f t="shared" si="184"/>
        <v>0.05</v>
      </c>
      <c r="N4265" s="464">
        <f t="shared" si="185"/>
        <v>180856</v>
      </c>
    </row>
    <row r="4266" spans="7:14" ht="11.25" customHeight="1" x14ac:dyDescent="0.25">
      <c r="G4266" s="459"/>
      <c r="H4266" s="459">
        <v>4259</v>
      </c>
      <c r="I4266" s="444">
        <f t="shared" ca="1" si="183"/>
        <v>-22633647688325.402</v>
      </c>
      <c r="J4266" s="444">
        <f t="array" ref="J4266">IFERROR(INDEX('Retirement Calculator'!J:J,MATCH('Isaac 401k'!N4266,'Retirement Calculator'!A:A,0),0),0)</f>
        <v>0</v>
      </c>
      <c r="K4266" s="444">
        <f t="shared" ca="1" si="181"/>
        <v>-94306865368.022507</v>
      </c>
      <c r="L4266" s="444">
        <f t="shared" ca="1" si="182"/>
        <v>-22727954553693.426</v>
      </c>
      <c r="M4266" s="460">
        <f t="shared" si="184"/>
        <v>0.05</v>
      </c>
      <c r="N4266" s="464">
        <f t="shared" si="185"/>
        <v>180887</v>
      </c>
    </row>
    <row r="4267" spans="7:14" ht="11.25" customHeight="1" x14ac:dyDescent="0.25">
      <c r="G4267" s="459"/>
      <c r="H4267" s="459">
        <v>4260</v>
      </c>
      <c r="I4267" s="444">
        <f t="shared" ca="1" si="183"/>
        <v>-22727954553693.426</v>
      </c>
      <c r="J4267" s="444">
        <f t="array" ref="J4267">IFERROR(INDEX('Retirement Calculator'!J:J,MATCH('Isaac 401k'!N4267,'Retirement Calculator'!A:A,0),0),0)</f>
        <v>0</v>
      </c>
      <c r="K4267" s="444">
        <f t="shared" ca="1" si="181"/>
        <v>-94699810640.389267</v>
      </c>
      <c r="L4267" s="444">
        <f t="shared" ca="1" si="182"/>
        <v>-22822654364333.816</v>
      </c>
      <c r="M4267" s="460">
        <f t="shared" si="184"/>
        <v>0.05</v>
      </c>
      <c r="N4267" s="464">
        <f t="shared" si="185"/>
        <v>180917</v>
      </c>
    </row>
    <row r="4268" spans="7:14" ht="11.25" customHeight="1" x14ac:dyDescent="0.25">
      <c r="G4268" s="459"/>
      <c r="H4268" s="459">
        <v>4261</v>
      </c>
      <c r="I4268" s="444">
        <f t="shared" ca="1" si="183"/>
        <v>-22822654364333.816</v>
      </c>
      <c r="J4268" s="444">
        <f t="array" ref="J4268">IFERROR(INDEX('Retirement Calculator'!J:J,MATCH('Isaac 401k'!N4268,'Retirement Calculator'!A:A,0),0),0)</f>
        <v>0</v>
      </c>
      <c r="K4268" s="444">
        <f t="shared" ca="1" si="181"/>
        <v>-95094393184.724228</v>
      </c>
      <c r="L4268" s="444">
        <f t="shared" ca="1" si="182"/>
        <v>-22917748757518.539</v>
      </c>
      <c r="M4268" s="460">
        <f t="shared" si="184"/>
        <v>0.05</v>
      </c>
      <c r="N4268" s="464">
        <f t="shared" si="185"/>
        <v>180948</v>
      </c>
    </row>
    <row r="4269" spans="7:14" ht="11.25" customHeight="1" x14ac:dyDescent="0.25">
      <c r="G4269" s="459"/>
      <c r="H4269" s="459">
        <v>4262</v>
      </c>
      <c r="I4269" s="444">
        <f t="shared" ca="1" si="183"/>
        <v>-22917748757518.539</v>
      </c>
      <c r="J4269" s="444">
        <f t="array" ref="J4269">IFERROR(INDEX('Retirement Calculator'!J:J,MATCH('Isaac 401k'!N4269,'Retirement Calculator'!A:A,0),0),0)</f>
        <v>0</v>
      </c>
      <c r="K4269" s="444">
        <f t="shared" ca="1" si="181"/>
        <v>-95490619822.993912</v>
      </c>
      <c r="L4269" s="444">
        <f t="shared" ca="1" si="182"/>
        <v>-23013239377341.531</v>
      </c>
      <c r="M4269" s="460">
        <f t="shared" si="184"/>
        <v>0.05</v>
      </c>
      <c r="N4269" s="464">
        <f t="shared" si="185"/>
        <v>180978</v>
      </c>
    </row>
    <row r="4270" spans="7:14" ht="11.25" customHeight="1" x14ac:dyDescent="0.25">
      <c r="G4270" s="459"/>
      <c r="H4270" s="459">
        <v>4263</v>
      </c>
      <c r="I4270" s="444">
        <f t="shared" ca="1" si="183"/>
        <v>-23013239377341.531</v>
      </c>
      <c r="J4270" s="444">
        <f t="array" ref="J4270">IFERROR(INDEX('Retirement Calculator'!J:J,MATCH('Isaac 401k'!N4270,'Retirement Calculator'!A:A,0),0),0)</f>
        <v>0</v>
      </c>
      <c r="K4270" s="444">
        <f t="shared" ca="1" si="181"/>
        <v>-95888497405.589706</v>
      </c>
      <c r="L4270" s="444">
        <f t="shared" ca="1" si="182"/>
        <v>-23109127874747.121</v>
      </c>
      <c r="M4270" s="460">
        <f t="shared" si="184"/>
        <v>0.05</v>
      </c>
      <c r="N4270" s="464">
        <f t="shared" si="185"/>
        <v>181009</v>
      </c>
    </row>
    <row r="4271" spans="7:14" ht="11.25" customHeight="1" x14ac:dyDescent="0.25">
      <c r="G4271" s="459"/>
      <c r="H4271" s="459">
        <v>4264</v>
      </c>
      <c r="I4271" s="444">
        <f t="shared" ca="1" si="183"/>
        <v>-23109127874747.121</v>
      </c>
      <c r="J4271" s="444">
        <f t="array" ref="J4271">IFERROR(INDEX('Retirement Calculator'!J:J,MATCH('Isaac 401k'!N4271,'Retirement Calculator'!A:A,0),0),0)</f>
        <v>0</v>
      </c>
      <c r="K4271" s="444">
        <f t="shared" ca="1" si="181"/>
        <v>-96288032811.446335</v>
      </c>
      <c r="L4271" s="444">
        <f t="shared" ca="1" si="182"/>
        <v>-23205415907558.566</v>
      </c>
      <c r="M4271" s="460">
        <f t="shared" si="184"/>
        <v>0.05</v>
      </c>
      <c r="N4271" s="464">
        <f t="shared" si="185"/>
        <v>181040</v>
      </c>
    </row>
    <row r="4272" spans="7:14" ht="11.25" customHeight="1" x14ac:dyDescent="0.25">
      <c r="G4272" s="459"/>
      <c r="H4272" s="459">
        <v>4265</v>
      </c>
      <c r="I4272" s="444">
        <f t="shared" ca="1" si="183"/>
        <v>-23205415907558.566</v>
      </c>
      <c r="J4272" s="444">
        <f t="array" ref="J4272">IFERROR(INDEX('Retirement Calculator'!J:J,MATCH('Isaac 401k'!N4272,'Retirement Calculator'!A:A,0),0),0)</f>
        <v>0</v>
      </c>
      <c r="K4272" s="444">
        <f t="shared" ca="1" si="181"/>
        <v>-96689232948.16069</v>
      </c>
      <c r="L4272" s="444">
        <f t="shared" ca="1" si="182"/>
        <v>-23302105140506.727</v>
      </c>
      <c r="M4272" s="460">
        <f t="shared" si="184"/>
        <v>0.05</v>
      </c>
      <c r="N4272" s="464">
        <f t="shared" si="185"/>
        <v>181070</v>
      </c>
    </row>
    <row r="4273" spans="7:14" ht="11.25" customHeight="1" x14ac:dyDescent="0.25">
      <c r="G4273" s="459"/>
      <c r="H4273" s="459">
        <v>4266</v>
      </c>
      <c r="I4273" s="444">
        <f t="shared" ca="1" si="183"/>
        <v>-23302105140506.727</v>
      </c>
      <c r="J4273" s="444">
        <f t="array" ref="J4273">IFERROR(INDEX('Retirement Calculator'!J:J,MATCH('Isaac 401k'!N4273,'Retirement Calculator'!A:A,0),0),0)</f>
        <v>0</v>
      </c>
      <c r="K4273" s="444">
        <f t="shared" ca="1" si="181"/>
        <v>-97092104752.111359</v>
      </c>
      <c r="L4273" s="444">
        <f t="shared" ca="1" si="182"/>
        <v>-23399197245258.84</v>
      </c>
      <c r="M4273" s="460">
        <f t="shared" si="184"/>
        <v>0.05</v>
      </c>
      <c r="N4273" s="464">
        <f t="shared" si="185"/>
        <v>181101</v>
      </c>
    </row>
    <row r="4274" spans="7:14" ht="11.25" customHeight="1" x14ac:dyDescent="0.25">
      <c r="G4274" s="459"/>
      <c r="H4274" s="459">
        <v>4267</v>
      </c>
      <c r="I4274" s="444">
        <f t="shared" ca="1" si="183"/>
        <v>-23399197245258.84</v>
      </c>
      <c r="J4274" s="444">
        <f t="array" ref="J4274">IFERROR(INDEX('Retirement Calculator'!J:J,MATCH('Isaac 401k'!N4274,'Retirement Calculator'!A:A,0),0),0)</f>
        <v>0</v>
      </c>
      <c r="K4274" s="444">
        <f t="shared" ca="1" si="181"/>
        <v>-97496655188.578491</v>
      </c>
      <c r="L4274" s="444">
        <f t="shared" ca="1" si="182"/>
        <v>-23496693900447.418</v>
      </c>
      <c r="M4274" s="460">
        <f t="shared" si="184"/>
        <v>0.05</v>
      </c>
      <c r="N4274" s="464">
        <f t="shared" si="185"/>
        <v>181131</v>
      </c>
    </row>
    <row r="4275" spans="7:14" ht="11.25" customHeight="1" x14ac:dyDescent="0.25">
      <c r="G4275" s="459"/>
      <c r="H4275" s="459">
        <v>4268</v>
      </c>
      <c r="I4275" s="444">
        <f t="shared" ca="1" si="183"/>
        <v>-23496693900447.418</v>
      </c>
      <c r="J4275" s="444">
        <f t="array" ref="J4275">IFERROR(INDEX('Retirement Calculator'!J:J,MATCH('Isaac 401k'!N4275,'Retirement Calculator'!A:A,0),0),0)</f>
        <v>0</v>
      </c>
      <c r="K4275" s="444">
        <f t="shared" ca="1" si="181"/>
        <v>-97902891251.864243</v>
      </c>
      <c r="L4275" s="444">
        <f t="shared" ca="1" si="182"/>
        <v>-23594596791699.281</v>
      </c>
      <c r="M4275" s="460">
        <f t="shared" si="184"/>
        <v>0.05</v>
      </c>
      <c r="N4275" s="464">
        <f t="shared" si="185"/>
        <v>181162</v>
      </c>
    </row>
    <row r="4276" spans="7:14" ht="11.25" customHeight="1" x14ac:dyDescent="0.25">
      <c r="G4276" s="459"/>
      <c r="H4276" s="459">
        <v>4269</v>
      </c>
      <c r="I4276" s="444">
        <f t="shared" ca="1" si="183"/>
        <v>-23594596791699.281</v>
      </c>
      <c r="J4276" s="444">
        <f t="array" ref="J4276">IFERROR(INDEX('Retirement Calculator'!J:J,MATCH('Isaac 401k'!N4276,'Retirement Calculator'!A:A,0),0),0)</f>
        <v>0</v>
      </c>
      <c r="K4276" s="444">
        <f t="shared" ca="1" si="181"/>
        <v>-98310819965.413666</v>
      </c>
      <c r="L4276" s="444">
        <f t="shared" ca="1" si="182"/>
        <v>-23692907611664.695</v>
      </c>
      <c r="M4276" s="460">
        <f t="shared" si="184"/>
        <v>0.05</v>
      </c>
      <c r="N4276" s="464">
        <f t="shared" si="185"/>
        <v>181193</v>
      </c>
    </row>
    <row r="4277" spans="7:14" ht="11.25" customHeight="1" x14ac:dyDescent="0.25">
      <c r="G4277" s="459"/>
      <c r="H4277" s="459">
        <v>4270</v>
      </c>
      <c r="I4277" s="444">
        <f t="shared" ca="1" si="183"/>
        <v>-23692907611664.695</v>
      </c>
      <c r="J4277" s="444">
        <f t="array" ref="J4277">IFERROR(INDEX('Retirement Calculator'!J:J,MATCH('Isaac 401k'!N4277,'Retirement Calculator'!A:A,0),0),0)</f>
        <v>0</v>
      </c>
      <c r="K4277" s="444">
        <f t="shared" ca="1" si="181"/>
        <v>-98720448381.936234</v>
      </c>
      <c r="L4277" s="444">
        <f t="shared" ca="1" si="182"/>
        <v>-23791628060046.633</v>
      </c>
      <c r="M4277" s="460">
        <f t="shared" si="184"/>
        <v>0.05</v>
      </c>
      <c r="N4277" s="464">
        <f t="shared" si="185"/>
        <v>181222</v>
      </c>
    </row>
    <row r="4278" spans="7:14" ht="11.25" customHeight="1" x14ac:dyDescent="0.25">
      <c r="G4278" s="459"/>
      <c r="H4278" s="459">
        <v>4271</v>
      </c>
      <c r="I4278" s="444">
        <f t="shared" ca="1" si="183"/>
        <v>-23791628060046.633</v>
      </c>
      <c r="J4278" s="444">
        <f t="array" ref="J4278">IFERROR(INDEX('Retirement Calculator'!J:J,MATCH('Isaac 401k'!N4278,'Retirement Calculator'!A:A,0),0),0)</f>
        <v>0</v>
      </c>
      <c r="K4278" s="444">
        <f t="shared" ca="1" si="181"/>
        <v>-99131783583.527634</v>
      </c>
      <c r="L4278" s="444">
        <f t="shared" ca="1" si="182"/>
        <v>-23890759843630.16</v>
      </c>
      <c r="M4278" s="460">
        <f t="shared" si="184"/>
        <v>0.05</v>
      </c>
      <c r="N4278" s="464">
        <f t="shared" si="185"/>
        <v>181253</v>
      </c>
    </row>
    <row r="4279" spans="7:14" ht="11.25" customHeight="1" x14ac:dyDescent="0.25">
      <c r="G4279" s="459"/>
      <c r="H4279" s="459">
        <v>4272</v>
      </c>
      <c r="I4279" s="444">
        <f t="shared" ca="1" si="183"/>
        <v>-23890759843630.16</v>
      </c>
      <c r="J4279" s="444">
        <f t="array" ref="J4279">IFERROR(INDEX('Retirement Calculator'!J:J,MATCH('Isaac 401k'!N4279,'Retirement Calculator'!A:A,0),0),0)</f>
        <v>0</v>
      </c>
      <c r="K4279" s="444">
        <f t="shared" ca="1" si="181"/>
        <v>-99544832681.792328</v>
      </c>
      <c r="L4279" s="444">
        <f t="shared" ca="1" si="182"/>
        <v>-23990304676311.953</v>
      </c>
      <c r="M4279" s="460">
        <f t="shared" si="184"/>
        <v>0.05</v>
      </c>
      <c r="N4279" s="464">
        <f t="shared" si="185"/>
        <v>181283</v>
      </c>
    </row>
    <row r="4280" spans="7:14" ht="11.25" customHeight="1" x14ac:dyDescent="0.25">
      <c r="G4280" s="459"/>
      <c r="H4280" s="459">
        <v>4273</v>
      </c>
      <c r="I4280" s="444">
        <f t="shared" ca="1" si="183"/>
        <v>-23990304676311.953</v>
      </c>
      <c r="J4280" s="444">
        <f t="array" ref="J4280">IFERROR(INDEX('Retirement Calculator'!J:J,MATCH('Isaac 401k'!N4280,'Retirement Calculator'!A:A,0),0),0)</f>
        <v>0</v>
      </c>
      <c r="K4280" s="444">
        <f t="shared" ca="1" si="181"/>
        <v>-99959602817.966476</v>
      </c>
      <c r="L4280" s="444">
        <f t="shared" ca="1" si="182"/>
        <v>-24090264279129.918</v>
      </c>
      <c r="M4280" s="460">
        <f t="shared" si="184"/>
        <v>0.05</v>
      </c>
      <c r="N4280" s="464">
        <f t="shared" si="185"/>
        <v>181314</v>
      </c>
    </row>
    <row r="4281" spans="7:14" ht="11.25" customHeight="1" x14ac:dyDescent="0.25">
      <c r="G4281" s="459"/>
      <c r="H4281" s="459">
        <v>4274</v>
      </c>
      <c r="I4281" s="444">
        <f t="shared" ca="1" si="183"/>
        <v>-24090264279129.918</v>
      </c>
      <c r="J4281" s="444">
        <f t="array" ref="J4281">IFERROR(INDEX('Retirement Calculator'!J:J,MATCH('Isaac 401k'!N4281,'Retirement Calculator'!A:A,0),0),0)</f>
        <v>0</v>
      </c>
      <c r="K4281" s="444">
        <f t="shared" ca="1" si="181"/>
        <v>-100376101163.04132</v>
      </c>
      <c r="L4281" s="444">
        <f t="shared" ca="1" si="182"/>
        <v>-24190640380292.961</v>
      </c>
      <c r="M4281" s="460">
        <f t="shared" si="184"/>
        <v>0.05</v>
      </c>
      <c r="N4281" s="464">
        <f t="shared" si="185"/>
        <v>181344</v>
      </c>
    </row>
    <row r="4282" spans="7:14" ht="11.25" customHeight="1" x14ac:dyDescent="0.25">
      <c r="G4282" s="459"/>
      <c r="H4282" s="459">
        <v>4275</v>
      </c>
      <c r="I4282" s="444">
        <f t="shared" ca="1" si="183"/>
        <v>-24190640380292.961</v>
      </c>
      <c r="J4282" s="444">
        <f t="array" ref="J4282">IFERROR(INDEX('Retirement Calculator'!J:J,MATCH('Isaac 401k'!N4282,'Retirement Calculator'!A:A,0),0),0)</f>
        <v>0</v>
      </c>
      <c r="K4282" s="444">
        <f t="shared" ca="1" si="181"/>
        <v>-100794334917.88733</v>
      </c>
      <c r="L4282" s="444">
        <f t="shared" ca="1" si="182"/>
        <v>-24291434715210.848</v>
      </c>
      <c r="M4282" s="460">
        <f t="shared" si="184"/>
        <v>0.05</v>
      </c>
      <c r="N4282" s="464">
        <f t="shared" si="185"/>
        <v>181375</v>
      </c>
    </row>
    <row r="4283" spans="7:14" ht="11.25" customHeight="1" x14ac:dyDescent="0.25">
      <c r="G4283" s="459"/>
      <c r="H4283" s="459">
        <v>4276</v>
      </c>
      <c r="I4283" s="444">
        <f t="shared" ca="1" si="183"/>
        <v>-24291434715210.848</v>
      </c>
      <c r="J4283" s="444">
        <f t="array" ref="J4283">IFERROR(INDEX('Retirement Calculator'!J:J,MATCH('Isaac 401k'!N4283,'Retirement Calculator'!A:A,0),0),0)</f>
        <v>0</v>
      </c>
      <c r="K4283" s="444">
        <f t="shared" ca="1" si="181"/>
        <v>-101214311313.37852</v>
      </c>
      <c r="L4283" s="444">
        <f t="shared" ca="1" si="182"/>
        <v>-24392649026524.227</v>
      </c>
      <c r="M4283" s="460">
        <f t="shared" si="184"/>
        <v>0.05</v>
      </c>
      <c r="N4283" s="464">
        <f t="shared" si="185"/>
        <v>181406</v>
      </c>
    </row>
    <row r="4284" spans="7:14" ht="11.25" customHeight="1" x14ac:dyDescent="0.25">
      <c r="G4284" s="459"/>
      <c r="H4284" s="459">
        <v>4277</v>
      </c>
      <c r="I4284" s="444">
        <f t="shared" ca="1" si="183"/>
        <v>-24392649026524.227</v>
      </c>
      <c r="J4284" s="444">
        <f t="array" ref="J4284">IFERROR(INDEX('Retirement Calculator'!J:J,MATCH('Isaac 401k'!N4284,'Retirement Calculator'!A:A,0),0),0)</f>
        <v>0</v>
      </c>
      <c r="K4284" s="444">
        <f t="shared" ca="1" si="181"/>
        <v>-101636037610.51761</v>
      </c>
      <c r="L4284" s="444">
        <f t="shared" ca="1" si="182"/>
        <v>-24494285064134.746</v>
      </c>
      <c r="M4284" s="460">
        <f t="shared" si="184"/>
        <v>0.05</v>
      </c>
      <c r="N4284" s="464">
        <f t="shared" si="185"/>
        <v>181436</v>
      </c>
    </row>
    <row r="4285" spans="7:14" ht="11.25" customHeight="1" x14ac:dyDescent="0.25">
      <c r="G4285" s="459"/>
      <c r="H4285" s="459">
        <v>4278</v>
      </c>
      <c r="I4285" s="444">
        <f t="shared" ca="1" si="183"/>
        <v>-24494285064134.746</v>
      </c>
      <c r="J4285" s="444">
        <f t="array" ref="J4285">IFERROR(INDEX('Retirement Calculator'!J:J,MATCH('Isaac 401k'!N4285,'Retirement Calculator'!A:A,0),0),0)</f>
        <v>0</v>
      </c>
      <c r="K4285" s="444">
        <f t="shared" ca="1" si="181"/>
        <v>-102059521100.56145</v>
      </c>
      <c r="L4285" s="444">
        <f t="shared" ca="1" si="182"/>
        <v>-24596344585235.309</v>
      </c>
      <c r="M4285" s="460">
        <f t="shared" si="184"/>
        <v>0.05</v>
      </c>
      <c r="N4285" s="464">
        <f t="shared" si="185"/>
        <v>181467</v>
      </c>
    </row>
    <row r="4286" spans="7:14" ht="11.25" customHeight="1" x14ac:dyDescent="0.25">
      <c r="G4286" s="459"/>
      <c r="H4286" s="459">
        <v>4279</v>
      </c>
      <c r="I4286" s="444">
        <f t="shared" ca="1" si="183"/>
        <v>-24596344585235.309</v>
      </c>
      <c r="J4286" s="444">
        <f t="array" ref="J4286">IFERROR(INDEX('Retirement Calculator'!J:J,MATCH('Isaac 401k'!N4286,'Retirement Calculator'!A:A,0),0),0)</f>
        <v>0</v>
      </c>
      <c r="K4286" s="444">
        <f t="shared" ca="1" si="181"/>
        <v>-102484769105.14713</v>
      </c>
      <c r="L4286" s="444">
        <f t="shared" ca="1" si="182"/>
        <v>-24698829354340.457</v>
      </c>
      <c r="M4286" s="460">
        <f t="shared" si="184"/>
        <v>0.05</v>
      </c>
      <c r="N4286" s="464">
        <f t="shared" si="185"/>
        <v>181497</v>
      </c>
    </row>
    <row r="4287" spans="7:14" ht="11.25" customHeight="1" x14ac:dyDescent="0.25">
      <c r="G4287" s="459"/>
      <c r="H4287" s="459">
        <v>4280</v>
      </c>
      <c r="I4287" s="444">
        <f t="shared" ca="1" si="183"/>
        <v>-24698829354340.457</v>
      </c>
      <c r="J4287" s="444">
        <f t="array" ref="J4287">IFERROR(INDEX('Retirement Calculator'!J:J,MATCH('Isaac 401k'!N4287,'Retirement Calculator'!A:A,0),0),0)</f>
        <v>0</v>
      </c>
      <c r="K4287" s="444">
        <f t="shared" ca="1" si="181"/>
        <v>-102911788976.41856</v>
      </c>
      <c r="L4287" s="444">
        <f t="shared" ca="1" si="182"/>
        <v>-24801741143316.875</v>
      </c>
      <c r="M4287" s="460">
        <f t="shared" si="184"/>
        <v>0.05</v>
      </c>
      <c r="N4287" s="464">
        <f t="shared" si="185"/>
        <v>181528</v>
      </c>
    </row>
    <row r="4288" spans="7:14" ht="11.25" customHeight="1" x14ac:dyDescent="0.25">
      <c r="G4288" s="459"/>
      <c r="H4288" s="459">
        <v>4281</v>
      </c>
      <c r="I4288" s="444">
        <f t="shared" ca="1" si="183"/>
        <v>-24801741143316.875</v>
      </c>
      <c r="J4288" s="444">
        <f t="array" ref="J4288">IFERROR(INDEX('Retirement Calculator'!J:J,MATCH('Isaac 401k'!N4288,'Retirement Calculator'!A:A,0),0),0)</f>
        <v>0</v>
      </c>
      <c r="K4288" s="444">
        <f t="shared" ca="1" si="181"/>
        <v>-103340588097.15364</v>
      </c>
      <c r="L4288" s="444">
        <f t="shared" ca="1" si="182"/>
        <v>-24905081731414.027</v>
      </c>
      <c r="M4288" s="460">
        <f t="shared" si="184"/>
        <v>0.05</v>
      </c>
      <c r="N4288" s="464">
        <f t="shared" si="185"/>
        <v>181559</v>
      </c>
    </row>
    <row r="4289" spans="7:14" ht="11.25" customHeight="1" x14ac:dyDescent="0.25">
      <c r="G4289" s="459"/>
      <c r="H4289" s="459">
        <v>4282</v>
      </c>
      <c r="I4289" s="444">
        <f t="shared" ca="1" si="183"/>
        <v>-24905081731414.027</v>
      </c>
      <c r="J4289" s="444">
        <f t="array" ref="J4289">IFERROR(INDEX('Retirement Calculator'!J:J,MATCH('Isaac 401k'!N4289,'Retirement Calculator'!A:A,0),0),0)</f>
        <v>0</v>
      </c>
      <c r="K4289" s="444">
        <f t="shared" ca="1" si="181"/>
        <v>-103771173880.89178</v>
      </c>
      <c r="L4289" s="444">
        <f t="shared" ca="1" si="182"/>
        <v>-25008852905294.918</v>
      </c>
      <c r="M4289" s="460">
        <f t="shared" si="184"/>
        <v>0.05</v>
      </c>
      <c r="N4289" s="464">
        <f t="shared" si="185"/>
        <v>181587</v>
      </c>
    </row>
    <row r="4290" spans="7:14" ht="11.25" customHeight="1" x14ac:dyDescent="0.25">
      <c r="G4290" s="459"/>
      <c r="H4290" s="459">
        <v>4283</v>
      </c>
      <c r="I4290" s="444">
        <f t="shared" ca="1" si="183"/>
        <v>-25008852905294.918</v>
      </c>
      <c r="J4290" s="444">
        <f t="array" ref="J4290">IFERROR(INDEX('Retirement Calculator'!J:J,MATCH('Isaac 401k'!N4290,'Retirement Calculator'!A:A,0),0),0)</f>
        <v>0</v>
      </c>
      <c r="K4290" s="444">
        <f t="shared" ca="1" si="181"/>
        <v>-104203553772.06216</v>
      </c>
      <c r="L4290" s="444">
        <f t="shared" ca="1" si="182"/>
        <v>-25113056459066.98</v>
      </c>
      <c r="M4290" s="460">
        <f t="shared" si="184"/>
        <v>0.05</v>
      </c>
      <c r="N4290" s="464">
        <f t="shared" si="185"/>
        <v>181618</v>
      </c>
    </row>
    <row r="4291" spans="7:14" ht="11.25" customHeight="1" x14ac:dyDescent="0.25">
      <c r="G4291" s="459"/>
      <c r="H4291" s="459">
        <v>4284</v>
      </c>
      <c r="I4291" s="444">
        <f t="shared" ca="1" si="183"/>
        <v>-25113056459066.98</v>
      </c>
      <c r="J4291" s="444">
        <f t="array" ref="J4291">IFERROR(INDEX('Retirement Calculator'!J:J,MATCH('Isaac 401k'!N4291,'Retirement Calculator'!A:A,0),0),0)</f>
        <v>0</v>
      </c>
      <c r="K4291" s="444">
        <f t="shared" ca="1" si="181"/>
        <v>-104637735246.11241</v>
      </c>
      <c r="L4291" s="444">
        <f t="shared" ca="1" si="182"/>
        <v>-25217694194313.094</v>
      </c>
      <c r="M4291" s="460">
        <f t="shared" si="184"/>
        <v>0.05</v>
      </c>
      <c r="N4291" s="464">
        <f t="shared" si="185"/>
        <v>181648</v>
      </c>
    </row>
    <row r="4292" spans="7:14" ht="11.25" customHeight="1" x14ac:dyDescent="0.25">
      <c r="G4292" s="459"/>
      <c r="H4292" s="459">
        <v>4285</v>
      </c>
      <c r="I4292" s="444">
        <f t="shared" ca="1" si="183"/>
        <v>-25217694194313.094</v>
      </c>
      <c r="J4292" s="444">
        <f t="array" ref="J4292">IFERROR(INDEX('Retirement Calculator'!J:J,MATCH('Isaac 401k'!N4292,'Retirement Calculator'!A:A,0),0),0)</f>
        <v>0</v>
      </c>
      <c r="K4292" s="444">
        <f t="shared" ca="1" si="181"/>
        <v>-105073725809.63789</v>
      </c>
      <c r="L4292" s="444">
        <f t="shared" ca="1" si="182"/>
        <v>-25322767920122.73</v>
      </c>
      <c r="M4292" s="460">
        <f t="shared" si="184"/>
        <v>0.05</v>
      </c>
      <c r="N4292" s="464">
        <f t="shared" si="185"/>
        <v>181679</v>
      </c>
    </row>
    <row r="4293" spans="7:14" ht="11.25" customHeight="1" x14ac:dyDescent="0.25">
      <c r="G4293" s="459"/>
      <c r="H4293" s="459">
        <v>4286</v>
      </c>
      <c r="I4293" s="444">
        <f t="shared" ca="1" si="183"/>
        <v>-25322767920122.73</v>
      </c>
      <c r="J4293" s="444">
        <f t="array" ref="J4293">IFERROR(INDEX('Retirement Calculator'!J:J,MATCH('Isaac 401k'!N4293,'Retirement Calculator'!A:A,0),0),0)</f>
        <v>0</v>
      </c>
      <c r="K4293" s="444">
        <f t="shared" ca="1" si="181"/>
        <v>-105511533000.51138</v>
      </c>
      <c r="L4293" s="444">
        <f t="shared" ca="1" si="182"/>
        <v>-25428279453123.242</v>
      </c>
      <c r="M4293" s="460">
        <f t="shared" si="184"/>
        <v>0.05</v>
      </c>
      <c r="N4293" s="464">
        <f t="shared" si="185"/>
        <v>181709</v>
      </c>
    </row>
    <row r="4294" spans="7:14" ht="11.25" customHeight="1" x14ac:dyDescent="0.25">
      <c r="G4294" s="459"/>
      <c r="H4294" s="459">
        <v>4287</v>
      </c>
      <c r="I4294" s="444">
        <f t="shared" ca="1" si="183"/>
        <v>-25428279453123.242</v>
      </c>
      <c r="J4294" s="444">
        <f t="array" ref="J4294">IFERROR(INDEX('Retirement Calculator'!J:J,MATCH('Isaac 401k'!N4294,'Retirement Calculator'!A:A,0),0),0)</f>
        <v>0</v>
      </c>
      <c r="K4294" s="444">
        <f t="shared" ca="1" si="181"/>
        <v>-105951164388.0135</v>
      </c>
      <c r="L4294" s="444">
        <f t="shared" ca="1" si="182"/>
        <v>-25534230617511.254</v>
      </c>
      <c r="M4294" s="460">
        <f t="shared" si="184"/>
        <v>0.05</v>
      </c>
      <c r="N4294" s="464">
        <f t="shared" si="185"/>
        <v>181740</v>
      </c>
    </row>
    <row r="4295" spans="7:14" ht="11.25" customHeight="1" x14ac:dyDescent="0.25">
      <c r="G4295" s="459"/>
      <c r="H4295" s="459">
        <v>4288</v>
      </c>
      <c r="I4295" s="444">
        <f t="shared" ca="1" si="183"/>
        <v>-25534230617511.254</v>
      </c>
      <c r="J4295" s="444">
        <f t="array" ref="J4295">IFERROR(INDEX('Retirement Calculator'!J:J,MATCH('Isaac 401k'!N4295,'Retirement Calculator'!A:A,0),0),0)</f>
        <v>0</v>
      </c>
      <c r="K4295" s="444">
        <f t="shared" ca="1" si="181"/>
        <v>-106392627572.96356</v>
      </c>
      <c r="L4295" s="444">
        <f t="shared" ca="1" si="182"/>
        <v>-25640623245084.219</v>
      </c>
      <c r="M4295" s="460">
        <f t="shared" si="184"/>
        <v>0.05</v>
      </c>
      <c r="N4295" s="464">
        <f t="shared" si="185"/>
        <v>181771</v>
      </c>
    </row>
    <row r="4296" spans="7:14" ht="11.25" customHeight="1" x14ac:dyDescent="0.25">
      <c r="G4296" s="459"/>
      <c r="H4296" s="459">
        <v>4289</v>
      </c>
      <c r="I4296" s="444">
        <f t="shared" ca="1" si="183"/>
        <v>-25640623245084.219</v>
      </c>
      <c r="J4296" s="444">
        <f t="array" ref="J4296">IFERROR(INDEX('Retirement Calculator'!J:J,MATCH('Isaac 401k'!N4296,'Retirement Calculator'!A:A,0),0),0)</f>
        <v>0</v>
      </c>
      <c r="K4296" s="444">
        <f t="shared" ca="1" si="181"/>
        <v>-106835930187.85091</v>
      </c>
      <c r="L4296" s="444">
        <f t="shared" ca="1" si="182"/>
        <v>-25747459175272.07</v>
      </c>
      <c r="M4296" s="460">
        <f t="shared" si="184"/>
        <v>0.05</v>
      </c>
      <c r="N4296" s="464">
        <f t="shared" si="185"/>
        <v>181801</v>
      </c>
    </row>
    <row r="4297" spans="7:14" ht="11.25" customHeight="1" x14ac:dyDescent="0.25">
      <c r="G4297" s="459"/>
      <c r="H4297" s="459">
        <v>4290</v>
      </c>
      <c r="I4297" s="444">
        <f t="shared" ca="1" si="183"/>
        <v>-25747459175272.07</v>
      </c>
      <c r="J4297" s="444">
        <f t="array" ref="J4297">IFERROR(INDEX('Retirement Calculator'!J:J,MATCH('Isaac 401k'!N4297,'Retirement Calculator'!A:A,0),0),0)</f>
        <v>0</v>
      </c>
      <c r="K4297" s="444">
        <f t="shared" ca="1" si="181"/>
        <v>-107281079896.96696</v>
      </c>
      <c r="L4297" s="444">
        <f t="shared" ca="1" si="182"/>
        <v>-25854740255169.039</v>
      </c>
      <c r="M4297" s="460">
        <f t="shared" si="184"/>
        <v>0.05</v>
      </c>
      <c r="N4297" s="464">
        <f t="shared" si="185"/>
        <v>181832</v>
      </c>
    </row>
    <row r="4298" spans="7:14" ht="11.25" customHeight="1" x14ac:dyDescent="0.25">
      <c r="G4298" s="459"/>
      <c r="H4298" s="459">
        <v>4291</v>
      </c>
      <c r="I4298" s="444">
        <f t="shared" ca="1" si="183"/>
        <v>-25854740255169.039</v>
      </c>
      <c r="J4298" s="444">
        <f t="array" ref="J4298">IFERROR(INDEX('Retirement Calculator'!J:J,MATCH('Isaac 401k'!N4298,'Retirement Calculator'!A:A,0),0),0)</f>
        <v>0</v>
      </c>
      <c r="K4298" s="444">
        <f t="shared" ca="1" si="181"/>
        <v>-107728084396.53766</v>
      </c>
      <c r="L4298" s="444">
        <f t="shared" ca="1" si="182"/>
        <v>-25962468339565.578</v>
      </c>
      <c r="M4298" s="460">
        <f t="shared" si="184"/>
        <v>0.05</v>
      </c>
      <c r="N4298" s="464">
        <f t="shared" si="185"/>
        <v>181862</v>
      </c>
    </row>
    <row r="4299" spans="7:14" ht="11.25" customHeight="1" x14ac:dyDescent="0.25">
      <c r="G4299" s="459"/>
      <c r="H4299" s="459">
        <v>4292</v>
      </c>
      <c r="I4299" s="444">
        <f t="shared" ca="1" si="183"/>
        <v>-25962468339565.578</v>
      </c>
      <c r="J4299" s="444">
        <f t="array" ref="J4299">IFERROR(INDEX('Retirement Calculator'!J:J,MATCH('Isaac 401k'!N4299,'Retirement Calculator'!A:A,0),0),0)</f>
        <v>0</v>
      </c>
      <c r="K4299" s="444">
        <f t="shared" ca="1" si="181"/>
        <v>-108176951414.85657</v>
      </c>
      <c r="L4299" s="444">
        <f t="shared" ca="1" si="182"/>
        <v>-26070645290980.434</v>
      </c>
      <c r="M4299" s="460">
        <f t="shared" si="184"/>
        <v>0.05</v>
      </c>
      <c r="N4299" s="464">
        <f t="shared" si="185"/>
        <v>181893</v>
      </c>
    </row>
    <row r="4300" spans="7:14" ht="11.25" customHeight="1" x14ac:dyDescent="0.25">
      <c r="G4300" s="459"/>
      <c r="H4300" s="459">
        <v>4293</v>
      </c>
      <c r="I4300" s="444">
        <f t="shared" ca="1" si="183"/>
        <v>-26070645290980.434</v>
      </c>
      <c r="J4300" s="444">
        <f t="array" ref="J4300">IFERROR(INDEX('Retirement Calculator'!J:J,MATCH('Isaac 401k'!N4300,'Retirement Calculator'!A:A,0),0),0)</f>
        <v>0</v>
      </c>
      <c r="K4300" s="444">
        <f t="shared" ca="1" si="181"/>
        <v>-108627688712.41847</v>
      </c>
      <c r="L4300" s="444">
        <f t="shared" ca="1" si="182"/>
        <v>-26179272979692.852</v>
      </c>
      <c r="M4300" s="460">
        <f t="shared" si="184"/>
        <v>0.05</v>
      </c>
      <c r="N4300" s="464">
        <f t="shared" si="185"/>
        <v>181924</v>
      </c>
    </row>
    <row r="4301" spans="7:14" ht="11.25" customHeight="1" x14ac:dyDescent="0.25">
      <c r="G4301" s="459"/>
      <c r="H4301" s="459">
        <v>4294</v>
      </c>
      <c r="I4301" s="444">
        <f t="shared" ca="1" si="183"/>
        <v>-26179272979692.852</v>
      </c>
      <c r="J4301" s="444">
        <f t="array" ref="J4301">IFERROR(INDEX('Retirement Calculator'!J:J,MATCH('Isaac 401k'!N4301,'Retirement Calculator'!A:A,0),0),0)</f>
        <v>0</v>
      </c>
      <c r="K4301" s="444">
        <f t="shared" ca="1" si="181"/>
        <v>-109080304082.05354</v>
      </c>
      <c r="L4301" s="444">
        <f t="shared" ca="1" si="182"/>
        <v>-26288353283774.906</v>
      </c>
      <c r="M4301" s="460">
        <f t="shared" si="184"/>
        <v>0.05</v>
      </c>
      <c r="N4301" s="464">
        <f t="shared" si="185"/>
        <v>181952</v>
      </c>
    </row>
    <row r="4302" spans="7:14" ht="11.25" customHeight="1" x14ac:dyDescent="0.25">
      <c r="G4302" s="459"/>
      <c r="H4302" s="459">
        <v>4295</v>
      </c>
      <c r="I4302" s="444">
        <f t="shared" ca="1" si="183"/>
        <v>-26288353283774.906</v>
      </c>
      <c r="J4302" s="444">
        <f t="array" ref="J4302">IFERROR(INDEX('Retirement Calculator'!J:J,MATCH('Isaac 401k'!N4302,'Retirement Calculator'!A:A,0),0),0)</f>
        <v>0</v>
      </c>
      <c r="K4302" s="444">
        <f t="shared" ca="1" si="181"/>
        <v>-109534805349.0621</v>
      </c>
      <c r="L4302" s="444">
        <f t="shared" ca="1" si="182"/>
        <v>-26397888089123.969</v>
      </c>
      <c r="M4302" s="460">
        <f t="shared" si="184"/>
        <v>0.05</v>
      </c>
      <c r="N4302" s="464">
        <f t="shared" si="185"/>
        <v>181983</v>
      </c>
    </row>
    <row r="4303" spans="7:14" ht="11.25" customHeight="1" x14ac:dyDescent="0.25">
      <c r="G4303" s="459"/>
      <c r="H4303" s="459">
        <v>4296</v>
      </c>
      <c r="I4303" s="444">
        <f t="shared" ca="1" si="183"/>
        <v>-26397888089123.969</v>
      </c>
      <c r="J4303" s="444">
        <f t="array" ref="J4303">IFERROR(INDEX('Retirement Calculator'!J:J,MATCH('Isaac 401k'!N4303,'Retirement Calculator'!A:A,0),0),0)</f>
        <v>0</v>
      </c>
      <c r="K4303" s="444">
        <f t="shared" ca="1" si="181"/>
        <v>-109991200371.34987</v>
      </c>
      <c r="L4303" s="444">
        <f t="shared" ca="1" si="182"/>
        <v>-26507879289495.32</v>
      </c>
      <c r="M4303" s="460">
        <f t="shared" si="184"/>
        <v>0.05</v>
      </c>
      <c r="N4303" s="464">
        <f t="shared" si="185"/>
        <v>182013</v>
      </c>
    </row>
    <row r="4304" spans="7:14" ht="11.25" customHeight="1" x14ac:dyDescent="0.25">
      <c r="G4304" s="459"/>
      <c r="H4304" s="459">
        <v>4297</v>
      </c>
      <c r="I4304" s="444">
        <f t="shared" ca="1" si="183"/>
        <v>-26507879289495.32</v>
      </c>
      <c r="J4304" s="444">
        <f t="array" ref="J4304">IFERROR(INDEX('Retirement Calculator'!J:J,MATCH('Isaac 401k'!N4304,'Retirement Calculator'!A:A,0),0),0)</f>
        <v>0</v>
      </c>
      <c r="K4304" s="444">
        <f t="shared" ca="1" si="181"/>
        <v>-110449497039.56383</v>
      </c>
      <c r="L4304" s="444">
        <f t="shared" ca="1" si="182"/>
        <v>-26618328786534.883</v>
      </c>
      <c r="M4304" s="460">
        <f t="shared" si="184"/>
        <v>0.05</v>
      </c>
      <c r="N4304" s="464">
        <f t="shared" si="185"/>
        <v>182044</v>
      </c>
    </row>
    <row r="4305" spans="7:14" ht="11.25" customHeight="1" x14ac:dyDescent="0.25">
      <c r="G4305" s="459"/>
      <c r="H4305" s="459">
        <v>4298</v>
      </c>
      <c r="I4305" s="444">
        <f t="shared" ca="1" si="183"/>
        <v>-26618328786534.883</v>
      </c>
      <c r="J4305" s="444">
        <f t="array" ref="J4305">IFERROR(INDEX('Retirement Calculator'!J:J,MATCH('Isaac 401k'!N4305,'Retirement Calculator'!A:A,0),0),0)</f>
        <v>0</v>
      </c>
      <c r="K4305" s="444">
        <f t="shared" ca="1" si="181"/>
        <v>-110909703277.22868</v>
      </c>
      <c r="L4305" s="444">
        <f t="shared" ca="1" si="182"/>
        <v>-26729238489812.113</v>
      </c>
      <c r="M4305" s="460">
        <f t="shared" si="184"/>
        <v>0.05</v>
      </c>
      <c r="N4305" s="464">
        <f t="shared" si="185"/>
        <v>182074</v>
      </c>
    </row>
    <row r="4306" spans="7:14" ht="11.25" customHeight="1" x14ac:dyDescent="0.25">
      <c r="G4306" s="459"/>
      <c r="H4306" s="459">
        <v>4299</v>
      </c>
      <c r="I4306" s="444">
        <f t="shared" ca="1" si="183"/>
        <v>-26729238489812.113</v>
      </c>
      <c r="J4306" s="444">
        <f t="array" ref="J4306">IFERROR(INDEX('Retirement Calculator'!J:J,MATCH('Isaac 401k'!N4306,'Retirement Calculator'!A:A,0),0),0)</f>
        <v>0</v>
      </c>
      <c r="K4306" s="444">
        <f t="shared" ca="1" si="181"/>
        <v>-111371827040.8838</v>
      </c>
      <c r="L4306" s="444">
        <f t="shared" ca="1" si="182"/>
        <v>-26840610316852.996</v>
      </c>
      <c r="M4306" s="460">
        <f t="shared" si="184"/>
        <v>0.05</v>
      </c>
      <c r="N4306" s="464">
        <f t="shared" si="185"/>
        <v>182105</v>
      </c>
    </row>
    <row r="4307" spans="7:14" ht="11.25" customHeight="1" x14ac:dyDescent="0.25">
      <c r="G4307" s="459"/>
      <c r="H4307" s="459">
        <v>4300</v>
      </c>
      <c r="I4307" s="444">
        <f t="shared" ca="1" si="183"/>
        <v>-26840610316852.996</v>
      </c>
      <c r="J4307" s="444">
        <f t="array" ref="J4307">IFERROR(INDEX('Retirement Calculator'!J:J,MATCH('Isaac 401k'!N4307,'Retirement Calculator'!A:A,0),0),0)</f>
        <v>0</v>
      </c>
      <c r="K4307" s="444">
        <f t="shared" ca="1" si="181"/>
        <v>-111835876320.22081</v>
      </c>
      <c r="L4307" s="444">
        <f t="shared" ca="1" si="182"/>
        <v>-26952446193173.219</v>
      </c>
      <c r="M4307" s="460">
        <f t="shared" si="184"/>
        <v>0.05</v>
      </c>
      <c r="N4307" s="464">
        <f t="shared" si="185"/>
        <v>182136</v>
      </c>
    </row>
    <row r="4308" spans="7:14" ht="11.25" customHeight="1" x14ac:dyDescent="0.25">
      <c r="G4308" s="459"/>
      <c r="H4308" s="459">
        <v>4301</v>
      </c>
      <c r="I4308" s="444">
        <f t="shared" ca="1" si="183"/>
        <v>-26952446193173.219</v>
      </c>
      <c r="J4308" s="444">
        <f t="array" ref="J4308">IFERROR(INDEX('Retirement Calculator'!J:J,MATCH('Isaac 401k'!N4308,'Retirement Calculator'!A:A,0),0),0)</f>
        <v>0</v>
      </c>
      <c r="K4308" s="444">
        <f t="shared" ca="1" si="181"/>
        <v>-112301859138.22174</v>
      </c>
      <c r="L4308" s="444">
        <f t="shared" ca="1" si="182"/>
        <v>-27064748052311.441</v>
      </c>
      <c r="M4308" s="460">
        <f t="shared" si="184"/>
        <v>0.05</v>
      </c>
      <c r="N4308" s="464">
        <f t="shared" si="185"/>
        <v>182166</v>
      </c>
    </row>
    <row r="4309" spans="7:14" ht="11.25" customHeight="1" x14ac:dyDescent="0.25">
      <c r="G4309" s="459"/>
      <c r="H4309" s="459">
        <v>4302</v>
      </c>
      <c r="I4309" s="444">
        <f t="shared" ca="1" si="183"/>
        <v>-27064748052311.441</v>
      </c>
      <c r="J4309" s="444">
        <f t="array" ref="J4309">IFERROR(INDEX('Retirement Calculator'!J:J,MATCH('Isaac 401k'!N4309,'Retirement Calculator'!A:A,0),0),0)</f>
        <v>0</v>
      </c>
      <c r="K4309" s="444">
        <f t="shared" ca="1" si="181"/>
        <v>-112769783551.29767</v>
      </c>
      <c r="L4309" s="444">
        <f t="shared" ca="1" si="182"/>
        <v>-27177517835862.738</v>
      </c>
      <c r="M4309" s="460">
        <f t="shared" si="184"/>
        <v>0.05</v>
      </c>
      <c r="N4309" s="464">
        <f t="shared" si="185"/>
        <v>182197</v>
      </c>
    </row>
    <row r="4310" spans="7:14" ht="11.25" customHeight="1" x14ac:dyDescent="0.25">
      <c r="G4310" s="459"/>
      <c r="H4310" s="459">
        <v>4303</v>
      </c>
      <c r="I4310" s="444">
        <f t="shared" ca="1" si="183"/>
        <v>-27177517835862.738</v>
      </c>
      <c r="J4310" s="444">
        <f t="array" ref="J4310">IFERROR(INDEX('Retirement Calculator'!J:J,MATCH('Isaac 401k'!N4310,'Retirement Calculator'!A:A,0),0),0)</f>
        <v>0</v>
      </c>
      <c r="K4310" s="444">
        <f t="shared" ca="1" si="181"/>
        <v>-113239657649.42807</v>
      </c>
      <c r="L4310" s="444">
        <f t="shared" ca="1" si="182"/>
        <v>-27290757493512.168</v>
      </c>
      <c r="M4310" s="460">
        <f t="shared" si="184"/>
        <v>0.05</v>
      </c>
      <c r="N4310" s="464">
        <f t="shared" si="185"/>
        <v>182227</v>
      </c>
    </row>
    <row r="4311" spans="7:14" ht="11.25" customHeight="1" x14ac:dyDescent="0.25">
      <c r="G4311" s="459"/>
      <c r="H4311" s="459">
        <v>4304</v>
      </c>
      <c r="I4311" s="444">
        <f t="shared" ca="1" si="183"/>
        <v>-27290757493512.168</v>
      </c>
      <c r="J4311" s="444">
        <f t="array" ref="J4311">IFERROR(INDEX('Retirement Calculator'!J:J,MATCH('Isaac 401k'!N4311,'Retirement Calculator'!A:A,0),0),0)</f>
        <v>0</v>
      </c>
      <c r="K4311" s="444">
        <f t="shared" ca="1" si="181"/>
        <v>-113711489556.3007</v>
      </c>
      <c r="L4311" s="444">
        <f t="shared" ca="1" si="182"/>
        <v>-27404468983068.469</v>
      </c>
      <c r="M4311" s="460">
        <f t="shared" si="184"/>
        <v>0.05</v>
      </c>
      <c r="N4311" s="464">
        <f t="shared" si="185"/>
        <v>182258</v>
      </c>
    </row>
    <row r="4312" spans="7:14" ht="11.25" customHeight="1" x14ac:dyDescent="0.25">
      <c r="G4312" s="459"/>
      <c r="H4312" s="459">
        <v>4305</v>
      </c>
      <c r="I4312" s="444">
        <f t="shared" ca="1" si="183"/>
        <v>-27404468983068.469</v>
      </c>
      <c r="J4312" s="444">
        <f t="array" ref="J4312">IFERROR(INDEX('Retirement Calculator'!J:J,MATCH('Isaac 401k'!N4312,'Retirement Calculator'!A:A,0),0),0)</f>
        <v>0</v>
      </c>
      <c r="K4312" s="444">
        <f t="shared" ca="1" si="181"/>
        <v>-114185287429.45195</v>
      </c>
      <c r="L4312" s="444">
        <f t="shared" ca="1" si="182"/>
        <v>-27518654270497.922</v>
      </c>
      <c r="M4312" s="460">
        <f t="shared" si="184"/>
        <v>0.05</v>
      </c>
      <c r="N4312" s="464">
        <f t="shared" si="185"/>
        <v>182289</v>
      </c>
    </row>
    <row r="4313" spans="7:14" ht="11.25" customHeight="1" x14ac:dyDescent="0.25">
      <c r="G4313" s="459"/>
      <c r="H4313" s="459">
        <v>4306</v>
      </c>
      <c r="I4313" s="444">
        <f t="shared" ca="1" si="183"/>
        <v>-27518654270497.922</v>
      </c>
      <c r="J4313" s="444">
        <f t="array" ref="J4313">IFERROR(INDEX('Retirement Calculator'!J:J,MATCH('Isaac 401k'!N4313,'Retirement Calculator'!A:A,0),0),0)</f>
        <v>0</v>
      </c>
      <c r="K4313" s="444">
        <f t="shared" ca="1" si="181"/>
        <v>-114661059460.408</v>
      </c>
      <c r="L4313" s="444">
        <f t="shared" ca="1" si="182"/>
        <v>-27633315329958.328</v>
      </c>
      <c r="M4313" s="460">
        <f t="shared" si="184"/>
        <v>0.05</v>
      </c>
      <c r="N4313" s="464">
        <f t="shared" si="185"/>
        <v>182317</v>
      </c>
    </row>
    <row r="4314" spans="7:14" ht="11.25" customHeight="1" x14ac:dyDescent="0.25">
      <c r="G4314" s="459"/>
      <c r="H4314" s="459">
        <v>4307</v>
      </c>
      <c r="I4314" s="444">
        <f t="shared" ca="1" si="183"/>
        <v>-27633315329958.328</v>
      </c>
      <c r="J4314" s="444">
        <f t="array" ref="J4314">IFERROR(INDEX('Retirement Calculator'!J:J,MATCH('Isaac 401k'!N4314,'Retirement Calculator'!A:A,0),0),0)</f>
        <v>0</v>
      </c>
      <c r="K4314" s="444">
        <f t="shared" ca="1" si="181"/>
        <v>-115138813874.82637</v>
      </c>
      <c r="L4314" s="444">
        <f t="shared" ca="1" si="182"/>
        <v>-27748454143833.156</v>
      </c>
      <c r="M4314" s="460">
        <f t="shared" si="184"/>
        <v>0.05</v>
      </c>
      <c r="N4314" s="464">
        <f t="shared" si="185"/>
        <v>182348</v>
      </c>
    </row>
    <row r="4315" spans="7:14" ht="11.25" customHeight="1" x14ac:dyDescent="0.25">
      <c r="G4315" s="459"/>
      <c r="H4315" s="459">
        <v>4308</v>
      </c>
      <c r="I4315" s="444">
        <f t="shared" ca="1" si="183"/>
        <v>-27748454143833.156</v>
      </c>
      <c r="J4315" s="444">
        <f t="array" ref="J4315">IFERROR(INDEX('Retirement Calculator'!J:J,MATCH('Isaac 401k'!N4315,'Retirement Calculator'!A:A,0),0),0)</f>
        <v>0</v>
      </c>
      <c r="K4315" s="444">
        <f t="shared" ca="1" si="181"/>
        <v>-115618558932.63814</v>
      </c>
      <c r="L4315" s="444">
        <f t="shared" ca="1" si="182"/>
        <v>-27864072702765.793</v>
      </c>
      <c r="M4315" s="460">
        <f t="shared" si="184"/>
        <v>0.05</v>
      </c>
      <c r="N4315" s="464">
        <f t="shared" si="185"/>
        <v>182378</v>
      </c>
    </row>
    <row r="4316" spans="7:14" ht="11.25" customHeight="1" x14ac:dyDescent="0.25">
      <c r="G4316" s="459"/>
      <c r="H4316" s="459">
        <v>4309</v>
      </c>
      <c r="I4316" s="444">
        <f t="shared" ca="1" si="183"/>
        <v>-27864072702765.793</v>
      </c>
      <c r="J4316" s="444">
        <f t="array" ref="J4316">IFERROR(INDEX('Retirement Calculator'!J:J,MATCH('Isaac 401k'!N4316,'Retirement Calculator'!A:A,0),0),0)</f>
        <v>0</v>
      </c>
      <c r="K4316" s="444">
        <f t="shared" ca="1" si="181"/>
        <v>-116100302928.19081</v>
      </c>
      <c r="L4316" s="444">
        <f t="shared" ca="1" si="182"/>
        <v>-27980173005693.984</v>
      </c>
      <c r="M4316" s="460">
        <f t="shared" si="184"/>
        <v>0.05</v>
      </c>
      <c r="N4316" s="464">
        <f t="shared" si="185"/>
        <v>182409</v>
      </c>
    </row>
    <row r="4317" spans="7:14" ht="11.25" customHeight="1" x14ac:dyDescent="0.25">
      <c r="G4317" s="459"/>
      <c r="H4317" s="459">
        <v>4310</v>
      </c>
      <c r="I4317" s="444">
        <f t="shared" ca="1" si="183"/>
        <v>-27980173005693.984</v>
      </c>
      <c r="J4317" s="444">
        <f t="array" ref="J4317">IFERROR(INDEX('Retirement Calculator'!J:J,MATCH('Isaac 401k'!N4317,'Retirement Calculator'!A:A,0),0),0)</f>
        <v>0</v>
      </c>
      <c r="K4317" s="444">
        <f t="shared" ca="1" si="181"/>
        <v>-116584054190.3916</v>
      </c>
      <c r="L4317" s="444">
        <f t="shared" ca="1" si="182"/>
        <v>-28096757059884.375</v>
      </c>
      <c r="M4317" s="460">
        <f t="shared" si="184"/>
        <v>0.05</v>
      </c>
      <c r="N4317" s="464">
        <f t="shared" si="185"/>
        <v>182439</v>
      </c>
    </row>
    <row r="4318" spans="7:14" ht="11.25" customHeight="1" x14ac:dyDescent="0.25">
      <c r="G4318" s="459"/>
      <c r="H4318" s="459">
        <v>4311</v>
      </c>
      <c r="I4318" s="444">
        <f t="shared" ca="1" si="183"/>
        <v>-28096757059884.375</v>
      </c>
      <c r="J4318" s="444">
        <f t="array" ref="J4318">IFERROR(INDEX('Retirement Calculator'!J:J,MATCH('Isaac 401k'!N4318,'Retirement Calculator'!A:A,0),0),0)</f>
        <v>0</v>
      </c>
      <c r="K4318" s="444">
        <f t="shared" ca="1" si="181"/>
        <v>-117069821082.85156</v>
      </c>
      <c r="L4318" s="444">
        <f t="shared" ca="1" si="182"/>
        <v>-28213826880967.227</v>
      </c>
      <c r="M4318" s="460">
        <f t="shared" si="184"/>
        <v>0.05</v>
      </c>
      <c r="N4318" s="464">
        <f t="shared" si="185"/>
        <v>182470</v>
      </c>
    </row>
    <row r="4319" spans="7:14" ht="11.25" customHeight="1" x14ac:dyDescent="0.25">
      <c r="G4319" s="459"/>
      <c r="H4319" s="459">
        <v>4312</v>
      </c>
      <c r="I4319" s="444">
        <f t="shared" ca="1" si="183"/>
        <v>-28213826880967.227</v>
      </c>
      <c r="J4319" s="444">
        <f t="array" ref="J4319">IFERROR(INDEX('Retirement Calculator'!J:J,MATCH('Isaac 401k'!N4319,'Retirement Calculator'!A:A,0),0),0)</f>
        <v>0</v>
      </c>
      <c r="K4319" s="444">
        <f t="shared" ca="1" si="181"/>
        <v>-117557612004.03011</v>
      </c>
      <c r="L4319" s="444">
        <f t="shared" ca="1" si="182"/>
        <v>-28331384492971.258</v>
      </c>
      <c r="M4319" s="460">
        <f t="shared" si="184"/>
        <v>0.05</v>
      </c>
      <c r="N4319" s="464">
        <f t="shared" si="185"/>
        <v>182501</v>
      </c>
    </row>
    <row r="4320" spans="7:14" ht="11.25" customHeight="1" x14ac:dyDescent="0.25">
      <c r="G4320" s="459"/>
      <c r="H4320" s="459">
        <v>4313</v>
      </c>
      <c r="I4320" s="444">
        <f t="shared" ca="1" si="183"/>
        <v>-28331384492971.258</v>
      </c>
      <c r="J4320" s="444">
        <f t="array" ref="J4320">IFERROR(INDEX('Retirement Calculator'!J:J,MATCH('Isaac 401k'!N4320,'Retirement Calculator'!A:A,0),0),0)</f>
        <v>0</v>
      </c>
      <c r="K4320" s="444">
        <f t="shared" ca="1" si="181"/>
        <v>-118047435387.38023</v>
      </c>
      <c r="L4320" s="444">
        <f t="shared" ca="1" si="182"/>
        <v>-28449431928358.637</v>
      </c>
      <c r="M4320" s="460">
        <f t="shared" si="184"/>
        <v>0.05</v>
      </c>
      <c r="N4320" s="464">
        <f t="shared" si="185"/>
        <v>182531</v>
      </c>
    </row>
    <row r="4321" spans="7:14" ht="11.25" customHeight="1" x14ac:dyDescent="0.25">
      <c r="G4321" s="459"/>
      <c r="H4321" s="459">
        <v>4314</v>
      </c>
      <c r="I4321" s="444">
        <f t="shared" ca="1" si="183"/>
        <v>-28449431928358.637</v>
      </c>
      <c r="J4321" s="444">
        <f t="array" ref="J4321">IFERROR(INDEX('Retirement Calculator'!J:J,MATCH('Isaac 401k'!N4321,'Retirement Calculator'!A:A,0),0),0)</f>
        <v>0</v>
      </c>
      <c r="K4321" s="444">
        <f t="shared" ca="1" si="181"/>
        <v>-118539299701.49432</v>
      </c>
      <c r="L4321" s="444">
        <f t="shared" ca="1" si="182"/>
        <v>-28567971228060.133</v>
      </c>
      <c r="M4321" s="460">
        <f t="shared" si="184"/>
        <v>0.05</v>
      </c>
      <c r="N4321" s="464">
        <f t="shared" si="185"/>
        <v>182562</v>
      </c>
    </row>
    <row r="4322" spans="7:14" ht="11.25" customHeight="1" x14ac:dyDescent="0.25">
      <c r="G4322" s="459"/>
      <c r="H4322" s="459">
        <v>4315</v>
      </c>
      <c r="I4322" s="444">
        <f t="shared" ca="1" si="183"/>
        <v>-28567971228060.133</v>
      </c>
      <c r="J4322" s="444">
        <f t="array" ref="J4322">IFERROR(INDEX('Retirement Calculator'!J:J,MATCH('Isaac 401k'!N4322,'Retirement Calculator'!A:A,0),0),0)</f>
        <v>0</v>
      </c>
      <c r="K4322" s="444">
        <f t="shared" ca="1" si="181"/>
        <v>-119033213450.25056</v>
      </c>
      <c r="L4322" s="444">
        <f t="shared" ca="1" si="182"/>
        <v>-28687004441510.383</v>
      </c>
      <c r="M4322" s="460">
        <f t="shared" si="184"/>
        <v>0.05</v>
      </c>
      <c r="N4322" s="464">
        <f t="shared" si="185"/>
        <v>182592</v>
      </c>
    </row>
    <row r="4323" spans="7:14" ht="11.25" customHeight="1" x14ac:dyDescent="0.25">
      <c r="G4323" s="459"/>
      <c r="H4323" s="459">
        <v>4316</v>
      </c>
      <c r="I4323" s="444">
        <f t="shared" ca="1" si="183"/>
        <v>-28687004441510.383</v>
      </c>
      <c r="J4323" s="444">
        <f t="array" ref="J4323">IFERROR(INDEX('Retirement Calculator'!J:J,MATCH('Isaac 401k'!N4323,'Retirement Calculator'!A:A,0),0),0)</f>
        <v>0</v>
      </c>
      <c r="K4323" s="444">
        <f t="shared" ca="1" si="181"/>
        <v>-119529185172.95992</v>
      </c>
      <c r="L4323" s="444">
        <f t="shared" ca="1" si="182"/>
        <v>-28806533626683.344</v>
      </c>
      <c r="M4323" s="460">
        <f t="shared" si="184"/>
        <v>0.05</v>
      </c>
      <c r="N4323" s="464">
        <f t="shared" si="185"/>
        <v>182623</v>
      </c>
    </row>
    <row r="4324" spans="7:14" ht="11.25" customHeight="1" x14ac:dyDescent="0.25">
      <c r="G4324" s="459"/>
      <c r="H4324" s="459">
        <v>4317</v>
      </c>
      <c r="I4324" s="444">
        <f t="shared" ca="1" si="183"/>
        <v>-28806533626683.344</v>
      </c>
      <c r="J4324" s="444">
        <f t="array" ref="J4324">IFERROR(INDEX('Retirement Calculator'!J:J,MATCH('Isaac 401k'!N4324,'Retirement Calculator'!A:A,0),0),0)</f>
        <v>0</v>
      </c>
      <c r="K4324" s="444">
        <f t="shared" ca="1" si="181"/>
        <v>-120027223444.51393</v>
      </c>
      <c r="L4324" s="444">
        <f t="shared" ca="1" si="182"/>
        <v>-28926560850127.859</v>
      </c>
      <c r="M4324" s="460">
        <f t="shared" si="184"/>
        <v>0.05</v>
      </c>
      <c r="N4324" s="464">
        <f t="shared" si="185"/>
        <v>182654</v>
      </c>
    </row>
    <row r="4325" spans="7:14" ht="11.25" customHeight="1" x14ac:dyDescent="0.25">
      <c r="G4325" s="459"/>
      <c r="H4325" s="459">
        <v>4318</v>
      </c>
      <c r="I4325" s="444">
        <f t="shared" ca="1" si="183"/>
        <v>-28926560850127.859</v>
      </c>
      <c r="J4325" s="444">
        <f t="array" ref="J4325">IFERROR(INDEX('Retirement Calculator'!J:J,MATCH('Isaac 401k'!N4325,'Retirement Calculator'!A:A,0),0),0)</f>
        <v>0</v>
      </c>
      <c r="K4325" s="444">
        <f t="shared" ca="1" si="181"/>
        <v>-120527336875.53273</v>
      </c>
      <c r="L4325" s="444">
        <f t="shared" ca="1" si="182"/>
        <v>-29047088187003.391</v>
      </c>
      <c r="M4325" s="460">
        <f t="shared" si="184"/>
        <v>0.05</v>
      </c>
      <c r="N4325" s="464">
        <f t="shared" si="185"/>
        <v>182683</v>
      </c>
    </row>
    <row r="4326" spans="7:14" ht="11.25" customHeight="1" x14ac:dyDescent="0.25">
      <c r="G4326" s="459"/>
      <c r="H4326" s="459">
        <v>4319</v>
      </c>
      <c r="I4326" s="444">
        <f t="shared" ca="1" si="183"/>
        <v>-29047088187003.391</v>
      </c>
      <c r="J4326" s="444">
        <f t="array" ref="J4326">IFERROR(INDEX('Retirement Calculator'!J:J,MATCH('Isaac 401k'!N4326,'Retirement Calculator'!A:A,0),0),0)</f>
        <v>0</v>
      </c>
      <c r="K4326" s="444">
        <f t="shared" ca="1" si="181"/>
        <v>-121029534112.51414</v>
      </c>
      <c r="L4326" s="444">
        <f t="shared" ca="1" si="182"/>
        <v>-29168117721115.906</v>
      </c>
      <c r="M4326" s="460">
        <f t="shared" si="184"/>
        <v>0.05</v>
      </c>
      <c r="N4326" s="464">
        <f t="shared" si="185"/>
        <v>182714</v>
      </c>
    </row>
    <row r="4327" spans="7:14" ht="11.25" customHeight="1" x14ac:dyDescent="0.25">
      <c r="G4327" s="459"/>
      <c r="H4327" s="459">
        <v>4320</v>
      </c>
      <c r="I4327" s="444">
        <f t="shared" ca="1" si="183"/>
        <v>-29168117721115.906</v>
      </c>
      <c r="J4327" s="444">
        <f t="array" ref="J4327">IFERROR(INDEX('Retirement Calculator'!J:J,MATCH('Isaac 401k'!N4327,'Retirement Calculator'!A:A,0),0),0)</f>
        <v>0</v>
      </c>
      <c r="K4327" s="444">
        <f t="shared" ca="1" si="181"/>
        <v>-121533823837.98294</v>
      </c>
      <c r="L4327" s="444">
        <f t="shared" ca="1" si="182"/>
        <v>-29289651544953.891</v>
      </c>
      <c r="M4327" s="460">
        <f t="shared" si="184"/>
        <v>0.05</v>
      </c>
      <c r="N4327" s="464">
        <f t="shared" si="185"/>
        <v>182744</v>
      </c>
    </row>
    <row r="4328" spans="7:14" ht="11.25" customHeight="1" x14ac:dyDescent="0.25">
      <c r="G4328" s="459"/>
      <c r="H4328" s="459">
        <v>4321</v>
      </c>
      <c r="I4328" s="444">
        <f t="shared" ca="1" si="183"/>
        <v>-29289651544953.891</v>
      </c>
      <c r="J4328" s="444">
        <f t="array" ref="J4328">IFERROR(INDEX('Retirement Calculator'!J:J,MATCH('Isaac 401k'!N4328,'Retirement Calculator'!A:A,0),0),0)</f>
        <v>0</v>
      </c>
      <c r="K4328" s="444">
        <f t="shared" ca="1" si="181"/>
        <v>-122040214770.64122</v>
      </c>
      <c r="L4328" s="444">
        <f t="shared" ca="1" si="182"/>
        <v>-29411691759724.531</v>
      </c>
      <c r="M4328" s="460">
        <f t="shared" si="184"/>
        <v>0.05</v>
      </c>
      <c r="N4328" s="464">
        <f t="shared" si="185"/>
        <v>182775</v>
      </c>
    </row>
    <row r="4329" spans="7:14" ht="11.25" customHeight="1" x14ac:dyDescent="0.25">
      <c r="G4329" s="459"/>
      <c r="H4329" s="459">
        <v>4322</v>
      </c>
      <c r="I4329" s="444">
        <f t="shared" ca="1" si="183"/>
        <v>-29411691759724.531</v>
      </c>
      <c r="J4329" s="444">
        <f t="array" ref="J4329">IFERROR(INDEX('Retirement Calculator'!J:J,MATCH('Isaac 401k'!N4329,'Retirement Calculator'!A:A,0),0),0)</f>
        <v>0</v>
      </c>
      <c r="K4329" s="444">
        <f t="shared" ca="1" si="181"/>
        <v>-122548715665.51888</v>
      </c>
      <c r="L4329" s="444">
        <f t="shared" ca="1" si="182"/>
        <v>-29534240475390.051</v>
      </c>
      <c r="M4329" s="460">
        <f t="shared" si="184"/>
        <v>0.05</v>
      </c>
      <c r="N4329" s="464">
        <f t="shared" si="185"/>
        <v>182805</v>
      </c>
    </row>
    <row r="4330" spans="7:14" ht="11.25" customHeight="1" x14ac:dyDescent="0.25">
      <c r="G4330" s="459"/>
      <c r="H4330" s="459">
        <v>4323</v>
      </c>
      <c r="I4330" s="444">
        <f t="shared" ca="1" si="183"/>
        <v>-29534240475390.051</v>
      </c>
      <c r="J4330" s="444">
        <f t="array" ref="J4330">IFERROR(INDEX('Retirement Calculator'!J:J,MATCH('Isaac 401k'!N4330,'Retirement Calculator'!A:A,0),0),0)</f>
        <v>0</v>
      </c>
      <c r="K4330" s="444">
        <f t="shared" ca="1" si="181"/>
        <v>-123059335314.12521</v>
      </c>
      <c r="L4330" s="444">
        <f t="shared" ca="1" si="182"/>
        <v>-29657299810704.176</v>
      </c>
      <c r="M4330" s="460">
        <f t="shared" si="184"/>
        <v>0.05</v>
      </c>
      <c r="N4330" s="464">
        <f t="shared" si="185"/>
        <v>182836</v>
      </c>
    </row>
    <row r="4331" spans="7:14" ht="11.25" customHeight="1" x14ac:dyDescent="0.25">
      <c r="G4331" s="459"/>
      <c r="H4331" s="459">
        <v>4324</v>
      </c>
      <c r="I4331" s="444">
        <f t="shared" ca="1" si="183"/>
        <v>-29657299810704.176</v>
      </c>
      <c r="J4331" s="444">
        <f t="array" ref="J4331">IFERROR(INDEX('Retirement Calculator'!J:J,MATCH('Isaac 401k'!N4331,'Retirement Calculator'!A:A,0),0),0)</f>
        <v>0</v>
      </c>
      <c r="K4331" s="444">
        <f t="shared" ca="1" si="181"/>
        <v>-123572082544.60071</v>
      </c>
      <c r="L4331" s="444">
        <f t="shared" ca="1" si="182"/>
        <v>-29780871893248.777</v>
      </c>
      <c r="M4331" s="460">
        <f t="shared" si="184"/>
        <v>0.05</v>
      </c>
      <c r="N4331" s="464">
        <f t="shared" si="185"/>
        <v>182867</v>
      </c>
    </row>
    <row r="4332" spans="7:14" ht="11.25" customHeight="1" x14ac:dyDescent="0.25">
      <c r="G4332" s="459"/>
      <c r="H4332" s="459">
        <v>4325</v>
      </c>
      <c r="I4332" s="444">
        <f t="shared" ca="1" si="183"/>
        <v>-29780871893248.777</v>
      </c>
      <c r="J4332" s="444">
        <f t="array" ref="J4332">IFERROR(INDEX('Retirement Calculator'!J:J,MATCH('Isaac 401k'!N4332,'Retirement Calculator'!A:A,0),0),0)</f>
        <v>0</v>
      </c>
      <c r="K4332" s="444">
        <f t="shared" ca="1" si="181"/>
        <v>-124086966221.8699</v>
      </c>
      <c r="L4332" s="444">
        <f t="shared" ca="1" si="182"/>
        <v>-29904958859470.648</v>
      </c>
      <c r="M4332" s="460">
        <f t="shared" si="184"/>
        <v>0.05</v>
      </c>
      <c r="N4332" s="464">
        <f t="shared" si="185"/>
        <v>182897</v>
      </c>
    </row>
    <row r="4333" spans="7:14" ht="11.25" customHeight="1" x14ac:dyDescent="0.25">
      <c r="G4333" s="459"/>
      <c r="H4333" s="459">
        <v>4326</v>
      </c>
      <c r="I4333" s="444">
        <f t="shared" ca="1" si="183"/>
        <v>-29904958859470.648</v>
      </c>
      <c r="J4333" s="444">
        <f t="array" ref="J4333">IFERROR(INDEX('Retirement Calculator'!J:J,MATCH('Isaac 401k'!N4333,'Retirement Calculator'!A:A,0),0),0)</f>
        <v>0</v>
      </c>
      <c r="K4333" s="444">
        <f t="shared" ca="1" si="181"/>
        <v>-124603995247.79437</v>
      </c>
      <c r="L4333" s="444">
        <f t="shared" ca="1" si="182"/>
        <v>-30029562854718.441</v>
      </c>
      <c r="M4333" s="460">
        <f t="shared" si="184"/>
        <v>0.05</v>
      </c>
      <c r="N4333" s="464">
        <f t="shared" si="185"/>
        <v>182928</v>
      </c>
    </row>
    <row r="4334" spans="7:14" ht="11.25" customHeight="1" x14ac:dyDescent="0.25">
      <c r="G4334" s="459"/>
      <c r="H4334" s="459">
        <v>4327</v>
      </c>
      <c r="I4334" s="444">
        <f t="shared" ca="1" si="183"/>
        <v>-30029562854718.441</v>
      </c>
      <c r="J4334" s="444">
        <f t="array" ref="J4334">IFERROR(INDEX('Retirement Calculator'!J:J,MATCH('Isaac 401k'!N4334,'Retirement Calculator'!A:A,0),0),0)</f>
        <v>0</v>
      </c>
      <c r="K4334" s="444">
        <f t="shared" ca="1" si="181"/>
        <v>-125123178561.32684</v>
      </c>
      <c r="L4334" s="444">
        <f t="shared" ca="1" si="182"/>
        <v>-30154686033279.77</v>
      </c>
      <c r="M4334" s="460">
        <f t="shared" si="184"/>
        <v>0.05</v>
      </c>
      <c r="N4334" s="464">
        <f t="shared" si="185"/>
        <v>182958</v>
      </c>
    </row>
    <row r="4335" spans="7:14" ht="11.25" customHeight="1" x14ac:dyDescent="0.25">
      <c r="G4335" s="459"/>
      <c r="H4335" s="459">
        <v>4328</v>
      </c>
      <c r="I4335" s="444">
        <f t="shared" ca="1" si="183"/>
        <v>-30154686033279.77</v>
      </c>
      <c r="J4335" s="444">
        <f t="array" ref="J4335">IFERROR(INDEX('Retirement Calculator'!J:J,MATCH('Isaac 401k'!N4335,'Retirement Calculator'!A:A,0),0),0)</f>
        <v>0</v>
      </c>
      <c r="K4335" s="444">
        <f t="shared" ca="1" si="181"/>
        <v>-125644525138.66573</v>
      </c>
      <c r="L4335" s="444">
        <f t="shared" ca="1" si="182"/>
        <v>-30280330558418.434</v>
      </c>
      <c r="M4335" s="460">
        <f t="shared" si="184"/>
        <v>0.05</v>
      </c>
      <c r="N4335" s="464">
        <f t="shared" si="185"/>
        <v>182989</v>
      </c>
    </row>
    <row r="4336" spans="7:14" ht="11.25" customHeight="1" x14ac:dyDescent="0.25">
      <c r="G4336" s="459"/>
      <c r="H4336" s="459">
        <v>4329</v>
      </c>
      <c r="I4336" s="444">
        <f t="shared" ca="1" si="183"/>
        <v>-30280330558418.434</v>
      </c>
      <c r="J4336" s="444">
        <f t="array" ref="J4336">IFERROR(INDEX('Retirement Calculator'!J:J,MATCH('Isaac 401k'!N4336,'Retirement Calculator'!A:A,0),0),0)</f>
        <v>0</v>
      </c>
      <c r="K4336" s="444">
        <f t="shared" ca="1" si="181"/>
        <v>-126168043993.41014</v>
      </c>
      <c r="L4336" s="444">
        <f t="shared" ca="1" si="182"/>
        <v>-30406498602411.844</v>
      </c>
      <c r="M4336" s="460">
        <f t="shared" si="184"/>
        <v>0.05</v>
      </c>
      <c r="N4336" s="464">
        <f t="shared" si="185"/>
        <v>183020</v>
      </c>
    </row>
    <row r="4337" spans="7:14" ht="11.25" customHeight="1" x14ac:dyDescent="0.25">
      <c r="G4337" s="459"/>
      <c r="H4337" s="459">
        <v>4330</v>
      </c>
      <c r="I4337" s="444">
        <f t="shared" ca="1" si="183"/>
        <v>-30406498602411.844</v>
      </c>
      <c r="J4337" s="444">
        <f t="array" ref="J4337">IFERROR(INDEX('Retirement Calculator'!J:J,MATCH('Isaac 401k'!N4337,'Retirement Calculator'!A:A,0),0),0)</f>
        <v>0</v>
      </c>
      <c r="K4337" s="444">
        <f t="shared" ca="1" si="181"/>
        <v>-126693744176.716</v>
      </c>
      <c r="L4337" s="444">
        <f t="shared" ca="1" si="182"/>
        <v>-30533192346588.559</v>
      </c>
      <c r="M4337" s="460">
        <f t="shared" si="184"/>
        <v>0.05</v>
      </c>
      <c r="N4337" s="464">
        <f t="shared" si="185"/>
        <v>183048</v>
      </c>
    </row>
    <row r="4338" spans="7:14" ht="11.25" customHeight="1" x14ac:dyDescent="0.25">
      <c r="G4338" s="459"/>
      <c r="H4338" s="459">
        <v>4331</v>
      </c>
      <c r="I4338" s="444">
        <f t="shared" ca="1" si="183"/>
        <v>-30533192346588.559</v>
      </c>
      <c r="J4338" s="444">
        <f t="array" ref="J4338">IFERROR(INDEX('Retirement Calculator'!J:J,MATCH('Isaac 401k'!N4338,'Retirement Calculator'!A:A,0),0),0)</f>
        <v>0</v>
      </c>
      <c r="K4338" s="444">
        <f t="shared" ca="1" si="181"/>
        <v>-127221634777.45232</v>
      </c>
      <c r="L4338" s="444">
        <f t="shared" ca="1" si="182"/>
        <v>-30660413981366.012</v>
      </c>
      <c r="M4338" s="460">
        <f t="shared" si="184"/>
        <v>0.05</v>
      </c>
      <c r="N4338" s="464">
        <f t="shared" si="185"/>
        <v>183079</v>
      </c>
    </row>
    <row r="4339" spans="7:14" ht="11.25" customHeight="1" x14ac:dyDescent="0.25">
      <c r="G4339" s="459"/>
      <c r="H4339" s="459">
        <v>4332</v>
      </c>
      <c r="I4339" s="444">
        <f t="shared" ca="1" si="183"/>
        <v>-30660413981366.012</v>
      </c>
      <c r="J4339" s="444">
        <f t="array" ref="J4339">IFERROR(INDEX('Retirement Calculator'!J:J,MATCH('Isaac 401k'!N4339,'Retirement Calculator'!A:A,0),0),0)</f>
        <v>0</v>
      </c>
      <c r="K4339" s="444">
        <f t="shared" ca="1" si="181"/>
        <v>-127751724922.35838</v>
      </c>
      <c r="L4339" s="444">
        <f t="shared" ca="1" si="182"/>
        <v>-30788165706288.371</v>
      </c>
      <c r="M4339" s="460">
        <f t="shared" si="184"/>
        <v>0.05</v>
      </c>
      <c r="N4339" s="464">
        <f t="shared" si="185"/>
        <v>183109</v>
      </c>
    </row>
    <row r="4340" spans="7:14" ht="11.25" customHeight="1" x14ac:dyDescent="0.25">
      <c r="G4340" s="459"/>
      <c r="H4340" s="459">
        <v>4333</v>
      </c>
      <c r="I4340" s="444">
        <f t="shared" ca="1" si="183"/>
        <v>-30788165706288.371</v>
      </c>
      <c r="J4340" s="444">
        <f t="array" ref="J4340">IFERROR(INDEX('Retirement Calculator'!J:J,MATCH('Isaac 401k'!N4340,'Retirement Calculator'!A:A,0),0),0)</f>
        <v>0</v>
      </c>
      <c r="K4340" s="444">
        <f t="shared" ca="1" si="181"/>
        <v>-128284023776.20154</v>
      </c>
      <c r="L4340" s="444">
        <f t="shared" ca="1" si="182"/>
        <v>-30916449730064.574</v>
      </c>
      <c r="M4340" s="460">
        <f t="shared" si="184"/>
        <v>0.05</v>
      </c>
      <c r="N4340" s="464">
        <f t="shared" si="185"/>
        <v>183140</v>
      </c>
    </row>
    <row r="4341" spans="7:14" ht="11.25" customHeight="1" x14ac:dyDescent="0.25">
      <c r="G4341" s="459"/>
      <c r="H4341" s="459">
        <v>4334</v>
      </c>
      <c r="I4341" s="444">
        <f t="shared" ca="1" si="183"/>
        <v>-30916449730064.574</v>
      </c>
      <c r="J4341" s="444">
        <f t="array" ref="J4341">IFERROR(INDEX('Retirement Calculator'!J:J,MATCH('Isaac 401k'!N4341,'Retirement Calculator'!A:A,0),0),0)</f>
        <v>0</v>
      </c>
      <c r="K4341" s="444">
        <f t="shared" ca="1" si="181"/>
        <v>-128818540541.93573</v>
      </c>
      <c r="L4341" s="444">
        <f t="shared" ca="1" si="182"/>
        <v>-31045268270606.512</v>
      </c>
      <c r="M4341" s="460">
        <f t="shared" si="184"/>
        <v>0.05</v>
      </c>
      <c r="N4341" s="464">
        <f t="shared" si="185"/>
        <v>183170</v>
      </c>
    </row>
    <row r="4342" spans="7:14" ht="11.25" customHeight="1" x14ac:dyDescent="0.25">
      <c r="G4342" s="459"/>
      <c r="H4342" s="459">
        <v>4335</v>
      </c>
      <c r="I4342" s="444">
        <f t="shared" ca="1" si="183"/>
        <v>-31045268270606.512</v>
      </c>
      <c r="J4342" s="444">
        <f t="array" ref="J4342">IFERROR(INDEX('Retirement Calculator'!J:J,MATCH('Isaac 401k'!N4342,'Retirement Calculator'!A:A,0),0),0)</f>
        <v>0</v>
      </c>
      <c r="K4342" s="444">
        <f t="shared" ca="1" si="181"/>
        <v>-129355284460.86046</v>
      </c>
      <c r="L4342" s="444">
        <f t="shared" ca="1" si="182"/>
        <v>-31174623555067.371</v>
      </c>
      <c r="M4342" s="460">
        <f t="shared" si="184"/>
        <v>0.05</v>
      </c>
      <c r="N4342" s="464">
        <f t="shared" si="185"/>
        <v>183201</v>
      </c>
    </row>
    <row r="4343" spans="7:14" ht="11.25" customHeight="1" x14ac:dyDescent="0.25">
      <c r="G4343" s="459"/>
      <c r="H4343" s="459">
        <v>4336</v>
      </c>
      <c r="I4343" s="444">
        <f t="shared" ca="1" si="183"/>
        <v>-31174623555067.371</v>
      </c>
      <c r="J4343" s="444">
        <f t="array" ref="J4343">IFERROR(INDEX('Retirement Calculator'!J:J,MATCH('Isaac 401k'!N4343,'Retirement Calculator'!A:A,0),0),0)</f>
        <v>0</v>
      </c>
      <c r="K4343" s="444">
        <f t="shared" ref="K4343:K4597" ca="1" si="186">IPMT(M4343/12,1,12,-I4343+J4343,,0)</f>
        <v>-129894264812.78072</v>
      </c>
      <c r="L4343" s="444">
        <f t="shared" ref="L4343:L4597" ca="1" si="187">I4343-J4343+K4343</f>
        <v>-31304517819880.152</v>
      </c>
      <c r="M4343" s="460">
        <f t="shared" si="184"/>
        <v>0.05</v>
      </c>
      <c r="N4343" s="464">
        <f t="shared" si="185"/>
        <v>183232</v>
      </c>
    </row>
    <row r="4344" spans="7:14" ht="11.25" customHeight="1" x14ac:dyDescent="0.25">
      <c r="G4344" s="459"/>
      <c r="H4344" s="459">
        <v>4337</v>
      </c>
      <c r="I4344" s="444">
        <f t="shared" ref="I4344:I4598" ca="1" si="188">L4343</f>
        <v>-31304517819880.152</v>
      </c>
      <c r="J4344" s="444">
        <f t="array" ref="J4344">IFERROR(INDEX('Retirement Calculator'!J:J,MATCH('Isaac 401k'!N4344,'Retirement Calculator'!A:A,0),0),0)</f>
        <v>0</v>
      </c>
      <c r="K4344" s="444">
        <f t="shared" ca="1" si="186"/>
        <v>-130435490916.1673</v>
      </c>
      <c r="L4344" s="444">
        <f t="shared" ca="1" si="187"/>
        <v>-31434953310796.32</v>
      </c>
      <c r="M4344" s="460">
        <f t="shared" ref="M4344:M4598" si="189">M4343</f>
        <v>0.05</v>
      </c>
      <c r="N4344" s="464">
        <f t="shared" ref="N4344:N4598" si="190">EDATE(N4343,1)</f>
        <v>183262</v>
      </c>
    </row>
    <row r="4345" spans="7:14" ht="11.25" customHeight="1" x14ac:dyDescent="0.25">
      <c r="G4345" s="459"/>
      <c r="H4345" s="459">
        <v>4338</v>
      </c>
      <c r="I4345" s="444">
        <f t="shared" ca="1" si="188"/>
        <v>-31434953310796.32</v>
      </c>
      <c r="J4345" s="444">
        <f t="array" ref="J4345">IFERROR(INDEX('Retirement Calculator'!J:J,MATCH('Isaac 401k'!N4345,'Retirement Calculator'!A:A,0),0),0)</f>
        <v>0</v>
      </c>
      <c r="K4345" s="444">
        <f t="shared" ca="1" si="186"/>
        <v>-130978972128.31799</v>
      </c>
      <c r="L4345" s="444">
        <f t="shared" ca="1" si="187"/>
        <v>-31565932282924.637</v>
      </c>
      <c r="M4345" s="460">
        <f t="shared" si="189"/>
        <v>0.05</v>
      </c>
      <c r="N4345" s="464">
        <f t="shared" si="190"/>
        <v>183293</v>
      </c>
    </row>
    <row r="4346" spans="7:14" ht="11.25" customHeight="1" x14ac:dyDescent="0.25">
      <c r="G4346" s="459"/>
      <c r="H4346" s="459">
        <v>4339</v>
      </c>
      <c r="I4346" s="444">
        <f t="shared" ca="1" si="188"/>
        <v>-31565932282924.637</v>
      </c>
      <c r="J4346" s="444">
        <f t="array" ref="J4346">IFERROR(INDEX('Retirement Calculator'!J:J,MATCH('Isaac 401k'!N4346,'Retirement Calculator'!A:A,0),0),0)</f>
        <v>0</v>
      </c>
      <c r="K4346" s="444">
        <f t="shared" ca="1" si="186"/>
        <v>-131524717845.5193</v>
      </c>
      <c r="L4346" s="444">
        <f t="shared" ca="1" si="187"/>
        <v>-31697457000770.156</v>
      </c>
      <c r="M4346" s="460">
        <f t="shared" si="189"/>
        <v>0.05</v>
      </c>
      <c r="N4346" s="464">
        <f t="shared" si="190"/>
        <v>183323</v>
      </c>
    </row>
    <row r="4347" spans="7:14" ht="11.25" customHeight="1" x14ac:dyDescent="0.25">
      <c r="G4347" s="459"/>
      <c r="H4347" s="459">
        <v>4340</v>
      </c>
      <c r="I4347" s="444">
        <f t="shared" ca="1" si="188"/>
        <v>-31697457000770.156</v>
      </c>
      <c r="J4347" s="444">
        <f t="array" ref="J4347">IFERROR(INDEX('Retirement Calculator'!J:J,MATCH('Isaac 401k'!N4347,'Retirement Calculator'!A:A,0),0),0)</f>
        <v>0</v>
      </c>
      <c r="K4347" s="444">
        <f t="shared" ca="1" si="186"/>
        <v>-132072737503.20898</v>
      </c>
      <c r="L4347" s="444">
        <f t="shared" ca="1" si="187"/>
        <v>-31829529738273.367</v>
      </c>
      <c r="M4347" s="460">
        <f t="shared" si="189"/>
        <v>0.05</v>
      </c>
      <c r="N4347" s="464">
        <f t="shared" si="190"/>
        <v>183354</v>
      </c>
    </row>
    <row r="4348" spans="7:14" ht="11.25" customHeight="1" x14ac:dyDescent="0.25">
      <c r="G4348" s="459"/>
      <c r="H4348" s="459">
        <v>4341</v>
      </c>
      <c r="I4348" s="444">
        <f t="shared" ca="1" si="188"/>
        <v>-31829529738273.367</v>
      </c>
      <c r="J4348" s="444">
        <f t="array" ref="J4348">IFERROR(INDEX('Retirement Calculator'!J:J,MATCH('Isaac 401k'!N4348,'Retirement Calculator'!A:A,0),0),0)</f>
        <v>0</v>
      </c>
      <c r="K4348" s="444">
        <f t="shared" ca="1" si="186"/>
        <v>-132623040576.13904</v>
      </c>
      <c r="L4348" s="444">
        <f t="shared" ca="1" si="187"/>
        <v>-31962152778849.508</v>
      </c>
      <c r="M4348" s="460">
        <f t="shared" si="189"/>
        <v>0.05</v>
      </c>
      <c r="N4348" s="464">
        <f t="shared" si="190"/>
        <v>183385</v>
      </c>
    </row>
    <row r="4349" spans="7:14" ht="11.25" customHeight="1" x14ac:dyDescent="0.25">
      <c r="G4349" s="459"/>
      <c r="H4349" s="459">
        <v>4342</v>
      </c>
      <c r="I4349" s="444">
        <f t="shared" ca="1" si="188"/>
        <v>-31962152778849.508</v>
      </c>
      <c r="J4349" s="444">
        <f t="array" ref="J4349">IFERROR(INDEX('Retirement Calculator'!J:J,MATCH('Isaac 401k'!N4349,'Retirement Calculator'!A:A,0),0),0)</f>
        <v>0</v>
      </c>
      <c r="K4349" s="444">
        <f t="shared" ca="1" si="186"/>
        <v>-133175636578.53963</v>
      </c>
      <c r="L4349" s="444">
        <f t="shared" ca="1" si="187"/>
        <v>-32095328415428.047</v>
      </c>
      <c r="M4349" s="460">
        <f t="shared" si="189"/>
        <v>0.05</v>
      </c>
      <c r="N4349" s="464">
        <f t="shared" si="190"/>
        <v>183413</v>
      </c>
    </row>
    <row r="4350" spans="7:14" ht="11.25" customHeight="1" x14ac:dyDescent="0.25">
      <c r="G4350" s="459"/>
      <c r="H4350" s="459">
        <v>4343</v>
      </c>
      <c r="I4350" s="444">
        <f t="shared" ca="1" si="188"/>
        <v>-32095328415428.047</v>
      </c>
      <c r="J4350" s="444">
        <f t="array" ref="J4350">IFERROR(INDEX('Retirement Calculator'!J:J,MATCH('Isaac 401k'!N4350,'Retirement Calculator'!A:A,0),0),0)</f>
        <v>0</v>
      </c>
      <c r="K4350" s="444">
        <f t="shared" ca="1" si="186"/>
        <v>-133730535064.28352</v>
      </c>
      <c r="L4350" s="444">
        <f t="shared" ca="1" si="187"/>
        <v>-32229058950492.332</v>
      </c>
      <c r="M4350" s="460">
        <f t="shared" si="189"/>
        <v>0.05</v>
      </c>
      <c r="N4350" s="464">
        <f t="shared" si="190"/>
        <v>183444</v>
      </c>
    </row>
    <row r="4351" spans="7:14" ht="11.25" customHeight="1" x14ac:dyDescent="0.25">
      <c r="G4351" s="459"/>
      <c r="H4351" s="459">
        <v>4344</v>
      </c>
      <c r="I4351" s="444">
        <f t="shared" ca="1" si="188"/>
        <v>-32229058950492.332</v>
      </c>
      <c r="J4351" s="444">
        <f t="array" ref="J4351">IFERROR(INDEX('Retirement Calculator'!J:J,MATCH('Isaac 401k'!N4351,'Retirement Calculator'!A:A,0),0),0)</f>
        <v>0</v>
      </c>
      <c r="K4351" s="444">
        <f t="shared" ca="1" si="186"/>
        <v>-134287745627.05138</v>
      </c>
      <c r="L4351" s="444">
        <f t="shared" ca="1" si="187"/>
        <v>-32363346696119.383</v>
      </c>
      <c r="M4351" s="460">
        <f t="shared" si="189"/>
        <v>0.05</v>
      </c>
      <c r="N4351" s="464">
        <f t="shared" si="190"/>
        <v>183474</v>
      </c>
    </row>
    <row r="4352" spans="7:14" ht="11.25" customHeight="1" x14ac:dyDescent="0.25">
      <c r="G4352" s="459"/>
      <c r="H4352" s="459">
        <v>4345</v>
      </c>
      <c r="I4352" s="444">
        <f t="shared" ca="1" si="188"/>
        <v>-32363346696119.383</v>
      </c>
      <c r="J4352" s="444">
        <f t="array" ref="J4352">IFERROR(INDEX('Retirement Calculator'!J:J,MATCH('Isaac 401k'!N4352,'Retirement Calculator'!A:A,0),0),0)</f>
        <v>0</v>
      </c>
      <c r="K4352" s="444">
        <f t="shared" ca="1" si="186"/>
        <v>-134847277900.49742</v>
      </c>
      <c r="L4352" s="444">
        <f t="shared" ca="1" si="187"/>
        <v>-32498193974019.879</v>
      </c>
      <c r="M4352" s="460">
        <f t="shared" si="189"/>
        <v>0.05</v>
      </c>
      <c r="N4352" s="464">
        <f t="shared" si="190"/>
        <v>183505</v>
      </c>
    </row>
    <row r="4353" spans="7:14" ht="11.25" customHeight="1" x14ac:dyDescent="0.25">
      <c r="G4353" s="459"/>
      <c r="H4353" s="459">
        <v>4346</v>
      </c>
      <c r="I4353" s="444">
        <f t="shared" ca="1" si="188"/>
        <v>-32498193974019.879</v>
      </c>
      <c r="J4353" s="444">
        <f t="array" ref="J4353">IFERROR(INDEX('Retirement Calculator'!J:J,MATCH('Isaac 401k'!N4353,'Retirement Calculator'!A:A,0),0),0)</f>
        <v>0</v>
      </c>
      <c r="K4353" s="444">
        <f t="shared" ca="1" si="186"/>
        <v>-135409141558.41618</v>
      </c>
      <c r="L4353" s="444">
        <f t="shared" ca="1" si="187"/>
        <v>-32633603115578.297</v>
      </c>
      <c r="M4353" s="460">
        <f t="shared" si="189"/>
        <v>0.05</v>
      </c>
      <c r="N4353" s="464">
        <f t="shared" si="190"/>
        <v>183535</v>
      </c>
    </row>
    <row r="4354" spans="7:14" ht="11.25" customHeight="1" x14ac:dyDescent="0.25">
      <c r="G4354" s="459"/>
      <c r="H4354" s="459">
        <v>4347</v>
      </c>
      <c r="I4354" s="444">
        <f t="shared" ca="1" si="188"/>
        <v>-32633603115578.297</v>
      </c>
      <c r="J4354" s="444">
        <f t="array" ref="J4354">IFERROR(INDEX('Retirement Calculator'!J:J,MATCH('Isaac 401k'!N4354,'Retirement Calculator'!A:A,0),0),0)</f>
        <v>0</v>
      </c>
      <c r="K4354" s="444">
        <f t="shared" ca="1" si="186"/>
        <v>-135973346314.90956</v>
      </c>
      <c r="L4354" s="444">
        <f t="shared" ca="1" si="187"/>
        <v>-32769576461893.207</v>
      </c>
      <c r="M4354" s="460">
        <f t="shared" si="189"/>
        <v>0.05</v>
      </c>
      <c r="N4354" s="464">
        <f t="shared" si="190"/>
        <v>183566</v>
      </c>
    </row>
    <row r="4355" spans="7:14" ht="11.25" customHeight="1" x14ac:dyDescent="0.25">
      <c r="G4355" s="459"/>
      <c r="H4355" s="459">
        <v>4348</v>
      </c>
      <c r="I4355" s="444">
        <f t="shared" ca="1" si="188"/>
        <v>-32769576461893.207</v>
      </c>
      <c r="J4355" s="444">
        <f t="array" ref="J4355">IFERROR(INDEX('Retirement Calculator'!J:J,MATCH('Isaac 401k'!N4355,'Retirement Calculator'!A:A,0),0),0)</f>
        <v>0</v>
      </c>
      <c r="K4355" s="444">
        <f t="shared" ca="1" si="186"/>
        <v>-136539901924.55501</v>
      </c>
      <c r="L4355" s="444">
        <f t="shared" ca="1" si="187"/>
        <v>-32906116363817.762</v>
      </c>
      <c r="M4355" s="460">
        <f t="shared" si="189"/>
        <v>0.05</v>
      </c>
      <c r="N4355" s="464">
        <f t="shared" si="190"/>
        <v>183597</v>
      </c>
    </row>
    <row r="4356" spans="7:14" ht="11.25" customHeight="1" x14ac:dyDescent="0.25">
      <c r="G4356" s="459"/>
      <c r="H4356" s="459">
        <v>4349</v>
      </c>
      <c r="I4356" s="444">
        <f t="shared" ca="1" si="188"/>
        <v>-32906116363817.762</v>
      </c>
      <c r="J4356" s="444">
        <f t="array" ref="J4356">IFERROR(INDEX('Retirement Calculator'!J:J,MATCH('Isaac 401k'!N4356,'Retirement Calculator'!A:A,0),0),0)</f>
        <v>0</v>
      </c>
      <c r="K4356" s="444">
        <f t="shared" ca="1" si="186"/>
        <v>-137108818182.57401</v>
      </c>
      <c r="L4356" s="444">
        <f t="shared" ca="1" si="187"/>
        <v>-33043225182000.336</v>
      </c>
      <c r="M4356" s="460">
        <f t="shared" si="189"/>
        <v>0.05</v>
      </c>
      <c r="N4356" s="464">
        <f t="shared" si="190"/>
        <v>183627</v>
      </c>
    </row>
    <row r="4357" spans="7:14" ht="11.25" customHeight="1" x14ac:dyDescent="0.25">
      <c r="G4357" s="459"/>
      <c r="H4357" s="459">
        <v>4350</v>
      </c>
      <c r="I4357" s="444">
        <f t="shared" ca="1" si="188"/>
        <v>-33043225182000.336</v>
      </c>
      <c r="J4357" s="444">
        <f t="array" ref="J4357">IFERROR(INDEX('Retirement Calculator'!J:J,MATCH('Isaac 401k'!N4357,'Retirement Calculator'!A:A,0),0),0)</f>
        <v>0</v>
      </c>
      <c r="K4357" s="444">
        <f t="shared" ca="1" si="186"/>
        <v>-137680104925.00137</v>
      </c>
      <c r="L4357" s="444">
        <f t="shared" ca="1" si="187"/>
        <v>-33180905286925.336</v>
      </c>
      <c r="M4357" s="460">
        <f t="shared" si="189"/>
        <v>0.05</v>
      </c>
      <c r="N4357" s="464">
        <f t="shared" si="190"/>
        <v>183658</v>
      </c>
    </row>
    <row r="4358" spans="7:14" ht="11.25" customHeight="1" x14ac:dyDescent="0.25">
      <c r="G4358" s="459"/>
      <c r="H4358" s="459">
        <v>4351</v>
      </c>
      <c r="I4358" s="444">
        <f t="shared" ca="1" si="188"/>
        <v>-33180905286925.336</v>
      </c>
      <c r="J4358" s="444">
        <f t="array" ref="J4358">IFERROR(INDEX('Retirement Calculator'!J:J,MATCH('Isaac 401k'!N4358,'Retirement Calculator'!A:A,0),0),0)</f>
        <v>0</v>
      </c>
      <c r="K4358" s="444">
        <f t="shared" ca="1" si="186"/>
        <v>-138253772028.85556</v>
      </c>
      <c r="L4358" s="444">
        <f t="shared" ca="1" si="187"/>
        <v>-33319159058954.191</v>
      </c>
      <c r="M4358" s="460">
        <f t="shared" si="189"/>
        <v>0.05</v>
      </c>
      <c r="N4358" s="464">
        <f t="shared" si="190"/>
        <v>183688</v>
      </c>
    </row>
    <row r="4359" spans="7:14" ht="11.25" customHeight="1" x14ac:dyDescent="0.25">
      <c r="G4359" s="459"/>
      <c r="H4359" s="459">
        <v>4352</v>
      </c>
      <c r="I4359" s="444">
        <f t="shared" ca="1" si="188"/>
        <v>-33319159058954.191</v>
      </c>
      <c r="J4359" s="444">
        <f t="array" ref="J4359">IFERROR(INDEX('Retirement Calculator'!J:J,MATCH('Isaac 401k'!N4359,'Retirement Calculator'!A:A,0),0),0)</f>
        <v>0</v>
      </c>
      <c r="K4359" s="444">
        <f t="shared" ca="1" si="186"/>
        <v>-138829829412.30914</v>
      </c>
      <c r="L4359" s="444">
        <f t="shared" ca="1" si="187"/>
        <v>-33457988888366.5</v>
      </c>
      <c r="M4359" s="460">
        <f t="shared" si="189"/>
        <v>0.05</v>
      </c>
      <c r="N4359" s="464">
        <f t="shared" si="190"/>
        <v>183719</v>
      </c>
    </row>
    <row r="4360" spans="7:14" ht="11.25" customHeight="1" x14ac:dyDescent="0.25">
      <c r="G4360" s="459"/>
      <c r="H4360" s="459">
        <v>4353</v>
      </c>
      <c r="I4360" s="444">
        <f t="shared" ca="1" si="188"/>
        <v>-33457988888366.5</v>
      </c>
      <c r="J4360" s="444">
        <f t="array" ref="J4360">IFERROR(INDEX('Retirement Calculator'!J:J,MATCH('Isaac 401k'!N4360,'Retirement Calculator'!A:A,0),0),0)</f>
        <v>0</v>
      </c>
      <c r="K4360" s="444">
        <f t="shared" ca="1" si="186"/>
        <v>-139408287034.86041</v>
      </c>
      <c r="L4360" s="444">
        <f t="shared" ca="1" si="187"/>
        <v>-33597397175401.359</v>
      </c>
      <c r="M4360" s="460">
        <f t="shared" si="189"/>
        <v>0.05</v>
      </c>
      <c r="N4360" s="464">
        <f t="shared" si="190"/>
        <v>183750</v>
      </c>
    </row>
    <row r="4361" spans="7:14" ht="11.25" customHeight="1" x14ac:dyDescent="0.25">
      <c r="G4361" s="459"/>
      <c r="H4361" s="459">
        <v>4354</v>
      </c>
      <c r="I4361" s="444">
        <f t="shared" ca="1" si="188"/>
        <v>-33597397175401.359</v>
      </c>
      <c r="J4361" s="444">
        <f t="array" ref="J4361">IFERROR(INDEX('Retirement Calculator'!J:J,MATCH('Isaac 401k'!N4361,'Retirement Calculator'!A:A,0),0),0)</f>
        <v>0</v>
      </c>
      <c r="K4361" s="444">
        <f t="shared" ca="1" si="186"/>
        <v>-139989154897.50568</v>
      </c>
      <c r="L4361" s="444">
        <f t="shared" ca="1" si="187"/>
        <v>-33737386330298.863</v>
      </c>
      <c r="M4361" s="460">
        <f t="shared" si="189"/>
        <v>0.05</v>
      </c>
      <c r="N4361" s="464">
        <f t="shared" si="190"/>
        <v>183778</v>
      </c>
    </row>
    <row r="4362" spans="7:14" ht="11.25" customHeight="1" x14ac:dyDescent="0.25">
      <c r="G4362" s="459"/>
      <c r="H4362" s="459">
        <v>4355</v>
      </c>
      <c r="I4362" s="444">
        <f t="shared" ca="1" si="188"/>
        <v>-33737386330298.863</v>
      </c>
      <c r="J4362" s="444">
        <f t="array" ref="J4362">IFERROR(INDEX('Retirement Calculator'!J:J,MATCH('Isaac 401k'!N4362,'Retirement Calculator'!A:A,0),0),0)</f>
        <v>0</v>
      </c>
      <c r="K4362" s="444">
        <f t="shared" ca="1" si="186"/>
        <v>-140572443042.91193</v>
      </c>
      <c r="L4362" s="444">
        <f t="shared" ca="1" si="187"/>
        <v>-33877958773341.773</v>
      </c>
      <c r="M4362" s="460">
        <f t="shared" si="189"/>
        <v>0.05</v>
      </c>
      <c r="N4362" s="464">
        <f t="shared" si="190"/>
        <v>183809</v>
      </c>
    </row>
    <row r="4363" spans="7:14" ht="11.25" customHeight="1" x14ac:dyDescent="0.25">
      <c r="G4363" s="459"/>
      <c r="H4363" s="459">
        <v>4356</v>
      </c>
      <c r="I4363" s="444">
        <f t="shared" ca="1" si="188"/>
        <v>-33877958773341.773</v>
      </c>
      <c r="J4363" s="444">
        <f t="array" ref="J4363">IFERROR(INDEX('Retirement Calculator'!J:J,MATCH('Isaac 401k'!N4363,'Retirement Calculator'!A:A,0),0),0)</f>
        <v>0</v>
      </c>
      <c r="K4363" s="444">
        <f t="shared" ca="1" si="186"/>
        <v>-141158161555.5907</v>
      </c>
      <c r="L4363" s="444">
        <f t="shared" ca="1" si="187"/>
        <v>-34019116934897.363</v>
      </c>
      <c r="M4363" s="460">
        <f t="shared" si="189"/>
        <v>0.05</v>
      </c>
      <c r="N4363" s="464">
        <f t="shared" si="190"/>
        <v>183839</v>
      </c>
    </row>
    <row r="4364" spans="7:14" ht="11.25" customHeight="1" x14ac:dyDescent="0.25">
      <c r="G4364" s="459"/>
      <c r="H4364" s="459">
        <v>4357</v>
      </c>
      <c r="I4364" s="444">
        <f t="shared" ca="1" si="188"/>
        <v>-34019116934897.363</v>
      </c>
      <c r="J4364" s="444">
        <f t="array" ref="J4364">IFERROR(INDEX('Retirement Calculator'!J:J,MATCH('Isaac 401k'!N4364,'Retirement Calculator'!A:A,0),0),0)</f>
        <v>0</v>
      </c>
      <c r="K4364" s="444">
        <f t="shared" ca="1" si="186"/>
        <v>-141746320562.07236</v>
      </c>
      <c r="L4364" s="444">
        <f t="shared" ca="1" si="187"/>
        <v>-34160863255459.438</v>
      </c>
      <c r="M4364" s="460">
        <f t="shared" si="189"/>
        <v>0.05</v>
      </c>
      <c r="N4364" s="464">
        <f t="shared" si="190"/>
        <v>183870</v>
      </c>
    </row>
    <row r="4365" spans="7:14" ht="11.25" customHeight="1" x14ac:dyDescent="0.25">
      <c r="G4365" s="459"/>
      <c r="H4365" s="459">
        <v>4358</v>
      </c>
      <c r="I4365" s="444">
        <f t="shared" ca="1" si="188"/>
        <v>-34160863255459.438</v>
      </c>
      <c r="J4365" s="444">
        <f t="array" ref="J4365">IFERROR(INDEX('Retirement Calculator'!J:J,MATCH('Isaac 401k'!N4365,'Retirement Calculator'!A:A,0),0),0)</f>
        <v>0</v>
      </c>
      <c r="K4365" s="444">
        <f t="shared" ca="1" si="186"/>
        <v>-142336930231.08099</v>
      </c>
      <c r="L4365" s="444">
        <f t="shared" ca="1" si="187"/>
        <v>-34303200185690.52</v>
      </c>
      <c r="M4365" s="460">
        <f t="shared" si="189"/>
        <v>0.05</v>
      </c>
      <c r="N4365" s="464">
        <f t="shared" si="190"/>
        <v>183900</v>
      </c>
    </row>
    <row r="4366" spans="7:14" ht="11.25" customHeight="1" x14ac:dyDescent="0.25">
      <c r="G4366" s="459"/>
      <c r="H4366" s="459">
        <v>4359</v>
      </c>
      <c r="I4366" s="444">
        <f t="shared" ca="1" si="188"/>
        <v>-34303200185690.52</v>
      </c>
      <c r="J4366" s="444">
        <f t="array" ref="J4366">IFERROR(INDEX('Retirement Calculator'!J:J,MATCH('Isaac 401k'!N4366,'Retirement Calculator'!A:A,0),0),0)</f>
        <v>0</v>
      </c>
      <c r="K4366" s="444">
        <f t="shared" ca="1" si="186"/>
        <v>-142930000773.71048</v>
      </c>
      <c r="L4366" s="444">
        <f t="shared" ca="1" si="187"/>
        <v>-34446130186464.23</v>
      </c>
      <c r="M4366" s="460">
        <f t="shared" si="189"/>
        <v>0.05</v>
      </c>
      <c r="N4366" s="464">
        <f t="shared" si="190"/>
        <v>183931</v>
      </c>
    </row>
    <row r="4367" spans="7:14" ht="11.25" customHeight="1" x14ac:dyDescent="0.25">
      <c r="G4367" s="459"/>
      <c r="H4367" s="459">
        <v>4360</v>
      </c>
      <c r="I4367" s="444">
        <f t="shared" ca="1" si="188"/>
        <v>-34446130186464.23</v>
      </c>
      <c r="J4367" s="444">
        <f t="array" ref="J4367">IFERROR(INDEX('Retirement Calculator'!J:J,MATCH('Isaac 401k'!N4367,'Retirement Calculator'!A:A,0),0),0)</f>
        <v>0</v>
      </c>
      <c r="K4367" s="444">
        <f t="shared" ca="1" si="186"/>
        <v>-143525542443.60098</v>
      </c>
      <c r="L4367" s="444">
        <f t="shared" ca="1" si="187"/>
        <v>-34589655728907.832</v>
      </c>
      <c r="M4367" s="460">
        <f t="shared" si="189"/>
        <v>0.05</v>
      </c>
      <c r="N4367" s="464">
        <f t="shared" si="190"/>
        <v>183962</v>
      </c>
    </row>
    <row r="4368" spans="7:14" ht="11.25" customHeight="1" x14ac:dyDescent="0.25">
      <c r="G4368" s="459"/>
      <c r="H4368" s="459">
        <v>4361</v>
      </c>
      <c r="I4368" s="444">
        <f t="shared" ca="1" si="188"/>
        <v>-34589655728907.832</v>
      </c>
      <c r="J4368" s="444">
        <f t="array" ref="J4368">IFERROR(INDEX('Retirement Calculator'!J:J,MATCH('Isaac 401k'!N4368,'Retirement Calculator'!A:A,0),0),0)</f>
        <v>0</v>
      </c>
      <c r="K4368" s="444">
        <f t="shared" ca="1" si="186"/>
        <v>-144123565537.11597</v>
      </c>
      <c r="L4368" s="444">
        <f t="shared" ca="1" si="187"/>
        <v>-34733779294444.949</v>
      </c>
      <c r="M4368" s="460">
        <f t="shared" si="189"/>
        <v>0.05</v>
      </c>
      <c r="N4368" s="464">
        <f t="shared" si="190"/>
        <v>183992</v>
      </c>
    </row>
    <row r="4369" spans="7:14" ht="11.25" customHeight="1" x14ac:dyDescent="0.25">
      <c r="G4369" s="459"/>
      <c r="H4369" s="459">
        <v>4362</v>
      </c>
      <c r="I4369" s="444">
        <f t="shared" ca="1" si="188"/>
        <v>-34733779294444.949</v>
      </c>
      <c r="J4369" s="444">
        <f t="array" ref="J4369">IFERROR(INDEX('Retirement Calculator'!J:J,MATCH('Isaac 401k'!N4369,'Retirement Calculator'!A:A,0),0),0)</f>
        <v>0</v>
      </c>
      <c r="K4369" s="444">
        <f t="shared" ca="1" si="186"/>
        <v>-144724080393.52063</v>
      </c>
      <c r="L4369" s="444">
        <f t="shared" ca="1" si="187"/>
        <v>-34878503374838.469</v>
      </c>
      <c r="M4369" s="460">
        <f t="shared" si="189"/>
        <v>0.05</v>
      </c>
      <c r="N4369" s="464">
        <f t="shared" si="190"/>
        <v>184023</v>
      </c>
    </row>
    <row r="4370" spans="7:14" ht="11.25" customHeight="1" x14ac:dyDescent="0.25">
      <c r="G4370" s="459"/>
      <c r="H4370" s="459">
        <v>4363</v>
      </c>
      <c r="I4370" s="444">
        <f t="shared" ca="1" si="188"/>
        <v>-34878503374838.469</v>
      </c>
      <c r="J4370" s="444">
        <f t="array" ref="J4370">IFERROR(INDEX('Retirement Calculator'!J:J,MATCH('Isaac 401k'!N4370,'Retirement Calculator'!A:A,0),0),0)</f>
        <v>0</v>
      </c>
      <c r="K4370" s="444">
        <f t="shared" ca="1" si="186"/>
        <v>-145327097395.16028</v>
      </c>
      <c r="L4370" s="444">
        <f t="shared" ca="1" si="187"/>
        <v>-35023830472233.629</v>
      </c>
      <c r="M4370" s="460">
        <f t="shared" si="189"/>
        <v>0.05</v>
      </c>
      <c r="N4370" s="464">
        <f t="shared" si="190"/>
        <v>184053</v>
      </c>
    </row>
    <row r="4371" spans="7:14" ht="11.25" customHeight="1" x14ac:dyDescent="0.25">
      <c r="G4371" s="459"/>
      <c r="H4371" s="459">
        <v>4364</v>
      </c>
      <c r="I4371" s="444">
        <f t="shared" ca="1" si="188"/>
        <v>-35023830472233.629</v>
      </c>
      <c r="J4371" s="444">
        <f t="array" ref="J4371">IFERROR(INDEX('Retirement Calculator'!J:J,MATCH('Isaac 401k'!N4371,'Retirement Calculator'!A:A,0),0),0)</f>
        <v>0</v>
      </c>
      <c r="K4371" s="444">
        <f t="shared" ca="1" si="186"/>
        <v>-145932626967.64011</v>
      </c>
      <c r="L4371" s="444">
        <f t="shared" ca="1" si="187"/>
        <v>-35169763099201.27</v>
      </c>
      <c r="M4371" s="460">
        <f t="shared" si="189"/>
        <v>0.05</v>
      </c>
      <c r="N4371" s="464">
        <f t="shared" si="190"/>
        <v>184084</v>
      </c>
    </row>
    <row r="4372" spans="7:14" ht="11.25" customHeight="1" x14ac:dyDescent="0.25">
      <c r="G4372" s="459"/>
      <c r="H4372" s="459">
        <v>4365</v>
      </c>
      <c r="I4372" s="444">
        <f t="shared" ca="1" si="188"/>
        <v>-35169763099201.27</v>
      </c>
      <c r="J4372" s="444">
        <f t="array" ref="J4372">IFERROR(INDEX('Retirement Calculator'!J:J,MATCH('Isaac 401k'!N4372,'Retirement Calculator'!A:A,0),0),0)</f>
        <v>0</v>
      </c>
      <c r="K4372" s="444">
        <f t="shared" ca="1" si="186"/>
        <v>-146540679580.00528</v>
      </c>
      <c r="L4372" s="444">
        <f t="shared" ca="1" si="187"/>
        <v>-35316303778781.273</v>
      </c>
      <c r="M4372" s="460">
        <f t="shared" si="189"/>
        <v>0.05</v>
      </c>
      <c r="N4372" s="464">
        <f t="shared" si="190"/>
        <v>184115</v>
      </c>
    </row>
    <row r="4373" spans="7:14" ht="11.25" customHeight="1" x14ac:dyDescent="0.25">
      <c r="G4373" s="459"/>
      <c r="H4373" s="459">
        <v>4366</v>
      </c>
      <c r="I4373" s="444">
        <f t="shared" ca="1" si="188"/>
        <v>-35316303778781.273</v>
      </c>
      <c r="J4373" s="444">
        <f t="array" ref="J4373">IFERROR(INDEX('Retirement Calculator'!J:J,MATCH('Isaac 401k'!N4373,'Retirement Calculator'!A:A,0),0),0)</f>
        <v>0</v>
      </c>
      <c r="K4373" s="444">
        <f t="shared" ca="1" si="186"/>
        <v>-147151265744.92197</v>
      </c>
      <c r="L4373" s="444">
        <f t="shared" ca="1" si="187"/>
        <v>-35463455044526.195</v>
      </c>
      <c r="M4373" s="460">
        <f t="shared" si="189"/>
        <v>0.05</v>
      </c>
      <c r="N4373" s="464">
        <f t="shared" si="190"/>
        <v>184144</v>
      </c>
    </row>
    <row r="4374" spans="7:14" ht="11.25" customHeight="1" x14ac:dyDescent="0.25">
      <c r="G4374" s="459"/>
      <c r="H4374" s="459">
        <v>4367</v>
      </c>
      <c r="I4374" s="444">
        <f t="shared" ca="1" si="188"/>
        <v>-35463455044526.195</v>
      </c>
      <c r="J4374" s="444">
        <f t="array" ref="J4374">IFERROR(INDEX('Retirement Calculator'!J:J,MATCH('Isaac 401k'!N4374,'Retirement Calculator'!A:A,0),0),0)</f>
        <v>0</v>
      </c>
      <c r="K4374" s="444">
        <f t="shared" ca="1" si="186"/>
        <v>-147764396018.85913</v>
      </c>
      <c r="L4374" s="444">
        <f t="shared" ca="1" si="187"/>
        <v>-35611219440545.055</v>
      </c>
      <c r="M4374" s="460">
        <f t="shared" si="189"/>
        <v>0.05</v>
      </c>
      <c r="N4374" s="464">
        <f t="shared" si="190"/>
        <v>184175</v>
      </c>
    </row>
    <row r="4375" spans="7:14" ht="11.25" customHeight="1" x14ac:dyDescent="0.25">
      <c r="G4375" s="459"/>
      <c r="H4375" s="459">
        <v>4368</v>
      </c>
      <c r="I4375" s="444">
        <f t="shared" ca="1" si="188"/>
        <v>-35611219440545.055</v>
      </c>
      <c r="J4375" s="444">
        <f t="array" ref="J4375">IFERROR(INDEX('Retirement Calculator'!J:J,MATCH('Isaac 401k'!N4375,'Retirement Calculator'!A:A,0),0),0)</f>
        <v>0</v>
      </c>
      <c r="K4375" s="444">
        <f t="shared" ca="1" si="186"/>
        <v>-148380081002.27106</v>
      </c>
      <c r="L4375" s="444">
        <f t="shared" ca="1" si="187"/>
        <v>-35759599521547.328</v>
      </c>
      <c r="M4375" s="460">
        <f t="shared" si="189"/>
        <v>0.05</v>
      </c>
      <c r="N4375" s="464">
        <f t="shared" si="190"/>
        <v>184205</v>
      </c>
    </row>
    <row r="4376" spans="7:14" ht="11.25" customHeight="1" x14ac:dyDescent="0.25">
      <c r="G4376" s="459"/>
      <c r="H4376" s="459">
        <v>4369</v>
      </c>
      <c r="I4376" s="444">
        <f t="shared" ca="1" si="188"/>
        <v>-35759599521547.328</v>
      </c>
      <c r="J4376" s="444">
        <f t="array" ref="J4376">IFERROR(INDEX('Retirement Calculator'!J:J,MATCH('Isaac 401k'!N4376,'Retirement Calculator'!A:A,0),0),0)</f>
        <v>0</v>
      </c>
      <c r="K4376" s="444">
        <f t="shared" ca="1" si="186"/>
        <v>-148998331339.78052</v>
      </c>
      <c r="L4376" s="444">
        <f t="shared" ca="1" si="187"/>
        <v>-35908597852887.109</v>
      </c>
      <c r="M4376" s="460">
        <f t="shared" si="189"/>
        <v>0.05</v>
      </c>
      <c r="N4376" s="464">
        <f t="shared" si="190"/>
        <v>184236</v>
      </c>
    </row>
    <row r="4377" spans="7:14" ht="11.25" customHeight="1" x14ac:dyDescent="0.25">
      <c r="G4377" s="459"/>
      <c r="H4377" s="459">
        <v>4370</v>
      </c>
      <c r="I4377" s="444">
        <f t="shared" ca="1" si="188"/>
        <v>-35908597852887.109</v>
      </c>
      <c r="J4377" s="444">
        <f t="array" ref="J4377">IFERROR(INDEX('Retirement Calculator'!J:J,MATCH('Isaac 401k'!N4377,'Retirement Calculator'!A:A,0),0),0)</f>
        <v>0</v>
      </c>
      <c r="K4377" s="444">
        <f t="shared" ca="1" si="186"/>
        <v>-149619157720.36295</v>
      </c>
      <c r="L4377" s="444">
        <f t="shared" ca="1" si="187"/>
        <v>-36058217010607.469</v>
      </c>
      <c r="M4377" s="460">
        <f t="shared" si="189"/>
        <v>0.05</v>
      </c>
      <c r="N4377" s="464">
        <f t="shared" si="190"/>
        <v>184266</v>
      </c>
    </row>
    <row r="4378" spans="7:14" ht="11.25" customHeight="1" x14ac:dyDescent="0.25">
      <c r="G4378" s="459"/>
      <c r="H4378" s="459">
        <v>4371</v>
      </c>
      <c r="I4378" s="444">
        <f t="shared" ca="1" si="188"/>
        <v>-36058217010607.469</v>
      </c>
      <c r="J4378" s="444">
        <f t="array" ref="J4378">IFERROR(INDEX('Retirement Calculator'!J:J,MATCH('Isaac 401k'!N4378,'Retirement Calculator'!A:A,0),0),0)</f>
        <v>0</v>
      </c>
      <c r="K4378" s="444">
        <f t="shared" ca="1" si="186"/>
        <v>-150242570877.53113</v>
      </c>
      <c r="L4378" s="444">
        <f t="shared" ca="1" si="187"/>
        <v>-36208459581485</v>
      </c>
      <c r="M4378" s="460">
        <f t="shared" si="189"/>
        <v>0.05</v>
      </c>
      <c r="N4378" s="464">
        <f t="shared" si="190"/>
        <v>184297</v>
      </c>
    </row>
    <row r="4379" spans="7:14" ht="11.25" customHeight="1" x14ac:dyDescent="0.25">
      <c r="G4379" s="459"/>
      <c r="H4379" s="459">
        <v>4372</v>
      </c>
      <c r="I4379" s="444">
        <f t="shared" ca="1" si="188"/>
        <v>-36208459581485</v>
      </c>
      <c r="J4379" s="444">
        <f t="array" ref="J4379">IFERROR(INDEX('Retirement Calculator'!J:J,MATCH('Isaac 401k'!N4379,'Retirement Calculator'!A:A,0),0),0)</f>
        <v>0</v>
      </c>
      <c r="K4379" s="444">
        <f t="shared" ca="1" si="186"/>
        <v>-150868581589.52084</v>
      </c>
      <c r="L4379" s="444">
        <f t="shared" ca="1" si="187"/>
        <v>-36359328163074.523</v>
      </c>
      <c r="M4379" s="460">
        <f t="shared" si="189"/>
        <v>0.05</v>
      </c>
      <c r="N4379" s="464">
        <f t="shared" si="190"/>
        <v>184328</v>
      </c>
    </row>
    <row r="4380" spans="7:14" ht="11.25" customHeight="1" x14ac:dyDescent="0.25">
      <c r="G4380" s="459"/>
      <c r="H4380" s="459">
        <v>4373</v>
      </c>
      <c r="I4380" s="444">
        <f t="shared" ca="1" si="188"/>
        <v>-36359328163074.523</v>
      </c>
      <c r="J4380" s="444">
        <f t="array" ref="J4380">IFERROR(INDEX('Retirement Calculator'!J:J,MATCH('Isaac 401k'!N4380,'Retirement Calculator'!A:A,0),0),0)</f>
        <v>0</v>
      </c>
      <c r="K4380" s="444">
        <f t="shared" ca="1" si="186"/>
        <v>-151497200679.47717</v>
      </c>
      <c r="L4380" s="444">
        <f t="shared" ca="1" si="187"/>
        <v>-36510825363754</v>
      </c>
      <c r="M4380" s="460">
        <f t="shared" si="189"/>
        <v>0.05</v>
      </c>
      <c r="N4380" s="464">
        <f t="shared" si="190"/>
        <v>184358</v>
      </c>
    </row>
    <row r="4381" spans="7:14" ht="11.25" customHeight="1" x14ac:dyDescent="0.25">
      <c r="G4381" s="459"/>
      <c r="H4381" s="459">
        <v>4374</v>
      </c>
      <c r="I4381" s="444">
        <f t="shared" ca="1" si="188"/>
        <v>-36510825363754</v>
      </c>
      <c r="J4381" s="444">
        <f t="array" ref="J4381">IFERROR(INDEX('Retirement Calculator'!J:J,MATCH('Isaac 401k'!N4381,'Retirement Calculator'!A:A,0),0),0)</f>
        <v>0</v>
      </c>
      <c r="K4381" s="444">
        <f t="shared" ca="1" si="186"/>
        <v>-152128439015.64166</v>
      </c>
      <c r="L4381" s="444">
        <f t="shared" ca="1" si="187"/>
        <v>-36662953802769.641</v>
      </c>
      <c r="M4381" s="460">
        <f t="shared" si="189"/>
        <v>0.05</v>
      </c>
      <c r="N4381" s="464">
        <f t="shared" si="190"/>
        <v>184389</v>
      </c>
    </row>
    <row r="4382" spans="7:14" ht="11.25" customHeight="1" x14ac:dyDescent="0.25">
      <c r="G4382" s="459"/>
      <c r="H4382" s="459">
        <v>4375</v>
      </c>
      <c r="I4382" s="444">
        <f t="shared" ca="1" si="188"/>
        <v>-36662953802769.641</v>
      </c>
      <c r="J4382" s="444">
        <f t="array" ref="J4382">IFERROR(INDEX('Retirement Calculator'!J:J,MATCH('Isaac 401k'!N4382,'Retirement Calculator'!A:A,0),0),0)</f>
        <v>0</v>
      </c>
      <c r="K4382" s="444">
        <f t="shared" ca="1" si="186"/>
        <v>-152762307511.54016</v>
      </c>
      <c r="L4382" s="444">
        <f t="shared" ca="1" si="187"/>
        <v>-36815716110281.18</v>
      </c>
      <c r="M4382" s="460">
        <f t="shared" si="189"/>
        <v>0.05</v>
      </c>
      <c r="N4382" s="464">
        <f t="shared" si="190"/>
        <v>184419</v>
      </c>
    </row>
    <row r="4383" spans="7:14" ht="11.25" customHeight="1" x14ac:dyDescent="0.25">
      <c r="G4383" s="459"/>
      <c r="H4383" s="459">
        <v>4376</v>
      </c>
      <c r="I4383" s="444">
        <f t="shared" ca="1" si="188"/>
        <v>-36815716110281.18</v>
      </c>
      <c r="J4383" s="444">
        <f t="array" ref="J4383">IFERROR(INDEX('Retirement Calculator'!J:J,MATCH('Isaac 401k'!N4383,'Retirement Calculator'!A:A,0),0),0)</f>
        <v>0</v>
      </c>
      <c r="K4383" s="444">
        <f t="shared" ca="1" si="186"/>
        <v>-153398817126.17157</v>
      </c>
      <c r="L4383" s="444">
        <f t="shared" ca="1" si="187"/>
        <v>-36969114927407.352</v>
      </c>
      <c r="M4383" s="460">
        <f t="shared" si="189"/>
        <v>0.05</v>
      </c>
      <c r="N4383" s="464">
        <f t="shared" si="190"/>
        <v>184450</v>
      </c>
    </row>
    <row r="4384" spans="7:14" ht="11.25" customHeight="1" x14ac:dyDescent="0.25">
      <c r="G4384" s="459"/>
      <c r="H4384" s="459">
        <v>4377</v>
      </c>
      <c r="I4384" s="444">
        <f t="shared" ca="1" si="188"/>
        <v>-36969114927407.352</v>
      </c>
      <c r="J4384" s="444">
        <f t="array" ref="J4384">IFERROR(INDEX('Retirement Calculator'!J:J,MATCH('Isaac 401k'!N4384,'Retirement Calculator'!A:A,0),0),0)</f>
        <v>0</v>
      </c>
      <c r="K4384" s="444">
        <f t="shared" ca="1" si="186"/>
        <v>-154037978864.1973</v>
      </c>
      <c r="L4384" s="444">
        <f t="shared" ca="1" si="187"/>
        <v>-37123152906271.547</v>
      </c>
      <c r="M4384" s="460">
        <f t="shared" si="189"/>
        <v>0.05</v>
      </c>
      <c r="N4384" s="464">
        <f t="shared" si="190"/>
        <v>184481</v>
      </c>
    </row>
    <row r="4385" spans="7:14" ht="11.25" customHeight="1" x14ac:dyDescent="0.25">
      <c r="G4385" s="459"/>
      <c r="H4385" s="459">
        <v>4378</v>
      </c>
      <c r="I4385" s="444">
        <f t="shared" ca="1" si="188"/>
        <v>-37123152906271.547</v>
      </c>
      <c r="J4385" s="444">
        <f t="array" ref="J4385">IFERROR(INDEX('Retirement Calculator'!J:J,MATCH('Isaac 401k'!N4385,'Retirement Calculator'!A:A,0),0),0)</f>
        <v>0</v>
      </c>
      <c r="K4385" s="444">
        <f t="shared" ca="1" si="186"/>
        <v>-154679803776.13144</v>
      </c>
      <c r="L4385" s="444">
        <f t="shared" ca="1" si="187"/>
        <v>-37277832710047.68</v>
      </c>
      <c r="M4385" s="460">
        <f t="shared" si="189"/>
        <v>0.05</v>
      </c>
      <c r="N4385" s="464">
        <f t="shared" si="190"/>
        <v>184509</v>
      </c>
    </row>
    <row r="4386" spans="7:14" ht="11.25" customHeight="1" x14ac:dyDescent="0.25">
      <c r="G4386" s="459"/>
      <c r="H4386" s="459">
        <v>4379</v>
      </c>
      <c r="I4386" s="444">
        <f t="shared" ca="1" si="188"/>
        <v>-37277832710047.68</v>
      </c>
      <c r="J4386" s="444">
        <f t="array" ref="J4386">IFERROR(INDEX('Retirement Calculator'!J:J,MATCH('Isaac 401k'!N4386,'Retirement Calculator'!A:A,0),0),0)</f>
        <v>0</v>
      </c>
      <c r="K4386" s="444">
        <f t="shared" ca="1" si="186"/>
        <v>-155324302958.53198</v>
      </c>
      <c r="L4386" s="444">
        <f t="shared" ca="1" si="187"/>
        <v>-37433157013006.211</v>
      </c>
      <c r="M4386" s="460">
        <f t="shared" si="189"/>
        <v>0.05</v>
      </c>
      <c r="N4386" s="464">
        <f t="shared" si="190"/>
        <v>184540</v>
      </c>
    </row>
    <row r="4387" spans="7:14" ht="11.25" customHeight="1" x14ac:dyDescent="0.25">
      <c r="G4387" s="459"/>
      <c r="H4387" s="459">
        <v>4380</v>
      </c>
      <c r="I4387" s="444">
        <f t="shared" ca="1" si="188"/>
        <v>-37433157013006.211</v>
      </c>
      <c r="J4387" s="444">
        <f t="array" ref="J4387">IFERROR(INDEX('Retirement Calculator'!J:J,MATCH('Isaac 401k'!N4387,'Retirement Calculator'!A:A,0),0),0)</f>
        <v>0</v>
      </c>
      <c r="K4387" s="444">
        <f t="shared" ca="1" si="186"/>
        <v>-155971487554.19254</v>
      </c>
      <c r="L4387" s="444">
        <f t="shared" ca="1" si="187"/>
        <v>-37589128500560.406</v>
      </c>
      <c r="M4387" s="460">
        <f t="shared" si="189"/>
        <v>0.05</v>
      </c>
      <c r="N4387" s="464">
        <f t="shared" si="190"/>
        <v>184570</v>
      </c>
    </row>
    <row r="4388" spans="7:14" ht="11.25" customHeight="1" x14ac:dyDescent="0.25">
      <c r="G4388" s="459"/>
      <c r="H4388" s="459">
        <v>4381</v>
      </c>
      <c r="I4388" s="444">
        <f t="shared" ca="1" si="188"/>
        <v>-37589128500560.406</v>
      </c>
      <c r="J4388" s="444">
        <f t="array" ref="J4388">IFERROR(INDEX('Retirement Calculator'!J:J,MATCH('Isaac 401k'!N4388,'Retirement Calculator'!A:A,0),0),0)</f>
        <v>0</v>
      </c>
      <c r="K4388" s="444">
        <f t="shared" ca="1" si="186"/>
        <v>-156621368752.33502</v>
      </c>
      <c r="L4388" s="444">
        <f t="shared" ca="1" si="187"/>
        <v>-37745749869312.742</v>
      </c>
      <c r="M4388" s="460">
        <f t="shared" si="189"/>
        <v>0.05</v>
      </c>
      <c r="N4388" s="464">
        <f t="shared" si="190"/>
        <v>184601</v>
      </c>
    </row>
    <row r="4389" spans="7:14" ht="11.25" customHeight="1" x14ac:dyDescent="0.25">
      <c r="G4389" s="459"/>
      <c r="H4389" s="459">
        <v>4382</v>
      </c>
      <c r="I4389" s="444">
        <f t="shared" ca="1" si="188"/>
        <v>-37745749869312.742</v>
      </c>
      <c r="J4389" s="444">
        <f t="array" ref="J4389">IFERROR(INDEX('Retirement Calculator'!J:J,MATCH('Isaac 401k'!N4389,'Retirement Calculator'!A:A,0),0),0)</f>
        <v>0</v>
      </c>
      <c r="K4389" s="444">
        <f t="shared" ca="1" si="186"/>
        <v>-157273957788.8031</v>
      </c>
      <c r="L4389" s="444">
        <f t="shared" ca="1" si="187"/>
        <v>-37903023827101.547</v>
      </c>
      <c r="M4389" s="460">
        <f t="shared" si="189"/>
        <v>0.05</v>
      </c>
      <c r="N4389" s="464">
        <f t="shared" si="190"/>
        <v>184631</v>
      </c>
    </row>
    <row r="4390" spans="7:14" ht="11.25" customHeight="1" x14ac:dyDescent="0.25">
      <c r="G4390" s="459"/>
      <c r="H4390" s="459">
        <v>4383</v>
      </c>
      <c r="I4390" s="444">
        <f t="shared" ca="1" si="188"/>
        <v>-37903023827101.547</v>
      </c>
      <c r="J4390" s="444">
        <f t="array" ref="J4390">IFERROR(INDEX('Retirement Calculator'!J:J,MATCH('Isaac 401k'!N4390,'Retirement Calculator'!A:A,0),0),0)</f>
        <v>0</v>
      </c>
      <c r="K4390" s="444">
        <f t="shared" ca="1" si="186"/>
        <v>-157929265946.25644</v>
      </c>
      <c r="L4390" s="444">
        <f t="shared" ca="1" si="187"/>
        <v>-38060953093047.805</v>
      </c>
      <c r="M4390" s="460">
        <f t="shared" si="189"/>
        <v>0.05</v>
      </c>
      <c r="N4390" s="464">
        <f t="shared" si="190"/>
        <v>184662</v>
      </c>
    </row>
    <row r="4391" spans="7:14" ht="11.25" customHeight="1" x14ac:dyDescent="0.25">
      <c r="G4391" s="459"/>
      <c r="H4391" s="459">
        <v>4384</v>
      </c>
      <c r="I4391" s="444">
        <f t="shared" ca="1" si="188"/>
        <v>-38060953093047.805</v>
      </c>
      <c r="J4391" s="444">
        <f t="array" ref="J4391">IFERROR(INDEX('Retirement Calculator'!J:J,MATCH('Isaac 401k'!N4391,'Retirement Calculator'!A:A,0),0),0)</f>
        <v>0</v>
      </c>
      <c r="K4391" s="444">
        <f t="shared" ca="1" si="186"/>
        <v>-158587304554.36584</v>
      </c>
      <c r="L4391" s="444">
        <f t="shared" ca="1" si="187"/>
        <v>-38219540397602.172</v>
      </c>
      <c r="M4391" s="460">
        <f t="shared" si="189"/>
        <v>0.05</v>
      </c>
      <c r="N4391" s="464">
        <f t="shared" si="190"/>
        <v>184693</v>
      </c>
    </row>
    <row r="4392" spans="7:14" ht="11.25" customHeight="1" x14ac:dyDescent="0.25">
      <c r="G4392" s="459"/>
      <c r="H4392" s="459">
        <v>4385</v>
      </c>
      <c r="I4392" s="444">
        <f t="shared" ca="1" si="188"/>
        <v>-38219540397602.172</v>
      </c>
      <c r="J4392" s="444">
        <f t="array" ref="J4392">IFERROR(INDEX('Retirement Calculator'!J:J,MATCH('Isaac 401k'!N4392,'Retirement Calculator'!A:A,0),0),0)</f>
        <v>0</v>
      </c>
      <c r="K4392" s="444">
        <f t="shared" ca="1" si="186"/>
        <v>-159248084990.00903</v>
      </c>
      <c r="L4392" s="444">
        <f t="shared" ca="1" si="187"/>
        <v>-38378788482592.18</v>
      </c>
      <c r="M4392" s="460">
        <f t="shared" si="189"/>
        <v>0.05</v>
      </c>
      <c r="N4392" s="464">
        <f t="shared" si="190"/>
        <v>184723</v>
      </c>
    </row>
    <row r="4393" spans="7:14" ht="11.25" customHeight="1" x14ac:dyDescent="0.25">
      <c r="G4393" s="459"/>
      <c r="H4393" s="459">
        <v>4386</v>
      </c>
      <c r="I4393" s="444">
        <f t="shared" ca="1" si="188"/>
        <v>-38378788482592.18</v>
      </c>
      <c r="J4393" s="444">
        <f t="array" ref="J4393">IFERROR(INDEX('Retirement Calculator'!J:J,MATCH('Isaac 401k'!N4393,'Retirement Calculator'!A:A,0),0),0)</f>
        <v>0</v>
      </c>
      <c r="K4393" s="444">
        <f t="shared" ca="1" si="186"/>
        <v>-159911618677.46741</v>
      </c>
      <c r="L4393" s="444">
        <f t="shared" ca="1" si="187"/>
        <v>-38538700101269.648</v>
      </c>
      <c r="M4393" s="460">
        <f t="shared" si="189"/>
        <v>0.05</v>
      </c>
      <c r="N4393" s="464">
        <f t="shared" si="190"/>
        <v>184754</v>
      </c>
    </row>
    <row r="4394" spans="7:14" ht="11.25" customHeight="1" x14ac:dyDescent="0.25">
      <c r="G4394" s="459"/>
      <c r="H4394" s="459">
        <v>4387</v>
      </c>
      <c r="I4394" s="444">
        <f t="shared" ca="1" si="188"/>
        <v>-38538700101269.648</v>
      </c>
      <c r="J4394" s="444">
        <f t="array" ref="J4394">IFERROR(INDEX('Retirement Calculator'!J:J,MATCH('Isaac 401k'!N4394,'Retirement Calculator'!A:A,0),0),0)</f>
        <v>0</v>
      </c>
      <c r="K4394" s="444">
        <f t="shared" ca="1" si="186"/>
        <v>-160577917088.62354</v>
      </c>
      <c r="L4394" s="444">
        <f t="shared" ca="1" si="187"/>
        <v>-38699278018358.273</v>
      </c>
      <c r="M4394" s="460">
        <f t="shared" si="189"/>
        <v>0.05</v>
      </c>
      <c r="N4394" s="464">
        <f t="shared" si="190"/>
        <v>184784</v>
      </c>
    </row>
    <row r="4395" spans="7:14" ht="11.25" customHeight="1" x14ac:dyDescent="0.25">
      <c r="G4395" s="459"/>
      <c r="H4395" s="459">
        <v>4388</v>
      </c>
      <c r="I4395" s="444">
        <f t="shared" ca="1" si="188"/>
        <v>-38699278018358.273</v>
      </c>
      <c r="J4395" s="444">
        <f t="array" ref="J4395">IFERROR(INDEX('Retirement Calculator'!J:J,MATCH('Isaac 401k'!N4395,'Retirement Calculator'!A:A,0),0),0)</f>
        <v>0</v>
      </c>
      <c r="K4395" s="444">
        <f t="shared" ca="1" si="186"/>
        <v>-161246991743.15948</v>
      </c>
      <c r="L4395" s="444">
        <f t="shared" ca="1" si="187"/>
        <v>-38860525010101.43</v>
      </c>
      <c r="M4395" s="460">
        <f t="shared" si="189"/>
        <v>0.05</v>
      </c>
      <c r="N4395" s="464">
        <f t="shared" si="190"/>
        <v>184815</v>
      </c>
    </row>
    <row r="4396" spans="7:14" ht="11.25" customHeight="1" x14ac:dyDescent="0.25">
      <c r="G4396" s="459"/>
      <c r="H4396" s="459">
        <v>4389</v>
      </c>
      <c r="I4396" s="444">
        <f t="shared" ca="1" si="188"/>
        <v>-38860525010101.43</v>
      </c>
      <c r="J4396" s="444">
        <f t="array" ref="J4396">IFERROR(INDEX('Retirement Calculator'!J:J,MATCH('Isaac 401k'!N4396,'Retirement Calculator'!A:A,0),0),0)</f>
        <v>0</v>
      </c>
      <c r="K4396" s="444">
        <f t="shared" ca="1" si="186"/>
        <v>-161918854208.75595</v>
      </c>
      <c r="L4396" s="444">
        <f t="shared" ca="1" si="187"/>
        <v>-39022443864310.188</v>
      </c>
      <c r="M4396" s="460">
        <f t="shared" si="189"/>
        <v>0.05</v>
      </c>
      <c r="N4396" s="464">
        <f t="shared" si="190"/>
        <v>184846</v>
      </c>
    </row>
    <row r="4397" spans="7:14" ht="11.25" customHeight="1" x14ac:dyDescent="0.25">
      <c r="G4397" s="459"/>
      <c r="H4397" s="459">
        <v>4390</v>
      </c>
      <c r="I4397" s="444">
        <f t="shared" ca="1" si="188"/>
        <v>-39022443864310.188</v>
      </c>
      <c r="J4397" s="444">
        <f t="array" ref="J4397">IFERROR(INDEX('Retirement Calculator'!J:J,MATCH('Isaac 401k'!N4397,'Retirement Calculator'!A:A,0),0),0)</f>
        <v>0</v>
      </c>
      <c r="K4397" s="444">
        <f t="shared" ca="1" si="186"/>
        <v>-162593516101.29245</v>
      </c>
      <c r="L4397" s="444">
        <f t="shared" ca="1" si="187"/>
        <v>-39185037380411.477</v>
      </c>
      <c r="M4397" s="460">
        <f t="shared" si="189"/>
        <v>0.05</v>
      </c>
      <c r="N4397" s="464">
        <f t="shared" si="190"/>
        <v>184874</v>
      </c>
    </row>
    <row r="4398" spans="7:14" ht="11.25" customHeight="1" x14ac:dyDescent="0.25">
      <c r="G4398" s="459"/>
      <c r="H4398" s="459">
        <v>4391</v>
      </c>
      <c r="I4398" s="444">
        <f t="shared" ca="1" si="188"/>
        <v>-39185037380411.477</v>
      </c>
      <c r="J4398" s="444">
        <f t="array" ref="J4398">IFERROR(INDEX('Retirement Calculator'!J:J,MATCH('Isaac 401k'!N4398,'Retirement Calculator'!A:A,0),0),0)</f>
        <v>0</v>
      </c>
      <c r="K4398" s="444">
        <f t="shared" ca="1" si="186"/>
        <v>-163270989085.04782</v>
      </c>
      <c r="L4398" s="444">
        <f t="shared" ca="1" si="187"/>
        <v>-39348308369496.523</v>
      </c>
      <c r="M4398" s="460">
        <f t="shared" si="189"/>
        <v>0.05</v>
      </c>
      <c r="N4398" s="464">
        <f t="shared" si="190"/>
        <v>184905</v>
      </c>
    </row>
    <row r="4399" spans="7:14" ht="11.25" customHeight="1" x14ac:dyDescent="0.25">
      <c r="G4399" s="459"/>
      <c r="H4399" s="459">
        <v>4392</v>
      </c>
      <c r="I4399" s="444">
        <f t="shared" ca="1" si="188"/>
        <v>-39348308369496.523</v>
      </c>
      <c r="J4399" s="444">
        <f t="array" ref="J4399">IFERROR(INDEX('Retirement Calculator'!J:J,MATCH('Isaac 401k'!N4399,'Retirement Calculator'!A:A,0),0),0)</f>
        <v>0</v>
      </c>
      <c r="K4399" s="444">
        <f t="shared" ca="1" si="186"/>
        <v>-163951284872.90219</v>
      </c>
      <c r="L4399" s="444">
        <f t="shared" ca="1" si="187"/>
        <v>-39512259654369.422</v>
      </c>
      <c r="M4399" s="460">
        <f t="shared" si="189"/>
        <v>0.05</v>
      </c>
      <c r="N4399" s="464">
        <f t="shared" si="190"/>
        <v>184935</v>
      </c>
    </row>
    <row r="4400" spans="7:14" ht="11.25" customHeight="1" x14ac:dyDescent="0.25">
      <c r="G4400" s="459"/>
      <c r="H4400" s="459">
        <v>4393</v>
      </c>
      <c r="I4400" s="444">
        <f t="shared" ca="1" si="188"/>
        <v>-39512259654369.422</v>
      </c>
      <c r="J4400" s="444">
        <f t="array" ref="J4400">IFERROR(INDEX('Retirement Calculator'!J:J,MATCH('Isaac 401k'!N4400,'Retirement Calculator'!A:A,0),0),0)</f>
        <v>0</v>
      </c>
      <c r="K4400" s="444">
        <f t="shared" ca="1" si="186"/>
        <v>-164634415226.53925</v>
      </c>
      <c r="L4400" s="444">
        <f t="shared" ca="1" si="187"/>
        <v>-39676894069595.961</v>
      </c>
      <c r="M4400" s="460">
        <f t="shared" si="189"/>
        <v>0.05</v>
      </c>
      <c r="N4400" s="464">
        <f t="shared" si="190"/>
        <v>184966</v>
      </c>
    </row>
    <row r="4401" spans="7:14" ht="11.25" customHeight="1" x14ac:dyDescent="0.25">
      <c r="G4401" s="459"/>
      <c r="H4401" s="459">
        <v>4394</v>
      </c>
      <c r="I4401" s="444">
        <f t="shared" ca="1" si="188"/>
        <v>-39676894069595.961</v>
      </c>
      <c r="J4401" s="444">
        <f t="array" ref="J4401">IFERROR(INDEX('Retirement Calculator'!J:J,MATCH('Isaac 401k'!N4401,'Retirement Calculator'!A:A,0),0),0)</f>
        <v>0</v>
      </c>
      <c r="K4401" s="444">
        <f t="shared" ca="1" si="186"/>
        <v>-165320391956.64984</v>
      </c>
      <c r="L4401" s="444">
        <f t="shared" ca="1" si="187"/>
        <v>-39842214461552.609</v>
      </c>
      <c r="M4401" s="460">
        <f t="shared" si="189"/>
        <v>0.05</v>
      </c>
      <c r="N4401" s="464">
        <f t="shared" si="190"/>
        <v>184996</v>
      </c>
    </row>
    <row r="4402" spans="7:14" ht="11.25" customHeight="1" x14ac:dyDescent="0.25">
      <c r="G4402" s="459"/>
      <c r="H4402" s="459">
        <v>4395</v>
      </c>
      <c r="I4402" s="444">
        <f t="shared" ca="1" si="188"/>
        <v>-39842214461552.609</v>
      </c>
      <c r="J4402" s="444">
        <f t="array" ref="J4402">IFERROR(INDEX('Retirement Calculator'!J:J,MATCH('Isaac 401k'!N4402,'Retirement Calculator'!A:A,0),0),0)</f>
        <v>0</v>
      </c>
      <c r="K4402" s="444">
        <f t="shared" ca="1" si="186"/>
        <v>-166009226923.13586</v>
      </c>
      <c r="L4402" s="444">
        <f t="shared" ca="1" si="187"/>
        <v>-40008223688475.742</v>
      </c>
      <c r="M4402" s="460">
        <f t="shared" si="189"/>
        <v>0.05</v>
      </c>
      <c r="N4402" s="464">
        <f t="shared" si="190"/>
        <v>185027</v>
      </c>
    </row>
    <row r="4403" spans="7:14" ht="11.25" customHeight="1" x14ac:dyDescent="0.25">
      <c r="G4403" s="459"/>
      <c r="H4403" s="459">
        <v>4396</v>
      </c>
      <c r="I4403" s="444">
        <f t="shared" ca="1" si="188"/>
        <v>-40008223688475.742</v>
      </c>
      <c r="J4403" s="444">
        <f t="array" ref="J4403">IFERROR(INDEX('Retirement Calculator'!J:J,MATCH('Isaac 401k'!N4403,'Retirement Calculator'!A:A,0),0),0)</f>
        <v>0</v>
      </c>
      <c r="K4403" s="444">
        <f t="shared" ca="1" si="186"/>
        <v>-166700932035.31558</v>
      </c>
      <c r="L4403" s="444">
        <f t="shared" ca="1" si="187"/>
        <v>-40174924620511.055</v>
      </c>
      <c r="M4403" s="460">
        <f t="shared" si="189"/>
        <v>0.05</v>
      </c>
      <c r="N4403" s="464">
        <f t="shared" si="190"/>
        <v>185058</v>
      </c>
    </row>
    <row r="4404" spans="7:14" ht="11.25" customHeight="1" x14ac:dyDescent="0.25">
      <c r="G4404" s="459"/>
      <c r="H4404" s="459">
        <v>4397</v>
      </c>
      <c r="I4404" s="444">
        <f t="shared" ca="1" si="188"/>
        <v>-40174924620511.055</v>
      </c>
      <c r="J4404" s="444">
        <f t="array" ref="J4404">IFERROR(INDEX('Retirement Calculator'!J:J,MATCH('Isaac 401k'!N4404,'Retirement Calculator'!A:A,0),0),0)</f>
        <v>0</v>
      </c>
      <c r="K4404" s="444">
        <f t="shared" ca="1" si="186"/>
        <v>-167395519252.12939</v>
      </c>
      <c r="L4404" s="444">
        <f t="shared" ca="1" si="187"/>
        <v>-40342320139763.188</v>
      </c>
      <c r="M4404" s="460">
        <f t="shared" si="189"/>
        <v>0.05</v>
      </c>
      <c r="N4404" s="464">
        <f t="shared" si="190"/>
        <v>185088</v>
      </c>
    </row>
    <row r="4405" spans="7:14" ht="11.25" customHeight="1" x14ac:dyDescent="0.25">
      <c r="G4405" s="459"/>
      <c r="H4405" s="459">
        <v>4398</v>
      </c>
      <c r="I4405" s="444">
        <f t="shared" ca="1" si="188"/>
        <v>-40342320139763.188</v>
      </c>
      <c r="J4405" s="444">
        <f t="array" ref="J4405">IFERROR(INDEX('Retirement Calculator'!J:J,MATCH('Isaac 401k'!N4405,'Retirement Calculator'!A:A,0),0),0)</f>
        <v>0</v>
      </c>
      <c r="K4405" s="444">
        <f t="shared" ca="1" si="186"/>
        <v>-168093000582.34662</v>
      </c>
      <c r="L4405" s="444">
        <f t="shared" ca="1" si="187"/>
        <v>-40510413140345.531</v>
      </c>
      <c r="M4405" s="460">
        <f t="shared" si="189"/>
        <v>0.05</v>
      </c>
      <c r="N4405" s="464">
        <f t="shared" si="190"/>
        <v>185119</v>
      </c>
    </row>
    <row r="4406" spans="7:14" ht="11.25" customHeight="1" x14ac:dyDescent="0.25">
      <c r="G4406" s="459"/>
      <c r="H4406" s="459">
        <v>4399</v>
      </c>
      <c r="I4406" s="444">
        <f t="shared" ca="1" si="188"/>
        <v>-40510413140345.531</v>
      </c>
      <c r="J4406" s="444">
        <f t="array" ref="J4406">IFERROR(INDEX('Retirement Calculator'!J:J,MATCH('Isaac 401k'!N4406,'Retirement Calculator'!A:A,0),0),0)</f>
        <v>0</v>
      </c>
      <c r="K4406" s="444">
        <f t="shared" ca="1" si="186"/>
        <v>-168793388084.77304</v>
      </c>
      <c r="L4406" s="444">
        <f t="shared" ca="1" si="187"/>
        <v>-40679206528430.305</v>
      </c>
      <c r="M4406" s="460">
        <f t="shared" si="189"/>
        <v>0.05</v>
      </c>
      <c r="N4406" s="464">
        <f t="shared" si="190"/>
        <v>185149</v>
      </c>
    </row>
    <row r="4407" spans="7:14" ht="11.25" customHeight="1" x14ac:dyDescent="0.25">
      <c r="G4407" s="459"/>
      <c r="H4407" s="459">
        <v>4400</v>
      </c>
      <c r="I4407" s="444">
        <f t="shared" ca="1" si="188"/>
        <v>-40679206528430.305</v>
      </c>
      <c r="J4407" s="444">
        <f t="array" ref="J4407">IFERROR(INDEX('Retirement Calculator'!J:J,MATCH('Isaac 401k'!N4407,'Retirement Calculator'!A:A,0),0),0)</f>
        <v>0</v>
      </c>
      <c r="K4407" s="444">
        <f t="shared" ca="1" si="186"/>
        <v>-169496693868.45959</v>
      </c>
      <c r="L4407" s="444">
        <f t="shared" ca="1" si="187"/>
        <v>-40848703222298.766</v>
      </c>
      <c r="M4407" s="460">
        <f t="shared" si="189"/>
        <v>0.05</v>
      </c>
      <c r="N4407" s="464">
        <f t="shared" si="190"/>
        <v>185180</v>
      </c>
    </row>
    <row r="4408" spans="7:14" ht="11.25" customHeight="1" x14ac:dyDescent="0.25">
      <c r="G4408" s="459"/>
      <c r="H4408" s="459">
        <v>4401</v>
      </c>
      <c r="I4408" s="444">
        <f t="shared" ca="1" si="188"/>
        <v>-40848703222298.766</v>
      </c>
      <c r="J4408" s="444">
        <f t="array" ref="J4408">IFERROR(INDEX('Retirement Calculator'!J:J,MATCH('Isaac 401k'!N4408,'Retirement Calculator'!A:A,0),0),0)</f>
        <v>0</v>
      </c>
      <c r="K4408" s="444">
        <f t="shared" ca="1" si="186"/>
        <v>-170202930092.91153</v>
      </c>
      <c r="L4408" s="444">
        <f t="shared" ca="1" si="187"/>
        <v>-41018906152391.68</v>
      </c>
      <c r="M4408" s="460">
        <f t="shared" si="189"/>
        <v>0.05</v>
      </c>
      <c r="N4408" s="464">
        <f t="shared" si="190"/>
        <v>185211</v>
      </c>
    </row>
    <row r="4409" spans="7:14" ht="11.25" customHeight="1" x14ac:dyDescent="0.25">
      <c r="G4409" s="459"/>
      <c r="H4409" s="459">
        <v>4402</v>
      </c>
      <c r="I4409" s="444">
        <f t="shared" ca="1" si="188"/>
        <v>-41018906152391.68</v>
      </c>
      <c r="J4409" s="444">
        <f t="array" ref="J4409">IFERROR(INDEX('Retirement Calculator'!J:J,MATCH('Isaac 401k'!N4409,'Retirement Calculator'!A:A,0),0),0)</f>
        <v>0</v>
      </c>
      <c r="K4409" s="444">
        <f t="shared" ca="1" si="186"/>
        <v>-170912108968.29868</v>
      </c>
      <c r="L4409" s="444">
        <f t="shared" ca="1" si="187"/>
        <v>-41189818261359.977</v>
      </c>
      <c r="M4409" s="460">
        <f t="shared" si="189"/>
        <v>0.05</v>
      </c>
      <c r="N4409" s="464">
        <f t="shared" si="190"/>
        <v>185239</v>
      </c>
    </row>
    <row r="4410" spans="7:14" ht="11.25" customHeight="1" x14ac:dyDescent="0.25">
      <c r="G4410" s="459"/>
      <c r="H4410" s="459">
        <v>4403</v>
      </c>
      <c r="I4410" s="444">
        <f t="shared" ca="1" si="188"/>
        <v>-41189818261359.977</v>
      </c>
      <c r="J4410" s="444">
        <f t="array" ref="J4410">IFERROR(INDEX('Retirement Calculator'!J:J,MATCH('Isaac 401k'!N4410,'Retirement Calculator'!A:A,0),0),0)</f>
        <v>0</v>
      </c>
      <c r="K4410" s="444">
        <f t="shared" ca="1" si="186"/>
        <v>-171624242755.66656</v>
      </c>
      <c r="L4410" s="444">
        <f t="shared" ca="1" si="187"/>
        <v>-41361442504115.641</v>
      </c>
      <c r="M4410" s="460">
        <f t="shared" si="189"/>
        <v>0.05</v>
      </c>
      <c r="N4410" s="464">
        <f t="shared" si="190"/>
        <v>185270</v>
      </c>
    </row>
    <row r="4411" spans="7:14" ht="11.25" customHeight="1" x14ac:dyDescent="0.25">
      <c r="G4411" s="459"/>
      <c r="H4411" s="459">
        <v>4404</v>
      </c>
      <c r="I4411" s="444">
        <f t="shared" ca="1" si="188"/>
        <v>-41361442504115.641</v>
      </c>
      <c r="J4411" s="444">
        <f t="array" ref="J4411">IFERROR(INDEX('Retirement Calculator'!J:J,MATCH('Isaac 401k'!N4411,'Retirement Calculator'!A:A,0),0),0)</f>
        <v>0</v>
      </c>
      <c r="K4411" s="444">
        <f t="shared" ca="1" si="186"/>
        <v>-172339343767.1485</v>
      </c>
      <c r="L4411" s="444">
        <f t="shared" ca="1" si="187"/>
        <v>-41533781847882.789</v>
      </c>
      <c r="M4411" s="460">
        <f t="shared" si="189"/>
        <v>0.05</v>
      </c>
      <c r="N4411" s="464">
        <f t="shared" si="190"/>
        <v>185300</v>
      </c>
    </row>
    <row r="4412" spans="7:14" ht="11.25" customHeight="1" x14ac:dyDescent="0.25">
      <c r="G4412" s="459"/>
      <c r="H4412" s="459">
        <v>4405</v>
      </c>
      <c r="I4412" s="444">
        <f t="shared" ca="1" si="188"/>
        <v>-41533781847882.789</v>
      </c>
      <c r="J4412" s="444">
        <f t="array" ref="J4412">IFERROR(INDEX('Retirement Calculator'!J:J,MATCH('Isaac 401k'!N4412,'Retirement Calculator'!A:A,0),0),0)</f>
        <v>0</v>
      </c>
      <c r="K4412" s="444">
        <f t="shared" ca="1" si="186"/>
        <v>-173057424366.17828</v>
      </c>
      <c r="L4412" s="444">
        <f t="shared" ca="1" si="187"/>
        <v>-41706839272248.969</v>
      </c>
      <c r="M4412" s="460">
        <f t="shared" si="189"/>
        <v>0.05</v>
      </c>
      <c r="N4412" s="464">
        <f t="shared" si="190"/>
        <v>185331</v>
      </c>
    </row>
    <row r="4413" spans="7:14" ht="11.25" customHeight="1" x14ac:dyDescent="0.25">
      <c r="G4413" s="459"/>
      <c r="H4413" s="459">
        <v>4406</v>
      </c>
      <c r="I4413" s="444">
        <f t="shared" ca="1" si="188"/>
        <v>-41706839272248.969</v>
      </c>
      <c r="J4413" s="444">
        <f t="array" ref="J4413">IFERROR(INDEX('Retirement Calculator'!J:J,MATCH('Isaac 401k'!N4413,'Retirement Calculator'!A:A,0),0),0)</f>
        <v>0</v>
      </c>
      <c r="K4413" s="444">
        <f t="shared" ca="1" si="186"/>
        <v>-173778496967.70404</v>
      </c>
      <c r="L4413" s="444">
        <f t="shared" ca="1" si="187"/>
        <v>-41880617769216.672</v>
      </c>
      <c r="M4413" s="460">
        <f t="shared" si="189"/>
        <v>0.05</v>
      </c>
      <c r="N4413" s="464">
        <f t="shared" si="190"/>
        <v>185361</v>
      </c>
    </row>
    <row r="4414" spans="7:14" ht="11.25" customHeight="1" x14ac:dyDescent="0.25">
      <c r="G4414" s="459"/>
      <c r="H4414" s="459">
        <v>4407</v>
      </c>
      <c r="I4414" s="444">
        <f t="shared" ca="1" si="188"/>
        <v>-41880617769216.672</v>
      </c>
      <c r="J4414" s="444">
        <f t="array" ref="J4414">IFERROR(INDEX('Retirement Calculator'!J:J,MATCH('Isaac 401k'!N4414,'Retirement Calculator'!A:A,0),0),0)</f>
        <v>0</v>
      </c>
      <c r="K4414" s="444">
        <f t="shared" ca="1" si="186"/>
        <v>-174502574038.4028</v>
      </c>
      <c r="L4414" s="444">
        <f t="shared" ca="1" si="187"/>
        <v>-42055120343255.078</v>
      </c>
      <c r="M4414" s="460">
        <f t="shared" si="189"/>
        <v>0.05</v>
      </c>
      <c r="N4414" s="464">
        <f t="shared" si="190"/>
        <v>185392</v>
      </c>
    </row>
    <row r="4415" spans="7:14" ht="11.25" customHeight="1" x14ac:dyDescent="0.25">
      <c r="G4415" s="459"/>
      <c r="H4415" s="459">
        <v>4408</v>
      </c>
      <c r="I4415" s="444">
        <f t="shared" ca="1" si="188"/>
        <v>-42055120343255.078</v>
      </c>
      <c r="J4415" s="444">
        <f t="array" ref="J4415">IFERROR(INDEX('Retirement Calculator'!J:J,MATCH('Isaac 401k'!N4415,'Retirement Calculator'!A:A,0),0),0)</f>
        <v>0</v>
      </c>
      <c r="K4415" s="444">
        <f t="shared" ca="1" si="186"/>
        <v>-175229668096.89615</v>
      </c>
      <c r="L4415" s="444">
        <f t="shared" ca="1" si="187"/>
        <v>-42230350011351.977</v>
      </c>
      <c r="M4415" s="460">
        <f t="shared" si="189"/>
        <v>0.05</v>
      </c>
      <c r="N4415" s="464">
        <f t="shared" si="190"/>
        <v>185423</v>
      </c>
    </row>
    <row r="4416" spans="7:14" ht="11.25" customHeight="1" x14ac:dyDescent="0.25">
      <c r="G4416" s="459"/>
      <c r="H4416" s="459">
        <v>4409</v>
      </c>
      <c r="I4416" s="444">
        <f t="shared" ca="1" si="188"/>
        <v>-42230350011351.977</v>
      </c>
      <c r="J4416" s="444">
        <f t="array" ref="J4416">IFERROR(INDEX('Retirement Calculator'!J:J,MATCH('Isaac 401k'!N4416,'Retirement Calculator'!A:A,0),0),0)</f>
        <v>0</v>
      </c>
      <c r="K4416" s="444">
        <f t="shared" ca="1" si="186"/>
        <v>-175959791713.96655</v>
      </c>
      <c r="L4416" s="444">
        <f t="shared" ca="1" si="187"/>
        <v>-42406309803065.945</v>
      </c>
      <c r="M4416" s="460">
        <f t="shared" si="189"/>
        <v>0.05</v>
      </c>
      <c r="N4416" s="464">
        <f t="shared" si="190"/>
        <v>185453</v>
      </c>
    </row>
    <row r="4417" spans="7:14" ht="11.25" customHeight="1" x14ac:dyDescent="0.25">
      <c r="G4417" s="459"/>
      <c r="H4417" s="459">
        <v>4410</v>
      </c>
      <c r="I4417" s="444">
        <f t="shared" ca="1" si="188"/>
        <v>-42406309803065.945</v>
      </c>
      <c r="J4417" s="444">
        <f t="array" ref="J4417">IFERROR(INDEX('Retirement Calculator'!J:J,MATCH('Isaac 401k'!N4417,'Retirement Calculator'!A:A,0),0),0)</f>
        <v>0</v>
      </c>
      <c r="K4417" s="444">
        <f t="shared" ca="1" si="186"/>
        <v>-176692957512.77478</v>
      </c>
      <c r="L4417" s="444">
        <f t="shared" ca="1" si="187"/>
        <v>-42583002760578.719</v>
      </c>
      <c r="M4417" s="460">
        <f t="shared" si="189"/>
        <v>0.05</v>
      </c>
      <c r="N4417" s="464">
        <f t="shared" si="190"/>
        <v>185484</v>
      </c>
    </row>
    <row r="4418" spans="7:14" ht="11.25" customHeight="1" x14ac:dyDescent="0.25">
      <c r="G4418" s="459"/>
      <c r="H4418" s="459">
        <v>4411</v>
      </c>
      <c r="I4418" s="444">
        <f t="shared" ca="1" si="188"/>
        <v>-42583002760578.719</v>
      </c>
      <c r="J4418" s="444">
        <f t="array" ref="J4418">IFERROR(INDEX('Retirement Calculator'!J:J,MATCH('Isaac 401k'!N4418,'Retirement Calculator'!A:A,0),0),0)</f>
        <v>0</v>
      </c>
      <c r="K4418" s="444">
        <f t="shared" ca="1" si="186"/>
        <v>-177429178169.078</v>
      </c>
      <c r="L4418" s="444">
        <f t="shared" ca="1" si="187"/>
        <v>-42760431938747.797</v>
      </c>
      <c r="M4418" s="460">
        <f t="shared" si="189"/>
        <v>0.05</v>
      </c>
      <c r="N4418" s="464">
        <f t="shared" si="190"/>
        <v>185514</v>
      </c>
    </row>
    <row r="4419" spans="7:14" ht="11.25" customHeight="1" x14ac:dyDescent="0.25">
      <c r="G4419" s="459"/>
      <c r="H4419" s="459">
        <v>4412</v>
      </c>
      <c r="I4419" s="444">
        <f t="shared" ca="1" si="188"/>
        <v>-42760431938747.797</v>
      </c>
      <c r="J4419" s="444">
        <f t="array" ref="J4419">IFERROR(INDEX('Retirement Calculator'!J:J,MATCH('Isaac 401k'!N4419,'Retirement Calculator'!A:A,0),0),0)</f>
        <v>0</v>
      </c>
      <c r="K4419" s="444">
        <f t="shared" ca="1" si="186"/>
        <v>-178168466411.44916</v>
      </c>
      <c r="L4419" s="444">
        <f t="shared" ca="1" si="187"/>
        <v>-42938600405159.242</v>
      </c>
      <c r="M4419" s="460">
        <f t="shared" si="189"/>
        <v>0.05</v>
      </c>
      <c r="N4419" s="464">
        <f t="shared" si="190"/>
        <v>185545</v>
      </c>
    </row>
    <row r="4420" spans="7:14" ht="11.25" customHeight="1" x14ac:dyDescent="0.25">
      <c r="G4420" s="459"/>
      <c r="H4420" s="459">
        <v>4413</v>
      </c>
      <c r="I4420" s="444">
        <f t="shared" ca="1" si="188"/>
        <v>-42938600405159.242</v>
      </c>
      <c r="J4420" s="444">
        <f t="array" ref="J4420">IFERROR(INDEX('Retirement Calculator'!J:J,MATCH('Isaac 401k'!N4420,'Retirement Calculator'!A:A,0),0),0)</f>
        <v>0</v>
      </c>
      <c r="K4420" s="444">
        <f t="shared" ca="1" si="186"/>
        <v>-178910835021.49683</v>
      </c>
      <c r="L4420" s="444">
        <f t="shared" ca="1" si="187"/>
        <v>-43117511240180.742</v>
      </c>
      <c r="M4420" s="460">
        <f t="shared" si="189"/>
        <v>0.05</v>
      </c>
      <c r="N4420" s="464">
        <f t="shared" si="190"/>
        <v>185576</v>
      </c>
    </row>
    <row r="4421" spans="7:14" ht="11.25" customHeight="1" x14ac:dyDescent="0.25">
      <c r="G4421" s="459"/>
      <c r="H4421" s="459">
        <v>4414</v>
      </c>
      <c r="I4421" s="444">
        <f t="shared" ca="1" si="188"/>
        <v>-43117511240180.742</v>
      </c>
      <c r="J4421" s="444">
        <f t="array" ref="J4421">IFERROR(INDEX('Retirement Calculator'!J:J,MATCH('Isaac 401k'!N4421,'Retirement Calculator'!A:A,0),0),0)</f>
        <v>0</v>
      </c>
      <c r="K4421" s="444">
        <f t="shared" ca="1" si="186"/>
        <v>-179656296834.08643</v>
      </c>
      <c r="L4421" s="444">
        <f t="shared" ca="1" si="187"/>
        <v>-43297167537014.828</v>
      </c>
      <c r="M4421" s="460">
        <f t="shared" si="189"/>
        <v>0.05</v>
      </c>
      <c r="N4421" s="464">
        <f t="shared" si="190"/>
        <v>185605</v>
      </c>
    </row>
    <row r="4422" spans="7:14" ht="11.25" customHeight="1" x14ac:dyDescent="0.25">
      <c r="G4422" s="459"/>
      <c r="H4422" s="459">
        <v>4415</v>
      </c>
      <c r="I4422" s="444">
        <f t="shared" ca="1" si="188"/>
        <v>-43297167537014.828</v>
      </c>
      <c r="J4422" s="444">
        <f t="array" ref="J4422">IFERROR(INDEX('Retirement Calculator'!J:J,MATCH('Isaac 401k'!N4422,'Retirement Calculator'!A:A,0),0),0)</f>
        <v>0</v>
      </c>
      <c r="K4422" s="444">
        <f t="shared" ca="1" si="186"/>
        <v>-180404864737.56177</v>
      </c>
      <c r="L4422" s="444">
        <f t="shared" ca="1" si="187"/>
        <v>-43477572401752.391</v>
      </c>
      <c r="M4422" s="460">
        <f t="shared" si="189"/>
        <v>0.05</v>
      </c>
      <c r="N4422" s="464">
        <f t="shared" si="190"/>
        <v>185636</v>
      </c>
    </row>
    <row r="4423" spans="7:14" ht="11.25" customHeight="1" x14ac:dyDescent="0.25">
      <c r="G4423" s="459"/>
      <c r="H4423" s="459">
        <v>4416</v>
      </c>
      <c r="I4423" s="444">
        <f t="shared" ca="1" si="188"/>
        <v>-43477572401752.391</v>
      </c>
      <c r="J4423" s="444">
        <f t="array" ref="J4423">IFERROR(INDEX('Retirement Calculator'!J:J,MATCH('Isaac 401k'!N4423,'Retirement Calculator'!A:A,0),0),0)</f>
        <v>0</v>
      </c>
      <c r="K4423" s="444">
        <f t="shared" ca="1" si="186"/>
        <v>-181156551673.96829</v>
      </c>
      <c r="L4423" s="444">
        <f t="shared" ca="1" si="187"/>
        <v>-43658728953426.359</v>
      </c>
      <c r="M4423" s="460">
        <f t="shared" si="189"/>
        <v>0.05</v>
      </c>
      <c r="N4423" s="464">
        <f t="shared" si="190"/>
        <v>185666</v>
      </c>
    </row>
    <row r="4424" spans="7:14" ht="11.25" customHeight="1" x14ac:dyDescent="0.25">
      <c r="G4424" s="459"/>
      <c r="H4424" s="459">
        <v>4417</v>
      </c>
      <c r="I4424" s="444">
        <f t="shared" ca="1" si="188"/>
        <v>-43658728953426.359</v>
      </c>
      <c r="J4424" s="444">
        <f t="array" ref="J4424">IFERROR(INDEX('Retirement Calculator'!J:J,MATCH('Isaac 401k'!N4424,'Retirement Calculator'!A:A,0),0),0)</f>
        <v>0</v>
      </c>
      <c r="K4424" s="444">
        <f t="shared" ca="1" si="186"/>
        <v>-181911370639.27649</v>
      </c>
      <c r="L4424" s="444">
        <f t="shared" ca="1" si="187"/>
        <v>-43840640324065.633</v>
      </c>
      <c r="M4424" s="460">
        <f t="shared" si="189"/>
        <v>0.05</v>
      </c>
      <c r="N4424" s="464">
        <f t="shared" si="190"/>
        <v>185697</v>
      </c>
    </row>
    <row r="4425" spans="7:14" ht="11.25" customHeight="1" x14ac:dyDescent="0.25">
      <c r="G4425" s="459"/>
      <c r="H4425" s="459">
        <v>4418</v>
      </c>
      <c r="I4425" s="444">
        <f t="shared" ca="1" si="188"/>
        <v>-43840640324065.633</v>
      </c>
      <c r="J4425" s="444">
        <f t="array" ref="J4425">IFERROR(INDEX('Retirement Calculator'!J:J,MATCH('Isaac 401k'!N4425,'Retirement Calculator'!A:A,0),0),0)</f>
        <v>0</v>
      </c>
      <c r="K4425" s="444">
        <f t="shared" ca="1" si="186"/>
        <v>-182669334683.60681</v>
      </c>
      <c r="L4425" s="444">
        <f t="shared" ca="1" si="187"/>
        <v>-44023309658749.242</v>
      </c>
      <c r="M4425" s="460">
        <f t="shared" si="189"/>
        <v>0.05</v>
      </c>
      <c r="N4425" s="464">
        <f t="shared" si="190"/>
        <v>185727</v>
      </c>
    </row>
    <row r="4426" spans="7:14" ht="11.25" customHeight="1" x14ac:dyDescent="0.25">
      <c r="G4426" s="459"/>
      <c r="H4426" s="459">
        <v>4419</v>
      </c>
      <c r="I4426" s="444">
        <f t="shared" ca="1" si="188"/>
        <v>-44023309658749.242</v>
      </c>
      <c r="J4426" s="444">
        <f t="array" ref="J4426">IFERROR(INDEX('Retirement Calculator'!J:J,MATCH('Isaac 401k'!N4426,'Retirement Calculator'!A:A,0),0),0)</f>
        <v>0</v>
      </c>
      <c r="K4426" s="444">
        <f t="shared" ca="1" si="186"/>
        <v>-183430456911.45517</v>
      </c>
      <c r="L4426" s="444">
        <f t="shared" ca="1" si="187"/>
        <v>-44206740115660.695</v>
      </c>
      <c r="M4426" s="460">
        <f t="shared" si="189"/>
        <v>0.05</v>
      </c>
      <c r="N4426" s="464">
        <f t="shared" si="190"/>
        <v>185758</v>
      </c>
    </row>
    <row r="4427" spans="7:14" ht="11.25" customHeight="1" x14ac:dyDescent="0.25">
      <c r="G4427" s="459"/>
      <c r="H4427" s="459">
        <v>4420</v>
      </c>
      <c r="I4427" s="444">
        <f t="shared" ca="1" si="188"/>
        <v>-44206740115660.695</v>
      </c>
      <c r="J4427" s="444">
        <f t="array" ref="J4427">IFERROR(INDEX('Retirement Calculator'!J:J,MATCH('Isaac 401k'!N4427,'Retirement Calculator'!A:A,0),0),0)</f>
        <v>0</v>
      </c>
      <c r="K4427" s="444">
        <f t="shared" ca="1" si="186"/>
        <v>-184194750481.91956</v>
      </c>
      <c r="L4427" s="444">
        <f t="shared" ca="1" si="187"/>
        <v>-44390934866142.617</v>
      </c>
      <c r="M4427" s="460">
        <f t="shared" si="189"/>
        <v>0.05</v>
      </c>
      <c r="N4427" s="464">
        <f t="shared" si="190"/>
        <v>185789</v>
      </c>
    </row>
    <row r="4428" spans="7:14" ht="11.25" customHeight="1" x14ac:dyDescent="0.25">
      <c r="G4428" s="459"/>
      <c r="H4428" s="459">
        <v>4421</v>
      </c>
      <c r="I4428" s="444">
        <f t="shared" ca="1" si="188"/>
        <v>-44390934866142.617</v>
      </c>
      <c r="J4428" s="444">
        <f t="array" ref="J4428">IFERROR(INDEX('Retirement Calculator'!J:J,MATCH('Isaac 401k'!N4428,'Retirement Calculator'!A:A,0),0),0)</f>
        <v>0</v>
      </c>
      <c r="K4428" s="444">
        <f t="shared" ca="1" si="186"/>
        <v>-184962228608.92758</v>
      </c>
      <c r="L4428" s="444">
        <f t="shared" ca="1" si="187"/>
        <v>-44575897094751.547</v>
      </c>
      <c r="M4428" s="460">
        <f t="shared" si="189"/>
        <v>0.05</v>
      </c>
      <c r="N4428" s="464">
        <f t="shared" si="190"/>
        <v>185819</v>
      </c>
    </row>
    <row r="4429" spans="7:14" ht="11.25" customHeight="1" x14ac:dyDescent="0.25">
      <c r="G4429" s="459"/>
      <c r="H4429" s="459">
        <v>4422</v>
      </c>
      <c r="I4429" s="444">
        <f t="shared" ca="1" si="188"/>
        <v>-44575897094751.547</v>
      </c>
      <c r="J4429" s="444">
        <f t="array" ref="J4429">IFERROR(INDEX('Retirement Calculator'!J:J,MATCH('Isaac 401k'!N4429,'Retirement Calculator'!A:A,0),0),0)</f>
        <v>0</v>
      </c>
      <c r="K4429" s="444">
        <f t="shared" ca="1" si="186"/>
        <v>-185732904561.46478</v>
      </c>
      <c r="L4429" s="444">
        <f t="shared" ca="1" si="187"/>
        <v>-44761629999313.008</v>
      </c>
      <c r="M4429" s="460">
        <f t="shared" si="189"/>
        <v>0.05</v>
      </c>
      <c r="N4429" s="464">
        <f t="shared" si="190"/>
        <v>185850</v>
      </c>
    </row>
    <row r="4430" spans="7:14" ht="11.25" customHeight="1" x14ac:dyDescent="0.25">
      <c r="G4430" s="459"/>
      <c r="H4430" s="459">
        <v>4423</v>
      </c>
      <c r="I4430" s="444">
        <f t="shared" ca="1" si="188"/>
        <v>-44761629999313.008</v>
      </c>
      <c r="J4430" s="444">
        <f t="array" ref="J4430">IFERROR(INDEX('Retirement Calculator'!J:J,MATCH('Isaac 401k'!N4430,'Retirement Calculator'!A:A,0),0),0)</f>
        <v>0</v>
      </c>
      <c r="K4430" s="444">
        <f t="shared" ca="1" si="186"/>
        <v>-186506791663.8042</v>
      </c>
      <c r="L4430" s="444">
        <f t="shared" ca="1" si="187"/>
        <v>-44948136790976.813</v>
      </c>
      <c r="M4430" s="460">
        <f t="shared" si="189"/>
        <v>0.05</v>
      </c>
      <c r="N4430" s="464">
        <f t="shared" si="190"/>
        <v>185880</v>
      </c>
    </row>
    <row r="4431" spans="7:14" ht="11.25" customHeight="1" x14ac:dyDescent="0.25">
      <c r="G4431" s="459"/>
      <c r="H4431" s="459">
        <v>4424</v>
      </c>
      <c r="I4431" s="444">
        <f t="shared" ca="1" si="188"/>
        <v>-44948136790976.813</v>
      </c>
      <c r="J4431" s="444">
        <f t="array" ref="J4431">IFERROR(INDEX('Retirement Calculator'!J:J,MATCH('Isaac 401k'!N4431,'Retirement Calculator'!A:A,0),0),0)</f>
        <v>0</v>
      </c>
      <c r="K4431" s="444">
        <f t="shared" ca="1" si="186"/>
        <v>-187283903295.73672</v>
      </c>
      <c r="L4431" s="444">
        <f t="shared" ca="1" si="187"/>
        <v>-45135420694272.547</v>
      </c>
      <c r="M4431" s="460">
        <f t="shared" si="189"/>
        <v>0.05</v>
      </c>
      <c r="N4431" s="464">
        <f t="shared" si="190"/>
        <v>185911</v>
      </c>
    </row>
    <row r="4432" spans="7:14" ht="11.25" customHeight="1" x14ac:dyDescent="0.25">
      <c r="G4432" s="459"/>
      <c r="H4432" s="459">
        <v>4425</v>
      </c>
      <c r="I4432" s="444">
        <f t="shared" ca="1" si="188"/>
        <v>-45135420694272.547</v>
      </c>
      <c r="J4432" s="444">
        <f t="array" ref="J4432">IFERROR(INDEX('Retirement Calculator'!J:J,MATCH('Isaac 401k'!N4432,'Retirement Calculator'!A:A,0),0),0)</f>
        <v>0</v>
      </c>
      <c r="K4432" s="444">
        <f t="shared" ca="1" si="186"/>
        <v>-188064252892.80228</v>
      </c>
      <c r="L4432" s="444">
        <f t="shared" ca="1" si="187"/>
        <v>-45323484947165.352</v>
      </c>
      <c r="M4432" s="460">
        <f t="shared" si="189"/>
        <v>0.05</v>
      </c>
      <c r="N4432" s="464">
        <f t="shared" si="190"/>
        <v>185942</v>
      </c>
    </row>
    <row r="4433" spans="7:14" ht="11.25" customHeight="1" x14ac:dyDescent="0.25">
      <c r="G4433" s="459"/>
      <c r="H4433" s="459">
        <v>4426</v>
      </c>
      <c r="I4433" s="444">
        <f t="shared" ca="1" si="188"/>
        <v>-45323484947165.352</v>
      </c>
      <c r="J4433" s="444">
        <f t="array" ref="J4433">IFERROR(INDEX('Retirement Calculator'!J:J,MATCH('Isaac 401k'!N4433,'Retirement Calculator'!A:A,0),0),0)</f>
        <v>0</v>
      </c>
      <c r="K4433" s="444">
        <f t="shared" ca="1" si="186"/>
        <v>-188847853946.52231</v>
      </c>
      <c r="L4433" s="444">
        <f t="shared" ca="1" si="187"/>
        <v>-45512332801111.875</v>
      </c>
      <c r="M4433" s="460">
        <f t="shared" si="189"/>
        <v>0.05</v>
      </c>
      <c r="N4433" s="464">
        <f t="shared" si="190"/>
        <v>185970</v>
      </c>
    </row>
    <row r="4434" spans="7:14" ht="11.25" customHeight="1" x14ac:dyDescent="0.25">
      <c r="G4434" s="459"/>
      <c r="H4434" s="459">
        <v>4427</v>
      </c>
      <c r="I4434" s="444">
        <f t="shared" ca="1" si="188"/>
        <v>-45512332801111.875</v>
      </c>
      <c r="J4434" s="444">
        <f t="array" ref="J4434">IFERROR(INDEX('Retirement Calculator'!J:J,MATCH('Isaac 401k'!N4434,'Retirement Calculator'!A:A,0),0),0)</f>
        <v>0</v>
      </c>
      <c r="K4434" s="444">
        <f t="shared" ca="1" si="186"/>
        <v>-189634720004.63281</v>
      </c>
      <c r="L4434" s="444">
        <f t="shared" ca="1" si="187"/>
        <v>-45701967521116.508</v>
      </c>
      <c r="M4434" s="460">
        <f t="shared" si="189"/>
        <v>0.05</v>
      </c>
      <c r="N4434" s="464">
        <f t="shared" si="190"/>
        <v>186001</v>
      </c>
    </row>
    <row r="4435" spans="7:14" ht="11.25" customHeight="1" x14ac:dyDescent="0.25">
      <c r="G4435" s="459"/>
      <c r="H4435" s="459">
        <v>4428</v>
      </c>
      <c r="I4435" s="444">
        <f t="shared" ca="1" si="188"/>
        <v>-45701967521116.508</v>
      </c>
      <c r="J4435" s="444">
        <f t="array" ref="J4435">IFERROR(INDEX('Retirement Calculator'!J:J,MATCH('Isaac 401k'!N4435,'Retirement Calculator'!A:A,0),0),0)</f>
        <v>0</v>
      </c>
      <c r="K4435" s="444">
        <f t="shared" ca="1" si="186"/>
        <v>-190424864671.31879</v>
      </c>
      <c r="L4435" s="444">
        <f t="shared" ca="1" si="187"/>
        <v>-45892392385787.828</v>
      </c>
      <c r="M4435" s="460">
        <f t="shared" si="189"/>
        <v>0.05</v>
      </c>
      <c r="N4435" s="464">
        <f t="shared" si="190"/>
        <v>186031</v>
      </c>
    </row>
    <row r="4436" spans="7:14" ht="11.25" customHeight="1" x14ac:dyDescent="0.25">
      <c r="G4436" s="459"/>
      <c r="H4436" s="459">
        <v>4429</v>
      </c>
      <c r="I4436" s="444">
        <f t="shared" ca="1" si="188"/>
        <v>-45892392385787.828</v>
      </c>
      <c r="J4436" s="444">
        <f t="array" ref="J4436">IFERROR(INDEX('Retirement Calculator'!J:J,MATCH('Isaac 401k'!N4436,'Retirement Calculator'!A:A,0),0),0)</f>
        <v>0</v>
      </c>
      <c r="K4436" s="444">
        <f t="shared" ca="1" si="186"/>
        <v>-191218301607.44928</v>
      </c>
      <c r="L4436" s="444">
        <f t="shared" ca="1" si="187"/>
        <v>-46083610687395.281</v>
      </c>
      <c r="M4436" s="460">
        <f t="shared" si="189"/>
        <v>0.05</v>
      </c>
      <c r="N4436" s="464">
        <f t="shared" si="190"/>
        <v>186062</v>
      </c>
    </row>
    <row r="4437" spans="7:14" ht="11.25" customHeight="1" x14ac:dyDescent="0.25">
      <c r="G4437" s="459"/>
      <c r="H4437" s="459">
        <v>4430</v>
      </c>
      <c r="I4437" s="444">
        <f t="shared" ca="1" si="188"/>
        <v>-46083610687395.281</v>
      </c>
      <c r="J4437" s="444">
        <f t="array" ref="J4437">IFERROR(INDEX('Retirement Calculator'!J:J,MATCH('Isaac 401k'!N4437,'Retirement Calculator'!A:A,0),0),0)</f>
        <v>0</v>
      </c>
      <c r="K4437" s="444">
        <f t="shared" ca="1" si="186"/>
        <v>-192015044530.81366</v>
      </c>
      <c r="L4437" s="444">
        <f t="shared" ca="1" si="187"/>
        <v>-46275625731926.094</v>
      </c>
      <c r="M4437" s="460">
        <f t="shared" si="189"/>
        <v>0.05</v>
      </c>
      <c r="N4437" s="464">
        <f t="shared" si="190"/>
        <v>186092</v>
      </c>
    </row>
    <row r="4438" spans="7:14" ht="11.25" customHeight="1" x14ac:dyDescent="0.25">
      <c r="G4438" s="459"/>
      <c r="H4438" s="459">
        <v>4431</v>
      </c>
      <c r="I4438" s="444">
        <f t="shared" ca="1" si="188"/>
        <v>-46275625731926.094</v>
      </c>
      <c r="J4438" s="444">
        <f t="array" ref="J4438">IFERROR(INDEX('Retirement Calculator'!J:J,MATCH('Isaac 401k'!N4438,'Retirement Calculator'!A:A,0),0),0)</f>
        <v>0</v>
      </c>
      <c r="K4438" s="444">
        <f t="shared" ca="1" si="186"/>
        <v>-192815107216.35873</v>
      </c>
      <c r="L4438" s="444">
        <f t="shared" ca="1" si="187"/>
        <v>-46468440839142.453</v>
      </c>
      <c r="M4438" s="460">
        <f t="shared" si="189"/>
        <v>0.05</v>
      </c>
      <c r="N4438" s="464">
        <f t="shared" si="190"/>
        <v>186123</v>
      </c>
    </row>
    <row r="4439" spans="7:14" ht="11.25" customHeight="1" x14ac:dyDescent="0.25">
      <c r="G4439" s="459"/>
      <c r="H4439" s="459">
        <v>4432</v>
      </c>
      <c r="I4439" s="444">
        <f t="shared" ca="1" si="188"/>
        <v>-46468440839142.453</v>
      </c>
      <c r="J4439" s="444">
        <f t="array" ref="J4439">IFERROR(INDEX('Retirement Calculator'!J:J,MATCH('Isaac 401k'!N4439,'Retirement Calculator'!A:A,0),0),0)</f>
        <v>0</v>
      </c>
      <c r="K4439" s="444">
        <f t="shared" ca="1" si="186"/>
        <v>-193618503496.42688</v>
      </c>
      <c r="L4439" s="444">
        <f t="shared" ca="1" si="187"/>
        <v>-46662059342638.883</v>
      </c>
      <c r="M4439" s="460">
        <f t="shared" si="189"/>
        <v>0.05</v>
      </c>
      <c r="N4439" s="464">
        <f t="shared" si="190"/>
        <v>186154</v>
      </c>
    </row>
    <row r="4440" spans="7:14" ht="11.25" customHeight="1" x14ac:dyDescent="0.25">
      <c r="G4440" s="459"/>
      <c r="H4440" s="459">
        <v>4433</v>
      </c>
      <c r="I4440" s="444">
        <f t="shared" ca="1" si="188"/>
        <v>-46662059342638.883</v>
      </c>
      <c r="J4440" s="444">
        <f t="array" ref="J4440">IFERROR(INDEX('Retirement Calculator'!J:J,MATCH('Isaac 401k'!N4440,'Retirement Calculator'!A:A,0),0),0)</f>
        <v>0</v>
      </c>
      <c r="K4440" s="444">
        <f t="shared" ca="1" si="186"/>
        <v>-194425247260.99533</v>
      </c>
      <c r="L4440" s="444">
        <f t="shared" ca="1" si="187"/>
        <v>-46856484589899.875</v>
      </c>
      <c r="M4440" s="460">
        <f t="shared" si="189"/>
        <v>0.05</v>
      </c>
      <c r="N4440" s="464">
        <f t="shared" si="190"/>
        <v>186184</v>
      </c>
    </row>
    <row r="4441" spans="7:14" ht="11.25" customHeight="1" x14ac:dyDescent="0.25">
      <c r="G4441" s="459"/>
      <c r="H4441" s="459">
        <v>4434</v>
      </c>
      <c r="I4441" s="444">
        <f t="shared" ca="1" si="188"/>
        <v>-46856484589899.875</v>
      </c>
      <c r="J4441" s="444">
        <f t="array" ref="J4441">IFERROR(INDEX('Retirement Calculator'!J:J,MATCH('Isaac 401k'!N4441,'Retirement Calculator'!A:A,0),0),0)</f>
        <v>0</v>
      </c>
      <c r="K4441" s="444">
        <f t="shared" ca="1" si="186"/>
        <v>-195235352457.91614</v>
      </c>
      <c r="L4441" s="444">
        <f t="shared" ca="1" si="187"/>
        <v>-47051719942357.789</v>
      </c>
      <c r="M4441" s="460">
        <f t="shared" si="189"/>
        <v>0.05</v>
      </c>
      <c r="N4441" s="464">
        <f t="shared" si="190"/>
        <v>186215</v>
      </c>
    </row>
    <row r="4442" spans="7:14" ht="11.25" customHeight="1" x14ac:dyDescent="0.25">
      <c r="G4442" s="459"/>
      <c r="H4442" s="459">
        <v>4435</v>
      </c>
      <c r="I4442" s="444">
        <f t="shared" ca="1" si="188"/>
        <v>-47051719942357.789</v>
      </c>
      <c r="J4442" s="444">
        <f t="array" ref="J4442">IFERROR(INDEX('Retirement Calculator'!J:J,MATCH('Isaac 401k'!N4442,'Retirement Calculator'!A:A,0),0),0)</f>
        <v>0</v>
      </c>
      <c r="K4442" s="444">
        <f t="shared" ca="1" si="186"/>
        <v>-196048833093.15744</v>
      </c>
      <c r="L4442" s="444">
        <f t="shared" ca="1" si="187"/>
        <v>-47247768775450.945</v>
      </c>
      <c r="M4442" s="460">
        <f t="shared" si="189"/>
        <v>0.05</v>
      </c>
      <c r="N4442" s="464">
        <f t="shared" si="190"/>
        <v>186245</v>
      </c>
    </row>
    <row r="4443" spans="7:14" ht="11.25" customHeight="1" x14ac:dyDescent="0.25">
      <c r="G4443" s="459"/>
      <c r="H4443" s="459">
        <v>4436</v>
      </c>
      <c r="I4443" s="444">
        <f t="shared" ca="1" si="188"/>
        <v>-47247768775450.945</v>
      </c>
      <c r="J4443" s="444">
        <f t="array" ref="J4443">IFERROR(INDEX('Retirement Calculator'!J:J,MATCH('Isaac 401k'!N4443,'Retirement Calculator'!A:A,0),0),0)</f>
        <v>0</v>
      </c>
      <c r="K4443" s="444">
        <f t="shared" ca="1" si="186"/>
        <v>-196865703231.04559</v>
      </c>
      <c r="L4443" s="444">
        <f t="shared" ca="1" si="187"/>
        <v>-47444634478681.992</v>
      </c>
      <c r="M4443" s="460">
        <f t="shared" si="189"/>
        <v>0.05</v>
      </c>
      <c r="N4443" s="464">
        <f t="shared" si="190"/>
        <v>186276</v>
      </c>
    </row>
    <row r="4444" spans="7:14" ht="11.25" customHeight="1" x14ac:dyDescent="0.25">
      <c r="G4444" s="459"/>
      <c r="H4444" s="459">
        <v>4437</v>
      </c>
      <c r="I4444" s="444">
        <f t="shared" ca="1" si="188"/>
        <v>-47444634478681.992</v>
      </c>
      <c r="J4444" s="444">
        <f t="array" ref="J4444">IFERROR(INDEX('Retirement Calculator'!J:J,MATCH('Isaac 401k'!N4444,'Retirement Calculator'!A:A,0),0),0)</f>
        <v>0</v>
      </c>
      <c r="K4444" s="444">
        <f t="shared" ca="1" si="186"/>
        <v>-197685976994.5083</v>
      </c>
      <c r="L4444" s="444">
        <f t="shared" ca="1" si="187"/>
        <v>-47642320455676.5</v>
      </c>
      <c r="M4444" s="460">
        <f t="shared" si="189"/>
        <v>0.05</v>
      </c>
      <c r="N4444" s="464">
        <f t="shared" si="190"/>
        <v>186307</v>
      </c>
    </row>
    <row r="4445" spans="7:14" ht="11.25" customHeight="1" x14ac:dyDescent="0.25">
      <c r="G4445" s="459"/>
      <c r="H4445" s="459">
        <v>4438</v>
      </c>
      <c r="I4445" s="444">
        <f t="shared" ca="1" si="188"/>
        <v>-47642320455676.5</v>
      </c>
      <c r="J4445" s="444">
        <f t="array" ref="J4445">IFERROR(INDEX('Retirement Calculator'!J:J,MATCH('Isaac 401k'!N4445,'Retirement Calculator'!A:A,0),0),0)</f>
        <v>0</v>
      </c>
      <c r="K4445" s="444">
        <f t="shared" ca="1" si="186"/>
        <v>-198509668565.31876</v>
      </c>
      <c r="L4445" s="444">
        <f t="shared" ca="1" si="187"/>
        <v>-47840830124241.82</v>
      </c>
      <c r="M4445" s="460">
        <f t="shared" si="189"/>
        <v>0.05</v>
      </c>
      <c r="N4445" s="464">
        <f t="shared" si="190"/>
        <v>186335</v>
      </c>
    </row>
    <row r="4446" spans="7:14" ht="11.25" customHeight="1" x14ac:dyDescent="0.25">
      <c r="G4446" s="459"/>
      <c r="H4446" s="459">
        <v>4439</v>
      </c>
      <c r="I4446" s="444">
        <f t="shared" ca="1" si="188"/>
        <v>-47840830124241.82</v>
      </c>
      <c r="J4446" s="444">
        <f t="array" ref="J4446">IFERROR(INDEX('Retirement Calculator'!J:J,MATCH('Isaac 401k'!N4446,'Retirement Calculator'!A:A,0),0),0)</f>
        <v>0</v>
      </c>
      <c r="K4446" s="444">
        <f t="shared" ca="1" si="186"/>
        <v>-199336792184.34091</v>
      </c>
      <c r="L4446" s="444">
        <f t="shared" ca="1" si="187"/>
        <v>-48040166916426.164</v>
      </c>
      <c r="M4446" s="460">
        <f t="shared" si="189"/>
        <v>0.05</v>
      </c>
      <c r="N4446" s="464">
        <f t="shared" si="190"/>
        <v>186366</v>
      </c>
    </row>
    <row r="4447" spans="7:14" ht="11.25" customHeight="1" x14ac:dyDescent="0.25">
      <c r="G4447" s="459"/>
      <c r="H4447" s="459">
        <v>4440</v>
      </c>
      <c r="I4447" s="444">
        <f t="shared" ca="1" si="188"/>
        <v>-48040166916426.164</v>
      </c>
      <c r="J4447" s="444">
        <f t="array" ref="J4447">IFERROR(INDEX('Retirement Calculator'!J:J,MATCH('Isaac 401k'!N4447,'Retirement Calculator'!A:A,0),0),0)</f>
        <v>0</v>
      </c>
      <c r="K4447" s="444">
        <f t="shared" ca="1" si="186"/>
        <v>-200167362151.7757</v>
      </c>
      <c r="L4447" s="444">
        <f t="shared" ca="1" si="187"/>
        <v>-48240334278577.938</v>
      </c>
      <c r="M4447" s="460">
        <f t="shared" si="189"/>
        <v>0.05</v>
      </c>
      <c r="N4447" s="464">
        <f t="shared" si="190"/>
        <v>186396</v>
      </c>
    </row>
    <row r="4448" spans="7:14" ht="11.25" customHeight="1" x14ac:dyDescent="0.25">
      <c r="G4448" s="459"/>
      <c r="H4448" s="459">
        <v>4441</v>
      </c>
      <c r="I4448" s="444">
        <f t="shared" ca="1" si="188"/>
        <v>-48240334278577.938</v>
      </c>
      <c r="J4448" s="444">
        <f t="array" ref="J4448">IFERROR(INDEX('Retirement Calculator'!J:J,MATCH('Isaac 401k'!N4448,'Retirement Calculator'!A:A,0),0),0)</f>
        <v>0</v>
      </c>
      <c r="K4448" s="444">
        <f t="shared" ca="1" si="186"/>
        <v>-201001392827.40808</v>
      </c>
      <c r="L4448" s="444">
        <f t="shared" ca="1" si="187"/>
        <v>-48441335671405.344</v>
      </c>
      <c r="M4448" s="460">
        <f t="shared" si="189"/>
        <v>0.05</v>
      </c>
      <c r="N4448" s="464">
        <f t="shared" si="190"/>
        <v>186427</v>
      </c>
    </row>
    <row r="4449" spans="7:14" ht="11.25" customHeight="1" x14ac:dyDescent="0.25">
      <c r="G4449" s="459"/>
      <c r="H4449" s="459">
        <v>4442</v>
      </c>
      <c r="I4449" s="444">
        <f t="shared" ca="1" si="188"/>
        <v>-48441335671405.344</v>
      </c>
      <c r="J4449" s="444">
        <f t="array" ref="J4449">IFERROR(INDEX('Retirement Calculator'!J:J,MATCH('Isaac 401k'!N4449,'Retirement Calculator'!A:A,0),0),0)</f>
        <v>0</v>
      </c>
      <c r="K4449" s="444">
        <f t="shared" ca="1" si="186"/>
        <v>-201838898630.85559</v>
      </c>
      <c r="L4449" s="444">
        <f t="shared" ca="1" si="187"/>
        <v>-48643174570036.203</v>
      </c>
      <c r="M4449" s="460">
        <f t="shared" si="189"/>
        <v>0.05</v>
      </c>
      <c r="N4449" s="464">
        <f t="shared" si="190"/>
        <v>186457</v>
      </c>
    </row>
    <row r="4450" spans="7:14" ht="11.25" customHeight="1" x14ac:dyDescent="0.25">
      <c r="G4450" s="459"/>
      <c r="H4450" s="459">
        <v>4443</v>
      </c>
      <c r="I4450" s="444">
        <f t="shared" ca="1" si="188"/>
        <v>-48643174570036.203</v>
      </c>
      <c r="J4450" s="444">
        <f t="array" ref="J4450">IFERROR(INDEX('Retirement Calculator'!J:J,MATCH('Isaac 401k'!N4450,'Retirement Calculator'!A:A,0),0),0)</f>
        <v>0</v>
      </c>
      <c r="K4450" s="444">
        <f t="shared" ca="1" si="186"/>
        <v>-202679894041.8175</v>
      </c>
      <c r="L4450" s="444">
        <f t="shared" ca="1" si="187"/>
        <v>-48845854464078.023</v>
      </c>
      <c r="M4450" s="460">
        <f t="shared" si="189"/>
        <v>0.05</v>
      </c>
      <c r="N4450" s="464">
        <f t="shared" si="190"/>
        <v>186488</v>
      </c>
    </row>
    <row r="4451" spans="7:14" ht="11.25" customHeight="1" x14ac:dyDescent="0.25">
      <c r="G4451" s="459"/>
      <c r="H4451" s="459">
        <v>4444</v>
      </c>
      <c r="I4451" s="444">
        <f t="shared" ca="1" si="188"/>
        <v>-48845854464078.023</v>
      </c>
      <c r="J4451" s="444">
        <f t="array" ref="J4451">IFERROR(INDEX('Retirement Calculator'!J:J,MATCH('Isaac 401k'!N4451,'Retirement Calculator'!A:A,0),0),0)</f>
        <v>0</v>
      </c>
      <c r="K4451" s="444">
        <f t="shared" ca="1" si="186"/>
        <v>-203524393600.3251</v>
      </c>
      <c r="L4451" s="444">
        <f t="shared" ca="1" si="187"/>
        <v>-49049378857678.352</v>
      </c>
      <c r="M4451" s="460">
        <f t="shared" si="189"/>
        <v>0.05</v>
      </c>
      <c r="N4451" s="464">
        <f t="shared" si="190"/>
        <v>186519</v>
      </c>
    </row>
    <row r="4452" spans="7:14" ht="11.25" customHeight="1" x14ac:dyDescent="0.25">
      <c r="G4452" s="459"/>
      <c r="H4452" s="459">
        <v>4445</v>
      </c>
      <c r="I4452" s="444">
        <f t="shared" ca="1" si="188"/>
        <v>-49049378857678.352</v>
      </c>
      <c r="J4452" s="444">
        <f t="array" ref="J4452">IFERROR(INDEX('Retirement Calculator'!J:J,MATCH('Isaac 401k'!N4452,'Retirement Calculator'!A:A,0),0),0)</f>
        <v>0</v>
      </c>
      <c r="K4452" s="444">
        <f t="shared" ca="1" si="186"/>
        <v>-204372411906.99313</v>
      </c>
      <c r="L4452" s="444">
        <f t="shared" ca="1" si="187"/>
        <v>-49253751269585.344</v>
      </c>
      <c r="M4452" s="460">
        <f t="shared" si="189"/>
        <v>0.05</v>
      </c>
      <c r="N4452" s="464">
        <f t="shared" si="190"/>
        <v>186549</v>
      </c>
    </row>
    <row r="4453" spans="7:14" ht="11.25" customHeight="1" x14ac:dyDescent="0.25">
      <c r="G4453" s="459"/>
      <c r="H4453" s="459">
        <v>4446</v>
      </c>
      <c r="I4453" s="444">
        <f t="shared" ca="1" si="188"/>
        <v>-49253751269585.344</v>
      </c>
      <c r="J4453" s="444">
        <f t="array" ref="J4453">IFERROR(INDEX('Retirement Calculator'!J:J,MATCH('Isaac 401k'!N4453,'Retirement Calculator'!A:A,0),0),0)</f>
        <v>0</v>
      </c>
      <c r="K4453" s="444">
        <f t="shared" ca="1" si="186"/>
        <v>-205223963623.27228</v>
      </c>
      <c r="L4453" s="444">
        <f t="shared" ca="1" si="187"/>
        <v>-49458975233208.617</v>
      </c>
      <c r="M4453" s="460">
        <f t="shared" si="189"/>
        <v>0.05</v>
      </c>
      <c r="N4453" s="464">
        <f t="shared" si="190"/>
        <v>186580</v>
      </c>
    </row>
    <row r="4454" spans="7:14" ht="11.25" customHeight="1" x14ac:dyDescent="0.25">
      <c r="G4454" s="459"/>
      <c r="H4454" s="459">
        <v>4447</v>
      </c>
      <c r="I4454" s="444">
        <f t="shared" ca="1" si="188"/>
        <v>-49458975233208.617</v>
      </c>
      <c r="J4454" s="444">
        <f t="array" ref="J4454">IFERROR(INDEX('Retirement Calculator'!J:J,MATCH('Isaac 401k'!N4454,'Retirement Calculator'!A:A,0),0),0)</f>
        <v>0</v>
      </c>
      <c r="K4454" s="444">
        <f t="shared" ca="1" si="186"/>
        <v>-206079063471.70258</v>
      </c>
      <c r="L4454" s="444">
        <f t="shared" ca="1" si="187"/>
        <v>-49665054296680.32</v>
      </c>
      <c r="M4454" s="460">
        <f t="shared" si="189"/>
        <v>0.05</v>
      </c>
      <c r="N4454" s="464">
        <f t="shared" si="190"/>
        <v>186610</v>
      </c>
    </row>
    <row r="4455" spans="7:14" ht="11.25" customHeight="1" x14ac:dyDescent="0.25">
      <c r="G4455" s="459"/>
      <c r="H4455" s="459">
        <v>4448</v>
      </c>
      <c r="I4455" s="444">
        <f t="shared" ca="1" si="188"/>
        <v>-49665054296680.32</v>
      </c>
      <c r="J4455" s="444">
        <f t="array" ref="J4455">IFERROR(INDEX('Retirement Calculator'!J:J,MATCH('Isaac 401k'!N4455,'Retirement Calculator'!A:A,0),0),0)</f>
        <v>0</v>
      </c>
      <c r="K4455" s="444">
        <f t="shared" ca="1" si="186"/>
        <v>-206937726236.168</v>
      </c>
      <c r="L4455" s="444">
        <f t="shared" ca="1" si="187"/>
        <v>-49871992022916.492</v>
      </c>
      <c r="M4455" s="460">
        <f t="shared" si="189"/>
        <v>0.05</v>
      </c>
      <c r="N4455" s="464">
        <f t="shared" si="190"/>
        <v>186641</v>
      </c>
    </row>
    <row r="4456" spans="7:14" ht="11.25" customHeight="1" x14ac:dyDescent="0.25">
      <c r="G4456" s="459"/>
      <c r="H4456" s="459">
        <v>4449</v>
      </c>
      <c r="I4456" s="444">
        <f t="shared" ca="1" si="188"/>
        <v>-49871992022916.492</v>
      </c>
      <c r="J4456" s="444">
        <f t="array" ref="J4456">IFERROR(INDEX('Retirement Calculator'!J:J,MATCH('Isaac 401k'!N4456,'Retirement Calculator'!A:A,0),0),0)</f>
        <v>0</v>
      </c>
      <c r="K4456" s="444">
        <f t="shared" ca="1" si="186"/>
        <v>-207799966762.15204</v>
      </c>
      <c r="L4456" s="444">
        <f t="shared" ca="1" si="187"/>
        <v>-50079791989678.641</v>
      </c>
      <c r="M4456" s="460">
        <f t="shared" si="189"/>
        <v>0.05</v>
      </c>
      <c r="N4456" s="464">
        <f t="shared" si="190"/>
        <v>186672</v>
      </c>
    </row>
    <row r="4457" spans="7:14" ht="11.25" customHeight="1" x14ac:dyDescent="0.25">
      <c r="G4457" s="459"/>
      <c r="H4457" s="459">
        <v>4450</v>
      </c>
      <c r="I4457" s="444">
        <f t="shared" ca="1" si="188"/>
        <v>-50079791989678.641</v>
      </c>
      <c r="J4457" s="444">
        <f t="array" ref="J4457">IFERROR(INDEX('Retirement Calculator'!J:J,MATCH('Isaac 401k'!N4457,'Retirement Calculator'!A:A,0),0),0)</f>
        <v>0</v>
      </c>
      <c r="K4457" s="444">
        <f t="shared" ca="1" si="186"/>
        <v>-208665799956.99432</v>
      </c>
      <c r="L4457" s="444">
        <f t="shared" ca="1" si="187"/>
        <v>-50288457789635.633</v>
      </c>
      <c r="M4457" s="460">
        <f t="shared" si="189"/>
        <v>0.05</v>
      </c>
      <c r="N4457" s="464">
        <f t="shared" si="190"/>
        <v>186700</v>
      </c>
    </row>
    <row r="4458" spans="7:14" ht="11.25" customHeight="1" x14ac:dyDescent="0.25">
      <c r="G4458" s="459"/>
      <c r="H4458" s="459">
        <v>4451</v>
      </c>
      <c r="I4458" s="444">
        <f t="shared" ca="1" si="188"/>
        <v>-50288457789635.633</v>
      </c>
      <c r="J4458" s="444">
        <f t="array" ref="J4458">IFERROR(INDEX('Retirement Calculator'!J:J,MATCH('Isaac 401k'!N4458,'Retirement Calculator'!A:A,0),0),0)</f>
        <v>0</v>
      </c>
      <c r="K4458" s="444">
        <f t="shared" ca="1" si="186"/>
        <v>-209535240790.14847</v>
      </c>
      <c r="L4458" s="444">
        <f t="shared" ca="1" si="187"/>
        <v>-50497993030425.781</v>
      </c>
      <c r="M4458" s="460">
        <f t="shared" si="189"/>
        <v>0.05</v>
      </c>
      <c r="N4458" s="464">
        <f t="shared" si="190"/>
        <v>186731</v>
      </c>
    </row>
    <row r="4459" spans="7:14" ht="11.25" customHeight="1" x14ac:dyDescent="0.25">
      <c r="G4459" s="459"/>
      <c r="H4459" s="459">
        <v>4452</v>
      </c>
      <c r="I4459" s="444">
        <f t="shared" ca="1" si="188"/>
        <v>-50497993030425.781</v>
      </c>
      <c r="J4459" s="444">
        <f t="array" ref="J4459">IFERROR(INDEX('Retirement Calculator'!J:J,MATCH('Isaac 401k'!N4459,'Retirement Calculator'!A:A,0),0),0)</f>
        <v>0</v>
      </c>
      <c r="K4459" s="444">
        <f t="shared" ca="1" si="186"/>
        <v>-210408304293.44077</v>
      </c>
      <c r="L4459" s="444">
        <f t="shared" ca="1" si="187"/>
        <v>-50708401334719.219</v>
      </c>
      <c r="M4459" s="460">
        <f t="shared" si="189"/>
        <v>0.05</v>
      </c>
      <c r="N4459" s="464">
        <f t="shared" si="190"/>
        <v>186761</v>
      </c>
    </row>
    <row r="4460" spans="7:14" ht="11.25" customHeight="1" x14ac:dyDescent="0.25">
      <c r="G4460" s="459"/>
      <c r="H4460" s="459">
        <v>4453</v>
      </c>
      <c r="I4460" s="444">
        <f t="shared" ca="1" si="188"/>
        <v>-50708401334719.219</v>
      </c>
      <c r="J4460" s="444">
        <f t="array" ref="J4460">IFERROR(INDEX('Retirement Calculator'!J:J,MATCH('Isaac 401k'!N4460,'Retirement Calculator'!A:A,0),0),0)</f>
        <v>0</v>
      </c>
      <c r="K4460" s="444">
        <f t="shared" ca="1" si="186"/>
        <v>-211285005561.33008</v>
      </c>
      <c r="L4460" s="444">
        <f t="shared" ca="1" si="187"/>
        <v>-50919686340280.547</v>
      </c>
      <c r="M4460" s="460">
        <f t="shared" si="189"/>
        <v>0.05</v>
      </c>
      <c r="N4460" s="464">
        <f t="shared" si="190"/>
        <v>186792</v>
      </c>
    </row>
    <row r="4461" spans="7:14" ht="11.25" customHeight="1" x14ac:dyDescent="0.25">
      <c r="G4461" s="459"/>
      <c r="H4461" s="459">
        <v>4454</v>
      </c>
      <c r="I4461" s="444">
        <f t="shared" ca="1" si="188"/>
        <v>-50919686340280.547</v>
      </c>
      <c r="J4461" s="444">
        <f t="array" ref="J4461">IFERROR(INDEX('Retirement Calculator'!J:J,MATCH('Isaac 401k'!N4461,'Retirement Calculator'!A:A,0),0),0)</f>
        <v>0</v>
      </c>
      <c r="K4461" s="444">
        <f t="shared" ca="1" si="186"/>
        <v>-212165359751.16895</v>
      </c>
      <c r="L4461" s="444">
        <f t="shared" ca="1" si="187"/>
        <v>-51131851700031.719</v>
      </c>
      <c r="M4461" s="460">
        <f t="shared" si="189"/>
        <v>0.05</v>
      </c>
      <c r="N4461" s="464">
        <f t="shared" si="190"/>
        <v>186822</v>
      </c>
    </row>
    <row r="4462" spans="7:14" ht="11.25" customHeight="1" x14ac:dyDescent="0.25">
      <c r="G4462" s="459"/>
      <c r="H4462" s="459">
        <v>4455</v>
      </c>
      <c r="I4462" s="444">
        <f t="shared" ca="1" si="188"/>
        <v>-51131851700031.719</v>
      </c>
      <c r="J4462" s="444">
        <f t="array" ref="J4462">IFERROR(INDEX('Retirement Calculator'!J:J,MATCH('Isaac 401k'!N4462,'Retirement Calculator'!A:A,0),0),0)</f>
        <v>0</v>
      </c>
      <c r="K4462" s="444">
        <f t="shared" ca="1" si="186"/>
        <v>-213049382083.46548</v>
      </c>
      <c r="L4462" s="444">
        <f t="shared" ca="1" si="187"/>
        <v>-51344901082115.188</v>
      </c>
      <c r="M4462" s="460">
        <f t="shared" si="189"/>
        <v>0.05</v>
      </c>
      <c r="N4462" s="464">
        <f t="shared" si="190"/>
        <v>186853</v>
      </c>
    </row>
    <row r="4463" spans="7:14" ht="11.25" customHeight="1" x14ac:dyDescent="0.25">
      <c r="G4463" s="459"/>
      <c r="H4463" s="459">
        <v>4456</v>
      </c>
      <c r="I4463" s="444">
        <f t="shared" ca="1" si="188"/>
        <v>-51344901082115.188</v>
      </c>
      <c r="J4463" s="444">
        <f t="array" ref="J4463">IFERROR(INDEX('Retirement Calculator'!J:J,MATCH('Isaac 401k'!N4463,'Retirement Calculator'!A:A,0),0),0)</f>
        <v>0</v>
      </c>
      <c r="K4463" s="444">
        <f t="shared" ca="1" si="186"/>
        <v>-213937087842.14661</v>
      </c>
      <c r="L4463" s="444">
        <f t="shared" ca="1" si="187"/>
        <v>-51558838169957.336</v>
      </c>
      <c r="M4463" s="460">
        <f t="shared" si="189"/>
        <v>0.05</v>
      </c>
      <c r="N4463" s="464">
        <f t="shared" si="190"/>
        <v>186884</v>
      </c>
    </row>
    <row r="4464" spans="7:14" ht="11.25" customHeight="1" x14ac:dyDescent="0.25">
      <c r="G4464" s="459"/>
      <c r="H4464" s="459">
        <v>4457</v>
      </c>
      <c r="I4464" s="444">
        <f t="shared" ca="1" si="188"/>
        <v>-51558838169957.336</v>
      </c>
      <c r="J4464" s="444">
        <f t="array" ref="J4464">IFERROR(INDEX('Retirement Calculator'!J:J,MATCH('Isaac 401k'!N4464,'Retirement Calculator'!A:A,0),0),0)</f>
        <v>0</v>
      </c>
      <c r="K4464" s="444">
        <f t="shared" ca="1" si="186"/>
        <v>-214828492374.82224</v>
      </c>
      <c r="L4464" s="444">
        <f t="shared" ca="1" si="187"/>
        <v>-51773666662332.156</v>
      </c>
      <c r="M4464" s="460">
        <f t="shared" si="189"/>
        <v>0.05</v>
      </c>
      <c r="N4464" s="464">
        <f t="shared" si="190"/>
        <v>186914</v>
      </c>
    </row>
    <row r="4465" spans="7:14" ht="11.25" customHeight="1" x14ac:dyDescent="0.25">
      <c r="G4465" s="459"/>
      <c r="H4465" s="459">
        <v>4458</v>
      </c>
      <c r="I4465" s="444">
        <f t="shared" ca="1" si="188"/>
        <v>-51773666662332.156</v>
      </c>
      <c r="J4465" s="444">
        <f t="array" ref="J4465">IFERROR(INDEX('Retirement Calculator'!J:J,MATCH('Isaac 401k'!N4465,'Retirement Calculator'!A:A,0),0),0)</f>
        <v>0</v>
      </c>
      <c r="K4465" s="444">
        <f t="shared" ca="1" si="186"/>
        <v>-215723611093.05066</v>
      </c>
      <c r="L4465" s="444">
        <f t="shared" ca="1" si="187"/>
        <v>-51989390273425.203</v>
      </c>
      <c r="M4465" s="460">
        <f t="shared" si="189"/>
        <v>0.05</v>
      </c>
      <c r="N4465" s="464">
        <f t="shared" si="190"/>
        <v>186945</v>
      </c>
    </row>
    <row r="4466" spans="7:14" ht="11.25" customHeight="1" x14ac:dyDescent="0.25">
      <c r="G4466" s="459"/>
      <c r="H4466" s="459">
        <v>4459</v>
      </c>
      <c r="I4466" s="444">
        <f t="shared" ca="1" si="188"/>
        <v>-51989390273425.203</v>
      </c>
      <c r="J4466" s="444">
        <f t="array" ref="J4466">IFERROR(INDEX('Retirement Calculator'!J:J,MATCH('Isaac 401k'!N4466,'Retirement Calculator'!A:A,0),0),0)</f>
        <v>0</v>
      </c>
      <c r="K4466" s="444">
        <f t="shared" ca="1" si="186"/>
        <v>-216622459472.60501</v>
      </c>
      <c r="L4466" s="444">
        <f t="shared" ca="1" si="187"/>
        <v>-52206012732897.805</v>
      </c>
      <c r="M4466" s="460">
        <f t="shared" si="189"/>
        <v>0.05</v>
      </c>
      <c r="N4466" s="464">
        <f t="shared" si="190"/>
        <v>186975</v>
      </c>
    </row>
    <row r="4467" spans="7:14" ht="11.25" customHeight="1" x14ac:dyDescent="0.25">
      <c r="G4467" s="459"/>
      <c r="H4467" s="459">
        <v>4460</v>
      </c>
      <c r="I4467" s="444">
        <f t="shared" ca="1" si="188"/>
        <v>-52206012732897.805</v>
      </c>
      <c r="J4467" s="444">
        <f t="array" ref="J4467">IFERROR(INDEX('Retirement Calculator'!J:J,MATCH('Isaac 401k'!N4467,'Retirement Calculator'!A:A,0),0),0)</f>
        <v>0</v>
      </c>
      <c r="K4467" s="444">
        <f t="shared" ca="1" si="186"/>
        <v>-217525053053.74084</v>
      </c>
      <c r="L4467" s="444">
        <f t="shared" ca="1" si="187"/>
        <v>-52423537785951.547</v>
      </c>
      <c r="M4467" s="460">
        <f t="shared" si="189"/>
        <v>0.05</v>
      </c>
      <c r="N4467" s="464">
        <f t="shared" si="190"/>
        <v>187006</v>
      </c>
    </row>
    <row r="4468" spans="7:14" ht="11.25" customHeight="1" x14ac:dyDescent="0.25">
      <c r="G4468" s="459"/>
      <c r="H4468" s="459">
        <v>4461</v>
      </c>
      <c r="I4468" s="444">
        <f t="shared" ca="1" si="188"/>
        <v>-52423537785951.547</v>
      </c>
      <c r="J4468" s="444">
        <f t="array" ref="J4468">IFERROR(INDEX('Retirement Calculator'!J:J,MATCH('Isaac 401k'!N4468,'Retirement Calculator'!A:A,0),0),0)</f>
        <v>0</v>
      </c>
      <c r="K4468" s="444">
        <f t="shared" ca="1" si="186"/>
        <v>-218431407441.46478</v>
      </c>
      <c r="L4468" s="444">
        <f t="shared" ca="1" si="187"/>
        <v>-52641969193393.008</v>
      </c>
      <c r="M4468" s="460">
        <f t="shared" si="189"/>
        <v>0.05</v>
      </c>
      <c r="N4468" s="464">
        <f t="shared" si="190"/>
        <v>187037</v>
      </c>
    </row>
    <row r="4469" spans="7:14" ht="11.25" customHeight="1" x14ac:dyDescent="0.25">
      <c r="G4469" s="459"/>
      <c r="H4469" s="459">
        <v>4462</v>
      </c>
      <c r="I4469" s="444">
        <f t="shared" ca="1" si="188"/>
        <v>-52641969193393.008</v>
      </c>
      <c r="J4469" s="444">
        <f t="array" ref="J4469">IFERROR(INDEX('Retirement Calculator'!J:J,MATCH('Isaac 401k'!N4469,'Retirement Calculator'!A:A,0),0),0)</f>
        <v>0</v>
      </c>
      <c r="K4469" s="444">
        <f t="shared" ca="1" si="186"/>
        <v>-219341538305.8042</v>
      </c>
      <c r="L4469" s="444">
        <f t="shared" ca="1" si="187"/>
        <v>-52861310731698.813</v>
      </c>
      <c r="M4469" s="460">
        <f t="shared" si="189"/>
        <v>0.05</v>
      </c>
      <c r="N4469" s="464">
        <f t="shared" si="190"/>
        <v>187066</v>
      </c>
    </row>
    <row r="4470" spans="7:14" ht="11.25" customHeight="1" x14ac:dyDescent="0.25">
      <c r="G4470" s="459"/>
      <c r="H4470" s="459">
        <v>4463</v>
      </c>
      <c r="I4470" s="444">
        <f t="shared" ca="1" si="188"/>
        <v>-52861310731698.813</v>
      </c>
      <c r="J4470" s="444">
        <f t="array" ref="J4470">IFERROR(INDEX('Retirement Calculator'!J:J,MATCH('Isaac 401k'!N4470,'Retirement Calculator'!A:A,0),0),0)</f>
        <v>0</v>
      </c>
      <c r="K4470" s="444">
        <f t="shared" ca="1" si="186"/>
        <v>-220255461382.07837</v>
      </c>
      <c r="L4470" s="444">
        <f t="shared" ca="1" si="187"/>
        <v>-53081566193080.891</v>
      </c>
      <c r="M4470" s="460">
        <f t="shared" si="189"/>
        <v>0.05</v>
      </c>
      <c r="N4470" s="464">
        <f t="shared" si="190"/>
        <v>187097</v>
      </c>
    </row>
    <row r="4471" spans="7:14" ht="11.25" customHeight="1" x14ac:dyDescent="0.25">
      <c r="G4471" s="459"/>
      <c r="H4471" s="459">
        <v>4464</v>
      </c>
      <c r="I4471" s="444">
        <f t="shared" ca="1" si="188"/>
        <v>-53081566193080.891</v>
      </c>
      <c r="J4471" s="444">
        <f t="array" ref="J4471">IFERROR(INDEX('Retirement Calculator'!J:J,MATCH('Isaac 401k'!N4471,'Retirement Calculator'!A:A,0),0),0)</f>
        <v>0</v>
      </c>
      <c r="K4471" s="444">
        <f t="shared" ca="1" si="186"/>
        <v>-221173192471.17038</v>
      </c>
      <c r="L4471" s="444">
        <f t="shared" ca="1" si="187"/>
        <v>-53302739385552.063</v>
      </c>
      <c r="M4471" s="460">
        <f t="shared" si="189"/>
        <v>0.05</v>
      </c>
      <c r="N4471" s="464">
        <f t="shared" si="190"/>
        <v>187127</v>
      </c>
    </row>
    <row r="4472" spans="7:14" ht="11.25" customHeight="1" x14ac:dyDescent="0.25">
      <c r="G4472" s="459"/>
      <c r="H4472" s="459">
        <v>4465</v>
      </c>
      <c r="I4472" s="444">
        <f t="shared" ca="1" si="188"/>
        <v>-53302739385552.063</v>
      </c>
      <c r="J4472" s="444">
        <f t="array" ref="J4472">IFERROR(INDEX('Retirement Calculator'!J:J,MATCH('Isaac 401k'!N4472,'Retirement Calculator'!A:A,0),0),0)</f>
        <v>0</v>
      </c>
      <c r="K4472" s="444">
        <f t="shared" ca="1" si="186"/>
        <v>-222094747439.80026</v>
      </c>
      <c r="L4472" s="444">
        <f t="shared" ca="1" si="187"/>
        <v>-53524834132991.859</v>
      </c>
      <c r="M4472" s="460">
        <f t="shared" si="189"/>
        <v>0.05</v>
      </c>
      <c r="N4472" s="464">
        <f t="shared" si="190"/>
        <v>187158</v>
      </c>
    </row>
    <row r="4473" spans="7:14" ht="11.25" customHeight="1" x14ac:dyDescent="0.25">
      <c r="G4473" s="459"/>
      <c r="H4473" s="459">
        <v>4466</v>
      </c>
      <c r="I4473" s="444">
        <f t="shared" ca="1" si="188"/>
        <v>-53524834132991.859</v>
      </c>
      <c r="J4473" s="444">
        <f t="array" ref="J4473">IFERROR(INDEX('Retirement Calculator'!J:J,MATCH('Isaac 401k'!N4473,'Retirement Calculator'!A:A,0),0),0)</f>
        <v>0</v>
      </c>
      <c r="K4473" s="444">
        <f t="shared" ca="1" si="186"/>
        <v>-223020142220.79941</v>
      </c>
      <c r="L4473" s="444">
        <f t="shared" ca="1" si="187"/>
        <v>-53747854275212.656</v>
      </c>
      <c r="M4473" s="460">
        <f t="shared" si="189"/>
        <v>0.05</v>
      </c>
      <c r="N4473" s="464">
        <f t="shared" si="190"/>
        <v>187188</v>
      </c>
    </row>
    <row r="4474" spans="7:14" ht="11.25" customHeight="1" x14ac:dyDescent="0.25">
      <c r="G4474" s="459"/>
      <c r="H4474" s="459">
        <v>4467</v>
      </c>
      <c r="I4474" s="444">
        <f t="shared" ca="1" si="188"/>
        <v>-53747854275212.656</v>
      </c>
      <c r="J4474" s="444">
        <f t="array" ref="J4474">IFERROR(INDEX('Retirement Calculator'!J:J,MATCH('Isaac 401k'!N4474,'Retirement Calculator'!A:A,0),0),0)</f>
        <v>0</v>
      </c>
      <c r="K4474" s="444">
        <f t="shared" ca="1" si="186"/>
        <v>-223949392813.38608</v>
      </c>
      <c r="L4474" s="444">
        <f t="shared" ca="1" si="187"/>
        <v>-53971803668026.039</v>
      </c>
      <c r="M4474" s="460">
        <f t="shared" si="189"/>
        <v>0.05</v>
      </c>
      <c r="N4474" s="464">
        <f t="shared" si="190"/>
        <v>187219</v>
      </c>
    </row>
    <row r="4475" spans="7:14" ht="11.25" customHeight="1" x14ac:dyDescent="0.25">
      <c r="G4475" s="459"/>
      <c r="H4475" s="459">
        <v>4468</v>
      </c>
      <c r="I4475" s="444">
        <f t="shared" ca="1" si="188"/>
        <v>-53971803668026.039</v>
      </c>
      <c r="J4475" s="444">
        <f t="array" ref="J4475">IFERROR(INDEX('Retirement Calculator'!J:J,MATCH('Isaac 401k'!N4475,'Retirement Calculator'!A:A,0),0),0)</f>
        <v>0</v>
      </c>
      <c r="K4475" s="444">
        <f t="shared" ca="1" si="186"/>
        <v>-224882515283.44183</v>
      </c>
      <c r="L4475" s="444">
        <f t="shared" ca="1" si="187"/>
        <v>-54196686183309.484</v>
      </c>
      <c r="M4475" s="460">
        <f t="shared" si="189"/>
        <v>0.05</v>
      </c>
      <c r="N4475" s="464">
        <f t="shared" si="190"/>
        <v>187250</v>
      </c>
    </row>
    <row r="4476" spans="7:14" ht="11.25" customHeight="1" x14ac:dyDescent="0.25">
      <c r="G4476" s="459"/>
      <c r="H4476" s="459">
        <v>4469</v>
      </c>
      <c r="I4476" s="444">
        <f t="shared" ca="1" si="188"/>
        <v>-54196686183309.484</v>
      </c>
      <c r="J4476" s="444">
        <f t="array" ref="J4476">IFERROR(INDEX('Retirement Calculator'!J:J,MATCH('Isaac 401k'!N4476,'Retirement Calculator'!A:A,0),0),0)</f>
        <v>0</v>
      </c>
      <c r="K4476" s="444">
        <f t="shared" ca="1" si="186"/>
        <v>-225819525763.78952</v>
      </c>
      <c r="L4476" s="444">
        <f t="shared" ca="1" si="187"/>
        <v>-54422505709073.273</v>
      </c>
      <c r="M4476" s="460">
        <f t="shared" si="189"/>
        <v>0.05</v>
      </c>
      <c r="N4476" s="464">
        <f t="shared" si="190"/>
        <v>187280</v>
      </c>
    </row>
    <row r="4477" spans="7:14" ht="11.25" customHeight="1" x14ac:dyDescent="0.25">
      <c r="G4477" s="459"/>
      <c r="H4477" s="459">
        <v>4470</v>
      </c>
      <c r="I4477" s="444">
        <f t="shared" ca="1" si="188"/>
        <v>-54422505709073.273</v>
      </c>
      <c r="J4477" s="444">
        <f t="array" ref="J4477">IFERROR(INDEX('Retirement Calculator'!J:J,MATCH('Isaac 401k'!N4477,'Retirement Calculator'!A:A,0),0),0)</f>
        <v>0</v>
      </c>
      <c r="K4477" s="444">
        <f t="shared" ca="1" si="186"/>
        <v>-226760440454.47195</v>
      </c>
      <c r="L4477" s="444">
        <f t="shared" ca="1" si="187"/>
        <v>-54649266149527.742</v>
      </c>
      <c r="M4477" s="460">
        <f t="shared" si="189"/>
        <v>0.05</v>
      </c>
      <c r="N4477" s="464">
        <f t="shared" si="190"/>
        <v>187311</v>
      </c>
    </row>
    <row r="4478" spans="7:14" ht="11.25" customHeight="1" x14ac:dyDescent="0.25">
      <c r="G4478" s="459"/>
      <c r="H4478" s="459">
        <v>4471</v>
      </c>
      <c r="I4478" s="444">
        <f t="shared" ca="1" si="188"/>
        <v>-54649266149527.742</v>
      </c>
      <c r="J4478" s="444">
        <f t="array" ref="J4478">IFERROR(INDEX('Retirement Calculator'!J:J,MATCH('Isaac 401k'!N4478,'Retirement Calculator'!A:A,0),0),0)</f>
        <v>0</v>
      </c>
      <c r="K4478" s="444">
        <f t="shared" ca="1" si="186"/>
        <v>-227705275623.03226</v>
      </c>
      <c r="L4478" s="444">
        <f t="shared" ca="1" si="187"/>
        <v>-54876971425150.773</v>
      </c>
      <c r="M4478" s="460">
        <f t="shared" si="189"/>
        <v>0.05</v>
      </c>
      <c r="N4478" s="464">
        <f t="shared" si="190"/>
        <v>187341</v>
      </c>
    </row>
    <row r="4479" spans="7:14" ht="11.25" customHeight="1" x14ac:dyDescent="0.25">
      <c r="G4479" s="459"/>
      <c r="H4479" s="459">
        <v>4472</v>
      </c>
      <c r="I4479" s="444">
        <f t="shared" ca="1" si="188"/>
        <v>-54876971425150.773</v>
      </c>
      <c r="J4479" s="444">
        <f t="array" ref="J4479">IFERROR(INDEX('Retirement Calculator'!J:J,MATCH('Isaac 401k'!N4479,'Retirement Calculator'!A:A,0),0),0)</f>
        <v>0</v>
      </c>
      <c r="K4479" s="444">
        <f t="shared" ca="1" si="186"/>
        <v>-228654047604.79489</v>
      </c>
      <c r="L4479" s="444">
        <f t="shared" ca="1" si="187"/>
        <v>-55105625472755.57</v>
      </c>
      <c r="M4479" s="460">
        <f t="shared" si="189"/>
        <v>0.05</v>
      </c>
      <c r="N4479" s="464">
        <f t="shared" si="190"/>
        <v>187372</v>
      </c>
    </row>
    <row r="4480" spans="7:14" ht="11.25" customHeight="1" x14ac:dyDescent="0.25">
      <c r="G4480" s="459"/>
      <c r="H4480" s="459">
        <v>4473</v>
      </c>
      <c r="I4480" s="444">
        <f t="shared" ca="1" si="188"/>
        <v>-55105625472755.57</v>
      </c>
      <c r="J4480" s="444">
        <f t="array" ref="J4480">IFERROR(INDEX('Retirement Calculator'!J:J,MATCH('Isaac 401k'!N4480,'Retirement Calculator'!A:A,0),0),0)</f>
        <v>0</v>
      </c>
      <c r="K4480" s="444">
        <f t="shared" ca="1" si="186"/>
        <v>-229606772803.14816</v>
      </c>
      <c r="L4480" s="444">
        <f t="shared" ca="1" si="187"/>
        <v>-55335232245558.719</v>
      </c>
      <c r="M4480" s="460">
        <f t="shared" si="189"/>
        <v>0.05</v>
      </c>
      <c r="N4480" s="464">
        <f t="shared" si="190"/>
        <v>187403</v>
      </c>
    </row>
    <row r="4481" spans="7:14" ht="11.25" customHeight="1" x14ac:dyDescent="0.25">
      <c r="G4481" s="459"/>
      <c r="H4481" s="459">
        <v>4474</v>
      </c>
      <c r="I4481" s="444">
        <f t="shared" ca="1" si="188"/>
        <v>-55335232245558.719</v>
      </c>
      <c r="J4481" s="444">
        <f t="array" ref="J4481">IFERROR(INDEX('Retirement Calculator'!J:J,MATCH('Isaac 401k'!N4481,'Retirement Calculator'!A:A,0),0),0)</f>
        <v>0</v>
      </c>
      <c r="K4481" s="444">
        <f t="shared" ca="1" si="186"/>
        <v>-230563467689.82797</v>
      </c>
      <c r="L4481" s="444">
        <f t="shared" ca="1" si="187"/>
        <v>-55565795713248.547</v>
      </c>
      <c r="M4481" s="460">
        <f t="shared" si="189"/>
        <v>0.05</v>
      </c>
      <c r="N4481" s="464">
        <f t="shared" si="190"/>
        <v>187431</v>
      </c>
    </row>
    <row r="4482" spans="7:14" ht="11.25" customHeight="1" x14ac:dyDescent="0.25">
      <c r="G4482" s="459"/>
      <c r="H4482" s="459">
        <v>4475</v>
      </c>
      <c r="I4482" s="444">
        <f t="shared" ca="1" si="188"/>
        <v>-55565795713248.547</v>
      </c>
      <c r="J4482" s="444">
        <f t="array" ref="J4482">IFERROR(INDEX('Retirement Calculator'!J:J,MATCH('Isaac 401k'!N4482,'Retirement Calculator'!A:A,0),0),0)</f>
        <v>0</v>
      </c>
      <c r="K4482" s="444">
        <f t="shared" ca="1" si="186"/>
        <v>-231524148805.20224</v>
      </c>
      <c r="L4482" s="444">
        <f t="shared" ca="1" si="187"/>
        <v>-55797319862053.75</v>
      </c>
      <c r="M4482" s="460">
        <f t="shared" si="189"/>
        <v>0.05</v>
      </c>
      <c r="N4482" s="464">
        <f t="shared" si="190"/>
        <v>187462</v>
      </c>
    </row>
    <row r="4483" spans="7:14" ht="11.25" customHeight="1" x14ac:dyDescent="0.25">
      <c r="G4483" s="459"/>
      <c r="H4483" s="459">
        <v>4476</v>
      </c>
      <c r="I4483" s="444">
        <f t="shared" ca="1" si="188"/>
        <v>-55797319862053.75</v>
      </c>
      <c r="J4483" s="444">
        <f t="array" ref="J4483">IFERROR(INDEX('Retirement Calculator'!J:J,MATCH('Isaac 401k'!N4483,'Retirement Calculator'!A:A,0),0),0)</f>
        <v>0</v>
      </c>
      <c r="K4483" s="444">
        <f t="shared" ca="1" si="186"/>
        <v>-232488832758.55728</v>
      </c>
      <c r="L4483" s="444">
        <f t="shared" ca="1" si="187"/>
        <v>-56029808694812.305</v>
      </c>
      <c r="M4483" s="460">
        <f t="shared" si="189"/>
        <v>0.05</v>
      </c>
      <c r="N4483" s="464">
        <f t="shared" si="190"/>
        <v>187492</v>
      </c>
    </row>
    <row r="4484" spans="7:14" ht="11.25" customHeight="1" x14ac:dyDescent="0.25">
      <c r="G4484" s="459"/>
      <c r="H4484" s="459">
        <v>4477</v>
      </c>
      <c r="I4484" s="444">
        <f t="shared" ca="1" si="188"/>
        <v>-56029808694812.305</v>
      </c>
      <c r="J4484" s="444">
        <f t="array" ref="J4484">IFERROR(INDEX('Retirement Calculator'!J:J,MATCH('Isaac 401k'!N4484,'Retirement Calculator'!A:A,0),0),0)</f>
        <v>0</v>
      </c>
      <c r="K4484" s="444">
        <f t="shared" ca="1" si="186"/>
        <v>-233457536228.38461</v>
      </c>
      <c r="L4484" s="444">
        <f t="shared" ca="1" si="187"/>
        <v>-56263266231040.688</v>
      </c>
      <c r="M4484" s="460">
        <f t="shared" si="189"/>
        <v>0.05</v>
      </c>
      <c r="N4484" s="464">
        <f t="shared" si="190"/>
        <v>187523</v>
      </c>
    </row>
    <row r="4485" spans="7:14" ht="11.25" customHeight="1" x14ac:dyDescent="0.25">
      <c r="G4485" s="459"/>
      <c r="H4485" s="459">
        <v>4478</v>
      </c>
      <c r="I4485" s="444">
        <f t="shared" ca="1" si="188"/>
        <v>-56263266231040.688</v>
      </c>
      <c r="J4485" s="444">
        <f t="array" ref="J4485">IFERROR(INDEX('Retirement Calculator'!J:J,MATCH('Isaac 401k'!N4485,'Retirement Calculator'!A:A,0),0),0)</f>
        <v>0</v>
      </c>
      <c r="K4485" s="444">
        <f t="shared" ca="1" si="186"/>
        <v>-234430275962.66956</v>
      </c>
      <c r="L4485" s="444">
        <f t="shared" ca="1" si="187"/>
        <v>-56497696507003.359</v>
      </c>
      <c r="M4485" s="460">
        <f t="shared" si="189"/>
        <v>0.05</v>
      </c>
      <c r="N4485" s="464">
        <f t="shared" si="190"/>
        <v>187553</v>
      </c>
    </row>
    <row r="4486" spans="7:14" ht="11.25" customHeight="1" x14ac:dyDescent="0.25">
      <c r="G4486" s="459"/>
      <c r="H4486" s="459">
        <v>4479</v>
      </c>
      <c r="I4486" s="444">
        <f t="shared" ca="1" si="188"/>
        <v>-56497696507003.359</v>
      </c>
      <c r="J4486" s="444">
        <f t="array" ref="J4486">IFERROR(INDEX('Retirement Calculator'!J:J,MATCH('Isaac 401k'!N4486,'Retirement Calculator'!A:A,0),0),0)</f>
        <v>0</v>
      </c>
      <c r="K4486" s="444">
        <f t="shared" ca="1" si="186"/>
        <v>-235407068779.18066</v>
      </c>
      <c r="L4486" s="444">
        <f t="shared" ca="1" si="187"/>
        <v>-56733103575782.539</v>
      </c>
      <c r="M4486" s="460">
        <f t="shared" si="189"/>
        <v>0.05</v>
      </c>
      <c r="N4486" s="464">
        <f t="shared" si="190"/>
        <v>187584</v>
      </c>
    </row>
    <row r="4487" spans="7:14" ht="11.25" customHeight="1" x14ac:dyDescent="0.25">
      <c r="G4487" s="459"/>
      <c r="H4487" s="459">
        <v>4480</v>
      </c>
      <c r="I4487" s="444">
        <f t="shared" ca="1" si="188"/>
        <v>-56733103575782.539</v>
      </c>
      <c r="J4487" s="444">
        <f t="array" ref="J4487">IFERROR(INDEX('Retirement Calculator'!J:J,MATCH('Isaac 401k'!N4487,'Retirement Calculator'!A:A,0),0),0)</f>
        <v>0</v>
      </c>
      <c r="K4487" s="444">
        <f t="shared" ca="1" si="186"/>
        <v>-236387931565.76059</v>
      </c>
      <c r="L4487" s="444">
        <f t="shared" ca="1" si="187"/>
        <v>-56969491507348.297</v>
      </c>
      <c r="M4487" s="460">
        <f t="shared" si="189"/>
        <v>0.05</v>
      </c>
      <c r="N4487" s="464">
        <f t="shared" si="190"/>
        <v>187615</v>
      </c>
    </row>
    <row r="4488" spans="7:14" ht="11.25" customHeight="1" x14ac:dyDescent="0.25">
      <c r="G4488" s="459"/>
      <c r="H4488" s="459">
        <v>4481</v>
      </c>
      <c r="I4488" s="444">
        <f t="shared" ca="1" si="188"/>
        <v>-56969491507348.297</v>
      </c>
      <c r="J4488" s="444">
        <f t="array" ref="J4488">IFERROR(INDEX('Retirement Calculator'!J:J,MATCH('Isaac 401k'!N4488,'Retirement Calculator'!A:A,0),0),0)</f>
        <v>0</v>
      </c>
      <c r="K4488" s="444">
        <f t="shared" ca="1" si="186"/>
        <v>-237372881280.61789</v>
      </c>
      <c r="L4488" s="444">
        <f t="shared" ca="1" si="187"/>
        <v>-57206864388628.914</v>
      </c>
      <c r="M4488" s="460">
        <f t="shared" si="189"/>
        <v>0.05</v>
      </c>
      <c r="N4488" s="464">
        <f t="shared" si="190"/>
        <v>187645</v>
      </c>
    </row>
    <row r="4489" spans="7:14" ht="11.25" customHeight="1" x14ac:dyDescent="0.25">
      <c r="G4489" s="459"/>
      <c r="H4489" s="459">
        <v>4482</v>
      </c>
      <c r="I4489" s="444">
        <f t="shared" ca="1" si="188"/>
        <v>-57206864388628.914</v>
      </c>
      <c r="J4489" s="444">
        <f t="array" ref="J4489">IFERROR(INDEX('Retirement Calculator'!J:J,MATCH('Isaac 401k'!N4489,'Retirement Calculator'!A:A,0),0),0)</f>
        <v>0</v>
      </c>
      <c r="K4489" s="444">
        <f t="shared" ca="1" si="186"/>
        <v>-238361934952.62048</v>
      </c>
      <c r="L4489" s="444">
        <f t="shared" ca="1" si="187"/>
        <v>-57445226323581.531</v>
      </c>
      <c r="M4489" s="460">
        <f t="shared" si="189"/>
        <v>0.05</v>
      </c>
      <c r="N4489" s="464">
        <f t="shared" si="190"/>
        <v>187676</v>
      </c>
    </row>
    <row r="4490" spans="7:14" ht="11.25" customHeight="1" x14ac:dyDescent="0.25">
      <c r="G4490" s="459"/>
      <c r="H4490" s="459">
        <v>4483</v>
      </c>
      <c r="I4490" s="444">
        <f t="shared" ca="1" si="188"/>
        <v>-57445226323581.531</v>
      </c>
      <c r="J4490" s="444">
        <f t="array" ref="J4490">IFERROR(INDEX('Retirement Calculator'!J:J,MATCH('Isaac 401k'!N4490,'Retirement Calculator'!A:A,0),0),0)</f>
        <v>0</v>
      </c>
      <c r="K4490" s="444">
        <f t="shared" ca="1" si="186"/>
        <v>-239355109681.58969</v>
      </c>
      <c r="L4490" s="444">
        <f t="shared" ca="1" si="187"/>
        <v>-57684581433263.117</v>
      </c>
      <c r="M4490" s="460">
        <f t="shared" si="189"/>
        <v>0.05</v>
      </c>
      <c r="N4490" s="464">
        <f t="shared" si="190"/>
        <v>187706</v>
      </c>
    </row>
    <row r="4491" spans="7:14" ht="11.25" customHeight="1" x14ac:dyDescent="0.25">
      <c r="G4491" s="459"/>
      <c r="H4491" s="459">
        <v>4484</v>
      </c>
      <c r="I4491" s="444">
        <f t="shared" ca="1" si="188"/>
        <v>-57684581433263.117</v>
      </c>
      <c r="J4491" s="444">
        <f t="array" ref="J4491">IFERROR(INDEX('Retirement Calculator'!J:J,MATCH('Isaac 401k'!N4491,'Retirement Calculator'!A:A,0),0),0)</f>
        <v>0</v>
      </c>
      <c r="K4491" s="444">
        <f t="shared" ca="1" si="186"/>
        <v>-240352422638.59634</v>
      </c>
      <c r="L4491" s="444">
        <f t="shared" ca="1" si="187"/>
        <v>-57924933855901.711</v>
      </c>
      <c r="M4491" s="460">
        <f t="shared" si="189"/>
        <v>0.05</v>
      </c>
      <c r="N4491" s="464">
        <f t="shared" si="190"/>
        <v>187737</v>
      </c>
    </row>
    <row r="4492" spans="7:14" ht="11.25" customHeight="1" x14ac:dyDescent="0.25">
      <c r="G4492" s="459"/>
      <c r="H4492" s="459">
        <v>4485</v>
      </c>
      <c r="I4492" s="444">
        <f t="shared" ca="1" si="188"/>
        <v>-57924933855901.711</v>
      </c>
      <c r="J4492" s="444">
        <f t="array" ref="J4492">IFERROR(INDEX('Retirement Calculator'!J:J,MATCH('Isaac 401k'!N4492,'Retirement Calculator'!A:A,0),0),0)</f>
        <v>0</v>
      </c>
      <c r="K4492" s="444">
        <f t="shared" ca="1" si="186"/>
        <v>-241353891066.25711</v>
      </c>
      <c r="L4492" s="444">
        <f t="shared" ca="1" si="187"/>
        <v>-58166287746967.969</v>
      </c>
      <c r="M4492" s="460">
        <f t="shared" si="189"/>
        <v>0.05</v>
      </c>
      <c r="N4492" s="464">
        <f t="shared" si="190"/>
        <v>187768</v>
      </c>
    </row>
    <row r="4493" spans="7:14" ht="11.25" customHeight="1" x14ac:dyDescent="0.25">
      <c r="G4493" s="459"/>
      <c r="H4493" s="459">
        <v>4486</v>
      </c>
      <c r="I4493" s="444">
        <f t="shared" ca="1" si="188"/>
        <v>-58166287746967.969</v>
      </c>
      <c r="J4493" s="444">
        <f t="array" ref="J4493">IFERROR(INDEX('Retirement Calculator'!J:J,MATCH('Isaac 401k'!N4493,'Retirement Calculator'!A:A,0),0),0)</f>
        <v>0</v>
      </c>
      <c r="K4493" s="444">
        <f t="shared" ca="1" si="186"/>
        <v>-242359532279.0332</v>
      </c>
      <c r="L4493" s="444">
        <f t="shared" ca="1" si="187"/>
        <v>-58408647279247</v>
      </c>
      <c r="M4493" s="460">
        <f t="shared" si="189"/>
        <v>0.05</v>
      </c>
      <c r="N4493" s="464">
        <f t="shared" si="190"/>
        <v>187796</v>
      </c>
    </row>
    <row r="4494" spans="7:14" ht="11.25" customHeight="1" x14ac:dyDescent="0.25">
      <c r="G4494" s="459"/>
      <c r="H4494" s="459">
        <v>4487</v>
      </c>
      <c r="I4494" s="444">
        <f t="shared" ca="1" si="188"/>
        <v>-58408647279247</v>
      </c>
      <c r="J4494" s="444">
        <f t="array" ref="J4494">IFERROR(INDEX('Retirement Calculator'!J:J,MATCH('Isaac 401k'!N4494,'Retirement Calculator'!A:A,0),0),0)</f>
        <v>0</v>
      </c>
      <c r="K4494" s="444">
        <f t="shared" ca="1" si="186"/>
        <v>-243369363663.52917</v>
      </c>
      <c r="L4494" s="444">
        <f t="shared" ca="1" si="187"/>
        <v>-58652016642910.531</v>
      </c>
      <c r="M4494" s="460">
        <f t="shared" si="189"/>
        <v>0.05</v>
      </c>
      <c r="N4494" s="464">
        <f t="shared" si="190"/>
        <v>187827</v>
      </c>
    </row>
    <row r="4495" spans="7:14" ht="11.25" customHeight="1" x14ac:dyDescent="0.25">
      <c r="G4495" s="459"/>
      <c r="H4495" s="459">
        <v>4488</v>
      </c>
      <c r="I4495" s="444">
        <f t="shared" ca="1" si="188"/>
        <v>-58652016642910.531</v>
      </c>
      <c r="J4495" s="444">
        <f t="array" ref="J4495">IFERROR(INDEX('Retirement Calculator'!J:J,MATCH('Isaac 401k'!N4495,'Retirement Calculator'!A:A,0),0),0)</f>
        <v>0</v>
      </c>
      <c r="K4495" s="444">
        <f t="shared" ca="1" si="186"/>
        <v>-244383402678.79388</v>
      </c>
      <c r="L4495" s="444">
        <f t="shared" ca="1" si="187"/>
        <v>-58896400045589.328</v>
      </c>
      <c r="M4495" s="460">
        <f t="shared" si="189"/>
        <v>0.05</v>
      </c>
      <c r="N4495" s="464">
        <f t="shared" si="190"/>
        <v>187857</v>
      </c>
    </row>
    <row r="4496" spans="7:14" ht="11.25" customHeight="1" x14ac:dyDescent="0.25">
      <c r="G4496" s="459"/>
      <c r="H4496" s="459">
        <v>4489</v>
      </c>
      <c r="I4496" s="444">
        <f t="shared" ca="1" si="188"/>
        <v>-58896400045589.328</v>
      </c>
      <c r="J4496" s="444">
        <f t="array" ref="J4496">IFERROR(INDEX('Retirement Calculator'!J:J,MATCH('Isaac 401k'!N4496,'Retirement Calculator'!A:A,0),0),0)</f>
        <v>0</v>
      </c>
      <c r="K4496" s="444">
        <f t="shared" ca="1" si="186"/>
        <v>-245401666856.62216</v>
      </c>
      <c r="L4496" s="444">
        <f t="shared" ca="1" si="187"/>
        <v>-59141801712445.953</v>
      </c>
      <c r="M4496" s="460">
        <f t="shared" si="189"/>
        <v>0.05</v>
      </c>
      <c r="N4496" s="464">
        <f t="shared" si="190"/>
        <v>187888</v>
      </c>
    </row>
    <row r="4497" spans="7:14" ht="11.25" customHeight="1" x14ac:dyDescent="0.25">
      <c r="G4497" s="459"/>
      <c r="H4497" s="459">
        <v>4490</v>
      </c>
      <c r="I4497" s="444">
        <f t="shared" ca="1" si="188"/>
        <v>-59141801712445.953</v>
      </c>
      <c r="J4497" s="444">
        <f t="array" ref="J4497">IFERROR(INDEX('Retirement Calculator'!J:J,MATCH('Isaac 401k'!N4497,'Retirement Calculator'!A:A,0),0),0)</f>
        <v>0</v>
      </c>
      <c r="K4497" s="444">
        <f t="shared" ca="1" si="186"/>
        <v>-246424173801.85812</v>
      </c>
      <c r="L4497" s="444">
        <f t="shared" ca="1" si="187"/>
        <v>-59388225886247.813</v>
      </c>
      <c r="M4497" s="460">
        <f t="shared" si="189"/>
        <v>0.05</v>
      </c>
      <c r="N4497" s="464">
        <f t="shared" si="190"/>
        <v>187918</v>
      </c>
    </row>
    <row r="4498" spans="7:14" ht="11.25" customHeight="1" x14ac:dyDescent="0.25">
      <c r="G4498" s="459"/>
      <c r="H4498" s="459">
        <v>4491</v>
      </c>
      <c r="I4498" s="444">
        <f t="shared" ca="1" si="188"/>
        <v>-59388225886247.813</v>
      </c>
      <c r="J4498" s="444">
        <f t="array" ref="J4498">IFERROR(INDEX('Retirement Calculator'!J:J,MATCH('Isaac 401k'!N4498,'Retirement Calculator'!A:A,0),0),0)</f>
        <v>0</v>
      </c>
      <c r="K4498" s="444">
        <f t="shared" ca="1" si="186"/>
        <v>-247450941192.69919</v>
      </c>
      <c r="L4498" s="444">
        <f t="shared" ca="1" si="187"/>
        <v>-59635676827440.508</v>
      </c>
      <c r="M4498" s="460">
        <f t="shared" si="189"/>
        <v>0.05</v>
      </c>
      <c r="N4498" s="464">
        <f t="shared" si="190"/>
        <v>187949</v>
      </c>
    </row>
    <row r="4499" spans="7:14" ht="11.25" customHeight="1" x14ac:dyDescent="0.25">
      <c r="G4499" s="459"/>
      <c r="H4499" s="459">
        <v>4492</v>
      </c>
      <c r="I4499" s="444">
        <f t="shared" ca="1" si="188"/>
        <v>-59635676827440.508</v>
      </c>
      <c r="J4499" s="444">
        <f t="array" ref="J4499">IFERROR(INDEX('Retirement Calculator'!J:J,MATCH('Isaac 401k'!N4499,'Retirement Calculator'!A:A,0),0),0)</f>
        <v>0</v>
      </c>
      <c r="K4499" s="444">
        <f t="shared" ca="1" si="186"/>
        <v>-248481986781.00208</v>
      </c>
      <c r="L4499" s="444">
        <f t="shared" ca="1" si="187"/>
        <v>-59884158814221.508</v>
      </c>
      <c r="M4499" s="460">
        <f t="shared" si="189"/>
        <v>0.05</v>
      </c>
      <c r="N4499" s="464">
        <f t="shared" si="190"/>
        <v>187980</v>
      </c>
    </row>
    <row r="4500" spans="7:14" ht="11.25" customHeight="1" x14ac:dyDescent="0.25">
      <c r="G4500" s="459"/>
      <c r="H4500" s="459">
        <v>4493</v>
      </c>
      <c r="I4500" s="444">
        <f t="shared" ca="1" si="188"/>
        <v>-59884158814221.508</v>
      </c>
      <c r="J4500" s="444">
        <f t="array" ref="J4500">IFERROR(INDEX('Retirement Calculator'!J:J,MATCH('Isaac 401k'!N4500,'Retirement Calculator'!A:A,0),0),0)</f>
        <v>0</v>
      </c>
      <c r="K4500" s="444">
        <f t="shared" ca="1" si="186"/>
        <v>-249517328392.58957</v>
      </c>
      <c r="L4500" s="444">
        <f t="shared" ca="1" si="187"/>
        <v>-60133676142614.094</v>
      </c>
      <c r="M4500" s="460">
        <f t="shared" si="189"/>
        <v>0.05</v>
      </c>
      <c r="N4500" s="464">
        <f t="shared" si="190"/>
        <v>188010</v>
      </c>
    </row>
    <row r="4501" spans="7:14" ht="11.25" customHeight="1" x14ac:dyDescent="0.25">
      <c r="G4501" s="459"/>
      <c r="H4501" s="459">
        <v>4494</v>
      </c>
      <c r="I4501" s="444">
        <f t="shared" ca="1" si="188"/>
        <v>-60133676142614.094</v>
      </c>
      <c r="J4501" s="444">
        <f t="array" ref="J4501">IFERROR(INDEX('Retirement Calculator'!J:J,MATCH('Isaac 401k'!N4501,'Retirement Calculator'!A:A,0),0),0)</f>
        <v>0</v>
      </c>
      <c r="K4501" s="444">
        <f t="shared" ca="1" si="186"/>
        <v>-250556983927.55875</v>
      </c>
      <c r="L4501" s="444">
        <f t="shared" ca="1" si="187"/>
        <v>-60384233126541.656</v>
      </c>
      <c r="M4501" s="460">
        <f t="shared" si="189"/>
        <v>0.05</v>
      </c>
      <c r="N4501" s="464">
        <f t="shared" si="190"/>
        <v>188041</v>
      </c>
    </row>
    <row r="4502" spans="7:14" ht="11.25" customHeight="1" x14ac:dyDescent="0.25">
      <c r="G4502" s="459"/>
      <c r="H4502" s="459">
        <v>4495</v>
      </c>
      <c r="I4502" s="444">
        <f t="shared" ca="1" si="188"/>
        <v>-60384233126541.656</v>
      </c>
      <c r="J4502" s="444">
        <f t="array" ref="J4502">IFERROR(INDEX('Retirement Calculator'!J:J,MATCH('Isaac 401k'!N4502,'Retirement Calculator'!A:A,0),0),0)</f>
        <v>0</v>
      </c>
      <c r="K4502" s="444">
        <f t="shared" ca="1" si="186"/>
        <v>-251600971360.59027</v>
      </c>
      <c r="L4502" s="444">
        <f t="shared" ca="1" si="187"/>
        <v>-60635834097902.25</v>
      </c>
      <c r="M4502" s="460">
        <f t="shared" si="189"/>
        <v>0.05</v>
      </c>
      <c r="N4502" s="464">
        <f t="shared" si="190"/>
        <v>188071</v>
      </c>
    </row>
    <row r="4503" spans="7:14" ht="11.25" customHeight="1" x14ac:dyDescent="0.25">
      <c r="G4503" s="459"/>
      <c r="H4503" s="459">
        <v>4496</v>
      </c>
      <c r="I4503" s="444">
        <f t="shared" ca="1" si="188"/>
        <v>-60635834097902.25</v>
      </c>
      <c r="J4503" s="444">
        <f t="array" ref="J4503">IFERROR(INDEX('Retirement Calculator'!J:J,MATCH('Isaac 401k'!N4503,'Retirement Calculator'!A:A,0),0),0)</f>
        <v>0</v>
      </c>
      <c r="K4503" s="444">
        <f t="shared" ca="1" si="186"/>
        <v>-252649308741.25937</v>
      </c>
      <c r="L4503" s="444">
        <f t="shared" ca="1" si="187"/>
        <v>-60888483406643.508</v>
      </c>
      <c r="M4503" s="460">
        <f t="shared" si="189"/>
        <v>0.05</v>
      </c>
      <c r="N4503" s="464">
        <f t="shared" si="190"/>
        <v>188102</v>
      </c>
    </row>
    <row r="4504" spans="7:14" ht="11.25" customHeight="1" x14ac:dyDescent="0.25">
      <c r="G4504" s="459"/>
      <c r="H4504" s="459">
        <v>4497</v>
      </c>
      <c r="I4504" s="444">
        <f t="shared" ca="1" si="188"/>
        <v>-60888483406643.508</v>
      </c>
      <c r="J4504" s="444">
        <f t="array" ref="J4504">IFERROR(INDEX('Retirement Calculator'!J:J,MATCH('Isaac 401k'!N4504,'Retirement Calculator'!A:A,0),0),0)</f>
        <v>0</v>
      </c>
      <c r="K4504" s="444">
        <f t="shared" ca="1" si="186"/>
        <v>-253702014194.3479</v>
      </c>
      <c r="L4504" s="444">
        <f t="shared" ca="1" si="187"/>
        <v>-61142185420837.859</v>
      </c>
      <c r="M4504" s="460">
        <f t="shared" si="189"/>
        <v>0.05</v>
      </c>
      <c r="N4504" s="464">
        <f t="shared" si="190"/>
        <v>188133</v>
      </c>
    </row>
    <row r="4505" spans="7:14" ht="11.25" customHeight="1" x14ac:dyDescent="0.25">
      <c r="G4505" s="459"/>
      <c r="H4505" s="459">
        <v>4498</v>
      </c>
      <c r="I4505" s="444">
        <f t="shared" ca="1" si="188"/>
        <v>-61142185420837.859</v>
      </c>
      <c r="J4505" s="444">
        <f t="array" ref="J4505">IFERROR(INDEX('Retirement Calculator'!J:J,MATCH('Isaac 401k'!N4505,'Retirement Calculator'!A:A,0),0),0)</f>
        <v>0</v>
      </c>
      <c r="K4505" s="444">
        <f t="shared" ca="1" si="186"/>
        <v>-254759105920.15775</v>
      </c>
      <c r="L4505" s="444">
        <f t="shared" ca="1" si="187"/>
        <v>-61396944526758.016</v>
      </c>
      <c r="M4505" s="460">
        <f t="shared" si="189"/>
        <v>0.05</v>
      </c>
      <c r="N4505" s="464">
        <f t="shared" si="190"/>
        <v>188161</v>
      </c>
    </row>
    <row r="4506" spans="7:14" ht="11.25" customHeight="1" x14ac:dyDescent="0.25">
      <c r="G4506" s="459"/>
      <c r="H4506" s="459">
        <v>4499</v>
      </c>
      <c r="I4506" s="444">
        <f t="shared" ca="1" si="188"/>
        <v>-61396944526758.016</v>
      </c>
      <c r="J4506" s="444">
        <f t="array" ref="J4506">IFERROR(INDEX('Retirement Calculator'!J:J,MATCH('Isaac 401k'!N4506,'Retirement Calculator'!A:A,0),0),0)</f>
        <v>0</v>
      </c>
      <c r="K4506" s="444">
        <f t="shared" ca="1" si="186"/>
        <v>-255820602194.82507</v>
      </c>
      <c r="L4506" s="444">
        <f t="shared" ca="1" si="187"/>
        <v>-61652765128952.844</v>
      </c>
      <c r="M4506" s="460">
        <f t="shared" si="189"/>
        <v>0.05</v>
      </c>
      <c r="N4506" s="464">
        <f t="shared" si="190"/>
        <v>188192</v>
      </c>
    </row>
    <row r="4507" spans="7:14" ht="11.25" customHeight="1" x14ac:dyDescent="0.25">
      <c r="G4507" s="459"/>
      <c r="H4507" s="459">
        <v>4500</v>
      </c>
      <c r="I4507" s="444">
        <f t="shared" ca="1" si="188"/>
        <v>-61652765128952.844</v>
      </c>
      <c r="J4507" s="444">
        <f t="array" ref="J4507">IFERROR(INDEX('Retirement Calculator'!J:J,MATCH('Isaac 401k'!N4507,'Retirement Calculator'!A:A,0),0),0)</f>
        <v>0</v>
      </c>
      <c r="K4507" s="444">
        <f t="shared" ca="1" si="186"/>
        <v>-256886521370.63684</v>
      </c>
      <c r="L4507" s="444">
        <f t="shared" ca="1" si="187"/>
        <v>-61909651650323.484</v>
      </c>
      <c r="M4507" s="460">
        <f t="shared" si="189"/>
        <v>0.05</v>
      </c>
      <c r="N4507" s="464">
        <f t="shared" si="190"/>
        <v>188222</v>
      </c>
    </row>
    <row r="4508" spans="7:14" ht="11.25" customHeight="1" x14ac:dyDescent="0.25">
      <c r="G4508" s="459"/>
      <c r="H4508" s="459">
        <v>4501</v>
      </c>
      <c r="I4508" s="444">
        <f t="shared" ca="1" si="188"/>
        <v>-61909651650323.484</v>
      </c>
      <c r="J4508" s="444">
        <f t="array" ref="J4508">IFERROR(INDEX('Retirement Calculator'!J:J,MATCH('Isaac 401k'!N4508,'Retirement Calculator'!A:A,0),0),0)</f>
        <v>0</v>
      </c>
      <c r="K4508" s="444">
        <f t="shared" ca="1" si="186"/>
        <v>-257956881876.34784</v>
      </c>
      <c r="L4508" s="444">
        <f t="shared" ca="1" si="187"/>
        <v>-62167608532199.836</v>
      </c>
      <c r="M4508" s="460">
        <f t="shared" si="189"/>
        <v>0.05</v>
      </c>
      <c r="N4508" s="464">
        <f t="shared" si="190"/>
        <v>188253</v>
      </c>
    </row>
    <row r="4509" spans="7:14" ht="11.25" customHeight="1" x14ac:dyDescent="0.25">
      <c r="G4509" s="459"/>
      <c r="H4509" s="459">
        <v>4502</v>
      </c>
      <c r="I4509" s="444">
        <f t="shared" ca="1" si="188"/>
        <v>-62167608532199.836</v>
      </c>
      <c r="J4509" s="444">
        <f t="array" ref="J4509">IFERROR(INDEX('Retirement Calculator'!J:J,MATCH('Isaac 401k'!N4509,'Retirement Calculator'!A:A,0),0),0)</f>
        <v>0</v>
      </c>
      <c r="K4509" s="444">
        <f t="shared" ca="1" si="186"/>
        <v>-259031702217.4993</v>
      </c>
      <c r="L4509" s="444">
        <f t="shared" ca="1" si="187"/>
        <v>-62426640234417.336</v>
      </c>
      <c r="M4509" s="460">
        <f t="shared" si="189"/>
        <v>0.05</v>
      </c>
      <c r="N4509" s="464">
        <f t="shared" si="190"/>
        <v>188283</v>
      </c>
    </row>
    <row r="4510" spans="7:14" ht="11.25" customHeight="1" x14ac:dyDescent="0.25">
      <c r="G4510" s="459"/>
      <c r="H4510" s="459">
        <v>4503</v>
      </c>
      <c r="I4510" s="444">
        <f t="shared" ca="1" si="188"/>
        <v>-62426640234417.336</v>
      </c>
      <c r="J4510" s="444">
        <f t="array" ref="J4510">IFERROR(INDEX('Retirement Calculator'!J:J,MATCH('Isaac 401k'!N4510,'Retirement Calculator'!A:A,0),0),0)</f>
        <v>0</v>
      </c>
      <c r="K4510" s="444">
        <f t="shared" ca="1" si="186"/>
        <v>-260111000976.73892</v>
      </c>
      <c r="L4510" s="444">
        <f t="shared" ca="1" si="187"/>
        <v>-62686751235394.078</v>
      </c>
      <c r="M4510" s="460">
        <f t="shared" si="189"/>
        <v>0.05</v>
      </c>
      <c r="N4510" s="464">
        <f t="shared" si="190"/>
        <v>188314</v>
      </c>
    </row>
    <row r="4511" spans="7:14" ht="11.25" customHeight="1" x14ac:dyDescent="0.25">
      <c r="G4511" s="459"/>
      <c r="H4511" s="459">
        <v>4504</v>
      </c>
      <c r="I4511" s="444">
        <f t="shared" ca="1" si="188"/>
        <v>-62686751235394.078</v>
      </c>
      <c r="J4511" s="444">
        <f t="array" ref="J4511">IFERROR(INDEX('Retirement Calculator'!J:J,MATCH('Isaac 401k'!N4511,'Retirement Calculator'!A:A,0),0),0)</f>
        <v>0</v>
      </c>
      <c r="K4511" s="444">
        <f t="shared" ca="1" si="186"/>
        <v>-261194796814.142</v>
      </c>
      <c r="L4511" s="444">
        <f t="shared" ca="1" si="187"/>
        <v>-62947946032208.219</v>
      </c>
      <c r="M4511" s="460">
        <f t="shared" si="189"/>
        <v>0.05</v>
      </c>
      <c r="N4511" s="464">
        <f t="shared" si="190"/>
        <v>188345</v>
      </c>
    </row>
    <row r="4512" spans="7:14" ht="11.25" customHeight="1" x14ac:dyDescent="0.25">
      <c r="G4512" s="459"/>
      <c r="H4512" s="459">
        <v>4505</v>
      </c>
      <c r="I4512" s="444">
        <f t="shared" ca="1" si="188"/>
        <v>-62947946032208.219</v>
      </c>
      <c r="J4512" s="444">
        <f t="array" ref="J4512">IFERROR(INDEX('Retirement Calculator'!J:J,MATCH('Isaac 401k'!N4512,'Retirement Calculator'!A:A,0),0),0)</f>
        <v>0</v>
      </c>
      <c r="K4512" s="444">
        <f t="shared" ca="1" si="186"/>
        <v>-262283108467.53424</v>
      </c>
      <c r="L4512" s="444">
        <f t="shared" ca="1" si="187"/>
        <v>-63210229140675.75</v>
      </c>
      <c r="M4512" s="460">
        <f t="shared" si="189"/>
        <v>0.05</v>
      </c>
      <c r="N4512" s="464">
        <f t="shared" si="190"/>
        <v>188375</v>
      </c>
    </row>
    <row r="4513" spans="7:14" ht="11.25" customHeight="1" x14ac:dyDescent="0.25">
      <c r="G4513" s="459"/>
      <c r="H4513" s="459">
        <v>4506</v>
      </c>
      <c r="I4513" s="444">
        <f t="shared" ca="1" si="188"/>
        <v>-63210229140675.75</v>
      </c>
      <c r="J4513" s="444">
        <f t="array" ref="J4513">IFERROR(INDEX('Retirement Calculator'!J:J,MATCH('Isaac 401k'!N4513,'Retirement Calculator'!A:A,0),0),0)</f>
        <v>0</v>
      </c>
      <c r="K4513" s="444">
        <f t="shared" ca="1" si="186"/>
        <v>-263375954752.81561</v>
      </c>
      <c r="L4513" s="444">
        <f t="shared" ca="1" si="187"/>
        <v>-63473605095428.563</v>
      </c>
      <c r="M4513" s="460">
        <f t="shared" si="189"/>
        <v>0.05</v>
      </c>
      <c r="N4513" s="464">
        <f t="shared" si="190"/>
        <v>188406</v>
      </c>
    </row>
    <row r="4514" spans="7:14" ht="11.25" customHeight="1" x14ac:dyDescent="0.25">
      <c r="G4514" s="459"/>
      <c r="H4514" s="459">
        <v>4507</v>
      </c>
      <c r="I4514" s="444">
        <f t="shared" ca="1" si="188"/>
        <v>-63473605095428.563</v>
      </c>
      <c r="J4514" s="444">
        <f t="array" ref="J4514">IFERROR(INDEX('Retirement Calculator'!J:J,MATCH('Isaac 401k'!N4514,'Retirement Calculator'!A:A,0),0),0)</f>
        <v>0</v>
      </c>
      <c r="K4514" s="444">
        <f t="shared" ca="1" si="186"/>
        <v>-264473354564.28568</v>
      </c>
      <c r="L4514" s="444">
        <f t="shared" ca="1" si="187"/>
        <v>-63738078449992.852</v>
      </c>
      <c r="M4514" s="460">
        <f t="shared" si="189"/>
        <v>0.05</v>
      </c>
      <c r="N4514" s="464">
        <f t="shared" si="190"/>
        <v>188436</v>
      </c>
    </row>
    <row r="4515" spans="7:14" ht="11.25" customHeight="1" x14ac:dyDescent="0.25">
      <c r="G4515" s="459"/>
      <c r="H4515" s="459">
        <v>4508</v>
      </c>
      <c r="I4515" s="444">
        <f t="shared" ca="1" si="188"/>
        <v>-63738078449992.852</v>
      </c>
      <c r="J4515" s="444">
        <f t="array" ref="J4515">IFERROR(INDEX('Retirement Calculator'!J:J,MATCH('Isaac 401k'!N4515,'Retirement Calculator'!A:A,0),0),0)</f>
        <v>0</v>
      </c>
      <c r="K4515" s="444">
        <f t="shared" ca="1" si="186"/>
        <v>-265575326874.97021</v>
      </c>
      <c r="L4515" s="444">
        <f t="shared" ca="1" si="187"/>
        <v>-64003653776867.82</v>
      </c>
      <c r="M4515" s="460">
        <f t="shared" si="189"/>
        <v>0.05</v>
      </c>
      <c r="N4515" s="464">
        <f t="shared" si="190"/>
        <v>188467</v>
      </c>
    </row>
    <row r="4516" spans="7:14" ht="11.25" customHeight="1" x14ac:dyDescent="0.25">
      <c r="G4516" s="459"/>
      <c r="H4516" s="459">
        <v>4509</v>
      </c>
      <c r="I4516" s="444">
        <f t="shared" ca="1" si="188"/>
        <v>-64003653776867.82</v>
      </c>
      <c r="J4516" s="444">
        <f t="array" ref="J4516">IFERROR(INDEX('Retirement Calculator'!J:J,MATCH('Isaac 401k'!N4516,'Retirement Calculator'!A:A,0),0),0)</f>
        <v>0</v>
      </c>
      <c r="K4516" s="444">
        <f t="shared" ca="1" si="186"/>
        <v>-266681890736.94928</v>
      </c>
      <c r="L4516" s="444">
        <f t="shared" ca="1" si="187"/>
        <v>-64270335667604.773</v>
      </c>
      <c r="M4516" s="460">
        <f t="shared" si="189"/>
        <v>0.05</v>
      </c>
      <c r="N4516" s="464">
        <f t="shared" si="190"/>
        <v>188498</v>
      </c>
    </row>
    <row r="4517" spans="7:14" ht="11.25" customHeight="1" x14ac:dyDescent="0.25">
      <c r="G4517" s="459"/>
      <c r="H4517" s="459">
        <v>4510</v>
      </c>
      <c r="I4517" s="444">
        <f t="shared" ca="1" si="188"/>
        <v>-64270335667604.773</v>
      </c>
      <c r="J4517" s="444">
        <f t="array" ref="J4517">IFERROR(INDEX('Retirement Calculator'!J:J,MATCH('Isaac 401k'!N4517,'Retirement Calculator'!A:A,0),0),0)</f>
        <v>0</v>
      </c>
      <c r="K4517" s="444">
        <f t="shared" ca="1" si="186"/>
        <v>-267793065281.68655</v>
      </c>
      <c r="L4517" s="444">
        <f t="shared" ca="1" si="187"/>
        <v>-64538128732886.461</v>
      </c>
      <c r="M4517" s="460">
        <f t="shared" si="189"/>
        <v>0.05</v>
      </c>
      <c r="N4517" s="464">
        <f t="shared" si="190"/>
        <v>188527</v>
      </c>
    </row>
    <row r="4518" spans="7:14" ht="11.25" customHeight="1" x14ac:dyDescent="0.25">
      <c r="G4518" s="459"/>
      <c r="H4518" s="459">
        <v>4511</v>
      </c>
      <c r="I4518" s="444">
        <f t="shared" ca="1" si="188"/>
        <v>-64538128732886.461</v>
      </c>
      <c r="J4518" s="444">
        <f t="array" ref="J4518">IFERROR(INDEX('Retirement Calculator'!J:J,MATCH('Isaac 401k'!N4518,'Retirement Calculator'!A:A,0),0),0)</f>
        <v>0</v>
      </c>
      <c r="K4518" s="444">
        <f t="shared" ca="1" si="186"/>
        <v>-268908869720.36026</v>
      </c>
      <c r="L4518" s="444">
        <f t="shared" ca="1" si="187"/>
        <v>-64807037602606.82</v>
      </c>
      <c r="M4518" s="460">
        <f t="shared" si="189"/>
        <v>0.05</v>
      </c>
      <c r="N4518" s="464">
        <f t="shared" si="190"/>
        <v>188558</v>
      </c>
    </row>
    <row r="4519" spans="7:14" ht="11.25" customHeight="1" x14ac:dyDescent="0.25">
      <c r="G4519" s="459"/>
      <c r="H4519" s="459">
        <v>4512</v>
      </c>
      <c r="I4519" s="444">
        <f t="shared" ca="1" si="188"/>
        <v>-64807037602606.82</v>
      </c>
      <c r="J4519" s="444">
        <f t="array" ref="J4519">IFERROR(INDEX('Retirement Calculator'!J:J,MATCH('Isaac 401k'!N4519,'Retirement Calculator'!A:A,0),0),0)</f>
        <v>0</v>
      </c>
      <c r="K4519" s="444">
        <f t="shared" ca="1" si="186"/>
        <v>-270029323344.19507</v>
      </c>
      <c r="L4519" s="444">
        <f t="shared" ca="1" si="187"/>
        <v>-65077066925951.016</v>
      </c>
      <c r="M4519" s="460">
        <f t="shared" si="189"/>
        <v>0.05</v>
      </c>
      <c r="N4519" s="464">
        <f t="shared" si="190"/>
        <v>188588</v>
      </c>
    </row>
    <row r="4520" spans="7:14" ht="11.25" customHeight="1" x14ac:dyDescent="0.25">
      <c r="G4520" s="459"/>
      <c r="H4520" s="459">
        <v>4513</v>
      </c>
      <c r="I4520" s="444">
        <f t="shared" ca="1" si="188"/>
        <v>-65077066925951.016</v>
      </c>
      <c r="J4520" s="444">
        <f t="array" ref="J4520">IFERROR(INDEX('Retirement Calculator'!J:J,MATCH('Isaac 401k'!N4520,'Retirement Calculator'!A:A,0),0),0)</f>
        <v>0</v>
      </c>
      <c r="K4520" s="444">
        <f t="shared" ca="1" si="186"/>
        <v>-271154445524.7959</v>
      </c>
      <c r="L4520" s="444">
        <f t="shared" ca="1" si="187"/>
        <v>-65348221371475.813</v>
      </c>
      <c r="M4520" s="460">
        <f t="shared" si="189"/>
        <v>0.05</v>
      </c>
      <c r="N4520" s="464">
        <f t="shared" si="190"/>
        <v>188619</v>
      </c>
    </row>
    <row r="4521" spans="7:14" ht="11.25" customHeight="1" x14ac:dyDescent="0.25">
      <c r="G4521" s="459"/>
      <c r="H4521" s="459">
        <v>4514</v>
      </c>
      <c r="I4521" s="444">
        <f t="shared" ca="1" si="188"/>
        <v>-65348221371475.813</v>
      </c>
      <c r="J4521" s="444">
        <f t="array" ref="J4521">IFERROR(INDEX('Retirement Calculator'!J:J,MATCH('Isaac 401k'!N4521,'Retirement Calculator'!A:A,0),0),0)</f>
        <v>0</v>
      </c>
      <c r="K4521" s="444">
        <f t="shared" ca="1" si="186"/>
        <v>-272284255714.48254</v>
      </c>
      <c r="L4521" s="444">
        <f t="shared" ca="1" si="187"/>
        <v>-65620505627190.297</v>
      </c>
      <c r="M4521" s="460">
        <f t="shared" si="189"/>
        <v>0.05</v>
      </c>
      <c r="N4521" s="464">
        <f t="shared" si="190"/>
        <v>188649</v>
      </c>
    </row>
    <row r="4522" spans="7:14" ht="11.25" customHeight="1" x14ac:dyDescent="0.25">
      <c r="G4522" s="459"/>
      <c r="H4522" s="459">
        <v>4515</v>
      </c>
      <c r="I4522" s="444">
        <f t="shared" ca="1" si="188"/>
        <v>-65620505627190.297</v>
      </c>
      <c r="J4522" s="444">
        <f t="array" ref="J4522">IFERROR(INDEX('Retirement Calculator'!J:J,MATCH('Isaac 401k'!N4522,'Retirement Calculator'!A:A,0),0),0)</f>
        <v>0</v>
      </c>
      <c r="K4522" s="444">
        <f t="shared" ca="1" si="186"/>
        <v>-273418773446.62622</v>
      </c>
      <c r="L4522" s="444">
        <f t="shared" ca="1" si="187"/>
        <v>-65893924400636.922</v>
      </c>
      <c r="M4522" s="460">
        <f t="shared" si="189"/>
        <v>0.05</v>
      </c>
      <c r="N4522" s="464">
        <f t="shared" si="190"/>
        <v>188680</v>
      </c>
    </row>
    <row r="4523" spans="7:14" ht="11.25" customHeight="1" x14ac:dyDescent="0.25">
      <c r="G4523" s="459"/>
      <c r="H4523" s="459">
        <v>4516</v>
      </c>
      <c r="I4523" s="444">
        <f t="shared" ca="1" si="188"/>
        <v>-65893924400636.922</v>
      </c>
      <c r="J4523" s="444">
        <f t="array" ref="J4523">IFERROR(INDEX('Retirement Calculator'!J:J,MATCH('Isaac 401k'!N4523,'Retirement Calculator'!A:A,0),0),0)</f>
        <v>0</v>
      </c>
      <c r="K4523" s="444">
        <f t="shared" ca="1" si="186"/>
        <v>-274558018335.98718</v>
      </c>
      <c r="L4523" s="444">
        <f t="shared" ca="1" si="187"/>
        <v>-66168482418972.906</v>
      </c>
      <c r="M4523" s="460">
        <f t="shared" si="189"/>
        <v>0.05</v>
      </c>
      <c r="N4523" s="464">
        <f t="shared" si="190"/>
        <v>188711</v>
      </c>
    </row>
    <row r="4524" spans="7:14" ht="11.25" customHeight="1" x14ac:dyDescent="0.25">
      <c r="G4524" s="459"/>
      <c r="H4524" s="459">
        <v>4517</v>
      </c>
      <c r="I4524" s="444">
        <f t="shared" ca="1" si="188"/>
        <v>-66168482418972.906</v>
      </c>
      <c r="J4524" s="444">
        <f t="array" ref="J4524">IFERROR(INDEX('Retirement Calculator'!J:J,MATCH('Isaac 401k'!N4524,'Retirement Calculator'!A:A,0),0),0)</f>
        <v>0</v>
      </c>
      <c r="K4524" s="444">
        <f t="shared" ca="1" si="186"/>
        <v>-275702010079.05377</v>
      </c>
      <c r="L4524" s="444">
        <f t="shared" ca="1" si="187"/>
        <v>-66444184429051.961</v>
      </c>
      <c r="M4524" s="460">
        <f t="shared" si="189"/>
        <v>0.05</v>
      </c>
      <c r="N4524" s="464">
        <f t="shared" si="190"/>
        <v>188741</v>
      </c>
    </row>
    <row r="4525" spans="7:14" ht="11.25" customHeight="1" x14ac:dyDescent="0.25">
      <c r="G4525" s="459"/>
      <c r="H4525" s="459">
        <v>4518</v>
      </c>
      <c r="I4525" s="444">
        <f t="shared" ca="1" si="188"/>
        <v>-66444184429051.961</v>
      </c>
      <c r="J4525" s="444">
        <f t="array" ref="J4525">IFERROR(INDEX('Retirement Calculator'!J:J,MATCH('Isaac 401k'!N4525,'Retirement Calculator'!A:A,0),0),0)</f>
        <v>0</v>
      </c>
      <c r="K4525" s="444">
        <f t="shared" ca="1" si="186"/>
        <v>-276850768454.38318</v>
      </c>
      <c r="L4525" s="444">
        <f t="shared" ca="1" si="187"/>
        <v>-66721035197506.344</v>
      </c>
      <c r="M4525" s="460">
        <f t="shared" si="189"/>
        <v>0.05</v>
      </c>
      <c r="N4525" s="464">
        <f t="shared" si="190"/>
        <v>188772</v>
      </c>
    </row>
    <row r="4526" spans="7:14" ht="11.25" customHeight="1" x14ac:dyDescent="0.25">
      <c r="G4526" s="459"/>
      <c r="H4526" s="459">
        <v>4519</v>
      </c>
      <c r="I4526" s="444">
        <f t="shared" ca="1" si="188"/>
        <v>-66721035197506.344</v>
      </c>
      <c r="J4526" s="444">
        <f t="array" ref="J4526">IFERROR(INDEX('Retirement Calculator'!J:J,MATCH('Isaac 401k'!N4526,'Retirement Calculator'!A:A,0),0),0)</f>
        <v>0</v>
      </c>
      <c r="K4526" s="444">
        <f t="shared" ca="1" si="186"/>
        <v>-278004313322.94312</v>
      </c>
      <c r="L4526" s="444">
        <f t="shared" ca="1" si="187"/>
        <v>-66999039510829.289</v>
      </c>
      <c r="M4526" s="460">
        <f t="shared" si="189"/>
        <v>0.05</v>
      </c>
      <c r="N4526" s="464">
        <f t="shared" si="190"/>
        <v>188802</v>
      </c>
    </row>
    <row r="4527" spans="7:14" ht="11.25" customHeight="1" x14ac:dyDescent="0.25">
      <c r="G4527" s="459"/>
      <c r="H4527" s="459">
        <v>4520</v>
      </c>
      <c r="I4527" s="444">
        <f t="shared" ca="1" si="188"/>
        <v>-66999039510829.289</v>
      </c>
      <c r="J4527" s="444">
        <f t="array" ref="J4527">IFERROR(INDEX('Retirement Calculator'!J:J,MATCH('Isaac 401k'!N4527,'Retirement Calculator'!A:A,0),0),0)</f>
        <v>0</v>
      </c>
      <c r="K4527" s="444">
        <f t="shared" ca="1" si="186"/>
        <v>-279162664628.45538</v>
      </c>
      <c r="L4527" s="444">
        <f t="shared" ca="1" si="187"/>
        <v>-67278202175457.742</v>
      </c>
      <c r="M4527" s="460">
        <f t="shared" si="189"/>
        <v>0.05</v>
      </c>
      <c r="N4527" s="464">
        <f t="shared" si="190"/>
        <v>188833</v>
      </c>
    </row>
    <row r="4528" spans="7:14" ht="11.25" customHeight="1" x14ac:dyDescent="0.25">
      <c r="G4528" s="459"/>
      <c r="H4528" s="459">
        <v>4521</v>
      </c>
      <c r="I4528" s="444">
        <f t="shared" ca="1" si="188"/>
        <v>-67278202175457.742</v>
      </c>
      <c r="J4528" s="444">
        <f t="array" ref="J4528">IFERROR(INDEX('Retirement Calculator'!J:J,MATCH('Isaac 401k'!N4528,'Retirement Calculator'!A:A,0),0),0)</f>
        <v>0</v>
      </c>
      <c r="K4528" s="444">
        <f t="shared" ca="1" si="186"/>
        <v>-280325842397.7406</v>
      </c>
      <c r="L4528" s="444">
        <f t="shared" ca="1" si="187"/>
        <v>-67558528017855.484</v>
      </c>
      <c r="M4528" s="460">
        <f t="shared" si="189"/>
        <v>0.05</v>
      </c>
      <c r="N4528" s="464">
        <f t="shared" si="190"/>
        <v>188864</v>
      </c>
    </row>
    <row r="4529" spans="7:14" ht="11.25" customHeight="1" x14ac:dyDescent="0.25">
      <c r="G4529" s="459"/>
      <c r="H4529" s="459">
        <v>4522</v>
      </c>
      <c r="I4529" s="444">
        <f t="shared" ca="1" si="188"/>
        <v>-67558528017855.484</v>
      </c>
      <c r="J4529" s="444">
        <f t="array" ref="J4529">IFERROR(INDEX('Retirement Calculator'!J:J,MATCH('Isaac 401k'!N4529,'Retirement Calculator'!A:A,0),0),0)</f>
        <v>0</v>
      </c>
      <c r="K4529" s="444">
        <f t="shared" ca="1" si="186"/>
        <v>-281493866741.06451</v>
      </c>
      <c r="L4529" s="444">
        <f t="shared" ca="1" si="187"/>
        <v>-67840021884596.547</v>
      </c>
      <c r="M4529" s="460">
        <f t="shared" si="189"/>
        <v>0.05</v>
      </c>
      <c r="N4529" s="464">
        <f t="shared" si="190"/>
        <v>188892</v>
      </c>
    </row>
    <row r="4530" spans="7:14" ht="11.25" customHeight="1" x14ac:dyDescent="0.25">
      <c r="G4530" s="459"/>
      <c r="H4530" s="459">
        <v>4523</v>
      </c>
      <c r="I4530" s="444">
        <f t="shared" ca="1" si="188"/>
        <v>-67840021884596.547</v>
      </c>
      <c r="J4530" s="444">
        <f t="array" ref="J4530">IFERROR(INDEX('Retirement Calculator'!J:J,MATCH('Isaac 401k'!N4530,'Retirement Calculator'!A:A,0),0),0)</f>
        <v>0</v>
      </c>
      <c r="K4530" s="444">
        <f t="shared" ca="1" si="186"/>
        <v>-282666757852.4856</v>
      </c>
      <c r="L4530" s="444">
        <f t="shared" ca="1" si="187"/>
        <v>-68122688642449.031</v>
      </c>
      <c r="M4530" s="460">
        <f t="shared" si="189"/>
        <v>0.05</v>
      </c>
      <c r="N4530" s="464">
        <f t="shared" si="190"/>
        <v>188923</v>
      </c>
    </row>
    <row r="4531" spans="7:14" ht="11.25" customHeight="1" x14ac:dyDescent="0.25">
      <c r="G4531" s="459"/>
      <c r="H4531" s="459">
        <v>4524</v>
      </c>
      <c r="I4531" s="444">
        <f t="shared" ca="1" si="188"/>
        <v>-68122688642449.031</v>
      </c>
      <c r="J4531" s="444">
        <f t="array" ref="J4531">IFERROR(INDEX('Retirement Calculator'!J:J,MATCH('Isaac 401k'!N4531,'Retirement Calculator'!A:A,0),0),0)</f>
        <v>0</v>
      </c>
      <c r="K4531" s="444">
        <f t="shared" ca="1" si="186"/>
        <v>-283844536010.20428</v>
      </c>
      <c r="L4531" s="444">
        <f t="shared" ca="1" si="187"/>
        <v>-68406533178459.234</v>
      </c>
      <c r="M4531" s="460">
        <f t="shared" si="189"/>
        <v>0.05</v>
      </c>
      <c r="N4531" s="464">
        <f t="shared" si="190"/>
        <v>188953</v>
      </c>
    </row>
    <row r="4532" spans="7:14" ht="11.25" customHeight="1" x14ac:dyDescent="0.25">
      <c r="G4532" s="459"/>
      <c r="H4532" s="459">
        <v>4525</v>
      </c>
      <c r="I4532" s="444">
        <f t="shared" ca="1" si="188"/>
        <v>-68406533178459.234</v>
      </c>
      <c r="J4532" s="444">
        <f t="array" ref="J4532">IFERROR(INDEX('Retirement Calculator'!J:J,MATCH('Isaac 401k'!N4532,'Retirement Calculator'!A:A,0),0),0)</f>
        <v>0</v>
      </c>
      <c r="K4532" s="444">
        <f t="shared" ca="1" si="186"/>
        <v>-285027221576.91351</v>
      </c>
      <c r="L4532" s="444">
        <f t="shared" ca="1" si="187"/>
        <v>-68691560400036.148</v>
      </c>
      <c r="M4532" s="460">
        <f t="shared" si="189"/>
        <v>0.05</v>
      </c>
      <c r="N4532" s="464">
        <f t="shared" si="190"/>
        <v>188984</v>
      </c>
    </row>
    <row r="4533" spans="7:14" ht="11.25" customHeight="1" x14ac:dyDescent="0.25">
      <c r="G4533" s="459"/>
      <c r="H4533" s="459">
        <v>4526</v>
      </c>
      <c r="I4533" s="444">
        <f t="shared" ca="1" si="188"/>
        <v>-68691560400036.148</v>
      </c>
      <c r="J4533" s="444">
        <f t="array" ref="J4533">IFERROR(INDEX('Retirement Calculator'!J:J,MATCH('Isaac 401k'!N4533,'Retirement Calculator'!A:A,0),0),0)</f>
        <v>0</v>
      </c>
      <c r="K4533" s="444">
        <f t="shared" ca="1" si="186"/>
        <v>-286214835000.15063</v>
      </c>
      <c r="L4533" s="444">
        <f t="shared" ca="1" si="187"/>
        <v>-68977775235036.297</v>
      </c>
      <c r="M4533" s="460">
        <f t="shared" si="189"/>
        <v>0.05</v>
      </c>
      <c r="N4533" s="464">
        <f t="shared" si="190"/>
        <v>189014</v>
      </c>
    </row>
    <row r="4534" spans="7:14" ht="11.25" customHeight="1" x14ac:dyDescent="0.25">
      <c r="G4534" s="459"/>
      <c r="H4534" s="459">
        <v>4527</v>
      </c>
      <c r="I4534" s="444">
        <f t="shared" ca="1" si="188"/>
        <v>-68977775235036.297</v>
      </c>
      <c r="J4534" s="444">
        <f t="array" ref="J4534">IFERROR(INDEX('Retirement Calculator'!J:J,MATCH('Isaac 401k'!N4534,'Retirement Calculator'!A:A,0),0),0)</f>
        <v>0</v>
      </c>
      <c r="K4534" s="444">
        <f t="shared" ca="1" si="186"/>
        <v>-287407396812.65125</v>
      </c>
      <c r="L4534" s="444">
        <f t="shared" ca="1" si="187"/>
        <v>-69265182631848.945</v>
      </c>
      <c r="M4534" s="460">
        <f t="shared" si="189"/>
        <v>0.05</v>
      </c>
      <c r="N4534" s="464">
        <f t="shared" si="190"/>
        <v>189045</v>
      </c>
    </row>
    <row r="4535" spans="7:14" ht="11.25" customHeight="1" x14ac:dyDescent="0.25">
      <c r="G4535" s="459"/>
      <c r="H4535" s="459">
        <v>4528</v>
      </c>
      <c r="I4535" s="444">
        <f t="shared" ca="1" si="188"/>
        <v>-69265182631848.945</v>
      </c>
      <c r="J4535" s="444">
        <f t="array" ref="J4535">IFERROR(INDEX('Retirement Calculator'!J:J,MATCH('Isaac 401k'!N4535,'Retirement Calculator'!A:A,0),0),0)</f>
        <v>0</v>
      </c>
      <c r="K4535" s="444">
        <f t="shared" ca="1" si="186"/>
        <v>-288604927632.70392</v>
      </c>
      <c r="L4535" s="444">
        <f t="shared" ca="1" si="187"/>
        <v>-69553787559481.648</v>
      </c>
      <c r="M4535" s="460">
        <f t="shared" si="189"/>
        <v>0.05</v>
      </c>
      <c r="N4535" s="464">
        <f t="shared" si="190"/>
        <v>189076</v>
      </c>
    </row>
    <row r="4536" spans="7:14" ht="11.25" customHeight="1" x14ac:dyDescent="0.25">
      <c r="G4536" s="459"/>
      <c r="H4536" s="459">
        <v>4529</v>
      </c>
      <c r="I4536" s="444">
        <f t="shared" ca="1" si="188"/>
        <v>-69553787559481.648</v>
      </c>
      <c r="J4536" s="444">
        <f t="array" ref="J4536">IFERROR(INDEX('Retirement Calculator'!J:J,MATCH('Isaac 401k'!N4536,'Retirement Calculator'!A:A,0),0),0)</f>
        <v>0</v>
      </c>
      <c r="K4536" s="444">
        <f t="shared" ca="1" si="186"/>
        <v>-289807448164.50684</v>
      </c>
      <c r="L4536" s="444">
        <f t="shared" ca="1" si="187"/>
        <v>-69843595007646.156</v>
      </c>
      <c r="M4536" s="460">
        <f t="shared" si="189"/>
        <v>0.05</v>
      </c>
      <c r="N4536" s="464">
        <f t="shared" si="190"/>
        <v>189106</v>
      </c>
    </row>
    <row r="4537" spans="7:14" ht="11.25" customHeight="1" x14ac:dyDescent="0.25">
      <c r="G4537" s="459"/>
      <c r="H4537" s="459">
        <v>4530</v>
      </c>
      <c r="I4537" s="444">
        <f t="shared" ca="1" si="188"/>
        <v>-69843595007646.156</v>
      </c>
      <c r="J4537" s="444">
        <f t="array" ref="J4537">IFERROR(INDEX('Retirement Calculator'!J:J,MATCH('Isaac 401k'!N4537,'Retirement Calculator'!A:A,0),0),0)</f>
        <v>0</v>
      </c>
      <c r="K4537" s="444">
        <f t="shared" ca="1" si="186"/>
        <v>-291014979198.52563</v>
      </c>
      <c r="L4537" s="444">
        <f t="shared" ca="1" si="187"/>
        <v>-70134609986844.68</v>
      </c>
      <c r="M4537" s="460">
        <f t="shared" si="189"/>
        <v>0.05</v>
      </c>
      <c r="N4537" s="464">
        <f t="shared" si="190"/>
        <v>189137</v>
      </c>
    </row>
    <row r="4538" spans="7:14" ht="11.25" customHeight="1" x14ac:dyDescent="0.25">
      <c r="G4538" s="459"/>
      <c r="H4538" s="459">
        <v>4531</v>
      </c>
      <c r="I4538" s="444">
        <f t="shared" ca="1" si="188"/>
        <v>-70134609986844.68</v>
      </c>
      <c r="J4538" s="444">
        <f t="array" ref="J4538">IFERROR(INDEX('Retirement Calculator'!J:J,MATCH('Isaac 401k'!N4538,'Retirement Calculator'!A:A,0),0),0)</f>
        <v>0</v>
      </c>
      <c r="K4538" s="444">
        <f t="shared" ca="1" si="186"/>
        <v>-292227541611.85284</v>
      </c>
      <c r="L4538" s="444">
        <f t="shared" ca="1" si="187"/>
        <v>-70426837528456.531</v>
      </c>
      <c r="M4538" s="460">
        <f t="shared" si="189"/>
        <v>0.05</v>
      </c>
      <c r="N4538" s="464">
        <f t="shared" si="190"/>
        <v>189167</v>
      </c>
    </row>
    <row r="4539" spans="7:14" ht="11.25" customHeight="1" x14ac:dyDescent="0.25">
      <c r="G4539" s="459"/>
      <c r="H4539" s="459">
        <v>4532</v>
      </c>
      <c r="I4539" s="444">
        <f t="shared" ca="1" si="188"/>
        <v>-70426837528456.531</v>
      </c>
      <c r="J4539" s="444">
        <f t="array" ref="J4539">IFERROR(INDEX('Retirement Calculator'!J:J,MATCH('Isaac 401k'!N4539,'Retirement Calculator'!A:A,0),0),0)</f>
        <v>0</v>
      </c>
      <c r="K4539" s="444">
        <f t="shared" ca="1" si="186"/>
        <v>-293445156368.56885</v>
      </c>
      <c r="L4539" s="444">
        <f t="shared" ca="1" si="187"/>
        <v>-70720282684825.094</v>
      </c>
      <c r="M4539" s="460">
        <f t="shared" si="189"/>
        <v>0.05</v>
      </c>
      <c r="N4539" s="464">
        <f t="shared" si="190"/>
        <v>189198</v>
      </c>
    </row>
    <row r="4540" spans="7:14" ht="11.25" customHeight="1" x14ac:dyDescent="0.25">
      <c r="G4540" s="459"/>
      <c r="H4540" s="459">
        <v>4533</v>
      </c>
      <c r="I4540" s="444">
        <f t="shared" ca="1" si="188"/>
        <v>-70720282684825.094</v>
      </c>
      <c r="J4540" s="444">
        <f t="array" ref="J4540">IFERROR(INDEX('Retirement Calculator'!J:J,MATCH('Isaac 401k'!N4540,'Retirement Calculator'!A:A,0),0),0)</f>
        <v>0</v>
      </c>
      <c r="K4540" s="444">
        <f t="shared" ca="1" si="186"/>
        <v>-294667844520.10455</v>
      </c>
      <c r="L4540" s="444">
        <f t="shared" ca="1" si="187"/>
        <v>-71014950529345.203</v>
      </c>
      <c r="M4540" s="460">
        <f t="shared" si="189"/>
        <v>0.05</v>
      </c>
      <c r="N4540" s="464">
        <f t="shared" si="190"/>
        <v>189229</v>
      </c>
    </row>
    <row r="4541" spans="7:14" ht="11.25" customHeight="1" x14ac:dyDescent="0.25">
      <c r="G4541" s="459"/>
      <c r="H4541" s="459">
        <v>4534</v>
      </c>
      <c r="I4541" s="444">
        <f t="shared" ca="1" si="188"/>
        <v>-71014950529345.203</v>
      </c>
      <c r="J4541" s="444">
        <f t="array" ref="J4541">IFERROR(INDEX('Retirement Calculator'!J:J,MATCH('Isaac 401k'!N4541,'Retirement Calculator'!A:A,0),0),0)</f>
        <v>0</v>
      </c>
      <c r="K4541" s="444">
        <f t="shared" ca="1" si="186"/>
        <v>-295895627205.60498</v>
      </c>
      <c r="L4541" s="444">
        <f t="shared" ca="1" si="187"/>
        <v>-71310846156550.813</v>
      </c>
      <c r="M4541" s="460">
        <f t="shared" si="189"/>
        <v>0.05</v>
      </c>
      <c r="N4541" s="464">
        <f t="shared" si="190"/>
        <v>189257</v>
      </c>
    </row>
    <row r="4542" spans="7:14" ht="11.25" customHeight="1" x14ac:dyDescent="0.25">
      <c r="G4542" s="459"/>
      <c r="H4542" s="459">
        <v>4535</v>
      </c>
      <c r="I4542" s="444">
        <f t="shared" ca="1" si="188"/>
        <v>-71310846156550.813</v>
      </c>
      <c r="J4542" s="444">
        <f t="array" ref="J4542">IFERROR(INDEX('Retirement Calculator'!J:J,MATCH('Isaac 401k'!N4542,'Retirement Calculator'!A:A,0),0),0)</f>
        <v>0</v>
      </c>
      <c r="K4542" s="444">
        <f t="shared" ca="1" si="186"/>
        <v>-297128525652.29504</v>
      </c>
      <c r="L4542" s="444">
        <f t="shared" ca="1" si="187"/>
        <v>-71607974682203.109</v>
      </c>
      <c r="M4542" s="460">
        <f t="shared" si="189"/>
        <v>0.05</v>
      </c>
      <c r="N4542" s="464">
        <f t="shared" si="190"/>
        <v>189288</v>
      </c>
    </row>
    <row r="4543" spans="7:14" ht="11.25" customHeight="1" x14ac:dyDescent="0.25">
      <c r="G4543" s="459"/>
      <c r="H4543" s="459">
        <v>4536</v>
      </c>
      <c r="I4543" s="444">
        <f t="shared" ca="1" si="188"/>
        <v>-71607974682203.109</v>
      </c>
      <c r="J4543" s="444">
        <f t="array" ref="J4543">IFERROR(INDEX('Retirement Calculator'!J:J,MATCH('Isaac 401k'!N4543,'Retirement Calculator'!A:A,0),0),0)</f>
        <v>0</v>
      </c>
      <c r="K4543" s="444">
        <f t="shared" ca="1" si="186"/>
        <v>-298366561175.84631</v>
      </c>
      <c r="L4543" s="444">
        <f t="shared" ca="1" si="187"/>
        <v>-71906341243378.953</v>
      </c>
      <c r="M4543" s="460">
        <f t="shared" si="189"/>
        <v>0.05</v>
      </c>
      <c r="N4543" s="464">
        <f t="shared" si="190"/>
        <v>189318</v>
      </c>
    </row>
    <row r="4544" spans="7:14" ht="11.25" customHeight="1" x14ac:dyDescent="0.25">
      <c r="G4544" s="459"/>
      <c r="H4544" s="459">
        <v>4537</v>
      </c>
      <c r="I4544" s="444">
        <f t="shared" ca="1" si="188"/>
        <v>-71906341243378.953</v>
      </c>
      <c r="J4544" s="444">
        <f t="array" ref="J4544">IFERROR(INDEX('Retirement Calculator'!J:J,MATCH('Isaac 401k'!N4544,'Retirement Calculator'!A:A,0),0),0)</f>
        <v>0</v>
      </c>
      <c r="K4544" s="444">
        <f t="shared" ca="1" si="186"/>
        <v>-299609755180.74561</v>
      </c>
      <c r="L4544" s="444">
        <f t="shared" ca="1" si="187"/>
        <v>-72205950998559.703</v>
      </c>
      <c r="M4544" s="460">
        <f t="shared" si="189"/>
        <v>0.05</v>
      </c>
      <c r="N4544" s="464">
        <f t="shared" si="190"/>
        <v>189349</v>
      </c>
    </row>
    <row r="4545" spans="7:14" ht="11.25" customHeight="1" x14ac:dyDescent="0.25">
      <c r="G4545" s="459"/>
      <c r="H4545" s="459">
        <v>4538</v>
      </c>
      <c r="I4545" s="444">
        <f t="shared" ca="1" si="188"/>
        <v>-72205950998559.703</v>
      </c>
      <c r="J4545" s="444">
        <f t="array" ref="J4545">IFERROR(INDEX('Retirement Calculator'!J:J,MATCH('Isaac 401k'!N4545,'Retirement Calculator'!A:A,0),0),0)</f>
        <v>0</v>
      </c>
      <c r="K4545" s="444">
        <f t="shared" ca="1" si="186"/>
        <v>-300858129160.66541</v>
      </c>
      <c r="L4545" s="444">
        <f t="shared" ca="1" si="187"/>
        <v>-72506809127720.375</v>
      </c>
      <c r="M4545" s="460">
        <f t="shared" si="189"/>
        <v>0.05</v>
      </c>
      <c r="N4545" s="464">
        <f t="shared" si="190"/>
        <v>189379</v>
      </c>
    </row>
    <row r="4546" spans="7:14" ht="11.25" customHeight="1" x14ac:dyDescent="0.25">
      <c r="G4546" s="459"/>
      <c r="H4546" s="459">
        <v>4539</v>
      </c>
      <c r="I4546" s="444">
        <f t="shared" ca="1" si="188"/>
        <v>-72506809127720.375</v>
      </c>
      <c r="J4546" s="444">
        <f t="array" ref="J4546">IFERROR(INDEX('Retirement Calculator'!J:J,MATCH('Isaac 401k'!N4546,'Retirement Calculator'!A:A,0),0),0)</f>
        <v>0</v>
      </c>
      <c r="K4546" s="444">
        <f t="shared" ca="1" si="186"/>
        <v>-302111704698.8349</v>
      </c>
      <c r="L4546" s="444">
        <f t="shared" ca="1" si="187"/>
        <v>-72808920832419.203</v>
      </c>
      <c r="M4546" s="460">
        <f t="shared" si="189"/>
        <v>0.05</v>
      </c>
      <c r="N4546" s="464">
        <f t="shared" si="190"/>
        <v>189410</v>
      </c>
    </row>
    <row r="4547" spans="7:14" ht="11.25" customHeight="1" x14ac:dyDescent="0.25">
      <c r="G4547" s="459"/>
      <c r="H4547" s="459">
        <v>4540</v>
      </c>
      <c r="I4547" s="444">
        <f t="shared" ca="1" si="188"/>
        <v>-72808920832419.203</v>
      </c>
      <c r="J4547" s="444">
        <f t="array" ref="J4547">IFERROR(INDEX('Retirement Calculator'!J:J,MATCH('Isaac 401k'!N4547,'Retirement Calculator'!A:A,0),0),0)</f>
        <v>0</v>
      </c>
      <c r="K4547" s="444">
        <f t="shared" ca="1" si="186"/>
        <v>-303370503468.41333</v>
      </c>
      <c r="L4547" s="444">
        <f t="shared" ca="1" si="187"/>
        <v>-73112291335887.609</v>
      </c>
      <c r="M4547" s="460">
        <f t="shared" si="189"/>
        <v>0.05</v>
      </c>
      <c r="N4547" s="464">
        <f t="shared" si="190"/>
        <v>189441</v>
      </c>
    </row>
    <row r="4548" spans="7:14" ht="11.25" customHeight="1" x14ac:dyDescent="0.25">
      <c r="G4548" s="459"/>
      <c r="H4548" s="459">
        <v>4541</v>
      </c>
      <c r="I4548" s="444">
        <f t="shared" ca="1" si="188"/>
        <v>-73112291335887.609</v>
      </c>
      <c r="J4548" s="444">
        <f t="array" ref="J4548">IFERROR(INDEX('Retirement Calculator'!J:J,MATCH('Isaac 401k'!N4548,'Retirement Calculator'!A:A,0),0),0)</f>
        <v>0</v>
      </c>
      <c r="K4548" s="444">
        <f t="shared" ca="1" si="186"/>
        <v>-304634547232.86505</v>
      </c>
      <c r="L4548" s="444">
        <f t="shared" ca="1" si="187"/>
        <v>-73416925883120.469</v>
      </c>
      <c r="M4548" s="460">
        <f t="shared" si="189"/>
        <v>0.05</v>
      </c>
      <c r="N4548" s="464">
        <f t="shared" si="190"/>
        <v>189471</v>
      </c>
    </row>
    <row r="4549" spans="7:14" ht="11.25" customHeight="1" x14ac:dyDescent="0.25">
      <c r="G4549" s="459"/>
      <c r="H4549" s="459">
        <v>4542</v>
      </c>
      <c r="I4549" s="444">
        <f t="shared" ca="1" si="188"/>
        <v>-73416925883120.469</v>
      </c>
      <c r="J4549" s="444">
        <f t="array" ref="J4549">IFERROR(INDEX('Retirement Calculator'!J:J,MATCH('Isaac 401k'!N4549,'Retirement Calculator'!A:A,0),0),0)</f>
        <v>0</v>
      </c>
      <c r="K4549" s="444">
        <f t="shared" ca="1" si="186"/>
        <v>-305903857846.33527</v>
      </c>
      <c r="L4549" s="444">
        <f t="shared" ca="1" si="187"/>
        <v>-73722829740966.797</v>
      </c>
      <c r="M4549" s="460">
        <f t="shared" si="189"/>
        <v>0.05</v>
      </c>
      <c r="N4549" s="464">
        <f t="shared" si="190"/>
        <v>189502</v>
      </c>
    </row>
    <row r="4550" spans="7:14" ht="11.25" customHeight="1" x14ac:dyDescent="0.25">
      <c r="G4550" s="459"/>
      <c r="H4550" s="459">
        <v>4543</v>
      </c>
      <c r="I4550" s="444">
        <f t="shared" ca="1" si="188"/>
        <v>-73722829740966.797</v>
      </c>
      <c r="J4550" s="444">
        <f t="array" ref="J4550">IFERROR(INDEX('Retirement Calculator'!J:J,MATCH('Isaac 401k'!N4550,'Retirement Calculator'!A:A,0),0),0)</f>
        <v>0</v>
      </c>
      <c r="K4550" s="444">
        <f t="shared" ca="1" si="186"/>
        <v>-307178457254.02832</v>
      </c>
      <c r="L4550" s="444">
        <f t="shared" ca="1" si="187"/>
        <v>-74030008198220.828</v>
      </c>
      <c r="M4550" s="460">
        <f t="shared" si="189"/>
        <v>0.05</v>
      </c>
      <c r="N4550" s="464">
        <f t="shared" si="190"/>
        <v>189532</v>
      </c>
    </row>
    <row r="4551" spans="7:14" ht="11.25" customHeight="1" x14ac:dyDescent="0.25">
      <c r="G4551" s="459"/>
      <c r="H4551" s="459">
        <v>4544</v>
      </c>
      <c r="I4551" s="444">
        <f t="shared" ca="1" si="188"/>
        <v>-74030008198220.828</v>
      </c>
      <c r="J4551" s="444">
        <f t="array" ref="J4551">IFERROR(INDEX('Retirement Calculator'!J:J,MATCH('Isaac 401k'!N4551,'Retirement Calculator'!A:A,0),0),0)</f>
        <v>0</v>
      </c>
      <c r="K4551" s="444">
        <f t="shared" ca="1" si="186"/>
        <v>-308458367492.58679</v>
      </c>
      <c r="L4551" s="444">
        <f t="shared" ca="1" si="187"/>
        <v>-74338466565713.422</v>
      </c>
      <c r="M4551" s="460">
        <f t="shared" si="189"/>
        <v>0.05</v>
      </c>
      <c r="N4551" s="464">
        <f t="shared" si="190"/>
        <v>189563</v>
      </c>
    </row>
    <row r="4552" spans="7:14" ht="11.25" customHeight="1" x14ac:dyDescent="0.25">
      <c r="G4552" s="459"/>
      <c r="H4552" s="459">
        <v>4545</v>
      </c>
      <c r="I4552" s="444">
        <f t="shared" ca="1" si="188"/>
        <v>-74338466565713.422</v>
      </c>
      <c r="J4552" s="444">
        <f t="array" ref="J4552">IFERROR(INDEX('Retirement Calculator'!J:J,MATCH('Isaac 401k'!N4552,'Retirement Calculator'!A:A,0),0),0)</f>
        <v>0</v>
      </c>
      <c r="K4552" s="444">
        <f t="shared" ca="1" si="186"/>
        <v>-309743610690.4726</v>
      </c>
      <c r="L4552" s="444">
        <f t="shared" ca="1" si="187"/>
        <v>-74648210176403.891</v>
      </c>
      <c r="M4552" s="460">
        <f t="shared" si="189"/>
        <v>0.05</v>
      </c>
      <c r="N4552" s="464">
        <f t="shared" si="190"/>
        <v>189594</v>
      </c>
    </row>
    <row r="4553" spans="7:14" ht="11.25" customHeight="1" x14ac:dyDescent="0.25">
      <c r="G4553" s="459"/>
      <c r="H4553" s="459">
        <v>4546</v>
      </c>
      <c r="I4553" s="444">
        <f t="shared" ca="1" si="188"/>
        <v>-74648210176403.891</v>
      </c>
      <c r="J4553" s="444">
        <f t="array" ref="J4553">IFERROR(INDEX('Retirement Calculator'!J:J,MATCH('Isaac 401k'!N4553,'Retirement Calculator'!A:A,0),0),0)</f>
        <v>0</v>
      </c>
      <c r="K4553" s="444">
        <f t="shared" ca="1" si="186"/>
        <v>-311034209068.34955</v>
      </c>
      <c r="L4553" s="444">
        <f t="shared" ca="1" si="187"/>
        <v>-74959244385472.234</v>
      </c>
      <c r="M4553" s="460">
        <f t="shared" si="189"/>
        <v>0.05</v>
      </c>
      <c r="N4553" s="464">
        <f t="shared" si="190"/>
        <v>189622</v>
      </c>
    </row>
    <row r="4554" spans="7:14" ht="11.25" customHeight="1" x14ac:dyDescent="0.25">
      <c r="G4554" s="459"/>
      <c r="H4554" s="459">
        <v>4547</v>
      </c>
      <c r="I4554" s="444">
        <f t="shared" ca="1" si="188"/>
        <v>-74959244385472.234</v>
      </c>
      <c r="J4554" s="444">
        <f t="array" ref="J4554">IFERROR(INDEX('Retirement Calculator'!J:J,MATCH('Isaac 401k'!N4554,'Retirement Calculator'!A:A,0),0),0)</f>
        <v>0</v>
      </c>
      <c r="K4554" s="444">
        <f t="shared" ca="1" si="186"/>
        <v>-312330184939.46765</v>
      </c>
      <c r="L4554" s="444">
        <f t="shared" ca="1" si="187"/>
        <v>-75271574570411.703</v>
      </c>
      <c r="M4554" s="460">
        <f t="shared" si="189"/>
        <v>0.05</v>
      </c>
      <c r="N4554" s="464">
        <f t="shared" si="190"/>
        <v>189653</v>
      </c>
    </row>
    <row r="4555" spans="7:14" ht="11.25" customHeight="1" x14ac:dyDescent="0.25">
      <c r="G4555" s="459"/>
      <c r="H4555" s="459">
        <v>4548</v>
      </c>
      <c r="I4555" s="444">
        <f t="shared" ca="1" si="188"/>
        <v>-75271574570411.703</v>
      </c>
      <c r="J4555" s="444">
        <f t="array" ref="J4555">IFERROR(INDEX('Retirement Calculator'!J:J,MATCH('Isaac 401k'!N4555,'Retirement Calculator'!A:A,0),0),0)</f>
        <v>0</v>
      </c>
      <c r="K4555" s="444">
        <f t="shared" ca="1" si="186"/>
        <v>-313631560710.04877</v>
      </c>
      <c r="L4555" s="444">
        <f t="shared" ca="1" si="187"/>
        <v>-75585206131121.75</v>
      </c>
      <c r="M4555" s="460">
        <f t="shared" si="189"/>
        <v>0.05</v>
      </c>
      <c r="N4555" s="464">
        <f t="shared" si="190"/>
        <v>189683</v>
      </c>
    </row>
    <row r="4556" spans="7:14" ht="11.25" customHeight="1" x14ac:dyDescent="0.25">
      <c r="G4556" s="459"/>
      <c r="H4556" s="459">
        <v>4549</v>
      </c>
      <c r="I4556" s="444">
        <f t="shared" ca="1" si="188"/>
        <v>-75585206131121.75</v>
      </c>
      <c r="J4556" s="444">
        <f t="array" ref="J4556">IFERROR(INDEX('Retirement Calculator'!J:J,MATCH('Isaac 401k'!N4556,'Retirement Calculator'!A:A,0),0),0)</f>
        <v>0</v>
      </c>
      <c r="K4556" s="444">
        <f t="shared" ca="1" si="186"/>
        <v>-314938358879.67395</v>
      </c>
      <c r="L4556" s="444">
        <f t="shared" ca="1" si="187"/>
        <v>-75900144490001.422</v>
      </c>
      <c r="M4556" s="460">
        <f t="shared" si="189"/>
        <v>0.05</v>
      </c>
      <c r="N4556" s="464">
        <f t="shared" si="190"/>
        <v>189714</v>
      </c>
    </row>
    <row r="4557" spans="7:14" ht="11.25" customHeight="1" x14ac:dyDescent="0.25">
      <c r="G4557" s="459"/>
      <c r="H4557" s="459">
        <v>4550</v>
      </c>
      <c r="I4557" s="444">
        <f t="shared" ca="1" si="188"/>
        <v>-75900144490001.422</v>
      </c>
      <c r="J4557" s="444">
        <f t="array" ref="J4557">IFERROR(INDEX('Retirement Calculator'!J:J,MATCH('Isaac 401k'!N4557,'Retirement Calculator'!A:A,0),0),0)</f>
        <v>0</v>
      </c>
      <c r="K4557" s="444">
        <f t="shared" ca="1" si="186"/>
        <v>-316250602041.67261</v>
      </c>
      <c r="L4557" s="444">
        <f t="shared" ca="1" si="187"/>
        <v>-76216395092043.094</v>
      </c>
      <c r="M4557" s="460">
        <f t="shared" si="189"/>
        <v>0.05</v>
      </c>
      <c r="N4557" s="464">
        <f t="shared" si="190"/>
        <v>189744</v>
      </c>
    </row>
    <row r="4558" spans="7:14" ht="11.25" customHeight="1" x14ac:dyDescent="0.25">
      <c r="G4558" s="459"/>
      <c r="H4558" s="459">
        <v>4551</v>
      </c>
      <c r="I4558" s="444">
        <f t="shared" ca="1" si="188"/>
        <v>-76216395092043.094</v>
      </c>
      <c r="J4558" s="444">
        <f t="array" ref="J4558">IFERROR(INDEX('Retirement Calculator'!J:J,MATCH('Isaac 401k'!N4558,'Retirement Calculator'!A:A,0),0),0)</f>
        <v>0</v>
      </c>
      <c r="K4558" s="444">
        <f t="shared" ca="1" si="186"/>
        <v>-317568312883.51288</v>
      </c>
      <c r="L4558" s="444">
        <f t="shared" ca="1" si="187"/>
        <v>-76533963404926.609</v>
      </c>
      <c r="M4558" s="460">
        <f t="shared" si="189"/>
        <v>0.05</v>
      </c>
      <c r="N4558" s="464">
        <f t="shared" si="190"/>
        <v>189775</v>
      </c>
    </row>
    <row r="4559" spans="7:14" ht="11.25" customHeight="1" x14ac:dyDescent="0.25">
      <c r="G4559" s="459"/>
      <c r="H4559" s="459">
        <v>4552</v>
      </c>
      <c r="I4559" s="444">
        <f t="shared" ca="1" si="188"/>
        <v>-76533963404926.609</v>
      </c>
      <c r="J4559" s="444">
        <f t="array" ref="J4559">IFERROR(INDEX('Retirement Calculator'!J:J,MATCH('Isaac 401k'!N4559,'Retirement Calculator'!A:A,0),0),0)</f>
        <v>0</v>
      </c>
      <c r="K4559" s="444">
        <f t="shared" ca="1" si="186"/>
        <v>-318891514187.19421</v>
      </c>
      <c r="L4559" s="444">
        <f t="shared" ca="1" si="187"/>
        <v>-76852854919113.797</v>
      </c>
      <c r="M4559" s="460">
        <f t="shared" si="189"/>
        <v>0.05</v>
      </c>
      <c r="N4559" s="464">
        <f t="shared" si="190"/>
        <v>189806</v>
      </c>
    </row>
    <row r="4560" spans="7:14" ht="11.25" customHeight="1" x14ac:dyDescent="0.25">
      <c r="G4560" s="459"/>
      <c r="H4560" s="459">
        <v>4553</v>
      </c>
      <c r="I4560" s="444">
        <f t="shared" ca="1" si="188"/>
        <v>-76852854919113.797</v>
      </c>
      <c r="J4560" s="444">
        <f t="array" ref="J4560">IFERROR(INDEX('Retirement Calculator'!J:J,MATCH('Isaac 401k'!N4560,'Retirement Calculator'!A:A,0),0),0)</f>
        <v>0</v>
      </c>
      <c r="K4560" s="444">
        <f t="shared" ca="1" si="186"/>
        <v>-320220228829.64081</v>
      </c>
      <c r="L4560" s="444">
        <f t="shared" ca="1" si="187"/>
        <v>-77173075147943.438</v>
      </c>
      <c r="M4560" s="460">
        <f t="shared" si="189"/>
        <v>0.05</v>
      </c>
      <c r="N4560" s="464">
        <f t="shared" si="190"/>
        <v>189836</v>
      </c>
    </row>
    <row r="4561" spans="7:14" ht="11.25" customHeight="1" x14ac:dyDescent="0.25">
      <c r="G4561" s="459"/>
      <c r="H4561" s="459">
        <v>4554</v>
      </c>
      <c r="I4561" s="444">
        <f t="shared" ca="1" si="188"/>
        <v>-77173075147943.438</v>
      </c>
      <c r="J4561" s="444">
        <f t="array" ref="J4561">IFERROR(INDEX('Retirement Calculator'!J:J,MATCH('Isaac 401k'!N4561,'Retirement Calculator'!A:A,0),0),0)</f>
        <v>0</v>
      </c>
      <c r="K4561" s="444">
        <f t="shared" ca="1" si="186"/>
        <v>-321554479783.09766</v>
      </c>
      <c r="L4561" s="444">
        <f t="shared" ca="1" si="187"/>
        <v>-77494629627726.531</v>
      </c>
      <c r="M4561" s="460">
        <f t="shared" si="189"/>
        <v>0.05</v>
      </c>
      <c r="N4561" s="464">
        <f t="shared" si="190"/>
        <v>189867</v>
      </c>
    </row>
    <row r="4562" spans="7:14" ht="11.25" customHeight="1" x14ac:dyDescent="0.25">
      <c r="G4562" s="459"/>
      <c r="H4562" s="459">
        <v>4555</v>
      </c>
      <c r="I4562" s="444">
        <f t="shared" ca="1" si="188"/>
        <v>-77494629627726.531</v>
      </c>
      <c r="J4562" s="444">
        <f t="array" ref="J4562">IFERROR(INDEX('Retirement Calculator'!J:J,MATCH('Isaac 401k'!N4562,'Retirement Calculator'!A:A,0),0),0)</f>
        <v>0</v>
      </c>
      <c r="K4562" s="444">
        <f t="shared" ca="1" si="186"/>
        <v>-322894290115.52722</v>
      </c>
      <c r="L4562" s="444">
        <f t="shared" ca="1" si="187"/>
        <v>-77817523917842.063</v>
      </c>
      <c r="M4562" s="460">
        <f t="shared" si="189"/>
        <v>0.05</v>
      </c>
      <c r="N4562" s="464">
        <f t="shared" si="190"/>
        <v>189897</v>
      </c>
    </row>
    <row r="4563" spans="7:14" ht="11.25" customHeight="1" x14ac:dyDescent="0.25">
      <c r="G4563" s="459"/>
      <c r="H4563" s="459">
        <v>4556</v>
      </c>
      <c r="I4563" s="444">
        <f t="shared" ca="1" si="188"/>
        <v>-77817523917842.063</v>
      </c>
      <c r="J4563" s="444">
        <f t="array" ref="J4563">IFERROR(INDEX('Retirement Calculator'!J:J,MATCH('Isaac 401k'!N4563,'Retirement Calculator'!A:A,0),0),0)</f>
        <v>0</v>
      </c>
      <c r="K4563" s="444">
        <f t="shared" ca="1" si="186"/>
        <v>-324239682991.00861</v>
      </c>
      <c r="L4563" s="444">
        <f t="shared" ca="1" si="187"/>
        <v>-78141763600833.078</v>
      </c>
      <c r="M4563" s="460">
        <f t="shared" si="189"/>
        <v>0.05</v>
      </c>
      <c r="N4563" s="464">
        <f t="shared" si="190"/>
        <v>189928</v>
      </c>
    </row>
    <row r="4564" spans="7:14" ht="11.25" customHeight="1" x14ac:dyDescent="0.25">
      <c r="G4564" s="459"/>
      <c r="H4564" s="459">
        <v>4557</v>
      </c>
      <c r="I4564" s="444">
        <f t="shared" ca="1" si="188"/>
        <v>-78141763600833.078</v>
      </c>
      <c r="J4564" s="444">
        <f t="array" ref="J4564">IFERROR(INDEX('Retirement Calculator'!J:J,MATCH('Isaac 401k'!N4564,'Retirement Calculator'!A:A,0),0),0)</f>
        <v>0</v>
      </c>
      <c r="K4564" s="444">
        <f t="shared" ca="1" si="186"/>
        <v>-325590681670.13782</v>
      </c>
      <c r="L4564" s="444">
        <f t="shared" ca="1" si="187"/>
        <v>-78467354282503.219</v>
      </c>
      <c r="M4564" s="460">
        <f t="shared" si="189"/>
        <v>0.05</v>
      </c>
      <c r="N4564" s="464">
        <f t="shared" si="190"/>
        <v>189959</v>
      </c>
    </row>
    <row r="4565" spans="7:14" ht="11.25" customHeight="1" x14ac:dyDescent="0.25">
      <c r="G4565" s="459"/>
      <c r="H4565" s="459">
        <v>4558</v>
      </c>
      <c r="I4565" s="444">
        <f t="shared" ca="1" si="188"/>
        <v>-78467354282503.219</v>
      </c>
      <c r="J4565" s="444">
        <f t="array" ref="J4565">IFERROR(INDEX('Retirement Calculator'!J:J,MATCH('Isaac 401k'!N4565,'Retirement Calculator'!A:A,0),0),0)</f>
        <v>0</v>
      </c>
      <c r="K4565" s="444">
        <f t="shared" ca="1" si="186"/>
        <v>-326947309510.43005</v>
      </c>
      <c r="L4565" s="444">
        <f t="shared" ca="1" si="187"/>
        <v>-78794301592013.656</v>
      </c>
      <c r="M4565" s="460">
        <f t="shared" si="189"/>
        <v>0.05</v>
      </c>
      <c r="N4565" s="464">
        <f t="shared" si="190"/>
        <v>189988</v>
      </c>
    </row>
    <row r="4566" spans="7:14" ht="11.25" customHeight="1" x14ac:dyDescent="0.25">
      <c r="G4566" s="459"/>
      <c r="H4566" s="459">
        <v>4559</v>
      </c>
      <c r="I4566" s="444">
        <f t="shared" ca="1" si="188"/>
        <v>-78794301592013.656</v>
      </c>
      <c r="J4566" s="444">
        <f t="array" ref="J4566">IFERROR(INDEX('Retirement Calculator'!J:J,MATCH('Isaac 401k'!N4566,'Retirement Calculator'!A:A,0),0),0)</f>
        <v>0</v>
      </c>
      <c r="K4566" s="444">
        <f t="shared" ca="1" si="186"/>
        <v>-328309589966.72357</v>
      </c>
      <c r="L4566" s="444">
        <f t="shared" ca="1" si="187"/>
        <v>-79122611181980.375</v>
      </c>
      <c r="M4566" s="460">
        <f t="shared" si="189"/>
        <v>0.05</v>
      </c>
      <c r="N4566" s="464">
        <f t="shared" si="190"/>
        <v>190019</v>
      </c>
    </row>
    <row r="4567" spans="7:14" ht="11.25" customHeight="1" x14ac:dyDescent="0.25">
      <c r="G4567" s="459"/>
      <c r="H4567" s="459">
        <v>4560</v>
      </c>
      <c r="I4567" s="444">
        <f t="shared" ca="1" si="188"/>
        <v>-79122611181980.375</v>
      </c>
      <c r="J4567" s="444">
        <f t="array" ref="J4567">IFERROR(INDEX('Retirement Calculator'!J:J,MATCH('Isaac 401k'!N4567,'Retirement Calculator'!A:A,0),0),0)</f>
        <v>0</v>
      </c>
      <c r="K4567" s="444">
        <f t="shared" ca="1" si="186"/>
        <v>-329677546591.5849</v>
      </c>
      <c r="L4567" s="444">
        <f t="shared" ca="1" si="187"/>
        <v>-79452288728571.953</v>
      </c>
      <c r="M4567" s="460">
        <f t="shared" si="189"/>
        <v>0.05</v>
      </c>
      <c r="N4567" s="464">
        <f t="shared" si="190"/>
        <v>190049</v>
      </c>
    </row>
    <row r="4568" spans="7:14" ht="11.25" customHeight="1" x14ac:dyDescent="0.25">
      <c r="G4568" s="459"/>
      <c r="H4568" s="459">
        <v>4561</v>
      </c>
      <c r="I4568" s="444">
        <f t="shared" ca="1" si="188"/>
        <v>-79452288728571.953</v>
      </c>
      <c r="J4568" s="444">
        <f t="array" ref="J4568">IFERROR(INDEX('Retirement Calculator'!J:J,MATCH('Isaac 401k'!N4568,'Retirement Calculator'!A:A,0),0),0)</f>
        <v>0</v>
      </c>
      <c r="K4568" s="444">
        <f t="shared" ca="1" si="186"/>
        <v>-331051203035.71649</v>
      </c>
      <c r="L4568" s="444">
        <f t="shared" ca="1" si="187"/>
        <v>-79783339931607.672</v>
      </c>
      <c r="M4568" s="460">
        <f t="shared" si="189"/>
        <v>0.05</v>
      </c>
      <c r="N4568" s="464">
        <f t="shared" si="190"/>
        <v>190080</v>
      </c>
    </row>
    <row r="4569" spans="7:14" ht="11.25" customHeight="1" x14ac:dyDescent="0.25">
      <c r="G4569" s="459"/>
      <c r="H4569" s="459">
        <v>4562</v>
      </c>
      <c r="I4569" s="444">
        <f t="shared" ca="1" si="188"/>
        <v>-79783339931607.672</v>
      </c>
      <c r="J4569" s="444">
        <f t="array" ref="J4569">IFERROR(INDEX('Retirement Calculator'!J:J,MATCH('Isaac 401k'!N4569,'Retirement Calculator'!A:A,0),0),0)</f>
        <v>0</v>
      </c>
      <c r="K4569" s="444">
        <f t="shared" ca="1" si="186"/>
        <v>-332430583048.3653</v>
      </c>
      <c r="L4569" s="444">
        <f t="shared" ca="1" si="187"/>
        <v>-80115770514656.031</v>
      </c>
      <c r="M4569" s="460">
        <f t="shared" si="189"/>
        <v>0.05</v>
      </c>
      <c r="N4569" s="464">
        <f t="shared" si="190"/>
        <v>190110</v>
      </c>
    </row>
    <row r="4570" spans="7:14" ht="11.25" customHeight="1" x14ac:dyDescent="0.25">
      <c r="G4570" s="459"/>
      <c r="H4570" s="459">
        <v>4563</v>
      </c>
      <c r="I4570" s="444">
        <f t="shared" ca="1" si="188"/>
        <v>-80115770514656.031</v>
      </c>
      <c r="J4570" s="444">
        <f t="array" ref="J4570">IFERROR(INDEX('Retirement Calculator'!J:J,MATCH('Isaac 401k'!N4570,'Retirement Calculator'!A:A,0),0),0)</f>
        <v>0</v>
      </c>
      <c r="K4570" s="444">
        <f t="shared" ca="1" si="186"/>
        <v>-333815710477.73346</v>
      </c>
      <c r="L4570" s="444">
        <f t="shared" ca="1" si="187"/>
        <v>-80449586225133.766</v>
      </c>
      <c r="M4570" s="460">
        <f t="shared" si="189"/>
        <v>0.05</v>
      </c>
      <c r="N4570" s="464">
        <f t="shared" si="190"/>
        <v>190141</v>
      </c>
    </row>
    <row r="4571" spans="7:14" ht="11.25" customHeight="1" x14ac:dyDescent="0.25">
      <c r="G4571" s="459"/>
      <c r="H4571" s="459">
        <v>4564</v>
      </c>
      <c r="I4571" s="444">
        <f t="shared" ca="1" si="188"/>
        <v>-80449586225133.766</v>
      </c>
      <c r="J4571" s="444">
        <f t="array" ref="J4571">IFERROR(INDEX('Retirement Calculator'!J:J,MATCH('Isaac 401k'!N4571,'Retirement Calculator'!A:A,0),0),0)</f>
        <v>0</v>
      </c>
      <c r="K4571" s="444">
        <f t="shared" ca="1" si="186"/>
        <v>-335206609271.39069</v>
      </c>
      <c r="L4571" s="444">
        <f t="shared" ca="1" si="187"/>
        <v>-80784792834405.156</v>
      </c>
      <c r="M4571" s="460">
        <f t="shared" si="189"/>
        <v>0.05</v>
      </c>
      <c r="N4571" s="464">
        <f t="shared" si="190"/>
        <v>190172</v>
      </c>
    </row>
    <row r="4572" spans="7:14" ht="11.25" customHeight="1" x14ac:dyDescent="0.25">
      <c r="G4572" s="459"/>
      <c r="H4572" s="459">
        <v>4565</v>
      </c>
      <c r="I4572" s="444">
        <f t="shared" ca="1" si="188"/>
        <v>-80784792834405.156</v>
      </c>
      <c r="J4572" s="444">
        <f t="array" ref="J4572">IFERROR(INDEX('Retirement Calculator'!J:J,MATCH('Isaac 401k'!N4572,'Retirement Calculator'!A:A,0),0),0)</f>
        <v>0</v>
      </c>
      <c r="K4572" s="444">
        <f t="shared" ca="1" si="186"/>
        <v>-336603303476.68817</v>
      </c>
      <c r="L4572" s="444">
        <f t="shared" ca="1" si="187"/>
        <v>-81121396137881.844</v>
      </c>
      <c r="M4572" s="460">
        <f t="shared" si="189"/>
        <v>0.05</v>
      </c>
      <c r="N4572" s="464">
        <f t="shared" si="190"/>
        <v>190202</v>
      </c>
    </row>
    <row r="4573" spans="7:14" ht="11.25" customHeight="1" x14ac:dyDescent="0.25">
      <c r="G4573" s="459"/>
      <c r="H4573" s="459">
        <v>4566</v>
      </c>
      <c r="I4573" s="444">
        <f t="shared" ca="1" si="188"/>
        <v>-81121396137881.844</v>
      </c>
      <c r="J4573" s="444">
        <f t="array" ref="J4573">IFERROR(INDEX('Retirement Calculator'!J:J,MATCH('Isaac 401k'!N4573,'Retirement Calculator'!A:A,0),0),0)</f>
        <v>0</v>
      </c>
      <c r="K4573" s="444">
        <f t="shared" ca="1" si="186"/>
        <v>-338005817241.17432</v>
      </c>
      <c r="L4573" s="444">
        <f t="shared" ca="1" si="187"/>
        <v>-81459401955123.016</v>
      </c>
      <c r="M4573" s="460">
        <f t="shared" si="189"/>
        <v>0.05</v>
      </c>
      <c r="N4573" s="464">
        <f t="shared" si="190"/>
        <v>190233</v>
      </c>
    </row>
    <row r="4574" spans="7:14" ht="11.25" customHeight="1" x14ac:dyDescent="0.25">
      <c r="G4574" s="459"/>
      <c r="H4574" s="459">
        <v>4567</v>
      </c>
      <c r="I4574" s="444">
        <f t="shared" ca="1" si="188"/>
        <v>-81459401955123.016</v>
      </c>
      <c r="J4574" s="444">
        <f t="array" ref="J4574">IFERROR(INDEX('Retirement Calculator'!J:J,MATCH('Isaac 401k'!N4574,'Retirement Calculator'!A:A,0),0),0)</f>
        <v>0</v>
      </c>
      <c r="K4574" s="444">
        <f t="shared" ca="1" si="186"/>
        <v>-339414174813.01257</v>
      </c>
      <c r="L4574" s="444">
        <f t="shared" ca="1" si="187"/>
        <v>-81798816129936.031</v>
      </c>
      <c r="M4574" s="460">
        <f t="shared" si="189"/>
        <v>0.05</v>
      </c>
      <c r="N4574" s="464">
        <f t="shared" si="190"/>
        <v>190263</v>
      </c>
    </row>
    <row r="4575" spans="7:14" ht="11.25" customHeight="1" x14ac:dyDescent="0.25">
      <c r="G4575" s="459"/>
      <c r="H4575" s="459">
        <v>4568</v>
      </c>
      <c r="I4575" s="444">
        <f t="shared" ca="1" si="188"/>
        <v>-81798816129936.031</v>
      </c>
      <c r="J4575" s="444">
        <f t="array" ref="J4575">IFERROR(INDEX('Retirement Calculator'!J:J,MATCH('Isaac 401k'!N4575,'Retirement Calculator'!A:A,0),0),0)</f>
        <v>0</v>
      </c>
      <c r="K4575" s="444">
        <f t="shared" ca="1" si="186"/>
        <v>-340828400541.40015</v>
      </c>
      <c r="L4575" s="444">
        <f t="shared" ca="1" si="187"/>
        <v>-82139644530477.438</v>
      </c>
      <c r="M4575" s="460">
        <f t="shared" si="189"/>
        <v>0.05</v>
      </c>
      <c r="N4575" s="464">
        <f t="shared" si="190"/>
        <v>190294</v>
      </c>
    </row>
    <row r="4576" spans="7:14" ht="11.25" customHeight="1" x14ac:dyDescent="0.25">
      <c r="G4576" s="459"/>
      <c r="H4576" s="459">
        <v>4569</v>
      </c>
      <c r="I4576" s="444">
        <f t="shared" ca="1" si="188"/>
        <v>-82139644530477.438</v>
      </c>
      <c r="J4576" s="444">
        <f t="array" ref="J4576">IFERROR(INDEX('Retirement Calculator'!J:J,MATCH('Isaac 401k'!N4576,'Retirement Calculator'!A:A,0),0),0)</f>
        <v>0</v>
      </c>
      <c r="K4576" s="444">
        <f t="shared" ca="1" si="186"/>
        <v>-342248518876.98932</v>
      </c>
      <c r="L4576" s="444">
        <f t="shared" ca="1" si="187"/>
        <v>-82481893049354.422</v>
      </c>
      <c r="M4576" s="460">
        <f t="shared" si="189"/>
        <v>0.05</v>
      </c>
      <c r="N4576" s="464">
        <f t="shared" si="190"/>
        <v>190325</v>
      </c>
    </row>
    <row r="4577" spans="7:14" ht="11.25" customHeight="1" x14ac:dyDescent="0.25">
      <c r="G4577" s="459"/>
      <c r="H4577" s="459">
        <v>4570</v>
      </c>
      <c r="I4577" s="444">
        <f t="shared" ca="1" si="188"/>
        <v>-82481893049354.422</v>
      </c>
      <c r="J4577" s="444">
        <f t="array" ref="J4577">IFERROR(INDEX('Retirement Calculator'!J:J,MATCH('Isaac 401k'!N4577,'Retirement Calculator'!A:A,0),0),0)</f>
        <v>0</v>
      </c>
      <c r="K4577" s="444">
        <f t="shared" ca="1" si="186"/>
        <v>-343674554372.31006</v>
      </c>
      <c r="L4577" s="444">
        <f t="shared" ca="1" si="187"/>
        <v>-82825567603726.734</v>
      </c>
      <c r="M4577" s="460">
        <f t="shared" si="189"/>
        <v>0.05</v>
      </c>
      <c r="N4577" s="464">
        <f t="shared" si="190"/>
        <v>190353</v>
      </c>
    </row>
    <row r="4578" spans="7:14" ht="11.25" customHeight="1" x14ac:dyDescent="0.25">
      <c r="G4578" s="459"/>
      <c r="H4578" s="459">
        <v>4571</v>
      </c>
      <c r="I4578" s="444">
        <f t="shared" ca="1" si="188"/>
        <v>-82825567603726.734</v>
      </c>
      <c r="J4578" s="444">
        <f t="array" ref="J4578">IFERROR(INDEX('Retirement Calculator'!J:J,MATCH('Isaac 401k'!N4578,'Retirement Calculator'!A:A,0),0),0)</f>
        <v>0</v>
      </c>
      <c r="K4578" s="444">
        <f t="shared" ca="1" si="186"/>
        <v>-345106531682.1947</v>
      </c>
      <c r="L4578" s="444">
        <f t="shared" ca="1" si="187"/>
        <v>-83170674135408.922</v>
      </c>
      <c r="M4578" s="460">
        <f t="shared" si="189"/>
        <v>0.05</v>
      </c>
      <c r="N4578" s="464">
        <f t="shared" si="190"/>
        <v>190384</v>
      </c>
    </row>
    <row r="4579" spans="7:14" ht="11.25" customHeight="1" x14ac:dyDescent="0.25">
      <c r="G4579" s="459"/>
      <c r="H4579" s="459">
        <v>4572</v>
      </c>
      <c r="I4579" s="444">
        <f t="shared" ca="1" si="188"/>
        <v>-83170674135408.922</v>
      </c>
      <c r="J4579" s="444">
        <f t="array" ref="J4579">IFERROR(INDEX('Retirement Calculator'!J:J,MATCH('Isaac 401k'!N4579,'Retirement Calculator'!A:A,0),0),0)</f>
        <v>0</v>
      </c>
      <c r="K4579" s="444">
        <f t="shared" ca="1" si="186"/>
        <v>-346544475564.20386</v>
      </c>
      <c r="L4579" s="444">
        <f t="shared" ca="1" si="187"/>
        <v>-83517218610973.125</v>
      </c>
      <c r="M4579" s="460">
        <f t="shared" si="189"/>
        <v>0.05</v>
      </c>
      <c r="N4579" s="464">
        <f t="shared" si="190"/>
        <v>190414</v>
      </c>
    </row>
    <row r="4580" spans="7:14" ht="11.25" customHeight="1" x14ac:dyDescent="0.25">
      <c r="G4580" s="459"/>
      <c r="H4580" s="459">
        <v>4573</v>
      </c>
      <c r="I4580" s="444">
        <f t="shared" ca="1" si="188"/>
        <v>-83517218610973.125</v>
      </c>
      <c r="J4580" s="444">
        <f t="array" ref="J4580">IFERROR(INDEX('Retirement Calculator'!J:J,MATCH('Isaac 401k'!N4580,'Retirement Calculator'!A:A,0),0),0)</f>
        <v>0</v>
      </c>
      <c r="K4580" s="444">
        <f t="shared" ca="1" si="186"/>
        <v>-347988410879.05469</v>
      </c>
      <c r="L4580" s="444">
        <f t="shared" ca="1" si="187"/>
        <v>-83865207021852.188</v>
      </c>
      <c r="M4580" s="460">
        <f t="shared" si="189"/>
        <v>0.05</v>
      </c>
      <c r="N4580" s="464">
        <f t="shared" si="190"/>
        <v>190445</v>
      </c>
    </row>
    <row r="4581" spans="7:14" ht="11.25" customHeight="1" x14ac:dyDescent="0.25">
      <c r="G4581" s="459"/>
      <c r="H4581" s="459">
        <v>4574</v>
      </c>
      <c r="I4581" s="444">
        <f t="shared" ca="1" si="188"/>
        <v>-83865207021852.188</v>
      </c>
      <c r="J4581" s="444">
        <f t="array" ref="J4581">IFERROR(INDEX('Retirement Calculator'!J:J,MATCH('Isaac 401k'!N4581,'Retirement Calculator'!A:A,0),0),0)</f>
        <v>0</v>
      </c>
      <c r="K4581" s="444">
        <f t="shared" ca="1" si="186"/>
        <v>-349438362591.05078</v>
      </c>
      <c r="L4581" s="444">
        <f t="shared" ca="1" si="187"/>
        <v>-84214645384443.234</v>
      </c>
      <c r="M4581" s="460">
        <f t="shared" si="189"/>
        <v>0.05</v>
      </c>
      <c r="N4581" s="464">
        <f t="shared" si="190"/>
        <v>190475</v>
      </c>
    </row>
    <row r="4582" spans="7:14" ht="11.25" customHeight="1" x14ac:dyDescent="0.25">
      <c r="G4582" s="459"/>
      <c r="H4582" s="459">
        <v>4575</v>
      </c>
      <c r="I4582" s="444">
        <f t="shared" ca="1" si="188"/>
        <v>-84214645384443.234</v>
      </c>
      <c r="J4582" s="444">
        <f t="array" ref="J4582">IFERROR(INDEX('Retirement Calculator'!J:J,MATCH('Isaac 401k'!N4582,'Retirement Calculator'!A:A,0),0),0)</f>
        <v>0</v>
      </c>
      <c r="K4582" s="444">
        <f t="shared" ca="1" si="186"/>
        <v>-350894355768.51349</v>
      </c>
      <c r="L4582" s="444">
        <f t="shared" ca="1" si="187"/>
        <v>-84565539740211.75</v>
      </c>
      <c r="M4582" s="460">
        <f t="shared" si="189"/>
        <v>0.05</v>
      </c>
      <c r="N4582" s="464">
        <f t="shared" si="190"/>
        <v>190506</v>
      </c>
    </row>
    <row r="4583" spans="7:14" ht="11.25" customHeight="1" x14ac:dyDescent="0.25">
      <c r="G4583" s="459"/>
      <c r="H4583" s="459">
        <v>4576</v>
      </c>
      <c r="I4583" s="444">
        <f t="shared" ca="1" si="188"/>
        <v>-84565539740211.75</v>
      </c>
      <c r="J4583" s="444">
        <f t="array" ref="J4583">IFERROR(INDEX('Retirement Calculator'!J:J,MATCH('Isaac 401k'!N4583,'Retirement Calculator'!A:A,0),0),0)</f>
        <v>0</v>
      </c>
      <c r="K4583" s="444">
        <f t="shared" ca="1" si="186"/>
        <v>-352356415584.21564</v>
      </c>
      <c r="L4583" s="444">
        <f t="shared" ca="1" si="187"/>
        <v>-84917896155795.969</v>
      </c>
      <c r="M4583" s="460">
        <f t="shared" si="189"/>
        <v>0.05</v>
      </c>
      <c r="N4583" s="464">
        <f t="shared" si="190"/>
        <v>190537</v>
      </c>
    </row>
    <row r="4584" spans="7:14" ht="11.25" customHeight="1" x14ac:dyDescent="0.25">
      <c r="G4584" s="459"/>
      <c r="H4584" s="459">
        <v>4577</v>
      </c>
      <c r="I4584" s="444">
        <f t="shared" ca="1" si="188"/>
        <v>-84917896155795.969</v>
      </c>
      <c r="J4584" s="444">
        <f t="array" ref="J4584">IFERROR(INDEX('Retirement Calculator'!J:J,MATCH('Isaac 401k'!N4584,'Retirement Calculator'!A:A,0),0),0)</f>
        <v>0</v>
      </c>
      <c r="K4584" s="444">
        <f t="shared" ca="1" si="186"/>
        <v>-353824567315.81653</v>
      </c>
      <c r="L4584" s="444">
        <f t="shared" ca="1" si="187"/>
        <v>-85271720723111.781</v>
      </c>
      <c r="M4584" s="460">
        <f t="shared" si="189"/>
        <v>0.05</v>
      </c>
      <c r="N4584" s="464">
        <f t="shared" si="190"/>
        <v>190567</v>
      </c>
    </row>
    <row r="4585" spans="7:14" ht="11.25" customHeight="1" x14ac:dyDescent="0.25">
      <c r="G4585" s="459"/>
      <c r="H4585" s="459">
        <v>4578</v>
      </c>
      <c r="I4585" s="444">
        <f t="shared" ca="1" si="188"/>
        <v>-85271720723111.781</v>
      </c>
      <c r="J4585" s="444">
        <f t="array" ref="J4585">IFERROR(INDEX('Retirement Calculator'!J:J,MATCH('Isaac 401k'!N4585,'Retirement Calculator'!A:A,0),0),0)</f>
        <v>0</v>
      </c>
      <c r="K4585" s="444">
        <f t="shared" ca="1" si="186"/>
        <v>-355298836346.29907</v>
      </c>
      <c r="L4585" s="444">
        <f t="shared" ca="1" si="187"/>
        <v>-85627019559458.078</v>
      </c>
      <c r="M4585" s="460">
        <f t="shared" si="189"/>
        <v>0.05</v>
      </c>
      <c r="N4585" s="464">
        <f t="shared" si="190"/>
        <v>190598</v>
      </c>
    </row>
    <row r="4586" spans="7:14" ht="11.25" customHeight="1" x14ac:dyDescent="0.25">
      <c r="G4586" s="459"/>
      <c r="H4586" s="459">
        <v>4579</v>
      </c>
      <c r="I4586" s="444">
        <f t="shared" ca="1" si="188"/>
        <v>-85627019559458.078</v>
      </c>
      <c r="J4586" s="444">
        <f t="array" ref="J4586">IFERROR(INDEX('Retirement Calculator'!J:J,MATCH('Isaac 401k'!N4586,'Retirement Calculator'!A:A,0),0),0)</f>
        <v>0</v>
      </c>
      <c r="K4586" s="444">
        <f t="shared" ca="1" si="186"/>
        <v>-356779248164.40863</v>
      </c>
      <c r="L4586" s="444">
        <f t="shared" ca="1" si="187"/>
        <v>-85983798807622.484</v>
      </c>
      <c r="M4586" s="460">
        <f t="shared" si="189"/>
        <v>0.05</v>
      </c>
      <c r="N4586" s="464">
        <f t="shared" si="190"/>
        <v>190628</v>
      </c>
    </row>
    <row r="4587" spans="7:14" ht="11.25" customHeight="1" x14ac:dyDescent="0.25">
      <c r="G4587" s="459"/>
      <c r="H4587" s="459">
        <v>4580</v>
      </c>
      <c r="I4587" s="444">
        <f t="shared" ca="1" si="188"/>
        <v>-85983798807622.484</v>
      </c>
      <c r="J4587" s="444">
        <f t="array" ref="J4587">IFERROR(INDEX('Retirement Calculator'!J:J,MATCH('Isaac 401k'!N4587,'Retirement Calculator'!A:A,0),0),0)</f>
        <v>0</v>
      </c>
      <c r="K4587" s="444">
        <f t="shared" ca="1" si="186"/>
        <v>-358265828365.09369</v>
      </c>
      <c r="L4587" s="444">
        <f t="shared" ca="1" si="187"/>
        <v>-86342064635987.578</v>
      </c>
      <c r="M4587" s="460">
        <f t="shared" si="189"/>
        <v>0.05</v>
      </c>
      <c r="N4587" s="464">
        <f t="shared" si="190"/>
        <v>190659</v>
      </c>
    </row>
    <row r="4588" spans="7:14" ht="11.25" customHeight="1" x14ac:dyDescent="0.25">
      <c r="G4588" s="459"/>
      <c r="H4588" s="459">
        <v>4581</v>
      </c>
      <c r="I4588" s="444">
        <f t="shared" ca="1" si="188"/>
        <v>-86342064635987.578</v>
      </c>
      <c r="J4588" s="444">
        <f t="array" ref="J4588">IFERROR(INDEX('Retirement Calculator'!J:J,MATCH('Isaac 401k'!N4588,'Retirement Calculator'!A:A,0),0),0)</f>
        <v>0</v>
      </c>
      <c r="K4588" s="444">
        <f t="shared" ca="1" si="186"/>
        <v>-359758602649.94824</v>
      </c>
      <c r="L4588" s="444">
        <f t="shared" ca="1" si="187"/>
        <v>-86701823238637.531</v>
      </c>
      <c r="M4588" s="460">
        <f t="shared" si="189"/>
        <v>0.05</v>
      </c>
      <c r="N4588" s="464">
        <f t="shared" si="190"/>
        <v>190690</v>
      </c>
    </row>
    <row r="4589" spans="7:14" ht="11.25" customHeight="1" x14ac:dyDescent="0.25">
      <c r="G4589" s="459"/>
      <c r="H4589" s="459">
        <v>4582</v>
      </c>
      <c r="I4589" s="444">
        <f t="shared" ca="1" si="188"/>
        <v>-86701823238637.531</v>
      </c>
      <c r="J4589" s="444">
        <f t="array" ref="J4589">IFERROR(INDEX('Retirement Calculator'!J:J,MATCH('Isaac 401k'!N4589,'Retirement Calculator'!A:A,0),0),0)</f>
        <v>0</v>
      </c>
      <c r="K4589" s="444">
        <f t="shared" ca="1" si="186"/>
        <v>-361257596827.65637</v>
      </c>
      <c r="L4589" s="444">
        <f t="shared" ca="1" si="187"/>
        <v>-87063080835465.188</v>
      </c>
      <c r="M4589" s="460">
        <f t="shared" si="189"/>
        <v>0.05</v>
      </c>
      <c r="N4589" s="464">
        <f t="shared" si="190"/>
        <v>190718</v>
      </c>
    </row>
    <row r="4590" spans="7:14" ht="11.25" customHeight="1" x14ac:dyDescent="0.25">
      <c r="G4590" s="459"/>
      <c r="H4590" s="459">
        <v>4583</v>
      </c>
      <c r="I4590" s="444">
        <f t="shared" ca="1" si="188"/>
        <v>-87063080835465.188</v>
      </c>
      <c r="J4590" s="444">
        <f t="array" ref="J4590">IFERROR(INDEX('Retirement Calculator'!J:J,MATCH('Isaac 401k'!N4590,'Retirement Calculator'!A:A,0),0),0)</f>
        <v>0</v>
      </c>
      <c r="K4590" s="444">
        <f t="shared" ca="1" si="186"/>
        <v>-362762836814.43829</v>
      </c>
      <c r="L4590" s="444">
        <f t="shared" ca="1" si="187"/>
        <v>-87425843672279.625</v>
      </c>
      <c r="M4590" s="460">
        <f t="shared" si="189"/>
        <v>0.05</v>
      </c>
      <c r="N4590" s="464">
        <f t="shared" si="190"/>
        <v>190749</v>
      </c>
    </row>
    <row r="4591" spans="7:14" ht="11.25" customHeight="1" x14ac:dyDescent="0.25">
      <c r="G4591" s="459"/>
      <c r="H4591" s="459">
        <v>4584</v>
      </c>
      <c r="I4591" s="444">
        <f t="shared" ca="1" si="188"/>
        <v>-87425843672279.625</v>
      </c>
      <c r="J4591" s="444">
        <f t="array" ref="J4591">IFERROR(INDEX('Retirement Calculator'!J:J,MATCH('Isaac 401k'!N4591,'Retirement Calculator'!A:A,0),0),0)</f>
        <v>0</v>
      </c>
      <c r="K4591" s="444">
        <f t="shared" ca="1" si="186"/>
        <v>-364274348634.49841</v>
      </c>
      <c r="L4591" s="444">
        <f t="shared" ca="1" si="187"/>
        <v>-87790118020914.125</v>
      </c>
      <c r="M4591" s="460">
        <f t="shared" si="189"/>
        <v>0.05</v>
      </c>
      <c r="N4591" s="464">
        <f t="shared" si="190"/>
        <v>190779</v>
      </c>
    </row>
    <row r="4592" spans="7:14" ht="11.25" customHeight="1" x14ac:dyDescent="0.25">
      <c r="G4592" s="459"/>
      <c r="H4592" s="459">
        <v>4585</v>
      </c>
      <c r="I4592" s="444">
        <f t="shared" ca="1" si="188"/>
        <v>-87790118020914.125</v>
      </c>
      <c r="J4592" s="444">
        <f t="array" ref="J4592">IFERROR(INDEX('Retirement Calculator'!J:J,MATCH('Isaac 401k'!N4592,'Retirement Calculator'!A:A,0),0),0)</f>
        <v>0</v>
      </c>
      <c r="K4592" s="444">
        <f t="shared" ca="1" si="186"/>
        <v>-365792158420.47552</v>
      </c>
      <c r="L4592" s="444">
        <f t="shared" ca="1" si="187"/>
        <v>-88155910179334.594</v>
      </c>
      <c r="M4592" s="460">
        <f t="shared" si="189"/>
        <v>0.05</v>
      </c>
      <c r="N4592" s="464">
        <f t="shared" si="190"/>
        <v>190810</v>
      </c>
    </row>
    <row r="4593" spans="7:14" ht="11.25" customHeight="1" x14ac:dyDescent="0.25">
      <c r="G4593" s="459"/>
      <c r="H4593" s="459">
        <v>4586</v>
      </c>
      <c r="I4593" s="444">
        <f t="shared" ca="1" si="188"/>
        <v>-88155910179334.594</v>
      </c>
      <c r="J4593" s="444">
        <f t="array" ref="J4593">IFERROR(INDEX('Retirement Calculator'!J:J,MATCH('Isaac 401k'!N4593,'Retirement Calculator'!A:A,0),0),0)</f>
        <v>0</v>
      </c>
      <c r="K4593" s="444">
        <f t="shared" ca="1" si="186"/>
        <v>-367316292413.89417</v>
      </c>
      <c r="L4593" s="444">
        <f t="shared" ca="1" si="187"/>
        <v>-88523226471748.484</v>
      </c>
      <c r="M4593" s="460">
        <f t="shared" si="189"/>
        <v>0.05</v>
      </c>
      <c r="N4593" s="464">
        <f t="shared" si="190"/>
        <v>190840</v>
      </c>
    </row>
    <row r="4594" spans="7:14" ht="11.25" customHeight="1" x14ac:dyDescent="0.25">
      <c r="G4594" s="459"/>
      <c r="H4594" s="459">
        <v>4587</v>
      </c>
      <c r="I4594" s="444">
        <f t="shared" ca="1" si="188"/>
        <v>-88523226471748.484</v>
      </c>
      <c r="J4594" s="444">
        <f t="array" ref="J4594">IFERROR(INDEX('Retirement Calculator'!J:J,MATCH('Isaac 401k'!N4594,'Retirement Calculator'!A:A,0),0),0)</f>
        <v>0</v>
      </c>
      <c r="K4594" s="444">
        <f t="shared" ca="1" si="186"/>
        <v>-368846776965.61865</v>
      </c>
      <c r="L4594" s="444">
        <f t="shared" ca="1" si="187"/>
        <v>-88892073248714.109</v>
      </c>
      <c r="M4594" s="460">
        <f t="shared" si="189"/>
        <v>0.05</v>
      </c>
      <c r="N4594" s="464">
        <f t="shared" si="190"/>
        <v>190871</v>
      </c>
    </row>
    <row r="4595" spans="7:14" ht="11.25" customHeight="1" x14ac:dyDescent="0.25">
      <c r="G4595" s="459"/>
      <c r="H4595" s="459">
        <v>4588</v>
      </c>
      <c r="I4595" s="444">
        <f t="shared" ca="1" si="188"/>
        <v>-88892073248714.109</v>
      </c>
      <c r="J4595" s="444">
        <f t="array" ref="J4595">IFERROR(INDEX('Retirement Calculator'!J:J,MATCH('Isaac 401k'!N4595,'Retirement Calculator'!A:A,0),0),0)</f>
        <v>0</v>
      </c>
      <c r="K4595" s="444">
        <f t="shared" ca="1" si="186"/>
        <v>-370383638536.30878</v>
      </c>
      <c r="L4595" s="444">
        <f t="shared" ca="1" si="187"/>
        <v>-89262456887250.422</v>
      </c>
      <c r="M4595" s="460">
        <f t="shared" si="189"/>
        <v>0.05</v>
      </c>
      <c r="N4595" s="464">
        <f t="shared" si="190"/>
        <v>190902</v>
      </c>
    </row>
    <row r="4596" spans="7:14" ht="11.25" customHeight="1" x14ac:dyDescent="0.25">
      <c r="G4596" s="459"/>
      <c r="H4596" s="459">
        <v>4589</v>
      </c>
      <c r="I4596" s="444">
        <f t="shared" ca="1" si="188"/>
        <v>-89262456887250.422</v>
      </c>
      <c r="J4596" s="444">
        <f t="array" ref="J4596">IFERROR(INDEX('Retirement Calculator'!J:J,MATCH('Isaac 401k'!N4596,'Retirement Calculator'!A:A,0),0),0)</f>
        <v>0</v>
      </c>
      <c r="K4596" s="444">
        <f t="shared" ca="1" si="186"/>
        <v>-371926903696.87677</v>
      </c>
      <c r="L4596" s="444">
        <f t="shared" ca="1" si="187"/>
        <v>-89634383790947.297</v>
      </c>
      <c r="M4596" s="460">
        <f t="shared" si="189"/>
        <v>0.05</v>
      </c>
      <c r="N4596" s="464">
        <f t="shared" si="190"/>
        <v>190932</v>
      </c>
    </row>
    <row r="4597" spans="7:14" ht="11.25" customHeight="1" x14ac:dyDescent="0.25">
      <c r="G4597" s="459"/>
      <c r="H4597" s="459">
        <v>4590</v>
      </c>
      <c r="I4597" s="444">
        <f t="shared" ca="1" si="188"/>
        <v>-89634383790947.297</v>
      </c>
      <c r="J4597" s="444">
        <f t="array" ref="J4597">IFERROR(INDEX('Retirement Calculator'!J:J,MATCH('Isaac 401k'!N4597,'Retirement Calculator'!A:A,0),0),0)</f>
        <v>0</v>
      </c>
      <c r="K4597" s="444">
        <f t="shared" ca="1" si="186"/>
        <v>-373476599128.94708</v>
      </c>
      <c r="L4597" s="444">
        <f t="shared" ca="1" si="187"/>
        <v>-90007860390076.25</v>
      </c>
      <c r="M4597" s="460">
        <f t="shared" si="189"/>
        <v>0.05</v>
      </c>
      <c r="N4597" s="464">
        <f t="shared" si="190"/>
        <v>190963</v>
      </c>
    </row>
    <row r="4598" spans="7:14" ht="11.25" customHeight="1" x14ac:dyDescent="0.25">
      <c r="G4598" s="459"/>
      <c r="H4598" s="459">
        <v>4591</v>
      </c>
      <c r="I4598" s="444">
        <f t="shared" ca="1" si="188"/>
        <v>-90007860390076.25</v>
      </c>
      <c r="J4598" s="444">
        <f t="array" ref="J4598">IFERROR(INDEX('Retirement Calculator'!J:J,MATCH('Isaac 401k'!N4598,'Retirement Calculator'!A:A,0),0),0)</f>
        <v>0</v>
      </c>
      <c r="K4598" s="444">
        <f t="shared" ref="K4598:K4852" ca="1" si="191">IPMT(M4598/12,1,12,-I4598+J4598,,0)</f>
        <v>-375032751625.31769</v>
      </c>
      <c r="L4598" s="444">
        <f t="shared" ref="L4598:L4852" ca="1" si="192">I4598-J4598+K4598</f>
        <v>-90382893141701.563</v>
      </c>
      <c r="M4598" s="460">
        <f t="shared" si="189"/>
        <v>0.05</v>
      </c>
      <c r="N4598" s="464">
        <f t="shared" si="190"/>
        <v>190993</v>
      </c>
    </row>
    <row r="4599" spans="7:14" ht="11.25" customHeight="1" x14ac:dyDescent="0.25">
      <c r="G4599" s="459"/>
      <c r="H4599" s="459">
        <v>4592</v>
      </c>
      <c r="I4599" s="444">
        <f t="shared" ref="I4599:I4853" ca="1" si="193">L4598</f>
        <v>-90382893141701.563</v>
      </c>
      <c r="J4599" s="444">
        <f t="array" ref="J4599">IFERROR(INDEX('Retirement Calculator'!J:J,MATCH('Isaac 401k'!N4599,'Retirement Calculator'!A:A,0),0),0)</f>
        <v>0</v>
      </c>
      <c r="K4599" s="444">
        <f t="shared" ca="1" si="191"/>
        <v>-376595388090.42316</v>
      </c>
      <c r="L4599" s="444">
        <f t="shared" ca="1" si="192"/>
        <v>-90759488529791.984</v>
      </c>
      <c r="M4599" s="460">
        <f t="shared" ref="M4599:M4853" si="194">M4598</f>
        <v>0.05</v>
      </c>
      <c r="N4599" s="464">
        <f t="shared" ref="N4599:N4853" si="195">EDATE(N4598,1)</f>
        <v>191024</v>
      </c>
    </row>
    <row r="4600" spans="7:14" ht="11.25" customHeight="1" x14ac:dyDescent="0.25">
      <c r="G4600" s="459"/>
      <c r="H4600" s="459">
        <v>4593</v>
      </c>
      <c r="I4600" s="444">
        <f t="shared" ca="1" si="193"/>
        <v>-90759488529791.984</v>
      </c>
      <c r="J4600" s="444">
        <f t="array" ref="J4600">IFERROR(INDEX('Retirement Calculator'!J:J,MATCH('Isaac 401k'!N4600,'Retirement Calculator'!A:A,0),0),0)</f>
        <v>0</v>
      </c>
      <c r="K4600" s="444">
        <f t="shared" ca="1" si="191"/>
        <v>-378164535540.79993</v>
      </c>
      <c r="L4600" s="444">
        <f t="shared" ca="1" si="192"/>
        <v>-91137653065332.781</v>
      </c>
      <c r="M4600" s="460">
        <f t="shared" si="194"/>
        <v>0.05</v>
      </c>
      <c r="N4600" s="464">
        <f t="shared" si="195"/>
        <v>191055</v>
      </c>
    </row>
    <row r="4601" spans="7:14" ht="11.25" customHeight="1" x14ac:dyDescent="0.25">
      <c r="G4601" s="459"/>
      <c r="H4601" s="459">
        <v>4594</v>
      </c>
      <c r="I4601" s="444">
        <f t="shared" ca="1" si="193"/>
        <v>-91137653065332.781</v>
      </c>
      <c r="J4601" s="444">
        <f t="array" ref="J4601">IFERROR(INDEX('Retirement Calculator'!J:J,MATCH('Isaac 401k'!N4601,'Retirement Calculator'!A:A,0),0),0)</f>
        <v>0</v>
      </c>
      <c r="K4601" s="444">
        <f t="shared" ca="1" si="191"/>
        <v>-379740221105.55322</v>
      </c>
      <c r="L4601" s="444">
        <f t="shared" ca="1" si="192"/>
        <v>-91517393286438.328</v>
      </c>
      <c r="M4601" s="460">
        <f t="shared" si="194"/>
        <v>0.05</v>
      </c>
      <c r="N4601" s="464">
        <f t="shared" si="195"/>
        <v>191083</v>
      </c>
    </row>
    <row r="4602" spans="7:14" ht="11.25" customHeight="1" x14ac:dyDescent="0.25">
      <c r="G4602" s="459"/>
      <c r="H4602" s="459">
        <v>4595</v>
      </c>
      <c r="I4602" s="444">
        <f t="shared" ca="1" si="193"/>
        <v>-91517393286438.328</v>
      </c>
      <c r="J4602" s="444">
        <f t="array" ref="J4602">IFERROR(INDEX('Retirement Calculator'!J:J,MATCH('Isaac 401k'!N4602,'Retirement Calculator'!A:A,0),0),0)</f>
        <v>0</v>
      </c>
      <c r="K4602" s="444">
        <f t="shared" ca="1" si="191"/>
        <v>-381322472026.82635</v>
      </c>
      <c r="L4602" s="444">
        <f t="shared" ca="1" si="192"/>
        <v>-91898715758465.156</v>
      </c>
      <c r="M4602" s="460">
        <f t="shared" si="194"/>
        <v>0.05</v>
      </c>
      <c r="N4602" s="464">
        <f t="shared" si="195"/>
        <v>191114</v>
      </c>
    </row>
    <row r="4603" spans="7:14" ht="11.25" customHeight="1" x14ac:dyDescent="0.25">
      <c r="G4603" s="459"/>
      <c r="H4603" s="459">
        <v>4596</v>
      </c>
      <c r="I4603" s="444">
        <f t="shared" ca="1" si="193"/>
        <v>-91898715758465.156</v>
      </c>
      <c r="J4603" s="444">
        <f t="array" ref="J4603">IFERROR(INDEX('Retirement Calculator'!J:J,MATCH('Isaac 401k'!N4603,'Retirement Calculator'!A:A,0),0),0)</f>
        <v>0</v>
      </c>
      <c r="K4603" s="444">
        <f t="shared" ca="1" si="191"/>
        <v>-382911315660.27148</v>
      </c>
      <c r="L4603" s="444">
        <f t="shared" ca="1" si="192"/>
        <v>-92281627074125.422</v>
      </c>
      <c r="M4603" s="460">
        <f t="shared" si="194"/>
        <v>0.05</v>
      </c>
      <c r="N4603" s="464">
        <f t="shared" si="195"/>
        <v>191144</v>
      </c>
    </row>
    <row r="4604" spans="7:14" ht="11.25" customHeight="1" x14ac:dyDescent="0.25">
      <c r="G4604" s="459"/>
      <c r="H4604" s="459">
        <v>4597</v>
      </c>
      <c r="I4604" s="444">
        <f t="shared" ca="1" si="193"/>
        <v>-92281627074125.422</v>
      </c>
      <c r="J4604" s="444">
        <f t="array" ref="J4604">IFERROR(INDEX('Retirement Calculator'!J:J,MATCH('Isaac 401k'!N4604,'Retirement Calculator'!A:A,0),0),0)</f>
        <v>0</v>
      </c>
      <c r="K4604" s="444">
        <f t="shared" ca="1" si="191"/>
        <v>-384506779475.52258</v>
      </c>
      <c r="L4604" s="444">
        <f t="shared" ca="1" si="192"/>
        <v>-92666133853600.938</v>
      </c>
      <c r="M4604" s="460">
        <f t="shared" si="194"/>
        <v>0.05</v>
      </c>
      <c r="N4604" s="464">
        <f t="shared" si="195"/>
        <v>191175</v>
      </c>
    </row>
    <row r="4605" spans="7:14" ht="11.25" customHeight="1" x14ac:dyDescent="0.25">
      <c r="G4605" s="459"/>
      <c r="H4605" s="459">
        <v>4598</v>
      </c>
      <c r="I4605" s="444">
        <f t="shared" ca="1" si="193"/>
        <v>-92666133853600.938</v>
      </c>
      <c r="J4605" s="444">
        <f t="array" ref="J4605">IFERROR(INDEX('Retirement Calculator'!J:J,MATCH('Isaac 401k'!N4605,'Retirement Calculator'!A:A,0),0),0)</f>
        <v>0</v>
      </c>
      <c r="K4605" s="444">
        <f t="shared" ca="1" si="191"/>
        <v>-386108891056.67059</v>
      </c>
      <c r="L4605" s="444">
        <f t="shared" ca="1" si="192"/>
        <v>-93052242744657.609</v>
      </c>
      <c r="M4605" s="460">
        <f t="shared" si="194"/>
        <v>0.05</v>
      </c>
      <c r="N4605" s="464">
        <f t="shared" si="195"/>
        <v>191205</v>
      </c>
    </row>
    <row r="4606" spans="7:14" ht="11.25" customHeight="1" x14ac:dyDescent="0.25">
      <c r="G4606" s="459"/>
      <c r="H4606" s="459">
        <v>4599</v>
      </c>
      <c r="I4606" s="444">
        <f t="shared" ca="1" si="193"/>
        <v>-93052242744657.609</v>
      </c>
      <c r="J4606" s="444">
        <f t="array" ref="J4606">IFERROR(INDEX('Retirement Calculator'!J:J,MATCH('Isaac 401k'!N4606,'Retirement Calculator'!A:A,0),0),0)</f>
        <v>0</v>
      </c>
      <c r="K4606" s="444">
        <f t="shared" ca="1" si="191"/>
        <v>-387717678102.74005</v>
      </c>
      <c r="L4606" s="444">
        <f t="shared" ca="1" si="192"/>
        <v>-93439960422760.344</v>
      </c>
      <c r="M4606" s="460">
        <f t="shared" si="194"/>
        <v>0.05</v>
      </c>
      <c r="N4606" s="464">
        <f t="shared" si="195"/>
        <v>191236</v>
      </c>
    </row>
    <row r="4607" spans="7:14" ht="11.25" customHeight="1" x14ac:dyDescent="0.25">
      <c r="G4607" s="459"/>
      <c r="H4607" s="459">
        <v>4600</v>
      </c>
      <c r="I4607" s="444">
        <f t="shared" ca="1" si="193"/>
        <v>-93439960422760.344</v>
      </c>
      <c r="J4607" s="444">
        <f t="array" ref="J4607">IFERROR(INDEX('Retirement Calculator'!J:J,MATCH('Isaac 401k'!N4607,'Retirement Calculator'!A:A,0),0),0)</f>
        <v>0</v>
      </c>
      <c r="K4607" s="444">
        <f t="shared" ca="1" si="191"/>
        <v>-389333168428.16809</v>
      </c>
      <c r="L4607" s="444">
        <f t="shared" ca="1" si="192"/>
        <v>-93829293591188.516</v>
      </c>
      <c r="M4607" s="460">
        <f t="shared" si="194"/>
        <v>0.05</v>
      </c>
      <c r="N4607" s="464">
        <f t="shared" si="195"/>
        <v>191267</v>
      </c>
    </row>
    <row r="4608" spans="7:14" ht="11.25" customHeight="1" x14ac:dyDescent="0.25">
      <c r="G4608" s="459"/>
      <c r="H4608" s="459">
        <v>4601</v>
      </c>
      <c r="I4608" s="444">
        <f t="shared" ca="1" si="193"/>
        <v>-93829293591188.516</v>
      </c>
      <c r="J4608" s="444">
        <f t="array" ref="J4608">IFERROR(INDEX('Retirement Calculator'!J:J,MATCH('Isaac 401k'!N4608,'Retirement Calculator'!A:A,0),0),0)</f>
        <v>0</v>
      </c>
      <c r="K4608" s="444">
        <f t="shared" ca="1" si="191"/>
        <v>-390955389963.28546</v>
      </c>
      <c r="L4608" s="444">
        <f t="shared" ca="1" si="192"/>
        <v>-94220248981151.797</v>
      </c>
      <c r="M4608" s="460">
        <f t="shared" si="194"/>
        <v>0.05</v>
      </c>
      <c r="N4608" s="464">
        <f t="shared" si="195"/>
        <v>191297</v>
      </c>
    </row>
    <row r="4609" spans="7:14" ht="11.25" customHeight="1" x14ac:dyDescent="0.25">
      <c r="G4609" s="459"/>
      <c r="H4609" s="459">
        <v>4602</v>
      </c>
      <c r="I4609" s="444">
        <f t="shared" ca="1" si="193"/>
        <v>-94220248981151.797</v>
      </c>
      <c r="J4609" s="444">
        <f t="array" ref="J4609">IFERROR(INDEX('Retirement Calculator'!J:J,MATCH('Isaac 401k'!N4609,'Retirement Calculator'!A:A,0),0),0)</f>
        <v>0</v>
      </c>
      <c r="K4609" s="444">
        <f t="shared" ca="1" si="191"/>
        <v>-392584370754.79913</v>
      </c>
      <c r="L4609" s="444">
        <f t="shared" ca="1" si="192"/>
        <v>-94612833351906.594</v>
      </c>
      <c r="M4609" s="460">
        <f t="shared" si="194"/>
        <v>0.05</v>
      </c>
      <c r="N4609" s="464">
        <f t="shared" si="195"/>
        <v>191328</v>
      </c>
    </row>
    <row r="4610" spans="7:14" ht="11.25" customHeight="1" x14ac:dyDescent="0.25">
      <c r="G4610" s="459"/>
      <c r="H4610" s="459">
        <v>4603</v>
      </c>
      <c r="I4610" s="444">
        <f t="shared" ca="1" si="193"/>
        <v>-94612833351906.594</v>
      </c>
      <c r="J4610" s="444">
        <f t="array" ref="J4610">IFERROR(INDEX('Retirement Calculator'!J:J,MATCH('Isaac 401k'!N4610,'Retirement Calculator'!A:A,0),0),0)</f>
        <v>0</v>
      </c>
      <c r="K4610" s="444">
        <f t="shared" ca="1" si="191"/>
        <v>-394220138966.27747</v>
      </c>
      <c r="L4610" s="444">
        <f t="shared" ca="1" si="192"/>
        <v>-95007053490872.875</v>
      </c>
      <c r="M4610" s="460">
        <f t="shared" si="194"/>
        <v>0.05</v>
      </c>
      <c r="N4610" s="464">
        <f t="shared" si="195"/>
        <v>191358</v>
      </c>
    </row>
    <row r="4611" spans="7:14" ht="11.25" customHeight="1" x14ac:dyDescent="0.25">
      <c r="G4611" s="459"/>
      <c r="H4611" s="459">
        <v>4604</v>
      </c>
      <c r="I4611" s="444">
        <f t="shared" ca="1" si="193"/>
        <v>-95007053490872.875</v>
      </c>
      <c r="J4611" s="444">
        <f t="array" ref="J4611">IFERROR(INDEX('Retirement Calculator'!J:J,MATCH('Isaac 401k'!N4611,'Retirement Calculator'!A:A,0),0),0)</f>
        <v>0</v>
      </c>
      <c r="K4611" s="444">
        <f t="shared" ca="1" si="191"/>
        <v>-395862722878.63696</v>
      </c>
      <c r="L4611" s="444">
        <f t="shared" ca="1" si="192"/>
        <v>-95402916213751.516</v>
      </c>
      <c r="M4611" s="460">
        <f t="shared" si="194"/>
        <v>0.05</v>
      </c>
      <c r="N4611" s="464">
        <f t="shared" si="195"/>
        <v>191389</v>
      </c>
    </row>
    <row r="4612" spans="7:14" ht="11.25" customHeight="1" x14ac:dyDescent="0.25">
      <c r="G4612" s="459"/>
      <c r="H4612" s="459">
        <v>4605</v>
      </c>
      <c r="I4612" s="444">
        <f t="shared" ca="1" si="193"/>
        <v>-95402916213751.516</v>
      </c>
      <c r="J4612" s="444">
        <f t="array" ref="J4612">IFERROR(INDEX('Retirement Calculator'!J:J,MATCH('Isaac 401k'!N4612,'Retirement Calculator'!A:A,0),0),0)</f>
        <v>0</v>
      </c>
      <c r="K4612" s="444">
        <f t="shared" ca="1" si="191"/>
        <v>-397512150890.63129</v>
      </c>
      <c r="L4612" s="444">
        <f t="shared" ca="1" si="192"/>
        <v>-95800428364642.141</v>
      </c>
      <c r="M4612" s="460">
        <f t="shared" si="194"/>
        <v>0.05</v>
      </c>
      <c r="N4612" s="464">
        <f t="shared" si="195"/>
        <v>191420</v>
      </c>
    </row>
    <row r="4613" spans="7:14" ht="11.25" customHeight="1" x14ac:dyDescent="0.25">
      <c r="G4613" s="459"/>
      <c r="H4613" s="459">
        <v>4606</v>
      </c>
      <c r="I4613" s="444">
        <f t="shared" ca="1" si="193"/>
        <v>-95800428364642.141</v>
      </c>
      <c r="J4613" s="444">
        <f t="array" ref="J4613">IFERROR(INDEX('Retirement Calculator'!J:J,MATCH('Isaac 401k'!N4613,'Retirement Calculator'!A:A,0),0),0)</f>
        <v>0</v>
      </c>
      <c r="K4613" s="444">
        <f t="shared" ca="1" si="191"/>
        <v>-399168451519.34222</v>
      </c>
      <c r="L4613" s="444">
        <f t="shared" ca="1" si="192"/>
        <v>-96199596816161.484</v>
      </c>
      <c r="M4613" s="460">
        <f t="shared" si="194"/>
        <v>0.05</v>
      </c>
      <c r="N4613" s="464">
        <f t="shared" si="195"/>
        <v>191449</v>
      </c>
    </row>
    <row r="4614" spans="7:14" ht="11.25" customHeight="1" x14ac:dyDescent="0.25">
      <c r="G4614" s="459"/>
      <c r="H4614" s="459">
        <v>4607</v>
      </c>
      <c r="I4614" s="444">
        <f t="shared" ca="1" si="193"/>
        <v>-96199596816161.484</v>
      </c>
      <c r="J4614" s="444">
        <f t="array" ref="J4614">IFERROR(INDEX('Retirement Calculator'!J:J,MATCH('Isaac 401k'!N4614,'Retirement Calculator'!A:A,0),0),0)</f>
        <v>0</v>
      </c>
      <c r="K4614" s="444">
        <f t="shared" ca="1" si="191"/>
        <v>-400831653400.67285</v>
      </c>
      <c r="L4614" s="444">
        <f t="shared" ca="1" si="192"/>
        <v>-96600428469562.156</v>
      </c>
      <c r="M4614" s="460">
        <f t="shared" si="194"/>
        <v>0.05</v>
      </c>
      <c r="N4614" s="464">
        <f t="shared" si="195"/>
        <v>191480</v>
      </c>
    </row>
    <row r="4615" spans="7:14" ht="11.25" customHeight="1" x14ac:dyDescent="0.25">
      <c r="G4615" s="459"/>
      <c r="H4615" s="459">
        <v>4608</v>
      </c>
      <c r="I4615" s="444">
        <f t="shared" ca="1" si="193"/>
        <v>-96600428469562.156</v>
      </c>
      <c r="J4615" s="444">
        <f t="array" ref="J4615">IFERROR(INDEX('Retirement Calculator'!J:J,MATCH('Isaac 401k'!N4615,'Retirement Calculator'!A:A,0),0),0)</f>
        <v>0</v>
      </c>
      <c r="K4615" s="444">
        <f t="shared" ca="1" si="191"/>
        <v>-402501785289.84229</v>
      </c>
      <c r="L4615" s="444">
        <f t="shared" ca="1" si="192"/>
        <v>-97002930254852</v>
      </c>
      <c r="M4615" s="460">
        <f t="shared" si="194"/>
        <v>0.05</v>
      </c>
      <c r="N4615" s="464">
        <f t="shared" si="195"/>
        <v>191510</v>
      </c>
    </row>
    <row r="4616" spans="7:14" ht="11.25" customHeight="1" x14ac:dyDescent="0.25">
      <c r="G4616" s="459"/>
      <c r="H4616" s="459">
        <v>4609</v>
      </c>
      <c r="I4616" s="444">
        <f t="shared" ca="1" si="193"/>
        <v>-97002930254852</v>
      </c>
      <c r="J4616" s="444">
        <f t="array" ref="J4616">IFERROR(INDEX('Retirement Calculator'!J:J,MATCH('Isaac 401k'!N4616,'Retirement Calculator'!A:A,0),0),0)</f>
        <v>0</v>
      </c>
      <c r="K4616" s="444">
        <f t="shared" ca="1" si="191"/>
        <v>-404178876061.8833</v>
      </c>
      <c r="L4616" s="444">
        <f t="shared" ca="1" si="192"/>
        <v>-97407109130913.891</v>
      </c>
      <c r="M4616" s="460">
        <f t="shared" si="194"/>
        <v>0.05</v>
      </c>
      <c r="N4616" s="464">
        <f t="shared" si="195"/>
        <v>191541</v>
      </c>
    </row>
    <row r="4617" spans="7:14" ht="11.25" customHeight="1" x14ac:dyDescent="0.25">
      <c r="G4617" s="459"/>
      <c r="H4617" s="459">
        <v>4610</v>
      </c>
      <c r="I4617" s="444">
        <f t="shared" ca="1" si="193"/>
        <v>-97407109130913.891</v>
      </c>
      <c r="J4617" s="444">
        <f t="array" ref="J4617">IFERROR(INDEX('Retirement Calculator'!J:J,MATCH('Isaac 401k'!N4617,'Retirement Calculator'!A:A,0),0),0)</f>
        <v>0</v>
      </c>
      <c r="K4617" s="444">
        <f t="shared" ca="1" si="191"/>
        <v>-405862954712.14124</v>
      </c>
      <c r="L4617" s="444">
        <f t="shared" ca="1" si="192"/>
        <v>-97812972085626.031</v>
      </c>
      <c r="M4617" s="460">
        <f t="shared" si="194"/>
        <v>0.05</v>
      </c>
      <c r="N4617" s="464">
        <f t="shared" si="195"/>
        <v>191571</v>
      </c>
    </row>
    <row r="4618" spans="7:14" ht="11.25" customHeight="1" x14ac:dyDescent="0.25">
      <c r="G4618" s="459"/>
      <c r="H4618" s="459">
        <v>4611</v>
      </c>
      <c r="I4618" s="444">
        <f t="shared" ca="1" si="193"/>
        <v>-97812972085626.031</v>
      </c>
      <c r="J4618" s="444">
        <f t="array" ref="J4618">IFERROR(INDEX('Retirement Calculator'!J:J,MATCH('Isaac 401k'!N4618,'Retirement Calculator'!A:A,0),0),0)</f>
        <v>0</v>
      </c>
      <c r="K4618" s="444">
        <f t="shared" ca="1" si="191"/>
        <v>-407554050356.77515</v>
      </c>
      <c r="L4618" s="444">
        <f t="shared" ca="1" si="192"/>
        <v>-98220526135982.813</v>
      </c>
      <c r="M4618" s="460">
        <f t="shared" si="194"/>
        <v>0.05</v>
      </c>
      <c r="N4618" s="464">
        <f t="shared" si="195"/>
        <v>191602</v>
      </c>
    </row>
    <row r="4619" spans="7:14" ht="11.25" customHeight="1" x14ac:dyDescent="0.25">
      <c r="G4619" s="459"/>
      <c r="H4619" s="459">
        <v>4612</v>
      </c>
      <c r="I4619" s="444">
        <f t="shared" ca="1" si="193"/>
        <v>-98220526135982.813</v>
      </c>
      <c r="J4619" s="444">
        <f t="array" ref="J4619">IFERROR(INDEX('Retirement Calculator'!J:J,MATCH('Isaac 401k'!N4619,'Retirement Calculator'!A:A,0),0),0)</f>
        <v>0</v>
      </c>
      <c r="K4619" s="444">
        <f t="shared" ca="1" si="191"/>
        <v>-409252192233.26172</v>
      </c>
      <c r="L4619" s="444">
        <f t="shared" ca="1" si="192"/>
        <v>-98629778328216.078</v>
      </c>
      <c r="M4619" s="460">
        <f t="shared" si="194"/>
        <v>0.05</v>
      </c>
      <c r="N4619" s="464">
        <f t="shared" si="195"/>
        <v>191633</v>
      </c>
    </row>
    <row r="4620" spans="7:14" ht="11.25" customHeight="1" x14ac:dyDescent="0.25">
      <c r="G4620" s="459"/>
      <c r="H4620" s="459">
        <v>4613</v>
      </c>
      <c r="I4620" s="444">
        <f t="shared" ca="1" si="193"/>
        <v>-98629778328216.078</v>
      </c>
      <c r="J4620" s="444">
        <f t="array" ref="J4620">IFERROR(INDEX('Retirement Calculator'!J:J,MATCH('Isaac 401k'!N4620,'Retirement Calculator'!A:A,0),0),0)</f>
        <v>0</v>
      </c>
      <c r="K4620" s="444">
        <f t="shared" ca="1" si="191"/>
        <v>-410957409700.90033</v>
      </c>
      <c r="L4620" s="444">
        <f t="shared" ca="1" si="192"/>
        <v>-99040735737916.984</v>
      </c>
      <c r="M4620" s="460">
        <f t="shared" si="194"/>
        <v>0.05</v>
      </c>
      <c r="N4620" s="464">
        <f t="shared" si="195"/>
        <v>191663</v>
      </c>
    </row>
    <row r="4621" spans="7:14" ht="11.25" customHeight="1" x14ac:dyDescent="0.25">
      <c r="G4621" s="459"/>
      <c r="H4621" s="459">
        <v>4614</v>
      </c>
      <c r="I4621" s="444">
        <f t="shared" ca="1" si="193"/>
        <v>-99040735737916.984</v>
      </c>
      <c r="J4621" s="444">
        <f t="array" ref="J4621">IFERROR(INDEX('Retirement Calculator'!J:J,MATCH('Isaac 401k'!N4621,'Retirement Calculator'!A:A,0),0),0)</f>
        <v>0</v>
      </c>
      <c r="K4621" s="444">
        <f t="shared" ca="1" si="191"/>
        <v>-412669732241.32074</v>
      </c>
      <c r="L4621" s="444">
        <f t="shared" ca="1" si="192"/>
        <v>-99453405470158.313</v>
      </c>
      <c r="M4621" s="460">
        <f t="shared" si="194"/>
        <v>0.05</v>
      </c>
      <c r="N4621" s="464">
        <f t="shared" si="195"/>
        <v>191694</v>
      </c>
    </row>
    <row r="4622" spans="7:14" ht="11.25" customHeight="1" x14ac:dyDescent="0.25">
      <c r="G4622" s="459"/>
      <c r="H4622" s="459">
        <v>4615</v>
      </c>
      <c r="I4622" s="444">
        <f t="shared" ca="1" si="193"/>
        <v>-99453405470158.313</v>
      </c>
      <c r="J4622" s="444">
        <f t="array" ref="J4622">IFERROR(INDEX('Retirement Calculator'!J:J,MATCH('Isaac 401k'!N4622,'Retirement Calculator'!A:A,0),0),0)</f>
        <v>0</v>
      </c>
      <c r="K4622" s="444">
        <f t="shared" ca="1" si="191"/>
        <v>-414389189458.99298</v>
      </c>
      <c r="L4622" s="444">
        <f t="shared" ca="1" si="192"/>
        <v>-99867794659617.313</v>
      </c>
      <c r="M4622" s="460">
        <f t="shared" si="194"/>
        <v>0.05</v>
      </c>
      <c r="N4622" s="464">
        <f t="shared" si="195"/>
        <v>191724</v>
      </c>
    </row>
    <row r="4623" spans="7:14" ht="11.25" customHeight="1" x14ac:dyDescent="0.25">
      <c r="G4623" s="459"/>
      <c r="H4623" s="459">
        <v>4616</v>
      </c>
      <c r="I4623" s="444">
        <f t="shared" ca="1" si="193"/>
        <v>-99867794659617.313</v>
      </c>
      <c r="J4623" s="444">
        <f t="array" ref="J4623">IFERROR(INDEX('Retirement Calculator'!J:J,MATCH('Isaac 401k'!N4623,'Retirement Calculator'!A:A,0),0),0)</f>
        <v>0</v>
      </c>
      <c r="K4623" s="444">
        <f t="shared" ca="1" si="191"/>
        <v>-416115811081.73877</v>
      </c>
      <c r="L4623" s="444">
        <f t="shared" ca="1" si="192"/>
        <v>-100283910470699.05</v>
      </c>
      <c r="M4623" s="460">
        <f t="shared" si="194"/>
        <v>0.05</v>
      </c>
      <c r="N4623" s="464">
        <f t="shared" si="195"/>
        <v>191755</v>
      </c>
    </row>
    <row r="4624" spans="7:14" ht="11.25" customHeight="1" x14ac:dyDescent="0.25">
      <c r="G4624" s="459"/>
      <c r="H4624" s="459">
        <v>4617</v>
      </c>
      <c r="I4624" s="444">
        <f t="shared" ca="1" si="193"/>
        <v>-100283910470699.05</v>
      </c>
      <c r="J4624" s="444">
        <f t="array" ref="J4624">IFERROR(INDEX('Retirement Calculator'!J:J,MATCH('Isaac 401k'!N4624,'Retirement Calculator'!A:A,0),0),0)</f>
        <v>0</v>
      </c>
      <c r="K4624" s="444">
        <f t="shared" ca="1" si="191"/>
        <v>-417849626961.24603</v>
      </c>
      <c r="L4624" s="444">
        <f t="shared" ca="1" si="192"/>
        <v>-100701760097660.3</v>
      </c>
      <c r="M4624" s="460">
        <f t="shared" si="194"/>
        <v>0.05</v>
      </c>
      <c r="N4624" s="464">
        <f t="shared" si="195"/>
        <v>191786</v>
      </c>
    </row>
    <row r="4625" spans="7:14" ht="11.25" customHeight="1" x14ac:dyDescent="0.25">
      <c r="G4625" s="459"/>
      <c r="H4625" s="459">
        <v>4618</v>
      </c>
      <c r="I4625" s="444">
        <f t="shared" ca="1" si="193"/>
        <v>-100701760097660.3</v>
      </c>
      <c r="J4625" s="444">
        <f t="array" ref="J4625">IFERROR(INDEX('Retirement Calculator'!J:J,MATCH('Isaac 401k'!N4625,'Retirement Calculator'!A:A,0),0),0)</f>
        <v>0</v>
      </c>
      <c r="K4625" s="444">
        <f t="shared" ca="1" si="191"/>
        <v>-419590667073.58459</v>
      </c>
      <c r="L4625" s="444">
        <f t="shared" ca="1" si="192"/>
        <v>-101121350764733.88</v>
      </c>
      <c r="M4625" s="460">
        <f t="shared" si="194"/>
        <v>0.05</v>
      </c>
      <c r="N4625" s="464">
        <f t="shared" si="195"/>
        <v>191814</v>
      </c>
    </row>
    <row r="4626" spans="7:14" ht="11.25" customHeight="1" x14ac:dyDescent="0.25">
      <c r="G4626" s="459"/>
      <c r="H4626" s="459">
        <v>4619</v>
      </c>
      <c r="I4626" s="444">
        <f t="shared" ca="1" si="193"/>
        <v>-101121350764733.88</v>
      </c>
      <c r="J4626" s="444">
        <f t="array" ref="J4626">IFERROR(INDEX('Retirement Calculator'!J:J,MATCH('Isaac 401k'!N4626,'Retirement Calculator'!A:A,0),0),0)</f>
        <v>0</v>
      </c>
      <c r="K4626" s="444">
        <f t="shared" ca="1" si="191"/>
        <v>-421338961519.72449</v>
      </c>
      <c r="L4626" s="444">
        <f t="shared" ca="1" si="192"/>
        <v>-101542689726253.59</v>
      </c>
      <c r="M4626" s="460">
        <f t="shared" si="194"/>
        <v>0.05</v>
      </c>
      <c r="N4626" s="464">
        <f t="shared" si="195"/>
        <v>191845</v>
      </c>
    </row>
    <row r="4627" spans="7:14" ht="11.25" customHeight="1" x14ac:dyDescent="0.25">
      <c r="G4627" s="459"/>
      <c r="H4627" s="459">
        <v>4620</v>
      </c>
      <c r="I4627" s="444">
        <f t="shared" ca="1" si="193"/>
        <v>-101542689726253.59</v>
      </c>
      <c r="J4627" s="444">
        <f t="array" ref="J4627">IFERROR(INDEX('Retirement Calculator'!J:J,MATCH('Isaac 401k'!N4627,'Retirement Calculator'!A:A,0),0),0)</f>
        <v>0</v>
      </c>
      <c r="K4627" s="444">
        <f t="shared" ca="1" si="191"/>
        <v>-423094540526.05664</v>
      </c>
      <c r="L4627" s="444">
        <f t="shared" ca="1" si="192"/>
        <v>-101965784266779.66</v>
      </c>
      <c r="M4627" s="460">
        <f t="shared" si="194"/>
        <v>0.05</v>
      </c>
      <c r="N4627" s="464">
        <f t="shared" si="195"/>
        <v>191875</v>
      </c>
    </row>
    <row r="4628" spans="7:14" ht="11.25" customHeight="1" x14ac:dyDescent="0.25">
      <c r="G4628" s="459"/>
      <c r="H4628" s="459">
        <v>4621</v>
      </c>
      <c r="I4628" s="444">
        <f t="shared" ca="1" si="193"/>
        <v>-101965784266779.66</v>
      </c>
      <c r="J4628" s="444">
        <f t="array" ref="J4628">IFERROR(INDEX('Retirement Calculator'!J:J,MATCH('Isaac 401k'!N4628,'Retirement Calculator'!A:A,0),0),0)</f>
        <v>0</v>
      </c>
      <c r="K4628" s="444">
        <f t="shared" ca="1" si="191"/>
        <v>-424857434444.91522</v>
      </c>
      <c r="L4628" s="444">
        <f t="shared" ca="1" si="192"/>
        <v>-102390641701224.58</v>
      </c>
      <c r="M4628" s="460">
        <f t="shared" si="194"/>
        <v>0.05</v>
      </c>
      <c r="N4628" s="464">
        <f t="shared" si="195"/>
        <v>191906</v>
      </c>
    </row>
    <row r="4629" spans="7:14" ht="11.25" customHeight="1" x14ac:dyDescent="0.25">
      <c r="G4629" s="459"/>
      <c r="H4629" s="459">
        <v>4622</v>
      </c>
      <c r="I4629" s="444">
        <f t="shared" ca="1" si="193"/>
        <v>-102390641701224.58</v>
      </c>
      <c r="J4629" s="444">
        <f t="array" ref="J4629">IFERROR(INDEX('Retirement Calculator'!J:J,MATCH('Isaac 401k'!N4629,'Retirement Calculator'!A:A,0),0),0)</f>
        <v>0</v>
      </c>
      <c r="K4629" s="444">
        <f t="shared" ca="1" si="191"/>
        <v>-426627673755.10242</v>
      </c>
      <c r="L4629" s="444">
        <f t="shared" ca="1" si="192"/>
        <v>-102817269374979.69</v>
      </c>
      <c r="M4629" s="460">
        <f t="shared" si="194"/>
        <v>0.05</v>
      </c>
      <c r="N4629" s="464">
        <f t="shared" si="195"/>
        <v>191936</v>
      </c>
    </row>
    <row r="4630" spans="7:14" ht="11.25" customHeight="1" x14ac:dyDescent="0.25">
      <c r="G4630" s="459"/>
      <c r="H4630" s="459">
        <v>4623</v>
      </c>
      <c r="I4630" s="444">
        <f t="shared" ca="1" si="193"/>
        <v>-102817269374979.69</v>
      </c>
      <c r="J4630" s="444">
        <f t="array" ref="J4630">IFERROR(INDEX('Retirement Calculator'!J:J,MATCH('Isaac 401k'!N4630,'Retirement Calculator'!A:A,0),0),0)</f>
        <v>0</v>
      </c>
      <c r="K4630" s="444">
        <f t="shared" ca="1" si="191"/>
        <v>-428405289062.41534</v>
      </c>
      <c r="L4630" s="444">
        <f t="shared" ca="1" si="192"/>
        <v>-103245674664042.11</v>
      </c>
      <c r="M4630" s="460">
        <f t="shared" si="194"/>
        <v>0.05</v>
      </c>
      <c r="N4630" s="464">
        <f t="shared" si="195"/>
        <v>191967</v>
      </c>
    </row>
    <row r="4631" spans="7:14" ht="11.25" customHeight="1" x14ac:dyDescent="0.25">
      <c r="G4631" s="459"/>
      <c r="H4631" s="459">
        <v>4624</v>
      </c>
      <c r="I4631" s="444">
        <f t="shared" ca="1" si="193"/>
        <v>-103245674664042.11</v>
      </c>
      <c r="J4631" s="444">
        <f t="array" ref="J4631">IFERROR(INDEX('Retirement Calculator'!J:J,MATCH('Isaac 401k'!N4631,'Retirement Calculator'!A:A,0),0),0)</f>
        <v>0</v>
      </c>
      <c r="K4631" s="444">
        <f t="shared" ca="1" si="191"/>
        <v>-430190311100.17548</v>
      </c>
      <c r="L4631" s="444">
        <f t="shared" ca="1" si="192"/>
        <v>-103675864975142.28</v>
      </c>
      <c r="M4631" s="460">
        <f t="shared" si="194"/>
        <v>0.05</v>
      </c>
      <c r="N4631" s="464">
        <f t="shared" si="195"/>
        <v>191998</v>
      </c>
    </row>
    <row r="4632" spans="7:14" ht="11.25" customHeight="1" x14ac:dyDescent="0.25">
      <c r="G4632" s="459"/>
      <c r="H4632" s="459">
        <v>4625</v>
      </c>
      <c r="I4632" s="444">
        <f t="shared" ca="1" si="193"/>
        <v>-103675864975142.28</v>
      </c>
      <c r="J4632" s="444">
        <f t="array" ref="J4632">IFERROR(INDEX('Retirement Calculator'!J:J,MATCH('Isaac 401k'!N4632,'Retirement Calculator'!A:A,0),0),0)</f>
        <v>0</v>
      </c>
      <c r="K4632" s="444">
        <f t="shared" ca="1" si="191"/>
        <v>-431982770729.75952</v>
      </c>
      <c r="L4632" s="444">
        <f t="shared" ca="1" si="192"/>
        <v>-104107847745872.05</v>
      </c>
      <c r="M4632" s="460">
        <f t="shared" si="194"/>
        <v>0.05</v>
      </c>
      <c r="N4632" s="464">
        <f t="shared" si="195"/>
        <v>192028</v>
      </c>
    </row>
    <row r="4633" spans="7:14" ht="11.25" customHeight="1" x14ac:dyDescent="0.25">
      <c r="G4633" s="459"/>
      <c r="H4633" s="459">
        <v>4626</v>
      </c>
      <c r="I4633" s="444">
        <f t="shared" ca="1" si="193"/>
        <v>-104107847745872.05</v>
      </c>
      <c r="J4633" s="444">
        <f t="array" ref="J4633">IFERROR(INDEX('Retirement Calculator'!J:J,MATCH('Isaac 401k'!N4633,'Retirement Calculator'!A:A,0),0),0)</f>
        <v>0</v>
      </c>
      <c r="K4633" s="444">
        <f t="shared" ca="1" si="191"/>
        <v>-433782698941.13354</v>
      </c>
      <c r="L4633" s="444">
        <f t="shared" ca="1" si="192"/>
        <v>-104541630444813.19</v>
      </c>
      <c r="M4633" s="460">
        <f t="shared" si="194"/>
        <v>0.05</v>
      </c>
      <c r="N4633" s="464">
        <f t="shared" si="195"/>
        <v>192059</v>
      </c>
    </row>
    <row r="4634" spans="7:14" ht="11.25" customHeight="1" x14ac:dyDescent="0.25">
      <c r="G4634" s="459"/>
      <c r="H4634" s="459">
        <v>4627</v>
      </c>
      <c r="I4634" s="444">
        <f t="shared" ca="1" si="193"/>
        <v>-104541630444813.19</v>
      </c>
      <c r="J4634" s="444">
        <f t="array" ref="J4634">IFERROR(INDEX('Retirement Calculator'!J:J,MATCH('Isaac 401k'!N4634,'Retirement Calculator'!A:A,0),0),0)</f>
        <v>0</v>
      </c>
      <c r="K4634" s="444">
        <f t="shared" ca="1" si="191"/>
        <v>-435590126853.38831</v>
      </c>
      <c r="L4634" s="444">
        <f t="shared" ca="1" si="192"/>
        <v>-104977220571666.58</v>
      </c>
      <c r="M4634" s="460">
        <f t="shared" si="194"/>
        <v>0.05</v>
      </c>
      <c r="N4634" s="464">
        <f t="shared" si="195"/>
        <v>192089</v>
      </c>
    </row>
    <row r="4635" spans="7:14" ht="11.25" customHeight="1" x14ac:dyDescent="0.25">
      <c r="G4635" s="459"/>
      <c r="H4635" s="459">
        <v>4628</v>
      </c>
      <c r="I4635" s="444">
        <f t="shared" ca="1" si="193"/>
        <v>-104977220571666.58</v>
      </c>
      <c r="J4635" s="444">
        <f t="array" ref="J4635">IFERROR(INDEX('Retirement Calculator'!J:J,MATCH('Isaac 401k'!N4635,'Retirement Calculator'!A:A,0),0),0)</f>
        <v>0</v>
      </c>
      <c r="K4635" s="444">
        <f t="shared" ca="1" si="191"/>
        <v>-437405085715.2774</v>
      </c>
      <c r="L4635" s="444">
        <f t="shared" ca="1" si="192"/>
        <v>-105414625657381.86</v>
      </c>
      <c r="M4635" s="460">
        <f t="shared" si="194"/>
        <v>0.05</v>
      </c>
      <c r="N4635" s="464">
        <f t="shared" si="195"/>
        <v>192120</v>
      </c>
    </row>
    <row r="4636" spans="7:14" ht="11.25" customHeight="1" x14ac:dyDescent="0.25">
      <c r="G4636" s="459"/>
      <c r="H4636" s="459">
        <v>4629</v>
      </c>
      <c r="I4636" s="444">
        <f t="shared" ca="1" si="193"/>
        <v>-105414625657381.86</v>
      </c>
      <c r="J4636" s="444">
        <f t="array" ref="J4636">IFERROR(INDEX('Retirement Calculator'!J:J,MATCH('Isaac 401k'!N4636,'Retirement Calculator'!A:A,0),0),0)</f>
        <v>0</v>
      </c>
      <c r="K4636" s="444">
        <f t="shared" ca="1" si="191"/>
        <v>-439227606905.75775</v>
      </c>
      <c r="L4636" s="444">
        <f t="shared" ca="1" si="192"/>
        <v>-105853853264287.61</v>
      </c>
      <c r="M4636" s="460">
        <f t="shared" si="194"/>
        <v>0.05</v>
      </c>
      <c r="N4636" s="464">
        <f t="shared" si="195"/>
        <v>192151</v>
      </c>
    </row>
    <row r="4637" spans="7:14" ht="11.25" customHeight="1" x14ac:dyDescent="0.25">
      <c r="G4637" s="459"/>
      <c r="H4637" s="459">
        <v>4630</v>
      </c>
      <c r="I4637" s="444">
        <f t="shared" ca="1" si="193"/>
        <v>-105853853264287.61</v>
      </c>
      <c r="J4637" s="444">
        <f t="array" ref="J4637">IFERROR(INDEX('Retirement Calculator'!J:J,MATCH('Isaac 401k'!N4637,'Retirement Calculator'!A:A,0),0),0)</f>
        <v>0</v>
      </c>
      <c r="K4637" s="444">
        <f t="shared" ca="1" si="191"/>
        <v>-441057721934.53168</v>
      </c>
      <c r="L4637" s="444">
        <f t="shared" ca="1" si="192"/>
        <v>-106294910986222.14</v>
      </c>
      <c r="M4637" s="460">
        <f t="shared" si="194"/>
        <v>0.05</v>
      </c>
      <c r="N4637" s="464">
        <f t="shared" si="195"/>
        <v>192179</v>
      </c>
    </row>
    <row r="4638" spans="7:14" ht="11.25" customHeight="1" x14ac:dyDescent="0.25">
      <c r="G4638" s="459"/>
      <c r="H4638" s="459">
        <v>4631</v>
      </c>
      <c r="I4638" s="444">
        <f t="shared" ca="1" si="193"/>
        <v>-106294910986222.14</v>
      </c>
      <c r="J4638" s="444">
        <f t="array" ref="J4638">IFERROR(INDEX('Retirement Calculator'!J:J,MATCH('Isaac 401k'!N4638,'Retirement Calculator'!A:A,0),0),0)</f>
        <v>0</v>
      </c>
      <c r="K4638" s="444">
        <f t="shared" ca="1" si="191"/>
        <v>-442895462442.59222</v>
      </c>
      <c r="L4638" s="444">
        <f t="shared" ca="1" si="192"/>
        <v>-106737806448664.73</v>
      </c>
      <c r="M4638" s="460">
        <f t="shared" si="194"/>
        <v>0.05</v>
      </c>
      <c r="N4638" s="464">
        <f t="shared" si="195"/>
        <v>192210</v>
      </c>
    </row>
    <row r="4639" spans="7:14" ht="11.25" customHeight="1" x14ac:dyDescent="0.25">
      <c r="G4639" s="459"/>
      <c r="H4639" s="459">
        <v>4632</v>
      </c>
      <c r="I4639" s="444">
        <f t="shared" ca="1" si="193"/>
        <v>-106737806448664.73</v>
      </c>
      <c r="J4639" s="444">
        <f t="array" ref="J4639">IFERROR(INDEX('Retirement Calculator'!J:J,MATCH('Isaac 401k'!N4639,'Retirement Calculator'!A:A,0),0),0)</f>
        <v>0</v>
      </c>
      <c r="K4639" s="444">
        <f t="shared" ca="1" si="191"/>
        <v>-444740860202.76971</v>
      </c>
      <c r="L4639" s="444">
        <f t="shared" ca="1" si="192"/>
        <v>-107182547308867.5</v>
      </c>
      <c r="M4639" s="460">
        <f t="shared" si="194"/>
        <v>0.05</v>
      </c>
      <c r="N4639" s="464">
        <f t="shared" si="195"/>
        <v>192240</v>
      </c>
    </row>
    <row r="4640" spans="7:14" ht="11.25" customHeight="1" x14ac:dyDescent="0.25">
      <c r="G4640" s="459"/>
      <c r="H4640" s="459">
        <v>4633</v>
      </c>
      <c r="I4640" s="444">
        <f t="shared" ca="1" si="193"/>
        <v>-107182547308867.5</v>
      </c>
      <c r="J4640" s="444">
        <f t="array" ref="J4640">IFERROR(INDEX('Retirement Calculator'!J:J,MATCH('Isaac 401k'!N4640,'Retirement Calculator'!A:A,0),0),0)</f>
        <v>0</v>
      </c>
      <c r="K4640" s="444">
        <f t="shared" ca="1" si="191"/>
        <v>-446593947120.28125</v>
      </c>
      <c r="L4640" s="444">
        <f t="shared" ca="1" si="192"/>
        <v>-107629141255987.78</v>
      </c>
      <c r="M4640" s="460">
        <f t="shared" si="194"/>
        <v>0.05</v>
      </c>
      <c r="N4640" s="464">
        <f t="shared" si="195"/>
        <v>192271</v>
      </c>
    </row>
    <row r="4641" spans="7:14" ht="11.25" customHeight="1" x14ac:dyDescent="0.25">
      <c r="G4641" s="459"/>
      <c r="H4641" s="459">
        <v>4634</v>
      </c>
      <c r="I4641" s="444">
        <f t="shared" ca="1" si="193"/>
        <v>-107629141255987.78</v>
      </c>
      <c r="J4641" s="444">
        <f t="array" ref="J4641">IFERROR(INDEX('Retirement Calculator'!J:J,MATCH('Isaac 401k'!N4641,'Retirement Calculator'!A:A,0),0),0)</f>
        <v>0</v>
      </c>
      <c r="K4641" s="444">
        <f t="shared" ca="1" si="191"/>
        <v>-448454755233.28241</v>
      </c>
      <c r="L4641" s="444">
        <f t="shared" ca="1" si="192"/>
        <v>-108077596011221.06</v>
      </c>
      <c r="M4641" s="460">
        <f t="shared" si="194"/>
        <v>0.05</v>
      </c>
      <c r="N4641" s="464">
        <f t="shared" si="195"/>
        <v>192301</v>
      </c>
    </row>
    <row r="4642" spans="7:14" ht="11.25" customHeight="1" x14ac:dyDescent="0.25">
      <c r="G4642" s="459"/>
      <c r="H4642" s="459">
        <v>4635</v>
      </c>
      <c r="I4642" s="444">
        <f t="shared" ca="1" si="193"/>
        <v>-108077596011221.06</v>
      </c>
      <c r="J4642" s="444">
        <f t="array" ref="J4642">IFERROR(INDEX('Retirement Calculator'!J:J,MATCH('Isaac 401k'!N4642,'Retirement Calculator'!A:A,0),0),0)</f>
        <v>0</v>
      </c>
      <c r="K4642" s="444">
        <f t="shared" ca="1" si="191"/>
        <v>-450323316713.42108</v>
      </c>
      <c r="L4642" s="444">
        <f t="shared" ca="1" si="192"/>
        <v>-108527919327934.48</v>
      </c>
      <c r="M4642" s="460">
        <f t="shared" si="194"/>
        <v>0.05</v>
      </c>
      <c r="N4642" s="464">
        <f t="shared" si="195"/>
        <v>192332</v>
      </c>
    </row>
    <row r="4643" spans="7:14" ht="11.25" customHeight="1" x14ac:dyDescent="0.25">
      <c r="G4643" s="459"/>
      <c r="H4643" s="459">
        <v>4636</v>
      </c>
      <c r="I4643" s="444">
        <f t="shared" ca="1" si="193"/>
        <v>-108527919327934.48</v>
      </c>
      <c r="J4643" s="444">
        <f t="array" ref="J4643">IFERROR(INDEX('Retirement Calculator'!J:J,MATCH('Isaac 401k'!N4643,'Retirement Calculator'!A:A,0),0),0)</f>
        <v>0</v>
      </c>
      <c r="K4643" s="444">
        <f t="shared" ca="1" si="191"/>
        <v>-452199663866.39368</v>
      </c>
      <c r="L4643" s="444">
        <f t="shared" ca="1" si="192"/>
        <v>-108980118991800.88</v>
      </c>
      <c r="M4643" s="460">
        <f t="shared" si="194"/>
        <v>0.05</v>
      </c>
      <c r="N4643" s="464">
        <f t="shared" si="195"/>
        <v>192363</v>
      </c>
    </row>
    <row r="4644" spans="7:14" ht="11.25" customHeight="1" x14ac:dyDescent="0.25">
      <c r="G4644" s="459"/>
      <c r="H4644" s="459">
        <v>4637</v>
      </c>
      <c r="I4644" s="444">
        <f t="shared" ca="1" si="193"/>
        <v>-108980118991800.88</v>
      </c>
      <c r="J4644" s="444">
        <f t="array" ref="J4644">IFERROR(INDEX('Retirement Calculator'!J:J,MATCH('Isaac 401k'!N4644,'Retirement Calculator'!A:A,0),0),0)</f>
        <v>0</v>
      </c>
      <c r="K4644" s="444">
        <f t="shared" ca="1" si="191"/>
        <v>-454083829132.50366</v>
      </c>
      <c r="L4644" s="444">
        <f t="shared" ca="1" si="192"/>
        <v>-109434202820933.38</v>
      </c>
      <c r="M4644" s="460">
        <f t="shared" si="194"/>
        <v>0.05</v>
      </c>
      <c r="N4644" s="464">
        <f t="shared" si="195"/>
        <v>192393</v>
      </c>
    </row>
    <row r="4645" spans="7:14" ht="11.25" customHeight="1" x14ac:dyDescent="0.25">
      <c r="G4645" s="459"/>
      <c r="H4645" s="459">
        <v>4638</v>
      </c>
      <c r="I4645" s="444">
        <f t="shared" ca="1" si="193"/>
        <v>-109434202820933.38</v>
      </c>
      <c r="J4645" s="444">
        <f t="array" ref="J4645">IFERROR(INDEX('Retirement Calculator'!J:J,MATCH('Isaac 401k'!N4645,'Retirement Calculator'!A:A,0),0),0)</f>
        <v>0</v>
      </c>
      <c r="K4645" s="444">
        <f t="shared" ca="1" si="191"/>
        <v>-455975845087.22241</v>
      </c>
      <c r="L4645" s="444">
        <f t="shared" ca="1" si="192"/>
        <v>-109890178666020.59</v>
      </c>
      <c r="M4645" s="460">
        <f t="shared" si="194"/>
        <v>0.05</v>
      </c>
      <c r="N4645" s="464">
        <f t="shared" si="195"/>
        <v>192424</v>
      </c>
    </row>
    <row r="4646" spans="7:14" ht="11.25" customHeight="1" x14ac:dyDescent="0.25">
      <c r="G4646" s="459"/>
      <c r="H4646" s="459">
        <v>4639</v>
      </c>
      <c r="I4646" s="444">
        <f t="shared" ca="1" si="193"/>
        <v>-109890178666020.59</v>
      </c>
      <c r="J4646" s="444">
        <f t="array" ref="J4646">IFERROR(INDEX('Retirement Calculator'!J:J,MATCH('Isaac 401k'!N4646,'Retirement Calculator'!A:A,0),0),0)</f>
        <v>0</v>
      </c>
      <c r="K4646" s="444">
        <f t="shared" ca="1" si="191"/>
        <v>-457875744441.75238</v>
      </c>
      <c r="L4646" s="444">
        <f t="shared" ca="1" si="192"/>
        <v>-110348054410462.34</v>
      </c>
      <c r="M4646" s="460">
        <f t="shared" si="194"/>
        <v>0.05</v>
      </c>
      <c r="N4646" s="464">
        <f t="shared" si="195"/>
        <v>192454</v>
      </c>
    </row>
    <row r="4647" spans="7:14" ht="11.25" customHeight="1" x14ac:dyDescent="0.25">
      <c r="G4647" s="459"/>
      <c r="H4647" s="459">
        <v>4640</v>
      </c>
      <c r="I4647" s="444">
        <f t="shared" ca="1" si="193"/>
        <v>-110348054410462.34</v>
      </c>
      <c r="J4647" s="444">
        <f t="array" ref="J4647">IFERROR(INDEX('Retirement Calculator'!J:J,MATCH('Isaac 401k'!N4647,'Retirement Calculator'!A:A,0),0),0)</f>
        <v>0</v>
      </c>
      <c r="K4647" s="444">
        <f t="shared" ca="1" si="191"/>
        <v>-459783560043.59308</v>
      </c>
      <c r="L4647" s="444">
        <f t="shared" ca="1" si="192"/>
        <v>-110807837970505.94</v>
      </c>
      <c r="M4647" s="460">
        <f t="shared" si="194"/>
        <v>0.05</v>
      </c>
      <c r="N4647" s="464">
        <f t="shared" si="195"/>
        <v>192485</v>
      </c>
    </row>
    <row r="4648" spans="7:14" ht="11.25" customHeight="1" x14ac:dyDescent="0.25">
      <c r="G4648" s="459"/>
      <c r="H4648" s="459">
        <v>4641</v>
      </c>
      <c r="I4648" s="444">
        <f t="shared" ca="1" si="193"/>
        <v>-110807837970505.94</v>
      </c>
      <c r="J4648" s="444">
        <f t="array" ref="J4648">IFERROR(INDEX('Retirement Calculator'!J:J,MATCH('Isaac 401k'!N4648,'Retirement Calculator'!A:A,0),0),0)</f>
        <v>0</v>
      </c>
      <c r="K4648" s="444">
        <f t="shared" ca="1" si="191"/>
        <v>-461699324877.10809</v>
      </c>
      <c r="L4648" s="444">
        <f t="shared" ca="1" si="192"/>
        <v>-111269537295383.05</v>
      </c>
      <c r="M4648" s="460">
        <f t="shared" si="194"/>
        <v>0.05</v>
      </c>
      <c r="N4648" s="464">
        <f t="shared" si="195"/>
        <v>192516</v>
      </c>
    </row>
    <row r="4649" spans="7:14" ht="11.25" customHeight="1" x14ac:dyDescent="0.25">
      <c r="G4649" s="459"/>
      <c r="H4649" s="459">
        <v>4642</v>
      </c>
      <c r="I4649" s="444">
        <f t="shared" ca="1" si="193"/>
        <v>-111269537295383.05</v>
      </c>
      <c r="J4649" s="444">
        <f t="array" ref="J4649">IFERROR(INDEX('Retirement Calculator'!J:J,MATCH('Isaac 401k'!N4649,'Retirement Calculator'!A:A,0),0),0)</f>
        <v>0</v>
      </c>
      <c r="K4649" s="444">
        <f t="shared" ca="1" si="191"/>
        <v>-463623072064.09601</v>
      </c>
      <c r="L4649" s="444">
        <f t="shared" ca="1" si="192"/>
        <v>-111733160367447.14</v>
      </c>
      <c r="M4649" s="460">
        <f t="shared" si="194"/>
        <v>0.05</v>
      </c>
      <c r="N4649" s="464">
        <f t="shared" si="195"/>
        <v>192544</v>
      </c>
    </row>
    <row r="4650" spans="7:14" ht="11.25" customHeight="1" x14ac:dyDescent="0.25">
      <c r="G4650" s="459"/>
      <c r="H4650" s="459">
        <v>4643</v>
      </c>
      <c r="I4650" s="444">
        <f t="shared" ca="1" si="193"/>
        <v>-111733160367447.14</v>
      </c>
      <c r="J4650" s="444">
        <f t="array" ref="J4650">IFERROR(INDEX('Retirement Calculator'!J:J,MATCH('Isaac 401k'!N4650,'Retirement Calculator'!A:A,0),0),0)</f>
        <v>0</v>
      </c>
      <c r="K4650" s="444">
        <f t="shared" ca="1" si="191"/>
        <v>-465554834864.3631</v>
      </c>
      <c r="L4650" s="444">
        <f t="shared" ca="1" si="192"/>
        <v>-112198715202311.5</v>
      </c>
      <c r="M4650" s="460">
        <f t="shared" si="194"/>
        <v>0.05</v>
      </c>
      <c r="N4650" s="464">
        <f t="shared" si="195"/>
        <v>192575</v>
      </c>
    </row>
    <row r="4651" spans="7:14" ht="11.25" customHeight="1" x14ac:dyDescent="0.25">
      <c r="G4651" s="459"/>
      <c r="H4651" s="459">
        <v>4644</v>
      </c>
      <c r="I4651" s="444">
        <f t="shared" ca="1" si="193"/>
        <v>-112198715202311.5</v>
      </c>
      <c r="J4651" s="444">
        <f t="array" ref="J4651">IFERROR(INDEX('Retirement Calculator'!J:J,MATCH('Isaac 401k'!N4651,'Retirement Calculator'!A:A,0),0),0)</f>
        <v>0</v>
      </c>
      <c r="K4651" s="444">
        <f t="shared" ca="1" si="191"/>
        <v>-467494646676.29791</v>
      </c>
      <c r="L4651" s="444">
        <f t="shared" ca="1" si="192"/>
        <v>-112666209848987.8</v>
      </c>
      <c r="M4651" s="460">
        <f t="shared" si="194"/>
        <v>0.05</v>
      </c>
      <c r="N4651" s="464">
        <f t="shared" si="195"/>
        <v>192605</v>
      </c>
    </row>
    <row r="4652" spans="7:14" ht="11.25" customHeight="1" x14ac:dyDescent="0.25">
      <c r="G4652" s="459"/>
      <c r="H4652" s="459">
        <v>4645</v>
      </c>
      <c r="I4652" s="444">
        <f t="shared" ca="1" si="193"/>
        <v>-112666209848987.8</v>
      </c>
      <c r="J4652" s="444">
        <f t="array" ref="J4652">IFERROR(INDEX('Retirement Calculator'!J:J,MATCH('Isaac 401k'!N4652,'Retirement Calculator'!A:A,0),0),0)</f>
        <v>0</v>
      </c>
      <c r="K4652" s="444">
        <f t="shared" ca="1" si="191"/>
        <v>-469442541037.44922</v>
      </c>
      <c r="L4652" s="444">
        <f t="shared" ca="1" si="192"/>
        <v>-113135652390025.25</v>
      </c>
      <c r="M4652" s="460">
        <f t="shared" si="194"/>
        <v>0.05</v>
      </c>
      <c r="N4652" s="464">
        <f t="shared" si="195"/>
        <v>192636</v>
      </c>
    </row>
    <row r="4653" spans="7:14" ht="11.25" customHeight="1" x14ac:dyDescent="0.25">
      <c r="G4653" s="459"/>
      <c r="H4653" s="459">
        <v>4646</v>
      </c>
      <c r="I4653" s="444">
        <f t="shared" ca="1" si="193"/>
        <v>-113135652390025.25</v>
      </c>
      <c r="J4653" s="444">
        <f t="array" ref="J4653">IFERROR(INDEX('Retirement Calculator'!J:J,MATCH('Isaac 401k'!N4653,'Retirement Calculator'!A:A,0),0),0)</f>
        <v>0</v>
      </c>
      <c r="K4653" s="444">
        <f t="shared" ca="1" si="191"/>
        <v>-471398551625.10516</v>
      </c>
      <c r="L4653" s="444">
        <f t="shared" ca="1" si="192"/>
        <v>-113607050941650.36</v>
      </c>
      <c r="M4653" s="460">
        <f t="shared" si="194"/>
        <v>0.05</v>
      </c>
      <c r="N4653" s="464">
        <f t="shared" si="195"/>
        <v>192666</v>
      </c>
    </row>
    <row r="4654" spans="7:14" ht="11.25" customHeight="1" x14ac:dyDescent="0.25">
      <c r="G4654" s="459"/>
      <c r="H4654" s="459">
        <v>4647</v>
      </c>
      <c r="I4654" s="444">
        <f t="shared" ca="1" si="193"/>
        <v>-113607050941650.36</v>
      </c>
      <c r="J4654" s="444">
        <f t="array" ref="J4654">IFERROR(INDEX('Retirement Calculator'!J:J,MATCH('Isaac 401k'!N4654,'Retirement Calculator'!A:A,0),0),0)</f>
        <v>0</v>
      </c>
      <c r="K4654" s="444">
        <f t="shared" ca="1" si="191"/>
        <v>-473362712256.8764</v>
      </c>
      <c r="L4654" s="444">
        <f t="shared" ca="1" si="192"/>
        <v>-114080413653907.23</v>
      </c>
      <c r="M4654" s="460">
        <f t="shared" si="194"/>
        <v>0.05</v>
      </c>
      <c r="N4654" s="464">
        <f t="shared" si="195"/>
        <v>192697</v>
      </c>
    </row>
    <row r="4655" spans="7:14" ht="11.25" customHeight="1" x14ac:dyDescent="0.25">
      <c r="G4655" s="459"/>
      <c r="H4655" s="459">
        <v>4648</v>
      </c>
      <c r="I4655" s="444">
        <f t="shared" ca="1" si="193"/>
        <v>-114080413653907.23</v>
      </c>
      <c r="J4655" s="444">
        <f t="array" ref="J4655">IFERROR(INDEX('Retirement Calculator'!J:J,MATCH('Isaac 401k'!N4655,'Retirement Calculator'!A:A,0),0),0)</f>
        <v>0</v>
      </c>
      <c r="K4655" s="444">
        <f t="shared" ca="1" si="191"/>
        <v>-475335056891.28015</v>
      </c>
      <c r="L4655" s="444">
        <f t="shared" ca="1" si="192"/>
        <v>-114555748710798.52</v>
      </c>
      <c r="M4655" s="460">
        <f t="shared" si="194"/>
        <v>0.05</v>
      </c>
      <c r="N4655" s="464">
        <f t="shared" si="195"/>
        <v>192728</v>
      </c>
    </row>
    <row r="4656" spans="7:14" ht="11.25" customHeight="1" x14ac:dyDescent="0.25">
      <c r="G4656" s="459"/>
      <c r="H4656" s="459">
        <v>4649</v>
      </c>
      <c r="I4656" s="444">
        <f t="shared" ca="1" si="193"/>
        <v>-114555748710798.52</v>
      </c>
      <c r="J4656" s="444">
        <f t="array" ref="J4656">IFERROR(INDEX('Retirement Calculator'!J:J,MATCH('Isaac 401k'!N4656,'Retirement Calculator'!A:A,0),0),0)</f>
        <v>0</v>
      </c>
      <c r="K4656" s="444">
        <f t="shared" ca="1" si="191"/>
        <v>-477315619628.32709</v>
      </c>
      <c r="L4656" s="444">
        <f t="shared" ca="1" si="192"/>
        <v>-115033064330426.84</v>
      </c>
      <c r="M4656" s="460">
        <f t="shared" si="194"/>
        <v>0.05</v>
      </c>
      <c r="N4656" s="464">
        <f t="shared" si="195"/>
        <v>192758</v>
      </c>
    </row>
    <row r="4657" spans="7:14" ht="11.25" customHeight="1" x14ac:dyDescent="0.25">
      <c r="G4657" s="459"/>
      <c r="H4657" s="459">
        <v>4650</v>
      </c>
      <c r="I4657" s="444">
        <f t="shared" ca="1" si="193"/>
        <v>-115033064330426.84</v>
      </c>
      <c r="J4657" s="444">
        <f t="array" ref="J4657">IFERROR(INDEX('Retirement Calculator'!J:J,MATCH('Isaac 401k'!N4657,'Retirement Calculator'!A:A,0),0),0)</f>
        <v>0</v>
      </c>
      <c r="K4657" s="444">
        <f t="shared" ca="1" si="191"/>
        <v>-479304434710.11182</v>
      </c>
      <c r="L4657" s="444">
        <f t="shared" ca="1" si="192"/>
        <v>-115512368765136.95</v>
      </c>
      <c r="M4657" s="460">
        <f t="shared" si="194"/>
        <v>0.05</v>
      </c>
      <c r="N4657" s="464">
        <f t="shared" si="195"/>
        <v>192789</v>
      </c>
    </row>
    <row r="4658" spans="7:14" ht="11.25" customHeight="1" x14ac:dyDescent="0.25">
      <c r="G4658" s="459"/>
      <c r="H4658" s="459">
        <v>4651</v>
      </c>
      <c r="I4658" s="444">
        <f t="shared" ca="1" si="193"/>
        <v>-115512368765136.95</v>
      </c>
      <c r="J4658" s="444">
        <f t="array" ref="J4658">IFERROR(INDEX('Retirement Calculator'!J:J,MATCH('Isaac 401k'!N4658,'Retirement Calculator'!A:A,0),0),0)</f>
        <v>0</v>
      </c>
      <c r="K4658" s="444">
        <f t="shared" ca="1" si="191"/>
        <v>-481301536521.40399</v>
      </c>
      <c r="L4658" s="444">
        <f t="shared" ca="1" si="192"/>
        <v>-115993670301658.36</v>
      </c>
      <c r="M4658" s="460">
        <f t="shared" si="194"/>
        <v>0.05</v>
      </c>
      <c r="N4658" s="464">
        <f t="shared" si="195"/>
        <v>192819</v>
      </c>
    </row>
    <row r="4659" spans="7:14" ht="11.25" customHeight="1" x14ac:dyDescent="0.25">
      <c r="G4659" s="459"/>
      <c r="H4659" s="459">
        <v>4652</v>
      </c>
      <c r="I4659" s="444">
        <f t="shared" ca="1" si="193"/>
        <v>-115993670301658.36</v>
      </c>
      <c r="J4659" s="444">
        <f t="array" ref="J4659">IFERROR(INDEX('Retirement Calculator'!J:J,MATCH('Isaac 401k'!N4659,'Retirement Calculator'!A:A,0),0),0)</f>
        <v>0</v>
      </c>
      <c r="K4659" s="444">
        <f t="shared" ca="1" si="191"/>
        <v>-483306959590.24316</v>
      </c>
      <c r="L4659" s="444">
        <f t="shared" ca="1" si="192"/>
        <v>-116476977261248.61</v>
      </c>
      <c r="M4659" s="460">
        <f t="shared" si="194"/>
        <v>0.05</v>
      </c>
      <c r="N4659" s="464">
        <f t="shared" si="195"/>
        <v>192850</v>
      </c>
    </row>
    <row r="4660" spans="7:14" ht="11.25" customHeight="1" x14ac:dyDescent="0.25">
      <c r="G4660" s="459"/>
      <c r="H4660" s="459">
        <v>4653</v>
      </c>
      <c r="I4660" s="444">
        <f t="shared" ca="1" si="193"/>
        <v>-116476977261248.61</v>
      </c>
      <c r="J4660" s="444">
        <f t="array" ref="J4660">IFERROR(INDEX('Retirement Calculator'!J:J,MATCH('Isaac 401k'!N4660,'Retirement Calculator'!A:A,0),0),0)</f>
        <v>0</v>
      </c>
      <c r="K4660" s="444">
        <f t="shared" ca="1" si="191"/>
        <v>-485320738588.53583</v>
      </c>
      <c r="L4660" s="444">
        <f t="shared" ca="1" si="192"/>
        <v>-116962297999837.14</v>
      </c>
      <c r="M4660" s="460">
        <f t="shared" si="194"/>
        <v>0.05</v>
      </c>
      <c r="N4660" s="464">
        <f t="shared" si="195"/>
        <v>192881</v>
      </c>
    </row>
    <row r="4661" spans="7:14" ht="11.25" customHeight="1" x14ac:dyDescent="0.25">
      <c r="G4661" s="459"/>
      <c r="H4661" s="459">
        <v>4654</v>
      </c>
      <c r="I4661" s="444">
        <f t="shared" ca="1" si="193"/>
        <v>-116962297999837.14</v>
      </c>
      <c r="J4661" s="444">
        <f t="array" ref="J4661">IFERROR(INDEX('Retirement Calculator'!J:J,MATCH('Isaac 401k'!N4661,'Retirement Calculator'!A:A,0),0),0)</f>
        <v>0</v>
      </c>
      <c r="K4661" s="444">
        <f t="shared" ca="1" si="191"/>
        <v>-487342908332.65472</v>
      </c>
      <c r="L4661" s="444">
        <f t="shared" ca="1" si="192"/>
        <v>-117449640908169.8</v>
      </c>
      <c r="M4661" s="460">
        <f t="shared" si="194"/>
        <v>0.05</v>
      </c>
      <c r="N4661" s="464">
        <f t="shared" si="195"/>
        <v>192910</v>
      </c>
    </row>
    <row r="4662" spans="7:14" ht="11.25" customHeight="1" x14ac:dyDescent="0.25">
      <c r="G4662" s="459"/>
      <c r="H4662" s="459">
        <v>4655</v>
      </c>
      <c r="I4662" s="444">
        <f t="shared" ca="1" si="193"/>
        <v>-117449640908169.8</v>
      </c>
      <c r="J4662" s="444">
        <f t="array" ref="J4662">IFERROR(INDEX('Retirement Calculator'!J:J,MATCH('Isaac 401k'!N4662,'Retirement Calculator'!A:A,0),0),0)</f>
        <v>0</v>
      </c>
      <c r="K4662" s="444">
        <f t="shared" ca="1" si="191"/>
        <v>-489373503784.04083</v>
      </c>
      <c r="L4662" s="444">
        <f t="shared" ca="1" si="192"/>
        <v>-117939014411953.84</v>
      </c>
      <c r="M4662" s="460">
        <f t="shared" si="194"/>
        <v>0.05</v>
      </c>
      <c r="N4662" s="464">
        <f t="shared" si="195"/>
        <v>192941</v>
      </c>
    </row>
    <row r="4663" spans="7:14" ht="11.25" customHeight="1" x14ac:dyDescent="0.25">
      <c r="G4663" s="459"/>
      <c r="H4663" s="459">
        <v>4656</v>
      </c>
      <c r="I4663" s="444">
        <f t="shared" ca="1" si="193"/>
        <v>-117939014411953.84</v>
      </c>
      <c r="J4663" s="444">
        <f t="array" ref="J4663">IFERROR(INDEX('Retirement Calculator'!J:J,MATCH('Isaac 401k'!N4663,'Retirement Calculator'!A:A,0),0),0)</f>
        <v>0</v>
      </c>
      <c r="K4663" s="444">
        <f t="shared" ca="1" si="191"/>
        <v>-491412560049.80762</v>
      </c>
      <c r="L4663" s="444">
        <f t="shared" ca="1" si="192"/>
        <v>-118430426972003.66</v>
      </c>
      <c r="M4663" s="460">
        <f t="shared" si="194"/>
        <v>0.05</v>
      </c>
      <c r="N4663" s="464">
        <f t="shared" si="195"/>
        <v>192971</v>
      </c>
    </row>
    <row r="4664" spans="7:14" ht="11.25" customHeight="1" x14ac:dyDescent="0.25">
      <c r="G4664" s="459"/>
      <c r="H4664" s="459">
        <v>4657</v>
      </c>
      <c r="I4664" s="444">
        <f t="shared" ca="1" si="193"/>
        <v>-118430426972003.66</v>
      </c>
      <c r="J4664" s="444">
        <f t="array" ref="J4664">IFERROR(INDEX('Retirement Calculator'!J:J,MATCH('Isaac 401k'!N4664,'Retirement Calculator'!A:A,0),0),0)</f>
        <v>0</v>
      </c>
      <c r="K4664" s="444">
        <f t="shared" ca="1" si="191"/>
        <v>-493460112383.34857</v>
      </c>
      <c r="L4664" s="444">
        <f t="shared" ca="1" si="192"/>
        <v>-118923887084387</v>
      </c>
      <c r="M4664" s="460">
        <f t="shared" si="194"/>
        <v>0.05</v>
      </c>
      <c r="N4664" s="464">
        <f t="shared" si="195"/>
        <v>193002</v>
      </c>
    </row>
    <row r="4665" spans="7:14" ht="11.25" customHeight="1" x14ac:dyDescent="0.25">
      <c r="G4665" s="459"/>
      <c r="H4665" s="459">
        <v>4658</v>
      </c>
      <c r="I4665" s="444">
        <f t="shared" ca="1" si="193"/>
        <v>-118923887084387</v>
      </c>
      <c r="J4665" s="444">
        <f t="array" ref="J4665">IFERROR(INDEX('Retirement Calculator'!J:J,MATCH('Isaac 401k'!N4665,'Retirement Calculator'!A:A,0),0),0)</f>
        <v>0</v>
      </c>
      <c r="K4665" s="444">
        <f t="shared" ca="1" si="191"/>
        <v>-495516196184.9458</v>
      </c>
      <c r="L4665" s="444">
        <f t="shared" ca="1" si="192"/>
        <v>-119419403280571.95</v>
      </c>
      <c r="M4665" s="460">
        <f t="shared" si="194"/>
        <v>0.05</v>
      </c>
      <c r="N4665" s="464">
        <f t="shared" si="195"/>
        <v>193032</v>
      </c>
    </row>
    <row r="4666" spans="7:14" ht="11.25" customHeight="1" x14ac:dyDescent="0.25">
      <c r="G4666" s="459"/>
      <c r="H4666" s="459">
        <v>4659</v>
      </c>
      <c r="I4666" s="444">
        <f t="shared" ca="1" si="193"/>
        <v>-119419403280571.95</v>
      </c>
      <c r="J4666" s="444">
        <f t="array" ref="J4666">IFERROR(INDEX('Retirement Calculator'!J:J,MATCH('Isaac 401k'!N4666,'Retirement Calculator'!A:A,0),0),0)</f>
        <v>0</v>
      </c>
      <c r="K4666" s="444">
        <f t="shared" ca="1" si="191"/>
        <v>-497580847002.38312</v>
      </c>
      <c r="L4666" s="444">
        <f t="shared" ca="1" si="192"/>
        <v>-119916984127574.34</v>
      </c>
      <c r="M4666" s="460">
        <f t="shared" si="194"/>
        <v>0.05</v>
      </c>
      <c r="N4666" s="464">
        <f t="shared" si="195"/>
        <v>193063</v>
      </c>
    </row>
    <row r="4667" spans="7:14" ht="11.25" customHeight="1" x14ac:dyDescent="0.25">
      <c r="G4667" s="459"/>
      <c r="H4667" s="459">
        <v>4660</v>
      </c>
      <c r="I4667" s="444">
        <f t="shared" ca="1" si="193"/>
        <v>-119916984127574.34</v>
      </c>
      <c r="J4667" s="444">
        <f t="array" ref="J4667">IFERROR(INDEX('Retirement Calculator'!J:J,MATCH('Isaac 401k'!N4667,'Retirement Calculator'!A:A,0),0),0)</f>
        <v>0</v>
      </c>
      <c r="K4667" s="444">
        <f t="shared" ca="1" si="191"/>
        <v>-499654100531.55975</v>
      </c>
      <c r="L4667" s="444">
        <f t="shared" ca="1" si="192"/>
        <v>-120416638228105.91</v>
      </c>
      <c r="M4667" s="460">
        <f t="shared" si="194"/>
        <v>0.05</v>
      </c>
      <c r="N4667" s="464">
        <f t="shared" si="195"/>
        <v>193094</v>
      </c>
    </row>
    <row r="4668" spans="7:14" ht="11.25" customHeight="1" x14ac:dyDescent="0.25">
      <c r="G4668" s="459"/>
      <c r="H4668" s="459">
        <v>4661</v>
      </c>
      <c r="I4668" s="444">
        <f t="shared" ca="1" si="193"/>
        <v>-120416638228105.91</v>
      </c>
      <c r="J4668" s="444">
        <f t="array" ref="J4668">IFERROR(INDEX('Retirement Calculator'!J:J,MATCH('Isaac 401k'!N4668,'Retirement Calculator'!A:A,0),0),0)</f>
        <v>0</v>
      </c>
      <c r="K4668" s="444">
        <f t="shared" ca="1" si="191"/>
        <v>-501735992617.10785</v>
      </c>
      <c r="L4668" s="444">
        <f t="shared" ca="1" si="192"/>
        <v>-120918374220723.02</v>
      </c>
      <c r="M4668" s="460">
        <f t="shared" si="194"/>
        <v>0.05</v>
      </c>
      <c r="N4668" s="464">
        <f t="shared" si="195"/>
        <v>193124</v>
      </c>
    </row>
    <row r="4669" spans="7:14" ht="11.25" customHeight="1" x14ac:dyDescent="0.25">
      <c r="G4669" s="459"/>
      <c r="H4669" s="459">
        <v>4662</v>
      </c>
      <c r="I4669" s="444">
        <f t="shared" ca="1" si="193"/>
        <v>-120918374220723.02</v>
      </c>
      <c r="J4669" s="444">
        <f t="array" ref="J4669">IFERROR(INDEX('Retirement Calculator'!J:J,MATCH('Isaac 401k'!N4669,'Retirement Calculator'!A:A,0),0),0)</f>
        <v>0</v>
      </c>
      <c r="K4669" s="444">
        <f t="shared" ca="1" si="191"/>
        <v>-503826559253.01251</v>
      </c>
      <c r="L4669" s="444">
        <f t="shared" ca="1" si="192"/>
        <v>-121422200779976.03</v>
      </c>
      <c r="M4669" s="460">
        <f t="shared" si="194"/>
        <v>0.05</v>
      </c>
      <c r="N4669" s="464">
        <f t="shared" si="195"/>
        <v>193155</v>
      </c>
    </row>
    <row r="4670" spans="7:14" ht="11.25" customHeight="1" x14ac:dyDescent="0.25">
      <c r="G4670" s="459"/>
      <c r="H4670" s="459">
        <v>4663</v>
      </c>
      <c r="I4670" s="444">
        <f t="shared" ca="1" si="193"/>
        <v>-121422200779976.03</v>
      </c>
      <c r="J4670" s="444">
        <f t="array" ref="J4670">IFERROR(INDEX('Retirement Calculator'!J:J,MATCH('Isaac 401k'!N4670,'Retirement Calculator'!A:A,0),0),0)</f>
        <v>0</v>
      </c>
      <c r="K4670" s="444">
        <f t="shared" ca="1" si="191"/>
        <v>-505925836583.23346</v>
      </c>
      <c r="L4670" s="444">
        <f t="shared" ca="1" si="192"/>
        <v>-121928126616559.27</v>
      </c>
      <c r="M4670" s="460">
        <f t="shared" si="194"/>
        <v>0.05</v>
      </c>
      <c r="N4670" s="464">
        <f t="shared" si="195"/>
        <v>193185</v>
      </c>
    </row>
    <row r="4671" spans="7:14" ht="11.25" customHeight="1" x14ac:dyDescent="0.25">
      <c r="G4671" s="459"/>
      <c r="H4671" s="459">
        <v>4664</v>
      </c>
      <c r="I4671" s="444">
        <f t="shared" ca="1" si="193"/>
        <v>-121928126616559.27</v>
      </c>
      <c r="J4671" s="444">
        <f t="array" ref="J4671">IFERROR(INDEX('Retirement Calculator'!J:J,MATCH('Isaac 401k'!N4671,'Retirement Calculator'!A:A,0),0),0)</f>
        <v>0</v>
      </c>
      <c r="K4671" s="444">
        <f t="shared" ca="1" si="191"/>
        <v>-508033860902.33032</v>
      </c>
      <c r="L4671" s="444">
        <f t="shared" ca="1" si="192"/>
        <v>-122436160477461.59</v>
      </c>
      <c r="M4671" s="460">
        <f t="shared" si="194"/>
        <v>0.05</v>
      </c>
      <c r="N4671" s="464">
        <f t="shared" si="195"/>
        <v>193216</v>
      </c>
    </row>
    <row r="4672" spans="7:14" ht="11.25" customHeight="1" x14ac:dyDescent="0.25">
      <c r="G4672" s="459"/>
      <c r="H4672" s="459">
        <v>4665</v>
      </c>
      <c r="I4672" s="444">
        <f t="shared" ca="1" si="193"/>
        <v>-122436160477461.59</v>
      </c>
      <c r="J4672" s="444">
        <f t="array" ref="J4672">IFERROR(INDEX('Retirement Calculator'!J:J,MATCH('Isaac 401k'!N4672,'Retirement Calculator'!A:A,0),0),0)</f>
        <v>0</v>
      </c>
      <c r="K4672" s="444">
        <f t="shared" ca="1" si="191"/>
        <v>-510150668656.09003</v>
      </c>
      <c r="L4672" s="444">
        <f t="shared" ca="1" si="192"/>
        <v>-122946311146117.69</v>
      </c>
      <c r="M4672" s="460">
        <f t="shared" si="194"/>
        <v>0.05</v>
      </c>
      <c r="N4672" s="464">
        <f t="shared" si="195"/>
        <v>193247</v>
      </c>
    </row>
    <row r="4673" spans="7:14" ht="11.25" customHeight="1" x14ac:dyDescent="0.25">
      <c r="G4673" s="459"/>
      <c r="H4673" s="459">
        <v>4666</v>
      </c>
      <c r="I4673" s="444">
        <f t="shared" ca="1" si="193"/>
        <v>-122946311146117.69</v>
      </c>
      <c r="J4673" s="444">
        <f t="array" ref="J4673">IFERROR(INDEX('Retirement Calculator'!J:J,MATCH('Isaac 401k'!N4673,'Retirement Calculator'!A:A,0),0),0)</f>
        <v>0</v>
      </c>
      <c r="K4673" s="444">
        <f t="shared" ca="1" si="191"/>
        <v>-512276296442.15704</v>
      </c>
      <c r="L4673" s="444">
        <f t="shared" ca="1" si="192"/>
        <v>-123458587442559.84</v>
      </c>
      <c r="M4673" s="460">
        <f t="shared" si="194"/>
        <v>0.05</v>
      </c>
      <c r="N4673" s="464">
        <f t="shared" si="195"/>
        <v>193275</v>
      </c>
    </row>
    <row r="4674" spans="7:14" ht="11.25" customHeight="1" x14ac:dyDescent="0.25">
      <c r="G4674" s="459"/>
      <c r="H4674" s="459">
        <v>4667</v>
      </c>
      <c r="I4674" s="444">
        <f t="shared" ca="1" si="193"/>
        <v>-123458587442559.84</v>
      </c>
      <c r="J4674" s="444">
        <f t="array" ref="J4674">IFERROR(INDEX('Retirement Calculator'!J:J,MATCH('Isaac 401k'!N4674,'Retirement Calculator'!A:A,0),0),0)</f>
        <v>0</v>
      </c>
      <c r="K4674" s="444">
        <f t="shared" ca="1" si="191"/>
        <v>-514410781010.66602</v>
      </c>
      <c r="L4674" s="444">
        <f t="shared" ca="1" si="192"/>
        <v>-123972998223570.52</v>
      </c>
      <c r="M4674" s="460">
        <f t="shared" si="194"/>
        <v>0.05</v>
      </c>
      <c r="N4674" s="464">
        <f t="shared" si="195"/>
        <v>193306</v>
      </c>
    </row>
    <row r="4675" spans="7:14" ht="11.25" customHeight="1" x14ac:dyDescent="0.25">
      <c r="G4675" s="459"/>
      <c r="H4675" s="459">
        <v>4668</v>
      </c>
      <c r="I4675" s="444">
        <f t="shared" ca="1" si="193"/>
        <v>-123972998223570.52</v>
      </c>
      <c r="J4675" s="444">
        <f t="array" ref="J4675">IFERROR(INDEX('Retirement Calculator'!J:J,MATCH('Isaac 401k'!N4675,'Retirement Calculator'!A:A,0),0),0)</f>
        <v>0</v>
      </c>
      <c r="K4675" s="444">
        <f t="shared" ca="1" si="191"/>
        <v>-516554159264.87714</v>
      </c>
      <c r="L4675" s="444">
        <f t="shared" ca="1" si="192"/>
        <v>-124489552382835.39</v>
      </c>
      <c r="M4675" s="460">
        <f t="shared" si="194"/>
        <v>0.05</v>
      </c>
      <c r="N4675" s="464">
        <f t="shared" si="195"/>
        <v>193336</v>
      </c>
    </row>
    <row r="4676" spans="7:14" ht="11.25" customHeight="1" x14ac:dyDescent="0.25">
      <c r="G4676" s="459"/>
      <c r="H4676" s="459">
        <v>4669</v>
      </c>
      <c r="I4676" s="444">
        <f t="shared" ca="1" si="193"/>
        <v>-124489552382835.39</v>
      </c>
      <c r="J4676" s="444">
        <f t="array" ref="J4676">IFERROR(INDEX('Retirement Calculator'!J:J,MATCH('Isaac 401k'!N4676,'Retirement Calculator'!A:A,0),0),0)</f>
        <v>0</v>
      </c>
      <c r="K4676" s="444">
        <f t="shared" ca="1" si="191"/>
        <v>-518706468261.81421</v>
      </c>
      <c r="L4676" s="444">
        <f t="shared" ca="1" si="192"/>
        <v>-125008258851097.2</v>
      </c>
      <c r="M4676" s="460">
        <f t="shared" si="194"/>
        <v>0.05</v>
      </c>
      <c r="N4676" s="464">
        <f t="shared" si="195"/>
        <v>193367</v>
      </c>
    </row>
    <row r="4677" spans="7:14" ht="11.25" customHeight="1" x14ac:dyDescent="0.25">
      <c r="G4677" s="459"/>
      <c r="H4677" s="459">
        <v>4670</v>
      </c>
      <c r="I4677" s="444">
        <f t="shared" ca="1" si="193"/>
        <v>-125008258851097.2</v>
      </c>
      <c r="J4677" s="444">
        <f t="array" ref="J4677">IFERROR(INDEX('Retirement Calculator'!J:J,MATCH('Isaac 401k'!N4677,'Retirement Calculator'!A:A,0),0),0)</f>
        <v>0</v>
      </c>
      <c r="K4677" s="444">
        <f t="shared" ca="1" si="191"/>
        <v>-520867745212.90509</v>
      </c>
      <c r="L4677" s="444">
        <f t="shared" ca="1" si="192"/>
        <v>-125529126596310.11</v>
      </c>
      <c r="M4677" s="460">
        <f t="shared" si="194"/>
        <v>0.05</v>
      </c>
      <c r="N4677" s="464">
        <f t="shared" si="195"/>
        <v>193397</v>
      </c>
    </row>
    <row r="4678" spans="7:14" ht="11.25" customHeight="1" x14ac:dyDescent="0.25">
      <c r="G4678" s="459"/>
      <c r="H4678" s="459">
        <v>4671</v>
      </c>
      <c r="I4678" s="444">
        <f t="shared" ca="1" si="193"/>
        <v>-125529126596310.11</v>
      </c>
      <c r="J4678" s="444">
        <f t="array" ref="J4678">IFERROR(INDEX('Retirement Calculator'!J:J,MATCH('Isaac 401k'!N4678,'Retirement Calculator'!A:A,0),0),0)</f>
        <v>0</v>
      </c>
      <c r="K4678" s="444">
        <f t="shared" ca="1" si="191"/>
        <v>-523038027484.62543</v>
      </c>
      <c r="L4678" s="444">
        <f t="shared" ca="1" si="192"/>
        <v>-126052164623794.73</v>
      </c>
      <c r="M4678" s="460">
        <f t="shared" si="194"/>
        <v>0.05</v>
      </c>
      <c r="N4678" s="464">
        <f t="shared" si="195"/>
        <v>193428</v>
      </c>
    </row>
    <row r="4679" spans="7:14" ht="11.25" customHeight="1" x14ac:dyDescent="0.25">
      <c r="G4679" s="459"/>
      <c r="H4679" s="459">
        <v>4672</v>
      </c>
      <c r="I4679" s="444">
        <f t="shared" ca="1" si="193"/>
        <v>-126052164623794.73</v>
      </c>
      <c r="J4679" s="444">
        <f t="array" ref="J4679">IFERROR(INDEX('Retirement Calculator'!J:J,MATCH('Isaac 401k'!N4679,'Retirement Calculator'!A:A,0),0),0)</f>
        <v>0</v>
      </c>
      <c r="K4679" s="444">
        <f t="shared" ca="1" si="191"/>
        <v>-525217352599.14471</v>
      </c>
      <c r="L4679" s="444">
        <f t="shared" ca="1" si="192"/>
        <v>-126577381976393.88</v>
      </c>
      <c r="M4679" s="460">
        <f t="shared" si="194"/>
        <v>0.05</v>
      </c>
      <c r="N4679" s="464">
        <f t="shared" si="195"/>
        <v>193459</v>
      </c>
    </row>
    <row r="4680" spans="7:14" ht="11.25" customHeight="1" x14ac:dyDescent="0.25">
      <c r="G4680" s="459"/>
      <c r="H4680" s="459">
        <v>4673</v>
      </c>
      <c r="I4680" s="444">
        <f t="shared" ca="1" si="193"/>
        <v>-126577381976393.88</v>
      </c>
      <c r="J4680" s="444">
        <f t="array" ref="J4680">IFERROR(INDEX('Retirement Calculator'!J:J,MATCH('Isaac 401k'!N4680,'Retirement Calculator'!A:A,0),0),0)</f>
        <v>0</v>
      </c>
      <c r="K4680" s="444">
        <f t="shared" ca="1" si="191"/>
        <v>-527405758234.97443</v>
      </c>
      <c r="L4680" s="444">
        <f t="shared" ca="1" si="192"/>
        <v>-127104787734628.84</v>
      </c>
      <c r="M4680" s="460">
        <f t="shared" si="194"/>
        <v>0.05</v>
      </c>
      <c r="N4680" s="464">
        <f t="shared" si="195"/>
        <v>193489</v>
      </c>
    </row>
    <row r="4681" spans="7:14" ht="11.25" customHeight="1" x14ac:dyDescent="0.25">
      <c r="G4681" s="459"/>
      <c r="H4681" s="459">
        <v>4674</v>
      </c>
      <c r="I4681" s="444">
        <f t="shared" ca="1" si="193"/>
        <v>-127104787734628.84</v>
      </c>
      <c r="J4681" s="444">
        <f t="array" ref="J4681">IFERROR(INDEX('Retirement Calculator'!J:J,MATCH('Isaac 401k'!N4681,'Retirement Calculator'!A:A,0),0),0)</f>
        <v>0</v>
      </c>
      <c r="K4681" s="444">
        <f t="shared" ca="1" si="191"/>
        <v>-529603282227.62018</v>
      </c>
      <c r="L4681" s="444">
        <f t="shared" ca="1" si="192"/>
        <v>-127634391016856.47</v>
      </c>
      <c r="M4681" s="460">
        <f t="shared" si="194"/>
        <v>0.05</v>
      </c>
      <c r="N4681" s="464">
        <f t="shared" si="195"/>
        <v>193520</v>
      </c>
    </row>
    <row r="4682" spans="7:14" ht="11.25" customHeight="1" x14ac:dyDescent="0.25">
      <c r="G4682" s="459"/>
      <c r="H4682" s="459">
        <v>4675</v>
      </c>
      <c r="I4682" s="444">
        <f t="shared" ca="1" si="193"/>
        <v>-127634391016856.47</v>
      </c>
      <c r="J4682" s="444">
        <f t="array" ref="J4682">IFERROR(INDEX('Retirement Calculator'!J:J,MATCH('Isaac 401k'!N4682,'Retirement Calculator'!A:A,0),0),0)</f>
        <v>0</v>
      </c>
      <c r="K4682" s="444">
        <f t="shared" ca="1" si="191"/>
        <v>-531809962570.23529</v>
      </c>
      <c r="L4682" s="444">
        <f t="shared" ca="1" si="192"/>
        <v>-128166200979426.7</v>
      </c>
      <c r="M4682" s="460">
        <f t="shared" si="194"/>
        <v>0.05</v>
      </c>
      <c r="N4682" s="464">
        <f t="shared" si="195"/>
        <v>193550</v>
      </c>
    </row>
    <row r="4683" spans="7:14" ht="11.25" customHeight="1" x14ac:dyDescent="0.25">
      <c r="G4683" s="459"/>
      <c r="H4683" s="459">
        <v>4676</v>
      </c>
      <c r="I4683" s="444">
        <f t="shared" ca="1" si="193"/>
        <v>-128166200979426.7</v>
      </c>
      <c r="J4683" s="444">
        <f t="array" ref="J4683">IFERROR(INDEX('Retirement Calculator'!J:J,MATCH('Isaac 401k'!N4683,'Retirement Calculator'!A:A,0),0),0)</f>
        <v>0</v>
      </c>
      <c r="K4683" s="444">
        <f t="shared" ca="1" si="191"/>
        <v>-534025837414.27789</v>
      </c>
      <c r="L4683" s="444">
        <f t="shared" ca="1" si="192"/>
        <v>-128700226816840.98</v>
      </c>
      <c r="M4683" s="460">
        <f t="shared" si="194"/>
        <v>0.05</v>
      </c>
      <c r="N4683" s="464">
        <f t="shared" si="195"/>
        <v>193581</v>
      </c>
    </row>
    <row r="4684" spans="7:14" ht="11.25" customHeight="1" x14ac:dyDescent="0.25">
      <c r="G4684" s="459"/>
      <c r="H4684" s="459">
        <v>4677</v>
      </c>
      <c r="I4684" s="444">
        <f t="shared" ca="1" si="193"/>
        <v>-128700226816840.98</v>
      </c>
      <c r="J4684" s="444">
        <f t="array" ref="J4684">IFERROR(INDEX('Retirement Calculator'!J:J,MATCH('Isaac 401k'!N4684,'Retirement Calculator'!A:A,0),0),0)</f>
        <v>0</v>
      </c>
      <c r="K4684" s="444">
        <f t="shared" ca="1" si="191"/>
        <v>-536250945070.17084</v>
      </c>
      <c r="L4684" s="444">
        <f t="shared" ca="1" si="192"/>
        <v>-129236477761911.16</v>
      </c>
      <c r="M4684" s="460">
        <f t="shared" si="194"/>
        <v>0.05</v>
      </c>
      <c r="N4684" s="464">
        <f t="shared" si="195"/>
        <v>193612</v>
      </c>
    </row>
    <row r="4685" spans="7:14" ht="11.25" customHeight="1" x14ac:dyDescent="0.25">
      <c r="G4685" s="459"/>
      <c r="H4685" s="459">
        <v>4678</v>
      </c>
      <c r="I4685" s="444">
        <f t="shared" ca="1" si="193"/>
        <v>-129236477761911.16</v>
      </c>
      <c r="J4685" s="444">
        <f t="array" ref="J4685">IFERROR(INDEX('Retirement Calculator'!J:J,MATCH('Isaac 401k'!N4685,'Retirement Calculator'!A:A,0),0),0)</f>
        <v>0</v>
      </c>
      <c r="K4685" s="444">
        <f t="shared" ca="1" si="191"/>
        <v>-538485324007.96313</v>
      </c>
      <c r="L4685" s="444">
        <f t="shared" ca="1" si="192"/>
        <v>-129774963085919.13</v>
      </c>
      <c r="M4685" s="460">
        <f t="shared" si="194"/>
        <v>0.05</v>
      </c>
      <c r="N4685" s="464">
        <f t="shared" si="195"/>
        <v>193640</v>
      </c>
    </row>
    <row r="4686" spans="7:14" ht="11.25" customHeight="1" x14ac:dyDescent="0.25">
      <c r="G4686" s="459"/>
      <c r="H4686" s="459">
        <v>4679</v>
      </c>
      <c r="I4686" s="444">
        <f t="shared" ca="1" si="193"/>
        <v>-129774963085919.13</v>
      </c>
      <c r="J4686" s="444">
        <f t="array" ref="J4686">IFERROR(INDEX('Retirement Calculator'!J:J,MATCH('Isaac 401k'!N4686,'Retirement Calculator'!A:A,0),0),0)</f>
        <v>0</v>
      </c>
      <c r="K4686" s="444">
        <f t="shared" ca="1" si="191"/>
        <v>-540729012857.99628</v>
      </c>
      <c r="L4686" s="444">
        <f t="shared" ca="1" si="192"/>
        <v>-130315692098777.13</v>
      </c>
      <c r="M4686" s="460">
        <f t="shared" si="194"/>
        <v>0.05</v>
      </c>
      <c r="N4686" s="464">
        <f t="shared" si="195"/>
        <v>193671</v>
      </c>
    </row>
    <row r="4687" spans="7:14" ht="11.25" customHeight="1" x14ac:dyDescent="0.25">
      <c r="G4687" s="459"/>
      <c r="H4687" s="459">
        <v>4680</v>
      </c>
      <c r="I4687" s="444">
        <f t="shared" ca="1" si="193"/>
        <v>-130315692098777.13</v>
      </c>
      <c r="J4687" s="444">
        <f t="array" ref="J4687">IFERROR(INDEX('Retirement Calculator'!J:J,MATCH('Isaac 401k'!N4687,'Retirement Calculator'!A:A,0),0),0)</f>
        <v>0</v>
      </c>
      <c r="K4687" s="444">
        <f t="shared" ca="1" si="191"/>
        <v>-542982050411.57135</v>
      </c>
      <c r="L4687" s="444">
        <f t="shared" ca="1" si="192"/>
        <v>-130858674149188.7</v>
      </c>
      <c r="M4687" s="460">
        <f t="shared" si="194"/>
        <v>0.05</v>
      </c>
      <c r="N4687" s="464">
        <f t="shared" si="195"/>
        <v>193701</v>
      </c>
    </row>
    <row r="4688" spans="7:14" ht="11.25" customHeight="1" x14ac:dyDescent="0.25">
      <c r="G4688" s="459"/>
      <c r="H4688" s="459">
        <v>4681</v>
      </c>
      <c r="I4688" s="444">
        <f t="shared" ca="1" si="193"/>
        <v>-130858674149188.7</v>
      </c>
      <c r="J4688" s="444">
        <f t="array" ref="J4688">IFERROR(INDEX('Retirement Calculator'!J:J,MATCH('Isaac 401k'!N4688,'Retirement Calculator'!A:A,0),0),0)</f>
        <v>0</v>
      </c>
      <c r="K4688" s="444">
        <f t="shared" ca="1" si="191"/>
        <v>-545244475621.61963</v>
      </c>
      <c r="L4688" s="444">
        <f t="shared" ca="1" si="192"/>
        <v>-131403918624810.33</v>
      </c>
      <c r="M4688" s="460">
        <f t="shared" si="194"/>
        <v>0.05</v>
      </c>
      <c r="N4688" s="464">
        <f t="shared" si="195"/>
        <v>193732</v>
      </c>
    </row>
    <row r="4689" spans="7:14" ht="11.25" customHeight="1" x14ac:dyDescent="0.25">
      <c r="G4689" s="459"/>
      <c r="H4689" s="459">
        <v>4682</v>
      </c>
      <c r="I4689" s="444">
        <f t="shared" ca="1" si="193"/>
        <v>-131403918624810.33</v>
      </c>
      <c r="J4689" s="444">
        <f t="array" ref="J4689">IFERROR(INDEX('Retirement Calculator'!J:J,MATCH('Isaac 401k'!N4689,'Retirement Calculator'!A:A,0),0),0)</f>
        <v>0</v>
      </c>
      <c r="K4689" s="444">
        <f t="shared" ca="1" si="191"/>
        <v>-547516327603.37634</v>
      </c>
      <c r="L4689" s="444">
        <f t="shared" ca="1" si="192"/>
        <v>-131951434952413.7</v>
      </c>
      <c r="M4689" s="460">
        <f t="shared" si="194"/>
        <v>0.05</v>
      </c>
      <c r="N4689" s="464">
        <f t="shared" si="195"/>
        <v>193762</v>
      </c>
    </row>
    <row r="4690" spans="7:14" ht="11.25" customHeight="1" x14ac:dyDescent="0.25">
      <c r="G4690" s="459"/>
      <c r="H4690" s="459">
        <v>4683</v>
      </c>
      <c r="I4690" s="444">
        <f t="shared" ca="1" si="193"/>
        <v>-131951434952413.7</v>
      </c>
      <c r="J4690" s="444">
        <f t="array" ref="J4690">IFERROR(INDEX('Retirement Calculator'!J:J,MATCH('Isaac 401k'!N4690,'Retirement Calculator'!A:A,0),0),0)</f>
        <v>0</v>
      </c>
      <c r="K4690" s="444">
        <f t="shared" ca="1" si="191"/>
        <v>-549797645635.05701</v>
      </c>
      <c r="L4690" s="444">
        <f t="shared" ca="1" si="192"/>
        <v>-132501232598048.77</v>
      </c>
      <c r="M4690" s="460">
        <f t="shared" si="194"/>
        <v>0.05</v>
      </c>
      <c r="N4690" s="464">
        <f t="shared" si="195"/>
        <v>193793</v>
      </c>
    </row>
    <row r="4691" spans="7:14" ht="11.25" customHeight="1" x14ac:dyDescent="0.25">
      <c r="G4691" s="459"/>
      <c r="H4691" s="459">
        <v>4684</v>
      </c>
      <c r="I4691" s="444">
        <f t="shared" ca="1" si="193"/>
        <v>-132501232598048.77</v>
      </c>
      <c r="J4691" s="444">
        <f t="array" ref="J4691">IFERROR(INDEX('Retirement Calculator'!J:J,MATCH('Isaac 401k'!N4691,'Retirement Calculator'!A:A,0),0),0)</f>
        <v>0</v>
      </c>
      <c r="K4691" s="444">
        <f t="shared" ca="1" si="191"/>
        <v>-552088469158.5365</v>
      </c>
      <c r="L4691" s="444">
        <f t="shared" ca="1" si="192"/>
        <v>-133053321067207.3</v>
      </c>
      <c r="M4691" s="460">
        <f t="shared" si="194"/>
        <v>0.05</v>
      </c>
      <c r="N4691" s="464">
        <f t="shared" si="195"/>
        <v>193824</v>
      </c>
    </row>
    <row r="4692" spans="7:14" ht="11.25" customHeight="1" x14ac:dyDescent="0.25">
      <c r="G4692" s="459"/>
      <c r="H4692" s="459">
        <v>4685</v>
      </c>
      <c r="I4692" s="444">
        <f t="shared" ca="1" si="193"/>
        <v>-133053321067207.3</v>
      </c>
      <c r="J4692" s="444">
        <f t="array" ref="J4692">IFERROR(INDEX('Retirement Calculator'!J:J,MATCH('Isaac 401k'!N4692,'Retirement Calculator'!A:A,0),0),0)</f>
        <v>0</v>
      </c>
      <c r="K4692" s="444">
        <f t="shared" ca="1" si="191"/>
        <v>-554388837780.0304</v>
      </c>
      <c r="L4692" s="444">
        <f t="shared" ca="1" si="192"/>
        <v>-133607709904987.33</v>
      </c>
      <c r="M4692" s="460">
        <f t="shared" si="194"/>
        <v>0.05</v>
      </c>
      <c r="N4692" s="464">
        <f t="shared" si="195"/>
        <v>193854</v>
      </c>
    </row>
    <row r="4693" spans="7:14" ht="11.25" customHeight="1" x14ac:dyDescent="0.25">
      <c r="G4693" s="459"/>
      <c r="H4693" s="459">
        <v>4686</v>
      </c>
      <c r="I4693" s="444">
        <f t="shared" ca="1" si="193"/>
        <v>-133607709904987.33</v>
      </c>
      <c r="J4693" s="444">
        <f t="array" ref="J4693">IFERROR(INDEX('Retirement Calculator'!J:J,MATCH('Isaac 401k'!N4693,'Retirement Calculator'!A:A,0),0),0)</f>
        <v>0</v>
      </c>
      <c r="K4693" s="444">
        <f t="shared" ca="1" si="191"/>
        <v>-556698791270.78052</v>
      </c>
      <c r="L4693" s="444">
        <f t="shared" ca="1" si="192"/>
        <v>-134164408696258.11</v>
      </c>
      <c r="M4693" s="460">
        <f t="shared" si="194"/>
        <v>0.05</v>
      </c>
      <c r="N4693" s="464">
        <f t="shared" si="195"/>
        <v>193885</v>
      </c>
    </row>
    <row r="4694" spans="7:14" ht="11.25" customHeight="1" x14ac:dyDescent="0.25">
      <c r="G4694" s="459"/>
      <c r="H4694" s="459">
        <v>4687</v>
      </c>
      <c r="I4694" s="444">
        <f t="shared" ca="1" si="193"/>
        <v>-134164408696258.11</v>
      </c>
      <c r="J4694" s="444">
        <f t="array" ref="J4694">IFERROR(INDEX('Retirement Calculator'!J:J,MATCH('Isaac 401k'!N4694,'Retirement Calculator'!A:A,0),0),0)</f>
        <v>0</v>
      </c>
      <c r="K4694" s="444">
        <f t="shared" ca="1" si="191"/>
        <v>-559018369567.74207</v>
      </c>
      <c r="L4694" s="444">
        <f t="shared" ca="1" si="192"/>
        <v>-134723427065825.84</v>
      </c>
      <c r="M4694" s="460">
        <f t="shared" si="194"/>
        <v>0.05</v>
      </c>
      <c r="N4694" s="464">
        <f t="shared" si="195"/>
        <v>193915</v>
      </c>
    </row>
    <row r="4695" spans="7:14" ht="11.25" customHeight="1" x14ac:dyDescent="0.25">
      <c r="G4695" s="459"/>
      <c r="H4695" s="459">
        <v>4688</v>
      </c>
      <c r="I4695" s="444">
        <f t="shared" ca="1" si="193"/>
        <v>-134723427065825.84</v>
      </c>
      <c r="J4695" s="444">
        <f t="array" ref="J4695">IFERROR(INDEX('Retirement Calculator'!J:J,MATCH('Isaac 401k'!N4695,'Retirement Calculator'!A:A,0),0),0)</f>
        <v>0</v>
      </c>
      <c r="K4695" s="444">
        <f t="shared" ca="1" si="191"/>
        <v>-561347612774.27429</v>
      </c>
      <c r="L4695" s="444">
        <f t="shared" ca="1" si="192"/>
        <v>-135284774678600.13</v>
      </c>
      <c r="M4695" s="460">
        <f t="shared" si="194"/>
        <v>0.05</v>
      </c>
      <c r="N4695" s="464">
        <f t="shared" si="195"/>
        <v>193946</v>
      </c>
    </row>
    <row r="4696" spans="7:14" ht="11.25" customHeight="1" x14ac:dyDescent="0.25">
      <c r="G4696" s="459"/>
      <c r="H4696" s="459">
        <v>4689</v>
      </c>
      <c r="I4696" s="444">
        <f t="shared" ca="1" si="193"/>
        <v>-135284774678600.13</v>
      </c>
      <c r="J4696" s="444">
        <f t="array" ref="J4696">IFERROR(INDEX('Retirement Calculator'!J:J,MATCH('Isaac 401k'!N4696,'Retirement Calculator'!A:A,0),0),0)</f>
        <v>0</v>
      </c>
      <c r="K4696" s="444">
        <f t="shared" ca="1" si="191"/>
        <v>-563686561160.83386</v>
      </c>
      <c r="L4696" s="444">
        <f t="shared" ca="1" si="192"/>
        <v>-135848461239760.95</v>
      </c>
      <c r="M4696" s="460">
        <f t="shared" si="194"/>
        <v>0.05</v>
      </c>
      <c r="N4696" s="464">
        <f t="shared" si="195"/>
        <v>193977</v>
      </c>
    </row>
    <row r="4697" spans="7:14" ht="11.25" customHeight="1" x14ac:dyDescent="0.25">
      <c r="G4697" s="459"/>
      <c r="H4697" s="459">
        <v>4690</v>
      </c>
      <c r="I4697" s="444">
        <f t="shared" ca="1" si="193"/>
        <v>-135848461239760.95</v>
      </c>
      <c r="J4697" s="444">
        <f t="array" ref="J4697">IFERROR(INDEX('Retirement Calculator'!J:J,MATCH('Isaac 401k'!N4697,'Retirement Calculator'!A:A,0),0),0)</f>
        <v>0</v>
      </c>
      <c r="K4697" s="444">
        <f t="shared" ca="1" si="191"/>
        <v>-566035255165.67065</v>
      </c>
      <c r="L4697" s="444">
        <f t="shared" ca="1" si="192"/>
        <v>-136414496494926.63</v>
      </c>
      <c r="M4697" s="460">
        <f t="shared" si="194"/>
        <v>0.05</v>
      </c>
      <c r="N4697" s="464">
        <f t="shared" si="195"/>
        <v>194005</v>
      </c>
    </row>
    <row r="4698" spans="7:14" ht="11.25" customHeight="1" x14ac:dyDescent="0.25">
      <c r="G4698" s="459"/>
      <c r="H4698" s="459">
        <v>4691</v>
      </c>
      <c r="I4698" s="444">
        <f t="shared" ca="1" si="193"/>
        <v>-136414496494926.63</v>
      </c>
      <c r="J4698" s="444">
        <f t="array" ref="J4698">IFERROR(INDEX('Retirement Calculator'!J:J,MATCH('Isaac 401k'!N4698,'Retirement Calculator'!A:A,0),0),0)</f>
        <v>0</v>
      </c>
      <c r="K4698" s="444">
        <f t="shared" ca="1" si="191"/>
        <v>-568393735395.52759</v>
      </c>
      <c r="L4698" s="444">
        <f t="shared" ca="1" si="192"/>
        <v>-136982890230322.16</v>
      </c>
      <c r="M4698" s="460">
        <f t="shared" si="194"/>
        <v>0.05</v>
      </c>
      <c r="N4698" s="464">
        <f t="shared" si="195"/>
        <v>194036</v>
      </c>
    </row>
    <row r="4699" spans="7:14" ht="11.25" customHeight="1" x14ac:dyDescent="0.25">
      <c r="G4699" s="459"/>
      <c r="H4699" s="459">
        <v>4692</v>
      </c>
      <c r="I4699" s="444">
        <f t="shared" ca="1" si="193"/>
        <v>-136982890230322.16</v>
      </c>
      <c r="J4699" s="444">
        <f t="array" ref="J4699">IFERROR(INDEX('Retirement Calculator'!J:J,MATCH('Isaac 401k'!N4699,'Retirement Calculator'!A:A,0),0),0)</f>
        <v>0</v>
      </c>
      <c r="K4699" s="444">
        <f t="shared" ca="1" si="191"/>
        <v>-570762042626.34229</v>
      </c>
      <c r="L4699" s="444">
        <f t="shared" ca="1" si="192"/>
        <v>-137553652272948.5</v>
      </c>
      <c r="M4699" s="460">
        <f t="shared" si="194"/>
        <v>0.05</v>
      </c>
      <c r="N4699" s="464">
        <f t="shared" si="195"/>
        <v>194066</v>
      </c>
    </row>
    <row r="4700" spans="7:14" ht="11.25" customHeight="1" x14ac:dyDescent="0.25">
      <c r="G4700" s="459"/>
      <c r="H4700" s="459">
        <v>4693</v>
      </c>
      <c r="I4700" s="444">
        <f t="shared" ca="1" si="193"/>
        <v>-137553652272948.5</v>
      </c>
      <c r="J4700" s="444">
        <f t="array" ref="J4700">IFERROR(INDEX('Retirement Calculator'!J:J,MATCH('Isaac 401k'!N4700,'Retirement Calculator'!A:A,0),0),0)</f>
        <v>0</v>
      </c>
      <c r="K4700" s="444">
        <f t="shared" ca="1" si="191"/>
        <v>-573140217803.95203</v>
      </c>
      <c r="L4700" s="444">
        <f t="shared" ca="1" si="192"/>
        <v>-138126792490752.45</v>
      </c>
      <c r="M4700" s="460">
        <f t="shared" si="194"/>
        <v>0.05</v>
      </c>
      <c r="N4700" s="464">
        <f t="shared" si="195"/>
        <v>194097</v>
      </c>
    </row>
    <row r="4701" spans="7:14" ht="11.25" customHeight="1" x14ac:dyDescent="0.25">
      <c r="G4701" s="459"/>
      <c r="H4701" s="459">
        <v>4694</v>
      </c>
      <c r="I4701" s="444">
        <f t="shared" ca="1" si="193"/>
        <v>-138126792490752.45</v>
      </c>
      <c r="J4701" s="444">
        <f t="array" ref="J4701">IFERROR(INDEX('Retirement Calculator'!J:J,MATCH('Isaac 401k'!N4701,'Retirement Calculator'!A:A,0),0),0)</f>
        <v>0</v>
      </c>
      <c r="K4701" s="444">
        <f t="shared" ca="1" si="191"/>
        <v>-575528302044.80188</v>
      </c>
      <c r="L4701" s="444">
        <f t="shared" ca="1" si="192"/>
        <v>-138702320792797.25</v>
      </c>
      <c r="M4701" s="460">
        <f t="shared" si="194"/>
        <v>0.05</v>
      </c>
      <c r="N4701" s="464">
        <f t="shared" si="195"/>
        <v>194127</v>
      </c>
    </row>
    <row r="4702" spans="7:14" ht="11.25" customHeight="1" x14ac:dyDescent="0.25">
      <c r="G4702" s="459"/>
      <c r="H4702" s="459">
        <v>4695</v>
      </c>
      <c r="I4702" s="444">
        <f t="shared" ca="1" si="193"/>
        <v>-138702320792797.25</v>
      </c>
      <c r="J4702" s="444">
        <f t="array" ref="J4702">IFERROR(INDEX('Retirement Calculator'!J:J,MATCH('Isaac 401k'!N4702,'Retirement Calculator'!A:A,0),0),0)</f>
        <v>0</v>
      </c>
      <c r="K4702" s="444">
        <f t="shared" ca="1" si="191"/>
        <v>-577926336636.65515</v>
      </c>
      <c r="L4702" s="444">
        <f t="shared" ca="1" si="192"/>
        <v>-139280247129433.91</v>
      </c>
      <c r="M4702" s="460">
        <f t="shared" si="194"/>
        <v>0.05</v>
      </c>
      <c r="N4702" s="464">
        <f t="shared" si="195"/>
        <v>194158</v>
      </c>
    </row>
    <row r="4703" spans="7:14" ht="11.25" customHeight="1" x14ac:dyDescent="0.25">
      <c r="G4703" s="459"/>
      <c r="H4703" s="459">
        <v>4696</v>
      </c>
      <c r="I4703" s="444">
        <f t="shared" ca="1" si="193"/>
        <v>-139280247129433.91</v>
      </c>
      <c r="J4703" s="444">
        <f t="array" ref="J4703">IFERROR(INDEX('Retirement Calculator'!J:J,MATCH('Isaac 401k'!N4703,'Retirement Calculator'!A:A,0),0),0)</f>
        <v>0</v>
      </c>
      <c r="K4703" s="444">
        <f t="shared" ca="1" si="191"/>
        <v>-580334363039.30798</v>
      </c>
      <c r="L4703" s="444">
        <f t="shared" ca="1" si="192"/>
        <v>-139860581492473.22</v>
      </c>
      <c r="M4703" s="460">
        <f t="shared" si="194"/>
        <v>0.05</v>
      </c>
      <c r="N4703" s="464">
        <f t="shared" si="195"/>
        <v>194189</v>
      </c>
    </row>
    <row r="4704" spans="7:14" ht="11.25" customHeight="1" x14ac:dyDescent="0.25">
      <c r="G4704" s="459"/>
      <c r="H4704" s="459">
        <v>4697</v>
      </c>
      <c r="I4704" s="444">
        <f t="shared" ca="1" si="193"/>
        <v>-139860581492473.22</v>
      </c>
      <c r="J4704" s="444">
        <f t="array" ref="J4704">IFERROR(INDEX('Retirement Calculator'!J:J,MATCH('Isaac 401k'!N4704,'Retirement Calculator'!A:A,0),0),0)</f>
        <v>0</v>
      </c>
      <c r="K4704" s="444">
        <f t="shared" ca="1" si="191"/>
        <v>-582752422885.30505</v>
      </c>
      <c r="L4704" s="444">
        <f t="shared" ca="1" si="192"/>
        <v>-140443333915358.53</v>
      </c>
      <c r="M4704" s="460">
        <f t="shared" si="194"/>
        <v>0.05</v>
      </c>
      <c r="N4704" s="464">
        <f t="shared" si="195"/>
        <v>194219</v>
      </c>
    </row>
    <row r="4705" spans="7:14" ht="11.25" customHeight="1" x14ac:dyDescent="0.25">
      <c r="G4705" s="459"/>
      <c r="H4705" s="459">
        <v>4698</v>
      </c>
      <c r="I4705" s="444">
        <f t="shared" ca="1" si="193"/>
        <v>-140443333915358.53</v>
      </c>
      <c r="J4705" s="444">
        <f t="array" ref="J4705">IFERROR(INDEX('Retirement Calculator'!J:J,MATCH('Isaac 401k'!N4705,'Retirement Calculator'!A:A,0),0),0)</f>
        <v>0</v>
      </c>
      <c r="K4705" s="444">
        <f t="shared" ca="1" si="191"/>
        <v>-585180557980.66052</v>
      </c>
      <c r="L4705" s="444">
        <f t="shared" ca="1" si="192"/>
        <v>-141028514473339.19</v>
      </c>
      <c r="M4705" s="460">
        <f t="shared" si="194"/>
        <v>0.05</v>
      </c>
      <c r="N4705" s="464">
        <f t="shared" si="195"/>
        <v>194250</v>
      </c>
    </row>
    <row r="4706" spans="7:14" ht="11.25" customHeight="1" x14ac:dyDescent="0.25">
      <c r="G4706" s="459"/>
      <c r="H4706" s="459">
        <v>4699</v>
      </c>
      <c r="I4706" s="444">
        <f t="shared" ca="1" si="193"/>
        <v>-141028514473339.19</v>
      </c>
      <c r="J4706" s="444">
        <f t="array" ref="J4706">IFERROR(INDEX('Retirement Calculator'!J:J,MATCH('Isaac 401k'!N4706,'Retirement Calculator'!A:A,0),0),0)</f>
        <v>0</v>
      </c>
      <c r="K4706" s="444">
        <f t="shared" ca="1" si="191"/>
        <v>-587618810305.57996</v>
      </c>
      <c r="L4706" s="444">
        <f t="shared" ca="1" si="192"/>
        <v>-141616133283644.78</v>
      </c>
      <c r="M4706" s="460">
        <f t="shared" si="194"/>
        <v>0.05</v>
      </c>
      <c r="N4706" s="464">
        <f t="shared" si="195"/>
        <v>194280</v>
      </c>
    </row>
    <row r="4707" spans="7:14" ht="11.25" customHeight="1" x14ac:dyDescent="0.25">
      <c r="G4707" s="459"/>
      <c r="H4707" s="459">
        <v>4700</v>
      </c>
      <c r="I4707" s="444">
        <f t="shared" ca="1" si="193"/>
        <v>-141616133283644.78</v>
      </c>
      <c r="J4707" s="444">
        <f t="array" ref="J4707">IFERROR(INDEX('Retirement Calculator'!J:J,MATCH('Isaac 401k'!N4707,'Retirement Calculator'!A:A,0),0),0)</f>
        <v>0</v>
      </c>
      <c r="K4707" s="444">
        <f t="shared" ca="1" si="191"/>
        <v>-590067222015.18652</v>
      </c>
      <c r="L4707" s="444">
        <f t="shared" ca="1" si="192"/>
        <v>-142206200505659.97</v>
      </c>
      <c r="M4707" s="460">
        <f t="shared" si="194"/>
        <v>0.05</v>
      </c>
      <c r="N4707" s="464">
        <f t="shared" si="195"/>
        <v>194311</v>
      </c>
    </row>
    <row r="4708" spans="7:14" ht="11.25" customHeight="1" x14ac:dyDescent="0.25">
      <c r="G4708" s="459"/>
      <c r="H4708" s="459">
        <v>4701</v>
      </c>
      <c r="I4708" s="444">
        <f t="shared" ca="1" si="193"/>
        <v>-142206200505659.97</v>
      </c>
      <c r="J4708" s="444">
        <f t="array" ref="J4708">IFERROR(INDEX('Retirement Calculator'!J:J,MATCH('Isaac 401k'!N4708,'Retirement Calculator'!A:A,0),0),0)</f>
        <v>0</v>
      </c>
      <c r="K4708" s="444">
        <f t="shared" ca="1" si="191"/>
        <v>-592525835440.24988</v>
      </c>
      <c r="L4708" s="444">
        <f t="shared" ca="1" si="192"/>
        <v>-142798726341100.22</v>
      </c>
      <c r="M4708" s="460">
        <f t="shared" si="194"/>
        <v>0.05</v>
      </c>
      <c r="N4708" s="464">
        <f t="shared" si="195"/>
        <v>194342</v>
      </c>
    </row>
    <row r="4709" spans="7:14" ht="11.25" customHeight="1" x14ac:dyDescent="0.25">
      <c r="G4709" s="459"/>
      <c r="H4709" s="459">
        <v>4702</v>
      </c>
      <c r="I4709" s="444">
        <f t="shared" ca="1" si="193"/>
        <v>-142798726341100.22</v>
      </c>
      <c r="J4709" s="444">
        <f t="array" ref="J4709">IFERROR(INDEX('Retirement Calculator'!J:J,MATCH('Isaac 401k'!N4709,'Retirement Calculator'!A:A,0),0),0)</f>
        <v>0</v>
      </c>
      <c r="K4709" s="444">
        <f t="shared" ca="1" si="191"/>
        <v>-594994693087.9176</v>
      </c>
      <c r="L4709" s="444">
        <f t="shared" ca="1" si="192"/>
        <v>-143393721034188.13</v>
      </c>
      <c r="M4709" s="460">
        <f t="shared" si="194"/>
        <v>0.05</v>
      </c>
      <c r="N4709" s="464">
        <f t="shared" si="195"/>
        <v>194371</v>
      </c>
    </row>
    <row r="4710" spans="7:14" ht="11.25" customHeight="1" x14ac:dyDescent="0.25">
      <c r="G4710" s="459"/>
      <c r="H4710" s="459">
        <v>4703</v>
      </c>
      <c r="I4710" s="444">
        <f t="shared" ca="1" si="193"/>
        <v>-143393721034188.13</v>
      </c>
      <c r="J4710" s="444">
        <f t="array" ref="J4710">IFERROR(INDEX('Retirement Calculator'!J:J,MATCH('Isaac 401k'!N4710,'Retirement Calculator'!A:A,0),0),0)</f>
        <v>0</v>
      </c>
      <c r="K4710" s="444">
        <f t="shared" ca="1" si="191"/>
        <v>-597473837642.45056</v>
      </c>
      <c r="L4710" s="444">
        <f t="shared" ca="1" si="192"/>
        <v>-143991194871830.56</v>
      </c>
      <c r="M4710" s="460">
        <f t="shared" si="194"/>
        <v>0.05</v>
      </c>
      <c r="N4710" s="464">
        <f t="shared" si="195"/>
        <v>194402</v>
      </c>
    </row>
    <row r="4711" spans="7:14" ht="11.25" customHeight="1" x14ac:dyDescent="0.25">
      <c r="G4711" s="459"/>
      <c r="H4711" s="459">
        <v>4704</v>
      </c>
      <c r="I4711" s="444">
        <f t="shared" ca="1" si="193"/>
        <v>-143991194871830.56</v>
      </c>
      <c r="J4711" s="444">
        <f t="array" ref="J4711">IFERROR(INDEX('Retirement Calculator'!J:J,MATCH('Isaac 401k'!N4711,'Retirement Calculator'!A:A,0),0),0)</f>
        <v>0</v>
      </c>
      <c r="K4711" s="444">
        <f t="shared" ca="1" si="191"/>
        <v>-599963311965.96069</v>
      </c>
      <c r="L4711" s="444">
        <f t="shared" ca="1" si="192"/>
        <v>-144591158183796.53</v>
      </c>
      <c r="M4711" s="460">
        <f t="shared" si="194"/>
        <v>0.05</v>
      </c>
      <c r="N4711" s="464">
        <f t="shared" si="195"/>
        <v>194432</v>
      </c>
    </row>
    <row r="4712" spans="7:14" ht="11.25" customHeight="1" x14ac:dyDescent="0.25">
      <c r="G4712" s="459"/>
      <c r="H4712" s="459">
        <v>4705</v>
      </c>
      <c r="I4712" s="444">
        <f t="shared" ca="1" si="193"/>
        <v>-144591158183796.53</v>
      </c>
      <c r="J4712" s="444">
        <f t="array" ref="J4712">IFERROR(INDEX('Retirement Calculator'!J:J,MATCH('Isaac 401k'!N4712,'Retirement Calculator'!A:A,0),0),0)</f>
        <v>0</v>
      </c>
      <c r="K4712" s="444">
        <f t="shared" ca="1" si="191"/>
        <v>-602463159099.15222</v>
      </c>
      <c r="L4712" s="444">
        <f t="shared" ca="1" si="192"/>
        <v>-145193621342895.69</v>
      </c>
      <c r="M4712" s="460">
        <f t="shared" si="194"/>
        <v>0.05</v>
      </c>
      <c r="N4712" s="464">
        <f t="shared" si="195"/>
        <v>194463</v>
      </c>
    </row>
    <row r="4713" spans="7:14" ht="11.25" customHeight="1" x14ac:dyDescent="0.25">
      <c r="G4713" s="459"/>
      <c r="H4713" s="459">
        <v>4706</v>
      </c>
      <c r="I4713" s="444">
        <f t="shared" ca="1" si="193"/>
        <v>-145193621342895.69</v>
      </c>
      <c r="J4713" s="444">
        <f t="array" ref="J4713">IFERROR(INDEX('Retirement Calculator'!J:J,MATCH('Isaac 401k'!N4713,'Retirement Calculator'!A:A,0),0),0)</f>
        <v>0</v>
      </c>
      <c r="K4713" s="444">
        <f t="shared" ca="1" si="191"/>
        <v>-604973422262.06531</v>
      </c>
      <c r="L4713" s="444">
        <f t="shared" ca="1" si="192"/>
        <v>-145798594765157.75</v>
      </c>
      <c r="M4713" s="460">
        <f t="shared" si="194"/>
        <v>0.05</v>
      </c>
      <c r="N4713" s="464">
        <f t="shared" si="195"/>
        <v>194493</v>
      </c>
    </row>
    <row r="4714" spans="7:14" ht="11.25" customHeight="1" x14ac:dyDescent="0.25">
      <c r="G4714" s="459"/>
      <c r="H4714" s="459">
        <v>4707</v>
      </c>
      <c r="I4714" s="444">
        <f t="shared" ca="1" si="193"/>
        <v>-145798594765157.75</v>
      </c>
      <c r="J4714" s="444">
        <f t="array" ref="J4714">IFERROR(INDEX('Retirement Calculator'!J:J,MATCH('Isaac 401k'!N4714,'Retirement Calculator'!A:A,0),0),0)</f>
        <v>0</v>
      </c>
      <c r="K4714" s="444">
        <f t="shared" ca="1" si="191"/>
        <v>-607494144854.82397</v>
      </c>
      <c r="L4714" s="444">
        <f t="shared" ca="1" si="192"/>
        <v>-146406088910012.56</v>
      </c>
      <c r="M4714" s="460">
        <f t="shared" si="194"/>
        <v>0.05</v>
      </c>
      <c r="N4714" s="464">
        <f t="shared" si="195"/>
        <v>194524</v>
      </c>
    </row>
    <row r="4715" spans="7:14" ht="11.25" customHeight="1" x14ac:dyDescent="0.25">
      <c r="G4715" s="459"/>
      <c r="H4715" s="459">
        <v>4708</v>
      </c>
      <c r="I4715" s="444">
        <f t="shared" ca="1" si="193"/>
        <v>-146406088910012.56</v>
      </c>
      <c r="J4715" s="444">
        <f t="array" ref="J4715">IFERROR(INDEX('Retirement Calculator'!J:J,MATCH('Isaac 401k'!N4715,'Retirement Calculator'!A:A,0),0),0)</f>
        <v>0</v>
      </c>
      <c r="K4715" s="444">
        <f t="shared" ca="1" si="191"/>
        <v>-610025370458.38562</v>
      </c>
      <c r="L4715" s="444">
        <f t="shared" ca="1" si="192"/>
        <v>-147016114280470.94</v>
      </c>
      <c r="M4715" s="460">
        <f t="shared" si="194"/>
        <v>0.05</v>
      </c>
      <c r="N4715" s="464">
        <f t="shared" si="195"/>
        <v>194555</v>
      </c>
    </row>
    <row r="4716" spans="7:14" ht="11.25" customHeight="1" x14ac:dyDescent="0.25">
      <c r="G4716" s="459"/>
      <c r="H4716" s="459">
        <v>4709</v>
      </c>
      <c r="I4716" s="444">
        <f t="shared" ca="1" si="193"/>
        <v>-147016114280470.94</v>
      </c>
      <c r="J4716" s="444">
        <f t="array" ref="J4716">IFERROR(INDEX('Retirement Calculator'!J:J,MATCH('Isaac 401k'!N4716,'Retirement Calculator'!A:A,0),0),0)</f>
        <v>0</v>
      </c>
      <c r="K4716" s="444">
        <f t="shared" ca="1" si="191"/>
        <v>-612567142835.29553</v>
      </c>
      <c r="L4716" s="444">
        <f t="shared" ca="1" si="192"/>
        <v>-147628681423306.22</v>
      </c>
      <c r="M4716" s="460">
        <f t="shared" si="194"/>
        <v>0.05</v>
      </c>
      <c r="N4716" s="464">
        <f t="shared" si="195"/>
        <v>194585</v>
      </c>
    </row>
    <row r="4717" spans="7:14" ht="11.25" customHeight="1" x14ac:dyDescent="0.25">
      <c r="G4717" s="459"/>
      <c r="H4717" s="459">
        <v>4710</v>
      </c>
      <c r="I4717" s="444">
        <f t="shared" ca="1" si="193"/>
        <v>-147628681423306.22</v>
      </c>
      <c r="J4717" s="444">
        <f t="array" ref="J4717">IFERROR(INDEX('Retirement Calculator'!J:J,MATCH('Isaac 401k'!N4717,'Retirement Calculator'!A:A,0),0),0)</f>
        <v>0</v>
      </c>
      <c r="K4717" s="444">
        <f t="shared" ca="1" si="191"/>
        <v>-615119505930.44263</v>
      </c>
      <c r="L4717" s="444">
        <f t="shared" ca="1" si="192"/>
        <v>-148243800929236.66</v>
      </c>
      <c r="M4717" s="460">
        <f t="shared" si="194"/>
        <v>0.05</v>
      </c>
      <c r="N4717" s="464">
        <f t="shared" si="195"/>
        <v>194616</v>
      </c>
    </row>
    <row r="4718" spans="7:14" ht="11.25" customHeight="1" x14ac:dyDescent="0.25">
      <c r="G4718" s="459"/>
      <c r="H4718" s="459">
        <v>4711</v>
      </c>
      <c r="I4718" s="444">
        <f t="shared" ca="1" si="193"/>
        <v>-148243800929236.66</v>
      </c>
      <c r="J4718" s="444">
        <f t="array" ref="J4718">IFERROR(INDEX('Retirement Calculator'!J:J,MATCH('Isaac 401k'!N4718,'Retirement Calculator'!A:A,0),0),0)</f>
        <v>0</v>
      </c>
      <c r="K4718" s="444">
        <f t="shared" ca="1" si="191"/>
        <v>-617682503871.81934</v>
      </c>
      <c r="L4718" s="444">
        <f t="shared" ca="1" si="192"/>
        <v>-148861483433108.47</v>
      </c>
      <c r="M4718" s="460">
        <f t="shared" si="194"/>
        <v>0.05</v>
      </c>
      <c r="N4718" s="464">
        <f t="shared" si="195"/>
        <v>194646</v>
      </c>
    </row>
    <row r="4719" spans="7:14" ht="11.25" customHeight="1" x14ac:dyDescent="0.25">
      <c r="G4719" s="459"/>
      <c r="H4719" s="459">
        <v>4712</v>
      </c>
      <c r="I4719" s="444">
        <f t="shared" ca="1" si="193"/>
        <v>-148861483433108.47</v>
      </c>
      <c r="J4719" s="444">
        <f t="array" ref="J4719">IFERROR(INDEX('Retirement Calculator'!J:J,MATCH('Isaac 401k'!N4719,'Retirement Calculator'!A:A,0),0),0)</f>
        <v>0</v>
      </c>
      <c r="K4719" s="444">
        <f t="shared" ca="1" si="191"/>
        <v>-620256180971.28528</v>
      </c>
      <c r="L4719" s="444">
        <f t="shared" ca="1" si="192"/>
        <v>-149481739614079.75</v>
      </c>
      <c r="M4719" s="460">
        <f t="shared" si="194"/>
        <v>0.05</v>
      </c>
      <c r="N4719" s="464">
        <f t="shared" si="195"/>
        <v>194677</v>
      </c>
    </row>
    <row r="4720" spans="7:14" ht="11.25" customHeight="1" x14ac:dyDescent="0.25">
      <c r="G4720" s="459"/>
      <c r="H4720" s="459">
        <v>4713</v>
      </c>
      <c r="I4720" s="444">
        <f t="shared" ca="1" si="193"/>
        <v>-149481739614079.75</v>
      </c>
      <c r="J4720" s="444">
        <f t="array" ref="J4720">IFERROR(INDEX('Retirement Calculator'!J:J,MATCH('Isaac 401k'!N4720,'Retirement Calculator'!A:A,0),0),0)</f>
        <v>0</v>
      </c>
      <c r="K4720" s="444">
        <f t="shared" ca="1" si="191"/>
        <v>-622840581725.33228</v>
      </c>
      <c r="L4720" s="444">
        <f t="shared" ca="1" si="192"/>
        <v>-150104580195805.09</v>
      </c>
      <c r="M4720" s="460">
        <f t="shared" si="194"/>
        <v>0.05</v>
      </c>
      <c r="N4720" s="464">
        <f t="shared" si="195"/>
        <v>194708</v>
      </c>
    </row>
    <row r="4721" spans="7:14" ht="11.25" customHeight="1" x14ac:dyDescent="0.25">
      <c r="G4721" s="459"/>
      <c r="H4721" s="459">
        <v>4714</v>
      </c>
      <c r="I4721" s="444">
        <f t="shared" ca="1" si="193"/>
        <v>-150104580195805.09</v>
      </c>
      <c r="J4721" s="444">
        <f t="array" ref="J4721">IFERROR(INDEX('Retirement Calculator'!J:J,MATCH('Isaac 401k'!N4721,'Retirement Calculator'!A:A,0),0),0)</f>
        <v>0</v>
      </c>
      <c r="K4721" s="444">
        <f t="shared" ca="1" si="191"/>
        <v>-625435750815.85449</v>
      </c>
      <c r="L4721" s="444">
        <f t="shared" ca="1" si="192"/>
        <v>-150730015946620.94</v>
      </c>
      <c r="M4721" s="460">
        <f t="shared" si="194"/>
        <v>0.05</v>
      </c>
      <c r="N4721" s="464">
        <f t="shared" si="195"/>
        <v>194736</v>
      </c>
    </row>
    <row r="4722" spans="7:14" ht="11.25" customHeight="1" x14ac:dyDescent="0.25">
      <c r="G4722" s="459"/>
      <c r="H4722" s="459">
        <v>4715</v>
      </c>
      <c r="I4722" s="444">
        <f t="shared" ca="1" si="193"/>
        <v>-150730015946620.94</v>
      </c>
      <c r="J4722" s="444">
        <f t="array" ref="J4722">IFERROR(INDEX('Retirement Calculator'!J:J,MATCH('Isaac 401k'!N4722,'Retirement Calculator'!A:A,0),0),0)</f>
        <v>0</v>
      </c>
      <c r="K4722" s="444">
        <f t="shared" ca="1" si="191"/>
        <v>-628041733110.92053</v>
      </c>
      <c r="L4722" s="444">
        <f t="shared" ca="1" si="192"/>
        <v>-151358057679731.84</v>
      </c>
      <c r="M4722" s="460">
        <f t="shared" si="194"/>
        <v>0.05</v>
      </c>
      <c r="N4722" s="464">
        <f t="shared" si="195"/>
        <v>194767</v>
      </c>
    </row>
    <row r="4723" spans="7:14" ht="11.25" customHeight="1" x14ac:dyDescent="0.25">
      <c r="G4723" s="459"/>
      <c r="H4723" s="459">
        <v>4716</v>
      </c>
      <c r="I4723" s="444">
        <f t="shared" ca="1" si="193"/>
        <v>-151358057679731.84</v>
      </c>
      <c r="J4723" s="444">
        <f t="array" ref="J4723">IFERROR(INDEX('Retirement Calculator'!J:J,MATCH('Isaac 401k'!N4723,'Retirement Calculator'!A:A,0),0),0)</f>
        <v>0</v>
      </c>
      <c r="K4723" s="444">
        <f t="shared" ca="1" si="191"/>
        <v>-630658573665.54932</v>
      </c>
      <c r="L4723" s="444">
        <f t="shared" ca="1" si="192"/>
        <v>-151988716253397.41</v>
      </c>
      <c r="M4723" s="460">
        <f t="shared" si="194"/>
        <v>0.05</v>
      </c>
      <c r="N4723" s="464">
        <f t="shared" si="195"/>
        <v>194797</v>
      </c>
    </row>
    <row r="4724" spans="7:14" ht="11.25" customHeight="1" x14ac:dyDescent="0.25">
      <c r="G4724" s="459"/>
      <c r="H4724" s="459">
        <v>4717</v>
      </c>
      <c r="I4724" s="444">
        <f t="shared" ca="1" si="193"/>
        <v>-151988716253397.41</v>
      </c>
      <c r="J4724" s="444">
        <f t="array" ref="J4724">IFERROR(INDEX('Retirement Calculator'!J:J,MATCH('Isaac 401k'!N4724,'Retirement Calculator'!A:A,0),0),0)</f>
        <v>0</v>
      </c>
      <c r="K4724" s="444">
        <f t="shared" ca="1" si="191"/>
        <v>-633286317722.48914</v>
      </c>
      <c r="L4724" s="444">
        <f t="shared" ca="1" si="192"/>
        <v>-152622002571119.91</v>
      </c>
      <c r="M4724" s="460">
        <f t="shared" si="194"/>
        <v>0.05</v>
      </c>
      <c r="N4724" s="464">
        <f t="shared" si="195"/>
        <v>194828</v>
      </c>
    </row>
    <row r="4725" spans="7:14" ht="11.25" customHeight="1" x14ac:dyDescent="0.25">
      <c r="G4725" s="459"/>
      <c r="H4725" s="459">
        <v>4718</v>
      </c>
      <c r="I4725" s="444">
        <f t="shared" ca="1" si="193"/>
        <v>-152622002571119.91</v>
      </c>
      <c r="J4725" s="444">
        <f t="array" ref="J4725">IFERROR(INDEX('Retirement Calculator'!J:J,MATCH('Isaac 401k'!N4725,'Retirement Calculator'!A:A,0),0),0)</f>
        <v>0</v>
      </c>
      <c r="K4725" s="444">
        <f t="shared" ca="1" si="191"/>
        <v>-635925010712.99963</v>
      </c>
      <c r="L4725" s="444">
        <f t="shared" ca="1" si="192"/>
        <v>-153257927581832.91</v>
      </c>
      <c r="M4725" s="460">
        <f t="shared" si="194"/>
        <v>0.05</v>
      </c>
      <c r="N4725" s="464">
        <f t="shared" si="195"/>
        <v>194858</v>
      </c>
    </row>
    <row r="4726" spans="7:14" ht="11.25" customHeight="1" x14ac:dyDescent="0.25">
      <c r="G4726" s="459"/>
      <c r="H4726" s="459">
        <v>4719</v>
      </c>
      <c r="I4726" s="444">
        <f t="shared" ca="1" si="193"/>
        <v>-153257927581832.91</v>
      </c>
      <c r="J4726" s="444">
        <f t="array" ref="J4726">IFERROR(INDEX('Retirement Calculator'!J:J,MATCH('Isaac 401k'!N4726,'Retirement Calculator'!A:A,0),0),0)</f>
        <v>0</v>
      </c>
      <c r="K4726" s="444">
        <f t="shared" ca="1" si="191"/>
        <v>-638574698257.63708</v>
      </c>
      <c r="L4726" s="444">
        <f t="shared" ca="1" si="192"/>
        <v>-153896502280090.53</v>
      </c>
      <c r="M4726" s="460">
        <f t="shared" si="194"/>
        <v>0.05</v>
      </c>
      <c r="N4726" s="464">
        <f t="shared" si="195"/>
        <v>194889</v>
      </c>
    </row>
    <row r="4727" spans="7:14" ht="11.25" customHeight="1" x14ac:dyDescent="0.25">
      <c r="G4727" s="459"/>
      <c r="H4727" s="459">
        <v>4720</v>
      </c>
      <c r="I4727" s="444">
        <f t="shared" ca="1" si="193"/>
        <v>-153896502280090.53</v>
      </c>
      <c r="J4727" s="444">
        <f t="array" ref="J4727">IFERROR(INDEX('Retirement Calculator'!J:J,MATCH('Isaac 401k'!N4727,'Retirement Calculator'!A:A,0),0),0)</f>
        <v>0</v>
      </c>
      <c r="K4727" s="444">
        <f t="shared" ca="1" si="191"/>
        <v>-641235426167.04382</v>
      </c>
      <c r="L4727" s="444">
        <f t="shared" ca="1" si="192"/>
        <v>-154537737706257.56</v>
      </c>
      <c r="M4727" s="460">
        <f t="shared" si="194"/>
        <v>0.05</v>
      </c>
      <c r="N4727" s="464">
        <f t="shared" si="195"/>
        <v>194920</v>
      </c>
    </row>
    <row r="4728" spans="7:14" ht="11.25" customHeight="1" x14ac:dyDescent="0.25">
      <c r="G4728" s="459"/>
      <c r="H4728" s="459">
        <v>4721</v>
      </c>
      <c r="I4728" s="444">
        <f t="shared" ca="1" si="193"/>
        <v>-154537737706257.56</v>
      </c>
      <c r="J4728" s="444">
        <f t="array" ref="J4728">IFERROR(INDEX('Retirement Calculator'!J:J,MATCH('Isaac 401k'!N4728,'Retirement Calculator'!A:A,0),0),0)</f>
        <v>0</v>
      </c>
      <c r="K4728" s="444">
        <f t="shared" ca="1" si="191"/>
        <v>-643907240442.73987</v>
      </c>
      <c r="L4728" s="444">
        <f t="shared" ca="1" si="192"/>
        <v>-155181644946700.31</v>
      </c>
      <c r="M4728" s="460">
        <f t="shared" si="194"/>
        <v>0.05</v>
      </c>
      <c r="N4728" s="464">
        <f t="shared" si="195"/>
        <v>194950</v>
      </c>
    </row>
    <row r="4729" spans="7:14" ht="11.25" customHeight="1" x14ac:dyDescent="0.25">
      <c r="G4729" s="459"/>
      <c r="H4729" s="459">
        <v>4722</v>
      </c>
      <c r="I4729" s="444">
        <f t="shared" ca="1" si="193"/>
        <v>-155181644946700.31</v>
      </c>
      <c r="J4729" s="444">
        <f t="array" ref="J4729">IFERROR(INDEX('Retirement Calculator'!J:J,MATCH('Isaac 401k'!N4729,'Retirement Calculator'!A:A,0),0),0)</f>
        <v>0</v>
      </c>
      <c r="K4729" s="444">
        <f t="shared" ca="1" si="191"/>
        <v>-646590187277.91797</v>
      </c>
      <c r="L4729" s="444">
        <f t="shared" ca="1" si="192"/>
        <v>-155828235133978.22</v>
      </c>
      <c r="M4729" s="460">
        <f t="shared" si="194"/>
        <v>0.05</v>
      </c>
      <c r="N4729" s="464">
        <f t="shared" si="195"/>
        <v>194981</v>
      </c>
    </row>
    <row r="4730" spans="7:14" ht="11.25" customHeight="1" x14ac:dyDescent="0.25">
      <c r="G4730" s="459"/>
      <c r="H4730" s="459">
        <v>4723</v>
      </c>
      <c r="I4730" s="444">
        <f t="shared" ca="1" si="193"/>
        <v>-155828235133978.22</v>
      </c>
      <c r="J4730" s="444">
        <f t="array" ref="J4730">IFERROR(INDEX('Retirement Calculator'!J:J,MATCH('Isaac 401k'!N4730,'Retirement Calculator'!A:A,0),0),0)</f>
        <v>0</v>
      </c>
      <c r="K4730" s="444">
        <f t="shared" ca="1" si="191"/>
        <v>-649284313058.24255</v>
      </c>
      <c r="L4730" s="444">
        <f t="shared" ca="1" si="192"/>
        <v>-156477519447036.47</v>
      </c>
      <c r="M4730" s="460">
        <f t="shared" si="194"/>
        <v>0.05</v>
      </c>
      <c r="N4730" s="464">
        <f t="shared" si="195"/>
        <v>195011</v>
      </c>
    </row>
    <row r="4731" spans="7:14" ht="11.25" customHeight="1" x14ac:dyDescent="0.25">
      <c r="G4731" s="459"/>
      <c r="H4731" s="459">
        <v>4724</v>
      </c>
      <c r="I4731" s="444">
        <f t="shared" ca="1" si="193"/>
        <v>-156477519447036.47</v>
      </c>
      <c r="J4731" s="444">
        <f t="array" ref="J4731">IFERROR(INDEX('Retirement Calculator'!J:J,MATCH('Isaac 401k'!N4731,'Retirement Calculator'!A:A,0),0),0)</f>
        <v>0</v>
      </c>
      <c r="K4731" s="444">
        <f t="shared" ca="1" si="191"/>
        <v>-651989664362.65198</v>
      </c>
      <c r="L4731" s="444">
        <f t="shared" ca="1" si="192"/>
        <v>-157129509111399.13</v>
      </c>
      <c r="M4731" s="460">
        <f t="shared" si="194"/>
        <v>0.05</v>
      </c>
      <c r="N4731" s="464">
        <f t="shared" si="195"/>
        <v>195042</v>
      </c>
    </row>
    <row r="4732" spans="7:14" ht="11.25" customHeight="1" x14ac:dyDescent="0.25">
      <c r="G4732" s="459"/>
      <c r="H4732" s="459">
        <v>4725</v>
      </c>
      <c r="I4732" s="444">
        <f t="shared" ca="1" si="193"/>
        <v>-157129509111399.13</v>
      </c>
      <c r="J4732" s="444">
        <f t="array" ref="J4732">IFERROR(INDEX('Retirement Calculator'!J:J,MATCH('Isaac 401k'!N4732,'Retirement Calculator'!A:A,0),0),0)</f>
        <v>0</v>
      </c>
      <c r="K4732" s="444">
        <f t="shared" ca="1" si="191"/>
        <v>-654706287964.16296</v>
      </c>
      <c r="L4732" s="444">
        <f t="shared" ca="1" si="192"/>
        <v>-157784215399363.28</v>
      </c>
      <c r="M4732" s="460">
        <f t="shared" si="194"/>
        <v>0.05</v>
      </c>
      <c r="N4732" s="464">
        <f t="shared" si="195"/>
        <v>195073</v>
      </c>
    </row>
    <row r="4733" spans="7:14" ht="11.25" customHeight="1" x14ac:dyDescent="0.25">
      <c r="G4733" s="459"/>
      <c r="H4733" s="459">
        <v>4726</v>
      </c>
      <c r="I4733" s="444">
        <f t="shared" ca="1" si="193"/>
        <v>-157784215399363.28</v>
      </c>
      <c r="J4733" s="444">
        <f t="array" ref="J4733">IFERROR(INDEX('Retirement Calculator'!J:J,MATCH('Isaac 401k'!N4733,'Retirement Calculator'!A:A,0),0),0)</f>
        <v>0</v>
      </c>
      <c r="K4733" s="444">
        <f t="shared" ca="1" si="191"/>
        <v>-657434230830.6803</v>
      </c>
      <c r="L4733" s="444">
        <f t="shared" ca="1" si="192"/>
        <v>-158441649630193.97</v>
      </c>
      <c r="M4733" s="460">
        <f t="shared" si="194"/>
        <v>0.05</v>
      </c>
      <c r="N4733" s="464">
        <f t="shared" si="195"/>
        <v>195101</v>
      </c>
    </row>
    <row r="4734" spans="7:14" ht="11.25" customHeight="1" x14ac:dyDescent="0.25">
      <c r="G4734" s="459"/>
      <c r="H4734" s="459">
        <v>4727</v>
      </c>
      <c r="I4734" s="444">
        <f t="shared" ca="1" si="193"/>
        <v>-158441649630193.97</v>
      </c>
      <c r="J4734" s="444">
        <f t="array" ref="J4734">IFERROR(INDEX('Retirement Calculator'!J:J,MATCH('Isaac 401k'!N4734,'Retirement Calculator'!A:A,0),0),0)</f>
        <v>0</v>
      </c>
      <c r="K4734" s="444">
        <f t="shared" ca="1" si="191"/>
        <v>-660173540125.80823</v>
      </c>
      <c r="L4734" s="444">
        <f t="shared" ca="1" si="192"/>
        <v>-159101823170319.78</v>
      </c>
      <c r="M4734" s="460">
        <f t="shared" si="194"/>
        <v>0.05</v>
      </c>
      <c r="N4734" s="464">
        <f t="shared" si="195"/>
        <v>195132</v>
      </c>
    </row>
    <row r="4735" spans="7:14" ht="11.25" customHeight="1" x14ac:dyDescent="0.25">
      <c r="G4735" s="459"/>
      <c r="H4735" s="459">
        <v>4728</v>
      </c>
      <c r="I4735" s="444">
        <f t="shared" ca="1" si="193"/>
        <v>-159101823170319.78</v>
      </c>
      <c r="J4735" s="444">
        <f t="array" ref="J4735">IFERROR(INDEX('Retirement Calculator'!J:J,MATCH('Isaac 401k'!N4735,'Retirement Calculator'!A:A,0),0),0)</f>
        <v>0</v>
      </c>
      <c r="K4735" s="444">
        <f t="shared" ca="1" si="191"/>
        <v>-662924263209.66577</v>
      </c>
      <c r="L4735" s="444">
        <f t="shared" ca="1" si="192"/>
        <v>-159764747433529.44</v>
      </c>
      <c r="M4735" s="460">
        <f t="shared" si="194"/>
        <v>0.05</v>
      </c>
      <c r="N4735" s="464">
        <f t="shared" si="195"/>
        <v>195162</v>
      </c>
    </row>
    <row r="4736" spans="7:14" ht="11.25" customHeight="1" x14ac:dyDescent="0.25">
      <c r="G4736" s="459"/>
      <c r="H4736" s="459">
        <v>4729</v>
      </c>
      <c r="I4736" s="444">
        <f t="shared" ca="1" si="193"/>
        <v>-159764747433529.44</v>
      </c>
      <c r="J4736" s="444">
        <f t="array" ref="J4736">IFERROR(INDEX('Retirement Calculator'!J:J,MATCH('Isaac 401k'!N4736,'Retirement Calculator'!A:A,0),0),0)</f>
        <v>0</v>
      </c>
      <c r="K4736" s="444">
        <f t="shared" ca="1" si="191"/>
        <v>-665686447639.70593</v>
      </c>
      <c r="L4736" s="444">
        <f t="shared" ca="1" si="192"/>
        <v>-160430433881169.16</v>
      </c>
      <c r="M4736" s="460">
        <f t="shared" si="194"/>
        <v>0.05</v>
      </c>
      <c r="N4736" s="464">
        <f t="shared" si="195"/>
        <v>195193</v>
      </c>
    </row>
    <row r="4737" spans="7:14" ht="11.25" customHeight="1" x14ac:dyDescent="0.25">
      <c r="G4737" s="459"/>
      <c r="H4737" s="459">
        <v>4730</v>
      </c>
      <c r="I4737" s="444">
        <f t="shared" ca="1" si="193"/>
        <v>-160430433881169.16</v>
      </c>
      <c r="J4737" s="444">
        <f t="array" ref="J4737">IFERROR(INDEX('Retirement Calculator'!J:J,MATCH('Isaac 401k'!N4737,'Retirement Calculator'!A:A,0),0),0)</f>
        <v>0</v>
      </c>
      <c r="K4737" s="444">
        <f t="shared" ca="1" si="191"/>
        <v>-668460141171.53809</v>
      </c>
      <c r="L4737" s="444">
        <f t="shared" ca="1" si="192"/>
        <v>-161098894022340.69</v>
      </c>
      <c r="M4737" s="460">
        <f t="shared" si="194"/>
        <v>0.05</v>
      </c>
      <c r="N4737" s="464">
        <f t="shared" si="195"/>
        <v>195223</v>
      </c>
    </row>
    <row r="4738" spans="7:14" ht="11.25" customHeight="1" x14ac:dyDescent="0.25">
      <c r="G4738" s="459"/>
      <c r="H4738" s="459">
        <v>4731</v>
      </c>
      <c r="I4738" s="444">
        <f t="shared" ca="1" si="193"/>
        <v>-161098894022340.69</v>
      </c>
      <c r="J4738" s="444">
        <f t="array" ref="J4738">IFERROR(INDEX('Retirement Calculator'!J:J,MATCH('Isaac 401k'!N4738,'Retirement Calculator'!A:A,0),0),0)</f>
        <v>0</v>
      </c>
      <c r="K4738" s="444">
        <f t="shared" ca="1" si="191"/>
        <v>-671245391759.75281</v>
      </c>
      <c r="L4738" s="444">
        <f t="shared" ca="1" si="192"/>
        <v>-161770139414100.44</v>
      </c>
      <c r="M4738" s="460">
        <f t="shared" si="194"/>
        <v>0.05</v>
      </c>
      <c r="N4738" s="464">
        <f t="shared" si="195"/>
        <v>195254</v>
      </c>
    </row>
    <row r="4739" spans="7:14" ht="11.25" customHeight="1" x14ac:dyDescent="0.25">
      <c r="G4739" s="459"/>
      <c r="H4739" s="459">
        <v>4732</v>
      </c>
      <c r="I4739" s="444">
        <f t="shared" ca="1" si="193"/>
        <v>-161770139414100.44</v>
      </c>
      <c r="J4739" s="444">
        <f t="array" ref="J4739">IFERROR(INDEX('Retirement Calculator'!J:J,MATCH('Isaac 401k'!N4739,'Retirement Calculator'!A:A,0),0),0)</f>
        <v>0</v>
      </c>
      <c r="K4739" s="444">
        <f t="shared" ca="1" si="191"/>
        <v>-674042247558.75183</v>
      </c>
      <c r="L4739" s="444">
        <f t="shared" ca="1" si="192"/>
        <v>-162444181661659.19</v>
      </c>
      <c r="M4739" s="460">
        <f t="shared" si="194"/>
        <v>0.05</v>
      </c>
      <c r="N4739" s="464">
        <f t="shared" si="195"/>
        <v>195285</v>
      </c>
    </row>
    <row r="4740" spans="7:14" ht="11.25" customHeight="1" x14ac:dyDescent="0.25">
      <c r="G4740" s="459"/>
      <c r="H4740" s="459">
        <v>4733</v>
      </c>
      <c r="I4740" s="444">
        <f t="shared" ca="1" si="193"/>
        <v>-162444181661659.19</v>
      </c>
      <c r="J4740" s="444">
        <f t="array" ref="J4740">IFERROR(INDEX('Retirement Calculator'!J:J,MATCH('Isaac 401k'!N4740,'Retirement Calculator'!A:A,0),0),0)</f>
        <v>0</v>
      </c>
      <c r="K4740" s="444">
        <f t="shared" ca="1" si="191"/>
        <v>-676850756923.57996</v>
      </c>
      <c r="L4740" s="444">
        <f t="shared" ca="1" si="192"/>
        <v>-163121032418582.78</v>
      </c>
      <c r="M4740" s="460">
        <f t="shared" si="194"/>
        <v>0.05</v>
      </c>
      <c r="N4740" s="464">
        <f t="shared" si="195"/>
        <v>195315</v>
      </c>
    </row>
    <row r="4741" spans="7:14" ht="11.25" customHeight="1" x14ac:dyDescent="0.25">
      <c r="G4741" s="459"/>
      <c r="H4741" s="459">
        <v>4734</v>
      </c>
      <c r="I4741" s="444">
        <f t="shared" ca="1" si="193"/>
        <v>-163121032418582.78</v>
      </c>
      <c r="J4741" s="444">
        <f t="array" ref="J4741">IFERROR(INDEX('Retirement Calculator'!J:J,MATCH('Isaac 401k'!N4741,'Retirement Calculator'!A:A,0),0),0)</f>
        <v>0</v>
      </c>
      <c r="K4741" s="444">
        <f t="shared" ca="1" si="191"/>
        <v>-679670968410.7616</v>
      </c>
      <c r="L4741" s="444">
        <f t="shared" ca="1" si="192"/>
        <v>-163800703386993.53</v>
      </c>
      <c r="M4741" s="460">
        <f t="shared" si="194"/>
        <v>0.05</v>
      </c>
      <c r="N4741" s="464">
        <f t="shared" si="195"/>
        <v>195346</v>
      </c>
    </row>
    <row r="4742" spans="7:14" ht="11.25" customHeight="1" x14ac:dyDescent="0.25">
      <c r="G4742" s="459"/>
      <c r="H4742" s="459">
        <v>4735</v>
      </c>
      <c r="I4742" s="444">
        <f t="shared" ca="1" si="193"/>
        <v>-163800703386993.53</v>
      </c>
      <c r="J4742" s="444">
        <f t="array" ref="J4742">IFERROR(INDEX('Retirement Calculator'!J:J,MATCH('Isaac 401k'!N4742,'Retirement Calculator'!A:A,0),0),0)</f>
        <v>0</v>
      </c>
      <c r="K4742" s="444">
        <f t="shared" ca="1" si="191"/>
        <v>-682502930779.13965</v>
      </c>
      <c r="L4742" s="444">
        <f t="shared" ca="1" si="192"/>
        <v>-164483206317772.66</v>
      </c>
      <c r="M4742" s="460">
        <f t="shared" si="194"/>
        <v>0.05</v>
      </c>
      <c r="N4742" s="464">
        <f t="shared" si="195"/>
        <v>195376</v>
      </c>
    </row>
    <row r="4743" spans="7:14" ht="11.25" customHeight="1" x14ac:dyDescent="0.25">
      <c r="G4743" s="459"/>
      <c r="H4743" s="459">
        <v>4736</v>
      </c>
      <c r="I4743" s="444">
        <f t="shared" ca="1" si="193"/>
        <v>-164483206317772.66</v>
      </c>
      <c r="J4743" s="444">
        <f t="array" ref="J4743">IFERROR(INDEX('Retirement Calculator'!J:J,MATCH('Isaac 401k'!N4743,'Retirement Calculator'!A:A,0),0),0)</f>
        <v>0</v>
      </c>
      <c r="K4743" s="444">
        <f t="shared" ca="1" si="191"/>
        <v>-685346692990.71936</v>
      </c>
      <c r="L4743" s="444">
        <f t="shared" ca="1" si="192"/>
        <v>-165168553010763.38</v>
      </c>
      <c r="M4743" s="460">
        <f t="shared" si="194"/>
        <v>0.05</v>
      </c>
      <c r="N4743" s="464">
        <f t="shared" si="195"/>
        <v>195407</v>
      </c>
    </row>
    <row r="4744" spans="7:14" ht="11.25" customHeight="1" x14ac:dyDescent="0.25">
      <c r="G4744" s="459"/>
      <c r="H4744" s="459">
        <v>4737</v>
      </c>
      <c r="I4744" s="444">
        <f t="shared" ca="1" si="193"/>
        <v>-165168553010763.38</v>
      </c>
      <c r="J4744" s="444">
        <f t="array" ref="J4744">IFERROR(INDEX('Retirement Calculator'!J:J,MATCH('Isaac 401k'!N4744,'Retirement Calculator'!A:A,0),0),0)</f>
        <v>0</v>
      </c>
      <c r="K4744" s="444">
        <f t="shared" ca="1" si="191"/>
        <v>-688202304211.51404</v>
      </c>
      <c r="L4744" s="444">
        <f t="shared" ca="1" si="192"/>
        <v>-165856755314974.88</v>
      </c>
      <c r="M4744" s="460">
        <f t="shared" si="194"/>
        <v>0.05</v>
      </c>
      <c r="N4744" s="464">
        <f t="shared" si="195"/>
        <v>195438</v>
      </c>
    </row>
    <row r="4745" spans="7:14" ht="11.25" customHeight="1" x14ac:dyDescent="0.25">
      <c r="G4745" s="459"/>
      <c r="H4745" s="459">
        <v>4738</v>
      </c>
      <c r="I4745" s="444">
        <f t="shared" ca="1" si="193"/>
        <v>-165856755314974.88</v>
      </c>
      <c r="J4745" s="444">
        <f t="array" ref="J4745">IFERROR(INDEX('Retirement Calculator'!J:J,MATCH('Isaac 401k'!N4745,'Retirement Calculator'!A:A,0),0),0)</f>
        <v>0</v>
      </c>
      <c r="K4745" s="444">
        <f t="shared" ca="1" si="191"/>
        <v>-691069813812.39526</v>
      </c>
      <c r="L4745" s="444">
        <f t="shared" ca="1" si="192"/>
        <v>-166547825128787.28</v>
      </c>
      <c r="M4745" s="460">
        <f t="shared" si="194"/>
        <v>0.05</v>
      </c>
      <c r="N4745" s="464">
        <f t="shared" si="195"/>
        <v>195466</v>
      </c>
    </row>
    <row r="4746" spans="7:14" ht="11.25" customHeight="1" x14ac:dyDescent="0.25">
      <c r="G4746" s="459"/>
      <c r="H4746" s="459">
        <v>4739</v>
      </c>
      <c r="I4746" s="444">
        <f t="shared" ca="1" si="193"/>
        <v>-166547825128787.28</v>
      </c>
      <c r="J4746" s="444">
        <f t="array" ref="J4746">IFERROR(INDEX('Retirement Calculator'!J:J,MATCH('Isaac 401k'!N4746,'Retirement Calculator'!A:A,0),0),0)</f>
        <v>0</v>
      </c>
      <c r="K4746" s="444">
        <f t="shared" ca="1" si="191"/>
        <v>-693949271369.94702</v>
      </c>
      <c r="L4746" s="444">
        <f t="shared" ca="1" si="192"/>
        <v>-167241774400157.22</v>
      </c>
      <c r="M4746" s="460">
        <f t="shared" si="194"/>
        <v>0.05</v>
      </c>
      <c r="N4746" s="464">
        <f t="shared" si="195"/>
        <v>195497</v>
      </c>
    </row>
    <row r="4747" spans="7:14" ht="11.25" customHeight="1" x14ac:dyDescent="0.25">
      <c r="G4747" s="459"/>
      <c r="H4747" s="459">
        <v>4740</v>
      </c>
      <c r="I4747" s="444">
        <f t="shared" ca="1" si="193"/>
        <v>-167241774400157.22</v>
      </c>
      <c r="J4747" s="444">
        <f t="array" ref="J4747">IFERROR(INDEX('Retirement Calculator'!J:J,MATCH('Isaac 401k'!N4747,'Retirement Calculator'!A:A,0),0),0)</f>
        <v>0</v>
      </c>
      <c r="K4747" s="444">
        <f t="shared" ca="1" si="191"/>
        <v>-696840726667.32178</v>
      </c>
      <c r="L4747" s="444">
        <f t="shared" ca="1" si="192"/>
        <v>-167938615126824.53</v>
      </c>
      <c r="M4747" s="460">
        <f t="shared" si="194"/>
        <v>0.05</v>
      </c>
      <c r="N4747" s="464">
        <f t="shared" si="195"/>
        <v>195527</v>
      </c>
    </row>
    <row r="4748" spans="7:14" ht="11.25" customHeight="1" x14ac:dyDescent="0.25">
      <c r="G4748" s="459"/>
      <c r="H4748" s="459">
        <v>4741</v>
      </c>
      <c r="I4748" s="444">
        <f t="shared" ca="1" si="193"/>
        <v>-167938615126824.53</v>
      </c>
      <c r="J4748" s="444">
        <f t="array" ref="J4748">IFERROR(INDEX('Retirement Calculator'!J:J,MATCH('Isaac 401k'!N4748,'Retirement Calculator'!A:A,0),0),0)</f>
        <v>0</v>
      </c>
      <c r="K4748" s="444">
        <f t="shared" ca="1" si="191"/>
        <v>-699744229695.10217</v>
      </c>
      <c r="L4748" s="444">
        <f t="shared" ca="1" si="192"/>
        <v>-168638359356519.63</v>
      </c>
      <c r="M4748" s="460">
        <f t="shared" si="194"/>
        <v>0.05</v>
      </c>
      <c r="N4748" s="464">
        <f t="shared" si="195"/>
        <v>195558</v>
      </c>
    </row>
    <row r="4749" spans="7:14" ht="11.25" customHeight="1" x14ac:dyDescent="0.25">
      <c r="G4749" s="459"/>
      <c r="H4749" s="459">
        <v>4742</v>
      </c>
      <c r="I4749" s="444">
        <f t="shared" ca="1" si="193"/>
        <v>-168638359356519.63</v>
      </c>
      <c r="J4749" s="444">
        <f t="array" ref="J4749">IFERROR(INDEX('Retirement Calculator'!J:J,MATCH('Isaac 401k'!N4749,'Retirement Calculator'!A:A,0),0),0)</f>
        <v>0</v>
      </c>
      <c r="K4749" s="444">
        <f t="shared" ca="1" si="191"/>
        <v>-702659830652.16504</v>
      </c>
      <c r="L4749" s="444">
        <f t="shared" ca="1" si="192"/>
        <v>-169341019187171.78</v>
      </c>
      <c r="M4749" s="460">
        <f t="shared" si="194"/>
        <v>0.05</v>
      </c>
      <c r="N4749" s="464">
        <f t="shared" si="195"/>
        <v>195588</v>
      </c>
    </row>
    <row r="4750" spans="7:14" ht="11.25" customHeight="1" x14ac:dyDescent="0.25">
      <c r="G4750" s="459"/>
      <c r="H4750" s="459">
        <v>4743</v>
      </c>
      <c r="I4750" s="444">
        <f t="shared" ca="1" si="193"/>
        <v>-169341019187171.78</v>
      </c>
      <c r="J4750" s="444">
        <f t="array" ref="J4750">IFERROR(INDEX('Retirement Calculator'!J:J,MATCH('Isaac 401k'!N4750,'Retirement Calculator'!A:A,0),0),0)</f>
        <v>0</v>
      </c>
      <c r="K4750" s="444">
        <f t="shared" ca="1" si="191"/>
        <v>-705587579946.54907</v>
      </c>
      <c r="L4750" s="444">
        <f t="shared" ca="1" si="192"/>
        <v>-170046606767118.34</v>
      </c>
      <c r="M4750" s="460">
        <f t="shared" si="194"/>
        <v>0.05</v>
      </c>
      <c r="N4750" s="464">
        <f t="shared" si="195"/>
        <v>195619</v>
      </c>
    </row>
    <row r="4751" spans="7:14" ht="11.25" customHeight="1" x14ac:dyDescent="0.25">
      <c r="G4751" s="459"/>
      <c r="H4751" s="459">
        <v>4744</v>
      </c>
      <c r="I4751" s="444">
        <f t="shared" ca="1" si="193"/>
        <v>-170046606767118.34</v>
      </c>
      <c r="J4751" s="444">
        <f t="array" ref="J4751">IFERROR(INDEX('Retirement Calculator'!J:J,MATCH('Isaac 401k'!N4751,'Retirement Calculator'!A:A,0),0),0)</f>
        <v>0</v>
      </c>
      <c r="K4751" s="444">
        <f t="shared" ca="1" si="191"/>
        <v>-708527528196.32642</v>
      </c>
      <c r="L4751" s="444">
        <f t="shared" ca="1" si="192"/>
        <v>-170755134295314.66</v>
      </c>
      <c r="M4751" s="460">
        <f t="shared" si="194"/>
        <v>0.05</v>
      </c>
      <c r="N4751" s="464">
        <f t="shared" si="195"/>
        <v>195650</v>
      </c>
    </row>
    <row r="4752" spans="7:14" ht="11.25" customHeight="1" x14ac:dyDescent="0.25">
      <c r="G4752" s="459"/>
      <c r="H4752" s="459">
        <v>4745</v>
      </c>
      <c r="I4752" s="444">
        <f t="shared" ca="1" si="193"/>
        <v>-170755134295314.66</v>
      </c>
      <c r="J4752" s="444">
        <f t="array" ref="J4752">IFERROR(INDEX('Retirement Calculator'!J:J,MATCH('Isaac 401k'!N4752,'Retirement Calculator'!A:A,0),0),0)</f>
        <v>0</v>
      </c>
      <c r="K4752" s="444">
        <f t="shared" ca="1" si="191"/>
        <v>-711479726230.47778</v>
      </c>
      <c r="L4752" s="444">
        <f t="shared" ca="1" si="192"/>
        <v>-171466614021545.13</v>
      </c>
      <c r="M4752" s="460">
        <f t="shared" si="194"/>
        <v>0.05</v>
      </c>
      <c r="N4752" s="464">
        <f t="shared" si="195"/>
        <v>195680</v>
      </c>
    </row>
    <row r="4753" spans="7:14" ht="11.25" customHeight="1" x14ac:dyDescent="0.25">
      <c r="G4753" s="459"/>
      <c r="H4753" s="459">
        <v>4746</v>
      </c>
      <c r="I4753" s="444">
        <f t="shared" ca="1" si="193"/>
        <v>-171466614021545.13</v>
      </c>
      <c r="J4753" s="444">
        <f t="array" ref="J4753">IFERROR(INDEX('Retirement Calculator'!J:J,MATCH('Isaac 401k'!N4753,'Retirement Calculator'!A:A,0),0),0)</f>
        <v>0</v>
      </c>
      <c r="K4753" s="444">
        <f t="shared" ca="1" si="191"/>
        <v>-714444225089.77136</v>
      </c>
      <c r="L4753" s="444">
        <f t="shared" ca="1" si="192"/>
        <v>-172181058246634.91</v>
      </c>
      <c r="M4753" s="460">
        <f t="shared" si="194"/>
        <v>0.05</v>
      </c>
      <c r="N4753" s="464">
        <f t="shared" si="195"/>
        <v>195711</v>
      </c>
    </row>
    <row r="4754" spans="7:14" ht="11.25" customHeight="1" x14ac:dyDescent="0.25">
      <c r="G4754" s="459"/>
      <c r="H4754" s="459">
        <v>4747</v>
      </c>
      <c r="I4754" s="444">
        <f t="shared" ca="1" si="193"/>
        <v>-172181058246634.91</v>
      </c>
      <c r="J4754" s="444">
        <f t="array" ref="J4754">IFERROR(INDEX('Retirement Calculator'!J:J,MATCH('Isaac 401k'!N4754,'Retirement Calculator'!A:A,0),0),0)</f>
        <v>0</v>
      </c>
      <c r="K4754" s="444">
        <f t="shared" ca="1" si="191"/>
        <v>-717421076027.64539</v>
      </c>
      <c r="L4754" s="444">
        <f t="shared" ca="1" si="192"/>
        <v>-172898479322662.56</v>
      </c>
      <c r="M4754" s="460">
        <f t="shared" si="194"/>
        <v>0.05</v>
      </c>
      <c r="N4754" s="464">
        <f t="shared" si="195"/>
        <v>195741</v>
      </c>
    </row>
    <row r="4755" spans="7:14" ht="11.25" customHeight="1" x14ac:dyDescent="0.25">
      <c r="G4755" s="459"/>
      <c r="H4755" s="459">
        <v>4748</v>
      </c>
      <c r="I4755" s="444">
        <f t="shared" ca="1" si="193"/>
        <v>-172898479322662.56</v>
      </c>
      <c r="J4755" s="444">
        <f t="array" ref="J4755">IFERROR(INDEX('Retirement Calculator'!J:J,MATCH('Isaac 401k'!N4755,'Retirement Calculator'!A:A,0),0),0)</f>
        <v>0</v>
      </c>
      <c r="K4755" s="444">
        <f t="shared" ca="1" si="191"/>
        <v>-720410330511.09399</v>
      </c>
      <c r="L4755" s="444">
        <f t="shared" ca="1" si="192"/>
        <v>-173618889653173.66</v>
      </c>
      <c r="M4755" s="460">
        <f t="shared" si="194"/>
        <v>0.05</v>
      </c>
      <c r="N4755" s="464">
        <f t="shared" si="195"/>
        <v>195772</v>
      </c>
    </row>
    <row r="4756" spans="7:14" ht="11.25" customHeight="1" x14ac:dyDescent="0.25">
      <c r="G4756" s="459"/>
      <c r="H4756" s="459">
        <v>4749</v>
      </c>
      <c r="I4756" s="444">
        <f t="shared" ca="1" si="193"/>
        <v>-173618889653173.66</v>
      </c>
      <c r="J4756" s="444">
        <f t="array" ref="J4756">IFERROR(INDEX('Retirement Calculator'!J:J,MATCH('Isaac 401k'!N4756,'Retirement Calculator'!A:A,0),0),0)</f>
        <v>0</v>
      </c>
      <c r="K4756" s="444">
        <f t="shared" ca="1" si="191"/>
        <v>-723412040221.55688</v>
      </c>
      <c r="L4756" s="444">
        <f t="shared" ca="1" si="192"/>
        <v>-174342301693395.22</v>
      </c>
      <c r="M4756" s="460">
        <f t="shared" si="194"/>
        <v>0.05</v>
      </c>
      <c r="N4756" s="464">
        <f t="shared" si="195"/>
        <v>195803</v>
      </c>
    </row>
    <row r="4757" spans="7:14" ht="11.25" customHeight="1" x14ac:dyDescent="0.25">
      <c r="G4757" s="459"/>
      <c r="H4757" s="459">
        <v>4750</v>
      </c>
      <c r="I4757" s="444">
        <f t="shared" ca="1" si="193"/>
        <v>-174342301693395.22</v>
      </c>
      <c r="J4757" s="444">
        <f t="array" ref="J4757">IFERROR(INDEX('Retirement Calculator'!J:J,MATCH('Isaac 401k'!N4757,'Retirement Calculator'!A:A,0),0),0)</f>
        <v>0</v>
      </c>
      <c r="K4757" s="444">
        <f t="shared" ca="1" si="191"/>
        <v>-726426257055.81335</v>
      </c>
      <c r="L4757" s="444">
        <f t="shared" ca="1" si="192"/>
        <v>-175068727950451.03</v>
      </c>
      <c r="M4757" s="460">
        <f t="shared" si="194"/>
        <v>0.05</v>
      </c>
      <c r="N4757" s="464">
        <f t="shared" si="195"/>
        <v>195832</v>
      </c>
    </row>
    <row r="4758" spans="7:14" ht="11.25" customHeight="1" x14ac:dyDescent="0.25">
      <c r="G4758" s="459"/>
      <c r="H4758" s="459">
        <v>4751</v>
      </c>
      <c r="I4758" s="444">
        <f t="shared" ca="1" si="193"/>
        <v>-175068727950451.03</v>
      </c>
      <c r="J4758" s="444">
        <f t="array" ref="J4758">IFERROR(INDEX('Retirement Calculator'!J:J,MATCH('Isaac 401k'!N4758,'Retirement Calculator'!A:A,0),0),0)</f>
        <v>0</v>
      </c>
      <c r="K4758" s="444">
        <f t="shared" ca="1" si="191"/>
        <v>-729453033126.87927</v>
      </c>
      <c r="L4758" s="444">
        <f t="shared" ca="1" si="192"/>
        <v>-175798180983577.91</v>
      </c>
      <c r="M4758" s="460">
        <f t="shared" si="194"/>
        <v>0.05</v>
      </c>
      <c r="N4758" s="464">
        <f t="shared" si="195"/>
        <v>195863</v>
      </c>
    </row>
    <row r="4759" spans="7:14" ht="11.25" customHeight="1" x14ac:dyDescent="0.25">
      <c r="G4759" s="459"/>
      <c r="H4759" s="459">
        <v>4752</v>
      </c>
      <c r="I4759" s="444">
        <f t="shared" ca="1" si="193"/>
        <v>-175798180983577.91</v>
      </c>
      <c r="J4759" s="444">
        <f t="array" ref="J4759">IFERROR(INDEX('Retirement Calculator'!J:J,MATCH('Isaac 401k'!N4759,'Retirement Calculator'!A:A,0),0),0)</f>
        <v>0</v>
      </c>
      <c r="K4759" s="444">
        <f t="shared" ca="1" si="191"/>
        <v>-732492420764.90796</v>
      </c>
      <c r="L4759" s="444">
        <f t="shared" ca="1" si="192"/>
        <v>-176530673404342.81</v>
      </c>
      <c r="M4759" s="460">
        <f t="shared" si="194"/>
        <v>0.05</v>
      </c>
      <c r="N4759" s="464">
        <f t="shared" si="195"/>
        <v>195893</v>
      </c>
    </row>
    <row r="4760" spans="7:14" ht="11.25" customHeight="1" x14ac:dyDescent="0.25">
      <c r="G4760" s="459"/>
      <c r="H4760" s="459">
        <v>4753</v>
      </c>
      <c r="I4760" s="444">
        <f t="shared" ca="1" si="193"/>
        <v>-176530673404342.81</v>
      </c>
      <c r="J4760" s="444">
        <f t="array" ref="J4760">IFERROR(INDEX('Retirement Calculator'!J:J,MATCH('Isaac 401k'!N4760,'Retirement Calculator'!A:A,0),0),0)</f>
        <v>0</v>
      </c>
      <c r="K4760" s="444">
        <f t="shared" ca="1" si="191"/>
        <v>-735544472518.09509</v>
      </c>
      <c r="L4760" s="444">
        <f t="shared" ca="1" si="192"/>
        <v>-177266217876860.91</v>
      </c>
      <c r="M4760" s="460">
        <f t="shared" si="194"/>
        <v>0.05</v>
      </c>
      <c r="N4760" s="464">
        <f t="shared" si="195"/>
        <v>195924</v>
      </c>
    </row>
    <row r="4761" spans="7:14" ht="11.25" customHeight="1" x14ac:dyDescent="0.25">
      <c r="G4761" s="459"/>
      <c r="H4761" s="459">
        <v>4754</v>
      </c>
      <c r="I4761" s="444">
        <f t="shared" ca="1" si="193"/>
        <v>-177266217876860.91</v>
      </c>
      <c r="J4761" s="444">
        <f t="array" ref="J4761">IFERROR(INDEX('Retirement Calculator'!J:J,MATCH('Isaac 401k'!N4761,'Retirement Calculator'!A:A,0),0),0)</f>
        <v>0</v>
      </c>
      <c r="K4761" s="444">
        <f t="shared" ca="1" si="191"/>
        <v>-738609241153.58716</v>
      </c>
      <c r="L4761" s="444">
        <f t="shared" ca="1" si="192"/>
        <v>-178004827118014.5</v>
      </c>
      <c r="M4761" s="460">
        <f t="shared" si="194"/>
        <v>0.05</v>
      </c>
      <c r="N4761" s="464">
        <f t="shared" si="195"/>
        <v>195954</v>
      </c>
    </row>
    <row r="4762" spans="7:14" ht="11.25" customHeight="1" x14ac:dyDescent="0.25">
      <c r="G4762" s="459"/>
      <c r="H4762" s="459">
        <v>4755</v>
      </c>
      <c r="I4762" s="444">
        <f t="shared" ca="1" si="193"/>
        <v>-178004827118014.5</v>
      </c>
      <c r="J4762" s="444">
        <f t="array" ref="J4762">IFERROR(INDEX('Retirement Calculator'!J:J,MATCH('Isaac 401k'!N4762,'Retirement Calculator'!A:A,0),0),0)</f>
        <v>0</v>
      </c>
      <c r="K4762" s="444">
        <f t="shared" ca="1" si="191"/>
        <v>-741686779658.3938</v>
      </c>
      <c r="L4762" s="444">
        <f t="shared" ca="1" si="192"/>
        <v>-178746513897672.91</v>
      </c>
      <c r="M4762" s="460">
        <f t="shared" si="194"/>
        <v>0.05</v>
      </c>
      <c r="N4762" s="464">
        <f t="shared" si="195"/>
        <v>195985</v>
      </c>
    </row>
    <row r="4763" spans="7:14" ht="11.25" customHeight="1" x14ac:dyDescent="0.25">
      <c r="G4763" s="459"/>
      <c r="H4763" s="459">
        <v>4756</v>
      </c>
      <c r="I4763" s="444">
        <f t="shared" ca="1" si="193"/>
        <v>-178746513897672.91</v>
      </c>
      <c r="J4763" s="444">
        <f t="array" ref="J4763">IFERROR(INDEX('Retirement Calculator'!J:J,MATCH('Isaac 401k'!N4763,'Retirement Calculator'!A:A,0),0),0)</f>
        <v>0</v>
      </c>
      <c r="K4763" s="444">
        <f t="shared" ca="1" si="191"/>
        <v>-744777141240.30371</v>
      </c>
      <c r="L4763" s="444">
        <f t="shared" ca="1" si="192"/>
        <v>-179491291038913.22</v>
      </c>
      <c r="M4763" s="460">
        <f t="shared" si="194"/>
        <v>0.05</v>
      </c>
      <c r="N4763" s="464">
        <f t="shared" si="195"/>
        <v>196016</v>
      </c>
    </row>
    <row r="4764" spans="7:14" ht="11.25" customHeight="1" x14ac:dyDescent="0.25">
      <c r="G4764" s="459"/>
      <c r="H4764" s="459">
        <v>4757</v>
      </c>
      <c r="I4764" s="444">
        <f t="shared" ca="1" si="193"/>
        <v>-179491291038913.22</v>
      </c>
      <c r="J4764" s="444">
        <f t="array" ref="J4764">IFERROR(INDEX('Retirement Calculator'!J:J,MATCH('Isaac 401k'!N4764,'Retirement Calculator'!A:A,0),0),0)</f>
        <v>0</v>
      </c>
      <c r="K4764" s="444">
        <f t="shared" ca="1" si="191"/>
        <v>-747880379328.80505</v>
      </c>
      <c r="L4764" s="444">
        <f t="shared" ca="1" si="192"/>
        <v>-180239171418242.03</v>
      </c>
      <c r="M4764" s="460">
        <f t="shared" si="194"/>
        <v>0.05</v>
      </c>
      <c r="N4764" s="464">
        <f t="shared" si="195"/>
        <v>196046</v>
      </c>
    </row>
    <row r="4765" spans="7:14" ht="11.25" customHeight="1" x14ac:dyDescent="0.25">
      <c r="G4765" s="459"/>
      <c r="H4765" s="459">
        <v>4758</v>
      </c>
      <c r="I4765" s="444">
        <f t="shared" ca="1" si="193"/>
        <v>-180239171418242.03</v>
      </c>
      <c r="J4765" s="444">
        <f t="array" ref="J4765">IFERROR(INDEX('Retirement Calculator'!J:J,MATCH('Isaac 401k'!N4765,'Retirement Calculator'!A:A,0),0),0)</f>
        <v>0</v>
      </c>
      <c r="K4765" s="444">
        <f t="shared" ca="1" si="191"/>
        <v>-750996547576.00842</v>
      </c>
      <c r="L4765" s="444">
        <f t="shared" ca="1" si="192"/>
        <v>-180990167965818.03</v>
      </c>
      <c r="M4765" s="460">
        <f t="shared" si="194"/>
        <v>0.05</v>
      </c>
      <c r="N4765" s="464">
        <f t="shared" si="195"/>
        <v>196077</v>
      </c>
    </row>
    <row r="4766" spans="7:14" ht="11.25" customHeight="1" x14ac:dyDescent="0.25">
      <c r="G4766" s="459"/>
      <c r="H4766" s="459">
        <v>4759</v>
      </c>
      <c r="I4766" s="444">
        <f t="shared" ca="1" si="193"/>
        <v>-180990167965818.03</v>
      </c>
      <c r="J4766" s="444">
        <f t="array" ref="J4766">IFERROR(INDEX('Retirement Calculator'!J:J,MATCH('Isaac 401k'!N4766,'Retirement Calculator'!A:A,0),0),0)</f>
        <v>0</v>
      </c>
      <c r="K4766" s="444">
        <f t="shared" ca="1" si="191"/>
        <v>-754125699857.57507</v>
      </c>
      <c r="L4766" s="444">
        <f t="shared" ca="1" si="192"/>
        <v>-181744293665675.59</v>
      </c>
      <c r="M4766" s="460">
        <f t="shared" si="194"/>
        <v>0.05</v>
      </c>
      <c r="N4766" s="464">
        <f t="shared" si="195"/>
        <v>196107</v>
      </c>
    </row>
    <row r="4767" spans="7:14" ht="11.25" customHeight="1" x14ac:dyDescent="0.25">
      <c r="G4767" s="459"/>
      <c r="H4767" s="459">
        <v>4760</v>
      </c>
      <c r="I4767" s="444">
        <f t="shared" ca="1" si="193"/>
        <v>-181744293665675.59</v>
      </c>
      <c r="J4767" s="444">
        <f t="array" ref="J4767">IFERROR(INDEX('Retirement Calculator'!J:J,MATCH('Isaac 401k'!N4767,'Retirement Calculator'!A:A,0),0),0)</f>
        <v>0</v>
      </c>
      <c r="K4767" s="444">
        <f t="shared" ca="1" si="191"/>
        <v>-757267890273.64832</v>
      </c>
      <c r="L4767" s="444">
        <f t="shared" ca="1" si="192"/>
        <v>-182501561555949.25</v>
      </c>
      <c r="M4767" s="460">
        <f t="shared" si="194"/>
        <v>0.05</v>
      </c>
      <c r="N4767" s="464">
        <f t="shared" si="195"/>
        <v>196138</v>
      </c>
    </row>
    <row r="4768" spans="7:14" ht="11.25" customHeight="1" x14ac:dyDescent="0.25">
      <c r="G4768" s="459"/>
      <c r="H4768" s="459">
        <v>4761</v>
      </c>
      <c r="I4768" s="444">
        <f t="shared" ca="1" si="193"/>
        <v>-182501561555949.25</v>
      </c>
      <c r="J4768" s="444">
        <f t="array" ref="J4768">IFERROR(INDEX('Retirement Calculator'!J:J,MATCH('Isaac 401k'!N4768,'Retirement Calculator'!A:A,0),0),0)</f>
        <v>0</v>
      </c>
      <c r="K4768" s="444">
        <f t="shared" ca="1" si="191"/>
        <v>-760423173149.78857</v>
      </c>
      <c r="L4768" s="444">
        <f t="shared" ca="1" si="192"/>
        <v>-183261984729099.03</v>
      </c>
      <c r="M4768" s="460">
        <f t="shared" si="194"/>
        <v>0.05</v>
      </c>
      <c r="N4768" s="464">
        <f t="shared" si="195"/>
        <v>196169</v>
      </c>
    </row>
    <row r="4769" spans="7:14" ht="11.25" customHeight="1" x14ac:dyDescent="0.25">
      <c r="G4769" s="459"/>
      <c r="H4769" s="459">
        <v>4762</v>
      </c>
      <c r="I4769" s="444">
        <f t="shared" ca="1" si="193"/>
        <v>-183261984729099.03</v>
      </c>
      <c r="J4769" s="444">
        <f t="array" ref="J4769">IFERROR(INDEX('Retirement Calculator'!J:J,MATCH('Isaac 401k'!N4769,'Retirement Calculator'!A:A,0),0),0)</f>
        <v>0</v>
      </c>
      <c r="K4769" s="444">
        <f t="shared" ca="1" si="191"/>
        <v>-763591603037.9126</v>
      </c>
      <c r="L4769" s="444">
        <f t="shared" ca="1" si="192"/>
        <v>-184025576332136.94</v>
      </c>
      <c r="M4769" s="460">
        <f t="shared" si="194"/>
        <v>0.05</v>
      </c>
      <c r="N4769" s="464">
        <f t="shared" si="195"/>
        <v>196197</v>
      </c>
    </row>
    <row r="4770" spans="7:14" ht="11.25" customHeight="1" x14ac:dyDescent="0.25">
      <c r="G4770" s="459"/>
      <c r="H4770" s="459">
        <v>4763</v>
      </c>
      <c r="I4770" s="444">
        <f t="shared" ca="1" si="193"/>
        <v>-184025576332136.94</v>
      </c>
      <c r="J4770" s="444">
        <f t="array" ref="J4770">IFERROR(INDEX('Retirement Calculator'!J:J,MATCH('Isaac 401k'!N4770,'Retirement Calculator'!A:A,0),0),0)</f>
        <v>0</v>
      </c>
      <c r="K4770" s="444">
        <f t="shared" ca="1" si="191"/>
        <v>-766773234717.23718</v>
      </c>
      <c r="L4770" s="444">
        <f t="shared" ca="1" si="192"/>
        <v>-184792349566854.19</v>
      </c>
      <c r="M4770" s="460">
        <f t="shared" si="194"/>
        <v>0.05</v>
      </c>
      <c r="N4770" s="464">
        <f t="shared" si="195"/>
        <v>196228</v>
      </c>
    </row>
    <row r="4771" spans="7:14" ht="11.25" customHeight="1" x14ac:dyDescent="0.25">
      <c r="G4771" s="459"/>
      <c r="H4771" s="459">
        <v>4764</v>
      </c>
      <c r="I4771" s="444">
        <f t="shared" ca="1" si="193"/>
        <v>-184792349566854.19</v>
      </c>
      <c r="J4771" s="444">
        <f t="array" ref="J4771">IFERROR(INDEX('Retirement Calculator'!J:J,MATCH('Isaac 401k'!N4771,'Retirement Calculator'!A:A,0),0),0)</f>
        <v>0</v>
      </c>
      <c r="K4771" s="444">
        <f t="shared" ca="1" si="191"/>
        <v>-769968123195.22583</v>
      </c>
      <c r="L4771" s="444">
        <f t="shared" ca="1" si="192"/>
        <v>-185562317690049.41</v>
      </c>
      <c r="M4771" s="460">
        <f t="shared" si="194"/>
        <v>0.05</v>
      </c>
      <c r="N4771" s="464">
        <f t="shared" si="195"/>
        <v>196258</v>
      </c>
    </row>
    <row r="4772" spans="7:14" ht="11.25" customHeight="1" x14ac:dyDescent="0.25">
      <c r="G4772" s="459"/>
      <c r="H4772" s="459">
        <v>4765</v>
      </c>
      <c r="I4772" s="444">
        <f t="shared" ca="1" si="193"/>
        <v>-185562317690049.41</v>
      </c>
      <c r="J4772" s="444">
        <f t="array" ref="J4772">IFERROR(INDEX('Retirement Calculator'!J:J,MATCH('Isaac 401k'!N4772,'Retirement Calculator'!A:A,0),0),0)</f>
        <v>0</v>
      </c>
      <c r="K4772" s="444">
        <f t="shared" ca="1" si="191"/>
        <v>-773176323708.53918</v>
      </c>
      <c r="L4772" s="444">
        <f t="shared" ca="1" si="192"/>
        <v>-186335494013757.94</v>
      </c>
      <c r="M4772" s="460">
        <f t="shared" si="194"/>
        <v>0.05</v>
      </c>
      <c r="N4772" s="464">
        <f t="shared" si="195"/>
        <v>196289</v>
      </c>
    </row>
    <row r="4773" spans="7:14" ht="11.25" customHeight="1" x14ac:dyDescent="0.25">
      <c r="G4773" s="459"/>
      <c r="H4773" s="459">
        <v>4766</v>
      </c>
      <c r="I4773" s="444">
        <f t="shared" ca="1" si="193"/>
        <v>-186335494013757.94</v>
      </c>
      <c r="J4773" s="444">
        <f t="array" ref="J4773">IFERROR(INDEX('Retirement Calculator'!J:J,MATCH('Isaac 401k'!N4773,'Retirement Calculator'!A:A,0),0),0)</f>
        <v>0</v>
      </c>
      <c r="K4773" s="444">
        <f t="shared" ca="1" si="191"/>
        <v>-776397891723.99146</v>
      </c>
      <c r="L4773" s="444">
        <f t="shared" ca="1" si="192"/>
        <v>-187111891905481.94</v>
      </c>
      <c r="M4773" s="460">
        <f t="shared" si="194"/>
        <v>0.05</v>
      </c>
      <c r="N4773" s="464">
        <f t="shared" si="195"/>
        <v>196319</v>
      </c>
    </row>
    <row r="4774" spans="7:14" ht="11.25" customHeight="1" x14ac:dyDescent="0.25">
      <c r="G4774" s="459"/>
      <c r="H4774" s="459">
        <v>4767</v>
      </c>
      <c r="I4774" s="444">
        <f t="shared" ca="1" si="193"/>
        <v>-187111891905481.94</v>
      </c>
      <c r="J4774" s="444">
        <f t="array" ref="J4774">IFERROR(INDEX('Retirement Calculator'!J:J,MATCH('Isaac 401k'!N4774,'Retirement Calculator'!A:A,0),0),0)</f>
        <v>0</v>
      </c>
      <c r="K4774" s="444">
        <f t="shared" ca="1" si="191"/>
        <v>-779632882939.50806</v>
      </c>
      <c r="L4774" s="444">
        <f t="shared" ca="1" si="192"/>
        <v>-187891524788421.44</v>
      </c>
      <c r="M4774" s="460">
        <f t="shared" si="194"/>
        <v>0.05</v>
      </c>
      <c r="N4774" s="464">
        <f t="shared" si="195"/>
        <v>196350</v>
      </c>
    </row>
    <row r="4775" spans="7:14" ht="11.25" customHeight="1" x14ac:dyDescent="0.25">
      <c r="G4775" s="459"/>
      <c r="H4775" s="459">
        <v>4768</v>
      </c>
      <c r="I4775" s="444">
        <f t="shared" ca="1" si="193"/>
        <v>-187891524788421.44</v>
      </c>
      <c r="J4775" s="444">
        <f t="array" ref="J4775">IFERROR(INDEX('Retirement Calculator'!J:J,MATCH('Isaac 401k'!N4775,'Retirement Calculator'!A:A,0),0),0)</f>
        <v>0</v>
      </c>
      <c r="K4775" s="444">
        <f t="shared" ca="1" si="191"/>
        <v>-782881353285.08936</v>
      </c>
      <c r="L4775" s="444">
        <f t="shared" ca="1" si="192"/>
        <v>-188674406141706.53</v>
      </c>
      <c r="M4775" s="460">
        <f t="shared" si="194"/>
        <v>0.05</v>
      </c>
      <c r="N4775" s="464">
        <f t="shared" si="195"/>
        <v>196381</v>
      </c>
    </row>
    <row r="4776" spans="7:14" ht="11.25" customHeight="1" x14ac:dyDescent="0.25">
      <c r="G4776" s="459"/>
      <c r="H4776" s="459">
        <v>4769</v>
      </c>
      <c r="I4776" s="444">
        <f t="shared" ca="1" si="193"/>
        <v>-188674406141706.53</v>
      </c>
      <c r="J4776" s="444">
        <f t="array" ref="J4776">IFERROR(INDEX('Retirement Calculator'!J:J,MATCH('Isaac 401k'!N4776,'Retirement Calculator'!A:A,0),0),0)</f>
        <v>0</v>
      </c>
      <c r="K4776" s="444">
        <f t="shared" ca="1" si="191"/>
        <v>-786143358923.77722</v>
      </c>
      <c r="L4776" s="444">
        <f t="shared" ca="1" si="192"/>
        <v>-189460549500630.31</v>
      </c>
      <c r="M4776" s="460">
        <f t="shared" si="194"/>
        <v>0.05</v>
      </c>
      <c r="N4776" s="464">
        <f t="shared" si="195"/>
        <v>196411</v>
      </c>
    </row>
    <row r="4777" spans="7:14" ht="11.25" customHeight="1" x14ac:dyDescent="0.25">
      <c r="G4777" s="459"/>
      <c r="H4777" s="459">
        <v>4770</v>
      </c>
      <c r="I4777" s="444">
        <f t="shared" ca="1" si="193"/>
        <v>-189460549500630.31</v>
      </c>
      <c r="J4777" s="444">
        <f t="array" ref="J4777">IFERROR(INDEX('Retirement Calculator'!J:J,MATCH('Isaac 401k'!N4777,'Retirement Calculator'!A:A,0),0),0)</f>
        <v>0</v>
      </c>
      <c r="K4777" s="444">
        <f t="shared" ca="1" si="191"/>
        <v>-789418956252.62634</v>
      </c>
      <c r="L4777" s="444">
        <f t="shared" ca="1" si="192"/>
        <v>-190249968456882.94</v>
      </c>
      <c r="M4777" s="460">
        <f t="shared" si="194"/>
        <v>0.05</v>
      </c>
      <c r="N4777" s="464">
        <f t="shared" si="195"/>
        <v>196442</v>
      </c>
    </row>
    <row r="4778" spans="7:14" ht="11.25" customHeight="1" x14ac:dyDescent="0.25">
      <c r="G4778" s="459"/>
      <c r="H4778" s="459">
        <v>4771</v>
      </c>
      <c r="I4778" s="444">
        <f t="shared" ca="1" si="193"/>
        <v>-190249968456882.94</v>
      </c>
      <c r="J4778" s="444">
        <f t="array" ref="J4778">IFERROR(INDEX('Retirement Calculator'!J:J,MATCH('Isaac 401k'!N4778,'Retirement Calculator'!A:A,0),0),0)</f>
        <v>0</v>
      </c>
      <c r="K4778" s="444">
        <f t="shared" ca="1" si="191"/>
        <v>-792708201903.67896</v>
      </c>
      <c r="L4778" s="444">
        <f t="shared" ca="1" si="192"/>
        <v>-191042676658786.63</v>
      </c>
      <c r="M4778" s="460">
        <f t="shared" si="194"/>
        <v>0.05</v>
      </c>
      <c r="N4778" s="464">
        <f t="shared" si="195"/>
        <v>196472</v>
      </c>
    </row>
    <row r="4779" spans="7:14" ht="11.25" customHeight="1" x14ac:dyDescent="0.25">
      <c r="G4779" s="459"/>
      <c r="H4779" s="459">
        <v>4772</v>
      </c>
      <c r="I4779" s="444">
        <f t="shared" ca="1" si="193"/>
        <v>-191042676658786.63</v>
      </c>
      <c r="J4779" s="444">
        <f t="array" ref="J4779">IFERROR(INDEX('Retirement Calculator'!J:J,MATCH('Isaac 401k'!N4779,'Retirement Calculator'!A:A,0),0),0)</f>
        <v>0</v>
      </c>
      <c r="K4779" s="444">
        <f t="shared" ca="1" si="191"/>
        <v>-796011152744.94421</v>
      </c>
      <c r="L4779" s="444">
        <f t="shared" ca="1" si="192"/>
        <v>-191838687811531.56</v>
      </c>
      <c r="M4779" s="460">
        <f t="shared" si="194"/>
        <v>0.05</v>
      </c>
      <c r="N4779" s="464">
        <f t="shared" si="195"/>
        <v>196503</v>
      </c>
    </row>
    <row r="4780" spans="7:14" ht="11.25" customHeight="1" x14ac:dyDescent="0.25">
      <c r="G4780" s="459"/>
      <c r="H4780" s="459">
        <v>4773</v>
      </c>
      <c r="I4780" s="444">
        <f t="shared" ca="1" si="193"/>
        <v>-191838687811531.56</v>
      </c>
      <c r="J4780" s="444">
        <f t="array" ref="J4780">IFERROR(INDEX('Retirement Calculator'!J:J,MATCH('Isaac 401k'!N4780,'Retirement Calculator'!A:A,0),0),0)</f>
        <v>0</v>
      </c>
      <c r="K4780" s="444">
        <f t="shared" ca="1" si="191"/>
        <v>-799327865881.38147</v>
      </c>
      <c r="L4780" s="444">
        <f t="shared" ca="1" si="192"/>
        <v>-192638015677412.94</v>
      </c>
      <c r="M4780" s="460">
        <f t="shared" si="194"/>
        <v>0.05</v>
      </c>
      <c r="N4780" s="464">
        <f t="shared" si="195"/>
        <v>196534</v>
      </c>
    </row>
    <row r="4781" spans="7:14" ht="11.25" customHeight="1" x14ac:dyDescent="0.25">
      <c r="G4781" s="459"/>
      <c r="H4781" s="459">
        <v>4774</v>
      </c>
      <c r="I4781" s="444">
        <f t="shared" ca="1" si="193"/>
        <v>-192638015677412.94</v>
      </c>
      <c r="J4781" s="444">
        <f t="array" ref="J4781">IFERROR(INDEX('Retirement Calculator'!J:J,MATCH('Isaac 401k'!N4781,'Retirement Calculator'!A:A,0),0),0)</f>
        <v>0</v>
      </c>
      <c r="K4781" s="444">
        <f t="shared" ca="1" si="191"/>
        <v>-802658398655.88721</v>
      </c>
      <c r="L4781" s="444">
        <f t="shared" ca="1" si="192"/>
        <v>-193440674076068.81</v>
      </c>
      <c r="M4781" s="460">
        <f t="shared" si="194"/>
        <v>0.05</v>
      </c>
      <c r="N4781" s="464">
        <f t="shared" si="195"/>
        <v>196562</v>
      </c>
    </row>
    <row r="4782" spans="7:14" ht="11.25" customHeight="1" x14ac:dyDescent="0.25">
      <c r="G4782" s="459"/>
      <c r="H4782" s="459">
        <v>4775</v>
      </c>
      <c r="I4782" s="444">
        <f t="shared" ca="1" si="193"/>
        <v>-193440674076068.81</v>
      </c>
      <c r="J4782" s="444">
        <f t="array" ref="J4782">IFERROR(INDEX('Retirement Calculator'!J:J,MATCH('Isaac 401k'!N4782,'Retirement Calculator'!A:A,0),0),0)</f>
        <v>0</v>
      </c>
      <c r="K4782" s="444">
        <f t="shared" ca="1" si="191"/>
        <v>-806002808650.28674</v>
      </c>
      <c r="L4782" s="444">
        <f t="shared" ca="1" si="192"/>
        <v>-194246676884719.09</v>
      </c>
      <c r="M4782" s="460">
        <f t="shared" si="194"/>
        <v>0.05</v>
      </c>
      <c r="N4782" s="464">
        <f t="shared" si="195"/>
        <v>196593</v>
      </c>
    </row>
    <row r="4783" spans="7:14" ht="11.25" customHeight="1" x14ac:dyDescent="0.25">
      <c r="G4783" s="459"/>
      <c r="H4783" s="459">
        <v>4776</v>
      </c>
      <c r="I4783" s="444">
        <f t="shared" ca="1" si="193"/>
        <v>-194246676884719.09</v>
      </c>
      <c r="J4783" s="444">
        <f t="array" ref="J4783">IFERROR(INDEX('Retirement Calculator'!J:J,MATCH('Isaac 401k'!N4783,'Retirement Calculator'!A:A,0),0),0)</f>
        <v>0</v>
      </c>
      <c r="K4783" s="444">
        <f t="shared" ca="1" si="191"/>
        <v>-809361153686.32959</v>
      </c>
      <c r="L4783" s="444">
        <f t="shared" ca="1" si="192"/>
        <v>-195056038038405.44</v>
      </c>
      <c r="M4783" s="460">
        <f t="shared" si="194"/>
        <v>0.05</v>
      </c>
      <c r="N4783" s="464">
        <f t="shared" si="195"/>
        <v>196623</v>
      </c>
    </row>
    <row r="4784" spans="7:14" ht="11.25" customHeight="1" x14ac:dyDescent="0.25">
      <c r="G4784" s="459"/>
      <c r="H4784" s="459">
        <v>4777</v>
      </c>
      <c r="I4784" s="444">
        <f t="shared" ca="1" si="193"/>
        <v>-195056038038405.44</v>
      </c>
      <c r="J4784" s="444">
        <f t="array" ref="J4784">IFERROR(INDEX('Retirement Calculator'!J:J,MATCH('Isaac 401k'!N4784,'Retirement Calculator'!A:A,0),0),0)</f>
        <v>0</v>
      </c>
      <c r="K4784" s="444">
        <f t="shared" ca="1" si="191"/>
        <v>-812733491826.68933</v>
      </c>
      <c r="L4784" s="444">
        <f t="shared" ca="1" si="192"/>
        <v>-195868771530232.13</v>
      </c>
      <c r="M4784" s="460">
        <f t="shared" si="194"/>
        <v>0.05</v>
      </c>
      <c r="N4784" s="464">
        <f t="shared" si="195"/>
        <v>196654</v>
      </c>
    </row>
    <row r="4785" spans="7:14" ht="11.25" customHeight="1" x14ac:dyDescent="0.25">
      <c r="G4785" s="459"/>
      <c r="H4785" s="459">
        <v>4778</v>
      </c>
      <c r="I4785" s="444">
        <f t="shared" ca="1" si="193"/>
        <v>-195868771530232.13</v>
      </c>
      <c r="J4785" s="444">
        <f t="array" ref="J4785">IFERROR(INDEX('Retirement Calculator'!J:J,MATCH('Isaac 401k'!N4785,'Retirement Calculator'!A:A,0),0),0)</f>
        <v>0</v>
      </c>
      <c r="K4785" s="444">
        <f t="shared" ca="1" si="191"/>
        <v>-816119881375.96716</v>
      </c>
      <c r="L4785" s="444">
        <f t="shared" ca="1" si="192"/>
        <v>-196684891411608.09</v>
      </c>
      <c r="M4785" s="460">
        <f t="shared" si="194"/>
        <v>0.05</v>
      </c>
      <c r="N4785" s="464">
        <f t="shared" si="195"/>
        <v>196684</v>
      </c>
    </row>
    <row r="4786" spans="7:14" ht="11.25" customHeight="1" x14ac:dyDescent="0.25">
      <c r="G4786" s="459"/>
      <c r="H4786" s="459">
        <v>4779</v>
      </c>
      <c r="I4786" s="444">
        <f t="shared" ca="1" si="193"/>
        <v>-196684891411608.09</v>
      </c>
      <c r="J4786" s="444">
        <f t="array" ref="J4786">IFERROR(INDEX('Retirement Calculator'!J:J,MATCH('Isaac 401k'!N4786,'Retirement Calculator'!A:A,0),0),0)</f>
        <v>0</v>
      </c>
      <c r="K4786" s="444">
        <f t="shared" ca="1" si="191"/>
        <v>-819520380881.70044</v>
      </c>
      <c r="L4786" s="444">
        <f t="shared" ca="1" si="192"/>
        <v>-197504411792489.78</v>
      </c>
      <c r="M4786" s="460">
        <f t="shared" si="194"/>
        <v>0.05</v>
      </c>
      <c r="N4786" s="464">
        <f t="shared" si="195"/>
        <v>196715</v>
      </c>
    </row>
    <row r="4787" spans="7:14" ht="11.25" customHeight="1" x14ac:dyDescent="0.25">
      <c r="G4787" s="459"/>
      <c r="H4787" s="459">
        <v>4780</v>
      </c>
      <c r="I4787" s="444">
        <f t="shared" ca="1" si="193"/>
        <v>-197504411792489.78</v>
      </c>
      <c r="J4787" s="444">
        <f t="array" ref="J4787">IFERROR(INDEX('Retirement Calculator'!J:J,MATCH('Isaac 401k'!N4787,'Retirement Calculator'!A:A,0),0),0)</f>
        <v>0</v>
      </c>
      <c r="K4787" s="444">
        <f t="shared" ca="1" si="191"/>
        <v>-822935049135.37402</v>
      </c>
      <c r="L4787" s="444">
        <f t="shared" ca="1" si="192"/>
        <v>-198327346841625.16</v>
      </c>
      <c r="M4787" s="460">
        <f t="shared" si="194"/>
        <v>0.05</v>
      </c>
      <c r="N4787" s="464">
        <f t="shared" si="195"/>
        <v>196746</v>
      </c>
    </row>
    <row r="4788" spans="7:14" ht="11.25" customHeight="1" x14ac:dyDescent="0.25">
      <c r="G4788" s="459"/>
      <c r="H4788" s="459">
        <v>4781</v>
      </c>
      <c r="I4788" s="444">
        <f t="shared" ca="1" si="193"/>
        <v>-198327346841625.16</v>
      </c>
      <c r="J4788" s="444">
        <f t="array" ref="J4788">IFERROR(INDEX('Retirement Calculator'!J:J,MATCH('Isaac 401k'!N4788,'Retirement Calculator'!A:A,0),0),0)</f>
        <v>0</v>
      </c>
      <c r="K4788" s="444">
        <f t="shared" ca="1" si="191"/>
        <v>-826363945173.43811</v>
      </c>
      <c r="L4788" s="444">
        <f t="shared" ca="1" si="192"/>
        <v>-199153710786798.59</v>
      </c>
      <c r="M4788" s="460">
        <f t="shared" si="194"/>
        <v>0.05</v>
      </c>
      <c r="N4788" s="464">
        <f t="shared" si="195"/>
        <v>196776</v>
      </c>
    </row>
    <row r="4789" spans="7:14" ht="11.25" customHeight="1" x14ac:dyDescent="0.25">
      <c r="G4789" s="459"/>
      <c r="H4789" s="459">
        <v>4782</v>
      </c>
      <c r="I4789" s="444">
        <f t="shared" ca="1" si="193"/>
        <v>-199153710786798.59</v>
      </c>
      <c r="J4789" s="444">
        <f t="array" ref="J4789">IFERROR(INDEX('Retirement Calculator'!J:J,MATCH('Isaac 401k'!N4789,'Retirement Calculator'!A:A,0),0),0)</f>
        <v>0</v>
      </c>
      <c r="K4789" s="444">
        <f t="shared" ca="1" si="191"/>
        <v>-829807128278.32751</v>
      </c>
      <c r="L4789" s="444">
        <f t="shared" ca="1" si="192"/>
        <v>-199983517915076.91</v>
      </c>
      <c r="M4789" s="460">
        <f t="shared" si="194"/>
        <v>0.05</v>
      </c>
      <c r="N4789" s="464">
        <f t="shared" si="195"/>
        <v>196807</v>
      </c>
    </row>
    <row r="4790" spans="7:14" ht="11.25" customHeight="1" x14ac:dyDescent="0.25">
      <c r="G4790" s="459"/>
      <c r="H4790" s="459">
        <v>4783</v>
      </c>
      <c r="I4790" s="444">
        <f t="shared" ca="1" si="193"/>
        <v>-199983517915076.91</v>
      </c>
      <c r="J4790" s="444">
        <f t="array" ref="J4790">IFERROR(INDEX('Retirement Calculator'!J:J,MATCH('Isaac 401k'!N4790,'Retirement Calculator'!A:A,0),0),0)</f>
        <v>0</v>
      </c>
      <c r="K4790" s="444">
        <f t="shared" ca="1" si="191"/>
        <v>-833264657979.48706</v>
      </c>
      <c r="L4790" s="444">
        <f t="shared" ca="1" si="192"/>
        <v>-200816782573056.41</v>
      </c>
      <c r="M4790" s="460">
        <f t="shared" si="194"/>
        <v>0.05</v>
      </c>
      <c r="N4790" s="464">
        <f t="shared" si="195"/>
        <v>196837</v>
      </c>
    </row>
    <row r="4791" spans="7:14" ht="11.25" customHeight="1" x14ac:dyDescent="0.25">
      <c r="G4791" s="459"/>
      <c r="H4791" s="459">
        <v>4784</v>
      </c>
      <c r="I4791" s="444">
        <f t="shared" ca="1" si="193"/>
        <v>-200816782573056.41</v>
      </c>
      <c r="J4791" s="444">
        <f t="array" ref="J4791">IFERROR(INDEX('Retirement Calculator'!J:J,MATCH('Isaac 401k'!N4791,'Retirement Calculator'!A:A,0),0),0)</f>
        <v>0</v>
      </c>
      <c r="K4791" s="444">
        <f t="shared" ca="1" si="191"/>
        <v>-836736594054.40173</v>
      </c>
      <c r="L4791" s="444">
        <f t="shared" ca="1" si="192"/>
        <v>-201653519167110.81</v>
      </c>
      <c r="M4791" s="460">
        <f t="shared" si="194"/>
        <v>0.05</v>
      </c>
      <c r="N4791" s="464">
        <f t="shared" si="195"/>
        <v>196868</v>
      </c>
    </row>
    <row r="4792" spans="7:14" ht="11.25" customHeight="1" x14ac:dyDescent="0.25">
      <c r="G4792" s="459"/>
      <c r="H4792" s="459">
        <v>4785</v>
      </c>
      <c r="I4792" s="444">
        <f t="shared" ca="1" si="193"/>
        <v>-201653519167110.81</v>
      </c>
      <c r="J4792" s="444">
        <f t="array" ref="J4792">IFERROR(INDEX('Retirement Calculator'!J:J,MATCH('Isaac 401k'!N4792,'Retirement Calculator'!A:A,0),0),0)</f>
        <v>0</v>
      </c>
      <c r="K4792" s="444">
        <f t="shared" ca="1" si="191"/>
        <v>-840222996529.62842</v>
      </c>
      <c r="L4792" s="444">
        <f t="shared" ca="1" si="192"/>
        <v>-202493742163640.44</v>
      </c>
      <c r="M4792" s="460">
        <f t="shared" si="194"/>
        <v>0.05</v>
      </c>
      <c r="N4792" s="464">
        <f t="shared" si="195"/>
        <v>196899</v>
      </c>
    </row>
    <row r="4793" spans="7:14" ht="11.25" customHeight="1" x14ac:dyDescent="0.25">
      <c r="G4793" s="459"/>
      <c r="H4793" s="459">
        <v>4786</v>
      </c>
      <c r="I4793" s="444">
        <f t="shared" ca="1" si="193"/>
        <v>-202493742163640.44</v>
      </c>
      <c r="J4793" s="444">
        <f t="array" ref="J4793">IFERROR(INDEX('Retirement Calculator'!J:J,MATCH('Isaac 401k'!N4793,'Retirement Calculator'!A:A,0),0),0)</f>
        <v>0</v>
      </c>
      <c r="K4793" s="444">
        <f t="shared" ca="1" si="191"/>
        <v>-843723925681.83521</v>
      </c>
      <c r="L4793" s="444">
        <f t="shared" ca="1" si="192"/>
        <v>-203337466089322.28</v>
      </c>
      <c r="M4793" s="460">
        <f t="shared" si="194"/>
        <v>0.05</v>
      </c>
      <c r="N4793" s="464">
        <f t="shared" si="195"/>
        <v>196927</v>
      </c>
    </row>
    <row r="4794" spans="7:14" ht="11.25" customHeight="1" x14ac:dyDescent="0.25">
      <c r="G4794" s="459"/>
      <c r="H4794" s="459">
        <v>4787</v>
      </c>
      <c r="I4794" s="444">
        <f t="shared" ca="1" si="193"/>
        <v>-203337466089322.28</v>
      </c>
      <c r="J4794" s="444">
        <f t="array" ref="J4794">IFERROR(INDEX('Retirement Calculator'!J:J,MATCH('Isaac 401k'!N4794,'Retirement Calculator'!A:A,0),0),0)</f>
        <v>0</v>
      </c>
      <c r="K4794" s="444">
        <f t="shared" ca="1" si="191"/>
        <v>-847239442038.84277</v>
      </c>
      <c r="L4794" s="444">
        <f t="shared" ca="1" si="192"/>
        <v>-204184705531361.13</v>
      </c>
      <c r="M4794" s="460">
        <f t="shared" si="194"/>
        <v>0.05</v>
      </c>
      <c r="N4794" s="464">
        <f t="shared" si="195"/>
        <v>196958</v>
      </c>
    </row>
    <row r="4795" spans="7:14" ht="11.25" customHeight="1" x14ac:dyDescent="0.25">
      <c r="G4795" s="459"/>
      <c r="H4795" s="459">
        <v>4788</v>
      </c>
      <c r="I4795" s="444">
        <f t="shared" ca="1" si="193"/>
        <v>-204184705531361.13</v>
      </c>
      <c r="J4795" s="444">
        <f t="array" ref="J4795">IFERROR(INDEX('Retirement Calculator'!J:J,MATCH('Isaac 401k'!N4795,'Retirement Calculator'!A:A,0),0),0)</f>
        <v>0</v>
      </c>
      <c r="K4795" s="444">
        <f t="shared" ca="1" si="191"/>
        <v>-850769606380.67139</v>
      </c>
      <c r="L4795" s="444">
        <f t="shared" ca="1" si="192"/>
        <v>-205035475137741.78</v>
      </c>
      <c r="M4795" s="460">
        <f t="shared" si="194"/>
        <v>0.05</v>
      </c>
      <c r="N4795" s="464">
        <f t="shared" si="195"/>
        <v>196988</v>
      </c>
    </row>
    <row r="4796" spans="7:14" ht="11.25" customHeight="1" x14ac:dyDescent="0.25">
      <c r="G4796" s="459"/>
      <c r="H4796" s="459">
        <v>4789</v>
      </c>
      <c r="I4796" s="444">
        <f t="shared" ca="1" si="193"/>
        <v>-205035475137741.78</v>
      </c>
      <c r="J4796" s="444">
        <f t="array" ref="J4796">IFERROR(INDEX('Retirement Calculator'!J:J,MATCH('Isaac 401k'!N4796,'Retirement Calculator'!A:A,0),0),0)</f>
        <v>0</v>
      </c>
      <c r="K4796" s="444">
        <f t="shared" ca="1" si="191"/>
        <v>-854314479740.5907</v>
      </c>
      <c r="L4796" s="444">
        <f t="shared" ca="1" si="192"/>
        <v>-205889789617482.38</v>
      </c>
      <c r="M4796" s="460">
        <f t="shared" si="194"/>
        <v>0.05</v>
      </c>
      <c r="N4796" s="464">
        <f t="shared" si="195"/>
        <v>197019</v>
      </c>
    </row>
    <row r="4797" spans="7:14" ht="11.25" customHeight="1" x14ac:dyDescent="0.25">
      <c r="G4797" s="459"/>
      <c r="H4797" s="459">
        <v>4790</v>
      </c>
      <c r="I4797" s="444">
        <f t="shared" ca="1" si="193"/>
        <v>-205889789617482.38</v>
      </c>
      <c r="J4797" s="444">
        <f t="array" ref="J4797">IFERROR(INDEX('Retirement Calculator'!J:J,MATCH('Isaac 401k'!N4797,'Retirement Calculator'!A:A,0),0),0)</f>
        <v>0</v>
      </c>
      <c r="K4797" s="444">
        <f t="shared" ca="1" si="191"/>
        <v>-857874123406.17651</v>
      </c>
      <c r="L4797" s="444">
        <f t="shared" ca="1" si="192"/>
        <v>-206747663740888.56</v>
      </c>
      <c r="M4797" s="460">
        <f t="shared" si="194"/>
        <v>0.05</v>
      </c>
      <c r="N4797" s="464">
        <f t="shared" si="195"/>
        <v>197049</v>
      </c>
    </row>
    <row r="4798" spans="7:14" ht="11.25" customHeight="1" x14ac:dyDescent="0.25">
      <c r="G4798" s="459"/>
      <c r="H4798" s="459">
        <v>4791</v>
      </c>
      <c r="I4798" s="444">
        <f t="shared" ca="1" si="193"/>
        <v>-206747663740888.56</v>
      </c>
      <c r="J4798" s="444">
        <f t="array" ref="J4798">IFERROR(INDEX('Retirement Calculator'!J:J,MATCH('Isaac 401k'!N4798,'Retirement Calculator'!A:A,0),0),0)</f>
        <v>0</v>
      </c>
      <c r="K4798" s="444">
        <f t="shared" ca="1" si="191"/>
        <v>-861448598920.36902</v>
      </c>
      <c r="L4798" s="444">
        <f t="shared" ca="1" si="192"/>
        <v>-207609112339808.94</v>
      </c>
      <c r="M4798" s="460">
        <f t="shared" si="194"/>
        <v>0.05</v>
      </c>
      <c r="N4798" s="464">
        <f t="shared" si="195"/>
        <v>197080</v>
      </c>
    </row>
    <row r="4799" spans="7:14" ht="11.25" customHeight="1" x14ac:dyDescent="0.25">
      <c r="G4799" s="459"/>
      <c r="H4799" s="459">
        <v>4792</v>
      </c>
      <c r="I4799" s="444">
        <f t="shared" ca="1" si="193"/>
        <v>-207609112339808.94</v>
      </c>
      <c r="J4799" s="444">
        <f t="array" ref="J4799">IFERROR(INDEX('Retirement Calculator'!J:J,MATCH('Isaac 401k'!N4799,'Retirement Calculator'!A:A,0),0),0)</f>
        <v>0</v>
      </c>
      <c r="K4799" s="444">
        <f t="shared" ca="1" si="191"/>
        <v>-865037968082.53723</v>
      </c>
      <c r="L4799" s="444">
        <f t="shared" ca="1" si="192"/>
        <v>-208474150307891.47</v>
      </c>
      <c r="M4799" s="460">
        <f t="shared" si="194"/>
        <v>0.05</v>
      </c>
      <c r="N4799" s="464">
        <f t="shared" si="195"/>
        <v>197111</v>
      </c>
    </row>
    <row r="4800" spans="7:14" ht="11.25" customHeight="1" x14ac:dyDescent="0.25">
      <c r="G4800" s="459"/>
      <c r="H4800" s="459">
        <v>4793</v>
      </c>
      <c r="I4800" s="444">
        <f t="shared" ca="1" si="193"/>
        <v>-208474150307891.47</v>
      </c>
      <c r="J4800" s="444">
        <f t="array" ref="J4800">IFERROR(INDEX('Retirement Calculator'!J:J,MATCH('Isaac 401k'!N4800,'Retirement Calculator'!A:A,0),0),0)</f>
        <v>0</v>
      </c>
      <c r="K4800" s="444">
        <f t="shared" ca="1" si="191"/>
        <v>-868642292949.54773</v>
      </c>
      <c r="L4800" s="444">
        <f t="shared" ca="1" si="192"/>
        <v>-209342792600841.03</v>
      </c>
      <c r="M4800" s="460">
        <f t="shared" si="194"/>
        <v>0.05</v>
      </c>
      <c r="N4800" s="464">
        <f t="shared" si="195"/>
        <v>197141</v>
      </c>
    </row>
    <row r="4801" spans="7:14" ht="11.25" customHeight="1" x14ac:dyDescent="0.25">
      <c r="G4801" s="459"/>
      <c r="H4801" s="459">
        <v>4794</v>
      </c>
      <c r="I4801" s="444">
        <f t="shared" ca="1" si="193"/>
        <v>-209342792600841.03</v>
      </c>
      <c r="J4801" s="444">
        <f t="array" ref="J4801">IFERROR(INDEX('Retirement Calculator'!J:J,MATCH('Isaac 401k'!N4801,'Retirement Calculator'!A:A,0),0),0)</f>
        <v>0</v>
      </c>
      <c r="K4801" s="444">
        <f t="shared" ca="1" si="191"/>
        <v>-872261635836.83765</v>
      </c>
      <c r="L4801" s="444">
        <f t="shared" ca="1" si="192"/>
        <v>-210215054236677.88</v>
      </c>
      <c r="M4801" s="460">
        <f t="shared" si="194"/>
        <v>0.05</v>
      </c>
      <c r="N4801" s="464">
        <f t="shared" si="195"/>
        <v>197172</v>
      </c>
    </row>
    <row r="4802" spans="7:14" ht="11.25" customHeight="1" x14ac:dyDescent="0.25">
      <c r="G4802" s="459"/>
      <c r="H4802" s="459">
        <v>4795</v>
      </c>
      <c r="I4802" s="444">
        <f t="shared" ca="1" si="193"/>
        <v>-210215054236677.88</v>
      </c>
      <c r="J4802" s="444">
        <f t="array" ref="J4802">IFERROR(INDEX('Retirement Calculator'!J:J,MATCH('Isaac 401k'!N4802,'Retirement Calculator'!A:A,0),0),0)</f>
        <v>0</v>
      </c>
      <c r="K4802" s="444">
        <f t="shared" ca="1" si="191"/>
        <v>-875896059319.49109</v>
      </c>
      <c r="L4802" s="444">
        <f t="shared" ca="1" si="192"/>
        <v>-211090950295997.38</v>
      </c>
      <c r="M4802" s="460">
        <f t="shared" si="194"/>
        <v>0.05</v>
      </c>
      <c r="N4802" s="464">
        <f t="shared" si="195"/>
        <v>197202</v>
      </c>
    </row>
    <row r="4803" spans="7:14" ht="11.25" customHeight="1" x14ac:dyDescent="0.25">
      <c r="G4803" s="459"/>
      <c r="H4803" s="459">
        <v>4796</v>
      </c>
      <c r="I4803" s="444">
        <f t="shared" ca="1" si="193"/>
        <v>-211090950295997.38</v>
      </c>
      <c r="J4803" s="444">
        <f t="array" ref="J4803">IFERROR(INDEX('Retirement Calculator'!J:J,MATCH('Isaac 401k'!N4803,'Retirement Calculator'!A:A,0),0),0)</f>
        <v>0</v>
      </c>
      <c r="K4803" s="444">
        <f t="shared" ca="1" si="191"/>
        <v>-879545626233.32239</v>
      </c>
      <c r="L4803" s="444">
        <f t="shared" ca="1" si="192"/>
        <v>-211970495922230.69</v>
      </c>
      <c r="M4803" s="460">
        <f t="shared" si="194"/>
        <v>0.05</v>
      </c>
      <c r="N4803" s="464">
        <f t="shared" si="195"/>
        <v>197233</v>
      </c>
    </row>
    <row r="4804" spans="7:14" ht="11.25" customHeight="1" x14ac:dyDescent="0.25">
      <c r="G4804" s="459"/>
      <c r="H4804" s="459">
        <v>4797</v>
      </c>
      <c r="I4804" s="444">
        <f t="shared" ca="1" si="193"/>
        <v>-211970495922230.69</v>
      </c>
      <c r="J4804" s="444">
        <f t="array" ref="J4804">IFERROR(INDEX('Retirement Calculator'!J:J,MATCH('Isaac 401k'!N4804,'Retirement Calculator'!A:A,0),0),0)</f>
        <v>0</v>
      </c>
      <c r="K4804" s="444">
        <f t="shared" ca="1" si="191"/>
        <v>-883210399675.96118</v>
      </c>
      <c r="L4804" s="444">
        <f t="shared" ca="1" si="192"/>
        <v>-212853706321906.66</v>
      </c>
      <c r="M4804" s="460">
        <f t="shared" si="194"/>
        <v>0.05</v>
      </c>
      <c r="N4804" s="464">
        <f t="shared" si="195"/>
        <v>197264</v>
      </c>
    </row>
    <row r="4805" spans="7:14" ht="11.25" customHeight="1" x14ac:dyDescent="0.25">
      <c r="G4805" s="459"/>
      <c r="H4805" s="459">
        <v>4798</v>
      </c>
      <c r="I4805" s="444">
        <f t="shared" ca="1" si="193"/>
        <v>-212853706321906.66</v>
      </c>
      <c r="J4805" s="444">
        <f t="array" ref="J4805">IFERROR(INDEX('Retirement Calculator'!J:J,MATCH('Isaac 401k'!N4805,'Retirement Calculator'!A:A,0),0),0)</f>
        <v>0</v>
      </c>
      <c r="K4805" s="444">
        <f t="shared" ca="1" si="191"/>
        <v>-886890443007.94434</v>
      </c>
      <c r="L4805" s="444">
        <f t="shared" ca="1" si="192"/>
        <v>-213740596764914.59</v>
      </c>
      <c r="M4805" s="460">
        <f t="shared" si="194"/>
        <v>0.05</v>
      </c>
      <c r="N4805" s="464">
        <f t="shared" si="195"/>
        <v>197293</v>
      </c>
    </row>
    <row r="4806" spans="7:14" ht="11.25" customHeight="1" x14ac:dyDescent="0.25">
      <c r="G4806" s="459"/>
      <c r="H4806" s="459">
        <v>4799</v>
      </c>
      <c r="I4806" s="444">
        <f t="shared" ca="1" si="193"/>
        <v>-213740596764914.59</v>
      </c>
      <c r="J4806" s="444">
        <f t="array" ref="J4806">IFERROR(INDEX('Retirement Calculator'!J:J,MATCH('Isaac 401k'!N4806,'Retirement Calculator'!A:A,0),0),0)</f>
        <v>0</v>
      </c>
      <c r="K4806" s="444">
        <f t="shared" ca="1" si="191"/>
        <v>-890585819853.81079</v>
      </c>
      <c r="L4806" s="444">
        <f t="shared" ca="1" si="192"/>
        <v>-214631182584768.41</v>
      </c>
      <c r="M4806" s="460">
        <f t="shared" si="194"/>
        <v>0.05</v>
      </c>
      <c r="N4806" s="464">
        <f t="shared" si="195"/>
        <v>197324</v>
      </c>
    </row>
    <row r="4807" spans="7:14" ht="11.25" customHeight="1" x14ac:dyDescent="0.25">
      <c r="G4807" s="459"/>
      <c r="H4807" s="459">
        <v>4800</v>
      </c>
      <c r="I4807" s="444">
        <f t="shared" ca="1" si="193"/>
        <v>-214631182584768.41</v>
      </c>
      <c r="J4807" s="444">
        <f t="array" ref="J4807">IFERROR(INDEX('Retirement Calculator'!J:J,MATCH('Isaac 401k'!N4807,'Retirement Calculator'!A:A,0),0),0)</f>
        <v>0</v>
      </c>
      <c r="K4807" s="444">
        <f t="shared" ca="1" si="191"/>
        <v>-894296594103.20166</v>
      </c>
      <c r="L4807" s="444">
        <f t="shared" ca="1" si="192"/>
        <v>-215525479178871.59</v>
      </c>
      <c r="M4807" s="460">
        <f t="shared" si="194"/>
        <v>0.05</v>
      </c>
      <c r="N4807" s="464">
        <f t="shared" si="195"/>
        <v>197354</v>
      </c>
    </row>
    <row r="4808" spans="7:14" ht="11.25" customHeight="1" x14ac:dyDescent="0.25">
      <c r="G4808" s="459"/>
      <c r="H4808" s="459">
        <v>4801</v>
      </c>
      <c r="I4808" s="444">
        <f t="shared" ca="1" si="193"/>
        <v>-215525479178871.59</v>
      </c>
      <c r="J4808" s="444">
        <f t="array" ref="J4808">IFERROR(INDEX('Retirement Calculator'!J:J,MATCH('Isaac 401k'!N4808,'Retirement Calculator'!A:A,0),0),0)</f>
        <v>0</v>
      </c>
      <c r="K4808" s="444">
        <f t="shared" ca="1" si="191"/>
        <v>-898022829911.96497</v>
      </c>
      <c r="L4808" s="444">
        <f t="shared" ca="1" si="192"/>
        <v>-216423502008783.56</v>
      </c>
      <c r="M4808" s="460">
        <f t="shared" si="194"/>
        <v>0.05</v>
      </c>
      <c r="N4808" s="464">
        <f t="shared" si="195"/>
        <v>197385</v>
      </c>
    </row>
    <row r="4809" spans="7:14" ht="11.25" customHeight="1" x14ac:dyDescent="0.25">
      <c r="G4809" s="459"/>
      <c r="H4809" s="459">
        <v>4802</v>
      </c>
      <c r="I4809" s="444">
        <f t="shared" ca="1" si="193"/>
        <v>-216423502008783.56</v>
      </c>
      <c r="J4809" s="444">
        <f t="array" ref="J4809">IFERROR(INDEX('Retirement Calculator'!J:J,MATCH('Isaac 401k'!N4809,'Retirement Calculator'!A:A,0),0),0)</f>
        <v>0</v>
      </c>
      <c r="K4809" s="444">
        <f t="shared" ca="1" si="191"/>
        <v>-901764591703.26477</v>
      </c>
      <c r="L4809" s="444">
        <f t="shared" ca="1" si="192"/>
        <v>-217325266600486.81</v>
      </c>
      <c r="M4809" s="460">
        <f t="shared" si="194"/>
        <v>0.05</v>
      </c>
      <c r="N4809" s="464">
        <f t="shared" si="195"/>
        <v>197415</v>
      </c>
    </row>
    <row r="4810" spans="7:14" ht="11.25" customHeight="1" x14ac:dyDescent="0.25">
      <c r="G4810" s="459"/>
      <c r="H4810" s="459">
        <v>4803</v>
      </c>
      <c r="I4810" s="444">
        <f t="shared" ca="1" si="193"/>
        <v>-217325266600486.81</v>
      </c>
      <c r="J4810" s="444">
        <f t="array" ref="J4810">IFERROR(INDEX('Retirement Calculator'!J:J,MATCH('Isaac 401k'!N4810,'Retirement Calculator'!A:A,0),0),0)</f>
        <v>0</v>
      </c>
      <c r="K4810" s="444">
        <f t="shared" ca="1" si="191"/>
        <v>-905521944168.69507</v>
      </c>
      <c r="L4810" s="444">
        <f t="shared" ca="1" si="192"/>
        <v>-218230788544655.5</v>
      </c>
      <c r="M4810" s="460">
        <f t="shared" si="194"/>
        <v>0.05</v>
      </c>
      <c r="N4810" s="464">
        <f t="shared" si="195"/>
        <v>197446</v>
      </c>
    </row>
    <row r="4811" spans="7:14" ht="11.25" customHeight="1" x14ac:dyDescent="0.25">
      <c r="G4811" s="459"/>
      <c r="H4811" s="459">
        <v>4804</v>
      </c>
      <c r="I4811" s="444">
        <f t="shared" ca="1" si="193"/>
        <v>-218230788544655.5</v>
      </c>
      <c r="J4811" s="444">
        <f t="array" ref="J4811">IFERROR(INDEX('Retirement Calculator'!J:J,MATCH('Isaac 401k'!N4811,'Retirement Calculator'!A:A,0),0),0)</f>
        <v>0</v>
      </c>
      <c r="K4811" s="444">
        <f t="shared" ca="1" si="191"/>
        <v>-909294952269.39795</v>
      </c>
      <c r="L4811" s="444">
        <f t="shared" ca="1" si="192"/>
        <v>-219140083496924.91</v>
      </c>
      <c r="M4811" s="460">
        <f t="shared" si="194"/>
        <v>0.05</v>
      </c>
      <c r="N4811" s="464">
        <f t="shared" si="195"/>
        <v>197477</v>
      </c>
    </row>
    <row r="4812" spans="7:14" ht="11.25" customHeight="1" x14ac:dyDescent="0.25">
      <c r="G4812" s="459"/>
      <c r="H4812" s="459">
        <v>4805</v>
      </c>
      <c r="I4812" s="444">
        <f t="shared" ca="1" si="193"/>
        <v>-219140083496924.91</v>
      </c>
      <c r="J4812" s="444">
        <f t="array" ref="J4812">IFERROR(INDEX('Retirement Calculator'!J:J,MATCH('Isaac 401k'!N4812,'Retirement Calculator'!A:A,0),0),0)</f>
        <v>0</v>
      </c>
      <c r="K4812" s="444">
        <f t="shared" ca="1" si="191"/>
        <v>-913083681237.18713</v>
      </c>
      <c r="L4812" s="444">
        <f t="shared" ca="1" si="192"/>
        <v>-220053167178162.09</v>
      </c>
      <c r="M4812" s="460">
        <f t="shared" si="194"/>
        <v>0.05</v>
      </c>
      <c r="N4812" s="464">
        <f t="shared" si="195"/>
        <v>197507</v>
      </c>
    </row>
    <row r="4813" spans="7:14" ht="11.25" customHeight="1" x14ac:dyDescent="0.25">
      <c r="G4813" s="459"/>
      <c r="H4813" s="459">
        <v>4806</v>
      </c>
      <c r="I4813" s="444">
        <f t="shared" ca="1" si="193"/>
        <v>-220053167178162.09</v>
      </c>
      <c r="J4813" s="444">
        <f t="array" ref="J4813">IFERROR(INDEX('Retirement Calculator'!J:J,MATCH('Isaac 401k'!N4813,'Retirement Calculator'!A:A,0),0),0)</f>
        <v>0</v>
      </c>
      <c r="K4813" s="444">
        <f t="shared" ca="1" si="191"/>
        <v>-916888196575.67542</v>
      </c>
      <c r="L4813" s="444">
        <f t="shared" ca="1" si="192"/>
        <v>-220970055374737.78</v>
      </c>
      <c r="M4813" s="460">
        <f t="shared" si="194"/>
        <v>0.05</v>
      </c>
      <c r="N4813" s="464">
        <f t="shared" si="195"/>
        <v>197538</v>
      </c>
    </row>
    <row r="4814" spans="7:14" ht="11.25" customHeight="1" x14ac:dyDescent="0.25">
      <c r="G4814" s="459"/>
      <c r="H4814" s="459">
        <v>4807</v>
      </c>
      <c r="I4814" s="444">
        <f t="shared" ca="1" si="193"/>
        <v>-220970055374737.78</v>
      </c>
      <c r="J4814" s="444">
        <f t="array" ref="J4814">IFERROR(INDEX('Retirement Calculator'!J:J,MATCH('Isaac 401k'!N4814,'Retirement Calculator'!A:A,0),0),0)</f>
        <v>0</v>
      </c>
      <c r="K4814" s="444">
        <f t="shared" ca="1" si="191"/>
        <v>-920708564061.40735</v>
      </c>
      <c r="L4814" s="444">
        <f t="shared" ca="1" si="192"/>
        <v>-221890763938799.19</v>
      </c>
      <c r="M4814" s="460">
        <f t="shared" si="194"/>
        <v>0.05</v>
      </c>
      <c r="N4814" s="464">
        <f t="shared" si="195"/>
        <v>197568</v>
      </c>
    </row>
    <row r="4815" spans="7:14" ht="11.25" customHeight="1" x14ac:dyDescent="0.25">
      <c r="G4815" s="459"/>
      <c r="H4815" s="459">
        <v>4808</v>
      </c>
      <c r="I4815" s="444">
        <f t="shared" ca="1" si="193"/>
        <v>-221890763938799.19</v>
      </c>
      <c r="J4815" s="444">
        <f t="array" ref="J4815">IFERROR(INDEX('Retirement Calculator'!J:J,MATCH('Isaac 401k'!N4815,'Retirement Calculator'!A:A,0),0),0)</f>
        <v>0</v>
      </c>
      <c r="K4815" s="444">
        <f t="shared" ca="1" si="191"/>
        <v>-924544849744.99646</v>
      </c>
      <c r="L4815" s="444">
        <f t="shared" ca="1" si="192"/>
        <v>-222815308788544.19</v>
      </c>
      <c r="M4815" s="460">
        <f t="shared" si="194"/>
        <v>0.05</v>
      </c>
      <c r="N4815" s="464">
        <f t="shared" si="195"/>
        <v>197599</v>
      </c>
    </row>
    <row r="4816" spans="7:14" ht="11.25" customHeight="1" x14ac:dyDescent="0.25">
      <c r="G4816" s="459"/>
      <c r="H4816" s="459">
        <v>4809</v>
      </c>
      <c r="I4816" s="444">
        <f t="shared" ca="1" si="193"/>
        <v>-222815308788544.19</v>
      </c>
      <c r="J4816" s="444">
        <f t="array" ref="J4816">IFERROR(INDEX('Retirement Calculator'!J:J,MATCH('Isaac 401k'!N4816,'Retirement Calculator'!A:A,0),0),0)</f>
        <v>0</v>
      </c>
      <c r="K4816" s="444">
        <f t="shared" ca="1" si="191"/>
        <v>-928397119952.26733</v>
      </c>
      <c r="L4816" s="444">
        <f t="shared" ca="1" si="192"/>
        <v>-223743705908496.47</v>
      </c>
      <c r="M4816" s="460">
        <f t="shared" si="194"/>
        <v>0.05</v>
      </c>
      <c r="N4816" s="464">
        <f t="shared" si="195"/>
        <v>197630</v>
      </c>
    </row>
    <row r="4817" spans="7:14" ht="11.25" customHeight="1" x14ac:dyDescent="0.25">
      <c r="G4817" s="459"/>
      <c r="H4817" s="459">
        <v>4810</v>
      </c>
      <c r="I4817" s="444">
        <f t="shared" ca="1" si="193"/>
        <v>-223743705908496.47</v>
      </c>
      <c r="J4817" s="444">
        <f t="array" ref="J4817">IFERROR(INDEX('Retirement Calculator'!J:J,MATCH('Isaac 401k'!N4817,'Retirement Calculator'!A:A,0),0),0)</f>
        <v>0</v>
      </c>
      <c r="K4817" s="444">
        <f t="shared" ca="1" si="191"/>
        <v>-932265441285.4021</v>
      </c>
      <c r="L4817" s="444">
        <f t="shared" ca="1" si="192"/>
        <v>-224675971349781.88</v>
      </c>
      <c r="M4817" s="460">
        <f t="shared" si="194"/>
        <v>0.05</v>
      </c>
      <c r="N4817" s="464">
        <f t="shared" si="195"/>
        <v>197658</v>
      </c>
    </row>
    <row r="4818" spans="7:14" ht="11.25" customHeight="1" x14ac:dyDescent="0.25">
      <c r="G4818" s="459"/>
      <c r="H4818" s="459">
        <v>4811</v>
      </c>
      <c r="I4818" s="444">
        <f t="shared" ca="1" si="193"/>
        <v>-224675971349781.88</v>
      </c>
      <c r="J4818" s="444">
        <f t="array" ref="J4818">IFERROR(INDEX('Retirement Calculator'!J:J,MATCH('Isaac 401k'!N4818,'Retirement Calculator'!A:A,0),0),0)</f>
        <v>0</v>
      </c>
      <c r="K4818" s="444">
        <f t="shared" ca="1" si="191"/>
        <v>-936149880624.09094</v>
      </c>
      <c r="L4818" s="444">
        <f t="shared" ca="1" si="192"/>
        <v>-225612121230405.97</v>
      </c>
      <c r="M4818" s="460">
        <f t="shared" si="194"/>
        <v>0.05</v>
      </c>
      <c r="N4818" s="464">
        <f t="shared" si="195"/>
        <v>197689</v>
      </c>
    </row>
    <row r="4819" spans="7:14" ht="11.25" customHeight="1" x14ac:dyDescent="0.25">
      <c r="G4819" s="459"/>
      <c r="H4819" s="459">
        <v>4812</v>
      </c>
      <c r="I4819" s="444">
        <f t="shared" ca="1" si="193"/>
        <v>-225612121230405.97</v>
      </c>
      <c r="J4819" s="444">
        <f t="array" ref="J4819">IFERROR(INDEX('Retirement Calculator'!J:J,MATCH('Isaac 401k'!N4819,'Retirement Calculator'!A:A,0),0),0)</f>
        <v>0</v>
      </c>
      <c r="K4819" s="444">
        <f t="shared" ca="1" si="191"/>
        <v>-940050505126.69153</v>
      </c>
      <c r="L4819" s="444">
        <f t="shared" ca="1" si="192"/>
        <v>-226552171735532.66</v>
      </c>
      <c r="M4819" s="460">
        <f t="shared" si="194"/>
        <v>0.05</v>
      </c>
      <c r="N4819" s="464">
        <f t="shared" si="195"/>
        <v>197719</v>
      </c>
    </row>
    <row r="4820" spans="7:14" ht="11.25" customHeight="1" x14ac:dyDescent="0.25">
      <c r="G4820" s="459"/>
      <c r="H4820" s="459">
        <v>4813</v>
      </c>
      <c r="I4820" s="444">
        <f t="shared" ca="1" si="193"/>
        <v>-226552171735532.66</v>
      </c>
      <c r="J4820" s="444">
        <f t="array" ref="J4820">IFERROR(INDEX('Retirement Calculator'!J:J,MATCH('Isaac 401k'!N4820,'Retirement Calculator'!A:A,0),0),0)</f>
        <v>0</v>
      </c>
      <c r="K4820" s="444">
        <f t="shared" ca="1" si="191"/>
        <v>-943967382231.38586</v>
      </c>
      <c r="L4820" s="444">
        <f t="shared" ca="1" si="192"/>
        <v>-227496139117764.03</v>
      </c>
      <c r="M4820" s="460">
        <f t="shared" si="194"/>
        <v>0.05</v>
      </c>
      <c r="N4820" s="464">
        <f t="shared" si="195"/>
        <v>197750</v>
      </c>
    </row>
    <row r="4821" spans="7:14" ht="11.25" customHeight="1" x14ac:dyDescent="0.25">
      <c r="G4821" s="459"/>
      <c r="H4821" s="459">
        <v>4814</v>
      </c>
      <c r="I4821" s="444">
        <f t="shared" ca="1" si="193"/>
        <v>-227496139117764.03</v>
      </c>
      <c r="J4821" s="444">
        <f t="array" ref="J4821">IFERROR(INDEX('Retirement Calculator'!J:J,MATCH('Isaac 401k'!N4821,'Retirement Calculator'!A:A,0),0),0)</f>
        <v>0</v>
      </c>
      <c r="K4821" s="444">
        <f t="shared" ca="1" si="191"/>
        <v>-947900579657.35022</v>
      </c>
      <c r="L4821" s="444">
        <f t="shared" ca="1" si="192"/>
        <v>-228444039697421.38</v>
      </c>
      <c r="M4821" s="460">
        <f t="shared" si="194"/>
        <v>0.05</v>
      </c>
      <c r="N4821" s="464">
        <f t="shared" si="195"/>
        <v>197780</v>
      </c>
    </row>
    <row r="4822" spans="7:14" ht="11.25" customHeight="1" x14ac:dyDescent="0.25">
      <c r="G4822" s="459"/>
      <c r="H4822" s="459">
        <v>4815</v>
      </c>
      <c r="I4822" s="444">
        <f t="shared" ca="1" si="193"/>
        <v>-228444039697421.38</v>
      </c>
      <c r="J4822" s="444">
        <f t="array" ref="J4822">IFERROR(INDEX('Retirement Calculator'!J:J,MATCH('Isaac 401k'!N4822,'Retirement Calculator'!A:A,0),0),0)</f>
        <v>0</v>
      </c>
      <c r="K4822" s="444">
        <f t="shared" ca="1" si="191"/>
        <v>-951850165405.92236</v>
      </c>
      <c r="L4822" s="444">
        <f t="shared" ca="1" si="192"/>
        <v>-229395889862827.31</v>
      </c>
      <c r="M4822" s="460">
        <f t="shared" si="194"/>
        <v>0.05</v>
      </c>
      <c r="N4822" s="464">
        <f t="shared" si="195"/>
        <v>197811</v>
      </c>
    </row>
    <row r="4823" spans="7:14" ht="11.25" customHeight="1" x14ac:dyDescent="0.25">
      <c r="G4823" s="459"/>
      <c r="H4823" s="459">
        <v>4816</v>
      </c>
      <c r="I4823" s="444">
        <f t="shared" ca="1" si="193"/>
        <v>-229395889862827.31</v>
      </c>
      <c r="J4823" s="444">
        <f t="array" ref="J4823">IFERROR(INDEX('Retirement Calculator'!J:J,MATCH('Isaac 401k'!N4823,'Retirement Calculator'!A:A,0),0),0)</f>
        <v>0</v>
      </c>
      <c r="K4823" s="444">
        <f t="shared" ca="1" si="191"/>
        <v>-955816207761.7804</v>
      </c>
      <c r="L4823" s="444">
        <f t="shared" ca="1" si="192"/>
        <v>-230351706070589.09</v>
      </c>
      <c r="M4823" s="460">
        <f t="shared" si="194"/>
        <v>0.05</v>
      </c>
      <c r="N4823" s="464">
        <f t="shared" si="195"/>
        <v>197842</v>
      </c>
    </row>
    <row r="4824" spans="7:14" ht="11.25" customHeight="1" x14ac:dyDescent="0.25">
      <c r="G4824" s="459"/>
      <c r="H4824" s="459">
        <v>4817</v>
      </c>
      <c r="I4824" s="444">
        <f t="shared" ca="1" si="193"/>
        <v>-230351706070589.09</v>
      </c>
      <c r="J4824" s="444">
        <f t="array" ref="J4824">IFERROR(INDEX('Retirement Calculator'!J:J,MATCH('Isaac 401k'!N4824,'Retirement Calculator'!A:A,0),0),0)</f>
        <v>0</v>
      </c>
      <c r="K4824" s="444">
        <f t="shared" ca="1" si="191"/>
        <v>-959798775294.12109</v>
      </c>
      <c r="L4824" s="444">
        <f t="shared" ca="1" si="192"/>
        <v>-231311504845883.22</v>
      </c>
      <c r="M4824" s="460">
        <f t="shared" si="194"/>
        <v>0.05</v>
      </c>
      <c r="N4824" s="464">
        <f t="shared" si="195"/>
        <v>197872</v>
      </c>
    </row>
    <row r="4825" spans="7:14" ht="11.25" customHeight="1" x14ac:dyDescent="0.25">
      <c r="G4825" s="459"/>
      <c r="H4825" s="459">
        <v>4818</v>
      </c>
      <c r="I4825" s="444">
        <f t="shared" ca="1" si="193"/>
        <v>-231311504845883.22</v>
      </c>
      <c r="J4825" s="444">
        <f t="array" ref="J4825">IFERROR(INDEX('Retirement Calculator'!J:J,MATCH('Isaac 401k'!N4825,'Retirement Calculator'!A:A,0),0),0)</f>
        <v>0</v>
      </c>
      <c r="K4825" s="444">
        <f t="shared" ca="1" si="191"/>
        <v>-963797936857.84668</v>
      </c>
      <c r="L4825" s="444">
        <f t="shared" ca="1" si="192"/>
        <v>-232275302782741.06</v>
      </c>
      <c r="M4825" s="460">
        <f t="shared" si="194"/>
        <v>0.05</v>
      </c>
      <c r="N4825" s="464">
        <f t="shared" si="195"/>
        <v>197903</v>
      </c>
    </row>
    <row r="4826" spans="7:14" ht="11.25" customHeight="1" x14ac:dyDescent="0.25">
      <c r="G4826" s="459"/>
      <c r="H4826" s="459">
        <v>4819</v>
      </c>
      <c r="I4826" s="444">
        <f t="shared" ca="1" si="193"/>
        <v>-232275302782741.06</v>
      </c>
      <c r="J4826" s="444">
        <f t="array" ref="J4826">IFERROR(INDEX('Retirement Calculator'!J:J,MATCH('Isaac 401k'!N4826,'Retirement Calculator'!A:A,0),0),0)</f>
        <v>0</v>
      </c>
      <c r="K4826" s="444">
        <f t="shared" ca="1" si="191"/>
        <v>-967813761594.75452</v>
      </c>
      <c r="L4826" s="444">
        <f t="shared" ca="1" si="192"/>
        <v>-233243116544335.81</v>
      </c>
      <c r="M4826" s="460">
        <f t="shared" si="194"/>
        <v>0.05</v>
      </c>
      <c r="N4826" s="464">
        <f t="shared" si="195"/>
        <v>197933</v>
      </c>
    </row>
    <row r="4827" spans="7:14" ht="11.25" customHeight="1" x14ac:dyDescent="0.25">
      <c r="G4827" s="459"/>
      <c r="H4827" s="459">
        <v>4820</v>
      </c>
      <c r="I4827" s="444">
        <f t="shared" ca="1" si="193"/>
        <v>-233243116544335.81</v>
      </c>
      <c r="J4827" s="444">
        <f t="array" ref="J4827">IFERROR(INDEX('Retirement Calculator'!J:J,MATCH('Isaac 401k'!N4827,'Retirement Calculator'!A:A,0),0),0)</f>
        <v>0</v>
      </c>
      <c r="K4827" s="444">
        <f t="shared" ca="1" si="191"/>
        <v>-971846318934.73267</v>
      </c>
      <c r="L4827" s="444">
        <f t="shared" ca="1" si="192"/>
        <v>-234214962863270.53</v>
      </c>
      <c r="M4827" s="460">
        <f t="shared" si="194"/>
        <v>0.05</v>
      </c>
      <c r="N4827" s="464">
        <f t="shared" si="195"/>
        <v>197964</v>
      </c>
    </row>
    <row r="4828" spans="7:14" ht="11.25" customHeight="1" x14ac:dyDescent="0.25">
      <c r="G4828" s="459"/>
      <c r="H4828" s="459">
        <v>4821</v>
      </c>
      <c r="I4828" s="444">
        <f t="shared" ca="1" si="193"/>
        <v>-234214962863270.53</v>
      </c>
      <c r="J4828" s="444">
        <f t="array" ref="J4828">IFERROR(INDEX('Retirement Calculator'!J:J,MATCH('Isaac 401k'!N4828,'Retirement Calculator'!A:A,0),0),0)</f>
        <v>0</v>
      </c>
      <c r="K4828" s="444">
        <f t="shared" ca="1" si="191"/>
        <v>-975895678596.96057</v>
      </c>
      <c r="L4828" s="444">
        <f t="shared" ca="1" si="192"/>
        <v>-235190858541867.5</v>
      </c>
      <c r="M4828" s="460">
        <f t="shared" si="194"/>
        <v>0.05</v>
      </c>
      <c r="N4828" s="464">
        <f t="shared" si="195"/>
        <v>197995</v>
      </c>
    </row>
    <row r="4829" spans="7:14" ht="11.25" customHeight="1" x14ac:dyDescent="0.25">
      <c r="G4829" s="459"/>
      <c r="H4829" s="459">
        <v>4822</v>
      </c>
      <c r="I4829" s="444">
        <f t="shared" ca="1" si="193"/>
        <v>-235190858541867.5</v>
      </c>
      <c r="J4829" s="444">
        <f t="array" ref="J4829">IFERROR(INDEX('Retirement Calculator'!J:J,MATCH('Isaac 401k'!N4829,'Retirement Calculator'!A:A,0),0),0)</f>
        <v>0</v>
      </c>
      <c r="K4829" s="444">
        <f t="shared" ca="1" si="191"/>
        <v>-979961910591.11462</v>
      </c>
      <c r="L4829" s="444">
        <f t="shared" ca="1" si="192"/>
        <v>-236170820452458.63</v>
      </c>
      <c r="M4829" s="460">
        <f t="shared" si="194"/>
        <v>0.05</v>
      </c>
      <c r="N4829" s="464">
        <f t="shared" si="195"/>
        <v>198023</v>
      </c>
    </row>
    <row r="4830" spans="7:14" ht="11.25" customHeight="1" x14ac:dyDescent="0.25">
      <c r="G4830" s="459"/>
      <c r="H4830" s="459">
        <v>4823</v>
      </c>
      <c r="I4830" s="444">
        <f t="shared" ca="1" si="193"/>
        <v>-236170820452458.63</v>
      </c>
      <c r="J4830" s="444">
        <f t="array" ref="J4830">IFERROR(INDEX('Retirement Calculator'!J:J,MATCH('Isaac 401k'!N4830,'Retirement Calculator'!A:A,0),0),0)</f>
        <v>0</v>
      </c>
      <c r="K4830" s="444">
        <f t="shared" ca="1" si="191"/>
        <v>-984045085218.57764</v>
      </c>
      <c r="L4830" s="444">
        <f t="shared" ca="1" si="192"/>
        <v>-237154865537677.19</v>
      </c>
      <c r="M4830" s="460">
        <f t="shared" si="194"/>
        <v>0.05</v>
      </c>
      <c r="N4830" s="464">
        <f t="shared" si="195"/>
        <v>198054</v>
      </c>
    </row>
    <row r="4831" spans="7:14" ht="11.25" customHeight="1" x14ac:dyDescent="0.25">
      <c r="G4831" s="459"/>
      <c r="H4831" s="459">
        <v>4824</v>
      </c>
      <c r="I4831" s="444">
        <f t="shared" ca="1" si="193"/>
        <v>-237154865537677.19</v>
      </c>
      <c r="J4831" s="444">
        <f t="array" ref="J4831">IFERROR(INDEX('Retirement Calculator'!J:J,MATCH('Isaac 401k'!N4831,'Retirement Calculator'!A:A,0),0),0)</f>
        <v>0</v>
      </c>
      <c r="K4831" s="444">
        <f t="shared" ca="1" si="191"/>
        <v>-988145273073.65491</v>
      </c>
      <c r="L4831" s="444">
        <f t="shared" ca="1" si="192"/>
        <v>-238143010810750.84</v>
      </c>
      <c r="M4831" s="460">
        <f t="shared" si="194"/>
        <v>0.05</v>
      </c>
      <c r="N4831" s="464">
        <f t="shared" si="195"/>
        <v>198084</v>
      </c>
    </row>
    <row r="4832" spans="7:14" ht="11.25" customHeight="1" x14ac:dyDescent="0.25">
      <c r="G4832" s="459"/>
      <c r="H4832" s="459">
        <v>4825</v>
      </c>
      <c r="I4832" s="444">
        <f t="shared" ca="1" si="193"/>
        <v>-238143010810750.84</v>
      </c>
      <c r="J4832" s="444">
        <f t="array" ref="J4832">IFERROR(INDEX('Retirement Calculator'!J:J,MATCH('Isaac 401k'!N4832,'Retirement Calculator'!A:A,0),0),0)</f>
        <v>0</v>
      </c>
      <c r="K4832" s="444">
        <f t="shared" ca="1" si="191"/>
        <v>-992262545044.79517</v>
      </c>
      <c r="L4832" s="444">
        <f t="shared" ca="1" si="192"/>
        <v>-239135273355795.63</v>
      </c>
      <c r="M4832" s="460">
        <f t="shared" si="194"/>
        <v>0.05</v>
      </c>
      <c r="N4832" s="464">
        <f t="shared" si="195"/>
        <v>198115</v>
      </c>
    </row>
    <row r="4833" spans="7:14" ht="11.25" customHeight="1" x14ac:dyDescent="0.25">
      <c r="G4833" s="459"/>
      <c r="H4833" s="459">
        <v>4826</v>
      </c>
      <c r="I4833" s="444">
        <f t="shared" ca="1" si="193"/>
        <v>-239135273355795.63</v>
      </c>
      <c r="J4833" s="444">
        <f t="array" ref="J4833">IFERROR(INDEX('Retirement Calculator'!J:J,MATCH('Isaac 401k'!N4833,'Retirement Calculator'!A:A,0),0),0)</f>
        <v>0</v>
      </c>
      <c r="K4833" s="444">
        <f t="shared" ca="1" si="191"/>
        <v>-996396972315.81506</v>
      </c>
      <c r="L4833" s="444">
        <f t="shared" ca="1" si="192"/>
        <v>-240131670328111.44</v>
      </c>
      <c r="M4833" s="460">
        <f t="shared" si="194"/>
        <v>0.05</v>
      </c>
      <c r="N4833" s="464">
        <f t="shared" si="195"/>
        <v>198145</v>
      </c>
    </row>
    <row r="4834" spans="7:14" ht="11.25" customHeight="1" x14ac:dyDescent="0.25">
      <c r="G4834" s="459"/>
      <c r="H4834" s="459">
        <v>4827</v>
      </c>
      <c r="I4834" s="444">
        <f t="shared" ca="1" si="193"/>
        <v>-240131670328111.44</v>
      </c>
      <c r="J4834" s="444">
        <f t="array" ref="J4834">IFERROR(INDEX('Retirement Calculator'!J:J,MATCH('Isaac 401k'!N4834,'Retirement Calculator'!A:A,0),0),0)</f>
        <v>0</v>
      </c>
      <c r="K4834" s="444">
        <f t="shared" ca="1" si="191"/>
        <v>-1000548626367.131</v>
      </c>
      <c r="L4834" s="444">
        <f t="shared" ca="1" si="192"/>
        <v>-241132218954478.56</v>
      </c>
      <c r="M4834" s="460">
        <f t="shared" si="194"/>
        <v>0.05</v>
      </c>
      <c r="N4834" s="464">
        <f t="shared" si="195"/>
        <v>198176</v>
      </c>
    </row>
    <row r="4835" spans="7:14" ht="11.25" customHeight="1" x14ac:dyDescent="0.25">
      <c r="G4835" s="459"/>
      <c r="H4835" s="459">
        <v>4828</v>
      </c>
      <c r="I4835" s="444">
        <f t="shared" ca="1" si="193"/>
        <v>-241132218954478.56</v>
      </c>
      <c r="J4835" s="444">
        <f t="array" ref="J4835">IFERROR(INDEX('Retirement Calculator'!J:J,MATCH('Isaac 401k'!N4835,'Retirement Calculator'!A:A,0),0),0)</f>
        <v>0</v>
      </c>
      <c r="K4835" s="444">
        <f t="shared" ca="1" si="191"/>
        <v>-1004717578976.994</v>
      </c>
      <c r="L4835" s="444">
        <f t="shared" ca="1" si="192"/>
        <v>-242136936533455.56</v>
      </c>
      <c r="M4835" s="460">
        <f t="shared" si="194"/>
        <v>0.05</v>
      </c>
      <c r="N4835" s="464">
        <f t="shared" si="195"/>
        <v>198207</v>
      </c>
    </row>
    <row r="4836" spans="7:14" ht="11.25" customHeight="1" x14ac:dyDescent="0.25">
      <c r="G4836" s="459"/>
      <c r="H4836" s="459">
        <v>4829</v>
      </c>
      <c r="I4836" s="444">
        <f t="shared" ca="1" si="193"/>
        <v>-242136936533455.56</v>
      </c>
      <c r="J4836" s="444">
        <f t="array" ref="J4836">IFERROR(INDEX('Retirement Calculator'!J:J,MATCH('Isaac 401k'!N4836,'Retirement Calculator'!A:A,0),0),0)</f>
        <v>0</v>
      </c>
      <c r="K4836" s="444">
        <f t="shared" ca="1" si="191"/>
        <v>-1008903902222.7313</v>
      </c>
      <c r="L4836" s="444">
        <f t="shared" ca="1" si="192"/>
        <v>-243145840435678.28</v>
      </c>
      <c r="M4836" s="460">
        <f t="shared" si="194"/>
        <v>0.05</v>
      </c>
      <c r="N4836" s="464">
        <f t="shared" si="195"/>
        <v>198237</v>
      </c>
    </row>
    <row r="4837" spans="7:14" ht="11.25" customHeight="1" x14ac:dyDescent="0.25">
      <c r="G4837" s="459"/>
      <c r="H4837" s="459">
        <v>4830</v>
      </c>
      <c r="I4837" s="444">
        <f t="shared" ca="1" si="193"/>
        <v>-243145840435678.28</v>
      </c>
      <c r="J4837" s="444">
        <f t="array" ref="J4837">IFERROR(INDEX('Retirement Calculator'!J:J,MATCH('Isaac 401k'!N4837,'Retirement Calculator'!A:A,0),0),0)</f>
        <v>0</v>
      </c>
      <c r="K4837" s="444">
        <f t="shared" ca="1" si="191"/>
        <v>-1013107668481.9928</v>
      </c>
      <c r="L4837" s="444">
        <f t="shared" ca="1" si="192"/>
        <v>-244158948104160.28</v>
      </c>
      <c r="M4837" s="460">
        <f t="shared" si="194"/>
        <v>0.05</v>
      </c>
      <c r="N4837" s="464">
        <f t="shared" si="195"/>
        <v>198268</v>
      </c>
    </row>
    <row r="4838" spans="7:14" ht="11.25" customHeight="1" x14ac:dyDescent="0.25">
      <c r="G4838" s="459"/>
      <c r="H4838" s="459">
        <v>4831</v>
      </c>
      <c r="I4838" s="444">
        <f t="shared" ca="1" si="193"/>
        <v>-244158948104160.28</v>
      </c>
      <c r="J4838" s="444">
        <f t="array" ref="J4838">IFERROR(INDEX('Retirement Calculator'!J:J,MATCH('Isaac 401k'!N4838,'Retirement Calculator'!A:A,0),0),0)</f>
        <v>0</v>
      </c>
      <c r="K4838" s="444">
        <f t="shared" ca="1" si="191"/>
        <v>-1017328950434.0011</v>
      </c>
      <c r="L4838" s="444">
        <f t="shared" ca="1" si="192"/>
        <v>-245176277054594.28</v>
      </c>
      <c r="M4838" s="460">
        <f t="shared" si="194"/>
        <v>0.05</v>
      </c>
      <c r="N4838" s="464">
        <f t="shared" si="195"/>
        <v>198298</v>
      </c>
    </row>
    <row r="4839" spans="7:14" ht="11.25" customHeight="1" x14ac:dyDescent="0.25">
      <c r="G4839" s="459"/>
      <c r="H4839" s="459">
        <v>4832</v>
      </c>
      <c r="I4839" s="444">
        <f t="shared" ca="1" si="193"/>
        <v>-245176277054594.28</v>
      </c>
      <c r="J4839" s="444">
        <f t="array" ref="J4839">IFERROR(INDEX('Retirement Calculator'!J:J,MATCH('Isaac 401k'!N4839,'Retirement Calculator'!A:A,0),0),0)</f>
        <v>0</v>
      </c>
      <c r="K4839" s="444">
        <f t="shared" ca="1" si="191"/>
        <v>-1021567821060.8094</v>
      </c>
      <c r="L4839" s="444">
        <f t="shared" ca="1" si="192"/>
        <v>-246197844875655.09</v>
      </c>
      <c r="M4839" s="460">
        <f t="shared" si="194"/>
        <v>0.05</v>
      </c>
      <c r="N4839" s="464">
        <f t="shared" si="195"/>
        <v>198329</v>
      </c>
    </row>
    <row r="4840" spans="7:14" ht="11.25" customHeight="1" x14ac:dyDescent="0.25">
      <c r="G4840" s="459"/>
      <c r="H4840" s="459">
        <v>4833</v>
      </c>
      <c r="I4840" s="444">
        <f t="shared" ca="1" si="193"/>
        <v>-246197844875655.09</v>
      </c>
      <c r="J4840" s="444">
        <f t="array" ref="J4840">IFERROR(INDEX('Retirement Calculator'!J:J,MATCH('Isaac 401k'!N4840,'Retirement Calculator'!A:A,0),0),0)</f>
        <v>0</v>
      </c>
      <c r="K4840" s="444">
        <f t="shared" ca="1" si="191"/>
        <v>-1025824353648.5629</v>
      </c>
      <c r="L4840" s="444">
        <f t="shared" ca="1" si="192"/>
        <v>-247223669229303.66</v>
      </c>
      <c r="M4840" s="460">
        <f t="shared" si="194"/>
        <v>0.05</v>
      </c>
      <c r="N4840" s="464">
        <f t="shared" si="195"/>
        <v>198360</v>
      </c>
    </row>
    <row r="4841" spans="7:14" ht="11.25" customHeight="1" x14ac:dyDescent="0.25">
      <c r="G4841" s="459"/>
      <c r="H4841" s="459">
        <v>4834</v>
      </c>
      <c r="I4841" s="444">
        <f t="shared" ca="1" si="193"/>
        <v>-247223669229303.66</v>
      </c>
      <c r="J4841" s="444">
        <f t="array" ref="J4841">IFERROR(INDEX('Retirement Calculator'!J:J,MATCH('Isaac 401k'!N4841,'Retirement Calculator'!A:A,0),0),0)</f>
        <v>0</v>
      </c>
      <c r="K4841" s="444">
        <f t="shared" ca="1" si="191"/>
        <v>-1030098621788.7653</v>
      </c>
      <c r="L4841" s="444">
        <f t="shared" ca="1" si="192"/>
        <v>-248253767851092.41</v>
      </c>
      <c r="M4841" s="460">
        <f t="shared" si="194"/>
        <v>0.05</v>
      </c>
      <c r="N4841" s="464">
        <f t="shared" si="195"/>
        <v>198388</v>
      </c>
    </row>
    <row r="4842" spans="7:14" ht="11.25" customHeight="1" x14ac:dyDescent="0.25">
      <c r="G4842" s="459"/>
      <c r="H4842" s="459">
        <v>4835</v>
      </c>
      <c r="I4842" s="444">
        <f t="shared" ca="1" si="193"/>
        <v>-248253767851092.41</v>
      </c>
      <c r="J4842" s="444">
        <f t="array" ref="J4842">IFERROR(INDEX('Retirement Calculator'!J:J,MATCH('Isaac 401k'!N4842,'Retirement Calculator'!A:A,0),0),0)</f>
        <v>0</v>
      </c>
      <c r="K4842" s="444">
        <f t="shared" ca="1" si="191"/>
        <v>-1034390699379.5518</v>
      </c>
      <c r="L4842" s="444">
        <f t="shared" ca="1" si="192"/>
        <v>-249288158550471.97</v>
      </c>
      <c r="M4842" s="460">
        <f t="shared" si="194"/>
        <v>0.05</v>
      </c>
      <c r="N4842" s="464">
        <f t="shared" si="195"/>
        <v>198419</v>
      </c>
    </row>
    <row r="4843" spans="7:14" ht="11.25" customHeight="1" x14ac:dyDescent="0.25">
      <c r="G4843" s="459"/>
      <c r="H4843" s="459">
        <v>4836</v>
      </c>
      <c r="I4843" s="444">
        <f t="shared" ca="1" si="193"/>
        <v>-249288158550471.97</v>
      </c>
      <c r="J4843" s="444">
        <f t="array" ref="J4843">IFERROR(INDEX('Retirement Calculator'!J:J,MATCH('Isaac 401k'!N4843,'Retirement Calculator'!A:A,0),0),0)</f>
        <v>0</v>
      </c>
      <c r="K4843" s="444">
        <f t="shared" ca="1" si="191"/>
        <v>-1038700660626.9664</v>
      </c>
      <c r="L4843" s="444">
        <f t="shared" ca="1" si="192"/>
        <v>-250326859211098.94</v>
      </c>
      <c r="M4843" s="460">
        <f t="shared" si="194"/>
        <v>0.05</v>
      </c>
      <c r="N4843" s="464">
        <f t="shared" si="195"/>
        <v>198449</v>
      </c>
    </row>
    <row r="4844" spans="7:14" ht="11.25" customHeight="1" x14ac:dyDescent="0.25">
      <c r="G4844" s="459"/>
      <c r="H4844" s="459">
        <v>4837</v>
      </c>
      <c r="I4844" s="444">
        <f t="shared" ca="1" si="193"/>
        <v>-250326859211098.94</v>
      </c>
      <c r="J4844" s="444">
        <f t="array" ref="J4844">IFERROR(INDEX('Retirement Calculator'!J:J,MATCH('Isaac 401k'!N4844,'Retirement Calculator'!A:A,0),0),0)</f>
        <v>0</v>
      </c>
      <c r="K4844" s="444">
        <f t="shared" ca="1" si="191"/>
        <v>-1043028580046.2457</v>
      </c>
      <c r="L4844" s="444">
        <f t="shared" ca="1" si="192"/>
        <v>-251369887791145.19</v>
      </c>
      <c r="M4844" s="460">
        <f t="shared" si="194"/>
        <v>0.05</v>
      </c>
      <c r="N4844" s="464">
        <f t="shared" si="195"/>
        <v>198480</v>
      </c>
    </row>
    <row r="4845" spans="7:14" ht="11.25" customHeight="1" x14ac:dyDescent="0.25">
      <c r="G4845" s="459"/>
      <c r="H4845" s="459">
        <v>4838</v>
      </c>
      <c r="I4845" s="444">
        <f t="shared" ca="1" si="193"/>
        <v>-251369887791145.19</v>
      </c>
      <c r="J4845" s="444">
        <f t="array" ref="J4845">IFERROR(INDEX('Retirement Calculator'!J:J,MATCH('Isaac 401k'!N4845,'Retirement Calculator'!A:A,0),0),0)</f>
        <v>0</v>
      </c>
      <c r="K4845" s="444">
        <f t="shared" ca="1" si="191"/>
        <v>-1047374532463.105</v>
      </c>
      <c r="L4845" s="444">
        <f t="shared" ca="1" si="192"/>
        <v>-252417262323608.28</v>
      </c>
      <c r="M4845" s="460">
        <f t="shared" si="194"/>
        <v>0.05</v>
      </c>
      <c r="N4845" s="464">
        <f t="shared" si="195"/>
        <v>198510</v>
      </c>
    </row>
    <row r="4846" spans="7:14" ht="11.25" customHeight="1" x14ac:dyDescent="0.25">
      <c r="G4846" s="459"/>
      <c r="H4846" s="459">
        <v>4839</v>
      </c>
      <c r="I4846" s="444">
        <f t="shared" ca="1" si="193"/>
        <v>-252417262323608.28</v>
      </c>
      <c r="J4846" s="444">
        <f t="array" ref="J4846">IFERROR(INDEX('Retirement Calculator'!J:J,MATCH('Isaac 401k'!N4846,'Retirement Calculator'!A:A,0),0),0)</f>
        <v>0</v>
      </c>
      <c r="K4846" s="444">
        <f t="shared" ca="1" si="191"/>
        <v>-1051738593015.0345</v>
      </c>
      <c r="L4846" s="444">
        <f t="shared" ca="1" si="192"/>
        <v>-253469000916623.31</v>
      </c>
      <c r="M4846" s="460">
        <f t="shared" si="194"/>
        <v>0.05</v>
      </c>
      <c r="N4846" s="464">
        <f t="shared" si="195"/>
        <v>198541</v>
      </c>
    </row>
    <row r="4847" spans="7:14" ht="11.25" customHeight="1" x14ac:dyDescent="0.25">
      <c r="G4847" s="459"/>
      <c r="H4847" s="459">
        <v>4840</v>
      </c>
      <c r="I4847" s="444">
        <f t="shared" ca="1" si="193"/>
        <v>-253469000916623.31</v>
      </c>
      <c r="J4847" s="444">
        <f t="array" ref="J4847">IFERROR(INDEX('Retirement Calculator'!J:J,MATCH('Isaac 401k'!N4847,'Retirement Calculator'!A:A,0),0),0)</f>
        <v>0</v>
      </c>
      <c r="K4847" s="444">
        <f t="shared" ca="1" si="191"/>
        <v>-1056120837152.5972</v>
      </c>
      <c r="L4847" s="444">
        <f t="shared" ca="1" si="192"/>
        <v>-254525121753775.91</v>
      </c>
      <c r="M4847" s="460">
        <f t="shared" si="194"/>
        <v>0.05</v>
      </c>
      <c r="N4847" s="464">
        <f t="shared" si="195"/>
        <v>198572</v>
      </c>
    </row>
    <row r="4848" spans="7:14" ht="11.25" customHeight="1" x14ac:dyDescent="0.25">
      <c r="G4848" s="459"/>
      <c r="H4848" s="459">
        <v>4841</v>
      </c>
      <c r="I4848" s="444">
        <f t="shared" ca="1" si="193"/>
        <v>-254525121753775.91</v>
      </c>
      <c r="J4848" s="444">
        <f t="array" ref="J4848">IFERROR(INDEX('Retirement Calculator'!J:J,MATCH('Isaac 401k'!N4848,'Retirement Calculator'!A:A,0),0),0)</f>
        <v>0</v>
      </c>
      <c r="K4848" s="444">
        <f t="shared" ca="1" si="191"/>
        <v>-1060521340640.7329</v>
      </c>
      <c r="L4848" s="444">
        <f t="shared" ca="1" si="192"/>
        <v>-255585643094416.63</v>
      </c>
      <c r="M4848" s="460">
        <f t="shared" si="194"/>
        <v>0.05</v>
      </c>
      <c r="N4848" s="464">
        <f t="shared" si="195"/>
        <v>198602</v>
      </c>
    </row>
    <row r="4849" spans="7:14" ht="11.25" customHeight="1" x14ac:dyDescent="0.25">
      <c r="G4849" s="459"/>
      <c r="H4849" s="459">
        <v>4842</v>
      </c>
      <c r="I4849" s="444">
        <f t="shared" ca="1" si="193"/>
        <v>-255585643094416.63</v>
      </c>
      <c r="J4849" s="444">
        <f t="array" ref="J4849">IFERROR(INDEX('Retirement Calculator'!J:J,MATCH('Isaac 401k'!N4849,'Retirement Calculator'!A:A,0),0),0)</f>
        <v>0</v>
      </c>
      <c r="K4849" s="444">
        <f t="shared" ca="1" si="191"/>
        <v>-1064940179560.0691</v>
      </c>
      <c r="L4849" s="444">
        <f t="shared" ca="1" si="192"/>
        <v>-256650583273976.69</v>
      </c>
      <c r="M4849" s="460">
        <f t="shared" si="194"/>
        <v>0.05</v>
      </c>
      <c r="N4849" s="464">
        <f t="shared" si="195"/>
        <v>198633</v>
      </c>
    </row>
    <row r="4850" spans="7:14" ht="11.25" customHeight="1" x14ac:dyDescent="0.25">
      <c r="G4850" s="459"/>
      <c r="H4850" s="459">
        <v>4843</v>
      </c>
      <c r="I4850" s="444">
        <f t="shared" ca="1" si="193"/>
        <v>-256650583273976.69</v>
      </c>
      <c r="J4850" s="444">
        <f t="array" ref="J4850">IFERROR(INDEX('Retirement Calculator'!J:J,MATCH('Isaac 401k'!N4850,'Retirement Calculator'!A:A,0),0),0)</f>
        <v>0</v>
      </c>
      <c r="K4850" s="444">
        <f t="shared" ca="1" si="191"/>
        <v>-1069377430308.2362</v>
      </c>
      <c r="L4850" s="444">
        <f t="shared" ca="1" si="192"/>
        <v>-257719960704284.94</v>
      </c>
      <c r="M4850" s="460">
        <f t="shared" si="194"/>
        <v>0.05</v>
      </c>
      <c r="N4850" s="464">
        <f t="shared" si="195"/>
        <v>198663</v>
      </c>
    </row>
    <row r="4851" spans="7:14" ht="11.25" customHeight="1" x14ac:dyDescent="0.25">
      <c r="G4851" s="459"/>
      <c r="H4851" s="459">
        <v>4844</v>
      </c>
      <c r="I4851" s="444">
        <f t="shared" ca="1" si="193"/>
        <v>-257719960704284.94</v>
      </c>
      <c r="J4851" s="444">
        <f t="array" ref="J4851">IFERROR(INDEX('Retirement Calculator'!J:J,MATCH('Isaac 401k'!N4851,'Retirement Calculator'!A:A,0),0),0)</f>
        <v>0</v>
      </c>
      <c r="K4851" s="444">
        <f t="shared" ca="1" si="191"/>
        <v>-1073833169601.1873</v>
      </c>
      <c r="L4851" s="444">
        <f t="shared" ca="1" si="192"/>
        <v>-258793793873886.13</v>
      </c>
      <c r="M4851" s="460">
        <f t="shared" si="194"/>
        <v>0.05</v>
      </c>
      <c r="N4851" s="464">
        <f t="shared" si="195"/>
        <v>198694</v>
      </c>
    </row>
    <row r="4852" spans="7:14" ht="11.25" customHeight="1" x14ac:dyDescent="0.25">
      <c r="G4852" s="459"/>
      <c r="H4852" s="459">
        <v>4845</v>
      </c>
      <c r="I4852" s="444">
        <f t="shared" ca="1" si="193"/>
        <v>-258793793873886.13</v>
      </c>
      <c r="J4852" s="444">
        <f t="array" ref="J4852">IFERROR(INDEX('Retirement Calculator'!J:J,MATCH('Isaac 401k'!N4852,'Retirement Calculator'!A:A,0),0),0)</f>
        <v>0</v>
      </c>
      <c r="K4852" s="444">
        <f t="shared" ca="1" si="191"/>
        <v>-1078307474474.5254</v>
      </c>
      <c r="L4852" s="444">
        <f t="shared" ca="1" si="192"/>
        <v>-259872101348360.66</v>
      </c>
      <c r="M4852" s="460">
        <f t="shared" si="194"/>
        <v>0.05</v>
      </c>
      <c r="N4852" s="464">
        <f t="shared" si="195"/>
        <v>198725</v>
      </c>
    </row>
    <row r="4853" spans="7:14" ht="11.25" customHeight="1" x14ac:dyDescent="0.25">
      <c r="G4853" s="459"/>
      <c r="H4853" s="459">
        <v>4846</v>
      </c>
      <c r="I4853" s="444">
        <f t="shared" ca="1" si="193"/>
        <v>-259872101348360.66</v>
      </c>
      <c r="J4853" s="444">
        <f t="array" ref="J4853">IFERROR(INDEX('Retirement Calculator'!J:J,MATCH('Isaac 401k'!N4853,'Retirement Calculator'!A:A,0),0),0)</f>
        <v>0</v>
      </c>
      <c r="K4853" s="444">
        <f t="shared" ref="K4853:K5107" ca="1" si="196">IPMT(M4853/12,1,12,-I4853+J4853,,0)</f>
        <v>-1082800422284.8362</v>
      </c>
      <c r="L4853" s="444">
        <f t="shared" ref="L4853:L5107" ca="1" si="197">I4853-J4853+K4853</f>
        <v>-260954901770645.5</v>
      </c>
      <c r="M4853" s="460">
        <f t="shared" si="194"/>
        <v>0.05</v>
      </c>
      <c r="N4853" s="464">
        <f t="shared" si="195"/>
        <v>198754</v>
      </c>
    </row>
    <row r="4854" spans="7:14" ht="11.25" customHeight="1" x14ac:dyDescent="0.25">
      <c r="G4854" s="459"/>
      <c r="H4854" s="459">
        <v>4847</v>
      </c>
      <c r="I4854" s="444">
        <f t="shared" ref="I4854:I5108" ca="1" si="198">L4853</f>
        <v>-260954901770645.5</v>
      </c>
      <c r="J4854" s="444">
        <f t="array" ref="J4854">IFERROR(INDEX('Retirement Calculator'!J:J,MATCH('Isaac 401k'!N4854,'Retirement Calculator'!A:A,0),0),0)</f>
        <v>0</v>
      </c>
      <c r="K4854" s="444">
        <f t="shared" ca="1" si="196"/>
        <v>-1087312090711.0229</v>
      </c>
      <c r="L4854" s="444">
        <f t="shared" ca="1" si="197"/>
        <v>-262042213861356.53</v>
      </c>
      <c r="M4854" s="460">
        <f t="shared" ref="M4854:M5108" si="199">M4853</f>
        <v>0.05</v>
      </c>
      <c r="N4854" s="464">
        <f t="shared" ref="N4854:N5108" si="200">EDATE(N4853,1)</f>
        <v>198785</v>
      </c>
    </row>
    <row r="4855" spans="7:14" ht="11.25" customHeight="1" x14ac:dyDescent="0.25">
      <c r="G4855" s="459"/>
      <c r="H4855" s="459">
        <v>4848</v>
      </c>
      <c r="I4855" s="444">
        <f t="shared" ca="1" si="198"/>
        <v>-262042213861356.53</v>
      </c>
      <c r="J4855" s="444">
        <f t="array" ref="J4855">IFERROR(INDEX('Retirement Calculator'!J:J,MATCH('Isaac 401k'!N4855,'Retirement Calculator'!A:A,0),0),0)</f>
        <v>0</v>
      </c>
      <c r="K4855" s="444">
        <f t="shared" ca="1" si="196"/>
        <v>-1091842557755.6522</v>
      </c>
      <c r="L4855" s="444">
        <f t="shared" ca="1" si="197"/>
        <v>-263134056419112.19</v>
      </c>
      <c r="M4855" s="460">
        <f t="shared" si="199"/>
        <v>0.05</v>
      </c>
      <c r="N4855" s="464">
        <f t="shared" si="200"/>
        <v>198815</v>
      </c>
    </row>
    <row r="4856" spans="7:14" ht="11.25" customHeight="1" x14ac:dyDescent="0.25">
      <c r="G4856" s="459"/>
      <c r="H4856" s="459">
        <v>4849</v>
      </c>
      <c r="I4856" s="444">
        <f t="shared" ca="1" si="198"/>
        <v>-263134056419112.19</v>
      </c>
      <c r="J4856" s="444">
        <f t="array" ref="J4856">IFERROR(INDEX('Retirement Calculator'!J:J,MATCH('Isaac 401k'!N4856,'Retirement Calculator'!A:A,0),0),0)</f>
        <v>0</v>
      </c>
      <c r="K4856" s="444">
        <f t="shared" ca="1" si="196"/>
        <v>-1096391901746.3008</v>
      </c>
      <c r="L4856" s="444">
        <f t="shared" ca="1" si="197"/>
        <v>-264230448320858.5</v>
      </c>
      <c r="M4856" s="460">
        <f t="shared" si="199"/>
        <v>0.05</v>
      </c>
      <c r="N4856" s="464">
        <f t="shared" si="200"/>
        <v>198846</v>
      </c>
    </row>
    <row r="4857" spans="7:14" ht="11.25" customHeight="1" x14ac:dyDescent="0.25">
      <c r="G4857" s="459"/>
      <c r="H4857" s="459">
        <v>4850</v>
      </c>
      <c r="I4857" s="444">
        <f t="shared" ca="1" si="198"/>
        <v>-264230448320858.5</v>
      </c>
      <c r="J4857" s="444">
        <f t="array" ref="J4857">IFERROR(INDEX('Retirement Calculator'!J:J,MATCH('Isaac 401k'!N4857,'Retirement Calculator'!A:A,0),0),0)</f>
        <v>0</v>
      </c>
      <c r="K4857" s="444">
        <f t="shared" ca="1" si="196"/>
        <v>-1100960201336.9104</v>
      </c>
      <c r="L4857" s="444">
        <f t="shared" ca="1" si="197"/>
        <v>-265331408522195.41</v>
      </c>
      <c r="M4857" s="460">
        <f t="shared" si="199"/>
        <v>0.05</v>
      </c>
      <c r="N4857" s="464">
        <f t="shared" si="200"/>
        <v>198876</v>
      </c>
    </row>
    <row r="4858" spans="7:14" ht="11.25" customHeight="1" x14ac:dyDescent="0.25">
      <c r="G4858" s="459"/>
      <c r="H4858" s="459">
        <v>4851</v>
      </c>
      <c r="I4858" s="444">
        <f t="shared" ca="1" si="198"/>
        <v>-265331408522195.41</v>
      </c>
      <c r="J4858" s="444">
        <f t="array" ref="J4858">IFERROR(INDEX('Retirement Calculator'!J:J,MATCH('Isaac 401k'!N4858,'Retirement Calculator'!A:A,0),0),0)</f>
        <v>0</v>
      </c>
      <c r="K4858" s="444">
        <f t="shared" ca="1" si="196"/>
        <v>-1105547535509.1475</v>
      </c>
      <c r="L4858" s="444">
        <f t="shared" ca="1" si="197"/>
        <v>-266436956057704.56</v>
      </c>
      <c r="M4858" s="460">
        <f t="shared" si="199"/>
        <v>0.05</v>
      </c>
      <c r="N4858" s="464">
        <f t="shared" si="200"/>
        <v>198907</v>
      </c>
    </row>
    <row r="4859" spans="7:14" ht="11.25" customHeight="1" x14ac:dyDescent="0.25">
      <c r="G4859" s="459"/>
      <c r="H4859" s="459">
        <v>4852</v>
      </c>
      <c r="I4859" s="444">
        <f t="shared" ca="1" si="198"/>
        <v>-266436956057704.56</v>
      </c>
      <c r="J4859" s="444">
        <f t="array" ref="J4859">IFERROR(INDEX('Retirement Calculator'!J:J,MATCH('Isaac 401k'!N4859,'Retirement Calculator'!A:A,0),0),0)</f>
        <v>0</v>
      </c>
      <c r="K4859" s="444">
        <f t="shared" ca="1" si="196"/>
        <v>-1110153983573.7688</v>
      </c>
      <c r="L4859" s="444">
        <f t="shared" ca="1" si="197"/>
        <v>-267547110041278.34</v>
      </c>
      <c r="M4859" s="460">
        <f t="shared" si="199"/>
        <v>0.05</v>
      </c>
      <c r="N4859" s="464">
        <f t="shared" si="200"/>
        <v>198938</v>
      </c>
    </row>
    <row r="4860" spans="7:14" ht="11.25" customHeight="1" x14ac:dyDescent="0.25">
      <c r="G4860" s="459"/>
      <c r="H4860" s="459">
        <v>4853</v>
      </c>
      <c r="I4860" s="444">
        <f t="shared" ca="1" si="198"/>
        <v>-267547110041278.34</v>
      </c>
      <c r="J4860" s="444">
        <f t="array" ref="J4860">IFERROR(INDEX('Retirement Calculator'!J:J,MATCH('Isaac 401k'!N4860,'Retirement Calculator'!A:A,0),0),0)</f>
        <v>0</v>
      </c>
      <c r="K4860" s="444">
        <f t="shared" ca="1" si="196"/>
        <v>-1114779625171.9932</v>
      </c>
      <c r="L4860" s="444">
        <f t="shared" ca="1" si="197"/>
        <v>-268661889666450.34</v>
      </c>
      <c r="M4860" s="460">
        <f t="shared" si="199"/>
        <v>0.05</v>
      </c>
      <c r="N4860" s="464">
        <f t="shared" si="200"/>
        <v>198968</v>
      </c>
    </row>
    <row r="4861" spans="7:14" ht="11.25" customHeight="1" x14ac:dyDescent="0.25">
      <c r="G4861" s="459"/>
      <c r="H4861" s="459">
        <v>4854</v>
      </c>
      <c r="I4861" s="444">
        <f t="shared" ca="1" si="198"/>
        <v>-268661889666450.34</v>
      </c>
      <c r="J4861" s="444">
        <f t="array" ref="J4861">IFERROR(INDEX('Retirement Calculator'!J:J,MATCH('Isaac 401k'!N4861,'Retirement Calculator'!A:A,0),0),0)</f>
        <v>0</v>
      </c>
      <c r="K4861" s="444">
        <f t="shared" ca="1" si="196"/>
        <v>-1119424540276.8765</v>
      </c>
      <c r="L4861" s="444">
        <f t="shared" ca="1" si="197"/>
        <v>-269781314206727.22</v>
      </c>
      <c r="M4861" s="460">
        <f t="shared" si="199"/>
        <v>0.05</v>
      </c>
      <c r="N4861" s="464">
        <f t="shared" si="200"/>
        <v>198999</v>
      </c>
    </row>
    <row r="4862" spans="7:14" ht="11.25" customHeight="1" x14ac:dyDescent="0.25">
      <c r="G4862" s="459"/>
      <c r="H4862" s="459">
        <v>4855</v>
      </c>
      <c r="I4862" s="444">
        <f t="shared" ca="1" si="198"/>
        <v>-269781314206727.22</v>
      </c>
      <c r="J4862" s="444">
        <f t="array" ref="J4862">IFERROR(INDEX('Retirement Calculator'!J:J,MATCH('Isaac 401k'!N4862,'Retirement Calculator'!A:A,0),0),0)</f>
        <v>0</v>
      </c>
      <c r="K4862" s="444">
        <f t="shared" ca="1" si="196"/>
        <v>-1124088809194.6968</v>
      </c>
      <c r="L4862" s="444">
        <f t="shared" ca="1" si="197"/>
        <v>-270905403015921.91</v>
      </c>
      <c r="M4862" s="460">
        <f t="shared" si="199"/>
        <v>0.05</v>
      </c>
      <c r="N4862" s="464">
        <f t="shared" si="200"/>
        <v>199029</v>
      </c>
    </row>
    <row r="4863" spans="7:14" ht="11.25" customHeight="1" x14ac:dyDescent="0.25">
      <c r="G4863" s="459"/>
      <c r="H4863" s="459">
        <v>4856</v>
      </c>
      <c r="I4863" s="444">
        <f t="shared" ca="1" si="198"/>
        <v>-270905403015921.91</v>
      </c>
      <c r="J4863" s="444">
        <f t="array" ref="J4863">IFERROR(INDEX('Retirement Calculator'!J:J,MATCH('Isaac 401k'!N4863,'Retirement Calculator'!A:A,0),0),0)</f>
        <v>0</v>
      </c>
      <c r="K4863" s="444">
        <f t="shared" ca="1" si="196"/>
        <v>-1128772512566.3413</v>
      </c>
      <c r="L4863" s="444">
        <f t="shared" ca="1" si="197"/>
        <v>-272034175528488.25</v>
      </c>
      <c r="M4863" s="460">
        <f t="shared" si="199"/>
        <v>0.05</v>
      </c>
      <c r="N4863" s="464">
        <f t="shared" si="200"/>
        <v>199060</v>
      </c>
    </row>
    <row r="4864" spans="7:14" ht="11.25" customHeight="1" x14ac:dyDescent="0.25">
      <c r="G4864" s="459"/>
      <c r="H4864" s="459">
        <v>4857</v>
      </c>
      <c r="I4864" s="444">
        <f t="shared" ca="1" si="198"/>
        <v>-272034175528488.25</v>
      </c>
      <c r="J4864" s="444">
        <f t="array" ref="J4864">IFERROR(INDEX('Retirement Calculator'!J:J,MATCH('Isaac 401k'!N4864,'Retirement Calculator'!A:A,0),0),0)</f>
        <v>0</v>
      </c>
      <c r="K4864" s="444">
        <f t="shared" ca="1" si="196"/>
        <v>-1133475731368.7009</v>
      </c>
      <c r="L4864" s="444">
        <f t="shared" ca="1" si="197"/>
        <v>-273167651259856.94</v>
      </c>
      <c r="M4864" s="460">
        <f t="shared" si="199"/>
        <v>0.05</v>
      </c>
      <c r="N4864" s="464">
        <f t="shared" si="200"/>
        <v>199091</v>
      </c>
    </row>
    <row r="4865" spans="7:14" ht="11.25" customHeight="1" x14ac:dyDescent="0.25">
      <c r="G4865" s="459"/>
      <c r="H4865" s="459">
        <v>4858</v>
      </c>
      <c r="I4865" s="444">
        <f t="shared" ca="1" si="198"/>
        <v>-273167651259856.94</v>
      </c>
      <c r="J4865" s="444">
        <f t="array" ref="J4865">IFERROR(INDEX('Retirement Calculator'!J:J,MATCH('Isaac 401k'!N4865,'Retirement Calculator'!A:A,0),0),0)</f>
        <v>0</v>
      </c>
      <c r="K4865" s="444">
        <f t="shared" ca="1" si="196"/>
        <v>-1138198546916.0706</v>
      </c>
      <c r="L4865" s="444">
        <f t="shared" ca="1" si="197"/>
        <v>-274305849806773</v>
      </c>
      <c r="M4865" s="460">
        <f t="shared" si="199"/>
        <v>0.05</v>
      </c>
      <c r="N4865" s="464">
        <f t="shared" si="200"/>
        <v>199119</v>
      </c>
    </row>
    <row r="4866" spans="7:14" ht="11.25" customHeight="1" x14ac:dyDescent="0.25">
      <c r="G4866" s="459"/>
      <c r="H4866" s="459">
        <v>4859</v>
      </c>
      <c r="I4866" s="444">
        <f t="shared" ca="1" si="198"/>
        <v>-274305849806773</v>
      </c>
      <c r="J4866" s="444">
        <f t="array" ref="J4866">IFERROR(INDEX('Retirement Calculator'!J:J,MATCH('Isaac 401k'!N4866,'Retirement Calculator'!A:A,0),0),0)</f>
        <v>0</v>
      </c>
      <c r="K4866" s="444">
        <f t="shared" ca="1" si="196"/>
        <v>-1142941040861.5542</v>
      </c>
      <c r="L4866" s="444">
        <f t="shared" ca="1" si="197"/>
        <v>-275448790847634.56</v>
      </c>
      <c r="M4866" s="460">
        <f t="shared" si="199"/>
        <v>0.05</v>
      </c>
      <c r="N4866" s="464">
        <f t="shared" si="200"/>
        <v>199150</v>
      </c>
    </row>
    <row r="4867" spans="7:14" ht="11.25" customHeight="1" x14ac:dyDescent="0.25">
      <c r="G4867" s="459"/>
      <c r="H4867" s="459">
        <v>4860</v>
      </c>
      <c r="I4867" s="444">
        <f t="shared" ca="1" si="198"/>
        <v>-275448790847634.56</v>
      </c>
      <c r="J4867" s="444">
        <f t="array" ref="J4867">IFERROR(INDEX('Retirement Calculator'!J:J,MATCH('Isaac 401k'!N4867,'Retirement Calculator'!A:A,0),0),0)</f>
        <v>0</v>
      </c>
      <c r="K4867" s="444">
        <f t="shared" ca="1" si="196"/>
        <v>-1147703295198.4773</v>
      </c>
      <c r="L4867" s="444">
        <f t="shared" ca="1" si="197"/>
        <v>-276596494142833.03</v>
      </c>
      <c r="M4867" s="460">
        <f t="shared" si="199"/>
        <v>0.05</v>
      </c>
      <c r="N4867" s="464">
        <f t="shared" si="200"/>
        <v>199180</v>
      </c>
    </row>
    <row r="4868" spans="7:14" ht="11.25" customHeight="1" x14ac:dyDescent="0.25">
      <c r="G4868" s="459"/>
      <c r="H4868" s="459">
        <v>4861</v>
      </c>
      <c r="I4868" s="444">
        <f t="shared" ca="1" si="198"/>
        <v>-276596494142833.03</v>
      </c>
      <c r="J4868" s="444">
        <f t="array" ref="J4868">IFERROR(INDEX('Retirement Calculator'!J:J,MATCH('Isaac 401k'!N4868,'Retirement Calculator'!A:A,0),0),0)</f>
        <v>0</v>
      </c>
      <c r="K4868" s="444">
        <f t="shared" ca="1" si="196"/>
        <v>-1152485392261.8042</v>
      </c>
      <c r="L4868" s="444">
        <f t="shared" ca="1" si="197"/>
        <v>-277748979535094.84</v>
      </c>
      <c r="M4868" s="460">
        <f t="shared" si="199"/>
        <v>0.05</v>
      </c>
      <c r="N4868" s="464">
        <f t="shared" si="200"/>
        <v>199211</v>
      </c>
    </row>
    <row r="4869" spans="7:14" ht="11.25" customHeight="1" x14ac:dyDescent="0.25">
      <c r="G4869" s="459"/>
      <c r="H4869" s="459">
        <v>4862</v>
      </c>
      <c r="I4869" s="444">
        <f t="shared" ca="1" si="198"/>
        <v>-277748979535094.84</v>
      </c>
      <c r="J4869" s="444">
        <f t="array" ref="J4869">IFERROR(INDEX('Retirement Calculator'!J:J,MATCH('Isaac 401k'!N4869,'Retirement Calculator'!A:A,0),0),0)</f>
        <v>0</v>
      </c>
      <c r="K4869" s="444">
        <f t="shared" ca="1" si="196"/>
        <v>-1157287414729.5618</v>
      </c>
      <c r="L4869" s="444">
        <f t="shared" ca="1" si="197"/>
        <v>-278906266949824.41</v>
      </c>
      <c r="M4869" s="460">
        <f t="shared" si="199"/>
        <v>0.05</v>
      </c>
      <c r="N4869" s="464">
        <f t="shared" si="200"/>
        <v>199241</v>
      </c>
    </row>
    <row r="4870" spans="7:14" ht="11.25" customHeight="1" x14ac:dyDescent="0.25">
      <c r="G4870" s="459"/>
      <c r="H4870" s="459">
        <v>4863</v>
      </c>
      <c r="I4870" s="444">
        <f t="shared" ca="1" si="198"/>
        <v>-278906266949824.41</v>
      </c>
      <c r="J4870" s="444">
        <f t="array" ref="J4870">IFERROR(INDEX('Retirement Calculator'!J:J,MATCH('Isaac 401k'!N4870,'Retirement Calculator'!A:A,0),0),0)</f>
        <v>0</v>
      </c>
      <c r="K4870" s="444">
        <f t="shared" ca="1" si="196"/>
        <v>-1162109445624.2686</v>
      </c>
      <c r="L4870" s="444">
        <f t="shared" ca="1" si="197"/>
        <v>-280068376395448.69</v>
      </c>
      <c r="M4870" s="460">
        <f t="shared" si="199"/>
        <v>0.05</v>
      </c>
      <c r="N4870" s="464">
        <f t="shared" si="200"/>
        <v>199272</v>
      </c>
    </row>
    <row r="4871" spans="7:14" ht="11.25" customHeight="1" x14ac:dyDescent="0.25">
      <c r="G4871" s="459"/>
      <c r="H4871" s="459">
        <v>4864</v>
      </c>
      <c r="I4871" s="444">
        <f t="shared" ca="1" si="198"/>
        <v>-280068376395448.69</v>
      </c>
      <c r="J4871" s="444">
        <f t="array" ref="J4871">IFERROR(INDEX('Retirement Calculator'!J:J,MATCH('Isaac 401k'!N4871,'Retirement Calculator'!A:A,0),0),0)</f>
        <v>0</v>
      </c>
      <c r="K4871" s="444">
        <f t="shared" ca="1" si="196"/>
        <v>-1166951568314.3694</v>
      </c>
      <c r="L4871" s="444">
        <f t="shared" ca="1" si="197"/>
        <v>-281235327963763.06</v>
      </c>
      <c r="M4871" s="460">
        <f t="shared" si="199"/>
        <v>0.05</v>
      </c>
      <c r="N4871" s="464">
        <f t="shared" si="200"/>
        <v>199303</v>
      </c>
    </row>
    <row r="4872" spans="7:14" ht="11.25" customHeight="1" x14ac:dyDescent="0.25">
      <c r="G4872" s="459"/>
      <c r="H4872" s="459">
        <v>4865</v>
      </c>
      <c r="I4872" s="444">
        <f t="shared" ca="1" si="198"/>
        <v>-281235327963763.06</v>
      </c>
      <c r="J4872" s="444">
        <f t="array" ref="J4872">IFERROR(INDEX('Retirement Calculator'!J:J,MATCH('Isaac 401k'!N4872,'Retirement Calculator'!A:A,0),0),0)</f>
        <v>0</v>
      </c>
      <c r="K4872" s="444">
        <f t="shared" ca="1" si="196"/>
        <v>-1171813866515.6792</v>
      </c>
      <c r="L4872" s="444">
        <f t="shared" ca="1" si="197"/>
        <v>-282407141830278.75</v>
      </c>
      <c r="M4872" s="460">
        <f t="shared" si="199"/>
        <v>0.05</v>
      </c>
      <c r="N4872" s="464">
        <f t="shared" si="200"/>
        <v>199333</v>
      </c>
    </row>
    <row r="4873" spans="7:14" ht="11.25" customHeight="1" x14ac:dyDescent="0.25">
      <c r="G4873" s="459"/>
      <c r="H4873" s="459">
        <v>4866</v>
      </c>
      <c r="I4873" s="444">
        <f t="shared" ca="1" si="198"/>
        <v>-282407141830278.75</v>
      </c>
      <c r="J4873" s="444">
        <f t="array" ref="J4873">IFERROR(INDEX('Retirement Calculator'!J:J,MATCH('Isaac 401k'!N4873,'Retirement Calculator'!A:A,0),0),0)</f>
        <v>0</v>
      </c>
      <c r="K4873" s="444">
        <f t="shared" ca="1" si="196"/>
        <v>-1176696424292.8281</v>
      </c>
      <c r="L4873" s="444">
        <f t="shared" ca="1" si="197"/>
        <v>-283583838254571.56</v>
      </c>
      <c r="M4873" s="460">
        <f t="shared" si="199"/>
        <v>0.05</v>
      </c>
      <c r="N4873" s="464">
        <f t="shared" si="200"/>
        <v>199364</v>
      </c>
    </row>
    <row r="4874" spans="7:14" ht="11.25" customHeight="1" x14ac:dyDescent="0.25">
      <c r="G4874" s="459"/>
      <c r="H4874" s="459">
        <v>4867</v>
      </c>
      <c r="I4874" s="444">
        <f t="shared" ca="1" si="198"/>
        <v>-283583838254571.56</v>
      </c>
      <c r="J4874" s="444">
        <f t="array" ref="J4874">IFERROR(INDEX('Retirement Calculator'!J:J,MATCH('Isaac 401k'!N4874,'Retirement Calculator'!A:A,0),0),0)</f>
        <v>0</v>
      </c>
      <c r="K4874" s="444">
        <f t="shared" ca="1" si="196"/>
        <v>-1181599326060.7148</v>
      </c>
      <c r="L4874" s="444">
        <f t="shared" ca="1" si="197"/>
        <v>-284765437580632.25</v>
      </c>
      <c r="M4874" s="460">
        <f t="shared" si="199"/>
        <v>0.05</v>
      </c>
      <c r="N4874" s="464">
        <f t="shared" si="200"/>
        <v>199394</v>
      </c>
    </row>
    <row r="4875" spans="7:14" ht="11.25" customHeight="1" x14ac:dyDescent="0.25">
      <c r="G4875" s="459"/>
      <c r="H4875" s="459">
        <v>4868</v>
      </c>
      <c r="I4875" s="444">
        <f t="shared" ca="1" si="198"/>
        <v>-284765437580632.25</v>
      </c>
      <c r="J4875" s="444">
        <f t="array" ref="J4875">IFERROR(INDEX('Retirement Calculator'!J:J,MATCH('Isaac 401k'!N4875,'Retirement Calculator'!A:A,0),0),0)</f>
        <v>0</v>
      </c>
      <c r="K4875" s="444">
        <f t="shared" ca="1" si="196"/>
        <v>-1186522656585.9678</v>
      </c>
      <c r="L4875" s="444">
        <f t="shared" ca="1" si="197"/>
        <v>-285951960237218.19</v>
      </c>
      <c r="M4875" s="460">
        <f t="shared" si="199"/>
        <v>0.05</v>
      </c>
      <c r="N4875" s="464">
        <f t="shared" si="200"/>
        <v>199425</v>
      </c>
    </row>
    <row r="4876" spans="7:14" ht="11.25" customHeight="1" x14ac:dyDescent="0.25">
      <c r="G4876" s="459"/>
      <c r="H4876" s="459">
        <v>4869</v>
      </c>
      <c r="I4876" s="444">
        <f t="shared" ca="1" si="198"/>
        <v>-285951960237218.19</v>
      </c>
      <c r="J4876" s="444">
        <f t="array" ref="J4876">IFERROR(INDEX('Retirement Calculator'!J:J,MATCH('Isaac 401k'!N4876,'Retirement Calculator'!A:A,0),0),0)</f>
        <v>0</v>
      </c>
      <c r="K4876" s="444">
        <f t="shared" ca="1" si="196"/>
        <v>-1191466500988.4092</v>
      </c>
      <c r="L4876" s="444">
        <f t="shared" ca="1" si="197"/>
        <v>-287143426738206.63</v>
      </c>
      <c r="M4876" s="460">
        <f t="shared" si="199"/>
        <v>0.05</v>
      </c>
      <c r="N4876" s="464">
        <f t="shared" si="200"/>
        <v>199456</v>
      </c>
    </row>
    <row r="4877" spans="7:14" ht="11.25" customHeight="1" x14ac:dyDescent="0.25">
      <c r="G4877" s="459"/>
      <c r="H4877" s="459">
        <v>4870</v>
      </c>
      <c r="I4877" s="444">
        <f t="shared" ca="1" si="198"/>
        <v>-287143426738206.63</v>
      </c>
      <c r="J4877" s="444">
        <f t="array" ref="J4877">IFERROR(INDEX('Retirement Calculator'!J:J,MATCH('Isaac 401k'!N4877,'Retirement Calculator'!A:A,0),0),0)</f>
        <v>0</v>
      </c>
      <c r="K4877" s="444">
        <f t="shared" ca="1" si="196"/>
        <v>-1196430944742.5276</v>
      </c>
      <c r="L4877" s="444">
        <f t="shared" ca="1" si="197"/>
        <v>-288339857682949.13</v>
      </c>
      <c r="M4877" s="460">
        <f t="shared" si="199"/>
        <v>0.05</v>
      </c>
      <c r="N4877" s="464">
        <f t="shared" si="200"/>
        <v>199484</v>
      </c>
    </row>
    <row r="4878" spans="7:14" ht="11.25" customHeight="1" x14ac:dyDescent="0.25">
      <c r="G4878" s="459"/>
      <c r="H4878" s="459">
        <v>4871</v>
      </c>
      <c r="I4878" s="444">
        <f t="shared" ca="1" si="198"/>
        <v>-288339857682949.13</v>
      </c>
      <c r="J4878" s="444">
        <f t="array" ref="J4878">IFERROR(INDEX('Retirement Calculator'!J:J,MATCH('Isaac 401k'!N4878,'Retirement Calculator'!A:A,0),0),0)</f>
        <v>0</v>
      </c>
      <c r="K4878" s="444">
        <f t="shared" ca="1" si="196"/>
        <v>-1201416073678.9546</v>
      </c>
      <c r="L4878" s="444">
        <f t="shared" ca="1" si="197"/>
        <v>-289541273756628.06</v>
      </c>
      <c r="M4878" s="460">
        <f t="shared" si="199"/>
        <v>0.05</v>
      </c>
      <c r="N4878" s="464">
        <f t="shared" si="200"/>
        <v>199515</v>
      </c>
    </row>
    <row r="4879" spans="7:14" ht="11.25" customHeight="1" x14ac:dyDescent="0.25">
      <c r="G4879" s="459"/>
      <c r="H4879" s="459">
        <v>4872</v>
      </c>
      <c r="I4879" s="444">
        <f t="shared" ca="1" si="198"/>
        <v>-289541273756628.06</v>
      </c>
      <c r="J4879" s="444">
        <f t="array" ref="J4879">IFERROR(INDEX('Retirement Calculator'!J:J,MATCH('Isaac 401k'!N4879,'Retirement Calculator'!A:A,0),0),0)</f>
        <v>0</v>
      </c>
      <c r="K4879" s="444">
        <f t="shared" ca="1" si="196"/>
        <v>-1206421973985.9502</v>
      </c>
      <c r="L4879" s="444">
        <f t="shared" ca="1" si="197"/>
        <v>-290747695730614</v>
      </c>
      <c r="M4879" s="460">
        <f t="shared" si="199"/>
        <v>0.05</v>
      </c>
      <c r="N4879" s="464">
        <f t="shared" si="200"/>
        <v>199545</v>
      </c>
    </row>
    <row r="4880" spans="7:14" ht="11.25" customHeight="1" x14ac:dyDescent="0.25">
      <c r="G4880" s="459"/>
      <c r="H4880" s="459">
        <v>4873</v>
      </c>
      <c r="I4880" s="444">
        <f t="shared" ca="1" si="198"/>
        <v>-290747695730614</v>
      </c>
      <c r="J4880" s="444">
        <f t="array" ref="J4880">IFERROR(INDEX('Retirement Calculator'!J:J,MATCH('Isaac 401k'!N4880,'Retirement Calculator'!A:A,0),0),0)</f>
        <v>0</v>
      </c>
      <c r="K4880" s="444">
        <f t="shared" ca="1" si="196"/>
        <v>-1211448732210.8916</v>
      </c>
      <c r="L4880" s="444">
        <f t="shared" ca="1" si="197"/>
        <v>-291959144462824.88</v>
      </c>
      <c r="M4880" s="460">
        <f t="shared" si="199"/>
        <v>0.05</v>
      </c>
      <c r="N4880" s="464">
        <f t="shared" si="200"/>
        <v>199576</v>
      </c>
    </row>
    <row r="4881" spans="7:14" ht="11.25" customHeight="1" x14ac:dyDescent="0.25">
      <c r="G4881" s="459"/>
      <c r="H4881" s="459">
        <v>4874</v>
      </c>
      <c r="I4881" s="444">
        <f t="shared" ca="1" si="198"/>
        <v>-291959144462824.88</v>
      </c>
      <c r="J4881" s="444">
        <f t="array" ref="J4881">IFERROR(INDEX('Retirement Calculator'!J:J,MATCH('Isaac 401k'!N4881,'Retirement Calculator'!A:A,0),0),0)</f>
        <v>0</v>
      </c>
      <c r="K4881" s="444">
        <f t="shared" ca="1" si="196"/>
        <v>-1216496435261.7703</v>
      </c>
      <c r="L4881" s="444">
        <f t="shared" ca="1" si="197"/>
        <v>-293175640898086.63</v>
      </c>
      <c r="M4881" s="460">
        <f t="shared" si="199"/>
        <v>0.05</v>
      </c>
      <c r="N4881" s="464">
        <f t="shared" si="200"/>
        <v>199606</v>
      </c>
    </row>
    <row r="4882" spans="7:14" ht="11.25" customHeight="1" x14ac:dyDescent="0.25">
      <c r="G4882" s="459"/>
      <c r="H4882" s="459">
        <v>4875</v>
      </c>
      <c r="I4882" s="444">
        <f t="shared" ca="1" si="198"/>
        <v>-293175640898086.63</v>
      </c>
      <c r="J4882" s="444">
        <f t="array" ref="J4882">IFERROR(INDEX('Retirement Calculator'!J:J,MATCH('Isaac 401k'!N4882,'Retirement Calculator'!A:A,0),0),0)</f>
        <v>0</v>
      </c>
      <c r="K4882" s="444">
        <f t="shared" ca="1" si="196"/>
        <v>-1221565170408.6943</v>
      </c>
      <c r="L4882" s="444">
        <f t="shared" ca="1" si="197"/>
        <v>-294397206068495.31</v>
      </c>
      <c r="M4882" s="460">
        <f t="shared" si="199"/>
        <v>0.05</v>
      </c>
      <c r="N4882" s="464">
        <f t="shared" si="200"/>
        <v>199637</v>
      </c>
    </row>
    <row r="4883" spans="7:14" ht="11.25" customHeight="1" x14ac:dyDescent="0.25">
      <c r="G4883" s="459"/>
      <c r="H4883" s="459">
        <v>4876</v>
      </c>
      <c r="I4883" s="444">
        <f t="shared" ca="1" si="198"/>
        <v>-294397206068495.31</v>
      </c>
      <c r="J4883" s="444">
        <f t="array" ref="J4883">IFERROR(INDEX('Retirement Calculator'!J:J,MATCH('Isaac 401k'!N4883,'Retirement Calculator'!A:A,0),0),0)</f>
        <v>0</v>
      </c>
      <c r="K4883" s="444">
        <f t="shared" ca="1" si="196"/>
        <v>-1226655025285.3972</v>
      </c>
      <c r="L4883" s="444">
        <f t="shared" ca="1" si="197"/>
        <v>-295623861093780.69</v>
      </c>
      <c r="M4883" s="460">
        <f t="shared" si="199"/>
        <v>0.05</v>
      </c>
      <c r="N4883" s="464">
        <f t="shared" si="200"/>
        <v>199668</v>
      </c>
    </row>
    <row r="4884" spans="7:14" ht="11.25" customHeight="1" x14ac:dyDescent="0.25">
      <c r="G4884" s="459"/>
      <c r="H4884" s="459">
        <v>4877</v>
      </c>
      <c r="I4884" s="444">
        <f t="shared" ca="1" si="198"/>
        <v>-295623861093780.69</v>
      </c>
      <c r="J4884" s="444">
        <f t="array" ref="J4884">IFERROR(INDEX('Retirement Calculator'!J:J,MATCH('Isaac 401k'!N4884,'Retirement Calculator'!A:A,0),0),0)</f>
        <v>0</v>
      </c>
      <c r="K4884" s="444">
        <f t="shared" ca="1" si="196"/>
        <v>-1231766087890.7529</v>
      </c>
      <c r="L4884" s="444">
        <f t="shared" ca="1" si="197"/>
        <v>-296855627181671.44</v>
      </c>
      <c r="M4884" s="460">
        <f t="shared" si="199"/>
        <v>0.05</v>
      </c>
      <c r="N4884" s="464">
        <f t="shared" si="200"/>
        <v>199698</v>
      </c>
    </row>
    <row r="4885" spans="7:14" ht="11.25" customHeight="1" x14ac:dyDescent="0.25">
      <c r="G4885" s="459"/>
      <c r="H4885" s="459">
        <v>4878</v>
      </c>
      <c r="I4885" s="444">
        <f t="shared" ca="1" si="198"/>
        <v>-296855627181671.44</v>
      </c>
      <c r="J4885" s="444">
        <f t="array" ref="J4885">IFERROR(INDEX('Retirement Calculator'!J:J,MATCH('Isaac 401k'!N4885,'Retirement Calculator'!A:A,0),0),0)</f>
        <v>0</v>
      </c>
      <c r="K4885" s="444">
        <f t="shared" ca="1" si="196"/>
        <v>-1236898446590.2976</v>
      </c>
      <c r="L4885" s="444">
        <f t="shared" ca="1" si="197"/>
        <v>-298092525628261.75</v>
      </c>
      <c r="M4885" s="460">
        <f t="shared" si="199"/>
        <v>0.05</v>
      </c>
      <c r="N4885" s="464">
        <f t="shared" si="200"/>
        <v>199729</v>
      </c>
    </row>
    <row r="4886" spans="7:14" ht="11.25" customHeight="1" x14ac:dyDescent="0.25">
      <c r="G4886" s="459"/>
      <c r="H4886" s="459">
        <v>4879</v>
      </c>
      <c r="I4886" s="444">
        <f t="shared" ca="1" si="198"/>
        <v>-298092525628261.75</v>
      </c>
      <c r="J4886" s="444">
        <f t="array" ref="J4886">IFERROR(INDEX('Retirement Calculator'!J:J,MATCH('Isaac 401k'!N4886,'Retirement Calculator'!A:A,0),0),0)</f>
        <v>0</v>
      </c>
      <c r="K4886" s="444">
        <f t="shared" ca="1" si="196"/>
        <v>-1242052190117.7573</v>
      </c>
      <c r="L4886" s="444">
        <f t="shared" ca="1" si="197"/>
        <v>-299334577818379.5</v>
      </c>
      <c r="M4886" s="460">
        <f t="shared" si="199"/>
        <v>0.05</v>
      </c>
      <c r="N4886" s="464">
        <f t="shared" si="200"/>
        <v>199759</v>
      </c>
    </row>
    <row r="4887" spans="7:14" ht="11.25" customHeight="1" x14ac:dyDescent="0.25">
      <c r="G4887" s="459"/>
      <c r="H4887" s="459">
        <v>4880</v>
      </c>
      <c r="I4887" s="444">
        <f t="shared" ca="1" si="198"/>
        <v>-299334577818379.5</v>
      </c>
      <c r="J4887" s="444">
        <f t="array" ref="J4887">IFERROR(INDEX('Retirement Calculator'!J:J,MATCH('Isaac 401k'!N4887,'Retirement Calculator'!A:A,0),0),0)</f>
        <v>0</v>
      </c>
      <c r="K4887" s="444">
        <f t="shared" ca="1" si="196"/>
        <v>-1247227407576.5813</v>
      </c>
      <c r="L4887" s="444">
        <f t="shared" ca="1" si="197"/>
        <v>-300581805225956.06</v>
      </c>
      <c r="M4887" s="460">
        <f t="shared" si="199"/>
        <v>0.05</v>
      </c>
      <c r="N4887" s="464">
        <f t="shared" si="200"/>
        <v>199790</v>
      </c>
    </row>
    <row r="4888" spans="7:14" ht="11.25" customHeight="1" x14ac:dyDescent="0.25">
      <c r="G4888" s="459"/>
      <c r="H4888" s="459">
        <v>4881</v>
      </c>
      <c r="I4888" s="444">
        <f t="shared" ca="1" si="198"/>
        <v>-300581805225956.06</v>
      </c>
      <c r="J4888" s="444">
        <f t="array" ref="J4888">IFERROR(INDEX('Retirement Calculator'!J:J,MATCH('Isaac 401k'!N4888,'Retirement Calculator'!A:A,0),0),0)</f>
        <v>0</v>
      </c>
      <c r="K4888" s="444">
        <f t="shared" ca="1" si="196"/>
        <v>-1252424188441.4836</v>
      </c>
      <c r="L4888" s="444">
        <f t="shared" ca="1" si="197"/>
        <v>-301834229414397.56</v>
      </c>
      <c r="M4888" s="460">
        <f t="shared" si="199"/>
        <v>0.05</v>
      </c>
      <c r="N4888" s="464">
        <f t="shared" si="200"/>
        <v>199821</v>
      </c>
    </row>
    <row r="4889" spans="7:14" ht="11.25" customHeight="1" x14ac:dyDescent="0.25">
      <c r="G4889" s="459"/>
      <c r="H4889" s="459">
        <v>4882</v>
      </c>
      <c r="I4889" s="444">
        <f t="shared" ca="1" si="198"/>
        <v>-301834229414397.56</v>
      </c>
      <c r="J4889" s="444">
        <f t="array" ref="J4889">IFERROR(INDEX('Retirement Calculator'!J:J,MATCH('Isaac 401k'!N4889,'Retirement Calculator'!A:A,0),0),0)</f>
        <v>0</v>
      </c>
      <c r="K4889" s="444">
        <f t="shared" ca="1" si="196"/>
        <v>-1257642622559.9897</v>
      </c>
      <c r="L4889" s="444">
        <f t="shared" ca="1" si="197"/>
        <v>-303091872036957.56</v>
      </c>
      <c r="M4889" s="460">
        <f t="shared" si="199"/>
        <v>0.05</v>
      </c>
      <c r="N4889" s="464">
        <f t="shared" si="200"/>
        <v>199849</v>
      </c>
    </row>
    <row r="4890" spans="7:14" ht="11.25" customHeight="1" x14ac:dyDescent="0.25">
      <c r="G4890" s="459"/>
      <c r="H4890" s="459">
        <v>4883</v>
      </c>
      <c r="I4890" s="444">
        <f t="shared" ca="1" si="198"/>
        <v>-303091872036957.56</v>
      </c>
      <c r="J4890" s="444">
        <f t="array" ref="J4890">IFERROR(INDEX('Retirement Calculator'!J:J,MATCH('Isaac 401k'!N4890,'Retirement Calculator'!A:A,0),0),0)</f>
        <v>0</v>
      </c>
      <c r="K4890" s="444">
        <f t="shared" ca="1" si="196"/>
        <v>-1262882800153.9897</v>
      </c>
      <c r="L4890" s="444">
        <f t="shared" ca="1" si="197"/>
        <v>-304354754837111.56</v>
      </c>
      <c r="M4890" s="460">
        <f t="shared" si="199"/>
        <v>0.05</v>
      </c>
      <c r="N4890" s="464">
        <f t="shared" si="200"/>
        <v>199880</v>
      </c>
    </row>
    <row r="4891" spans="7:14" ht="11.25" customHeight="1" x14ac:dyDescent="0.25">
      <c r="G4891" s="459"/>
      <c r="H4891" s="459">
        <v>4884</v>
      </c>
      <c r="I4891" s="444">
        <f t="shared" ca="1" si="198"/>
        <v>-304354754837111.56</v>
      </c>
      <c r="J4891" s="444">
        <f t="array" ref="J4891">IFERROR(INDEX('Retirement Calculator'!J:J,MATCH('Isaac 401k'!N4891,'Retirement Calculator'!A:A,0),0),0)</f>
        <v>0</v>
      </c>
      <c r="K4891" s="444">
        <f t="shared" ca="1" si="196"/>
        <v>-1268144811821.2981</v>
      </c>
      <c r="L4891" s="444">
        <f t="shared" ca="1" si="197"/>
        <v>-305622899648932.88</v>
      </c>
      <c r="M4891" s="460">
        <f t="shared" si="199"/>
        <v>0.05</v>
      </c>
      <c r="N4891" s="464">
        <f t="shared" si="200"/>
        <v>199910</v>
      </c>
    </row>
    <row r="4892" spans="7:14" ht="11.25" customHeight="1" x14ac:dyDescent="0.25">
      <c r="G4892" s="459"/>
      <c r="H4892" s="459">
        <v>4885</v>
      </c>
      <c r="I4892" s="444">
        <f t="shared" ca="1" si="198"/>
        <v>-305622899648932.88</v>
      </c>
      <c r="J4892" s="444">
        <f t="array" ref="J4892">IFERROR(INDEX('Retirement Calculator'!J:J,MATCH('Isaac 401k'!N4892,'Retirement Calculator'!A:A,0),0),0)</f>
        <v>0</v>
      </c>
      <c r="K4892" s="444">
        <f t="shared" ca="1" si="196"/>
        <v>-1273428748537.2202</v>
      </c>
      <c r="L4892" s="444">
        <f t="shared" ca="1" si="197"/>
        <v>-306896328397470.13</v>
      </c>
      <c r="M4892" s="460">
        <f t="shared" si="199"/>
        <v>0.05</v>
      </c>
      <c r="N4892" s="464">
        <f t="shared" si="200"/>
        <v>199941</v>
      </c>
    </row>
    <row r="4893" spans="7:14" ht="11.25" customHeight="1" x14ac:dyDescent="0.25">
      <c r="G4893" s="459"/>
      <c r="H4893" s="459">
        <v>4886</v>
      </c>
      <c r="I4893" s="444">
        <f t="shared" ca="1" si="198"/>
        <v>-306896328397470.13</v>
      </c>
      <c r="J4893" s="444">
        <f t="array" ref="J4893">IFERROR(INDEX('Retirement Calculator'!J:J,MATCH('Isaac 401k'!N4893,'Retirement Calculator'!A:A,0),0),0)</f>
        <v>0</v>
      </c>
      <c r="K4893" s="444">
        <f t="shared" ca="1" si="196"/>
        <v>-1278734701656.1255</v>
      </c>
      <c r="L4893" s="444">
        <f t="shared" ca="1" si="197"/>
        <v>-308175063099126.25</v>
      </c>
      <c r="M4893" s="460">
        <f t="shared" si="199"/>
        <v>0.05</v>
      </c>
      <c r="N4893" s="464">
        <f t="shared" si="200"/>
        <v>199971</v>
      </c>
    </row>
    <row r="4894" spans="7:14" ht="11.25" customHeight="1" x14ac:dyDescent="0.25">
      <c r="G4894" s="459"/>
      <c r="H4894" s="459">
        <v>4887</v>
      </c>
      <c r="I4894" s="444">
        <f t="shared" ca="1" si="198"/>
        <v>-308175063099126.25</v>
      </c>
      <c r="J4894" s="444">
        <f t="array" ref="J4894">IFERROR(INDEX('Retirement Calculator'!J:J,MATCH('Isaac 401k'!N4894,'Retirement Calculator'!A:A,0),0),0)</f>
        <v>0</v>
      </c>
      <c r="K4894" s="444">
        <f t="shared" ca="1" si="196"/>
        <v>-1284062762913.0261</v>
      </c>
      <c r="L4894" s="444">
        <f t="shared" ca="1" si="197"/>
        <v>-309459125862039.25</v>
      </c>
      <c r="M4894" s="460">
        <f t="shared" si="199"/>
        <v>0.05</v>
      </c>
      <c r="N4894" s="464">
        <f t="shared" si="200"/>
        <v>200002</v>
      </c>
    </row>
    <row r="4895" spans="7:14" ht="11.25" customHeight="1" x14ac:dyDescent="0.25">
      <c r="G4895" s="459"/>
      <c r="H4895" s="459">
        <v>4888</v>
      </c>
      <c r="I4895" s="444">
        <f t="shared" ca="1" si="198"/>
        <v>-309459125862039.25</v>
      </c>
      <c r="J4895" s="444">
        <f t="array" ref="J4895">IFERROR(INDEX('Retirement Calculator'!J:J,MATCH('Isaac 401k'!N4895,'Retirement Calculator'!A:A,0),0),0)</f>
        <v>0</v>
      </c>
      <c r="K4895" s="444">
        <f t="shared" ca="1" si="196"/>
        <v>-1289413024425.1636</v>
      </c>
      <c r="L4895" s="444">
        <f t="shared" ca="1" si="197"/>
        <v>-310748538886464.44</v>
      </c>
      <c r="M4895" s="460">
        <f t="shared" si="199"/>
        <v>0.05</v>
      </c>
      <c r="N4895" s="464">
        <f t="shared" si="200"/>
        <v>200033</v>
      </c>
    </row>
    <row r="4896" spans="7:14" ht="11.25" customHeight="1" x14ac:dyDescent="0.25">
      <c r="G4896" s="459"/>
      <c r="H4896" s="459">
        <v>4889</v>
      </c>
      <c r="I4896" s="444">
        <f t="shared" ca="1" si="198"/>
        <v>-310748538886464.44</v>
      </c>
      <c r="J4896" s="444">
        <f t="array" ref="J4896">IFERROR(INDEX('Retirement Calculator'!J:J,MATCH('Isaac 401k'!N4896,'Retirement Calculator'!A:A,0),0),0)</f>
        <v>0</v>
      </c>
      <c r="K4896" s="444">
        <f t="shared" ca="1" si="196"/>
        <v>-1294785578693.6018</v>
      </c>
      <c r="L4896" s="444">
        <f t="shared" ca="1" si="197"/>
        <v>-312043324465158.06</v>
      </c>
      <c r="M4896" s="460">
        <f t="shared" si="199"/>
        <v>0.05</v>
      </c>
      <c r="N4896" s="464">
        <f t="shared" si="200"/>
        <v>200063</v>
      </c>
    </row>
    <row r="4897" spans="7:14" ht="11.25" customHeight="1" x14ac:dyDescent="0.25">
      <c r="G4897" s="459"/>
      <c r="H4897" s="459">
        <v>4890</v>
      </c>
      <c r="I4897" s="444">
        <f t="shared" ca="1" si="198"/>
        <v>-312043324465158.06</v>
      </c>
      <c r="J4897" s="444">
        <f t="array" ref="J4897">IFERROR(INDEX('Retirement Calculator'!J:J,MATCH('Isaac 401k'!N4897,'Retirement Calculator'!A:A,0),0),0)</f>
        <v>0</v>
      </c>
      <c r="K4897" s="444">
        <f t="shared" ca="1" si="196"/>
        <v>-1300180518604.8252</v>
      </c>
      <c r="L4897" s="444">
        <f t="shared" ca="1" si="197"/>
        <v>-313343504983762.88</v>
      </c>
      <c r="M4897" s="460">
        <f t="shared" si="199"/>
        <v>0.05</v>
      </c>
      <c r="N4897" s="464">
        <f t="shared" si="200"/>
        <v>200094</v>
      </c>
    </row>
    <row r="4898" spans="7:14" ht="11.25" customHeight="1" x14ac:dyDescent="0.25">
      <c r="G4898" s="459"/>
      <c r="H4898" s="459">
        <v>4891</v>
      </c>
      <c r="I4898" s="444">
        <f t="shared" ca="1" si="198"/>
        <v>-313343504983762.88</v>
      </c>
      <c r="J4898" s="444">
        <f t="array" ref="J4898">IFERROR(INDEX('Retirement Calculator'!J:J,MATCH('Isaac 401k'!N4898,'Retirement Calculator'!A:A,0),0),0)</f>
        <v>0</v>
      </c>
      <c r="K4898" s="444">
        <f t="shared" ca="1" si="196"/>
        <v>-1305597937432.3452</v>
      </c>
      <c r="L4898" s="444">
        <f t="shared" ca="1" si="197"/>
        <v>-314649102921195.25</v>
      </c>
      <c r="M4898" s="460">
        <f t="shared" si="199"/>
        <v>0.05</v>
      </c>
      <c r="N4898" s="464">
        <f t="shared" si="200"/>
        <v>200124</v>
      </c>
    </row>
    <row r="4899" spans="7:14" ht="11.25" customHeight="1" x14ac:dyDescent="0.25">
      <c r="G4899" s="459"/>
      <c r="H4899" s="459">
        <v>4892</v>
      </c>
      <c r="I4899" s="444">
        <f t="shared" ca="1" si="198"/>
        <v>-314649102921195.25</v>
      </c>
      <c r="J4899" s="444">
        <f t="array" ref="J4899">IFERROR(INDEX('Retirement Calculator'!J:J,MATCH('Isaac 401k'!N4899,'Retirement Calculator'!A:A,0),0),0)</f>
        <v>0</v>
      </c>
      <c r="K4899" s="444">
        <f t="shared" ca="1" si="196"/>
        <v>-1311037928838.3135</v>
      </c>
      <c r="L4899" s="444">
        <f t="shared" ca="1" si="197"/>
        <v>-315960140850033.56</v>
      </c>
      <c r="M4899" s="460">
        <f t="shared" si="199"/>
        <v>0.05</v>
      </c>
      <c r="N4899" s="464">
        <f t="shared" si="200"/>
        <v>200155</v>
      </c>
    </row>
    <row r="4900" spans="7:14" ht="11.25" customHeight="1" x14ac:dyDescent="0.25">
      <c r="G4900" s="459"/>
      <c r="H4900" s="459">
        <v>4893</v>
      </c>
      <c r="I4900" s="444">
        <f t="shared" ca="1" si="198"/>
        <v>-315960140850033.56</v>
      </c>
      <c r="J4900" s="444">
        <f t="array" ref="J4900">IFERROR(INDEX('Retirement Calculator'!J:J,MATCH('Isaac 401k'!N4900,'Retirement Calculator'!A:A,0),0),0)</f>
        <v>0</v>
      </c>
      <c r="K4900" s="444">
        <f t="shared" ca="1" si="196"/>
        <v>-1316500586875.1399</v>
      </c>
      <c r="L4900" s="444">
        <f t="shared" ca="1" si="197"/>
        <v>-317276641436908.69</v>
      </c>
      <c r="M4900" s="460">
        <f t="shared" si="199"/>
        <v>0.05</v>
      </c>
      <c r="N4900" s="464">
        <f t="shared" si="200"/>
        <v>200186</v>
      </c>
    </row>
    <row r="4901" spans="7:14" ht="11.25" customHeight="1" x14ac:dyDescent="0.25">
      <c r="G4901" s="459"/>
      <c r="H4901" s="459">
        <v>4894</v>
      </c>
      <c r="I4901" s="444">
        <f t="shared" ca="1" si="198"/>
        <v>-317276641436908.69</v>
      </c>
      <c r="J4901" s="444">
        <f t="array" ref="J4901">IFERROR(INDEX('Retirement Calculator'!J:J,MATCH('Isaac 401k'!N4901,'Retirement Calculator'!A:A,0),0),0)</f>
        <v>0</v>
      </c>
      <c r="K4901" s="444">
        <f t="shared" ca="1" si="196"/>
        <v>-1321986005987.1196</v>
      </c>
      <c r="L4901" s="444">
        <f t="shared" ca="1" si="197"/>
        <v>-318598627442895.81</v>
      </c>
      <c r="M4901" s="460">
        <f t="shared" si="199"/>
        <v>0.05</v>
      </c>
      <c r="N4901" s="464">
        <f t="shared" si="200"/>
        <v>200215</v>
      </c>
    </row>
    <row r="4902" spans="7:14" ht="11.25" customHeight="1" x14ac:dyDescent="0.25">
      <c r="G4902" s="459"/>
      <c r="H4902" s="459">
        <v>4895</v>
      </c>
      <c r="I4902" s="444">
        <f t="shared" ca="1" si="198"/>
        <v>-318598627442895.81</v>
      </c>
      <c r="J4902" s="444">
        <f t="array" ref="J4902">IFERROR(INDEX('Retirement Calculator'!J:J,MATCH('Isaac 401k'!N4902,'Retirement Calculator'!A:A,0),0),0)</f>
        <v>0</v>
      </c>
      <c r="K4902" s="444">
        <f t="shared" ca="1" si="196"/>
        <v>-1327494281012.0659</v>
      </c>
      <c r="L4902" s="444">
        <f t="shared" ca="1" si="197"/>
        <v>-319926121723907.88</v>
      </c>
      <c r="M4902" s="460">
        <f t="shared" si="199"/>
        <v>0.05</v>
      </c>
      <c r="N4902" s="464">
        <f t="shared" si="200"/>
        <v>200246</v>
      </c>
    </row>
    <row r="4903" spans="7:14" ht="11.25" customHeight="1" x14ac:dyDescent="0.25">
      <c r="G4903" s="459"/>
      <c r="H4903" s="459">
        <v>4896</v>
      </c>
      <c r="I4903" s="444">
        <f t="shared" ca="1" si="198"/>
        <v>-319926121723907.88</v>
      </c>
      <c r="J4903" s="444">
        <f t="array" ref="J4903">IFERROR(INDEX('Retirement Calculator'!J:J,MATCH('Isaac 401k'!N4903,'Retirement Calculator'!A:A,0),0),0)</f>
        <v>0</v>
      </c>
      <c r="K4903" s="444">
        <f t="shared" ca="1" si="196"/>
        <v>-1333025507182.9495</v>
      </c>
      <c r="L4903" s="444">
        <f t="shared" ca="1" si="197"/>
        <v>-321259147231090.81</v>
      </c>
      <c r="M4903" s="460">
        <f t="shared" si="199"/>
        <v>0.05</v>
      </c>
      <c r="N4903" s="464">
        <f t="shared" si="200"/>
        <v>200276</v>
      </c>
    </row>
    <row r="4904" spans="7:14" ht="11.25" customHeight="1" x14ac:dyDescent="0.25">
      <c r="G4904" s="459"/>
      <c r="H4904" s="459">
        <v>4897</v>
      </c>
      <c r="I4904" s="444">
        <f t="shared" ca="1" si="198"/>
        <v>-321259147231090.81</v>
      </c>
      <c r="J4904" s="444">
        <f t="array" ref="J4904">IFERROR(INDEX('Retirement Calculator'!J:J,MATCH('Isaac 401k'!N4904,'Retirement Calculator'!A:A,0),0),0)</f>
        <v>0</v>
      </c>
      <c r="K4904" s="444">
        <f t="shared" ca="1" si="196"/>
        <v>-1338579780129.5449</v>
      </c>
      <c r="L4904" s="444">
        <f t="shared" ca="1" si="197"/>
        <v>-322597727011220.38</v>
      </c>
      <c r="M4904" s="460">
        <f t="shared" si="199"/>
        <v>0.05</v>
      </c>
      <c r="N4904" s="464">
        <f t="shared" si="200"/>
        <v>200307</v>
      </c>
    </row>
    <row r="4905" spans="7:14" ht="11.25" customHeight="1" x14ac:dyDescent="0.25">
      <c r="G4905" s="459"/>
      <c r="H4905" s="459">
        <v>4898</v>
      </c>
      <c r="I4905" s="444">
        <f t="shared" ca="1" si="198"/>
        <v>-322597727011220.38</v>
      </c>
      <c r="J4905" s="444">
        <f t="array" ref="J4905">IFERROR(INDEX('Retirement Calculator'!J:J,MATCH('Isaac 401k'!N4905,'Retirement Calculator'!A:A,0),0),0)</f>
        <v>0</v>
      </c>
      <c r="K4905" s="444">
        <f t="shared" ca="1" si="196"/>
        <v>-1344157195880.085</v>
      </c>
      <c r="L4905" s="444">
        <f t="shared" ca="1" si="197"/>
        <v>-323941884207100.44</v>
      </c>
      <c r="M4905" s="460">
        <f t="shared" si="199"/>
        <v>0.05</v>
      </c>
      <c r="N4905" s="464">
        <f t="shared" si="200"/>
        <v>200337</v>
      </c>
    </row>
    <row r="4906" spans="7:14" ht="11.25" customHeight="1" x14ac:dyDescent="0.25">
      <c r="G4906" s="459"/>
      <c r="H4906" s="459">
        <v>4899</v>
      </c>
      <c r="I4906" s="444">
        <f t="shared" ca="1" si="198"/>
        <v>-323941884207100.44</v>
      </c>
      <c r="J4906" s="444">
        <f t="array" ref="J4906">IFERROR(INDEX('Retirement Calculator'!J:J,MATCH('Isaac 401k'!N4906,'Retirement Calculator'!A:A,0),0),0)</f>
        <v>0</v>
      </c>
      <c r="K4906" s="444">
        <f t="shared" ca="1" si="196"/>
        <v>-1349757850862.9185</v>
      </c>
      <c r="L4906" s="444">
        <f t="shared" ca="1" si="197"/>
        <v>-325291642057963.38</v>
      </c>
      <c r="M4906" s="460">
        <f t="shared" si="199"/>
        <v>0.05</v>
      </c>
      <c r="N4906" s="464">
        <f t="shared" si="200"/>
        <v>200368</v>
      </c>
    </row>
    <row r="4907" spans="7:14" ht="11.25" customHeight="1" x14ac:dyDescent="0.25">
      <c r="G4907" s="459"/>
      <c r="H4907" s="459">
        <v>4900</v>
      </c>
      <c r="I4907" s="444">
        <f t="shared" ca="1" si="198"/>
        <v>-325291642057963.38</v>
      </c>
      <c r="J4907" s="444">
        <f t="array" ref="J4907">IFERROR(INDEX('Retirement Calculator'!J:J,MATCH('Isaac 401k'!N4907,'Retirement Calculator'!A:A,0),0),0)</f>
        <v>0</v>
      </c>
      <c r="K4907" s="444">
        <f t="shared" ca="1" si="196"/>
        <v>-1355381841908.1807</v>
      </c>
      <c r="L4907" s="444">
        <f t="shared" ca="1" si="197"/>
        <v>-326647023899871.56</v>
      </c>
      <c r="M4907" s="460">
        <f t="shared" si="199"/>
        <v>0.05</v>
      </c>
      <c r="N4907" s="464">
        <f t="shared" si="200"/>
        <v>200399</v>
      </c>
    </row>
    <row r="4908" spans="7:14" ht="11.25" customHeight="1" x14ac:dyDescent="0.25">
      <c r="G4908" s="459"/>
      <c r="H4908" s="459">
        <v>4901</v>
      </c>
      <c r="I4908" s="444">
        <f t="shared" ca="1" si="198"/>
        <v>-326647023899871.56</v>
      </c>
      <c r="J4908" s="444">
        <f t="array" ref="J4908">IFERROR(INDEX('Retirement Calculator'!J:J,MATCH('Isaac 401k'!N4908,'Retirement Calculator'!A:A,0),0),0)</f>
        <v>0</v>
      </c>
      <c r="K4908" s="444">
        <f t="shared" ca="1" si="196"/>
        <v>-1361029266249.4648</v>
      </c>
      <c r="L4908" s="444">
        <f t="shared" ca="1" si="197"/>
        <v>-328008053166121</v>
      </c>
      <c r="M4908" s="460">
        <f t="shared" si="199"/>
        <v>0.05</v>
      </c>
      <c r="N4908" s="464">
        <f t="shared" si="200"/>
        <v>200429</v>
      </c>
    </row>
    <row r="4909" spans="7:14" ht="11.25" customHeight="1" x14ac:dyDescent="0.25">
      <c r="G4909" s="459"/>
      <c r="H4909" s="459">
        <v>4902</v>
      </c>
      <c r="I4909" s="444">
        <f t="shared" ca="1" si="198"/>
        <v>-328008053166121</v>
      </c>
      <c r="J4909" s="444">
        <f t="array" ref="J4909">IFERROR(INDEX('Retirement Calculator'!J:J,MATCH('Isaac 401k'!N4909,'Retirement Calculator'!A:A,0),0),0)</f>
        <v>0</v>
      </c>
      <c r="K4909" s="444">
        <f t="shared" ca="1" si="196"/>
        <v>-1366700221525.5042</v>
      </c>
      <c r="L4909" s="444">
        <f t="shared" ca="1" si="197"/>
        <v>-329374753387646.5</v>
      </c>
      <c r="M4909" s="460">
        <f t="shared" si="199"/>
        <v>0.05</v>
      </c>
      <c r="N4909" s="464">
        <f t="shared" si="200"/>
        <v>200460</v>
      </c>
    </row>
    <row r="4910" spans="7:14" ht="11.25" customHeight="1" x14ac:dyDescent="0.25">
      <c r="G4910" s="459"/>
      <c r="H4910" s="459">
        <v>4903</v>
      </c>
      <c r="I4910" s="444">
        <f t="shared" ca="1" si="198"/>
        <v>-329374753387646.5</v>
      </c>
      <c r="J4910" s="444">
        <f t="array" ref="J4910">IFERROR(INDEX('Retirement Calculator'!J:J,MATCH('Isaac 401k'!N4910,'Retirement Calculator'!A:A,0),0),0)</f>
        <v>0</v>
      </c>
      <c r="K4910" s="444">
        <f t="shared" ca="1" si="196"/>
        <v>-1372394805781.8604</v>
      </c>
      <c r="L4910" s="444">
        <f t="shared" ca="1" si="197"/>
        <v>-330747148193428.38</v>
      </c>
      <c r="M4910" s="460">
        <f t="shared" si="199"/>
        <v>0.05</v>
      </c>
      <c r="N4910" s="464">
        <f t="shared" si="200"/>
        <v>200490</v>
      </c>
    </row>
    <row r="4911" spans="7:14" ht="11.25" customHeight="1" x14ac:dyDescent="0.25">
      <c r="G4911" s="459"/>
      <c r="H4911" s="459">
        <v>4904</v>
      </c>
      <c r="I4911" s="444">
        <f t="shared" ca="1" si="198"/>
        <v>-330747148193428.38</v>
      </c>
      <c r="J4911" s="444">
        <f t="array" ref="J4911">IFERROR(INDEX('Retirement Calculator'!J:J,MATCH('Isaac 401k'!N4911,'Retirement Calculator'!A:A,0),0),0)</f>
        <v>0</v>
      </c>
      <c r="K4911" s="444">
        <f t="shared" ca="1" si="196"/>
        <v>-1378113117472.6182</v>
      </c>
      <c r="L4911" s="444">
        <f t="shared" ca="1" si="197"/>
        <v>-332125261310901</v>
      </c>
      <c r="M4911" s="460">
        <f t="shared" si="199"/>
        <v>0.05</v>
      </c>
      <c r="N4911" s="464">
        <f t="shared" si="200"/>
        <v>200521</v>
      </c>
    </row>
    <row r="4912" spans="7:14" ht="11.25" customHeight="1" x14ac:dyDescent="0.25">
      <c r="G4912" s="459"/>
      <c r="H4912" s="459">
        <v>4905</v>
      </c>
      <c r="I4912" s="444">
        <f t="shared" ca="1" si="198"/>
        <v>-332125261310901</v>
      </c>
      <c r="J4912" s="444">
        <f t="array" ref="J4912">IFERROR(INDEX('Retirement Calculator'!J:J,MATCH('Isaac 401k'!N4912,'Retirement Calculator'!A:A,0),0),0)</f>
        <v>0</v>
      </c>
      <c r="K4912" s="444">
        <f t="shared" ca="1" si="196"/>
        <v>-1383855255462.0874</v>
      </c>
      <c r="L4912" s="444">
        <f t="shared" ca="1" si="197"/>
        <v>-333509116566363.06</v>
      </c>
      <c r="M4912" s="460">
        <f t="shared" si="199"/>
        <v>0.05</v>
      </c>
      <c r="N4912" s="464">
        <f t="shared" si="200"/>
        <v>200552</v>
      </c>
    </row>
    <row r="4913" spans="7:14" ht="11.25" customHeight="1" x14ac:dyDescent="0.25">
      <c r="G4913" s="459"/>
      <c r="H4913" s="459">
        <v>4906</v>
      </c>
      <c r="I4913" s="444">
        <f t="shared" ca="1" si="198"/>
        <v>-333509116566363.06</v>
      </c>
      <c r="J4913" s="444">
        <f t="array" ref="J4913">IFERROR(INDEX('Retirement Calculator'!J:J,MATCH('Isaac 401k'!N4913,'Retirement Calculator'!A:A,0),0),0)</f>
        <v>0</v>
      </c>
      <c r="K4913" s="444">
        <f t="shared" ca="1" si="196"/>
        <v>-1389621319026.5127</v>
      </c>
      <c r="L4913" s="444">
        <f t="shared" ca="1" si="197"/>
        <v>-334898737885389.56</v>
      </c>
      <c r="M4913" s="460">
        <f t="shared" si="199"/>
        <v>0.05</v>
      </c>
      <c r="N4913" s="464">
        <f t="shared" si="200"/>
        <v>200580</v>
      </c>
    </row>
    <row r="4914" spans="7:14" ht="11.25" customHeight="1" x14ac:dyDescent="0.25">
      <c r="G4914" s="459"/>
      <c r="H4914" s="459">
        <v>4907</v>
      </c>
      <c r="I4914" s="444">
        <f t="shared" ca="1" si="198"/>
        <v>-334898737885389.56</v>
      </c>
      <c r="J4914" s="444">
        <f t="array" ref="J4914">IFERROR(INDEX('Retirement Calculator'!J:J,MATCH('Isaac 401k'!N4914,'Retirement Calculator'!A:A,0),0),0)</f>
        <v>0</v>
      </c>
      <c r="K4914" s="444">
        <f t="shared" ca="1" si="196"/>
        <v>-1395411407855.7898</v>
      </c>
      <c r="L4914" s="444">
        <f t="shared" ca="1" si="197"/>
        <v>-336294149293245.38</v>
      </c>
      <c r="M4914" s="460">
        <f t="shared" si="199"/>
        <v>0.05</v>
      </c>
      <c r="N4914" s="464">
        <f t="shared" si="200"/>
        <v>200611</v>
      </c>
    </row>
    <row r="4915" spans="7:14" ht="11.25" customHeight="1" x14ac:dyDescent="0.25">
      <c r="G4915" s="459"/>
      <c r="H4915" s="459">
        <v>4908</v>
      </c>
      <c r="I4915" s="444">
        <f t="shared" ca="1" si="198"/>
        <v>-336294149293245.38</v>
      </c>
      <c r="J4915" s="444">
        <f t="array" ref="J4915">IFERROR(INDEX('Retirement Calculator'!J:J,MATCH('Isaac 401k'!N4915,'Retirement Calculator'!A:A,0),0),0)</f>
        <v>0</v>
      </c>
      <c r="K4915" s="444">
        <f t="shared" ca="1" si="196"/>
        <v>-1401225622055.189</v>
      </c>
      <c r="L4915" s="444">
        <f t="shared" ca="1" si="197"/>
        <v>-337695374915300.56</v>
      </c>
      <c r="M4915" s="460">
        <f t="shared" si="199"/>
        <v>0.05</v>
      </c>
      <c r="N4915" s="464">
        <f t="shared" si="200"/>
        <v>200641</v>
      </c>
    </row>
    <row r="4916" spans="7:14" ht="11.25" customHeight="1" x14ac:dyDescent="0.25">
      <c r="G4916" s="459"/>
      <c r="H4916" s="459">
        <v>4909</v>
      </c>
      <c r="I4916" s="444">
        <f t="shared" ca="1" si="198"/>
        <v>-337695374915300.56</v>
      </c>
      <c r="J4916" s="444">
        <f t="array" ref="J4916">IFERROR(INDEX('Retirement Calculator'!J:J,MATCH('Isaac 401k'!N4916,'Retirement Calculator'!A:A,0),0),0)</f>
        <v>0</v>
      </c>
      <c r="K4916" s="444">
        <f t="shared" ca="1" si="196"/>
        <v>-1407064062147.0857</v>
      </c>
      <c r="L4916" s="444">
        <f t="shared" ca="1" si="197"/>
        <v>-339102438977447.63</v>
      </c>
      <c r="M4916" s="460">
        <f t="shared" si="199"/>
        <v>0.05</v>
      </c>
      <c r="N4916" s="464">
        <f t="shared" si="200"/>
        <v>200672</v>
      </c>
    </row>
    <row r="4917" spans="7:14" ht="11.25" customHeight="1" x14ac:dyDescent="0.25">
      <c r="G4917" s="459"/>
      <c r="H4917" s="459">
        <v>4910</v>
      </c>
      <c r="I4917" s="444">
        <f t="shared" ca="1" si="198"/>
        <v>-339102438977447.63</v>
      </c>
      <c r="J4917" s="444">
        <f t="array" ref="J4917">IFERROR(INDEX('Retirement Calculator'!J:J,MATCH('Isaac 401k'!N4917,'Retirement Calculator'!A:A,0),0),0)</f>
        <v>0</v>
      </c>
      <c r="K4917" s="444">
        <f t="shared" ca="1" si="196"/>
        <v>-1412926829072.6985</v>
      </c>
      <c r="L4917" s="444">
        <f t="shared" ca="1" si="197"/>
        <v>-340515365806520.31</v>
      </c>
      <c r="M4917" s="460">
        <f t="shared" si="199"/>
        <v>0.05</v>
      </c>
      <c r="N4917" s="464">
        <f t="shared" si="200"/>
        <v>200702</v>
      </c>
    </row>
    <row r="4918" spans="7:14" ht="11.25" customHeight="1" x14ac:dyDescent="0.25">
      <c r="G4918" s="459"/>
      <c r="H4918" s="459">
        <v>4911</v>
      </c>
      <c r="I4918" s="444">
        <f t="shared" ca="1" si="198"/>
        <v>-340515365806520.31</v>
      </c>
      <c r="J4918" s="444">
        <f t="array" ref="J4918">IFERROR(INDEX('Retirement Calculator'!J:J,MATCH('Isaac 401k'!N4918,'Retirement Calculator'!A:A,0),0),0)</f>
        <v>0</v>
      </c>
      <c r="K4918" s="444">
        <f t="shared" ca="1" si="196"/>
        <v>-1418814024193.8347</v>
      </c>
      <c r="L4918" s="444">
        <f t="shared" ca="1" si="197"/>
        <v>-341934179830714.13</v>
      </c>
      <c r="M4918" s="460">
        <f t="shared" si="199"/>
        <v>0.05</v>
      </c>
      <c r="N4918" s="464">
        <f t="shared" si="200"/>
        <v>200733</v>
      </c>
    </row>
    <row r="4919" spans="7:14" ht="11.25" customHeight="1" x14ac:dyDescent="0.25">
      <c r="G4919" s="459"/>
      <c r="H4919" s="459">
        <v>4912</v>
      </c>
      <c r="I4919" s="444">
        <f t="shared" ca="1" si="198"/>
        <v>-341934179830714.13</v>
      </c>
      <c r="J4919" s="444">
        <f t="array" ref="J4919">IFERROR(INDEX('Retirement Calculator'!J:J,MATCH('Isaac 401k'!N4919,'Retirement Calculator'!A:A,0),0),0)</f>
        <v>0</v>
      </c>
      <c r="K4919" s="444">
        <f t="shared" ca="1" si="196"/>
        <v>-1424725749294.6421</v>
      </c>
      <c r="L4919" s="444">
        <f t="shared" ca="1" si="197"/>
        <v>-343358905580008.75</v>
      </c>
      <c r="M4919" s="460">
        <f t="shared" si="199"/>
        <v>0.05</v>
      </c>
      <c r="N4919" s="464">
        <f t="shared" si="200"/>
        <v>200764</v>
      </c>
    </row>
    <row r="4920" spans="7:14" ht="11.25" customHeight="1" x14ac:dyDescent="0.25">
      <c r="G4920" s="459"/>
      <c r="H4920" s="459">
        <v>4913</v>
      </c>
      <c r="I4920" s="444">
        <f t="shared" ca="1" si="198"/>
        <v>-343358905580008.75</v>
      </c>
      <c r="J4920" s="444">
        <f t="array" ref="J4920">IFERROR(INDEX('Retirement Calculator'!J:J,MATCH('Isaac 401k'!N4920,'Retirement Calculator'!A:A,0),0),0)</f>
        <v>0</v>
      </c>
      <c r="K4920" s="444">
        <f t="shared" ca="1" si="196"/>
        <v>-1430662106583.3699</v>
      </c>
      <c r="L4920" s="444">
        <f t="shared" ca="1" si="197"/>
        <v>-344789567686592.13</v>
      </c>
      <c r="M4920" s="460">
        <f t="shared" si="199"/>
        <v>0.05</v>
      </c>
      <c r="N4920" s="464">
        <f t="shared" si="200"/>
        <v>200794</v>
      </c>
    </row>
    <row r="4921" spans="7:14" ht="11.25" customHeight="1" x14ac:dyDescent="0.25">
      <c r="G4921" s="459"/>
      <c r="H4921" s="459">
        <v>4914</v>
      </c>
      <c r="I4921" s="444">
        <f t="shared" ca="1" si="198"/>
        <v>-344789567686592.13</v>
      </c>
      <c r="J4921" s="444">
        <f t="array" ref="J4921">IFERROR(INDEX('Retirement Calculator'!J:J,MATCH('Isaac 401k'!N4921,'Retirement Calculator'!A:A,0),0),0)</f>
        <v>0</v>
      </c>
      <c r="K4921" s="444">
        <f t="shared" ca="1" si="196"/>
        <v>-1436623198694.1338</v>
      </c>
      <c r="L4921" s="444">
        <f t="shared" ca="1" si="197"/>
        <v>-346226190885286.25</v>
      </c>
      <c r="M4921" s="460">
        <f t="shared" si="199"/>
        <v>0.05</v>
      </c>
      <c r="N4921" s="464">
        <f t="shared" si="200"/>
        <v>200825</v>
      </c>
    </row>
    <row r="4922" spans="7:14" ht="11.25" customHeight="1" x14ac:dyDescent="0.25">
      <c r="G4922" s="459"/>
      <c r="H4922" s="459">
        <v>4915</v>
      </c>
      <c r="I4922" s="444">
        <f t="shared" ca="1" si="198"/>
        <v>-346226190885286.25</v>
      </c>
      <c r="J4922" s="444">
        <f t="array" ref="J4922">IFERROR(INDEX('Retirement Calculator'!J:J,MATCH('Isaac 401k'!N4922,'Retirement Calculator'!A:A,0),0),0)</f>
        <v>0</v>
      </c>
      <c r="K4922" s="444">
        <f t="shared" ca="1" si="196"/>
        <v>-1442609128688.6926</v>
      </c>
      <c r="L4922" s="444">
        <f t="shared" ca="1" si="197"/>
        <v>-347668800013974.94</v>
      </c>
      <c r="M4922" s="460">
        <f t="shared" si="199"/>
        <v>0.05</v>
      </c>
      <c r="N4922" s="464">
        <f t="shared" si="200"/>
        <v>200855</v>
      </c>
    </row>
    <row r="4923" spans="7:14" ht="11.25" customHeight="1" x14ac:dyDescent="0.25">
      <c r="G4923" s="459"/>
      <c r="H4923" s="459">
        <v>4916</v>
      </c>
      <c r="I4923" s="444">
        <f t="shared" ca="1" si="198"/>
        <v>-347668800013974.94</v>
      </c>
      <c r="J4923" s="444">
        <f t="array" ref="J4923">IFERROR(INDEX('Retirement Calculator'!J:J,MATCH('Isaac 401k'!N4923,'Retirement Calculator'!A:A,0),0),0)</f>
        <v>0</v>
      </c>
      <c r="K4923" s="444">
        <f t="shared" ca="1" si="196"/>
        <v>-1448620000058.229</v>
      </c>
      <c r="L4923" s="444">
        <f t="shared" ca="1" si="197"/>
        <v>-349117420014033.19</v>
      </c>
      <c r="M4923" s="460">
        <f t="shared" si="199"/>
        <v>0.05</v>
      </c>
      <c r="N4923" s="464">
        <f t="shared" si="200"/>
        <v>200886</v>
      </c>
    </row>
    <row r="4924" spans="7:14" ht="11.25" customHeight="1" x14ac:dyDescent="0.25">
      <c r="G4924" s="459"/>
      <c r="H4924" s="459">
        <v>4917</v>
      </c>
      <c r="I4924" s="444">
        <f t="shared" ca="1" si="198"/>
        <v>-349117420014033.19</v>
      </c>
      <c r="J4924" s="444">
        <f t="array" ref="J4924">IFERROR(INDEX('Retirement Calculator'!J:J,MATCH('Isaac 401k'!N4924,'Retirement Calculator'!A:A,0),0),0)</f>
        <v>0</v>
      </c>
      <c r="K4924" s="444">
        <f t="shared" ca="1" si="196"/>
        <v>-1454655916725.1382</v>
      </c>
      <c r="L4924" s="444">
        <f t="shared" ca="1" si="197"/>
        <v>-350572075930758.31</v>
      </c>
      <c r="M4924" s="460">
        <f t="shared" si="199"/>
        <v>0.05</v>
      </c>
      <c r="N4924" s="464">
        <f t="shared" si="200"/>
        <v>200917</v>
      </c>
    </row>
    <row r="4925" spans="7:14" ht="11.25" customHeight="1" x14ac:dyDescent="0.25">
      <c r="G4925" s="459"/>
      <c r="H4925" s="459">
        <v>4918</v>
      </c>
      <c r="I4925" s="444">
        <f t="shared" ca="1" si="198"/>
        <v>-350572075930758.31</v>
      </c>
      <c r="J4925" s="444">
        <f t="array" ref="J4925">IFERROR(INDEX('Retirement Calculator'!J:J,MATCH('Isaac 401k'!N4925,'Retirement Calculator'!A:A,0),0),0)</f>
        <v>0</v>
      </c>
      <c r="K4925" s="444">
        <f t="shared" ca="1" si="196"/>
        <v>-1460716983044.8262</v>
      </c>
      <c r="L4925" s="444">
        <f t="shared" ca="1" si="197"/>
        <v>-352032792913803.13</v>
      </c>
      <c r="M4925" s="460">
        <f t="shared" si="199"/>
        <v>0.05</v>
      </c>
      <c r="N4925" s="464">
        <f t="shared" si="200"/>
        <v>200945</v>
      </c>
    </row>
    <row r="4926" spans="7:14" ht="11.25" customHeight="1" x14ac:dyDescent="0.25">
      <c r="G4926" s="459"/>
      <c r="H4926" s="459">
        <v>4919</v>
      </c>
      <c r="I4926" s="444">
        <f t="shared" ca="1" si="198"/>
        <v>-352032792913803.13</v>
      </c>
      <c r="J4926" s="444">
        <f t="array" ref="J4926">IFERROR(INDEX('Retirement Calculator'!J:J,MATCH('Isaac 401k'!N4926,'Retirement Calculator'!A:A,0),0),0)</f>
        <v>0</v>
      </c>
      <c r="K4926" s="444">
        <f t="shared" ca="1" si="196"/>
        <v>-1466803303807.5129</v>
      </c>
      <c r="L4926" s="444">
        <f t="shared" ca="1" si="197"/>
        <v>-353499596217610.63</v>
      </c>
      <c r="M4926" s="460">
        <f t="shared" si="199"/>
        <v>0.05</v>
      </c>
      <c r="N4926" s="464">
        <f t="shared" si="200"/>
        <v>200976</v>
      </c>
    </row>
    <row r="4927" spans="7:14" ht="11.25" customHeight="1" x14ac:dyDescent="0.25">
      <c r="G4927" s="459"/>
      <c r="H4927" s="459">
        <v>4920</v>
      </c>
      <c r="I4927" s="444">
        <f t="shared" ca="1" si="198"/>
        <v>-353499596217610.63</v>
      </c>
      <c r="J4927" s="444">
        <f t="array" ref="J4927">IFERROR(INDEX('Retirement Calculator'!J:J,MATCH('Isaac 401k'!N4927,'Retirement Calculator'!A:A,0),0),0)</f>
        <v>0</v>
      </c>
      <c r="K4927" s="444">
        <f t="shared" ca="1" si="196"/>
        <v>-1472914984240.0442</v>
      </c>
      <c r="L4927" s="444">
        <f t="shared" ca="1" si="197"/>
        <v>-354972511201850.69</v>
      </c>
      <c r="M4927" s="460">
        <f t="shared" si="199"/>
        <v>0.05</v>
      </c>
      <c r="N4927" s="464">
        <f t="shared" si="200"/>
        <v>201006</v>
      </c>
    </row>
    <row r="4928" spans="7:14" ht="11.25" customHeight="1" x14ac:dyDescent="0.25">
      <c r="G4928" s="459"/>
      <c r="H4928" s="459">
        <v>4921</v>
      </c>
      <c r="I4928" s="444">
        <f t="shared" ca="1" si="198"/>
        <v>-354972511201850.69</v>
      </c>
      <c r="J4928" s="444">
        <f t="array" ref="J4928">IFERROR(INDEX('Retirement Calculator'!J:J,MATCH('Isaac 401k'!N4928,'Retirement Calculator'!A:A,0),0),0)</f>
        <v>0</v>
      </c>
      <c r="K4928" s="444">
        <f t="shared" ca="1" si="196"/>
        <v>-1479052130007.7112</v>
      </c>
      <c r="L4928" s="444">
        <f t="shared" ca="1" si="197"/>
        <v>-356451563331858.38</v>
      </c>
      <c r="M4928" s="460">
        <f t="shared" si="199"/>
        <v>0.05</v>
      </c>
      <c r="N4928" s="464">
        <f t="shared" si="200"/>
        <v>201037</v>
      </c>
    </row>
    <row r="4929" spans="7:14" ht="11.25" customHeight="1" x14ac:dyDescent="0.25">
      <c r="G4929" s="459"/>
      <c r="H4929" s="459">
        <v>4922</v>
      </c>
      <c r="I4929" s="444">
        <f t="shared" ca="1" si="198"/>
        <v>-356451563331858.38</v>
      </c>
      <c r="J4929" s="444">
        <f t="array" ref="J4929">IFERROR(INDEX('Retirement Calculator'!J:J,MATCH('Isaac 401k'!N4929,'Retirement Calculator'!A:A,0),0),0)</f>
        <v>0</v>
      </c>
      <c r="K4929" s="444">
        <f t="shared" ca="1" si="196"/>
        <v>-1485214847216.0767</v>
      </c>
      <c r="L4929" s="444">
        <f t="shared" ca="1" si="197"/>
        <v>-357936778179074.44</v>
      </c>
      <c r="M4929" s="460">
        <f t="shared" si="199"/>
        <v>0.05</v>
      </c>
      <c r="N4929" s="464">
        <f t="shared" si="200"/>
        <v>201067</v>
      </c>
    </row>
    <row r="4930" spans="7:14" ht="11.25" customHeight="1" x14ac:dyDescent="0.25">
      <c r="G4930" s="459"/>
      <c r="H4930" s="459">
        <v>4923</v>
      </c>
      <c r="I4930" s="444">
        <f t="shared" ca="1" si="198"/>
        <v>-357936778179074.44</v>
      </c>
      <c r="J4930" s="444">
        <f t="array" ref="J4930">IFERROR(INDEX('Retirement Calculator'!J:J,MATCH('Isaac 401k'!N4930,'Retirement Calculator'!A:A,0),0),0)</f>
        <v>0</v>
      </c>
      <c r="K4930" s="444">
        <f t="shared" ca="1" si="196"/>
        <v>-1491403242412.8101</v>
      </c>
      <c r="L4930" s="444">
        <f t="shared" ca="1" si="197"/>
        <v>-359428181421487.25</v>
      </c>
      <c r="M4930" s="460">
        <f t="shared" si="199"/>
        <v>0.05</v>
      </c>
      <c r="N4930" s="464">
        <f t="shared" si="200"/>
        <v>201098</v>
      </c>
    </row>
    <row r="4931" spans="7:14" ht="11.25" customHeight="1" x14ac:dyDescent="0.25">
      <c r="G4931" s="459"/>
      <c r="H4931" s="459">
        <v>4924</v>
      </c>
      <c r="I4931" s="444">
        <f t="shared" ca="1" si="198"/>
        <v>-359428181421487.25</v>
      </c>
      <c r="J4931" s="444">
        <f t="array" ref="J4931">IFERROR(INDEX('Retirement Calculator'!J:J,MATCH('Isaac 401k'!N4931,'Retirement Calculator'!A:A,0),0),0)</f>
        <v>0</v>
      </c>
      <c r="K4931" s="444">
        <f t="shared" ca="1" si="196"/>
        <v>-1497617422589.5303</v>
      </c>
      <c r="L4931" s="444">
        <f t="shared" ca="1" si="197"/>
        <v>-360925798844076.75</v>
      </c>
      <c r="M4931" s="460">
        <f t="shared" si="199"/>
        <v>0.05</v>
      </c>
      <c r="N4931" s="464">
        <f t="shared" si="200"/>
        <v>201129</v>
      </c>
    </row>
    <row r="4932" spans="7:14" ht="11.25" customHeight="1" x14ac:dyDescent="0.25">
      <c r="G4932" s="459"/>
      <c r="H4932" s="459">
        <v>4925</v>
      </c>
      <c r="I4932" s="444">
        <f t="shared" ca="1" si="198"/>
        <v>-360925798844076.75</v>
      </c>
      <c r="J4932" s="444">
        <f t="array" ref="J4932">IFERROR(INDEX('Retirement Calculator'!J:J,MATCH('Isaac 401k'!N4932,'Retirement Calculator'!A:A,0),0),0)</f>
        <v>0</v>
      </c>
      <c r="K4932" s="444">
        <f t="shared" ca="1" si="196"/>
        <v>-1503857495183.6531</v>
      </c>
      <c r="L4932" s="444">
        <f t="shared" ca="1" si="197"/>
        <v>-362429656339260.38</v>
      </c>
      <c r="M4932" s="460">
        <f t="shared" si="199"/>
        <v>0.05</v>
      </c>
      <c r="N4932" s="464">
        <f t="shared" si="200"/>
        <v>201159</v>
      </c>
    </row>
    <row r="4933" spans="7:14" ht="11.25" customHeight="1" x14ac:dyDescent="0.25">
      <c r="G4933" s="459"/>
      <c r="H4933" s="459">
        <v>4926</v>
      </c>
      <c r="I4933" s="444">
        <f t="shared" ca="1" si="198"/>
        <v>-362429656339260.38</v>
      </c>
      <c r="J4933" s="444">
        <f t="array" ref="J4933">IFERROR(INDEX('Retirement Calculator'!J:J,MATCH('Isaac 401k'!N4933,'Retirement Calculator'!A:A,0),0),0)</f>
        <v>0</v>
      </c>
      <c r="K4933" s="444">
        <f t="shared" ca="1" si="196"/>
        <v>-1510123568080.2515</v>
      </c>
      <c r="L4933" s="444">
        <f t="shared" ca="1" si="197"/>
        <v>-363939779907340.63</v>
      </c>
      <c r="M4933" s="460">
        <f t="shared" si="199"/>
        <v>0.05</v>
      </c>
      <c r="N4933" s="464">
        <f t="shared" si="200"/>
        <v>201190</v>
      </c>
    </row>
    <row r="4934" spans="7:14" ht="11.25" customHeight="1" x14ac:dyDescent="0.25">
      <c r="G4934" s="459"/>
      <c r="H4934" s="459">
        <v>4927</v>
      </c>
      <c r="I4934" s="444">
        <f t="shared" ca="1" si="198"/>
        <v>-363939779907340.63</v>
      </c>
      <c r="J4934" s="444">
        <f t="array" ref="J4934">IFERROR(INDEX('Retirement Calculator'!J:J,MATCH('Isaac 401k'!N4934,'Retirement Calculator'!A:A,0),0),0)</f>
        <v>0</v>
      </c>
      <c r="K4934" s="444">
        <f t="shared" ca="1" si="196"/>
        <v>-1516415749613.9192</v>
      </c>
      <c r="L4934" s="444">
        <f t="shared" ca="1" si="197"/>
        <v>-365456195656954.56</v>
      </c>
      <c r="M4934" s="460">
        <f t="shared" si="199"/>
        <v>0.05</v>
      </c>
      <c r="N4934" s="464">
        <f t="shared" si="200"/>
        <v>201220</v>
      </c>
    </row>
    <row r="4935" spans="7:14" ht="11.25" customHeight="1" x14ac:dyDescent="0.25">
      <c r="G4935" s="459"/>
      <c r="H4935" s="459">
        <v>4928</v>
      </c>
      <c r="I4935" s="444">
        <f t="shared" ca="1" si="198"/>
        <v>-365456195656954.56</v>
      </c>
      <c r="J4935" s="444">
        <f t="array" ref="J4935">IFERROR(INDEX('Retirement Calculator'!J:J,MATCH('Isaac 401k'!N4935,'Retirement Calculator'!A:A,0),0),0)</f>
        <v>0</v>
      </c>
      <c r="K4935" s="444">
        <f t="shared" ca="1" si="196"/>
        <v>-1522734148570.644</v>
      </c>
      <c r="L4935" s="444">
        <f t="shared" ca="1" si="197"/>
        <v>-366978929805525.19</v>
      </c>
      <c r="M4935" s="460">
        <f t="shared" si="199"/>
        <v>0.05</v>
      </c>
      <c r="N4935" s="464">
        <f t="shared" si="200"/>
        <v>201251</v>
      </c>
    </row>
    <row r="4936" spans="7:14" ht="11.25" customHeight="1" x14ac:dyDescent="0.25">
      <c r="G4936" s="459"/>
      <c r="H4936" s="459">
        <v>4929</v>
      </c>
      <c r="I4936" s="444">
        <f t="shared" ca="1" si="198"/>
        <v>-366978929805525.19</v>
      </c>
      <c r="J4936" s="444">
        <f t="array" ref="J4936">IFERROR(INDEX('Retirement Calculator'!J:J,MATCH('Isaac 401k'!N4936,'Retirement Calculator'!A:A,0),0),0)</f>
        <v>0</v>
      </c>
      <c r="K4936" s="444">
        <f t="shared" ca="1" si="196"/>
        <v>-1529078874189.6882</v>
      </c>
      <c r="L4936" s="444">
        <f t="shared" ca="1" si="197"/>
        <v>-368508008679714.88</v>
      </c>
      <c r="M4936" s="460">
        <f t="shared" si="199"/>
        <v>0.05</v>
      </c>
      <c r="N4936" s="464">
        <f t="shared" si="200"/>
        <v>201282</v>
      </c>
    </row>
    <row r="4937" spans="7:14" ht="11.25" customHeight="1" x14ac:dyDescent="0.25">
      <c r="G4937" s="459"/>
      <c r="H4937" s="459">
        <v>4930</v>
      </c>
      <c r="I4937" s="444">
        <f t="shared" ca="1" si="198"/>
        <v>-368508008679714.88</v>
      </c>
      <c r="J4937" s="444">
        <f t="array" ref="J4937">IFERROR(INDEX('Retirement Calculator'!J:J,MATCH('Isaac 401k'!N4937,'Retirement Calculator'!A:A,0),0),0)</f>
        <v>0</v>
      </c>
      <c r="K4937" s="444">
        <f t="shared" ca="1" si="196"/>
        <v>-1535450036165.4785</v>
      </c>
      <c r="L4937" s="444">
        <f t="shared" ca="1" si="197"/>
        <v>-370043458715880.38</v>
      </c>
      <c r="M4937" s="460">
        <f t="shared" si="199"/>
        <v>0.05</v>
      </c>
      <c r="N4937" s="464">
        <f t="shared" si="200"/>
        <v>201310</v>
      </c>
    </row>
    <row r="4938" spans="7:14" ht="11.25" customHeight="1" x14ac:dyDescent="0.25">
      <c r="G4938" s="459"/>
      <c r="H4938" s="459">
        <v>4931</v>
      </c>
      <c r="I4938" s="444">
        <f t="shared" ca="1" si="198"/>
        <v>-370043458715880.38</v>
      </c>
      <c r="J4938" s="444">
        <f t="array" ref="J4938">IFERROR(INDEX('Retirement Calculator'!J:J,MATCH('Isaac 401k'!N4938,'Retirement Calculator'!A:A,0),0),0)</f>
        <v>0</v>
      </c>
      <c r="K4938" s="444">
        <f t="shared" ca="1" si="196"/>
        <v>-1541847744649.5015</v>
      </c>
      <c r="L4938" s="444">
        <f t="shared" ca="1" si="197"/>
        <v>-371585306460529.88</v>
      </c>
      <c r="M4938" s="460">
        <f t="shared" si="199"/>
        <v>0.05</v>
      </c>
      <c r="N4938" s="464">
        <f t="shared" si="200"/>
        <v>201341</v>
      </c>
    </row>
    <row r="4939" spans="7:14" ht="11.25" customHeight="1" x14ac:dyDescent="0.25">
      <c r="G4939" s="459"/>
      <c r="H4939" s="459">
        <v>4932</v>
      </c>
      <c r="I4939" s="444">
        <f t="shared" ca="1" si="198"/>
        <v>-371585306460529.88</v>
      </c>
      <c r="J4939" s="444">
        <f t="array" ref="J4939">IFERROR(INDEX('Retirement Calculator'!J:J,MATCH('Isaac 401k'!N4939,'Retirement Calculator'!A:A,0),0),0)</f>
        <v>0</v>
      </c>
      <c r="K4939" s="444">
        <f t="shared" ca="1" si="196"/>
        <v>-1548272110252.2078</v>
      </c>
      <c r="L4939" s="444">
        <f t="shared" ca="1" si="197"/>
        <v>-373133578570782.06</v>
      </c>
      <c r="M4939" s="460">
        <f t="shared" si="199"/>
        <v>0.05</v>
      </c>
      <c r="N4939" s="464">
        <f t="shared" si="200"/>
        <v>201371</v>
      </c>
    </row>
    <row r="4940" spans="7:14" ht="11.25" customHeight="1" x14ac:dyDescent="0.25">
      <c r="G4940" s="459"/>
      <c r="H4940" s="459">
        <v>4933</v>
      </c>
      <c r="I4940" s="444">
        <f t="shared" ca="1" si="198"/>
        <v>-373133578570782.06</v>
      </c>
      <c r="J4940" s="444">
        <f t="array" ref="J4940">IFERROR(INDEX('Retirement Calculator'!J:J,MATCH('Isaac 401k'!N4940,'Retirement Calculator'!A:A,0),0),0)</f>
        <v>0</v>
      </c>
      <c r="K4940" s="444">
        <f t="shared" ca="1" si="196"/>
        <v>-1554723244044.9253</v>
      </c>
      <c r="L4940" s="444">
        <f t="shared" ca="1" si="197"/>
        <v>-374688301814827</v>
      </c>
      <c r="M4940" s="460">
        <f t="shared" si="199"/>
        <v>0.05</v>
      </c>
      <c r="N4940" s="464">
        <f t="shared" si="200"/>
        <v>201402</v>
      </c>
    </row>
    <row r="4941" spans="7:14" ht="11.25" customHeight="1" x14ac:dyDescent="0.25">
      <c r="G4941" s="459"/>
      <c r="H4941" s="459">
        <v>4934</v>
      </c>
      <c r="I4941" s="444">
        <f t="shared" ca="1" si="198"/>
        <v>-374688301814827</v>
      </c>
      <c r="J4941" s="444">
        <f t="array" ref="J4941">IFERROR(INDEX('Retirement Calculator'!J:J,MATCH('Isaac 401k'!N4941,'Retirement Calculator'!A:A,0),0),0)</f>
        <v>0</v>
      </c>
      <c r="K4941" s="444">
        <f t="shared" ca="1" si="196"/>
        <v>-1561201257561.7791</v>
      </c>
      <c r="L4941" s="444">
        <f t="shared" ca="1" si="197"/>
        <v>-376249503072388.75</v>
      </c>
      <c r="M4941" s="460">
        <f t="shared" si="199"/>
        <v>0.05</v>
      </c>
      <c r="N4941" s="464">
        <f t="shared" si="200"/>
        <v>201432</v>
      </c>
    </row>
    <row r="4942" spans="7:14" ht="11.25" customHeight="1" x14ac:dyDescent="0.25">
      <c r="G4942" s="459"/>
      <c r="H4942" s="459">
        <v>4935</v>
      </c>
      <c r="I4942" s="444">
        <f t="shared" ca="1" si="198"/>
        <v>-376249503072388.75</v>
      </c>
      <c r="J4942" s="444">
        <f t="array" ref="J4942">IFERROR(INDEX('Retirement Calculator'!J:J,MATCH('Isaac 401k'!N4942,'Retirement Calculator'!A:A,0),0),0)</f>
        <v>0</v>
      </c>
      <c r="K4942" s="444">
        <f t="shared" ca="1" si="196"/>
        <v>-1567706262801.6199</v>
      </c>
      <c r="L4942" s="444">
        <f t="shared" ca="1" si="197"/>
        <v>-377817209335190.38</v>
      </c>
      <c r="M4942" s="460">
        <f t="shared" si="199"/>
        <v>0.05</v>
      </c>
      <c r="N4942" s="464">
        <f t="shared" si="200"/>
        <v>201463</v>
      </c>
    </row>
    <row r="4943" spans="7:14" ht="11.25" customHeight="1" x14ac:dyDescent="0.25">
      <c r="G4943" s="459"/>
      <c r="H4943" s="459">
        <v>4936</v>
      </c>
      <c r="I4943" s="444">
        <f t="shared" ca="1" si="198"/>
        <v>-377817209335190.38</v>
      </c>
      <c r="J4943" s="444">
        <f t="array" ref="J4943">IFERROR(INDEX('Retirement Calculator'!J:J,MATCH('Isaac 401k'!N4943,'Retirement Calculator'!A:A,0),0),0)</f>
        <v>0</v>
      </c>
      <c r="K4943" s="444">
        <f t="shared" ca="1" si="196"/>
        <v>-1574238372229.96</v>
      </c>
      <c r="L4943" s="444">
        <f t="shared" ca="1" si="197"/>
        <v>-379391447707420.31</v>
      </c>
      <c r="M4943" s="460">
        <f t="shared" si="199"/>
        <v>0.05</v>
      </c>
      <c r="N4943" s="464">
        <f t="shared" si="200"/>
        <v>201494</v>
      </c>
    </row>
    <row r="4944" spans="7:14" ht="11.25" customHeight="1" x14ac:dyDescent="0.25">
      <c r="G4944" s="459"/>
      <c r="H4944" s="459">
        <v>4937</v>
      </c>
      <c r="I4944" s="444">
        <f t="shared" ca="1" si="198"/>
        <v>-379391447707420.31</v>
      </c>
      <c r="J4944" s="444">
        <f t="array" ref="J4944">IFERROR(INDEX('Retirement Calculator'!J:J,MATCH('Isaac 401k'!N4944,'Retirement Calculator'!A:A,0),0),0)</f>
        <v>0</v>
      </c>
      <c r="K4944" s="444">
        <f t="shared" ca="1" si="196"/>
        <v>-1580797698780.918</v>
      </c>
      <c r="L4944" s="444">
        <f t="shared" ca="1" si="197"/>
        <v>-380972245406201.25</v>
      </c>
      <c r="M4944" s="460">
        <f t="shared" si="199"/>
        <v>0.05</v>
      </c>
      <c r="N4944" s="464">
        <f t="shared" si="200"/>
        <v>201524</v>
      </c>
    </row>
    <row r="4945" spans="7:14" ht="11.25" customHeight="1" x14ac:dyDescent="0.25">
      <c r="G4945" s="459"/>
      <c r="H4945" s="459">
        <v>4938</v>
      </c>
      <c r="I4945" s="444">
        <f t="shared" ca="1" si="198"/>
        <v>-380972245406201.25</v>
      </c>
      <c r="J4945" s="444">
        <f t="array" ref="J4945">IFERROR(INDEX('Retirement Calculator'!J:J,MATCH('Isaac 401k'!N4945,'Retirement Calculator'!A:A,0),0),0)</f>
        <v>0</v>
      </c>
      <c r="K4945" s="444">
        <f t="shared" ca="1" si="196"/>
        <v>-1587384355859.1719</v>
      </c>
      <c r="L4945" s="444">
        <f t="shared" ca="1" si="197"/>
        <v>-382559629762060.44</v>
      </c>
      <c r="M4945" s="460">
        <f t="shared" si="199"/>
        <v>0.05</v>
      </c>
      <c r="N4945" s="464">
        <f t="shared" si="200"/>
        <v>201555</v>
      </c>
    </row>
    <row r="4946" spans="7:14" ht="11.25" customHeight="1" x14ac:dyDescent="0.25">
      <c r="G4946" s="459"/>
      <c r="H4946" s="459">
        <v>4939</v>
      </c>
      <c r="I4946" s="444">
        <f t="shared" ca="1" si="198"/>
        <v>-382559629762060.44</v>
      </c>
      <c r="J4946" s="444">
        <f t="array" ref="J4946">IFERROR(INDEX('Retirement Calculator'!J:J,MATCH('Isaac 401k'!N4946,'Retirement Calculator'!A:A,0),0),0)</f>
        <v>0</v>
      </c>
      <c r="K4946" s="444">
        <f t="shared" ca="1" si="196"/>
        <v>-1593998457341.9185</v>
      </c>
      <c r="L4946" s="444">
        <f t="shared" ca="1" si="197"/>
        <v>-384153628219402.38</v>
      </c>
      <c r="M4946" s="460">
        <f t="shared" si="199"/>
        <v>0.05</v>
      </c>
      <c r="N4946" s="464">
        <f t="shared" si="200"/>
        <v>201585</v>
      </c>
    </row>
    <row r="4947" spans="7:14" ht="11.25" customHeight="1" x14ac:dyDescent="0.25">
      <c r="G4947" s="459"/>
      <c r="H4947" s="459">
        <v>4940</v>
      </c>
      <c r="I4947" s="444">
        <f t="shared" ca="1" si="198"/>
        <v>-384153628219402.38</v>
      </c>
      <c r="J4947" s="444">
        <f t="array" ref="J4947">IFERROR(INDEX('Retirement Calculator'!J:J,MATCH('Isaac 401k'!N4947,'Retirement Calculator'!A:A,0),0),0)</f>
        <v>0</v>
      </c>
      <c r="K4947" s="444">
        <f t="shared" ca="1" si="196"/>
        <v>-1600640117580.8433</v>
      </c>
      <c r="L4947" s="444">
        <f t="shared" ca="1" si="197"/>
        <v>-385754268336983.19</v>
      </c>
      <c r="M4947" s="460">
        <f t="shared" si="199"/>
        <v>0.05</v>
      </c>
      <c r="N4947" s="464">
        <f t="shared" si="200"/>
        <v>201616</v>
      </c>
    </row>
    <row r="4948" spans="7:14" ht="11.25" customHeight="1" x14ac:dyDescent="0.25">
      <c r="G4948" s="459"/>
      <c r="H4948" s="459">
        <v>4941</v>
      </c>
      <c r="I4948" s="444">
        <f t="shared" ca="1" si="198"/>
        <v>-385754268336983.19</v>
      </c>
      <c r="J4948" s="444">
        <f t="array" ref="J4948">IFERROR(INDEX('Retirement Calculator'!J:J,MATCH('Isaac 401k'!N4948,'Retirement Calculator'!A:A,0),0),0)</f>
        <v>0</v>
      </c>
      <c r="K4948" s="444">
        <f t="shared" ca="1" si="196"/>
        <v>-1607309451404.0967</v>
      </c>
      <c r="L4948" s="444">
        <f t="shared" ca="1" si="197"/>
        <v>-387361577788387.31</v>
      </c>
      <c r="M4948" s="460">
        <f t="shared" si="199"/>
        <v>0.05</v>
      </c>
      <c r="N4948" s="464">
        <f t="shared" si="200"/>
        <v>201647</v>
      </c>
    </row>
    <row r="4949" spans="7:14" ht="11.25" customHeight="1" x14ac:dyDescent="0.25">
      <c r="G4949" s="459"/>
      <c r="H4949" s="459">
        <v>4942</v>
      </c>
      <c r="I4949" s="444">
        <f t="shared" ca="1" si="198"/>
        <v>-387361577788387.31</v>
      </c>
      <c r="J4949" s="444">
        <f t="array" ref="J4949">IFERROR(INDEX('Retirement Calculator'!J:J,MATCH('Isaac 401k'!N4949,'Retirement Calculator'!A:A,0),0),0)</f>
        <v>0</v>
      </c>
      <c r="K4949" s="444">
        <f t="shared" ca="1" si="196"/>
        <v>-1614006574118.2805</v>
      </c>
      <c r="L4949" s="444">
        <f t="shared" ca="1" si="197"/>
        <v>-388975584362505.56</v>
      </c>
      <c r="M4949" s="460">
        <f t="shared" si="199"/>
        <v>0.05</v>
      </c>
      <c r="N4949" s="464">
        <f t="shared" si="200"/>
        <v>201676</v>
      </c>
    </row>
    <row r="4950" spans="7:14" ht="11.25" customHeight="1" x14ac:dyDescent="0.25">
      <c r="G4950" s="459"/>
      <c r="H4950" s="459">
        <v>4943</v>
      </c>
      <c r="I4950" s="444">
        <f t="shared" ca="1" si="198"/>
        <v>-388975584362505.56</v>
      </c>
      <c r="J4950" s="444">
        <f t="array" ref="J4950">IFERROR(INDEX('Retirement Calculator'!J:J,MATCH('Isaac 401k'!N4950,'Retirement Calculator'!A:A,0),0),0)</f>
        <v>0</v>
      </c>
      <c r="K4950" s="444">
        <f t="shared" ca="1" si="196"/>
        <v>-1620731601510.4399</v>
      </c>
      <c r="L4950" s="444">
        <f t="shared" ca="1" si="197"/>
        <v>-390596315964016</v>
      </c>
      <c r="M4950" s="460">
        <f t="shared" si="199"/>
        <v>0.05</v>
      </c>
      <c r="N4950" s="464">
        <f t="shared" si="200"/>
        <v>201707</v>
      </c>
    </row>
    <row r="4951" spans="7:14" ht="11.25" customHeight="1" x14ac:dyDescent="0.25">
      <c r="G4951" s="459"/>
      <c r="H4951" s="459">
        <v>4944</v>
      </c>
      <c r="I4951" s="444">
        <f t="shared" ca="1" si="198"/>
        <v>-390596315964016</v>
      </c>
      <c r="J4951" s="444">
        <f t="array" ref="J4951">IFERROR(INDEX('Retirement Calculator'!J:J,MATCH('Isaac 401k'!N4951,'Retirement Calculator'!A:A,0),0),0)</f>
        <v>0</v>
      </c>
      <c r="K4951" s="444">
        <f t="shared" ca="1" si="196"/>
        <v>-1627484649850.0667</v>
      </c>
      <c r="L4951" s="444">
        <f t="shared" ca="1" si="197"/>
        <v>-392223800613866.06</v>
      </c>
      <c r="M4951" s="460">
        <f t="shared" si="199"/>
        <v>0.05</v>
      </c>
      <c r="N4951" s="464">
        <f t="shared" si="200"/>
        <v>201737</v>
      </c>
    </row>
    <row r="4952" spans="7:14" ht="11.25" customHeight="1" x14ac:dyDescent="0.25">
      <c r="G4952" s="459"/>
      <c r="H4952" s="459">
        <v>4945</v>
      </c>
      <c r="I4952" s="444">
        <f t="shared" ca="1" si="198"/>
        <v>-392223800613866.06</v>
      </c>
      <c r="J4952" s="444">
        <f t="array" ref="J4952">IFERROR(INDEX('Retirement Calculator'!J:J,MATCH('Isaac 401k'!N4952,'Retirement Calculator'!A:A,0),0),0)</f>
        <v>0</v>
      </c>
      <c r="K4952" s="444">
        <f t="shared" ca="1" si="196"/>
        <v>-1634265835891.1086</v>
      </c>
      <c r="L4952" s="444">
        <f t="shared" ca="1" si="197"/>
        <v>-393858066449757.19</v>
      </c>
      <c r="M4952" s="460">
        <f t="shared" si="199"/>
        <v>0.05</v>
      </c>
      <c r="N4952" s="464">
        <f t="shared" si="200"/>
        <v>201768</v>
      </c>
    </row>
    <row r="4953" spans="7:14" ht="11.25" customHeight="1" x14ac:dyDescent="0.25">
      <c r="G4953" s="459"/>
      <c r="H4953" s="459">
        <v>4946</v>
      </c>
      <c r="I4953" s="444">
        <f t="shared" ca="1" si="198"/>
        <v>-393858066449757.19</v>
      </c>
      <c r="J4953" s="444">
        <f t="array" ref="J4953">IFERROR(INDEX('Retirement Calculator'!J:J,MATCH('Isaac 401k'!N4953,'Retirement Calculator'!A:A,0),0),0)</f>
        <v>0</v>
      </c>
      <c r="K4953" s="444">
        <f t="shared" ca="1" si="196"/>
        <v>-1641075276873.9883</v>
      </c>
      <c r="L4953" s="444">
        <f t="shared" ca="1" si="197"/>
        <v>-395499141726631.19</v>
      </c>
      <c r="M4953" s="460">
        <f t="shared" si="199"/>
        <v>0.05</v>
      </c>
      <c r="N4953" s="464">
        <f t="shared" si="200"/>
        <v>201798</v>
      </c>
    </row>
    <row r="4954" spans="7:14" ht="11.25" customHeight="1" x14ac:dyDescent="0.25">
      <c r="G4954" s="459"/>
      <c r="H4954" s="459">
        <v>4947</v>
      </c>
      <c r="I4954" s="444">
        <f t="shared" ca="1" si="198"/>
        <v>-395499141726631.19</v>
      </c>
      <c r="J4954" s="444">
        <f t="array" ref="J4954">IFERROR(INDEX('Retirement Calculator'!J:J,MATCH('Isaac 401k'!N4954,'Retirement Calculator'!A:A,0),0),0)</f>
        <v>0</v>
      </c>
      <c r="K4954" s="444">
        <f t="shared" ca="1" si="196"/>
        <v>-1647913090527.6299</v>
      </c>
      <c r="L4954" s="444">
        <f t="shared" ca="1" si="197"/>
        <v>-397147054817158.81</v>
      </c>
      <c r="M4954" s="460">
        <f t="shared" si="199"/>
        <v>0.05</v>
      </c>
      <c r="N4954" s="464">
        <f t="shared" si="200"/>
        <v>201829</v>
      </c>
    </row>
    <row r="4955" spans="7:14" ht="11.25" customHeight="1" x14ac:dyDescent="0.25">
      <c r="G4955" s="459"/>
      <c r="H4955" s="459">
        <v>4948</v>
      </c>
      <c r="I4955" s="444">
        <f t="shared" ca="1" si="198"/>
        <v>-397147054817158.81</v>
      </c>
      <c r="J4955" s="444">
        <f t="array" ref="J4955">IFERROR(INDEX('Retirement Calculator'!J:J,MATCH('Isaac 401k'!N4955,'Retirement Calculator'!A:A,0),0),0)</f>
        <v>0</v>
      </c>
      <c r="K4955" s="444">
        <f t="shared" ca="1" si="196"/>
        <v>-1654779395071.4951</v>
      </c>
      <c r="L4955" s="444">
        <f t="shared" ca="1" si="197"/>
        <v>-398801834212230.31</v>
      </c>
      <c r="M4955" s="460">
        <f t="shared" si="199"/>
        <v>0.05</v>
      </c>
      <c r="N4955" s="464">
        <f t="shared" si="200"/>
        <v>201860</v>
      </c>
    </row>
    <row r="4956" spans="7:14" ht="11.25" customHeight="1" x14ac:dyDescent="0.25">
      <c r="G4956" s="459"/>
      <c r="H4956" s="459">
        <v>4949</v>
      </c>
      <c r="I4956" s="444">
        <f t="shared" ca="1" si="198"/>
        <v>-398801834212230.31</v>
      </c>
      <c r="J4956" s="444">
        <f t="array" ref="J4956">IFERROR(INDEX('Retirement Calculator'!J:J,MATCH('Isaac 401k'!N4956,'Retirement Calculator'!A:A,0),0),0)</f>
        <v>0</v>
      </c>
      <c r="K4956" s="444">
        <f t="shared" ca="1" si="196"/>
        <v>-1661674309217.6262</v>
      </c>
      <c r="L4956" s="444">
        <f t="shared" ca="1" si="197"/>
        <v>-400463508521447.94</v>
      </c>
      <c r="M4956" s="460">
        <f t="shared" si="199"/>
        <v>0.05</v>
      </c>
      <c r="N4956" s="464">
        <f t="shared" si="200"/>
        <v>201890</v>
      </c>
    </row>
    <row r="4957" spans="7:14" ht="11.25" customHeight="1" x14ac:dyDescent="0.25">
      <c r="G4957" s="459"/>
      <c r="H4957" s="459">
        <v>4950</v>
      </c>
      <c r="I4957" s="444">
        <f t="shared" ca="1" si="198"/>
        <v>-400463508521447.94</v>
      </c>
      <c r="J4957" s="444">
        <f t="array" ref="J4957">IFERROR(INDEX('Retirement Calculator'!J:J,MATCH('Isaac 401k'!N4957,'Retirement Calculator'!A:A,0),0),0)</f>
        <v>0</v>
      </c>
      <c r="K4957" s="444">
        <f t="shared" ca="1" si="196"/>
        <v>-1668597952172.6997</v>
      </c>
      <c r="L4957" s="444">
        <f t="shared" ca="1" si="197"/>
        <v>-402132106473620.63</v>
      </c>
      <c r="M4957" s="460">
        <f t="shared" si="199"/>
        <v>0.05</v>
      </c>
      <c r="N4957" s="464">
        <f t="shared" si="200"/>
        <v>201921</v>
      </c>
    </row>
    <row r="4958" spans="7:14" ht="11.25" customHeight="1" x14ac:dyDescent="0.25">
      <c r="G4958" s="459"/>
      <c r="H4958" s="459">
        <v>4951</v>
      </c>
      <c r="I4958" s="444">
        <f t="shared" ca="1" si="198"/>
        <v>-402132106473620.63</v>
      </c>
      <c r="J4958" s="444">
        <f t="array" ref="J4958">IFERROR(INDEX('Retirement Calculator'!J:J,MATCH('Isaac 401k'!N4958,'Retirement Calculator'!A:A,0),0),0)</f>
        <v>0</v>
      </c>
      <c r="K4958" s="444">
        <f t="shared" ca="1" si="196"/>
        <v>-1675550443640.0859</v>
      </c>
      <c r="L4958" s="444">
        <f t="shared" ca="1" si="197"/>
        <v>-403807656917260.69</v>
      </c>
      <c r="M4958" s="460">
        <f t="shared" si="199"/>
        <v>0.05</v>
      </c>
      <c r="N4958" s="464">
        <f t="shared" si="200"/>
        <v>201951</v>
      </c>
    </row>
    <row r="4959" spans="7:14" ht="11.25" customHeight="1" x14ac:dyDescent="0.25">
      <c r="G4959" s="459"/>
      <c r="H4959" s="459">
        <v>4952</v>
      </c>
      <c r="I4959" s="444">
        <f t="shared" ca="1" si="198"/>
        <v>-403807656917260.69</v>
      </c>
      <c r="J4959" s="444">
        <f t="array" ref="J4959">IFERROR(INDEX('Retirement Calculator'!J:J,MATCH('Isaac 401k'!N4959,'Retirement Calculator'!A:A,0),0),0)</f>
        <v>0</v>
      </c>
      <c r="K4959" s="444">
        <f t="shared" ca="1" si="196"/>
        <v>-1682531903821.9194</v>
      </c>
      <c r="L4959" s="444">
        <f t="shared" ca="1" si="197"/>
        <v>-405490188821082.63</v>
      </c>
      <c r="M4959" s="460">
        <f t="shared" si="199"/>
        <v>0.05</v>
      </c>
      <c r="N4959" s="464">
        <f t="shared" si="200"/>
        <v>201982</v>
      </c>
    </row>
    <row r="4960" spans="7:14" ht="11.25" customHeight="1" x14ac:dyDescent="0.25">
      <c r="G4960" s="459"/>
      <c r="H4960" s="459">
        <v>4953</v>
      </c>
      <c r="I4960" s="444">
        <f t="shared" ca="1" si="198"/>
        <v>-405490188821082.63</v>
      </c>
      <c r="J4960" s="444">
        <f t="array" ref="J4960">IFERROR(INDEX('Retirement Calculator'!J:J,MATCH('Isaac 401k'!N4960,'Retirement Calculator'!A:A,0),0),0)</f>
        <v>0</v>
      </c>
      <c r="K4960" s="444">
        <f t="shared" ca="1" si="196"/>
        <v>-1689542453421.1775</v>
      </c>
      <c r="L4960" s="444">
        <f t="shared" ca="1" si="197"/>
        <v>-407179731274503.81</v>
      </c>
      <c r="M4960" s="460">
        <f t="shared" si="199"/>
        <v>0.05</v>
      </c>
      <c r="N4960" s="464">
        <f t="shared" si="200"/>
        <v>202013</v>
      </c>
    </row>
    <row r="4961" spans="7:14" ht="11.25" customHeight="1" x14ac:dyDescent="0.25">
      <c r="G4961" s="459"/>
      <c r="H4961" s="459">
        <v>4954</v>
      </c>
      <c r="I4961" s="444">
        <f t="shared" ca="1" si="198"/>
        <v>-407179731274503.81</v>
      </c>
      <c r="J4961" s="444">
        <f t="array" ref="J4961">IFERROR(INDEX('Retirement Calculator'!J:J,MATCH('Isaac 401k'!N4961,'Retirement Calculator'!A:A,0),0),0)</f>
        <v>0</v>
      </c>
      <c r="K4961" s="444">
        <f t="shared" ca="1" si="196"/>
        <v>-1696582213643.7659</v>
      </c>
      <c r="L4961" s="444">
        <f t="shared" ca="1" si="197"/>
        <v>-408876313488147.56</v>
      </c>
      <c r="M4961" s="460">
        <f t="shared" si="199"/>
        <v>0.05</v>
      </c>
      <c r="N4961" s="464">
        <f t="shared" si="200"/>
        <v>202041</v>
      </c>
    </row>
    <row r="4962" spans="7:14" ht="11.25" customHeight="1" x14ac:dyDescent="0.25">
      <c r="G4962" s="459"/>
      <c r="H4962" s="459">
        <v>4955</v>
      </c>
      <c r="I4962" s="444">
        <f t="shared" ca="1" si="198"/>
        <v>-408876313488147.56</v>
      </c>
      <c r="J4962" s="444">
        <f t="array" ref="J4962">IFERROR(INDEX('Retirement Calculator'!J:J,MATCH('Isaac 401k'!N4962,'Retirement Calculator'!A:A,0),0),0)</f>
        <v>0</v>
      </c>
      <c r="K4962" s="444">
        <f t="shared" ca="1" si="196"/>
        <v>-1703651306200.6147</v>
      </c>
      <c r="L4962" s="444">
        <f t="shared" ca="1" si="197"/>
        <v>-410579964794348.19</v>
      </c>
      <c r="M4962" s="460">
        <f t="shared" si="199"/>
        <v>0.05</v>
      </c>
      <c r="N4962" s="464">
        <f t="shared" si="200"/>
        <v>202072</v>
      </c>
    </row>
    <row r="4963" spans="7:14" ht="11.25" customHeight="1" x14ac:dyDescent="0.25">
      <c r="G4963" s="459"/>
      <c r="H4963" s="459">
        <v>4956</v>
      </c>
      <c r="I4963" s="444">
        <f t="shared" ca="1" si="198"/>
        <v>-410579964794348.19</v>
      </c>
      <c r="J4963" s="444">
        <f t="array" ref="J4963">IFERROR(INDEX('Retirement Calculator'!J:J,MATCH('Isaac 401k'!N4963,'Retirement Calculator'!A:A,0),0),0)</f>
        <v>0</v>
      </c>
      <c r="K4963" s="444">
        <f t="shared" ca="1" si="196"/>
        <v>-1710749853309.7842</v>
      </c>
      <c r="L4963" s="444">
        <f t="shared" ca="1" si="197"/>
        <v>-412290714647658</v>
      </c>
      <c r="M4963" s="460">
        <f t="shared" si="199"/>
        <v>0.05</v>
      </c>
      <c r="N4963" s="464">
        <f t="shared" si="200"/>
        <v>202102</v>
      </c>
    </row>
    <row r="4964" spans="7:14" ht="11.25" customHeight="1" x14ac:dyDescent="0.25">
      <c r="G4964" s="459"/>
      <c r="H4964" s="459">
        <v>4957</v>
      </c>
      <c r="I4964" s="444">
        <f t="shared" ca="1" si="198"/>
        <v>-412290714647658</v>
      </c>
      <c r="J4964" s="444">
        <f t="array" ref="J4964">IFERROR(INDEX('Retirement Calculator'!J:J,MATCH('Isaac 401k'!N4964,'Retirement Calculator'!A:A,0),0),0)</f>
        <v>0</v>
      </c>
      <c r="K4964" s="444">
        <f t="shared" ca="1" si="196"/>
        <v>-1717877977698.575</v>
      </c>
      <c r="L4964" s="444">
        <f t="shared" ca="1" si="197"/>
        <v>-414008592625356.56</v>
      </c>
      <c r="M4964" s="460">
        <f t="shared" si="199"/>
        <v>0.05</v>
      </c>
      <c r="N4964" s="464">
        <f t="shared" si="200"/>
        <v>202133</v>
      </c>
    </row>
    <row r="4965" spans="7:14" ht="11.25" customHeight="1" x14ac:dyDescent="0.25">
      <c r="G4965" s="459"/>
      <c r="H4965" s="459">
        <v>4958</v>
      </c>
      <c r="I4965" s="444">
        <f t="shared" ca="1" si="198"/>
        <v>-414008592625356.56</v>
      </c>
      <c r="J4965" s="444">
        <f t="array" ref="J4965">IFERROR(INDEX('Retirement Calculator'!J:J,MATCH('Isaac 401k'!N4965,'Retirement Calculator'!A:A,0),0),0)</f>
        <v>0</v>
      </c>
      <c r="K4965" s="444">
        <f t="shared" ca="1" si="196"/>
        <v>-1725035802605.6523</v>
      </c>
      <c r="L4965" s="444">
        <f t="shared" ca="1" si="197"/>
        <v>-415733628427962.19</v>
      </c>
      <c r="M4965" s="460">
        <f t="shared" si="199"/>
        <v>0.05</v>
      </c>
      <c r="N4965" s="464">
        <f t="shared" si="200"/>
        <v>202163</v>
      </c>
    </row>
    <row r="4966" spans="7:14" ht="11.25" customHeight="1" x14ac:dyDescent="0.25">
      <c r="G4966" s="459"/>
      <c r="H4966" s="459">
        <v>4959</v>
      </c>
      <c r="I4966" s="444">
        <f t="shared" ca="1" si="198"/>
        <v>-415733628427962.19</v>
      </c>
      <c r="J4966" s="444">
        <f t="array" ref="J4966">IFERROR(INDEX('Retirement Calculator'!J:J,MATCH('Isaac 401k'!N4966,'Retirement Calculator'!A:A,0),0),0)</f>
        <v>0</v>
      </c>
      <c r="K4966" s="444">
        <f t="shared" ca="1" si="196"/>
        <v>-1732223451783.1758</v>
      </c>
      <c r="L4966" s="444">
        <f t="shared" ca="1" si="197"/>
        <v>-417465851879745.38</v>
      </c>
      <c r="M4966" s="460">
        <f t="shared" si="199"/>
        <v>0.05</v>
      </c>
      <c r="N4966" s="464">
        <f t="shared" si="200"/>
        <v>202194</v>
      </c>
    </row>
    <row r="4967" spans="7:14" ht="11.25" customHeight="1" x14ac:dyDescent="0.25">
      <c r="G4967" s="459"/>
      <c r="H4967" s="459">
        <v>4960</v>
      </c>
      <c r="I4967" s="444">
        <f t="shared" ca="1" si="198"/>
        <v>-417465851879745.38</v>
      </c>
      <c r="J4967" s="444">
        <f t="array" ref="J4967">IFERROR(INDEX('Retirement Calculator'!J:J,MATCH('Isaac 401k'!N4967,'Retirement Calculator'!A:A,0),0),0)</f>
        <v>0</v>
      </c>
      <c r="K4967" s="444">
        <f t="shared" ca="1" si="196"/>
        <v>-1739441049498.939</v>
      </c>
      <c r="L4967" s="444">
        <f t="shared" ca="1" si="197"/>
        <v>-419205292929244.31</v>
      </c>
      <c r="M4967" s="460">
        <f t="shared" si="199"/>
        <v>0.05</v>
      </c>
      <c r="N4967" s="464">
        <f t="shared" si="200"/>
        <v>202225</v>
      </c>
    </row>
    <row r="4968" spans="7:14" ht="11.25" customHeight="1" x14ac:dyDescent="0.25">
      <c r="G4968" s="459"/>
      <c r="H4968" s="459">
        <v>4961</v>
      </c>
      <c r="I4968" s="444">
        <f t="shared" ca="1" si="198"/>
        <v>-419205292929244.31</v>
      </c>
      <c r="J4968" s="444">
        <f t="array" ref="J4968">IFERROR(INDEX('Retirement Calculator'!J:J,MATCH('Isaac 401k'!N4968,'Retirement Calculator'!A:A,0),0),0)</f>
        <v>0</v>
      </c>
      <c r="K4968" s="444">
        <f t="shared" ca="1" si="196"/>
        <v>-1746688720538.5181</v>
      </c>
      <c r="L4968" s="444">
        <f t="shared" ca="1" si="197"/>
        <v>-420951981649782.81</v>
      </c>
      <c r="M4968" s="460">
        <f t="shared" si="199"/>
        <v>0.05</v>
      </c>
      <c r="N4968" s="464">
        <f t="shared" si="200"/>
        <v>202255</v>
      </c>
    </row>
    <row r="4969" spans="7:14" ht="11.25" customHeight="1" x14ac:dyDescent="0.25">
      <c r="G4969" s="459"/>
      <c r="H4969" s="459">
        <v>4962</v>
      </c>
      <c r="I4969" s="444">
        <f t="shared" ca="1" si="198"/>
        <v>-420951981649782.81</v>
      </c>
      <c r="J4969" s="444">
        <f t="array" ref="J4969">IFERROR(INDEX('Retirement Calculator'!J:J,MATCH('Isaac 401k'!N4969,'Retirement Calculator'!A:A,0),0),0)</f>
        <v>0</v>
      </c>
      <c r="K4969" s="444">
        <f t="shared" ca="1" si="196"/>
        <v>-1753966590207.4285</v>
      </c>
      <c r="L4969" s="444">
        <f t="shared" ca="1" si="197"/>
        <v>-422705948239990.25</v>
      </c>
      <c r="M4969" s="460">
        <f t="shared" si="199"/>
        <v>0.05</v>
      </c>
      <c r="N4969" s="464">
        <f t="shared" si="200"/>
        <v>202286</v>
      </c>
    </row>
    <row r="4970" spans="7:14" ht="11.25" customHeight="1" x14ac:dyDescent="0.25">
      <c r="G4970" s="459"/>
      <c r="H4970" s="459">
        <v>4963</v>
      </c>
      <c r="I4970" s="444">
        <f t="shared" ca="1" si="198"/>
        <v>-422705948239990.25</v>
      </c>
      <c r="J4970" s="444">
        <f t="array" ref="J4970">IFERROR(INDEX('Retirement Calculator'!J:J,MATCH('Isaac 401k'!N4970,'Retirement Calculator'!A:A,0),0),0)</f>
        <v>0</v>
      </c>
      <c r="K4970" s="444">
        <f t="shared" ca="1" si="196"/>
        <v>-1761274784333.2927</v>
      </c>
      <c r="L4970" s="444">
        <f t="shared" ca="1" si="197"/>
        <v>-424467223024323.56</v>
      </c>
      <c r="M4970" s="460">
        <f t="shared" si="199"/>
        <v>0.05</v>
      </c>
      <c r="N4970" s="464">
        <f t="shared" si="200"/>
        <v>202316</v>
      </c>
    </row>
    <row r="4971" spans="7:14" ht="11.25" customHeight="1" x14ac:dyDescent="0.25">
      <c r="G4971" s="459"/>
      <c r="H4971" s="459">
        <v>4964</v>
      </c>
      <c r="I4971" s="444">
        <f t="shared" ca="1" si="198"/>
        <v>-424467223024323.56</v>
      </c>
      <c r="J4971" s="444">
        <f t="array" ref="J4971">IFERROR(INDEX('Retirement Calculator'!J:J,MATCH('Isaac 401k'!N4971,'Retirement Calculator'!A:A,0),0),0)</f>
        <v>0</v>
      </c>
      <c r="K4971" s="444">
        <f t="shared" ca="1" si="196"/>
        <v>-1768613429268.0149</v>
      </c>
      <c r="L4971" s="444">
        <f t="shared" ca="1" si="197"/>
        <v>-426235836453591.56</v>
      </c>
      <c r="M4971" s="460">
        <f t="shared" si="199"/>
        <v>0.05</v>
      </c>
      <c r="N4971" s="464">
        <f t="shared" si="200"/>
        <v>202347</v>
      </c>
    </row>
    <row r="4972" spans="7:14" ht="11.25" customHeight="1" x14ac:dyDescent="0.25">
      <c r="G4972" s="459"/>
      <c r="H4972" s="459">
        <v>4965</v>
      </c>
      <c r="I4972" s="444">
        <f t="shared" ca="1" si="198"/>
        <v>-426235836453591.56</v>
      </c>
      <c r="J4972" s="444">
        <f t="array" ref="J4972">IFERROR(INDEX('Retirement Calculator'!J:J,MATCH('Isaac 401k'!N4972,'Retirement Calculator'!A:A,0),0),0)</f>
        <v>0</v>
      </c>
      <c r="K4972" s="444">
        <f t="shared" ca="1" si="196"/>
        <v>-1775982651889.9648</v>
      </c>
      <c r="L4972" s="444">
        <f t="shared" ca="1" si="197"/>
        <v>-428011819105481.5</v>
      </c>
      <c r="M4972" s="460">
        <f t="shared" si="199"/>
        <v>0.05</v>
      </c>
      <c r="N4972" s="464">
        <f t="shared" si="200"/>
        <v>202378</v>
      </c>
    </row>
    <row r="4973" spans="7:14" ht="11.25" customHeight="1" x14ac:dyDescent="0.25">
      <c r="G4973" s="459"/>
      <c r="H4973" s="459">
        <v>4966</v>
      </c>
      <c r="I4973" s="444">
        <f t="shared" ca="1" si="198"/>
        <v>-428011819105481.5</v>
      </c>
      <c r="J4973" s="444">
        <f t="array" ref="J4973">IFERROR(INDEX('Retirement Calculator'!J:J,MATCH('Isaac 401k'!N4973,'Retirement Calculator'!A:A,0),0),0)</f>
        <v>0</v>
      </c>
      <c r="K4973" s="444">
        <f t="shared" ca="1" si="196"/>
        <v>-1783382579606.1729</v>
      </c>
      <c r="L4973" s="444">
        <f t="shared" ca="1" si="197"/>
        <v>-429795201685087.69</v>
      </c>
      <c r="M4973" s="460">
        <f t="shared" si="199"/>
        <v>0.05</v>
      </c>
      <c r="N4973" s="464">
        <f t="shared" si="200"/>
        <v>202406</v>
      </c>
    </row>
    <row r="4974" spans="7:14" ht="11.25" customHeight="1" x14ac:dyDescent="0.25">
      <c r="G4974" s="459"/>
      <c r="H4974" s="459">
        <v>4967</v>
      </c>
      <c r="I4974" s="444">
        <f t="shared" ca="1" si="198"/>
        <v>-429795201685087.69</v>
      </c>
      <c r="J4974" s="444">
        <f t="array" ref="J4974">IFERROR(INDEX('Retirement Calculator'!J:J,MATCH('Isaac 401k'!N4974,'Retirement Calculator'!A:A,0),0),0)</f>
        <v>0</v>
      </c>
      <c r="K4974" s="444">
        <f t="shared" ca="1" si="196"/>
        <v>-1790813340354.532</v>
      </c>
      <c r="L4974" s="444">
        <f t="shared" ca="1" si="197"/>
        <v>-431586015025442.25</v>
      </c>
      <c r="M4974" s="460">
        <f t="shared" si="199"/>
        <v>0.05</v>
      </c>
      <c r="N4974" s="464">
        <f t="shared" si="200"/>
        <v>202437</v>
      </c>
    </row>
    <row r="4975" spans="7:14" ht="11.25" customHeight="1" x14ac:dyDescent="0.25">
      <c r="G4975" s="459"/>
      <c r="H4975" s="459">
        <v>4968</v>
      </c>
      <c r="I4975" s="444">
        <f t="shared" ca="1" si="198"/>
        <v>-431586015025442.25</v>
      </c>
      <c r="J4975" s="444">
        <f t="array" ref="J4975">IFERROR(INDEX('Retirement Calculator'!J:J,MATCH('Isaac 401k'!N4975,'Retirement Calculator'!A:A,0),0),0)</f>
        <v>0</v>
      </c>
      <c r="K4975" s="444">
        <f t="shared" ca="1" si="196"/>
        <v>-1798275062606.0093</v>
      </c>
      <c r="L4975" s="444">
        <f t="shared" ca="1" si="197"/>
        <v>-433384290088048.25</v>
      </c>
      <c r="M4975" s="460">
        <f t="shared" si="199"/>
        <v>0.05</v>
      </c>
      <c r="N4975" s="464">
        <f t="shared" si="200"/>
        <v>202467</v>
      </c>
    </row>
    <row r="4976" spans="7:14" ht="11.25" customHeight="1" x14ac:dyDescent="0.25">
      <c r="G4976" s="459"/>
      <c r="H4976" s="459">
        <v>4969</v>
      </c>
      <c r="I4976" s="444">
        <f t="shared" ca="1" si="198"/>
        <v>-433384290088048.25</v>
      </c>
      <c r="J4976" s="444">
        <f t="array" ref="J4976">IFERROR(INDEX('Retirement Calculator'!J:J,MATCH('Isaac 401k'!N4976,'Retirement Calculator'!A:A,0),0),0)</f>
        <v>0</v>
      </c>
      <c r="K4976" s="444">
        <f t="shared" ca="1" si="196"/>
        <v>-1805767875366.8677</v>
      </c>
      <c r="L4976" s="444">
        <f t="shared" ca="1" si="197"/>
        <v>-435190057963415.13</v>
      </c>
      <c r="M4976" s="460">
        <f t="shared" si="199"/>
        <v>0.05</v>
      </c>
      <c r="N4976" s="464">
        <f t="shared" si="200"/>
        <v>202498</v>
      </c>
    </row>
    <row r="4977" spans="7:14" ht="11.25" customHeight="1" x14ac:dyDescent="0.25">
      <c r="G4977" s="459"/>
      <c r="H4977" s="459">
        <v>4970</v>
      </c>
      <c r="I4977" s="444">
        <f t="shared" ca="1" si="198"/>
        <v>-435190057963415.13</v>
      </c>
      <c r="J4977" s="444">
        <f t="array" ref="J4977">IFERROR(INDEX('Retirement Calculator'!J:J,MATCH('Isaac 401k'!N4977,'Retirement Calculator'!A:A,0),0),0)</f>
        <v>0</v>
      </c>
      <c r="K4977" s="444">
        <f t="shared" ca="1" si="196"/>
        <v>-1813291908180.8962</v>
      </c>
      <c r="L4977" s="444">
        <f t="shared" ca="1" si="197"/>
        <v>-437003349871596</v>
      </c>
      <c r="M4977" s="460">
        <f t="shared" si="199"/>
        <v>0.05</v>
      </c>
      <c r="N4977" s="464">
        <f t="shared" si="200"/>
        <v>202528</v>
      </c>
    </row>
    <row r="4978" spans="7:14" ht="11.25" customHeight="1" x14ac:dyDescent="0.25">
      <c r="G4978" s="459"/>
      <c r="H4978" s="459">
        <v>4971</v>
      </c>
      <c r="I4978" s="444">
        <f t="shared" ca="1" si="198"/>
        <v>-437003349871596</v>
      </c>
      <c r="J4978" s="444">
        <f t="array" ref="J4978">IFERROR(INDEX('Retirement Calculator'!J:J,MATCH('Isaac 401k'!N4978,'Retirement Calculator'!A:A,0),0),0)</f>
        <v>0</v>
      </c>
      <c r="K4978" s="444">
        <f t="shared" ca="1" si="196"/>
        <v>-1820847291131.6499</v>
      </c>
      <c r="L4978" s="444">
        <f t="shared" ca="1" si="197"/>
        <v>-438824197162727.63</v>
      </c>
      <c r="M4978" s="460">
        <f t="shared" si="199"/>
        <v>0.05</v>
      </c>
      <c r="N4978" s="464">
        <f t="shared" si="200"/>
        <v>202559</v>
      </c>
    </row>
    <row r="4979" spans="7:14" ht="11.25" customHeight="1" x14ac:dyDescent="0.25">
      <c r="G4979" s="459"/>
      <c r="H4979" s="459">
        <v>4972</v>
      </c>
      <c r="I4979" s="444">
        <f t="shared" ca="1" si="198"/>
        <v>-438824197162727.63</v>
      </c>
      <c r="J4979" s="444">
        <f t="array" ref="J4979">IFERROR(INDEX('Retirement Calculator'!J:J,MATCH('Isaac 401k'!N4979,'Retirement Calculator'!A:A,0),0),0)</f>
        <v>0</v>
      </c>
      <c r="K4979" s="444">
        <f t="shared" ca="1" si="196"/>
        <v>-1828434154844.6985</v>
      </c>
      <c r="L4979" s="444">
        <f t="shared" ca="1" si="197"/>
        <v>-440652631317572.31</v>
      </c>
      <c r="M4979" s="460">
        <f t="shared" si="199"/>
        <v>0.05</v>
      </c>
      <c r="N4979" s="464">
        <f t="shared" si="200"/>
        <v>202590</v>
      </c>
    </row>
    <row r="4980" spans="7:14" ht="11.25" customHeight="1" x14ac:dyDescent="0.25">
      <c r="G4980" s="459"/>
      <c r="H4980" s="459">
        <v>4973</v>
      </c>
      <c r="I4980" s="444">
        <f t="shared" ca="1" si="198"/>
        <v>-440652631317572.31</v>
      </c>
      <c r="J4980" s="444">
        <f t="array" ref="J4980">IFERROR(INDEX('Retirement Calculator'!J:J,MATCH('Isaac 401k'!N4980,'Retirement Calculator'!A:A,0),0),0)</f>
        <v>0</v>
      </c>
      <c r="K4980" s="444">
        <f t="shared" ca="1" si="196"/>
        <v>-1836052630489.8845</v>
      </c>
      <c r="L4980" s="444">
        <f t="shared" ca="1" si="197"/>
        <v>-442488683948062.19</v>
      </c>
      <c r="M4980" s="460">
        <f t="shared" si="199"/>
        <v>0.05</v>
      </c>
      <c r="N4980" s="464">
        <f t="shared" si="200"/>
        <v>202620</v>
      </c>
    </row>
    <row r="4981" spans="7:14" ht="11.25" customHeight="1" x14ac:dyDescent="0.25">
      <c r="G4981" s="459"/>
      <c r="H4981" s="459">
        <v>4974</v>
      </c>
      <c r="I4981" s="444">
        <f t="shared" ca="1" si="198"/>
        <v>-442488683948062.19</v>
      </c>
      <c r="J4981" s="444">
        <f t="array" ref="J4981">IFERROR(INDEX('Retirement Calculator'!J:J,MATCH('Isaac 401k'!N4981,'Retirement Calculator'!A:A,0),0),0)</f>
        <v>0</v>
      </c>
      <c r="K4981" s="444">
        <f t="shared" ca="1" si="196"/>
        <v>-1843702849783.5928</v>
      </c>
      <c r="L4981" s="444">
        <f t="shared" ca="1" si="197"/>
        <v>-444332386797845.75</v>
      </c>
      <c r="M4981" s="460">
        <f t="shared" si="199"/>
        <v>0.05</v>
      </c>
      <c r="N4981" s="464">
        <f t="shared" si="200"/>
        <v>202651</v>
      </c>
    </row>
    <row r="4982" spans="7:14" ht="11.25" customHeight="1" x14ac:dyDescent="0.25">
      <c r="G4982" s="459"/>
      <c r="H4982" s="459">
        <v>4975</v>
      </c>
      <c r="I4982" s="444">
        <f t="shared" ca="1" si="198"/>
        <v>-444332386797845.75</v>
      </c>
      <c r="J4982" s="444">
        <f t="array" ref="J4982">IFERROR(INDEX('Retirement Calculator'!J:J,MATCH('Isaac 401k'!N4982,'Retirement Calculator'!A:A,0),0),0)</f>
        <v>0</v>
      </c>
      <c r="K4982" s="444">
        <f t="shared" ca="1" si="196"/>
        <v>-1851384944991.0237</v>
      </c>
      <c r="L4982" s="444">
        <f t="shared" ca="1" si="197"/>
        <v>-446183771742836.75</v>
      </c>
      <c r="M4982" s="460">
        <f t="shared" si="199"/>
        <v>0.05</v>
      </c>
      <c r="N4982" s="464">
        <f t="shared" si="200"/>
        <v>202681</v>
      </c>
    </row>
    <row r="4983" spans="7:14" ht="11.25" customHeight="1" x14ac:dyDescent="0.25">
      <c r="G4983" s="459"/>
      <c r="H4983" s="459">
        <v>4976</v>
      </c>
      <c r="I4983" s="444">
        <f t="shared" ca="1" si="198"/>
        <v>-446183771742836.75</v>
      </c>
      <c r="J4983" s="444">
        <f t="array" ref="J4983">IFERROR(INDEX('Retirement Calculator'!J:J,MATCH('Isaac 401k'!N4983,'Retirement Calculator'!A:A,0),0),0)</f>
        <v>0</v>
      </c>
      <c r="K4983" s="444">
        <f t="shared" ca="1" si="196"/>
        <v>-1859099048928.4866</v>
      </c>
      <c r="L4983" s="444">
        <f t="shared" ca="1" si="197"/>
        <v>-448042870791765.25</v>
      </c>
      <c r="M4983" s="460">
        <f t="shared" si="199"/>
        <v>0.05</v>
      </c>
      <c r="N4983" s="464">
        <f t="shared" si="200"/>
        <v>202712</v>
      </c>
    </row>
    <row r="4984" spans="7:14" ht="11.25" customHeight="1" x14ac:dyDescent="0.25">
      <c r="G4984" s="459"/>
      <c r="H4984" s="459">
        <v>4977</v>
      </c>
      <c r="I4984" s="444">
        <f t="shared" ca="1" si="198"/>
        <v>-448042870791765.25</v>
      </c>
      <c r="J4984" s="444">
        <f t="array" ref="J4984">IFERROR(INDEX('Retirement Calculator'!J:J,MATCH('Isaac 401k'!N4984,'Retirement Calculator'!A:A,0),0),0)</f>
        <v>0</v>
      </c>
      <c r="K4984" s="444">
        <f t="shared" ca="1" si="196"/>
        <v>-1866845294965.6885</v>
      </c>
      <c r="L4984" s="444">
        <f t="shared" ca="1" si="197"/>
        <v>-449909716086730.94</v>
      </c>
      <c r="M4984" s="460">
        <f t="shared" si="199"/>
        <v>0.05</v>
      </c>
      <c r="N4984" s="464">
        <f t="shared" si="200"/>
        <v>202743</v>
      </c>
    </row>
    <row r="4985" spans="7:14" ht="11.25" customHeight="1" x14ac:dyDescent="0.25">
      <c r="G4985" s="459"/>
      <c r="H4985" s="459">
        <v>4978</v>
      </c>
      <c r="I4985" s="444">
        <f t="shared" ca="1" si="198"/>
        <v>-449909716086730.94</v>
      </c>
      <c r="J4985" s="444">
        <f t="array" ref="J4985">IFERROR(INDEX('Retirement Calculator'!J:J,MATCH('Isaac 401k'!N4985,'Retirement Calculator'!A:A,0),0),0)</f>
        <v>0</v>
      </c>
      <c r="K4985" s="444">
        <f t="shared" ca="1" si="196"/>
        <v>-1874623817028.0457</v>
      </c>
      <c r="L4985" s="444">
        <f t="shared" ca="1" si="197"/>
        <v>-451784339903759</v>
      </c>
      <c r="M4985" s="460">
        <f t="shared" si="199"/>
        <v>0.05</v>
      </c>
      <c r="N4985" s="464">
        <f t="shared" si="200"/>
        <v>202771</v>
      </c>
    </row>
    <row r="4986" spans="7:14" ht="11.25" customHeight="1" x14ac:dyDescent="0.25">
      <c r="G4986" s="459"/>
      <c r="H4986" s="459">
        <v>4979</v>
      </c>
      <c r="I4986" s="444">
        <f t="shared" ca="1" si="198"/>
        <v>-451784339903759</v>
      </c>
      <c r="J4986" s="444">
        <f t="array" ref="J4986">IFERROR(INDEX('Retirement Calculator'!J:J,MATCH('Isaac 401k'!N4986,'Retirement Calculator'!A:A,0),0),0)</f>
        <v>0</v>
      </c>
      <c r="K4986" s="444">
        <f t="shared" ca="1" si="196"/>
        <v>-1882434749598.9958</v>
      </c>
      <c r="L4986" s="444">
        <f t="shared" ca="1" si="197"/>
        <v>-453666774653358</v>
      </c>
      <c r="M4986" s="460">
        <f t="shared" si="199"/>
        <v>0.05</v>
      </c>
      <c r="N4986" s="464">
        <f t="shared" si="200"/>
        <v>202802</v>
      </c>
    </row>
    <row r="4987" spans="7:14" ht="11.25" customHeight="1" x14ac:dyDescent="0.25">
      <c r="G4987" s="459"/>
      <c r="H4987" s="459">
        <v>4980</v>
      </c>
      <c r="I4987" s="444">
        <f t="shared" ca="1" si="198"/>
        <v>-453666774653358</v>
      </c>
      <c r="J4987" s="444">
        <f t="array" ref="J4987">IFERROR(INDEX('Retirement Calculator'!J:J,MATCH('Isaac 401k'!N4987,'Retirement Calculator'!A:A,0),0),0)</f>
        <v>0</v>
      </c>
      <c r="K4987" s="444">
        <f t="shared" ca="1" si="196"/>
        <v>-1890278227722.325</v>
      </c>
      <c r="L4987" s="444">
        <f t="shared" ca="1" si="197"/>
        <v>-455557052881080.31</v>
      </c>
      <c r="M4987" s="460">
        <f t="shared" si="199"/>
        <v>0.05</v>
      </c>
      <c r="N4987" s="464">
        <f t="shared" si="200"/>
        <v>202832</v>
      </c>
    </row>
    <row r="4988" spans="7:14" ht="11.25" customHeight="1" x14ac:dyDescent="0.25">
      <c r="G4988" s="459"/>
      <c r="H4988" s="459">
        <v>4981</v>
      </c>
      <c r="I4988" s="444">
        <f t="shared" ca="1" si="198"/>
        <v>-455557052881080.31</v>
      </c>
      <c r="J4988" s="444">
        <f t="array" ref="J4988">IFERROR(INDEX('Retirement Calculator'!J:J,MATCH('Isaac 401k'!N4988,'Retirement Calculator'!A:A,0),0),0)</f>
        <v>0</v>
      </c>
      <c r="K4988" s="444">
        <f t="shared" ca="1" si="196"/>
        <v>-1898154387004.5012</v>
      </c>
      <c r="L4988" s="444">
        <f t="shared" ca="1" si="197"/>
        <v>-457455207268084.81</v>
      </c>
      <c r="M4988" s="460">
        <f t="shared" si="199"/>
        <v>0.05</v>
      </c>
      <c r="N4988" s="464">
        <f t="shared" si="200"/>
        <v>202863</v>
      </c>
    </row>
    <row r="4989" spans="7:14" ht="11.25" customHeight="1" x14ac:dyDescent="0.25">
      <c r="G4989" s="459"/>
      <c r="H4989" s="459">
        <v>4982</v>
      </c>
      <c r="I4989" s="444">
        <f t="shared" ca="1" si="198"/>
        <v>-457455207268084.81</v>
      </c>
      <c r="J4989" s="444">
        <f t="array" ref="J4989">IFERROR(INDEX('Retirement Calculator'!J:J,MATCH('Isaac 401k'!N4989,'Retirement Calculator'!A:A,0),0),0)</f>
        <v>0</v>
      </c>
      <c r="K4989" s="444">
        <f t="shared" ca="1" si="196"/>
        <v>-1906063363617.02</v>
      </c>
      <c r="L4989" s="444">
        <f t="shared" ca="1" si="197"/>
        <v>-459361270631701.81</v>
      </c>
      <c r="M4989" s="460">
        <f t="shared" si="199"/>
        <v>0.05</v>
      </c>
      <c r="N4989" s="464">
        <f t="shared" si="200"/>
        <v>202893</v>
      </c>
    </row>
    <row r="4990" spans="7:14" ht="11.25" customHeight="1" x14ac:dyDescent="0.25">
      <c r="G4990" s="459"/>
      <c r="H4990" s="459">
        <v>4983</v>
      </c>
      <c r="I4990" s="444">
        <f t="shared" ca="1" si="198"/>
        <v>-459361270631701.81</v>
      </c>
      <c r="J4990" s="444">
        <f t="array" ref="J4990">IFERROR(INDEX('Retirement Calculator'!J:J,MATCH('Isaac 401k'!N4990,'Retirement Calculator'!A:A,0),0),0)</f>
        <v>0</v>
      </c>
      <c r="K4990" s="444">
        <f t="shared" ca="1" si="196"/>
        <v>-1914005294298.7576</v>
      </c>
      <c r="L4990" s="444">
        <f t="shared" ca="1" si="197"/>
        <v>-461275275926000.56</v>
      </c>
      <c r="M4990" s="460">
        <f t="shared" si="199"/>
        <v>0.05</v>
      </c>
      <c r="N4990" s="464">
        <f t="shared" si="200"/>
        <v>202924</v>
      </c>
    </row>
    <row r="4991" spans="7:14" ht="11.25" customHeight="1" x14ac:dyDescent="0.25">
      <c r="G4991" s="459"/>
      <c r="H4991" s="459">
        <v>4984</v>
      </c>
      <c r="I4991" s="444">
        <f t="shared" ca="1" si="198"/>
        <v>-461275275926000.56</v>
      </c>
      <c r="J4991" s="444">
        <f t="array" ref="J4991">IFERROR(INDEX('Retirement Calculator'!J:J,MATCH('Isaac 401k'!N4991,'Retirement Calculator'!A:A,0),0),0)</f>
        <v>0</v>
      </c>
      <c r="K4991" s="444">
        <f t="shared" ca="1" si="196"/>
        <v>-1921980316358.3357</v>
      </c>
      <c r="L4991" s="444">
        <f t="shared" ca="1" si="197"/>
        <v>-463197256242358.88</v>
      </c>
      <c r="M4991" s="460">
        <f t="shared" si="199"/>
        <v>0.05</v>
      </c>
      <c r="N4991" s="464">
        <f t="shared" si="200"/>
        <v>202955</v>
      </c>
    </row>
    <row r="4992" spans="7:14" ht="11.25" customHeight="1" x14ac:dyDescent="0.25">
      <c r="G4992" s="459"/>
      <c r="H4992" s="459">
        <v>4985</v>
      </c>
      <c r="I4992" s="444">
        <f t="shared" ca="1" si="198"/>
        <v>-463197256242358.88</v>
      </c>
      <c r="J4992" s="444">
        <f t="array" ref="J4992">IFERROR(INDEX('Retirement Calculator'!J:J,MATCH('Isaac 401k'!N4992,'Retirement Calculator'!A:A,0),0),0)</f>
        <v>0</v>
      </c>
      <c r="K4992" s="444">
        <f t="shared" ca="1" si="196"/>
        <v>-1929988567676.4956</v>
      </c>
      <c r="L4992" s="444">
        <f t="shared" ca="1" si="197"/>
        <v>-465127244810035.38</v>
      </c>
      <c r="M4992" s="460">
        <f t="shared" si="199"/>
        <v>0.05</v>
      </c>
      <c r="N4992" s="464">
        <f t="shared" si="200"/>
        <v>202985</v>
      </c>
    </row>
    <row r="4993" spans="7:14" ht="11.25" customHeight="1" x14ac:dyDescent="0.25">
      <c r="G4993" s="459"/>
      <c r="H4993" s="459">
        <v>4986</v>
      </c>
      <c r="I4993" s="444">
        <f t="shared" ca="1" si="198"/>
        <v>-465127244810035.38</v>
      </c>
      <c r="J4993" s="444">
        <f t="array" ref="J4993">IFERROR(INDEX('Retirement Calculator'!J:J,MATCH('Isaac 401k'!N4993,'Retirement Calculator'!A:A,0),0),0)</f>
        <v>0</v>
      </c>
      <c r="K4993" s="444">
        <f t="shared" ca="1" si="196"/>
        <v>-1938030186708.4805</v>
      </c>
      <c r="L4993" s="444">
        <f t="shared" ca="1" si="197"/>
        <v>-467065274996743.88</v>
      </c>
      <c r="M4993" s="460">
        <f t="shared" si="199"/>
        <v>0.05</v>
      </c>
      <c r="N4993" s="464">
        <f t="shared" si="200"/>
        <v>203016</v>
      </c>
    </row>
    <row r="4994" spans="7:14" ht="11.25" customHeight="1" x14ac:dyDescent="0.25">
      <c r="G4994" s="459"/>
      <c r="H4994" s="459">
        <v>4987</v>
      </c>
      <c r="I4994" s="444">
        <f t="shared" ca="1" si="198"/>
        <v>-467065274996743.88</v>
      </c>
      <c r="J4994" s="444">
        <f t="array" ref="J4994">IFERROR(INDEX('Retirement Calculator'!J:J,MATCH('Isaac 401k'!N4994,'Retirement Calculator'!A:A,0),0),0)</f>
        <v>0</v>
      </c>
      <c r="K4994" s="444">
        <f t="shared" ca="1" si="196"/>
        <v>-1946105312486.4329</v>
      </c>
      <c r="L4994" s="444">
        <f t="shared" ca="1" si="197"/>
        <v>-469011380309230.31</v>
      </c>
      <c r="M4994" s="460">
        <f t="shared" si="199"/>
        <v>0.05</v>
      </c>
      <c r="N4994" s="464">
        <f t="shared" si="200"/>
        <v>203046</v>
      </c>
    </row>
    <row r="4995" spans="7:14" ht="11.25" customHeight="1" x14ac:dyDescent="0.25">
      <c r="G4995" s="459"/>
      <c r="H4995" s="459">
        <v>4988</v>
      </c>
      <c r="I4995" s="444">
        <f t="shared" ca="1" si="198"/>
        <v>-469011380309230.31</v>
      </c>
      <c r="J4995" s="444">
        <f t="array" ref="J4995">IFERROR(INDEX('Retirement Calculator'!J:J,MATCH('Isaac 401k'!N4995,'Retirement Calculator'!A:A,0),0),0)</f>
        <v>0</v>
      </c>
      <c r="K4995" s="444">
        <f t="shared" ca="1" si="196"/>
        <v>-1954214084621.793</v>
      </c>
      <c r="L4995" s="444">
        <f t="shared" ca="1" si="197"/>
        <v>-470965594393852.13</v>
      </c>
      <c r="M4995" s="460">
        <f t="shared" si="199"/>
        <v>0.05</v>
      </c>
      <c r="N4995" s="464">
        <f t="shared" si="200"/>
        <v>203077</v>
      </c>
    </row>
    <row r="4996" spans="7:14" ht="11.25" customHeight="1" x14ac:dyDescent="0.25">
      <c r="G4996" s="459"/>
      <c r="H4996" s="459">
        <v>4989</v>
      </c>
      <c r="I4996" s="444">
        <f t="shared" ca="1" si="198"/>
        <v>-470965594393852.13</v>
      </c>
      <c r="J4996" s="444">
        <f t="array" ref="J4996">IFERROR(INDEX('Retirement Calculator'!J:J,MATCH('Isaac 401k'!N4996,'Retirement Calculator'!A:A,0),0),0)</f>
        <v>0</v>
      </c>
      <c r="K4996" s="444">
        <f t="shared" ca="1" si="196"/>
        <v>-1962356643307.717</v>
      </c>
      <c r="L4996" s="444">
        <f t="shared" ca="1" si="197"/>
        <v>-472927951037159.81</v>
      </c>
      <c r="M4996" s="460">
        <f t="shared" si="199"/>
        <v>0.05</v>
      </c>
      <c r="N4996" s="464">
        <f t="shared" si="200"/>
        <v>203108</v>
      </c>
    </row>
    <row r="4997" spans="7:14" ht="11.25" customHeight="1" x14ac:dyDescent="0.25">
      <c r="G4997" s="459"/>
      <c r="H4997" s="459">
        <v>4990</v>
      </c>
      <c r="I4997" s="444">
        <f t="shared" ca="1" si="198"/>
        <v>-472927951037159.81</v>
      </c>
      <c r="J4997" s="444">
        <f t="array" ref="J4997">IFERROR(INDEX('Retirement Calculator'!J:J,MATCH('Isaac 401k'!N4997,'Retirement Calculator'!A:A,0),0),0)</f>
        <v>0</v>
      </c>
      <c r="K4997" s="444">
        <f t="shared" ca="1" si="196"/>
        <v>-1970533129321.4993</v>
      </c>
      <c r="L4997" s="444">
        <f t="shared" ca="1" si="197"/>
        <v>-474898484166481.31</v>
      </c>
      <c r="M4997" s="460">
        <f t="shared" si="199"/>
        <v>0.05</v>
      </c>
      <c r="N4997" s="464">
        <f t="shared" si="200"/>
        <v>203137</v>
      </c>
    </row>
    <row r="4998" spans="7:14" ht="11.25" customHeight="1" x14ac:dyDescent="0.25">
      <c r="G4998" s="459"/>
      <c r="H4998" s="459">
        <v>4991</v>
      </c>
      <c r="I4998" s="444">
        <f t="shared" ca="1" si="198"/>
        <v>-474898484166481.31</v>
      </c>
      <c r="J4998" s="444">
        <f t="array" ref="J4998">IFERROR(INDEX('Retirement Calculator'!J:J,MATCH('Isaac 401k'!N4998,'Retirement Calculator'!A:A,0),0),0)</f>
        <v>0</v>
      </c>
      <c r="K4998" s="444">
        <f t="shared" ca="1" si="196"/>
        <v>-1978743684027.0051</v>
      </c>
      <c r="L4998" s="444">
        <f t="shared" ca="1" si="197"/>
        <v>-476877227850508.31</v>
      </c>
      <c r="M4998" s="460">
        <f t="shared" si="199"/>
        <v>0.05</v>
      </c>
      <c r="N4998" s="464">
        <f t="shared" si="200"/>
        <v>203168</v>
      </c>
    </row>
    <row r="4999" spans="7:14" ht="11.25" customHeight="1" x14ac:dyDescent="0.25">
      <c r="G4999" s="459"/>
      <c r="H4999" s="459">
        <v>4992</v>
      </c>
      <c r="I4999" s="444">
        <f t="shared" ca="1" si="198"/>
        <v>-476877227850508.31</v>
      </c>
      <c r="J4999" s="444">
        <f t="array" ref="J4999">IFERROR(INDEX('Retirement Calculator'!J:J,MATCH('Isaac 401k'!N4999,'Retirement Calculator'!A:A,0),0),0)</f>
        <v>0</v>
      </c>
      <c r="K4999" s="444">
        <f t="shared" ca="1" si="196"/>
        <v>-1986988449377.1182</v>
      </c>
      <c r="L4999" s="444">
        <f t="shared" ca="1" si="197"/>
        <v>-478864216299885.44</v>
      </c>
      <c r="M4999" s="460">
        <f t="shared" si="199"/>
        <v>0.05</v>
      </c>
      <c r="N4999" s="464">
        <f t="shared" si="200"/>
        <v>203198</v>
      </c>
    </row>
    <row r="5000" spans="7:14" ht="11.25" customHeight="1" x14ac:dyDescent="0.25">
      <c r="G5000" s="459"/>
      <c r="H5000" s="459">
        <v>4993</v>
      </c>
      <c r="I5000" s="444">
        <f t="shared" ca="1" si="198"/>
        <v>-478864216299885.44</v>
      </c>
      <c r="J5000" s="444">
        <f t="array" ref="J5000">IFERROR(INDEX('Retirement Calculator'!J:J,MATCH('Isaac 401k'!N5000,'Retirement Calculator'!A:A,0),0),0)</f>
        <v>0</v>
      </c>
      <c r="K5000" s="444">
        <f t="shared" ca="1" si="196"/>
        <v>-1995267567916.1892</v>
      </c>
      <c r="L5000" s="444">
        <f t="shared" ca="1" si="197"/>
        <v>-480859483867801.63</v>
      </c>
      <c r="M5000" s="460">
        <f t="shared" si="199"/>
        <v>0.05</v>
      </c>
      <c r="N5000" s="464">
        <f t="shared" si="200"/>
        <v>203229</v>
      </c>
    </row>
    <row r="5001" spans="7:14" ht="11.25" customHeight="1" x14ac:dyDescent="0.25">
      <c r="G5001" s="459"/>
      <c r="H5001" s="459">
        <v>4994</v>
      </c>
      <c r="I5001" s="444">
        <f t="shared" ca="1" si="198"/>
        <v>-480859483867801.63</v>
      </c>
      <c r="J5001" s="444">
        <f t="array" ref="J5001">IFERROR(INDEX('Retirement Calculator'!J:J,MATCH('Isaac 401k'!N5001,'Retirement Calculator'!A:A,0),0),0)</f>
        <v>0</v>
      </c>
      <c r="K5001" s="444">
        <f t="shared" ca="1" si="196"/>
        <v>-2003581182782.5068</v>
      </c>
      <c r="L5001" s="444">
        <f t="shared" ca="1" si="197"/>
        <v>-482863065050584.13</v>
      </c>
      <c r="M5001" s="460">
        <f t="shared" si="199"/>
        <v>0.05</v>
      </c>
      <c r="N5001" s="464">
        <f t="shared" si="200"/>
        <v>203259</v>
      </c>
    </row>
    <row r="5002" spans="7:14" ht="11.25" customHeight="1" x14ac:dyDescent="0.25">
      <c r="G5002" s="459"/>
      <c r="H5002" s="459">
        <v>4995</v>
      </c>
      <c r="I5002" s="444">
        <f t="shared" ca="1" si="198"/>
        <v>-482863065050584.13</v>
      </c>
      <c r="J5002" s="444">
        <f t="array" ref="J5002">IFERROR(INDEX('Retirement Calculator'!J:J,MATCH('Isaac 401k'!N5002,'Retirement Calculator'!A:A,0),0),0)</f>
        <v>0</v>
      </c>
      <c r="K5002" s="444">
        <f t="shared" ca="1" si="196"/>
        <v>-2011929437710.7671</v>
      </c>
      <c r="L5002" s="444">
        <f t="shared" ca="1" si="197"/>
        <v>-484874994488294.88</v>
      </c>
      <c r="M5002" s="460">
        <f t="shared" si="199"/>
        <v>0.05</v>
      </c>
      <c r="N5002" s="464">
        <f t="shared" si="200"/>
        <v>203290</v>
      </c>
    </row>
    <row r="5003" spans="7:14" ht="11.25" customHeight="1" x14ac:dyDescent="0.25">
      <c r="G5003" s="459"/>
      <c r="H5003" s="459">
        <v>4996</v>
      </c>
      <c r="I5003" s="444">
        <f t="shared" ca="1" si="198"/>
        <v>-484874994488294.88</v>
      </c>
      <c r="J5003" s="444">
        <f t="array" ref="J5003">IFERROR(INDEX('Retirement Calculator'!J:J,MATCH('Isaac 401k'!N5003,'Retirement Calculator'!A:A,0),0),0)</f>
        <v>0</v>
      </c>
      <c r="K5003" s="444">
        <f t="shared" ca="1" si="196"/>
        <v>-2020312477034.5618</v>
      </c>
      <c r="L5003" s="444">
        <f t="shared" ca="1" si="197"/>
        <v>-486895306965329.44</v>
      </c>
      <c r="M5003" s="460">
        <f t="shared" si="199"/>
        <v>0.05</v>
      </c>
      <c r="N5003" s="464">
        <f t="shared" si="200"/>
        <v>203321</v>
      </c>
    </row>
    <row r="5004" spans="7:14" ht="11.25" customHeight="1" x14ac:dyDescent="0.25">
      <c r="G5004" s="459"/>
      <c r="H5004" s="459">
        <v>4997</v>
      </c>
      <c r="I5004" s="444">
        <f t="shared" ca="1" si="198"/>
        <v>-486895306965329.44</v>
      </c>
      <c r="J5004" s="444">
        <f t="array" ref="J5004">IFERROR(INDEX('Retirement Calculator'!J:J,MATCH('Isaac 401k'!N5004,'Retirement Calculator'!A:A,0),0),0)</f>
        <v>0</v>
      </c>
      <c r="K5004" s="444">
        <f t="shared" ca="1" si="196"/>
        <v>-2028730445688.8726</v>
      </c>
      <c r="L5004" s="444">
        <f t="shared" ca="1" si="197"/>
        <v>-488924037411018.31</v>
      </c>
      <c r="M5004" s="460">
        <f t="shared" si="199"/>
        <v>0.05</v>
      </c>
      <c r="N5004" s="464">
        <f t="shared" si="200"/>
        <v>203351</v>
      </c>
    </row>
    <row r="5005" spans="7:14" ht="11.25" customHeight="1" x14ac:dyDescent="0.25">
      <c r="G5005" s="459"/>
      <c r="H5005" s="459">
        <v>4998</v>
      </c>
      <c r="I5005" s="444">
        <f t="shared" ca="1" si="198"/>
        <v>-488924037411018.31</v>
      </c>
      <c r="J5005" s="444">
        <f t="array" ref="J5005">IFERROR(INDEX('Retirement Calculator'!J:J,MATCH('Isaac 401k'!N5005,'Retirement Calculator'!A:A,0),0),0)</f>
        <v>0</v>
      </c>
      <c r="K5005" s="444">
        <f t="shared" ca="1" si="196"/>
        <v>-2037183489212.5764</v>
      </c>
      <c r="L5005" s="444">
        <f t="shared" ca="1" si="197"/>
        <v>-490961220900230.88</v>
      </c>
      <c r="M5005" s="460">
        <f t="shared" si="199"/>
        <v>0.05</v>
      </c>
      <c r="N5005" s="464">
        <f t="shared" si="200"/>
        <v>203382</v>
      </c>
    </row>
    <row r="5006" spans="7:14" ht="11.25" customHeight="1" x14ac:dyDescent="0.25">
      <c r="G5006" s="459"/>
      <c r="H5006" s="459">
        <v>4999</v>
      </c>
      <c r="I5006" s="444">
        <f t="shared" ca="1" si="198"/>
        <v>-490961220900230.88</v>
      </c>
      <c r="J5006" s="444">
        <f t="array" ref="J5006">IFERROR(INDEX('Retirement Calculator'!J:J,MATCH('Isaac 401k'!N5006,'Retirement Calculator'!A:A,0),0),0)</f>
        <v>0</v>
      </c>
      <c r="K5006" s="444">
        <f t="shared" ca="1" si="196"/>
        <v>-2045671753750.9619</v>
      </c>
      <c r="L5006" s="444">
        <f t="shared" ca="1" si="197"/>
        <v>-493006892653981.81</v>
      </c>
      <c r="M5006" s="460">
        <f t="shared" si="199"/>
        <v>0.05</v>
      </c>
      <c r="N5006" s="464">
        <f t="shared" si="200"/>
        <v>203412</v>
      </c>
    </row>
    <row r="5007" spans="7:14" ht="11.25" customHeight="1" x14ac:dyDescent="0.25">
      <c r="G5007" s="459"/>
      <c r="H5007" s="459">
        <v>5000</v>
      </c>
      <c r="I5007" s="444">
        <f t="shared" ca="1" si="198"/>
        <v>-493006892653981.81</v>
      </c>
      <c r="J5007" s="444">
        <f t="array" ref="J5007">IFERROR(INDEX('Retirement Calculator'!J:J,MATCH('Isaac 401k'!N5007,'Retirement Calculator'!A:A,0),0),0)</f>
        <v>0</v>
      </c>
      <c r="K5007" s="444">
        <f t="shared" ca="1" si="196"/>
        <v>-2054195386058.2576</v>
      </c>
      <c r="L5007" s="444">
        <f t="shared" ca="1" si="197"/>
        <v>-495061088040040.06</v>
      </c>
      <c r="M5007" s="460">
        <f t="shared" si="199"/>
        <v>0.05</v>
      </c>
      <c r="N5007" s="464">
        <f t="shared" si="200"/>
        <v>203443</v>
      </c>
    </row>
    <row r="5008" spans="7:14" ht="11.25" customHeight="1" x14ac:dyDescent="0.25">
      <c r="G5008" s="459"/>
      <c r="H5008" s="459">
        <v>5001</v>
      </c>
      <c r="I5008" s="444">
        <f t="shared" ca="1" si="198"/>
        <v>-495061088040040.06</v>
      </c>
      <c r="J5008" s="444">
        <f t="array" ref="J5008">IFERROR(INDEX('Retirement Calculator'!J:J,MATCH('Isaac 401k'!N5008,'Retirement Calculator'!A:A,0),0),0)</f>
        <v>0</v>
      </c>
      <c r="K5008" s="444">
        <f t="shared" ca="1" si="196"/>
        <v>-2062754533500.167</v>
      </c>
      <c r="L5008" s="444">
        <f t="shared" ca="1" si="197"/>
        <v>-497123842573540.25</v>
      </c>
      <c r="M5008" s="460">
        <f t="shared" si="199"/>
        <v>0.05</v>
      </c>
      <c r="N5008" s="464">
        <f t="shared" si="200"/>
        <v>203474</v>
      </c>
    </row>
    <row r="5009" spans="7:14" ht="11.25" customHeight="1" x14ac:dyDescent="0.25">
      <c r="G5009" s="459"/>
      <c r="H5009" s="459">
        <v>5002</v>
      </c>
      <c r="I5009" s="444">
        <f t="shared" ca="1" si="198"/>
        <v>-497123842573540.25</v>
      </c>
      <c r="J5009" s="444">
        <f t="array" ref="J5009">IFERROR(INDEX('Retirement Calculator'!J:J,MATCH('Isaac 401k'!N5009,'Retirement Calculator'!A:A,0),0),0)</f>
        <v>0</v>
      </c>
      <c r="K5009" s="444">
        <f t="shared" ca="1" si="196"/>
        <v>-2071349344056.418</v>
      </c>
      <c r="L5009" s="444">
        <f t="shared" ca="1" si="197"/>
        <v>-499195191917596.69</v>
      </c>
      <c r="M5009" s="460">
        <f t="shared" si="199"/>
        <v>0.05</v>
      </c>
      <c r="N5009" s="464">
        <f t="shared" si="200"/>
        <v>203502</v>
      </c>
    </row>
    <row r="5010" spans="7:14" ht="11.25" customHeight="1" x14ac:dyDescent="0.25">
      <c r="G5010" s="459"/>
      <c r="H5010" s="459">
        <v>5003</v>
      </c>
      <c r="I5010" s="444">
        <f t="shared" ca="1" si="198"/>
        <v>-499195191917596.69</v>
      </c>
      <c r="J5010" s="444">
        <f t="array" ref="J5010">IFERROR(INDEX('Retirement Calculator'!J:J,MATCH('Isaac 401k'!N5010,'Retirement Calculator'!A:A,0),0),0)</f>
        <v>0</v>
      </c>
      <c r="K5010" s="444">
        <f t="shared" ca="1" si="196"/>
        <v>-2079979966323.3193</v>
      </c>
      <c r="L5010" s="444">
        <f t="shared" ca="1" si="197"/>
        <v>-501275171883920</v>
      </c>
      <c r="M5010" s="460">
        <f t="shared" si="199"/>
        <v>0.05</v>
      </c>
      <c r="N5010" s="464">
        <f t="shared" si="200"/>
        <v>203533</v>
      </c>
    </row>
    <row r="5011" spans="7:14" ht="11.25" customHeight="1" x14ac:dyDescent="0.25">
      <c r="G5011" s="459"/>
      <c r="H5011" s="459">
        <v>5004</v>
      </c>
      <c r="I5011" s="444">
        <f t="shared" ca="1" si="198"/>
        <v>-501275171883920</v>
      </c>
      <c r="J5011" s="444">
        <f t="array" ref="J5011">IFERROR(INDEX('Retirement Calculator'!J:J,MATCH('Isaac 401k'!N5011,'Retirement Calculator'!A:A,0),0),0)</f>
        <v>0</v>
      </c>
      <c r="K5011" s="444">
        <f t="shared" ca="1" si="196"/>
        <v>-2088646549516.333</v>
      </c>
      <c r="L5011" s="444">
        <f t="shared" ca="1" si="197"/>
        <v>-503363818433436.31</v>
      </c>
      <c r="M5011" s="460">
        <f t="shared" si="199"/>
        <v>0.05</v>
      </c>
      <c r="N5011" s="464">
        <f t="shared" si="200"/>
        <v>203563</v>
      </c>
    </row>
    <row r="5012" spans="7:14" ht="11.25" customHeight="1" x14ac:dyDescent="0.25">
      <c r="G5012" s="459"/>
      <c r="H5012" s="459">
        <v>5005</v>
      </c>
      <c r="I5012" s="444">
        <f t="shared" ca="1" si="198"/>
        <v>-503363818433436.31</v>
      </c>
      <c r="J5012" s="444">
        <f t="array" ref="J5012">IFERROR(INDEX('Retirement Calculator'!J:J,MATCH('Isaac 401k'!N5012,'Retirement Calculator'!A:A,0),0),0)</f>
        <v>0</v>
      </c>
      <c r="K5012" s="444">
        <f t="shared" ca="1" si="196"/>
        <v>-2097349243472.6514</v>
      </c>
      <c r="L5012" s="444">
        <f t="shared" ca="1" si="197"/>
        <v>-505461167676908.94</v>
      </c>
      <c r="M5012" s="460">
        <f t="shared" si="199"/>
        <v>0.05</v>
      </c>
      <c r="N5012" s="464">
        <f t="shared" si="200"/>
        <v>203594</v>
      </c>
    </row>
    <row r="5013" spans="7:14" ht="11.25" customHeight="1" x14ac:dyDescent="0.25">
      <c r="G5013" s="459"/>
      <c r="H5013" s="459">
        <v>5006</v>
      </c>
      <c r="I5013" s="444">
        <f t="shared" ca="1" si="198"/>
        <v>-505461167676908.94</v>
      </c>
      <c r="J5013" s="444">
        <f t="array" ref="J5013">IFERROR(INDEX('Retirement Calculator'!J:J,MATCH('Isaac 401k'!N5013,'Retirement Calculator'!A:A,0),0),0)</f>
        <v>0</v>
      </c>
      <c r="K5013" s="444">
        <f t="shared" ca="1" si="196"/>
        <v>-2106088198653.7869</v>
      </c>
      <c r="L5013" s="444">
        <f t="shared" ca="1" si="197"/>
        <v>-507567255875562.75</v>
      </c>
      <c r="M5013" s="460">
        <f t="shared" si="199"/>
        <v>0.05</v>
      </c>
      <c r="N5013" s="464">
        <f t="shared" si="200"/>
        <v>203624</v>
      </c>
    </row>
    <row r="5014" spans="7:14" ht="11.25" customHeight="1" x14ac:dyDescent="0.25">
      <c r="G5014" s="459"/>
      <c r="H5014" s="459">
        <v>5007</v>
      </c>
      <c r="I5014" s="444">
        <f t="shared" ca="1" si="198"/>
        <v>-507567255875562.75</v>
      </c>
      <c r="J5014" s="444">
        <f t="array" ref="J5014">IFERROR(INDEX('Retirement Calculator'!J:J,MATCH('Isaac 401k'!N5014,'Retirement Calculator'!A:A,0),0),0)</f>
        <v>0</v>
      </c>
      <c r="K5014" s="444">
        <f t="shared" ca="1" si="196"/>
        <v>-2114863566148.178</v>
      </c>
      <c r="L5014" s="444">
        <f t="shared" ca="1" si="197"/>
        <v>-509682119441710.94</v>
      </c>
      <c r="M5014" s="460">
        <f t="shared" si="199"/>
        <v>0.05</v>
      </c>
      <c r="N5014" s="464">
        <f t="shared" si="200"/>
        <v>203655</v>
      </c>
    </row>
    <row r="5015" spans="7:14" ht="11.25" customHeight="1" x14ac:dyDescent="0.25">
      <c r="G5015" s="459"/>
      <c r="H5015" s="459">
        <v>5008</v>
      </c>
      <c r="I5015" s="444">
        <f t="shared" ca="1" si="198"/>
        <v>-509682119441710.94</v>
      </c>
      <c r="J5015" s="444">
        <f t="array" ref="J5015">IFERROR(INDEX('Retirement Calculator'!J:J,MATCH('Isaac 401k'!N5015,'Retirement Calculator'!A:A,0),0),0)</f>
        <v>0</v>
      </c>
      <c r="K5015" s="444">
        <f t="shared" ca="1" si="196"/>
        <v>-2123675497673.7957</v>
      </c>
      <c r="L5015" s="444">
        <f t="shared" ca="1" si="197"/>
        <v>-511805794939384.75</v>
      </c>
      <c r="M5015" s="460">
        <f t="shared" si="199"/>
        <v>0.05</v>
      </c>
      <c r="N5015" s="464">
        <f t="shared" si="200"/>
        <v>203686</v>
      </c>
    </row>
    <row r="5016" spans="7:14" ht="11.25" customHeight="1" x14ac:dyDescent="0.25">
      <c r="G5016" s="459"/>
      <c r="H5016" s="459">
        <v>5009</v>
      </c>
      <c r="I5016" s="444">
        <f t="shared" ca="1" si="198"/>
        <v>-511805794939384.75</v>
      </c>
      <c r="J5016" s="444">
        <f t="array" ref="J5016">IFERROR(INDEX('Retirement Calculator'!J:J,MATCH('Isaac 401k'!N5016,'Retirement Calculator'!A:A,0),0),0)</f>
        <v>0</v>
      </c>
      <c r="K5016" s="444">
        <f t="shared" ca="1" si="196"/>
        <v>-2132524145580.77</v>
      </c>
      <c r="L5016" s="444">
        <f t="shared" ca="1" si="197"/>
        <v>-513938319084965.5</v>
      </c>
      <c r="M5016" s="460">
        <f t="shared" si="199"/>
        <v>0.05</v>
      </c>
      <c r="N5016" s="464">
        <f t="shared" si="200"/>
        <v>203716</v>
      </c>
    </row>
    <row r="5017" spans="7:14" ht="11.25" customHeight="1" x14ac:dyDescent="0.25">
      <c r="G5017" s="459"/>
      <c r="H5017" s="459">
        <v>5010</v>
      </c>
      <c r="I5017" s="444">
        <f t="shared" ca="1" si="198"/>
        <v>-513938319084965.5</v>
      </c>
      <c r="J5017" s="444">
        <f t="array" ref="J5017">IFERROR(INDEX('Retirement Calculator'!J:J,MATCH('Isaac 401k'!N5017,'Retirement Calculator'!A:A,0),0),0)</f>
        <v>0</v>
      </c>
      <c r="K5017" s="444">
        <f t="shared" ca="1" si="196"/>
        <v>-2141409662854.0229</v>
      </c>
      <c r="L5017" s="444">
        <f t="shared" ca="1" si="197"/>
        <v>-516079728747819.5</v>
      </c>
      <c r="M5017" s="460">
        <f t="shared" si="199"/>
        <v>0.05</v>
      </c>
      <c r="N5017" s="464">
        <f t="shared" si="200"/>
        <v>203747</v>
      </c>
    </row>
    <row r="5018" spans="7:14" ht="11.25" customHeight="1" x14ac:dyDescent="0.25">
      <c r="G5018" s="459"/>
      <c r="H5018" s="459">
        <v>5011</v>
      </c>
      <c r="I5018" s="444">
        <f t="shared" ca="1" si="198"/>
        <v>-516079728747819.5</v>
      </c>
      <c r="J5018" s="444">
        <f t="array" ref="J5018">IFERROR(INDEX('Retirement Calculator'!J:J,MATCH('Isaac 401k'!N5018,'Retirement Calculator'!A:A,0),0),0)</f>
        <v>0</v>
      </c>
      <c r="K5018" s="444">
        <f t="shared" ca="1" si="196"/>
        <v>-2150332203115.9148</v>
      </c>
      <c r="L5018" s="444">
        <f t="shared" ca="1" si="197"/>
        <v>-518230060950935.44</v>
      </c>
      <c r="M5018" s="460">
        <f t="shared" si="199"/>
        <v>0.05</v>
      </c>
      <c r="N5018" s="464">
        <f t="shared" si="200"/>
        <v>203777</v>
      </c>
    </row>
    <row r="5019" spans="7:14" ht="11.25" customHeight="1" x14ac:dyDescent="0.25">
      <c r="G5019" s="459"/>
      <c r="H5019" s="459">
        <v>5012</v>
      </c>
      <c r="I5019" s="444">
        <f t="shared" ca="1" si="198"/>
        <v>-518230060950935.44</v>
      </c>
      <c r="J5019" s="444">
        <f t="array" ref="J5019">IFERROR(INDEX('Retirement Calculator'!J:J,MATCH('Isaac 401k'!N5019,'Retirement Calculator'!A:A,0),0),0)</f>
        <v>0</v>
      </c>
      <c r="K5019" s="444">
        <f t="shared" ca="1" si="196"/>
        <v>-2159291920628.8977</v>
      </c>
      <c r="L5019" s="444">
        <f t="shared" ca="1" si="197"/>
        <v>-520389352871564.31</v>
      </c>
      <c r="M5019" s="460">
        <f t="shared" si="199"/>
        <v>0.05</v>
      </c>
      <c r="N5019" s="464">
        <f t="shared" si="200"/>
        <v>203808</v>
      </c>
    </row>
    <row r="5020" spans="7:14" ht="11.25" customHeight="1" x14ac:dyDescent="0.25">
      <c r="G5020" s="459"/>
      <c r="H5020" s="459">
        <v>5013</v>
      </c>
      <c r="I5020" s="444">
        <f t="shared" ca="1" si="198"/>
        <v>-520389352871564.31</v>
      </c>
      <c r="J5020" s="444">
        <f t="array" ref="J5020">IFERROR(INDEX('Retirement Calculator'!J:J,MATCH('Isaac 401k'!N5020,'Retirement Calculator'!A:A,0),0),0)</f>
        <v>0</v>
      </c>
      <c r="K5020" s="444">
        <f t="shared" ca="1" si="196"/>
        <v>-2168288970298.1843</v>
      </c>
      <c r="L5020" s="444">
        <f t="shared" ca="1" si="197"/>
        <v>-522557641841862.5</v>
      </c>
      <c r="M5020" s="460">
        <f t="shared" si="199"/>
        <v>0.05</v>
      </c>
      <c r="N5020" s="464">
        <f t="shared" si="200"/>
        <v>203839</v>
      </c>
    </row>
    <row r="5021" spans="7:14" ht="11.25" customHeight="1" x14ac:dyDescent="0.25">
      <c r="G5021" s="459"/>
      <c r="H5021" s="459">
        <v>5014</v>
      </c>
      <c r="I5021" s="444">
        <f t="shared" ca="1" si="198"/>
        <v>-522557641841862.5</v>
      </c>
      <c r="J5021" s="444">
        <f t="array" ref="J5021">IFERROR(INDEX('Retirement Calculator'!J:J,MATCH('Isaac 401k'!N5021,'Retirement Calculator'!A:A,0),0),0)</f>
        <v>0</v>
      </c>
      <c r="K5021" s="444">
        <f t="shared" ca="1" si="196"/>
        <v>-2177323507674.427</v>
      </c>
      <c r="L5021" s="444">
        <f t="shared" ca="1" si="197"/>
        <v>-524734965349536.94</v>
      </c>
      <c r="M5021" s="460">
        <f t="shared" si="199"/>
        <v>0.05</v>
      </c>
      <c r="N5021" s="464">
        <f t="shared" si="200"/>
        <v>203867</v>
      </c>
    </row>
    <row r="5022" spans="7:14" ht="11.25" customHeight="1" x14ac:dyDescent="0.25">
      <c r="G5022" s="459"/>
      <c r="H5022" s="459">
        <v>5015</v>
      </c>
      <c r="I5022" s="444">
        <f t="shared" ca="1" si="198"/>
        <v>-524734965349536.94</v>
      </c>
      <c r="J5022" s="444">
        <f t="array" ref="J5022">IFERROR(INDEX('Retirement Calculator'!J:J,MATCH('Isaac 401k'!N5022,'Retirement Calculator'!A:A,0),0),0)</f>
        <v>0</v>
      </c>
      <c r="K5022" s="444">
        <f t="shared" ca="1" si="196"/>
        <v>-2186395688956.4041</v>
      </c>
      <c r="L5022" s="444">
        <f t="shared" ca="1" si="197"/>
        <v>-526921361038493.31</v>
      </c>
      <c r="M5022" s="460">
        <f t="shared" si="199"/>
        <v>0.05</v>
      </c>
      <c r="N5022" s="464">
        <f t="shared" si="200"/>
        <v>203898</v>
      </c>
    </row>
    <row r="5023" spans="7:14" ht="11.25" customHeight="1" x14ac:dyDescent="0.25">
      <c r="G5023" s="459"/>
      <c r="H5023" s="459">
        <v>5016</v>
      </c>
      <c r="I5023" s="444">
        <f t="shared" ca="1" si="198"/>
        <v>-526921361038493.31</v>
      </c>
      <c r="J5023" s="444">
        <f t="array" ref="J5023">IFERROR(INDEX('Retirement Calculator'!J:J,MATCH('Isaac 401k'!N5023,'Retirement Calculator'!A:A,0),0),0)</f>
        <v>0</v>
      </c>
      <c r="K5023" s="444">
        <f t="shared" ca="1" si="196"/>
        <v>-2195505670993.7224</v>
      </c>
      <c r="L5023" s="444">
        <f t="shared" ca="1" si="197"/>
        <v>-529116866709487.06</v>
      </c>
      <c r="M5023" s="460">
        <f t="shared" si="199"/>
        <v>0.05</v>
      </c>
      <c r="N5023" s="464">
        <f t="shared" si="200"/>
        <v>203928</v>
      </c>
    </row>
    <row r="5024" spans="7:14" ht="11.25" customHeight="1" x14ac:dyDescent="0.25">
      <c r="G5024" s="459"/>
      <c r="H5024" s="459">
        <v>5017</v>
      </c>
      <c r="I5024" s="444">
        <f t="shared" ca="1" si="198"/>
        <v>-529116866709487.06</v>
      </c>
      <c r="J5024" s="444">
        <f t="array" ref="J5024">IFERROR(INDEX('Retirement Calculator'!J:J,MATCH('Isaac 401k'!N5024,'Retirement Calculator'!A:A,0),0),0)</f>
        <v>0</v>
      </c>
      <c r="K5024" s="444">
        <f t="shared" ca="1" si="196"/>
        <v>-2204653611289.5293</v>
      </c>
      <c r="L5024" s="444">
        <f t="shared" ca="1" si="197"/>
        <v>-531321520320776.56</v>
      </c>
      <c r="M5024" s="460">
        <f t="shared" si="199"/>
        <v>0.05</v>
      </c>
      <c r="N5024" s="464">
        <f t="shared" si="200"/>
        <v>203959</v>
      </c>
    </row>
    <row r="5025" spans="7:14" ht="11.25" customHeight="1" x14ac:dyDescent="0.25">
      <c r="G5025" s="459"/>
      <c r="H5025" s="459">
        <v>5018</v>
      </c>
      <c r="I5025" s="444">
        <f t="shared" ca="1" si="198"/>
        <v>-531321520320776.56</v>
      </c>
      <c r="J5025" s="444">
        <f t="array" ref="J5025">IFERROR(INDEX('Retirement Calculator'!J:J,MATCH('Isaac 401k'!N5025,'Retirement Calculator'!A:A,0),0),0)</f>
        <v>0</v>
      </c>
      <c r="K5025" s="444">
        <f t="shared" ca="1" si="196"/>
        <v>-2213839668003.2358</v>
      </c>
      <c r="L5025" s="444">
        <f t="shared" ca="1" si="197"/>
        <v>-533535359988779.81</v>
      </c>
      <c r="M5025" s="460">
        <f t="shared" si="199"/>
        <v>0.05</v>
      </c>
      <c r="N5025" s="464">
        <f t="shared" si="200"/>
        <v>203989</v>
      </c>
    </row>
    <row r="5026" spans="7:14" ht="11.25" customHeight="1" x14ac:dyDescent="0.25">
      <c r="G5026" s="459"/>
      <c r="H5026" s="459">
        <v>5019</v>
      </c>
      <c r="I5026" s="444">
        <f t="shared" ca="1" si="198"/>
        <v>-533535359988779.81</v>
      </c>
      <c r="J5026" s="444">
        <f t="array" ref="J5026">IFERROR(INDEX('Retirement Calculator'!J:J,MATCH('Isaac 401k'!N5026,'Retirement Calculator'!A:A,0),0),0)</f>
        <v>0</v>
      </c>
      <c r="K5026" s="444">
        <f t="shared" ca="1" si="196"/>
        <v>-2223063999953.2495</v>
      </c>
      <c r="L5026" s="444">
        <f t="shared" ca="1" si="197"/>
        <v>-535758423988733.06</v>
      </c>
      <c r="M5026" s="460">
        <f t="shared" si="199"/>
        <v>0.05</v>
      </c>
      <c r="N5026" s="464">
        <f t="shared" si="200"/>
        <v>204020</v>
      </c>
    </row>
    <row r="5027" spans="7:14" ht="11.25" customHeight="1" x14ac:dyDescent="0.25">
      <c r="G5027" s="459"/>
      <c r="H5027" s="459">
        <v>5020</v>
      </c>
      <c r="I5027" s="444">
        <f t="shared" ca="1" si="198"/>
        <v>-535758423988733.06</v>
      </c>
      <c r="J5027" s="444">
        <f t="array" ref="J5027">IFERROR(INDEX('Retirement Calculator'!J:J,MATCH('Isaac 401k'!N5027,'Retirement Calculator'!A:A,0),0),0)</f>
        <v>0</v>
      </c>
      <c r="K5027" s="444">
        <f t="shared" ca="1" si="196"/>
        <v>-2232326766619.7212</v>
      </c>
      <c r="L5027" s="444">
        <f t="shared" ca="1" si="197"/>
        <v>-537990750755352.81</v>
      </c>
      <c r="M5027" s="460">
        <f t="shared" si="199"/>
        <v>0.05</v>
      </c>
      <c r="N5027" s="464">
        <f t="shared" si="200"/>
        <v>204051</v>
      </c>
    </row>
    <row r="5028" spans="7:14" ht="11.25" customHeight="1" x14ac:dyDescent="0.25">
      <c r="G5028" s="459"/>
      <c r="H5028" s="459">
        <v>5021</v>
      </c>
      <c r="I5028" s="444">
        <f t="shared" ca="1" si="198"/>
        <v>-537990750755352.81</v>
      </c>
      <c r="J5028" s="444">
        <f t="array" ref="J5028">IFERROR(INDEX('Retirement Calculator'!J:J,MATCH('Isaac 401k'!N5028,'Retirement Calculator'!A:A,0),0),0)</f>
        <v>0</v>
      </c>
      <c r="K5028" s="444">
        <f t="shared" ca="1" si="196"/>
        <v>-2241628128147.3032</v>
      </c>
      <c r="L5028" s="444">
        <f t="shared" ca="1" si="197"/>
        <v>-540232378883500.13</v>
      </c>
      <c r="M5028" s="460">
        <f t="shared" si="199"/>
        <v>0.05</v>
      </c>
      <c r="N5028" s="464">
        <f t="shared" si="200"/>
        <v>204081</v>
      </c>
    </row>
    <row r="5029" spans="7:14" ht="11.25" customHeight="1" x14ac:dyDescent="0.25">
      <c r="G5029" s="459"/>
      <c r="H5029" s="459">
        <v>5022</v>
      </c>
      <c r="I5029" s="444">
        <f t="shared" ca="1" si="198"/>
        <v>-540232378883500.13</v>
      </c>
      <c r="J5029" s="444">
        <f t="array" ref="J5029">IFERROR(INDEX('Retirement Calculator'!J:J,MATCH('Isaac 401k'!N5029,'Retirement Calculator'!A:A,0),0),0)</f>
        <v>0</v>
      </c>
      <c r="K5029" s="444">
        <f t="shared" ca="1" si="196"/>
        <v>-2250968245347.917</v>
      </c>
      <c r="L5029" s="444">
        <f t="shared" ca="1" si="197"/>
        <v>-542483347128848.06</v>
      </c>
      <c r="M5029" s="460">
        <f t="shared" si="199"/>
        <v>0.05</v>
      </c>
      <c r="N5029" s="464">
        <f t="shared" si="200"/>
        <v>204112</v>
      </c>
    </row>
    <row r="5030" spans="7:14" ht="11.25" customHeight="1" x14ac:dyDescent="0.25">
      <c r="G5030" s="459"/>
      <c r="H5030" s="459">
        <v>5023</v>
      </c>
      <c r="I5030" s="444">
        <f t="shared" ca="1" si="198"/>
        <v>-542483347128848.06</v>
      </c>
      <c r="J5030" s="444">
        <f t="array" ref="J5030">IFERROR(INDEX('Retirement Calculator'!J:J,MATCH('Isaac 401k'!N5030,'Retirement Calculator'!A:A,0),0),0)</f>
        <v>0</v>
      </c>
      <c r="K5030" s="444">
        <f t="shared" ca="1" si="196"/>
        <v>-2260347279703.5337</v>
      </c>
      <c r="L5030" s="444">
        <f t="shared" ca="1" si="197"/>
        <v>-544743694408551.63</v>
      </c>
      <c r="M5030" s="460">
        <f t="shared" si="199"/>
        <v>0.05</v>
      </c>
      <c r="N5030" s="464">
        <f t="shared" si="200"/>
        <v>204142</v>
      </c>
    </row>
    <row r="5031" spans="7:14" ht="11.25" customHeight="1" x14ac:dyDescent="0.25">
      <c r="G5031" s="459"/>
      <c r="H5031" s="459">
        <v>5024</v>
      </c>
      <c r="I5031" s="444">
        <f t="shared" ca="1" si="198"/>
        <v>-544743694408551.63</v>
      </c>
      <c r="J5031" s="444">
        <f t="array" ref="J5031">IFERROR(INDEX('Retirement Calculator'!J:J,MATCH('Isaac 401k'!N5031,'Retirement Calculator'!A:A,0),0),0)</f>
        <v>0</v>
      </c>
      <c r="K5031" s="444">
        <f t="shared" ca="1" si="196"/>
        <v>-2269765393368.9648</v>
      </c>
      <c r="L5031" s="444">
        <f t="shared" ca="1" si="197"/>
        <v>-547013459801920.56</v>
      </c>
      <c r="M5031" s="460">
        <f t="shared" si="199"/>
        <v>0.05</v>
      </c>
      <c r="N5031" s="464">
        <f t="shared" si="200"/>
        <v>204173</v>
      </c>
    </row>
    <row r="5032" spans="7:14" ht="11.25" customHeight="1" x14ac:dyDescent="0.25">
      <c r="G5032" s="459"/>
      <c r="H5032" s="459">
        <v>5025</v>
      </c>
      <c r="I5032" s="444">
        <f t="shared" ca="1" si="198"/>
        <v>-547013459801920.56</v>
      </c>
      <c r="J5032" s="444">
        <f t="array" ref="J5032">IFERROR(INDEX('Retirement Calculator'!J:J,MATCH('Isaac 401k'!N5032,'Retirement Calculator'!A:A,0),0),0)</f>
        <v>0</v>
      </c>
      <c r="K5032" s="444">
        <f t="shared" ca="1" si="196"/>
        <v>-2279222749174.6689</v>
      </c>
      <c r="L5032" s="444">
        <f t="shared" ca="1" si="197"/>
        <v>-549292682551095.25</v>
      </c>
      <c r="M5032" s="460">
        <f t="shared" si="199"/>
        <v>0.05</v>
      </c>
      <c r="N5032" s="464">
        <f t="shared" si="200"/>
        <v>204204</v>
      </c>
    </row>
    <row r="5033" spans="7:14" ht="11.25" customHeight="1" x14ac:dyDescent="0.25">
      <c r="G5033" s="459"/>
      <c r="H5033" s="459">
        <v>5026</v>
      </c>
      <c r="I5033" s="444">
        <f t="shared" ca="1" si="198"/>
        <v>-549292682551095.25</v>
      </c>
      <c r="J5033" s="444">
        <f t="array" ref="J5033">IFERROR(INDEX('Retirement Calculator'!J:J,MATCH('Isaac 401k'!N5033,'Retirement Calculator'!A:A,0),0),0)</f>
        <v>0</v>
      </c>
      <c r="K5033" s="444">
        <f t="shared" ca="1" si="196"/>
        <v>-2288719510629.5635</v>
      </c>
      <c r="L5033" s="444">
        <f t="shared" ca="1" si="197"/>
        <v>-551581402061724.81</v>
      </c>
      <c r="M5033" s="460">
        <f t="shared" si="199"/>
        <v>0.05</v>
      </c>
      <c r="N5033" s="464">
        <f t="shared" si="200"/>
        <v>204232</v>
      </c>
    </row>
    <row r="5034" spans="7:14" ht="11.25" customHeight="1" x14ac:dyDescent="0.25">
      <c r="G5034" s="459"/>
      <c r="H5034" s="459">
        <v>5027</v>
      </c>
      <c r="I5034" s="444">
        <f t="shared" ca="1" si="198"/>
        <v>-551581402061724.81</v>
      </c>
      <c r="J5034" s="444">
        <f t="array" ref="J5034">IFERROR(INDEX('Retirement Calculator'!J:J,MATCH('Isaac 401k'!N5034,'Retirement Calculator'!A:A,0),0),0)</f>
        <v>0</v>
      </c>
      <c r="K5034" s="444">
        <f t="shared" ca="1" si="196"/>
        <v>-2298255841923.8535</v>
      </c>
      <c r="L5034" s="444">
        <f t="shared" ca="1" si="197"/>
        <v>-553879657903648.69</v>
      </c>
      <c r="M5034" s="460">
        <f t="shared" si="199"/>
        <v>0.05</v>
      </c>
      <c r="N5034" s="464">
        <f t="shared" si="200"/>
        <v>204263</v>
      </c>
    </row>
    <row r="5035" spans="7:14" ht="11.25" customHeight="1" x14ac:dyDescent="0.25">
      <c r="G5035" s="459"/>
      <c r="H5035" s="459">
        <v>5028</v>
      </c>
      <c r="I5035" s="444">
        <f t="shared" ca="1" si="198"/>
        <v>-553879657903648.69</v>
      </c>
      <c r="J5035" s="444">
        <f t="array" ref="J5035">IFERROR(INDEX('Retirement Calculator'!J:J,MATCH('Isaac 401k'!N5035,'Retirement Calculator'!A:A,0),0),0)</f>
        <v>0</v>
      </c>
      <c r="K5035" s="444">
        <f t="shared" ca="1" si="196"/>
        <v>-2307831907931.8696</v>
      </c>
      <c r="L5035" s="444">
        <f t="shared" ca="1" si="197"/>
        <v>-556187489811580.56</v>
      </c>
      <c r="M5035" s="460">
        <f t="shared" si="199"/>
        <v>0.05</v>
      </c>
      <c r="N5035" s="464">
        <f t="shared" si="200"/>
        <v>204293</v>
      </c>
    </row>
    <row r="5036" spans="7:14" ht="11.25" customHeight="1" x14ac:dyDescent="0.25">
      <c r="G5036" s="459"/>
      <c r="H5036" s="459">
        <v>5029</v>
      </c>
      <c r="I5036" s="444">
        <f t="shared" ca="1" si="198"/>
        <v>-556187489811580.56</v>
      </c>
      <c r="J5036" s="444">
        <f t="array" ref="J5036">IFERROR(INDEX('Retirement Calculator'!J:J,MATCH('Isaac 401k'!N5036,'Retirement Calculator'!A:A,0),0),0)</f>
        <v>0</v>
      </c>
      <c r="K5036" s="444">
        <f t="shared" ca="1" si="196"/>
        <v>-2317447874214.9194</v>
      </c>
      <c r="L5036" s="444">
        <f t="shared" ca="1" si="197"/>
        <v>-558504937685795.5</v>
      </c>
      <c r="M5036" s="460">
        <f t="shared" si="199"/>
        <v>0.05</v>
      </c>
      <c r="N5036" s="464">
        <f t="shared" si="200"/>
        <v>204324</v>
      </c>
    </row>
    <row r="5037" spans="7:14" ht="11.25" customHeight="1" x14ac:dyDescent="0.25">
      <c r="G5037" s="459"/>
      <c r="H5037" s="459">
        <v>5030</v>
      </c>
      <c r="I5037" s="444">
        <f t="shared" ca="1" si="198"/>
        <v>-558504937685795.5</v>
      </c>
      <c r="J5037" s="444">
        <f t="array" ref="J5037">IFERROR(INDEX('Retirement Calculator'!J:J,MATCH('Isaac 401k'!N5037,'Retirement Calculator'!A:A,0),0),0)</f>
        <v>0</v>
      </c>
      <c r="K5037" s="444">
        <f t="shared" ca="1" si="196"/>
        <v>-2327103907024.1479</v>
      </c>
      <c r="L5037" s="444">
        <f t="shared" ca="1" si="197"/>
        <v>-560832041592819.63</v>
      </c>
      <c r="M5037" s="460">
        <f t="shared" si="199"/>
        <v>0.05</v>
      </c>
      <c r="N5037" s="464">
        <f t="shared" si="200"/>
        <v>204354</v>
      </c>
    </row>
    <row r="5038" spans="7:14" ht="11.25" customHeight="1" x14ac:dyDescent="0.25">
      <c r="G5038" s="459"/>
      <c r="H5038" s="459">
        <v>5031</v>
      </c>
      <c r="I5038" s="444">
        <f t="shared" ca="1" si="198"/>
        <v>-560832041592819.63</v>
      </c>
      <c r="J5038" s="444">
        <f t="array" ref="J5038">IFERROR(INDEX('Retirement Calculator'!J:J,MATCH('Isaac 401k'!N5038,'Retirement Calculator'!A:A,0),0),0)</f>
        <v>0</v>
      </c>
      <c r="K5038" s="444">
        <f t="shared" ca="1" si="196"/>
        <v>-2336800173303.415</v>
      </c>
      <c r="L5038" s="444">
        <f t="shared" ca="1" si="197"/>
        <v>-563168841766123</v>
      </c>
      <c r="M5038" s="460">
        <f t="shared" si="199"/>
        <v>0.05</v>
      </c>
      <c r="N5038" s="464">
        <f t="shared" si="200"/>
        <v>204385</v>
      </c>
    </row>
    <row r="5039" spans="7:14" ht="11.25" customHeight="1" x14ac:dyDescent="0.25">
      <c r="G5039" s="459"/>
      <c r="H5039" s="459">
        <v>5032</v>
      </c>
      <c r="I5039" s="444">
        <f t="shared" ca="1" si="198"/>
        <v>-563168841766123</v>
      </c>
      <c r="J5039" s="444">
        <f t="array" ref="J5039">IFERROR(INDEX('Retirement Calculator'!J:J,MATCH('Isaac 401k'!N5039,'Retirement Calculator'!A:A,0),0),0)</f>
        <v>0</v>
      </c>
      <c r="K5039" s="444">
        <f t="shared" ca="1" si="196"/>
        <v>-2346536840692.1792</v>
      </c>
      <c r="L5039" s="444">
        <f t="shared" ca="1" si="197"/>
        <v>-565515378606815.13</v>
      </c>
      <c r="M5039" s="460">
        <f t="shared" si="199"/>
        <v>0.05</v>
      </c>
      <c r="N5039" s="464">
        <f t="shared" si="200"/>
        <v>204416</v>
      </c>
    </row>
    <row r="5040" spans="7:14" ht="11.25" customHeight="1" x14ac:dyDescent="0.25">
      <c r="G5040" s="459"/>
      <c r="H5040" s="459">
        <v>5033</v>
      </c>
      <c r="I5040" s="444">
        <f t="shared" ca="1" si="198"/>
        <v>-565515378606815.13</v>
      </c>
      <c r="J5040" s="444">
        <f t="array" ref="J5040">IFERROR(INDEX('Retirement Calculator'!J:J,MATCH('Isaac 401k'!N5040,'Retirement Calculator'!A:A,0),0),0)</f>
        <v>0</v>
      </c>
      <c r="K5040" s="444">
        <f t="shared" ca="1" si="196"/>
        <v>-2356314077528.3965</v>
      </c>
      <c r="L5040" s="444">
        <f t="shared" ca="1" si="197"/>
        <v>-567871692684343.5</v>
      </c>
      <c r="M5040" s="460">
        <f t="shared" si="199"/>
        <v>0.05</v>
      </c>
      <c r="N5040" s="464">
        <f t="shared" si="200"/>
        <v>204446</v>
      </c>
    </row>
    <row r="5041" spans="7:14" ht="11.25" customHeight="1" x14ac:dyDescent="0.25">
      <c r="G5041" s="459"/>
      <c r="H5041" s="459">
        <v>5034</v>
      </c>
      <c r="I5041" s="444">
        <f t="shared" ca="1" si="198"/>
        <v>-567871692684343.5</v>
      </c>
      <c r="J5041" s="444">
        <f t="array" ref="J5041">IFERROR(INDEX('Retirement Calculator'!J:J,MATCH('Isaac 401k'!N5041,'Retirement Calculator'!A:A,0),0),0)</f>
        <v>0</v>
      </c>
      <c r="K5041" s="444">
        <f t="shared" ca="1" si="196"/>
        <v>-2366132052851.4312</v>
      </c>
      <c r="L5041" s="444">
        <f t="shared" ca="1" si="197"/>
        <v>-570237824737194.88</v>
      </c>
      <c r="M5041" s="460">
        <f t="shared" si="199"/>
        <v>0.05</v>
      </c>
      <c r="N5041" s="464">
        <f t="shared" si="200"/>
        <v>204477</v>
      </c>
    </row>
    <row r="5042" spans="7:14" ht="11.25" customHeight="1" x14ac:dyDescent="0.25">
      <c r="G5042" s="459"/>
      <c r="H5042" s="459">
        <v>5035</v>
      </c>
      <c r="I5042" s="444">
        <f t="shared" ca="1" si="198"/>
        <v>-570237824737194.88</v>
      </c>
      <c r="J5042" s="444">
        <f t="array" ref="J5042">IFERROR(INDEX('Retirement Calculator'!J:J,MATCH('Isaac 401k'!N5042,'Retirement Calculator'!A:A,0),0),0)</f>
        <v>0</v>
      </c>
      <c r="K5042" s="444">
        <f t="shared" ca="1" si="196"/>
        <v>-2375990936404.9785</v>
      </c>
      <c r="L5042" s="444">
        <f t="shared" ca="1" si="197"/>
        <v>-572613815673599.88</v>
      </c>
      <c r="M5042" s="460">
        <f t="shared" si="199"/>
        <v>0.05</v>
      </c>
      <c r="N5042" s="464">
        <f t="shared" si="200"/>
        <v>204507</v>
      </c>
    </row>
    <row r="5043" spans="7:14" ht="11.25" customHeight="1" x14ac:dyDescent="0.25">
      <c r="G5043" s="459"/>
      <c r="H5043" s="459">
        <v>5036</v>
      </c>
      <c r="I5043" s="444">
        <f t="shared" ca="1" si="198"/>
        <v>-572613815673599.88</v>
      </c>
      <c r="J5043" s="444">
        <f t="array" ref="J5043">IFERROR(INDEX('Retirement Calculator'!J:J,MATCH('Isaac 401k'!N5043,'Retirement Calculator'!A:A,0),0),0)</f>
        <v>0</v>
      </c>
      <c r="K5043" s="444">
        <f t="shared" ca="1" si="196"/>
        <v>-2385890898639.9995</v>
      </c>
      <c r="L5043" s="444">
        <f t="shared" ca="1" si="197"/>
        <v>-574999706572239.88</v>
      </c>
      <c r="M5043" s="460">
        <f t="shared" si="199"/>
        <v>0.05</v>
      </c>
      <c r="N5043" s="464">
        <f t="shared" si="200"/>
        <v>204538</v>
      </c>
    </row>
    <row r="5044" spans="7:14" ht="11.25" customHeight="1" x14ac:dyDescent="0.25">
      <c r="G5044" s="459"/>
      <c r="H5044" s="459">
        <v>5037</v>
      </c>
      <c r="I5044" s="444">
        <f t="shared" ca="1" si="198"/>
        <v>-574999706572239.88</v>
      </c>
      <c r="J5044" s="444">
        <f t="array" ref="J5044">IFERROR(INDEX('Retirement Calculator'!J:J,MATCH('Isaac 401k'!N5044,'Retirement Calculator'!A:A,0),0),0)</f>
        <v>0</v>
      </c>
      <c r="K5044" s="444">
        <f t="shared" ca="1" si="196"/>
        <v>-2395832110717.666</v>
      </c>
      <c r="L5044" s="444">
        <f t="shared" ca="1" si="197"/>
        <v>-577395538682957.5</v>
      </c>
      <c r="M5044" s="460">
        <f t="shared" si="199"/>
        <v>0.05</v>
      </c>
      <c r="N5044" s="464">
        <f t="shared" si="200"/>
        <v>204569</v>
      </c>
    </row>
    <row r="5045" spans="7:14" ht="11.25" customHeight="1" x14ac:dyDescent="0.25">
      <c r="G5045" s="459"/>
      <c r="H5045" s="459">
        <v>5038</v>
      </c>
      <c r="I5045" s="444">
        <f t="shared" ca="1" si="198"/>
        <v>-577395538682957.5</v>
      </c>
      <c r="J5045" s="444">
        <f t="array" ref="J5045">IFERROR(INDEX('Retirement Calculator'!J:J,MATCH('Isaac 401k'!N5045,'Retirement Calculator'!A:A,0),0),0)</f>
        <v>0</v>
      </c>
      <c r="K5045" s="444">
        <f t="shared" ca="1" si="196"/>
        <v>-2405814744512.3228</v>
      </c>
      <c r="L5045" s="444">
        <f t="shared" ca="1" si="197"/>
        <v>-579801353427469.88</v>
      </c>
      <c r="M5045" s="460">
        <f t="shared" si="199"/>
        <v>0.05</v>
      </c>
      <c r="N5045" s="464">
        <f t="shared" si="200"/>
        <v>204598</v>
      </c>
    </row>
    <row r="5046" spans="7:14" ht="11.25" customHeight="1" x14ac:dyDescent="0.25">
      <c r="G5046" s="459"/>
      <c r="H5046" s="459">
        <v>5039</v>
      </c>
      <c r="I5046" s="444">
        <f t="shared" ca="1" si="198"/>
        <v>-579801353427469.88</v>
      </c>
      <c r="J5046" s="444">
        <f t="array" ref="J5046">IFERROR(INDEX('Retirement Calculator'!J:J,MATCH('Isaac 401k'!N5046,'Retirement Calculator'!A:A,0),0),0)</f>
        <v>0</v>
      </c>
      <c r="K5046" s="444">
        <f t="shared" ca="1" si="196"/>
        <v>-2415838972614.458</v>
      </c>
      <c r="L5046" s="444">
        <f t="shared" ca="1" si="197"/>
        <v>-582217192400084.38</v>
      </c>
      <c r="M5046" s="460">
        <f t="shared" si="199"/>
        <v>0.05</v>
      </c>
      <c r="N5046" s="464">
        <f t="shared" si="200"/>
        <v>204629</v>
      </c>
    </row>
    <row r="5047" spans="7:14" ht="11.25" customHeight="1" x14ac:dyDescent="0.25">
      <c r="G5047" s="459"/>
      <c r="H5047" s="459">
        <v>5040</v>
      </c>
      <c r="I5047" s="444">
        <f t="shared" ca="1" si="198"/>
        <v>-582217192400084.38</v>
      </c>
      <c r="J5047" s="444">
        <f t="array" ref="J5047">IFERROR(INDEX('Retirement Calculator'!J:J,MATCH('Isaac 401k'!N5047,'Retirement Calculator'!A:A,0),0),0)</f>
        <v>0</v>
      </c>
      <c r="K5047" s="444">
        <f t="shared" ca="1" si="196"/>
        <v>-2425904968333.6851</v>
      </c>
      <c r="L5047" s="444">
        <f t="shared" ca="1" si="197"/>
        <v>-584643097368418</v>
      </c>
      <c r="M5047" s="460">
        <f t="shared" si="199"/>
        <v>0.05</v>
      </c>
      <c r="N5047" s="464">
        <f t="shared" si="200"/>
        <v>204659</v>
      </c>
    </row>
    <row r="5048" spans="7:14" ht="11.25" customHeight="1" x14ac:dyDescent="0.25">
      <c r="G5048" s="459"/>
      <c r="H5048" s="459">
        <v>5041</v>
      </c>
      <c r="I5048" s="444">
        <f t="shared" ca="1" si="198"/>
        <v>-584643097368418</v>
      </c>
      <c r="J5048" s="444">
        <f t="array" ref="J5048">IFERROR(INDEX('Retirement Calculator'!J:J,MATCH('Isaac 401k'!N5048,'Retirement Calculator'!A:A,0),0),0)</f>
        <v>0</v>
      </c>
      <c r="K5048" s="444">
        <f t="shared" ca="1" si="196"/>
        <v>-2436012905701.7417</v>
      </c>
      <c r="L5048" s="444">
        <f t="shared" ca="1" si="197"/>
        <v>-587079110274119.75</v>
      </c>
      <c r="M5048" s="460">
        <f t="shared" si="199"/>
        <v>0.05</v>
      </c>
      <c r="N5048" s="464">
        <f t="shared" si="200"/>
        <v>204690</v>
      </c>
    </row>
    <row r="5049" spans="7:14" ht="11.25" customHeight="1" x14ac:dyDescent="0.25">
      <c r="G5049" s="459"/>
      <c r="H5049" s="459">
        <v>5042</v>
      </c>
      <c r="I5049" s="444">
        <f t="shared" ca="1" si="198"/>
        <v>-587079110274119.75</v>
      </c>
      <c r="J5049" s="444">
        <f t="array" ref="J5049">IFERROR(INDEX('Retirement Calculator'!J:J,MATCH('Isaac 401k'!N5049,'Retirement Calculator'!A:A,0),0),0)</f>
        <v>0</v>
      </c>
      <c r="K5049" s="444">
        <f t="shared" ca="1" si="196"/>
        <v>-2446162959475.499</v>
      </c>
      <c r="L5049" s="444">
        <f t="shared" ca="1" si="197"/>
        <v>-589525273233595.25</v>
      </c>
      <c r="M5049" s="460">
        <f t="shared" si="199"/>
        <v>0.05</v>
      </c>
      <c r="N5049" s="464">
        <f t="shared" si="200"/>
        <v>204720</v>
      </c>
    </row>
    <row r="5050" spans="7:14" ht="11.25" customHeight="1" x14ac:dyDescent="0.25">
      <c r="G5050" s="459"/>
      <c r="H5050" s="459">
        <v>5043</v>
      </c>
      <c r="I5050" s="444">
        <f t="shared" ca="1" si="198"/>
        <v>-589525273233595.25</v>
      </c>
      <c r="J5050" s="444">
        <f t="array" ref="J5050">IFERROR(INDEX('Retirement Calculator'!J:J,MATCH('Isaac 401k'!N5050,'Retirement Calculator'!A:A,0),0),0)</f>
        <v>0</v>
      </c>
      <c r="K5050" s="444">
        <f t="shared" ca="1" si="196"/>
        <v>-2456355305139.98</v>
      </c>
      <c r="L5050" s="444">
        <f t="shared" ca="1" si="197"/>
        <v>-591981628538735.25</v>
      </c>
      <c r="M5050" s="460">
        <f t="shared" si="199"/>
        <v>0.05</v>
      </c>
      <c r="N5050" s="464">
        <f t="shared" si="200"/>
        <v>204751</v>
      </c>
    </row>
    <row r="5051" spans="7:14" ht="11.25" customHeight="1" x14ac:dyDescent="0.25">
      <c r="G5051" s="459"/>
      <c r="H5051" s="459">
        <v>5044</v>
      </c>
      <c r="I5051" s="444">
        <f t="shared" ca="1" si="198"/>
        <v>-591981628538735.25</v>
      </c>
      <c r="J5051" s="444">
        <f t="array" ref="J5051">IFERROR(INDEX('Retirement Calculator'!J:J,MATCH('Isaac 401k'!N5051,'Retirement Calculator'!A:A,0),0),0)</f>
        <v>0</v>
      </c>
      <c r="K5051" s="444">
        <f t="shared" ca="1" si="196"/>
        <v>-2466590118911.397</v>
      </c>
      <c r="L5051" s="444">
        <f t="shared" ca="1" si="197"/>
        <v>-594448218657646.63</v>
      </c>
      <c r="M5051" s="460">
        <f t="shared" si="199"/>
        <v>0.05</v>
      </c>
      <c r="N5051" s="464">
        <f t="shared" si="200"/>
        <v>204782</v>
      </c>
    </row>
    <row r="5052" spans="7:14" ht="11.25" customHeight="1" x14ac:dyDescent="0.25">
      <c r="G5052" s="459"/>
      <c r="H5052" s="459">
        <v>5045</v>
      </c>
      <c r="I5052" s="444">
        <f t="shared" ca="1" si="198"/>
        <v>-594448218657646.63</v>
      </c>
      <c r="J5052" s="444">
        <f t="array" ref="J5052">IFERROR(INDEX('Retirement Calculator'!J:J,MATCH('Isaac 401k'!N5052,'Retirement Calculator'!A:A,0),0),0)</f>
        <v>0</v>
      </c>
      <c r="K5052" s="444">
        <f t="shared" ca="1" si="196"/>
        <v>-2476867577740.1943</v>
      </c>
      <c r="L5052" s="444">
        <f t="shared" ca="1" si="197"/>
        <v>-596925086235386.88</v>
      </c>
      <c r="M5052" s="460">
        <f t="shared" si="199"/>
        <v>0.05</v>
      </c>
      <c r="N5052" s="464">
        <f t="shared" si="200"/>
        <v>204812</v>
      </c>
    </row>
    <row r="5053" spans="7:14" ht="11.25" customHeight="1" x14ac:dyDescent="0.25">
      <c r="G5053" s="459"/>
      <c r="H5053" s="459">
        <v>5046</v>
      </c>
      <c r="I5053" s="444">
        <f t="shared" ca="1" si="198"/>
        <v>-596925086235386.88</v>
      </c>
      <c r="J5053" s="444">
        <f t="array" ref="J5053">IFERROR(INDEX('Retirement Calculator'!J:J,MATCH('Isaac 401k'!N5053,'Retirement Calculator'!A:A,0),0),0)</f>
        <v>0</v>
      </c>
      <c r="K5053" s="444">
        <f t="shared" ca="1" si="196"/>
        <v>-2487187859314.1118</v>
      </c>
      <c r="L5053" s="444">
        <f t="shared" ca="1" si="197"/>
        <v>-599412274094701</v>
      </c>
      <c r="M5053" s="460">
        <f t="shared" si="199"/>
        <v>0.05</v>
      </c>
      <c r="N5053" s="464">
        <f t="shared" si="200"/>
        <v>204843</v>
      </c>
    </row>
    <row r="5054" spans="7:14" ht="11.25" customHeight="1" x14ac:dyDescent="0.25">
      <c r="G5054" s="459"/>
      <c r="H5054" s="459">
        <v>5047</v>
      </c>
      <c r="I5054" s="444">
        <f t="shared" ca="1" si="198"/>
        <v>-599412274094701</v>
      </c>
      <c r="J5054" s="444">
        <f t="array" ref="J5054">IFERROR(INDEX('Retirement Calculator'!J:J,MATCH('Isaac 401k'!N5054,'Retirement Calculator'!A:A,0),0),0)</f>
        <v>0</v>
      </c>
      <c r="K5054" s="444">
        <f t="shared" ca="1" si="196"/>
        <v>-2497551142061.2539</v>
      </c>
      <c r="L5054" s="444">
        <f t="shared" ca="1" si="197"/>
        <v>-601909825236762.25</v>
      </c>
      <c r="M5054" s="460">
        <f t="shared" si="199"/>
        <v>0.05</v>
      </c>
      <c r="N5054" s="464">
        <f t="shared" si="200"/>
        <v>204873</v>
      </c>
    </row>
    <row r="5055" spans="7:14" ht="11.25" customHeight="1" x14ac:dyDescent="0.25">
      <c r="G5055" s="459"/>
      <c r="H5055" s="459">
        <v>5048</v>
      </c>
      <c r="I5055" s="444">
        <f t="shared" ca="1" si="198"/>
        <v>-601909825236762.25</v>
      </c>
      <c r="J5055" s="444">
        <f t="array" ref="J5055">IFERROR(INDEX('Retirement Calculator'!J:J,MATCH('Isaac 401k'!N5055,'Retirement Calculator'!A:A,0),0),0)</f>
        <v>0</v>
      </c>
      <c r="K5055" s="444">
        <f t="shared" ca="1" si="196"/>
        <v>-2507957605153.1758</v>
      </c>
      <c r="L5055" s="444">
        <f t="shared" ca="1" si="197"/>
        <v>-604417782841915.38</v>
      </c>
      <c r="M5055" s="460">
        <f t="shared" si="199"/>
        <v>0.05</v>
      </c>
      <c r="N5055" s="464">
        <f t="shared" si="200"/>
        <v>204904</v>
      </c>
    </row>
    <row r="5056" spans="7:14" ht="11.25" customHeight="1" x14ac:dyDescent="0.25">
      <c r="G5056" s="459"/>
      <c r="H5056" s="459">
        <v>5049</v>
      </c>
      <c r="I5056" s="444">
        <f t="shared" ca="1" si="198"/>
        <v>-604417782841915.38</v>
      </c>
      <c r="J5056" s="444">
        <f t="array" ref="J5056">IFERROR(INDEX('Retirement Calculator'!J:J,MATCH('Isaac 401k'!N5056,'Retirement Calculator'!A:A,0),0),0)</f>
        <v>0</v>
      </c>
      <c r="K5056" s="444">
        <f t="shared" ca="1" si="196"/>
        <v>-2518407428507.9805</v>
      </c>
      <c r="L5056" s="444">
        <f t="shared" ca="1" si="197"/>
        <v>-606936190270423.38</v>
      </c>
      <c r="M5056" s="460">
        <f t="shared" si="199"/>
        <v>0.05</v>
      </c>
      <c r="N5056" s="464">
        <f t="shared" si="200"/>
        <v>204935</v>
      </c>
    </row>
    <row r="5057" spans="7:14" ht="11.25" customHeight="1" x14ac:dyDescent="0.25">
      <c r="G5057" s="459"/>
      <c r="H5057" s="459">
        <v>5050</v>
      </c>
      <c r="I5057" s="444">
        <f t="shared" ca="1" si="198"/>
        <v>-606936190270423.38</v>
      </c>
      <c r="J5057" s="444">
        <f t="array" ref="J5057">IFERROR(INDEX('Retirement Calculator'!J:J,MATCH('Isaac 401k'!N5057,'Retirement Calculator'!A:A,0),0),0)</f>
        <v>0</v>
      </c>
      <c r="K5057" s="444">
        <f t="shared" ca="1" si="196"/>
        <v>-2528900792793.4307</v>
      </c>
      <c r="L5057" s="444">
        <f t="shared" ca="1" si="197"/>
        <v>-609465091063216.75</v>
      </c>
      <c r="M5057" s="460">
        <f t="shared" si="199"/>
        <v>0.05</v>
      </c>
      <c r="N5057" s="464">
        <f t="shared" si="200"/>
        <v>204963</v>
      </c>
    </row>
    <row r="5058" spans="7:14" ht="11.25" customHeight="1" x14ac:dyDescent="0.25">
      <c r="G5058" s="459"/>
      <c r="H5058" s="459">
        <v>5051</v>
      </c>
      <c r="I5058" s="444">
        <f t="shared" ca="1" si="198"/>
        <v>-609465091063216.75</v>
      </c>
      <c r="J5058" s="444">
        <f t="array" ref="J5058">IFERROR(INDEX('Retirement Calculator'!J:J,MATCH('Isaac 401k'!N5058,'Retirement Calculator'!A:A,0),0),0)</f>
        <v>0</v>
      </c>
      <c r="K5058" s="444">
        <f t="shared" ca="1" si="196"/>
        <v>-2539437879430.0698</v>
      </c>
      <c r="L5058" s="444">
        <f t="shared" ca="1" si="197"/>
        <v>-612004528942646.88</v>
      </c>
      <c r="M5058" s="460">
        <f t="shared" si="199"/>
        <v>0.05</v>
      </c>
      <c r="N5058" s="464">
        <f t="shared" si="200"/>
        <v>204994</v>
      </c>
    </row>
    <row r="5059" spans="7:14" ht="11.25" customHeight="1" x14ac:dyDescent="0.25">
      <c r="G5059" s="459"/>
      <c r="H5059" s="459">
        <v>5052</v>
      </c>
      <c r="I5059" s="444">
        <f t="shared" ca="1" si="198"/>
        <v>-612004528942646.88</v>
      </c>
      <c r="J5059" s="444">
        <f t="array" ref="J5059">IFERROR(INDEX('Retirement Calculator'!J:J,MATCH('Isaac 401k'!N5059,'Retirement Calculator'!A:A,0),0),0)</f>
        <v>0</v>
      </c>
      <c r="K5059" s="444">
        <f t="shared" ca="1" si="196"/>
        <v>-2550018870594.3618</v>
      </c>
      <c r="L5059" s="444">
        <f t="shared" ca="1" si="197"/>
        <v>-614554547813241.25</v>
      </c>
      <c r="M5059" s="460">
        <f t="shared" si="199"/>
        <v>0.05</v>
      </c>
      <c r="N5059" s="464">
        <f t="shared" si="200"/>
        <v>205024</v>
      </c>
    </row>
    <row r="5060" spans="7:14" ht="11.25" customHeight="1" x14ac:dyDescent="0.25">
      <c r="G5060" s="459"/>
      <c r="H5060" s="459">
        <v>5053</v>
      </c>
      <c r="I5060" s="444">
        <f t="shared" ca="1" si="198"/>
        <v>-614554547813241.25</v>
      </c>
      <c r="J5060" s="444">
        <f t="array" ref="J5060">IFERROR(INDEX('Retirement Calculator'!J:J,MATCH('Isaac 401k'!N5060,'Retirement Calculator'!A:A,0),0),0)</f>
        <v>0</v>
      </c>
      <c r="K5060" s="444">
        <f t="shared" ca="1" si="196"/>
        <v>-2560643949221.8384</v>
      </c>
      <c r="L5060" s="444">
        <f t="shared" ca="1" si="197"/>
        <v>-617115191762463.13</v>
      </c>
      <c r="M5060" s="460">
        <f t="shared" si="199"/>
        <v>0.05</v>
      </c>
      <c r="N5060" s="464">
        <f t="shared" si="200"/>
        <v>205055</v>
      </c>
    </row>
    <row r="5061" spans="7:14" ht="11.25" customHeight="1" x14ac:dyDescent="0.25">
      <c r="G5061" s="459"/>
      <c r="H5061" s="459">
        <v>5054</v>
      </c>
      <c r="I5061" s="444">
        <f t="shared" ca="1" si="198"/>
        <v>-617115191762463.13</v>
      </c>
      <c r="J5061" s="444">
        <f t="array" ref="J5061">IFERROR(INDEX('Retirement Calculator'!J:J,MATCH('Isaac 401k'!N5061,'Retirement Calculator'!A:A,0),0),0)</f>
        <v>0</v>
      </c>
      <c r="K5061" s="444">
        <f t="shared" ca="1" si="196"/>
        <v>-2571313299010.2632</v>
      </c>
      <c r="L5061" s="444">
        <f t="shared" ca="1" si="197"/>
        <v>-619686505061473.38</v>
      </c>
      <c r="M5061" s="460">
        <f t="shared" si="199"/>
        <v>0.05</v>
      </c>
      <c r="N5061" s="464">
        <f t="shared" si="200"/>
        <v>205085</v>
      </c>
    </row>
    <row r="5062" spans="7:14" ht="11.25" customHeight="1" x14ac:dyDescent="0.25">
      <c r="G5062" s="459"/>
      <c r="H5062" s="459">
        <v>5055</v>
      </c>
      <c r="I5062" s="444">
        <f t="shared" ca="1" si="198"/>
        <v>-619686505061473.38</v>
      </c>
      <c r="J5062" s="444">
        <f t="array" ref="J5062">IFERROR(INDEX('Retirement Calculator'!J:J,MATCH('Isaac 401k'!N5062,'Retirement Calculator'!A:A,0),0),0)</f>
        <v>0</v>
      </c>
      <c r="K5062" s="444">
        <f t="shared" ca="1" si="196"/>
        <v>-2582027104422.8057</v>
      </c>
      <c r="L5062" s="444">
        <f t="shared" ca="1" si="197"/>
        <v>-622268532165896.13</v>
      </c>
      <c r="M5062" s="460">
        <f t="shared" si="199"/>
        <v>0.05</v>
      </c>
      <c r="N5062" s="464">
        <f t="shared" si="200"/>
        <v>205116</v>
      </c>
    </row>
    <row r="5063" spans="7:14" ht="11.25" customHeight="1" x14ac:dyDescent="0.25">
      <c r="G5063" s="459"/>
      <c r="H5063" s="459">
        <v>5056</v>
      </c>
      <c r="I5063" s="444">
        <f t="shared" ca="1" si="198"/>
        <v>-622268532165896.13</v>
      </c>
      <c r="J5063" s="444">
        <f t="array" ref="J5063">IFERROR(INDEX('Retirement Calculator'!J:J,MATCH('Isaac 401k'!N5063,'Retirement Calculator'!A:A,0),0),0)</f>
        <v>0</v>
      </c>
      <c r="K5063" s="444">
        <f t="shared" ca="1" si="196"/>
        <v>-2592785550691.2339</v>
      </c>
      <c r="L5063" s="444">
        <f t="shared" ca="1" si="197"/>
        <v>-624861317716587.38</v>
      </c>
      <c r="M5063" s="460">
        <f t="shared" si="199"/>
        <v>0.05</v>
      </c>
      <c r="N5063" s="464">
        <f t="shared" si="200"/>
        <v>205147</v>
      </c>
    </row>
    <row r="5064" spans="7:14" ht="11.25" customHeight="1" x14ac:dyDescent="0.25">
      <c r="G5064" s="459"/>
      <c r="H5064" s="459">
        <v>5057</v>
      </c>
      <c r="I5064" s="444">
        <f t="shared" ca="1" si="198"/>
        <v>-624861317716587.38</v>
      </c>
      <c r="J5064" s="444">
        <f t="array" ref="J5064">IFERROR(INDEX('Retirement Calculator'!J:J,MATCH('Isaac 401k'!N5064,'Retirement Calculator'!A:A,0),0),0)</f>
        <v>0</v>
      </c>
      <c r="K5064" s="444">
        <f t="shared" ca="1" si="196"/>
        <v>-2603588823819.1143</v>
      </c>
      <c r="L5064" s="444">
        <f t="shared" ca="1" si="197"/>
        <v>-627464906540406.5</v>
      </c>
      <c r="M5064" s="460">
        <f t="shared" si="199"/>
        <v>0.05</v>
      </c>
      <c r="N5064" s="464">
        <f t="shared" si="200"/>
        <v>205177</v>
      </c>
    </row>
    <row r="5065" spans="7:14" ht="11.25" customHeight="1" x14ac:dyDescent="0.25">
      <c r="G5065" s="459"/>
      <c r="H5065" s="459">
        <v>5058</v>
      </c>
      <c r="I5065" s="444">
        <f t="shared" ca="1" si="198"/>
        <v>-627464906540406.5</v>
      </c>
      <c r="J5065" s="444">
        <f t="array" ref="J5065">IFERROR(INDEX('Retirement Calculator'!J:J,MATCH('Isaac 401k'!N5065,'Retirement Calculator'!A:A,0),0),0)</f>
        <v>0</v>
      </c>
      <c r="K5065" s="444">
        <f t="shared" ca="1" si="196"/>
        <v>-2614437110585.0269</v>
      </c>
      <c r="L5065" s="444">
        <f t="shared" ca="1" si="197"/>
        <v>-630079343650991.5</v>
      </c>
      <c r="M5065" s="460">
        <f t="shared" si="199"/>
        <v>0.05</v>
      </c>
      <c r="N5065" s="464">
        <f t="shared" si="200"/>
        <v>205208</v>
      </c>
    </row>
    <row r="5066" spans="7:14" ht="11.25" customHeight="1" x14ac:dyDescent="0.25">
      <c r="G5066" s="459"/>
      <c r="H5066" s="459">
        <v>5059</v>
      </c>
      <c r="I5066" s="444">
        <f t="shared" ca="1" si="198"/>
        <v>-630079343650991.5</v>
      </c>
      <c r="J5066" s="444">
        <f t="array" ref="J5066">IFERROR(INDEX('Retirement Calculator'!J:J,MATCH('Isaac 401k'!N5066,'Retirement Calculator'!A:A,0),0),0)</f>
        <v>0</v>
      </c>
      <c r="K5066" s="444">
        <f t="shared" ca="1" si="196"/>
        <v>-2625330598545.7979</v>
      </c>
      <c r="L5066" s="444">
        <f t="shared" ca="1" si="197"/>
        <v>-632704674249537.25</v>
      </c>
      <c r="M5066" s="460">
        <f t="shared" si="199"/>
        <v>0.05</v>
      </c>
      <c r="N5066" s="464">
        <f t="shared" si="200"/>
        <v>205238</v>
      </c>
    </row>
    <row r="5067" spans="7:14" ht="11.25" customHeight="1" x14ac:dyDescent="0.25">
      <c r="G5067" s="459"/>
      <c r="H5067" s="459">
        <v>5060</v>
      </c>
      <c r="I5067" s="444">
        <f t="shared" ca="1" si="198"/>
        <v>-632704674249537.25</v>
      </c>
      <c r="J5067" s="444">
        <f t="array" ref="J5067">IFERROR(INDEX('Retirement Calculator'!J:J,MATCH('Isaac 401k'!N5067,'Retirement Calculator'!A:A,0),0),0)</f>
        <v>0</v>
      </c>
      <c r="K5067" s="444">
        <f t="shared" ca="1" si="196"/>
        <v>-2636269476039.7383</v>
      </c>
      <c r="L5067" s="444">
        <f t="shared" ca="1" si="197"/>
        <v>-635340943725577</v>
      </c>
      <c r="M5067" s="460">
        <f t="shared" si="199"/>
        <v>0.05</v>
      </c>
      <c r="N5067" s="464">
        <f t="shared" si="200"/>
        <v>205269</v>
      </c>
    </row>
    <row r="5068" spans="7:14" ht="11.25" customHeight="1" x14ac:dyDescent="0.25">
      <c r="G5068" s="459"/>
      <c r="H5068" s="459">
        <v>5061</v>
      </c>
      <c r="I5068" s="444">
        <f t="shared" ca="1" si="198"/>
        <v>-635340943725577</v>
      </c>
      <c r="J5068" s="444">
        <f t="array" ref="J5068">IFERROR(INDEX('Retirement Calculator'!J:J,MATCH('Isaac 401k'!N5068,'Retirement Calculator'!A:A,0),0),0)</f>
        <v>0</v>
      </c>
      <c r="K5068" s="444">
        <f t="shared" ca="1" si="196"/>
        <v>-2647253932189.9043</v>
      </c>
      <c r="L5068" s="444">
        <f t="shared" ca="1" si="197"/>
        <v>-637988197657766.88</v>
      </c>
      <c r="M5068" s="460">
        <f t="shared" si="199"/>
        <v>0.05</v>
      </c>
      <c r="N5068" s="464">
        <f t="shared" si="200"/>
        <v>205300</v>
      </c>
    </row>
    <row r="5069" spans="7:14" ht="11.25" customHeight="1" x14ac:dyDescent="0.25">
      <c r="G5069" s="459"/>
      <c r="H5069" s="459">
        <v>5062</v>
      </c>
      <c r="I5069" s="444">
        <f t="shared" ca="1" si="198"/>
        <v>-637988197657766.88</v>
      </c>
      <c r="J5069" s="444">
        <f t="array" ref="J5069">IFERROR(INDEX('Retirement Calculator'!J:J,MATCH('Isaac 401k'!N5069,'Retirement Calculator'!A:A,0),0),0)</f>
        <v>0</v>
      </c>
      <c r="K5069" s="444">
        <f t="shared" ca="1" si="196"/>
        <v>-2658284156907.3618</v>
      </c>
      <c r="L5069" s="444">
        <f t="shared" ca="1" si="197"/>
        <v>-640646481814674.25</v>
      </c>
      <c r="M5069" s="460">
        <f t="shared" si="199"/>
        <v>0.05</v>
      </c>
      <c r="N5069" s="464">
        <f t="shared" si="200"/>
        <v>205328</v>
      </c>
    </row>
    <row r="5070" spans="7:14" ht="11.25" customHeight="1" x14ac:dyDescent="0.25">
      <c r="G5070" s="459"/>
      <c r="H5070" s="459">
        <v>5063</v>
      </c>
      <c r="I5070" s="444">
        <f t="shared" ca="1" si="198"/>
        <v>-640646481814674.25</v>
      </c>
      <c r="J5070" s="444">
        <f t="array" ref="J5070">IFERROR(INDEX('Retirement Calculator'!J:J,MATCH('Isaac 401k'!N5070,'Retirement Calculator'!A:A,0),0),0)</f>
        <v>0</v>
      </c>
      <c r="K5070" s="444">
        <f t="shared" ca="1" si="196"/>
        <v>-2669360340894.4761</v>
      </c>
      <c r="L5070" s="444">
        <f t="shared" ca="1" si="197"/>
        <v>-643315842155568.75</v>
      </c>
      <c r="M5070" s="460">
        <f t="shared" si="199"/>
        <v>0.05</v>
      </c>
      <c r="N5070" s="464">
        <f t="shared" si="200"/>
        <v>205359</v>
      </c>
    </row>
    <row r="5071" spans="7:14" ht="11.25" customHeight="1" x14ac:dyDescent="0.25">
      <c r="G5071" s="459"/>
      <c r="H5071" s="459">
        <v>5064</v>
      </c>
      <c r="I5071" s="444">
        <f t="shared" ca="1" si="198"/>
        <v>-643315842155568.75</v>
      </c>
      <c r="J5071" s="444">
        <f t="array" ref="J5071">IFERROR(INDEX('Retirement Calculator'!J:J,MATCH('Isaac 401k'!N5071,'Retirement Calculator'!A:A,0),0),0)</f>
        <v>0</v>
      </c>
      <c r="K5071" s="444">
        <f t="shared" ca="1" si="196"/>
        <v>-2680482675648.2031</v>
      </c>
      <c r="L5071" s="444">
        <f t="shared" ca="1" si="197"/>
        <v>-645996324831217</v>
      </c>
      <c r="M5071" s="460">
        <f t="shared" si="199"/>
        <v>0.05</v>
      </c>
      <c r="N5071" s="464">
        <f t="shared" si="200"/>
        <v>205389</v>
      </c>
    </row>
    <row r="5072" spans="7:14" ht="11.25" customHeight="1" x14ac:dyDescent="0.25">
      <c r="G5072" s="459"/>
      <c r="H5072" s="459">
        <v>5065</v>
      </c>
      <c r="I5072" s="444">
        <f t="shared" ca="1" si="198"/>
        <v>-645996324831217</v>
      </c>
      <c r="J5072" s="444">
        <f t="array" ref="J5072">IFERROR(INDEX('Retirement Calculator'!J:J,MATCH('Isaac 401k'!N5072,'Retirement Calculator'!A:A,0),0),0)</f>
        <v>0</v>
      </c>
      <c r="K5072" s="444">
        <f t="shared" ca="1" si="196"/>
        <v>-2691651353463.4043</v>
      </c>
      <c r="L5072" s="444">
        <f t="shared" ca="1" si="197"/>
        <v>-648687976184680.38</v>
      </c>
      <c r="M5072" s="460">
        <f t="shared" si="199"/>
        <v>0.05</v>
      </c>
      <c r="N5072" s="464">
        <f t="shared" si="200"/>
        <v>205420</v>
      </c>
    </row>
    <row r="5073" spans="7:14" ht="11.25" customHeight="1" x14ac:dyDescent="0.25">
      <c r="G5073" s="459"/>
      <c r="H5073" s="459">
        <v>5066</v>
      </c>
      <c r="I5073" s="444">
        <f t="shared" ca="1" si="198"/>
        <v>-648687976184680.38</v>
      </c>
      <c r="J5073" s="444">
        <f t="array" ref="J5073">IFERROR(INDEX('Retirement Calculator'!J:J,MATCH('Isaac 401k'!N5073,'Retirement Calculator'!A:A,0),0),0)</f>
        <v>0</v>
      </c>
      <c r="K5073" s="444">
        <f t="shared" ca="1" si="196"/>
        <v>-2702866567436.168</v>
      </c>
      <c r="L5073" s="444">
        <f t="shared" ca="1" si="197"/>
        <v>-651390842752116.5</v>
      </c>
      <c r="M5073" s="460">
        <f t="shared" si="199"/>
        <v>0.05</v>
      </c>
      <c r="N5073" s="464">
        <f t="shared" si="200"/>
        <v>205450</v>
      </c>
    </row>
    <row r="5074" spans="7:14" ht="11.25" customHeight="1" x14ac:dyDescent="0.25">
      <c r="G5074" s="459"/>
      <c r="H5074" s="459">
        <v>5067</v>
      </c>
      <c r="I5074" s="444">
        <f t="shared" ca="1" si="198"/>
        <v>-651390842752116.5</v>
      </c>
      <c r="J5074" s="444">
        <f t="array" ref="J5074">IFERROR(INDEX('Retirement Calculator'!J:J,MATCH('Isaac 401k'!N5074,'Retirement Calculator'!A:A,0),0),0)</f>
        <v>0</v>
      </c>
      <c r="K5074" s="444">
        <f t="shared" ca="1" si="196"/>
        <v>-2714128511467.1519</v>
      </c>
      <c r="L5074" s="444">
        <f t="shared" ca="1" si="197"/>
        <v>-654104971263583.63</v>
      </c>
      <c r="M5074" s="460">
        <f t="shared" si="199"/>
        <v>0.05</v>
      </c>
      <c r="N5074" s="464">
        <f t="shared" si="200"/>
        <v>205481</v>
      </c>
    </row>
    <row r="5075" spans="7:14" ht="11.25" customHeight="1" x14ac:dyDescent="0.25">
      <c r="G5075" s="459"/>
      <c r="H5075" s="459">
        <v>5068</v>
      </c>
      <c r="I5075" s="444">
        <f t="shared" ca="1" si="198"/>
        <v>-654104971263583.63</v>
      </c>
      <c r="J5075" s="444">
        <f t="array" ref="J5075">IFERROR(INDEX('Retirement Calculator'!J:J,MATCH('Isaac 401k'!N5075,'Retirement Calculator'!A:A,0),0),0)</f>
        <v>0</v>
      </c>
      <c r="K5075" s="444">
        <f t="shared" ca="1" si="196"/>
        <v>-2725437380264.9316</v>
      </c>
      <c r="L5075" s="444">
        <f t="shared" ca="1" si="197"/>
        <v>-656830408643848.5</v>
      </c>
      <c r="M5075" s="460">
        <f t="shared" si="199"/>
        <v>0.05</v>
      </c>
      <c r="N5075" s="464">
        <f t="shared" si="200"/>
        <v>205512</v>
      </c>
    </row>
    <row r="5076" spans="7:14" ht="11.25" customHeight="1" x14ac:dyDescent="0.25">
      <c r="G5076" s="459"/>
      <c r="H5076" s="459">
        <v>5069</v>
      </c>
      <c r="I5076" s="444">
        <f t="shared" ca="1" si="198"/>
        <v>-656830408643848.5</v>
      </c>
      <c r="J5076" s="444">
        <f t="array" ref="J5076">IFERROR(INDEX('Retirement Calculator'!J:J,MATCH('Isaac 401k'!N5076,'Retirement Calculator'!A:A,0),0),0)</f>
        <v>0</v>
      </c>
      <c r="K5076" s="444">
        <f t="shared" ca="1" si="196"/>
        <v>-2736793369349.3687</v>
      </c>
      <c r="L5076" s="444">
        <f t="shared" ca="1" si="197"/>
        <v>-659567202013197.88</v>
      </c>
      <c r="M5076" s="460">
        <f t="shared" si="199"/>
        <v>0.05</v>
      </c>
      <c r="N5076" s="464">
        <f t="shared" si="200"/>
        <v>205542</v>
      </c>
    </row>
    <row r="5077" spans="7:14" ht="11.25" customHeight="1" x14ac:dyDescent="0.25">
      <c r="G5077" s="459"/>
      <c r="H5077" s="459">
        <v>5070</v>
      </c>
      <c r="I5077" s="444">
        <f t="shared" ca="1" si="198"/>
        <v>-659567202013197.88</v>
      </c>
      <c r="J5077" s="444">
        <f t="array" ref="J5077">IFERROR(INDEX('Retirement Calculator'!J:J,MATCH('Isaac 401k'!N5077,'Retirement Calculator'!A:A,0),0),0)</f>
        <v>0</v>
      </c>
      <c r="K5077" s="444">
        <f t="shared" ca="1" si="196"/>
        <v>-2748196675054.9912</v>
      </c>
      <c r="L5077" s="444">
        <f t="shared" ca="1" si="197"/>
        <v>-662315398688252.88</v>
      </c>
      <c r="M5077" s="460">
        <f t="shared" si="199"/>
        <v>0.05</v>
      </c>
      <c r="N5077" s="464">
        <f t="shared" si="200"/>
        <v>205573</v>
      </c>
    </row>
    <row r="5078" spans="7:14" ht="11.25" customHeight="1" x14ac:dyDescent="0.25">
      <c r="G5078" s="459"/>
      <c r="H5078" s="459">
        <v>5071</v>
      </c>
      <c r="I5078" s="444">
        <f t="shared" ca="1" si="198"/>
        <v>-662315398688252.88</v>
      </c>
      <c r="J5078" s="444">
        <f t="array" ref="J5078">IFERROR(INDEX('Retirement Calculator'!J:J,MATCH('Isaac 401k'!N5078,'Retirement Calculator'!A:A,0),0),0)</f>
        <v>0</v>
      </c>
      <c r="K5078" s="444">
        <f t="shared" ca="1" si="196"/>
        <v>-2759647494534.3867</v>
      </c>
      <c r="L5078" s="444">
        <f t="shared" ca="1" si="197"/>
        <v>-665075046182787.25</v>
      </c>
      <c r="M5078" s="460">
        <f t="shared" si="199"/>
        <v>0.05</v>
      </c>
      <c r="N5078" s="464">
        <f t="shared" si="200"/>
        <v>205603</v>
      </c>
    </row>
    <row r="5079" spans="7:14" ht="11.25" customHeight="1" x14ac:dyDescent="0.25">
      <c r="G5079" s="459"/>
      <c r="H5079" s="459">
        <v>5072</v>
      </c>
      <c r="I5079" s="444">
        <f t="shared" ca="1" si="198"/>
        <v>-665075046182787.25</v>
      </c>
      <c r="J5079" s="444">
        <f t="array" ref="J5079">IFERROR(INDEX('Retirement Calculator'!J:J,MATCH('Isaac 401k'!N5079,'Retirement Calculator'!A:A,0),0),0)</f>
        <v>0</v>
      </c>
      <c r="K5079" s="444">
        <f t="shared" ca="1" si="196"/>
        <v>-2771146025761.6133</v>
      </c>
      <c r="L5079" s="444">
        <f t="shared" ca="1" si="197"/>
        <v>-667846192208548.88</v>
      </c>
      <c r="M5079" s="460">
        <f t="shared" si="199"/>
        <v>0.05</v>
      </c>
      <c r="N5079" s="464">
        <f t="shared" si="200"/>
        <v>205634</v>
      </c>
    </row>
    <row r="5080" spans="7:14" ht="11.25" customHeight="1" x14ac:dyDescent="0.25">
      <c r="G5080" s="459"/>
      <c r="H5080" s="459">
        <v>5073</v>
      </c>
      <c r="I5080" s="444">
        <f t="shared" ca="1" si="198"/>
        <v>-667846192208548.88</v>
      </c>
      <c r="J5080" s="444">
        <f t="array" ref="J5080">IFERROR(INDEX('Retirement Calculator'!J:J,MATCH('Isaac 401k'!N5080,'Retirement Calculator'!A:A,0),0),0)</f>
        <v>0</v>
      </c>
      <c r="K5080" s="444">
        <f t="shared" ca="1" si="196"/>
        <v>-2782692467535.6201</v>
      </c>
      <c r="L5080" s="444">
        <f t="shared" ca="1" si="197"/>
        <v>-670628884676084.5</v>
      </c>
      <c r="M5080" s="460">
        <f t="shared" si="199"/>
        <v>0.05</v>
      </c>
      <c r="N5080" s="464">
        <f t="shared" si="200"/>
        <v>205665</v>
      </c>
    </row>
    <row r="5081" spans="7:14" ht="11.25" customHeight="1" x14ac:dyDescent="0.25">
      <c r="G5081" s="459"/>
      <c r="H5081" s="459">
        <v>5074</v>
      </c>
      <c r="I5081" s="444">
        <f t="shared" ca="1" si="198"/>
        <v>-670628884676084.5</v>
      </c>
      <c r="J5081" s="444">
        <f t="array" ref="J5081">IFERROR(INDEX('Retirement Calculator'!J:J,MATCH('Isaac 401k'!N5081,'Retirement Calculator'!A:A,0),0),0)</f>
        <v>0</v>
      </c>
      <c r="K5081" s="444">
        <f t="shared" ca="1" si="196"/>
        <v>-2794287019483.6855</v>
      </c>
      <c r="L5081" s="444">
        <f t="shared" ca="1" si="197"/>
        <v>-673423171695568.13</v>
      </c>
      <c r="M5081" s="460">
        <f t="shared" si="199"/>
        <v>0.05</v>
      </c>
      <c r="N5081" s="464">
        <f t="shared" si="200"/>
        <v>205693</v>
      </c>
    </row>
    <row r="5082" spans="7:14" ht="11.25" customHeight="1" x14ac:dyDescent="0.25">
      <c r="G5082" s="459"/>
      <c r="H5082" s="459">
        <v>5075</v>
      </c>
      <c r="I5082" s="444">
        <f t="shared" ca="1" si="198"/>
        <v>-673423171695568.13</v>
      </c>
      <c r="J5082" s="444">
        <f t="array" ref="J5082">IFERROR(INDEX('Retirement Calculator'!J:J,MATCH('Isaac 401k'!N5082,'Retirement Calculator'!A:A,0),0),0)</f>
        <v>0</v>
      </c>
      <c r="K5082" s="444">
        <f t="shared" ca="1" si="196"/>
        <v>-2805929882064.8672</v>
      </c>
      <c r="L5082" s="444">
        <f t="shared" ca="1" si="197"/>
        <v>-676229101577633</v>
      </c>
      <c r="M5082" s="460">
        <f t="shared" si="199"/>
        <v>0.05</v>
      </c>
      <c r="N5082" s="464">
        <f t="shared" si="200"/>
        <v>205724</v>
      </c>
    </row>
    <row r="5083" spans="7:14" ht="11.25" customHeight="1" x14ac:dyDescent="0.25">
      <c r="G5083" s="459"/>
      <c r="H5083" s="459">
        <v>5076</v>
      </c>
      <c r="I5083" s="444">
        <f t="shared" ca="1" si="198"/>
        <v>-676229101577633</v>
      </c>
      <c r="J5083" s="444">
        <f t="array" ref="J5083">IFERROR(INDEX('Retirement Calculator'!J:J,MATCH('Isaac 401k'!N5083,'Retirement Calculator'!A:A,0),0),0)</f>
        <v>0</v>
      </c>
      <c r="K5083" s="444">
        <f t="shared" ca="1" si="196"/>
        <v>-2817621256573.4707</v>
      </c>
      <c r="L5083" s="444">
        <f t="shared" ca="1" si="197"/>
        <v>-679046722834206.5</v>
      </c>
      <c r="M5083" s="460">
        <f t="shared" si="199"/>
        <v>0.05</v>
      </c>
      <c r="N5083" s="464">
        <f t="shared" si="200"/>
        <v>205754</v>
      </c>
    </row>
    <row r="5084" spans="7:14" ht="11.25" customHeight="1" x14ac:dyDescent="0.25">
      <c r="G5084" s="459"/>
      <c r="H5084" s="459">
        <v>5077</v>
      </c>
      <c r="I5084" s="444">
        <f t="shared" ca="1" si="198"/>
        <v>-679046722834206.5</v>
      </c>
      <c r="J5084" s="444">
        <f t="array" ref="J5084">IFERROR(INDEX('Retirement Calculator'!J:J,MATCH('Isaac 401k'!N5084,'Retirement Calculator'!A:A,0),0),0)</f>
        <v>0</v>
      </c>
      <c r="K5084" s="444">
        <f t="shared" ca="1" si="196"/>
        <v>-2829361345142.5269</v>
      </c>
      <c r="L5084" s="444">
        <f t="shared" ca="1" si="197"/>
        <v>-681876084179349</v>
      </c>
      <c r="M5084" s="460">
        <f t="shared" si="199"/>
        <v>0.05</v>
      </c>
      <c r="N5084" s="464">
        <f t="shared" si="200"/>
        <v>205785</v>
      </c>
    </row>
    <row r="5085" spans="7:14" ht="11.25" customHeight="1" x14ac:dyDescent="0.25">
      <c r="G5085" s="459"/>
      <c r="H5085" s="459">
        <v>5078</v>
      </c>
      <c r="I5085" s="444">
        <f t="shared" ca="1" si="198"/>
        <v>-681876084179349</v>
      </c>
      <c r="J5085" s="444">
        <f t="array" ref="J5085">IFERROR(INDEX('Retirement Calculator'!J:J,MATCH('Isaac 401k'!N5085,'Retirement Calculator'!A:A,0),0),0)</f>
        <v>0</v>
      </c>
      <c r="K5085" s="444">
        <f t="shared" ca="1" si="196"/>
        <v>-2841150350747.2876</v>
      </c>
      <c r="L5085" s="444">
        <f t="shared" ca="1" si="197"/>
        <v>-684717234530096.25</v>
      </c>
      <c r="M5085" s="460">
        <f t="shared" si="199"/>
        <v>0.05</v>
      </c>
      <c r="N5085" s="464">
        <f t="shared" si="200"/>
        <v>205815</v>
      </c>
    </row>
    <row r="5086" spans="7:14" ht="11.25" customHeight="1" x14ac:dyDescent="0.25">
      <c r="G5086" s="459"/>
      <c r="H5086" s="459">
        <v>5079</v>
      </c>
      <c r="I5086" s="444">
        <f t="shared" ca="1" si="198"/>
        <v>-684717234530096.25</v>
      </c>
      <c r="J5086" s="444">
        <f t="array" ref="J5086">IFERROR(INDEX('Retirement Calculator'!J:J,MATCH('Isaac 401k'!N5086,'Retirement Calculator'!A:A,0),0),0)</f>
        <v>0</v>
      </c>
      <c r="K5086" s="444">
        <f t="shared" ca="1" si="196"/>
        <v>-2852988477208.7344</v>
      </c>
      <c r="L5086" s="444">
        <f t="shared" ca="1" si="197"/>
        <v>-687570223007305</v>
      </c>
      <c r="M5086" s="460">
        <f t="shared" si="199"/>
        <v>0.05</v>
      </c>
      <c r="N5086" s="464">
        <f t="shared" si="200"/>
        <v>205846</v>
      </c>
    </row>
    <row r="5087" spans="7:14" ht="11.25" customHeight="1" x14ac:dyDescent="0.25">
      <c r="G5087" s="459"/>
      <c r="H5087" s="459">
        <v>5080</v>
      </c>
      <c r="I5087" s="444">
        <f t="shared" ca="1" si="198"/>
        <v>-687570223007305</v>
      </c>
      <c r="J5087" s="444">
        <f t="array" ref="J5087">IFERROR(INDEX('Retirement Calculator'!J:J,MATCH('Isaac 401k'!N5087,'Retirement Calculator'!A:A,0),0),0)</f>
        <v>0</v>
      </c>
      <c r="K5087" s="444">
        <f t="shared" ca="1" si="196"/>
        <v>-2864875929197.104</v>
      </c>
      <c r="L5087" s="444">
        <f t="shared" ca="1" si="197"/>
        <v>-690435098936502.13</v>
      </c>
      <c r="M5087" s="460">
        <f t="shared" si="199"/>
        <v>0.05</v>
      </c>
      <c r="N5087" s="464">
        <f t="shared" si="200"/>
        <v>205877</v>
      </c>
    </row>
    <row r="5088" spans="7:14" ht="11.25" customHeight="1" x14ac:dyDescent="0.25">
      <c r="G5088" s="459"/>
      <c r="H5088" s="459">
        <v>5081</v>
      </c>
      <c r="I5088" s="444">
        <f t="shared" ca="1" si="198"/>
        <v>-690435098936502.13</v>
      </c>
      <c r="J5088" s="444">
        <f t="array" ref="J5088">IFERROR(INDEX('Retirement Calculator'!J:J,MATCH('Isaac 401k'!N5088,'Retirement Calculator'!A:A,0),0),0)</f>
        <v>0</v>
      </c>
      <c r="K5088" s="444">
        <f t="shared" ca="1" si="196"/>
        <v>-2876812912235.4253</v>
      </c>
      <c r="L5088" s="444">
        <f t="shared" ca="1" si="197"/>
        <v>-693311911848737.5</v>
      </c>
      <c r="M5088" s="460">
        <f t="shared" si="199"/>
        <v>0.05</v>
      </c>
      <c r="N5088" s="464">
        <f t="shared" si="200"/>
        <v>205907</v>
      </c>
    </row>
    <row r="5089" spans="7:14" ht="11.25" customHeight="1" x14ac:dyDescent="0.25">
      <c r="G5089" s="459"/>
      <c r="H5089" s="459">
        <v>5082</v>
      </c>
      <c r="I5089" s="444">
        <f t="shared" ca="1" si="198"/>
        <v>-693311911848737.5</v>
      </c>
      <c r="J5089" s="444">
        <f t="array" ref="J5089">IFERROR(INDEX('Retirement Calculator'!J:J,MATCH('Isaac 401k'!N5089,'Retirement Calculator'!A:A,0),0),0)</f>
        <v>0</v>
      </c>
      <c r="K5089" s="444">
        <f t="shared" ca="1" si="196"/>
        <v>-2888799632703.0728</v>
      </c>
      <c r="L5089" s="444">
        <f t="shared" ca="1" si="197"/>
        <v>-696200711481440.63</v>
      </c>
      <c r="M5089" s="460">
        <f t="shared" si="199"/>
        <v>0.05</v>
      </c>
      <c r="N5089" s="464">
        <f t="shared" si="200"/>
        <v>205938</v>
      </c>
    </row>
    <row r="5090" spans="7:14" ht="11.25" customHeight="1" x14ac:dyDescent="0.25">
      <c r="G5090" s="459"/>
      <c r="H5090" s="459">
        <v>5083</v>
      </c>
      <c r="I5090" s="444">
        <f t="shared" ca="1" si="198"/>
        <v>-696200711481440.63</v>
      </c>
      <c r="J5090" s="444">
        <f t="array" ref="J5090">IFERROR(INDEX('Retirement Calculator'!J:J,MATCH('Isaac 401k'!N5090,'Retirement Calculator'!A:A,0),0),0)</f>
        <v>0</v>
      </c>
      <c r="K5090" s="444">
        <f t="shared" ca="1" si="196"/>
        <v>-2900836297839.3359</v>
      </c>
      <c r="L5090" s="444">
        <f t="shared" ca="1" si="197"/>
        <v>-699101547779280</v>
      </c>
      <c r="M5090" s="460">
        <f t="shared" si="199"/>
        <v>0.05</v>
      </c>
      <c r="N5090" s="464">
        <f t="shared" si="200"/>
        <v>205968</v>
      </c>
    </row>
    <row r="5091" spans="7:14" ht="11.25" customHeight="1" x14ac:dyDescent="0.25">
      <c r="G5091" s="459"/>
      <c r="H5091" s="459">
        <v>5084</v>
      </c>
      <c r="I5091" s="444">
        <f t="shared" ca="1" si="198"/>
        <v>-699101547779280</v>
      </c>
      <c r="J5091" s="444">
        <f t="array" ref="J5091">IFERROR(INDEX('Retirement Calculator'!J:J,MATCH('Isaac 401k'!N5091,'Retirement Calculator'!A:A,0),0),0)</f>
        <v>0</v>
      </c>
      <c r="K5091" s="444">
        <f t="shared" ca="1" si="196"/>
        <v>-2912923115747</v>
      </c>
      <c r="L5091" s="444">
        <f t="shared" ca="1" si="197"/>
        <v>-702014470895027</v>
      </c>
      <c r="M5091" s="460">
        <f t="shared" si="199"/>
        <v>0.05</v>
      </c>
      <c r="N5091" s="464">
        <f t="shared" si="200"/>
        <v>205999</v>
      </c>
    </row>
    <row r="5092" spans="7:14" ht="11.25" customHeight="1" x14ac:dyDescent="0.25">
      <c r="G5092" s="459"/>
      <c r="H5092" s="459">
        <v>5085</v>
      </c>
      <c r="I5092" s="444">
        <f t="shared" ca="1" si="198"/>
        <v>-702014470895027</v>
      </c>
      <c r="J5092" s="444">
        <f t="array" ref="J5092">IFERROR(INDEX('Retirement Calculator'!J:J,MATCH('Isaac 401k'!N5092,'Retirement Calculator'!A:A,0),0),0)</f>
        <v>0</v>
      </c>
      <c r="K5092" s="444">
        <f t="shared" ca="1" si="196"/>
        <v>-2925060295395.9458</v>
      </c>
      <c r="L5092" s="444">
        <f t="shared" ca="1" si="197"/>
        <v>-704939531190423</v>
      </c>
      <c r="M5092" s="460">
        <f t="shared" si="199"/>
        <v>0.05</v>
      </c>
      <c r="N5092" s="464">
        <f t="shared" si="200"/>
        <v>206030</v>
      </c>
    </row>
    <row r="5093" spans="7:14" ht="11.25" customHeight="1" x14ac:dyDescent="0.25">
      <c r="G5093" s="459"/>
      <c r="H5093" s="459">
        <v>5086</v>
      </c>
      <c r="I5093" s="444">
        <f t="shared" ca="1" si="198"/>
        <v>-704939531190423</v>
      </c>
      <c r="J5093" s="444">
        <f t="array" ref="J5093">IFERROR(INDEX('Retirement Calculator'!J:J,MATCH('Isaac 401k'!N5093,'Retirement Calculator'!A:A,0),0),0)</f>
        <v>0</v>
      </c>
      <c r="K5093" s="444">
        <f t="shared" ca="1" si="196"/>
        <v>-2937248046626.7627</v>
      </c>
      <c r="L5093" s="444">
        <f t="shared" ca="1" si="197"/>
        <v>-707876779237049.75</v>
      </c>
      <c r="M5093" s="460">
        <f t="shared" si="199"/>
        <v>0.05</v>
      </c>
      <c r="N5093" s="464">
        <f t="shared" si="200"/>
        <v>206059</v>
      </c>
    </row>
    <row r="5094" spans="7:14" ht="11.25" customHeight="1" x14ac:dyDescent="0.25">
      <c r="G5094" s="459"/>
      <c r="H5094" s="459">
        <v>5087</v>
      </c>
      <c r="I5094" s="444">
        <f t="shared" ca="1" si="198"/>
        <v>-707876779237049.75</v>
      </c>
      <c r="J5094" s="444">
        <f t="array" ref="J5094">IFERROR(INDEX('Retirement Calculator'!J:J,MATCH('Isaac 401k'!N5094,'Retirement Calculator'!A:A,0),0),0)</f>
        <v>0</v>
      </c>
      <c r="K5094" s="444">
        <f t="shared" ca="1" si="196"/>
        <v>-2949486580154.374</v>
      </c>
      <c r="L5094" s="444">
        <f t="shared" ca="1" si="197"/>
        <v>-710826265817204.13</v>
      </c>
      <c r="M5094" s="460">
        <f t="shared" si="199"/>
        <v>0.05</v>
      </c>
      <c r="N5094" s="464">
        <f t="shared" si="200"/>
        <v>206090</v>
      </c>
    </row>
    <row r="5095" spans="7:14" ht="11.25" customHeight="1" x14ac:dyDescent="0.25">
      <c r="G5095" s="459"/>
      <c r="H5095" s="459">
        <v>5088</v>
      </c>
      <c r="I5095" s="444">
        <f t="shared" ca="1" si="198"/>
        <v>-710826265817204.13</v>
      </c>
      <c r="J5095" s="444">
        <f t="array" ref="J5095">IFERROR(INDEX('Retirement Calculator'!J:J,MATCH('Isaac 401k'!N5095,'Retirement Calculator'!A:A,0),0),0)</f>
        <v>0</v>
      </c>
      <c r="K5095" s="444">
        <f t="shared" ca="1" si="196"/>
        <v>-2961776107571.6836</v>
      </c>
      <c r="L5095" s="444">
        <f t="shared" ca="1" si="197"/>
        <v>-713788041924775.75</v>
      </c>
      <c r="M5095" s="460">
        <f t="shared" si="199"/>
        <v>0.05</v>
      </c>
      <c r="N5095" s="464">
        <f t="shared" si="200"/>
        <v>206120</v>
      </c>
    </row>
    <row r="5096" spans="7:14" ht="11.25" customHeight="1" x14ac:dyDescent="0.25">
      <c r="G5096" s="459"/>
      <c r="H5096" s="459">
        <v>5089</v>
      </c>
      <c r="I5096" s="444">
        <f t="shared" ca="1" si="198"/>
        <v>-713788041924775.75</v>
      </c>
      <c r="J5096" s="444">
        <f t="array" ref="J5096">IFERROR(INDEX('Retirement Calculator'!J:J,MATCH('Isaac 401k'!N5096,'Retirement Calculator'!A:A,0),0),0)</f>
        <v>0</v>
      </c>
      <c r="K5096" s="444">
        <f t="shared" ca="1" si="196"/>
        <v>-2974116841353.2324</v>
      </c>
      <c r="L5096" s="444">
        <f t="shared" ca="1" si="197"/>
        <v>-716762158766129</v>
      </c>
      <c r="M5096" s="460">
        <f t="shared" si="199"/>
        <v>0.05</v>
      </c>
      <c r="N5096" s="464">
        <f t="shared" si="200"/>
        <v>206151</v>
      </c>
    </row>
    <row r="5097" spans="7:14" ht="11.25" customHeight="1" x14ac:dyDescent="0.25">
      <c r="G5097" s="459"/>
      <c r="H5097" s="459">
        <v>5090</v>
      </c>
      <c r="I5097" s="444">
        <f t="shared" ca="1" si="198"/>
        <v>-716762158766129</v>
      </c>
      <c r="J5097" s="444">
        <f t="array" ref="J5097">IFERROR(INDEX('Retirement Calculator'!J:J,MATCH('Isaac 401k'!N5097,'Retirement Calculator'!A:A,0),0),0)</f>
        <v>0</v>
      </c>
      <c r="K5097" s="444">
        <f t="shared" ca="1" si="196"/>
        <v>-2986508994858.8706</v>
      </c>
      <c r="L5097" s="444">
        <f t="shared" ca="1" si="197"/>
        <v>-719748667760987.88</v>
      </c>
      <c r="M5097" s="460">
        <f t="shared" si="199"/>
        <v>0.05</v>
      </c>
      <c r="N5097" s="464">
        <f t="shared" si="200"/>
        <v>206181</v>
      </c>
    </row>
    <row r="5098" spans="7:14" ht="11.25" customHeight="1" x14ac:dyDescent="0.25">
      <c r="G5098" s="459"/>
      <c r="H5098" s="459">
        <v>5091</v>
      </c>
      <c r="I5098" s="444">
        <f t="shared" ca="1" si="198"/>
        <v>-719748667760987.88</v>
      </c>
      <c r="J5098" s="444">
        <f t="array" ref="J5098">IFERROR(INDEX('Retirement Calculator'!J:J,MATCH('Isaac 401k'!N5098,'Retirement Calculator'!A:A,0),0),0)</f>
        <v>0</v>
      </c>
      <c r="K5098" s="444">
        <f t="shared" ca="1" si="196"/>
        <v>-2998952782337.4492</v>
      </c>
      <c r="L5098" s="444">
        <f t="shared" ca="1" si="197"/>
        <v>-722747620543325.38</v>
      </c>
      <c r="M5098" s="460">
        <f t="shared" si="199"/>
        <v>0.05</v>
      </c>
      <c r="N5098" s="464">
        <f t="shared" si="200"/>
        <v>206212</v>
      </c>
    </row>
    <row r="5099" spans="7:14" ht="11.25" customHeight="1" x14ac:dyDescent="0.25">
      <c r="G5099" s="459"/>
      <c r="H5099" s="459">
        <v>5092</v>
      </c>
      <c r="I5099" s="444">
        <f t="shared" ca="1" si="198"/>
        <v>-722747620543325.38</v>
      </c>
      <c r="J5099" s="444">
        <f t="array" ref="J5099">IFERROR(INDEX('Retirement Calculator'!J:J,MATCH('Isaac 401k'!N5099,'Retirement Calculator'!A:A,0),0),0)</f>
        <v>0</v>
      </c>
      <c r="K5099" s="444">
        <f t="shared" ca="1" si="196"/>
        <v>-3011448418930.5225</v>
      </c>
      <c r="L5099" s="444">
        <f t="shared" ca="1" si="197"/>
        <v>-725759068962255.88</v>
      </c>
      <c r="M5099" s="460">
        <f t="shared" si="199"/>
        <v>0.05</v>
      </c>
      <c r="N5099" s="464">
        <f t="shared" si="200"/>
        <v>206243</v>
      </c>
    </row>
    <row r="5100" spans="7:14" ht="11.25" customHeight="1" x14ac:dyDescent="0.25">
      <c r="G5100" s="459"/>
      <c r="H5100" s="459">
        <v>5093</v>
      </c>
      <c r="I5100" s="444">
        <f t="shared" ca="1" si="198"/>
        <v>-725759068962255.88</v>
      </c>
      <c r="J5100" s="444">
        <f t="array" ref="J5100">IFERROR(INDEX('Retirement Calculator'!J:J,MATCH('Isaac 401k'!N5100,'Retirement Calculator'!A:A,0),0),0)</f>
        <v>0</v>
      </c>
      <c r="K5100" s="444">
        <f t="shared" ca="1" si="196"/>
        <v>-3023996120676.0659</v>
      </c>
      <c r="L5100" s="444">
        <f t="shared" ca="1" si="197"/>
        <v>-728783065082932</v>
      </c>
      <c r="M5100" s="460">
        <f t="shared" si="199"/>
        <v>0.05</v>
      </c>
      <c r="N5100" s="464">
        <f t="shared" si="200"/>
        <v>206273</v>
      </c>
    </row>
    <row r="5101" spans="7:14" ht="11.25" customHeight="1" x14ac:dyDescent="0.25">
      <c r="G5101" s="459"/>
      <c r="H5101" s="459">
        <v>5094</v>
      </c>
      <c r="I5101" s="444">
        <f t="shared" ca="1" si="198"/>
        <v>-728783065082932</v>
      </c>
      <c r="J5101" s="444">
        <f t="array" ref="J5101">IFERROR(INDEX('Retirement Calculator'!J:J,MATCH('Isaac 401k'!N5101,'Retirement Calculator'!A:A,0),0),0)</f>
        <v>0</v>
      </c>
      <c r="K5101" s="444">
        <f t="shared" ca="1" si="196"/>
        <v>-3036596104512.2168</v>
      </c>
      <c r="L5101" s="444">
        <f t="shared" ca="1" si="197"/>
        <v>-731819661187444.25</v>
      </c>
      <c r="M5101" s="460">
        <f t="shared" si="199"/>
        <v>0.05</v>
      </c>
      <c r="N5101" s="464">
        <f t="shared" si="200"/>
        <v>206304</v>
      </c>
    </row>
    <row r="5102" spans="7:14" ht="11.25" customHeight="1" x14ac:dyDescent="0.25">
      <c r="G5102" s="459"/>
      <c r="H5102" s="459">
        <v>5095</v>
      </c>
      <c r="I5102" s="444">
        <f t="shared" ca="1" si="198"/>
        <v>-731819661187444.25</v>
      </c>
      <c r="J5102" s="444">
        <f t="array" ref="J5102">IFERROR(INDEX('Retirement Calculator'!J:J,MATCH('Isaac 401k'!N5102,'Retirement Calculator'!A:A,0),0),0)</f>
        <v>0</v>
      </c>
      <c r="K5102" s="444">
        <f t="shared" ca="1" si="196"/>
        <v>-3049248588281.0176</v>
      </c>
      <c r="L5102" s="444">
        <f t="shared" ca="1" si="197"/>
        <v>-734868909775725.25</v>
      </c>
      <c r="M5102" s="460">
        <f t="shared" si="199"/>
        <v>0.05</v>
      </c>
      <c r="N5102" s="464">
        <f t="shared" si="200"/>
        <v>206334</v>
      </c>
    </row>
    <row r="5103" spans="7:14" ht="11.25" customHeight="1" x14ac:dyDescent="0.25">
      <c r="G5103" s="459"/>
      <c r="H5103" s="459">
        <v>5096</v>
      </c>
      <c r="I5103" s="444">
        <f t="shared" ca="1" si="198"/>
        <v>-734868909775725.25</v>
      </c>
      <c r="J5103" s="444">
        <f t="array" ref="J5103">IFERROR(INDEX('Retirement Calculator'!J:J,MATCH('Isaac 401k'!N5103,'Retirement Calculator'!A:A,0),0),0)</f>
        <v>0</v>
      </c>
      <c r="K5103" s="444">
        <f t="shared" ca="1" si="196"/>
        <v>-3061953790732.1885</v>
      </c>
      <c r="L5103" s="444">
        <f t="shared" ca="1" si="197"/>
        <v>-737930863566457.5</v>
      </c>
      <c r="M5103" s="460">
        <f t="shared" si="199"/>
        <v>0.05</v>
      </c>
      <c r="N5103" s="464">
        <f t="shared" si="200"/>
        <v>206365</v>
      </c>
    </row>
    <row r="5104" spans="7:14" ht="11.25" customHeight="1" x14ac:dyDescent="0.25">
      <c r="G5104" s="459"/>
      <c r="H5104" s="459">
        <v>5097</v>
      </c>
      <c r="I5104" s="444">
        <f t="shared" ca="1" si="198"/>
        <v>-737930863566457.5</v>
      </c>
      <c r="J5104" s="444">
        <f t="array" ref="J5104">IFERROR(INDEX('Retirement Calculator'!J:J,MATCH('Isaac 401k'!N5104,'Retirement Calculator'!A:A,0),0),0)</f>
        <v>0</v>
      </c>
      <c r="K5104" s="444">
        <f t="shared" ca="1" si="196"/>
        <v>-3074711931526.9063</v>
      </c>
      <c r="L5104" s="444">
        <f t="shared" ca="1" si="197"/>
        <v>-741005575497984.38</v>
      </c>
      <c r="M5104" s="460">
        <f t="shared" si="199"/>
        <v>0.05</v>
      </c>
      <c r="N5104" s="464">
        <f t="shared" si="200"/>
        <v>206396</v>
      </c>
    </row>
    <row r="5105" spans="7:14" ht="11.25" customHeight="1" x14ac:dyDescent="0.25">
      <c r="G5105" s="459"/>
      <c r="H5105" s="459">
        <v>5098</v>
      </c>
      <c r="I5105" s="444">
        <f t="shared" ca="1" si="198"/>
        <v>-741005575497984.38</v>
      </c>
      <c r="J5105" s="444">
        <f t="array" ref="J5105">IFERROR(INDEX('Retirement Calculator'!J:J,MATCH('Isaac 401k'!N5105,'Retirement Calculator'!A:A,0),0),0)</f>
        <v>0</v>
      </c>
      <c r="K5105" s="444">
        <f t="shared" ca="1" si="196"/>
        <v>-3087523231241.6016</v>
      </c>
      <c r="L5105" s="444">
        <f t="shared" ca="1" si="197"/>
        <v>-744093098729226</v>
      </c>
      <c r="M5105" s="460">
        <f t="shared" si="199"/>
        <v>0.05</v>
      </c>
      <c r="N5105" s="464">
        <f t="shared" si="200"/>
        <v>206424</v>
      </c>
    </row>
    <row r="5106" spans="7:14" ht="11.25" customHeight="1" x14ac:dyDescent="0.25">
      <c r="G5106" s="459"/>
      <c r="H5106" s="459">
        <v>5099</v>
      </c>
      <c r="I5106" s="444">
        <f t="shared" ca="1" si="198"/>
        <v>-744093098729226</v>
      </c>
      <c r="J5106" s="444">
        <f t="array" ref="J5106">IFERROR(INDEX('Retirement Calculator'!J:J,MATCH('Isaac 401k'!N5106,'Retirement Calculator'!A:A,0),0),0)</f>
        <v>0</v>
      </c>
      <c r="K5106" s="444">
        <f t="shared" ca="1" si="196"/>
        <v>-3100387911371.7749</v>
      </c>
      <c r="L5106" s="444">
        <f t="shared" ca="1" si="197"/>
        <v>-747193486640597.75</v>
      </c>
      <c r="M5106" s="460">
        <f t="shared" si="199"/>
        <v>0.05</v>
      </c>
      <c r="N5106" s="464">
        <f t="shared" si="200"/>
        <v>206455</v>
      </c>
    </row>
    <row r="5107" spans="7:14" ht="11.25" customHeight="1" x14ac:dyDescent="0.25">
      <c r="G5107" s="459"/>
      <c r="H5107" s="459">
        <v>5100</v>
      </c>
      <c r="I5107" s="444">
        <f t="shared" ca="1" si="198"/>
        <v>-747193486640597.75</v>
      </c>
      <c r="J5107" s="444">
        <f t="array" ref="J5107">IFERROR(INDEX('Retirement Calculator'!J:J,MATCH('Isaac 401k'!N5107,'Retirement Calculator'!A:A,0),0),0)</f>
        <v>0</v>
      </c>
      <c r="K5107" s="444">
        <f t="shared" ca="1" si="196"/>
        <v>-3113306194335.8237</v>
      </c>
      <c r="L5107" s="444">
        <f t="shared" ca="1" si="197"/>
        <v>-750306792834933.63</v>
      </c>
      <c r="M5107" s="460">
        <f t="shared" si="199"/>
        <v>0.05</v>
      </c>
      <c r="N5107" s="464">
        <f t="shared" si="200"/>
        <v>206485</v>
      </c>
    </row>
    <row r="5108" spans="7:14" ht="11.25" customHeight="1" x14ac:dyDescent="0.25">
      <c r="G5108" s="459"/>
      <c r="H5108" s="459">
        <v>5101</v>
      </c>
      <c r="I5108" s="444">
        <f t="shared" ca="1" si="198"/>
        <v>-750306792834933.63</v>
      </c>
      <c r="J5108" s="444">
        <f t="array" ref="J5108">IFERROR(INDEX('Retirement Calculator'!J:J,MATCH('Isaac 401k'!N5108,'Retirement Calculator'!A:A,0),0),0)</f>
        <v>0</v>
      </c>
      <c r="K5108" s="444">
        <f t="shared" ref="K5108:K5362" ca="1" si="201">IPMT(M5108/12,1,12,-I5108+J5108,,0)</f>
        <v>-3126278303478.8901</v>
      </c>
      <c r="L5108" s="444">
        <f t="shared" ref="L5108:L5362" ca="1" si="202">I5108-J5108+K5108</f>
        <v>-753433071138412.5</v>
      </c>
      <c r="M5108" s="460">
        <f t="shared" si="199"/>
        <v>0.05</v>
      </c>
      <c r="N5108" s="464">
        <f t="shared" si="200"/>
        <v>206516</v>
      </c>
    </row>
    <row r="5109" spans="7:14" ht="11.25" customHeight="1" x14ac:dyDescent="0.25">
      <c r="G5109" s="459"/>
      <c r="H5109" s="459">
        <v>5102</v>
      </c>
      <c r="I5109" s="444">
        <f t="shared" ref="I5109:I5363" ca="1" si="203">L5108</f>
        <v>-753433071138412.5</v>
      </c>
      <c r="J5109" s="444">
        <f t="array" ref="J5109">IFERROR(INDEX('Retirement Calculator'!J:J,MATCH('Isaac 401k'!N5109,'Retirement Calculator'!A:A,0),0),0)</f>
        <v>0</v>
      </c>
      <c r="K5109" s="444">
        <f t="shared" ca="1" si="201"/>
        <v>-3139304463076.7188</v>
      </c>
      <c r="L5109" s="444">
        <f t="shared" ca="1" si="202"/>
        <v>-756572375601489.25</v>
      </c>
      <c r="M5109" s="460">
        <f t="shared" ref="M5109:M5363" si="204">M5108</f>
        <v>0.05</v>
      </c>
      <c r="N5109" s="464">
        <f t="shared" ref="N5109:N5363" si="205">EDATE(N5108,1)</f>
        <v>206546</v>
      </c>
    </row>
    <row r="5110" spans="7:14" ht="11.25" customHeight="1" x14ac:dyDescent="0.25">
      <c r="G5110" s="459"/>
      <c r="H5110" s="459">
        <v>5103</v>
      </c>
      <c r="I5110" s="444">
        <f t="shared" ca="1" si="203"/>
        <v>-756572375601489.25</v>
      </c>
      <c r="J5110" s="444">
        <f t="array" ref="J5110">IFERROR(INDEX('Retirement Calculator'!J:J,MATCH('Isaac 401k'!N5110,'Retirement Calculator'!A:A,0),0),0)</f>
        <v>0</v>
      </c>
      <c r="K5110" s="444">
        <f t="shared" ca="1" si="201"/>
        <v>-3152384898339.5386</v>
      </c>
      <c r="L5110" s="444">
        <f t="shared" ca="1" si="202"/>
        <v>-759724760499828.75</v>
      </c>
      <c r="M5110" s="460">
        <f t="shared" si="204"/>
        <v>0.05</v>
      </c>
      <c r="N5110" s="464">
        <f t="shared" si="205"/>
        <v>206577</v>
      </c>
    </row>
    <row r="5111" spans="7:14" ht="11.25" customHeight="1" x14ac:dyDescent="0.25">
      <c r="G5111" s="459"/>
      <c r="H5111" s="459">
        <v>5104</v>
      </c>
      <c r="I5111" s="444">
        <f t="shared" ca="1" si="203"/>
        <v>-759724760499828.75</v>
      </c>
      <c r="J5111" s="444">
        <f t="array" ref="J5111">IFERROR(INDEX('Retirement Calculator'!J:J,MATCH('Isaac 401k'!N5111,'Retirement Calculator'!A:A,0),0),0)</f>
        <v>0</v>
      </c>
      <c r="K5111" s="444">
        <f t="shared" ca="1" si="201"/>
        <v>-3165519835415.9531</v>
      </c>
      <c r="L5111" s="444">
        <f t="shared" ca="1" si="202"/>
        <v>-762890280335244.75</v>
      </c>
      <c r="M5111" s="460">
        <f t="shared" si="204"/>
        <v>0.05</v>
      </c>
      <c r="N5111" s="464">
        <f t="shared" si="205"/>
        <v>206608</v>
      </c>
    </row>
    <row r="5112" spans="7:14" ht="11.25" customHeight="1" x14ac:dyDescent="0.25">
      <c r="G5112" s="459"/>
      <c r="H5112" s="459">
        <v>5105</v>
      </c>
      <c r="I5112" s="444">
        <f t="shared" ca="1" si="203"/>
        <v>-762890280335244.75</v>
      </c>
      <c r="J5112" s="444">
        <f t="array" ref="J5112">IFERROR(INDEX('Retirement Calculator'!J:J,MATCH('Isaac 401k'!N5112,'Retirement Calculator'!A:A,0),0),0)</f>
        <v>0</v>
      </c>
      <c r="K5112" s="444">
        <f t="shared" ca="1" si="201"/>
        <v>-3178709501396.853</v>
      </c>
      <c r="L5112" s="444">
        <f t="shared" ca="1" si="202"/>
        <v>-766068989836641.63</v>
      </c>
      <c r="M5112" s="460">
        <f t="shared" si="204"/>
        <v>0.05</v>
      </c>
      <c r="N5112" s="464">
        <f t="shared" si="205"/>
        <v>206638</v>
      </c>
    </row>
    <row r="5113" spans="7:14" ht="11.25" customHeight="1" x14ac:dyDescent="0.25">
      <c r="G5113" s="459"/>
      <c r="H5113" s="459">
        <v>5106</v>
      </c>
      <c r="I5113" s="444">
        <f t="shared" ca="1" si="203"/>
        <v>-766068989836641.63</v>
      </c>
      <c r="J5113" s="444">
        <f t="array" ref="J5113">IFERROR(INDEX('Retirement Calculator'!J:J,MATCH('Isaac 401k'!N5113,'Retirement Calculator'!A:A,0),0),0)</f>
        <v>0</v>
      </c>
      <c r="K5113" s="444">
        <f t="shared" ca="1" si="201"/>
        <v>-3191954124319.3398</v>
      </c>
      <c r="L5113" s="444">
        <f t="shared" ca="1" si="202"/>
        <v>-769260943960961</v>
      </c>
      <c r="M5113" s="460">
        <f t="shared" si="204"/>
        <v>0.05</v>
      </c>
      <c r="N5113" s="464">
        <f t="shared" si="205"/>
        <v>206669</v>
      </c>
    </row>
    <row r="5114" spans="7:14" ht="11.25" customHeight="1" x14ac:dyDescent="0.25">
      <c r="G5114" s="459"/>
      <c r="H5114" s="459">
        <v>5107</v>
      </c>
      <c r="I5114" s="444">
        <f t="shared" ca="1" si="203"/>
        <v>-769260943960961</v>
      </c>
      <c r="J5114" s="444">
        <f t="array" ref="J5114">IFERROR(INDEX('Retirement Calculator'!J:J,MATCH('Isaac 401k'!N5114,'Retirement Calculator'!A:A,0),0),0)</f>
        <v>0</v>
      </c>
      <c r="K5114" s="444">
        <f t="shared" ca="1" si="201"/>
        <v>-3205253933170.6709</v>
      </c>
      <c r="L5114" s="444">
        <f t="shared" ca="1" si="202"/>
        <v>-772466197894131.63</v>
      </c>
      <c r="M5114" s="460">
        <f t="shared" si="204"/>
        <v>0.05</v>
      </c>
      <c r="N5114" s="464">
        <f t="shared" si="205"/>
        <v>206699</v>
      </c>
    </row>
    <row r="5115" spans="7:14" ht="11.25" customHeight="1" x14ac:dyDescent="0.25">
      <c r="G5115" s="459"/>
      <c r="H5115" s="459">
        <v>5108</v>
      </c>
      <c r="I5115" s="444">
        <f t="shared" ca="1" si="203"/>
        <v>-772466197894131.63</v>
      </c>
      <c r="J5115" s="444">
        <f t="array" ref="J5115">IFERROR(INDEX('Retirement Calculator'!J:J,MATCH('Isaac 401k'!N5115,'Retirement Calculator'!A:A,0),0),0)</f>
        <v>0</v>
      </c>
      <c r="K5115" s="444">
        <f t="shared" ca="1" si="201"/>
        <v>-3218609157892.2148</v>
      </c>
      <c r="L5115" s="444">
        <f t="shared" ca="1" si="202"/>
        <v>-775684807052023.88</v>
      </c>
      <c r="M5115" s="460">
        <f t="shared" si="204"/>
        <v>0.05</v>
      </c>
      <c r="N5115" s="464">
        <f t="shared" si="205"/>
        <v>206730</v>
      </c>
    </row>
    <row r="5116" spans="7:14" ht="11.25" customHeight="1" x14ac:dyDescent="0.25">
      <c r="G5116" s="459"/>
      <c r="H5116" s="459">
        <v>5109</v>
      </c>
      <c r="I5116" s="444">
        <f t="shared" ca="1" si="203"/>
        <v>-775684807052023.88</v>
      </c>
      <c r="J5116" s="444">
        <f t="array" ref="J5116">IFERROR(INDEX('Retirement Calculator'!J:J,MATCH('Isaac 401k'!N5116,'Retirement Calculator'!A:A,0),0),0)</f>
        <v>0</v>
      </c>
      <c r="K5116" s="444">
        <f t="shared" ca="1" si="201"/>
        <v>-3232020029383.4326</v>
      </c>
      <c r="L5116" s="444">
        <f t="shared" ca="1" si="202"/>
        <v>-778916827081407.25</v>
      </c>
      <c r="M5116" s="460">
        <f t="shared" si="204"/>
        <v>0.05</v>
      </c>
      <c r="N5116" s="464">
        <f t="shared" si="205"/>
        <v>206761</v>
      </c>
    </row>
    <row r="5117" spans="7:14" ht="11.25" customHeight="1" x14ac:dyDescent="0.25">
      <c r="G5117" s="459"/>
      <c r="H5117" s="459">
        <v>5110</v>
      </c>
      <c r="I5117" s="444">
        <f t="shared" ca="1" si="203"/>
        <v>-778916827081407.25</v>
      </c>
      <c r="J5117" s="444">
        <f t="array" ref="J5117">IFERROR(INDEX('Retirement Calculator'!J:J,MATCH('Isaac 401k'!N5117,'Retirement Calculator'!A:A,0),0),0)</f>
        <v>0</v>
      </c>
      <c r="K5117" s="444">
        <f t="shared" ca="1" si="201"/>
        <v>-3245486779505.8633</v>
      </c>
      <c r="L5117" s="444">
        <f t="shared" ca="1" si="202"/>
        <v>-782162313860913.13</v>
      </c>
      <c r="M5117" s="460">
        <f t="shared" si="204"/>
        <v>0.05</v>
      </c>
      <c r="N5117" s="464">
        <f t="shared" si="205"/>
        <v>206789</v>
      </c>
    </row>
    <row r="5118" spans="7:14" ht="11.25" customHeight="1" x14ac:dyDescent="0.25">
      <c r="G5118" s="459"/>
      <c r="H5118" s="459">
        <v>5111</v>
      </c>
      <c r="I5118" s="444">
        <f t="shared" ca="1" si="203"/>
        <v>-782162313860913.13</v>
      </c>
      <c r="J5118" s="444">
        <f t="array" ref="J5118">IFERROR(INDEX('Retirement Calculator'!J:J,MATCH('Isaac 401k'!N5118,'Retirement Calculator'!A:A,0),0),0)</f>
        <v>0</v>
      </c>
      <c r="K5118" s="444">
        <f t="shared" ca="1" si="201"/>
        <v>-3259009641087.1382</v>
      </c>
      <c r="L5118" s="444">
        <f t="shared" ca="1" si="202"/>
        <v>-785421323502000.25</v>
      </c>
      <c r="M5118" s="460">
        <f t="shared" si="204"/>
        <v>0.05</v>
      </c>
      <c r="N5118" s="464">
        <f t="shared" si="205"/>
        <v>206820</v>
      </c>
    </row>
    <row r="5119" spans="7:14" ht="11.25" customHeight="1" x14ac:dyDescent="0.25">
      <c r="G5119" s="459"/>
      <c r="H5119" s="459">
        <v>5112</v>
      </c>
      <c r="I5119" s="444">
        <f t="shared" ca="1" si="203"/>
        <v>-785421323502000.25</v>
      </c>
      <c r="J5119" s="444">
        <f t="array" ref="J5119">IFERROR(INDEX('Retirement Calculator'!J:J,MATCH('Isaac 401k'!N5119,'Retirement Calculator'!A:A,0),0),0)</f>
        <v>0</v>
      </c>
      <c r="K5119" s="444">
        <f t="shared" ca="1" si="201"/>
        <v>-3272588847925.001</v>
      </c>
      <c r="L5119" s="444">
        <f t="shared" ca="1" si="202"/>
        <v>-788693912349925.25</v>
      </c>
      <c r="M5119" s="460">
        <f t="shared" si="204"/>
        <v>0.05</v>
      </c>
      <c r="N5119" s="464">
        <f t="shared" si="205"/>
        <v>206850</v>
      </c>
    </row>
    <row r="5120" spans="7:14" ht="11.25" customHeight="1" x14ac:dyDescent="0.25">
      <c r="G5120" s="459"/>
      <c r="H5120" s="459">
        <v>5113</v>
      </c>
      <c r="I5120" s="444">
        <f t="shared" ca="1" si="203"/>
        <v>-788693912349925.25</v>
      </c>
      <c r="J5120" s="444">
        <f t="array" ref="J5120">IFERROR(INDEX('Retirement Calculator'!J:J,MATCH('Isaac 401k'!N5120,'Retirement Calculator'!A:A,0),0),0)</f>
        <v>0</v>
      </c>
      <c r="K5120" s="444">
        <f t="shared" ca="1" si="201"/>
        <v>-3286224634791.355</v>
      </c>
      <c r="L5120" s="444">
        <f t="shared" ca="1" si="202"/>
        <v>-791980136984716.63</v>
      </c>
      <c r="M5120" s="460">
        <f t="shared" si="204"/>
        <v>0.05</v>
      </c>
      <c r="N5120" s="464">
        <f t="shared" si="205"/>
        <v>206881</v>
      </c>
    </row>
    <row r="5121" spans="7:14" ht="11.25" customHeight="1" x14ac:dyDescent="0.25">
      <c r="G5121" s="459"/>
      <c r="H5121" s="459">
        <v>5114</v>
      </c>
      <c r="I5121" s="444">
        <f t="shared" ca="1" si="203"/>
        <v>-791980136984716.63</v>
      </c>
      <c r="J5121" s="444">
        <f t="array" ref="J5121">IFERROR(INDEX('Retirement Calculator'!J:J,MATCH('Isaac 401k'!N5121,'Retirement Calculator'!A:A,0),0),0)</f>
        <v>0</v>
      </c>
      <c r="K5121" s="444">
        <f t="shared" ca="1" si="201"/>
        <v>-3299917237436.3193</v>
      </c>
      <c r="L5121" s="444">
        <f t="shared" ca="1" si="202"/>
        <v>-795280054222153</v>
      </c>
      <c r="M5121" s="460">
        <f t="shared" si="204"/>
        <v>0.05</v>
      </c>
      <c r="N5121" s="464">
        <f t="shared" si="205"/>
        <v>206911</v>
      </c>
    </row>
    <row r="5122" spans="7:14" ht="11.25" customHeight="1" x14ac:dyDescent="0.25">
      <c r="G5122" s="459"/>
      <c r="H5122" s="459">
        <v>5115</v>
      </c>
      <c r="I5122" s="444">
        <f t="shared" ca="1" si="203"/>
        <v>-795280054222153</v>
      </c>
      <c r="J5122" s="444">
        <f t="array" ref="J5122">IFERROR(INDEX('Retirement Calculator'!J:J,MATCH('Isaac 401k'!N5122,'Retirement Calculator'!A:A,0),0),0)</f>
        <v>0</v>
      </c>
      <c r="K5122" s="444">
        <f t="shared" ca="1" si="201"/>
        <v>-3313666892592.3042</v>
      </c>
      <c r="L5122" s="444">
        <f t="shared" ca="1" si="202"/>
        <v>-798593721114745.25</v>
      </c>
      <c r="M5122" s="460">
        <f t="shared" si="204"/>
        <v>0.05</v>
      </c>
      <c r="N5122" s="464">
        <f t="shared" si="205"/>
        <v>206942</v>
      </c>
    </row>
    <row r="5123" spans="7:14" ht="11.25" customHeight="1" x14ac:dyDescent="0.25">
      <c r="G5123" s="459"/>
      <c r="H5123" s="459">
        <v>5116</v>
      </c>
      <c r="I5123" s="444">
        <f t="shared" ca="1" si="203"/>
        <v>-798593721114745.25</v>
      </c>
      <c r="J5123" s="444">
        <f t="array" ref="J5123">IFERROR(INDEX('Retirement Calculator'!J:J,MATCH('Isaac 401k'!N5123,'Retirement Calculator'!A:A,0),0),0)</f>
        <v>0</v>
      </c>
      <c r="K5123" s="444">
        <f t="shared" ca="1" si="201"/>
        <v>-3327473837978.105</v>
      </c>
      <c r="L5123" s="444">
        <f t="shared" ca="1" si="202"/>
        <v>-801921194952723.38</v>
      </c>
      <c r="M5123" s="460">
        <f t="shared" si="204"/>
        <v>0.05</v>
      </c>
      <c r="N5123" s="464">
        <f t="shared" si="205"/>
        <v>206973</v>
      </c>
    </row>
    <row r="5124" spans="7:14" ht="11.25" customHeight="1" x14ac:dyDescent="0.25">
      <c r="G5124" s="459"/>
      <c r="H5124" s="459">
        <v>5117</v>
      </c>
      <c r="I5124" s="444">
        <f t="shared" ca="1" si="203"/>
        <v>-801921194952723.38</v>
      </c>
      <c r="J5124" s="444">
        <f t="array" ref="J5124">IFERROR(INDEX('Retirement Calculator'!J:J,MATCH('Isaac 401k'!N5124,'Retirement Calculator'!A:A,0),0),0)</f>
        <v>0</v>
      </c>
      <c r="K5124" s="444">
        <f t="shared" ca="1" si="201"/>
        <v>-3341338312303.0142</v>
      </c>
      <c r="L5124" s="444">
        <f t="shared" ca="1" si="202"/>
        <v>-805262533265026.38</v>
      </c>
      <c r="M5124" s="460">
        <f t="shared" si="204"/>
        <v>0.05</v>
      </c>
      <c r="N5124" s="464">
        <f t="shared" si="205"/>
        <v>207003</v>
      </c>
    </row>
    <row r="5125" spans="7:14" ht="11.25" customHeight="1" x14ac:dyDescent="0.25">
      <c r="G5125" s="459"/>
      <c r="H5125" s="459">
        <v>5118</v>
      </c>
      <c r="I5125" s="444">
        <f t="shared" ca="1" si="203"/>
        <v>-805262533265026.38</v>
      </c>
      <c r="J5125" s="444">
        <f t="array" ref="J5125">IFERROR(INDEX('Retirement Calculator'!J:J,MATCH('Isaac 401k'!N5125,'Retirement Calculator'!A:A,0),0),0)</f>
        <v>0</v>
      </c>
      <c r="K5125" s="444">
        <f t="shared" ca="1" si="201"/>
        <v>-3355260555270.9434</v>
      </c>
      <c r="L5125" s="444">
        <f t="shared" ca="1" si="202"/>
        <v>-808617793820297.38</v>
      </c>
      <c r="M5125" s="460">
        <f t="shared" si="204"/>
        <v>0.05</v>
      </c>
      <c r="N5125" s="464">
        <f t="shared" si="205"/>
        <v>207034</v>
      </c>
    </row>
    <row r="5126" spans="7:14" ht="11.25" customHeight="1" x14ac:dyDescent="0.25">
      <c r="G5126" s="459"/>
      <c r="H5126" s="459">
        <v>5119</v>
      </c>
      <c r="I5126" s="444">
        <f t="shared" ca="1" si="203"/>
        <v>-808617793820297.38</v>
      </c>
      <c r="J5126" s="444">
        <f t="array" ref="J5126">IFERROR(INDEX('Retirement Calculator'!J:J,MATCH('Isaac 401k'!N5126,'Retirement Calculator'!A:A,0),0),0)</f>
        <v>0</v>
      </c>
      <c r="K5126" s="444">
        <f t="shared" ca="1" si="201"/>
        <v>-3369240807584.5723</v>
      </c>
      <c r="L5126" s="444">
        <f t="shared" ca="1" si="202"/>
        <v>-811987034627882</v>
      </c>
      <c r="M5126" s="460">
        <f t="shared" si="204"/>
        <v>0.05</v>
      </c>
      <c r="N5126" s="464">
        <f t="shared" si="205"/>
        <v>207064</v>
      </c>
    </row>
    <row r="5127" spans="7:14" ht="11.25" customHeight="1" x14ac:dyDescent="0.25">
      <c r="G5127" s="459"/>
      <c r="H5127" s="459">
        <v>5120</v>
      </c>
      <c r="I5127" s="444">
        <f t="shared" ca="1" si="203"/>
        <v>-811987034627882</v>
      </c>
      <c r="J5127" s="444">
        <f t="array" ref="J5127">IFERROR(INDEX('Retirement Calculator'!J:J,MATCH('Isaac 401k'!N5127,'Retirement Calculator'!A:A,0),0),0)</f>
        <v>0</v>
      </c>
      <c r="K5127" s="444">
        <f t="shared" ca="1" si="201"/>
        <v>-3383279310949.5083</v>
      </c>
      <c r="L5127" s="444">
        <f t="shared" ca="1" si="202"/>
        <v>-815370313938831.5</v>
      </c>
      <c r="M5127" s="460">
        <f t="shared" si="204"/>
        <v>0.05</v>
      </c>
      <c r="N5127" s="464">
        <f t="shared" si="205"/>
        <v>207095</v>
      </c>
    </row>
    <row r="5128" spans="7:14" ht="11.25" customHeight="1" x14ac:dyDescent="0.25">
      <c r="G5128" s="459"/>
      <c r="H5128" s="459">
        <v>5121</v>
      </c>
      <c r="I5128" s="444">
        <f t="shared" ca="1" si="203"/>
        <v>-815370313938831.5</v>
      </c>
      <c r="J5128" s="444">
        <f t="array" ref="J5128">IFERROR(INDEX('Retirement Calculator'!J:J,MATCH('Isaac 401k'!N5128,'Retirement Calculator'!A:A,0),0),0)</f>
        <v>0</v>
      </c>
      <c r="K5128" s="444">
        <f t="shared" ca="1" si="201"/>
        <v>-3397376308078.4644</v>
      </c>
      <c r="L5128" s="444">
        <f t="shared" ca="1" si="202"/>
        <v>-818767690246910</v>
      </c>
      <c r="M5128" s="460">
        <f t="shared" si="204"/>
        <v>0.05</v>
      </c>
      <c r="N5128" s="464">
        <f t="shared" si="205"/>
        <v>207126</v>
      </c>
    </row>
    <row r="5129" spans="7:14" ht="11.25" customHeight="1" x14ac:dyDescent="0.25">
      <c r="G5129" s="459"/>
      <c r="H5129" s="459">
        <v>5122</v>
      </c>
      <c r="I5129" s="444">
        <f t="shared" ca="1" si="203"/>
        <v>-818767690246910</v>
      </c>
      <c r="J5129" s="444">
        <f t="array" ref="J5129">IFERROR(INDEX('Retirement Calculator'!J:J,MATCH('Isaac 401k'!N5129,'Retirement Calculator'!A:A,0),0),0)</f>
        <v>0</v>
      </c>
      <c r="K5129" s="444">
        <f t="shared" ca="1" si="201"/>
        <v>-3411532042695.4585</v>
      </c>
      <c r="L5129" s="444">
        <f t="shared" ca="1" si="202"/>
        <v>-822179222289605.5</v>
      </c>
      <c r="M5129" s="460">
        <f t="shared" si="204"/>
        <v>0.05</v>
      </c>
      <c r="N5129" s="464">
        <f t="shared" si="205"/>
        <v>207154</v>
      </c>
    </row>
    <row r="5130" spans="7:14" ht="11.25" customHeight="1" x14ac:dyDescent="0.25">
      <c r="G5130" s="459"/>
      <c r="H5130" s="459">
        <v>5123</v>
      </c>
      <c r="I5130" s="444">
        <f t="shared" ca="1" si="203"/>
        <v>-822179222289605.5</v>
      </c>
      <c r="J5130" s="444">
        <f t="array" ref="J5130">IFERROR(INDEX('Retirement Calculator'!J:J,MATCH('Isaac 401k'!N5130,'Retirement Calculator'!A:A,0),0),0)</f>
        <v>0</v>
      </c>
      <c r="K5130" s="444">
        <f t="shared" ca="1" si="201"/>
        <v>-3425746759540.0229</v>
      </c>
      <c r="L5130" s="444">
        <f t="shared" ca="1" si="202"/>
        <v>-825604969049145.5</v>
      </c>
      <c r="M5130" s="460">
        <f t="shared" si="204"/>
        <v>0.05</v>
      </c>
      <c r="N5130" s="464">
        <f t="shared" si="205"/>
        <v>207185</v>
      </c>
    </row>
    <row r="5131" spans="7:14" ht="11.25" customHeight="1" x14ac:dyDescent="0.25">
      <c r="G5131" s="459"/>
      <c r="H5131" s="459">
        <v>5124</v>
      </c>
      <c r="I5131" s="444">
        <f t="shared" ca="1" si="203"/>
        <v>-825604969049145.5</v>
      </c>
      <c r="J5131" s="444">
        <f t="array" ref="J5131">IFERROR(INDEX('Retirement Calculator'!J:J,MATCH('Isaac 401k'!N5131,'Retirement Calculator'!A:A,0),0),0)</f>
        <v>0</v>
      </c>
      <c r="K5131" s="444">
        <f t="shared" ca="1" si="201"/>
        <v>-3440020704371.4395</v>
      </c>
      <c r="L5131" s="444">
        <f t="shared" ca="1" si="202"/>
        <v>-829044989753517</v>
      </c>
      <c r="M5131" s="460">
        <f t="shared" si="204"/>
        <v>0.05</v>
      </c>
      <c r="N5131" s="464">
        <f t="shared" si="205"/>
        <v>207215</v>
      </c>
    </row>
    <row r="5132" spans="7:14" ht="11.25" customHeight="1" x14ac:dyDescent="0.25">
      <c r="G5132" s="459"/>
      <c r="H5132" s="459">
        <v>5125</v>
      </c>
      <c r="I5132" s="444">
        <f t="shared" ca="1" si="203"/>
        <v>-829044989753517</v>
      </c>
      <c r="J5132" s="444">
        <f t="array" ref="J5132">IFERROR(INDEX('Retirement Calculator'!J:J,MATCH('Isaac 401k'!N5132,'Retirement Calculator'!A:A,0),0),0)</f>
        <v>0</v>
      </c>
      <c r="K5132" s="444">
        <f t="shared" ca="1" si="201"/>
        <v>-3454354123972.9873</v>
      </c>
      <c r="L5132" s="444">
        <f t="shared" ca="1" si="202"/>
        <v>-832499343877490</v>
      </c>
      <c r="M5132" s="460">
        <f t="shared" si="204"/>
        <v>0.05</v>
      </c>
      <c r="N5132" s="464">
        <f t="shared" si="205"/>
        <v>207246</v>
      </c>
    </row>
    <row r="5133" spans="7:14" ht="11.25" customHeight="1" x14ac:dyDescent="0.25">
      <c r="G5133" s="459"/>
      <c r="H5133" s="459">
        <v>5126</v>
      </c>
      <c r="I5133" s="444">
        <f t="shared" ca="1" si="203"/>
        <v>-832499343877490</v>
      </c>
      <c r="J5133" s="444">
        <f t="array" ref="J5133">IFERROR(INDEX('Retirement Calculator'!J:J,MATCH('Isaac 401k'!N5133,'Retirement Calculator'!A:A,0),0),0)</f>
        <v>0</v>
      </c>
      <c r="K5133" s="444">
        <f t="shared" ca="1" si="201"/>
        <v>-3468747266156.2085</v>
      </c>
      <c r="L5133" s="444">
        <f t="shared" ca="1" si="202"/>
        <v>-835968091143646.25</v>
      </c>
      <c r="M5133" s="460">
        <f t="shared" si="204"/>
        <v>0.05</v>
      </c>
      <c r="N5133" s="464">
        <f t="shared" si="205"/>
        <v>207276</v>
      </c>
    </row>
    <row r="5134" spans="7:14" ht="11.25" customHeight="1" x14ac:dyDescent="0.25">
      <c r="G5134" s="459"/>
      <c r="H5134" s="459">
        <v>5127</v>
      </c>
      <c r="I5134" s="444">
        <f t="shared" ca="1" si="203"/>
        <v>-835968091143646.25</v>
      </c>
      <c r="J5134" s="444">
        <f t="array" ref="J5134">IFERROR(INDEX('Retirement Calculator'!J:J,MATCH('Isaac 401k'!N5134,'Retirement Calculator'!A:A,0),0),0)</f>
        <v>0</v>
      </c>
      <c r="K5134" s="444">
        <f t="shared" ca="1" si="201"/>
        <v>-3483200379765.1929</v>
      </c>
      <c r="L5134" s="444">
        <f t="shared" ca="1" si="202"/>
        <v>-839451291523411.5</v>
      </c>
      <c r="M5134" s="460">
        <f t="shared" si="204"/>
        <v>0.05</v>
      </c>
      <c r="N5134" s="464">
        <f t="shared" si="205"/>
        <v>207307</v>
      </c>
    </row>
    <row r="5135" spans="7:14" ht="11.25" customHeight="1" x14ac:dyDescent="0.25">
      <c r="G5135" s="459"/>
      <c r="H5135" s="459">
        <v>5128</v>
      </c>
      <c r="I5135" s="444">
        <f t="shared" ca="1" si="203"/>
        <v>-839451291523411.5</v>
      </c>
      <c r="J5135" s="444">
        <f t="array" ref="J5135">IFERROR(INDEX('Retirement Calculator'!J:J,MATCH('Isaac 401k'!N5135,'Retirement Calculator'!A:A,0),0),0)</f>
        <v>0</v>
      </c>
      <c r="K5135" s="444">
        <f t="shared" ca="1" si="201"/>
        <v>-3497713714680.8813</v>
      </c>
      <c r="L5135" s="444">
        <f t="shared" ca="1" si="202"/>
        <v>-842949005238092.38</v>
      </c>
      <c r="M5135" s="460">
        <f t="shared" si="204"/>
        <v>0.05</v>
      </c>
      <c r="N5135" s="464">
        <f t="shared" si="205"/>
        <v>207338</v>
      </c>
    </row>
    <row r="5136" spans="7:14" ht="11.25" customHeight="1" x14ac:dyDescent="0.25">
      <c r="G5136" s="459"/>
      <c r="H5136" s="459">
        <v>5129</v>
      </c>
      <c r="I5136" s="444">
        <f t="shared" ca="1" si="203"/>
        <v>-842949005238092.38</v>
      </c>
      <c r="J5136" s="444">
        <f t="array" ref="J5136">IFERROR(INDEX('Retirement Calculator'!J:J,MATCH('Isaac 401k'!N5136,'Retirement Calculator'!A:A,0),0),0)</f>
        <v>0</v>
      </c>
      <c r="K5136" s="444">
        <f t="shared" ca="1" si="201"/>
        <v>-3512287521825.3848</v>
      </c>
      <c r="L5136" s="444">
        <f t="shared" ca="1" si="202"/>
        <v>-846461292759917.75</v>
      </c>
      <c r="M5136" s="460">
        <f t="shared" si="204"/>
        <v>0.05</v>
      </c>
      <c r="N5136" s="464">
        <f t="shared" si="205"/>
        <v>207368</v>
      </c>
    </row>
    <row r="5137" spans="7:14" ht="11.25" customHeight="1" x14ac:dyDescent="0.25">
      <c r="G5137" s="459"/>
      <c r="H5137" s="459">
        <v>5130</v>
      </c>
      <c r="I5137" s="444">
        <f t="shared" ca="1" si="203"/>
        <v>-846461292759917.75</v>
      </c>
      <c r="J5137" s="444">
        <f t="array" ref="J5137">IFERROR(INDEX('Retirement Calculator'!J:J,MATCH('Isaac 401k'!N5137,'Retirement Calculator'!A:A,0),0),0)</f>
        <v>0</v>
      </c>
      <c r="K5137" s="444">
        <f t="shared" ca="1" si="201"/>
        <v>-3526922053166.3237</v>
      </c>
      <c r="L5137" s="444">
        <f t="shared" ca="1" si="202"/>
        <v>-849988214813084.13</v>
      </c>
      <c r="M5137" s="460">
        <f t="shared" si="204"/>
        <v>0.05</v>
      </c>
      <c r="N5137" s="464">
        <f t="shared" si="205"/>
        <v>207399</v>
      </c>
    </row>
    <row r="5138" spans="7:14" ht="11.25" customHeight="1" x14ac:dyDescent="0.25">
      <c r="G5138" s="459"/>
      <c r="H5138" s="459">
        <v>5131</v>
      </c>
      <c r="I5138" s="444">
        <f t="shared" ca="1" si="203"/>
        <v>-849988214813084.13</v>
      </c>
      <c r="J5138" s="444">
        <f t="array" ref="J5138">IFERROR(INDEX('Retirement Calculator'!J:J,MATCH('Isaac 401k'!N5138,'Retirement Calculator'!A:A,0),0),0)</f>
        <v>0</v>
      </c>
      <c r="K5138" s="444">
        <f t="shared" ca="1" si="201"/>
        <v>-3541617561721.1836</v>
      </c>
      <c r="L5138" s="444">
        <f t="shared" ca="1" si="202"/>
        <v>-853529832374805.25</v>
      </c>
      <c r="M5138" s="460">
        <f t="shared" si="204"/>
        <v>0.05</v>
      </c>
      <c r="N5138" s="464">
        <f t="shared" si="205"/>
        <v>207429</v>
      </c>
    </row>
    <row r="5139" spans="7:14" ht="11.25" customHeight="1" x14ac:dyDescent="0.25">
      <c r="G5139" s="459"/>
      <c r="H5139" s="459">
        <v>5132</v>
      </c>
      <c r="I5139" s="444">
        <f t="shared" ca="1" si="203"/>
        <v>-853529832374805.25</v>
      </c>
      <c r="J5139" s="444">
        <f t="array" ref="J5139">IFERROR(INDEX('Retirement Calculator'!J:J,MATCH('Isaac 401k'!N5139,'Retirement Calculator'!A:A,0),0),0)</f>
        <v>0</v>
      </c>
      <c r="K5139" s="444">
        <f t="shared" ca="1" si="201"/>
        <v>-3556374301561.6885</v>
      </c>
      <c r="L5139" s="444">
        <f t="shared" ca="1" si="202"/>
        <v>-857086206676367</v>
      </c>
      <c r="M5139" s="460">
        <f t="shared" si="204"/>
        <v>0.05</v>
      </c>
      <c r="N5139" s="464">
        <f t="shared" si="205"/>
        <v>207460</v>
      </c>
    </row>
    <row r="5140" spans="7:14" ht="11.25" customHeight="1" x14ac:dyDescent="0.25">
      <c r="G5140" s="459"/>
      <c r="H5140" s="459">
        <v>5133</v>
      </c>
      <c r="I5140" s="444">
        <f t="shared" ca="1" si="203"/>
        <v>-857086206676367</v>
      </c>
      <c r="J5140" s="444">
        <f t="array" ref="J5140">IFERROR(INDEX('Retirement Calculator'!J:J,MATCH('Isaac 401k'!N5140,'Retirement Calculator'!A:A,0),0),0)</f>
        <v>0</v>
      </c>
      <c r="K5140" s="444">
        <f t="shared" ca="1" si="201"/>
        <v>-3571192527818.1958</v>
      </c>
      <c r="L5140" s="444">
        <f t="shared" ca="1" si="202"/>
        <v>-860657399204185.25</v>
      </c>
      <c r="M5140" s="460">
        <f t="shared" si="204"/>
        <v>0.05</v>
      </c>
      <c r="N5140" s="464">
        <f t="shared" si="205"/>
        <v>207491</v>
      </c>
    </row>
    <row r="5141" spans="7:14" ht="11.25" customHeight="1" x14ac:dyDescent="0.25">
      <c r="G5141" s="459"/>
      <c r="H5141" s="459">
        <v>5134</v>
      </c>
      <c r="I5141" s="444">
        <f t="shared" ca="1" si="203"/>
        <v>-860657399204185.25</v>
      </c>
      <c r="J5141" s="444">
        <f t="array" ref="J5141">IFERROR(INDEX('Retirement Calculator'!J:J,MATCH('Isaac 401k'!N5141,'Retirement Calculator'!A:A,0),0),0)</f>
        <v>0</v>
      </c>
      <c r="K5141" s="444">
        <f t="shared" ca="1" si="201"/>
        <v>-3586072496684.105</v>
      </c>
      <c r="L5141" s="444">
        <f t="shared" ca="1" si="202"/>
        <v>-864243471700869.38</v>
      </c>
      <c r="M5141" s="460">
        <f t="shared" si="204"/>
        <v>0.05</v>
      </c>
      <c r="N5141" s="464">
        <f t="shared" si="205"/>
        <v>207520</v>
      </c>
    </row>
    <row r="5142" spans="7:14" ht="11.25" customHeight="1" x14ac:dyDescent="0.25">
      <c r="G5142" s="459"/>
      <c r="H5142" s="459">
        <v>5135</v>
      </c>
      <c r="I5142" s="444">
        <f t="shared" ca="1" si="203"/>
        <v>-864243471700869.38</v>
      </c>
      <c r="J5142" s="444">
        <f t="array" ref="J5142">IFERROR(INDEX('Retirement Calculator'!J:J,MATCH('Isaac 401k'!N5142,'Retirement Calculator'!A:A,0),0),0)</f>
        <v>0</v>
      </c>
      <c r="K5142" s="444">
        <f t="shared" ca="1" si="201"/>
        <v>-3601014465420.2891</v>
      </c>
      <c r="L5142" s="444">
        <f t="shared" ca="1" si="202"/>
        <v>-867844486166289.63</v>
      </c>
      <c r="M5142" s="460">
        <f t="shared" si="204"/>
        <v>0.05</v>
      </c>
      <c r="N5142" s="464">
        <f t="shared" si="205"/>
        <v>207551</v>
      </c>
    </row>
    <row r="5143" spans="7:14" ht="11.25" customHeight="1" x14ac:dyDescent="0.25">
      <c r="G5143" s="459"/>
      <c r="H5143" s="459">
        <v>5136</v>
      </c>
      <c r="I5143" s="444">
        <f t="shared" ca="1" si="203"/>
        <v>-867844486166289.63</v>
      </c>
      <c r="J5143" s="444">
        <f t="array" ref="J5143">IFERROR(INDEX('Retirement Calculator'!J:J,MATCH('Isaac 401k'!N5143,'Retirement Calculator'!A:A,0),0),0)</f>
        <v>0</v>
      </c>
      <c r="K5143" s="444">
        <f t="shared" ca="1" si="201"/>
        <v>-3616018692359.54</v>
      </c>
      <c r="L5143" s="444">
        <f t="shared" ca="1" si="202"/>
        <v>-871460504858649.13</v>
      </c>
      <c r="M5143" s="460">
        <f t="shared" si="204"/>
        <v>0.05</v>
      </c>
      <c r="N5143" s="464">
        <f t="shared" si="205"/>
        <v>207581</v>
      </c>
    </row>
    <row r="5144" spans="7:14" ht="11.25" customHeight="1" x14ac:dyDescent="0.25">
      <c r="G5144" s="459"/>
      <c r="H5144" s="459">
        <v>5137</v>
      </c>
      <c r="I5144" s="444">
        <f t="shared" ca="1" si="203"/>
        <v>-871460504858649.13</v>
      </c>
      <c r="J5144" s="444">
        <f t="array" ref="J5144">IFERROR(INDEX('Retirement Calculator'!J:J,MATCH('Isaac 401k'!N5144,'Retirement Calculator'!A:A,0),0),0)</f>
        <v>0</v>
      </c>
      <c r="K5144" s="444">
        <f t="shared" ca="1" si="201"/>
        <v>-3631085436911.0381</v>
      </c>
      <c r="L5144" s="444">
        <f t="shared" ca="1" si="202"/>
        <v>-875091590295560.13</v>
      </c>
      <c r="M5144" s="460">
        <f t="shared" si="204"/>
        <v>0.05</v>
      </c>
      <c r="N5144" s="464">
        <f t="shared" si="205"/>
        <v>207612</v>
      </c>
    </row>
    <row r="5145" spans="7:14" ht="11.25" customHeight="1" x14ac:dyDescent="0.25">
      <c r="G5145" s="459"/>
      <c r="H5145" s="459">
        <v>5138</v>
      </c>
      <c r="I5145" s="444">
        <f t="shared" ca="1" si="203"/>
        <v>-875091590295560.13</v>
      </c>
      <c r="J5145" s="444">
        <f t="array" ref="J5145">IFERROR(INDEX('Retirement Calculator'!J:J,MATCH('Isaac 401k'!N5145,'Retirement Calculator'!A:A,0),0),0)</f>
        <v>0</v>
      </c>
      <c r="K5145" s="444">
        <f t="shared" ca="1" si="201"/>
        <v>-3646214959564.834</v>
      </c>
      <c r="L5145" s="444">
        <f t="shared" ca="1" si="202"/>
        <v>-878737805255125</v>
      </c>
      <c r="M5145" s="460">
        <f t="shared" si="204"/>
        <v>0.05</v>
      </c>
      <c r="N5145" s="464">
        <f t="shared" si="205"/>
        <v>207642</v>
      </c>
    </row>
    <row r="5146" spans="7:14" ht="11.25" customHeight="1" x14ac:dyDescent="0.25">
      <c r="G5146" s="459"/>
      <c r="H5146" s="459">
        <v>5139</v>
      </c>
      <c r="I5146" s="444">
        <f t="shared" ca="1" si="203"/>
        <v>-878737805255125</v>
      </c>
      <c r="J5146" s="444">
        <f t="array" ref="J5146">IFERROR(INDEX('Retirement Calculator'!J:J,MATCH('Isaac 401k'!N5146,'Retirement Calculator'!A:A,0),0),0)</f>
        <v>0</v>
      </c>
      <c r="K5146" s="444">
        <f t="shared" ca="1" si="201"/>
        <v>-3661407521896.354</v>
      </c>
      <c r="L5146" s="444">
        <f t="shared" ca="1" si="202"/>
        <v>-882399212777021.38</v>
      </c>
      <c r="M5146" s="460">
        <f t="shared" si="204"/>
        <v>0.05</v>
      </c>
      <c r="N5146" s="464">
        <f t="shared" si="205"/>
        <v>207673</v>
      </c>
    </row>
    <row r="5147" spans="7:14" ht="11.25" customHeight="1" x14ac:dyDescent="0.25">
      <c r="G5147" s="459"/>
      <c r="H5147" s="459">
        <v>5140</v>
      </c>
      <c r="I5147" s="444">
        <f t="shared" ca="1" si="203"/>
        <v>-882399212777021.38</v>
      </c>
      <c r="J5147" s="444">
        <f t="array" ref="J5147">IFERROR(INDEX('Retirement Calculator'!J:J,MATCH('Isaac 401k'!N5147,'Retirement Calculator'!A:A,0),0),0)</f>
        <v>0</v>
      </c>
      <c r="K5147" s="444">
        <f t="shared" ca="1" si="201"/>
        <v>-3676663386570.9219</v>
      </c>
      <c r="L5147" s="444">
        <f t="shared" ca="1" si="202"/>
        <v>-886075876163592.25</v>
      </c>
      <c r="M5147" s="460">
        <f t="shared" si="204"/>
        <v>0.05</v>
      </c>
      <c r="N5147" s="464">
        <f t="shared" si="205"/>
        <v>207704</v>
      </c>
    </row>
    <row r="5148" spans="7:14" ht="11.25" customHeight="1" x14ac:dyDescent="0.25">
      <c r="G5148" s="459"/>
      <c r="H5148" s="459">
        <v>5141</v>
      </c>
      <c r="I5148" s="444">
        <f t="shared" ca="1" si="203"/>
        <v>-886075876163592.25</v>
      </c>
      <c r="J5148" s="444">
        <f t="array" ref="J5148">IFERROR(INDEX('Retirement Calculator'!J:J,MATCH('Isaac 401k'!N5148,'Retirement Calculator'!A:A,0),0),0)</f>
        <v>0</v>
      </c>
      <c r="K5148" s="444">
        <f t="shared" ca="1" si="201"/>
        <v>-3691982817348.3008</v>
      </c>
      <c r="L5148" s="444">
        <f t="shared" ca="1" si="202"/>
        <v>-889767858980940.5</v>
      </c>
      <c r="M5148" s="460">
        <f t="shared" si="204"/>
        <v>0.05</v>
      </c>
      <c r="N5148" s="464">
        <f t="shared" si="205"/>
        <v>207734</v>
      </c>
    </row>
    <row r="5149" spans="7:14" ht="11.25" customHeight="1" x14ac:dyDescent="0.25">
      <c r="G5149" s="459"/>
      <c r="H5149" s="459">
        <v>5142</v>
      </c>
      <c r="I5149" s="444">
        <f t="shared" ca="1" si="203"/>
        <v>-889767858980940.5</v>
      </c>
      <c r="J5149" s="444">
        <f t="array" ref="J5149">IFERROR(INDEX('Retirement Calculator'!J:J,MATCH('Isaac 401k'!N5149,'Retirement Calculator'!A:A,0),0),0)</f>
        <v>0</v>
      </c>
      <c r="K5149" s="444">
        <f t="shared" ca="1" si="201"/>
        <v>-3707366079087.252</v>
      </c>
      <c r="L5149" s="444">
        <f t="shared" ca="1" si="202"/>
        <v>-893475225060027.75</v>
      </c>
      <c r="M5149" s="460">
        <f t="shared" si="204"/>
        <v>0.05</v>
      </c>
      <c r="N5149" s="464">
        <f t="shared" si="205"/>
        <v>207765</v>
      </c>
    </row>
    <row r="5150" spans="7:14" ht="11.25" customHeight="1" x14ac:dyDescent="0.25">
      <c r="G5150" s="459"/>
      <c r="H5150" s="459">
        <v>5143</v>
      </c>
      <c r="I5150" s="444">
        <f t="shared" ca="1" si="203"/>
        <v>-893475225060027.75</v>
      </c>
      <c r="J5150" s="444">
        <f t="array" ref="J5150">IFERROR(INDEX('Retirement Calculator'!J:J,MATCH('Isaac 401k'!N5150,'Retirement Calculator'!A:A,0),0),0)</f>
        <v>0</v>
      </c>
      <c r="K5150" s="444">
        <f t="shared" ca="1" si="201"/>
        <v>-3722813437750.1157</v>
      </c>
      <c r="L5150" s="444">
        <f t="shared" ca="1" si="202"/>
        <v>-897198038497777.88</v>
      </c>
      <c r="M5150" s="460">
        <f t="shared" si="204"/>
        <v>0.05</v>
      </c>
      <c r="N5150" s="464">
        <f t="shared" si="205"/>
        <v>207795</v>
      </c>
    </row>
    <row r="5151" spans="7:14" ht="11.25" customHeight="1" x14ac:dyDescent="0.25">
      <c r="G5151" s="459"/>
      <c r="H5151" s="459">
        <v>5144</v>
      </c>
      <c r="I5151" s="444">
        <f t="shared" ca="1" si="203"/>
        <v>-897198038497777.88</v>
      </c>
      <c r="J5151" s="444">
        <f t="array" ref="J5151">IFERROR(INDEX('Retirement Calculator'!J:J,MATCH('Isaac 401k'!N5151,'Retirement Calculator'!A:A,0),0),0)</f>
        <v>0</v>
      </c>
      <c r="K5151" s="444">
        <f t="shared" ca="1" si="201"/>
        <v>-3738325160407.4077</v>
      </c>
      <c r="L5151" s="444">
        <f t="shared" ca="1" si="202"/>
        <v>-900936363658185.25</v>
      </c>
      <c r="M5151" s="460">
        <f t="shared" si="204"/>
        <v>0.05</v>
      </c>
      <c r="N5151" s="464">
        <f t="shared" si="205"/>
        <v>207826</v>
      </c>
    </row>
    <row r="5152" spans="7:14" ht="11.25" customHeight="1" x14ac:dyDescent="0.25">
      <c r="G5152" s="459"/>
      <c r="H5152" s="459">
        <v>5145</v>
      </c>
      <c r="I5152" s="444">
        <f t="shared" ca="1" si="203"/>
        <v>-900936363658185.25</v>
      </c>
      <c r="J5152" s="444">
        <f t="array" ref="J5152">IFERROR(INDEX('Retirement Calculator'!J:J,MATCH('Isaac 401k'!N5152,'Retirement Calculator'!A:A,0),0),0)</f>
        <v>0</v>
      </c>
      <c r="K5152" s="444">
        <f t="shared" ca="1" si="201"/>
        <v>-3753901515242.439</v>
      </c>
      <c r="L5152" s="444">
        <f t="shared" ca="1" si="202"/>
        <v>-904690265173427.75</v>
      </c>
      <c r="M5152" s="460">
        <f t="shared" si="204"/>
        <v>0.05</v>
      </c>
      <c r="N5152" s="464">
        <f t="shared" si="205"/>
        <v>207857</v>
      </c>
    </row>
    <row r="5153" spans="7:14" ht="11.25" customHeight="1" x14ac:dyDescent="0.25">
      <c r="G5153" s="459"/>
      <c r="H5153" s="459">
        <v>5146</v>
      </c>
      <c r="I5153" s="444">
        <f t="shared" ca="1" si="203"/>
        <v>-904690265173427.75</v>
      </c>
      <c r="J5153" s="444">
        <f t="array" ref="J5153">IFERROR(INDEX('Retirement Calculator'!J:J,MATCH('Isaac 401k'!N5153,'Retirement Calculator'!A:A,0),0),0)</f>
        <v>0</v>
      </c>
      <c r="K5153" s="444">
        <f t="shared" ca="1" si="201"/>
        <v>-3769542771555.9487</v>
      </c>
      <c r="L5153" s="444">
        <f t="shared" ca="1" si="202"/>
        <v>-908459807944983.75</v>
      </c>
      <c r="M5153" s="460">
        <f t="shared" si="204"/>
        <v>0.05</v>
      </c>
      <c r="N5153" s="464">
        <f t="shared" si="205"/>
        <v>207885</v>
      </c>
    </row>
    <row r="5154" spans="7:14" ht="11.25" customHeight="1" x14ac:dyDescent="0.25">
      <c r="G5154" s="459"/>
      <c r="H5154" s="459">
        <v>5147</v>
      </c>
      <c r="I5154" s="444">
        <f t="shared" ca="1" si="203"/>
        <v>-908459807944983.75</v>
      </c>
      <c r="J5154" s="444">
        <f t="array" ref="J5154">IFERROR(INDEX('Retirement Calculator'!J:J,MATCH('Isaac 401k'!N5154,'Retirement Calculator'!A:A,0),0),0)</f>
        <v>0</v>
      </c>
      <c r="K5154" s="444">
        <f t="shared" ca="1" si="201"/>
        <v>-3785249199770.7661</v>
      </c>
      <c r="L5154" s="444">
        <f t="shared" ca="1" si="202"/>
        <v>-912245057144754.5</v>
      </c>
      <c r="M5154" s="460">
        <f t="shared" si="204"/>
        <v>0.05</v>
      </c>
      <c r="N5154" s="464">
        <f t="shared" si="205"/>
        <v>207916</v>
      </c>
    </row>
    <row r="5155" spans="7:14" ht="11.25" customHeight="1" x14ac:dyDescent="0.25">
      <c r="G5155" s="459"/>
      <c r="H5155" s="459">
        <v>5148</v>
      </c>
      <c r="I5155" s="444">
        <f t="shared" ca="1" si="203"/>
        <v>-912245057144754.5</v>
      </c>
      <c r="J5155" s="444">
        <f t="array" ref="J5155">IFERROR(INDEX('Retirement Calculator'!J:J,MATCH('Isaac 401k'!N5155,'Retirement Calculator'!A:A,0),0),0)</f>
        <v>0</v>
      </c>
      <c r="K5155" s="444">
        <f t="shared" ca="1" si="201"/>
        <v>-3801021071436.4775</v>
      </c>
      <c r="L5155" s="444">
        <f t="shared" ca="1" si="202"/>
        <v>-916046078216191</v>
      </c>
      <c r="M5155" s="460">
        <f t="shared" si="204"/>
        <v>0.05</v>
      </c>
      <c r="N5155" s="464">
        <f t="shared" si="205"/>
        <v>207946</v>
      </c>
    </row>
    <row r="5156" spans="7:14" ht="11.25" customHeight="1" x14ac:dyDescent="0.25">
      <c r="G5156" s="459"/>
      <c r="H5156" s="459">
        <v>5149</v>
      </c>
      <c r="I5156" s="444">
        <f t="shared" ca="1" si="203"/>
        <v>-916046078216191</v>
      </c>
      <c r="J5156" s="444">
        <f t="array" ref="J5156">IFERROR(INDEX('Retirement Calculator'!J:J,MATCH('Isaac 401k'!N5156,'Retirement Calculator'!A:A,0),0),0)</f>
        <v>0</v>
      </c>
      <c r="K5156" s="444">
        <f t="shared" ca="1" si="201"/>
        <v>-3816858659234.1284</v>
      </c>
      <c r="L5156" s="444">
        <f t="shared" ca="1" si="202"/>
        <v>-919862936875425.13</v>
      </c>
      <c r="M5156" s="460">
        <f t="shared" si="204"/>
        <v>0.05</v>
      </c>
      <c r="N5156" s="464">
        <f t="shared" si="205"/>
        <v>207977</v>
      </c>
    </row>
    <row r="5157" spans="7:14" ht="11.25" customHeight="1" x14ac:dyDescent="0.25">
      <c r="G5157" s="459"/>
      <c r="H5157" s="459">
        <v>5150</v>
      </c>
      <c r="I5157" s="444">
        <f t="shared" ca="1" si="203"/>
        <v>-919862936875425.13</v>
      </c>
      <c r="J5157" s="444">
        <f t="array" ref="J5157">IFERROR(INDEX('Retirement Calculator'!J:J,MATCH('Isaac 401k'!N5157,'Retirement Calculator'!A:A,0),0),0)</f>
        <v>0</v>
      </c>
      <c r="K5157" s="444">
        <f t="shared" ca="1" si="201"/>
        <v>-3832762236980.938</v>
      </c>
      <c r="L5157" s="444">
        <f t="shared" ca="1" si="202"/>
        <v>-923695699112406.13</v>
      </c>
      <c r="M5157" s="460">
        <f t="shared" si="204"/>
        <v>0.05</v>
      </c>
      <c r="N5157" s="464">
        <f t="shared" si="205"/>
        <v>208007</v>
      </c>
    </row>
    <row r="5158" spans="7:14" ht="11.25" customHeight="1" x14ac:dyDescent="0.25">
      <c r="G5158" s="459"/>
      <c r="H5158" s="459">
        <v>5151</v>
      </c>
      <c r="I5158" s="444">
        <f t="shared" ca="1" si="203"/>
        <v>-923695699112406.13</v>
      </c>
      <c r="J5158" s="444">
        <f t="array" ref="J5158">IFERROR(INDEX('Retirement Calculator'!J:J,MATCH('Isaac 401k'!N5158,'Retirement Calculator'!A:A,0),0),0)</f>
        <v>0</v>
      </c>
      <c r="K5158" s="444">
        <f t="shared" ca="1" si="201"/>
        <v>-3848732079635.0254</v>
      </c>
      <c r="L5158" s="444">
        <f t="shared" ca="1" si="202"/>
        <v>-927544431192041.13</v>
      </c>
      <c r="M5158" s="460">
        <f t="shared" si="204"/>
        <v>0.05</v>
      </c>
      <c r="N5158" s="464">
        <f t="shared" si="205"/>
        <v>208038</v>
      </c>
    </row>
    <row r="5159" spans="7:14" ht="11.25" customHeight="1" x14ac:dyDescent="0.25">
      <c r="G5159" s="459"/>
      <c r="H5159" s="459">
        <v>5152</v>
      </c>
      <c r="I5159" s="444">
        <f t="shared" ca="1" si="203"/>
        <v>-927544431192041.13</v>
      </c>
      <c r="J5159" s="444">
        <f t="array" ref="J5159">IFERROR(INDEX('Retirement Calculator'!J:J,MATCH('Isaac 401k'!N5159,'Retirement Calculator'!A:A,0),0),0)</f>
        <v>0</v>
      </c>
      <c r="K5159" s="444">
        <f t="shared" ca="1" si="201"/>
        <v>-3864768463300.1714</v>
      </c>
      <c r="L5159" s="444">
        <f t="shared" ca="1" si="202"/>
        <v>-931409199655341.25</v>
      </c>
      <c r="M5159" s="460">
        <f t="shared" si="204"/>
        <v>0.05</v>
      </c>
      <c r="N5159" s="464">
        <f t="shared" si="205"/>
        <v>208069</v>
      </c>
    </row>
    <row r="5160" spans="7:14" ht="11.25" customHeight="1" x14ac:dyDescent="0.25">
      <c r="G5160" s="459"/>
      <c r="H5160" s="459">
        <v>5153</v>
      </c>
      <c r="I5160" s="444">
        <f t="shared" ca="1" si="203"/>
        <v>-931409199655341.25</v>
      </c>
      <c r="J5160" s="444">
        <f t="array" ref="J5160">IFERROR(INDEX('Retirement Calculator'!J:J,MATCH('Isaac 401k'!N5160,'Retirement Calculator'!A:A,0),0),0)</f>
        <v>0</v>
      </c>
      <c r="K5160" s="444">
        <f t="shared" ca="1" si="201"/>
        <v>-3880871665230.5884</v>
      </c>
      <c r="L5160" s="444">
        <f t="shared" ca="1" si="202"/>
        <v>-935290071320571.88</v>
      </c>
      <c r="M5160" s="460">
        <f t="shared" si="204"/>
        <v>0.05</v>
      </c>
      <c r="N5160" s="464">
        <f t="shared" si="205"/>
        <v>208099</v>
      </c>
    </row>
    <row r="5161" spans="7:14" ht="11.25" customHeight="1" x14ac:dyDescent="0.25">
      <c r="G5161" s="459"/>
      <c r="H5161" s="459">
        <v>5154</v>
      </c>
      <c r="I5161" s="444">
        <f t="shared" ca="1" si="203"/>
        <v>-935290071320571.88</v>
      </c>
      <c r="J5161" s="444">
        <f t="array" ref="J5161">IFERROR(INDEX('Retirement Calculator'!J:J,MATCH('Isaac 401k'!N5161,'Retirement Calculator'!A:A,0),0),0)</f>
        <v>0</v>
      </c>
      <c r="K5161" s="444">
        <f t="shared" ca="1" si="201"/>
        <v>-3897041963835.7163</v>
      </c>
      <c r="L5161" s="444">
        <f t="shared" ca="1" si="202"/>
        <v>-939187113284407.63</v>
      </c>
      <c r="M5161" s="460">
        <f t="shared" si="204"/>
        <v>0.05</v>
      </c>
      <c r="N5161" s="464">
        <f t="shared" si="205"/>
        <v>208130</v>
      </c>
    </row>
    <row r="5162" spans="7:14" ht="11.25" customHeight="1" x14ac:dyDescent="0.25">
      <c r="G5162" s="459"/>
      <c r="H5162" s="459">
        <v>5155</v>
      </c>
      <c r="I5162" s="444">
        <f t="shared" ca="1" si="203"/>
        <v>-939187113284407.63</v>
      </c>
      <c r="J5162" s="444">
        <f t="array" ref="J5162">IFERROR(INDEX('Retirement Calculator'!J:J,MATCH('Isaac 401k'!N5162,'Retirement Calculator'!A:A,0),0),0)</f>
        <v>0</v>
      </c>
      <c r="K5162" s="444">
        <f t="shared" ca="1" si="201"/>
        <v>-3913279638685.0313</v>
      </c>
      <c r="L5162" s="444">
        <f t="shared" ca="1" si="202"/>
        <v>-943100392923092.63</v>
      </c>
      <c r="M5162" s="460">
        <f t="shared" si="204"/>
        <v>0.05</v>
      </c>
      <c r="N5162" s="464">
        <f t="shared" si="205"/>
        <v>208160</v>
      </c>
    </row>
    <row r="5163" spans="7:14" ht="11.25" customHeight="1" x14ac:dyDescent="0.25">
      <c r="G5163" s="459"/>
      <c r="H5163" s="459">
        <v>5156</v>
      </c>
      <c r="I5163" s="444">
        <f t="shared" ca="1" si="203"/>
        <v>-943100392923092.63</v>
      </c>
      <c r="J5163" s="444">
        <f t="array" ref="J5163">IFERROR(INDEX('Retirement Calculator'!J:J,MATCH('Isaac 401k'!N5163,'Retirement Calculator'!A:A,0),0),0)</f>
        <v>0</v>
      </c>
      <c r="K5163" s="444">
        <f t="shared" ca="1" si="201"/>
        <v>-3929584970512.8857</v>
      </c>
      <c r="L5163" s="444">
        <f t="shared" ca="1" si="202"/>
        <v>-947029977893605.5</v>
      </c>
      <c r="M5163" s="460">
        <f t="shared" si="204"/>
        <v>0.05</v>
      </c>
      <c r="N5163" s="464">
        <f t="shared" si="205"/>
        <v>208191</v>
      </c>
    </row>
    <row r="5164" spans="7:14" ht="11.25" customHeight="1" x14ac:dyDescent="0.25">
      <c r="G5164" s="459"/>
      <c r="H5164" s="459">
        <v>5157</v>
      </c>
      <c r="I5164" s="444">
        <f t="shared" ca="1" si="203"/>
        <v>-947029977893605.5</v>
      </c>
      <c r="J5164" s="444">
        <f t="array" ref="J5164">IFERROR(INDEX('Retirement Calculator'!J:J,MATCH('Isaac 401k'!N5164,'Retirement Calculator'!A:A,0),0),0)</f>
        <v>0</v>
      </c>
      <c r="K5164" s="444">
        <f t="shared" ca="1" si="201"/>
        <v>-3945958241223.3569</v>
      </c>
      <c r="L5164" s="444">
        <f t="shared" ca="1" si="202"/>
        <v>-950975936134828.88</v>
      </c>
      <c r="M5164" s="460">
        <f t="shared" si="204"/>
        <v>0.05</v>
      </c>
      <c r="N5164" s="464">
        <f t="shared" si="205"/>
        <v>208222</v>
      </c>
    </row>
    <row r="5165" spans="7:14" ht="11.25" customHeight="1" x14ac:dyDescent="0.25">
      <c r="G5165" s="459"/>
      <c r="H5165" s="459">
        <v>5158</v>
      </c>
      <c r="I5165" s="444">
        <f t="shared" ca="1" si="203"/>
        <v>-950975936134828.88</v>
      </c>
      <c r="J5165" s="444">
        <f t="array" ref="J5165">IFERROR(INDEX('Retirement Calculator'!J:J,MATCH('Isaac 401k'!N5165,'Retirement Calculator'!A:A,0),0),0)</f>
        <v>0</v>
      </c>
      <c r="K5165" s="444">
        <f t="shared" ca="1" si="201"/>
        <v>-3962399733895.1206</v>
      </c>
      <c r="L5165" s="444">
        <f t="shared" ca="1" si="202"/>
        <v>-954938335868724</v>
      </c>
      <c r="M5165" s="460">
        <f t="shared" si="204"/>
        <v>0.05</v>
      </c>
      <c r="N5165" s="464">
        <f t="shared" si="205"/>
        <v>208250</v>
      </c>
    </row>
    <row r="5166" spans="7:14" ht="11.25" customHeight="1" x14ac:dyDescent="0.25">
      <c r="G5166" s="459"/>
      <c r="H5166" s="459">
        <v>5159</v>
      </c>
      <c r="I5166" s="444">
        <f t="shared" ca="1" si="203"/>
        <v>-954938335868724</v>
      </c>
      <c r="J5166" s="444">
        <f t="array" ref="J5166">IFERROR(INDEX('Retirement Calculator'!J:J,MATCH('Isaac 401k'!N5166,'Retirement Calculator'!A:A,0),0),0)</f>
        <v>0</v>
      </c>
      <c r="K5166" s="444">
        <f t="shared" ca="1" si="201"/>
        <v>-3978909732786.3501</v>
      </c>
      <c r="L5166" s="444">
        <f t="shared" ca="1" si="202"/>
        <v>-958917245601510.38</v>
      </c>
      <c r="M5166" s="460">
        <f t="shared" si="204"/>
        <v>0.05</v>
      </c>
      <c r="N5166" s="464">
        <f t="shared" si="205"/>
        <v>208281</v>
      </c>
    </row>
    <row r="5167" spans="7:14" ht="11.25" customHeight="1" x14ac:dyDescent="0.25">
      <c r="G5167" s="459"/>
      <c r="H5167" s="459">
        <v>5160</v>
      </c>
      <c r="I5167" s="444">
        <f t="shared" ca="1" si="203"/>
        <v>-958917245601510.38</v>
      </c>
      <c r="J5167" s="444">
        <f t="array" ref="J5167">IFERROR(INDEX('Retirement Calculator'!J:J,MATCH('Isaac 401k'!N5167,'Retirement Calculator'!A:A,0),0),0)</f>
        <v>0</v>
      </c>
      <c r="K5167" s="444">
        <f t="shared" ca="1" si="201"/>
        <v>-3995488523339.627</v>
      </c>
      <c r="L5167" s="444">
        <f t="shared" ca="1" si="202"/>
        <v>-962912734124850</v>
      </c>
      <c r="M5167" s="460">
        <f t="shared" si="204"/>
        <v>0.05</v>
      </c>
      <c r="N5167" s="464">
        <f t="shared" si="205"/>
        <v>208311</v>
      </c>
    </row>
    <row r="5168" spans="7:14" ht="11.25" customHeight="1" x14ac:dyDescent="0.25">
      <c r="G5168" s="459"/>
      <c r="H5168" s="459">
        <v>5161</v>
      </c>
      <c r="I5168" s="444">
        <f t="shared" ca="1" si="203"/>
        <v>-962912734124850</v>
      </c>
      <c r="J5168" s="444">
        <f t="array" ref="J5168">IFERROR(INDEX('Retirement Calculator'!J:J,MATCH('Isaac 401k'!N5168,'Retirement Calculator'!A:A,0),0),0)</f>
        <v>0</v>
      </c>
      <c r="K5168" s="444">
        <f t="shared" ca="1" si="201"/>
        <v>-4012136392186.875</v>
      </c>
      <c r="L5168" s="444">
        <f t="shared" ca="1" si="202"/>
        <v>-966924870517036.88</v>
      </c>
      <c r="M5168" s="460">
        <f t="shared" si="204"/>
        <v>0.05</v>
      </c>
      <c r="N5168" s="464">
        <f t="shared" si="205"/>
        <v>208342</v>
      </c>
    </row>
    <row r="5169" spans="7:14" ht="11.25" customHeight="1" x14ac:dyDescent="0.25">
      <c r="G5169" s="459"/>
      <c r="H5169" s="459">
        <v>5162</v>
      </c>
      <c r="I5169" s="444">
        <f t="shared" ca="1" si="203"/>
        <v>-966924870517036.88</v>
      </c>
      <c r="J5169" s="444">
        <f t="array" ref="J5169">IFERROR(INDEX('Retirement Calculator'!J:J,MATCH('Isaac 401k'!N5169,'Retirement Calculator'!A:A,0),0),0)</f>
        <v>0</v>
      </c>
      <c r="K5169" s="444">
        <f t="shared" ca="1" si="201"/>
        <v>-4028853627154.3203</v>
      </c>
      <c r="L5169" s="444">
        <f t="shared" ca="1" si="202"/>
        <v>-970953724144191.25</v>
      </c>
      <c r="M5169" s="460">
        <f t="shared" si="204"/>
        <v>0.05</v>
      </c>
      <c r="N5169" s="464">
        <f t="shared" si="205"/>
        <v>208372</v>
      </c>
    </row>
    <row r="5170" spans="7:14" ht="11.25" customHeight="1" x14ac:dyDescent="0.25">
      <c r="G5170" s="459"/>
      <c r="H5170" s="459">
        <v>5163</v>
      </c>
      <c r="I5170" s="444">
        <f t="shared" ca="1" si="203"/>
        <v>-970953724144191.25</v>
      </c>
      <c r="J5170" s="444">
        <f t="array" ref="J5170">IFERROR(INDEX('Retirement Calculator'!J:J,MATCH('Isaac 401k'!N5170,'Retirement Calculator'!A:A,0),0),0)</f>
        <v>0</v>
      </c>
      <c r="K5170" s="444">
        <f t="shared" ca="1" si="201"/>
        <v>-4045640517267.4629</v>
      </c>
      <c r="L5170" s="444">
        <f t="shared" ca="1" si="202"/>
        <v>-974999364661458.75</v>
      </c>
      <c r="M5170" s="460">
        <f t="shared" si="204"/>
        <v>0.05</v>
      </c>
      <c r="N5170" s="464">
        <f t="shared" si="205"/>
        <v>208403</v>
      </c>
    </row>
    <row r="5171" spans="7:14" ht="11.25" customHeight="1" x14ac:dyDescent="0.25">
      <c r="G5171" s="459"/>
      <c r="H5171" s="459">
        <v>5164</v>
      </c>
      <c r="I5171" s="444">
        <f t="shared" ca="1" si="203"/>
        <v>-974999364661458.75</v>
      </c>
      <c r="J5171" s="444">
        <f t="array" ref="J5171">IFERROR(INDEX('Retirement Calculator'!J:J,MATCH('Isaac 401k'!N5171,'Retirement Calculator'!A:A,0),0),0)</f>
        <v>0</v>
      </c>
      <c r="K5171" s="444">
        <f t="shared" ca="1" si="201"/>
        <v>-4062497352756.0781</v>
      </c>
      <c r="L5171" s="444">
        <f t="shared" ca="1" si="202"/>
        <v>-979061862014214.88</v>
      </c>
      <c r="M5171" s="460">
        <f t="shared" si="204"/>
        <v>0.05</v>
      </c>
      <c r="N5171" s="464">
        <f t="shared" si="205"/>
        <v>208434</v>
      </c>
    </row>
    <row r="5172" spans="7:14" ht="11.25" customHeight="1" x14ac:dyDescent="0.25">
      <c r="G5172" s="459"/>
      <c r="H5172" s="459">
        <v>5165</v>
      </c>
      <c r="I5172" s="444">
        <f t="shared" ca="1" si="203"/>
        <v>-979061862014214.88</v>
      </c>
      <c r="J5172" s="444">
        <f t="array" ref="J5172">IFERROR(INDEX('Retirement Calculator'!J:J,MATCH('Isaac 401k'!N5172,'Retirement Calculator'!A:A,0),0),0)</f>
        <v>0</v>
      </c>
      <c r="K5172" s="444">
        <f t="shared" ca="1" si="201"/>
        <v>-4079424425059.2285</v>
      </c>
      <c r="L5172" s="444">
        <f t="shared" ca="1" si="202"/>
        <v>-983141286439274.13</v>
      </c>
      <c r="M5172" s="460">
        <f t="shared" si="204"/>
        <v>0.05</v>
      </c>
      <c r="N5172" s="464">
        <f t="shared" si="205"/>
        <v>208464</v>
      </c>
    </row>
    <row r="5173" spans="7:14" ht="11.25" customHeight="1" x14ac:dyDescent="0.25">
      <c r="G5173" s="459"/>
      <c r="H5173" s="459">
        <v>5166</v>
      </c>
      <c r="I5173" s="444">
        <f t="shared" ca="1" si="203"/>
        <v>-983141286439274.13</v>
      </c>
      <c r="J5173" s="444">
        <f t="array" ref="J5173">IFERROR(INDEX('Retirement Calculator'!J:J,MATCH('Isaac 401k'!N5173,'Retirement Calculator'!A:A,0),0),0)</f>
        <v>0</v>
      </c>
      <c r="K5173" s="444">
        <f t="shared" ca="1" si="201"/>
        <v>-4096422026830.3086</v>
      </c>
      <c r="L5173" s="444">
        <f t="shared" ca="1" si="202"/>
        <v>-987237708466104.38</v>
      </c>
      <c r="M5173" s="460">
        <f t="shared" si="204"/>
        <v>0.05</v>
      </c>
      <c r="N5173" s="464">
        <f t="shared" si="205"/>
        <v>208495</v>
      </c>
    </row>
    <row r="5174" spans="7:14" ht="11.25" customHeight="1" x14ac:dyDescent="0.25">
      <c r="G5174" s="459"/>
      <c r="H5174" s="459">
        <v>5167</v>
      </c>
      <c r="I5174" s="444">
        <f t="shared" ca="1" si="203"/>
        <v>-987237708466104.38</v>
      </c>
      <c r="J5174" s="444">
        <f t="array" ref="J5174">IFERROR(INDEX('Retirement Calculator'!J:J,MATCH('Isaac 401k'!N5174,'Retirement Calculator'!A:A,0),0),0)</f>
        <v>0</v>
      </c>
      <c r="K5174" s="444">
        <f t="shared" ca="1" si="201"/>
        <v>-4113490451942.1016</v>
      </c>
      <c r="L5174" s="444">
        <f t="shared" ca="1" si="202"/>
        <v>-991351198918046.5</v>
      </c>
      <c r="M5174" s="460">
        <f t="shared" si="204"/>
        <v>0.05</v>
      </c>
      <c r="N5174" s="464">
        <f t="shared" si="205"/>
        <v>208525</v>
      </c>
    </row>
    <row r="5175" spans="7:14" ht="11.25" customHeight="1" x14ac:dyDescent="0.25">
      <c r="G5175" s="459"/>
      <c r="H5175" s="459">
        <v>5168</v>
      </c>
      <c r="I5175" s="444">
        <f t="shared" ca="1" si="203"/>
        <v>-991351198918046.5</v>
      </c>
      <c r="J5175" s="444">
        <f t="array" ref="J5175">IFERROR(INDEX('Retirement Calculator'!J:J,MATCH('Isaac 401k'!N5175,'Retirement Calculator'!A:A,0),0),0)</f>
        <v>0</v>
      </c>
      <c r="K5175" s="444">
        <f t="shared" ca="1" si="201"/>
        <v>-4130629995491.8604</v>
      </c>
      <c r="L5175" s="444">
        <f t="shared" ca="1" si="202"/>
        <v>-995481828913538.38</v>
      </c>
      <c r="M5175" s="460">
        <f t="shared" si="204"/>
        <v>0.05</v>
      </c>
      <c r="N5175" s="464">
        <f t="shared" si="205"/>
        <v>208556</v>
      </c>
    </row>
    <row r="5176" spans="7:14" ht="11.25" customHeight="1" x14ac:dyDescent="0.25">
      <c r="G5176" s="459"/>
      <c r="H5176" s="459">
        <v>5169</v>
      </c>
      <c r="I5176" s="444">
        <f t="shared" ca="1" si="203"/>
        <v>-995481828913538.38</v>
      </c>
      <c r="J5176" s="444">
        <f t="array" ref="J5176">IFERROR(INDEX('Retirement Calculator'!J:J,MATCH('Isaac 401k'!N5176,'Retirement Calculator'!A:A,0),0),0)</f>
        <v>0</v>
      </c>
      <c r="K5176" s="444">
        <f t="shared" ca="1" si="201"/>
        <v>-4147840953806.4097</v>
      </c>
      <c r="L5176" s="444">
        <f t="shared" ca="1" si="202"/>
        <v>-999629669867344.75</v>
      </c>
      <c r="M5176" s="460">
        <f t="shared" si="204"/>
        <v>0.05</v>
      </c>
      <c r="N5176" s="464">
        <f t="shared" si="205"/>
        <v>208587</v>
      </c>
    </row>
    <row r="5177" spans="7:14" ht="11.25" customHeight="1" x14ac:dyDescent="0.25">
      <c r="G5177" s="459"/>
      <c r="H5177" s="459">
        <v>5170</v>
      </c>
      <c r="I5177" s="444">
        <f t="shared" ca="1" si="203"/>
        <v>-999629669867344.75</v>
      </c>
      <c r="J5177" s="444">
        <f t="array" ref="J5177">IFERROR(INDEX('Retirement Calculator'!J:J,MATCH('Isaac 401k'!N5177,'Retirement Calculator'!A:A,0),0),0)</f>
        <v>0</v>
      </c>
      <c r="K5177" s="444">
        <f t="shared" ca="1" si="201"/>
        <v>-4165123624447.269</v>
      </c>
      <c r="L5177" s="444">
        <f t="shared" ca="1" si="202"/>
        <v>-1003794793491792</v>
      </c>
      <c r="M5177" s="460">
        <f t="shared" si="204"/>
        <v>0.05</v>
      </c>
      <c r="N5177" s="464">
        <f t="shared" si="205"/>
        <v>208615</v>
      </c>
    </row>
    <row r="5178" spans="7:14" ht="11.25" customHeight="1" x14ac:dyDescent="0.25">
      <c r="G5178" s="459"/>
      <c r="H5178" s="459">
        <v>5171</v>
      </c>
      <c r="I5178" s="444">
        <f t="shared" ca="1" si="203"/>
        <v>-1003794793491792</v>
      </c>
      <c r="J5178" s="444">
        <f t="array" ref="J5178">IFERROR(INDEX('Retirement Calculator'!J:J,MATCH('Isaac 401k'!N5178,'Retirement Calculator'!A:A,0),0),0)</f>
        <v>0</v>
      </c>
      <c r="K5178" s="444">
        <f t="shared" ca="1" si="201"/>
        <v>-4182478306215.7993</v>
      </c>
      <c r="L5178" s="444">
        <f t="shared" ca="1" si="202"/>
        <v>-1007977271798007.8</v>
      </c>
      <c r="M5178" s="460">
        <f t="shared" si="204"/>
        <v>0.05</v>
      </c>
      <c r="N5178" s="464">
        <f t="shared" si="205"/>
        <v>208646</v>
      </c>
    </row>
    <row r="5179" spans="7:14" ht="11.25" customHeight="1" x14ac:dyDescent="0.25">
      <c r="G5179" s="459"/>
      <c r="H5179" s="459">
        <v>5172</v>
      </c>
      <c r="I5179" s="444">
        <f t="shared" ca="1" si="203"/>
        <v>-1007977271798007.8</v>
      </c>
      <c r="J5179" s="444">
        <f t="array" ref="J5179">IFERROR(INDEX('Retirement Calculator'!J:J,MATCH('Isaac 401k'!N5179,'Retirement Calculator'!A:A,0),0),0)</f>
        <v>0</v>
      </c>
      <c r="K5179" s="444">
        <f t="shared" ca="1" si="201"/>
        <v>-4199905299158.3657</v>
      </c>
      <c r="L5179" s="444">
        <f t="shared" ca="1" si="202"/>
        <v>-1012177177097166.1</v>
      </c>
      <c r="M5179" s="460">
        <f t="shared" si="204"/>
        <v>0.05</v>
      </c>
      <c r="N5179" s="464">
        <f t="shared" si="205"/>
        <v>208676</v>
      </c>
    </row>
    <row r="5180" spans="7:14" ht="11.25" customHeight="1" x14ac:dyDescent="0.25">
      <c r="G5180" s="459"/>
      <c r="H5180" s="459">
        <v>5173</v>
      </c>
      <c r="I5180" s="444">
        <f t="shared" ca="1" si="203"/>
        <v>-1012177177097166.1</v>
      </c>
      <c r="J5180" s="444">
        <f t="array" ref="J5180">IFERROR(INDEX('Retirement Calculator'!J:J,MATCH('Isaac 401k'!N5180,'Retirement Calculator'!A:A,0),0),0)</f>
        <v>0</v>
      </c>
      <c r="K5180" s="444">
        <f t="shared" ca="1" si="201"/>
        <v>-4217404904571.5254</v>
      </c>
      <c r="L5180" s="444">
        <f t="shared" ca="1" si="202"/>
        <v>-1016394582001737.6</v>
      </c>
      <c r="M5180" s="460">
        <f t="shared" si="204"/>
        <v>0.05</v>
      </c>
      <c r="N5180" s="464">
        <f t="shared" si="205"/>
        <v>208707</v>
      </c>
    </row>
    <row r="5181" spans="7:14" ht="11.25" customHeight="1" x14ac:dyDescent="0.25">
      <c r="G5181" s="459"/>
      <c r="H5181" s="459">
        <v>5174</v>
      </c>
      <c r="I5181" s="444">
        <f t="shared" ca="1" si="203"/>
        <v>-1016394582001737.6</v>
      </c>
      <c r="J5181" s="444">
        <f t="array" ref="J5181">IFERROR(INDEX('Retirement Calculator'!J:J,MATCH('Isaac 401k'!N5181,'Retirement Calculator'!A:A,0),0),0)</f>
        <v>0</v>
      </c>
      <c r="K5181" s="444">
        <f t="shared" ca="1" si="201"/>
        <v>-4234977425007.2402</v>
      </c>
      <c r="L5181" s="444">
        <f t="shared" ca="1" si="202"/>
        <v>-1020629559426744.9</v>
      </c>
      <c r="M5181" s="460">
        <f t="shared" si="204"/>
        <v>0.05</v>
      </c>
      <c r="N5181" s="464">
        <f t="shared" si="205"/>
        <v>208737</v>
      </c>
    </row>
    <row r="5182" spans="7:14" ht="11.25" customHeight="1" x14ac:dyDescent="0.25">
      <c r="G5182" s="459"/>
      <c r="H5182" s="459">
        <v>5175</v>
      </c>
      <c r="I5182" s="444">
        <f t="shared" ca="1" si="203"/>
        <v>-1020629559426744.9</v>
      </c>
      <c r="J5182" s="444">
        <f t="array" ref="J5182">IFERROR(INDEX('Retirement Calculator'!J:J,MATCH('Isaac 401k'!N5182,'Retirement Calculator'!A:A,0),0),0)</f>
        <v>0</v>
      </c>
      <c r="K5182" s="444">
        <f t="shared" ca="1" si="201"/>
        <v>-4252623164278.104</v>
      </c>
      <c r="L5182" s="444">
        <f t="shared" ca="1" si="202"/>
        <v>-1024882182591023</v>
      </c>
      <c r="M5182" s="460">
        <f t="shared" si="204"/>
        <v>0.05</v>
      </c>
      <c r="N5182" s="464">
        <f t="shared" si="205"/>
        <v>208768</v>
      </c>
    </row>
    <row r="5183" spans="7:14" ht="11.25" customHeight="1" x14ac:dyDescent="0.25">
      <c r="G5183" s="459"/>
      <c r="H5183" s="459">
        <v>5176</v>
      </c>
      <c r="I5183" s="444">
        <f t="shared" ca="1" si="203"/>
        <v>-1024882182591023</v>
      </c>
      <c r="J5183" s="444">
        <f t="array" ref="J5183">IFERROR(INDEX('Retirement Calculator'!J:J,MATCH('Isaac 401k'!N5183,'Retirement Calculator'!A:A,0),0),0)</f>
        <v>0</v>
      </c>
      <c r="K5183" s="444">
        <f t="shared" ca="1" si="201"/>
        <v>-4270342427462.5957</v>
      </c>
      <c r="L5183" s="444">
        <f t="shared" ca="1" si="202"/>
        <v>-1029152525018485.6</v>
      </c>
      <c r="M5183" s="460">
        <f t="shared" si="204"/>
        <v>0.05</v>
      </c>
      <c r="N5183" s="464">
        <f t="shared" si="205"/>
        <v>208799</v>
      </c>
    </row>
    <row r="5184" spans="7:14" ht="11.25" customHeight="1" x14ac:dyDescent="0.25">
      <c r="G5184" s="459"/>
      <c r="H5184" s="459">
        <v>5177</v>
      </c>
      <c r="I5184" s="444">
        <f t="shared" ca="1" si="203"/>
        <v>-1029152525018485.6</v>
      </c>
      <c r="J5184" s="444">
        <f t="array" ref="J5184">IFERROR(INDEX('Retirement Calculator'!J:J,MATCH('Isaac 401k'!N5184,'Retirement Calculator'!A:A,0),0),0)</f>
        <v>0</v>
      </c>
      <c r="K5184" s="444">
        <f t="shared" ca="1" si="201"/>
        <v>-4288135520910.3569</v>
      </c>
      <c r="L5184" s="444">
        <f t="shared" ca="1" si="202"/>
        <v>-1033440660539396</v>
      </c>
      <c r="M5184" s="460">
        <f t="shared" si="204"/>
        <v>0.05</v>
      </c>
      <c r="N5184" s="464">
        <f t="shared" si="205"/>
        <v>208829</v>
      </c>
    </row>
    <row r="5185" spans="7:14" ht="11.25" customHeight="1" x14ac:dyDescent="0.25">
      <c r="G5185" s="459"/>
      <c r="H5185" s="459">
        <v>5178</v>
      </c>
      <c r="I5185" s="444">
        <f t="shared" ca="1" si="203"/>
        <v>-1033440660539396</v>
      </c>
      <c r="J5185" s="444">
        <f t="array" ref="J5185">IFERROR(INDEX('Retirement Calculator'!J:J,MATCH('Isaac 401k'!N5185,'Retirement Calculator'!A:A,0),0),0)</f>
        <v>0</v>
      </c>
      <c r="K5185" s="444">
        <f t="shared" ca="1" si="201"/>
        <v>-4306002752247.4834</v>
      </c>
      <c r="L5185" s="444">
        <f t="shared" ca="1" si="202"/>
        <v>-1037746663291643.5</v>
      </c>
      <c r="M5185" s="460">
        <f t="shared" si="204"/>
        <v>0.05</v>
      </c>
      <c r="N5185" s="464">
        <f t="shared" si="205"/>
        <v>208860</v>
      </c>
    </row>
    <row r="5186" spans="7:14" ht="11.25" customHeight="1" x14ac:dyDescent="0.25">
      <c r="G5186" s="459"/>
      <c r="H5186" s="459">
        <v>5179</v>
      </c>
      <c r="I5186" s="444">
        <f t="shared" ca="1" si="203"/>
        <v>-1037746663291643.5</v>
      </c>
      <c r="J5186" s="444">
        <f t="array" ref="J5186">IFERROR(INDEX('Retirement Calculator'!J:J,MATCH('Isaac 401k'!N5186,'Retirement Calculator'!A:A,0),0),0)</f>
        <v>0</v>
      </c>
      <c r="K5186" s="444">
        <f t="shared" ca="1" si="201"/>
        <v>-4323944430381.8477</v>
      </c>
      <c r="L5186" s="444">
        <f t="shared" ca="1" si="202"/>
        <v>-1042070607722025.4</v>
      </c>
      <c r="M5186" s="460">
        <f t="shared" si="204"/>
        <v>0.05</v>
      </c>
      <c r="N5186" s="464">
        <f t="shared" si="205"/>
        <v>208890</v>
      </c>
    </row>
    <row r="5187" spans="7:14" ht="11.25" customHeight="1" x14ac:dyDescent="0.25">
      <c r="G5187" s="459"/>
      <c r="H5187" s="459">
        <v>5180</v>
      </c>
      <c r="I5187" s="444">
        <f t="shared" ca="1" si="203"/>
        <v>-1042070607722025.4</v>
      </c>
      <c r="J5187" s="444">
        <f t="array" ref="J5187">IFERROR(INDEX('Retirement Calculator'!J:J,MATCH('Isaac 401k'!N5187,'Retirement Calculator'!A:A,0),0),0)</f>
        <v>0</v>
      </c>
      <c r="K5187" s="444">
        <f t="shared" ca="1" si="201"/>
        <v>-4341960865508.4395</v>
      </c>
      <c r="L5187" s="444">
        <f t="shared" ca="1" si="202"/>
        <v>-1046412568587533.9</v>
      </c>
      <c r="M5187" s="460">
        <f t="shared" si="204"/>
        <v>0.05</v>
      </c>
      <c r="N5187" s="464">
        <f t="shared" si="205"/>
        <v>208921</v>
      </c>
    </row>
    <row r="5188" spans="7:14" ht="11.25" customHeight="1" x14ac:dyDescent="0.25">
      <c r="G5188" s="459"/>
      <c r="H5188" s="459">
        <v>5181</v>
      </c>
      <c r="I5188" s="444">
        <f t="shared" ca="1" si="203"/>
        <v>-1046412568587533.9</v>
      </c>
      <c r="J5188" s="444">
        <f t="array" ref="J5188">IFERROR(INDEX('Retirement Calculator'!J:J,MATCH('Isaac 401k'!N5188,'Retirement Calculator'!A:A,0),0),0)</f>
        <v>0</v>
      </c>
      <c r="K5188" s="444">
        <f t="shared" ca="1" si="201"/>
        <v>-4360052369114.7246</v>
      </c>
      <c r="L5188" s="444">
        <f t="shared" ca="1" si="202"/>
        <v>-1050772620956648.6</v>
      </c>
      <c r="M5188" s="460">
        <f t="shared" si="204"/>
        <v>0.05</v>
      </c>
      <c r="N5188" s="464">
        <f t="shared" si="205"/>
        <v>208952</v>
      </c>
    </row>
    <row r="5189" spans="7:14" ht="11.25" customHeight="1" x14ac:dyDescent="0.25">
      <c r="G5189" s="459"/>
      <c r="H5189" s="459">
        <v>5182</v>
      </c>
      <c r="I5189" s="444">
        <f t="shared" ca="1" si="203"/>
        <v>-1050772620956648.6</v>
      </c>
      <c r="J5189" s="444">
        <f t="array" ref="J5189">IFERROR(INDEX('Retirement Calculator'!J:J,MATCH('Isaac 401k'!N5189,'Retirement Calculator'!A:A,0),0),0)</f>
        <v>0</v>
      </c>
      <c r="K5189" s="444">
        <f t="shared" ca="1" si="201"/>
        <v>-4378219253986.0356</v>
      </c>
      <c r="L5189" s="444">
        <f t="shared" ca="1" si="202"/>
        <v>-1055150840210634.6</v>
      </c>
      <c r="M5189" s="460">
        <f t="shared" si="204"/>
        <v>0.05</v>
      </c>
      <c r="N5189" s="464">
        <f t="shared" si="205"/>
        <v>208981</v>
      </c>
    </row>
    <row r="5190" spans="7:14" ht="11.25" customHeight="1" x14ac:dyDescent="0.25">
      <c r="G5190" s="459"/>
      <c r="H5190" s="459">
        <v>5183</v>
      </c>
      <c r="I5190" s="444">
        <f t="shared" ca="1" si="203"/>
        <v>-1055150840210634.6</v>
      </c>
      <c r="J5190" s="444">
        <f t="array" ref="J5190">IFERROR(INDEX('Retirement Calculator'!J:J,MATCH('Isaac 401k'!N5190,'Retirement Calculator'!A:A,0),0),0)</f>
        <v>0</v>
      </c>
      <c r="K5190" s="444">
        <f t="shared" ca="1" si="201"/>
        <v>-4396461834210.978</v>
      </c>
      <c r="L5190" s="444">
        <f t="shared" ca="1" si="202"/>
        <v>-1059547302044845.6</v>
      </c>
      <c r="M5190" s="460">
        <f t="shared" si="204"/>
        <v>0.05</v>
      </c>
      <c r="N5190" s="464">
        <f t="shared" si="205"/>
        <v>209012</v>
      </c>
    </row>
    <row r="5191" spans="7:14" ht="11.25" customHeight="1" x14ac:dyDescent="0.25">
      <c r="G5191" s="459"/>
      <c r="H5191" s="459">
        <v>5184</v>
      </c>
      <c r="I5191" s="444">
        <f t="shared" ca="1" si="203"/>
        <v>-1059547302044845.6</v>
      </c>
      <c r="J5191" s="444">
        <f t="array" ref="J5191">IFERROR(INDEX('Retirement Calculator'!J:J,MATCH('Isaac 401k'!N5191,'Retirement Calculator'!A:A,0),0),0)</f>
        <v>0</v>
      </c>
      <c r="K5191" s="444">
        <f t="shared" ca="1" si="201"/>
        <v>-4414780425186.8564</v>
      </c>
      <c r="L5191" s="444">
        <f t="shared" ca="1" si="202"/>
        <v>-1063962082470032.5</v>
      </c>
      <c r="M5191" s="460">
        <f t="shared" si="204"/>
        <v>0.05</v>
      </c>
      <c r="N5191" s="464">
        <f t="shared" si="205"/>
        <v>209042</v>
      </c>
    </row>
    <row r="5192" spans="7:14" ht="11.25" customHeight="1" x14ac:dyDescent="0.25">
      <c r="G5192" s="459"/>
      <c r="H5192" s="459">
        <v>5185</v>
      </c>
      <c r="I5192" s="444">
        <f t="shared" ca="1" si="203"/>
        <v>-1063962082470032.5</v>
      </c>
      <c r="J5192" s="444">
        <f t="array" ref="J5192">IFERROR(INDEX('Retirement Calculator'!J:J,MATCH('Isaac 401k'!N5192,'Retirement Calculator'!A:A,0),0),0)</f>
        <v>0</v>
      </c>
      <c r="K5192" s="444">
        <f t="shared" ca="1" si="201"/>
        <v>-4433175343625.1357</v>
      </c>
      <c r="L5192" s="444">
        <f t="shared" ca="1" si="202"/>
        <v>-1068395257813657.6</v>
      </c>
      <c r="M5192" s="460">
        <f t="shared" si="204"/>
        <v>0.05</v>
      </c>
      <c r="N5192" s="464">
        <f t="shared" si="205"/>
        <v>209073</v>
      </c>
    </row>
    <row r="5193" spans="7:14" ht="11.25" customHeight="1" x14ac:dyDescent="0.25">
      <c r="G5193" s="459"/>
      <c r="H5193" s="459">
        <v>5186</v>
      </c>
      <c r="I5193" s="444">
        <f t="shared" ca="1" si="203"/>
        <v>-1068395257813657.6</v>
      </c>
      <c r="J5193" s="444">
        <f t="array" ref="J5193">IFERROR(INDEX('Retirement Calculator'!J:J,MATCH('Isaac 401k'!N5193,'Retirement Calculator'!A:A,0),0),0)</f>
        <v>0</v>
      </c>
      <c r="K5193" s="444">
        <f t="shared" ca="1" si="201"/>
        <v>-4451646907556.9063</v>
      </c>
      <c r="L5193" s="444">
        <f t="shared" ca="1" si="202"/>
        <v>-1072846904721214.5</v>
      </c>
      <c r="M5193" s="460">
        <f t="shared" si="204"/>
        <v>0.05</v>
      </c>
      <c r="N5193" s="464">
        <f t="shared" si="205"/>
        <v>209103</v>
      </c>
    </row>
    <row r="5194" spans="7:14" ht="11.25" customHeight="1" x14ac:dyDescent="0.25">
      <c r="G5194" s="459"/>
      <c r="H5194" s="459">
        <v>5187</v>
      </c>
      <c r="I5194" s="444">
        <f t="shared" ca="1" si="203"/>
        <v>-1072846904721214.5</v>
      </c>
      <c r="J5194" s="444">
        <f t="array" ref="J5194">IFERROR(INDEX('Retirement Calculator'!J:J,MATCH('Isaac 401k'!N5194,'Retirement Calculator'!A:A,0),0),0)</f>
        <v>0</v>
      </c>
      <c r="K5194" s="444">
        <f t="shared" ca="1" si="201"/>
        <v>-4470195436338.3936</v>
      </c>
      <c r="L5194" s="444">
        <f t="shared" ca="1" si="202"/>
        <v>-1077317100157552.9</v>
      </c>
      <c r="M5194" s="460">
        <f t="shared" si="204"/>
        <v>0.05</v>
      </c>
      <c r="N5194" s="464">
        <f t="shared" si="205"/>
        <v>209134</v>
      </c>
    </row>
    <row r="5195" spans="7:14" ht="11.25" customHeight="1" x14ac:dyDescent="0.25">
      <c r="G5195" s="459"/>
      <c r="H5195" s="459">
        <v>5188</v>
      </c>
      <c r="I5195" s="444">
        <f t="shared" ca="1" si="203"/>
        <v>-1077317100157552.9</v>
      </c>
      <c r="J5195" s="444">
        <f t="array" ref="J5195">IFERROR(INDEX('Retirement Calculator'!J:J,MATCH('Isaac 401k'!N5195,'Retirement Calculator'!A:A,0),0),0)</f>
        <v>0</v>
      </c>
      <c r="K5195" s="444">
        <f t="shared" ca="1" si="201"/>
        <v>-4488821250656.4707</v>
      </c>
      <c r="L5195" s="444">
        <f t="shared" ca="1" si="202"/>
        <v>-1081805921408209.4</v>
      </c>
      <c r="M5195" s="460">
        <f t="shared" si="204"/>
        <v>0.05</v>
      </c>
      <c r="N5195" s="464">
        <f t="shared" si="205"/>
        <v>209165</v>
      </c>
    </row>
    <row r="5196" spans="7:14" ht="11.25" customHeight="1" x14ac:dyDescent="0.25">
      <c r="G5196" s="459"/>
      <c r="H5196" s="459">
        <v>5189</v>
      </c>
      <c r="I5196" s="444">
        <f t="shared" ca="1" si="203"/>
        <v>-1081805921408209.4</v>
      </c>
      <c r="J5196" s="444">
        <f t="array" ref="J5196">IFERROR(INDEX('Retirement Calculator'!J:J,MATCH('Isaac 401k'!N5196,'Retirement Calculator'!A:A,0),0),0)</f>
        <v>0</v>
      </c>
      <c r="K5196" s="444">
        <f t="shared" ca="1" si="201"/>
        <v>-4507524672534.2061</v>
      </c>
      <c r="L5196" s="444">
        <f t="shared" ca="1" si="202"/>
        <v>-1086313446080743.6</v>
      </c>
      <c r="M5196" s="460">
        <f t="shared" si="204"/>
        <v>0.05</v>
      </c>
      <c r="N5196" s="464">
        <f t="shared" si="205"/>
        <v>209195</v>
      </c>
    </row>
    <row r="5197" spans="7:14" ht="11.25" customHeight="1" x14ac:dyDescent="0.25">
      <c r="G5197" s="459"/>
      <c r="H5197" s="459">
        <v>5190</v>
      </c>
      <c r="I5197" s="444">
        <f t="shared" ca="1" si="203"/>
        <v>-1086313446080743.6</v>
      </c>
      <c r="J5197" s="444">
        <f t="array" ref="J5197">IFERROR(INDEX('Retirement Calculator'!J:J,MATCH('Isaac 401k'!N5197,'Retirement Calculator'!A:A,0),0),0)</f>
        <v>0</v>
      </c>
      <c r="K5197" s="444">
        <f t="shared" ca="1" si="201"/>
        <v>-4526306025336.4316</v>
      </c>
      <c r="L5197" s="444">
        <f t="shared" ca="1" si="202"/>
        <v>-1090839752106080</v>
      </c>
      <c r="M5197" s="460">
        <f t="shared" si="204"/>
        <v>0.05</v>
      </c>
      <c r="N5197" s="464">
        <f t="shared" si="205"/>
        <v>209226</v>
      </c>
    </row>
    <row r="5198" spans="7:14" ht="11.25" customHeight="1" x14ac:dyDescent="0.25">
      <c r="G5198" s="459"/>
      <c r="H5198" s="459">
        <v>5191</v>
      </c>
      <c r="I5198" s="444">
        <f t="shared" ca="1" si="203"/>
        <v>-1090839752106080</v>
      </c>
      <c r="J5198" s="444">
        <f t="array" ref="J5198">IFERROR(INDEX('Retirement Calculator'!J:J,MATCH('Isaac 401k'!N5198,'Retirement Calculator'!A:A,0),0),0)</f>
        <v>0</v>
      </c>
      <c r="K5198" s="444">
        <f t="shared" ca="1" si="201"/>
        <v>-4545165633775.333</v>
      </c>
      <c r="L5198" s="444">
        <f t="shared" ca="1" si="202"/>
        <v>-1095384917739855.4</v>
      </c>
      <c r="M5198" s="460">
        <f t="shared" si="204"/>
        <v>0.05</v>
      </c>
      <c r="N5198" s="464">
        <f t="shared" si="205"/>
        <v>209256</v>
      </c>
    </row>
    <row r="5199" spans="7:14" ht="11.25" customHeight="1" x14ac:dyDescent="0.25">
      <c r="G5199" s="459"/>
      <c r="H5199" s="459">
        <v>5192</v>
      </c>
      <c r="I5199" s="444">
        <f t="shared" ca="1" si="203"/>
        <v>-1095384917739855.4</v>
      </c>
      <c r="J5199" s="444">
        <f t="array" ref="J5199">IFERROR(INDEX('Retirement Calculator'!J:J,MATCH('Isaac 401k'!N5199,'Retirement Calculator'!A:A,0),0),0)</f>
        <v>0</v>
      </c>
      <c r="K5199" s="444">
        <f t="shared" ca="1" si="201"/>
        <v>-4564103823916.0645</v>
      </c>
      <c r="L5199" s="444">
        <f t="shared" ca="1" si="202"/>
        <v>-1099949021563771.5</v>
      </c>
      <c r="M5199" s="460">
        <f t="shared" si="204"/>
        <v>0.05</v>
      </c>
      <c r="N5199" s="464">
        <f t="shared" si="205"/>
        <v>209287</v>
      </c>
    </row>
    <row r="5200" spans="7:14" ht="11.25" customHeight="1" x14ac:dyDescent="0.25">
      <c r="G5200" s="459"/>
      <c r="H5200" s="459">
        <v>5193</v>
      </c>
      <c r="I5200" s="444">
        <f t="shared" ca="1" si="203"/>
        <v>-1099949021563771.5</v>
      </c>
      <c r="J5200" s="444">
        <f t="array" ref="J5200">IFERROR(INDEX('Retirement Calculator'!J:J,MATCH('Isaac 401k'!N5200,'Retirement Calculator'!A:A,0),0),0)</f>
        <v>0</v>
      </c>
      <c r="K5200" s="444">
        <f t="shared" ca="1" si="201"/>
        <v>-4583120923182.3809</v>
      </c>
      <c r="L5200" s="444">
        <f t="shared" ca="1" si="202"/>
        <v>-1104532142486953.9</v>
      </c>
      <c r="M5200" s="460">
        <f t="shared" si="204"/>
        <v>0.05</v>
      </c>
      <c r="N5200" s="464">
        <f t="shared" si="205"/>
        <v>209318</v>
      </c>
    </row>
    <row r="5201" spans="7:14" ht="11.25" customHeight="1" x14ac:dyDescent="0.25">
      <c r="G5201" s="459"/>
      <c r="H5201" s="459">
        <v>5194</v>
      </c>
      <c r="I5201" s="444">
        <f t="shared" ca="1" si="203"/>
        <v>-1104532142486953.9</v>
      </c>
      <c r="J5201" s="444">
        <f t="array" ref="J5201">IFERROR(INDEX('Retirement Calculator'!J:J,MATCH('Isaac 401k'!N5201,'Retirement Calculator'!A:A,0),0),0)</f>
        <v>0</v>
      </c>
      <c r="K5201" s="444">
        <f t="shared" ca="1" si="201"/>
        <v>-4602217260362.3076</v>
      </c>
      <c r="L5201" s="444">
        <f t="shared" ca="1" si="202"/>
        <v>-1109134359747316.1</v>
      </c>
      <c r="M5201" s="460">
        <f t="shared" si="204"/>
        <v>0.05</v>
      </c>
      <c r="N5201" s="464">
        <f t="shared" si="205"/>
        <v>209346</v>
      </c>
    </row>
    <row r="5202" spans="7:14" ht="11.25" customHeight="1" x14ac:dyDescent="0.25">
      <c r="G5202" s="459"/>
      <c r="H5202" s="459">
        <v>5195</v>
      </c>
      <c r="I5202" s="444">
        <f t="shared" ca="1" si="203"/>
        <v>-1109134359747316.1</v>
      </c>
      <c r="J5202" s="444">
        <f t="array" ref="J5202">IFERROR(INDEX('Retirement Calculator'!J:J,MATCH('Isaac 401k'!N5202,'Retirement Calculator'!A:A,0),0),0)</f>
        <v>0</v>
      </c>
      <c r="K5202" s="444">
        <f t="shared" ca="1" si="201"/>
        <v>-4621393165613.8174</v>
      </c>
      <c r="L5202" s="444">
        <f t="shared" ca="1" si="202"/>
        <v>-1113755752912930</v>
      </c>
      <c r="M5202" s="460">
        <f t="shared" si="204"/>
        <v>0.05</v>
      </c>
      <c r="N5202" s="464">
        <f t="shared" si="205"/>
        <v>209377</v>
      </c>
    </row>
    <row r="5203" spans="7:14" ht="11.25" customHeight="1" x14ac:dyDescent="0.25">
      <c r="G5203" s="459"/>
      <c r="H5203" s="459">
        <v>5196</v>
      </c>
      <c r="I5203" s="444">
        <f t="shared" ca="1" si="203"/>
        <v>-1113755752912930</v>
      </c>
      <c r="J5203" s="444">
        <f t="array" ref="J5203">IFERROR(INDEX('Retirement Calculator'!J:J,MATCH('Isaac 401k'!N5203,'Retirement Calculator'!A:A,0),0),0)</f>
        <v>0</v>
      </c>
      <c r="K5203" s="444">
        <f t="shared" ca="1" si="201"/>
        <v>-4640648970470.542</v>
      </c>
      <c r="L5203" s="444">
        <f t="shared" ca="1" si="202"/>
        <v>-1118396401883400.5</v>
      </c>
      <c r="M5203" s="460">
        <f t="shared" si="204"/>
        <v>0.05</v>
      </c>
      <c r="N5203" s="464">
        <f t="shared" si="205"/>
        <v>209407</v>
      </c>
    </row>
    <row r="5204" spans="7:14" ht="11.25" customHeight="1" x14ac:dyDescent="0.25">
      <c r="G5204" s="459"/>
      <c r="H5204" s="459">
        <v>5197</v>
      </c>
      <c r="I5204" s="444">
        <f t="shared" ca="1" si="203"/>
        <v>-1118396401883400.5</v>
      </c>
      <c r="J5204" s="444">
        <f t="array" ref="J5204">IFERROR(INDEX('Retirement Calculator'!J:J,MATCH('Isaac 401k'!N5204,'Retirement Calculator'!A:A,0),0),0)</f>
        <v>0</v>
      </c>
      <c r="K5204" s="444">
        <f t="shared" ca="1" si="201"/>
        <v>-4659985007847.502</v>
      </c>
      <c r="L5204" s="444">
        <f t="shared" ca="1" si="202"/>
        <v>-1123056386891248</v>
      </c>
      <c r="M5204" s="460">
        <f t="shared" si="204"/>
        <v>0.05</v>
      </c>
      <c r="N5204" s="464">
        <f t="shared" si="205"/>
        <v>209438</v>
      </c>
    </row>
    <row r="5205" spans="7:14" ht="11.25" customHeight="1" x14ac:dyDescent="0.25">
      <c r="G5205" s="459"/>
      <c r="H5205" s="459">
        <v>5198</v>
      </c>
      <c r="I5205" s="444">
        <f t="shared" ca="1" si="203"/>
        <v>-1123056386891248</v>
      </c>
      <c r="J5205" s="444">
        <f t="array" ref="J5205">IFERROR(INDEX('Retirement Calculator'!J:J,MATCH('Isaac 401k'!N5205,'Retirement Calculator'!A:A,0),0),0)</f>
        <v>0</v>
      </c>
      <c r="K5205" s="444">
        <f t="shared" ca="1" si="201"/>
        <v>-4679401612046.8662</v>
      </c>
      <c r="L5205" s="444">
        <f t="shared" ca="1" si="202"/>
        <v>-1127735788503294.8</v>
      </c>
      <c r="M5205" s="460">
        <f t="shared" si="204"/>
        <v>0.05</v>
      </c>
      <c r="N5205" s="464">
        <f t="shared" si="205"/>
        <v>209468</v>
      </c>
    </row>
    <row r="5206" spans="7:14" ht="11.25" customHeight="1" x14ac:dyDescent="0.25">
      <c r="G5206" s="459"/>
      <c r="H5206" s="459">
        <v>5199</v>
      </c>
      <c r="I5206" s="444">
        <f t="shared" ca="1" si="203"/>
        <v>-1127735788503294.8</v>
      </c>
      <c r="J5206" s="444">
        <f t="array" ref="J5206">IFERROR(INDEX('Retirement Calculator'!J:J,MATCH('Isaac 401k'!N5206,'Retirement Calculator'!A:A,0),0),0)</f>
        <v>0</v>
      </c>
      <c r="K5206" s="444">
        <f t="shared" ca="1" si="201"/>
        <v>-4698899118763.7285</v>
      </c>
      <c r="L5206" s="444">
        <f t="shared" ca="1" si="202"/>
        <v>-1132434687622058.5</v>
      </c>
      <c r="M5206" s="460">
        <f t="shared" si="204"/>
        <v>0.05</v>
      </c>
      <c r="N5206" s="464">
        <f t="shared" si="205"/>
        <v>209499</v>
      </c>
    </row>
    <row r="5207" spans="7:14" ht="11.25" customHeight="1" x14ac:dyDescent="0.25">
      <c r="G5207" s="459"/>
      <c r="H5207" s="459">
        <v>5200</v>
      </c>
      <c r="I5207" s="444">
        <f t="shared" ca="1" si="203"/>
        <v>-1132434687622058.5</v>
      </c>
      <c r="J5207" s="444">
        <f t="array" ref="J5207">IFERROR(INDEX('Retirement Calculator'!J:J,MATCH('Isaac 401k'!N5207,'Retirement Calculator'!A:A,0),0),0)</f>
        <v>0</v>
      </c>
      <c r="K5207" s="444">
        <f t="shared" ca="1" si="201"/>
        <v>-4718477865091.9102</v>
      </c>
      <c r="L5207" s="444">
        <f t="shared" ca="1" si="202"/>
        <v>-1137153165487150.5</v>
      </c>
      <c r="M5207" s="460">
        <f t="shared" si="204"/>
        <v>0.05</v>
      </c>
      <c r="N5207" s="464">
        <f t="shared" si="205"/>
        <v>209530</v>
      </c>
    </row>
    <row r="5208" spans="7:14" ht="11.25" customHeight="1" x14ac:dyDescent="0.25">
      <c r="G5208" s="459"/>
      <c r="H5208" s="459">
        <v>5201</v>
      </c>
      <c r="I5208" s="444">
        <f t="shared" ca="1" si="203"/>
        <v>-1137153165487150.5</v>
      </c>
      <c r="J5208" s="444">
        <f t="array" ref="J5208">IFERROR(INDEX('Retirement Calculator'!J:J,MATCH('Isaac 401k'!N5208,'Retirement Calculator'!A:A,0),0),0)</f>
        <v>0</v>
      </c>
      <c r="K5208" s="444">
        <f t="shared" ca="1" si="201"/>
        <v>-4738138189529.7939</v>
      </c>
      <c r="L5208" s="444">
        <f t="shared" ca="1" si="202"/>
        <v>-1141891303676680.3</v>
      </c>
      <c r="M5208" s="460">
        <f t="shared" si="204"/>
        <v>0.05</v>
      </c>
      <c r="N5208" s="464">
        <f t="shared" si="205"/>
        <v>209560</v>
      </c>
    </row>
    <row r="5209" spans="7:14" ht="11.25" customHeight="1" x14ac:dyDescent="0.25">
      <c r="G5209" s="459"/>
      <c r="H5209" s="459">
        <v>5202</v>
      </c>
      <c r="I5209" s="444">
        <f t="shared" ca="1" si="203"/>
        <v>-1141891303676680.3</v>
      </c>
      <c r="J5209" s="444">
        <f t="array" ref="J5209">IFERROR(INDEX('Retirement Calculator'!J:J,MATCH('Isaac 401k'!N5209,'Retirement Calculator'!A:A,0),0),0)</f>
        <v>0</v>
      </c>
      <c r="K5209" s="444">
        <f t="shared" ca="1" si="201"/>
        <v>-4757880431986.168</v>
      </c>
      <c r="L5209" s="444">
        <f t="shared" ca="1" si="202"/>
        <v>-1146649184108666.5</v>
      </c>
      <c r="M5209" s="460">
        <f t="shared" si="204"/>
        <v>0.05</v>
      </c>
      <c r="N5209" s="464">
        <f t="shared" si="205"/>
        <v>209591</v>
      </c>
    </row>
    <row r="5210" spans="7:14" ht="11.25" customHeight="1" x14ac:dyDescent="0.25">
      <c r="G5210" s="459"/>
      <c r="H5210" s="459">
        <v>5203</v>
      </c>
      <c r="I5210" s="444">
        <f t="shared" ca="1" si="203"/>
        <v>-1146649184108666.5</v>
      </c>
      <c r="J5210" s="444">
        <f t="array" ref="J5210">IFERROR(INDEX('Retirement Calculator'!J:J,MATCH('Isaac 401k'!N5210,'Retirement Calculator'!A:A,0),0),0)</f>
        <v>0</v>
      </c>
      <c r="K5210" s="444">
        <f t="shared" ca="1" si="201"/>
        <v>-4777704933786.1104</v>
      </c>
      <c r="L5210" s="444">
        <f t="shared" ca="1" si="202"/>
        <v>-1151426889042452.5</v>
      </c>
      <c r="M5210" s="460">
        <f t="shared" si="204"/>
        <v>0.05</v>
      </c>
      <c r="N5210" s="464">
        <f t="shared" si="205"/>
        <v>209621</v>
      </c>
    </row>
    <row r="5211" spans="7:14" ht="11.25" customHeight="1" x14ac:dyDescent="0.25">
      <c r="G5211" s="459"/>
      <c r="H5211" s="459">
        <v>5204</v>
      </c>
      <c r="I5211" s="444">
        <f t="shared" ca="1" si="203"/>
        <v>-1151426889042452.5</v>
      </c>
      <c r="J5211" s="444">
        <f t="array" ref="J5211">IFERROR(INDEX('Retirement Calculator'!J:J,MATCH('Isaac 401k'!N5211,'Retirement Calculator'!A:A,0),0),0)</f>
        <v>0</v>
      </c>
      <c r="K5211" s="444">
        <f t="shared" ca="1" si="201"/>
        <v>-4797612037676.8857</v>
      </c>
      <c r="L5211" s="444">
        <f t="shared" ca="1" si="202"/>
        <v>-1156224501080129.5</v>
      </c>
      <c r="M5211" s="460">
        <f t="shared" si="204"/>
        <v>0.05</v>
      </c>
      <c r="N5211" s="464">
        <f t="shared" si="205"/>
        <v>209652</v>
      </c>
    </row>
    <row r="5212" spans="7:14" ht="11.25" customHeight="1" x14ac:dyDescent="0.25">
      <c r="G5212" s="459"/>
      <c r="H5212" s="459">
        <v>5205</v>
      </c>
      <c r="I5212" s="444">
        <f t="shared" ca="1" si="203"/>
        <v>-1156224501080129.5</v>
      </c>
      <c r="J5212" s="444">
        <f t="array" ref="J5212">IFERROR(INDEX('Retirement Calculator'!J:J,MATCH('Isaac 401k'!N5212,'Retirement Calculator'!A:A,0),0),0)</f>
        <v>0</v>
      </c>
      <c r="K5212" s="444">
        <f t="shared" ca="1" si="201"/>
        <v>-4817602087833.873</v>
      </c>
      <c r="L5212" s="444">
        <f t="shared" ca="1" si="202"/>
        <v>-1161042103167963.3</v>
      </c>
      <c r="M5212" s="460">
        <f t="shared" si="204"/>
        <v>0.05</v>
      </c>
      <c r="N5212" s="464">
        <f t="shared" si="205"/>
        <v>209683</v>
      </c>
    </row>
    <row r="5213" spans="7:14" ht="11.25" customHeight="1" x14ac:dyDescent="0.25">
      <c r="G5213" s="459"/>
      <c r="H5213" s="459">
        <v>5206</v>
      </c>
      <c r="I5213" s="444">
        <f t="shared" ca="1" si="203"/>
        <v>-1161042103167963.3</v>
      </c>
      <c r="J5213" s="444">
        <f t="array" ref="J5213">IFERROR(INDEX('Retirement Calculator'!J:J,MATCH('Isaac 401k'!N5213,'Retirement Calculator'!A:A,0),0),0)</f>
        <v>0</v>
      </c>
      <c r="K5213" s="444">
        <f t="shared" ca="1" si="201"/>
        <v>-4837675429866.5137</v>
      </c>
      <c r="L5213" s="444">
        <f t="shared" ca="1" si="202"/>
        <v>-1165879778597829.8</v>
      </c>
      <c r="M5213" s="460">
        <f t="shared" si="204"/>
        <v>0.05</v>
      </c>
      <c r="N5213" s="464">
        <f t="shared" si="205"/>
        <v>209711</v>
      </c>
    </row>
    <row r="5214" spans="7:14" ht="11.25" customHeight="1" x14ac:dyDescent="0.25">
      <c r="G5214" s="459"/>
      <c r="H5214" s="459">
        <v>5207</v>
      </c>
      <c r="I5214" s="444">
        <f t="shared" ca="1" si="203"/>
        <v>-1165879778597829.8</v>
      </c>
      <c r="J5214" s="444">
        <f t="array" ref="J5214">IFERROR(INDEX('Retirement Calculator'!J:J,MATCH('Isaac 401k'!N5214,'Retirement Calculator'!A:A,0),0),0)</f>
        <v>0</v>
      </c>
      <c r="K5214" s="444">
        <f t="shared" ca="1" si="201"/>
        <v>-4857832410824.291</v>
      </c>
      <c r="L5214" s="444">
        <f t="shared" ca="1" si="202"/>
        <v>-1170737611008654</v>
      </c>
      <c r="M5214" s="460">
        <f t="shared" si="204"/>
        <v>0.05</v>
      </c>
      <c r="N5214" s="464">
        <f t="shared" si="205"/>
        <v>209742</v>
      </c>
    </row>
    <row r="5215" spans="7:14" ht="11.25" customHeight="1" x14ac:dyDescent="0.25">
      <c r="G5215" s="459"/>
      <c r="H5215" s="459">
        <v>5208</v>
      </c>
      <c r="I5215" s="444">
        <f t="shared" ca="1" si="203"/>
        <v>-1170737611008654</v>
      </c>
      <c r="J5215" s="444">
        <f t="array" ref="J5215">IFERROR(INDEX('Retirement Calculator'!J:J,MATCH('Isaac 401k'!N5215,'Retirement Calculator'!A:A,0),0),0)</f>
        <v>0</v>
      </c>
      <c r="K5215" s="444">
        <f t="shared" ca="1" si="201"/>
        <v>-4878073379202.7246</v>
      </c>
      <c r="L5215" s="444">
        <f t="shared" ca="1" si="202"/>
        <v>-1175615684387856.8</v>
      </c>
      <c r="M5215" s="460">
        <f t="shared" si="204"/>
        <v>0.05</v>
      </c>
      <c r="N5215" s="464">
        <f t="shared" si="205"/>
        <v>209772</v>
      </c>
    </row>
    <row r="5216" spans="7:14" ht="11.25" customHeight="1" x14ac:dyDescent="0.25">
      <c r="G5216" s="459"/>
      <c r="H5216" s="459">
        <v>5209</v>
      </c>
      <c r="I5216" s="444">
        <f t="shared" ca="1" si="203"/>
        <v>-1175615684387856.8</v>
      </c>
      <c r="J5216" s="444">
        <f t="array" ref="J5216">IFERROR(INDEX('Retirement Calculator'!J:J,MATCH('Isaac 401k'!N5216,'Retirement Calculator'!A:A,0),0),0)</f>
        <v>0</v>
      </c>
      <c r="K5216" s="444">
        <f t="shared" ca="1" si="201"/>
        <v>-4898398684949.4033</v>
      </c>
      <c r="L5216" s="444">
        <f t="shared" ca="1" si="202"/>
        <v>-1180514083072806.3</v>
      </c>
      <c r="M5216" s="460">
        <f t="shared" si="204"/>
        <v>0.05</v>
      </c>
      <c r="N5216" s="464">
        <f t="shared" si="205"/>
        <v>209803</v>
      </c>
    </row>
    <row r="5217" spans="7:14" ht="11.25" customHeight="1" x14ac:dyDescent="0.25">
      <c r="G5217" s="459"/>
      <c r="H5217" s="459">
        <v>5210</v>
      </c>
      <c r="I5217" s="444">
        <f t="shared" ca="1" si="203"/>
        <v>-1180514083072806.3</v>
      </c>
      <c r="J5217" s="444">
        <f t="array" ref="J5217">IFERROR(INDEX('Retirement Calculator'!J:J,MATCH('Isaac 401k'!N5217,'Retirement Calculator'!A:A,0),0),0)</f>
        <v>0</v>
      </c>
      <c r="K5217" s="444">
        <f t="shared" ca="1" si="201"/>
        <v>-4918808679470.0264</v>
      </c>
      <c r="L5217" s="444">
        <f t="shared" ca="1" si="202"/>
        <v>-1185432891752276.3</v>
      </c>
      <c r="M5217" s="460">
        <f t="shared" si="204"/>
        <v>0.05</v>
      </c>
      <c r="N5217" s="464">
        <f t="shared" si="205"/>
        <v>209833</v>
      </c>
    </row>
    <row r="5218" spans="7:14" ht="11.25" customHeight="1" x14ac:dyDescent="0.25">
      <c r="G5218" s="459"/>
      <c r="H5218" s="459">
        <v>5211</v>
      </c>
      <c r="I5218" s="444">
        <f t="shared" ca="1" si="203"/>
        <v>-1185432891752276.3</v>
      </c>
      <c r="J5218" s="444">
        <f t="array" ref="J5218">IFERROR(INDEX('Retirement Calculator'!J:J,MATCH('Isaac 401k'!N5218,'Retirement Calculator'!A:A,0),0),0)</f>
        <v>0</v>
      </c>
      <c r="K5218" s="444">
        <f t="shared" ca="1" si="201"/>
        <v>-4939303715634.4844</v>
      </c>
      <c r="L5218" s="444">
        <f t="shared" ca="1" si="202"/>
        <v>-1190372195467910.8</v>
      </c>
      <c r="M5218" s="460">
        <f t="shared" si="204"/>
        <v>0.05</v>
      </c>
      <c r="N5218" s="464">
        <f t="shared" si="205"/>
        <v>209864</v>
      </c>
    </row>
    <row r="5219" spans="7:14" ht="11.25" customHeight="1" x14ac:dyDescent="0.25">
      <c r="G5219" s="459"/>
      <c r="H5219" s="459">
        <v>5212</v>
      </c>
      <c r="I5219" s="444">
        <f t="shared" ca="1" si="203"/>
        <v>-1190372195467910.8</v>
      </c>
      <c r="J5219" s="444">
        <f t="array" ref="J5219">IFERROR(INDEX('Retirement Calculator'!J:J,MATCH('Isaac 401k'!N5219,'Retirement Calculator'!A:A,0),0),0)</f>
        <v>0</v>
      </c>
      <c r="K5219" s="444">
        <f t="shared" ca="1" si="201"/>
        <v>-4959884147782.9609</v>
      </c>
      <c r="L5219" s="444">
        <f t="shared" ca="1" si="202"/>
        <v>-1195332079615693.8</v>
      </c>
      <c r="M5219" s="460">
        <f t="shared" si="204"/>
        <v>0.05</v>
      </c>
      <c r="N5219" s="464">
        <f t="shared" si="205"/>
        <v>209895</v>
      </c>
    </row>
    <row r="5220" spans="7:14" ht="11.25" customHeight="1" x14ac:dyDescent="0.25">
      <c r="G5220" s="459"/>
      <c r="H5220" s="459">
        <v>5213</v>
      </c>
      <c r="I5220" s="444">
        <f t="shared" ca="1" si="203"/>
        <v>-1195332079615693.8</v>
      </c>
      <c r="J5220" s="444">
        <f t="array" ref="J5220">IFERROR(INDEX('Retirement Calculator'!J:J,MATCH('Isaac 401k'!N5220,'Retirement Calculator'!A:A,0),0),0)</f>
        <v>0</v>
      </c>
      <c r="K5220" s="444">
        <f t="shared" ca="1" si="201"/>
        <v>-4980550331732.0576</v>
      </c>
      <c r="L5220" s="444">
        <f t="shared" ca="1" si="202"/>
        <v>-1200312629947425.8</v>
      </c>
      <c r="M5220" s="460">
        <f t="shared" si="204"/>
        <v>0.05</v>
      </c>
      <c r="N5220" s="464">
        <f t="shared" si="205"/>
        <v>209925</v>
      </c>
    </row>
    <row r="5221" spans="7:14" ht="11.25" customHeight="1" x14ac:dyDescent="0.25">
      <c r="G5221" s="459"/>
      <c r="H5221" s="459">
        <v>5214</v>
      </c>
      <c r="I5221" s="444">
        <f t="shared" ca="1" si="203"/>
        <v>-1200312629947425.8</v>
      </c>
      <c r="J5221" s="444">
        <f t="array" ref="J5221">IFERROR(INDEX('Retirement Calculator'!J:J,MATCH('Isaac 401k'!N5221,'Retirement Calculator'!A:A,0),0),0)</f>
        <v>0</v>
      </c>
      <c r="K5221" s="444">
        <f t="shared" ca="1" si="201"/>
        <v>-5001302624780.9404</v>
      </c>
      <c r="L5221" s="444">
        <f t="shared" ca="1" si="202"/>
        <v>-1205313932572206.8</v>
      </c>
      <c r="M5221" s="460">
        <f t="shared" si="204"/>
        <v>0.05</v>
      </c>
      <c r="N5221" s="464">
        <f t="shared" si="205"/>
        <v>209956</v>
      </c>
    </row>
    <row r="5222" spans="7:14" ht="11.25" customHeight="1" x14ac:dyDescent="0.25">
      <c r="G5222" s="459"/>
      <c r="H5222" s="459">
        <v>5215</v>
      </c>
      <c r="I5222" s="444">
        <f t="shared" ca="1" si="203"/>
        <v>-1205313932572206.8</v>
      </c>
      <c r="J5222" s="444">
        <f t="array" ref="J5222">IFERROR(INDEX('Retirement Calculator'!J:J,MATCH('Isaac 401k'!N5222,'Retirement Calculator'!A:A,0),0),0)</f>
        <v>0</v>
      </c>
      <c r="K5222" s="444">
        <f t="shared" ca="1" si="201"/>
        <v>-5022141385717.5283</v>
      </c>
      <c r="L5222" s="444">
        <f t="shared" ca="1" si="202"/>
        <v>-1210336073957924.3</v>
      </c>
      <c r="M5222" s="460">
        <f t="shared" si="204"/>
        <v>0.05</v>
      </c>
      <c r="N5222" s="464">
        <f t="shared" si="205"/>
        <v>209986</v>
      </c>
    </row>
    <row r="5223" spans="7:14" ht="11.25" customHeight="1" x14ac:dyDescent="0.25">
      <c r="G5223" s="459"/>
      <c r="H5223" s="459">
        <v>5216</v>
      </c>
      <c r="I5223" s="444">
        <f t="shared" ca="1" si="203"/>
        <v>-1210336073957924.3</v>
      </c>
      <c r="J5223" s="444">
        <f t="array" ref="J5223">IFERROR(INDEX('Retirement Calculator'!J:J,MATCH('Isaac 401k'!N5223,'Retirement Calculator'!A:A,0),0),0)</f>
        <v>0</v>
      </c>
      <c r="K5223" s="444">
        <f t="shared" ca="1" si="201"/>
        <v>-5043066974824.6846</v>
      </c>
      <c r="L5223" s="444">
        <f t="shared" ca="1" si="202"/>
        <v>-1215379140932749</v>
      </c>
      <c r="M5223" s="460">
        <f t="shared" si="204"/>
        <v>0.05</v>
      </c>
      <c r="N5223" s="464">
        <f t="shared" si="205"/>
        <v>210017</v>
      </c>
    </row>
    <row r="5224" spans="7:14" ht="11.25" customHeight="1" x14ac:dyDescent="0.25">
      <c r="G5224" s="459"/>
      <c r="H5224" s="459">
        <v>5217</v>
      </c>
      <c r="I5224" s="444">
        <f t="shared" ca="1" si="203"/>
        <v>-1215379140932749</v>
      </c>
      <c r="J5224" s="444">
        <f t="array" ref="J5224">IFERROR(INDEX('Retirement Calculator'!J:J,MATCH('Isaac 401k'!N5224,'Retirement Calculator'!A:A,0),0),0)</f>
        <v>0</v>
      </c>
      <c r="K5224" s="444">
        <f t="shared" ca="1" si="201"/>
        <v>-5064079753886.4541</v>
      </c>
      <c r="L5224" s="444">
        <f t="shared" ca="1" si="202"/>
        <v>-1220443220686635.5</v>
      </c>
      <c r="M5224" s="460">
        <f t="shared" si="204"/>
        <v>0.05</v>
      </c>
      <c r="N5224" s="464">
        <f t="shared" si="205"/>
        <v>210048</v>
      </c>
    </row>
    <row r="5225" spans="7:14" ht="11.25" customHeight="1" x14ac:dyDescent="0.25">
      <c r="G5225" s="459"/>
      <c r="H5225" s="459">
        <v>5218</v>
      </c>
      <c r="I5225" s="444">
        <f t="shared" ca="1" si="203"/>
        <v>-1220443220686635.5</v>
      </c>
      <c r="J5225" s="444">
        <f t="array" ref="J5225">IFERROR(INDEX('Retirement Calculator'!J:J,MATCH('Isaac 401k'!N5225,'Retirement Calculator'!A:A,0),0),0)</f>
        <v>0</v>
      </c>
      <c r="K5225" s="444">
        <f t="shared" ca="1" si="201"/>
        <v>-5085180086194.3145</v>
      </c>
      <c r="L5225" s="444">
        <f t="shared" ca="1" si="202"/>
        <v>-1225528400772829.8</v>
      </c>
      <c r="M5225" s="460">
        <f t="shared" si="204"/>
        <v>0.05</v>
      </c>
      <c r="N5225" s="464">
        <f t="shared" si="205"/>
        <v>210076</v>
      </c>
    </row>
    <row r="5226" spans="7:14" ht="11.25" customHeight="1" x14ac:dyDescent="0.25">
      <c r="G5226" s="459"/>
      <c r="H5226" s="459">
        <v>5219</v>
      </c>
      <c r="I5226" s="444">
        <f t="shared" ca="1" si="203"/>
        <v>-1225528400772829.8</v>
      </c>
      <c r="J5226" s="444">
        <f t="array" ref="J5226">IFERROR(INDEX('Retirement Calculator'!J:J,MATCH('Isaac 401k'!N5226,'Retirement Calculator'!A:A,0),0),0)</f>
        <v>0</v>
      </c>
      <c r="K5226" s="444">
        <f t="shared" ca="1" si="201"/>
        <v>-5106368336553.457</v>
      </c>
      <c r="L5226" s="444">
        <f t="shared" ca="1" si="202"/>
        <v>-1230634769109383.3</v>
      </c>
      <c r="M5226" s="460">
        <f t="shared" si="204"/>
        <v>0.05</v>
      </c>
      <c r="N5226" s="464">
        <f t="shared" si="205"/>
        <v>210107</v>
      </c>
    </row>
    <row r="5227" spans="7:14" ht="11.25" customHeight="1" x14ac:dyDescent="0.25">
      <c r="G5227" s="459"/>
      <c r="H5227" s="459">
        <v>5220</v>
      </c>
      <c r="I5227" s="444">
        <f t="shared" ca="1" si="203"/>
        <v>-1230634769109383.3</v>
      </c>
      <c r="J5227" s="444">
        <f t="array" ref="J5227">IFERROR(INDEX('Retirement Calculator'!J:J,MATCH('Isaac 401k'!N5227,'Retirement Calculator'!A:A,0),0),0)</f>
        <v>0</v>
      </c>
      <c r="K5227" s="444">
        <f t="shared" ca="1" si="201"/>
        <v>-5127644871289.0967</v>
      </c>
      <c r="L5227" s="444">
        <f t="shared" ca="1" si="202"/>
        <v>-1235762413980672.3</v>
      </c>
      <c r="M5227" s="460">
        <f t="shared" si="204"/>
        <v>0.05</v>
      </c>
      <c r="N5227" s="464">
        <f t="shared" si="205"/>
        <v>210137</v>
      </c>
    </row>
    <row r="5228" spans="7:14" ht="11.25" customHeight="1" x14ac:dyDescent="0.25">
      <c r="G5228" s="459"/>
      <c r="H5228" s="459">
        <v>5221</v>
      </c>
      <c r="I5228" s="444">
        <f t="shared" ca="1" si="203"/>
        <v>-1235762413980672.3</v>
      </c>
      <c r="J5228" s="444">
        <f t="array" ref="J5228">IFERROR(INDEX('Retirement Calculator'!J:J,MATCH('Isaac 401k'!N5228,'Retirement Calculator'!A:A,0),0),0)</f>
        <v>0</v>
      </c>
      <c r="K5228" s="444">
        <f t="shared" ca="1" si="201"/>
        <v>-5149010058252.8008</v>
      </c>
      <c r="L5228" s="444">
        <f t="shared" ca="1" si="202"/>
        <v>-1240911424038925</v>
      </c>
      <c r="M5228" s="460">
        <f t="shared" si="204"/>
        <v>0.05</v>
      </c>
      <c r="N5228" s="464">
        <f t="shared" si="205"/>
        <v>210168</v>
      </c>
    </row>
    <row r="5229" spans="7:14" ht="11.25" customHeight="1" x14ac:dyDescent="0.25">
      <c r="G5229" s="459"/>
      <c r="H5229" s="459">
        <v>5222</v>
      </c>
      <c r="I5229" s="444">
        <f t="shared" ca="1" si="203"/>
        <v>-1240911424038925</v>
      </c>
      <c r="J5229" s="444">
        <f t="array" ref="J5229">IFERROR(INDEX('Retirement Calculator'!J:J,MATCH('Isaac 401k'!N5229,'Retirement Calculator'!A:A,0),0),0)</f>
        <v>0</v>
      </c>
      <c r="K5229" s="444">
        <f t="shared" ca="1" si="201"/>
        <v>-5170464266828.8545</v>
      </c>
      <c r="L5229" s="444">
        <f t="shared" ca="1" si="202"/>
        <v>-1246081888305753.8</v>
      </c>
      <c r="M5229" s="460">
        <f t="shared" si="204"/>
        <v>0.05</v>
      </c>
      <c r="N5229" s="464">
        <f t="shared" si="205"/>
        <v>210198</v>
      </c>
    </row>
    <row r="5230" spans="7:14" ht="11.25" customHeight="1" x14ac:dyDescent="0.25">
      <c r="G5230" s="459"/>
      <c r="H5230" s="459">
        <v>5223</v>
      </c>
      <c r="I5230" s="444">
        <f t="shared" ca="1" si="203"/>
        <v>-1246081888305753.8</v>
      </c>
      <c r="J5230" s="444">
        <f t="array" ref="J5230">IFERROR(INDEX('Retirement Calculator'!J:J,MATCH('Isaac 401k'!N5230,'Retirement Calculator'!A:A,0),0),0)</f>
        <v>0</v>
      </c>
      <c r="K5230" s="444">
        <f t="shared" ca="1" si="201"/>
        <v>-5192007867940.6406</v>
      </c>
      <c r="L5230" s="444">
        <f t="shared" ca="1" si="202"/>
        <v>-1251273896173694.5</v>
      </c>
      <c r="M5230" s="460">
        <f t="shared" si="204"/>
        <v>0.05</v>
      </c>
      <c r="N5230" s="464">
        <f t="shared" si="205"/>
        <v>210229</v>
      </c>
    </row>
    <row r="5231" spans="7:14" ht="11.25" customHeight="1" x14ac:dyDescent="0.25">
      <c r="G5231" s="459"/>
      <c r="H5231" s="459">
        <v>5224</v>
      </c>
      <c r="I5231" s="444">
        <f t="shared" ca="1" si="203"/>
        <v>-1251273896173694.5</v>
      </c>
      <c r="J5231" s="444">
        <f t="array" ref="J5231">IFERROR(INDEX('Retirement Calculator'!J:J,MATCH('Isaac 401k'!N5231,'Retirement Calculator'!A:A,0),0),0)</f>
        <v>0</v>
      </c>
      <c r="K5231" s="444">
        <f t="shared" ca="1" si="201"/>
        <v>-5213641234057.0605</v>
      </c>
      <c r="L5231" s="444">
        <f t="shared" ca="1" si="202"/>
        <v>-1256487537407751.5</v>
      </c>
      <c r="M5231" s="460">
        <f t="shared" si="204"/>
        <v>0.05</v>
      </c>
      <c r="N5231" s="464">
        <f t="shared" si="205"/>
        <v>210260</v>
      </c>
    </row>
    <row r="5232" spans="7:14" ht="11.25" customHeight="1" x14ac:dyDescent="0.25">
      <c r="G5232" s="459"/>
      <c r="H5232" s="459">
        <v>5225</v>
      </c>
      <c r="I5232" s="444">
        <f t="shared" ca="1" si="203"/>
        <v>-1256487537407751.5</v>
      </c>
      <c r="J5232" s="444">
        <f t="array" ref="J5232">IFERROR(INDEX('Retirement Calculator'!J:J,MATCH('Isaac 401k'!N5232,'Retirement Calculator'!A:A,0),0),0)</f>
        <v>0</v>
      </c>
      <c r="K5232" s="444">
        <f t="shared" ca="1" si="201"/>
        <v>-5235364739198.9648</v>
      </c>
      <c r="L5232" s="444">
        <f t="shared" ca="1" si="202"/>
        <v>-1261722902146950.5</v>
      </c>
      <c r="M5232" s="460">
        <f t="shared" si="204"/>
        <v>0.05</v>
      </c>
      <c r="N5232" s="464">
        <f t="shared" si="205"/>
        <v>210290</v>
      </c>
    </row>
    <row r="5233" spans="7:14" ht="11.25" customHeight="1" x14ac:dyDescent="0.25">
      <c r="G5233" s="459"/>
      <c r="H5233" s="459">
        <v>5226</v>
      </c>
      <c r="I5233" s="444">
        <f t="shared" ca="1" si="203"/>
        <v>-1261722902146950.5</v>
      </c>
      <c r="J5233" s="444">
        <f t="array" ref="J5233">IFERROR(INDEX('Retirement Calculator'!J:J,MATCH('Isaac 401k'!N5233,'Retirement Calculator'!A:A,0),0),0)</f>
        <v>0</v>
      </c>
      <c r="K5233" s="444">
        <f t="shared" ca="1" si="201"/>
        <v>-5257178758945.627</v>
      </c>
      <c r="L5233" s="444">
        <f t="shared" ca="1" si="202"/>
        <v>-1266980080905896.3</v>
      </c>
      <c r="M5233" s="460">
        <f t="shared" si="204"/>
        <v>0.05</v>
      </c>
      <c r="N5233" s="464">
        <f t="shared" si="205"/>
        <v>210321</v>
      </c>
    </row>
    <row r="5234" spans="7:14" ht="11.25" customHeight="1" x14ac:dyDescent="0.25">
      <c r="G5234" s="459"/>
      <c r="H5234" s="459">
        <v>5227</v>
      </c>
      <c r="I5234" s="444">
        <f t="shared" ca="1" si="203"/>
        <v>-1266980080905896.3</v>
      </c>
      <c r="J5234" s="444">
        <f t="array" ref="J5234">IFERROR(INDEX('Retirement Calculator'!J:J,MATCH('Isaac 401k'!N5234,'Retirement Calculator'!A:A,0),0),0)</f>
        <v>0</v>
      </c>
      <c r="K5234" s="444">
        <f t="shared" ca="1" si="201"/>
        <v>-5279083670441.2344</v>
      </c>
      <c r="L5234" s="444">
        <f t="shared" ca="1" si="202"/>
        <v>-1272259164576337.5</v>
      </c>
      <c r="M5234" s="460">
        <f t="shared" si="204"/>
        <v>0.05</v>
      </c>
      <c r="N5234" s="464">
        <f t="shared" si="205"/>
        <v>210351</v>
      </c>
    </row>
    <row r="5235" spans="7:14" ht="11.25" customHeight="1" x14ac:dyDescent="0.25">
      <c r="G5235" s="459"/>
      <c r="H5235" s="459">
        <v>5228</v>
      </c>
      <c r="I5235" s="444">
        <f t="shared" ca="1" si="203"/>
        <v>-1272259164576337.5</v>
      </c>
      <c r="J5235" s="444">
        <f t="array" ref="J5235">IFERROR(INDEX('Retirement Calculator'!J:J,MATCH('Isaac 401k'!N5235,'Retirement Calculator'!A:A,0),0),0)</f>
        <v>0</v>
      </c>
      <c r="K5235" s="444">
        <f t="shared" ca="1" si="201"/>
        <v>-5301079852401.4063</v>
      </c>
      <c r="L5235" s="444">
        <f t="shared" ca="1" si="202"/>
        <v>-1277560244428739</v>
      </c>
      <c r="M5235" s="460">
        <f t="shared" si="204"/>
        <v>0.05</v>
      </c>
      <c r="N5235" s="464">
        <f t="shared" si="205"/>
        <v>210382</v>
      </c>
    </row>
    <row r="5236" spans="7:14" ht="11.25" customHeight="1" x14ac:dyDescent="0.25">
      <c r="G5236" s="459"/>
      <c r="H5236" s="459">
        <v>5229</v>
      </c>
      <c r="I5236" s="444">
        <f t="shared" ca="1" si="203"/>
        <v>-1277560244428739</v>
      </c>
      <c r="J5236" s="444">
        <f t="array" ref="J5236">IFERROR(INDEX('Retirement Calculator'!J:J,MATCH('Isaac 401k'!N5236,'Retirement Calculator'!A:A,0),0),0)</f>
        <v>0</v>
      </c>
      <c r="K5236" s="444">
        <f t="shared" ca="1" si="201"/>
        <v>-5323167685119.7461</v>
      </c>
      <c r="L5236" s="444">
        <f t="shared" ca="1" si="202"/>
        <v>-1282883412113858.8</v>
      </c>
      <c r="M5236" s="460">
        <f t="shared" si="204"/>
        <v>0.05</v>
      </c>
      <c r="N5236" s="464">
        <f t="shared" si="205"/>
        <v>210413</v>
      </c>
    </row>
    <row r="5237" spans="7:14" ht="11.25" customHeight="1" x14ac:dyDescent="0.25">
      <c r="G5237" s="459"/>
      <c r="H5237" s="459">
        <v>5230</v>
      </c>
      <c r="I5237" s="444">
        <f t="shared" ca="1" si="203"/>
        <v>-1282883412113858.8</v>
      </c>
      <c r="J5237" s="444">
        <f t="array" ref="J5237">IFERROR(INDEX('Retirement Calculator'!J:J,MATCH('Isaac 401k'!N5237,'Retirement Calculator'!A:A,0),0),0)</f>
        <v>0</v>
      </c>
      <c r="K5237" s="444">
        <f t="shared" ca="1" si="201"/>
        <v>-5345347550474.4111</v>
      </c>
      <c r="L5237" s="444">
        <f t="shared" ca="1" si="202"/>
        <v>-1288228759664333.3</v>
      </c>
      <c r="M5237" s="460">
        <f t="shared" si="204"/>
        <v>0.05</v>
      </c>
      <c r="N5237" s="464">
        <f t="shared" si="205"/>
        <v>210442</v>
      </c>
    </row>
    <row r="5238" spans="7:14" ht="11.25" customHeight="1" x14ac:dyDescent="0.25">
      <c r="G5238" s="459"/>
      <c r="H5238" s="459">
        <v>5231</v>
      </c>
      <c r="I5238" s="444">
        <f t="shared" ca="1" si="203"/>
        <v>-1288228759664333.3</v>
      </c>
      <c r="J5238" s="444">
        <f t="array" ref="J5238">IFERROR(INDEX('Retirement Calculator'!J:J,MATCH('Isaac 401k'!N5238,'Retirement Calculator'!A:A,0),0),0)</f>
        <v>0</v>
      </c>
      <c r="K5238" s="444">
        <f t="shared" ca="1" si="201"/>
        <v>-5367619831934.7217</v>
      </c>
      <c r="L5238" s="444">
        <f t="shared" ca="1" si="202"/>
        <v>-1293596379496268</v>
      </c>
      <c r="M5238" s="460">
        <f t="shared" si="204"/>
        <v>0.05</v>
      </c>
      <c r="N5238" s="464">
        <f t="shared" si="205"/>
        <v>210473</v>
      </c>
    </row>
    <row r="5239" spans="7:14" ht="11.25" customHeight="1" x14ac:dyDescent="0.25">
      <c r="G5239" s="459"/>
      <c r="H5239" s="459">
        <v>5232</v>
      </c>
      <c r="I5239" s="444">
        <f t="shared" ca="1" si="203"/>
        <v>-1293596379496268</v>
      </c>
      <c r="J5239" s="444">
        <f t="array" ref="J5239">IFERROR(INDEX('Retirement Calculator'!J:J,MATCH('Isaac 401k'!N5239,'Retirement Calculator'!A:A,0),0),0)</f>
        <v>0</v>
      </c>
      <c r="K5239" s="444">
        <f t="shared" ca="1" si="201"/>
        <v>-5389984914567.7832</v>
      </c>
      <c r="L5239" s="444">
        <f t="shared" ca="1" si="202"/>
        <v>-1298986364410835.8</v>
      </c>
      <c r="M5239" s="460">
        <f t="shared" si="204"/>
        <v>0.05</v>
      </c>
      <c r="N5239" s="464">
        <f t="shared" si="205"/>
        <v>210503</v>
      </c>
    </row>
    <row r="5240" spans="7:14" ht="11.25" customHeight="1" x14ac:dyDescent="0.25">
      <c r="G5240" s="459"/>
      <c r="H5240" s="459">
        <v>5233</v>
      </c>
      <c r="I5240" s="444">
        <f t="shared" ca="1" si="203"/>
        <v>-1298986364410835.8</v>
      </c>
      <c r="J5240" s="444">
        <f t="array" ref="J5240">IFERROR(INDEX('Retirement Calculator'!J:J,MATCH('Isaac 401k'!N5240,'Retirement Calculator'!A:A,0),0),0)</f>
        <v>0</v>
      </c>
      <c r="K5240" s="444">
        <f t="shared" ca="1" si="201"/>
        <v>-5412443185045.1484</v>
      </c>
      <c r="L5240" s="444">
        <f t="shared" ca="1" si="202"/>
        <v>-1304398807595881</v>
      </c>
      <c r="M5240" s="460">
        <f t="shared" si="204"/>
        <v>0.05</v>
      </c>
      <c r="N5240" s="464">
        <f t="shared" si="205"/>
        <v>210534</v>
      </c>
    </row>
    <row r="5241" spans="7:14" ht="11.25" customHeight="1" x14ac:dyDescent="0.25">
      <c r="G5241" s="459"/>
      <c r="H5241" s="459">
        <v>5234</v>
      </c>
      <c r="I5241" s="444">
        <f t="shared" ca="1" si="203"/>
        <v>-1304398807595881</v>
      </c>
      <c r="J5241" s="444">
        <f t="array" ref="J5241">IFERROR(INDEX('Retirement Calculator'!J:J,MATCH('Isaac 401k'!N5241,'Retirement Calculator'!A:A,0),0),0)</f>
        <v>0</v>
      </c>
      <c r="K5241" s="444">
        <f t="shared" ca="1" si="201"/>
        <v>-5434995031649.5039</v>
      </c>
      <c r="L5241" s="444">
        <f t="shared" ca="1" si="202"/>
        <v>-1309833802627530.5</v>
      </c>
      <c r="M5241" s="460">
        <f t="shared" si="204"/>
        <v>0.05</v>
      </c>
      <c r="N5241" s="464">
        <f t="shared" si="205"/>
        <v>210564</v>
      </c>
    </row>
    <row r="5242" spans="7:14" ht="11.25" customHeight="1" x14ac:dyDescent="0.25">
      <c r="G5242" s="459"/>
      <c r="H5242" s="459">
        <v>5235</v>
      </c>
      <c r="I5242" s="444">
        <f t="shared" ca="1" si="203"/>
        <v>-1309833802627530.5</v>
      </c>
      <c r="J5242" s="444">
        <f t="array" ref="J5242">IFERROR(INDEX('Retirement Calculator'!J:J,MATCH('Isaac 401k'!N5242,'Retirement Calculator'!A:A,0),0),0)</f>
        <v>0</v>
      </c>
      <c r="K5242" s="444">
        <f t="shared" ca="1" si="201"/>
        <v>-5457640844281.377</v>
      </c>
      <c r="L5242" s="444">
        <f t="shared" ca="1" si="202"/>
        <v>-1315291443471812</v>
      </c>
      <c r="M5242" s="460">
        <f t="shared" si="204"/>
        <v>0.05</v>
      </c>
      <c r="N5242" s="464">
        <f t="shared" si="205"/>
        <v>210595</v>
      </c>
    </row>
    <row r="5243" spans="7:14" ht="11.25" customHeight="1" x14ac:dyDescent="0.25">
      <c r="G5243" s="459"/>
      <c r="H5243" s="459">
        <v>5236</v>
      </c>
      <c r="I5243" s="444">
        <f t="shared" ca="1" si="203"/>
        <v>-1315291443471812</v>
      </c>
      <c r="J5243" s="444">
        <f t="array" ref="J5243">IFERROR(INDEX('Retirement Calculator'!J:J,MATCH('Isaac 401k'!N5243,'Retirement Calculator'!A:A,0),0),0)</f>
        <v>0</v>
      </c>
      <c r="K5243" s="444">
        <f t="shared" ca="1" si="201"/>
        <v>-5480381014465.8828</v>
      </c>
      <c r="L5243" s="444">
        <f t="shared" ca="1" si="202"/>
        <v>-1320771824486278</v>
      </c>
      <c r="M5243" s="460">
        <f t="shared" si="204"/>
        <v>0.05</v>
      </c>
      <c r="N5243" s="464">
        <f t="shared" si="205"/>
        <v>210626</v>
      </c>
    </row>
    <row r="5244" spans="7:14" ht="11.25" customHeight="1" x14ac:dyDescent="0.25">
      <c r="G5244" s="459"/>
      <c r="H5244" s="459">
        <v>5237</v>
      </c>
      <c r="I5244" s="444">
        <f t="shared" ca="1" si="203"/>
        <v>-1320771824486278</v>
      </c>
      <c r="J5244" s="444">
        <f t="array" ref="J5244">IFERROR(INDEX('Retirement Calculator'!J:J,MATCH('Isaac 401k'!N5244,'Retirement Calculator'!A:A,0),0),0)</f>
        <v>0</v>
      </c>
      <c r="K5244" s="444">
        <f t="shared" ca="1" si="201"/>
        <v>-5503215935359.4912</v>
      </c>
      <c r="L5244" s="444">
        <f t="shared" ca="1" si="202"/>
        <v>-1326275040421637.5</v>
      </c>
      <c r="M5244" s="460">
        <f t="shared" si="204"/>
        <v>0.05</v>
      </c>
      <c r="N5244" s="464">
        <f t="shared" si="205"/>
        <v>210656</v>
      </c>
    </row>
    <row r="5245" spans="7:14" ht="11.25" customHeight="1" x14ac:dyDescent="0.25">
      <c r="G5245" s="459"/>
      <c r="H5245" s="459">
        <v>5238</v>
      </c>
      <c r="I5245" s="444">
        <f t="shared" ca="1" si="203"/>
        <v>-1326275040421637.5</v>
      </c>
      <c r="J5245" s="444">
        <f t="array" ref="J5245">IFERROR(INDEX('Retirement Calculator'!J:J,MATCH('Isaac 401k'!N5245,'Retirement Calculator'!A:A,0),0),0)</f>
        <v>0</v>
      </c>
      <c r="K5245" s="444">
        <f t="shared" ca="1" si="201"/>
        <v>-5526146001756.8232</v>
      </c>
      <c r="L5245" s="444">
        <f t="shared" ca="1" si="202"/>
        <v>-1331801186423394.3</v>
      </c>
      <c r="M5245" s="460">
        <f t="shared" si="204"/>
        <v>0.05</v>
      </c>
      <c r="N5245" s="464">
        <f t="shared" si="205"/>
        <v>210687</v>
      </c>
    </row>
    <row r="5246" spans="7:14" ht="11.25" customHeight="1" x14ac:dyDescent="0.25">
      <c r="G5246" s="459"/>
      <c r="H5246" s="459">
        <v>5239</v>
      </c>
      <c r="I5246" s="444">
        <f t="shared" ca="1" si="203"/>
        <v>-1331801186423394.3</v>
      </c>
      <c r="J5246" s="444">
        <f t="array" ref="J5246">IFERROR(INDEX('Retirement Calculator'!J:J,MATCH('Isaac 401k'!N5246,'Retirement Calculator'!A:A,0),0),0)</f>
        <v>0</v>
      </c>
      <c r="K5246" s="444">
        <f t="shared" ca="1" si="201"/>
        <v>-5549171610097.4756</v>
      </c>
      <c r="L5246" s="444">
        <f t="shared" ca="1" si="202"/>
        <v>-1337350358033491.8</v>
      </c>
      <c r="M5246" s="460">
        <f t="shared" si="204"/>
        <v>0.05</v>
      </c>
      <c r="N5246" s="464">
        <f t="shared" si="205"/>
        <v>210717</v>
      </c>
    </row>
    <row r="5247" spans="7:14" ht="11.25" customHeight="1" x14ac:dyDescent="0.25">
      <c r="G5247" s="459"/>
      <c r="H5247" s="459">
        <v>5240</v>
      </c>
      <c r="I5247" s="444">
        <f t="shared" ca="1" si="203"/>
        <v>-1337350358033491.8</v>
      </c>
      <c r="J5247" s="444">
        <f t="array" ref="J5247">IFERROR(INDEX('Retirement Calculator'!J:J,MATCH('Isaac 401k'!N5247,'Retirement Calculator'!A:A,0),0),0)</f>
        <v>0</v>
      </c>
      <c r="K5247" s="444">
        <f t="shared" ca="1" si="201"/>
        <v>-5572293158472.8818</v>
      </c>
      <c r="L5247" s="444">
        <f t="shared" ca="1" si="202"/>
        <v>-1342922651191964.8</v>
      </c>
      <c r="M5247" s="460">
        <f t="shared" si="204"/>
        <v>0.05</v>
      </c>
      <c r="N5247" s="464">
        <f t="shared" si="205"/>
        <v>210748</v>
      </c>
    </row>
    <row r="5248" spans="7:14" ht="11.25" customHeight="1" x14ac:dyDescent="0.25">
      <c r="G5248" s="459"/>
      <c r="H5248" s="459">
        <v>5241</v>
      </c>
      <c r="I5248" s="444">
        <f t="shared" ca="1" si="203"/>
        <v>-1342922651191964.8</v>
      </c>
      <c r="J5248" s="444">
        <f t="array" ref="J5248">IFERROR(INDEX('Retirement Calculator'!J:J,MATCH('Isaac 401k'!N5248,'Retirement Calculator'!A:A,0),0),0)</f>
        <v>0</v>
      </c>
      <c r="K5248" s="444">
        <f t="shared" ca="1" si="201"/>
        <v>-5595511046633.1865</v>
      </c>
      <c r="L5248" s="444">
        <f t="shared" ca="1" si="202"/>
        <v>-1348518162238598</v>
      </c>
      <c r="M5248" s="460">
        <f t="shared" si="204"/>
        <v>0.05</v>
      </c>
      <c r="N5248" s="464">
        <f t="shared" si="205"/>
        <v>210779</v>
      </c>
    </row>
    <row r="5249" spans="7:14" ht="11.25" customHeight="1" x14ac:dyDescent="0.25">
      <c r="G5249" s="459"/>
      <c r="H5249" s="459">
        <v>5242</v>
      </c>
      <c r="I5249" s="444">
        <f t="shared" ca="1" si="203"/>
        <v>-1348518162238598</v>
      </c>
      <c r="J5249" s="444">
        <f t="array" ref="J5249">IFERROR(INDEX('Retirement Calculator'!J:J,MATCH('Isaac 401k'!N5249,'Retirement Calculator'!A:A,0),0),0)</f>
        <v>0</v>
      </c>
      <c r="K5249" s="444">
        <f t="shared" ca="1" si="201"/>
        <v>-5618825675994.1582</v>
      </c>
      <c r="L5249" s="444">
        <f t="shared" ca="1" si="202"/>
        <v>-1354136987914592.3</v>
      </c>
      <c r="M5249" s="460">
        <f t="shared" si="204"/>
        <v>0.05</v>
      </c>
      <c r="N5249" s="464">
        <f t="shared" si="205"/>
        <v>210807</v>
      </c>
    </row>
    <row r="5250" spans="7:14" ht="11.25" customHeight="1" x14ac:dyDescent="0.25">
      <c r="G5250" s="459"/>
      <c r="H5250" s="459">
        <v>5243</v>
      </c>
      <c r="I5250" s="444">
        <f t="shared" ca="1" si="203"/>
        <v>-1354136987914592.3</v>
      </c>
      <c r="J5250" s="444">
        <f t="array" ref="J5250">IFERROR(INDEX('Retirement Calculator'!J:J,MATCH('Isaac 401k'!N5250,'Retirement Calculator'!A:A,0),0),0)</f>
        <v>0</v>
      </c>
      <c r="K5250" s="444">
        <f t="shared" ca="1" si="201"/>
        <v>-5642237449644.1348</v>
      </c>
      <c r="L5250" s="444">
        <f t="shared" ca="1" si="202"/>
        <v>-1359779225364236.5</v>
      </c>
      <c r="M5250" s="460">
        <f t="shared" si="204"/>
        <v>0.05</v>
      </c>
      <c r="N5250" s="464">
        <f t="shared" si="205"/>
        <v>210838</v>
      </c>
    </row>
    <row r="5251" spans="7:14" ht="11.25" customHeight="1" x14ac:dyDescent="0.25">
      <c r="G5251" s="459"/>
      <c r="H5251" s="459">
        <v>5244</v>
      </c>
      <c r="I5251" s="444">
        <f t="shared" ca="1" si="203"/>
        <v>-1359779225364236.5</v>
      </c>
      <c r="J5251" s="444">
        <f t="array" ref="J5251">IFERROR(INDEX('Retirement Calculator'!J:J,MATCH('Isaac 401k'!N5251,'Retirement Calculator'!A:A,0),0),0)</f>
        <v>0</v>
      </c>
      <c r="K5251" s="444">
        <f t="shared" ca="1" si="201"/>
        <v>-5665746772350.9854</v>
      </c>
      <c r="L5251" s="444">
        <f t="shared" ca="1" si="202"/>
        <v>-1365444972136587.5</v>
      </c>
      <c r="M5251" s="460">
        <f t="shared" si="204"/>
        <v>0.05</v>
      </c>
      <c r="N5251" s="464">
        <f t="shared" si="205"/>
        <v>210868</v>
      </c>
    </row>
    <row r="5252" spans="7:14" ht="11.25" customHeight="1" x14ac:dyDescent="0.25">
      <c r="G5252" s="459"/>
      <c r="H5252" s="459">
        <v>5245</v>
      </c>
      <c r="I5252" s="444">
        <f t="shared" ca="1" si="203"/>
        <v>-1365444972136587.5</v>
      </c>
      <c r="J5252" s="444">
        <f t="array" ref="J5252">IFERROR(INDEX('Retirement Calculator'!J:J,MATCH('Isaac 401k'!N5252,'Retirement Calculator'!A:A,0),0),0)</f>
        <v>0</v>
      </c>
      <c r="K5252" s="444">
        <f t="shared" ca="1" si="201"/>
        <v>-5689354050569.1143</v>
      </c>
      <c r="L5252" s="444">
        <f t="shared" ca="1" si="202"/>
        <v>-1371134326187156.5</v>
      </c>
      <c r="M5252" s="460">
        <f t="shared" si="204"/>
        <v>0.05</v>
      </c>
      <c r="N5252" s="464">
        <f t="shared" si="205"/>
        <v>210899</v>
      </c>
    </row>
    <row r="5253" spans="7:14" ht="11.25" customHeight="1" x14ac:dyDescent="0.25">
      <c r="G5253" s="459"/>
      <c r="H5253" s="459">
        <v>5246</v>
      </c>
      <c r="I5253" s="444">
        <f t="shared" ca="1" si="203"/>
        <v>-1371134326187156.5</v>
      </c>
      <c r="J5253" s="444">
        <f t="array" ref="J5253">IFERROR(INDEX('Retirement Calculator'!J:J,MATCH('Isaac 401k'!N5253,'Retirement Calculator'!A:A,0),0),0)</f>
        <v>0</v>
      </c>
      <c r="K5253" s="444">
        <f t="shared" ca="1" si="201"/>
        <v>-5713059692446.4854</v>
      </c>
      <c r="L5253" s="444">
        <f t="shared" ca="1" si="202"/>
        <v>-1376847385879603</v>
      </c>
      <c r="M5253" s="460">
        <f t="shared" si="204"/>
        <v>0.05</v>
      </c>
      <c r="N5253" s="464">
        <f t="shared" si="205"/>
        <v>210929</v>
      </c>
    </row>
    <row r="5254" spans="7:14" ht="11.25" customHeight="1" x14ac:dyDescent="0.25">
      <c r="G5254" s="459"/>
      <c r="H5254" s="459">
        <v>5247</v>
      </c>
      <c r="I5254" s="444">
        <f t="shared" ca="1" si="203"/>
        <v>-1376847385879603</v>
      </c>
      <c r="J5254" s="444">
        <f t="array" ref="J5254">IFERROR(INDEX('Retirement Calculator'!J:J,MATCH('Isaac 401k'!N5254,'Retirement Calculator'!A:A,0),0),0)</f>
        <v>0</v>
      </c>
      <c r="K5254" s="444">
        <f t="shared" ca="1" si="201"/>
        <v>-5736864107831.6787</v>
      </c>
      <c r="L5254" s="444">
        <f t="shared" ca="1" si="202"/>
        <v>-1382584249987434.8</v>
      </c>
      <c r="M5254" s="460">
        <f t="shared" si="204"/>
        <v>0.05</v>
      </c>
      <c r="N5254" s="464">
        <f t="shared" si="205"/>
        <v>210960</v>
      </c>
    </row>
    <row r="5255" spans="7:14" ht="11.25" customHeight="1" x14ac:dyDescent="0.25">
      <c r="G5255" s="459"/>
      <c r="H5255" s="459">
        <v>5248</v>
      </c>
      <c r="I5255" s="444">
        <f t="shared" ca="1" si="203"/>
        <v>-1382584249987434.8</v>
      </c>
      <c r="J5255" s="444">
        <f t="array" ref="J5255">IFERROR(INDEX('Retirement Calculator'!J:J,MATCH('Isaac 401k'!N5255,'Retirement Calculator'!A:A,0),0),0)</f>
        <v>0</v>
      </c>
      <c r="K5255" s="444">
        <f t="shared" ca="1" si="201"/>
        <v>-5760767708280.9785</v>
      </c>
      <c r="L5255" s="444">
        <f t="shared" ca="1" si="202"/>
        <v>-1388345017695715.8</v>
      </c>
      <c r="M5255" s="460">
        <f t="shared" si="204"/>
        <v>0.05</v>
      </c>
      <c r="N5255" s="464">
        <f t="shared" si="205"/>
        <v>210991</v>
      </c>
    </row>
    <row r="5256" spans="7:14" ht="11.25" customHeight="1" x14ac:dyDescent="0.25">
      <c r="G5256" s="459"/>
      <c r="H5256" s="459">
        <v>5249</v>
      </c>
      <c r="I5256" s="444">
        <f t="shared" ca="1" si="203"/>
        <v>-1388345017695715.8</v>
      </c>
      <c r="J5256" s="444">
        <f t="array" ref="J5256">IFERROR(INDEX('Retirement Calculator'!J:J,MATCH('Isaac 401k'!N5256,'Retirement Calculator'!A:A,0),0),0)</f>
        <v>0</v>
      </c>
      <c r="K5256" s="444">
        <f t="shared" ca="1" si="201"/>
        <v>-5784770907065.4824</v>
      </c>
      <c r="L5256" s="444">
        <f t="shared" ca="1" si="202"/>
        <v>-1394129788602781.3</v>
      </c>
      <c r="M5256" s="460">
        <f t="shared" si="204"/>
        <v>0.05</v>
      </c>
      <c r="N5256" s="464">
        <f t="shared" si="205"/>
        <v>211021</v>
      </c>
    </row>
    <row r="5257" spans="7:14" ht="11.25" customHeight="1" x14ac:dyDescent="0.25">
      <c r="G5257" s="459"/>
      <c r="H5257" s="459">
        <v>5250</v>
      </c>
      <c r="I5257" s="444">
        <f t="shared" ca="1" si="203"/>
        <v>-1394129788602781.3</v>
      </c>
      <c r="J5257" s="444">
        <f t="array" ref="J5257">IFERROR(INDEX('Retirement Calculator'!J:J,MATCH('Isaac 401k'!N5257,'Retirement Calculator'!A:A,0),0),0)</f>
        <v>0</v>
      </c>
      <c r="K5257" s="444">
        <f t="shared" ca="1" si="201"/>
        <v>-5808874119178.2549</v>
      </c>
      <c r="L5257" s="444">
        <f t="shared" ca="1" si="202"/>
        <v>-1399938662721959.5</v>
      </c>
      <c r="M5257" s="460">
        <f t="shared" si="204"/>
        <v>0.05</v>
      </c>
      <c r="N5257" s="464">
        <f t="shared" si="205"/>
        <v>211052</v>
      </c>
    </row>
    <row r="5258" spans="7:14" ht="11.25" customHeight="1" x14ac:dyDescent="0.25">
      <c r="G5258" s="459"/>
      <c r="H5258" s="459">
        <v>5251</v>
      </c>
      <c r="I5258" s="444">
        <f t="shared" ca="1" si="203"/>
        <v>-1399938662721959.5</v>
      </c>
      <c r="J5258" s="444">
        <f t="array" ref="J5258">IFERROR(INDEX('Retirement Calculator'!J:J,MATCH('Isaac 401k'!N5258,'Retirement Calculator'!A:A,0),0),0)</f>
        <v>0</v>
      </c>
      <c r="K5258" s="444">
        <f t="shared" ca="1" si="201"/>
        <v>-5833077761341.498</v>
      </c>
      <c r="L5258" s="444">
        <f t="shared" ca="1" si="202"/>
        <v>-1405771740483301</v>
      </c>
      <c r="M5258" s="460">
        <f t="shared" si="204"/>
        <v>0.05</v>
      </c>
      <c r="N5258" s="464">
        <f t="shared" si="205"/>
        <v>211082</v>
      </c>
    </row>
    <row r="5259" spans="7:14" ht="11.25" customHeight="1" x14ac:dyDescent="0.25">
      <c r="G5259" s="459"/>
      <c r="H5259" s="459">
        <v>5252</v>
      </c>
      <c r="I5259" s="444">
        <f t="shared" ca="1" si="203"/>
        <v>-1405771740483301</v>
      </c>
      <c r="J5259" s="444">
        <f t="array" ref="J5259">IFERROR(INDEX('Retirement Calculator'!J:J,MATCH('Isaac 401k'!N5259,'Retirement Calculator'!A:A,0),0),0)</f>
        <v>0</v>
      </c>
      <c r="K5259" s="444">
        <f t="shared" ca="1" si="201"/>
        <v>-5857382252013.7539</v>
      </c>
      <c r="L5259" s="444">
        <f t="shared" ca="1" si="202"/>
        <v>-1411629122735314.8</v>
      </c>
      <c r="M5259" s="460">
        <f t="shared" si="204"/>
        <v>0.05</v>
      </c>
      <c r="N5259" s="464">
        <f t="shared" si="205"/>
        <v>211113</v>
      </c>
    </row>
    <row r="5260" spans="7:14" ht="11.25" customHeight="1" x14ac:dyDescent="0.25">
      <c r="G5260" s="459"/>
      <c r="H5260" s="459">
        <v>5253</v>
      </c>
      <c r="I5260" s="444">
        <f t="shared" ca="1" si="203"/>
        <v>-1411629122735314.8</v>
      </c>
      <c r="J5260" s="444">
        <f t="array" ref="J5260">IFERROR(INDEX('Retirement Calculator'!J:J,MATCH('Isaac 401k'!N5260,'Retirement Calculator'!A:A,0),0),0)</f>
        <v>0</v>
      </c>
      <c r="K5260" s="444">
        <f t="shared" ca="1" si="201"/>
        <v>-5881788011397.1445</v>
      </c>
      <c r="L5260" s="444">
        <f t="shared" ca="1" si="202"/>
        <v>-1417510910746712</v>
      </c>
      <c r="M5260" s="460">
        <f t="shared" si="204"/>
        <v>0.05</v>
      </c>
      <c r="N5260" s="464">
        <f t="shared" si="205"/>
        <v>211144</v>
      </c>
    </row>
    <row r="5261" spans="7:14" ht="11.25" customHeight="1" x14ac:dyDescent="0.25">
      <c r="G5261" s="459"/>
      <c r="H5261" s="459">
        <v>5254</v>
      </c>
      <c r="I5261" s="444">
        <f t="shared" ca="1" si="203"/>
        <v>-1417510910746712</v>
      </c>
      <c r="J5261" s="444">
        <f t="array" ref="J5261">IFERROR(INDEX('Retirement Calculator'!J:J,MATCH('Isaac 401k'!N5261,'Retirement Calculator'!A:A,0),0),0)</f>
        <v>0</v>
      </c>
      <c r="K5261" s="444">
        <f t="shared" ca="1" si="201"/>
        <v>-5906295461444.6328</v>
      </c>
      <c r="L5261" s="444">
        <f t="shared" ca="1" si="202"/>
        <v>-1423417206208156.8</v>
      </c>
      <c r="M5261" s="460">
        <f t="shared" si="204"/>
        <v>0.05</v>
      </c>
      <c r="N5261" s="464">
        <f t="shared" si="205"/>
        <v>211172</v>
      </c>
    </row>
    <row r="5262" spans="7:14" ht="11.25" customHeight="1" x14ac:dyDescent="0.25">
      <c r="G5262" s="459"/>
      <c r="H5262" s="459">
        <v>5255</v>
      </c>
      <c r="I5262" s="444">
        <f t="shared" ca="1" si="203"/>
        <v>-1423417206208156.8</v>
      </c>
      <c r="J5262" s="444">
        <f t="array" ref="J5262">IFERROR(INDEX('Retirement Calculator'!J:J,MATCH('Isaac 401k'!N5262,'Retirement Calculator'!A:A,0),0),0)</f>
        <v>0</v>
      </c>
      <c r="K5262" s="444">
        <f t="shared" ca="1" si="201"/>
        <v>-5930905025867.3193</v>
      </c>
      <c r="L5262" s="444">
        <f t="shared" ca="1" si="202"/>
        <v>-1429348111234024</v>
      </c>
      <c r="M5262" s="460">
        <f t="shared" si="204"/>
        <v>0.05</v>
      </c>
      <c r="N5262" s="464">
        <f t="shared" si="205"/>
        <v>211203</v>
      </c>
    </row>
    <row r="5263" spans="7:14" ht="11.25" customHeight="1" x14ac:dyDescent="0.25">
      <c r="G5263" s="459"/>
      <c r="H5263" s="459">
        <v>5256</v>
      </c>
      <c r="I5263" s="444">
        <f t="shared" ca="1" si="203"/>
        <v>-1429348111234024</v>
      </c>
      <c r="J5263" s="444">
        <f t="array" ref="J5263">IFERROR(INDEX('Retirement Calculator'!J:J,MATCH('Isaac 401k'!N5263,'Retirement Calculator'!A:A,0),0),0)</f>
        <v>0</v>
      </c>
      <c r="K5263" s="444">
        <f t="shared" ca="1" si="201"/>
        <v>-5955617130141.7666</v>
      </c>
      <c r="L5263" s="444">
        <f t="shared" ca="1" si="202"/>
        <v>-1435303728364165.8</v>
      </c>
      <c r="M5263" s="460">
        <f t="shared" si="204"/>
        <v>0.05</v>
      </c>
      <c r="N5263" s="464">
        <f t="shared" si="205"/>
        <v>211233</v>
      </c>
    </row>
    <row r="5264" spans="7:14" ht="11.25" customHeight="1" x14ac:dyDescent="0.25">
      <c r="G5264" s="459"/>
      <c r="H5264" s="459">
        <v>5257</v>
      </c>
      <c r="I5264" s="444">
        <f t="shared" ca="1" si="203"/>
        <v>-1435303728364165.8</v>
      </c>
      <c r="J5264" s="444">
        <f t="array" ref="J5264">IFERROR(INDEX('Retirement Calculator'!J:J,MATCH('Isaac 401k'!N5264,'Retirement Calculator'!A:A,0),0),0)</f>
        <v>0</v>
      </c>
      <c r="K5264" s="444">
        <f t="shared" ca="1" si="201"/>
        <v>-5980432201517.3574</v>
      </c>
      <c r="L5264" s="444">
        <f t="shared" ca="1" si="202"/>
        <v>-1441284160565683</v>
      </c>
      <c r="M5264" s="460">
        <f t="shared" si="204"/>
        <v>0.05</v>
      </c>
      <c r="N5264" s="464">
        <f t="shared" si="205"/>
        <v>211264</v>
      </c>
    </row>
    <row r="5265" spans="7:14" ht="11.25" customHeight="1" x14ac:dyDescent="0.25">
      <c r="G5265" s="459"/>
      <c r="H5265" s="459">
        <v>5258</v>
      </c>
      <c r="I5265" s="444">
        <f t="shared" ca="1" si="203"/>
        <v>-1441284160565683</v>
      </c>
      <c r="J5265" s="444">
        <f t="array" ref="J5265">IFERROR(INDEX('Retirement Calculator'!J:J,MATCH('Isaac 401k'!N5265,'Retirement Calculator'!A:A,0),0),0)</f>
        <v>0</v>
      </c>
      <c r="K5265" s="444">
        <f t="shared" ca="1" si="201"/>
        <v>-6005350669023.6787</v>
      </c>
      <c r="L5265" s="444">
        <f t="shared" ca="1" si="202"/>
        <v>-1447289511234706.8</v>
      </c>
      <c r="M5265" s="460">
        <f t="shared" si="204"/>
        <v>0.05</v>
      </c>
      <c r="N5265" s="464">
        <f t="shared" si="205"/>
        <v>211294</v>
      </c>
    </row>
    <row r="5266" spans="7:14" ht="11.25" customHeight="1" x14ac:dyDescent="0.25">
      <c r="G5266" s="459"/>
      <c r="H5266" s="459">
        <v>5259</v>
      </c>
      <c r="I5266" s="444">
        <f t="shared" ca="1" si="203"/>
        <v>-1447289511234706.8</v>
      </c>
      <c r="J5266" s="444">
        <f t="array" ref="J5266">IFERROR(INDEX('Retirement Calculator'!J:J,MATCH('Isaac 401k'!N5266,'Retirement Calculator'!A:A,0),0),0)</f>
        <v>0</v>
      </c>
      <c r="K5266" s="444">
        <f t="shared" ca="1" si="201"/>
        <v>-6030372963477.9443</v>
      </c>
      <c r="L5266" s="444">
        <f t="shared" ca="1" si="202"/>
        <v>-1453319884198184.8</v>
      </c>
      <c r="M5266" s="460">
        <f t="shared" si="204"/>
        <v>0.05</v>
      </c>
      <c r="N5266" s="464">
        <f t="shared" si="205"/>
        <v>211325</v>
      </c>
    </row>
    <row r="5267" spans="7:14" ht="11.25" customHeight="1" x14ac:dyDescent="0.25">
      <c r="G5267" s="459"/>
      <c r="H5267" s="459">
        <v>5260</v>
      </c>
      <c r="I5267" s="444">
        <f t="shared" ca="1" si="203"/>
        <v>-1453319884198184.8</v>
      </c>
      <c r="J5267" s="444">
        <f t="array" ref="J5267">IFERROR(INDEX('Retirement Calculator'!J:J,MATCH('Isaac 401k'!N5267,'Retirement Calculator'!A:A,0),0),0)</f>
        <v>0</v>
      </c>
      <c r="K5267" s="444">
        <f t="shared" ca="1" si="201"/>
        <v>-6055499517492.4365</v>
      </c>
      <c r="L5267" s="444">
        <f t="shared" ca="1" si="202"/>
        <v>-1459375383715677.3</v>
      </c>
      <c r="M5267" s="460">
        <f t="shared" si="204"/>
        <v>0.05</v>
      </c>
      <c r="N5267" s="464">
        <f t="shared" si="205"/>
        <v>211356</v>
      </c>
    </row>
    <row r="5268" spans="7:14" ht="11.25" customHeight="1" x14ac:dyDescent="0.25">
      <c r="G5268" s="459"/>
      <c r="H5268" s="459">
        <v>5261</v>
      </c>
      <c r="I5268" s="444">
        <f t="shared" ca="1" si="203"/>
        <v>-1459375383715677.3</v>
      </c>
      <c r="J5268" s="444">
        <f t="array" ref="J5268">IFERROR(INDEX('Retirement Calculator'!J:J,MATCH('Isaac 401k'!N5268,'Retirement Calculator'!A:A,0),0),0)</f>
        <v>0</v>
      </c>
      <c r="K5268" s="444">
        <f t="shared" ca="1" si="201"/>
        <v>-6080730765481.9883</v>
      </c>
      <c r="L5268" s="444">
        <f t="shared" ca="1" si="202"/>
        <v>-1465456114481159.3</v>
      </c>
      <c r="M5268" s="460">
        <f t="shared" si="204"/>
        <v>0.05</v>
      </c>
      <c r="N5268" s="464">
        <f t="shared" si="205"/>
        <v>211386</v>
      </c>
    </row>
    <row r="5269" spans="7:14" ht="11.25" customHeight="1" x14ac:dyDescent="0.25">
      <c r="G5269" s="459"/>
      <c r="H5269" s="459">
        <v>5262</v>
      </c>
      <c r="I5269" s="444">
        <f t="shared" ca="1" si="203"/>
        <v>-1465456114481159.3</v>
      </c>
      <c r="J5269" s="444">
        <f t="array" ref="J5269">IFERROR(INDEX('Retirement Calculator'!J:J,MATCH('Isaac 401k'!N5269,'Retirement Calculator'!A:A,0),0),0)</f>
        <v>0</v>
      </c>
      <c r="K5269" s="444">
        <f t="shared" ca="1" si="201"/>
        <v>-6106067143671.4971</v>
      </c>
      <c r="L5269" s="444">
        <f t="shared" ca="1" si="202"/>
        <v>-1471562181624830.8</v>
      </c>
      <c r="M5269" s="460">
        <f t="shared" si="204"/>
        <v>0.05</v>
      </c>
      <c r="N5269" s="464">
        <f t="shared" si="205"/>
        <v>211417</v>
      </c>
    </row>
    <row r="5270" spans="7:14" ht="11.25" customHeight="1" x14ac:dyDescent="0.25">
      <c r="G5270" s="459"/>
      <c r="H5270" s="459">
        <v>5263</v>
      </c>
      <c r="I5270" s="444">
        <f t="shared" ca="1" si="203"/>
        <v>-1471562181624830.8</v>
      </c>
      <c r="J5270" s="444">
        <f t="array" ref="J5270">IFERROR(INDEX('Retirement Calculator'!J:J,MATCH('Isaac 401k'!N5270,'Retirement Calculator'!A:A,0),0),0)</f>
        <v>0</v>
      </c>
      <c r="K5270" s="444">
        <f t="shared" ca="1" si="201"/>
        <v>-6131509090103.4609</v>
      </c>
      <c r="L5270" s="444">
        <f t="shared" ca="1" si="202"/>
        <v>-1477693690714934.3</v>
      </c>
      <c r="M5270" s="460">
        <f t="shared" si="204"/>
        <v>0.05</v>
      </c>
      <c r="N5270" s="464">
        <f t="shared" si="205"/>
        <v>211447</v>
      </c>
    </row>
    <row r="5271" spans="7:14" ht="11.25" customHeight="1" x14ac:dyDescent="0.25">
      <c r="G5271" s="459"/>
      <c r="H5271" s="459">
        <v>5264</v>
      </c>
      <c r="I5271" s="444">
        <f t="shared" ca="1" si="203"/>
        <v>-1477693690714934.3</v>
      </c>
      <c r="J5271" s="444">
        <f t="array" ref="J5271">IFERROR(INDEX('Retirement Calculator'!J:J,MATCH('Isaac 401k'!N5271,'Retirement Calculator'!A:A,0),0),0)</f>
        <v>0</v>
      </c>
      <c r="K5271" s="444">
        <f t="shared" ca="1" si="201"/>
        <v>-6157057044645.5596</v>
      </c>
      <c r="L5271" s="444">
        <f t="shared" ca="1" si="202"/>
        <v>-1483850747759579.8</v>
      </c>
      <c r="M5271" s="460">
        <f t="shared" si="204"/>
        <v>0.05</v>
      </c>
      <c r="N5271" s="464">
        <f t="shared" si="205"/>
        <v>211478</v>
      </c>
    </row>
    <row r="5272" spans="7:14" ht="11.25" customHeight="1" x14ac:dyDescent="0.25">
      <c r="G5272" s="459"/>
      <c r="H5272" s="459">
        <v>5265</v>
      </c>
      <c r="I5272" s="444">
        <f t="shared" ca="1" si="203"/>
        <v>-1483850747759579.8</v>
      </c>
      <c r="J5272" s="444">
        <f t="array" ref="J5272">IFERROR(INDEX('Retirement Calculator'!J:J,MATCH('Isaac 401k'!N5272,'Retirement Calculator'!A:A,0),0),0)</f>
        <v>0</v>
      </c>
      <c r="K5272" s="444">
        <f t="shared" ca="1" si="201"/>
        <v>-6182711448998.249</v>
      </c>
      <c r="L5272" s="444">
        <f t="shared" ca="1" si="202"/>
        <v>-1490033459208578</v>
      </c>
      <c r="M5272" s="460">
        <f t="shared" si="204"/>
        <v>0.05</v>
      </c>
      <c r="N5272" s="464">
        <f t="shared" si="205"/>
        <v>211509</v>
      </c>
    </row>
    <row r="5273" spans="7:14" ht="11.25" customHeight="1" x14ac:dyDescent="0.25">
      <c r="G5273" s="459"/>
      <c r="H5273" s="459">
        <v>5266</v>
      </c>
      <c r="I5273" s="444">
        <f t="shared" ca="1" si="203"/>
        <v>-1490033459208578</v>
      </c>
      <c r="J5273" s="444">
        <f t="array" ref="J5273">IFERROR(INDEX('Retirement Calculator'!J:J,MATCH('Isaac 401k'!N5273,'Retirement Calculator'!A:A,0),0),0)</f>
        <v>0</v>
      </c>
      <c r="K5273" s="444">
        <f t="shared" ca="1" si="201"/>
        <v>-6208472746702.4082</v>
      </c>
      <c r="L5273" s="444">
        <f t="shared" ca="1" si="202"/>
        <v>-1496241931955280.5</v>
      </c>
      <c r="M5273" s="460">
        <f t="shared" si="204"/>
        <v>0.05</v>
      </c>
      <c r="N5273" s="464">
        <f t="shared" si="205"/>
        <v>211537</v>
      </c>
    </row>
    <row r="5274" spans="7:14" ht="11.25" customHeight="1" x14ac:dyDescent="0.25">
      <c r="G5274" s="459"/>
      <c r="H5274" s="459">
        <v>5267</v>
      </c>
      <c r="I5274" s="444">
        <f t="shared" ca="1" si="203"/>
        <v>-1496241931955280.5</v>
      </c>
      <c r="J5274" s="444">
        <f t="array" ref="J5274">IFERROR(INDEX('Retirement Calculator'!J:J,MATCH('Isaac 401k'!N5274,'Retirement Calculator'!A:A,0),0),0)</f>
        <v>0</v>
      </c>
      <c r="K5274" s="444">
        <f t="shared" ca="1" si="201"/>
        <v>-6234341383147.002</v>
      </c>
      <c r="L5274" s="444">
        <f t="shared" ca="1" si="202"/>
        <v>-1502476273338427.5</v>
      </c>
      <c r="M5274" s="460">
        <f t="shared" si="204"/>
        <v>0.05</v>
      </c>
      <c r="N5274" s="464">
        <f t="shared" si="205"/>
        <v>211568</v>
      </c>
    </row>
    <row r="5275" spans="7:14" ht="11.25" customHeight="1" x14ac:dyDescent="0.25">
      <c r="G5275" s="459"/>
      <c r="H5275" s="459">
        <v>5268</v>
      </c>
      <c r="I5275" s="444">
        <f t="shared" ca="1" si="203"/>
        <v>-1502476273338427.5</v>
      </c>
      <c r="J5275" s="444">
        <f t="array" ref="J5275">IFERROR(INDEX('Retirement Calculator'!J:J,MATCH('Isaac 401k'!N5275,'Retirement Calculator'!A:A,0),0),0)</f>
        <v>0</v>
      </c>
      <c r="K5275" s="444">
        <f t="shared" ca="1" si="201"/>
        <v>-6260317805576.7813</v>
      </c>
      <c r="L5275" s="444">
        <f t="shared" ca="1" si="202"/>
        <v>-1508736591144004.3</v>
      </c>
      <c r="M5275" s="460">
        <f t="shared" si="204"/>
        <v>0.05</v>
      </c>
      <c r="N5275" s="464">
        <f t="shared" si="205"/>
        <v>211598</v>
      </c>
    </row>
    <row r="5276" spans="7:14" ht="11.25" customHeight="1" x14ac:dyDescent="0.25">
      <c r="G5276" s="459"/>
      <c r="H5276" s="459">
        <v>5269</v>
      </c>
      <c r="I5276" s="444">
        <f t="shared" ca="1" si="203"/>
        <v>-1508736591144004.3</v>
      </c>
      <c r="J5276" s="444">
        <f t="array" ref="J5276">IFERROR(INDEX('Retirement Calculator'!J:J,MATCH('Isaac 401k'!N5276,'Retirement Calculator'!A:A,0),0),0)</f>
        <v>0</v>
      </c>
      <c r="K5276" s="444">
        <f t="shared" ca="1" si="201"/>
        <v>-6286402463100.0176</v>
      </c>
      <c r="L5276" s="444">
        <f t="shared" ca="1" si="202"/>
        <v>-1515022993607104.3</v>
      </c>
      <c r="M5276" s="460">
        <f t="shared" si="204"/>
        <v>0.05</v>
      </c>
      <c r="N5276" s="464">
        <f t="shared" si="205"/>
        <v>211629</v>
      </c>
    </row>
    <row r="5277" spans="7:14" ht="11.25" customHeight="1" x14ac:dyDescent="0.25">
      <c r="G5277" s="459"/>
      <c r="H5277" s="459">
        <v>5270</v>
      </c>
      <c r="I5277" s="444">
        <f t="shared" ca="1" si="203"/>
        <v>-1515022993607104.3</v>
      </c>
      <c r="J5277" s="444">
        <f t="array" ref="J5277">IFERROR(INDEX('Retirement Calculator'!J:J,MATCH('Isaac 401k'!N5277,'Retirement Calculator'!A:A,0),0),0)</f>
        <v>0</v>
      </c>
      <c r="K5277" s="444">
        <f t="shared" ca="1" si="201"/>
        <v>-6312595806696.2676</v>
      </c>
      <c r="L5277" s="444">
        <f t="shared" ca="1" si="202"/>
        <v>-1521335589413800.5</v>
      </c>
      <c r="M5277" s="460">
        <f t="shared" si="204"/>
        <v>0.05</v>
      </c>
      <c r="N5277" s="464">
        <f t="shared" si="205"/>
        <v>211659</v>
      </c>
    </row>
    <row r="5278" spans="7:14" ht="11.25" customHeight="1" x14ac:dyDescent="0.25">
      <c r="G5278" s="459"/>
      <c r="H5278" s="459">
        <v>5271</v>
      </c>
      <c r="I5278" s="444">
        <f t="shared" ca="1" si="203"/>
        <v>-1521335589413800.5</v>
      </c>
      <c r="J5278" s="444">
        <f t="array" ref="J5278">IFERROR(INDEX('Retirement Calculator'!J:J,MATCH('Isaac 401k'!N5278,'Retirement Calculator'!A:A,0),0),0)</f>
        <v>0</v>
      </c>
      <c r="K5278" s="444">
        <f t="shared" ca="1" si="201"/>
        <v>-6338898289224.1689</v>
      </c>
      <c r="L5278" s="444">
        <f t="shared" ca="1" si="202"/>
        <v>-1527674487703024.8</v>
      </c>
      <c r="M5278" s="460">
        <f t="shared" si="204"/>
        <v>0.05</v>
      </c>
      <c r="N5278" s="464">
        <f t="shared" si="205"/>
        <v>211690</v>
      </c>
    </row>
    <row r="5279" spans="7:14" ht="11.25" customHeight="1" x14ac:dyDescent="0.25">
      <c r="G5279" s="459"/>
      <c r="H5279" s="459">
        <v>5272</v>
      </c>
      <c r="I5279" s="444">
        <f t="shared" ca="1" si="203"/>
        <v>-1527674487703024.8</v>
      </c>
      <c r="J5279" s="444">
        <f t="array" ref="J5279">IFERROR(INDEX('Retirement Calculator'!J:J,MATCH('Isaac 401k'!N5279,'Retirement Calculator'!A:A,0),0),0)</f>
        <v>0</v>
      </c>
      <c r="K5279" s="444">
        <f t="shared" ca="1" si="201"/>
        <v>-6365310365429.2695</v>
      </c>
      <c r="L5279" s="444">
        <f t="shared" ca="1" si="202"/>
        <v>-1534039798068454</v>
      </c>
      <c r="M5279" s="460">
        <f t="shared" si="204"/>
        <v>0.05</v>
      </c>
      <c r="N5279" s="464">
        <f t="shared" si="205"/>
        <v>211721</v>
      </c>
    </row>
    <row r="5280" spans="7:14" ht="11.25" customHeight="1" x14ac:dyDescent="0.25">
      <c r="G5280" s="459"/>
      <c r="H5280" s="459">
        <v>5273</v>
      </c>
      <c r="I5280" s="444">
        <f t="shared" ca="1" si="203"/>
        <v>-1534039798068454</v>
      </c>
      <c r="J5280" s="444">
        <f t="array" ref="J5280">IFERROR(INDEX('Retirement Calculator'!J:J,MATCH('Isaac 401k'!N5280,'Retirement Calculator'!A:A,0),0),0)</f>
        <v>0</v>
      </c>
      <c r="K5280" s="444">
        <f t="shared" ca="1" si="201"/>
        <v>-6391832491951.8916</v>
      </c>
      <c r="L5280" s="444">
        <f t="shared" ca="1" si="202"/>
        <v>-1540431630560406</v>
      </c>
      <c r="M5280" s="460">
        <f t="shared" si="204"/>
        <v>0.05</v>
      </c>
      <c r="N5280" s="464">
        <f t="shared" si="205"/>
        <v>211751</v>
      </c>
    </row>
    <row r="5281" spans="7:14" ht="11.25" customHeight="1" x14ac:dyDescent="0.25">
      <c r="G5281" s="459"/>
      <c r="H5281" s="459">
        <v>5274</v>
      </c>
      <c r="I5281" s="444">
        <f t="shared" ca="1" si="203"/>
        <v>-1540431630560406</v>
      </c>
      <c r="J5281" s="444">
        <f t="array" ref="J5281">IFERROR(INDEX('Retirement Calculator'!J:J,MATCH('Isaac 401k'!N5281,'Retirement Calculator'!A:A,0),0),0)</f>
        <v>0</v>
      </c>
      <c r="K5281" s="444">
        <f t="shared" ca="1" si="201"/>
        <v>-6418465127335.0254</v>
      </c>
      <c r="L5281" s="444">
        <f t="shared" ca="1" si="202"/>
        <v>-1546850095687741</v>
      </c>
      <c r="M5281" s="460">
        <f t="shared" si="204"/>
        <v>0.05</v>
      </c>
      <c r="N5281" s="464">
        <f t="shared" si="205"/>
        <v>211782</v>
      </c>
    </row>
    <row r="5282" spans="7:14" ht="11.25" customHeight="1" x14ac:dyDescent="0.25">
      <c r="G5282" s="459"/>
      <c r="H5282" s="459">
        <v>5275</v>
      </c>
      <c r="I5282" s="444">
        <f t="shared" ca="1" si="203"/>
        <v>-1546850095687741</v>
      </c>
      <c r="J5282" s="444">
        <f t="array" ref="J5282">IFERROR(INDEX('Retirement Calculator'!J:J,MATCH('Isaac 401k'!N5282,'Retirement Calculator'!A:A,0),0),0)</f>
        <v>0</v>
      </c>
      <c r="K5282" s="444">
        <f t="shared" ca="1" si="201"/>
        <v>-6445208732032.2539</v>
      </c>
      <c r="L5282" s="444">
        <f t="shared" ca="1" si="202"/>
        <v>-1553295304419773.3</v>
      </c>
      <c r="M5282" s="460">
        <f t="shared" si="204"/>
        <v>0.05</v>
      </c>
      <c r="N5282" s="464">
        <f t="shared" si="205"/>
        <v>211812</v>
      </c>
    </row>
    <row r="5283" spans="7:14" ht="11.25" customHeight="1" x14ac:dyDescent="0.25">
      <c r="G5283" s="459"/>
      <c r="H5283" s="459">
        <v>5276</v>
      </c>
      <c r="I5283" s="444">
        <f t="shared" ca="1" si="203"/>
        <v>-1553295304419773.3</v>
      </c>
      <c r="J5283" s="444">
        <f t="array" ref="J5283">IFERROR(INDEX('Retirement Calculator'!J:J,MATCH('Isaac 401k'!N5283,'Retirement Calculator'!A:A,0),0),0)</f>
        <v>0</v>
      </c>
      <c r="K5283" s="444">
        <f t="shared" ca="1" si="201"/>
        <v>-6472063768415.7217</v>
      </c>
      <c r="L5283" s="444">
        <f t="shared" ca="1" si="202"/>
        <v>-1559767368188189</v>
      </c>
      <c r="M5283" s="460">
        <f t="shared" si="204"/>
        <v>0.05</v>
      </c>
      <c r="N5283" s="464">
        <f t="shared" si="205"/>
        <v>211843</v>
      </c>
    </row>
    <row r="5284" spans="7:14" ht="11.25" customHeight="1" x14ac:dyDescent="0.25">
      <c r="G5284" s="459"/>
      <c r="H5284" s="459">
        <v>5277</v>
      </c>
      <c r="I5284" s="444">
        <f t="shared" ca="1" si="203"/>
        <v>-1559767368188189</v>
      </c>
      <c r="J5284" s="444">
        <f t="array" ref="J5284">IFERROR(INDEX('Retirement Calculator'!J:J,MATCH('Isaac 401k'!N5284,'Retirement Calculator'!A:A,0),0),0)</f>
        <v>0</v>
      </c>
      <c r="K5284" s="444">
        <f t="shared" ca="1" si="201"/>
        <v>-6499030700784.1211</v>
      </c>
      <c r="L5284" s="444">
        <f t="shared" ca="1" si="202"/>
        <v>-1566266398888973</v>
      </c>
      <c r="M5284" s="460">
        <f t="shared" si="204"/>
        <v>0.05</v>
      </c>
      <c r="N5284" s="464">
        <f t="shared" si="205"/>
        <v>211874</v>
      </c>
    </row>
    <row r="5285" spans="7:14" ht="11.25" customHeight="1" x14ac:dyDescent="0.25">
      <c r="G5285" s="459"/>
      <c r="H5285" s="459">
        <v>5278</v>
      </c>
      <c r="I5285" s="444">
        <f t="shared" ca="1" si="203"/>
        <v>-1566266398888973</v>
      </c>
      <c r="J5285" s="444">
        <f t="array" ref="J5285">IFERROR(INDEX('Retirement Calculator'!J:J,MATCH('Isaac 401k'!N5285,'Retirement Calculator'!A:A,0),0),0)</f>
        <v>0</v>
      </c>
      <c r="K5285" s="444">
        <f t="shared" ca="1" si="201"/>
        <v>-6526109995370.7207</v>
      </c>
      <c r="L5285" s="444">
        <f t="shared" ca="1" si="202"/>
        <v>-1572792508884343.8</v>
      </c>
      <c r="M5285" s="460">
        <f t="shared" si="204"/>
        <v>0.05</v>
      </c>
      <c r="N5285" s="464">
        <f t="shared" si="205"/>
        <v>211903</v>
      </c>
    </row>
    <row r="5286" spans="7:14" ht="11.25" customHeight="1" x14ac:dyDescent="0.25">
      <c r="G5286" s="459"/>
      <c r="H5286" s="459">
        <v>5279</v>
      </c>
      <c r="I5286" s="444">
        <f t="shared" ca="1" si="203"/>
        <v>-1572792508884343.8</v>
      </c>
      <c r="J5286" s="444">
        <f t="array" ref="J5286">IFERROR(INDEX('Retirement Calculator'!J:J,MATCH('Isaac 401k'!N5286,'Retirement Calculator'!A:A,0),0),0)</f>
        <v>0</v>
      </c>
      <c r="K5286" s="444">
        <f t="shared" ca="1" si="201"/>
        <v>-6553302120351.4326</v>
      </c>
      <c r="L5286" s="444">
        <f t="shared" ca="1" si="202"/>
        <v>-1579345811004695.3</v>
      </c>
      <c r="M5286" s="460">
        <f t="shared" si="204"/>
        <v>0.05</v>
      </c>
      <c r="N5286" s="464">
        <f t="shared" si="205"/>
        <v>211934</v>
      </c>
    </row>
    <row r="5287" spans="7:14" ht="11.25" customHeight="1" x14ac:dyDescent="0.25">
      <c r="G5287" s="459"/>
      <c r="H5287" s="459">
        <v>5280</v>
      </c>
      <c r="I5287" s="444">
        <f t="shared" ca="1" si="203"/>
        <v>-1579345811004695.3</v>
      </c>
      <c r="J5287" s="444">
        <f t="array" ref="J5287">IFERROR(INDEX('Retirement Calculator'!J:J,MATCH('Isaac 401k'!N5287,'Retirement Calculator'!A:A,0),0),0)</f>
        <v>0</v>
      </c>
      <c r="K5287" s="444">
        <f t="shared" ca="1" si="201"/>
        <v>-6580607545852.8965</v>
      </c>
      <c r="L5287" s="444">
        <f t="shared" ca="1" si="202"/>
        <v>-1585926418550548.3</v>
      </c>
      <c r="M5287" s="460">
        <f t="shared" si="204"/>
        <v>0.05</v>
      </c>
      <c r="N5287" s="464">
        <f t="shared" si="205"/>
        <v>211964</v>
      </c>
    </row>
    <row r="5288" spans="7:14" ht="11.25" customHeight="1" x14ac:dyDescent="0.25">
      <c r="G5288" s="459"/>
      <c r="H5288" s="459">
        <v>5281</v>
      </c>
      <c r="I5288" s="444">
        <f t="shared" ca="1" si="203"/>
        <v>-1585926418550548.3</v>
      </c>
      <c r="J5288" s="444">
        <f t="array" ref="J5288">IFERROR(INDEX('Retirement Calculator'!J:J,MATCH('Isaac 401k'!N5288,'Retirement Calculator'!A:A,0),0),0)</f>
        <v>0</v>
      </c>
      <c r="K5288" s="444">
        <f t="shared" ca="1" si="201"/>
        <v>-6608026743960.6172</v>
      </c>
      <c r="L5288" s="444">
        <f t="shared" ca="1" si="202"/>
        <v>-1592534445294508.8</v>
      </c>
      <c r="M5288" s="460">
        <f t="shared" si="204"/>
        <v>0.05</v>
      </c>
      <c r="N5288" s="464">
        <f t="shared" si="205"/>
        <v>211995</v>
      </c>
    </row>
    <row r="5289" spans="7:14" ht="11.25" customHeight="1" x14ac:dyDescent="0.25">
      <c r="G5289" s="459"/>
      <c r="H5289" s="459">
        <v>5282</v>
      </c>
      <c r="I5289" s="444">
        <f t="shared" ca="1" si="203"/>
        <v>-1592534445294508.8</v>
      </c>
      <c r="J5289" s="444">
        <f t="array" ref="J5289">IFERROR(INDEX('Retirement Calculator'!J:J,MATCH('Isaac 401k'!N5289,'Retirement Calculator'!A:A,0),0),0)</f>
        <v>0</v>
      </c>
      <c r="K5289" s="444">
        <f t="shared" ca="1" si="201"/>
        <v>-6635560188727.1201</v>
      </c>
      <c r="L5289" s="444">
        <f t="shared" ca="1" si="202"/>
        <v>-1599170005483235.8</v>
      </c>
      <c r="M5289" s="460">
        <f t="shared" si="204"/>
        <v>0.05</v>
      </c>
      <c r="N5289" s="464">
        <f t="shared" si="205"/>
        <v>212025</v>
      </c>
    </row>
    <row r="5290" spans="7:14" ht="11.25" customHeight="1" x14ac:dyDescent="0.25">
      <c r="G5290" s="459"/>
      <c r="H5290" s="459">
        <v>5283</v>
      </c>
      <c r="I5290" s="444">
        <f t="shared" ca="1" si="203"/>
        <v>-1599170005483235.8</v>
      </c>
      <c r="J5290" s="444">
        <f t="array" ref="J5290">IFERROR(INDEX('Retirement Calculator'!J:J,MATCH('Isaac 401k'!N5290,'Retirement Calculator'!A:A,0),0),0)</f>
        <v>0</v>
      </c>
      <c r="K5290" s="444">
        <f t="shared" ca="1" si="201"/>
        <v>-6663208356180.1484</v>
      </c>
      <c r="L5290" s="444">
        <f t="shared" ca="1" si="202"/>
        <v>-1605833213839416</v>
      </c>
      <c r="M5290" s="460">
        <f t="shared" si="204"/>
        <v>0.05</v>
      </c>
      <c r="N5290" s="464">
        <f t="shared" si="205"/>
        <v>212056</v>
      </c>
    </row>
    <row r="5291" spans="7:14" ht="11.25" customHeight="1" x14ac:dyDescent="0.25">
      <c r="G5291" s="459"/>
      <c r="H5291" s="459">
        <v>5284</v>
      </c>
      <c r="I5291" s="444">
        <f t="shared" ca="1" si="203"/>
        <v>-1605833213839416</v>
      </c>
      <c r="J5291" s="444">
        <f t="array" ref="J5291">IFERROR(INDEX('Retirement Calculator'!J:J,MATCH('Isaac 401k'!N5291,'Retirement Calculator'!A:A,0),0),0)</f>
        <v>0</v>
      </c>
      <c r="K5291" s="444">
        <f t="shared" ca="1" si="201"/>
        <v>-6690971724330.9004</v>
      </c>
      <c r="L5291" s="444">
        <f t="shared" ca="1" si="202"/>
        <v>-1612524185563747</v>
      </c>
      <c r="M5291" s="460">
        <f t="shared" si="204"/>
        <v>0.05</v>
      </c>
      <c r="N5291" s="464">
        <f t="shared" si="205"/>
        <v>212087</v>
      </c>
    </row>
    <row r="5292" spans="7:14" ht="11.25" customHeight="1" x14ac:dyDescent="0.25">
      <c r="G5292" s="459"/>
      <c r="H5292" s="459">
        <v>5285</v>
      </c>
      <c r="I5292" s="444">
        <f t="shared" ca="1" si="203"/>
        <v>-1612524185563747</v>
      </c>
      <c r="J5292" s="444">
        <f t="array" ref="J5292">IFERROR(INDEX('Retirement Calculator'!J:J,MATCH('Isaac 401k'!N5292,'Retirement Calculator'!A:A,0),0),0)</f>
        <v>0</v>
      </c>
      <c r="K5292" s="444">
        <f t="shared" ca="1" si="201"/>
        <v>-6718850773182.2793</v>
      </c>
      <c r="L5292" s="444">
        <f t="shared" ca="1" si="202"/>
        <v>-1619243036336929.3</v>
      </c>
      <c r="M5292" s="460">
        <f t="shared" si="204"/>
        <v>0.05</v>
      </c>
      <c r="N5292" s="464">
        <f t="shared" si="205"/>
        <v>212117</v>
      </c>
    </row>
    <row r="5293" spans="7:14" ht="11.25" customHeight="1" x14ac:dyDescent="0.25">
      <c r="G5293" s="459"/>
      <c r="H5293" s="459">
        <v>5286</v>
      </c>
      <c r="I5293" s="444">
        <f t="shared" ca="1" si="203"/>
        <v>-1619243036336929.3</v>
      </c>
      <c r="J5293" s="444">
        <f t="array" ref="J5293">IFERROR(INDEX('Retirement Calculator'!J:J,MATCH('Isaac 401k'!N5293,'Retirement Calculator'!A:A,0),0),0)</f>
        <v>0</v>
      </c>
      <c r="K5293" s="444">
        <f t="shared" ca="1" si="201"/>
        <v>-6746845984737.2051</v>
      </c>
      <c r="L5293" s="444">
        <f t="shared" ca="1" si="202"/>
        <v>-1625989882321666.5</v>
      </c>
      <c r="M5293" s="460">
        <f t="shared" si="204"/>
        <v>0.05</v>
      </c>
      <c r="N5293" s="464">
        <f t="shared" si="205"/>
        <v>212148</v>
      </c>
    </row>
    <row r="5294" spans="7:14" ht="11.25" customHeight="1" x14ac:dyDescent="0.25">
      <c r="G5294" s="459"/>
      <c r="H5294" s="459">
        <v>5287</v>
      </c>
      <c r="I5294" s="444">
        <f t="shared" ca="1" si="203"/>
        <v>-1625989882321666.5</v>
      </c>
      <c r="J5294" s="444">
        <f t="array" ref="J5294">IFERROR(INDEX('Retirement Calculator'!J:J,MATCH('Isaac 401k'!N5294,'Retirement Calculator'!A:A,0),0),0)</f>
        <v>0</v>
      </c>
      <c r="K5294" s="444">
        <f t="shared" ca="1" si="201"/>
        <v>-6774957843006.9434</v>
      </c>
      <c r="L5294" s="444">
        <f t="shared" ca="1" si="202"/>
        <v>-1632764840164673.5</v>
      </c>
      <c r="M5294" s="460">
        <f t="shared" si="204"/>
        <v>0.05</v>
      </c>
      <c r="N5294" s="464">
        <f t="shared" si="205"/>
        <v>212178</v>
      </c>
    </row>
    <row r="5295" spans="7:14" ht="11.25" customHeight="1" x14ac:dyDescent="0.25">
      <c r="G5295" s="459"/>
      <c r="H5295" s="459">
        <v>5288</v>
      </c>
      <c r="I5295" s="444">
        <f t="shared" ca="1" si="203"/>
        <v>-1632764840164673.5</v>
      </c>
      <c r="J5295" s="444">
        <f t="array" ref="J5295">IFERROR(INDEX('Retirement Calculator'!J:J,MATCH('Isaac 401k'!N5295,'Retirement Calculator'!A:A,0),0),0)</f>
        <v>0</v>
      </c>
      <c r="K5295" s="444">
        <f t="shared" ca="1" si="201"/>
        <v>-6803186834019.4727</v>
      </c>
      <c r="L5295" s="444">
        <f t="shared" ca="1" si="202"/>
        <v>-1639568026998693</v>
      </c>
      <c r="M5295" s="460">
        <f t="shared" si="204"/>
        <v>0.05</v>
      </c>
      <c r="N5295" s="464">
        <f t="shared" si="205"/>
        <v>212209</v>
      </c>
    </row>
    <row r="5296" spans="7:14" ht="11.25" customHeight="1" x14ac:dyDescent="0.25">
      <c r="G5296" s="459"/>
      <c r="H5296" s="459">
        <v>5289</v>
      </c>
      <c r="I5296" s="444">
        <f t="shared" ca="1" si="203"/>
        <v>-1639568026998693</v>
      </c>
      <c r="J5296" s="444">
        <f t="array" ref="J5296">IFERROR(INDEX('Retirement Calculator'!J:J,MATCH('Isaac 401k'!N5296,'Retirement Calculator'!A:A,0),0),0)</f>
        <v>0</v>
      </c>
      <c r="K5296" s="444">
        <f t="shared" ca="1" si="201"/>
        <v>-6831533445827.8877</v>
      </c>
      <c r="L5296" s="444">
        <f t="shared" ca="1" si="202"/>
        <v>-1646399560444521</v>
      </c>
      <c r="M5296" s="460">
        <f t="shared" si="204"/>
        <v>0.05</v>
      </c>
      <c r="N5296" s="464">
        <f t="shared" si="205"/>
        <v>212240</v>
      </c>
    </row>
    <row r="5297" spans="7:14" ht="11.25" customHeight="1" x14ac:dyDescent="0.25">
      <c r="G5297" s="459"/>
      <c r="H5297" s="459">
        <v>5290</v>
      </c>
      <c r="I5297" s="444">
        <f t="shared" ca="1" si="203"/>
        <v>-1646399560444521</v>
      </c>
      <c r="J5297" s="444">
        <f t="array" ref="J5297">IFERROR(INDEX('Retirement Calculator'!J:J,MATCH('Isaac 401k'!N5297,'Retirement Calculator'!A:A,0),0),0)</f>
        <v>0</v>
      </c>
      <c r="K5297" s="444">
        <f t="shared" ca="1" si="201"/>
        <v>-6859998168518.8379</v>
      </c>
      <c r="L5297" s="444">
        <f t="shared" ca="1" si="202"/>
        <v>-1653259558613039.8</v>
      </c>
      <c r="M5297" s="460">
        <f t="shared" si="204"/>
        <v>0.05</v>
      </c>
      <c r="N5297" s="464">
        <f t="shared" si="205"/>
        <v>212268</v>
      </c>
    </row>
    <row r="5298" spans="7:14" ht="11.25" customHeight="1" x14ac:dyDescent="0.25">
      <c r="G5298" s="459"/>
      <c r="H5298" s="459">
        <v>5291</v>
      </c>
      <c r="I5298" s="444">
        <f t="shared" ca="1" si="203"/>
        <v>-1653259558613039.8</v>
      </c>
      <c r="J5298" s="444">
        <f t="array" ref="J5298">IFERROR(INDEX('Retirement Calculator'!J:J,MATCH('Isaac 401k'!N5298,'Retirement Calculator'!A:A,0),0),0)</f>
        <v>0</v>
      </c>
      <c r="K5298" s="444">
        <f t="shared" ca="1" si="201"/>
        <v>-6888581494220.999</v>
      </c>
      <c r="L5298" s="444">
        <f t="shared" ca="1" si="202"/>
        <v>-1660148140107260.8</v>
      </c>
      <c r="M5298" s="460">
        <f t="shared" si="204"/>
        <v>0.05</v>
      </c>
      <c r="N5298" s="464">
        <f t="shared" si="205"/>
        <v>212299</v>
      </c>
    </row>
    <row r="5299" spans="7:14" ht="11.25" customHeight="1" x14ac:dyDescent="0.25">
      <c r="G5299" s="459"/>
      <c r="H5299" s="459">
        <v>5292</v>
      </c>
      <c r="I5299" s="444">
        <f t="shared" ca="1" si="203"/>
        <v>-1660148140107260.8</v>
      </c>
      <c r="J5299" s="444">
        <f t="array" ref="J5299">IFERROR(INDEX('Retirement Calculator'!J:J,MATCH('Isaac 401k'!N5299,'Retirement Calculator'!A:A,0),0),0)</f>
        <v>0</v>
      </c>
      <c r="K5299" s="444">
        <f t="shared" ca="1" si="201"/>
        <v>-6917283917113.5859</v>
      </c>
      <c r="L5299" s="444">
        <f t="shared" ca="1" si="202"/>
        <v>-1667065424024374.3</v>
      </c>
      <c r="M5299" s="460">
        <f t="shared" si="204"/>
        <v>0.05</v>
      </c>
      <c r="N5299" s="464">
        <f t="shared" si="205"/>
        <v>212329</v>
      </c>
    </row>
    <row r="5300" spans="7:14" ht="11.25" customHeight="1" x14ac:dyDescent="0.25">
      <c r="G5300" s="459"/>
      <c r="H5300" s="459">
        <v>5293</v>
      </c>
      <c r="I5300" s="444">
        <f t="shared" ca="1" si="203"/>
        <v>-1667065424024374.3</v>
      </c>
      <c r="J5300" s="444">
        <f t="array" ref="J5300">IFERROR(INDEX('Retirement Calculator'!J:J,MATCH('Isaac 401k'!N5300,'Retirement Calculator'!A:A,0),0),0)</f>
        <v>0</v>
      </c>
      <c r="K5300" s="444">
        <f t="shared" ca="1" si="201"/>
        <v>-6946105933434.8926</v>
      </c>
      <c r="L5300" s="444">
        <f t="shared" ca="1" si="202"/>
        <v>-1674011529957809.3</v>
      </c>
      <c r="M5300" s="460">
        <f t="shared" si="204"/>
        <v>0.05</v>
      </c>
      <c r="N5300" s="464">
        <f t="shared" si="205"/>
        <v>212360</v>
      </c>
    </row>
    <row r="5301" spans="7:14" ht="11.25" customHeight="1" x14ac:dyDescent="0.25">
      <c r="G5301" s="459"/>
      <c r="H5301" s="459">
        <v>5294</v>
      </c>
      <c r="I5301" s="444">
        <f t="shared" ca="1" si="203"/>
        <v>-1674011529957809.3</v>
      </c>
      <c r="J5301" s="444">
        <f t="array" ref="J5301">IFERROR(INDEX('Retirement Calculator'!J:J,MATCH('Isaac 401k'!N5301,'Retirement Calculator'!A:A,0),0),0)</f>
        <v>0</v>
      </c>
      <c r="K5301" s="444">
        <f t="shared" ca="1" si="201"/>
        <v>-6975048041490.8721</v>
      </c>
      <c r="L5301" s="444">
        <f t="shared" ca="1" si="202"/>
        <v>-1680986577999300</v>
      </c>
      <c r="M5301" s="460">
        <f t="shared" si="204"/>
        <v>0.05</v>
      </c>
      <c r="N5301" s="464">
        <f t="shared" si="205"/>
        <v>212390</v>
      </c>
    </row>
    <row r="5302" spans="7:14" ht="11.25" customHeight="1" x14ac:dyDescent="0.25">
      <c r="G5302" s="459"/>
      <c r="H5302" s="459">
        <v>5295</v>
      </c>
      <c r="I5302" s="444">
        <f t="shared" ca="1" si="203"/>
        <v>-1680986577999300</v>
      </c>
      <c r="J5302" s="444">
        <f t="array" ref="J5302">IFERROR(INDEX('Retirement Calculator'!J:J,MATCH('Isaac 401k'!N5302,'Retirement Calculator'!A:A,0),0),0)</f>
        <v>0</v>
      </c>
      <c r="K5302" s="444">
        <f t="shared" ca="1" si="201"/>
        <v>-7004110741663.75</v>
      </c>
      <c r="L5302" s="444">
        <f t="shared" ca="1" si="202"/>
        <v>-1687990688740963.8</v>
      </c>
      <c r="M5302" s="460">
        <f t="shared" si="204"/>
        <v>0.05</v>
      </c>
      <c r="N5302" s="464">
        <f t="shared" si="205"/>
        <v>212421</v>
      </c>
    </row>
    <row r="5303" spans="7:14" ht="11.25" customHeight="1" x14ac:dyDescent="0.25">
      <c r="G5303" s="459"/>
      <c r="H5303" s="459">
        <v>5296</v>
      </c>
      <c r="I5303" s="444">
        <f t="shared" ca="1" si="203"/>
        <v>-1687990688740963.8</v>
      </c>
      <c r="J5303" s="444">
        <f t="array" ref="J5303">IFERROR(INDEX('Retirement Calculator'!J:J,MATCH('Isaac 401k'!N5303,'Retirement Calculator'!A:A,0),0),0)</f>
        <v>0</v>
      </c>
      <c r="K5303" s="444">
        <f t="shared" ca="1" si="201"/>
        <v>-7033294536420.6826</v>
      </c>
      <c r="L5303" s="444">
        <f t="shared" ca="1" si="202"/>
        <v>-1695023983277384.5</v>
      </c>
      <c r="M5303" s="460">
        <f t="shared" si="204"/>
        <v>0.05</v>
      </c>
      <c r="N5303" s="464">
        <f t="shared" si="205"/>
        <v>212452</v>
      </c>
    </row>
    <row r="5304" spans="7:14" ht="11.25" customHeight="1" x14ac:dyDescent="0.25">
      <c r="G5304" s="459"/>
      <c r="H5304" s="459">
        <v>5297</v>
      </c>
      <c r="I5304" s="444">
        <f t="shared" ca="1" si="203"/>
        <v>-1695023983277384.5</v>
      </c>
      <c r="J5304" s="444">
        <f t="array" ref="J5304">IFERROR(INDEX('Retirement Calculator'!J:J,MATCH('Isaac 401k'!N5304,'Retirement Calculator'!A:A,0),0),0)</f>
        <v>0</v>
      </c>
      <c r="K5304" s="444">
        <f t="shared" ca="1" si="201"/>
        <v>-7062599930322.4355</v>
      </c>
      <c r="L5304" s="444">
        <f t="shared" ca="1" si="202"/>
        <v>-1702086583207707</v>
      </c>
      <c r="M5304" s="460">
        <f t="shared" si="204"/>
        <v>0.05</v>
      </c>
      <c r="N5304" s="464">
        <f t="shared" si="205"/>
        <v>212482</v>
      </c>
    </row>
    <row r="5305" spans="7:14" ht="11.25" customHeight="1" x14ac:dyDescent="0.25">
      <c r="G5305" s="459"/>
      <c r="H5305" s="459">
        <v>5298</v>
      </c>
      <c r="I5305" s="444">
        <f t="shared" ca="1" si="203"/>
        <v>-1702086583207707</v>
      </c>
      <c r="J5305" s="444">
        <f t="array" ref="J5305">IFERROR(INDEX('Retirement Calculator'!J:J,MATCH('Isaac 401k'!N5305,'Retirement Calculator'!A:A,0),0),0)</f>
        <v>0</v>
      </c>
      <c r="K5305" s="444">
        <f t="shared" ca="1" si="201"/>
        <v>-7092027430032.1123</v>
      </c>
      <c r="L5305" s="444">
        <f t="shared" ca="1" si="202"/>
        <v>-1709178610637739</v>
      </c>
      <c r="M5305" s="460">
        <f t="shared" si="204"/>
        <v>0.05</v>
      </c>
      <c r="N5305" s="464">
        <f t="shared" si="205"/>
        <v>212513</v>
      </c>
    </row>
    <row r="5306" spans="7:14" ht="11.25" customHeight="1" x14ac:dyDescent="0.25">
      <c r="G5306" s="459"/>
      <c r="H5306" s="459">
        <v>5299</v>
      </c>
      <c r="I5306" s="444">
        <f t="shared" ca="1" si="203"/>
        <v>-1709178610637739</v>
      </c>
      <c r="J5306" s="444">
        <f t="array" ref="J5306">IFERROR(INDEX('Retirement Calculator'!J:J,MATCH('Isaac 401k'!N5306,'Retirement Calculator'!A:A,0),0),0)</f>
        <v>0</v>
      </c>
      <c r="K5306" s="444">
        <f t="shared" ca="1" si="201"/>
        <v>-7121577544323.9121</v>
      </c>
      <c r="L5306" s="444">
        <f t="shared" ca="1" si="202"/>
        <v>-1716300188182063</v>
      </c>
      <c r="M5306" s="460">
        <f t="shared" si="204"/>
        <v>0.05</v>
      </c>
      <c r="N5306" s="464">
        <f t="shared" si="205"/>
        <v>212543</v>
      </c>
    </row>
    <row r="5307" spans="7:14" ht="11.25" customHeight="1" x14ac:dyDescent="0.25">
      <c r="G5307" s="459"/>
      <c r="H5307" s="459">
        <v>5300</v>
      </c>
      <c r="I5307" s="444">
        <f t="shared" ca="1" si="203"/>
        <v>-1716300188182063</v>
      </c>
      <c r="J5307" s="444">
        <f t="array" ref="J5307">IFERROR(INDEX('Retirement Calculator'!J:J,MATCH('Isaac 401k'!N5307,'Retirement Calculator'!A:A,0),0),0)</f>
        <v>0</v>
      </c>
      <c r="K5307" s="444">
        <f t="shared" ca="1" si="201"/>
        <v>-7151250784091.9287</v>
      </c>
      <c r="L5307" s="444">
        <f t="shared" ca="1" si="202"/>
        <v>-1723451438966155</v>
      </c>
      <c r="M5307" s="460">
        <f t="shared" si="204"/>
        <v>0.05</v>
      </c>
      <c r="N5307" s="464">
        <f t="shared" si="205"/>
        <v>212574</v>
      </c>
    </row>
    <row r="5308" spans="7:14" ht="11.25" customHeight="1" x14ac:dyDescent="0.25">
      <c r="G5308" s="459"/>
      <c r="H5308" s="459">
        <v>5301</v>
      </c>
      <c r="I5308" s="444">
        <f t="shared" ca="1" si="203"/>
        <v>-1723451438966155</v>
      </c>
      <c r="J5308" s="444">
        <f t="array" ref="J5308">IFERROR(INDEX('Retirement Calculator'!J:J,MATCH('Isaac 401k'!N5308,'Retirement Calculator'!A:A,0),0),0)</f>
        <v>0</v>
      </c>
      <c r="K5308" s="444">
        <f t="shared" ca="1" si="201"/>
        <v>-7181047662358.9795</v>
      </c>
      <c r="L5308" s="444">
        <f t="shared" ca="1" si="202"/>
        <v>-1730632486628514</v>
      </c>
      <c r="M5308" s="460">
        <f t="shared" si="204"/>
        <v>0.05</v>
      </c>
      <c r="N5308" s="464">
        <f t="shared" si="205"/>
        <v>212605</v>
      </c>
    </row>
    <row r="5309" spans="7:14" ht="11.25" customHeight="1" x14ac:dyDescent="0.25">
      <c r="G5309" s="459"/>
      <c r="H5309" s="459">
        <v>5302</v>
      </c>
      <c r="I5309" s="444">
        <f t="shared" ca="1" si="203"/>
        <v>-1730632486628514</v>
      </c>
      <c r="J5309" s="444">
        <f t="array" ref="J5309">IFERROR(INDEX('Retirement Calculator'!J:J,MATCH('Isaac 401k'!N5309,'Retirement Calculator'!A:A,0),0),0)</f>
        <v>0</v>
      </c>
      <c r="K5309" s="444">
        <f t="shared" ca="1" si="201"/>
        <v>-7210968694285.4746</v>
      </c>
      <c r="L5309" s="444">
        <f t="shared" ca="1" si="202"/>
        <v>-1737843455322799.5</v>
      </c>
      <c r="M5309" s="460">
        <f t="shared" si="204"/>
        <v>0.05</v>
      </c>
      <c r="N5309" s="464">
        <f t="shared" si="205"/>
        <v>212633</v>
      </c>
    </row>
    <row r="5310" spans="7:14" ht="11.25" customHeight="1" x14ac:dyDescent="0.25">
      <c r="G5310" s="459"/>
      <c r="H5310" s="459">
        <v>5303</v>
      </c>
      <c r="I5310" s="444">
        <f t="shared" ca="1" si="203"/>
        <v>-1737843455322799.5</v>
      </c>
      <c r="J5310" s="444">
        <f t="array" ref="J5310">IFERROR(INDEX('Retirement Calculator'!J:J,MATCH('Isaac 401k'!N5310,'Retirement Calculator'!A:A,0),0),0)</f>
        <v>0</v>
      </c>
      <c r="K5310" s="444">
        <f t="shared" ca="1" si="201"/>
        <v>-7241014397178.3311</v>
      </c>
      <c r="L5310" s="444">
        <f t="shared" ca="1" si="202"/>
        <v>-1745084469719977.8</v>
      </c>
      <c r="M5310" s="460">
        <f t="shared" si="204"/>
        <v>0.05</v>
      </c>
      <c r="N5310" s="464">
        <f t="shared" si="205"/>
        <v>212664</v>
      </c>
    </row>
    <row r="5311" spans="7:14" ht="11.25" customHeight="1" x14ac:dyDescent="0.25">
      <c r="G5311" s="459"/>
      <c r="H5311" s="459">
        <v>5304</v>
      </c>
      <c r="I5311" s="444">
        <f t="shared" ca="1" si="203"/>
        <v>-1745084469719977.8</v>
      </c>
      <c r="J5311" s="444">
        <f t="array" ref="J5311">IFERROR(INDEX('Retirement Calculator'!J:J,MATCH('Isaac 401k'!N5311,'Retirement Calculator'!A:A,0),0),0)</f>
        <v>0</v>
      </c>
      <c r="K5311" s="444">
        <f t="shared" ca="1" si="201"/>
        <v>-7271185290499.9072</v>
      </c>
      <c r="L5311" s="444">
        <f t="shared" ca="1" si="202"/>
        <v>-1752355655010477.8</v>
      </c>
      <c r="M5311" s="460">
        <f t="shared" si="204"/>
        <v>0.05</v>
      </c>
      <c r="N5311" s="464">
        <f t="shared" si="205"/>
        <v>212694</v>
      </c>
    </row>
    <row r="5312" spans="7:14" ht="11.25" customHeight="1" x14ac:dyDescent="0.25">
      <c r="G5312" s="459"/>
      <c r="H5312" s="459">
        <v>5305</v>
      </c>
      <c r="I5312" s="444">
        <f t="shared" ca="1" si="203"/>
        <v>-1752355655010477.8</v>
      </c>
      <c r="J5312" s="444">
        <f t="array" ref="J5312">IFERROR(INDEX('Retirement Calculator'!J:J,MATCH('Isaac 401k'!N5312,'Retirement Calculator'!A:A,0),0),0)</f>
        <v>0</v>
      </c>
      <c r="K5312" s="444">
        <f t="shared" ca="1" si="201"/>
        <v>-7301481895876.9902</v>
      </c>
      <c r="L5312" s="444">
        <f t="shared" ca="1" si="202"/>
        <v>-1759657136906354.8</v>
      </c>
      <c r="M5312" s="460">
        <f t="shared" si="204"/>
        <v>0.05</v>
      </c>
      <c r="N5312" s="464">
        <f t="shared" si="205"/>
        <v>212725</v>
      </c>
    </row>
    <row r="5313" spans="7:14" ht="11.25" customHeight="1" x14ac:dyDescent="0.25">
      <c r="G5313" s="459"/>
      <c r="H5313" s="459">
        <v>5306</v>
      </c>
      <c r="I5313" s="444">
        <f t="shared" ca="1" si="203"/>
        <v>-1759657136906354.8</v>
      </c>
      <c r="J5313" s="444">
        <f t="array" ref="J5313">IFERROR(INDEX('Retirement Calculator'!J:J,MATCH('Isaac 401k'!N5313,'Retirement Calculator'!A:A,0),0),0)</f>
        <v>0</v>
      </c>
      <c r="K5313" s="444">
        <f t="shared" ca="1" si="201"/>
        <v>-7331904737109.8115</v>
      </c>
      <c r="L5313" s="444">
        <f t="shared" ca="1" si="202"/>
        <v>-1766989041643464.5</v>
      </c>
      <c r="M5313" s="460">
        <f t="shared" si="204"/>
        <v>0.05</v>
      </c>
      <c r="N5313" s="464">
        <f t="shared" si="205"/>
        <v>212755</v>
      </c>
    </row>
    <row r="5314" spans="7:14" ht="11.25" customHeight="1" x14ac:dyDescent="0.25">
      <c r="G5314" s="459"/>
      <c r="H5314" s="459">
        <v>5307</v>
      </c>
      <c r="I5314" s="444">
        <f t="shared" ca="1" si="203"/>
        <v>-1766989041643464.5</v>
      </c>
      <c r="J5314" s="444">
        <f t="array" ref="J5314">IFERROR(INDEX('Retirement Calculator'!J:J,MATCH('Isaac 401k'!N5314,'Retirement Calculator'!A:A,0),0),0)</f>
        <v>0</v>
      </c>
      <c r="K5314" s="444">
        <f t="shared" ca="1" si="201"/>
        <v>-7362454340181.1016</v>
      </c>
      <c r="L5314" s="444">
        <f t="shared" ca="1" si="202"/>
        <v>-1774351495983645.5</v>
      </c>
      <c r="M5314" s="460">
        <f t="shared" si="204"/>
        <v>0.05</v>
      </c>
      <c r="N5314" s="464">
        <f t="shared" si="205"/>
        <v>212786</v>
      </c>
    </row>
    <row r="5315" spans="7:14" ht="11.25" customHeight="1" x14ac:dyDescent="0.25">
      <c r="G5315" s="459"/>
      <c r="H5315" s="459">
        <v>5308</v>
      </c>
      <c r="I5315" s="444">
        <f t="shared" ca="1" si="203"/>
        <v>-1774351495983645.5</v>
      </c>
      <c r="J5315" s="444">
        <f t="array" ref="J5315">IFERROR(INDEX('Retirement Calculator'!J:J,MATCH('Isaac 401k'!N5315,'Retirement Calculator'!A:A,0),0),0)</f>
        <v>0</v>
      </c>
      <c r="K5315" s="444">
        <f t="shared" ca="1" si="201"/>
        <v>-7393131233265.1895</v>
      </c>
      <c r="L5315" s="444">
        <f t="shared" ca="1" si="202"/>
        <v>-1781744627216910.8</v>
      </c>
      <c r="M5315" s="460">
        <f t="shared" si="204"/>
        <v>0.05</v>
      </c>
      <c r="N5315" s="464">
        <f t="shared" si="205"/>
        <v>212817</v>
      </c>
    </row>
    <row r="5316" spans="7:14" ht="11.25" customHeight="1" x14ac:dyDescent="0.25">
      <c r="G5316" s="459"/>
      <c r="H5316" s="459">
        <v>5309</v>
      </c>
      <c r="I5316" s="444">
        <f t="shared" ca="1" si="203"/>
        <v>-1781744627216910.8</v>
      </c>
      <c r="J5316" s="444">
        <f t="array" ref="J5316">IFERROR(INDEX('Retirement Calculator'!J:J,MATCH('Isaac 401k'!N5316,'Retirement Calculator'!A:A,0),0),0)</f>
        <v>0</v>
      </c>
      <c r="K5316" s="444">
        <f t="shared" ca="1" si="201"/>
        <v>-7423935946737.1279</v>
      </c>
      <c r="L5316" s="444">
        <f t="shared" ca="1" si="202"/>
        <v>-1789168563163648</v>
      </c>
      <c r="M5316" s="460">
        <f t="shared" si="204"/>
        <v>0.05</v>
      </c>
      <c r="N5316" s="464">
        <f t="shared" si="205"/>
        <v>212847</v>
      </c>
    </row>
    <row r="5317" spans="7:14" ht="11.25" customHeight="1" x14ac:dyDescent="0.25">
      <c r="G5317" s="459"/>
      <c r="H5317" s="459">
        <v>5310</v>
      </c>
      <c r="I5317" s="444">
        <f t="shared" ca="1" si="203"/>
        <v>-1789168563163648</v>
      </c>
      <c r="J5317" s="444">
        <f t="array" ref="J5317">IFERROR(INDEX('Retirement Calculator'!J:J,MATCH('Isaac 401k'!N5317,'Retirement Calculator'!A:A,0),0),0)</f>
        <v>0</v>
      </c>
      <c r="K5317" s="444">
        <f t="shared" ca="1" si="201"/>
        <v>-7454869013181.8662</v>
      </c>
      <c r="L5317" s="444">
        <f t="shared" ca="1" si="202"/>
        <v>-1796623432176829.8</v>
      </c>
      <c r="M5317" s="460">
        <f t="shared" si="204"/>
        <v>0.05</v>
      </c>
      <c r="N5317" s="464">
        <f t="shared" si="205"/>
        <v>212878</v>
      </c>
    </row>
    <row r="5318" spans="7:14" ht="11.25" customHeight="1" x14ac:dyDescent="0.25">
      <c r="G5318" s="459"/>
      <c r="H5318" s="459">
        <v>5311</v>
      </c>
      <c r="I5318" s="444">
        <f t="shared" ca="1" si="203"/>
        <v>-1796623432176829.8</v>
      </c>
      <c r="J5318" s="444">
        <f t="array" ref="J5318">IFERROR(INDEX('Retirement Calculator'!J:J,MATCH('Isaac 401k'!N5318,'Retirement Calculator'!A:A,0),0),0)</f>
        <v>0</v>
      </c>
      <c r="K5318" s="444">
        <f t="shared" ca="1" si="201"/>
        <v>-7485930967403.457</v>
      </c>
      <c r="L5318" s="444">
        <f t="shared" ca="1" si="202"/>
        <v>-1804109363144233.3</v>
      </c>
      <c r="M5318" s="460">
        <f t="shared" si="204"/>
        <v>0.05</v>
      </c>
      <c r="N5318" s="464">
        <f t="shared" si="205"/>
        <v>212908</v>
      </c>
    </row>
    <row r="5319" spans="7:14" ht="11.25" customHeight="1" x14ac:dyDescent="0.25">
      <c r="G5319" s="459"/>
      <c r="H5319" s="459">
        <v>5312</v>
      </c>
      <c r="I5319" s="444">
        <f t="shared" ca="1" si="203"/>
        <v>-1804109363144233.3</v>
      </c>
      <c r="J5319" s="444">
        <f t="array" ref="J5319">IFERROR(INDEX('Retirement Calculator'!J:J,MATCH('Isaac 401k'!N5319,'Retirement Calculator'!A:A,0),0),0)</f>
        <v>0</v>
      </c>
      <c r="K5319" s="444">
        <f t="shared" ca="1" si="201"/>
        <v>-7517122346434.3037</v>
      </c>
      <c r="L5319" s="444">
        <f t="shared" ca="1" si="202"/>
        <v>-1811626485490667.5</v>
      </c>
      <c r="M5319" s="460">
        <f t="shared" si="204"/>
        <v>0.05</v>
      </c>
      <c r="N5319" s="464">
        <f t="shared" si="205"/>
        <v>212939</v>
      </c>
    </row>
    <row r="5320" spans="7:14" ht="11.25" customHeight="1" x14ac:dyDescent="0.25">
      <c r="G5320" s="459"/>
      <c r="H5320" s="459">
        <v>5313</v>
      </c>
      <c r="I5320" s="444">
        <f t="shared" ca="1" si="203"/>
        <v>-1811626485490667.5</v>
      </c>
      <c r="J5320" s="444">
        <f t="array" ref="J5320">IFERROR(INDEX('Retirement Calculator'!J:J,MATCH('Isaac 401k'!N5320,'Retirement Calculator'!A:A,0),0),0)</f>
        <v>0</v>
      </c>
      <c r="K5320" s="444">
        <f t="shared" ca="1" si="201"/>
        <v>-7548443689544.4482</v>
      </c>
      <c r="L5320" s="444">
        <f t="shared" ca="1" si="202"/>
        <v>-1819174929180212</v>
      </c>
      <c r="M5320" s="460">
        <f t="shared" si="204"/>
        <v>0.05</v>
      </c>
      <c r="N5320" s="464">
        <f t="shared" si="205"/>
        <v>212970</v>
      </c>
    </row>
    <row r="5321" spans="7:14" ht="11.25" customHeight="1" x14ac:dyDescent="0.25">
      <c r="G5321" s="459"/>
      <c r="H5321" s="459">
        <v>5314</v>
      </c>
      <c r="I5321" s="444">
        <f t="shared" ca="1" si="203"/>
        <v>-1819174929180212</v>
      </c>
      <c r="J5321" s="444">
        <f t="array" ref="J5321">IFERROR(INDEX('Retirement Calculator'!J:J,MATCH('Isaac 401k'!N5321,'Retirement Calculator'!A:A,0),0),0)</f>
        <v>0</v>
      </c>
      <c r="K5321" s="444">
        <f t="shared" ca="1" si="201"/>
        <v>-7579895538250.8818</v>
      </c>
      <c r="L5321" s="444">
        <f t="shared" ca="1" si="202"/>
        <v>-1826754824718463</v>
      </c>
      <c r="M5321" s="460">
        <f t="shared" si="204"/>
        <v>0.05</v>
      </c>
      <c r="N5321" s="464">
        <f t="shared" si="205"/>
        <v>212998</v>
      </c>
    </row>
    <row r="5322" spans="7:14" ht="11.25" customHeight="1" x14ac:dyDescent="0.25">
      <c r="G5322" s="459"/>
      <c r="H5322" s="459">
        <v>5315</v>
      </c>
      <c r="I5322" s="444">
        <f t="shared" ca="1" si="203"/>
        <v>-1826754824718463</v>
      </c>
      <c r="J5322" s="444">
        <f t="array" ref="J5322">IFERROR(INDEX('Retirement Calculator'!J:J,MATCH('Isaac 401k'!N5322,'Retirement Calculator'!A:A,0),0),0)</f>
        <v>0</v>
      </c>
      <c r="K5322" s="444">
        <f t="shared" ca="1" si="201"/>
        <v>-7611478436326.9297</v>
      </c>
      <c r="L5322" s="444">
        <f t="shared" ca="1" si="202"/>
        <v>-1834366303154790</v>
      </c>
      <c r="M5322" s="460">
        <f t="shared" si="204"/>
        <v>0.05</v>
      </c>
      <c r="N5322" s="464">
        <f t="shared" si="205"/>
        <v>213029</v>
      </c>
    </row>
    <row r="5323" spans="7:14" ht="11.25" customHeight="1" x14ac:dyDescent="0.25">
      <c r="G5323" s="459"/>
      <c r="H5323" s="459">
        <v>5316</v>
      </c>
      <c r="I5323" s="444">
        <f t="shared" ca="1" si="203"/>
        <v>-1834366303154790</v>
      </c>
      <c r="J5323" s="444">
        <f t="array" ref="J5323">IFERROR(INDEX('Retirement Calculator'!J:J,MATCH('Isaac 401k'!N5323,'Retirement Calculator'!A:A,0),0),0)</f>
        <v>0</v>
      </c>
      <c r="K5323" s="444">
        <f t="shared" ca="1" si="201"/>
        <v>-7643192929811.625</v>
      </c>
      <c r="L5323" s="444">
        <f t="shared" ca="1" si="202"/>
        <v>-1842009496084601.5</v>
      </c>
      <c r="M5323" s="460">
        <f t="shared" si="204"/>
        <v>0.05</v>
      </c>
      <c r="N5323" s="464">
        <f t="shared" si="205"/>
        <v>213059</v>
      </c>
    </row>
    <row r="5324" spans="7:14" ht="11.25" customHeight="1" x14ac:dyDescent="0.25">
      <c r="G5324" s="459"/>
      <c r="H5324" s="459">
        <v>5317</v>
      </c>
      <c r="I5324" s="444">
        <f t="shared" ca="1" si="203"/>
        <v>-1842009496084601.5</v>
      </c>
      <c r="J5324" s="444">
        <f t="array" ref="J5324">IFERROR(INDEX('Retirement Calculator'!J:J,MATCH('Isaac 401k'!N5324,'Retirement Calculator'!A:A,0),0),0)</f>
        <v>0</v>
      </c>
      <c r="K5324" s="444">
        <f t="shared" ca="1" si="201"/>
        <v>-7675039567019.1729</v>
      </c>
      <c r="L5324" s="444">
        <f t="shared" ca="1" si="202"/>
        <v>-1849684535651620.8</v>
      </c>
      <c r="M5324" s="460">
        <f t="shared" si="204"/>
        <v>0.05</v>
      </c>
      <c r="N5324" s="464">
        <f t="shared" si="205"/>
        <v>213090</v>
      </c>
    </row>
    <row r="5325" spans="7:14" ht="11.25" customHeight="1" x14ac:dyDescent="0.25">
      <c r="G5325" s="459"/>
      <c r="H5325" s="459">
        <v>5318</v>
      </c>
      <c r="I5325" s="444">
        <f t="shared" ca="1" si="203"/>
        <v>-1849684535651620.8</v>
      </c>
      <c r="J5325" s="444">
        <f t="array" ref="J5325">IFERROR(INDEX('Retirement Calculator'!J:J,MATCH('Isaac 401k'!N5325,'Retirement Calculator'!A:A,0),0),0)</f>
        <v>0</v>
      </c>
      <c r="K5325" s="444">
        <f t="shared" ca="1" si="201"/>
        <v>-7707018898548.4199</v>
      </c>
      <c r="L5325" s="444">
        <f t="shared" ca="1" si="202"/>
        <v>-1857391554550169.3</v>
      </c>
      <c r="M5325" s="460">
        <f t="shared" si="204"/>
        <v>0.05</v>
      </c>
      <c r="N5325" s="464">
        <f t="shared" si="205"/>
        <v>213120</v>
      </c>
    </row>
    <row r="5326" spans="7:14" ht="11.25" customHeight="1" x14ac:dyDescent="0.25">
      <c r="G5326" s="459"/>
      <c r="H5326" s="459">
        <v>5319</v>
      </c>
      <c r="I5326" s="444">
        <f t="shared" ca="1" si="203"/>
        <v>-1857391554550169.3</v>
      </c>
      <c r="J5326" s="444">
        <f t="array" ref="J5326">IFERROR(INDEX('Retirement Calculator'!J:J,MATCH('Isaac 401k'!N5326,'Retirement Calculator'!A:A,0),0),0)</f>
        <v>0</v>
      </c>
      <c r="K5326" s="444">
        <f t="shared" ca="1" si="201"/>
        <v>-7739131477292.3721</v>
      </c>
      <c r="L5326" s="444">
        <f t="shared" ca="1" si="202"/>
        <v>-1865130686027461.5</v>
      </c>
      <c r="M5326" s="460">
        <f t="shared" si="204"/>
        <v>0.05</v>
      </c>
      <c r="N5326" s="464">
        <f t="shared" si="205"/>
        <v>213151</v>
      </c>
    </row>
    <row r="5327" spans="7:14" ht="11.25" customHeight="1" x14ac:dyDescent="0.25">
      <c r="G5327" s="459"/>
      <c r="H5327" s="459">
        <v>5320</v>
      </c>
      <c r="I5327" s="444">
        <f t="shared" ca="1" si="203"/>
        <v>-1865130686027461.5</v>
      </c>
      <c r="J5327" s="444">
        <f t="array" ref="J5327">IFERROR(INDEX('Retirement Calculator'!J:J,MATCH('Isaac 401k'!N5327,'Retirement Calculator'!A:A,0),0),0)</f>
        <v>0</v>
      </c>
      <c r="K5327" s="444">
        <f t="shared" ca="1" si="201"/>
        <v>-7771377858447.7549</v>
      </c>
      <c r="L5327" s="444">
        <f t="shared" ca="1" si="202"/>
        <v>-1872902063885909.3</v>
      </c>
      <c r="M5327" s="460">
        <f t="shared" si="204"/>
        <v>0.05</v>
      </c>
      <c r="N5327" s="464">
        <f t="shared" si="205"/>
        <v>213182</v>
      </c>
    </row>
    <row r="5328" spans="7:14" ht="11.25" customHeight="1" x14ac:dyDescent="0.25">
      <c r="G5328" s="459"/>
      <c r="H5328" s="459">
        <v>5321</v>
      </c>
      <c r="I5328" s="444">
        <f t="shared" ca="1" si="203"/>
        <v>-1872902063885909.3</v>
      </c>
      <c r="J5328" s="444">
        <f t="array" ref="J5328">IFERROR(INDEX('Retirement Calculator'!J:J,MATCH('Isaac 401k'!N5328,'Retirement Calculator'!A:A,0),0),0)</f>
        <v>0</v>
      </c>
      <c r="K5328" s="444">
        <f t="shared" ca="1" si="201"/>
        <v>-7803758599524.6221</v>
      </c>
      <c r="L5328" s="444">
        <f t="shared" ca="1" si="202"/>
        <v>-1880705822485433.8</v>
      </c>
      <c r="M5328" s="460">
        <f t="shared" si="204"/>
        <v>0.05</v>
      </c>
      <c r="N5328" s="464">
        <f t="shared" si="205"/>
        <v>213212</v>
      </c>
    </row>
    <row r="5329" spans="7:14" ht="11.25" customHeight="1" x14ac:dyDescent="0.25">
      <c r="G5329" s="459"/>
      <c r="H5329" s="459">
        <v>5322</v>
      </c>
      <c r="I5329" s="444">
        <f t="shared" ca="1" si="203"/>
        <v>-1880705822485433.8</v>
      </c>
      <c r="J5329" s="444">
        <f t="array" ref="J5329">IFERROR(INDEX('Retirement Calculator'!J:J,MATCH('Isaac 401k'!N5329,'Retirement Calculator'!A:A,0),0),0)</f>
        <v>0</v>
      </c>
      <c r="K5329" s="444">
        <f t="shared" ca="1" si="201"/>
        <v>-7836274260355.9736</v>
      </c>
      <c r="L5329" s="444">
        <f t="shared" ca="1" si="202"/>
        <v>-1888542096745789.8</v>
      </c>
      <c r="M5329" s="460">
        <f t="shared" si="204"/>
        <v>0.05</v>
      </c>
      <c r="N5329" s="464">
        <f t="shared" si="205"/>
        <v>213243</v>
      </c>
    </row>
    <row r="5330" spans="7:14" ht="11.25" customHeight="1" x14ac:dyDescent="0.25">
      <c r="G5330" s="459"/>
      <c r="H5330" s="459">
        <v>5323</v>
      </c>
      <c r="I5330" s="444">
        <f t="shared" ca="1" si="203"/>
        <v>-1888542096745789.8</v>
      </c>
      <c r="J5330" s="444">
        <f t="array" ref="J5330">IFERROR(INDEX('Retirement Calculator'!J:J,MATCH('Isaac 401k'!N5330,'Retirement Calculator'!A:A,0),0),0)</f>
        <v>0</v>
      </c>
      <c r="K5330" s="444">
        <f t="shared" ca="1" si="201"/>
        <v>-7868925403107.457</v>
      </c>
      <c r="L5330" s="444">
        <f t="shared" ca="1" si="202"/>
        <v>-1896411022148897.3</v>
      </c>
      <c r="M5330" s="460">
        <f t="shared" si="204"/>
        <v>0.05</v>
      </c>
      <c r="N5330" s="464">
        <f t="shared" si="205"/>
        <v>213273</v>
      </c>
    </row>
    <row r="5331" spans="7:14" ht="11.25" customHeight="1" x14ac:dyDescent="0.25">
      <c r="G5331" s="459"/>
      <c r="H5331" s="459">
        <v>5324</v>
      </c>
      <c r="I5331" s="444">
        <f t="shared" ca="1" si="203"/>
        <v>-1896411022148897.3</v>
      </c>
      <c r="J5331" s="444">
        <f t="array" ref="J5331">IFERROR(INDEX('Retirement Calculator'!J:J,MATCH('Isaac 401k'!N5331,'Retirement Calculator'!A:A,0),0),0)</f>
        <v>0</v>
      </c>
      <c r="K5331" s="444">
        <f t="shared" ca="1" si="201"/>
        <v>-7901712592287.0732</v>
      </c>
      <c r="L5331" s="444">
        <f t="shared" ca="1" si="202"/>
        <v>-1904312734741184.3</v>
      </c>
      <c r="M5331" s="460">
        <f t="shared" si="204"/>
        <v>0.05</v>
      </c>
      <c r="N5331" s="464">
        <f t="shared" si="205"/>
        <v>213304</v>
      </c>
    </row>
    <row r="5332" spans="7:14" ht="11.25" customHeight="1" x14ac:dyDescent="0.25">
      <c r="G5332" s="459"/>
      <c r="H5332" s="459">
        <v>5325</v>
      </c>
      <c r="I5332" s="444">
        <f t="shared" ca="1" si="203"/>
        <v>-1904312734741184.3</v>
      </c>
      <c r="J5332" s="444">
        <f t="array" ref="J5332">IFERROR(INDEX('Retirement Calculator'!J:J,MATCH('Isaac 401k'!N5332,'Retirement Calculator'!A:A,0),0),0)</f>
        <v>0</v>
      </c>
      <c r="K5332" s="444">
        <f t="shared" ca="1" si="201"/>
        <v>-7934636394754.9346</v>
      </c>
      <c r="L5332" s="444">
        <f t="shared" ca="1" si="202"/>
        <v>-1912247371135939.3</v>
      </c>
      <c r="M5332" s="460">
        <f t="shared" si="204"/>
        <v>0.05</v>
      </c>
      <c r="N5332" s="464">
        <f t="shared" si="205"/>
        <v>213335</v>
      </c>
    </row>
    <row r="5333" spans="7:14" ht="11.25" customHeight="1" x14ac:dyDescent="0.25">
      <c r="G5333" s="459"/>
      <c r="H5333" s="459">
        <v>5326</v>
      </c>
      <c r="I5333" s="444">
        <f t="shared" ca="1" si="203"/>
        <v>-1912247371135939.3</v>
      </c>
      <c r="J5333" s="444">
        <f t="array" ref="J5333">IFERROR(INDEX('Retirement Calculator'!J:J,MATCH('Isaac 401k'!N5333,'Retirement Calculator'!A:A,0),0),0)</f>
        <v>0</v>
      </c>
      <c r="K5333" s="444">
        <f t="shared" ca="1" si="201"/>
        <v>-7967697379733.0801</v>
      </c>
      <c r="L5333" s="444">
        <f t="shared" ca="1" si="202"/>
        <v>-1920215068515672.3</v>
      </c>
      <c r="M5333" s="460">
        <f t="shared" si="204"/>
        <v>0.05</v>
      </c>
      <c r="N5333" s="464">
        <f t="shared" si="205"/>
        <v>213364</v>
      </c>
    </row>
    <row r="5334" spans="7:14" ht="11.25" customHeight="1" x14ac:dyDescent="0.25">
      <c r="G5334" s="459"/>
      <c r="H5334" s="459">
        <v>5327</v>
      </c>
      <c r="I5334" s="444">
        <f t="shared" ca="1" si="203"/>
        <v>-1920215068515672.3</v>
      </c>
      <c r="J5334" s="444">
        <f t="array" ref="J5334">IFERROR(INDEX('Retirement Calculator'!J:J,MATCH('Isaac 401k'!N5334,'Retirement Calculator'!A:A,0),0),0)</f>
        <v>0</v>
      </c>
      <c r="K5334" s="444">
        <f t="shared" ca="1" si="201"/>
        <v>-8000896118815.3008</v>
      </c>
      <c r="L5334" s="444">
        <f t="shared" ca="1" si="202"/>
        <v>-1928215964634487.5</v>
      </c>
      <c r="M5334" s="460">
        <f t="shared" si="204"/>
        <v>0.05</v>
      </c>
      <c r="N5334" s="464">
        <f t="shared" si="205"/>
        <v>213395</v>
      </c>
    </row>
    <row r="5335" spans="7:14" ht="11.25" customHeight="1" x14ac:dyDescent="0.25">
      <c r="G5335" s="459"/>
      <c r="H5335" s="459">
        <v>5328</v>
      </c>
      <c r="I5335" s="444">
        <f t="shared" ca="1" si="203"/>
        <v>-1928215964634487.5</v>
      </c>
      <c r="J5335" s="444">
        <f t="array" ref="J5335">IFERROR(INDEX('Retirement Calculator'!J:J,MATCH('Isaac 401k'!N5335,'Retirement Calculator'!A:A,0),0),0)</f>
        <v>0</v>
      </c>
      <c r="K5335" s="444">
        <f t="shared" ca="1" si="201"/>
        <v>-8034233185977.0313</v>
      </c>
      <c r="L5335" s="444">
        <f t="shared" ca="1" si="202"/>
        <v>-1936250197820464.5</v>
      </c>
      <c r="M5335" s="460">
        <f t="shared" si="204"/>
        <v>0.05</v>
      </c>
      <c r="N5335" s="464">
        <f t="shared" si="205"/>
        <v>213425</v>
      </c>
    </row>
    <row r="5336" spans="7:14" ht="11.25" customHeight="1" x14ac:dyDescent="0.25">
      <c r="G5336" s="459"/>
      <c r="H5336" s="459">
        <v>5329</v>
      </c>
      <c r="I5336" s="444">
        <f t="shared" ca="1" si="203"/>
        <v>-1936250197820464.5</v>
      </c>
      <c r="J5336" s="444">
        <f t="array" ref="J5336">IFERROR(INDEX('Retirement Calculator'!J:J,MATCH('Isaac 401k'!N5336,'Retirement Calculator'!A:A,0),0),0)</f>
        <v>0</v>
      </c>
      <c r="K5336" s="444">
        <f t="shared" ca="1" si="201"/>
        <v>-8067709157585.2686</v>
      </c>
      <c r="L5336" s="444">
        <f t="shared" ca="1" si="202"/>
        <v>-1944317906978049.8</v>
      </c>
      <c r="M5336" s="460">
        <f t="shared" si="204"/>
        <v>0.05</v>
      </c>
      <c r="N5336" s="464">
        <f t="shared" si="205"/>
        <v>213456</v>
      </c>
    </row>
    <row r="5337" spans="7:14" ht="11.25" customHeight="1" x14ac:dyDescent="0.25">
      <c r="G5337" s="459"/>
      <c r="H5337" s="459">
        <v>5330</v>
      </c>
      <c r="I5337" s="444">
        <f t="shared" ca="1" si="203"/>
        <v>-1944317906978049.8</v>
      </c>
      <c r="J5337" s="444">
        <f t="array" ref="J5337">IFERROR(INDEX('Retirement Calculator'!J:J,MATCH('Isaac 401k'!N5337,'Retirement Calculator'!A:A,0),0),0)</f>
        <v>0</v>
      </c>
      <c r="K5337" s="444">
        <f t="shared" ca="1" si="201"/>
        <v>-8101324612408.542</v>
      </c>
      <c r="L5337" s="444">
        <f t="shared" ca="1" si="202"/>
        <v>-1952419231590458.3</v>
      </c>
      <c r="M5337" s="460">
        <f t="shared" si="204"/>
        <v>0.05</v>
      </c>
      <c r="N5337" s="464">
        <f t="shared" si="205"/>
        <v>213486</v>
      </c>
    </row>
    <row r="5338" spans="7:14" ht="11.25" customHeight="1" x14ac:dyDescent="0.25">
      <c r="G5338" s="459"/>
      <c r="H5338" s="459">
        <v>5331</v>
      </c>
      <c r="I5338" s="444">
        <f t="shared" ca="1" si="203"/>
        <v>-1952419231590458.3</v>
      </c>
      <c r="J5338" s="444">
        <f t="array" ref="J5338">IFERROR(INDEX('Retirement Calculator'!J:J,MATCH('Isaac 401k'!N5338,'Retirement Calculator'!A:A,0),0),0)</f>
        <v>0</v>
      </c>
      <c r="K5338" s="444">
        <f t="shared" ca="1" si="201"/>
        <v>-8135080131626.9092</v>
      </c>
      <c r="L5338" s="444">
        <f t="shared" ca="1" si="202"/>
        <v>-1960554311722085.3</v>
      </c>
      <c r="M5338" s="460">
        <f t="shared" si="204"/>
        <v>0.05</v>
      </c>
      <c r="N5338" s="464">
        <f t="shared" si="205"/>
        <v>213517</v>
      </c>
    </row>
    <row r="5339" spans="7:14" ht="11.25" customHeight="1" x14ac:dyDescent="0.25">
      <c r="G5339" s="459"/>
      <c r="H5339" s="459">
        <v>5332</v>
      </c>
      <c r="I5339" s="444">
        <f t="shared" ca="1" si="203"/>
        <v>-1960554311722085.3</v>
      </c>
      <c r="J5339" s="444">
        <f t="array" ref="J5339">IFERROR(INDEX('Retirement Calculator'!J:J,MATCH('Isaac 401k'!N5339,'Retirement Calculator'!A:A,0),0),0)</f>
        <v>0</v>
      </c>
      <c r="K5339" s="444">
        <f t="shared" ca="1" si="201"/>
        <v>-8168976298842.0225</v>
      </c>
      <c r="L5339" s="444">
        <f t="shared" ca="1" si="202"/>
        <v>-1968723288020927.3</v>
      </c>
      <c r="M5339" s="460">
        <f t="shared" si="204"/>
        <v>0.05</v>
      </c>
      <c r="N5339" s="464">
        <f t="shared" si="205"/>
        <v>213548</v>
      </c>
    </row>
    <row r="5340" spans="7:14" ht="11.25" customHeight="1" x14ac:dyDescent="0.25">
      <c r="G5340" s="459"/>
      <c r="H5340" s="459">
        <v>5333</v>
      </c>
      <c r="I5340" s="444">
        <f t="shared" ca="1" si="203"/>
        <v>-1968723288020927.3</v>
      </c>
      <c r="J5340" s="444">
        <f t="array" ref="J5340">IFERROR(INDEX('Retirement Calculator'!J:J,MATCH('Isaac 401k'!N5340,'Retirement Calculator'!A:A,0),0),0)</f>
        <v>0</v>
      </c>
      <c r="K5340" s="444">
        <f t="shared" ca="1" si="201"/>
        <v>-8203013700087.1963</v>
      </c>
      <c r="L5340" s="444">
        <f t="shared" ca="1" si="202"/>
        <v>-1976926301721014.5</v>
      </c>
      <c r="M5340" s="460">
        <f t="shared" si="204"/>
        <v>0.05</v>
      </c>
      <c r="N5340" s="464">
        <f t="shared" si="205"/>
        <v>213578</v>
      </c>
    </row>
    <row r="5341" spans="7:14" ht="11.25" customHeight="1" x14ac:dyDescent="0.25">
      <c r="G5341" s="459"/>
      <c r="H5341" s="459">
        <v>5334</v>
      </c>
      <c r="I5341" s="444">
        <f t="shared" ca="1" si="203"/>
        <v>-1976926301721014.5</v>
      </c>
      <c r="J5341" s="444">
        <f t="array" ref="J5341">IFERROR(INDEX('Retirement Calculator'!J:J,MATCH('Isaac 401k'!N5341,'Retirement Calculator'!A:A,0),0),0)</f>
        <v>0</v>
      </c>
      <c r="K5341" s="444">
        <f t="shared" ca="1" si="201"/>
        <v>-8237192923837.5615</v>
      </c>
      <c r="L5341" s="444">
        <f t="shared" ca="1" si="202"/>
        <v>-1985163494644852</v>
      </c>
      <c r="M5341" s="460">
        <f t="shared" si="204"/>
        <v>0.05</v>
      </c>
      <c r="N5341" s="464">
        <f t="shared" si="205"/>
        <v>213609</v>
      </c>
    </row>
    <row r="5342" spans="7:14" ht="11.25" customHeight="1" x14ac:dyDescent="0.25">
      <c r="G5342" s="459"/>
      <c r="H5342" s="459">
        <v>5335</v>
      </c>
      <c r="I5342" s="444">
        <f t="shared" ca="1" si="203"/>
        <v>-1985163494644852</v>
      </c>
      <c r="J5342" s="444">
        <f t="array" ref="J5342">IFERROR(INDEX('Retirement Calculator'!J:J,MATCH('Isaac 401k'!N5342,'Retirement Calculator'!A:A,0),0),0)</f>
        <v>0</v>
      </c>
      <c r="K5342" s="444">
        <f t="shared" ca="1" si="201"/>
        <v>-8271514561020.2168</v>
      </c>
      <c r="L5342" s="444">
        <f t="shared" ca="1" si="202"/>
        <v>-1993435009205872.3</v>
      </c>
      <c r="M5342" s="460">
        <f t="shared" si="204"/>
        <v>0.05</v>
      </c>
      <c r="N5342" s="464">
        <f t="shared" si="205"/>
        <v>213639</v>
      </c>
    </row>
    <row r="5343" spans="7:14" ht="11.25" customHeight="1" x14ac:dyDescent="0.25">
      <c r="G5343" s="459"/>
      <c r="H5343" s="459">
        <v>5336</v>
      </c>
      <c r="I5343" s="444">
        <f t="shared" ca="1" si="203"/>
        <v>-1993435009205872.3</v>
      </c>
      <c r="J5343" s="444">
        <f t="array" ref="J5343">IFERROR(INDEX('Retirement Calculator'!J:J,MATCH('Isaac 401k'!N5343,'Retirement Calculator'!A:A,0),0),0)</f>
        <v>0</v>
      </c>
      <c r="K5343" s="444">
        <f t="shared" ca="1" si="201"/>
        <v>-8305979205024.4668</v>
      </c>
      <c r="L5343" s="444">
        <f t="shared" ca="1" si="202"/>
        <v>-2001740988410896.8</v>
      </c>
      <c r="M5343" s="460">
        <f t="shared" si="204"/>
        <v>0.05</v>
      </c>
      <c r="N5343" s="464">
        <f t="shared" si="205"/>
        <v>213670</v>
      </c>
    </row>
    <row r="5344" spans="7:14" ht="11.25" customHeight="1" x14ac:dyDescent="0.25">
      <c r="G5344" s="459"/>
      <c r="H5344" s="459">
        <v>5337</v>
      </c>
      <c r="I5344" s="444">
        <f t="shared" ca="1" si="203"/>
        <v>-2001740988410896.8</v>
      </c>
      <c r="J5344" s="444">
        <f t="array" ref="J5344">IFERROR(INDEX('Retirement Calculator'!J:J,MATCH('Isaac 401k'!N5344,'Retirement Calculator'!A:A,0),0),0)</f>
        <v>0</v>
      </c>
      <c r="K5344" s="444">
        <f t="shared" ca="1" si="201"/>
        <v>-8340587451712.0693</v>
      </c>
      <c r="L5344" s="444">
        <f t="shared" ca="1" si="202"/>
        <v>-2010081575862608.8</v>
      </c>
      <c r="M5344" s="460">
        <f t="shared" si="204"/>
        <v>0.05</v>
      </c>
      <c r="N5344" s="464">
        <f t="shared" si="205"/>
        <v>213701</v>
      </c>
    </row>
    <row r="5345" spans="7:14" ht="11.25" customHeight="1" x14ac:dyDescent="0.25">
      <c r="G5345" s="459"/>
      <c r="H5345" s="459">
        <v>5338</v>
      </c>
      <c r="I5345" s="444">
        <f t="shared" ca="1" si="203"/>
        <v>-2010081575862608.8</v>
      </c>
      <c r="J5345" s="444">
        <f t="array" ref="J5345">IFERROR(INDEX('Retirement Calculator'!J:J,MATCH('Isaac 401k'!N5345,'Retirement Calculator'!A:A,0),0),0)</f>
        <v>0</v>
      </c>
      <c r="K5345" s="444">
        <f t="shared" ca="1" si="201"/>
        <v>-8375339899427.5371</v>
      </c>
      <c r="L5345" s="444">
        <f t="shared" ca="1" si="202"/>
        <v>-2018456915762036.3</v>
      </c>
      <c r="M5345" s="460">
        <f t="shared" si="204"/>
        <v>0.05</v>
      </c>
      <c r="N5345" s="464">
        <f t="shared" si="205"/>
        <v>213729</v>
      </c>
    </row>
    <row r="5346" spans="7:14" ht="11.25" customHeight="1" x14ac:dyDescent="0.25">
      <c r="G5346" s="459"/>
      <c r="H5346" s="459">
        <v>5339</v>
      </c>
      <c r="I5346" s="444">
        <f t="shared" ca="1" si="203"/>
        <v>-2018456915762036.3</v>
      </c>
      <c r="J5346" s="444">
        <f t="array" ref="J5346">IFERROR(INDEX('Retirement Calculator'!J:J,MATCH('Isaac 401k'!N5346,'Retirement Calculator'!A:A,0),0),0)</f>
        <v>0</v>
      </c>
      <c r="K5346" s="444">
        <f t="shared" ca="1" si="201"/>
        <v>-8410237149008.4834</v>
      </c>
      <c r="L5346" s="444">
        <f t="shared" ca="1" si="202"/>
        <v>-2026867152911044.8</v>
      </c>
      <c r="M5346" s="460">
        <f t="shared" si="204"/>
        <v>0.05</v>
      </c>
      <c r="N5346" s="464">
        <f t="shared" si="205"/>
        <v>213760</v>
      </c>
    </row>
    <row r="5347" spans="7:14" ht="11.25" customHeight="1" x14ac:dyDescent="0.25">
      <c r="G5347" s="459"/>
      <c r="H5347" s="459">
        <v>5340</v>
      </c>
      <c r="I5347" s="444">
        <f t="shared" ca="1" si="203"/>
        <v>-2026867152911044.8</v>
      </c>
      <c r="J5347" s="444">
        <f t="array" ref="J5347">IFERROR(INDEX('Retirement Calculator'!J:J,MATCH('Isaac 401k'!N5347,'Retirement Calculator'!A:A,0),0),0)</f>
        <v>0</v>
      </c>
      <c r="K5347" s="444">
        <f t="shared" ca="1" si="201"/>
        <v>-8445279803796.0205</v>
      </c>
      <c r="L5347" s="444">
        <f t="shared" ca="1" si="202"/>
        <v>-2035312432714840.8</v>
      </c>
      <c r="M5347" s="460">
        <f t="shared" si="204"/>
        <v>0.05</v>
      </c>
      <c r="N5347" s="464">
        <f t="shared" si="205"/>
        <v>213790</v>
      </c>
    </row>
    <row r="5348" spans="7:14" ht="11.25" customHeight="1" x14ac:dyDescent="0.25">
      <c r="G5348" s="459"/>
      <c r="H5348" s="459">
        <v>5341</v>
      </c>
      <c r="I5348" s="444">
        <f t="shared" ca="1" si="203"/>
        <v>-2035312432714840.8</v>
      </c>
      <c r="J5348" s="444">
        <f t="array" ref="J5348">IFERROR(INDEX('Retirement Calculator'!J:J,MATCH('Isaac 401k'!N5348,'Retirement Calculator'!A:A,0),0),0)</f>
        <v>0</v>
      </c>
      <c r="K5348" s="444">
        <f t="shared" ca="1" si="201"/>
        <v>-8480468469645.1699</v>
      </c>
      <c r="L5348" s="444">
        <f t="shared" ca="1" si="202"/>
        <v>-2043792901184486</v>
      </c>
      <c r="M5348" s="460">
        <f t="shared" si="204"/>
        <v>0.05</v>
      </c>
      <c r="N5348" s="464">
        <f t="shared" si="205"/>
        <v>213821</v>
      </c>
    </row>
    <row r="5349" spans="7:14" ht="11.25" customHeight="1" x14ac:dyDescent="0.25">
      <c r="G5349" s="459"/>
      <c r="H5349" s="459">
        <v>5342</v>
      </c>
      <c r="I5349" s="444">
        <f t="shared" ca="1" si="203"/>
        <v>-2043792901184486</v>
      </c>
      <c r="J5349" s="444">
        <f t="array" ref="J5349">IFERROR(INDEX('Retirement Calculator'!J:J,MATCH('Isaac 401k'!N5349,'Retirement Calculator'!A:A,0),0),0)</f>
        <v>0</v>
      </c>
      <c r="K5349" s="444">
        <f t="shared" ca="1" si="201"/>
        <v>-8515803754935.3594</v>
      </c>
      <c r="L5349" s="444">
        <f t="shared" ca="1" si="202"/>
        <v>-2052308704939421.3</v>
      </c>
      <c r="M5349" s="460">
        <f t="shared" si="204"/>
        <v>0.05</v>
      </c>
      <c r="N5349" s="464">
        <f t="shared" si="205"/>
        <v>213851</v>
      </c>
    </row>
    <row r="5350" spans="7:14" ht="11.25" customHeight="1" x14ac:dyDescent="0.25">
      <c r="G5350" s="459"/>
      <c r="H5350" s="459">
        <v>5343</v>
      </c>
      <c r="I5350" s="444">
        <f t="shared" ca="1" si="203"/>
        <v>-2052308704939421.3</v>
      </c>
      <c r="J5350" s="444">
        <f t="array" ref="J5350">IFERROR(INDEX('Retirement Calculator'!J:J,MATCH('Isaac 401k'!N5350,'Retirement Calculator'!A:A,0),0),0)</f>
        <v>0</v>
      </c>
      <c r="K5350" s="444">
        <f t="shared" ca="1" si="201"/>
        <v>-8551286270580.9219</v>
      </c>
      <c r="L5350" s="444">
        <f t="shared" ca="1" si="202"/>
        <v>-2060859991210002.3</v>
      </c>
      <c r="M5350" s="460">
        <f t="shared" si="204"/>
        <v>0.05</v>
      </c>
      <c r="N5350" s="464">
        <f t="shared" si="205"/>
        <v>213882</v>
      </c>
    </row>
    <row r="5351" spans="7:14" ht="11.25" customHeight="1" x14ac:dyDescent="0.25">
      <c r="G5351" s="459"/>
      <c r="H5351" s="459">
        <v>5344</v>
      </c>
      <c r="I5351" s="444">
        <f t="shared" ca="1" si="203"/>
        <v>-2060859991210002.3</v>
      </c>
      <c r="J5351" s="444">
        <f t="array" ref="J5351">IFERROR(INDEX('Retirement Calculator'!J:J,MATCH('Isaac 401k'!N5351,'Retirement Calculator'!A:A,0),0),0)</f>
        <v>0</v>
      </c>
      <c r="K5351" s="444">
        <f t="shared" ca="1" si="201"/>
        <v>-8586916630041.6758</v>
      </c>
      <c r="L5351" s="444">
        <f t="shared" ca="1" si="202"/>
        <v>-2069446907840044</v>
      </c>
      <c r="M5351" s="460">
        <f t="shared" si="204"/>
        <v>0.05</v>
      </c>
      <c r="N5351" s="464">
        <f t="shared" si="205"/>
        <v>213913</v>
      </c>
    </row>
    <row r="5352" spans="7:14" ht="11.25" customHeight="1" x14ac:dyDescent="0.25">
      <c r="G5352" s="459"/>
      <c r="H5352" s="459">
        <v>5345</v>
      </c>
      <c r="I5352" s="444">
        <f t="shared" ca="1" si="203"/>
        <v>-2069446907840044</v>
      </c>
      <c r="J5352" s="444">
        <f t="array" ref="J5352">IFERROR(INDEX('Retirement Calculator'!J:J,MATCH('Isaac 401k'!N5352,'Retirement Calculator'!A:A,0),0),0)</f>
        <v>0</v>
      </c>
      <c r="K5352" s="444">
        <f t="shared" ca="1" si="201"/>
        <v>-8622695449333.5156</v>
      </c>
      <c r="L5352" s="444">
        <f t="shared" ca="1" si="202"/>
        <v>-2078069603289377.5</v>
      </c>
      <c r="M5352" s="460">
        <f t="shared" si="204"/>
        <v>0.05</v>
      </c>
      <c r="N5352" s="464">
        <f t="shared" si="205"/>
        <v>213943</v>
      </c>
    </row>
    <row r="5353" spans="7:14" ht="11.25" customHeight="1" x14ac:dyDescent="0.25">
      <c r="G5353" s="459"/>
      <c r="H5353" s="459">
        <v>5346</v>
      </c>
      <c r="I5353" s="444">
        <f t="shared" ca="1" si="203"/>
        <v>-2078069603289377.5</v>
      </c>
      <c r="J5353" s="444">
        <f t="array" ref="J5353">IFERROR(INDEX('Retirement Calculator'!J:J,MATCH('Isaac 401k'!N5353,'Retirement Calculator'!A:A,0),0),0)</f>
        <v>0</v>
      </c>
      <c r="K5353" s="444">
        <f t="shared" ca="1" si="201"/>
        <v>-8658623347039.0732</v>
      </c>
      <c r="L5353" s="444">
        <f t="shared" ca="1" si="202"/>
        <v>-2086728226636416.5</v>
      </c>
      <c r="M5353" s="460">
        <f t="shared" si="204"/>
        <v>0.05</v>
      </c>
      <c r="N5353" s="464">
        <f t="shared" si="205"/>
        <v>213974</v>
      </c>
    </row>
    <row r="5354" spans="7:14" ht="11.25" customHeight="1" x14ac:dyDescent="0.25">
      <c r="G5354" s="459"/>
      <c r="H5354" s="459">
        <v>5347</v>
      </c>
      <c r="I5354" s="444">
        <f t="shared" ca="1" si="203"/>
        <v>-2086728226636416.5</v>
      </c>
      <c r="J5354" s="444">
        <f t="array" ref="J5354">IFERROR(INDEX('Retirement Calculator'!J:J,MATCH('Isaac 401k'!N5354,'Retirement Calculator'!A:A,0),0),0)</f>
        <v>0</v>
      </c>
      <c r="K5354" s="444">
        <f t="shared" ca="1" si="201"/>
        <v>-8694700944318.4023</v>
      </c>
      <c r="L5354" s="444">
        <f t="shared" ca="1" si="202"/>
        <v>-2095422927580735</v>
      </c>
      <c r="M5354" s="460">
        <f t="shared" si="204"/>
        <v>0.05</v>
      </c>
      <c r="N5354" s="464">
        <f t="shared" si="205"/>
        <v>214004</v>
      </c>
    </row>
    <row r="5355" spans="7:14" ht="11.25" customHeight="1" x14ac:dyDescent="0.25">
      <c r="G5355" s="459"/>
      <c r="H5355" s="459">
        <v>5348</v>
      </c>
      <c r="I5355" s="444">
        <f t="shared" ca="1" si="203"/>
        <v>-2095422927580735</v>
      </c>
      <c r="J5355" s="444">
        <f t="array" ref="J5355">IFERROR(INDEX('Retirement Calculator'!J:J,MATCH('Isaac 401k'!N5355,'Retirement Calculator'!A:A,0),0),0)</f>
        <v>0</v>
      </c>
      <c r="K5355" s="444">
        <f t="shared" ca="1" si="201"/>
        <v>-8730928864919.7275</v>
      </c>
      <c r="L5355" s="444">
        <f t="shared" ca="1" si="202"/>
        <v>-2104153856445654.8</v>
      </c>
      <c r="M5355" s="460">
        <f t="shared" si="204"/>
        <v>0.05</v>
      </c>
      <c r="N5355" s="464">
        <f t="shared" si="205"/>
        <v>214035</v>
      </c>
    </row>
    <row r="5356" spans="7:14" ht="11.25" customHeight="1" x14ac:dyDescent="0.25">
      <c r="G5356" s="459"/>
      <c r="H5356" s="459">
        <v>5349</v>
      </c>
      <c r="I5356" s="444">
        <f t="shared" ca="1" si="203"/>
        <v>-2104153856445654.8</v>
      </c>
      <c r="J5356" s="444">
        <f t="array" ref="J5356">IFERROR(INDEX('Retirement Calculator'!J:J,MATCH('Isaac 401k'!N5356,'Retirement Calculator'!A:A,0),0),0)</f>
        <v>0</v>
      </c>
      <c r="K5356" s="444">
        <f t="shared" ca="1" si="201"/>
        <v>-8767307735190.2275</v>
      </c>
      <c r="L5356" s="444">
        <f t="shared" ca="1" si="202"/>
        <v>-2112921164180845</v>
      </c>
      <c r="M5356" s="460">
        <f t="shared" si="204"/>
        <v>0.05</v>
      </c>
      <c r="N5356" s="464">
        <f t="shared" si="205"/>
        <v>214066</v>
      </c>
    </row>
    <row r="5357" spans="7:14" ht="11.25" customHeight="1" x14ac:dyDescent="0.25">
      <c r="G5357" s="459"/>
      <c r="H5357" s="459">
        <v>5350</v>
      </c>
      <c r="I5357" s="444">
        <f t="shared" ca="1" si="203"/>
        <v>-2112921164180845</v>
      </c>
      <c r="J5357" s="444">
        <f t="array" ref="J5357">IFERROR(INDEX('Retirement Calculator'!J:J,MATCH('Isaac 401k'!N5357,'Retirement Calculator'!A:A,0),0),0)</f>
        <v>0</v>
      </c>
      <c r="K5357" s="444">
        <f t="shared" ca="1" si="201"/>
        <v>-8803838184086.8555</v>
      </c>
      <c r="L5357" s="444">
        <f t="shared" ca="1" si="202"/>
        <v>-2121725002364931.8</v>
      </c>
      <c r="M5357" s="460">
        <f t="shared" si="204"/>
        <v>0.05</v>
      </c>
      <c r="N5357" s="464">
        <f t="shared" si="205"/>
        <v>214094</v>
      </c>
    </row>
    <row r="5358" spans="7:14" ht="11.25" customHeight="1" x14ac:dyDescent="0.25">
      <c r="G5358" s="459"/>
      <c r="H5358" s="459">
        <v>5351</v>
      </c>
      <c r="I5358" s="444">
        <f t="shared" ca="1" si="203"/>
        <v>-2121725002364931.8</v>
      </c>
      <c r="J5358" s="444">
        <f t="array" ref="J5358">IFERROR(INDEX('Retirement Calculator'!J:J,MATCH('Isaac 401k'!N5358,'Retirement Calculator'!A:A,0),0),0)</f>
        <v>0</v>
      </c>
      <c r="K5358" s="444">
        <f t="shared" ca="1" si="201"/>
        <v>-8840520843187.2148</v>
      </c>
      <c r="L5358" s="444">
        <f t="shared" ca="1" si="202"/>
        <v>-2130565523208119</v>
      </c>
      <c r="M5358" s="460">
        <f t="shared" si="204"/>
        <v>0.05</v>
      </c>
      <c r="N5358" s="464">
        <f t="shared" si="205"/>
        <v>214125</v>
      </c>
    </row>
    <row r="5359" spans="7:14" ht="11.25" customHeight="1" x14ac:dyDescent="0.25">
      <c r="G5359" s="459"/>
      <c r="H5359" s="459">
        <v>5352</v>
      </c>
      <c r="I5359" s="444">
        <f t="shared" ca="1" si="203"/>
        <v>-2130565523208119</v>
      </c>
      <c r="J5359" s="444">
        <f t="array" ref="J5359">IFERROR(INDEX('Retirement Calculator'!J:J,MATCH('Isaac 401k'!N5359,'Retirement Calculator'!A:A,0),0),0)</f>
        <v>0</v>
      </c>
      <c r="K5359" s="444">
        <f t="shared" ca="1" si="201"/>
        <v>-8877356346700.4961</v>
      </c>
      <c r="L5359" s="444">
        <f t="shared" ca="1" si="202"/>
        <v>-2139442879554819.5</v>
      </c>
      <c r="M5359" s="460">
        <f t="shared" si="204"/>
        <v>0.05</v>
      </c>
      <c r="N5359" s="464">
        <f t="shared" si="205"/>
        <v>214155</v>
      </c>
    </row>
    <row r="5360" spans="7:14" ht="11.25" customHeight="1" x14ac:dyDescent="0.25">
      <c r="G5360" s="459"/>
      <c r="H5360" s="459">
        <v>5353</v>
      </c>
      <c r="I5360" s="444">
        <f t="shared" ca="1" si="203"/>
        <v>-2139442879554819.5</v>
      </c>
      <c r="J5360" s="444">
        <f t="array" ref="J5360">IFERROR(INDEX('Retirement Calculator'!J:J,MATCH('Isaac 401k'!N5360,'Retirement Calculator'!A:A,0),0),0)</f>
        <v>0</v>
      </c>
      <c r="K5360" s="444">
        <f t="shared" ca="1" si="201"/>
        <v>-8914345331478.416</v>
      </c>
      <c r="L5360" s="444">
        <f t="shared" ca="1" si="202"/>
        <v>-2148357224886298</v>
      </c>
      <c r="M5360" s="460">
        <f t="shared" si="204"/>
        <v>0.05</v>
      </c>
      <c r="N5360" s="464">
        <f t="shared" si="205"/>
        <v>214186</v>
      </c>
    </row>
    <row r="5361" spans="7:14" ht="11.25" customHeight="1" x14ac:dyDescent="0.25">
      <c r="G5361" s="459"/>
      <c r="H5361" s="459">
        <v>5354</v>
      </c>
      <c r="I5361" s="444">
        <f t="shared" ca="1" si="203"/>
        <v>-2148357224886298</v>
      </c>
      <c r="J5361" s="444">
        <f t="array" ref="J5361">IFERROR(INDEX('Retirement Calculator'!J:J,MATCH('Isaac 401k'!N5361,'Retirement Calculator'!A:A,0),0),0)</f>
        <v>0</v>
      </c>
      <c r="K5361" s="444">
        <f t="shared" ca="1" si="201"/>
        <v>-8951488437026.2422</v>
      </c>
      <c r="L5361" s="444">
        <f t="shared" ca="1" si="202"/>
        <v>-2157308713323324.3</v>
      </c>
      <c r="M5361" s="460">
        <f t="shared" si="204"/>
        <v>0.05</v>
      </c>
      <c r="N5361" s="464">
        <f t="shared" si="205"/>
        <v>214216</v>
      </c>
    </row>
    <row r="5362" spans="7:14" ht="11.25" customHeight="1" x14ac:dyDescent="0.25">
      <c r="G5362" s="459"/>
      <c r="H5362" s="459">
        <v>5355</v>
      </c>
      <c r="I5362" s="444">
        <f t="shared" ca="1" si="203"/>
        <v>-2157308713323324.3</v>
      </c>
      <c r="J5362" s="444">
        <f t="array" ref="J5362">IFERROR(INDEX('Retirement Calculator'!J:J,MATCH('Isaac 401k'!N5362,'Retirement Calculator'!A:A,0),0),0)</f>
        <v>0</v>
      </c>
      <c r="K5362" s="444">
        <f t="shared" ca="1" si="201"/>
        <v>-8988786305513.8516</v>
      </c>
      <c r="L5362" s="444">
        <f t="shared" ca="1" si="202"/>
        <v>-2166297499628838</v>
      </c>
      <c r="M5362" s="460">
        <f t="shared" si="204"/>
        <v>0.05</v>
      </c>
      <c r="N5362" s="464">
        <f t="shared" si="205"/>
        <v>214247</v>
      </c>
    </row>
    <row r="5363" spans="7:14" ht="11.25" customHeight="1" x14ac:dyDescent="0.25">
      <c r="G5363" s="459"/>
      <c r="H5363" s="459">
        <v>5356</v>
      </c>
      <c r="I5363" s="444">
        <f t="shared" ca="1" si="203"/>
        <v>-2166297499628838</v>
      </c>
      <c r="J5363" s="444">
        <f t="array" ref="J5363">IFERROR(INDEX('Retirement Calculator'!J:J,MATCH('Isaac 401k'!N5363,'Retirement Calculator'!A:A,0),0),0)</f>
        <v>0</v>
      </c>
      <c r="K5363" s="444">
        <f t="shared" ref="K5363:K5617" ca="1" si="206">IPMT(M5363/12,1,12,-I5363+J5363,,0)</f>
        <v>-9026239581786.8242</v>
      </c>
      <c r="L5363" s="444">
        <f t="shared" ref="L5363:L5617" ca="1" si="207">I5363-J5363+K5363</f>
        <v>-2175323739210624.8</v>
      </c>
      <c r="M5363" s="460">
        <f t="shared" si="204"/>
        <v>0.05</v>
      </c>
      <c r="N5363" s="464">
        <f t="shared" si="205"/>
        <v>214278</v>
      </c>
    </row>
    <row r="5364" spans="7:14" ht="11.25" customHeight="1" x14ac:dyDescent="0.25">
      <c r="G5364" s="459"/>
      <c r="H5364" s="459">
        <v>5357</v>
      </c>
      <c r="I5364" s="444">
        <f t="shared" ref="I5364:I5618" ca="1" si="208">L5363</f>
        <v>-2175323739210624.8</v>
      </c>
      <c r="J5364" s="444">
        <f t="array" ref="J5364">IFERROR(INDEX('Retirement Calculator'!J:J,MATCH('Isaac 401k'!N5364,'Retirement Calculator'!A:A,0),0),0)</f>
        <v>0</v>
      </c>
      <c r="K5364" s="444">
        <f t="shared" ca="1" si="206"/>
        <v>-9063848913377.6016</v>
      </c>
      <c r="L5364" s="444">
        <f t="shared" ca="1" si="207"/>
        <v>-2184387588124002.3</v>
      </c>
      <c r="M5364" s="460">
        <f t="shared" ref="M5364:M5618" si="209">M5363</f>
        <v>0.05</v>
      </c>
      <c r="N5364" s="464">
        <f t="shared" ref="N5364:N5618" si="210">EDATE(N5363,1)</f>
        <v>214308</v>
      </c>
    </row>
    <row r="5365" spans="7:14" ht="11.25" customHeight="1" x14ac:dyDescent="0.25">
      <c r="G5365" s="459"/>
      <c r="H5365" s="459">
        <v>5358</v>
      </c>
      <c r="I5365" s="444">
        <f t="shared" ca="1" si="208"/>
        <v>-2184387588124002.3</v>
      </c>
      <c r="J5365" s="444">
        <f t="array" ref="J5365">IFERROR(INDEX('Retirement Calculator'!J:J,MATCH('Isaac 401k'!N5365,'Retirement Calculator'!A:A,0),0),0)</f>
        <v>0</v>
      </c>
      <c r="K5365" s="444">
        <f t="shared" ca="1" si="206"/>
        <v>-9101614950516.6758</v>
      </c>
      <c r="L5365" s="444">
        <f t="shared" ca="1" si="207"/>
        <v>-2193489203074519</v>
      </c>
      <c r="M5365" s="460">
        <f t="shared" si="209"/>
        <v>0.05</v>
      </c>
      <c r="N5365" s="464">
        <f t="shared" si="210"/>
        <v>214339</v>
      </c>
    </row>
    <row r="5366" spans="7:14" ht="11.25" customHeight="1" x14ac:dyDescent="0.25">
      <c r="G5366" s="459"/>
      <c r="H5366" s="459">
        <v>5359</v>
      </c>
      <c r="I5366" s="444">
        <f t="shared" ca="1" si="208"/>
        <v>-2193489203074519</v>
      </c>
      <c r="J5366" s="444">
        <f t="array" ref="J5366">IFERROR(INDEX('Retirement Calculator'!J:J,MATCH('Isaac 401k'!N5366,'Retirement Calculator'!A:A,0),0),0)</f>
        <v>0</v>
      </c>
      <c r="K5366" s="444">
        <f t="shared" ca="1" si="206"/>
        <v>-9139538346143.8281</v>
      </c>
      <c r="L5366" s="444">
        <f t="shared" ca="1" si="207"/>
        <v>-2202628741420662.8</v>
      </c>
      <c r="M5366" s="460">
        <f t="shared" si="209"/>
        <v>0.05</v>
      </c>
      <c r="N5366" s="464">
        <f t="shared" si="210"/>
        <v>214369</v>
      </c>
    </row>
    <row r="5367" spans="7:14" ht="11.25" customHeight="1" x14ac:dyDescent="0.25">
      <c r="G5367" s="459"/>
      <c r="H5367" s="459">
        <v>5360</v>
      </c>
      <c r="I5367" s="444">
        <f t="shared" ca="1" si="208"/>
        <v>-2202628741420662.8</v>
      </c>
      <c r="J5367" s="444">
        <f t="array" ref="J5367">IFERROR(INDEX('Retirement Calculator'!J:J,MATCH('Isaac 401k'!N5367,'Retirement Calculator'!A:A,0),0),0)</f>
        <v>0</v>
      </c>
      <c r="K5367" s="444">
        <f t="shared" ca="1" si="206"/>
        <v>-9177619755919.4277</v>
      </c>
      <c r="L5367" s="444">
        <f t="shared" ca="1" si="207"/>
        <v>-2211806361176582.3</v>
      </c>
      <c r="M5367" s="460">
        <f t="shared" si="209"/>
        <v>0.05</v>
      </c>
      <c r="N5367" s="464">
        <f t="shared" si="210"/>
        <v>214400</v>
      </c>
    </row>
    <row r="5368" spans="7:14" ht="11.25" customHeight="1" x14ac:dyDescent="0.25">
      <c r="G5368" s="459"/>
      <c r="H5368" s="459">
        <v>5361</v>
      </c>
      <c r="I5368" s="444">
        <f t="shared" ca="1" si="208"/>
        <v>-2211806361176582.3</v>
      </c>
      <c r="J5368" s="444">
        <f t="array" ref="J5368">IFERROR(INDEX('Retirement Calculator'!J:J,MATCH('Isaac 401k'!N5368,'Retirement Calculator'!A:A,0),0),0)</f>
        <v>0</v>
      </c>
      <c r="K5368" s="444">
        <f t="shared" ca="1" si="206"/>
        <v>-9215859838235.7578</v>
      </c>
      <c r="L5368" s="444">
        <f t="shared" ca="1" si="207"/>
        <v>-2221022221014818</v>
      </c>
      <c r="M5368" s="460">
        <f t="shared" si="209"/>
        <v>0.05</v>
      </c>
      <c r="N5368" s="464">
        <f t="shared" si="210"/>
        <v>214431</v>
      </c>
    </row>
    <row r="5369" spans="7:14" ht="11.25" customHeight="1" x14ac:dyDescent="0.25">
      <c r="G5369" s="459"/>
      <c r="H5369" s="459">
        <v>5362</v>
      </c>
      <c r="I5369" s="444">
        <f t="shared" ca="1" si="208"/>
        <v>-2221022221014818</v>
      </c>
      <c r="J5369" s="444">
        <f t="array" ref="J5369">IFERROR(INDEX('Retirement Calculator'!J:J,MATCH('Isaac 401k'!N5369,'Retirement Calculator'!A:A,0),0),0)</f>
        <v>0</v>
      </c>
      <c r="K5369" s="444">
        <f t="shared" ca="1" si="206"/>
        <v>-9254259254228.4063</v>
      </c>
      <c r="L5369" s="444">
        <f t="shared" ca="1" si="207"/>
        <v>-2230276480269046.5</v>
      </c>
      <c r="M5369" s="460">
        <f t="shared" si="209"/>
        <v>0.05</v>
      </c>
      <c r="N5369" s="464">
        <f t="shared" si="210"/>
        <v>214459</v>
      </c>
    </row>
    <row r="5370" spans="7:14" ht="11.25" customHeight="1" x14ac:dyDescent="0.25">
      <c r="G5370" s="459"/>
      <c r="H5370" s="459">
        <v>5363</v>
      </c>
      <c r="I5370" s="444">
        <f t="shared" ca="1" si="208"/>
        <v>-2230276480269046.5</v>
      </c>
      <c r="J5370" s="444">
        <f t="array" ref="J5370">IFERROR(INDEX('Retirement Calculator'!J:J,MATCH('Isaac 401k'!N5370,'Retirement Calculator'!A:A,0),0),0)</f>
        <v>0</v>
      </c>
      <c r="K5370" s="444">
        <f t="shared" ca="1" si="206"/>
        <v>-9292818667787.6934</v>
      </c>
      <c r="L5370" s="444">
        <f t="shared" ca="1" si="207"/>
        <v>-2239569298936834.3</v>
      </c>
      <c r="M5370" s="460">
        <f t="shared" si="209"/>
        <v>0.05</v>
      </c>
      <c r="N5370" s="464">
        <f t="shared" si="210"/>
        <v>214490</v>
      </c>
    </row>
    <row r="5371" spans="7:14" ht="11.25" customHeight="1" x14ac:dyDescent="0.25">
      <c r="G5371" s="459"/>
      <c r="H5371" s="459">
        <v>5364</v>
      </c>
      <c r="I5371" s="444">
        <f t="shared" ca="1" si="208"/>
        <v>-2239569298936834.3</v>
      </c>
      <c r="J5371" s="444">
        <f t="array" ref="J5371">IFERROR(INDEX('Retirement Calculator'!J:J,MATCH('Isaac 401k'!N5371,'Retirement Calculator'!A:A,0),0),0)</f>
        <v>0</v>
      </c>
      <c r="K5371" s="444">
        <f t="shared" ca="1" si="206"/>
        <v>-9331538745570.1426</v>
      </c>
      <c r="L5371" s="444">
        <f t="shared" ca="1" si="207"/>
        <v>-2248900837682404.5</v>
      </c>
      <c r="M5371" s="460">
        <f t="shared" si="209"/>
        <v>0.05</v>
      </c>
      <c r="N5371" s="464">
        <f t="shared" si="210"/>
        <v>214520</v>
      </c>
    </row>
    <row r="5372" spans="7:14" ht="11.25" customHeight="1" x14ac:dyDescent="0.25">
      <c r="G5372" s="459"/>
      <c r="H5372" s="459">
        <v>5365</v>
      </c>
      <c r="I5372" s="444">
        <f t="shared" ca="1" si="208"/>
        <v>-2248900837682404.5</v>
      </c>
      <c r="J5372" s="444">
        <f t="array" ref="J5372">IFERROR(INDEX('Retirement Calculator'!J:J,MATCH('Isaac 401k'!N5372,'Retirement Calculator'!A:A,0),0),0)</f>
        <v>0</v>
      </c>
      <c r="K5372" s="444">
        <f t="shared" ca="1" si="206"/>
        <v>-9370420157010.0176</v>
      </c>
      <c r="L5372" s="444">
        <f t="shared" ca="1" si="207"/>
        <v>-2258271257839414.5</v>
      </c>
      <c r="M5372" s="460">
        <f t="shared" si="209"/>
        <v>0.05</v>
      </c>
      <c r="N5372" s="464">
        <f t="shared" si="210"/>
        <v>214551</v>
      </c>
    </row>
    <row r="5373" spans="7:14" ht="11.25" customHeight="1" x14ac:dyDescent="0.25">
      <c r="G5373" s="459"/>
      <c r="H5373" s="459">
        <v>5366</v>
      </c>
      <c r="I5373" s="444">
        <f t="shared" ca="1" si="208"/>
        <v>-2258271257839414.5</v>
      </c>
      <c r="J5373" s="444">
        <f t="array" ref="J5373">IFERROR(INDEX('Retirement Calculator'!J:J,MATCH('Isaac 401k'!N5373,'Retirement Calculator'!A:A,0),0),0)</f>
        <v>0</v>
      </c>
      <c r="K5373" s="444">
        <f t="shared" ca="1" si="206"/>
        <v>-9409463574330.8945</v>
      </c>
      <c r="L5373" s="444">
        <f t="shared" ca="1" si="207"/>
        <v>-2267680721413745.5</v>
      </c>
      <c r="M5373" s="460">
        <f t="shared" si="209"/>
        <v>0.05</v>
      </c>
      <c r="N5373" s="464">
        <f t="shared" si="210"/>
        <v>214581</v>
      </c>
    </row>
    <row r="5374" spans="7:14" ht="11.25" customHeight="1" x14ac:dyDescent="0.25">
      <c r="G5374" s="459"/>
      <c r="H5374" s="459">
        <v>5367</v>
      </c>
      <c r="I5374" s="444">
        <f t="shared" ca="1" si="208"/>
        <v>-2267680721413745.5</v>
      </c>
      <c r="J5374" s="444">
        <f t="array" ref="J5374">IFERROR(INDEX('Retirement Calculator'!J:J,MATCH('Isaac 401k'!N5374,'Retirement Calculator'!A:A,0),0),0)</f>
        <v>0</v>
      </c>
      <c r="K5374" s="444">
        <f t="shared" ca="1" si="206"/>
        <v>-9448669672557.2734</v>
      </c>
      <c r="L5374" s="444">
        <f t="shared" ca="1" si="207"/>
        <v>-2277129391086303</v>
      </c>
      <c r="M5374" s="460">
        <f t="shared" si="209"/>
        <v>0.05</v>
      </c>
      <c r="N5374" s="464">
        <f t="shared" si="210"/>
        <v>214612</v>
      </c>
    </row>
    <row r="5375" spans="7:14" ht="11.25" customHeight="1" x14ac:dyDescent="0.25">
      <c r="G5375" s="459"/>
      <c r="H5375" s="459">
        <v>5368</v>
      </c>
      <c r="I5375" s="444">
        <f t="shared" ca="1" si="208"/>
        <v>-2277129391086303</v>
      </c>
      <c r="J5375" s="444">
        <f t="array" ref="J5375">IFERROR(INDEX('Retirement Calculator'!J:J,MATCH('Isaac 401k'!N5375,'Retirement Calculator'!A:A,0),0),0)</f>
        <v>0</v>
      </c>
      <c r="K5375" s="444">
        <f t="shared" ca="1" si="206"/>
        <v>-9488039129526.2617</v>
      </c>
      <c r="L5375" s="444">
        <f t="shared" ca="1" si="207"/>
        <v>-2286617430215829.5</v>
      </c>
      <c r="M5375" s="460">
        <f t="shared" si="209"/>
        <v>0.05</v>
      </c>
      <c r="N5375" s="464">
        <f t="shared" si="210"/>
        <v>214643</v>
      </c>
    </row>
    <row r="5376" spans="7:14" ht="11.25" customHeight="1" x14ac:dyDescent="0.25">
      <c r="G5376" s="459"/>
      <c r="H5376" s="459">
        <v>5369</v>
      </c>
      <c r="I5376" s="444">
        <f t="shared" ca="1" si="208"/>
        <v>-2286617430215829.5</v>
      </c>
      <c r="J5376" s="444">
        <f t="array" ref="J5376">IFERROR(INDEX('Retirement Calculator'!J:J,MATCH('Isaac 401k'!N5376,'Retirement Calculator'!A:A,0),0),0)</f>
        <v>0</v>
      </c>
      <c r="K5376" s="444">
        <f t="shared" ca="1" si="206"/>
        <v>-9527572625899.2891</v>
      </c>
      <c r="L5376" s="444">
        <f t="shared" ca="1" si="207"/>
        <v>-2296145002841729</v>
      </c>
      <c r="M5376" s="460">
        <f t="shared" si="209"/>
        <v>0.05</v>
      </c>
      <c r="N5376" s="464">
        <f t="shared" si="210"/>
        <v>214673</v>
      </c>
    </row>
    <row r="5377" spans="7:14" ht="11.25" customHeight="1" x14ac:dyDescent="0.25">
      <c r="G5377" s="459"/>
      <c r="H5377" s="459">
        <v>5370</v>
      </c>
      <c r="I5377" s="444">
        <f t="shared" ca="1" si="208"/>
        <v>-2296145002841729</v>
      </c>
      <c r="J5377" s="444">
        <f t="array" ref="J5377">IFERROR(INDEX('Retirement Calculator'!J:J,MATCH('Isaac 401k'!N5377,'Retirement Calculator'!A:A,0),0),0)</f>
        <v>0</v>
      </c>
      <c r="K5377" s="444">
        <f t="shared" ca="1" si="206"/>
        <v>-9567270845173.8711</v>
      </c>
      <c r="L5377" s="444">
        <f t="shared" ca="1" si="207"/>
        <v>-2305712273686903</v>
      </c>
      <c r="M5377" s="460">
        <f t="shared" si="209"/>
        <v>0.05</v>
      </c>
      <c r="N5377" s="464">
        <f t="shared" si="210"/>
        <v>214704</v>
      </c>
    </row>
    <row r="5378" spans="7:14" ht="11.25" customHeight="1" x14ac:dyDescent="0.25">
      <c r="G5378" s="459"/>
      <c r="H5378" s="459">
        <v>5371</v>
      </c>
      <c r="I5378" s="444">
        <f t="shared" ca="1" si="208"/>
        <v>-2305712273686903</v>
      </c>
      <c r="J5378" s="444">
        <f t="array" ref="J5378">IFERROR(INDEX('Retirement Calculator'!J:J,MATCH('Isaac 401k'!N5378,'Retirement Calculator'!A:A,0),0),0)</f>
        <v>0</v>
      </c>
      <c r="K5378" s="444">
        <f t="shared" ca="1" si="206"/>
        <v>-9607134473695.4297</v>
      </c>
      <c r="L5378" s="444">
        <f t="shared" ca="1" si="207"/>
        <v>-2315319408160598.5</v>
      </c>
      <c r="M5378" s="460">
        <f t="shared" si="209"/>
        <v>0.05</v>
      </c>
      <c r="N5378" s="464">
        <f t="shared" si="210"/>
        <v>214734</v>
      </c>
    </row>
    <row r="5379" spans="7:14" ht="11.25" customHeight="1" x14ac:dyDescent="0.25">
      <c r="G5379" s="459"/>
      <c r="H5379" s="459">
        <v>5372</v>
      </c>
      <c r="I5379" s="444">
        <f t="shared" ca="1" si="208"/>
        <v>-2315319408160598.5</v>
      </c>
      <c r="J5379" s="444">
        <f t="array" ref="J5379">IFERROR(INDEX('Retirement Calculator'!J:J,MATCH('Isaac 401k'!N5379,'Retirement Calculator'!A:A,0),0),0)</f>
        <v>0</v>
      </c>
      <c r="K5379" s="444">
        <f t="shared" ca="1" si="206"/>
        <v>-9647164200669.1602</v>
      </c>
      <c r="L5379" s="444">
        <f t="shared" ca="1" si="207"/>
        <v>-2324966572361267.5</v>
      </c>
      <c r="M5379" s="460">
        <f t="shared" si="209"/>
        <v>0.05</v>
      </c>
      <c r="N5379" s="464">
        <f t="shared" si="210"/>
        <v>214765</v>
      </c>
    </row>
    <row r="5380" spans="7:14" ht="11.25" customHeight="1" x14ac:dyDescent="0.25">
      <c r="G5380" s="459"/>
      <c r="H5380" s="459">
        <v>5373</v>
      </c>
      <c r="I5380" s="444">
        <f t="shared" ca="1" si="208"/>
        <v>-2324966572361267.5</v>
      </c>
      <c r="J5380" s="444">
        <f t="array" ref="J5380">IFERROR(INDEX('Retirement Calculator'!J:J,MATCH('Isaac 401k'!N5380,'Retirement Calculator'!A:A,0),0),0)</f>
        <v>0</v>
      </c>
      <c r="K5380" s="444">
        <f t="shared" ca="1" si="206"/>
        <v>-9687360718171.9473</v>
      </c>
      <c r="L5380" s="444">
        <f t="shared" ca="1" si="207"/>
        <v>-2334653933079439.5</v>
      </c>
      <c r="M5380" s="460">
        <f t="shared" si="209"/>
        <v>0.05</v>
      </c>
      <c r="N5380" s="464">
        <f t="shared" si="210"/>
        <v>214796</v>
      </c>
    </row>
    <row r="5381" spans="7:14" ht="11.25" customHeight="1" x14ac:dyDescent="0.25">
      <c r="G5381" s="459"/>
      <c r="H5381" s="459">
        <v>5374</v>
      </c>
      <c r="I5381" s="444">
        <f t="shared" ca="1" si="208"/>
        <v>-2334653933079439.5</v>
      </c>
      <c r="J5381" s="444">
        <f t="array" ref="J5381">IFERROR(INDEX('Retirement Calculator'!J:J,MATCH('Isaac 401k'!N5381,'Retirement Calculator'!A:A,0),0),0)</f>
        <v>0</v>
      </c>
      <c r="K5381" s="444">
        <f t="shared" ca="1" si="206"/>
        <v>-9727724721164.332</v>
      </c>
      <c r="L5381" s="444">
        <f t="shared" ca="1" si="207"/>
        <v>-2344381657800604</v>
      </c>
      <c r="M5381" s="460">
        <f t="shared" si="209"/>
        <v>0.05</v>
      </c>
      <c r="N5381" s="464">
        <f t="shared" si="210"/>
        <v>214825</v>
      </c>
    </row>
    <row r="5382" spans="7:14" ht="11.25" customHeight="1" x14ac:dyDescent="0.25">
      <c r="G5382" s="459"/>
      <c r="H5382" s="459">
        <v>5375</v>
      </c>
      <c r="I5382" s="444">
        <f t="shared" ca="1" si="208"/>
        <v>-2344381657800604</v>
      </c>
      <c r="J5382" s="444">
        <f t="array" ref="J5382">IFERROR(INDEX('Retirement Calculator'!J:J,MATCH('Isaac 401k'!N5382,'Retirement Calculator'!A:A,0),0),0)</f>
        <v>0</v>
      </c>
      <c r="K5382" s="444">
        <f t="shared" ca="1" si="206"/>
        <v>-9768256907502.5156</v>
      </c>
      <c r="L5382" s="444">
        <f t="shared" ca="1" si="207"/>
        <v>-2354149914708106.5</v>
      </c>
      <c r="M5382" s="460">
        <f t="shared" si="209"/>
        <v>0.05</v>
      </c>
      <c r="N5382" s="464">
        <f t="shared" si="210"/>
        <v>214856</v>
      </c>
    </row>
    <row r="5383" spans="7:14" ht="11.25" customHeight="1" x14ac:dyDescent="0.25">
      <c r="G5383" s="459"/>
      <c r="H5383" s="459">
        <v>5376</v>
      </c>
      <c r="I5383" s="444">
        <f t="shared" ca="1" si="208"/>
        <v>-2354149914708106.5</v>
      </c>
      <c r="J5383" s="444">
        <f t="array" ref="J5383">IFERROR(INDEX('Retirement Calculator'!J:J,MATCH('Isaac 401k'!N5383,'Retirement Calculator'!A:A,0),0),0)</f>
        <v>0</v>
      </c>
      <c r="K5383" s="444">
        <f t="shared" ca="1" si="206"/>
        <v>-9808957977950.4434</v>
      </c>
      <c r="L5383" s="444">
        <f t="shared" ca="1" si="207"/>
        <v>-2363958872686057</v>
      </c>
      <c r="M5383" s="460">
        <f t="shared" si="209"/>
        <v>0.05</v>
      </c>
      <c r="N5383" s="464">
        <f t="shared" si="210"/>
        <v>214886</v>
      </c>
    </row>
    <row r="5384" spans="7:14" ht="11.25" customHeight="1" x14ac:dyDescent="0.25">
      <c r="G5384" s="459"/>
      <c r="H5384" s="459">
        <v>5377</v>
      </c>
      <c r="I5384" s="444">
        <f t="shared" ca="1" si="208"/>
        <v>-2363958872686057</v>
      </c>
      <c r="J5384" s="444">
        <f t="array" ref="J5384">IFERROR(INDEX('Retirement Calculator'!J:J,MATCH('Isaac 401k'!N5384,'Retirement Calculator'!A:A,0),0),0)</f>
        <v>0</v>
      </c>
      <c r="K5384" s="444">
        <f t="shared" ca="1" si="206"/>
        <v>-9849828636191.9043</v>
      </c>
      <c r="L5384" s="444">
        <f t="shared" ca="1" si="207"/>
        <v>-2373808701322249</v>
      </c>
      <c r="M5384" s="460">
        <f t="shared" si="209"/>
        <v>0.05</v>
      </c>
      <c r="N5384" s="464">
        <f t="shared" si="210"/>
        <v>214917</v>
      </c>
    </row>
    <row r="5385" spans="7:14" ht="11.25" customHeight="1" x14ac:dyDescent="0.25">
      <c r="G5385" s="459"/>
      <c r="H5385" s="459">
        <v>5378</v>
      </c>
      <c r="I5385" s="444">
        <f t="shared" ca="1" si="208"/>
        <v>-2373808701322249</v>
      </c>
      <c r="J5385" s="444">
        <f t="array" ref="J5385">IFERROR(INDEX('Retirement Calculator'!J:J,MATCH('Isaac 401k'!N5385,'Retirement Calculator'!A:A,0),0),0)</f>
        <v>0</v>
      </c>
      <c r="K5385" s="444">
        <f t="shared" ca="1" si="206"/>
        <v>-9890869588842.7031</v>
      </c>
      <c r="L5385" s="444">
        <f t="shared" ca="1" si="207"/>
        <v>-2383699570911091.5</v>
      </c>
      <c r="M5385" s="460">
        <f t="shared" si="209"/>
        <v>0.05</v>
      </c>
      <c r="N5385" s="464">
        <f t="shared" si="210"/>
        <v>214947</v>
      </c>
    </row>
    <row r="5386" spans="7:14" ht="11.25" customHeight="1" x14ac:dyDescent="0.25">
      <c r="G5386" s="459"/>
      <c r="H5386" s="459">
        <v>5379</v>
      </c>
      <c r="I5386" s="444">
        <f t="shared" ca="1" si="208"/>
        <v>-2383699570911091.5</v>
      </c>
      <c r="J5386" s="444">
        <f t="array" ref="J5386">IFERROR(INDEX('Retirement Calculator'!J:J,MATCH('Isaac 401k'!N5386,'Retirement Calculator'!A:A,0),0),0)</f>
        <v>0</v>
      </c>
      <c r="K5386" s="444">
        <f t="shared" ca="1" si="206"/>
        <v>-9932081545462.8809</v>
      </c>
      <c r="L5386" s="444">
        <f t="shared" ca="1" si="207"/>
        <v>-2393631652456554.5</v>
      </c>
      <c r="M5386" s="460">
        <f t="shared" si="209"/>
        <v>0.05</v>
      </c>
      <c r="N5386" s="464">
        <f t="shared" si="210"/>
        <v>214978</v>
      </c>
    </row>
    <row r="5387" spans="7:14" ht="11.25" customHeight="1" x14ac:dyDescent="0.25">
      <c r="G5387" s="459"/>
      <c r="H5387" s="459">
        <v>5380</v>
      </c>
      <c r="I5387" s="444">
        <f t="shared" ca="1" si="208"/>
        <v>-2393631652456554.5</v>
      </c>
      <c r="J5387" s="444">
        <f t="array" ref="J5387">IFERROR(INDEX('Retirement Calculator'!J:J,MATCH('Isaac 401k'!N5387,'Retirement Calculator'!A:A,0),0),0)</f>
        <v>0</v>
      </c>
      <c r="K5387" s="444">
        <f t="shared" ca="1" si="206"/>
        <v>-9973465218568.9766</v>
      </c>
      <c r="L5387" s="444">
        <f t="shared" ca="1" si="207"/>
        <v>-2403605117675123.5</v>
      </c>
      <c r="M5387" s="460">
        <f t="shared" si="209"/>
        <v>0.05</v>
      </c>
      <c r="N5387" s="464">
        <f t="shared" si="210"/>
        <v>215009</v>
      </c>
    </row>
    <row r="5388" spans="7:14" ht="11.25" customHeight="1" x14ac:dyDescent="0.25">
      <c r="G5388" s="459"/>
      <c r="H5388" s="459">
        <v>5381</v>
      </c>
      <c r="I5388" s="444">
        <f t="shared" ca="1" si="208"/>
        <v>-2403605117675123.5</v>
      </c>
      <c r="J5388" s="444">
        <f t="array" ref="J5388">IFERROR(INDEX('Retirement Calculator'!J:J,MATCH('Isaac 401k'!N5388,'Retirement Calculator'!A:A,0),0),0)</f>
        <v>0</v>
      </c>
      <c r="K5388" s="444">
        <f t="shared" ca="1" si="206"/>
        <v>-10015021323646.348</v>
      </c>
      <c r="L5388" s="444">
        <f t="shared" ca="1" si="207"/>
        <v>-2413620138998770</v>
      </c>
      <c r="M5388" s="460">
        <f t="shared" si="209"/>
        <v>0.05</v>
      </c>
      <c r="N5388" s="464">
        <f t="shared" si="210"/>
        <v>215039</v>
      </c>
    </row>
    <row r="5389" spans="7:14" ht="11.25" customHeight="1" x14ac:dyDescent="0.25">
      <c r="G5389" s="459"/>
      <c r="H5389" s="459">
        <v>5382</v>
      </c>
      <c r="I5389" s="444">
        <f t="shared" ca="1" si="208"/>
        <v>-2413620138998770</v>
      </c>
      <c r="J5389" s="444">
        <f t="array" ref="J5389">IFERROR(INDEX('Retirement Calculator'!J:J,MATCH('Isaac 401k'!N5389,'Retirement Calculator'!A:A,0),0),0)</f>
        <v>0</v>
      </c>
      <c r="K5389" s="444">
        <f t="shared" ca="1" si="206"/>
        <v>-10056750579161.541</v>
      </c>
      <c r="L5389" s="444">
        <f t="shared" ca="1" si="207"/>
        <v>-2423676889577931.5</v>
      </c>
      <c r="M5389" s="460">
        <f t="shared" si="209"/>
        <v>0.05</v>
      </c>
      <c r="N5389" s="464">
        <f t="shared" si="210"/>
        <v>215070</v>
      </c>
    </row>
    <row r="5390" spans="7:14" ht="11.25" customHeight="1" x14ac:dyDescent="0.25">
      <c r="G5390" s="459"/>
      <c r="H5390" s="459">
        <v>5383</v>
      </c>
      <c r="I5390" s="444">
        <f t="shared" ca="1" si="208"/>
        <v>-2423676889577931.5</v>
      </c>
      <c r="J5390" s="444">
        <f t="array" ref="J5390">IFERROR(INDEX('Retirement Calculator'!J:J,MATCH('Isaac 401k'!N5390,'Retirement Calculator'!A:A,0),0),0)</f>
        <v>0</v>
      </c>
      <c r="K5390" s="444">
        <f t="shared" ca="1" si="206"/>
        <v>-10098653706574.715</v>
      </c>
      <c r="L5390" s="444">
        <f t="shared" ca="1" si="207"/>
        <v>-2433775543284506</v>
      </c>
      <c r="M5390" s="460">
        <f t="shared" si="209"/>
        <v>0.05</v>
      </c>
      <c r="N5390" s="464">
        <f t="shared" si="210"/>
        <v>215100</v>
      </c>
    </row>
    <row r="5391" spans="7:14" ht="11.25" customHeight="1" x14ac:dyDescent="0.25">
      <c r="G5391" s="459"/>
      <c r="H5391" s="459">
        <v>5384</v>
      </c>
      <c r="I5391" s="444">
        <f t="shared" ca="1" si="208"/>
        <v>-2433775543284506</v>
      </c>
      <c r="J5391" s="444">
        <f t="array" ref="J5391">IFERROR(INDEX('Retirement Calculator'!J:J,MATCH('Isaac 401k'!N5391,'Retirement Calculator'!A:A,0),0),0)</f>
        <v>0</v>
      </c>
      <c r="K5391" s="444">
        <f t="shared" ca="1" si="206"/>
        <v>-10140731430352.107</v>
      </c>
      <c r="L5391" s="444">
        <f t="shared" ca="1" si="207"/>
        <v>-2443916274714858</v>
      </c>
      <c r="M5391" s="460">
        <f t="shared" si="209"/>
        <v>0.05</v>
      </c>
      <c r="N5391" s="464">
        <f t="shared" si="210"/>
        <v>215131</v>
      </c>
    </row>
    <row r="5392" spans="7:14" ht="11.25" customHeight="1" x14ac:dyDescent="0.25">
      <c r="G5392" s="459"/>
      <c r="H5392" s="459">
        <v>5385</v>
      </c>
      <c r="I5392" s="444">
        <f t="shared" ca="1" si="208"/>
        <v>-2443916274714858</v>
      </c>
      <c r="J5392" s="444">
        <f t="array" ref="J5392">IFERROR(INDEX('Retirement Calculator'!J:J,MATCH('Isaac 401k'!N5392,'Retirement Calculator'!A:A,0),0),0)</f>
        <v>0</v>
      </c>
      <c r="K5392" s="444">
        <f t="shared" ca="1" si="206"/>
        <v>-10182984477978.574</v>
      </c>
      <c r="L5392" s="444">
        <f t="shared" ca="1" si="207"/>
        <v>-2454099259192836.5</v>
      </c>
      <c r="M5392" s="460">
        <f t="shared" si="209"/>
        <v>0.05</v>
      </c>
      <c r="N5392" s="464">
        <f t="shared" si="210"/>
        <v>215162</v>
      </c>
    </row>
    <row r="5393" spans="7:14" ht="11.25" customHeight="1" x14ac:dyDescent="0.25">
      <c r="G5393" s="459"/>
      <c r="H5393" s="459">
        <v>5386</v>
      </c>
      <c r="I5393" s="444">
        <f t="shared" ca="1" si="208"/>
        <v>-2454099259192836.5</v>
      </c>
      <c r="J5393" s="444">
        <f t="array" ref="J5393">IFERROR(INDEX('Retirement Calculator'!J:J,MATCH('Isaac 401k'!N5393,'Retirement Calculator'!A:A,0),0),0)</f>
        <v>0</v>
      </c>
      <c r="K5393" s="444">
        <f t="shared" ca="1" si="206"/>
        <v>-10225413579970.152</v>
      </c>
      <c r="L5393" s="444">
        <f t="shared" ca="1" si="207"/>
        <v>-2464324672772806.5</v>
      </c>
      <c r="M5393" s="460">
        <f t="shared" si="209"/>
        <v>0.05</v>
      </c>
      <c r="N5393" s="464">
        <f t="shared" si="210"/>
        <v>215190</v>
      </c>
    </row>
    <row r="5394" spans="7:14" ht="11.25" customHeight="1" x14ac:dyDescent="0.25">
      <c r="G5394" s="459"/>
      <c r="H5394" s="459">
        <v>5387</v>
      </c>
      <c r="I5394" s="444">
        <f t="shared" ca="1" si="208"/>
        <v>-2464324672772806.5</v>
      </c>
      <c r="J5394" s="444">
        <f t="array" ref="J5394">IFERROR(INDEX('Retirement Calculator'!J:J,MATCH('Isaac 401k'!N5394,'Retirement Calculator'!A:A,0),0),0)</f>
        <v>0</v>
      </c>
      <c r="K5394" s="444">
        <f t="shared" ca="1" si="206"/>
        <v>-10268019469886.693</v>
      </c>
      <c r="L5394" s="444">
        <f t="shared" ca="1" si="207"/>
        <v>-2474592692242693</v>
      </c>
      <c r="M5394" s="460">
        <f t="shared" si="209"/>
        <v>0.05</v>
      </c>
      <c r="N5394" s="464">
        <f t="shared" si="210"/>
        <v>215221</v>
      </c>
    </row>
    <row r="5395" spans="7:14" ht="11.25" customHeight="1" x14ac:dyDescent="0.25">
      <c r="G5395" s="459"/>
      <c r="H5395" s="459">
        <v>5388</v>
      </c>
      <c r="I5395" s="444">
        <f t="shared" ca="1" si="208"/>
        <v>-2474592692242693</v>
      </c>
      <c r="J5395" s="444">
        <f t="array" ref="J5395">IFERROR(INDEX('Retirement Calculator'!J:J,MATCH('Isaac 401k'!N5395,'Retirement Calculator'!A:A,0),0),0)</f>
        <v>0</v>
      </c>
      <c r="K5395" s="444">
        <f t="shared" ca="1" si="206"/>
        <v>-10310802884344.555</v>
      </c>
      <c r="L5395" s="444">
        <f t="shared" ca="1" si="207"/>
        <v>-2484903495127037.5</v>
      </c>
      <c r="M5395" s="460">
        <f t="shared" si="209"/>
        <v>0.05</v>
      </c>
      <c r="N5395" s="464">
        <f t="shared" si="210"/>
        <v>215251</v>
      </c>
    </row>
    <row r="5396" spans="7:14" ht="11.25" customHeight="1" x14ac:dyDescent="0.25">
      <c r="G5396" s="459"/>
      <c r="H5396" s="459">
        <v>5389</v>
      </c>
      <c r="I5396" s="444">
        <f t="shared" ca="1" si="208"/>
        <v>-2484903495127037.5</v>
      </c>
      <c r="J5396" s="444">
        <f t="array" ref="J5396">IFERROR(INDEX('Retirement Calculator'!J:J,MATCH('Isaac 401k'!N5396,'Retirement Calculator'!A:A,0),0),0)</f>
        <v>0</v>
      </c>
      <c r="K5396" s="444">
        <f t="shared" ca="1" si="206"/>
        <v>-10353764563029.322</v>
      </c>
      <c r="L5396" s="444">
        <f t="shared" ca="1" si="207"/>
        <v>-2495257259690067</v>
      </c>
      <c r="M5396" s="460">
        <f t="shared" si="209"/>
        <v>0.05</v>
      </c>
      <c r="N5396" s="464">
        <f t="shared" si="210"/>
        <v>215282</v>
      </c>
    </row>
    <row r="5397" spans="7:14" ht="11.25" customHeight="1" x14ac:dyDescent="0.25">
      <c r="G5397" s="459"/>
      <c r="H5397" s="459">
        <v>5390</v>
      </c>
      <c r="I5397" s="444">
        <f t="shared" ca="1" si="208"/>
        <v>-2495257259690067</v>
      </c>
      <c r="J5397" s="444">
        <f t="array" ref="J5397">IFERROR(INDEX('Retirement Calculator'!J:J,MATCH('Isaac 401k'!N5397,'Retirement Calculator'!A:A,0),0),0)</f>
        <v>0</v>
      </c>
      <c r="K5397" s="444">
        <f t="shared" ca="1" si="206"/>
        <v>-10396905248708.613</v>
      </c>
      <c r="L5397" s="444">
        <f t="shared" ca="1" si="207"/>
        <v>-2505654164938775.5</v>
      </c>
      <c r="M5397" s="460">
        <f t="shared" si="209"/>
        <v>0.05</v>
      </c>
      <c r="N5397" s="464">
        <f t="shared" si="210"/>
        <v>215312</v>
      </c>
    </row>
    <row r="5398" spans="7:14" ht="11.25" customHeight="1" x14ac:dyDescent="0.25">
      <c r="G5398" s="459"/>
      <c r="H5398" s="459">
        <v>5391</v>
      </c>
      <c r="I5398" s="444">
        <f t="shared" ca="1" si="208"/>
        <v>-2505654164938775.5</v>
      </c>
      <c r="J5398" s="444">
        <f t="array" ref="J5398">IFERROR(INDEX('Retirement Calculator'!J:J,MATCH('Isaac 401k'!N5398,'Retirement Calculator'!A:A,0),0),0)</f>
        <v>0</v>
      </c>
      <c r="K5398" s="444">
        <f t="shared" ca="1" si="206"/>
        <v>-10440225687244.898</v>
      </c>
      <c r="L5398" s="444">
        <f t="shared" ca="1" si="207"/>
        <v>-2516094390626020.5</v>
      </c>
      <c r="M5398" s="460">
        <f t="shared" si="209"/>
        <v>0.05</v>
      </c>
      <c r="N5398" s="464">
        <f t="shared" si="210"/>
        <v>215343</v>
      </c>
    </row>
    <row r="5399" spans="7:14" ht="11.25" customHeight="1" x14ac:dyDescent="0.25">
      <c r="G5399" s="459"/>
      <c r="H5399" s="459">
        <v>5392</v>
      </c>
      <c r="I5399" s="444">
        <f t="shared" ca="1" si="208"/>
        <v>-2516094390626020.5</v>
      </c>
      <c r="J5399" s="444">
        <f t="array" ref="J5399">IFERROR(INDEX('Retirement Calculator'!J:J,MATCH('Isaac 401k'!N5399,'Retirement Calculator'!A:A,0),0),0)</f>
        <v>0</v>
      </c>
      <c r="K5399" s="444">
        <f t="shared" ca="1" si="206"/>
        <v>-10483726627608.418</v>
      </c>
      <c r="L5399" s="444">
        <f t="shared" ca="1" si="207"/>
        <v>-2526578117253629</v>
      </c>
      <c r="M5399" s="460">
        <f t="shared" si="209"/>
        <v>0.05</v>
      </c>
      <c r="N5399" s="464">
        <f t="shared" si="210"/>
        <v>215374</v>
      </c>
    </row>
    <row r="5400" spans="7:14" ht="11.25" customHeight="1" x14ac:dyDescent="0.25">
      <c r="G5400" s="459"/>
      <c r="H5400" s="459">
        <v>5393</v>
      </c>
      <c r="I5400" s="444">
        <f t="shared" ca="1" si="208"/>
        <v>-2526578117253629</v>
      </c>
      <c r="J5400" s="444">
        <f t="array" ref="J5400">IFERROR(INDEX('Retirement Calculator'!J:J,MATCH('Isaac 401k'!N5400,'Retirement Calculator'!A:A,0),0),0)</f>
        <v>0</v>
      </c>
      <c r="K5400" s="444">
        <f t="shared" ca="1" si="206"/>
        <v>-10527408821890.121</v>
      </c>
      <c r="L5400" s="444">
        <f t="shared" ca="1" si="207"/>
        <v>-2537105526075519</v>
      </c>
      <c r="M5400" s="460">
        <f t="shared" si="209"/>
        <v>0.05</v>
      </c>
      <c r="N5400" s="464">
        <f t="shared" si="210"/>
        <v>215404</v>
      </c>
    </row>
    <row r="5401" spans="7:14" ht="11.25" customHeight="1" x14ac:dyDescent="0.25">
      <c r="G5401" s="459"/>
      <c r="H5401" s="459">
        <v>5394</v>
      </c>
      <c r="I5401" s="444">
        <f t="shared" ca="1" si="208"/>
        <v>-2537105526075519</v>
      </c>
      <c r="J5401" s="444">
        <f t="array" ref="J5401">IFERROR(INDEX('Retirement Calculator'!J:J,MATCH('Isaac 401k'!N5401,'Retirement Calculator'!A:A,0),0),0)</f>
        <v>0</v>
      </c>
      <c r="K5401" s="444">
        <f t="shared" ca="1" si="206"/>
        <v>-10571273025314.662</v>
      </c>
      <c r="L5401" s="444">
        <f t="shared" ca="1" si="207"/>
        <v>-2547676799100833.5</v>
      </c>
      <c r="M5401" s="460">
        <f t="shared" si="209"/>
        <v>0.05</v>
      </c>
      <c r="N5401" s="464">
        <f t="shared" si="210"/>
        <v>215435</v>
      </c>
    </row>
    <row r="5402" spans="7:14" ht="11.25" customHeight="1" x14ac:dyDescent="0.25">
      <c r="G5402" s="459"/>
      <c r="H5402" s="459">
        <v>5395</v>
      </c>
      <c r="I5402" s="444">
        <f t="shared" ca="1" si="208"/>
        <v>-2547676799100833.5</v>
      </c>
      <c r="J5402" s="444">
        <f t="array" ref="J5402">IFERROR(INDEX('Retirement Calculator'!J:J,MATCH('Isaac 401k'!N5402,'Retirement Calculator'!A:A,0),0),0)</f>
        <v>0</v>
      </c>
      <c r="K5402" s="444">
        <f t="shared" ca="1" si="206"/>
        <v>-10615319996253.473</v>
      </c>
      <c r="L5402" s="444">
        <f t="shared" ca="1" si="207"/>
        <v>-2558292119097087</v>
      </c>
      <c r="M5402" s="460">
        <f t="shared" si="209"/>
        <v>0.05</v>
      </c>
      <c r="N5402" s="464">
        <f t="shared" si="210"/>
        <v>215465</v>
      </c>
    </row>
    <row r="5403" spans="7:14" ht="11.25" customHeight="1" x14ac:dyDescent="0.25">
      <c r="G5403" s="459"/>
      <c r="H5403" s="459">
        <v>5396</v>
      </c>
      <c r="I5403" s="444">
        <f t="shared" ca="1" si="208"/>
        <v>-2558292119097087</v>
      </c>
      <c r="J5403" s="444">
        <f t="array" ref="J5403">IFERROR(INDEX('Retirement Calculator'!J:J,MATCH('Isaac 401k'!N5403,'Retirement Calculator'!A:A,0),0),0)</f>
        <v>0</v>
      </c>
      <c r="K5403" s="444">
        <f t="shared" ca="1" si="206"/>
        <v>-10659550496237.863</v>
      </c>
      <c r="L5403" s="444">
        <f t="shared" ca="1" si="207"/>
        <v>-2568951669593325</v>
      </c>
      <c r="M5403" s="460">
        <f t="shared" si="209"/>
        <v>0.05</v>
      </c>
      <c r="N5403" s="464">
        <f t="shared" si="210"/>
        <v>215496</v>
      </c>
    </row>
    <row r="5404" spans="7:14" ht="11.25" customHeight="1" x14ac:dyDescent="0.25">
      <c r="G5404" s="459"/>
      <c r="H5404" s="459">
        <v>5397</v>
      </c>
      <c r="I5404" s="444">
        <f t="shared" ca="1" si="208"/>
        <v>-2568951669593325</v>
      </c>
      <c r="J5404" s="444">
        <f t="array" ref="J5404">IFERROR(INDEX('Retirement Calculator'!J:J,MATCH('Isaac 401k'!N5404,'Retirement Calculator'!A:A,0),0),0)</f>
        <v>0</v>
      </c>
      <c r="K5404" s="444">
        <f t="shared" ca="1" si="206"/>
        <v>-10703965289972.188</v>
      </c>
      <c r="L5404" s="444">
        <f t="shared" ca="1" si="207"/>
        <v>-2579655634883297</v>
      </c>
      <c r="M5404" s="460">
        <f t="shared" si="209"/>
        <v>0.05</v>
      </c>
      <c r="N5404" s="464">
        <f t="shared" si="210"/>
        <v>215527</v>
      </c>
    </row>
    <row r="5405" spans="7:14" ht="11.25" customHeight="1" x14ac:dyDescent="0.25">
      <c r="G5405" s="459"/>
      <c r="H5405" s="459">
        <v>5398</v>
      </c>
      <c r="I5405" s="444">
        <f t="shared" ca="1" si="208"/>
        <v>-2579655634883297</v>
      </c>
      <c r="J5405" s="444">
        <f t="array" ref="J5405">IFERROR(INDEX('Retirement Calculator'!J:J,MATCH('Isaac 401k'!N5405,'Retirement Calculator'!A:A,0),0),0)</f>
        <v>0</v>
      </c>
      <c r="K5405" s="444">
        <f t="shared" ca="1" si="206"/>
        <v>-10748565145347.07</v>
      </c>
      <c r="L5405" s="444">
        <f t="shared" ca="1" si="207"/>
        <v>-2590404200028644</v>
      </c>
      <c r="M5405" s="460">
        <f t="shared" si="209"/>
        <v>0.05</v>
      </c>
      <c r="N5405" s="464">
        <f t="shared" si="210"/>
        <v>215555</v>
      </c>
    </row>
    <row r="5406" spans="7:14" ht="11.25" customHeight="1" x14ac:dyDescent="0.25">
      <c r="G5406" s="459"/>
      <c r="H5406" s="459">
        <v>5399</v>
      </c>
      <c r="I5406" s="444">
        <f t="shared" ca="1" si="208"/>
        <v>-2590404200028644</v>
      </c>
      <c r="J5406" s="444">
        <f t="array" ref="J5406">IFERROR(INDEX('Retirement Calculator'!J:J,MATCH('Isaac 401k'!N5406,'Retirement Calculator'!A:A,0),0),0)</f>
        <v>0</v>
      </c>
      <c r="K5406" s="444">
        <f t="shared" ca="1" si="206"/>
        <v>-10793350833452.684</v>
      </c>
      <c r="L5406" s="444">
        <f t="shared" ca="1" si="207"/>
        <v>-2601197550862096.5</v>
      </c>
      <c r="M5406" s="460">
        <f t="shared" si="209"/>
        <v>0.05</v>
      </c>
      <c r="N5406" s="464">
        <f t="shared" si="210"/>
        <v>215586</v>
      </c>
    </row>
    <row r="5407" spans="7:14" ht="11.25" customHeight="1" x14ac:dyDescent="0.25">
      <c r="G5407" s="459"/>
      <c r="H5407" s="459">
        <v>5400</v>
      </c>
      <c r="I5407" s="444">
        <f t="shared" ca="1" si="208"/>
        <v>-2601197550862096.5</v>
      </c>
      <c r="J5407" s="444">
        <f t="array" ref="J5407">IFERROR(INDEX('Retirement Calculator'!J:J,MATCH('Isaac 401k'!N5407,'Retirement Calculator'!A:A,0),0),0)</f>
        <v>0</v>
      </c>
      <c r="K5407" s="444">
        <f t="shared" ca="1" si="206"/>
        <v>-10838323128592.068</v>
      </c>
      <c r="L5407" s="444">
        <f t="shared" ca="1" si="207"/>
        <v>-2612035873990688.5</v>
      </c>
      <c r="M5407" s="460">
        <f t="shared" si="209"/>
        <v>0.05</v>
      </c>
      <c r="N5407" s="464">
        <f t="shared" si="210"/>
        <v>215616</v>
      </c>
    </row>
    <row r="5408" spans="7:14" ht="11.25" customHeight="1" x14ac:dyDescent="0.25">
      <c r="G5408" s="459"/>
      <c r="H5408" s="459">
        <v>5401</v>
      </c>
      <c r="I5408" s="444">
        <f t="shared" ca="1" si="208"/>
        <v>-2612035873990688.5</v>
      </c>
      <c r="J5408" s="444">
        <f t="array" ref="J5408">IFERROR(INDEX('Retirement Calculator'!J:J,MATCH('Isaac 401k'!N5408,'Retirement Calculator'!A:A,0),0),0)</f>
        <v>0</v>
      </c>
      <c r="K5408" s="444">
        <f t="shared" ca="1" si="206"/>
        <v>-10883482808294.535</v>
      </c>
      <c r="L5408" s="444">
        <f t="shared" ca="1" si="207"/>
        <v>-2622919356798983</v>
      </c>
      <c r="M5408" s="460">
        <f t="shared" si="209"/>
        <v>0.05</v>
      </c>
      <c r="N5408" s="464">
        <f t="shared" si="210"/>
        <v>215647</v>
      </c>
    </row>
    <row r="5409" spans="7:14" ht="11.25" customHeight="1" x14ac:dyDescent="0.25">
      <c r="G5409" s="459"/>
      <c r="H5409" s="459">
        <v>5402</v>
      </c>
      <c r="I5409" s="444">
        <f t="shared" ca="1" si="208"/>
        <v>-2622919356798983</v>
      </c>
      <c r="J5409" s="444">
        <f t="array" ref="J5409">IFERROR(INDEX('Retirement Calculator'!J:J,MATCH('Isaac 401k'!N5409,'Retirement Calculator'!A:A,0),0),0)</f>
        <v>0</v>
      </c>
      <c r="K5409" s="444">
        <f t="shared" ca="1" si="206"/>
        <v>-10928830653329.096</v>
      </c>
      <c r="L5409" s="444">
        <f t="shared" ca="1" si="207"/>
        <v>-2633848187452312</v>
      </c>
      <c r="M5409" s="460">
        <f t="shared" si="209"/>
        <v>0.05</v>
      </c>
      <c r="N5409" s="464">
        <f t="shared" si="210"/>
        <v>215677</v>
      </c>
    </row>
    <row r="5410" spans="7:14" ht="11.25" customHeight="1" x14ac:dyDescent="0.25">
      <c r="G5410" s="459"/>
      <c r="H5410" s="459">
        <v>5403</v>
      </c>
      <c r="I5410" s="444">
        <f t="shared" ca="1" si="208"/>
        <v>-2633848187452312</v>
      </c>
      <c r="J5410" s="444">
        <f t="array" ref="J5410">IFERROR(INDEX('Retirement Calculator'!J:J,MATCH('Isaac 401k'!N5410,'Retirement Calculator'!A:A,0),0),0)</f>
        <v>0</v>
      </c>
      <c r="K5410" s="444">
        <f t="shared" ca="1" si="206"/>
        <v>-10974367447717.967</v>
      </c>
      <c r="L5410" s="444">
        <f t="shared" ca="1" si="207"/>
        <v>-2644822554900030</v>
      </c>
      <c r="M5410" s="460">
        <f t="shared" si="209"/>
        <v>0.05</v>
      </c>
      <c r="N5410" s="464">
        <f t="shared" si="210"/>
        <v>215708</v>
      </c>
    </row>
    <row r="5411" spans="7:14" ht="11.25" customHeight="1" x14ac:dyDescent="0.25">
      <c r="G5411" s="459"/>
      <c r="H5411" s="459">
        <v>5404</v>
      </c>
      <c r="I5411" s="444">
        <f t="shared" ca="1" si="208"/>
        <v>-2644822554900030</v>
      </c>
      <c r="J5411" s="444">
        <f t="array" ref="J5411">IFERROR(INDEX('Retirement Calculator'!J:J,MATCH('Isaac 401k'!N5411,'Retirement Calculator'!A:A,0),0),0)</f>
        <v>0</v>
      </c>
      <c r="K5411" s="444">
        <f t="shared" ca="1" si="206"/>
        <v>-11020093978750.125</v>
      </c>
      <c r="L5411" s="444">
        <f t="shared" ca="1" si="207"/>
        <v>-2655842648878780</v>
      </c>
      <c r="M5411" s="460">
        <f t="shared" si="209"/>
        <v>0.05</v>
      </c>
      <c r="N5411" s="464">
        <f t="shared" si="210"/>
        <v>215739</v>
      </c>
    </row>
    <row r="5412" spans="7:14" ht="11.25" customHeight="1" x14ac:dyDescent="0.25">
      <c r="G5412" s="459"/>
      <c r="H5412" s="459">
        <v>5405</v>
      </c>
      <c r="I5412" s="444">
        <f t="shared" ca="1" si="208"/>
        <v>-2655842648878780</v>
      </c>
      <c r="J5412" s="444">
        <f t="array" ref="J5412">IFERROR(INDEX('Retirement Calculator'!J:J,MATCH('Isaac 401k'!N5412,'Retirement Calculator'!A:A,0),0),0)</f>
        <v>0</v>
      </c>
      <c r="K5412" s="444">
        <f t="shared" ca="1" si="206"/>
        <v>-11066011036994.916</v>
      </c>
      <c r="L5412" s="444">
        <f t="shared" ca="1" si="207"/>
        <v>-2666908659915775</v>
      </c>
      <c r="M5412" s="460">
        <f t="shared" si="209"/>
        <v>0.05</v>
      </c>
      <c r="N5412" s="464">
        <f t="shared" si="210"/>
        <v>215769</v>
      </c>
    </row>
    <row r="5413" spans="7:14" ht="11.25" customHeight="1" x14ac:dyDescent="0.25">
      <c r="G5413" s="459"/>
      <c r="H5413" s="459">
        <v>5406</v>
      </c>
      <c r="I5413" s="444">
        <f t="shared" ca="1" si="208"/>
        <v>-2666908659915775</v>
      </c>
      <c r="J5413" s="444">
        <f t="array" ref="J5413">IFERROR(INDEX('Retirement Calculator'!J:J,MATCH('Isaac 401k'!N5413,'Retirement Calculator'!A:A,0),0),0)</f>
        <v>0</v>
      </c>
      <c r="K5413" s="444">
        <f t="shared" ca="1" si="206"/>
        <v>-11112119416315.729</v>
      </c>
      <c r="L5413" s="444">
        <f t="shared" ca="1" si="207"/>
        <v>-2678020779332090.5</v>
      </c>
      <c r="M5413" s="460">
        <f t="shared" si="209"/>
        <v>0.05</v>
      </c>
      <c r="N5413" s="464">
        <f t="shared" si="210"/>
        <v>215800</v>
      </c>
    </row>
    <row r="5414" spans="7:14" ht="11.25" customHeight="1" x14ac:dyDescent="0.25">
      <c r="G5414" s="459"/>
      <c r="H5414" s="459">
        <v>5407</v>
      </c>
      <c r="I5414" s="444">
        <f t="shared" ca="1" si="208"/>
        <v>-2678020779332090.5</v>
      </c>
      <c r="J5414" s="444">
        <f t="array" ref="J5414">IFERROR(INDEX('Retirement Calculator'!J:J,MATCH('Isaac 401k'!N5414,'Retirement Calculator'!A:A,0),0),0)</f>
        <v>0</v>
      </c>
      <c r="K5414" s="444">
        <f t="shared" ca="1" si="206"/>
        <v>-11158419913883.711</v>
      </c>
      <c r="L5414" s="444">
        <f t="shared" ca="1" si="207"/>
        <v>-2689179199245974</v>
      </c>
      <c r="M5414" s="460">
        <f t="shared" si="209"/>
        <v>0.05</v>
      </c>
      <c r="N5414" s="464">
        <f t="shared" si="210"/>
        <v>215830</v>
      </c>
    </row>
    <row r="5415" spans="7:14" ht="11.25" customHeight="1" x14ac:dyDescent="0.25">
      <c r="G5415" s="459"/>
      <c r="H5415" s="459">
        <v>5408</v>
      </c>
      <c r="I5415" s="444">
        <f t="shared" ca="1" si="208"/>
        <v>-2689179199245974</v>
      </c>
      <c r="J5415" s="444">
        <f t="array" ref="J5415">IFERROR(INDEX('Retirement Calculator'!J:J,MATCH('Isaac 401k'!N5415,'Retirement Calculator'!A:A,0),0),0)</f>
        <v>0</v>
      </c>
      <c r="K5415" s="444">
        <f t="shared" ca="1" si="206"/>
        <v>-11204913330191.559</v>
      </c>
      <c r="L5415" s="444">
        <f t="shared" ca="1" si="207"/>
        <v>-2700384112576165.5</v>
      </c>
      <c r="M5415" s="460">
        <f t="shared" si="209"/>
        <v>0.05</v>
      </c>
      <c r="N5415" s="464">
        <f t="shared" si="210"/>
        <v>215861</v>
      </c>
    </row>
    <row r="5416" spans="7:14" ht="11.25" customHeight="1" x14ac:dyDescent="0.25">
      <c r="G5416" s="459"/>
      <c r="H5416" s="459">
        <v>5409</v>
      </c>
      <c r="I5416" s="444">
        <f t="shared" ca="1" si="208"/>
        <v>-2700384112576165.5</v>
      </c>
      <c r="J5416" s="444">
        <f t="array" ref="J5416">IFERROR(INDEX('Retirement Calculator'!J:J,MATCH('Isaac 401k'!N5416,'Retirement Calculator'!A:A,0),0),0)</f>
        <v>0</v>
      </c>
      <c r="K5416" s="444">
        <f t="shared" ca="1" si="206"/>
        <v>-11251600469067.355</v>
      </c>
      <c r="L5416" s="444">
        <f t="shared" ca="1" si="207"/>
        <v>-2711635713045233</v>
      </c>
      <c r="M5416" s="460">
        <f t="shared" si="209"/>
        <v>0.05</v>
      </c>
      <c r="N5416" s="464">
        <f t="shared" si="210"/>
        <v>215892</v>
      </c>
    </row>
    <row r="5417" spans="7:14" ht="11.25" customHeight="1" x14ac:dyDescent="0.25">
      <c r="G5417" s="459"/>
      <c r="H5417" s="459">
        <v>5410</v>
      </c>
      <c r="I5417" s="444">
        <f t="shared" ca="1" si="208"/>
        <v>-2711635713045233</v>
      </c>
      <c r="J5417" s="444">
        <f t="array" ref="J5417">IFERROR(INDEX('Retirement Calculator'!J:J,MATCH('Isaac 401k'!N5417,'Retirement Calculator'!A:A,0),0),0)</f>
        <v>0</v>
      </c>
      <c r="K5417" s="444">
        <f t="shared" ca="1" si="206"/>
        <v>-11298482137688.471</v>
      </c>
      <c r="L5417" s="444">
        <f t="shared" ca="1" si="207"/>
        <v>-2722934195182921.5</v>
      </c>
      <c r="M5417" s="460">
        <f t="shared" si="209"/>
        <v>0.05</v>
      </c>
      <c r="N5417" s="464">
        <f t="shared" si="210"/>
        <v>215920</v>
      </c>
    </row>
    <row r="5418" spans="7:14" ht="11.25" customHeight="1" x14ac:dyDescent="0.25">
      <c r="G5418" s="459"/>
      <c r="H5418" s="459">
        <v>5411</v>
      </c>
      <c r="I5418" s="444">
        <f t="shared" ca="1" si="208"/>
        <v>-2722934195182921.5</v>
      </c>
      <c r="J5418" s="444">
        <f t="array" ref="J5418">IFERROR(INDEX('Retirement Calculator'!J:J,MATCH('Isaac 401k'!N5418,'Retirement Calculator'!A:A,0),0),0)</f>
        <v>0</v>
      </c>
      <c r="K5418" s="444">
        <f t="shared" ca="1" si="206"/>
        <v>-11345559146595.506</v>
      </c>
      <c r="L5418" s="444">
        <f t="shared" ca="1" si="207"/>
        <v>-2734279754329517</v>
      </c>
      <c r="M5418" s="460">
        <f t="shared" si="209"/>
        <v>0.05</v>
      </c>
      <c r="N5418" s="464">
        <f t="shared" si="210"/>
        <v>215951</v>
      </c>
    </row>
    <row r="5419" spans="7:14" ht="11.25" customHeight="1" x14ac:dyDescent="0.25">
      <c r="G5419" s="459"/>
      <c r="H5419" s="459">
        <v>5412</v>
      </c>
      <c r="I5419" s="444">
        <f t="shared" ca="1" si="208"/>
        <v>-2734279754329517</v>
      </c>
      <c r="J5419" s="444">
        <f t="array" ref="J5419">IFERROR(INDEX('Retirement Calculator'!J:J,MATCH('Isaac 401k'!N5419,'Retirement Calculator'!A:A,0),0),0)</f>
        <v>0</v>
      </c>
      <c r="K5419" s="444">
        <f t="shared" ca="1" si="206"/>
        <v>-11392832309706.32</v>
      </c>
      <c r="L5419" s="444">
        <f t="shared" ca="1" si="207"/>
        <v>-2745672586639223.5</v>
      </c>
      <c r="M5419" s="460">
        <f t="shared" si="209"/>
        <v>0.05</v>
      </c>
      <c r="N5419" s="464">
        <f t="shared" si="210"/>
        <v>215981</v>
      </c>
    </row>
    <row r="5420" spans="7:14" ht="11.25" customHeight="1" x14ac:dyDescent="0.25">
      <c r="G5420" s="459"/>
      <c r="H5420" s="459">
        <v>5413</v>
      </c>
      <c r="I5420" s="444">
        <f t="shared" ca="1" si="208"/>
        <v>-2745672586639223.5</v>
      </c>
      <c r="J5420" s="444">
        <f t="array" ref="J5420">IFERROR(INDEX('Retirement Calculator'!J:J,MATCH('Isaac 401k'!N5420,'Retirement Calculator'!A:A,0),0),0)</f>
        <v>0</v>
      </c>
      <c r="K5420" s="444">
        <f t="shared" ca="1" si="206"/>
        <v>-11440302444330.098</v>
      </c>
      <c r="L5420" s="444">
        <f t="shared" ca="1" si="207"/>
        <v>-2757112889083553.5</v>
      </c>
      <c r="M5420" s="460">
        <f t="shared" si="209"/>
        <v>0.05</v>
      </c>
      <c r="N5420" s="464">
        <f t="shared" si="210"/>
        <v>216012</v>
      </c>
    </row>
    <row r="5421" spans="7:14" ht="11.25" customHeight="1" x14ac:dyDescent="0.25">
      <c r="G5421" s="459"/>
      <c r="H5421" s="459">
        <v>5414</v>
      </c>
      <c r="I5421" s="444">
        <f t="shared" ca="1" si="208"/>
        <v>-2757112889083553.5</v>
      </c>
      <c r="J5421" s="444">
        <f t="array" ref="J5421">IFERROR(INDEX('Retirement Calculator'!J:J,MATCH('Isaac 401k'!N5421,'Retirement Calculator'!A:A,0),0),0)</f>
        <v>0</v>
      </c>
      <c r="K5421" s="444">
        <f t="shared" ca="1" si="206"/>
        <v>-11487970371181.473</v>
      </c>
      <c r="L5421" s="444">
        <f t="shared" ca="1" si="207"/>
        <v>-2768600859454735</v>
      </c>
      <c r="M5421" s="460">
        <f t="shared" si="209"/>
        <v>0.05</v>
      </c>
      <c r="N5421" s="464">
        <f t="shared" si="210"/>
        <v>216042</v>
      </c>
    </row>
    <row r="5422" spans="7:14" ht="11.25" customHeight="1" x14ac:dyDescent="0.25">
      <c r="G5422" s="459"/>
      <c r="H5422" s="459">
        <v>5415</v>
      </c>
      <c r="I5422" s="444">
        <f t="shared" ca="1" si="208"/>
        <v>-2768600859454735</v>
      </c>
      <c r="J5422" s="444">
        <f t="array" ref="J5422">IFERROR(INDEX('Retirement Calculator'!J:J,MATCH('Isaac 401k'!N5422,'Retirement Calculator'!A:A,0),0),0)</f>
        <v>0</v>
      </c>
      <c r="K5422" s="444">
        <f t="shared" ca="1" si="206"/>
        <v>-11535836914394.729</v>
      </c>
      <c r="L5422" s="444">
        <f t="shared" ca="1" si="207"/>
        <v>-2780136696369129.5</v>
      </c>
      <c r="M5422" s="460">
        <f t="shared" si="209"/>
        <v>0.05</v>
      </c>
      <c r="N5422" s="464">
        <f t="shared" si="210"/>
        <v>216073</v>
      </c>
    </row>
    <row r="5423" spans="7:14" ht="11.25" customHeight="1" x14ac:dyDescent="0.25">
      <c r="G5423" s="459"/>
      <c r="H5423" s="459">
        <v>5416</v>
      </c>
      <c r="I5423" s="444">
        <f t="shared" ca="1" si="208"/>
        <v>-2780136696369129.5</v>
      </c>
      <c r="J5423" s="444">
        <f t="array" ref="J5423">IFERROR(INDEX('Retirement Calculator'!J:J,MATCH('Isaac 401k'!N5423,'Retirement Calculator'!A:A,0),0),0)</f>
        <v>0</v>
      </c>
      <c r="K5423" s="444">
        <f t="shared" ca="1" si="206"/>
        <v>-11583902901538.039</v>
      </c>
      <c r="L5423" s="444">
        <f t="shared" ca="1" si="207"/>
        <v>-2791720599270667.5</v>
      </c>
      <c r="M5423" s="460">
        <f t="shared" si="209"/>
        <v>0.05</v>
      </c>
      <c r="N5423" s="464">
        <f t="shared" si="210"/>
        <v>216104</v>
      </c>
    </row>
    <row r="5424" spans="7:14" ht="11.25" customHeight="1" x14ac:dyDescent="0.25">
      <c r="G5424" s="459"/>
      <c r="H5424" s="459">
        <v>5417</v>
      </c>
      <c r="I5424" s="444">
        <f t="shared" ca="1" si="208"/>
        <v>-2791720599270667.5</v>
      </c>
      <c r="J5424" s="444">
        <f t="array" ref="J5424">IFERROR(INDEX('Retirement Calculator'!J:J,MATCH('Isaac 401k'!N5424,'Retirement Calculator'!A:A,0),0),0)</f>
        <v>0</v>
      </c>
      <c r="K5424" s="444">
        <f t="shared" ca="1" si="206"/>
        <v>-11632169163627.781</v>
      </c>
      <c r="L5424" s="444">
        <f t="shared" ca="1" si="207"/>
        <v>-2803352768434295.5</v>
      </c>
      <c r="M5424" s="460">
        <f t="shared" si="209"/>
        <v>0.05</v>
      </c>
      <c r="N5424" s="464">
        <f t="shared" si="210"/>
        <v>216134</v>
      </c>
    </row>
    <row r="5425" spans="7:14" ht="11.25" customHeight="1" x14ac:dyDescent="0.25">
      <c r="G5425" s="459"/>
      <c r="H5425" s="459">
        <v>5418</v>
      </c>
      <c r="I5425" s="444">
        <f t="shared" ca="1" si="208"/>
        <v>-2803352768434295.5</v>
      </c>
      <c r="J5425" s="444">
        <f t="array" ref="J5425">IFERROR(INDEX('Retirement Calculator'!J:J,MATCH('Isaac 401k'!N5425,'Retirement Calculator'!A:A,0),0),0)</f>
        <v>0</v>
      </c>
      <c r="K5425" s="444">
        <f t="shared" ca="1" si="206"/>
        <v>-11680636535142.898</v>
      </c>
      <c r="L5425" s="444">
        <f t="shared" ca="1" si="207"/>
        <v>-2815033404969438.5</v>
      </c>
      <c r="M5425" s="460">
        <f t="shared" si="209"/>
        <v>0.05</v>
      </c>
      <c r="N5425" s="464">
        <f t="shared" si="210"/>
        <v>216165</v>
      </c>
    </row>
    <row r="5426" spans="7:14" ht="11.25" customHeight="1" x14ac:dyDescent="0.25">
      <c r="G5426" s="459"/>
      <c r="H5426" s="459">
        <v>5419</v>
      </c>
      <c r="I5426" s="444">
        <f t="shared" ca="1" si="208"/>
        <v>-2815033404969438.5</v>
      </c>
      <c r="J5426" s="444">
        <f t="array" ref="J5426">IFERROR(INDEX('Retirement Calculator'!J:J,MATCH('Isaac 401k'!N5426,'Retirement Calculator'!A:A,0),0),0)</f>
        <v>0</v>
      </c>
      <c r="K5426" s="444">
        <f t="shared" ca="1" si="206"/>
        <v>-11729305854039.326</v>
      </c>
      <c r="L5426" s="444">
        <f t="shared" ca="1" si="207"/>
        <v>-2826762710823478</v>
      </c>
      <c r="M5426" s="460">
        <f t="shared" si="209"/>
        <v>0.05</v>
      </c>
      <c r="N5426" s="464">
        <f t="shared" si="210"/>
        <v>216195</v>
      </c>
    </row>
    <row r="5427" spans="7:14" ht="11.25" customHeight="1" x14ac:dyDescent="0.25">
      <c r="G5427" s="459"/>
      <c r="H5427" s="459">
        <v>5420</v>
      </c>
      <c r="I5427" s="444">
        <f t="shared" ca="1" si="208"/>
        <v>-2826762710823478</v>
      </c>
      <c r="J5427" s="444">
        <f t="array" ref="J5427">IFERROR(INDEX('Retirement Calculator'!J:J,MATCH('Isaac 401k'!N5427,'Retirement Calculator'!A:A,0),0),0)</f>
        <v>0</v>
      </c>
      <c r="K5427" s="444">
        <f t="shared" ca="1" si="206"/>
        <v>-11778177961764.492</v>
      </c>
      <c r="L5427" s="444">
        <f t="shared" ca="1" si="207"/>
        <v>-2838540888785242.5</v>
      </c>
      <c r="M5427" s="460">
        <f t="shared" si="209"/>
        <v>0.05</v>
      </c>
      <c r="N5427" s="464">
        <f t="shared" si="210"/>
        <v>216226</v>
      </c>
    </row>
    <row r="5428" spans="7:14" ht="11.25" customHeight="1" x14ac:dyDescent="0.25">
      <c r="G5428" s="459"/>
      <c r="H5428" s="459">
        <v>5421</v>
      </c>
      <c r="I5428" s="444">
        <f t="shared" ca="1" si="208"/>
        <v>-2838540888785242.5</v>
      </c>
      <c r="J5428" s="444">
        <f t="array" ref="J5428">IFERROR(INDEX('Retirement Calculator'!J:J,MATCH('Isaac 401k'!N5428,'Retirement Calculator'!A:A,0),0),0)</f>
        <v>0</v>
      </c>
      <c r="K5428" s="444">
        <f t="shared" ca="1" si="206"/>
        <v>-11827253703271.844</v>
      </c>
      <c r="L5428" s="444">
        <f t="shared" ca="1" si="207"/>
        <v>-2850368142488514.5</v>
      </c>
      <c r="M5428" s="460">
        <f t="shared" si="209"/>
        <v>0.05</v>
      </c>
      <c r="N5428" s="464">
        <f t="shared" si="210"/>
        <v>216257</v>
      </c>
    </row>
    <row r="5429" spans="7:14" ht="11.25" customHeight="1" x14ac:dyDescent="0.25">
      <c r="G5429" s="459"/>
      <c r="H5429" s="459">
        <v>5422</v>
      </c>
      <c r="I5429" s="444">
        <f t="shared" ca="1" si="208"/>
        <v>-2850368142488514.5</v>
      </c>
      <c r="J5429" s="444">
        <f t="array" ref="J5429">IFERROR(INDEX('Retirement Calculator'!J:J,MATCH('Isaac 401k'!N5429,'Retirement Calculator'!A:A,0),0),0)</f>
        <v>0</v>
      </c>
      <c r="K5429" s="444">
        <f t="shared" ca="1" si="206"/>
        <v>-11876533927035.477</v>
      </c>
      <c r="L5429" s="444">
        <f t="shared" ca="1" si="207"/>
        <v>-2862244676415550</v>
      </c>
      <c r="M5429" s="460">
        <f t="shared" si="209"/>
        <v>0.05</v>
      </c>
      <c r="N5429" s="464">
        <f t="shared" si="210"/>
        <v>216286</v>
      </c>
    </row>
    <row r="5430" spans="7:14" ht="11.25" customHeight="1" x14ac:dyDescent="0.25">
      <c r="G5430" s="459"/>
      <c r="H5430" s="459">
        <v>5423</v>
      </c>
      <c r="I5430" s="444">
        <f t="shared" ca="1" si="208"/>
        <v>-2862244676415550</v>
      </c>
      <c r="J5430" s="444">
        <f t="array" ref="J5430">IFERROR(INDEX('Retirement Calculator'!J:J,MATCH('Isaac 401k'!N5430,'Retirement Calculator'!A:A,0),0),0)</f>
        <v>0</v>
      </c>
      <c r="K5430" s="444">
        <f t="shared" ca="1" si="206"/>
        <v>-11926019485064.791</v>
      </c>
      <c r="L5430" s="444">
        <f t="shared" ca="1" si="207"/>
        <v>-2874170695900615</v>
      </c>
      <c r="M5430" s="460">
        <f t="shared" si="209"/>
        <v>0.05</v>
      </c>
      <c r="N5430" s="464">
        <f t="shared" si="210"/>
        <v>216317</v>
      </c>
    </row>
    <row r="5431" spans="7:14" ht="11.25" customHeight="1" x14ac:dyDescent="0.25">
      <c r="G5431" s="459"/>
      <c r="H5431" s="459">
        <v>5424</v>
      </c>
      <c r="I5431" s="444">
        <f t="shared" ca="1" si="208"/>
        <v>-2874170695900615</v>
      </c>
      <c r="J5431" s="444">
        <f t="array" ref="J5431">IFERROR(INDEX('Retirement Calculator'!J:J,MATCH('Isaac 401k'!N5431,'Retirement Calculator'!A:A,0),0),0)</f>
        <v>0</v>
      </c>
      <c r="K5431" s="444">
        <f t="shared" ca="1" si="206"/>
        <v>-11975711232919.229</v>
      </c>
      <c r="L5431" s="444">
        <f t="shared" ca="1" si="207"/>
        <v>-2886146407133534</v>
      </c>
      <c r="M5431" s="460">
        <f t="shared" si="209"/>
        <v>0.05</v>
      </c>
      <c r="N5431" s="464">
        <f t="shared" si="210"/>
        <v>216347</v>
      </c>
    </row>
    <row r="5432" spans="7:14" ht="11.25" customHeight="1" x14ac:dyDescent="0.25">
      <c r="G5432" s="459"/>
      <c r="H5432" s="459">
        <v>5425</v>
      </c>
      <c r="I5432" s="444">
        <f t="shared" ca="1" si="208"/>
        <v>-2886146407133534</v>
      </c>
      <c r="J5432" s="444">
        <f t="array" ref="J5432">IFERROR(INDEX('Retirement Calculator'!J:J,MATCH('Isaac 401k'!N5432,'Retirement Calculator'!A:A,0),0),0)</f>
        <v>0</v>
      </c>
      <c r="K5432" s="444">
        <f t="shared" ca="1" si="206"/>
        <v>-12025610029723.059</v>
      </c>
      <c r="L5432" s="444">
        <f t="shared" ca="1" si="207"/>
        <v>-2898172017163257</v>
      </c>
      <c r="M5432" s="460">
        <f t="shared" si="209"/>
        <v>0.05</v>
      </c>
      <c r="N5432" s="464">
        <f t="shared" si="210"/>
        <v>216378</v>
      </c>
    </row>
    <row r="5433" spans="7:14" ht="11.25" customHeight="1" x14ac:dyDescent="0.25">
      <c r="G5433" s="459"/>
      <c r="H5433" s="459">
        <v>5426</v>
      </c>
      <c r="I5433" s="444">
        <f t="shared" ca="1" si="208"/>
        <v>-2898172017163257</v>
      </c>
      <c r="J5433" s="444">
        <f t="array" ref="J5433">IFERROR(INDEX('Retirement Calculator'!J:J,MATCH('Isaac 401k'!N5433,'Retirement Calculator'!A:A,0),0),0)</f>
        <v>0</v>
      </c>
      <c r="K5433" s="444">
        <f t="shared" ca="1" si="206"/>
        <v>-12075716738180.238</v>
      </c>
      <c r="L5433" s="444">
        <f t="shared" ca="1" si="207"/>
        <v>-2910247733901437</v>
      </c>
      <c r="M5433" s="460">
        <f t="shared" si="209"/>
        <v>0.05</v>
      </c>
      <c r="N5433" s="464">
        <f t="shared" si="210"/>
        <v>216408</v>
      </c>
    </row>
    <row r="5434" spans="7:14" ht="11.25" customHeight="1" x14ac:dyDescent="0.25">
      <c r="G5434" s="459"/>
      <c r="H5434" s="459">
        <v>5427</v>
      </c>
      <c r="I5434" s="444">
        <f t="shared" ca="1" si="208"/>
        <v>-2910247733901437</v>
      </c>
      <c r="J5434" s="444">
        <f t="array" ref="J5434">IFERROR(INDEX('Retirement Calculator'!J:J,MATCH('Isaac 401k'!N5434,'Retirement Calculator'!A:A,0),0),0)</f>
        <v>0</v>
      </c>
      <c r="K5434" s="444">
        <f t="shared" ca="1" si="206"/>
        <v>-12126032224589.32</v>
      </c>
      <c r="L5434" s="444">
        <f t="shared" ca="1" si="207"/>
        <v>-2922373766126026.5</v>
      </c>
      <c r="M5434" s="460">
        <f t="shared" si="209"/>
        <v>0.05</v>
      </c>
      <c r="N5434" s="464">
        <f t="shared" si="210"/>
        <v>216439</v>
      </c>
    </row>
    <row r="5435" spans="7:14" ht="11.25" customHeight="1" x14ac:dyDescent="0.25">
      <c r="G5435" s="459"/>
      <c r="H5435" s="459">
        <v>5428</v>
      </c>
      <c r="I5435" s="444">
        <f t="shared" ca="1" si="208"/>
        <v>-2922373766126026.5</v>
      </c>
      <c r="J5435" s="444">
        <f t="array" ref="J5435">IFERROR(INDEX('Retirement Calculator'!J:J,MATCH('Isaac 401k'!N5435,'Retirement Calculator'!A:A,0),0),0)</f>
        <v>0</v>
      </c>
      <c r="K5435" s="444">
        <f t="shared" ca="1" si="206"/>
        <v>-12176557358858.443</v>
      </c>
      <c r="L5435" s="444">
        <f t="shared" ca="1" si="207"/>
        <v>-2934550323484885</v>
      </c>
      <c r="M5435" s="460">
        <f t="shared" si="209"/>
        <v>0.05</v>
      </c>
      <c r="N5435" s="464">
        <f t="shared" si="210"/>
        <v>216470</v>
      </c>
    </row>
    <row r="5436" spans="7:14" ht="11.25" customHeight="1" x14ac:dyDescent="0.25">
      <c r="G5436" s="459"/>
      <c r="H5436" s="459">
        <v>5429</v>
      </c>
      <c r="I5436" s="444">
        <f t="shared" ca="1" si="208"/>
        <v>-2934550323484885</v>
      </c>
      <c r="J5436" s="444">
        <f t="array" ref="J5436">IFERROR(INDEX('Retirement Calculator'!J:J,MATCH('Isaac 401k'!N5436,'Retirement Calculator'!A:A,0),0),0)</f>
        <v>0</v>
      </c>
      <c r="K5436" s="444">
        <f t="shared" ca="1" si="206"/>
        <v>-12227293014520.354</v>
      </c>
      <c r="L5436" s="444">
        <f t="shared" ca="1" si="207"/>
        <v>-2946777616499405.5</v>
      </c>
      <c r="M5436" s="460">
        <f t="shared" si="209"/>
        <v>0.05</v>
      </c>
      <c r="N5436" s="464">
        <f t="shared" si="210"/>
        <v>216500</v>
      </c>
    </row>
    <row r="5437" spans="7:14" ht="11.25" customHeight="1" x14ac:dyDescent="0.25">
      <c r="G5437" s="459"/>
      <c r="H5437" s="459">
        <v>5430</v>
      </c>
      <c r="I5437" s="444">
        <f t="shared" ca="1" si="208"/>
        <v>-2946777616499405.5</v>
      </c>
      <c r="J5437" s="444">
        <f t="array" ref="J5437">IFERROR(INDEX('Retirement Calculator'!J:J,MATCH('Isaac 401k'!N5437,'Retirement Calculator'!A:A,0),0),0)</f>
        <v>0</v>
      </c>
      <c r="K5437" s="444">
        <f t="shared" ca="1" si="206"/>
        <v>-12278240068747.523</v>
      </c>
      <c r="L5437" s="444">
        <f t="shared" ca="1" si="207"/>
        <v>-2959055856568153</v>
      </c>
      <c r="M5437" s="460">
        <f t="shared" si="209"/>
        <v>0.05</v>
      </c>
      <c r="N5437" s="464">
        <f t="shared" si="210"/>
        <v>216531</v>
      </c>
    </row>
    <row r="5438" spans="7:14" ht="11.25" customHeight="1" x14ac:dyDescent="0.25">
      <c r="G5438" s="459"/>
      <c r="H5438" s="459">
        <v>5431</v>
      </c>
      <c r="I5438" s="444">
        <f t="shared" ca="1" si="208"/>
        <v>-2959055856568153</v>
      </c>
      <c r="J5438" s="444">
        <f t="array" ref="J5438">IFERROR(INDEX('Retirement Calculator'!J:J,MATCH('Isaac 401k'!N5438,'Retirement Calculator'!A:A,0),0),0)</f>
        <v>0</v>
      </c>
      <c r="K5438" s="444">
        <f t="shared" ca="1" si="206"/>
        <v>-12329399402367.305</v>
      </c>
      <c r="L5438" s="444">
        <f t="shared" ca="1" si="207"/>
        <v>-2971385255970520.5</v>
      </c>
      <c r="M5438" s="460">
        <f t="shared" si="209"/>
        <v>0.05</v>
      </c>
      <c r="N5438" s="464">
        <f t="shared" si="210"/>
        <v>216561</v>
      </c>
    </row>
    <row r="5439" spans="7:14" ht="11.25" customHeight="1" x14ac:dyDescent="0.25">
      <c r="G5439" s="459"/>
      <c r="H5439" s="459">
        <v>5432</v>
      </c>
      <c r="I5439" s="444">
        <f t="shared" ca="1" si="208"/>
        <v>-2971385255970520.5</v>
      </c>
      <c r="J5439" s="444">
        <f t="array" ref="J5439">IFERROR(INDEX('Retirement Calculator'!J:J,MATCH('Isaac 401k'!N5439,'Retirement Calculator'!A:A,0),0),0)</f>
        <v>0</v>
      </c>
      <c r="K5439" s="444">
        <f t="shared" ca="1" si="206"/>
        <v>-12380771899877.168</v>
      </c>
      <c r="L5439" s="444">
        <f t="shared" ca="1" si="207"/>
        <v>-2983766027870397.5</v>
      </c>
      <c r="M5439" s="460">
        <f t="shared" si="209"/>
        <v>0.05</v>
      </c>
      <c r="N5439" s="464">
        <f t="shared" si="210"/>
        <v>216592</v>
      </c>
    </row>
    <row r="5440" spans="7:14" ht="11.25" customHeight="1" x14ac:dyDescent="0.25">
      <c r="G5440" s="459"/>
      <c r="H5440" s="459">
        <v>5433</v>
      </c>
      <c r="I5440" s="444">
        <f t="shared" ca="1" si="208"/>
        <v>-2983766027870397.5</v>
      </c>
      <c r="J5440" s="444">
        <f t="array" ref="J5440">IFERROR(INDEX('Retirement Calculator'!J:J,MATCH('Isaac 401k'!N5440,'Retirement Calculator'!A:A,0),0),0)</f>
        <v>0</v>
      </c>
      <c r="K5440" s="444">
        <f t="shared" ca="1" si="206"/>
        <v>-12432358449459.99</v>
      </c>
      <c r="L5440" s="444">
        <f t="shared" ca="1" si="207"/>
        <v>-2996198386319857.5</v>
      </c>
      <c r="M5440" s="460">
        <f t="shared" si="209"/>
        <v>0.05</v>
      </c>
      <c r="N5440" s="464">
        <f t="shared" si="210"/>
        <v>216623</v>
      </c>
    </row>
    <row r="5441" spans="7:14" ht="11.25" customHeight="1" x14ac:dyDescent="0.25">
      <c r="G5441" s="459"/>
      <c r="H5441" s="459">
        <v>5434</v>
      </c>
      <c r="I5441" s="444">
        <f t="shared" ca="1" si="208"/>
        <v>-2996198386319857.5</v>
      </c>
      <c r="J5441" s="444">
        <f t="array" ref="J5441">IFERROR(INDEX('Retirement Calculator'!J:J,MATCH('Isaac 401k'!N5441,'Retirement Calculator'!A:A,0),0),0)</f>
        <v>0</v>
      </c>
      <c r="K5441" s="444">
        <f t="shared" ca="1" si="206"/>
        <v>-12484159942999.406</v>
      </c>
      <c r="L5441" s="444">
        <f t="shared" ca="1" si="207"/>
        <v>-3008682546262857</v>
      </c>
      <c r="M5441" s="460">
        <f t="shared" si="209"/>
        <v>0.05</v>
      </c>
      <c r="N5441" s="464">
        <f t="shared" si="210"/>
        <v>216651</v>
      </c>
    </row>
    <row r="5442" spans="7:14" ht="11.25" customHeight="1" x14ac:dyDescent="0.25">
      <c r="G5442" s="459"/>
      <c r="H5442" s="459">
        <v>5435</v>
      </c>
      <c r="I5442" s="444">
        <f t="shared" ca="1" si="208"/>
        <v>-3008682546262857</v>
      </c>
      <c r="J5442" s="444">
        <f t="array" ref="J5442">IFERROR(INDEX('Retirement Calculator'!J:J,MATCH('Isaac 401k'!N5442,'Retirement Calculator'!A:A,0),0),0)</f>
        <v>0</v>
      </c>
      <c r="K5442" s="444">
        <f t="shared" ca="1" si="206"/>
        <v>-12536177276095.238</v>
      </c>
      <c r="L5442" s="444">
        <f t="shared" ca="1" si="207"/>
        <v>-3021218723538952</v>
      </c>
      <c r="M5442" s="460">
        <f t="shared" si="209"/>
        <v>0.05</v>
      </c>
      <c r="N5442" s="464">
        <f t="shared" si="210"/>
        <v>216682</v>
      </c>
    </row>
    <row r="5443" spans="7:14" ht="11.25" customHeight="1" x14ac:dyDescent="0.25">
      <c r="G5443" s="459"/>
      <c r="H5443" s="459">
        <v>5436</v>
      </c>
      <c r="I5443" s="444">
        <f t="shared" ca="1" si="208"/>
        <v>-3021218723538952</v>
      </c>
      <c r="J5443" s="444">
        <f t="array" ref="J5443">IFERROR(INDEX('Retirement Calculator'!J:J,MATCH('Isaac 401k'!N5443,'Retirement Calculator'!A:A,0),0),0)</f>
        <v>0</v>
      </c>
      <c r="K5443" s="444">
        <f t="shared" ca="1" si="206"/>
        <v>-12588411348078.967</v>
      </c>
      <c r="L5443" s="444">
        <f t="shared" ca="1" si="207"/>
        <v>-3033807134887031</v>
      </c>
      <c r="M5443" s="460">
        <f t="shared" si="209"/>
        <v>0.05</v>
      </c>
      <c r="N5443" s="464">
        <f t="shared" si="210"/>
        <v>216712</v>
      </c>
    </row>
    <row r="5444" spans="7:14" ht="11.25" customHeight="1" x14ac:dyDescent="0.25">
      <c r="G5444" s="459"/>
      <c r="H5444" s="459">
        <v>5437</v>
      </c>
      <c r="I5444" s="444">
        <f t="shared" ca="1" si="208"/>
        <v>-3033807134887031</v>
      </c>
      <c r="J5444" s="444">
        <f t="array" ref="J5444">IFERROR(INDEX('Retirement Calculator'!J:J,MATCH('Isaac 401k'!N5444,'Retirement Calculator'!A:A,0),0),0)</f>
        <v>0</v>
      </c>
      <c r="K5444" s="444">
        <f t="shared" ca="1" si="206"/>
        <v>-12640863062029.295</v>
      </c>
      <c r="L5444" s="444">
        <f t="shared" ca="1" si="207"/>
        <v>-3046447997949060.5</v>
      </c>
      <c r="M5444" s="460">
        <f t="shared" si="209"/>
        <v>0.05</v>
      </c>
      <c r="N5444" s="464">
        <f t="shared" si="210"/>
        <v>216743</v>
      </c>
    </row>
    <row r="5445" spans="7:14" ht="11.25" customHeight="1" x14ac:dyDescent="0.25">
      <c r="G5445" s="459"/>
      <c r="H5445" s="459">
        <v>5438</v>
      </c>
      <c r="I5445" s="444">
        <f t="shared" ca="1" si="208"/>
        <v>-3046447997949060.5</v>
      </c>
      <c r="J5445" s="444">
        <f t="array" ref="J5445">IFERROR(INDEX('Retirement Calculator'!J:J,MATCH('Isaac 401k'!N5445,'Retirement Calculator'!A:A,0),0),0)</f>
        <v>0</v>
      </c>
      <c r="K5445" s="444">
        <f t="shared" ca="1" si="206"/>
        <v>-12693533324787.752</v>
      </c>
      <c r="L5445" s="444">
        <f t="shared" ca="1" si="207"/>
        <v>-3059141531273848.5</v>
      </c>
      <c r="M5445" s="460">
        <f t="shared" si="209"/>
        <v>0.05</v>
      </c>
      <c r="N5445" s="464">
        <f t="shared" si="210"/>
        <v>216773</v>
      </c>
    </row>
    <row r="5446" spans="7:14" ht="11.25" customHeight="1" x14ac:dyDescent="0.25">
      <c r="G5446" s="459"/>
      <c r="H5446" s="459">
        <v>5439</v>
      </c>
      <c r="I5446" s="444">
        <f t="shared" ca="1" si="208"/>
        <v>-3059141531273848.5</v>
      </c>
      <c r="J5446" s="444">
        <f t="array" ref="J5446">IFERROR(INDEX('Retirement Calculator'!J:J,MATCH('Isaac 401k'!N5446,'Retirement Calculator'!A:A,0),0),0)</f>
        <v>0</v>
      </c>
      <c r="K5446" s="444">
        <f t="shared" ca="1" si="206"/>
        <v>-12746423046974.369</v>
      </c>
      <c r="L5446" s="444">
        <f t="shared" ca="1" si="207"/>
        <v>-3071887954320823</v>
      </c>
      <c r="M5446" s="460">
        <f t="shared" si="209"/>
        <v>0.05</v>
      </c>
      <c r="N5446" s="464">
        <f t="shared" si="210"/>
        <v>216804</v>
      </c>
    </row>
    <row r="5447" spans="7:14" ht="11.25" customHeight="1" x14ac:dyDescent="0.25">
      <c r="G5447" s="459"/>
      <c r="H5447" s="459">
        <v>5440</v>
      </c>
      <c r="I5447" s="444">
        <f t="shared" ca="1" si="208"/>
        <v>-3071887954320823</v>
      </c>
      <c r="J5447" s="444">
        <f t="array" ref="J5447">IFERROR(INDEX('Retirement Calculator'!J:J,MATCH('Isaac 401k'!N5447,'Retirement Calculator'!A:A,0),0),0)</f>
        <v>0</v>
      </c>
      <c r="K5447" s="444">
        <f t="shared" ca="1" si="206"/>
        <v>-12799533143003.43</v>
      </c>
      <c r="L5447" s="444">
        <f t="shared" ca="1" si="207"/>
        <v>-3084687487463826.5</v>
      </c>
      <c r="M5447" s="460">
        <f t="shared" si="209"/>
        <v>0.05</v>
      </c>
      <c r="N5447" s="464">
        <f t="shared" si="210"/>
        <v>216835</v>
      </c>
    </row>
    <row r="5448" spans="7:14" ht="11.25" customHeight="1" x14ac:dyDescent="0.25">
      <c r="G5448" s="459"/>
      <c r="H5448" s="459">
        <v>5441</v>
      </c>
      <c r="I5448" s="444">
        <f t="shared" ca="1" si="208"/>
        <v>-3084687487463826.5</v>
      </c>
      <c r="J5448" s="444">
        <f t="array" ref="J5448">IFERROR(INDEX('Retirement Calculator'!J:J,MATCH('Isaac 401k'!N5448,'Retirement Calculator'!A:A,0),0),0)</f>
        <v>0</v>
      </c>
      <c r="K5448" s="444">
        <f t="shared" ca="1" si="206"/>
        <v>-12852864531099.277</v>
      </c>
      <c r="L5448" s="444">
        <f t="shared" ca="1" si="207"/>
        <v>-3097540351994926</v>
      </c>
      <c r="M5448" s="460">
        <f t="shared" si="209"/>
        <v>0.05</v>
      </c>
      <c r="N5448" s="464">
        <f t="shared" si="210"/>
        <v>216865</v>
      </c>
    </row>
    <row r="5449" spans="7:14" ht="11.25" customHeight="1" x14ac:dyDescent="0.25">
      <c r="G5449" s="459"/>
      <c r="H5449" s="459">
        <v>5442</v>
      </c>
      <c r="I5449" s="444">
        <f t="shared" ca="1" si="208"/>
        <v>-3097540351994926</v>
      </c>
      <c r="J5449" s="444">
        <f t="array" ref="J5449">IFERROR(INDEX('Retirement Calculator'!J:J,MATCH('Isaac 401k'!N5449,'Retirement Calculator'!A:A,0),0),0)</f>
        <v>0</v>
      </c>
      <c r="K5449" s="444">
        <f t="shared" ca="1" si="206"/>
        <v>-12906418133312.191</v>
      </c>
      <c r="L5449" s="444">
        <f t="shared" ca="1" si="207"/>
        <v>-3110446770128238</v>
      </c>
      <c r="M5449" s="460">
        <f t="shared" si="209"/>
        <v>0.05</v>
      </c>
      <c r="N5449" s="464">
        <f t="shared" si="210"/>
        <v>216896</v>
      </c>
    </row>
    <row r="5450" spans="7:14" ht="11.25" customHeight="1" x14ac:dyDescent="0.25">
      <c r="G5450" s="459"/>
      <c r="H5450" s="459">
        <v>5443</v>
      </c>
      <c r="I5450" s="444">
        <f t="shared" ca="1" si="208"/>
        <v>-3110446770128238</v>
      </c>
      <c r="J5450" s="444">
        <f t="array" ref="J5450">IFERROR(INDEX('Retirement Calculator'!J:J,MATCH('Isaac 401k'!N5450,'Retirement Calculator'!A:A,0),0),0)</f>
        <v>0</v>
      </c>
      <c r="K5450" s="444">
        <f t="shared" ca="1" si="206"/>
        <v>-12960194875534.324</v>
      </c>
      <c r="L5450" s="444">
        <f t="shared" ca="1" si="207"/>
        <v>-3123406965003772.5</v>
      </c>
      <c r="M5450" s="460">
        <f t="shared" si="209"/>
        <v>0.05</v>
      </c>
      <c r="N5450" s="464">
        <f t="shared" si="210"/>
        <v>216926</v>
      </c>
    </row>
    <row r="5451" spans="7:14" ht="11.25" customHeight="1" x14ac:dyDescent="0.25">
      <c r="G5451" s="459"/>
      <c r="H5451" s="459">
        <v>5444</v>
      </c>
      <c r="I5451" s="444">
        <f t="shared" ca="1" si="208"/>
        <v>-3123406965003772.5</v>
      </c>
      <c r="J5451" s="444">
        <f t="array" ref="J5451">IFERROR(INDEX('Retirement Calculator'!J:J,MATCH('Isaac 401k'!N5451,'Retirement Calculator'!A:A,0),0),0)</f>
        <v>0</v>
      </c>
      <c r="K5451" s="444">
        <f t="shared" ca="1" si="206"/>
        <v>-13014195687515.719</v>
      </c>
      <c r="L5451" s="444">
        <f t="shared" ca="1" si="207"/>
        <v>-3136421160691288</v>
      </c>
      <c r="M5451" s="460">
        <f t="shared" si="209"/>
        <v>0.05</v>
      </c>
      <c r="N5451" s="464">
        <f t="shared" si="210"/>
        <v>216957</v>
      </c>
    </row>
    <row r="5452" spans="7:14" ht="11.25" customHeight="1" x14ac:dyDescent="0.25">
      <c r="G5452" s="459"/>
      <c r="H5452" s="459">
        <v>5445</v>
      </c>
      <c r="I5452" s="444">
        <f t="shared" ca="1" si="208"/>
        <v>-3136421160691288</v>
      </c>
      <c r="J5452" s="444">
        <f t="array" ref="J5452">IFERROR(INDEX('Retirement Calculator'!J:J,MATCH('Isaac 401k'!N5452,'Retirement Calculator'!A:A,0),0),0)</f>
        <v>0</v>
      </c>
      <c r="K5452" s="444">
        <f t="shared" ca="1" si="206"/>
        <v>-13068421502880.367</v>
      </c>
      <c r="L5452" s="444">
        <f t="shared" ca="1" si="207"/>
        <v>-3149489582194168.5</v>
      </c>
      <c r="M5452" s="460">
        <f t="shared" si="209"/>
        <v>0.05</v>
      </c>
      <c r="N5452" s="464">
        <f t="shared" si="210"/>
        <v>216988</v>
      </c>
    </row>
    <row r="5453" spans="7:14" ht="11.25" customHeight="1" x14ac:dyDescent="0.25">
      <c r="G5453" s="459"/>
      <c r="H5453" s="459">
        <v>5446</v>
      </c>
      <c r="I5453" s="444">
        <f t="shared" ca="1" si="208"/>
        <v>-3149489582194168.5</v>
      </c>
      <c r="J5453" s="444">
        <f t="array" ref="J5453">IFERROR(INDEX('Retirement Calculator'!J:J,MATCH('Isaac 401k'!N5453,'Retirement Calculator'!A:A,0),0),0)</f>
        <v>0</v>
      </c>
      <c r="K5453" s="444">
        <f t="shared" ca="1" si="206"/>
        <v>-13122873259142.369</v>
      </c>
      <c r="L5453" s="444">
        <f t="shared" ca="1" si="207"/>
        <v>-3162612455453311</v>
      </c>
      <c r="M5453" s="460">
        <f t="shared" si="209"/>
        <v>0.05</v>
      </c>
      <c r="N5453" s="464">
        <f t="shared" si="210"/>
        <v>217016</v>
      </c>
    </row>
    <row r="5454" spans="7:14" ht="11.25" customHeight="1" x14ac:dyDescent="0.25">
      <c r="G5454" s="459"/>
      <c r="H5454" s="459">
        <v>5447</v>
      </c>
      <c r="I5454" s="444">
        <f t="shared" ca="1" si="208"/>
        <v>-3162612455453311</v>
      </c>
      <c r="J5454" s="444">
        <f t="array" ref="J5454">IFERROR(INDEX('Retirement Calculator'!J:J,MATCH('Isaac 401k'!N5454,'Retirement Calculator'!A:A,0),0),0)</f>
        <v>0</v>
      </c>
      <c r="K5454" s="444">
        <f t="shared" ca="1" si="206"/>
        <v>-13177551897722.129</v>
      </c>
      <c r="L5454" s="444">
        <f t="shared" ca="1" si="207"/>
        <v>-3175790007351033</v>
      </c>
      <c r="M5454" s="460">
        <f t="shared" si="209"/>
        <v>0.05</v>
      </c>
      <c r="N5454" s="464">
        <f t="shared" si="210"/>
        <v>217047</v>
      </c>
    </row>
    <row r="5455" spans="7:14" ht="11.25" customHeight="1" x14ac:dyDescent="0.25">
      <c r="G5455" s="459"/>
      <c r="H5455" s="459">
        <v>5448</v>
      </c>
      <c r="I5455" s="444">
        <f t="shared" ca="1" si="208"/>
        <v>-3175790007351033</v>
      </c>
      <c r="J5455" s="444">
        <f t="array" ref="J5455">IFERROR(INDEX('Retirement Calculator'!J:J,MATCH('Isaac 401k'!N5455,'Retirement Calculator'!A:A,0),0),0)</f>
        <v>0</v>
      </c>
      <c r="K5455" s="444">
        <f t="shared" ca="1" si="206"/>
        <v>-13232458363962.637</v>
      </c>
      <c r="L5455" s="444">
        <f t="shared" ca="1" si="207"/>
        <v>-3189022465714995.5</v>
      </c>
      <c r="M5455" s="460">
        <f t="shared" si="209"/>
        <v>0.05</v>
      </c>
      <c r="N5455" s="464">
        <f t="shared" si="210"/>
        <v>217077</v>
      </c>
    </row>
    <row r="5456" spans="7:14" ht="11.25" customHeight="1" x14ac:dyDescent="0.25">
      <c r="G5456" s="459"/>
      <c r="H5456" s="459">
        <v>5449</v>
      </c>
      <c r="I5456" s="444">
        <f t="shared" ca="1" si="208"/>
        <v>-3189022465714995.5</v>
      </c>
      <c r="J5456" s="444">
        <f t="array" ref="J5456">IFERROR(INDEX('Retirement Calculator'!J:J,MATCH('Isaac 401k'!N5456,'Retirement Calculator'!A:A,0),0),0)</f>
        <v>0</v>
      </c>
      <c r="K5456" s="444">
        <f t="shared" ca="1" si="206"/>
        <v>-13287593607145.814</v>
      </c>
      <c r="L5456" s="444">
        <f t="shared" ca="1" si="207"/>
        <v>-3202310059322141.5</v>
      </c>
      <c r="M5456" s="460">
        <f t="shared" si="209"/>
        <v>0.05</v>
      </c>
      <c r="N5456" s="464">
        <f t="shared" si="210"/>
        <v>217108</v>
      </c>
    </row>
    <row r="5457" spans="7:14" ht="11.25" customHeight="1" x14ac:dyDescent="0.25">
      <c r="G5457" s="459"/>
      <c r="H5457" s="459">
        <v>5450</v>
      </c>
      <c r="I5457" s="444">
        <f t="shared" ca="1" si="208"/>
        <v>-3202310059322141.5</v>
      </c>
      <c r="J5457" s="444">
        <f t="array" ref="J5457">IFERROR(INDEX('Retirement Calculator'!J:J,MATCH('Isaac 401k'!N5457,'Retirement Calculator'!A:A,0),0),0)</f>
        <v>0</v>
      </c>
      <c r="K5457" s="444">
        <f t="shared" ca="1" si="206"/>
        <v>-13342958580508.922</v>
      </c>
      <c r="L5457" s="444">
        <f t="shared" ca="1" si="207"/>
        <v>-3215653017902650.5</v>
      </c>
      <c r="M5457" s="460">
        <f t="shared" si="209"/>
        <v>0.05</v>
      </c>
      <c r="N5457" s="464">
        <f t="shared" si="210"/>
        <v>217138</v>
      </c>
    </row>
    <row r="5458" spans="7:14" ht="11.25" customHeight="1" x14ac:dyDescent="0.25">
      <c r="G5458" s="459"/>
      <c r="H5458" s="459">
        <v>5451</v>
      </c>
      <c r="I5458" s="444">
        <f t="shared" ca="1" si="208"/>
        <v>-3215653017902650.5</v>
      </c>
      <c r="J5458" s="444">
        <f t="array" ref="J5458">IFERROR(INDEX('Retirement Calculator'!J:J,MATCH('Isaac 401k'!N5458,'Retirement Calculator'!A:A,0),0),0)</f>
        <v>0</v>
      </c>
      <c r="K5458" s="444">
        <f t="shared" ca="1" si="206"/>
        <v>-13398554241261.043</v>
      </c>
      <c r="L5458" s="444">
        <f t="shared" ca="1" si="207"/>
        <v>-3229051572143911.5</v>
      </c>
      <c r="M5458" s="460">
        <f t="shared" si="209"/>
        <v>0.05</v>
      </c>
      <c r="N5458" s="464">
        <f t="shared" si="210"/>
        <v>217169</v>
      </c>
    </row>
    <row r="5459" spans="7:14" ht="11.25" customHeight="1" x14ac:dyDescent="0.25">
      <c r="G5459" s="459"/>
      <c r="H5459" s="459">
        <v>5452</v>
      </c>
      <c r="I5459" s="444">
        <f t="shared" ca="1" si="208"/>
        <v>-3229051572143911.5</v>
      </c>
      <c r="J5459" s="444">
        <f t="array" ref="J5459">IFERROR(INDEX('Retirement Calculator'!J:J,MATCH('Isaac 401k'!N5459,'Retirement Calculator'!A:A,0),0),0)</f>
        <v>0</v>
      </c>
      <c r="K5459" s="444">
        <f t="shared" ca="1" si="206"/>
        <v>-13454381550599.631</v>
      </c>
      <c r="L5459" s="444">
        <f t="shared" ca="1" si="207"/>
        <v>-3242505953694511</v>
      </c>
      <c r="M5459" s="460">
        <f t="shared" si="209"/>
        <v>0.05</v>
      </c>
      <c r="N5459" s="464">
        <f t="shared" si="210"/>
        <v>217200</v>
      </c>
    </row>
    <row r="5460" spans="7:14" ht="11.25" customHeight="1" x14ac:dyDescent="0.25">
      <c r="G5460" s="459"/>
      <c r="H5460" s="459">
        <v>5453</v>
      </c>
      <c r="I5460" s="444">
        <f t="shared" ca="1" si="208"/>
        <v>-3242505953694511</v>
      </c>
      <c r="J5460" s="444">
        <f t="array" ref="J5460">IFERROR(INDEX('Retirement Calculator'!J:J,MATCH('Isaac 401k'!N5460,'Retirement Calculator'!A:A,0),0),0)</f>
        <v>0</v>
      </c>
      <c r="K5460" s="444">
        <f t="shared" ca="1" si="206"/>
        <v>-13510441473727.129</v>
      </c>
      <c r="L5460" s="444">
        <f t="shared" ca="1" si="207"/>
        <v>-3256016395168238</v>
      </c>
      <c r="M5460" s="460">
        <f t="shared" si="209"/>
        <v>0.05</v>
      </c>
      <c r="N5460" s="464">
        <f t="shared" si="210"/>
        <v>217230</v>
      </c>
    </row>
    <row r="5461" spans="7:14" ht="11.25" customHeight="1" x14ac:dyDescent="0.25">
      <c r="G5461" s="459"/>
      <c r="H5461" s="459">
        <v>5454</v>
      </c>
      <c r="I5461" s="444">
        <f t="shared" ca="1" si="208"/>
        <v>-3256016395168238</v>
      </c>
      <c r="J5461" s="444">
        <f t="array" ref="J5461">IFERROR(INDEX('Retirement Calculator'!J:J,MATCH('Isaac 401k'!N5461,'Retirement Calculator'!A:A,0),0),0)</f>
        <v>0</v>
      </c>
      <c r="K5461" s="444">
        <f t="shared" ca="1" si="206"/>
        <v>-13566734979867.658</v>
      </c>
      <c r="L5461" s="444">
        <f t="shared" ca="1" si="207"/>
        <v>-3269583130148105.5</v>
      </c>
      <c r="M5461" s="460">
        <f t="shared" si="209"/>
        <v>0.05</v>
      </c>
      <c r="N5461" s="464">
        <f t="shared" si="210"/>
        <v>217261</v>
      </c>
    </row>
    <row r="5462" spans="7:14" ht="11.25" customHeight="1" x14ac:dyDescent="0.25">
      <c r="G5462" s="459"/>
      <c r="H5462" s="459">
        <v>5455</v>
      </c>
      <c r="I5462" s="444">
        <f t="shared" ca="1" si="208"/>
        <v>-3269583130148105.5</v>
      </c>
      <c r="J5462" s="444">
        <f t="array" ref="J5462">IFERROR(INDEX('Retirement Calculator'!J:J,MATCH('Isaac 401k'!N5462,'Retirement Calculator'!A:A,0),0),0)</f>
        <v>0</v>
      </c>
      <c r="K5462" s="444">
        <f t="shared" ca="1" si="206"/>
        <v>-13623263042283.773</v>
      </c>
      <c r="L5462" s="444">
        <f t="shared" ca="1" si="207"/>
        <v>-3283206393190389.5</v>
      </c>
      <c r="M5462" s="460">
        <f t="shared" si="209"/>
        <v>0.05</v>
      </c>
      <c r="N5462" s="464">
        <f t="shared" si="210"/>
        <v>217291</v>
      </c>
    </row>
    <row r="5463" spans="7:14" ht="11.25" customHeight="1" x14ac:dyDescent="0.25">
      <c r="G5463" s="459"/>
      <c r="H5463" s="459">
        <v>5456</v>
      </c>
      <c r="I5463" s="444">
        <f t="shared" ca="1" si="208"/>
        <v>-3283206393190389.5</v>
      </c>
      <c r="J5463" s="444">
        <f t="array" ref="J5463">IFERROR(INDEX('Retirement Calculator'!J:J,MATCH('Isaac 401k'!N5463,'Retirement Calculator'!A:A,0),0),0)</f>
        <v>0</v>
      </c>
      <c r="K5463" s="444">
        <f t="shared" ca="1" si="206"/>
        <v>-13680026638293.289</v>
      </c>
      <c r="L5463" s="444">
        <f t="shared" ca="1" si="207"/>
        <v>-3296886419828683</v>
      </c>
      <c r="M5463" s="460">
        <f t="shared" si="209"/>
        <v>0.05</v>
      </c>
      <c r="N5463" s="464">
        <f t="shared" si="210"/>
        <v>217322</v>
      </c>
    </row>
    <row r="5464" spans="7:14" ht="11.25" customHeight="1" x14ac:dyDescent="0.25">
      <c r="G5464" s="459"/>
      <c r="H5464" s="459">
        <v>5457</v>
      </c>
      <c r="I5464" s="444">
        <f t="shared" ca="1" si="208"/>
        <v>-3296886419828683</v>
      </c>
      <c r="J5464" s="444">
        <f t="array" ref="J5464">IFERROR(INDEX('Retirement Calculator'!J:J,MATCH('Isaac 401k'!N5464,'Retirement Calculator'!A:A,0),0),0)</f>
        <v>0</v>
      </c>
      <c r="K5464" s="444">
        <f t="shared" ca="1" si="206"/>
        <v>-13737026749286.18</v>
      </c>
      <c r="L5464" s="444">
        <f t="shared" ca="1" si="207"/>
        <v>-3310623446577969</v>
      </c>
      <c r="M5464" s="460">
        <f t="shared" si="209"/>
        <v>0.05</v>
      </c>
      <c r="N5464" s="464">
        <f t="shared" si="210"/>
        <v>217353</v>
      </c>
    </row>
    <row r="5465" spans="7:14" ht="11.25" customHeight="1" x14ac:dyDescent="0.25">
      <c r="G5465" s="459"/>
      <c r="H5465" s="459">
        <v>5458</v>
      </c>
      <c r="I5465" s="444">
        <f t="shared" ca="1" si="208"/>
        <v>-3310623446577969</v>
      </c>
      <c r="J5465" s="444">
        <f t="array" ref="J5465">IFERROR(INDEX('Retirement Calculator'!J:J,MATCH('Isaac 401k'!N5465,'Retirement Calculator'!A:A,0),0),0)</f>
        <v>0</v>
      </c>
      <c r="K5465" s="444">
        <f t="shared" ca="1" si="206"/>
        <v>-13794264360741.537</v>
      </c>
      <c r="L5465" s="444">
        <f t="shared" ca="1" si="207"/>
        <v>-3324417710938710.5</v>
      </c>
      <c r="M5465" s="460">
        <f t="shared" si="209"/>
        <v>0.05</v>
      </c>
      <c r="N5465" s="464">
        <f t="shared" si="210"/>
        <v>217381</v>
      </c>
    </row>
    <row r="5466" spans="7:14" ht="11.25" customHeight="1" x14ac:dyDescent="0.25">
      <c r="G5466" s="459"/>
      <c r="H5466" s="459">
        <v>5459</v>
      </c>
      <c r="I5466" s="444">
        <f t="shared" ca="1" si="208"/>
        <v>-3324417710938710.5</v>
      </c>
      <c r="J5466" s="444">
        <f t="array" ref="J5466">IFERROR(INDEX('Retirement Calculator'!J:J,MATCH('Isaac 401k'!N5466,'Retirement Calculator'!A:A,0),0),0)</f>
        <v>0</v>
      </c>
      <c r="K5466" s="444">
        <f t="shared" ca="1" si="206"/>
        <v>-13851740462244.627</v>
      </c>
      <c r="L5466" s="444">
        <f t="shared" ca="1" si="207"/>
        <v>-3338269451400955</v>
      </c>
      <c r="M5466" s="460">
        <f t="shared" si="209"/>
        <v>0.05</v>
      </c>
      <c r="N5466" s="464">
        <f t="shared" si="210"/>
        <v>217412</v>
      </c>
    </row>
    <row r="5467" spans="7:14" ht="11.25" customHeight="1" x14ac:dyDescent="0.25">
      <c r="G5467" s="459"/>
      <c r="H5467" s="459">
        <v>5460</v>
      </c>
      <c r="I5467" s="444">
        <f t="shared" ca="1" si="208"/>
        <v>-3338269451400955</v>
      </c>
      <c r="J5467" s="444">
        <f t="array" ref="J5467">IFERROR(INDEX('Retirement Calculator'!J:J,MATCH('Isaac 401k'!N5467,'Retirement Calculator'!A:A,0),0),0)</f>
        <v>0</v>
      </c>
      <c r="K5467" s="444">
        <f t="shared" ca="1" si="206"/>
        <v>-13909456047503.979</v>
      </c>
      <c r="L5467" s="444">
        <f t="shared" ca="1" si="207"/>
        <v>-3352178907448459</v>
      </c>
      <c r="M5467" s="460">
        <f t="shared" si="209"/>
        <v>0.05</v>
      </c>
      <c r="N5467" s="464">
        <f t="shared" si="210"/>
        <v>217442</v>
      </c>
    </row>
    <row r="5468" spans="7:14" ht="11.25" customHeight="1" x14ac:dyDescent="0.25">
      <c r="G5468" s="459"/>
      <c r="H5468" s="459">
        <v>5461</v>
      </c>
      <c r="I5468" s="444">
        <f t="shared" ca="1" si="208"/>
        <v>-3352178907448459</v>
      </c>
      <c r="J5468" s="444">
        <f t="array" ref="J5468">IFERROR(INDEX('Retirement Calculator'!J:J,MATCH('Isaac 401k'!N5468,'Retirement Calculator'!A:A,0),0),0)</f>
        <v>0</v>
      </c>
      <c r="K5468" s="444">
        <f t="shared" ca="1" si="206"/>
        <v>-13967412114368.578</v>
      </c>
      <c r="L5468" s="444">
        <f t="shared" ca="1" si="207"/>
        <v>-3366146319562827.5</v>
      </c>
      <c r="M5468" s="460">
        <f t="shared" si="209"/>
        <v>0.05</v>
      </c>
      <c r="N5468" s="464">
        <f t="shared" si="210"/>
        <v>217473</v>
      </c>
    </row>
    <row r="5469" spans="7:14" ht="11.25" customHeight="1" x14ac:dyDescent="0.25">
      <c r="G5469" s="459"/>
      <c r="H5469" s="459">
        <v>5462</v>
      </c>
      <c r="I5469" s="444">
        <f t="shared" ca="1" si="208"/>
        <v>-3366146319562827.5</v>
      </c>
      <c r="J5469" s="444">
        <f t="array" ref="J5469">IFERROR(INDEX('Retirement Calculator'!J:J,MATCH('Isaac 401k'!N5469,'Retirement Calculator'!A:A,0),0),0)</f>
        <v>0</v>
      </c>
      <c r="K5469" s="444">
        <f t="shared" ca="1" si="206"/>
        <v>-14025609664845.115</v>
      </c>
      <c r="L5469" s="444">
        <f t="shared" ca="1" si="207"/>
        <v>-3380171929227672.5</v>
      </c>
      <c r="M5469" s="460">
        <f t="shared" si="209"/>
        <v>0.05</v>
      </c>
      <c r="N5469" s="464">
        <f t="shared" si="210"/>
        <v>217503</v>
      </c>
    </row>
    <row r="5470" spans="7:14" ht="11.25" customHeight="1" x14ac:dyDescent="0.25">
      <c r="G5470" s="459"/>
      <c r="H5470" s="459">
        <v>5463</v>
      </c>
      <c r="I5470" s="444">
        <f t="shared" ca="1" si="208"/>
        <v>-3380171929227672.5</v>
      </c>
      <c r="J5470" s="444">
        <f t="array" ref="J5470">IFERROR(INDEX('Retirement Calculator'!J:J,MATCH('Isaac 401k'!N5470,'Retirement Calculator'!A:A,0),0),0)</f>
        <v>0</v>
      </c>
      <c r="K5470" s="444">
        <f t="shared" ca="1" si="206"/>
        <v>-14084049705115.303</v>
      </c>
      <c r="L5470" s="444">
        <f t="shared" ca="1" si="207"/>
        <v>-3394255978932788</v>
      </c>
      <c r="M5470" s="460">
        <f t="shared" si="209"/>
        <v>0.05</v>
      </c>
      <c r="N5470" s="464">
        <f t="shared" si="210"/>
        <v>217534</v>
      </c>
    </row>
    <row r="5471" spans="7:14" ht="11.25" customHeight="1" x14ac:dyDescent="0.25">
      <c r="G5471" s="459"/>
      <c r="H5471" s="459">
        <v>5464</v>
      </c>
      <c r="I5471" s="444">
        <f t="shared" ca="1" si="208"/>
        <v>-3394255978932788</v>
      </c>
      <c r="J5471" s="444">
        <f t="array" ref="J5471">IFERROR(INDEX('Retirement Calculator'!J:J,MATCH('Isaac 401k'!N5471,'Retirement Calculator'!A:A,0),0),0)</f>
        <v>0</v>
      </c>
      <c r="K5471" s="444">
        <f t="shared" ca="1" si="206"/>
        <v>-14142733245553.283</v>
      </c>
      <c r="L5471" s="444">
        <f t="shared" ca="1" si="207"/>
        <v>-3408398712178341.5</v>
      </c>
      <c r="M5471" s="460">
        <f t="shared" si="209"/>
        <v>0.05</v>
      </c>
      <c r="N5471" s="464">
        <f t="shared" si="210"/>
        <v>217565</v>
      </c>
    </row>
    <row r="5472" spans="7:14" ht="11.25" customHeight="1" x14ac:dyDescent="0.25">
      <c r="G5472" s="459"/>
      <c r="H5472" s="459">
        <v>5465</v>
      </c>
      <c r="I5472" s="444">
        <f t="shared" ca="1" si="208"/>
        <v>-3408398712178341.5</v>
      </c>
      <c r="J5472" s="444">
        <f t="array" ref="J5472">IFERROR(INDEX('Retirement Calculator'!J:J,MATCH('Isaac 401k'!N5472,'Retirement Calculator'!A:A,0),0),0)</f>
        <v>0</v>
      </c>
      <c r="K5472" s="444">
        <f t="shared" ca="1" si="206"/>
        <v>-14201661300743.09</v>
      </c>
      <c r="L5472" s="444">
        <f t="shared" ca="1" si="207"/>
        <v>-3422600373479084.5</v>
      </c>
      <c r="M5472" s="460">
        <f t="shared" si="209"/>
        <v>0.05</v>
      </c>
      <c r="N5472" s="464">
        <f t="shared" si="210"/>
        <v>217595</v>
      </c>
    </row>
    <row r="5473" spans="7:14" ht="11.25" customHeight="1" x14ac:dyDescent="0.25">
      <c r="G5473" s="459"/>
      <c r="H5473" s="459">
        <v>5466</v>
      </c>
      <c r="I5473" s="444">
        <f t="shared" ca="1" si="208"/>
        <v>-3422600373479084.5</v>
      </c>
      <c r="J5473" s="444">
        <f t="array" ref="J5473">IFERROR(INDEX('Retirement Calculator'!J:J,MATCH('Isaac 401k'!N5473,'Retirement Calculator'!A:A,0),0),0)</f>
        <v>0</v>
      </c>
      <c r="K5473" s="444">
        <f t="shared" ca="1" si="206"/>
        <v>-14260834889496.186</v>
      </c>
      <c r="L5473" s="444">
        <f t="shared" ca="1" si="207"/>
        <v>-3436861208368580.5</v>
      </c>
      <c r="M5473" s="460">
        <f t="shared" si="209"/>
        <v>0.05</v>
      </c>
      <c r="N5473" s="464">
        <f t="shared" si="210"/>
        <v>217626</v>
      </c>
    </row>
    <row r="5474" spans="7:14" ht="11.25" customHeight="1" x14ac:dyDescent="0.25">
      <c r="G5474" s="459"/>
      <c r="H5474" s="459">
        <v>5467</v>
      </c>
      <c r="I5474" s="444">
        <f t="shared" ca="1" si="208"/>
        <v>-3436861208368580.5</v>
      </c>
      <c r="J5474" s="444">
        <f t="array" ref="J5474">IFERROR(INDEX('Retirement Calculator'!J:J,MATCH('Isaac 401k'!N5474,'Retirement Calculator'!A:A,0),0),0)</f>
        <v>0</v>
      </c>
      <c r="K5474" s="444">
        <f t="shared" ca="1" si="206"/>
        <v>-14320255034869.086</v>
      </c>
      <c r="L5474" s="444">
        <f t="shared" ca="1" si="207"/>
        <v>-3451181463403449.5</v>
      </c>
      <c r="M5474" s="460">
        <f t="shared" si="209"/>
        <v>0.05</v>
      </c>
      <c r="N5474" s="464">
        <f t="shared" si="210"/>
        <v>217656</v>
      </c>
    </row>
    <row r="5475" spans="7:14" ht="11.25" customHeight="1" x14ac:dyDescent="0.25">
      <c r="G5475" s="459"/>
      <c r="H5475" s="459">
        <v>5468</v>
      </c>
      <c r="I5475" s="444">
        <f t="shared" ca="1" si="208"/>
        <v>-3451181463403449.5</v>
      </c>
      <c r="J5475" s="444">
        <f t="array" ref="J5475">IFERROR(INDEX('Retirement Calculator'!J:J,MATCH('Isaac 401k'!N5475,'Retirement Calculator'!A:A,0),0),0)</f>
        <v>0</v>
      </c>
      <c r="K5475" s="444">
        <f t="shared" ca="1" si="206"/>
        <v>-14379922764181.039</v>
      </c>
      <c r="L5475" s="444">
        <f t="shared" ca="1" si="207"/>
        <v>-3465561386167630.5</v>
      </c>
      <c r="M5475" s="460">
        <f t="shared" si="209"/>
        <v>0.05</v>
      </c>
      <c r="N5475" s="464">
        <f t="shared" si="210"/>
        <v>217687</v>
      </c>
    </row>
    <row r="5476" spans="7:14" ht="11.25" customHeight="1" x14ac:dyDescent="0.25">
      <c r="G5476" s="459"/>
      <c r="H5476" s="459">
        <v>5469</v>
      </c>
      <c r="I5476" s="444">
        <f t="shared" ca="1" si="208"/>
        <v>-3465561386167630.5</v>
      </c>
      <c r="J5476" s="444">
        <f t="array" ref="J5476">IFERROR(INDEX('Retirement Calculator'!J:J,MATCH('Isaac 401k'!N5476,'Retirement Calculator'!A:A,0),0),0)</f>
        <v>0</v>
      </c>
      <c r="K5476" s="444">
        <f t="shared" ca="1" si="206"/>
        <v>-14439839109031.793</v>
      </c>
      <c r="L5476" s="444">
        <f t="shared" ca="1" si="207"/>
        <v>-3480001225276662.5</v>
      </c>
      <c r="M5476" s="460">
        <f t="shared" si="209"/>
        <v>0.05</v>
      </c>
      <c r="N5476" s="464">
        <f t="shared" si="210"/>
        <v>217718</v>
      </c>
    </row>
    <row r="5477" spans="7:14" ht="11.25" customHeight="1" x14ac:dyDescent="0.25">
      <c r="G5477" s="459"/>
      <c r="H5477" s="459">
        <v>5470</v>
      </c>
      <c r="I5477" s="444">
        <f t="shared" ca="1" si="208"/>
        <v>-3480001225276662.5</v>
      </c>
      <c r="J5477" s="444">
        <f t="array" ref="J5477">IFERROR(INDEX('Retirement Calculator'!J:J,MATCH('Isaac 401k'!N5477,'Retirement Calculator'!A:A,0),0),0)</f>
        <v>0</v>
      </c>
      <c r="K5477" s="444">
        <f t="shared" ca="1" si="206"/>
        <v>-14500005105319.428</v>
      </c>
      <c r="L5477" s="444">
        <f t="shared" ca="1" si="207"/>
        <v>-3494501230381982</v>
      </c>
      <c r="M5477" s="460">
        <f t="shared" si="209"/>
        <v>0.05</v>
      </c>
      <c r="N5477" s="464">
        <f t="shared" si="210"/>
        <v>217747</v>
      </c>
    </row>
    <row r="5478" spans="7:14" ht="11.25" customHeight="1" x14ac:dyDescent="0.25">
      <c r="G5478" s="459"/>
      <c r="H5478" s="459">
        <v>5471</v>
      </c>
      <c r="I5478" s="444">
        <f t="shared" ca="1" si="208"/>
        <v>-3494501230381982</v>
      </c>
      <c r="J5478" s="444">
        <f t="array" ref="J5478">IFERROR(INDEX('Retirement Calculator'!J:J,MATCH('Isaac 401k'!N5478,'Retirement Calculator'!A:A,0),0),0)</f>
        <v>0</v>
      </c>
      <c r="K5478" s="444">
        <f t="shared" ca="1" si="206"/>
        <v>-14560421793258.258</v>
      </c>
      <c r="L5478" s="444">
        <f t="shared" ca="1" si="207"/>
        <v>-3509061652175240.5</v>
      </c>
      <c r="M5478" s="460">
        <f t="shared" si="209"/>
        <v>0.05</v>
      </c>
      <c r="N5478" s="464">
        <f t="shared" si="210"/>
        <v>217778</v>
      </c>
    </row>
    <row r="5479" spans="7:14" ht="11.25" customHeight="1" x14ac:dyDescent="0.25">
      <c r="G5479" s="459"/>
      <c r="H5479" s="459">
        <v>5472</v>
      </c>
      <c r="I5479" s="444">
        <f t="shared" ca="1" si="208"/>
        <v>-3509061652175240.5</v>
      </c>
      <c r="J5479" s="444">
        <f t="array" ref="J5479">IFERROR(INDEX('Retirement Calculator'!J:J,MATCH('Isaac 401k'!N5479,'Retirement Calculator'!A:A,0),0),0)</f>
        <v>0</v>
      </c>
      <c r="K5479" s="444">
        <f t="shared" ca="1" si="206"/>
        <v>-14621090217396.836</v>
      </c>
      <c r="L5479" s="444">
        <f t="shared" ca="1" si="207"/>
        <v>-3523682742392637.5</v>
      </c>
      <c r="M5479" s="460">
        <f t="shared" si="209"/>
        <v>0.05</v>
      </c>
      <c r="N5479" s="464">
        <f t="shared" si="210"/>
        <v>217808</v>
      </c>
    </row>
    <row r="5480" spans="7:14" ht="11.25" customHeight="1" x14ac:dyDescent="0.25">
      <c r="G5480" s="459"/>
      <c r="H5480" s="459">
        <v>5473</v>
      </c>
      <c r="I5480" s="444">
        <f t="shared" ca="1" si="208"/>
        <v>-3523682742392637.5</v>
      </c>
      <c r="J5480" s="444">
        <f t="array" ref="J5480">IFERROR(INDEX('Retirement Calculator'!J:J,MATCH('Isaac 401k'!N5480,'Retirement Calculator'!A:A,0),0),0)</f>
        <v>0</v>
      </c>
      <c r="K5480" s="444">
        <f t="shared" ca="1" si="206"/>
        <v>-14682011426635.986</v>
      </c>
      <c r="L5480" s="444">
        <f t="shared" ca="1" si="207"/>
        <v>-3538364753819273.5</v>
      </c>
      <c r="M5480" s="460">
        <f t="shared" si="209"/>
        <v>0.05</v>
      </c>
      <c r="N5480" s="464">
        <f t="shared" si="210"/>
        <v>217839</v>
      </c>
    </row>
    <row r="5481" spans="7:14" ht="11.25" customHeight="1" x14ac:dyDescent="0.25">
      <c r="G5481" s="459"/>
      <c r="H5481" s="459">
        <v>5474</v>
      </c>
      <c r="I5481" s="444">
        <f t="shared" ca="1" si="208"/>
        <v>-3538364753819273.5</v>
      </c>
      <c r="J5481" s="444">
        <f t="array" ref="J5481">IFERROR(INDEX('Retirement Calculator'!J:J,MATCH('Isaac 401k'!N5481,'Retirement Calculator'!A:A,0),0),0)</f>
        <v>0</v>
      </c>
      <c r="K5481" s="444">
        <f t="shared" ca="1" si="206"/>
        <v>-14743186474246.975</v>
      </c>
      <c r="L5481" s="444">
        <f t="shared" ca="1" si="207"/>
        <v>-3553107940293520.5</v>
      </c>
      <c r="M5481" s="460">
        <f t="shared" si="209"/>
        <v>0.05</v>
      </c>
      <c r="N5481" s="464">
        <f t="shared" si="210"/>
        <v>217869</v>
      </c>
    </row>
    <row r="5482" spans="7:14" ht="11.25" customHeight="1" x14ac:dyDescent="0.25">
      <c r="G5482" s="459"/>
      <c r="H5482" s="459">
        <v>5475</v>
      </c>
      <c r="I5482" s="444">
        <f t="shared" ca="1" si="208"/>
        <v>-3553107940293520.5</v>
      </c>
      <c r="J5482" s="444">
        <f t="array" ref="J5482">IFERROR(INDEX('Retirement Calculator'!J:J,MATCH('Isaac 401k'!N5482,'Retirement Calculator'!A:A,0),0),0)</f>
        <v>0</v>
      </c>
      <c r="K5482" s="444">
        <f t="shared" ca="1" si="206"/>
        <v>-14804616417889.67</v>
      </c>
      <c r="L5482" s="444">
        <f t="shared" ca="1" si="207"/>
        <v>-3567912556711410</v>
      </c>
      <c r="M5482" s="460">
        <f t="shared" si="209"/>
        <v>0.05</v>
      </c>
      <c r="N5482" s="464">
        <f t="shared" si="210"/>
        <v>217900</v>
      </c>
    </row>
    <row r="5483" spans="7:14" ht="11.25" customHeight="1" x14ac:dyDescent="0.25">
      <c r="G5483" s="459"/>
      <c r="H5483" s="459">
        <v>5476</v>
      </c>
      <c r="I5483" s="444">
        <f t="shared" ca="1" si="208"/>
        <v>-3567912556711410</v>
      </c>
      <c r="J5483" s="444">
        <f t="array" ref="J5483">IFERROR(INDEX('Retirement Calculator'!J:J,MATCH('Isaac 401k'!N5483,'Retirement Calculator'!A:A,0),0),0)</f>
        <v>0</v>
      </c>
      <c r="K5483" s="444">
        <f t="shared" ca="1" si="206"/>
        <v>-14866302319630.873</v>
      </c>
      <c r="L5483" s="444">
        <f t="shared" ca="1" si="207"/>
        <v>-3582778859031041</v>
      </c>
      <c r="M5483" s="460">
        <f t="shared" si="209"/>
        <v>0.05</v>
      </c>
      <c r="N5483" s="464">
        <f t="shared" si="210"/>
        <v>217931</v>
      </c>
    </row>
    <row r="5484" spans="7:14" ht="11.25" customHeight="1" x14ac:dyDescent="0.25">
      <c r="G5484" s="459"/>
      <c r="H5484" s="459">
        <v>5477</v>
      </c>
      <c r="I5484" s="444">
        <f t="shared" ca="1" si="208"/>
        <v>-3582778859031041</v>
      </c>
      <c r="J5484" s="444">
        <f t="array" ref="J5484">IFERROR(INDEX('Retirement Calculator'!J:J,MATCH('Isaac 401k'!N5484,'Retirement Calculator'!A:A,0),0),0)</f>
        <v>0</v>
      </c>
      <c r="K5484" s="444">
        <f t="shared" ca="1" si="206"/>
        <v>-14928245245962.67</v>
      </c>
      <c r="L5484" s="444">
        <f t="shared" ca="1" si="207"/>
        <v>-3597707104277003.5</v>
      </c>
      <c r="M5484" s="460">
        <f t="shared" si="209"/>
        <v>0.05</v>
      </c>
      <c r="N5484" s="464">
        <f t="shared" si="210"/>
        <v>217961</v>
      </c>
    </row>
    <row r="5485" spans="7:14" ht="11.25" customHeight="1" x14ac:dyDescent="0.25">
      <c r="G5485" s="459"/>
      <c r="H5485" s="459">
        <v>5478</v>
      </c>
      <c r="I5485" s="444">
        <f t="shared" ca="1" si="208"/>
        <v>-3597707104277003.5</v>
      </c>
      <c r="J5485" s="444">
        <f t="array" ref="J5485">IFERROR(INDEX('Retirement Calculator'!J:J,MATCH('Isaac 401k'!N5485,'Retirement Calculator'!A:A,0),0),0)</f>
        <v>0</v>
      </c>
      <c r="K5485" s="444">
        <f t="shared" ca="1" si="206"/>
        <v>-14990446267820.848</v>
      </c>
      <c r="L5485" s="444">
        <f t="shared" ca="1" si="207"/>
        <v>-3612697550544824.5</v>
      </c>
      <c r="M5485" s="460">
        <f t="shared" si="209"/>
        <v>0.05</v>
      </c>
      <c r="N5485" s="464">
        <f t="shared" si="210"/>
        <v>217992</v>
      </c>
    </row>
    <row r="5486" spans="7:14" ht="11.25" customHeight="1" x14ac:dyDescent="0.25">
      <c r="G5486" s="459"/>
      <c r="H5486" s="459">
        <v>5479</v>
      </c>
      <c r="I5486" s="444">
        <f t="shared" ca="1" si="208"/>
        <v>-3612697550544824.5</v>
      </c>
      <c r="J5486" s="444">
        <f t="array" ref="J5486">IFERROR(INDEX('Retirement Calculator'!J:J,MATCH('Isaac 401k'!N5486,'Retirement Calculator'!A:A,0),0),0)</f>
        <v>0</v>
      </c>
      <c r="K5486" s="444">
        <f t="shared" ca="1" si="206"/>
        <v>-15052906460603.436</v>
      </c>
      <c r="L5486" s="444">
        <f t="shared" ca="1" si="207"/>
        <v>-3627750457005428</v>
      </c>
      <c r="M5486" s="460">
        <f t="shared" si="209"/>
        <v>0.05</v>
      </c>
      <c r="N5486" s="464">
        <f t="shared" si="210"/>
        <v>218022</v>
      </c>
    </row>
    <row r="5487" spans="7:14" ht="11.25" customHeight="1" x14ac:dyDescent="0.25">
      <c r="G5487" s="459"/>
      <c r="H5487" s="459">
        <v>5480</v>
      </c>
      <c r="I5487" s="444">
        <f t="shared" ca="1" si="208"/>
        <v>-3627750457005428</v>
      </c>
      <c r="J5487" s="444">
        <f t="array" ref="J5487">IFERROR(INDEX('Retirement Calculator'!J:J,MATCH('Isaac 401k'!N5487,'Retirement Calculator'!A:A,0),0),0)</f>
        <v>0</v>
      </c>
      <c r="K5487" s="444">
        <f t="shared" ca="1" si="206"/>
        <v>-15115626904189.283</v>
      </c>
      <c r="L5487" s="444">
        <f t="shared" ca="1" si="207"/>
        <v>-3642866083909617.5</v>
      </c>
      <c r="M5487" s="460">
        <f t="shared" si="209"/>
        <v>0.05</v>
      </c>
      <c r="N5487" s="464">
        <f t="shared" si="210"/>
        <v>218053</v>
      </c>
    </row>
    <row r="5488" spans="7:14" ht="11.25" customHeight="1" x14ac:dyDescent="0.25">
      <c r="G5488" s="459"/>
      <c r="H5488" s="459">
        <v>5481</v>
      </c>
      <c r="I5488" s="444">
        <f t="shared" ca="1" si="208"/>
        <v>-3642866083909617.5</v>
      </c>
      <c r="J5488" s="444">
        <f t="array" ref="J5488">IFERROR(INDEX('Retirement Calculator'!J:J,MATCH('Isaac 401k'!N5488,'Retirement Calculator'!A:A,0),0),0)</f>
        <v>0</v>
      </c>
      <c r="K5488" s="444">
        <f t="shared" ca="1" si="206"/>
        <v>-15178608682956.74</v>
      </c>
      <c r="L5488" s="444">
        <f t="shared" ca="1" si="207"/>
        <v>-3658044692592574</v>
      </c>
      <c r="M5488" s="460">
        <f t="shared" si="209"/>
        <v>0.05</v>
      </c>
      <c r="N5488" s="464">
        <f t="shared" si="210"/>
        <v>218084</v>
      </c>
    </row>
    <row r="5489" spans="7:14" ht="11.25" customHeight="1" x14ac:dyDescent="0.25">
      <c r="G5489" s="459"/>
      <c r="H5489" s="459">
        <v>5482</v>
      </c>
      <c r="I5489" s="444">
        <f t="shared" ca="1" si="208"/>
        <v>-3658044692592574</v>
      </c>
      <c r="J5489" s="444">
        <f t="array" ref="J5489">IFERROR(INDEX('Retirement Calculator'!J:J,MATCH('Isaac 401k'!N5489,'Retirement Calculator'!A:A,0),0),0)</f>
        <v>0</v>
      </c>
      <c r="K5489" s="444">
        <f t="shared" ca="1" si="206"/>
        <v>-15241852885802.391</v>
      </c>
      <c r="L5489" s="444">
        <f t="shared" ca="1" si="207"/>
        <v>-3673286545478376.5</v>
      </c>
      <c r="M5489" s="460">
        <f t="shared" si="209"/>
        <v>0.05</v>
      </c>
      <c r="N5489" s="464">
        <f t="shared" si="210"/>
        <v>218112</v>
      </c>
    </row>
    <row r="5490" spans="7:14" ht="11.25" customHeight="1" x14ac:dyDescent="0.25">
      <c r="G5490" s="459"/>
      <c r="H5490" s="459">
        <v>5483</v>
      </c>
      <c r="I5490" s="444">
        <f t="shared" ca="1" si="208"/>
        <v>-3673286545478376.5</v>
      </c>
      <c r="J5490" s="444">
        <f t="array" ref="J5490">IFERROR(INDEX('Retirement Calculator'!J:J,MATCH('Isaac 401k'!N5490,'Retirement Calculator'!A:A,0),0),0)</f>
        <v>0</v>
      </c>
      <c r="K5490" s="444">
        <f t="shared" ca="1" si="206"/>
        <v>-15305360606159.902</v>
      </c>
      <c r="L5490" s="444">
        <f t="shared" ca="1" si="207"/>
        <v>-3688591906084536.5</v>
      </c>
      <c r="M5490" s="460">
        <f t="shared" si="209"/>
        <v>0.05</v>
      </c>
      <c r="N5490" s="464">
        <f t="shared" si="210"/>
        <v>218143</v>
      </c>
    </row>
    <row r="5491" spans="7:14" ht="11.25" customHeight="1" x14ac:dyDescent="0.25">
      <c r="G5491" s="459"/>
      <c r="H5491" s="459">
        <v>5484</v>
      </c>
      <c r="I5491" s="444">
        <f t="shared" ca="1" si="208"/>
        <v>-3688591906084536.5</v>
      </c>
      <c r="J5491" s="444">
        <f t="array" ref="J5491">IFERROR(INDEX('Retirement Calculator'!J:J,MATCH('Isaac 401k'!N5491,'Retirement Calculator'!A:A,0),0),0)</f>
        <v>0</v>
      </c>
      <c r="K5491" s="444">
        <f t="shared" ca="1" si="206"/>
        <v>-15369132942018.902</v>
      </c>
      <c r="L5491" s="444">
        <f t="shared" ca="1" si="207"/>
        <v>-3703961039026555.5</v>
      </c>
      <c r="M5491" s="460">
        <f t="shared" si="209"/>
        <v>0.05</v>
      </c>
      <c r="N5491" s="464">
        <f t="shared" si="210"/>
        <v>218173</v>
      </c>
    </row>
    <row r="5492" spans="7:14" ht="11.25" customHeight="1" x14ac:dyDescent="0.25">
      <c r="G5492" s="459"/>
      <c r="H5492" s="459">
        <v>5485</v>
      </c>
      <c r="I5492" s="444">
        <f t="shared" ca="1" si="208"/>
        <v>-3703961039026555.5</v>
      </c>
      <c r="J5492" s="444">
        <f t="array" ref="J5492">IFERROR(INDEX('Retirement Calculator'!J:J,MATCH('Isaac 401k'!N5492,'Retirement Calculator'!A:A,0),0),0)</f>
        <v>0</v>
      </c>
      <c r="K5492" s="444">
        <f t="shared" ca="1" si="206"/>
        <v>-15433170995943.982</v>
      </c>
      <c r="L5492" s="444">
        <f t="shared" ca="1" si="207"/>
        <v>-3719394210022499.5</v>
      </c>
      <c r="M5492" s="460">
        <f t="shared" si="209"/>
        <v>0.05</v>
      </c>
      <c r="N5492" s="464">
        <f t="shared" si="210"/>
        <v>218204</v>
      </c>
    </row>
    <row r="5493" spans="7:14" ht="11.25" customHeight="1" x14ac:dyDescent="0.25">
      <c r="G5493" s="459"/>
      <c r="H5493" s="459">
        <v>5486</v>
      </c>
      <c r="I5493" s="444">
        <f t="shared" ca="1" si="208"/>
        <v>-3719394210022499.5</v>
      </c>
      <c r="J5493" s="444">
        <f t="array" ref="J5493">IFERROR(INDEX('Retirement Calculator'!J:J,MATCH('Isaac 401k'!N5493,'Retirement Calculator'!A:A,0),0),0)</f>
        <v>0</v>
      </c>
      <c r="K5493" s="444">
        <f t="shared" ca="1" si="206"/>
        <v>-15497475875093.748</v>
      </c>
      <c r="L5493" s="444">
        <f t="shared" ca="1" si="207"/>
        <v>-3734891685897593</v>
      </c>
      <c r="M5493" s="460">
        <f t="shared" si="209"/>
        <v>0.05</v>
      </c>
      <c r="N5493" s="464">
        <f t="shared" si="210"/>
        <v>218234</v>
      </c>
    </row>
    <row r="5494" spans="7:14" ht="11.25" customHeight="1" x14ac:dyDescent="0.25">
      <c r="G5494" s="459"/>
      <c r="H5494" s="459">
        <v>5487</v>
      </c>
      <c r="I5494" s="444">
        <f t="shared" ca="1" si="208"/>
        <v>-3734891685897593</v>
      </c>
      <c r="J5494" s="444">
        <f t="array" ref="J5494">IFERROR(INDEX('Retirement Calculator'!J:J,MATCH('Isaac 401k'!N5494,'Retirement Calculator'!A:A,0),0),0)</f>
        <v>0</v>
      </c>
      <c r="K5494" s="444">
        <f t="shared" ca="1" si="206"/>
        <v>-15562048691239.971</v>
      </c>
      <c r="L5494" s="444">
        <f t="shared" ca="1" si="207"/>
        <v>-3750453734588833</v>
      </c>
      <c r="M5494" s="460">
        <f t="shared" si="209"/>
        <v>0.05</v>
      </c>
      <c r="N5494" s="464">
        <f t="shared" si="210"/>
        <v>218265</v>
      </c>
    </row>
    <row r="5495" spans="7:14" ht="11.25" customHeight="1" x14ac:dyDescent="0.25">
      <c r="G5495" s="459"/>
      <c r="H5495" s="459">
        <v>5488</v>
      </c>
      <c r="I5495" s="444">
        <f t="shared" ca="1" si="208"/>
        <v>-3750453734588833</v>
      </c>
      <c r="J5495" s="444">
        <f t="array" ref="J5495">IFERROR(INDEX('Retirement Calculator'!J:J,MATCH('Isaac 401k'!N5495,'Retirement Calculator'!A:A,0),0),0)</f>
        <v>0</v>
      </c>
      <c r="K5495" s="444">
        <f t="shared" ca="1" si="206"/>
        <v>-15626890560786.805</v>
      </c>
      <c r="L5495" s="444">
        <f t="shared" ca="1" si="207"/>
        <v>-3766080625149620</v>
      </c>
      <c r="M5495" s="460">
        <f t="shared" si="209"/>
        <v>0.05</v>
      </c>
      <c r="N5495" s="464">
        <f t="shared" si="210"/>
        <v>218296</v>
      </c>
    </row>
    <row r="5496" spans="7:14" ht="11.25" customHeight="1" x14ac:dyDescent="0.25">
      <c r="G5496" s="459"/>
      <c r="H5496" s="459">
        <v>5489</v>
      </c>
      <c r="I5496" s="444">
        <f t="shared" ca="1" si="208"/>
        <v>-3766080625149620</v>
      </c>
      <c r="J5496" s="444">
        <f t="array" ref="J5496">IFERROR(INDEX('Retirement Calculator'!J:J,MATCH('Isaac 401k'!N5496,'Retirement Calculator'!A:A,0),0),0)</f>
        <v>0</v>
      </c>
      <c r="K5496" s="444">
        <f t="shared" ca="1" si="206"/>
        <v>-15692002604790.084</v>
      </c>
      <c r="L5496" s="444">
        <f t="shared" ca="1" si="207"/>
        <v>-3781772627754410</v>
      </c>
      <c r="M5496" s="460">
        <f t="shared" si="209"/>
        <v>0.05</v>
      </c>
      <c r="N5496" s="464">
        <f t="shared" si="210"/>
        <v>218326</v>
      </c>
    </row>
    <row r="5497" spans="7:14" ht="11.25" customHeight="1" x14ac:dyDescent="0.25">
      <c r="G5497" s="459"/>
      <c r="H5497" s="459">
        <v>5490</v>
      </c>
      <c r="I5497" s="444">
        <f t="shared" ca="1" si="208"/>
        <v>-3781772627754410</v>
      </c>
      <c r="J5497" s="444">
        <f t="array" ref="J5497">IFERROR(INDEX('Retirement Calculator'!J:J,MATCH('Isaac 401k'!N5497,'Retirement Calculator'!A:A,0),0),0)</f>
        <v>0</v>
      </c>
      <c r="K5497" s="444">
        <f t="shared" ca="1" si="206"/>
        <v>-15757385948976.709</v>
      </c>
      <c r="L5497" s="444">
        <f t="shared" ca="1" si="207"/>
        <v>-3797530013703386.5</v>
      </c>
      <c r="M5497" s="460">
        <f t="shared" si="209"/>
        <v>0.05</v>
      </c>
      <c r="N5497" s="464">
        <f t="shared" si="210"/>
        <v>218357</v>
      </c>
    </row>
    <row r="5498" spans="7:14" ht="11.25" customHeight="1" x14ac:dyDescent="0.25">
      <c r="G5498" s="459"/>
      <c r="H5498" s="459">
        <v>5491</v>
      </c>
      <c r="I5498" s="444">
        <f t="shared" ca="1" si="208"/>
        <v>-3797530013703386.5</v>
      </c>
      <c r="J5498" s="444">
        <f t="array" ref="J5498">IFERROR(INDEX('Retirement Calculator'!J:J,MATCH('Isaac 401k'!N5498,'Retirement Calculator'!A:A,0),0),0)</f>
        <v>0</v>
      </c>
      <c r="K5498" s="444">
        <f t="shared" ca="1" si="206"/>
        <v>-15823041723764.109</v>
      </c>
      <c r="L5498" s="444">
        <f t="shared" ca="1" si="207"/>
        <v>-3813353055427150.5</v>
      </c>
      <c r="M5498" s="460">
        <f t="shared" si="209"/>
        <v>0.05</v>
      </c>
      <c r="N5498" s="464">
        <f t="shared" si="210"/>
        <v>218387</v>
      </c>
    </row>
    <row r="5499" spans="7:14" ht="11.25" customHeight="1" x14ac:dyDescent="0.25">
      <c r="G5499" s="459"/>
      <c r="H5499" s="459">
        <v>5492</v>
      </c>
      <c r="I5499" s="444">
        <f t="shared" ca="1" si="208"/>
        <v>-3813353055427150.5</v>
      </c>
      <c r="J5499" s="444">
        <f t="array" ref="J5499">IFERROR(INDEX('Retirement Calculator'!J:J,MATCH('Isaac 401k'!N5499,'Retirement Calculator'!A:A,0),0),0)</f>
        <v>0</v>
      </c>
      <c r="K5499" s="444">
        <f t="shared" ca="1" si="206"/>
        <v>-15888971064279.793</v>
      </c>
      <c r="L5499" s="444">
        <f t="shared" ca="1" si="207"/>
        <v>-3829242026491430.5</v>
      </c>
      <c r="M5499" s="460">
        <f t="shared" si="209"/>
        <v>0.05</v>
      </c>
      <c r="N5499" s="464">
        <f t="shared" si="210"/>
        <v>218418</v>
      </c>
    </row>
    <row r="5500" spans="7:14" ht="11.25" customHeight="1" x14ac:dyDescent="0.25">
      <c r="G5500" s="459"/>
      <c r="H5500" s="459">
        <v>5493</v>
      </c>
      <c r="I5500" s="444">
        <f t="shared" ca="1" si="208"/>
        <v>-3829242026491430.5</v>
      </c>
      <c r="J5500" s="444">
        <f t="array" ref="J5500">IFERROR(INDEX('Retirement Calculator'!J:J,MATCH('Isaac 401k'!N5500,'Retirement Calculator'!A:A,0),0),0)</f>
        <v>0</v>
      </c>
      <c r="K5500" s="444">
        <f t="shared" ca="1" si="206"/>
        <v>-15955175110380.963</v>
      </c>
      <c r="L5500" s="444">
        <f t="shared" ca="1" si="207"/>
        <v>-3845197201601811.5</v>
      </c>
      <c r="M5500" s="460">
        <f t="shared" si="209"/>
        <v>0.05</v>
      </c>
      <c r="N5500" s="464">
        <f t="shared" si="210"/>
        <v>218449</v>
      </c>
    </row>
    <row r="5501" spans="7:14" ht="11.25" customHeight="1" x14ac:dyDescent="0.25">
      <c r="G5501" s="459"/>
      <c r="H5501" s="459">
        <v>5494</v>
      </c>
      <c r="I5501" s="444">
        <f t="shared" ca="1" si="208"/>
        <v>-3845197201601811.5</v>
      </c>
      <c r="J5501" s="444">
        <f t="array" ref="J5501">IFERROR(INDEX('Retirement Calculator'!J:J,MATCH('Isaac 401k'!N5501,'Retirement Calculator'!A:A,0),0),0)</f>
        <v>0</v>
      </c>
      <c r="K5501" s="444">
        <f t="shared" ca="1" si="206"/>
        <v>-16021655006674.215</v>
      </c>
      <c r="L5501" s="444">
        <f t="shared" ca="1" si="207"/>
        <v>-3861218856608485.5</v>
      </c>
      <c r="M5501" s="460">
        <f t="shared" si="209"/>
        <v>0.05</v>
      </c>
      <c r="N5501" s="464">
        <f t="shared" si="210"/>
        <v>218477</v>
      </c>
    </row>
    <row r="5502" spans="7:14" ht="11.25" customHeight="1" x14ac:dyDescent="0.25">
      <c r="G5502" s="459"/>
      <c r="H5502" s="459">
        <v>5495</v>
      </c>
      <c r="I5502" s="444">
        <f t="shared" ca="1" si="208"/>
        <v>-3861218856608485.5</v>
      </c>
      <c r="J5502" s="444">
        <f t="array" ref="J5502">IFERROR(INDEX('Retirement Calculator'!J:J,MATCH('Isaac 401k'!N5502,'Retirement Calculator'!A:A,0),0),0)</f>
        <v>0</v>
      </c>
      <c r="K5502" s="444">
        <f t="shared" ca="1" si="206"/>
        <v>-16088411902535.355</v>
      </c>
      <c r="L5502" s="444">
        <f t="shared" ca="1" si="207"/>
        <v>-3877307268511021</v>
      </c>
      <c r="M5502" s="460">
        <f t="shared" si="209"/>
        <v>0.05</v>
      </c>
      <c r="N5502" s="464">
        <f t="shared" si="210"/>
        <v>218508</v>
      </c>
    </row>
    <row r="5503" spans="7:14" ht="11.25" customHeight="1" x14ac:dyDescent="0.25">
      <c r="G5503" s="459"/>
      <c r="H5503" s="459">
        <v>5496</v>
      </c>
      <c r="I5503" s="444">
        <f t="shared" ca="1" si="208"/>
        <v>-3877307268511021</v>
      </c>
      <c r="J5503" s="444">
        <f t="array" ref="J5503">IFERROR(INDEX('Retirement Calculator'!J:J,MATCH('Isaac 401k'!N5503,'Retirement Calculator'!A:A,0),0),0)</f>
        <v>0</v>
      </c>
      <c r="K5503" s="444">
        <f t="shared" ca="1" si="206"/>
        <v>-16155446952129.254</v>
      </c>
      <c r="L5503" s="444">
        <f t="shared" ca="1" si="207"/>
        <v>-3893462715463150.5</v>
      </c>
      <c r="M5503" s="460">
        <f t="shared" si="209"/>
        <v>0.05</v>
      </c>
      <c r="N5503" s="464">
        <f t="shared" si="210"/>
        <v>218538</v>
      </c>
    </row>
    <row r="5504" spans="7:14" ht="11.25" customHeight="1" x14ac:dyDescent="0.25">
      <c r="G5504" s="459"/>
      <c r="H5504" s="459">
        <v>5497</v>
      </c>
      <c r="I5504" s="444">
        <f t="shared" ca="1" si="208"/>
        <v>-3893462715463150.5</v>
      </c>
      <c r="J5504" s="444">
        <f t="array" ref="J5504">IFERROR(INDEX('Retirement Calculator'!J:J,MATCH('Isaac 401k'!N5504,'Retirement Calculator'!A:A,0),0),0)</f>
        <v>0</v>
      </c>
      <c r="K5504" s="444">
        <f t="shared" ca="1" si="206"/>
        <v>-16222761314429.795</v>
      </c>
      <c r="L5504" s="444">
        <f t="shared" ca="1" si="207"/>
        <v>-3909685476777580.5</v>
      </c>
      <c r="M5504" s="460">
        <f t="shared" si="209"/>
        <v>0.05</v>
      </c>
      <c r="N5504" s="464">
        <f t="shared" si="210"/>
        <v>218569</v>
      </c>
    </row>
    <row r="5505" spans="7:14" ht="11.25" customHeight="1" x14ac:dyDescent="0.25">
      <c r="G5505" s="459"/>
      <c r="H5505" s="459">
        <v>5498</v>
      </c>
      <c r="I5505" s="444">
        <f t="shared" ca="1" si="208"/>
        <v>-3909685476777580.5</v>
      </c>
      <c r="J5505" s="444">
        <f t="array" ref="J5505">IFERROR(INDEX('Retirement Calculator'!J:J,MATCH('Isaac 401k'!N5505,'Retirement Calculator'!A:A,0),0),0)</f>
        <v>0</v>
      </c>
      <c r="K5505" s="444">
        <f t="shared" ca="1" si="206"/>
        <v>-16290356153239.918</v>
      </c>
      <c r="L5505" s="444">
        <f t="shared" ca="1" si="207"/>
        <v>-3925975832930820.5</v>
      </c>
      <c r="M5505" s="460">
        <f t="shared" si="209"/>
        <v>0.05</v>
      </c>
      <c r="N5505" s="464">
        <f t="shared" si="210"/>
        <v>218599</v>
      </c>
    </row>
    <row r="5506" spans="7:14" ht="11.25" customHeight="1" x14ac:dyDescent="0.25">
      <c r="G5506" s="459"/>
      <c r="H5506" s="459">
        <v>5499</v>
      </c>
      <c r="I5506" s="444">
        <f t="shared" ca="1" si="208"/>
        <v>-3925975832930820.5</v>
      </c>
      <c r="J5506" s="444">
        <f t="array" ref="J5506">IFERROR(INDEX('Retirement Calculator'!J:J,MATCH('Isaac 401k'!N5506,'Retirement Calculator'!A:A,0),0),0)</f>
        <v>0</v>
      </c>
      <c r="K5506" s="444">
        <f t="shared" ca="1" si="206"/>
        <v>-16358232637211.752</v>
      </c>
      <c r="L5506" s="444">
        <f t="shared" ca="1" si="207"/>
        <v>-3942334065568032.5</v>
      </c>
      <c r="M5506" s="460">
        <f t="shared" si="209"/>
        <v>0.05</v>
      </c>
      <c r="N5506" s="464">
        <f t="shared" si="210"/>
        <v>218630</v>
      </c>
    </row>
    <row r="5507" spans="7:14" ht="11.25" customHeight="1" x14ac:dyDescent="0.25">
      <c r="G5507" s="459"/>
      <c r="H5507" s="459">
        <v>5500</v>
      </c>
      <c r="I5507" s="444">
        <f t="shared" ca="1" si="208"/>
        <v>-3942334065568032.5</v>
      </c>
      <c r="J5507" s="444">
        <f t="array" ref="J5507">IFERROR(INDEX('Retirement Calculator'!J:J,MATCH('Isaac 401k'!N5507,'Retirement Calculator'!A:A,0),0),0)</f>
        <v>0</v>
      </c>
      <c r="K5507" s="444">
        <f t="shared" ca="1" si="206"/>
        <v>-16426391939866.803</v>
      </c>
      <c r="L5507" s="444">
        <f t="shared" ca="1" si="207"/>
        <v>-3958760457507899.5</v>
      </c>
      <c r="M5507" s="460">
        <f t="shared" si="209"/>
        <v>0.05</v>
      </c>
      <c r="N5507" s="464">
        <f t="shared" si="210"/>
        <v>218661</v>
      </c>
    </row>
    <row r="5508" spans="7:14" ht="11.25" customHeight="1" x14ac:dyDescent="0.25">
      <c r="G5508" s="459"/>
      <c r="H5508" s="459">
        <v>5501</v>
      </c>
      <c r="I5508" s="444">
        <f t="shared" ca="1" si="208"/>
        <v>-3958760457507899.5</v>
      </c>
      <c r="J5508" s="444">
        <f t="array" ref="J5508">IFERROR(INDEX('Retirement Calculator'!J:J,MATCH('Isaac 401k'!N5508,'Retirement Calculator'!A:A,0),0),0)</f>
        <v>0</v>
      </c>
      <c r="K5508" s="444">
        <f t="shared" ca="1" si="206"/>
        <v>-16494835239616.25</v>
      </c>
      <c r="L5508" s="444">
        <f t="shared" ca="1" si="207"/>
        <v>-3975255292747516</v>
      </c>
      <c r="M5508" s="460">
        <f t="shared" si="209"/>
        <v>0.05</v>
      </c>
      <c r="N5508" s="464">
        <f t="shared" si="210"/>
        <v>218691</v>
      </c>
    </row>
    <row r="5509" spans="7:14" ht="11.25" customHeight="1" x14ac:dyDescent="0.25">
      <c r="G5509" s="459"/>
      <c r="H5509" s="459">
        <v>5502</v>
      </c>
      <c r="I5509" s="444">
        <f t="shared" ca="1" si="208"/>
        <v>-3975255292747516</v>
      </c>
      <c r="J5509" s="444">
        <f t="array" ref="J5509">IFERROR(INDEX('Retirement Calculator'!J:J,MATCH('Isaac 401k'!N5509,'Retirement Calculator'!A:A,0),0),0)</f>
        <v>0</v>
      </c>
      <c r="K5509" s="444">
        <f t="shared" ca="1" si="206"/>
        <v>-16563563719781.316</v>
      </c>
      <c r="L5509" s="444">
        <f t="shared" ca="1" si="207"/>
        <v>-3991818856467297.5</v>
      </c>
      <c r="M5509" s="460">
        <f t="shared" si="209"/>
        <v>0.05</v>
      </c>
      <c r="N5509" s="464">
        <f t="shared" si="210"/>
        <v>218722</v>
      </c>
    </row>
    <row r="5510" spans="7:14" ht="11.25" customHeight="1" x14ac:dyDescent="0.25">
      <c r="G5510" s="459"/>
      <c r="H5510" s="459">
        <v>5503</v>
      </c>
      <c r="I5510" s="444">
        <f t="shared" ca="1" si="208"/>
        <v>-3991818856467297.5</v>
      </c>
      <c r="J5510" s="444">
        <f t="array" ref="J5510">IFERROR(INDEX('Retirement Calculator'!J:J,MATCH('Isaac 401k'!N5510,'Retirement Calculator'!A:A,0),0),0)</f>
        <v>0</v>
      </c>
      <c r="K5510" s="444">
        <f t="shared" ca="1" si="206"/>
        <v>-16632578568613.74</v>
      </c>
      <c r="L5510" s="444">
        <f t="shared" ca="1" si="207"/>
        <v>-4008451435035911</v>
      </c>
      <c r="M5510" s="460">
        <f t="shared" si="209"/>
        <v>0.05</v>
      </c>
      <c r="N5510" s="464">
        <f t="shared" si="210"/>
        <v>218752</v>
      </c>
    </row>
    <row r="5511" spans="7:14" ht="11.25" customHeight="1" x14ac:dyDescent="0.25">
      <c r="G5511" s="459"/>
      <c r="H5511" s="459">
        <v>5504</v>
      </c>
      <c r="I5511" s="444">
        <f t="shared" ca="1" si="208"/>
        <v>-4008451435035911</v>
      </c>
      <c r="J5511" s="444">
        <f t="array" ref="J5511">IFERROR(INDEX('Retirement Calculator'!J:J,MATCH('Isaac 401k'!N5511,'Retirement Calculator'!A:A,0),0),0)</f>
        <v>0</v>
      </c>
      <c r="K5511" s="444">
        <f t="shared" ca="1" si="206"/>
        <v>-16701880979316.295</v>
      </c>
      <c r="L5511" s="444">
        <f t="shared" ca="1" si="207"/>
        <v>-4025153316015227.5</v>
      </c>
      <c r="M5511" s="460">
        <f t="shared" si="209"/>
        <v>0.05</v>
      </c>
      <c r="N5511" s="464">
        <f t="shared" si="210"/>
        <v>218783</v>
      </c>
    </row>
    <row r="5512" spans="7:14" ht="11.25" customHeight="1" x14ac:dyDescent="0.25">
      <c r="G5512" s="459"/>
      <c r="H5512" s="459">
        <v>5505</v>
      </c>
      <c r="I5512" s="444">
        <f t="shared" ca="1" si="208"/>
        <v>-4025153316015227.5</v>
      </c>
      <c r="J5512" s="444">
        <f t="array" ref="J5512">IFERROR(INDEX('Retirement Calculator'!J:J,MATCH('Isaac 401k'!N5512,'Retirement Calculator'!A:A,0),0),0)</f>
        <v>0</v>
      </c>
      <c r="K5512" s="444">
        <f t="shared" ca="1" si="206"/>
        <v>-16771472150063.447</v>
      </c>
      <c r="L5512" s="444">
        <f t="shared" ca="1" si="207"/>
        <v>-4041924788165291</v>
      </c>
      <c r="M5512" s="460">
        <f t="shared" si="209"/>
        <v>0.05</v>
      </c>
      <c r="N5512" s="464">
        <f t="shared" si="210"/>
        <v>218814</v>
      </c>
    </row>
    <row r="5513" spans="7:14" ht="11.25" customHeight="1" x14ac:dyDescent="0.25">
      <c r="G5513" s="459"/>
      <c r="H5513" s="459">
        <v>5506</v>
      </c>
      <c r="I5513" s="444">
        <f t="shared" ca="1" si="208"/>
        <v>-4041924788165291</v>
      </c>
      <c r="J5513" s="444">
        <f t="array" ref="J5513">IFERROR(INDEX('Retirement Calculator'!J:J,MATCH('Isaac 401k'!N5513,'Retirement Calculator'!A:A,0),0),0)</f>
        <v>0</v>
      </c>
      <c r="K5513" s="444">
        <f t="shared" ca="1" si="206"/>
        <v>-16841353284022.045</v>
      </c>
      <c r="L5513" s="444">
        <f t="shared" ca="1" si="207"/>
        <v>-4058766141449313</v>
      </c>
      <c r="M5513" s="460">
        <f t="shared" si="209"/>
        <v>0.05</v>
      </c>
      <c r="N5513" s="464">
        <f t="shared" si="210"/>
        <v>218842</v>
      </c>
    </row>
    <row r="5514" spans="7:14" ht="11.25" customHeight="1" x14ac:dyDescent="0.25">
      <c r="G5514" s="459"/>
      <c r="H5514" s="459">
        <v>5507</v>
      </c>
      <c r="I5514" s="444">
        <f t="shared" ca="1" si="208"/>
        <v>-4058766141449313</v>
      </c>
      <c r="J5514" s="444">
        <f t="array" ref="J5514">IFERROR(INDEX('Retirement Calculator'!J:J,MATCH('Isaac 401k'!N5514,'Retirement Calculator'!A:A,0),0),0)</f>
        <v>0</v>
      </c>
      <c r="K5514" s="444">
        <f t="shared" ca="1" si="206"/>
        <v>-16911525589372.137</v>
      </c>
      <c r="L5514" s="444">
        <f t="shared" ca="1" si="207"/>
        <v>-4075677667038685</v>
      </c>
      <c r="M5514" s="460">
        <f t="shared" si="209"/>
        <v>0.05</v>
      </c>
      <c r="N5514" s="464">
        <f t="shared" si="210"/>
        <v>218873</v>
      </c>
    </row>
    <row r="5515" spans="7:14" ht="11.25" customHeight="1" x14ac:dyDescent="0.25">
      <c r="G5515" s="459"/>
      <c r="H5515" s="459">
        <v>5508</v>
      </c>
      <c r="I5515" s="444">
        <f t="shared" ca="1" si="208"/>
        <v>-4075677667038685</v>
      </c>
      <c r="J5515" s="444">
        <f t="array" ref="J5515">IFERROR(INDEX('Retirement Calculator'!J:J,MATCH('Isaac 401k'!N5515,'Retirement Calculator'!A:A,0),0),0)</f>
        <v>0</v>
      </c>
      <c r="K5515" s="444">
        <f t="shared" ca="1" si="206"/>
        <v>-16981990279327.852</v>
      </c>
      <c r="L5515" s="444">
        <f t="shared" ca="1" si="207"/>
        <v>-4092659657318013</v>
      </c>
      <c r="M5515" s="460">
        <f t="shared" si="209"/>
        <v>0.05</v>
      </c>
      <c r="N5515" s="464">
        <f t="shared" si="210"/>
        <v>218903</v>
      </c>
    </row>
    <row r="5516" spans="7:14" ht="11.25" customHeight="1" x14ac:dyDescent="0.25">
      <c r="G5516" s="459"/>
      <c r="H5516" s="459">
        <v>5509</v>
      </c>
      <c r="I5516" s="444">
        <f t="shared" ca="1" si="208"/>
        <v>-4092659657318013</v>
      </c>
      <c r="J5516" s="444">
        <f t="array" ref="J5516">IFERROR(INDEX('Retirement Calculator'!J:J,MATCH('Isaac 401k'!N5516,'Retirement Calculator'!A:A,0),0),0)</f>
        <v>0</v>
      </c>
      <c r="K5516" s="444">
        <f t="shared" ca="1" si="206"/>
        <v>-17052748572158.387</v>
      </c>
      <c r="L5516" s="444">
        <f t="shared" ca="1" si="207"/>
        <v>-4109712405890171.5</v>
      </c>
      <c r="M5516" s="460">
        <f t="shared" si="209"/>
        <v>0.05</v>
      </c>
      <c r="N5516" s="464">
        <f t="shared" si="210"/>
        <v>218934</v>
      </c>
    </row>
    <row r="5517" spans="7:14" ht="11.25" customHeight="1" x14ac:dyDescent="0.25">
      <c r="G5517" s="459"/>
      <c r="H5517" s="459">
        <v>5510</v>
      </c>
      <c r="I5517" s="444">
        <f t="shared" ca="1" si="208"/>
        <v>-4109712405890171.5</v>
      </c>
      <c r="J5517" s="444">
        <f t="array" ref="J5517">IFERROR(INDEX('Retirement Calculator'!J:J,MATCH('Isaac 401k'!N5517,'Retirement Calculator'!A:A,0),0),0)</f>
        <v>0</v>
      </c>
      <c r="K5517" s="444">
        <f t="shared" ca="1" si="206"/>
        <v>-17123801691209.045</v>
      </c>
      <c r="L5517" s="444">
        <f t="shared" ca="1" si="207"/>
        <v>-4126836207581380.5</v>
      </c>
      <c r="M5517" s="460">
        <f t="shared" si="209"/>
        <v>0.05</v>
      </c>
      <c r="N5517" s="464">
        <f t="shared" si="210"/>
        <v>218964</v>
      </c>
    </row>
    <row r="5518" spans="7:14" ht="11.25" customHeight="1" x14ac:dyDescent="0.25">
      <c r="G5518" s="459"/>
      <c r="H5518" s="459">
        <v>5511</v>
      </c>
      <c r="I5518" s="444">
        <f t="shared" ca="1" si="208"/>
        <v>-4126836207581380.5</v>
      </c>
      <c r="J5518" s="444">
        <f t="array" ref="J5518">IFERROR(INDEX('Retirement Calculator'!J:J,MATCH('Isaac 401k'!N5518,'Retirement Calculator'!A:A,0),0),0)</f>
        <v>0</v>
      </c>
      <c r="K5518" s="444">
        <f t="shared" ca="1" si="206"/>
        <v>-17195150864922.418</v>
      </c>
      <c r="L5518" s="444">
        <f t="shared" ca="1" si="207"/>
        <v>-4144031358446303</v>
      </c>
      <c r="M5518" s="460">
        <f t="shared" si="209"/>
        <v>0.05</v>
      </c>
      <c r="N5518" s="464">
        <f t="shared" si="210"/>
        <v>218995</v>
      </c>
    </row>
    <row r="5519" spans="7:14" ht="11.25" customHeight="1" x14ac:dyDescent="0.25">
      <c r="G5519" s="459"/>
      <c r="H5519" s="459">
        <v>5512</v>
      </c>
      <c r="I5519" s="444">
        <f t="shared" ca="1" si="208"/>
        <v>-4144031358446303</v>
      </c>
      <c r="J5519" s="444">
        <f t="array" ref="J5519">IFERROR(INDEX('Retirement Calculator'!J:J,MATCH('Isaac 401k'!N5519,'Retirement Calculator'!A:A,0),0),0)</f>
        <v>0</v>
      </c>
      <c r="K5519" s="444">
        <f t="shared" ca="1" si="206"/>
        <v>-17266797326859.596</v>
      </c>
      <c r="L5519" s="444">
        <f t="shared" ca="1" si="207"/>
        <v>-4161298155773162.5</v>
      </c>
      <c r="M5519" s="460">
        <f t="shared" si="209"/>
        <v>0.05</v>
      </c>
      <c r="N5519" s="464">
        <f t="shared" si="210"/>
        <v>219026</v>
      </c>
    </row>
    <row r="5520" spans="7:14" ht="11.25" customHeight="1" x14ac:dyDescent="0.25">
      <c r="G5520" s="459"/>
      <c r="H5520" s="459">
        <v>5513</v>
      </c>
      <c r="I5520" s="444">
        <f t="shared" ca="1" si="208"/>
        <v>-4161298155773162.5</v>
      </c>
      <c r="J5520" s="444">
        <f t="array" ref="J5520">IFERROR(INDEX('Retirement Calculator'!J:J,MATCH('Isaac 401k'!N5520,'Retirement Calculator'!A:A,0),0),0)</f>
        <v>0</v>
      </c>
      <c r="K5520" s="444">
        <f t="shared" ca="1" si="206"/>
        <v>-17338742315721.51</v>
      </c>
      <c r="L5520" s="444">
        <f t="shared" ca="1" si="207"/>
        <v>-4178636898088884</v>
      </c>
      <c r="M5520" s="460">
        <f t="shared" si="209"/>
        <v>0.05</v>
      </c>
      <c r="N5520" s="464">
        <f t="shared" si="210"/>
        <v>219056</v>
      </c>
    </row>
    <row r="5521" spans="7:14" ht="11.25" customHeight="1" x14ac:dyDescent="0.25">
      <c r="G5521" s="459"/>
      <c r="H5521" s="459">
        <v>5514</v>
      </c>
      <c r="I5521" s="444">
        <f t="shared" ca="1" si="208"/>
        <v>-4178636898088884</v>
      </c>
      <c r="J5521" s="444">
        <f t="array" ref="J5521">IFERROR(INDEX('Retirement Calculator'!J:J,MATCH('Isaac 401k'!N5521,'Retirement Calculator'!A:A,0),0),0)</f>
        <v>0</v>
      </c>
      <c r="K5521" s="444">
        <f t="shared" ca="1" si="206"/>
        <v>-17410987075370.35</v>
      </c>
      <c r="L5521" s="444">
        <f t="shared" ca="1" si="207"/>
        <v>-4196047885164254.5</v>
      </c>
      <c r="M5521" s="460">
        <f t="shared" si="209"/>
        <v>0.05</v>
      </c>
      <c r="N5521" s="464">
        <f t="shared" si="210"/>
        <v>219087</v>
      </c>
    </row>
    <row r="5522" spans="7:14" ht="11.25" customHeight="1" x14ac:dyDescent="0.25">
      <c r="G5522" s="459"/>
      <c r="H5522" s="459">
        <v>5515</v>
      </c>
      <c r="I5522" s="444">
        <f t="shared" ca="1" si="208"/>
        <v>-4196047885164254.5</v>
      </c>
      <c r="J5522" s="444">
        <f t="array" ref="J5522">IFERROR(INDEX('Retirement Calculator'!J:J,MATCH('Isaac 401k'!N5522,'Retirement Calculator'!A:A,0),0),0)</f>
        <v>0</v>
      </c>
      <c r="K5522" s="444">
        <f t="shared" ca="1" si="206"/>
        <v>-17483532854851.061</v>
      </c>
      <c r="L5522" s="444">
        <f t="shared" ca="1" si="207"/>
        <v>-4213531418019105.5</v>
      </c>
      <c r="M5522" s="460">
        <f t="shared" si="209"/>
        <v>0.05</v>
      </c>
      <c r="N5522" s="464">
        <f t="shared" si="210"/>
        <v>219117</v>
      </c>
    </row>
    <row r="5523" spans="7:14" ht="11.25" customHeight="1" x14ac:dyDescent="0.25">
      <c r="G5523" s="459"/>
      <c r="H5523" s="459">
        <v>5516</v>
      </c>
      <c r="I5523" s="444">
        <f t="shared" ca="1" si="208"/>
        <v>-4213531418019105.5</v>
      </c>
      <c r="J5523" s="444">
        <f t="array" ref="J5523">IFERROR(INDEX('Retirement Calculator'!J:J,MATCH('Isaac 401k'!N5523,'Retirement Calculator'!A:A,0),0),0)</f>
        <v>0</v>
      </c>
      <c r="K5523" s="444">
        <f t="shared" ca="1" si="206"/>
        <v>-17556380908412.939</v>
      </c>
      <c r="L5523" s="444">
        <f t="shared" ca="1" si="207"/>
        <v>-4231087798927518.5</v>
      </c>
      <c r="M5523" s="460">
        <f t="shared" si="209"/>
        <v>0.05</v>
      </c>
      <c r="N5523" s="464">
        <f t="shared" si="210"/>
        <v>219148</v>
      </c>
    </row>
    <row r="5524" spans="7:14" ht="11.25" customHeight="1" x14ac:dyDescent="0.25">
      <c r="G5524" s="459"/>
      <c r="H5524" s="459">
        <v>5517</v>
      </c>
      <c r="I5524" s="444">
        <f t="shared" ca="1" si="208"/>
        <v>-4231087798927518.5</v>
      </c>
      <c r="J5524" s="444">
        <f t="array" ref="J5524">IFERROR(INDEX('Retirement Calculator'!J:J,MATCH('Isaac 401k'!N5524,'Retirement Calculator'!A:A,0),0),0)</f>
        <v>0</v>
      </c>
      <c r="K5524" s="444">
        <f t="shared" ca="1" si="206"/>
        <v>-17629532495531.328</v>
      </c>
      <c r="L5524" s="444">
        <f t="shared" ca="1" si="207"/>
        <v>-4248717331423050</v>
      </c>
      <c r="M5524" s="460">
        <f t="shared" si="209"/>
        <v>0.05</v>
      </c>
      <c r="N5524" s="464">
        <f t="shared" si="210"/>
        <v>219179</v>
      </c>
    </row>
    <row r="5525" spans="7:14" ht="11.25" customHeight="1" x14ac:dyDescent="0.25">
      <c r="G5525" s="459"/>
      <c r="H5525" s="459">
        <v>5518</v>
      </c>
      <c r="I5525" s="444">
        <f t="shared" ca="1" si="208"/>
        <v>-4248717331423050</v>
      </c>
      <c r="J5525" s="444">
        <f t="array" ref="J5525">IFERROR(INDEX('Retirement Calculator'!J:J,MATCH('Isaac 401k'!N5525,'Retirement Calculator'!A:A,0),0),0)</f>
        <v>0</v>
      </c>
      <c r="K5525" s="444">
        <f t="shared" ca="1" si="206"/>
        <v>-17702988880929.375</v>
      </c>
      <c r="L5525" s="444">
        <f t="shared" ca="1" si="207"/>
        <v>-4266420320303979.5</v>
      </c>
      <c r="M5525" s="460">
        <f t="shared" si="209"/>
        <v>0.05</v>
      </c>
      <c r="N5525" s="464">
        <f t="shared" si="210"/>
        <v>219207</v>
      </c>
    </row>
    <row r="5526" spans="7:14" ht="11.25" customHeight="1" x14ac:dyDescent="0.25">
      <c r="G5526" s="459"/>
      <c r="H5526" s="459">
        <v>5519</v>
      </c>
      <c r="I5526" s="444">
        <f t="shared" ca="1" si="208"/>
        <v>-4266420320303979.5</v>
      </c>
      <c r="J5526" s="444">
        <f t="array" ref="J5526">IFERROR(INDEX('Retirement Calculator'!J:J,MATCH('Isaac 401k'!N5526,'Retirement Calculator'!A:A,0),0),0)</f>
        <v>0</v>
      </c>
      <c r="K5526" s="444">
        <f t="shared" ca="1" si="206"/>
        <v>-17776751334599.914</v>
      </c>
      <c r="L5526" s="444">
        <f t="shared" ca="1" si="207"/>
        <v>-4284197071638579.5</v>
      </c>
      <c r="M5526" s="460">
        <f t="shared" si="209"/>
        <v>0.05</v>
      </c>
      <c r="N5526" s="464">
        <f t="shared" si="210"/>
        <v>219238</v>
      </c>
    </row>
    <row r="5527" spans="7:14" ht="11.25" customHeight="1" x14ac:dyDescent="0.25">
      <c r="G5527" s="459"/>
      <c r="H5527" s="459">
        <v>5520</v>
      </c>
      <c r="I5527" s="444">
        <f t="shared" ca="1" si="208"/>
        <v>-4284197071638579.5</v>
      </c>
      <c r="J5527" s="444">
        <f t="array" ref="J5527">IFERROR(INDEX('Retirement Calculator'!J:J,MATCH('Isaac 401k'!N5527,'Retirement Calculator'!A:A,0),0),0)</f>
        <v>0</v>
      </c>
      <c r="K5527" s="444">
        <f t="shared" ca="1" si="206"/>
        <v>-17850821131827.418</v>
      </c>
      <c r="L5527" s="444">
        <f t="shared" ca="1" si="207"/>
        <v>-4302047892770407</v>
      </c>
      <c r="M5527" s="460">
        <f t="shared" si="209"/>
        <v>0.05</v>
      </c>
      <c r="N5527" s="464">
        <f t="shared" si="210"/>
        <v>219268</v>
      </c>
    </row>
    <row r="5528" spans="7:14" ht="11.25" customHeight="1" x14ac:dyDescent="0.25">
      <c r="G5528" s="459"/>
      <c r="H5528" s="459">
        <v>5521</v>
      </c>
      <c r="I5528" s="444">
        <f t="shared" ca="1" si="208"/>
        <v>-4302047892770407</v>
      </c>
      <c r="J5528" s="444">
        <f t="array" ref="J5528">IFERROR(INDEX('Retirement Calculator'!J:J,MATCH('Isaac 401k'!N5528,'Retirement Calculator'!A:A,0),0),0)</f>
        <v>0</v>
      </c>
      <c r="K5528" s="444">
        <f t="shared" ca="1" si="206"/>
        <v>-17925199553210.027</v>
      </c>
      <c r="L5528" s="444">
        <f t="shared" ca="1" si="207"/>
        <v>-4319973092323617</v>
      </c>
      <c r="M5528" s="460">
        <f t="shared" si="209"/>
        <v>0.05</v>
      </c>
      <c r="N5528" s="464">
        <f t="shared" si="210"/>
        <v>219299</v>
      </c>
    </row>
    <row r="5529" spans="7:14" ht="11.25" customHeight="1" x14ac:dyDescent="0.25">
      <c r="G5529" s="459"/>
      <c r="H5529" s="459">
        <v>5522</v>
      </c>
      <c r="I5529" s="444">
        <f t="shared" ca="1" si="208"/>
        <v>-4319973092323617</v>
      </c>
      <c r="J5529" s="444">
        <f t="array" ref="J5529">IFERROR(INDEX('Retirement Calculator'!J:J,MATCH('Isaac 401k'!N5529,'Retirement Calculator'!A:A,0),0),0)</f>
        <v>0</v>
      </c>
      <c r="K5529" s="444">
        <f t="shared" ca="1" si="206"/>
        <v>-17999887884681.738</v>
      </c>
      <c r="L5529" s="444">
        <f t="shared" ca="1" si="207"/>
        <v>-4337972980208298.5</v>
      </c>
      <c r="M5529" s="460">
        <f t="shared" si="209"/>
        <v>0.05</v>
      </c>
      <c r="N5529" s="464">
        <f t="shared" si="210"/>
        <v>219329</v>
      </c>
    </row>
    <row r="5530" spans="7:14" ht="11.25" customHeight="1" x14ac:dyDescent="0.25">
      <c r="G5530" s="459"/>
      <c r="H5530" s="459">
        <v>5523</v>
      </c>
      <c r="I5530" s="444">
        <f t="shared" ca="1" si="208"/>
        <v>-4337972980208298.5</v>
      </c>
      <c r="J5530" s="444">
        <f t="array" ref="J5530">IFERROR(INDEX('Retirement Calculator'!J:J,MATCH('Isaac 401k'!N5530,'Retirement Calculator'!A:A,0),0),0)</f>
        <v>0</v>
      </c>
      <c r="K5530" s="444">
        <f t="shared" ca="1" si="206"/>
        <v>-18074887417534.578</v>
      </c>
      <c r="L5530" s="444">
        <f t="shared" ca="1" si="207"/>
        <v>-4356047867625833</v>
      </c>
      <c r="M5530" s="460">
        <f t="shared" si="209"/>
        <v>0.05</v>
      </c>
      <c r="N5530" s="464">
        <f t="shared" si="210"/>
        <v>219360</v>
      </c>
    </row>
    <row r="5531" spans="7:14" ht="11.25" customHeight="1" x14ac:dyDescent="0.25">
      <c r="G5531" s="459"/>
      <c r="H5531" s="459">
        <v>5524</v>
      </c>
      <c r="I5531" s="444">
        <f t="shared" ca="1" si="208"/>
        <v>-4356047867625833</v>
      </c>
      <c r="J5531" s="444">
        <f t="array" ref="J5531">IFERROR(INDEX('Retirement Calculator'!J:J,MATCH('Isaac 401k'!N5531,'Retirement Calculator'!A:A,0),0),0)</f>
        <v>0</v>
      </c>
      <c r="K5531" s="444">
        <f t="shared" ca="1" si="206"/>
        <v>-18150199448440.973</v>
      </c>
      <c r="L5531" s="444">
        <f t="shared" ca="1" si="207"/>
        <v>-4374198067074274</v>
      </c>
      <c r="M5531" s="460">
        <f t="shared" si="209"/>
        <v>0.05</v>
      </c>
      <c r="N5531" s="464">
        <f t="shared" si="210"/>
        <v>219391</v>
      </c>
    </row>
    <row r="5532" spans="7:14" ht="11.25" customHeight="1" x14ac:dyDescent="0.25">
      <c r="G5532" s="459"/>
      <c r="H5532" s="459">
        <v>5525</v>
      </c>
      <c r="I5532" s="444">
        <f t="shared" ca="1" si="208"/>
        <v>-4374198067074274</v>
      </c>
      <c r="J5532" s="444">
        <f t="array" ref="J5532">IFERROR(INDEX('Retirement Calculator'!J:J,MATCH('Isaac 401k'!N5532,'Retirement Calculator'!A:A,0),0),0)</f>
        <v>0</v>
      </c>
      <c r="K5532" s="444">
        <f t="shared" ca="1" si="206"/>
        <v>-18225825279476.141</v>
      </c>
      <c r="L5532" s="444">
        <f t="shared" ca="1" si="207"/>
        <v>-4392423892353750</v>
      </c>
      <c r="M5532" s="460">
        <f t="shared" si="209"/>
        <v>0.05</v>
      </c>
      <c r="N5532" s="464">
        <f t="shared" si="210"/>
        <v>219421</v>
      </c>
    </row>
    <row r="5533" spans="7:14" ht="11.25" customHeight="1" x14ac:dyDescent="0.25">
      <c r="G5533" s="459"/>
      <c r="H5533" s="459">
        <v>5526</v>
      </c>
      <c r="I5533" s="444">
        <f t="shared" ca="1" si="208"/>
        <v>-4392423892353750</v>
      </c>
      <c r="J5533" s="444">
        <f t="array" ref="J5533">IFERROR(INDEX('Retirement Calculator'!J:J,MATCH('Isaac 401k'!N5533,'Retirement Calculator'!A:A,0),0),0)</f>
        <v>0</v>
      </c>
      <c r="K5533" s="444">
        <f t="shared" ca="1" si="206"/>
        <v>-18301766218140.621</v>
      </c>
      <c r="L5533" s="444">
        <f t="shared" ca="1" si="207"/>
        <v>-4410725658571890.5</v>
      </c>
      <c r="M5533" s="460">
        <f t="shared" si="209"/>
        <v>0.05</v>
      </c>
      <c r="N5533" s="464">
        <f t="shared" si="210"/>
        <v>219452</v>
      </c>
    </row>
    <row r="5534" spans="7:14" ht="11.25" customHeight="1" x14ac:dyDescent="0.25">
      <c r="G5534" s="459"/>
      <c r="H5534" s="459">
        <v>5527</v>
      </c>
      <c r="I5534" s="444">
        <f t="shared" ca="1" si="208"/>
        <v>-4410725658571890.5</v>
      </c>
      <c r="J5534" s="444">
        <f t="array" ref="J5534">IFERROR(INDEX('Retirement Calculator'!J:J,MATCH('Isaac 401k'!N5534,'Retirement Calculator'!A:A,0),0),0)</f>
        <v>0</v>
      </c>
      <c r="K5534" s="444">
        <f t="shared" ca="1" si="206"/>
        <v>-18378023577382.875</v>
      </c>
      <c r="L5534" s="444">
        <f t="shared" ca="1" si="207"/>
        <v>-4429103682149273.5</v>
      </c>
      <c r="M5534" s="460">
        <f t="shared" si="209"/>
        <v>0.05</v>
      </c>
      <c r="N5534" s="464">
        <f t="shared" si="210"/>
        <v>219482</v>
      </c>
    </row>
    <row r="5535" spans="7:14" ht="11.25" customHeight="1" x14ac:dyDescent="0.25">
      <c r="G5535" s="459"/>
      <c r="H5535" s="459">
        <v>5528</v>
      </c>
      <c r="I5535" s="444">
        <f t="shared" ca="1" si="208"/>
        <v>-4429103682149273.5</v>
      </c>
      <c r="J5535" s="444">
        <f t="array" ref="J5535">IFERROR(INDEX('Retirement Calculator'!J:J,MATCH('Isaac 401k'!N5535,'Retirement Calculator'!A:A,0),0),0)</f>
        <v>0</v>
      </c>
      <c r="K5535" s="444">
        <f t="shared" ca="1" si="206"/>
        <v>-18454598675621.977</v>
      </c>
      <c r="L5535" s="444">
        <f t="shared" ca="1" si="207"/>
        <v>-4447558280824895.5</v>
      </c>
      <c r="M5535" s="460">
        <f t="shared" si="209"/>
        <v>0.05</v>
      </c>
      <c r="N5535" s="464">
        <f t="shared" si="210"/>
        <v>219513</v>
      </c>
    </row>
    <row r="5536" spans="7:14" ht="11.25" customHeight="1" x14ac:dyDescent="0.25">
      <c r="G5536" s="459"/>
      <c r="H5536" s="459">
        <v>5529</v>
      </c>
      <c r="I5536" s="444">
        <f t="shared" ca="1" si="208"/>
        <v>-4447558280824895.5</v>
      </c>
      <c r="J5536" s="444">
        <f t="array" ref="J5536">IFERROR(INDEX('Retirement Calculator'!J:J,MATCH('Isaac 401k'!N5536,'Retirement Calculator'!A:A,0),0),0)</f>
        <v>0</v>
      </c>
      <c r="K5536" s="444">
        <f t="shared" ca="1" si="206"/>
        <v>-18531492836770.398</v>
      </c>
      <c r="L5536" s="444">
        <f t="shared" ca="1" si="207"/>
        <v>-4466089773661666</v>
      </c>
      <c r="M5536" s="460">
        <f t="shared" si="209"/>
        <v>0.05</v>
      </c>
      <c r="N5536" s="464">
        <f t="shared" si="210"/>
        <v>219544</v>
      </c>
    </row>
    <row r="5537" spans="7:14" ht="11.25" customHeight="1" x14ac:dyDescent="0.25">
      <c r="G5537" s="459"/>
      <c r="H5537" s="459">
        <v>5530</v>
      </c>
      <c r="I5537" s="444">
        <f t="shared" ca="1" si="208"/>
        <v>-4466089773661666</v>
      </c>
      <c r="J5537" s="444">
        <f t="array" ref="J5537">IFERROR(INDEX('Retirement Calculator'!J:J,MATCH('Isaac 401k'!N5537,'Retirement Calculator'!A:A,0),0),0)</f>
        <v>0</v>
      </c>
      <c r="K5537" s="444">
        <f t="shared" ca="1" si="206"/>
        <v>-18608707390256.938</v>
      </c>
      <c r="L5537" s="444">
        <f t="shared" ca="1" si="207"/>
        <v>-4484698481051923</v>
      </c>
      <c r="M5537" s="460">
        <f t="shared" si="209"/>
        <v>0.05</v>
      </c>
      <c r="N5537" s="464">
        <f t="shared" si="210"/>
        <v>219572</v>
      </c>
    </row>
    <row r="5538" spans="7:14" ht="11.25" customHeight="1" x14ac:dyDescent="0.25">
      <c r="G5538" s="459"/>
      <c r="H5538" s="459">
        <v>5531</v>
      </c>
      <c r="I5538" s="444">
        <f t="shared" ca="1" si="208"/>
        <v>-4484698481051923</v>
      </c>
      <c r="J5538" s="444">
        <f t="array" ref="J5538">IFERROR(INDEX('Retirement Calculator'!J:J,MATCH('Isaac 401k'!N5538,'Retirement Calculator'!A:A,0),0),0)</f>
        <v>0</v>
      </c>
      <c r="K5538" s="444">
        <f t="shared" ca="1" si="206"/>
        <v>-18686243671049.676</v>
      </c>
      <c r="L5538" s="444">
        <f t="shared" ca="1" si="207"/>
        <v>-4503384724722972.5</v>
      </c>
      <c r="M5538" s="460">
        <f t="shared" si="209"/>
        <v>0.05</v>
      </c>
      <c r="N5538" s="464">
        <f t="shared" si="210"/>
        <v>219603</v>
      </c>
    </row>
    <row r="5539" spans="7:14" ht="11.25" customHeight="1" x14ac:dyDescent="0.25">
      <c r="G5539" s="459"/>
      <c r="H5539" s="459">
        <v>5532</v>
      </c>
      <c r="I5539" s="444">
        <f t="shared" ca="1" si="208"/>
        <v>-4503384724722972.5</v>
      </c>
      <c r="J5539" s="444">
        <f t="array" ref="J5539">IFERROR(INDEX('Retirement Calculator'!J:J,MATCH('Isaac 401k'!N5539,'Retirement Calculator'!A:A,0),0),0)</f>
        <v>0</v>
      </c>
      <c r="K5539" s="444">
        <f t="shared" ca="1" si="206"/>
        <v>-18764103019679.051</v>
      </c>
      <c r="L5539" s="444">
        <f t="shared" ca="1" si="207"/>
        <v>-4522148827742652</v>
      </c>
      <c r="M5539" s="460">
        <f t="shared" si="209"/>
        <v>0.05</v>
      </c>
      <c r="N5539" s="464">
        <f t="shared" si="210"/>
        <v>219633</v>
      </c>
    </row>
    <row r="5540" spans="7:14" ht="11.25" customHeight="1" x14ac:dyDescent="0.25">
      <c r="G5540" s="459"/>
      <c r="H5540" s="459">
        <v>5533</v>
      </c>
      <c r="I5540" s="444">
        <f t="shared" ca="1" si="208"/>
        <v>-4522148827742652</v>
      </c>
      <c r="J5540" s="444">
        <f t="array" ref="J5540">IFERROR(INDEX('Retirement Calculator'!J:J,MATCH('Isaac 401k'!N5540,'Retirement Calculator'!A:A,0),0),0)</f>
        <v>0</v>
      </c>
      <c r="K5540" s="444">
        <f t="shared" ca="1" si="206"/>
        <v>-18842286782261.051</v>
      </c>
      <c r="L5540" s="444">
        <f t="shared" ca="1" si="207"/>
        <v>-4540991114524913</v>
      </c>
      <c r="M5540" s="460">
        <f t="shared" si="209"/>
        <v>0.05</v>
      </c>
      <c r="N5540" s="464">
        <f t="shared" si="210"/>
        <v>219664</v>
      </c>
    </row>
    <row r="5541" spans="7:14" ht="11.25" customHeight="1" x14ac:dyDescent="0.25">
      <c r="G5541" s="459"/>
      <c r="H5541" s="459">
        <v>5534</v>
      </c>
      <c r="I5541" s="444">
        <f t="shared" ca="1" si="208"/>
        <v>-4540991114524913</v>
      </c>
      <c r="J5541" s="444">
        <f t="array" ref="J5541">IFERROR(INDEX('Retirement Calculator'!J:J,MATCH('Isaac 401k'!N5541,'Retirement Calculator'!A:A,0),0),0)</f>
        <v>0</v>
      </c>
      <c r="K5541" s="444">
        <f t="shared" ca="1" si="206"/>
        <v>-18920796310520.469</v>
      </c>
      <c r="L5541" s="444">
        <f t="shared" ca="1" si="207"/>
        <v>-4559911910835433</v>
      </c>
      <c r="M5541" s="460">
        <f t="shared" si="209"/>
        <v>0.05</v>
      </c>
      <c r="N5541" s="464">
        <f t="shared" si="210"/>
        <v>219694</v>
      </c>
    </row>
    <row r="5542" spans="7:14" ht="11.25" customHeight="1" x14ac:dyDescent="0.25">
      <c r="G5542" s="459"/>
      <c r="H5542" s="459">
        <v>5535</v>
      </c>
      <c r="I5542" s="444">
        <f t="shared" ca="1" si="208"/>
        <v>-4559911910835433</v>
      </c>
      <c r="J5542" s="444">
        <f t="array" ref="J5542">IFERROR(INDEX('Retirement Calculator'!J:J,MATCH('Isaac 401k'!N5542,'Retirement Calculator'!A:A,0),0),0)</f>
        <v>0</v>
      </c>
      <c r="K5542" s="444">
        <f t="shared" ca="1" si="206"/>
        <v>-18999632961814.305</v>
      </c>
      <c r="L5542" s="444">
        <f t="shared" ca="1" si="207"/>
        <v>-4578911543797247</v>
      </c>
      <c r="M5542" s="460">
        <f t="shared" si="209"/>
        <v>0.05</v>
      </c>
      <c r="N5542" s="464">
        <f t="shared" si="210"/>
        <v>219725</v>
      </c>
    </row>
    <row r="5543" spans="7:14" ht="11.25" customHeight="1" x14ac:dyDescent="0.25">
      <c r="G5543" s="459"/>
      <c r="H5543" s="459">
        <v>5536</v>
      </c>
      <c r="I5543" s="444">
        <f t="shared" ca="1" si="208"/>
        <v>-4578911543797247</v>
      </c>
      <c r="J5543" s="444">
        <f t="array" ref="J5543">IFERROR(INDEX('Retirement Calculator'!J:J,MATCH('Isaac 401k'!N5543,'Retirement Calculator'!A:A,0),0),0)</f>
        <v>0</v>
      </c>
      <c r="K5543" s="444">
        <f t="shared" ca="1" si="206"/>
        <v>-19078798099155.195</v>
      </c>
      <c r="L5543" s="444">
        <f t="shared" ca="1" si="207"/>
        <v>-4597990341896402</v>
      </c>
      <c r="M5543" s="460">
        <f t="shared" si="209"/>
        <v>0.05</v>
      </c>
      <c r="N5543" s="464">
        <f t="shared" si="210"/>
        <v>219756</v>
      </c>
    </row>
    <row r="5544" spans="7:14" ht="11.25" customHeight="1" x14ac:dyDescent="0.25">
      <c r="G5544" s="459"/>
      <c r="H5544" s="459">
        <v>5537</v>
      </c>
      <c r="I5544" s="444">
        <f t="shared" ca="1" si="208"/>
        <v>-4597990341896402</v>
      </c>
      <c r="J5544" s="444">
        <f t="array" ref="J5544">IFERROR(INDEX('Retirement Calculator'!J:J,MATCH('Isaac 401k'!N5544,'Retirement Calculator'!A:A,0),0),0)</f>
        <v>0</v>
      </c>
      <c r="K5544" s="444">
        <f t="shared" ca="1" si="206"/>
        <v>-19158293091235.008</v>
      </c>
      <c r="L5544" s="444">
        <f t="shared" ca="1" si="207"/>
        <v>-4617148634987637</v>
      </c>
      <c r="M5544" s="460">
        <f t="shared" si="209"/>
        <v>0.05</v>
      </c>
      <c r="N5544" s="464">
        <f t="shared" si="210"/>
        <v>219786</v>
      </c>
    </row>
    <row r="5545" spans="7:14" ht="11.25" customHeight="1" x14ac:dyDescent="0.25">
      <c r="G5545" s="459"/>
      <c r="H5545" s="459">
        <v>5538</v>
      </c>
      <c r="I5545" s="444">
        <f t="shared" ca="1" si="208"/>
        <v>-4617148634987637</v>
      </c>
      <c r="J5545" s="444">
        <f t="array" ref="J5545">IFERROR(INDEX('Retirement Calculator'!J:J,MATCH('Isaac 401k'!N5545,'Retirement Calculator'!A:A,0),0),0)</f>
        <v>0</v>
      </c>
      <c r="K5545" s="444">
        <f t="shared" ca="1" si="206"/>
        <v>-19238119312448.488</v>
      </c>
      <c r="L5545" s="444">
        <f t="shared" ca="1" si="207"/>
        <v>-4636386754300085</v>
      </c>
      <c r="M5545" s="460">
        <f t="shared" si="209"/>
        <v>0.05</v>
      </c>
      <c r="N5545" s="464">
        <f t="shared" si="210"/>
        <v>219817</v>
      </c>
    </row>
    <row r="5546" spans="7:14" ht="11.25" customHeight="1" x14ac:dyDescent="0.25">
      <c r="G5546" s="459"/>
      <c r="H5546" s="459">
        <v>5539</v>
      </c>
      <c r="I5546" s="444">
        <f t="shared" ca="1" si="208"/>
        <v>-4636386754300085</v>
      </c>
      <c r="J5546" s="444">
        <f t="array" ref="J5546">IFERROR(INDEX('Retirement Calculator'!J:J,MATCH('Isaac 401k'!N5546,'Retirement Calculator'!A:A,0),0),0)</f>
        <v>0</v>
      </c>
      <c r="K5546" s="444">
        <f t="shared" ca="1" si="206"/>
        <v>-19318278142917.02</v>
      </c>
      <c r="L5546" s="444">
        <f t="shared" ca="1" si="207"/>
        <v>-4655705032443002</v>
      </c>
      <c r="M5546" s="460">
        <f t="shared" si="209"/>
        <v>0.05</v>
      </c>
      <c r="N5546" s="464">
        <f t="shared" si="210"/>
        <v>219847</v>
      </c>
    </row>
    <row r="5547" spans="7:14" ht="11.25" customHeight="1" x14ac:dyDescent="0.25">
      <c r="G5547" s="459"/>
      <c r="H5547" s="459">
        <v>5540</v>
      </c>
      <c r="I5547" s="444">
        <f t="shared" ca="1" si="208"/>
        <v>-4655705032443002</v>
      </c>
      <c r="J5547" s="444">
        <f t="array" ref="J5547">IFERROR(INDEX('Retirement Calculator'!J:J,MATCH('Isaac 401k'!N5547,'Retirement Calculator'!A:A,0),0),0)</f>
        <v>0</v>
      </c>
      <c r="K5547" s="444">
        <f t="shared" ca="1" si="206"/>
        <v>-19398770968512.508</v>
      </c>
      <c r="L5547" s="444">
        <f t="shared" ca="1" si="207"/>
        <v>-4675103803411515</v>
      </c>
      <c r="M5547" s="460">
        <f t="shared" si="209"/>
        <v>0.05</v>
      </c>
      <c r="N5547" s="464">
        <f t="shared" si="210"/>
        <v>219878</v>
      </c>
    </row>
    <row r="5548" spans="7:14" ht="11.25" customHeight="1" x14ac:dyDescent="0.25">
      <c r="G5548" s="459"/>
      <c r="H5548" s="459">
        <v>5541</v>
      </c>
      <c r="I5548" s="444">
        <f t="shared" ca="1" si="208"/>
        <v>-4675103803411515</v>
      </c>
      <c r="J5548" s="444">
        <f t="array" ref="J5548">IFERROR(INDEX('Retirement Calculator'!J:J,MATCH('Isaac 401k'!N5548,'Retirement Calculator'!A:A,0),0),0)</f>
        <v>0</v>
      </c>
      <c r="K5548" s="444">
        <f t="shared" ca="1" si="206"/>
        <v>-19479599180881.313</v>
      </c>
      <c r="L5548" s="444">
        <f t="shared" ca="1" si="207"/>
        <v>-4694583402592396</v>
      </c>
      <c r="M5548" s="460">
        <f t="shared" si="209"/>
        <v>0.05</v>
      </c>
      <c r="N5548" s="464">
        <f t="shared" si="210"/>
        <v>219909</v>
      </c>
    </row>
    <row r="5549" spans="7:14" ht="11.25" customHeight="1" x14ac:dyDescent="0.25">
      <c r="G5549" s="459"/>
      <c r="H5549" s="459">
        <v>5542</v>
      </c>
      <c r="I5549" s="444">
        <f t="shared" ca="1" si="208"/>
        <v>-4694583402592396</v>
      </c>
      <c r="J5549" s="444">
        <f t="array" ref="J5549">IFERROR(INDEX('Retirement Calculator'!J:J,MATCH('Isaac 401k'!N5549,'Retirement Calculator'!A:A,0),0),0)</f>
        <v>0</v>
      </c>
      <c r="K5549" s="444">
        <f t="shared" ca="1" si="206"/>
        <v>-19560764177468.316</v>
      </c>
      <c r="L5549" s="444">
        <f t="shared" ca="1" si="207"/>
        <v>-4714144166769864</v>
      </c>
      <c r="M5549" s="460">
        <f t="shared" si="209"/>
        <v>0.05</v>
      </c>
      <c r="N5549" s="464">
        <f t="shared" si="210"/>
        <v>219937</v>
      </c>
    </row>
    <row r="5550" spans="7:14" ht="11.25" customHeight="1" x14ac:dyDescent="0.25">
      <c r="G5550" s="459"/>
      <c r="H5550" s="459">
        <v>5543</v>
      </c>
      <c r="I5550" s="444">
        <f t="shared" ca="1" si="208"/>
        <v>-4714144166769864</v>
      </c>
      <c r="J5550" s="444">
        <f t="array" ref="J5550">IFERROR(INDEX('Retirement Calculator'!J:J,MATCH('Isaac 401k'!N5550,'Retirement Calculator'!A:A,0),0),0)</f>
        <v>0</v>
      </c>
      <c r="K5550" s="444">
        <f t="shared" ca="1" si="206"/>
        <v>-19642267361541.102</v>
      </c>
      <c r="L5550" s="444">
        <f t="shared" ca="1" si="207"/>
        <v>-4733786434131405</v>
      </c>
      <c r="M5550" s="460">
        <f t="shared" si="209"/>
        <v>0.05</v>
      </c>
      <c r="N5550" s="464">
        <f t="shared" si="210"/>
        <v>219968</v>
      </c>
    </row>
    <row r="5551" spans="7:14" ht="11.25" customHeight="1" x14ac:dyDescent="0.25">
      <c r="G5551" s="459"/>
      <c r="H5551" s="459">
        <v>5544</v>
      </c>
      <c r="I5551" s="444">
        <f t="shared" ca="1" si="208"/>
        <v>-4733786434131405</v>
      </c>
      <c r="J5551" s="444">
        <f t="array" ref="J5551">IFERROR(INDEX('Retirement Calculator'!J:J,MATCH('Isaac 401k'!N5551,'Retirement Calculator'!A:A,0),0),0)</f>
        <v>0</v>
      </c>
      <c r="K5551" s="444">
        <f t="shared" ca="1" si="206"/>
        <v>-19724110142214.188</v>
      </c>
      <c r="L5551" s="444">
        <f t="shared" ca="1" si="207"/>
        <v>-4753510544273619</v>
      </c>
      <c r="M5551" s="460">
        <f t="shared" si="209"/>
        <v>0.05</v>
      </c>
      <c r="N5551" s="464">
        <f t="shared" si="210"/>
        <v>219998</v>
      </c>
    </row>
    <row r="5552" spans="7:14" ht="11.25" customHeight="1" x14ac:dyDescent="0.25">
      <c r="G5552" s="459"/>
      <c r="H5552" s="459">
        <v>5545</v>
      </c>
      <c r="I5552" s="444">
        <f t="shared" ca="1" si="208"/>
        <v>-4753510544273619</v>
      </c>
      <c r="J5552" s="444">
        <f t="array" ref="J5552">IFERROR(INDEX('Retirement Calculator'!J:J,MATCH('Isaac 401k'!N5552,'Retirement Calculator'!A:A,0),0),0)</f>
        <v>0</v>
      </c>
      <c r="K5552" s="444">
        <f t="shared" ca="1" si="206"/>
        <v>-19806293934473.414</v>
      </c>
      <c r="L5552" s="444">
        <f t="shared" ca="1" si="207"/>
        <v>-4773316838208092</v>
      </c>
      <c r="M5552" s="460">
        <f t="shared" si="209"/>
        <v>0.05</v>
      </c>
      <c r="N5552" s="464">
        <f t="shared" si="210"/>
        <v>220029</v>
      </c>
    </row>
    <row r="5553" spans="7:14" ht="11.25" customHeight="1" x14ac:dyDescent="0.25">
      <c r="G5553" s="459"/>
      <c r="H5553" s="459">
        <v>5546</v>
      </c>
      <c r="I5553" s="444">
        <f t="shared" ca="1" si="208"/>
        <v>-4773316838208092</v>
      </c>
      <c r="J5553" s="444">
        <f t="array" ref="J5553">IFERROR(INDEX('Retirement Calculator'!J:J,MATCH('Isaac 401k'!N5553,'Retirement Calculator'!A:A,0),0),0)</f>
        <v>0</v>
      </c>
      <c r="K5553" s="444">
        <f t="shared" ca="1" si="206"/>
        <v>-19888820159200.383</v>
      </c>
      <c r="L5553" s="444">
        <f t="shared" ca="1" si="207"/>
        <v>-4793205658367292</v>
      </c>
      <c r="M5553" s="460">
        <f t="shared" si="209"/>
        <v>0.05</v>
      </c>
      <c r="N5553" s="464">
        <f t="shared" si="210"/>
        <v>220059</v>
      </c>
    </row>
    <row r="5554" spans="7:14" ht="11.25" customHeight="1" x14ac:dyDescent="0.25">
      <c r="G5554" s="459"/>
      <c r="H5554" s="459">
        <v>5547</v>
      </c>
      <c r="I5554" s="444">
        <f t="shared" ca="1" si="208"/>
        <v>-4793205658367292</v>
      </c>
      <c r="J5554" s="444">
        <f t="array" ref="J5554">IFERROR(INDEX('Retirement Calculator'!J:J,MATCH('Isaac 401k'!N5554,'Retirement Calculator'!A:A,0),0),0)</f>
        <v>0</v>
      </c>
      <c r="K5554" s="444">
        <f t="shared" ca="1" si="206"/>
        <v>-19971690243197.051</v>
      </c>
      <c r="L5554" s="444">
        <f t="shared" ca="1" si="207"/>
        <v>-4813177348610489</v>
      </c>
      <c r="M5554" s="460">
        <f t="shared" si="209"/>
        <v>0.05</v>
      </c>
      <c r="N5554" s="464">
        <f t="shared" si="210"/>
        <v>220090</v>
      </c>
    </row>
    <row r="5555" spans="7:14" ht="11.25" customHeight="1" x14ac:dyDescent="0.25">
      <c r="G5555" s="459"/>
      <c r="H5555" s="459">
        <v>5548</v>
      </c>
      <c r="I5555" s="444">
        <f t="shared" ca="1" si="208"/>
        <v>-4813177348610489</v>
      </c>
      <c r="J5555" s="444">
        <f t="array" ref="J5555">IFERROR(INDEX('Retirement Calculator'!J:J,MATCH('Isaac 401k'!N5555,'Retirement Calculator'!A:A,0),0),0)</f>
        <v>0</v>
      </c>
      <c r="K5555" s="444">
        <f t="shared" ca="1" si="206"/>
        <v>-20054905619210.371</v>
      </c>
      <c r="L5555" s="444">
        <f t="shared" ca="1" si="207"/>
        <v>-4833232254229699</v>
      </c>
      <c r="M5555" s="460">
        <f t="shared" si="209"/>
        <v>0.05</v>
      </c>
      <c r="N5555" s="464">
        <f t="shared" si="210"/>
        <v>220121</v>
      </c>
    </row>
    <row r="5556" spans="7:14" ht="11.25" customHeight="1" x14ac:dyDescent="0.25">
      <c r="G5556" s="459"/>
      <c r="H5556" s="459">
        <v>5549</v>
      </c>
      <c r="I5556" s="444">
        <f t="shared" ca="1" si="208"/>
        <v>-4833232254229699</v>
      </c>
      <c r="J5556" s="444">
        <f t="array" ref="J5556">IFERROR(INDEX('Retirement Calculator'!J:J,MATCH('Isaac 401k'!N5556,'Retirement Calculator'!A:A,0),0),0)</f>
        <v>0</v>
      </c>
      <c r="K5556" s="444">
        <f t="shared" ca="1" si="206"/>
        <v>-20138467725957.078</v>
      </c>
      <c r="L5556" s="444">
        <f t="shared" ca="1" si="207"/>
        <v>-4853370721955656</v>
      </c>
      <c r="M5556" s="460">
        <f t="shared" si="209"/>
        <v>0.05</v>
      </c>
      <c r="N5556" s="464">
        <f t="shared" si="210"/>
        <v>220151</v>
      </c>
    </row>
    <row r="5557" spans="7:14" ht="11.25" customHeight="1" x14ac:dyDescent="0.25">
      <c r="G5557" s="459"/>
      <c r="H5557" s="459">
        <v>5550</v>
      </c>
      <c r="I5557" s="444">
        <f t="shared" ca="1" si="208"/>
        <v>-4853370721955656</v>
      </c>
      <c r="J5557" s="444">
        <f t="array" ref="J5557">IFERROR(INDEX('Retirement Calculator'!J:J,MATCH('Isaac 401k'!N5557,'Retirement Calculator'!A:A,0),0),0)</f>
        <v>0</v>
      </c>
      <c r="K5557" s="444">
        <f t="shared" ca="1" si="206"/>
        <v>-20222378008148.566</v>
      </c>
      <c r="L5557" s="444">
        <f t="shared" ca="1" si="207"/>
        <v>-4873593099963805</v>
      </c>
      <c r="M5557" s="460">
        <f t="shared" si="209"/>
        <v>0.05</v>
      </c>
      <c r="N5557" s="464">
        <f t="shared" si="210"/>
        <v>220182</v>
      </c>
    </row>
    <row r="5558" spans="7:14" ht="11.25" customHeight="1" x14ac:dyDescent="0.25">
      <c r="G5558" s="459"/>
      <c r="H5558" s="459">
        <v>5551</v>
      </c>
      <c r="I5558" s="444">
        <f t="shared" ca="1" si="208"/>
        <v>-4873593099963805</v>
      </c>
      <c r="J5558" s="444">
        <f t="array" ref="J5558">IFERROR(INDEX('Retirement Calculator'!J:J,MATCH('Isaac 401k'!N5558,'Retirement Calculator'!A:A,0),0),0)</f>
        <v>0</v>
      </c>
      <c r="K5558" s="444">
        <f t="shared" ca="1" si="206"/>
        <v>-20306637916515.855</v>
      </c>
      <c r="L5558" s="444">
        <f t="shared" ca="1" si="207"/>
        <v>-4893899737880321</v>
      </c>
      <c r="M5558" s="460">
        <f t="shared" si="209"/>
        <v>0.05</v>
      </c>
      <c r="N5558" s="464">
        <f t="shared" si="210"/>
        <v>220212</v>
      </c>
    </row>
    <row r="5559" spans="7:14" ht="11.25" customHeight="1" x14ac:dyDescent="0.25">
      <c r="G5559" s="459"/>
      <c r="H5559" s="459">
        <v>5552</v>
      </c>
      <c r="I5559" s="444">
        <f t="shared" ca="1" si="208"/>
        <v>-4893899737880321</v>
      </c>
      <c r="J5559" s="444">
        <f t="array" ref="J5559">IFERROR(INDEX('Retirement Calculator'!J:J,MATCH('Isaac 401k'!N5559,'Retirement Calculator'!A:A,0),0),0)</f>
        <v>0</v>
      </c>
      <c r="K5559" s="444">
        <f t="shared" ca="1" si="206"/>
        <v>-20391248907834.672</v>
      </c>
      <c r="L5559" s="444">
        <f t="shared" ca="1" si="207"/>
        <v>-4914290986788156</v>
      </c>
      <c r="M5559" s="460">
        <f t="shared" si="209"/>
        <v>0.05</v>
      </c>
      <c r="N5559" s="464">
        <f t="shared" si="210"/>
        <v>220243</v>
      </c>
    </row>
    <row r="5560" spans="7:14" ht="11.25" customHeight="1" x14ac:dyDescent="0.25">
      <c r="G5560" s="459"/>
      <c r="H5560" s="459">
        <v>5553</v>
      </c>
      <c r="I5560" s="444">
        <f t="shared" ca="1" si="208"/>
        <v>-4914290986788156</v>
      </c>
      <c r="J5560" s="444">
        <f t="array" ref="J5560">IFERROR(INDEX('Retirement Calculator'!J:J,MATCH('Isaac 401k'!N5560,'Retirement Calculator'!A:A,0),0),0)</f>
        <v>0</v>
      </c>
      <c r="K5560" s="444">
        <f t="shared" ca="1" si="206"/>
        <v>-20476212444950.648</v>
      </c>
      <c r="L5560" s="444">
        <f t="shared" ca="1" si="207"/>
        <v>-4934767199233107</v>
      </c>
      <c r="M5560" s="460">
        <f t="shared" si="209"/>
        <v>0.05</v>
      </c>
      <c r="N5560" s="464">
        <f t="shared" si="210"/>
        <v>220274</v>
      </c>
    </row>
    <row r="5561" spans="7:14" ht="11.25" customHeight="1" x14ac:dyDescent="0.25">
      <c r="G5561" s="459"/>
      <c r="H5561" s="459">
        <v>5554</v>
      </c>
      <c r="I5561" s="444">
        <f t="shared" ca="1" si="208"/>
        <v>-4934767199233107</v>
      </c>
      <c r="J5561" s="444">
        <f t="array" ref="J5561">IFERROR(INDEX('Retirement Calculator'!J:J,MATCH('Isaac 401k'!N5561,'Retirement Calculator'!A:A,0),0),0)</f>
        <v>0</v>
      </c>
      <c r="K5561" s="444">
        <f t="shared" ca="1" si="206"/>
        <v>-20561529996804.613</v>
      </c>
      <c r="L5561" s="444">
        <f t="shared" ca="1" si="207"/>
        <v>-4955328729229912</v>
      </c>
      <c r="M5561" s="460">
        <f t="shared" si="209"/>
        <v>0.05</v>
      </c>
      <c r="N5561" s="464">
        <f t="shared" si="210"/>
        <v>220302</v>
      </c>
    </row>
    <row r="5562" spans="7:14" ht="11.25" customHeight="1" x14ac:dyDescent="0.25">
      <c r="G5562" s="459"/>
      <c r="H5562" s="459">
        <v>5555</v>
      </c>
      <c r="I5562" s="444">
        <f t="shared" ca="1" si="208"/>
        <v>-4955328729229912</v>
      </c>
      <c r="J5562" s="444">
        <f t="array" ref="J5562">IFERROR(INDEX('Retirement Calculator'!J:J,MATCH('Isaac 401k'!N5562,'Retirement Calculator'!A:A,0),0),0)</f>
        <v>0</v>
      </c>
      <c r="K5562" s="444">
        <f t="shared" ca="1" si="206"/>
        <v>-20647203038457.965</v>
      </c>
      <c r="L5562" s="444">
        <f t="shared" ca="1" si="207"/>
        <v>-4975975932268370</v>
      </c>
      <c r="M5562" s="460">
        <f t="shared" si="209"/>
        <v>0.05</v>
      </c>
      <c r="N5562" s="464">
        <f t="shared" si="210"/>
        <v>220333</v>
      </c>
    </row>
    <row r="5563" spans="7:14" ht="11.25" customHeight="1" x14ac:dyDescent="0.25">
      <c r="G5563" s="459"/>
      <c r="H5563" s="459">
        <v>5556</v>
      </c>
      <c r="I5563" s="444">
        <f t="shared" ca="1" si="208"/>
        <v>-4975975932268370</v>
      </c>
      <c r="J5563" s="444">
        <f t="array" ref="J5563">IFERROR(INDEX('Retirement Calculator'!J:J,MATCH('Isaac 401k'!N5563,'Retirement Calculator'!A:A,0),0),0)</f>
        <v>0</v>
      </c>
      <c r="K5563" s="444">
        <f t="shared" ca="1" si="206"/>
        <v>-20733233051118.207</v>
      </c>
      <c r="L5563" s="444">
        <f t="shared" ca="1" si="207"/>
        <v>-4996709165319488</v>
      </c>
      <c r="M5563" s="460">
        <f t="shared" si="209"/>
        <v>0.05</v>
      </c>
      <c r="N5563" s="464">
        <f t="shared" si="210"/>
        <v>220363</v>
      </c>
    </row>
    <row r="5564" spans="7:14" ht="11.25" customHeight="1" x14ac:dyDescent="0.25">
      <c r="G5564" s="459"/>
      <c r="H5564" s="459">
        <v>5557</v>
      </c>
      <c r="I5564" s="444">
        <f t="shared" ca="1" si="208"/>
        <v>-4996709165319488</v>
      </c>
      <c r="J5564" s="444">
        <f t="array" ref="J5564">IFERROR(INDEX('Retirement Calculator'!J:J,MATCH('Isaac 401k'!N5564,'Retirement Calculator'!A:A,0),0),0)</f>
        <v>0</v>
      </c>
      <c r="K5564" s="444">
        <f t="shared" ca="1" si="206"/>
        <v>-20819621522164.531</v>
      </c>
      <c r="L5564" s="444">
        <f t="shared" ca="1" si="207"/>
        <v>-5017528786841653</v>
      </c>
      <c r="M5564" s="460">
        <f t="shared" si="209"/>
        <v>0.05</v>
      </c>
      <c r="N5564" s="464">
        <f t="shared" si="210"/>
        <v>220394</v>
      </c>
    </row>
    <row r="5565" spans="7:14" ht="11.25" customHeight="1" x14ac:dyDescent="0.25">
      <c r="G5565" s="459"/>
      <c r="H5565" s="459">
        <v>5558</v>
      </c>
      <c r="I5565" s="444">
        <f t="shared" ca="1" si="208"/>
        <v>-5017528786841653</v>
      </c>
      <c r="J5565" s="444">
        <f t="array" ref="J5565">IFERROR(INDEX('Retirement Calculator'!J:J,MATCH('Isaac 401k'!N5565,'Retirement Calculator'!A:A,0),0),0)</f>
        <v>0</v>
      </c>
      <c r="K5565" s="444">
        <f t="shared" ca="1" si="206"/>
        <v>-20906369945173.555</v>
      </c>
      <c r="L5565" s="444">
        <f t="shared" ca="1" si="207"/>
        <v>-5038435156786827</v>
      </c>
      <c r="M5565" s="460">
        <f t="shared" si="209"/>
        <v>0.05</v>
      </c>
      <c r="N5565" s="464">
        <f t="shared" si="210"/>
        <v>220424</v>
      </c>
    </row>
    <row r="5566" spans="7:14" ht="11.25" customHeight="1" x14ac:dyDescent="0.25">
      <c r="G5566" s="459"/>
      <c r="H5566" s="459">
        <v>5559</v>
      </c>
      <c r="I5566" s="444">
        <f t="shared" ca="1" si="208"/>
        <v>-5038435156786827</v>
      </c>
      <c r="J5566" s="444">
        <f t="array" ref="J5566">IFERROR(INDEX('Retirement Calculator'!J:J,MATCH('Isaac 401k'!N5566,'Retirement Calculator'!A:A,0),0),0)</f>
        <v>0</v>
      </c>
      <c r="K5566" s="444">
        <f t="shared" ca="1" si="206"/>
        <v>-20993479819945.113</v>
      </c>
      <c r="L5566" s="444">
        <f t="shared" ca="1" si="207"/>
        <v>-5059428636606772</v>
      </c>
      <c r="M5566" s="460">
        <f t="shared" si="209"/>
        <v>0.05</v>
      </c>
      <c r="N5566" s="464">
        <f t="shared" si="210"/>
        <v>220455</v>
      </c>
    </row>
    <row r="5567" spans="7:14" ht="11.25" customHeight="1" x14ac:dyDescent="0.25">
      <c r="G5567" s="459"/>
      <c r="H5567" s="459">
        <v>5560</v>
      </c>
      <c r="I5567" s="444">
        <f t="shared" ca="1" si="208"/>
        <v>-5059428636606772</v>
      </c>
      <c r="J5567" s="444">
        <f t="array" ref="J5567">IFERROR(INDEX('Retirement Calculator'!J:J,MATCH('Isaac 401k'!N5567,'Retirement Calculator'!A:A,0),0),0)</f>
        <v>0</v>
      </c>
      <c r="K5567" s="444">
        <f t="shared" ca="1" si="206"/>
        <v>-21080952652528.215</v>
      </c>
      <c r="L5567" s="444">
        <f t="shared" ca="1" si="207"/>
        <v>-5080509589259300</v>
      </c>
      <c r="M5567" s="460">
        <f t="shared" si="209"/>
        <v>0.05</v>
      </c>
      <c r="N5567" s="464">
        <f t="shared" si="210"/>
        <v>220486</v>
      </c>
    </row>
    <row r="5568" spans="7:14" ht="11.25" customHeight="1" x14ac:dyDescent="0.25">
      <c r="G5568" s="459"/>
      <c r="H5568" s="459">
        <v>5561</v>
      </c>
      <c r="I5568" s="444">
        <f t="shared" ca="1" si="208"/>
        <v>-5080509589259300</v>
      </c>
      <c r="J5568" s="444">
        <f t="array" ref="J5568">IFERROR(INDEX('Retirement Calculator'!J:J,MATCH('Isaac 401k'!N5568,'Retirement Calculator'!A:A,0),0),0)</f>
        <v>0</v>
      </c>
      <c r="K5568" s="444">
        <f t="shared" ca="1" si="206"/>
        <v>-21168789955247.082</v>
      </c>
      <c r="L5568" s="444">
        <f t="shared" ca="1" si="207"/>
        <v>-5101678379214547</v>
      </c>
      <c r="M5568" s="460">
        <f t="shared" si="209"/>
        <v>0.05</v>
      </c>
      <c r="N5568" s="464">
        <f t="shared" si="210"/>
        <v>220516</v>
      </c>
    </row>
    <row r="5569" spans="7:14" ht="11.25" customHeight="1" x14ac:dyDescent="0.25">
      <c r="G5569" s="459"/>
      <c r="H5569" s="459">
        <v>5562</v>
      </c>
      <c r="I5569" s="444">
        <f t="shared" ca="1" si="208"/>
        <v>-5101678379214547</v>
      </c>
      <c r="J5569" s="444">
        <f t="array" ref="J5569">IFERROR(INDEX('Retirement Calculator'!J:J,MATCH('Isaac 401k'!N5569,'Retirement Calculator'!A:A,0),0),0)</f>
        <v>0</v>
      </c>
      <c r="K5569" s="444">
        <f t="shared" ca="1" si="206"/>
        <v>-21256993246727.277</v>
      </c>
      <c r="L5569" s="444">
        <f t="shared" ca="1" si="207"/>
        <v>-5122935372461274</v>
      </c>
      <c r="M5569" s="460">
        <f t="shared" si="209"/>
        <v>0.05</v>
      </c>
      <c r="N5569" s="464">
        <f t="shared" si="210"/>
        <v>220547</v>
      </c>
    </row>
    <row r="5570" spans="7:14" ht="11.25" customHeight="1" x14ac:dyDescent="0.25">
      <c r="G5570" s="459"/>
      <c r="H5570" s="459">
        <v>5563</v>
      </c>
      <c r="I5570" s="444">
        <f t="shared" ca="1" si="208"/>
        <v>-5122935372461274</v>
      </c>
      <c r="J5570" s="444">
        <f t="array" ref="J5570">IFERROR(INDEX('Retirement Calculator'!J:J,MATCH('Isaac 401k'!N5570,'Retirement Calculator'!A:A,0),0),0)</f>
        <v>0</v>
      </c>
      <c r="K5570" s="444">
        <f t="shared" ca="1" si="206"/>
        <v>-21345564051921.977</v>
      </c>
      <c r="L5570" s="444">
        <f t="shared" ca="1" si="207"/>
        <v>-5144280936513196</v>
      </c>
      <c r="M5570" s="460">
        <f t="shared" si="209"/>
        <v>0.05</v>
      </c>
      <c r="N5570" s="464">
        <f t="shared" si="210"/>
        <v>220577</v>
      </c>
    </row>
    <row r="5571" spans="7:14" ht="11.25" customHeight="1" x14ac:dyDescent="0.25">
      <c r="G5571" s="459"/>
      <c r="H5571" s="459">
        <v>5564</v>
      </c>
      <c r="I5571" s="444">
        <f t="shared" ca="1" si="208"/>
        <v>-5144280936513196</v>
      </c>
      <c r="J5571" s="444">
        <f t="array" ref="J5571">IFERROR(INDEX('Retirement Calculator'!J:J,MATCH('Isaac 401k'!N5571,'Retirement Calculator'!A:A,0),0),0)</f>
        <v>0</v>
      </c>
      <c r="K5571" s="444">
        <f t="shared" ca="1" si="206"/>
        <v>-21434503902138.316</v>
      </c>
      <c r="L5571" s="444">
        <f t="shared" ca="1" si="207"/>
        <v>-5165715440415334</v>
      </c>
      <c r="M5571" s="460">
        <f t="shared" si="209"/>
        <v>0.05</v>
      </c>
      <c r="N5571" s="464">
        <f t="shared" si="210"/>
        <v>220608</v>
      </c>
    </row>
    <row r="5572" spans="7:14" ht="11.25" customHeight="1" x14ac:dyDescent="0.25">
      <c r="G5572" s="459"/>
      <c r="H5572" s="459">
        <v>5565</v>
      </c>
      <c r="I5572" s="444">
        <f t="shared" ca="1" si="208"/>
        <v>-5165715440415334</v>
      </c>
      <c r="J5572" s="444">
        <f t="array" ref="J5572">IFERROR(INDEX('Retirement Calculator'!J:J,MATCH('Isaac 401k'!N5572,'Retirement Calculator'!A:A,0),0),0)</f>
        <v>0</v>
      </c>
      <c r="K5572" s="444">
        <f t="shared" ca="1" si="206"/>
        <v>-21523814335063.891</v>
      </c>
      <c r="L5572" s="444">
        <f t="shared" ca="1" si="207"/>
        <v>-5187239254750398</v>
      </c>
      <c r="M5572" s="460">
        <f t="shared" si="209"/>
        <v>0.05</v>
      </c>
      <c r="N5572" s="464">
        <f t="shared" si="210"/>
        <v>220639</v>
      </c>
    </row>
    <row r="5573" spans="7:14" ht="11.25" customHeight="1" x14ac:dyDescent="0.25">
      <c r="G5573" s="459"/>
      <c r="H5573" s="459">
        <v>5566</v>
      </c>
      <c r="I5573" s="444">
        <f t="shared" ca="1" si="208"/>
        <v>-5187239254750398</v>
      </c>
      <c r="J5573" s="444">
        <f t="array" ref="J5573">IFERROR(INDEX('Retirement Calculator'!J:J,MATCH('Isaac 401k'!N5573,'Retirement Calculator'!A:A,0),0),0)</f>
        <v>0</v>
      </c>
      <c r="K5573" s="444">
        <f t="shared" ca="1" si="206"/>
        <v>-21613496894793.324</v>
      </c>
      <c r="L5573" s="444">
        <f t="shared" ca="1" si="207"/>
        <v>-5208852751645191</v>
      </c>
      <c r="M5573" s="460">
        <f t="shared" si="209"/>
        <v>0.05</v>
      </c>
      <c r="N5573" s="464">
        <f t="shared" si="210"/>
        <v>220668</v>
      </c>
    </row>
    <row r="5574" spans="7:14" ht="11.25" customHeight="1" x14ac:dyDescent="0.25">
      <c r="G5574" s="459"/>
      <c r="H5574" s="459">
        <v>5567</v>
      </c>
      <c r="I5574" s="444">
        <f t="shared" ca="1" si="208"/>
        <v>-5208852751645191</v>
      </c>
      <c r="J5574" s="444">
        <f t="array" ref="J5574">IFERROR(INDEX('Retirement Calculator'!J:J,MATCH('Isaac 401k'!N5574,'Retirement Calculator'!A:A,0),0),0)</f>
        <v>0</v>
      </c>
      <c r="K5574" s="444">
        <f t="shared" ca="1" si="206"/>
        <v>-21703553131854.961</v>
      </c>
      <c r="L5574" s="444">
        <f t="shared" ca="1" si="207"/>
        <v>-5230556304777046</v>
      </c>
      <c r="M5574" s="460">
        <f t="shared" si="209"/>
        <v>0.05</v>
      </c>
      <c r="N5574" s="464">
        <f t="shared" si="210"/>
        <v>220699</v>
      </c>
    </row>
    <row r="5575" spans="7:14" ht="11.25" customHeight="1" x14ac:dyDescent="0.25">
      <c r="G5575" s="459"/>
      <c r="H5575" s="459">
        <v>5568</v>
      </c>
      <c r="I5575" s="444">
        <f t="shared" ca="1" si="208"/>
        <v>-5230556304777046</v>
      </c>
      <c r="J5575" s="444">
        <f t="array" ref="J5575">IFERROR(INDEX('Retirement Calculator'!J:J,MATCH('Isaac 401k'!N5575,'Retirement Calculator'!A:A,0),0),0)</f>
        <v>0</v>
      </c>
      <c r="K5575" s="444">
        <f t="shared" ca="1" si="206"/>
        <v>-21793984603237.691</v>
      </c>
      <c r="L5575" s="444">
        <f t="shared" ca="1" si="207"/>
        <v>-5252350289380284</v>
      </c>
      <c r="M5575" s="460">
        <f t="shared" si="209"/>
        <v>0.05</v>
      </c>
      <c r="N5575" s="464">
        <f t="shared" si="210"/>
        <v>220729</v>
      </c>
    </row>
    <row r="5576" spans="7:14" ht="11.25" customHeight="1" x14ac:dyDescent="0.25">
      <c r="G5576" s="459"/>
      <c r="H5576" s="459">
        <v>5569</v>
      </c>
      <c r="I5576" s="444">
        <f t="shared" ca="1" si="208"/>
        <v>-5252350289380284</v>
      </c>
      <c r="J5576" s="444">
        <f t="array" ref="J5576">IFERROR(INDEX('Retirement Calculator'!J:J,MATCH('Isaac 401k'!N5576,'Retirement Calculator'!A:A,0),0),0)</f>
        <v>0</v>
      </c>
      <c r="K5576" s="444">
        <f t="shared" ca="1" si="206"/>
        <v>-21884792872417.852</v>
      </c>
      <c r="L5576" s="444">
        <f t="shared" ca="1" si="207"/>
        <v>-5274235082252702</v>
      </c>
      <c r="M5576" s="460">
        <f t="shared" si="209"/>
        <v>0.05</v>
      </c>
      <c r="N5576" s="464">
        <f t="shared" si="210"/>
        <v>220760</v>
      </c>
    </row>
    <row r="5577" spans="7:14" ht="11.25" customHeight="1" x14ac:dyDescent="0.25">
      <c r="G5577" s="459"/>
      <c r="H5577" s="459">
        <v>5570</v>
      </c>
      <c r="I5577" s="444">
        <f t="shared" ca="1" si="208"/>
        <v>-5274235082252702</v>
      </c>
      <c r="J5577" s="444">
        <f t="array" ref="J5577">IFERROR(INDEX('Retirement Calculator'!J:J,MATCH('Isaac 401k'!N5577,'Retirement Calculator'!A:A,0),0),0)</f>
        <v>0</v>
      </c>
      <c r="K5577" s="444">
        <f t="shared" ca="1" si="206"/>
        <v>-21975979509386.258</v>
      </c>
      <c r="L5577" s="444">
        <f t="shared" ca="1" si="207"/>
        <v>-5296211061762088</v>
      </c>
      <c r="M5577" s="460">
        <f t="shared" si="209"/>
        <v>0.05</v>
      </c>
      <c r="N5577" s="464">
        <f t="shared" si="210"/>
        <v>220790</v>
      </c>
    </row>
    <row r="5578" spans="7:14" ht="11.25" customHeight="1" x14ac:dyDescent="0.25">
      <c r="G5578" s="459"/>
      <c r="H5578" s="459">
        <v>5571</v>
      </c>
      <c r="I5578" s="444">
        <f t="shared" ca="1" si="208"/>
        <v>-5296211061762088</v>
      </c>
      <c r="J5578" s="444">
        <f t="array" ref="J5578">IFERROR(INDEX('Retirement Calculator'!J:J,MATCH('Isaac 401k'!N5578,'Retirement Calculator'!A:A,0),0),0)</f>
        <v>0</v>
      </c>
      <c r="K5578" s="444">
        <f t="shared" ca="1" si="206"/>
        <v>-22067546090675.367</v>
      </c>
      <c r="L5578" s="444">
        <f t="shared" ca="1" si="207"/>
        <v>-5318278607852763</v>
      </c>
      <c r="M5578" s="460">
        <f t="shared" si="209"/>
        <v>0.05</v>
      </c>
      <c r="N5578" s="464">
        <f t="shared" si="210"/>
        <v>220821</v>
      </c>
    </row>
    <row r="5579" spans="7:14" ht="11.25" customHeight="1" x14ac:dyDescent="0.25">
      <c r="G5579" s="459"/>
      <c r="H5579" s="459">
        <v>5572</v>
      </c>
      <c r="I5579" s="444">
        <f t="shared" ca="1" si="208"/>
        <v>-5318278607852763</v>
      </c>
      <c r="J5579" s="444">
        <f t="array" ref="J5579">IFERROR(INDEX('Retirement Calculator'!J:J,MATCH('Isaac 401k'!N5579,'Retirement Calculator'!A:A,0),0),0)</f>
        <v>0</v>
      </c>
      <c r="K5579" s="444">
        <f t="shared" ca="1" si="206"/>
        <v>-22159494199386.512</v>
      </c>
      <c r="L5579" s="444">
        <f t="shared" ca="1" si="207"/>
        <v>-5340438102052150</v>
      </c>
      <c r="M5579" s="460">
        <f t="shared" si="209"/>
        <v>0.05</v>
      </c>
      <c r="N5579" s="464">
        <f t="shared" si="210"/>
        <v>220852</v>
      </c>
    </row>
    <row r="5580" spans="7:14" ht="11.25" customHeight="1" x14ac:dyDescent="0.25">
      <c r="G5580" s="459"/>
      <c r="H5580" s="459">
        <v>5573</v>
      </c>
      <c r="I5580" s="444">
        <f t="shared" ca="1" si="208"/>
        <v>-5340438102052150</v>
      </c>
      <c r="J5580" s="444">
        <f t="array" ref="J5580">IFERROR(INDEX('Retirement Calculator'!J:J,MATCH('Isaac 401k'!N5580,'Retirement Calculator'!A:A,0),0),0)</f>
        <v>0</v>
      </c>
      <c r="K5580" s="444">
        <f t="shared" ca="1" si="206"/>
        <v>-22251825425217.293</v>
      </c>
      <c r="L5580" s="444">
        <f t="shared" ca="1" si="207"/>
        <v>-5362689927477367</v>
      </c>
      <c r="M5580" s="460">
        <f t="shared" si="209"/>
        <v>0.05</v>
      </c>
      <c r="N5580" s="464">
        <f t="shared" si="210"/>
        <v>220882</v>
      </c>
    </row>
    <row r="5581" spans="7:14" ht="11.25" customHeight="1" x14ac:dyDescent="0.25">
      <c r="G5581" s="459"/>
      <c r="H5581" s="459">
        <v>5574</v>
      </c>
      <c r="I5581" s="444">
        <f t="shared" ca="1" si="208"/>
        <v>-5362689927477367</v>
      </c>
      <c r="J5581" s="444">
        <f t="array" ref="J5581">IFERROR(INDEX('Retirement Calculator'!J:J,MATCH('Isaac 401k'!N5581,'Retirement Calculator'!A:A,0),0),0)</f>
        <v>0</v>
      </c>
      <c r="K5581" s="444">
        <f t="shared" ca="1" si="206"/>
        <v>-22344541364489.027</v>
      </c>
      <c r="L5581" s="444">
        <f t="shared" ca="1" si="207"/>
        <v>-5385034468841856</v>
      </c>
      <c r="M5581" s="460">
        <f t="shared" si="209"/>
        <v>0.05</v>
      </c>
      <c r="N5581" s="464">
        <f t="shared" si="210"/>
        <v>220913</v>
      </c>
    </row>
    <row r="5582" spans="7:14" ht="11.25" customHeight="1" x14ac:dyDescent="0.25">
      <c r="G5582" s="459"/>
      <c r="H5582" s="459">
        <v>5575</v>
      </c>
      <c r="I5582" s="444">
        <f t="shared" ca="1" si="208"/>
        <v>-5385034468841856</v>
      </c>
      <c r="J5582" s="444">
        <f t="array" ref="J5582">IFERROR(INDEX('Retirement Calculator'!J:J,MATCH('Isaac 401k'!N5582,'Retirement Calculator'!A:A,0),0),0)</f>
        <v>0</v>
      </c>
      <c r="K5582" s="444">
        <f t="shared" ca="1" si="206"/>
        <v>-22437643620174.398</v>
      </c>
      <c r="L5582" s="444">
        <f t="shared" ca="1" si="207"/>
        <v>-5407472112462030</v>
      </c>
      <c r="M5582" s="460">
        <f t="shared" si="209"/>
        <v>0.05</v>
      </c>
      <c r="N5582" s="464">
        <f t="shared" si="210"/>
        <v>220943</v>
      </c>
    </row>
    <row r="5583" spans="7:14" ht="11.25" customHeight="1" x14ac:dyDescent="0.25">
      <c r="G5583" s="459"/>
      <c r="H5583" s="459">
        <v>5576</v>
      </c>
      <c r="I5583" s="444">
        <f t="shared" ca="1" si="208"/>
        <v>-5407472112462030</v>
      </c>
      <c r="J5583" s="444">
        <f t="array" ref="J5583">IFERROR(INDEX('Retirement Calculator'!J:J,MATCH('Isaac 401k'!N5583,'Retirement Calculator'!A:A,0),0),0)</f>
        <v>0</v>
      </c>
      <c r="K5583" s="444">
        <f t="shared" ca="1" si="206"/>
        <v>-22531133801925.125</v>
      </c>
      <c r="L5583" s="444">
        <f t="shared" ca="1" si="207"/>
        <v>-5430003246263955</v>
      </c>
      <c r="M5583" s="460">
        <f t="shared" si="209"/>
        <v>0.05</v>
      </c>
      <c r="N5583" s="464">
        <f t="shared" si="210"/>
        <v>220974</v>
      </c>
    </row>
    <row r="5584" spans="7:14" ht="11.25" customHeight="1" x14ac:dyDescent="0.25">
      <c r="G5584" s="459"/>
      <c r="H5584" s="459">
        <v>5577</v>
      </c>
      <c r="I5584" s="444">
        <f t="shared" ca="1" si="208"/>
        <v>-5430003246263955</v>
      </c>
      <c r="J5584" s="444">
        <f t="array" ref="J5584">IFERROR(INDEX('Retirement Calculator'!J:J,MATCH('Isaac 401k'!N5584,'Retirement Calculator'!A:A,0),0),0)</f>
        <v>0</v>
      </c>
      <c r="K5584" s="444">
        <f t="shared" ca="1" si="206"/>
        <v>-22625013526099.813</v>
      </c>
      <c r="L5584" s="444">
        <f t="shared" ca="1" si="207"/>
        <v>-5452628259790055</v>
      </c>
      <c r="M5584" s="460">
        <f t="shared" si="209"/>
        <v>0.05</v>
      </c>
      <c r="N5584" s="464">
        <f t="shared" si="210"/>
        <v>221005</v>
      </c>
    </row>
    <row r="5585" spans="7:14" ht="11.25" customHeight="1" x14ac:dyDescent="0.25">
      <c r="G5585" s="459"/>
      <c r="H5585" s="459">
        <v>5578</v>
      </c>
      <c r="I5585" s="444">
        <f t="shared" ca="1" si="208"/>
        <v>-5452628259790055</v>
      </c>
      <c r="J5585" s="444">
        <f t="array" ref="J5585">IFERROR(INDEX('Retirement Calculator'!J:J,MATCH('Isaac 401k'!N5585,'Retirement Calculator'!A:A,0),0),0)</f>
        <v>0</v>
      </c>
      <c r="K5585" s="444">
        <f t="shared" ca="1" si="206"/>
        <v>-22719284415791.895</v>
      </c>
      <c r="L5585" s="444">
        <f t="shared" ca="1" si="207"/>
        <v>-5475347544205847</v>
      </c>
      <c r="M5585" s="460">
        <f t="shared" si="209"/>
        <v>0.05</v>
      </c>
      <c r="N5585" s="464">
        <f t="shared" si="210"/>
        <v>221033</v>
      </c>
    </row>
    <row r="5586" spans="7:14" ht="11.25" customHeight="1" x14ac:dyDescent="0.25">
      <c r="G5586" s="459"/>
      <c r="H5586" s="459">
        <v>5579</v>
      </c>
      <c r="I5586" s="444">
        <f t="shared" ca="1" si="208"/>
        <v>-5475347544205847</v>
      </c>
      <c r="J5586" s="444">
        <f t="array" ref="J5586">IFERROR(INDEX('Retirement Calculator'!J:J,MATCH('Isaac 401k'!N5586,'Retirement Calculator'!A:A,0),0),0)</f>
        <v>0</v>
      </c>
      <c r="K5586" s="444">
        <f t="shared" ca="1" si="206"/>
        <v>-22813948100857.695</v>
      </c>
      <c r="L5586" s="444">
        <f t="shared" ca="1" si="207"/>
        <v>-5498161492306705</v>
      </c>
      <c r="M5586" s="460">
        <f t="shared" si="209"/>
        <v>0.05</v>
      </c>
      <c r="N5586" s="464">
        <f t="shared" si="210"/>
        <v>221064</v>
      </c>
    </row>
    <row r="5587" spans="7:14" ht="11.25" customHeight="1" x14ac:dyDescent="0.25">
      <c r="G5587" s="459"/>
      <c r="H5587" s="459">
        <v>5580</v>
      </c>
      <c r="I5587" s="444">
        <f t="shared" ca="1" si="208"/>
        <v>-5498161492306705</v>
      </c>
      <c r="J5587" s="444">
        <f t="array" ref="J5587">IFERROR(INDEX('Retirement Calculator'!J:J,MATCH('Isaac 401k'!N5587,'Retirement Calculator'!A:A,0),0),0)</f>
        <v>0</v>
      </c>
      <c r="K5587" s="444">
        <f t="shared" ca="1" si="206"/>
        <v>-22909006217944.605</v>
      </c>
      <c r="L5587" s="444">
        <f t="shared" ca="1" si="207"/>
        <v>-5521070498524650</v>
      </c>
      <c r="M5587" s="460">
        <f t="shared" si="209"/>
        <v>0.05</v>
      </c>
      <c r="N5587" s="464">
        <f t="shared" si="210"/>
        <v>221094</v>
      </c>
    </row>
    <row r="5588" spans="7:14" ht="11.25" customHeight="1" x14ac:dyDescent="0.25">
      <c r="G5588" s="459"/>
      <c r="H5588" s="459">
        <v>5581</v>
      </c>
      <c r="I5588" s="444">
        <f t="shared" ca="1" si="208"/>
        <v>-5521070498524650</v>
      </c>
      <c r="J5588" s="444">
        <f t="array" ref="J5588">IFERROR(INDEX('Retirement Calculator'!J:J,MATCH('Isaac 401k'!N5588,'Retirement Calculator'!A:A,0),0),0)</f>
        <v>0</v>
      </c>
      <c r="K5588" s="444">
        <f t="shared" ca="1" si="206"/>
        <v>-23004460410519.375</v>
      </c>
      <c r="L5588" s="444">
        <f t="shared" ca="1" si="207"/>
        <v>-5544074958935169</v>
      </c>
      <c r="M5588" s="460">
        <f t="shared" si="209"/>
        <v>0.05</v>
      </c>
      <c r="N5588" s="464">
        <f t="shared" si="210"/>
        <v>221125</v>
      </c>
    </row>
    <row r="5589" spans="7:14" ht="11.25" customHeight="1" x14ac:dyDescent="0.25">
      <c r="G5589" s="459"/>
      <c r="H5589" s="459">
        <v>5582</v>
      </c>
      <c r="I5589" s="444">
        <f t="shared" ca="1" si="208"/>
        <v>-5544074958935169</v>
      </c>
      <c r="J5589" s="444">
        <f t="array" ref="J5589">IFERROR(INDEX('Retirement Calculator'!J:J,MATCH('Isaac 401k'!N5589,'Retirement Calculator'!A:A,0),0),0)</f>
        <v>0</v>
      </c>
      <c r="K5589" s="444">
        <f t="shared" ca="1" si="206"/>
        <v>-23100312328896.539</v>
      </c>
      <c r="L5589" s="444">
        <f t="shared" ca="1" si="207"/>
        <v>-5567175271264066</v>
      </c>
      <c r="M5589" s="460">
        <f t="shared" si="209"/>
        <v>0.05</v>
      </c>
      <c r="N5589" s="464">
        <f t="shared" si="210"/>
        <v>221155</v>
      </c>
    </row>
    <row r="5590" spans="7:14" ht="11.25" customHeight="1" x14ac:dyDescent="0.25">
      <c r="G5590" s="459"/>
      <c r="H5590" s="459">
        <v>5583</v>
      </c>
      <c r="I5590" s="444">
        <f t="shared" ca="1" si="208"/>
        <v>-5567175271264066</v>
      </c>
      <c r="J5590" s="444">
        <f t="array" ref="J5590">IFERROR(INDEX('Retirement Calculator'!J:J,MATCH('Isaac 401k'!N5590,'Retirement Calculator'!A:A,0),0),0)</f>
        <v>0</v>
      </c>
      <c r="K5590" s="444">
        <f t="shared" ca="1" si="206"/>
        <v>-23196563630266.941</v>
      </c>
      <c r="L5590" s="444">
        <f t="shared" ca="1" si="207"/>
        <v>-5590371834894333</v>
      </c>
      <c r="M5590" s="460">
        <f t="shared" si="209"/>
        <v>0.05</v>
      </c>
      <c r="N5590" s="464">
        <f t="shared" si="210"/>
        <v>221186</v>
      </c>
    </row>
    <row r="5591" spans="7:14" ht="11.25" customHeight="1" x14ac:dyDescent="0.25">
      <c r="G5591" s="459"/>
      <c r="H5591" s="459">
        <v>5584</v>
      </c>
      <c r="I5591" s="444">
        <f t="shared" ca="1" si="208"/>
        <v>-5590371834894333</v>
      </c>
      <c r="J5591" s="444">
        <f t="array" ref="J5591">IFERROR(INDEX('Retirement Calculator'!J:J,MATCH('Isaac 401k'!N5591,'Retirement Calculator'!A:A,0),0),0)</f>
        <v>0</v>
      </c>
      <c r="K5591" s="444">
        <f t="shared" ca="1" si="206"/>
        <v>-23293215978726.387</v>
      </c>
      <c r="L5591" s="444">
        <f t="shared" ca="1" si="207"/>
        <v>-5613665050873059</v>
      </c>
      <c r="M5591" s="460">
        <f t="shared" si="209"/>
        <v>0.05</v>
      </c>
      <c r="N5591" s="464">
        <f t="shared" si="210"/>
        <v>221217</v>
      </c>
    </row>
    <row r="5592" spans="7:14" ht="11.25" customHeight="1" x14ac:dyDescent="0.25">
      <c r="G5592" s="459"/>
      <c r="H5592" s="459">
        <v>5585</v>
      </c>
      <c r="I5592" s="444">
        <f t="shared" ca="1" si="208"/>
        <v>-5613665050873059</v>
      </c>
      <c r="J5592" s="444">
        <f t="array" ref="J5592">IFERROR(INDEX('Retirement Calculator'!J:J,MATCH('Isaac 401k'!N5592,'Retirement Calculator'!A:A,0),0),0)</f>
        <v>0</v>
      </c>
      <c r="K5592" s="444">
        <f t="shared" ca="1" si="206"/>
        <v>-23390271045304.414</v>
      </c>
      <c r="L5592" s="444">
        <f t="shared" ca="1" si="207"/>
        <v>-5637055321918363</v>
      </c>
      <c r="M5592" s="460">
        <f t="shared" si="209"/>
        <v>0.05</v>
      </c>
      <c r="N5592" s="464">
        <f t="shared" si="210"/>
        <v>221247</v>
      </c>
    </row>
    <row r="5593" spans="7:14" ht="11.25" customHeight="1" x14ac:dyDescent="0.25">
      <c r="G5593" s="459"/>
      <c r="H5593" s="459">
        <v>5586</v>
      </c>
      <c r="I5593" s="444">
        <f t="shared" ca="1" si="208"/>
        <v>-5637055321918363</v>
      </c>
      <c r="J5593" s="444">
        <f t="array" ref="J5593">IFERROR(INDEX('Retirement Calculator'!J:J,MATCH('Isaac 401k'!N5593,'Retirement Calculator'!A:A,0),0),0)</f>
        <v>0</v>
      </c>
      <c r="K5593" s="444">
        <f t="shared" ca="1" si="206"/>
        <v>-23487730507993.18</v>
      </c>
      <c r="L5593" s="444">
        <f t="shared" ca="1" si="207"/>
        <v>-5660543052426356</v>
      </c>
      <c r="M5593" s="460">
        <f t="shared" si="209"/>
        <v>0.05</v>
      </c>
      <c r="N5593" s="464">
        <f t="shared" si="210"/>
        <v>221278</v>
      </c>
    </row>
    <row r="5594" spans="7:14" ht="11.25" customHeight="1" x14ac:dyDescent="0.25">
      <c r="G5594" s="459"/>
      <c r="H5594" s="459">
        <v>5587</v>
      </c>
      <c r="I5594" s="444">
        <f t="shared" ca="1" si="208"/>
        <v>-5660543052426356</v>
      </c>
      <c r="J5594" s="444">
        <f t="array" ref="J5594">IFERROR(INDEX('Retirement Calculator'!J:J,MATCH('Isaac 401k'!N5594,'Retirement Calculator'!A:A,0),0),0)</f>
        <v>0</v>
      </c>
      <c r="K5594" s="444">
        <f t="shared" ca="1" si="206"/>
        <v>-23585596051776.484</v>
      </c>
      <c r="L5594" s="444">
        <f t="shared" ca="1" si="207"/>
        <v>-5684128648478132</v>
      </c>
      <c r="M5594" s="460">
        <f t="shared" si="209"/>
        <v>0.05</v>
      </c>
      <c r="N5594" s="464">
        <f t="shared" si="210"/>
        <v>221308</v>
      </c>
    </row>
    <row r="5595" spans="7:14" ht="11.25" customHeight="1" x14ac:dyDescent="0.25">
      <c r="G5595" s="459"/>
      <c r="H5595" s="459">
        <v>5588</v>
      </c>
      <c r="I5595" s="444">
        <f t="shared" ca="1" si="208"/>
        <v>-5684128648478132</v>
      </c>
      <c r="J5595" s="444">
        <f t="array" ref="J5595">IFERROR(INDEX('Retirement Calculator'!J:J,MATCH('Isaac 401k'!N5595,'Retirement Calculator'!A:A,0),0),0)</f>
        <v>0</v>
      </c>
      <c r="K5595" s="444">
        <f t="shared" ca="1" si="206"/>
        <v>-23683869368658.883</v>
      </c>
      <c r="L5595" s="444">
        <f t="shared" ca="1" si="207"/>
        <v>-5707812517846791</v>
      </c>
      <c r="M5595" s="460">
        <f t="shared" si="209"/>
        <v>0.05</v>
      </c>
      <c r="N5595" s="464">
        <f t="shared" si="210"/>
        <v>221339</v>
      </c>
    </row>
    <row r="5596" spans="7:14" ht="11.25" customHeight="1" x14ac:dyDescent="0.25">
      <c r="G5596" s="459"/>
      <c r="H5596" s="459">
        <v>5589</v>
      </c>
      <c r="I5596" s="444">
        <f t="shared" ca="1" si="208"/>
        <v>-5707812517846791</v>
      </c>
      <c r="J5596" s="444">
        <f t="array" ref="J5596">IFERROR(INDEX('Retirement Calculator'!J:J,MATCH('Isaac 401k'!N5596,'Retirement Calculator'!A:A,0),0),0)</f>
        <v>0</v>
      </c>
      <c r="K5596" s="444">
        <f t="shared" ca="1" si="206"/>
        <v>-23782552157694.961</v>
      </c>
      <c r="L5596" s="444">
        <f t="shared" ca="1" si="207"/>
        <v>-5731595070004486</v>
      </c>
      <c r="M5596" s="460">
        <f t="shared" si="209"/>
        <v>0.05</v>
      </c>
      <c r="N5596" s="464">
        <f t="shared" si="210"/>
        <v>221370</v>
      </c>
    </row>
    <row r="5597" spans="7:14" ht="11.25" customHeight="1" x14ac:dyDescent="0.25">
      <c r="G5597" s="459"/>
      <c r="H5597" s="459">
        <v>5590</v>
      </c>
      <c r="I5597" s="444">
        <f t="shared" ca="1" si="208"/>
        <v>-5731595070004486</v>
      </c>
      <c r="J5597" s="444">
        <f t="array" ref="J5597">IFERROR(INDEX('Retirement Calculator'!J:J,MATCH('Isaac 401k'!N5597,'Retirement Calculator'!A:A,0),0),0)</f>
        <v>0</v>
      </c>
      <c r="K5597" s="444">
        <f t="shared" ca="1" si="206"/>
        <v>-23881646125018.691</v>
      </c>
      <c r="L5597" s="444">
        <f t="shared" ca="1" si="207"/>
        <v>-5755476716129505</v>
      </c>
      <c r="M5597" s="460">
        <f t="shared" si="209"/>
        <v>0.05</v>
      </c>
      <c r="N5597" s="464">
        <f t="shared" si="210"/>
        <v>221398</v>
      </c>
    </row>
    <row r="5598" spans="7:14" ht="11.25" customHeight="1" x14ac:dyDescent="0.25">
      <c r="G5598" s="459"/>
      <c r="H5598" s="459">
        <v>5591</v>
      </c>
      <c r="I5598" s="444">
        <f t="shared" ca="1" si="208"/>
        <v>-5755476716129505</v>
      </c>
      <c r="J5598" s="444">
        <f t="array" ref="J5598">IFERROR(INDEX('Retirement Calculator'!J:J,MATCH('Isaac 401k'!N5598,'Retirement Calculator'!A:A,0),0),0)</f>
        <v>0</v>
      </c>
      <c r="K5598" s="444">
        <f t="shared" ca="1" si="206"/>
        <v>-23981152983872.938</v>
      </c>
      <c r="L5598" s="444">
        <f t="shared" ca="1" si="207"/>
        <v>-5779457869113378</v>
      </c>
      <c r="M5598" s="460">
        <f t="shared" si="209"/>
        <v>0.05</v>
      </c>
      <c r="N5598" s="464">
        <f t="shared" si="210"/>
        <v>221429</v>
      </c>
    </row>
    <row r="5599" spans="7:14" ht="11.25" customHeight="1" x14ac:dyDescent="0.25">
      <c r="G5599" s="459"/>
      <c r="H5599" s="459">
        <v>5592</v>
      </c>
      <c r="I5599" s="444">
        <f t="shared" ca="1" si="208"/>
        <v>-5779457869113378</v>
      </c>
      <c r="J5599" s="444">
        <f t="array" ref="J5599">IFERROR(INDEX('Retirement Calculator'!J:J,MATCH('Isaac 401k'!N5599,'Retirement Calculator'!A:A,0),0),0)</f>
        <v>0</v>
      </c>
      <c r="K5599" s="444">
        <f t="shared" ca="1" si="206"/>
        <v>-24081074454639.074</v>
      </c>
      <c r="L5599" s="444">
        <f t="shared" ca="1" si="207"/>
        <v>-5803538943568017</v>
      </c>
      <c r="M5599" s="460">
        <f t="shared" si="209"/>
        <v>0.05</v>
      </c>
      <c r="N5599" s="464">
        <f t="shared" si="210"/>
        <v>221459</v>
      </c>
    </row>
    <row r="5600" spans="7:14" ht="11.25" customHeight="1" x14ac:dyDescent="0.25">
      <c r="G5600" s="459"/>
      <c r="H5600" s="459">
        <v>5593</v>
      </c>
      <c r="I5600" s="444">
        <f t="shared" ca="1" si="208"/>
        <v>-5803538943568017</v>
      </c>
      <c r="J5600" s="444">
        <f t="array" ref="J5600">IFERROR(INDEX('Retirement Calculator'!J:J,MATCH('Isaac 401k'!N5600,'Retirement Calculator'!A:A,0),0),0)</f>
        <v>0</v>
      </c>
      <c r="K5600" s="444">
        <f t="shared" ca="1" si="206"/>
        <v>-24181412264866.738</v>
      </c>
      <c r="L5600" s="444">
        <f t="shared" ca="1" si="207"/>
        <v>-5827720355832884</v>
      </c>
      <c r="M5600" s="460">
        <f t="shared" si="209"/>
        <v>0.05</v>
      </c>
      <c r="N5600" s="464">
        <f t="shared" si="210"/>
        <v>221490</v>
      </c>
    </row>
    <row r="5601" spans="7:14" ht="11.25" customHeight="1" x14ac:dyDescent="0.25">
      <c r="G5601" s="459"/>
      <c r="H5601" s="459">
        <v>5594</v>
      </c>
      <c r="I5601" s="444">
        <f t="shared" ca="1" si="208"/>
        <v>-5827720355832884</v>
      </c>
      <c r="J5601" s="444">
        <f t="array" ref="J5601">IFERROR(INDEX('Retirement Calculator'!J:J,MATCH('Isaac 401k'!N5601,'Retirement Calculator'!A:A,0),0),0)</f>
        <v>0</v>
      </c>
      <c r="K5601" s="444">
        <f t="shared" ca="1" si="206"/>
        <v>-24282168149303.684</v>
      </c>
      <c r="L5601" s="444">
        <f t="shared" ca="1" si="207"/>
        <v>-5852002523982188</v>
      </c>
      <c r="M5601" s="460">
        <f t="shared" si="209"/>
        <v>0.05</v>
      </c>
      <c r="N5601" s="464">
        <f t="shared" si="210"/>
        <v>221520</v>
      </c>
    </row>
    <row r="5602" spans="7:14" ht="11.25" customHeight="1" x14ac:dyDescent="0.25">
      <c r="G5602" s="459"/>
      <c r="H5602" s="459">
        <v>5595</v>
      </c>
      <c r="I5602" s="444">
        <f t="shared" ca="1" si="208"/>
        <v>-5852002523982188</v>
      </c>
      <c r="J5602" s="444">
        <f t="array" ref="J5602">IFERROR(INDEX('Retirement Calculator'!J:J,MATCH('Isaac 401k'!N5602,'Retirement Calculator'!A:A,0),0),0)</f>
        <v>0</v>
      </c>
      <c r="K5602" s="444">
        <f t="shared" ca="1" si="206"/>
        <v>-24383343849925.781</v>
      </c>
      <c r="L5602" s="444">
        <f t="shared" ca="1" si="207"/>
        <v>-5876385867832114</v>
      </c>
      <c r="M5602" s="460">
        <f t="shared" si="209"/>
        <v>0.05</v>
      </c>
      <c r="N5602" s="464">
        <f t="shared" si="210"/>
        <v>221551</v>
      </c>
    </row>
    <row r="5603" spans="7:14" ht="11.25" customHeight="1" x14ac:dyDescent="0.25">
      <c r="G5603" s="459"/>
      <c r="H5603" s="459">
        <v>5596</v>
      </c>
      <c r="I5603" s="444">
        <f t="shared" ca="1" si="208"/>
        <v>-5876385867832114</v>
      </c>
      <c r="J5603" s="444">
        <f t="array" ref="J5603">IFERROR(INDEX('Retirement Calculator'!J:J,MATCH('Isaac 401k'!N5603,'Retirement Calculator'!A:A,0),0),0)</f>
        <v>0</v>
      </c>
      <c r="K5603" s="444">
        <f t="shared" ca="1" si="206"/>
        <v>-24484941115967.141</v>
      </c>
      <c r="L5603" s="444">
        <f t="shared" ca="1" si="207"/>
        <v>-5900870808948081</v>
      </c>
      <c r="M5603" s="460">
        <f t="shared" si="209"/>
        <v>0.05</v>
      </c>
      <c r="N5603" s="464">
        <f t="shared" si="210"/>
        <v>221582</v>
      </c>
    </row>
    <row r="5604" spans="7:14" ht="11.25" customHeight="1" x14ac:dyDescent="0.25">
      <c r="G5604" s="459"/>
      <c r="H5604" s="459">
        <v>5597</v>
      </c>
      <c r="I5604" s="444">
        <f t="shared" ca="1" si="208"/>
        <v>-5900870808948081</v>
      </c>
      <c r="J5604" s="444">
        <f t="array" ref="J5604">IFERROR(INDEX('Retirement Calculator'!J:J,MATCH('Isaac 401k'!N5604,'Retirement Calculator'!A:A,0),0),0)</f>
        <v>0</v>
      </c>
      <c r="K5604" s="444">
        <f t="shared" ca="1" si="206"/>
        <v>-24586961703950.336</v>
      </c>
      <c r="L5604" s="444">
        <f t="shared" ca="1" si="207"/>
        <v>-5925457770652031</v>
      </c>
      <c r="M5604" s="460">
        <f t="shared" si="209"/>
        <v>0.05</v>
      </c>
      <c r="N5604" s="464">
        <f t="shared" si="210"/>
        <v>221612</v>
      </c>
    </row>
    <row r="5605" spans="7:14" ht="11.25" customHeight="1" x14ac:dyDescent="0.25">
      <c r="G5605" s="459"/>
      <c r="H5605" s="459">
        <v>5598</v>
      </c>
      <c r="I5605" s="444">
        <f t="shared" ca="1" si="208"/>
        <v>-5925457770652031</v>
      </c>
      <c r="J5605" s="444">
        <f t="array" ref="J5605">IFERROR(INDEX('Retirement Calculator'!J:J,MATCH('Isaac 401k'!N5605,'Retirement Calculator'!A:A,0),0),0)</f>
        <v>0</v>
      </c>
      <c r="K5605" s="444">
        <f t="shared" ca="1" si="206"/>
        <v>-24689407377716.797</v>
      </c>
      <c r="L5605" s="444">
        <f t="shared" ca="1" si="207"/>
        <v>-5950147178029748</v>
      </c>
      <c r="M5605" s="460">
        <f t="shared" si="209"/>
        <v>0.05</v>
      </c>
      <c r="N5605" s="464">
        <f t="shared" si="210"/>
        <v>221643</v>
      </c>
    </row>
    <row r="5606" spans="7:14" ht="11.25" customHeight="1" x14ac:dyDescent="0.25">
      <c r="G5606" s="459"/>
      <c r="H5606" s="459">
        <v>5599</v>
      </c>
      <c r="I5606" s="444">
        <f t="shared" ca="1" si="208"/>
        <v>-5950147178029748</v>
      </c>
      <c r="J5606" s="444">
        <f t="array" ref="J5606">IFERROR(INDEX('Retirement Calculator'!J:J,MATCH('Isaac 401k'!N5606,'Retirement Calculator'!A:A,0),0),0)</f>
        <v>0</v>
      </c>
      <c r="K5606" s="444">
        <f t="shared" ca="1" si="206"/>
        <v>-24792279908457.281</v>
      </c>
      <c r="L5606" s="444">
        <f t="shared" ca="1" si="207"/>
        <v>-5974939457938205</v>
      </c>
      <c r="M5606" s="460">
        <f t="shared" si="209"/>
        <v>0.05</v>
      </c>
      <c r="N5606" s="464">
        <f t="shared" si="210"/>
        <v>221673</v>
      </c>
    </row>
    <row r="5607" spans="7:14" ht="11.25" customHeight="1" x14ac:dyDescent="0.25">
      <c r="G5607" s="459"/>
      <c r="H5607" s="459">
        <v>5600</v>
      </c>
      <c r="I5607" s="444">
        <f t="shared" ca="1" si="208"/>
        <v>-5974939457938205</v>
      </c>
      <c r="J5607" s="444">
        <f t="array" ref="J5607">IFERROR(INDEX('Retirement Calculator'!J:J,MATCH('Isaac 401k'!N5607,'Retirement Calculator'!A:A,0),0),0)</f>
        <v>0</v>
      </c>
      <c r="K5607" s="444">
        <f t="shared" ca="1" si="206"/>
        <v>-24895581074742.52</v>
      </c>
      <c r="L5607" s="444">
        <f t="shared" ca="1" si="207"/>
        <v>-5999835039012948</v>
      </c>
      <c r="M5607" s="460">
        <f t="shared" si="209"/>
        <v>0.05</v>
      </c>
      <c r="N5607" s="464">
        <f t="shared" si="210"/>
        <v>221704</v>
      </c>
    </row>
    <row r="5608" spans="7:14" ht="11.25" customHeight="1" x14ac:dyDescent="0.25">
      <c r="G5608" s="459"/>
      <c r="H5608" s="459">
        <v>5601</v>
      </c>
      <c r="I5608" s="444">
        <f t="shared" ca="1" si="208"/>
        <v>-5999835039012948</v>
      </c>
      <c r="J5608" s="444">
        <f t="array" ref="J5608">IFERROR(INDEX('Retirement Calculator'!J:J,MATCH('Isaac 401k'!N5608,'Retirement Calculator'!A:A,0),0),0)</f>
        <v>0</v>
      </c>
      <c r="K5608" s="444">
        <f t="shared" ca="1" si="206"/>
        <v>-24999312662553.949</v>
      </c>
      <c r="L5608" s="444">
        <f t="shared" ca="1" si="207"/>
        <v>-6024834351675502</v>
      </c>
      <c r="M5608" s="460">
        <f t="shared" si="209"/>
        <v>0.05</v>
      </c>
      <c r="N5608" s="464">
        <f t="shared" si="210"/>
        <v>221735</v>
      </c>
    </row>
    <row r="5609" spans="7:14" ht="11.25" customHeight="1" x14ac:dyDescent="0.25">
      <c r="G5609" s="459"/>
      <c r="H5609" s="459">
        <v>5602</v>
      </c>
      <c r="I5609" s="444">
        <f t="shared" ca="1" si="208"/>
        <v>-6024834351675502</v>
      </c>
      <c r="J5609" s="444">
        <f t="array" ref="J5609">IFERROR(INDEX('Retirement Calculator'!J:J,MATCH('Isaac 401k'!N5609,'Retirement Calculator'!A:A,0),0),0)</f>
        <v>0</v>
      </c>
      <c r="K5609" s="444">
        <f t="shared" ca="1" si="206"/>
        <v>-25103476465314.59</v>
      </c>
      <c r="L5609" s="444">
        <f t="shared" ca="1" si="207"/>
        <v>-6049937828140817</v>
      </c>
      <c r="M5609" s="460">
        <f t="shared" si="209"/>
        <v>0.05</v>
      </c>
      <c r="N5609" s="464">
        <f t="shared" si="210"/>
        <v>221763</v>
      </c>
    </row>
    <row r="5610" spans="7:14" ht="11.25" customHeight="1" x14ac:dyDescent="0.25">
      <c r="G5610" s="459"/>
      <c r="H5610" s="459">
        <v>5603</v>
      </c>
      <c r="I5610" s="444">
        <f t="shared" ca="1" si="208"/>
        <v>-6049937828140817</v>
      </c>
      <c r="J5610" s="444">
        <f t="array" ref="J5610">IFERROR(INDEX('Retirement Calculator'!J:J,MATCH('Isaac 401k'!N5610,'Retirement Calculator'!A:A,0),0),0)</f>
        <v>0</v>
      </c>
      <c r="K5610" s="444">
        <f t="shared" ca="1" si="206"/>
        <v>-25208074283920.07</v>
      </c>
      <c r="L5610" s="444">
        <f t="shared" ca="1" si="207"/>
        <v>-6075145902424737</v>
      </c>
      <c r="M5610" s="460">
        <f t="shared" si="209"/>
        <v>0.05</v>
      </c>
      <c r="N5610" s="464">
        <f t="shared" si="210"/>
        <v>221794</v>
      </c>
    </row>
    <row r="5611" spans="7:14" ht="11.25" customHeight="1" x14ac:dyDescent="0.25">
      <c r="G5611" s="459"/>
      <c r="H5611" s="459">
        <v>5604</v>
      </c>
      <c r="I5611" s="444">
        <f t="shared" ca="1" si="208"/>
        <v>-6075145902424737</v>
      </c>
      <c r="J5611" s="444">
        <f t="array" ref="J5611">IFERROR(INDEX('Retirement Calculator'!J:J,MATCH('Isaac 401k'!N5611,'Retirement Calculator'!A:A,0),0),0)</f>
        <v>0</v>
      </c>
      <c r="K5611" s="444">
        <f t="shared" ca="1" si="206"/>
        <v>-25313107926769.738</v>
      </c>
      <c r="L5611" s="444">
        <f t="shared" ca="1" si="207"/>
        <v>-6100459010351507</v>
      </c>
      <c r="M5611" s="460">
        <f t="shared" si="209"/>
        <v>0.05</v>
      </c>
      <c r="N5611" s="464">
        <f t="shared" si="210"/>
        <v>221824</v>
      </c>
    </row>
    <row r="5612" spans="7:14" ht="11.25" customHeight="1" x14ac:dyDescent="0.25">
      <c r="G5612" s="459"/>
      <c r="H5612" s="459">
        <v>5605</v>
      </c>
      <c r="I5612" s="444">
        <f t="shared" ca="1" si="208"/>
        <v>-6100459010351507</v>
      </c>
      <c r="J5612" s="444">
        <f t="array" ref="J5612">IFERROR(INDEX('Retirement Calculator'!J:J,MATCH('Isaac 401k'!N5612,'Retirement Calculator'!A:A,0),0),0)</f>
        <v>0</v>
      </c>
      <c r="K5612" s="444">
        <f t="shared" ca="1" si="206"/>
        <v>-25418579209797.945</v>
      </c>
      <c r="L5612" s="444">
        <f t="shared" ca="1" si="207"/>
        <v>-6125877589561305</v>
      </c>
      <c r="M5612" s="460">
        <f t="shared" si="209"/>
        <v>0.05</v>
      </c>
      <c r="N5612" s="464">
        <f t="shared" si="210"/>
        <v>221855</v>
      </c>
    </row>
    <row r="5613" spans="7:14" ht="11.25" customHeight="1" x14ac:dyDescent="0.25">
      <c r="G5613" s="459"/>
      <c r="H5613" s="459">
        <v>5606</v>
      </c>
      <c r="I5613" s="444">
        <f t="shared" ca="1" si="208"/>
        <v>-6125877589561305</v>
      </c>
      <c r="J5613" s="444">
        <f t="array" ref="J5613">IFERROR(INDEX('Retirement Calculator'!J:J,MATCH('Isaac 401k'!N5613,'Retirement Calculator'!A:A,0),0),0)</f>
        <v>0</v>
      </c>
      <c r="K5613" s="444">
        <f t="shared" ca="1" si="206"/>
        <v>-25524489956505.438</v>
      </c>
      <c r="L5613" s="444">
        <f t="shared" ca="1" si="207"/>
        <v>-6151402079517810</v>
      </c>
      <c r="M5613" s="460">
        <f t="shared" si="209"/>
        <v>0.05</v>
      </c>
      <c r="N5613" s="464">
        <f t="shared" si="210"/>
        <v>221885</v>
      </c>
    </row>
    <row r="5614" spans="7:14" ht="11.25" customHeight="1" x14ac:dyDescent="0.25">
      <c r="G5614" s="459"/>
      <c r="H5614" s="459">
        <v>5607</v>
      </c>
      <c r="I5614" s="444">
        <f t="shared" ca="1" si="208"/>
        <v>-6151402079517810</v>
      </c>
      <c r="J5614" s="444">
        <f t="array" ref="J5614">IFERROR(INDEX('Retirement Calculator'!J:J,MATCH('Isaac 401k'!N5614,'Retirement Calculator'!A:A,0),0),0)</f>
        <v>0</v>
      </c>
      <c r="K5614" s="444">
        <f t="shared" ca="1" si="206"/>
        <v>-25630841997990.875</v>
      </c>
      <c r="L5614" s="444">
        <f t="shared" ca="1" si="207"/>
        <v>-6177032921515801</v>
      </c>
      <c r="M5614" s="460">
        <f t="shared" si="209"/>
        <v>0.05</v>
      </c>
      <c r="N5614" s="464">
        <f t="shared" si="210"/>
        <v>221916</v>
      </c>
    </row>
    <row r="5615" spans="7:14" ht="11.25" customHeight="1" x14ac:dyDescent="0.25">
      <c r="G5615" s="459"/>
      <c r="H5615" s="459">
        <v>5608</v>
      </c>
      <c r="I5615" s="444">
        <f t="shared" ca="1" si="208"/>
        <v>-6177032921515801</v>
      </c>
      <c r="J5615" s="444">
        <f t="array" ref="J5615">IFERROR(INDEX('Retirement Calculator'!J:J,MATCH('Isaac 401k'!N5615,'Retirement Calculator'!A:A,0),0),0)</f>
        <v>0</v>
      </c>
      <c r="K5615" s="444">
        <f t="shared" ca="1" si="206"/>
        <v>-25737637172982.504</v>
      </c>
      <c r="L5615" s="444">
        <f t="shared" ca="1" si="207"/>
        <v>-6202770558688784</v>
      </c>
      <c r="M5615" s="460">
        <f t="shared" si="209"/>
        <v>0.05</v>
      </c>
      <c r="N5615" s="464">
        <f t="shared" si="210"/>
        <v>221947</v>
      </c>
    </row>
    <row r="5616" spans="7:14" ht="11.25" customHeight="1" x14ac:dyDescent="0.25">
      <c r="G5616" s="459"/>
      <c r="H5616" s="459">
        <v>5609</v>
      </c>
      <c r="I5616" s="444">
        <f t="shared" ca="1" si="208"/>
        <v>-6202770558688784</v>
      </c>
      <c r="J5616" s="444">
        <f t="array" ref="J5616">IFERROR(INDEX('Retirement Calculator'!J:J,MATCH('Isaac 401k'!N5616,'Retirement Calculator'!A:A,0),0),0)</f>
        <v>0</v>
      </c>
      <c r="K5616" s="444">
        <f t="shared" ca="1" si="206"/>
        <v>-25844877327869.934</v>
      </c>
      <c r="L5616" s="444">
        <f t="shared" ca="1" si="207"/>
        <v>-6228615436016654</v>
      </c>
      <c r="M5616" s="460">
        <f t="shared" si="209"/>
        <v>0.05</v>
      </c>
      <c r="N5616" s="464">
        <f t="shared" si="210"/>
        <v>221977</v>
      </c>
    </row>
    <row r="5617" spans="7:14" ht="11.25" customHeight="1" x14ac:dyDescent="0.25">
      <c r="G5617" s="459"/>
      <c r="H5617" s="459">
        <v>5610</v>
      </c>
      <c r="I5617" s="444">
        <f t="shared" ca="1" si="208"/>
        <v>-6228615436016654</v>
      </c>
      <c r="J5617" s="444">
        <f t="array" ref="J5617">IFERROR(INDEX('Retirement Calculator'!J:J,MATCH('Isaac 401k'!N5617,'Retirement Calculator'!A:A,0),0),0)</f>
        <v>0</v>
      </c>
      <c r="K5617" s="444">
        <f t="shared" ca="1" si="206"/>
        <v>-25952564316736.059</v>
      </c>
      <c r="L5617" s="444">
        <f t="shared" ca="1" si="207"/>
        <v>-6254568000333390</v>
      </c>
      <c r="M5617" s="460">
        <f t="shared" si="209"/>
        <v>0.05</v>
      </c>
      <c r="N5617" s="464">
        <f t="shared" si="210"/>
        <v>222008</v>
      </c>
    </row>
    <row r="5618" spans="7:14" ht="11.25" customHeight="1" x14ac:dyDescent="0.25">
      <c r="G5618" s="459"/>
      <c r="H5618" s="459">
        <v>5611</v>
      </c>
      <c r="I5618" s="444">
        <f t="shared" ca="1" si="208"/>
        <v>-6254568000333390</v>
      </c>
      <c r="J5618" s="444">
        <f t="array" ref="J5618">IFERROR(INDEX('Retirement Calculator'!J:J,MATCH('Isaac 401k'!N5618,'Retirement Calculator'!A:A,0),0),0)</f>
        <v>0</v>
      </c>
      <c r="K5618" s="444">
        <f t="shared" ref="K5618:K5872" ca="1" si="211">IPMT(M5618/12,1,12,-I5618+J5618,,0)</f>
        <v>-26060700001389.125</v>
      </c>
      <c r="L5618" s="444">
        <f t="shared" ref="L5618:L5872" ca="1" si="212">I5618-J5618+K5618</f>
        <v>-6280628700334779</v>
      </c>
      <c r="M5618" s="460">
        <f t="shared" si="209"/>
        <v>0.05</v>
      </c>
      <c r="N5618" s="464">
        <f t="shared" si="210"/>
        <v>222038</v>
      </c>
    </row>
    <row r="5619" spans="7:14" ht="11.25" customHeight="1" x14ac:dyDescent="0.25">
      <c r="G5619" s="459"/>
      <c r="H5619" s="459">
        <v>5612</v>
      </c>
      <c r="I5619" s="444">
        <f t="shared" ref="I5619:I5873" ca="1" si="213">L5618</f>
        <v>-6280628700334779</v>
      </c>
      <c r="J5619" s="444">
        <f t="array" ref="J5619">IFERROR(INDEX('Retirement Calculator'!J:J,MATCH('Isaac 401k'!N5619,'Retirement Calculator'!A:A,0),0),0)</f>
        <v>0</v>
      </c>
      <c r="K5619" s="444">
        <f t="shared" ca="1" si="211"/>
        <v>-26169286251394.914</v>
      </c>
      <c r="L5619" s="444">
        <f t="shared" ca="1" si="212"/>
        <v>-6306797986586174</v>
      </c>
      <c r="M5619" s="460">
        <f t="shared" ref="M5619:M5873" si="214">M5618</f>
        <v>0.05</v>
      </c>
      <c r="N5619" s="464">
        <f t="shared" ref="N5619:N5873" si="215">EDATE(N5618,1)</f>
        <v>222069</v>
      </c>
    </row>
    <row r="5620" spans="7:14" ht="11.25" customHeight="1" x14ac:dyDescent="0.25">
      <c r="G5620" s="459"/>
      <c r="H5620" s="459">
        <v>5613</v>
      </c>
      <c r="I5620" s="444">
        <f t="shared" ca="1" si="213"/>
        <v>-6306797986586174</v>
      </c>
      <c r="J5620" s="444">
        <f t="array" ref="J5620">IFERROR(INDEX('Retirement Calculator'!J:J,MATCH('Isaac 401k'!N5620,'Retirement Calculator'!A:A,0),0),0)</f>
        <v>0</v>
      </c>
      <c r="K5620" s="444">
        <f t="shared" ca="1" si="211"/>
        <v>-26278324944109.059</v>
      </c>
      <c r="L5620" s="444">
        <f t="shared" ca="1" si="212"/>
        <v>-6333076311530283</v>
      </c>
      <c r="M5620" s="460">
        <f t="shared" si="214"/>
        <v>0.05</v>
      </c>
      <c r="N5620" s="464">
        <f t="shared" si="215"/>
        <v>222100</v>
      </c>
    </row>
    <row r="5621" spans="7:14" ht="11.25" customHeight="1" x14ac:dyDescent="0.25">
      <c r="G5621" s="459"/>
      <c r="H5621" s="459">
        <v>5614</v>
      </c>
      <c r="I5621" s="444">
        <f t="shared" ca="1" si="213"/>
        <v>-6333076311530283</v>
      </c>
      <c r="J5621" s="444">
        <f t="array" ref="J5621">IFERROR(INDEX('Retirement Calculator'!J:J,MATCH('Isaac 401k'!N5621,'Retirement Calculator'!A:A,0),0),0)</f>
        <v>0</v>
      </c>
      <c r="K5621" s="444">
        <f t="shared" ca="1" si="211"/>
        <v>-26387817964709.512</v>
      </c>
      <c r="L5621" s="444">
        <f t="shared" ca="1" si="212"/>
        <v>-6359464129494993</v>
      </c>
      <c r="M5621" s="460">
        <f t="shared" si="214"/>
        <v>0.05</v>
      </c>
      <c r="N5621" s="464">
        <f t="shared" si="215"/>
        <v>222129</v>
      </c>
    </row>
    <row r="5622" spans="7:14" ht="11.25" customHeight="1" x14ac:dyDescent="0.25">
      <c r="G5622" s="459"/>
      <c r="H5622" s="459">
        <v>5615</v>
      </c>
      <c r="I5622" s="444">
        <f t="shared" ca="1" si="213"/>
        <v>-6359464129494993</v>
      </c>
      <c r="J5622" s="444">
        <f t="array" ref="J5622">IFERROR(INDEX('Retirement Calculator'!J:J,MATCH('Isaac 401k'!N5622,'Retirement Calculator'!A:A,0),0),0)</f>
        <v>0</v>
      </c>
      <c r="K5622" s="444">
        <f t="shared" ca="1" si="211"/>
        <v>-26497767206229.137</v>
      </c>
      <c r="L5622" s="444">
        <f t="shared" ca="1" si="212"/>
        <v>-6385961896701222</v>
      </c>
      <c r="M5622" s="460">
        <f t="shared" si="214"/>
        <v>0.05</v>
      </c>
      <c r="N5622" s="464">
        <f t="shared" si="215"/>
        <v>222160</v>
      </c>
    </row>
    <row r="5623" spans="7:14" ht="11.25" customHeight="1" x14ac:dyDescent="0.25">
      <c r="G5623" s="459"/>
      <c r="H5623" s="459">
        <v>5616</v>
      </c>
      <c r="I5623" s="444">
        <f t="shared" ca="1" si="213"/>
        <v>-6385961896701222</v>
      </c>
      <c r="J5623" s="444">
        <f t="array" ref="J5623">IFERROR(INDEX('Retirement Calculator'!J:J,MATCH('Isaac 401k'!N5623,'Retirement Calculator'!A:A,0),0),0)</f>
        <v>0</v>
      </c>
      <c r="K5623" s="444">
        <f t="shared" ca="1" si="211"/>
        <v>-26608174569588.426</v>
      </c>
      <c r="L5623" s="444">
        <f t="shared" ca="1" si="212"/>
        <v>-6412570071270810</v>
      </c>
      <c r="M5623" s="460">
        <f t="shared" si="214"/>
        <v>0.05</v>
      </c>
      <c r="N5623" s="464">
        <f t="shared" si="215"/>
        <v>222190</v>
      </c>
    </row>
    <row r="5624" spans="7:14" ht="11.25" customHeight="1" x14ac:dyDescent="0.25">
      <c r="G5624" s="459"/>
      <c r="H5624" s="459">
        <v>5617</v>
      </c>
      <c r="I5624" s="444">
        <f t="shared" ca="1" si="213"/>
        <v>-6412570071270810</v>
      </c>
      <c r="J5624" s="444">
        <f t="array" ref="J5624">IFERROR(INDEX('Retirement Calculator'!J:J,MATCH('Isaac 401k'!N5624,'Retirement Calculator'!A:A,0),0),0)</f>
        <v>0</v>
      </c>
      <c r="K5624" s="444">
        <f t="shared" ca="1" si="211"/>
        <v>-26719041963628.375</v>
      </c>
      <c r="L5624" s="444">
        <f t="shared" ca="1" si="212"/>
        <v>-6439289113234438</v>
      </c>
      <c r="M5624" s="460">
        <f t="shared" si="214"/>
        <v>0.05</v>
      </c>
      <c r="N5624" s="464">
        <f t="shared" si="215"/>
        <v>222221</v>
      </c>
    </row>
    <row r="5625" spans="7:14" ht="11.25" customHeight="1" x14ac:dyDescent="0.25">
      <c r="G5625" s="459"/>
      <c r="H5625" s="459">
        <v>5618</v>
      </c>
      <c r="I5625" s="444">
        <f t="shared" ca="1" si="213"/>
        <v>-6439289113234438</v>
      </c>
      <c r="J5625" s="444">
        <f t="array" ref="J5625">IFERROR(INDEX('Retirement Calculator'!J:J,MATCH('Isaac 401k'!N5625,'Retirement Calculator'!A:A,0),0),0)</f>
        <v>0</v>
      </c>
      <c r="K5625" s="444">
        <f t="shared" ca="1" si="211"/>
        <v>-26830371305143.492</v>
      </c>
      <c r="L5625" s="444">
        <f t="shared" ca="1" si="212"/>
        <v>-6466119484539581</v>
      </c>
      <c r="M5625" s="460">
        <f t="shared" si="214"/>
        <v>0.05</v>
      </c>
      <c r="N5625" s="464">
        <f t="shared" si="215"/>
        <v>222251</v>
      </c>
    </row>
    <row r="5626" spans="7:14" ht="11.25" customHeight="1" x14ac:dyDescent="0.25">
      <c r="G5626" s="459"/>
      <c r="H5626" s="459">
        <v>5619</v>
      </c>
      <c r="I5626" s="444">
        <f t="shared" ca="1" si="213"/>
        <v>-6466119484539581</v>
      </c>
      <c r="J5626" s="444">
        <f t="array" ref="J5626">IFERROR(INDEX('Retirement Calculator'!J:J,MATCH('Isaac 401k'!N5626,'Retirement Calculator'!A:A,0),0),0)</f>
        <v>0</v>
      </c>
      <c r="K5626" s="444">
        <f t="shared" ca="1" si="211"/>
        <v>-26942164518914.922</v>
      </c>
      <c r="L5626" s="444">
        <f t="shared" ca="1" si="212"/>
        <v>-6493061649058496</v>
      </c>
      <c r="M5626" s="460">
        <f t="shared" si="214"/>
        <v>0.05</v>
      </c>
      <c r="N5626" s="464">
        <f t="shared" si="215"/>
        <v>222282</v>
      </c>
    </row>
    <row r="5627" spans="7:14" ht="11.25" customHeight="1" x14ac:dyDescent="0.25">
      <c r="G5627" s="459"/>
      <c r="H5627" s="459">
        <v>5620</v>
      </c>
      <c r="I5627" s="444">
        <f t="shared" ca="1" si="213"/>
        <v>-6493061649058496</v>
      </c>
      <c r="J5627" s="444">
        <f t="array" ref="J5627">IFERROR(INDEX('Retirement Calculator'!J:J,MATCH('Isaac 401k'!N5627,'Retirement Calculator'!A:A,0),0),0)</f>
        <v>0</v>
      </c>
      <c r="K5627" s="444">
        <f t="shared" ca="1" si="211"/>
        <v>-27054423537743.734</v>
      </c>
      <c r="L5627" s="444">
        <f t="shared" ca="1" si="212"/>
        <v>-6520116072596240</v>
      </c>
      <c r="M5627" s="460">
        <f t="shared" si="214"/>
        <v>0.05</v>
      </c>
      <c r="N5627" s="464">
        <f t="shared" si="215"/>
        <v>222313</v>
      </c>
    </row>
    <row r="5628" spans="7:14" ht="11.25" customHeight="1" x14ac:dyDescent="0.25">
      <c r="G5628" s="459"/>
      <c r="H5628" s="459">
        <v>5621</v>
      </c>
      <c r="I5628" s="444">
        <f t="shared" ca="1" si="213"/>
        <v>-6520116072596240</v>
      </c>
      <c r="J5628" s="444">
        <f t="array" ref="J5628">IFERROR(INDEX('Retirement Calculator'!J:J,MATCH('Isaac 401k'!N5628,'Retirement Calculator'!A:A,0),0),0)</f>
        <v>0</v>
      </c>
      <c r="K5628" s="444">
        <f t="shared" ca="1" si="211"/>
        <v>-27167150302484.332</v>
      </c>
      <c r="L5628" s="444">
        <f t="shared" ca="1" si="212"/>
        <v>-6547283222898724</v>
      </c>
      <c r="M5628" s="460">
        <f t="shared" si="214"/>
        <v>0.05</v>
      </c>
      <c r="N5628" s="464">
        <f t="shared" si="215"/>
        <v>222343</v>
      </c>
    </row>
    <row r="5629" spans="7:14" ht="11.25" customHeight="1" x14ac:dyDescent="0.25">
      <c r="G5629" s="459"/>
      <c r="H5629" s="459">
        <v>5622</v>
      </c>
      <c r="I5629" s="444">
        <f t="shared" ca="1" si="213"/>
        <v>-6547283222898724</v>
      </c>
      <c r="J5629" s="444">
        <f t="array" ref="J5629">IFERROR(INDEX('Retirement Calculator'!J:J,MATCH('Isaac 401k'!N5629,'Retirement Calculator'!A:A,0),0),0)</f>
        <v>0</v>
      </c>
      <c r="K5629" s="444">
        <f t="shared" ca="1" si="211"/>
        <v>-27280346762078.016</v>
      </c>
      <c r="L5629" s="444">
        <f t="shared" ca="1" si="212"/>
        <v>-6574563569660802</v>
      </c>
      <c r="M5629" s="460">
        <f t="shared" si="214"/>
        <v>0.05</v>
      </c>
      <c r="N5629" s="464">
        <f t="shared" si="215"/>
        <v>222374</v>
      </c>
    </row>
    <row r="5630" spans="7:14" ht="11.25" customHeight="1" x14ac:dyDescent="0.25">
      <c r="G5630" s="459"/>
      <c r="H5630" s="459">
        <v>5623</v>
      </c>
      <c r="I5630" s="444">
        <f t="shared" ca="1" si="213"/>
        <v>-6574563569660802</v>
      </c>
      <c r="J5630" s="444">
        <f t="array" ref="J5630">IFERROR(INDEX('Retirement Calculator'!J:J,MATCH('Isaac 401k'!N5630,'Retirement Calculator'!A:A,0),0),0)</f>
        <v>0</v>
      </c>
      <c r="K5630" s="444">
        <f t="shared" ca="1" si="211"/>
        <v>-27394014873586.676</v>
      </c>
      <c r="L5630" s="444">
        <f t="shared" ca="1" si="212"/>
        <v>-6601957584534389</v>
      </c>
      <c r="M5630" s="460">
        <f t="shared" si="214"/>
        <v>0.05</v>
      </c>
      <c r="N5630" s="464">
        <f t="shared" si="215"/>
        <v>222404</v>
      </c>
    </row>
    <row r="5631" spans="7:14" ht="11.25" customHeight="1" x14ac:dyDescent="0.25">
      <c r="G5631" s="459"/>
      <c r="H5631" s="459">
        <v>5624</v>
      </c>
      <c r="I5631" s="444">
        <f t="shared" ca="1" si="213"/>
        <v>-6601957584534389</v>
      </c>
      <c r="J5631" s="444">
        <f t="array" ref="J5631">IFERROR(INDEX('Retirement Calculator'!J:J,MATCH('Isaac 401k'!N5631,'Retirement Calculator'!A:A,0),0),0)</f>
        <v>0</v>
      </c>
      <c r="K5631" s="444">
        <f t="shared" ca="1" si="211"/>
        <v>-27508156602226.621</v>
      </c>
      <c r="L5631" s="444">
        <f t="shared" ca="1" si="212"/>
        <v>-6629465741136616</v>
      </c>
      <c r="M5631" s="460">
        <f t="shared" si="214"/>
        <v>0.05</v>
      </c>
      <c r="N5631" s="464">
        <f t="shared" si="215"/>
        <v>222435</v>
      </c>
    </row>
    <row r="5632" spans="7:14" ht="11.25" customHeight="1" x14ac:dyDescent="0.25">
      <c r="G5632" s="459"/>
      <c r="H5632" s="459">
        <v>5625</v>
      </c>
      <c r="I5632" s="444">
        <f t="shared" ca="1" si="213"/>
        <v>-6629465741136616</v>
      </c>
      <c r="J5632" s="444">
        <f t="array" ref="J5632">IFERROR(INDEX('Retirement Calculator'!J:J,MATCH('Isaac 401k'!N5632,'Retirement Calculator'!A:A,0),0),0)</f>
        <v>0</v>
      </c>
      <c r="K5632" s="444">
        <f t="shared" ca="1" si="211"/>
        <v>-27622773921402.566</v>
      </c>
      <c r="L5632" s="444">
        <f t="shared" ca="1" si="212"/>
        <v>-6657088515058019</v>
      </c>
      <c r="M5632" s="460">
        <f t="shared" si="214"/>
        <v>0.05</v>
      </c>
      <c r="N5632" s="464">
        <f t="shared" si="215"/>
        <v>222466</v>
      </c>
    </row>
    <row r="5633" spans="7:14" ht="11.25" customHeight="1" x14ac:dyDescent="0.25">
      <c r="G5633" s="459"/>
      <c r="H5633" s="459">
        <v>5626</v>
      </c>
      <c r="I5633" s="444">
        <f t="shared" ca="1" si="213"/>
        <v>-6657088515058019</v>
      </c>
      <c r="J5633" s="444">
        <f t="array" ref="J5633">IFERROR(INDEX('Retirement Calculator'!J:J,MATCH('Isaac 401k'!N5633,'Retirement Calculator'!A:A,0),0),0)</f>
        <v>0</v>
      </c>
      <c r="K5633" s="444">
        <f t="shared" ca="1" si="211"/>
        <v>-27737868812741.746</v>
      </c>
      <c r="L5633" s="444">
        <f t="shared" ca="1" si="212"/>
        <v>-6684826383870761</v>
      </c>
      <c r="M5633" s="460">
        <f t="shared" si="214"/>
        <v>0.05</v>
      </c>
      <c r="N5633" s="464">
        <f t="shared" si="215"/>
        <v>222494</v>
      </c>
    </row>
    <row r="5634" spans="7:14" ht="11.25" customHeight="1" x14ac:dyDescent="0.25">
      <c r="G5634" s="459"/>
      <c r="H5634" s="459">
        <v>5627</v>
      </c>
      <c r="I5634" s="444">
        <f t="shared" ca="1" si="213"/>
        <v>-6684826383870761</v>
      </c>
      <c r="J5634" s="444">
        <f t="array" ref="J5634">IFERROR(INDEX('Retirement Calculator'!J:J,MATCH('Isaac 401k'!N5634,'Retirement Calculator'!A:A,0),0),0)</f>
        <v>0</v>
      </c>
      <c r="K5634" s="444">
        <f t="shared" ca="1" si="211"/>
        <v>-27853443266128.172</v>
      </c>
      <c r="L5634" s="444">
        <f t="shared" ca="1" si="212"/>
        <v>-6712679827136889</v>
      </c>
      <c r="M5634" s="460">
        <f t="shared" si="214"/>
        <v>0.05</v>
      </c>
      <c r="N5634" s="464">
        <f t="shared" si="215"/>
        <v>222525</v>
      </c>
    </row>
    <row r="5635" spans="7:14" ht="11.25" customHeight="1" x14ac:dyDescent="0.25">
      <c r="G5635" s="459"/>
      <c r="H5635" s="459">
        <v>5628</v>
      </c>
      <c r="I5635" s="444">
        <f t="shared" ca="1" si="213"/>
        <v>-6712679827136889</v>
      </c>
      <c r="J5635" s="444">
        <f t="array" ref="J5635">IFERROR(INDEX('Retirement Calculator'!J:J,MATCH('Isaac 401k'!N5635,'Retirement Calculator'!A:A,0),0),0)</f>
        <v>0</v>
      </c>
      <c r="K5635" s="444">
        <f t="shared" ca="1" si="211"/>
        <v>-27969499279737.039</v>
      </c>
      <c r="L5635" s="444">
        <f t="shared" ca="1" si="212"/>
        <v>-6740649326416626</v>
      </c>
      <c r="M5635" s="460">
        <f t="shared" si="214"/>
        <v>0.05</v>
      </c>
      <c r="N5635" s="464">
        <f t="shared" si="215"/>
        <v>222555</v>
      </c>
    </row>
    <row r="5636" spans="7:14" ht="11.25" customHeight="1" x14ac:dyDescent="0.25">
      <c r="G5636" s="459"/>
      <c r="H5636" s="459">
        <v>5629</v>
      </c>
      <c r="I5636" s="444">
        <f t="shared" ca="1" si="213"/>
        <v>-6740649326416626</v>
      </c>
      <c r="J5636" s="444">
        <f t="array" ref="J5636">IFERROR(INDEX('Retirement Calculator'!J:J,MATCH('Isaac 401k'!N5636,'Retirement Calculator'!A:A,0),0),0)</f>
        <v>0</v>
      </c>
      <c r="K5636" s="444">
        <f t="shared" ca="1" si="211"/>
        <v>-28086038860069.273</v>
      </c>
      <c r="L5636" s="444">
        <f t="shared" ca="1" si="212"/>
        <v>-6768735365276695</v>
      </c>
      <c r="M5636" s="460">
        <f t="shared" si="214"/>
        <v>0.05</v>
      </c>
      <c r="N5636" s="464">
        <f t="shared" si="215"/>
        <v>222586</v>
      </c>
    </row>
    <row r="5637" spans="7:14" ht="11.25" customHeight="1" x14ac:dyDescent="0.25">
      <c r="G5637" s="459"/>
      <c r="H5637" s="459">
        <v>5630</v>
      </c>
      <c r="I5637" s="444">
        <f t="shared" ca="1" si="213"/>
        <v>-6768735365276695</v>
      </c>
      <c r="J5637" s="444">
        <f t="array" ref="J5637">IFERROR(INDEX('Retirement Calculator'!J:J,MATCH('Isaac 401k'!N5637,'Retirement Calculator'!A:A,0),0),0)</f>
        <v>0</v>
      </c>
      <c r="K5637" s="444">
        <f t="shared" ca="1" si="211"/>
        <v>-28203064021986.23</v>
      </c>
      <c r="L5637" s="444">
        <f t="shared" ca="1" si="212"/>
        <v>-6796938429298681</v>
      </c>
      <c r="M5637" s="460">
        <f t="shared" si="214"/>
        <v>0.05</v>
      </c>
      <c r="N5637" s="464">
        <f t="shared" si="215"/>
        <v>222616</v>
      </c>
    </row>
    <row r="5638" spans="7:14" ht="11.25" customHeight="1" x14ac:dyDescent="0.25">
      <c r="G5638" s="459"/>
      <c r="H5638" s="459">
        <v>5631</v>
      </c>
      <c r="I5638" s="444">
        <f t="shared" ca="1" si="213"/>
        <v>-6796938429298681</v>
      </c>
      <c r="J5638" s="444">
        <f t="array" ref="J5638">IFERROR(INDEX('Retirement Calculator'!J:J,MATCH('Isaac 401k'!N5638,'Retirement Calculator'!A:A,0),0),0)</f>
        <v>0</v>
      </c>
      <c r="K5638" s="444">
        <f t="shared" ca="1" si="211"/>
        <v>-28320576788744.504</v>
      </c>
      <c r="L5638" s="444">
        <f t="shared" ca="1" si="212"/>
        <v>-6825259006087426</v>
      </c>
      <c r="M5638" s="460">
        <f t="shared" si="214"/>
        <v>0.05</v>
      </c>
      <c r="N5638" s="464">
        <f t="shared" si="215"/>
        <v>222647</v>
      </c>
    </row>
    <row r="5639" spans="7:14" ht="11.25" customHeight="1" x14ac:dyDescent="0.25">
      <c r="G5639" s="459"/>
      <c r="H5639" s="459">
        <v>5632</v>
      </c>
      <c r="I5639" s="444">
        <f t="shared" ca="1" si="213"/>
        <v>-6825259006087426</v>
      </c>
      <c r="J5639" s="444">
        <f t="array" ref="J5639">IFERROR(INDEX('Retirement Calculator'!J:J,MATCH('Isaac 401k'!N5639,'Retirement Calculator'!A:A,0),0),0)</f>
        <v>0</v>
      </c>
      <c r="K5639" s="444">
        <f t="shared" ca="1" si="211"/>
        <v>-28438579192030.941</v>
      </c>
      <c r="L5639" s="444">
        <f t="shared" ca="1" si="212"/>
        <v>-6853697585279457</v>
      </c>
      <c r="M5639" s="460">
        <f t="shared" si="214"/>
        <v>0.05</v>
      </c>
      <c r="N5639" s="464">
        <f t="shared" si="215"/>
        <v>222678</v>
      </c>
    </row>
    <row r="5640" spans="7:14" ht="11.25" customHeight="1" x14ac:dyDescent="0.25">
      <c r="G5640" s="459"/>
      <c r="H5640" s="459">
        <v>5633</v>
      </c>
      <c r="I5640" s="444">
        <f t="shared" ca="1" si="213"/>
        <v>-6853697585279457</v>
      </c>
      <c r="J5640" s="444">
        <f t="array" ref="J5640">IFERROR(INDEX('Retirement Calculator'!J:J,MATCH('Isaac 401k'!N5640,'Retirement Calculator'!A:A,0),0),0)</f>
        <v>0</v>
      </c>
      <c r="K5640" s="444">
        <f t="shared" ca="1" si="211"/>
        <v>-28557073271997.738</v>
      </c>
      <c r="L5640" s="444">
        <f t="shared" ca="1" si="212"/>
        <v>-6882254658551455</v>
      </c>
      <c r="M5640" s="460">
        <f t="shared" si="214"/>
        <v>0.05</v>
      </c>
      <c r="N5640" s="464">
        <f t="shared" si="215"/>
        <v>222708</v>
      </c>
    </row>
    <row r="5641" spans="7:14" ht="11.25" customHeight="1" x14ac:dyDescent="0.25">
      <c r="G5641" s="459"/>
      <c r="H5641" s="459">
        <v>5634</v>
      </c>
      <c r="I5641" s="444">
        <f t="shared" ca="1" si="213"/>
        <v>-6882254658551455</v>
      </c>
      <c r="J5641" s="444">
        <f t="array" ref="J5641">IFERROR(INDEX('Retirement Calculator'!J:J,MATCH('Isaac 401k'!N5641,'Retirement Calculator'!A:A,0),0),0)</f>
        <v>0</v>
      </c>
      <c r="K5641" s="444">
        <f t="shared" ca="1" si="211"/>
        <v>-28676061077297.73</v>
      </c>
      <c r="L5641" s="444">
        <f t="shared" ca="1" si="212"/>
        <v>-6910930719628753</v>
      </c>
      <c r="M5641" s="460">
        <f t="shared" si="214"/>
        <v>0.05</v>
      </c>
      <c r="N5641" s="464">
        <f t="shared" si="215"/>
        <v>222739</v>
      </c>
    </row>
    <row r="5642" spans="7:14" ht="11.25" customHeight="1" x14ac:dyDescent="0.25">
      <c r="G5642" s="459"/>
      <c r="H5642" s="459">
        <v>5635</v>
      </c>
      <c r="I5642" s="444">
        <f t="shared" ca="1" si="213"/>
        <v>-6910930719628753</v>
      </c>
      <c r="J5642" s="444">
        <f t="array" ref="J5642">IFERROR(INDEX('Retirement Calculator'!J:J,MATCH('Isaac 401k'!N5642,'Retirement Calculator'!A:A,0),0),0)</f>
        <v>0</v>
      </c>
      <c r="K5642" s="444">
        <f t="shared" ca="1" si="211"/>
        <v>-28795544665119.805</v>
      </c>
      <c r="L5642" s="444">
        <f t="shared" ca="1" si="212"/>
        <v>-6939726264293873</v>
      </c>
      <c r="M5642" s="460">
        <f t="shared" si="214"/>
        <v>0.05</v>
      </c>
      <c r="N5642" s="464">
        <f t="shared" si="215"/>
        <v>222769</v>
      </c>
    </row>
    <row r="5643" spans="7:14" ht="11.25" customHeight="1" x14ac:dyDescent="0.25">
      <c r="G5643" s="459"/>
      <c r="H5643" s="459">
        <v>5636</v>
      </c>
      <c r="I5643" s="444">
        <f t="shared" ca="1" si="213"/>
        <v>-6939726264293873</v>
      </c>
      <c r="J5643" s="444">
        <f t="array" ref="J5643">IFERROR(INDEX('Retirement Calculator'!J:J,MATCH('Isaac 401k'!N5643,'Retirement Calculator'!A:A,0),0),0)</f>
        <v>0</v>
      </c>
      <c r="K5643" s="444">
        <f t="shared" ca="1" si="211"/>
        <v>-28915526101224.469</v>
      </c>
      <c r="L5643" s="444">
        <f t="shared" ca="1" si="212"/>
        <v>-6968641790395097</v>
      </c>
      <c r="M5643" s="460">
        <f t="shared" si="214"/>
        <v>0.05</v>
      </c>
      <c r="N5643" s="464">
        <f t="shared" si="215"/>
        <v>222800</v>
      </c>
    </row>
    <row r="5644" spans="7:14" ht="11.25" customHeight="1" x14ac:dyDescent="0.25">
      <c r="G5644" s="459"/>
      <c r="H5644" s="459">
        <v>5637</v>
      </c>
      <c r="I5644" s="444">
        <f t="shared" ca="1" si="213"/>
        <v>-6968641790395097</v>
      </c>
      <c r="J5644" s="444">
        <f t="array" ref="J5644">IFERROR(INDEX('Retirement Calculator'!J:J,MATCH('Isaac 401k'!N5644,'Retirement Calculator'!A:A,0),0),0)</f>
        <v>0</v>
      </c>
      <c r="K5644" s="444">
        <f t="shared" ca="1" si="211"/>
        <v>-29036007459979.57</v>
      </c>
      <c r="L5644" s="444">
        <f t="shared" ca="1" si="212"/>
        <v>-6997677797855077</v>
      </c>
      <c r="M5644" s="460">
        <f t="shared" si="214"/>
        <v>0.05</v>
      </c>
      <c r="N5644" s="464">
        <f t="shared" si="215"/>
        <v>222831</v>
      </c>
    </row>
    <row r="5645" spans="7:14" ht="11.25" customHeight="1" x14ac:dyDescent="0.25">
      <c r="G5645" s="459"/>
      <c r="H5645" s="459">
        <v>5638</v>
      </c>
      <c r="I5645" s="444">
        <f t="shared" ca="1" si="213"/>
        <v>-6997677797855077</v>
      </c>
      <c r="J5645" s="444">
        <f t="array" ref="J5645">IFERROR(INDEX('Retirement Calculator'!J:J,MATCH('Isaac 401k'!N5645,'Retirement Calculator'!A:A,0),0),0)</f>
        <v>0</v>
      </c>
      <c r="K5645" s="444">
        <f t="shared" ca="1" si="211"/>
        <v>-29156990824396.152</v>
      </c>
      <c r="L5645" s="444">
        <f t="shared" ca="1" si="212"/>
        <v>-7026834788679473</v>
      </c>
      <c r="M5645" s="460">
        <f t="shared" si="214"/>
        <v>0.05</v>
      </c>
      <c r="N5645" s="464">
        <f t="shared" si="215"/>
        <v>222859</v>
      </c>
    </row>
    <row r="5646" spans="7:14" ht="11.25" customHeight="1" x14ac:dyDescent="0.25">
      <c r="G5646" s="459"/>
      <c r="H5646" s="459">
        <v>5639</v>
      </c>
      <c r="I5646" s="444">
        <f t="shared" ca="1" si="213"/>
        <v>-7026834788679473</v>
      </c>
      <c r="J5646" s="444">
        <f t="array" ref="J5646">IFERROR(INDEX('Retirement Calculator'!J:J,MATCH('Isaac 401k'!N5646,'Retirement Calculator'!A:A,0),0),0)</f>
        <v>0</v>
      </c>
      <c r="K5646" s="444">
        <f t="shared" ca="1" si="211"/>
        <v>-29278478286164.465</v>
      </c>
      <c r="L5646" s="444">
        <f t="shared" ca="1" si="212"/>
        <v>-7056113266965637</v>
      </c>
      <c r="M5646" s="460">
        <f t="shared" si="214"/>
        <v>0.05</v>
      </c>
      <c r="N5646" s="464">
        <f t="shared" si="215"/>
        <v>222890</v>
      </c>
    </row>
    <row r="5647" spans="7:14" ht="11.25" customHeight="1" x14ac:dyDescent="0.25">
      <c r="G5647" s="459"/>
      <c r="H5647" s="459">
        <v>5640</v>
      </c>
      <c r="I5647" s="444">
        <f t="shared" ca="1" si="213"/>
        <v>-7056113266965637</v>
      </c>
      <c r="J5647" s="444">
        <f t="array" ref="J5647">IFERROR(INDEX('Retirement Calculator'!J:J,MATCH('Isaac 401k'!N5647,'Retirement Calculator'!A:A,0),0),0)</f>
        <v>0</v>
      </c>
      <c r="K5647" s="444">
        <f t="shared" ca="1" si="211"/>
        <v>-29400471945690.156</v>
      </c>
      <c r="L5647" s="444">
        <f t="shared" ca="1" si="212"/>
        <v>-7085513738911327</v>
      </c>
      <c r="M5647" s="460">
        <f t="shared" si="214"/>
        <v>0.05</v>
      </c>
      <c r="N5647" s="464">
        <f t="shared" si="215"/>
        <v>222920</v>
      </c>
    </row>
    <row r="5648" spans="7:14" ht="11.25" customHeight="1" x14ac:dyDescent="0.25">
      <c r="G5648" s="459"/>
      <c r="H5648" s="459">
        <v>5641</v>
      </c>
      <c r="I5648" s="444">
        <f t="shared" ca="1" si="213"/>
        <v>-7085513738911327</v>
      </c>
      <c r="J5648" s="444">
        <f t="array" ref="J5648">IFERROR(INDEX('Retirement Calculator'!J:J,MATCH('Isaac 401k'!N5648,'Retirement Calculator'!A:A,0),0),0)</f>
        <v>0</v>
      </c>
      <c r="K5648" s="444">
        <f t="shared" ca="1" si="211"/>
        <v>-29522973912130.527</v>
      </c>
      <c r="L5648" s="444">
        <f t="shared" ca="1" si="212"/>
        <v>-7115036712823458</v>
      </c>
      <c r="M5648" s="460">
        <f t="shared" si="214"/>
        <v>0.05</v>
      </c>
      <c r="N5648" s="464">
        <f t="shared" si="215"/>
        <v>222951</v>
      </c>
    </row>
    <row r="5649" spans="7:14" ht="11.25" customHeight="1" x14ac:dyDescent="0.25">
      <c r="G5649" s="459"/>
      <c r="H5649" s="459">
        <v>5642</v>
      </c>
      <c r="I5649" s="444">
        <f t="shared" ca="1" si="213"/>
        <v>-7115036712823458</v>
      </c>
      <c r="J5649" s="444">
        <f t="array" ref="J5649">IFERROR(INDEX('Retirement Calculator'!J:J,MATCH('Isaac 401k'!N5649,'Retirement Calculator'!A:A,0),0),0)</f>
        <v>0</v>
      </c>
      <c r="K5649" s="444">
        <f t="shared" ca="1" si="211"/>
        <v>-29645986303431.074</v>
      </c>
      <c r="L5649" s="444">
        <f t="shared" ca="1" si="212"/>
        <v>-7144682699126889</v>
      </c>
      <c r="M5649" s="460">
        <f t="shared" si="214"/>
        <v>0.05</v>
      </c>
      <c r="N5649" s="464">
        <f t="shared" si="215"/>
        <v>222981</v>
      </c>
    </row>
    <row r="5650" spans="7:14" ht="11.25" customHeight="1" x14ac:dyDescent="0.25">
      <c r="G5650" s="459"/>
      <c r="H5650" s="459">
        <v>5643</v>
      </c>
      <c r="I5650" s="444">
        <f t="shared" ca="1" si="213"/>
        <v>-7144682699126889</v>
      </c>
      <c r="J5650" s="444">
        <f t="array" ref="J5650">IFERROR(INDEX('Retirement Calculator'!J:J,MATCH('Isaac 401k'!N5650,'Retirement Calculator'!A:A,0),0),0)</f>
        <v>0</v>
      </c>
      <c r="K5650" s="444">
        <f t="shared" ca="1" si="211"/>
        <v>-29769511246362.035</v>
      </c>
      <c r="L5650" s="444">
        <f t="shared" ca="1" si="212"/>
        <v>-7174452210373251</v>
      </c>
      <c r="M5650" s="460">
        <f t="shared" si="214"/>
        <v>0.05</v>
      </c>
      <c r="N5650" s="464">
        <f t="shared" si="215"/>
        <v>223012</v>
      </c>
    </row>
    <row r="5651" spans="7:14" ht="11.25" customHeight="1" x14ac:dyDescent="0.25">
      <c r="G5651" s="459"/>
      <c r="H5651" s="459">
        <v>5644</v>
      </c>
      <c r="I5651" s="444">
        <f t="shared" ca="1" si="213"/>
        <v>-7174452210373251</v>
      </c>
      <c r="J5651" s="444">
        <f t="array" ref="J5651">IFERROR(INDEX('Retirement Calculator'!J:J,MATCH('Isaac 401k'!N5651,'Retirement Calculator'!A:A,0),0),0)</f>
        <v>0</v>
      </c>
      <c r="K5651" s="444">
        <f t="shared" ca="1" si="211"/>
        <v>-29893550876555.211</v>
      </c>
      <c r="L5651" s="444">
        <f t="shared" ca="1" si="212"/>
        <v>-7204345761249806</v>
      </c>
      <c r="M5651" s="460">
        <f t="shared" si="214"/>
        <v>0.05</v>
      </c>
      <c r="N5651" s="464">
        <f t="shared" si="215"/>
        <v>223043</v>
      </c>
    </row>
    <row r="5652" spans="7:14" ht="11.25" customHeight="1" x14ac:dyDescent="0.25">
      <c r="G5652" s="459"/>
      <c r="H5652" s="459">
        <v>5645</v>
      </c>
      <c r="I5652" s="444">
        <f t="shared" ca="1" si="213"/>
        <v>-7204345761249806</v>
      </c>
      <c r="J5652" s="444">
        <f t="array" ref="J5652">IFERROR(INDEX('Retirement Calculator'!J:J,MATCH('Isaac 401k'!N5652,'Retirement Calculator'!A:A,0),0),0)</f>
        <v>0</v>
      </c>
      <c r="K5652" s="444">
        <f t="shared" ca="1" si="211"/>
        <v>-30018107338540.855</v>
      </c>
      <c r="L5652" s="444">
        <f t="shared" ca="1" si="212"/>
        <v>-7234363868588347</v>
      </c>
      <c r="M5652" s="460">
        <f t="shared" si="214"/>
        <v>0.05</v>
      </c>
      <c r="N5652" s="464">
        <f t="shared" si="215"/>
        <v>223073</v>
      </c>
    </row>
    <row r="5653" spans="7:14" ht="11.25" customHeight="1" x14ac:dyDescent="0.25">
      <c r="G5653" s="459"/>
      <c r="H5653" s="459">
        <v>5646</v>
      </c>
      <c r="I5653" s="444">
        <f t="shared" ca="1" si="213"/>
        <v>-7234363868588347</v>
      </c>
      <c r="J5653" s="444">
        <f t="array" ref="J5653">IFERROR(INDEX('Retirement Calculator'!J:J,MATCH('Isaac 401k'!N5653,'Retirement Calculator'!A:A,0),0),0)</f>
        <v>0</v>
      </c>
      <c r="K5653" s="444">
        <f t="shared" ca="1" si="211"/>
        <v>-30143182785784.773</v>
      </c>
      <c r="L5653" s="444">
        <f t="shared" ca="1" si="212"/>
        <v>-7264507051374132</v>
      </c>
      <c r="M5653" s="460">
        <f t="shared" si="214"/>
        <v>0.05</v>
      </c>
      <c r="N5653" s="464">
        <f t="shared" si="215"/>
        <v>223104</v>
      </c>
    </row>
    <row r="5654" spans="7:14" ht="11.25" customHeight="1" x14ac:dyDescent="0.25">
      <c r="G5654" s="459"/>
      <c r="H5654" s="459">
        <v>5647</v>
      </c>
      <c r="I5654" s="444">
        <f t="shared" ca="1" si="213"/>
        <v>-7264507051374132</v>
      </c>
      <c r="J5654" s="444">
        <f t="array" ref="J5654">IFERROR(INDEX('Retirement Calculator'!J:J,MATCH('Isaac 401k'!N5654,'Retirement Calculator'!A:A,0),0),0)</f>
        <v>0</v>
      </c>
      <c r="K5654" s="444">
        <f t="shared" ca="1" si="211"/>
        <v>-30268779380725.547</v>
      </c>
      <c r="L5654" s="444">
        <f t="shared" ca="1" si="212"/>
        <v>-7294775830754858</v>
      </c>
      <c r="M5654" s="460">
        <f t="shared" si="214"/>
        <v>0.05</v>
      </c>
      <c r="N5654" s="464">
        <f t="shared" si="215"/>
        <v>223134</v>
      </c>
    </row>
    <row r="5655" spans="7:14" ht="11.25" customHeight="1" x14ac:dyDescent="0.25">
      <c r="G5655" s="459"/>
      <c r="H5655" s="459">
        <v>5648</v>
      </c>
      <c r="I5655" s="444">
        <f t="shared" ca="1" si="213"/>
        <v>-7294775830754858</v>
      </c>
      <c r="J5655" s="444">
        <f t="array" ref="J5655">IFERROR(INDEX('Retirement Calculator'!J:J,MATCH('Isaac 401k'!N5655,'Retirement Calculator'!A:A,0),0),0)</f>
        <v>0</v>
      </c>
      <c r="K5655" s="444">
        <f t="shared" ca="1" si="211"/>
        <v>-30394899294811.906</v>
      </c>
      <c r="L5655" s="444">
        <f t="shared" ca="1" si="212"/>
        <v>-7325170730049670</v>
      </c>
      <c r="M5655" s="460">
        <f t="shared" si="214"/>
        <v>0.05</v>
      </c>
      <c r="N5655" s="464">
        <f t="shared" si="215"/>
        <v>223165</v>
      </c>
    </row>
    <row r="5656" spans="7:14" ht="11.25" customHeight="1" x14ac:dyDescent="0.25">
      <c r="G5656" s="459"/>
      <c r="H5656" s="459">
        <v>5649</v>
      </c>
      <c r="I5656" s="444">
        <f t="shared" ca="1" si="213"/>
        <v>-7325170730049670</v>
      </c>
      <c r="J5656" s="444">
        <f t="array" ref="J5656">IFERROR(INDEX('Retirement Calculator'!J:J,MATCH('Isaac 401k'!N5656,'Retirement Calculator'!A:A,0),0),0)</f>
        <v>0</v>
      </c>
      <c r="K5656" s="444">
        <f t="shared" ca="1" si="211"/>
        <v>-30521544708540.293</v>
      </c>
      <c r="L5656" s="444">
        <f t="shared" ca="1" si="212"/>
        <v>-7355692274758210</v>
      </c>
      <c r="M5656" s="460">
        <f t="shared" si="214"/>
        <v>0.05</v>
      </c>
      <c r="N5656" s="464">
        <f t="shared" si="215"/>
        <v>223196</v>
      </c>
    </row>
    <row r="5657" spans="7:14" ht="11.25" customHeight="1" x14ac:dyDescent="0.25">
      <c r="G5657" s="459"/>
      <c r="H5657" s="459">
        <v>5650</v>
      </c>
      <c r="I5657" s="444">
        <f t="shared" ca="1" si="213"/>
        <v>-7355692274758210</v>
      </c>
      <c r="J5657" s="444">
        <f t="array" ref="J5657">IFERROR(INDEX('Retirement Calculator'!J:J,MATCH('Isaac 401k'!N5657,'Retirement Calculator'!A:A,0),0),0)</f>
        <v>0</v>
      </c>
      <c r="K5657" s="444">
        <f t="shared" ca="1" si="211"/>
        <v>-30648717811492.547</v>
      </c>
      <c r="L5657" s="444">
        <f t="shared" ca="1" si="212"/>
        <v>-7386340992569703</v>
      </c>
      <c r="M5657" s="460">
        <f t="shared" si="214"/>
        <v>0.05</v>
      </c>
      <c r="N5657" s="464">
        <f t="shared" si="215"/>
        <v>223224</v>
      </c>
    </row>
    <row r="5658" spans="7:14" ht="11.25" customHeight="1" x14ac:dyDescent="0.25">
      <c r="G5658" s="459"/>
      <c r="H5658" s="459">
        <v>5651</v>
      </c>
      <c r="I5658" s="444">
        <f t="shared" ca="1" si="213"/>
        <v>-7386340992569703</v>
      </c>
      <c r="J5658" s="444">
        <f t="array" ref="J5658">IFERROR(INDEX('Retirement Calculator'!J:J,MATCH('Isaac 401k'!N5658,'Retirement Calculator'!A:A,0),0),0)</f>
        <v>0</v>
      </c>
      <c r="K5658" s="444">
        <f t="shared" ca="1" si="211"/>
        <v>-30776420802373.762</v>
      </c>
      <c r="L5658" s="444">
        <f t="shared" ca="1" si="212"/>
        <v>-7417117413372077</v>
      </c>
      <c r="M5658" s="460">
        <f t="shared" si="214"/>
        <v>0.05</v>
      </c>
      <c r="N5658" s="464">
        <f t="shared" si="215"/>
        <v>223255</v>
      </c>
    </row>
    <row r="5659" spans="7:14" ht="11.25" customHeight="1" x14ac:dyDescent="0.25">
      <c r="G5659" s="459"/>
      <c r="H5659" s="459">
        <v>5652</v>
      </c>
      <c r="I5659" s="444">
        <f t="shared" ca="1" si="213"/>
        <v>-7417117413372077</v>
      </c>
      <c r="J5659" s="444">
        <f t="array" ref="J5659">IFERROR(INDEX('Retirement Calculator'!J:J,MATCH('Isaac 401k'!N5659,'Retirement Calculator'!A:A,0),0),0)</f>
        <v>0</v>
      </c>
      <c r="K5659" s="444">
        <f t="shared" ca="1" si="211"/>
        <v>-30904655889050.32</v>
      </c>
      <c r="L5659" s="444">
        <f t="shared" ca="1" si="212"/>
        <v>-7448022069261127</v>
      </c>
      <c r="M5659" s="460">
        <f t="shared" si="214"/>
        <v>0.05</v>
      </c>
      <c r="N5659" s="464">
        <f t="shared" si="215"/>
        <v>223285</v>
      </c>
    </row>
    <row r="5660" spans="7:14" ht="11.25" customHeight="1" x14ac:dyDescent="0.25">
      <c r="G5660" s="459"/>
      <c r="H5660" s="459">
        <v>5653</v>
      </c>
      <c r="I5660" s="444">
        <f t="shared" ca="1" si="213"/>
        <v>-7448022069261127</v>
      </c>
      <c r="J5660" s="444">
        <f t="array" ref="J5660">IFERROR(INDEX('Retirement Calculator'!J:J,MATCH('Isaac 401k'!N5660,'Retirement Calculator'!A:A,0),0),0)</f>
        <v>0</v>
      </c>
      <c r="K5660" s="444">
        <f t="shared" ca="1" si="211"/>
        <v>-31033425288588.027</v>
      </c>
      <c r="L5660" s="444">
        <f t="shared" ca="1" si="212"/>
        <v>-7479055494549715</v>
      </c>
      <c r="M5660" s="460">
        <f t="shared" si="214"/>
        <v>0.05</v>
      </c>
      <c r="N5660" s="464">
        <f t="shared" si="215"/>
        <v>223316</v>
      </c>
    </row>
    <row r="5661" spans="7:14" ht="11.25" customHeight="1" x14ac:dyDescent="0.25">
      <c r="G5661" s="459"/>
      <c r="H5661" s="459">
        <v>5654</v>
      </c>
      <c r="I5661" s="444">
        <f t="shared" ca="1" si="213"/>
        <v>-7479055494549715</v>
      </c>
      <c r="J5661" s="444">
        <f t="array" ref="J5661">IFERROR(INDEX('Retirement Calculator'!J:J,MATCH('Isaac 401k'!N5661,'Retirement Calculator'!A:A,0),0),0)</f>
        <v>0</v>
      </c>
      <c r="K5661" s="444">
        <f t="shared" ca="1" si="211"/>
        <v>-31162731227290.48</v>
      </c>
      <c r="L5661" s="444">
        <f t="shared" ca="1" si="212"/>
        <v>-7510218225777005</v>
      </c>
      <c r="M5661" s="460">
        <f t="shared" si="214"/>
        <v>0.05</v>
      </c>
      <c r="N5661" s="464">
        <f t="shared" si="215"/>
        <v>223346</v>
      </c>
    </row>
    <row r="5662" spans="7:14" ht="11.25" customHeight="1" x14ac:dyDescent="0.25">
      <c r="G5662" s="459"/>
      <c r="H5662" s="459">
        <v>5655</v>
      </c>
      <c r="I5662" s="444">
        <f t="shared" ca="1" si="213"/>
        <v>-7510218225777005</v>
      </c>
      <c r="J5662" s="444">
        <f t="array" ref="J5662">IFERROR(INDEX('Retirement Calculator'!J:J,MATCH('Isaac 401k'!N5662,'Retirement Calculator'!A:A,0),0),0)</f>
        <v>0</v>
      </c>
      <c r="K5662" s="444">
        <f t="shared" ca="1" si="211"/>
        <v>-31292575940737.523</v>
      </c>
      <c r="L5662" s="444">
        <f t="shared" ca="1" si="212"/>
        <v>-7541510801717743</v>
      </c>
      <c r="M5662" s="460">
        <f t="shared" si="214"/>
        <v>0.05</v>
      </c>
      <c r="N5662" s="464">
        <f t="shared" si="215"/>
        <v>223377</v>
      </c>
    </row>
    <row r="5663" spans="7:14" ht="11.25" customHeight="1" x14ac:dyDescent="0.25">
      <c r="G5663" s="459"/>
      <c r="H5663" s="459">
        <v>5656</v>
      </c>
      <c r="I5663" s="444">
        <f t="shared" ca="1" si="213"/>
        <v>-7541510801717743</v>
      </c>
      <c r="J5663" s="444">
        <f t="array" ref="J5663">IFERROR(INDEX('Retirement Calculator'!J:J,MATCH('Isaac 401k'!N5663,'Retirement Calculator'!A:A,0),0),0)</f>
        <v>0</v>
      </c>
      <c r="K5663" s="444">
        <f t="shared" ca="1" si="211"/>
        <v>-31422961673823.93</v>
      </c>
      <c r="L5663" s="444">
        <f t="shared" ca="1" si="212"/>
        <v>-7572933763391567</v>
      </c>
      <c r="M5663" s="460">
        <f t="shared" si="214"/>
        <v>0.05</v>
      </c>
      <c r="N5663" s="464">
        <f t="shared" si="215"/>
        <v>223408</v>
      </c>
    </row>
    <row r="5664" spans="7:14" ht="11.25" customHeight="1" x14ac:dyDescent="0.25">
      <c r="G5664" s="459"/>
      <c r="H5664" s="459">
        <v>5657</v>
      </c>
      <c r="I5664" s="444">
        <f t="shared" ca="1" si="213"/>
        <v>-7572933763391567</v>
      </c>
      <c r="J5664" s="444">
        <f t="array" ref="J5664">IFERROR(INDEX('Retirement Calculator'!J:J,MATCH('Isaac 401k'!N5664,'Retirement Calculator'!A:A,0),0),0)</f>
        <v>0</v>
      </c>
      <c r="K5664" s="444">
        <f t="shared" ca="1" si="211"/>
        <v>-31553890680798.199</v>
      </c>
      <c r="L5664" s="444">
        <f t="shared" ca="1" si="212"/>
        <v>-7604487654072365</v>
      </c>
      <c r="M5664" s="460">
        <f t="shared" si="214"/>
        <v>0.05</v>
      </c>
      <c r="N5664" s="464">
        <f t="shared" si="215"/>
        <v>223438</v>
      </c>
    </row>
    <row r="5665" spans="7:14" ht="11.25" customHeight="1" x14ac:dyDescent="0.25">
      <c r="G5665" s="459"/>
      <c r="H5665" s="459">
        <v>5658</v>
      </c>
      <c r="I5665" s="444">
        <f t="shared" ca="1" si="213"/>
        <v>-7604487654072365</v>
      </c>
      <c r="J5665" s="444">
        <f t="array" ref="J5665">IFERROR(INDEX('Retirement Calculator'!J:J,MATCH('Isaac 401k'!N5665,'Retirement Calculator'!A:A,0),0),0)</f>
        <v>0</v>
      </c>
      <c r="K5665" s="444">
        <f t="shared" ca="1" si="211"/>
        <v>-31685365225301.516</v>
      </c>
      <c r="L5665" s="444">
        <f t="shared" ca="1" si="212"/>
        <v>-7636173019297667</v>
      </c>
      <c r="M5665" s="460">
        <f t="shared" si="214"/>
        <v>0.05</v>
      </c>
      <c r="N5665" s="464">
        <f t="shared" si="215"/>
        <v>223469</v>
      </c>
    </row>
    <row r="5666" spans="7:14" ht="11.25" customHeight="1" x14ac:dyDescent="0.25">
      <c r="G5666" s="459"/>
      <c r="H5666" s="459">
        <v>5659</v>
      </c>
      <c r="I5666" s="444">
        <f t="shared" ca="1" si="213"/>
        <v>-7636173019297667</v>
      </c>
      <c r="J5666" s="444">
        <f t="array" ref="J5666">IFERROR(INDEX('Retirement Calculator'!J:J,MATCH('Isaac 401k'!N5666,'Retirement Calculator'!A:A,0),0),0)</f>
        <v>0</v>
      </c>
      <c r="K5666" s="444">
        <f t="shared" ca="1" si="211"/>
        <v>-31817387580406.945</v>
      </c>
      <c r="L5666" s="444">
        <f t="shared" ca="1" si="212"/>
        <v>-7667990406878074</v>
      </c>
      <c r="M5666" s="460">
        <f t="shared" si="214"/>
        <v>0.05</v>
      </c>
      <c r="N5666" s="464">
        <f t="shared" si="215"/>
        <v>223499</v>
      </c>
    </row>
    <row r="5667" spans="7:14" ht="11.25" customHeight="1" x14ac:dyDescent="0.25">
      <c r="G5667" s="459"/>
      <c r="H5667" s="459">
        <v>5660</v>
      </c>
      <c r="I5667" s="444">
        <f t="shared" ca="1" si="213"/>
        <v>-7667990406878074</v>
      </c>
      <c r="J5667" s="444">
        <f t="array" ref="J5667">IFERROR(INDEX('Retirement Calculator'!J:J,MATCH('Isaac 401k'!N5667,'Retirement Calculator'!A:A,0),0),0)</f>
        <v>0</v>
      </c>
      <c r="K5667" s="444">
        <f t="shared" ca="1" si="211"/>
        <v>-31949960028658.641</v>
      </c>
      <c r="L5667" s="444">
        <f t="shared" ca="1" si="212"/>
        <v>-7699940366906733</v>
      </c>
      <c r="M5667" s="460">
        <f t="shared" si="214"/>
        <v>0.05</v>
      </c>
      <c r="N5667" s="464">
        <f t="shared" si="215"/>
        <v>223530</v>
      </c>
    </row>
    <row r="5668" spans="7:14" ht="11.25" customHeight="1" x14ac:dyDescent="0.25">
      <c r="G5668" s="459"/>
      <c r="H5668" s="459">
        <v>5661</v>
      </c>
      <c r="I5668" s="444">
        <f t="shared" ca="1" si="213"/>
        <v>-7699940366906733</v>
      </c>
      <c r="J5668" s="444">
        <f t="array" ref="J5668">IFERROR(INDEX('Retirement Calculator'!J:J,MATCH('Isaac 401k'!N5668,'Retirement Calculator'!A:A,0),0),0)</f>
        <v>0</v>
      </c>
      <c r="K5668" s="444">
        <f t="shared" ca="1" si="211"/>
        <v>-32083084862111.387</v>
      </c>
      <c r="L5668" s="444">
        <f t="shared" ca="1" si="212"/>
        <v>-7732023451768844</v>
      </c>
      <c r="M5668" s="460">
        <f t="shared" si="214"/>
        <v>0.05</v>
      </c>
      <c r="N5668" s="464">
        <f t="shared" si="215"/>
        <v>223561</v>
      </c>
    </row>
    <row r="5669" spans="7:14" ht="11.25" customHeight="1" x14ac:dyDescent="0.25">
      <c r="G5669" s="459"/>
      <c r="H5669" s="459">
        <v>5662</v>
      </c>
      <c r="I5669" s="444">
        <f t="shared" ca="1" si="213"/>
        <v>-7732023451768844</v>
      </c>
      <c r="J5669" s="444">
        <f t="array" ref="J5669">IFERROR(INDEX('Retirement Calculator'!J:J,MATCH('Isaac 401k'!N5669,'Retirement Calculator'!A:A,0),0),0)</f>
        <v>0</v>
      </c>
      <c r="K5669" s="444">
        <f t="shared" ca="1" si="211"/>
        <v>-32216764382370.18</v>
      </c>
      <c r="L5669" s="444">
        <f t="shared" ca="1" si="212"/>
        <v>-7764240216151214</v>
      </c>
      <c r="M5669" s="460">
        <f t="shared" si="214"/>
        <v>0.05</v>
      </c>
      <c r="N5669" s="464">
        <f t="shared" si="215"/>
        <v>223590</v>
      </c>
    </row>
    <row r="5670" spans="7:14" ht="11.25" customHeight="1" x14ac:dyDescent="0.25">
      <c r="G5670" s="459"/>
      <c r="H5670" s="459">
        <v>5663</v>
      </c>
      <c r="I5670" s="444">
        <f t="shared" ca="1" si="213"/>
        <v>-7764240216151214</v>
      </c>
      <c r="J5670" s="444">
        <f t="array" ref="J5670">IFERROR(INDEX('Retirement Calculator'!J:J,MATCH('Isaac 401k'!N5670,'Retirement Calculator'!A:A,0),0),0)</f>
        <v>0</v>
      </c>
      <c r="K5670" s="444">
        <f t="shared" ca="1" si="211"/>
        <v>-32351000900630.063</v>
      </c>
      <c r="L5670" s="444">
        <f t="shared" ca="1" si="212"/>
        <v>-7796591217051844</v>
      </c>
      <c r="M5670" s="460">
        <f t="shared" si="214"/>
        <v>0.05</v>
      </c>
      <c r="N5670" s="464">
        <f t="shared" si="215"/>
        <v>223621</v>
      </c>
    </row>
    <row r="5671" spans="7:14" ht="11.25" customHeight="1" x14ac:dyDescent="0.25">
      <c r="G5671" s="459"/>
      <c r="H5671" s="459">
        <v>5664</v>
      </c>
      <c r="I5671" s="444">
        <f t="shared" ca="1" si="213"/>
        <v>-7796591217051844</v>
      </c>
      <c r="J5671" s="444">
        <f t="array" ref="J5671">IFERROR(INDEX('Retirement Calculator'!J:J,MATCH('Isaac 401k'!N5671,'Retirement Calculator'!A:A,0),0),0)</f>
        <v>0</v>
      </c>
      <c r="K5671" s="444">
        <f t="shared" ca="1" si="211"/>
        <v>-32485796737716.016</v>
      </c>
      <c r="L5671" s="444">
        <f t="shared" ca="1" si="212"/>
        <v>-7829077013789560</v>
      </c>
      <c r="M5671" s="460">
        <f t="shared" si="214"/>
        <v>0.05</v>
      </c>
      <c r="N5671" s="464">
        <f t="shared" si="215"/>
        <v>223651</v>
      </c>
    </row>
    <row r="5672" spans="7:14" ht="11.25" customHeight="1" x14ac:dyDescent="0.25">
      <c r="G5672" s="459"/>
      <c r="H5672" s="459">
        <v>5665</v>
      </c>
      <c r="I5672" s="444">
        <f t="shared" ca="1" si="213"/>
        <v>-7829077013789560</v>
      </c>
      <c r="J5672" s="444">
        <f t="array" ref="J5672">IFERROR(INDEX('Retirement Calculator'!J:J,MATCH('Isaac 401k'!N5672,'Retirement Calculator'!A:A,0),0),0)</f>
        <v>0</v>
      </c>
      <c r="K5672" s="444">
        <f t="shared" ca="1" si="211"/>
        <v>-32621154224123.168</v>
      </c>
      <c r="L5672" s="444">
        <f t="shared" ca="1" si="212"/>
        <v>-7861698168013683</v>
      </c>
      <c r="M5672" s="460">
        <f t="shared" si="214"/>
        <v>0.05</v>
      </c>
      <c r="N5672" s="464">
        <f t="shared" si="215"/>
        <v>223682</v>
      </c>
    </row>
    <row r="5673" spans="7:14" ht="11.25" customHeight="1" x14ac:dyDescent="0.25">
      <c r="G5673" s="459"/>
      <c r="H5673" s="459">
        <v>5666</v>
      </c>
      <c r="I5673" s="444">
        <f t="shared" ca="1" si="213"/>
        <v>-7861698168013683</v>
      </c>
      <c r="J5673" s="444">
        <f t="array" ref="J5673">IFERROR(INDEX('Retirement Calculator'!J:J,MATCH('Isaac 401k'!N5673,'Retirement Calculator'!A:A,0),0),0)</f>
        <v>0</v>
      </c>
      <c r="K5673" s="444">
        <f t="shared" ca="1" si="211"/>
        <v>-32757075700057.012</v>
      </c>
      <c r="L5673" s="444">
        <f t="shared" ca="1" si="212"/>
        <v>-7894455243713740</v>
      </c>
      <c r="M5673" s="460">
        <f t="shared" si="214"/>
        <v>0.05</v>
      </c>
      <c r="N5673" s="464">
        <f t="shared" si="215"/>
        <v>223712</v>
      </c>
    </row>
    <row r="5674" spans="7:14" ht="11.25" customHeight="1" x14ac:dyDescent="0.25">
      <c r="G5674" s="459"/>
      <c r="H5674" s="459">
        <v>5667</v>
      </c>
      <c r="I5674" s="444">
        <f t="shared" ca="1" si="213"/>
        <v>-7894455243713740</v>
      </c>
      <c r="J5674" s="444">
        <f t="array" ref="J5674">IFERROR(INDEX('Retirement Calculator'!J:J,MATCH('Isaac 401k'!N5674,'Retirement Calculator'!A:A,0),0),0)</f>
        <v>0</v>
      </c>
      <c r="K5674" s="444">
        <f t="shared" ca="1" si="211"/>
        <v>-32893563515473.918</v>
      </c>
      <c r="L5674" s="444">
        <f t="shared" ca="1" si="212"/>
        <v>-7927348807229214</v>
      </c>
      <c r="M5674" s="460">
        <f t="shared" si="214"/>
        <v>0.05</v>
      </c>
      <c r="N5674" s="464">
        <f t="shared" si="215"/>
        <v>223743</v>
      </c>
    </row>
    <row r="5675" spans="7:14" ht="11.25" customHeight="1" x14ac:dyDescent="0.25">
      <c r="G5675" s="459"/>
      <c r="H5675" s="459">
        <v>5668</v>
      </c>
      <c r="I5675" s="444">
        <f t="shared" ca="1" si="213"/>
        <v>-7927348807229214</v>
      </c>
      <c r="J5675" s="444">
        <f t="array" ref="J5675">IFERROR(INDEX('Retirement Calculator'!J:J,MATCH('Isaac 401k'!N5675,'Retirement Calculator'!A:A,0),0),0)</f>
        <v>0</v>
      </c>
      <c r="K5675" s="444">
        <f t="shared" ca="1" si="211"/>
        <v>-33030620030121.723</v>
      </c>
      <c r="L5675" s="444">
        <f t="shared" ca="1" si="212"/>
        <v>-7960379427259336</v>
      </c>
      <c r="M5675" s="460">
        <f t="shared" si="214"/>
        <v>0.05</v>
      </c>
      <c r="N5675" s="464">
        <f t="shared" si="215"/>
        <v>223774</v>
      </c>
    </row>
    <row r="5676" spans="7:14" ht="11.25" customHeight="1" x14ac:dyDescent="0.25">
      <c r="G5676" s="459"/>
      <c r="H5676" s="459">
        <v>5669</v>
      </c>
      <c r="I5676" s="444">
        <f t="shared" ca="1" si="213"/>
        <v>-7960379427259336</v>
      </c>
      <c r="J5676" s="444">
        <f t="array" ref="J5676">IFERROR(INDEX('Retirement Calculator'!J:J,MATCH('Isaac 401k'!N5676,'Retirement Calculator'!A:A,0),0),0)</f>
        <v>0</v>
      </c>
      <c r="K5676" s="444">
        <f t="shared" ca="1" si="211"/>
        <v>-33168247613580.566</v>
      </c>
      <c r="L5676" s="444">
        <f t="shared" ca="1" si="212"/>
        <v>-7993547674872917</v>
      </c>
      <c r="M5676" s="460">
        <f t="shared" si="214"/>
        <v>0.05</v>
      </c>
      <c r="N5676" s="464">
        <f t="shared" si="215"/>
        <v>223804</v>
      </c>
    </row>
    <row r="5677" spans="7:14" ht="11.25" customHeight="1" x14ac:dyDescent="0.25">
      <c r="G5677" s="459"/>
      <c r="H5677" s="459">
        <v>5670</v>
      </c>
      <c r="I5677" s="444">
        <f t="shared" ca="1" si="213"/>
        <v>-7993547674872917</v>
      </c>
      <c r="J5677" s="444">
        <f t="array" ref="J5677">IFERROR(INDEX('Retirement Calculator'!J:J,MATCH('Isaac 401k'!N5677,'Retirement Calculator'!A:A,0),0),0)</f>
        <v>0</v>
      </c>
      <c r="K5677" s="444">
        <f t="shared" ca="1" si="211"/>
        <v>-33306448645303.824</v>
      </c>
      <c r="L5677" s="444">
        <f t="shared" ca="1" si="212"/>
        <v>-8026854123518221</v>
      </c>
      <c r="M5677" s="460">
        <f t="shared" si="214"/>
        <v>0.05</v>
      </c>
      <c r="N5677" s="464">
        <f t="shared" si="215"/>
        <v>223835</v>
      </c>
    </row>
    <row r="5678" spans="7:14" ht="11.25" customHeight="1" x14ac:dyDescent="0.25">
      <c r="G5678" s="459"/>
      <c r="H5678" s="459">
        <v>5671</v>
      </c>
      <c r="I5678" s="444">
        <f t="shared" ca="1" si="213"/>
        <v>-8026854123518221</v>
      </c>
      <c r="J5678" s="444">
        <f t="array" ref="J5678">IFERROR(INDEX('Retirement Calculator'!J:J,MATCH('Isaac 401k'!N5678,'Retirement Calculator'!A:A,0),0),0)</f>
        <v>0</v>
      </c>
      <c r="K5678" s="444">
        <f t="shared" ca="1" si="211"/>
        <v>-33445225514659.254</v>
      </c>
      <c r="L5678" s="444">
        <f t="shared" ca="1" si="212"/>
        <v>-8060299349032880</v>
      </c>
      <c r="M5678" s="460">
        <f t="shared" si="214"/>
        <v>0.05</v>
      </c>
      <c r="N5678" s="464">
        <f t="shared" si="215"/>
        <v>223865</v>
      </c>
    </row>
    <row r="5679" spans="7:14" ht="11.25" customHeight="1" x14ac:dyDescent="0.25">
      <c r="G5679" s="459"/>
      <c r="H5679" s="459">
        <v>5672</v>
      </c>
      <c r="I5679" s="444">
        <f t="shared" ca="1" si="213"/>
        <v>-8060299349032880</v>
      </c>
      <c r="J5679" s="444">
        <f t="array" ref="J5679">IFERROR(INDEX('Retirement Calculator'!J:J,MATCH('Isaac 401k'!N5679,'Retirement Calculator'!A:A,0),0),0)</f>
        <v>0</v>
      </c>
      <c r="K5679" s="444">
        <f t="shared" ca="1" si="211"/>
        <v>-33584580620970.332</v>
      </c>
      <c r="L5679" s="444">
        <f t="shared" ca="1" si="212"/>
        <v>-8093883929653850</v>
      </c>
      <c r="M5679" s="460">
        <f t="shared" si="214"/>
        <v>0.05</v>
      </c>
      <c r="N5679" s="464">
        <f t="shared" si="215"/>
        <v>223896</v>
      </c>
    </row>
    <row r="5680" spans="7:14" ht="11.25" customHeight="1" x14ac:dyDescent="0.25">
      <c r="G5680" s="459"/>
      <c r="H5680" s="459">
        <v>5673</v>
      </c>
      <c r="I5680" s="444">
        <f t="shared" ca="1" si="213"/>
        <v>-8093883929653850</v>
      </c>
      <c r="J5680" s="444">
        <f t="array" ref="J5680">IFERROR(INDEX('Retirement Calculator'!J:J,MATCH('Isaac 401k'!N5680,'Retirement Calculator'!A:A,0),0),0)</f>
        <v>0</v>
      </c>
      <c r="K5680" s="444">
        <f t="shared" ca="1" si="211"/>
        <v>-33724516373557.703</v>
      </c>
      <c r="L5680" s="444">
        <f t="shared" ca="1" si="212"/>
        <v>-8127608446027408</v>
      </c>
      <c r="M5680" s="460">
        <f t="shared" si="214"/>
        <v>0.05</v>
      </c>
      <c r="N5680" s="464">
        <f t="shared" si="215"/>
        <v>223927</v>
      </c>
    </row>
    <row r="5681" spans="7:14" ht="11.25" customHeight="1" x14ac:dyDescent="0.25">
      <c r="G5681" s="459"/>
      <c r="H5681" s="459">
        <v>5674</v>
      </c>
      <c r="I5681" s="444">
        <f t="shared" ca="1" si="213"/>
        <v>-8127608446027408</v>
      </c>
      <c r="J5681" s="444">
        <f t="array" ref="J5681">IFERROR(INDEX('Retirement Calculator'!J:J,MATCH('Isaac 401k'!N5681,'Retirement Calculator'!A:A,0),0),0)</f>
        <v>0</v>
      </c>
      <c r="K5681" s="444">
        <f t="shared" ca="1" si="211"/>
        <v>-33865035191780.867</v>
      </c>
      <c r="L5681" s="444">
        <f t="shared" ca="1" si="212"/>
        <v>-8161473481219189</v>
      </c>
      <c r="M5681" s="460">
        <f t="shared" si="214"/>
        <v>0.05</v>
      </c>
      <c r="N5681" s="464">
        <f t="shared" si="215"/>
        <v>223955</v>
      </c>
    </row>
    <row r="5682" spans="7:14" ht="11.25" customHeight="1" x14ac:dyDescent="0.25">
      <c r="G5682" s="459"/>
      <c r="H5682" s="459">
        <v>5675</v>
      </c>
      <c r="I5682" s="444">
        <f t="shared" ca="1" si="213"/>
        <v>-8161473481219189</v>
      </c>
      <c r="J5682" s="444">
        <f t="array" ref="J5682">IFERROR(INDEX('Retirement Calculator'!J:J,MATCH('Isaac 401k'!N5682,'Retirement Calculator'!A:A,0),0),0)</f>
        <v>0</v>
      </c>
      <c r="K5682" s="444">
        <f t="shared" ca="1" si="211"/>
        <v>-34006139505079.957</v>
      </c>
      <c r="L5682" s="444">
        <f t="shared" ca="1" si="212"/>
        <v>-8195479620724269</v>
      </c>
      <c r="M5682" s="460">
        <f t="shared" si="214"/>
        <v>0.05</v>
      </c>
      <c r="N5682" s="464">
        <f t="shared" si="215"/>
        <v>223986</v>
      </c>
    </row>
    <row r="5683" spans="7:14" ht="11.25" customHeight="1" x14ac:dyDescent="0.25">
      <c r="G5683" s="459"/>
      <c r="H5683" s="459">
        <v>5676</v>
      </c>
      <c r="I5683" s="444">
        <f t="shared" ca="1" si="213"/>
        <v>-8195479620724269</v>
      </c>
      <c r="J5683" s="444">
        <f t="array" ref="J5683">IFERROR(INDEX('Retirement Calculator'!J:J,MATCH('Isaac 401k'!N5683,'Retirement Calculator'!A:A,0),0),0)</f>
        <v>0</v>
      </c>
      <c r="K5683" s="444">
        <f t="shared" ca="1" si="211"/>
        <v>-34147831753017.793</v>
      </c>
      <c r="L5683" s="444">
        <f t="shared" ca="1" si="212"/>
        <v>-8229627452477287</v>
      </c>
      <c r="M5683" s="460">
        <f t="shared" si="214"/>
        <v>0.05</v>
      </c>
      <c r="N5683" s="464">
        <f t="shared" si="215"/>
        <v>224016</v>
      </c>
    </row>
    <row r="5684" spans="7:14" ht="11.25" customHeight="1" x14ac:dyDescent="0.25">
      <c r="G5684" s="459"/>
      <c r="H5684" s="459">
        <v>5677</v>
      </c>
      <c r="I5684" s="444">
        <f t="shared" ca="1" si="213"/>
        <v>-8229627452477287</v>
      </c>
      <c r="J5684" s="444">
        <f t="array" ref="J5684">IFERROR(INDEX('Retirement Calculator'!J:J,MATCH('Isaac 401k'!N5684,'Retirement Calculator'!A:A,0),0),0)</f>
        <v>0</v>
      </c>
      <c r="K5684" s="444">
        <f t="shared" ca="1" si="211"/>
        <v>-34290114385322.031</v>
      </c>
      <c r="L5684" s="444">
        <f t="shared" ca="1" si="212"/>
        <v>-8263917566862609</v>
      </c>
      <c r="M5684" s="460">
        <f t="shared" si="214"/>
        <v>0.05</v>
      </c>
      <c r="N5684" s="464">
        <f t="shared" si="215"/>
        <v>224047</v>
      </c>
    </row>
    <row r="5685" spans="7:14" ht="11.25" customHeight="1" x14ac:dyDescent="0.25">
      <c r="G5685" s="459"/>
      <c r="H5685" s="459">
        <v>5678</v>
      </c>
      <c r="I5685" s="444">
        <f t="shared" ca="1" si="213"/>
        <v>-8263917566862609</v>
      </c>
      <c r="J5685" s="444">
        <f t="array" ref="J5685">IFERROR(INDEX('Retirement Calculator'!J:J,MATCH('Isaac 401k'!N5685,'Retirement Calculator'!A:A,0),0),0)</f>
        <v>0</v>
      </c>
      <c r="K5685" s="444">
        <f t="shared" ca="1" si="211"/>
        <v>-34432989861927.535</v>
      </c>
      <c r="L5685" s="444">
        <f t="shared" ca="1" si="212"/>
        <v>-8298350556724537</v>
      </c>
      <c r="M5685" s="460">
        <f t="shared" si="214"/>
        <v>0.05</v>
      </c>
      <c r="N5685" s="464">
        <f t="shared" si="215"/>
        <v>224077</v>
      </c>
    </row>
    <row r="5686" spans="7:14" ht="11.25" customHeight="1" x14ac:dyDescent="0.25">
      <c r="G5686" s="459"/>
      <c r="H5686" s="459">
        <v>5679</v>
      </c>
      <c r="I5686" s="444">
        <f t="shared" ca="1" si="213"/>
        <v>-8298350556724537</v>
      </c>
      <c r="J5686" s="444">
        <f t="array" ref="J5686">IFERROR(INDEX('Retirement Calculator'!J:J,MATCH('Isaac 401k'!N5686,'Retirement Calculator'!A:A,0),0),0)</f>
        <v>0</v>
      </c>
      <c r="K5686" s="444">
        <f t="shared" ca="1" si="211"/>
        <v>-34576460653018.902</v>
      </c>
      <c r="L5686" s="444">
        <f t="shared" ca="1" si="212"/>
        <v>-8332927017377556</v>
      </c>
      <c r="M5686" s="460">
        <f t="shared" si="214"/>
        <v>0.05</v>
      </c>
      <c r="N5686" s="464">
        <f t="shared" si="215"/>
        <v>224108</v>
      </c>
    </row>
    <row r="5687" spans="7:14" ht="11.25" customHeight="1" x14ac:dyDescent="0.25">
      <c r="G5687" s="459"/>
      <c r="H5687" s="459">
        <v>5680</v>
      </c>
      <c r="I5687" s="444">
        <f t="shared" ca="1" si="213"/>
        <v>-8332927017377556</v>
      </c>
      <c r="J5687" s="444">
        <f t="array" ref="J5687">IFERROR(INDEX('Retirement Calculator'!J:J,MATCH('Isaac 401k'!N5687,'Retirement Calculator'!A:A,0),0),0)</f>
        <v>0</v>
      </c>
      <c r="K5687" s="444">
        <f t="shared" ca="1" si="211"/>
        <v>-34720529239073.148</v>
      </c>
      <c r="L5687" s="444">
        <f t="shared" ca="1" si="212"/>
        <v>-8367647546616629</v>
      </c>
      <c r="M5687" s="460">
        <f t="shared" si="214"/>
        <v>0.05</v>
      </c>
      <c r="N5687" s="464">
        <f t="shared" si="215"/>
        <v>224139</v>
      </c>
    </row>
    <row r="5688" spans="7:14" ht="11.25" customHeight="1" x14ac:dyDescent="0.25">
      <c r="G5688" s="459"/>
      <c r="H5688" s="459">
        <v>5681</v>
      </c>
      <c r="I5688" s="444">
        <f t="shared" ca="1" si="213"/>
        <v>-8367647546616629</v>
      </c>
      <c r="J5688" s="444">
        <f t="array" ref="J5688">IFERROR(INDEX('Retirement Calculator'!J:J,MATCH('Isaac 401k'!N5688,'Retirement Calculator'!A:A,0),0),0)</f>
        <v>0</v>
      </c>
      <c r="K5688" s="444">
        <f t="shared" ca="1" si="211"/>
        <v>-34865198110902.617</v>
      </c>
      <c r="L5688" s="444">
        <f t="shared" ca="1" si="212"/>
        <v>-8402512744727532</v>
      </c>
      <c r="M5688" s="460">
        <f t="shared" si="214"/>
        <v>0.05</v>
      </c>
      <c r="N5688" s="464">
        <f t="shared" si="215"/>
        <v>224169</v>
      </c>
    </row>
    <row r="5689" spans="7:14" ht="11.25" customHeight="1" x14ac:dyDescent="0.25">
      <c r="G5689" s="459"/>
      <c r="H5689" s="459">
        <v>5682</v>
      </c>
      <c r="I5689" s="444">
        <f t="shared" ca="1" si="213"/>
        <v>-8402512744727532</v>
      </c>
      <c r="J5689" s="444">
        <f t="array" ref="J5689">IFERROR(INDEX('Retirement Calculator'!J:J,MATCH('Isaac 401k'!N5689,'Retirement Calculator'!A:A,0),0),0)</f>
        <v>0</v>
      </c>
      <c r="K5689" s="444">
        <f t="shared" ca="1" si="211"/>
        <v>-35010469769698.055</v>
      </c>
      <c r="L5689" s="444">
        <f t="shared" ca="1" si="212"/>
        <v>-8437523214497230</v>
      </c>
      <c r="M5689" s="460">
        <f t="shared" si="214"/>
        <v>0.05</v>
      </c>
      <c r="N5689" s="464">
        <f t="shared" si="215"/>
        <v>224200</v>
      </c>
    </row>
    <row r="5690" spans="7:14" ht="11.25" customHeight="1" x14ac:dyDescent="0.25">
      <c r="G5690" s="459"/>
      <c r="H5690" s="459">
        <v>5683</v>
      </c>
      <c r="I5690" s="444">
        <f t="shared" ca="1" si="213"/>
        <v>-8437523214497230</v>
      </c>
      <c r="J5690" s="444">
        <f t="array" ref="J5690">IFERROR(INDEX('Retirement Calculator'!J:J,MATCH('Isaac 401k'!N5690,'Retirement Calculator'!A:A,0),0),0)</f>
        <v>0</v>
      </c>
      <c r="K5690" s="444">
        <f t="shared" ca="1" si="211"/>
        <v>-35156346727071.793</v>
      </c>
      <c r="L5690" s="444">
        <f t="shared" ca="1" si="212"/>
        <v>-8472679561224302</v>
      </c>
      <c r="M5690" s="460">
        <f t="shared" si="214"/>
        <v>0.05</v>
      </c>
      <c r="N5690" s="464">
        <f t="shared" si="215"/>
        <v>224230</v>
      </c>
    </row>
    <row r="5691" spans="7:14" ht="11.25" customHeight="1" x14ac:dyDescent="0.25">
      <c r="G5691" s="459"/>
      <c r="H5691" s="459">
        <v>5684</v>
      </c>
      <c r="I5691" s="444">
        <f t="shared" ca="1" si="213"/>
        <v>-8472679561224302</v>
      </c>
      <c r="J5691" s="444">
        <f t="array" ref="J5691">IFERROR(INDEX('Retirement Calculator'!J:J,MATCH('Isaac 401k'!N5691,'Retirement Calculator'!A:A,0),0),0)</f>
        <v>0</v>
      </c>
      <c r="K5691" s="444">
        <f t="shared" ca="1" si="211"/>
        <v>-35302831505101.258</v>
      </c>
      <c r="L5691" s="444">
        <f t="shared" ca="1" si="212"/>
        <v>-8507982392729403</v>
      </c>
      <c r="M5691" s="460">
        <f t="shared" si="214"/>
        <v>0.05</v>
      </c>
      <c r="N5691" s="464">
        <f t="shared" si="215"/>
        <v>224261</v>
      </c>
    </row>
    <row r="5692" spans="7:14" ht="11.25" customHeight="1" x14ac:dyDescent="0.25">
      <c r="G5692" s="459"/>
      <c r="H5692" s="459">
        <v>5685</v>
      </c>
      <c r="I5692" s="444">
        <f t="shared" ca="1" si="213"/>
        <v>-8507982392729403</v>
      </c>
      <c r="J5692" s="444">
        <f t="array" ref="J5692">IFERROR(INDEX('Retirement Calculator'!J:J,MATCH('Isaac 401k'!N5692,'Retirement Calculator'!A:A,0),0),0)</f>
        <v>0</v>
      </c>
      <c r="K5692" s="444">
        <f t="shared" ca="1" si="211"/>
        <v>-35449926636372.516</v>
      </c>
      <c r="L5692" s="444">
        <f t="shared" ca="1" si="212"/>
        <v>-8543432319365776</v>
      </c>
      <c r="M5692" s="460">
        <f t="shared" si="214"/>
        <v>0.05</v>
      </c>
      <c r="N5692" s="464">
        <f t="shared" si="215"/>
        <v>224292</v>
      </c>
    </row>
    <row r="5693" spans="7:14" ht="11.25" customHeight="1" x14ac:dyDescent="0.25">
      <c r="G5693" s="459"/>
      <c r="H5693" s="459">
        <v>5686</v>
      </c>
      <c r="I5693" s="444">
        <f t="shared" ca="1" si="213"/>
        <v>-8543432319365776</v>
      </c>
      <c r="J5693" s="444">
        <f t="array" ref="J5693">IFERROR(INDEX('Retirement Calculator'!J:J,MATCH('Isaac 401k'!N5693,'Retirement Calculator'!A:A,0),0),0)</f>
        <v>0</v>
      </c>
      <c r="K5693" s="444">
        <f t="shared" ca="1" si="211"/>
        <v>-35597634664024.063</v>
      </c>
      <c r="L5693" s="444">
        <f t="shared" ca="1" si="212"/>
        <v>-8579029954029800</v>
      </c>
      <c r="M5693" s="460">
        <f t="shared" si="214"/>
        <v>0.05</v>
      </c>
      <c r="N5693" s="464">
        <f t="shared" si="215"/>
        <v>224320</v>
      </c>
    </row>
    <row r="5694" spans="7:14" ht="11.25" customHeight="1" x14ac:dyDescent="0.25">
      <c r="G5694" s="459"/>
      <c r="H5694" s="459">
        <v>5687</v>
      </c>
      <c r="I5694" s="444">
        <f t="shared" ca="1" si="213"/>
        <v>-8579029954029800</v>
      </c>
      <c r="J5694" s="444">
        <f t="array" ref="J5694">IFERROR(INDEX('Retirement Calculator'!J:J,MATCH('Isaac 401k'!N5694,'Retirement Calculator'!A:A,0),0),0)</f>
        <v>0</v>
      </c>
      <c r="K5694" s="444">
        <f t="shared" ca="1" si="211"/>
        <v>-35745958141790.836</v>
      </c>
      <c r="L5694" s="444">
        <f t="shared" ca="1" si="212"/>
        <v>-8614775912171591</v>
      </c>
      <c r="M5694" s="460">
        <f t="shared" si="214"/>
        <v>0.05</v>
      </c>
      <c r="N5694" s="464">
        <f t="shared" si="215"/>
        <v>224351</v>
      </c>
    </row>
    <row r="5695" spans="7:14" ht="11.25" customHeight="1" x14ac:dyDescent="0.25">
      <c r="G5695" s="459"/>
      <c r="H5695" s="459">
        <v>5688</v>
      </c>
      <c r="I5695" s="444">
        <f t="shared" ca="1" si="213"/>
        <v>-8614775912171591</v>
      </c>
      <c r="J5695" s="444">
        <f t="array" ref="J5695">IFERROR(INDEX('Retirement Calculator'!J:J,MATCH('Isaac 401k'!N5695,'Retirement Calculator'!A:A,0),0),0)</f>
        <v>0</v>
      </c>
      <c r="K5695" s="444">
        <f t="shared" ca="1" si="211"/>
        <v>-35894899634048.297</v>
      </c>
      <c r="L5695" s="444">
        <f t="shared" ca="1" si="212"/>
        <v>-8650670811805639</v>
      </c>
      <c r="M5695" s="460">
        <f t="shared" si="214"/>
        <v>0.05</v>
      </c>
      <c r="N5695" s="464">
        <f t="shared" si="215"/>
        <v>224381</v>
      </c>
    </row>
    <row r="5696" spans="7:14" ht="11.25" customHeight="1" x14ac:dyDescent="0.25">
      <c r="G5696" s="459"/>
      <c r="H5696" s="459">
        <v>5689</v>
      </c>
      <c r="I5696" s="444">
        <f t="shared" ca="1" si="213"/>
        <v>-8650670811805639</v>
      </c>
      <c r="J5696" s="444">
        <f t="array" ref="J5696">IFERROR(INDEX('Retirement Calculator'!J:J,MATCH('Isaac 401k'!N5696,'Retirement Calculator'!A:A,0),0),0)</f>
        <v>0</v>
      </c>
      <c r="K5696" s="444">
        <f t="shared" ca="1" si="211"/>
        <v>-36044461715856.828</v>
      </c>
      <c r="L5696" s="444">
        <f t="shared" ca="1" si="212"/>
        <v>-8686715273521496</v>
      </c>
      <c r="M5696" s="460">
        <f t="shared" si="214"/>
        <v>0.05</v>
      </c>
      <c r="N5696" s="464">
        <f t="shared" si="215"/>
        <v>224412</v>
      </c>
    </row>
    <row r="5697" spans="7:14" ht="11.25" customHeight="1" x14ac:dyDescent="0.25">
      <c r="G5697" s="459"/>
      <c r="H5697" s="459">
        <v>5690</v>
      </c>
      <c r="I5697" s="444">
        <f t="shared" ca="1" si="213"/>
        <v>-8686715273521496</v>
      </c>
      <c r="J5697" s="444">
        <f t="array" ref="J5697">IFERROR(INDEX('Retirement Calculator'!J:J,MATCH('Isaac 401k'!N5697,'Retirement Calculator'!A:A,0),0),0)</f>
        <v>0</v>
      </c>
      <c r="K5697" s="444">
        <f t="shared" ca="1" si="211"/>
        <v>-36194646973006.227</v>
      </c>
      <c r="L5697" s="444">
        <f t="shared" ca="1" si="212"/>
        <v>-8722909920494502</v>
      </c>
      <c r="M5697" s="460">
        <f t="shared" si="214"/>
        <v>0.05</v>
      </c>
      <c r="N5697" s="464">
        <f t="shared" si="215"/>
        <v>224442</v>
      </c>
    </row>
    <row r="5698" spans="7:14" ht="11.25" customHeight="1" x14ac:dyDescent="0.25">
      <c r="G5698" s="459"/>
      <c r="H5698" s="459">
        <v>5691</v>
      </c>
      <c r="I5698" s="444">
        <f t="shared" ca="1" si="213"/>
        <v>-8722909920494502</v>
      </c>
      <c r="J5698" s="444">
        <f t="array" ref="J5698">IFERROR(INDEX('Retirement Calculator'!J:J,MATCH('Isaac 401k'!N5698,'Retirement Calculator'!A:A,0),0),0)</f>
        <v>0</v>
      </c>
      <c r="K5698" s="444">
        <f t="shared" ca="1" si="211"/>
        <v>-36345458002060.43</v>
      </c>
      <c r="L5698" s="444">
        <f t="shared" ca="1" si="212"/>
        <v>-8759255378496562</v>
      </c>
      <c r="M5698" s="460">
        <f t="shared" si="214"/>
        <v>0.05</v>
      </c>
      <c r="N5698" s="464">
        <f t="shared" si="215"/>
        <v>224473</v>
      </c>
    </row>
    <row r="5699" spans="7:14" ht="11.25" customHeight="1" x14ac:dyDescent="0.25">
      <c r="G5699" s="459"/>
      <c r="H5699" s="459">
        <v>5692</v>
      </c>
      <c r="I5699" s="444">
        <f t="shared" ca="1" si="213"/>
        <v>-8759255378496562</v>
      </c>
      <c r="J5699" s="444">
        <f t="array" ref="J5699">IFERROR(INDEX('Retirement Calculator'!J:J,MATCH('Isaac 401k'!N5699,'Retirement Calculator'!A:A,0),0),0)</f>
        <v>0</v>
      </c>
      <c r="K5699" s="444">
        <f t="shared" ca="1" si="211"/>
        <v>-36496897410402.344</v>
      </c>
      <c r="L5699" s="444">
        <f t="shared" ca="1" si="212"/>
        <v>-8795752275906964</v>
      </c>
      <c r="M5699" s="460">
        <f t="shared" si="214"/>
        <v>0.05</v>
      </c>
      <c r="N5699" s="464">
        <f t="shared" si="215"/>
        <v>224504</v>
      </c>
    </row>
    <row r="5700" spans="7:14" ht="11.25" customHeight="1" x14ac:dyDescent="0.25">
      <c r="G5700" s="459"/>
      <c r="H5700" s="459">
        <v>5693</v>
      </c>
      <c r="I5700" s="444">
        <f t="shared" ca="1" si="213"/>
        <v>-8795752275906964</v>
      </c>
      <c r="J5700" s="444">
        <f t="array" ref="J5700">IFERROR(INDEX('Retirement Calculator'!J:J,MATCH('Isaac 401k'!N5700,'Retirement Calculator'!A:A,0),0),0)</f>
        <v>0</v>
      </c>
      <c r="K5700" s="444">
        <f t="shared" ca="1" si="211"/>
        <v>-36648967816279.016</v>
      </c>
      <c r="L5700" s="444">
        <f t="shared" ca="1" si="212"/>
        <v>-8832401243723243</v>
      </c>
      <c r="M5700" s="460">
        <f t="shared" si="214"/>
        <v>0.05</v>
      </c>
      <c r="N5700" s="464">
        <f t="shared" si="215"/>
        <v>224534</v>
      </c>
    </row>
    <row r="5701" spans="7:14" ht="11.25" customHeight="1" x14ac:dyDescent="0.25">
      <c r="G5701" s="459"/>
      <c r="H5701" s="459">
        <v>5694</v>
      </c>
      <c r="I5701" s="444">
        <f t="shared" ca="1" si="213"/>
        <v>-8832401243723243</v>
      </c>
      <c r="J5701" s="444">
        <f t="array" ref="J5701">IFERROR(INDEX('Retirement Calculator'!J:J,MATCH('Isaac 401k'!N5701,'Retirement Calculator'!A:A,0),0),0)</f>
        <v>0</v>
      </c>
      <c r="K5701" s="444">
        <f t="shared" ca="1" si="211"/>
        <v>-36801671848846.852</v>
      </c>
      <c r="L5701" s="444">
        <f t="shared" ca="1" si="212"/>
        <v>-8869202915572090</v>
      </c>
      <c r="M5701" s="460">
        <f t="shared" si="214"/>
        <v>0.05</v>
      </c>
      <c r="N5701" s="464">
        <f t="shared" si="215"/>
        <v>224565</v>
      </c>
    </row>
    <row r="5702" spans="7:14" ht="11.25" customHeight="1" x14ac:dyDescent="0.25">
      <c r="G5702" s="459"/>
      <c r="H5702" s="459">
        <v>5695</v>
      </c>
      <c r="I5702" s="444">
        <f t="shared" ca="1" si="213"/>
        <v>-8869202915572090</v>
      </c>
      <c r="J5702" s="444">
        <f t="array" ref="J5702">IFERROR(INDEX('Retirement Calculator'!J:J,MATCH('Isaac 401k'!N5702,'Retirement Calculator'!A:A,0),0),0)</f>
        <v>0</v>
      </c>
      <c r="K5702" s="444">
        <f t="shared" ca="1" si="211"/>
        <v>-36955012148217.039</v>
      </c>
      <c r="L5702" s="444">
        <f t="shared" ca="1" si="212"/>
        <v>-8906157927720307</v>
      </c>
      <c r="M5702" s="460">
        <f t="shared" si="214"/>
        <v>0.05</v>
      </c>
      <c r="N5702" s="464">
        <f t="shared" si="215"/>
        <v>224595</v>
      </c>
    </row>
    <row r="5703" spans="7:14" ht="11.25" customHeight="1" x14ac:dyDescent="0.25">
      <c r="G5703" s="459"/>
      <c r="H5703" s="459">
        <v>5696</v>
      </c>
      <c r="I5703" s="444">
        <f t="shared" ca="1" si="213"/>
        <v>-8906157927720307</v>
      </c>
      <c r="J5703" s="444">
        <f t="array" ref="J5703">IFERROR(INDEX('Retirement Calculator'!J:J,MATCH('Isaac 401k'!N5703,'Retirement Calculator'!A:A,0),0),0)</f>
        <v>0</v>
      </c>
      <c r="K5703" s="444">
        <f t="shared" ca="1" si="211"/>
        <v>-37108991365501.273</v>
      </c>
      <c r="L5703" s="444">
        <f t="shared" ca="1" si="212"/>
        <v>-8943266919085808</v>
      </c>
      <c r="M5703" s="460">
        <f t="shared" si="214"/>
        <v>0.05</v>
      </c>
      <c r="N5703" s="464">
        <f t="shared" si="215"/>
        <v>224626</v>
      </c>
    </row>
    <row r="5704" spans="7:14" ht="11.25" customHeight="1" x14ac:dyDescent="0.25">
      <c r="G5704" s="459"/>
      <c r="H5704" s="459">
        <v>5697</v>
      </c>
      <c r="I5704" s="444">
        <f t="shared" ca="1" si="213"/>
        <v>-8943266919085808</v>
      </c>
      <c r="J5704" s="444">
        <f t="array" ref="J5704">IFERROR(INDEX('Retirement Calculator'!J:J,MATCH('Isaac 401k'!N5704,'Retirement Calculator'!A:A,0),0),0)</f>
        <v>0</v>
      </c>
      <c r="K5704" s="444">
        <f t="shared" ca="1" si="211"/>
        <v>-37263612162857.531</v>
      </c>
      <c r="L5704" s="444">
        <f t="shared" ca="1" si="212"/>
        <v>-8980530531248666</v>
      </c>
      <c r="M5704" s="460">
        <f t="shared" si="214"/>
        <v>0.05</v>
      </c>
      <c r="N5704" s="464">
        <f t="shared" si="215"/>
        <v>224657</v>
      </c>
    </row>
    <row r="5705" spans="7:14" ht="11.25" customHeight="1" x14ac:dyDescent="0.25">
      <c r="G5705" s="459"/>
      <c r="H5705" s="459">
        <v>5698</v>
      </c>
      <c r="I5705" s="444">
        <f t="shared" ca="1" si="213"/>
        <v>-8980530531248666</v>
      </c>
      <c r="J5705" s="444">
        <f t="array" ref="J5705">IFERROR(INDEX('Retirement Calculator'!J:J,MATCH('Isaac 401k'!N5705,'Retirement Calculator'!A:A,0),0),0)</f>
        <v>0</v>
      </c>
      <c r="K5705" s="444">
        <f t="shared" ca="1" si="211"/>
        <v>-37418877213536.109</v>
      </c>
      <c r="L5705" s="444">
        <f t="shared" ca="1" si="212"/>
        <v>-9017949408462202</v>
      </c>
      <c r="M5705" s="460">
        <f t="shared" si="214"/>
        <v>0.05</v>
      </c>
      <c r="N5705" s="464">
        <f t="shared" si="215"/>
        <v>224685</v>
      </c>
    </row>
    <row r="5706" spans="7:14" ht="11.25" customHeight="1" x14ac:dyDescent="0.25">
      <c r="G5706" s="459"/>
      <c r="H5706" s="459">
        <v>5699</v>
      </c>
      <c r="I5706" s="444">
        <f t="shared" ca="1" si="213"/>
        <v>-9017949408462202</v>
      </c>
      <c r="J5706" s="444">
        <f t="array" ref="J5706">IFERROR(INDEX('Retirement Calculator'!J:J,MATCH('Isaac 401k'!N5706,'Retirement Calculator'!A:A,0),0),0)</f>
        <v>0</v>
      </c>
      <c r="K5706" s="444">
        <f t="shared" ca="1" si="211"/>
        <v>-37574789201925.844</v>
      </c>
      <c r="L5706" s="444">
        <f t="shared" ca="1" si="212"/>
        <v>-9055524197664128</v>
      </c>
      <c r="M5706" s="460">
        <f t="shared" si="214"/>
        <v>0.05</v>
      </c>
      <c r="N5706" s="464">
        <f t="shared" si="215"/>
        <v>224716</v>
      </c>
    </row>
    <row r="5707" spans="7:14" ht="11.25" customHeight="1" x14ac:dyDescent="0.25">
      <c r="G5707" s="459"/>
      <c r="H5707" s="459">
        <v>5700</v>
      </c>
      <c r="I5707" s="444">
        <f t="shared" ca="1" si="213"/>
        <v>-9055524197664128</v>
      </c>
      <c r="J5707" s="444">
        <f t="array" ref="J5707">IFERROR(INDEX('Retirement Calculator'!J:J,MATCH('Isaac 401k'!N5707,'Retirement Calculator'!A:A,0),0),0)</f>
        <v>0</v>
      </c>
      <c r="K5707" s="444">
        <f t="shared" ca="1" si="211"/>
        <v>-37731350823600.531</v>
      </c>
      <c r="L5707" s="444">
        <f t="shared" ca="1" si="212"/>
        <v>-9093255548487728</v>
      </c>
      <c r="M5707" s="460">
        <f t="shared" si="214"/>
        <v>0.05</v>
      </c>
      <c r="N5707" s="464">
        <f t="shared" si="215"/>
        <v>224746</v>
      </c>
    </row>
    <row r="5708" spans="7:14" ht="11.25" customHeight="1" x14ac:dyDescent="0.25">
      <c r="G5708" s="459"/>
      <c r="H5708" s="459">
        <v>5701</v>
      </c>
      <c r="I5708" s="444">
        <f t="shared" ca="1" si="213"/>
        <v>-9093255548487728</v>
      </c>
      <c r="J5708" s="444">
        <f t="array" ref="J5708">IFERROR(INDEX('Retirement Calculator'!J:J,MATCH('Isaac 401k'!N5708,'Retirement Calculator'!A:A,0),0),0)</f>
        <v>0</v>
      </c>
      <c r="K5708" s="444">
        <f t="shared" ca="1" si="211"/>
        <v>-37888564785365.531</v>
      </c>
      <c r="L5708" s="444">
        <f t="shared" ca="1" si="212"/>
        <v>-9131144113273094</v>
      </c>
      <c r="M5708" s="460">
        <f t="shared" si="214"/>
        <v>0.05</v>
      </c>
      <c r="N5708" s="464">
        <f t="shared" si="215"/>
        <v>224777</v>
      </c>
    </row>
    <row r="5709" spans="7:14" ht="11.25" customHeight="1" x14ac:dyDescent="0.25">
      <c r="G5709" s="459"/>
      <c r="H5709" s="459">
        <v>5702</v>
      </c>
      <c r="I5709" s="444">
        <f t="shared" ca="1" si="213"/>
        <v>-9131144113273094</v>
      </c>
      <c r="J5709" s="444">
        <f t="array" ref="J5709">IFERROR(INDEX('Retirement Calculator'!J:J,MATCH('Isaac 401k'!N5709,'Retirement Calculator'!A:A,0),0),0)</f>
        <v>0</v>
      </c>
      <c r="K5709" s="444">
        <f t="shared" ca="1" si="211"/>
        <v>-38046433805304.555</v>
      </c>
      <c r="L5709" s="444">
        <f t="shared" ca="1" si="212"/>
        <v>-9169190547078398</v>
      </c>
      <c r="M5709" s="460">
        <f t="shared" si="214"/>
        <v>0.05</v>
      </c>
      <c r="N5709" s="464">
        <f t="shared" si="215"/>
        <v>224807</v>
      </c>
    </row>
    <row r="5710" spans="7:14" ht="11.25" customHeight="1" x14ac:dyDescent="0.25">
      <c r="G5710" s="459"/>
      <c r="H5710" s="459">
        <v>5703</v>
      </c>
      <c r="I5710" s="444">
        <f t="shared" ca="1" si="213"/>
        <v>-9169190547078398</v>
      </c>
      <c r="J5710" s="444">
        <f t="array" ref="J5710">IFERROR(INDEX('Retirement Calculator'!J:J,MATCH('Isaac 401k'!N5710,'Retirement Calculator'!A:A,0),0),0)</f>
        <v>0</v>
      </c>
      <c r="K5710" s="444">
        <f t="shared" ca="1" si="211"/>
        <v>-38204960612826.656</v>
      </c>
      <c r="L5710" s="444">
        <f t="shared" ca="1" si="212"/>
        <v>-9207395507691224</v>
      </c>
      <c r="M5710" s="460">
        <f t="shared" si="214"/>
        <v>0.05</v>
      </c>
      <c r="N5710" s="464">
        <f t="shared" si="215"/>
        <v>224838</v>
      </c>
    </row>
    <row r="5711" spans="7:14" ht="11.25" customHeight="1" x14ac:dyDescent="0.25">
      <c r="G5711" s="459"/>
      <c r="H5711" s="459">
        <v>5704</v>
      </c>
      <c r="I5711" s="444">
        <f t="shared" ca="1" si="213"/>
        <v>-9207395507691224</v>
      </c>
      <c r="J5711" s="444">
        <f t="array" ref="J5711">IFERROR(INDEX('Retirement Calculator'!J:J,MATCH('Isaac 401k'!N5711,'Retirement Calculator'!A:A,0),0),0)</f>
        <v>0</v>
      </c>
      <c r="K5711" s="444">
        <f t="shared" ca="1" si="211"/>
        <v>-38364147948713.43</v>
      </c>
      <c r="L5711" s="444">
        <f t="shared" ca="1" si="212"/>
        <v>-9245759655639938</v>
      </c>
      <c r="M5711" s="460">
        <f t="shared" si="214"/>
        <v>0.05</v>
      </c>
      <c r="N5711" s="464">
        <f t="shared" si="215"/>
        <v>224869</v>
      </c>
    </row>
    <row r="5712" spans="7:14" ht="11.25" customHeight="1" x14ac:dyDescent="0.25">
      <c r="G5712" s="459"/>
      <c r="H5712" s="459">
        <v>5705</v>
      </c>
      <c r="I5712" s="444">
        <f t="shared" ca="1" si="213"/>
        <v>-9245759655639938</v>
      </c>
      <c r="J5712" s="444">
        <f t="array" ref="J5712">IFERROR(INDEX('Retirement Calculator'!J:J,MATCH('Isaac 401k'!N5712,'Retirement Calculator'!A:A,0),0),0)</f>
        <v>0</v>
      </c>
      <c r="K5712" s="444">
        <f t="shared" ca="1" si="211"/>
        <v>-38523998565166.406</v>
      </c>
      <c r="L5712" s="444">
        <f t="shared" ca="1" si="212"/>
        <v>-9284283654205104</v>
      </c>
      <c r="M5712" s="460">
        <f t="shared" si="214"/>
        <v>0.05</v>
      </c>
      <c r="N5712" s="464">
        <f t="shared" si="215"/>
        <v>224899</v>
      </c>
    </row>
    <row r="5713" spans="7:14" ht="11.25" customHeight="1" x14ac:dyDescent="0.25">
      <c r="G5713" s="459"/>
      <c r="H5713" s="459">
        <v>5706</v>
      </c>
      <c r="I5713" s="444">
        <f t="shared" ca="1" si="213"/>
        <v>-9284283654205104</v>
      </c>
      <c r="J5713" s="444">
        <f t="array" ref="J5713">IFERROR(INDEX('Retirement Calculator'!J:J,MATCH('Isaac 401k'!N5713,'Retirement Calculator'!A:A,0),0),0)</f>
        <v>0</v>
      </c>
      <c r="K5713" s="444">
        <f t="shared" ca="1" si="211"/>
        <v>-38684515225854.602</v>
      </c>
      <c r="L5713" s="444">
        <f t="shared" ca="1" si="212"/>
        <v>-9322968169430958</v>
      </c>
      <c r="M5713" s="460">
        <f t="shared" si="214"/>
        <v>0.05</v>
      </c>
      <c r="N5713" s="464">
        <f t="shared" si="215"/>
        <v>224930</v>
      </c>
    </row>
    <row r="5714" spans="7:14" ht="11.25" customHeight="1" x14ac:dyDescent="0.25">
      <c r="G5714" s="459"/>
      <c r="H5714" s="459">
        <v>5707</v>
      </c>
      <c r="I5714" s="444">
        <f t="shared" ca="1" si="213"/>
        <v>-9322968169430958</v>
      </c>
      <c r="J5714" s="444">
        <f t="array" ref="J5714">IFERROR(INDEX('Retirement Calculator'!J:J,MATCH('Isaac 401k'!N5714,'Retirement Calculator'!A:A,0),0),0)</f>
        <v>0</v>
      </c>
      <c r="K5714" s="444">
        <f t="shared" ca="1" si="211"/>
        <v>-38845700705962.328</v>
      </c>
      <c r="L5714" s="444">
        <f t="shared" ca="1" si="212"/>
        <v>-9361813870136920</v>
      </c>
      <c r="M5714" s="460">
        <f t="shared" si="214"/>
        <v>0.05</v>
      </c>
      <c r="N5714" s="464">
        <f t="shared" si="215"/>
        <v>224960</v>
      </c>
    </row>
    <row r="5715" spans="7:14" ht="11.25" customHeight="1" x14ac:dyDescent="0.25">
      <c r="G5715" s="459"/>
      <c r="H5715" s="459">
        <v>5708</v>
      </c>
      <c r="I5715" s="444">
        <f t="shared" ca="1" si="213"/>
        <v>-9361813870136920</v>
      </c>
      <c r="J5715" s="444">
        <f t="array" ref="J5715">IFERROR(INDEX('Retirement Calculator'!J:J,MATCH('Isaac 401k'!N5715,'Retirement Calculator'!A:A,0),0),0)</f>
        <v>0</v>
      </c>
      <c r="K5715" s="444">
        <f t="shared" ca="1" si="211"/>
        <v>-39007557792237.164</v>
      </c>
      <c r="L5715" s="444">
        <f t="shared" ca="1" si="212"/>
        <v>-9400821427929158</v>
      </c>
      <c r="M5715" s="460">
        <f t="shared" si="214"/>
        <v>0.05</v>
      </c>
      <c r="N5715" s="464">
        <f t="shared" si="215"/>
        <v>224991</v>
      </c>
    </row>
    <row r="5716" spans="7:14" ht="11.25" customHeight="1" x14ac:dyDescent="0.25">
      <c r="G5716" s="459"/>
      <c r="H5716" s="459">
        <v>5709</v>
      </c>
      <c r="I5716" s="444">
        <f t="shared" ca="1" si="213"/>
        <v>-9400821427929158</v>
      </c>
      <c r="J5716" s="444">
        <f t="array" ref="J5716">IFERROR(INDEX('Retirement Calculator'!J:J,MATCH('Isaac 401k'!N5716,'Retirement Calculator'!A:A,0),0),0)</f>
        <v>0</v>
      </c>
      <c r="K5716" s="444">
        <f t="shared" ca="1" si="211"/>
        <v>-39170089283038.156</v>
      </c>
      <c r="L5716" s="444">
        <f t="shared" ca="1" si="212"/>
        <v>-9439991517212196</v>
      </c>
      <c r="M5716" s="460">
        <f t="shared" si="214"/>
        <v>0.05</v>
      </c>
      <c r="N5716" s="464">
        <f t="shared" si="215"/>
        <v>225022</v>
      </c>
    </row>
    <row r="5717" spans="7:14" ht="11.25" customHeight="1" x14ac:dyDescent="0.25">
      <c r="G5717" s="459"/>
      <c r="H5717" s="459">
        <v>5710</v>
      </c>
      <c r="I5717" s="444">
        <f t="shared" ca="1" si="213"/>
        <v>-9439991517212196</v>
      </c>
      <c r="J5717" s="444">
        <f t="array" ref="J5717">IFERROR(INDEX('Retirement Calculator'!J:J,MATCH('Isaac 401k'!N5717,'Retirement Calculator'!A:A,0),0),0)</f>
        <v>0</v>
      </c>
      <c r="K5717" s="444">
        <f t="shared" ca="1" si="211"/>
        <v>-39333297988384.148</v>
      </c>
      <c r="L5717" s="444">
        <f t="shared" ca="1" si="212"/>
        <v>-9479324815200580</v>
      </c>
      <c r="M5717" s="460">
        <f t="shared" si="214"/>
        <v>0.05</v>
      </c>
      <c r="N5717" s="464">
        <f t="shared" si="215"/>
        <v>225051</v>
      </c>
    </row>
    <row r="5718" spans="7:14" ht="11.25" customHeight="1" x14ac:dyDescent="0.25">
      <c r="G5718" s="459"/>
      <c r="H5718" s="459">
        <v>5711</v>
      </c>
      <c r="I5718" s="444">
        <f t="shared" ca="1" si="213"/>
        <v>-9479324815200580</v>
      </c>
      <c r="J5718" s="444">
        <f t="array" ref="J5718">IFERROR(INDEX('Retirement Calculator'!J:J,MATCH('Isaac 401k'!N5718,'Retirement Calculator'!A:A,0),0),0)</f>
        <v>0</v>
      </c>
      <c r="K5718" s="444">
        <f t="shared" ca="1" si="211"/>
        <v>-39497186730002.414</v>
      </c>
      <c r="L5718" s="444">
        <f t="shared" ca="1" si="212"/>
        <v>-9518822001930582</v>
      </c>
      <c r="M5718" s="460">
        <f t="shared" si="214"/>
        <v>0.05</v>
      </c>
      <c r="N5718" s="464">
        <f t="shared" si="215"/>
        <v>225082</v>
      </c>
    </row>
    <row r="5719" spans="7:14" ht="11.25" customHeight="1" x14ac:dyDescent="0.25">
      <c r="G5719" s="459"/>
      <c r="H5719" s="459">
        <v>5712</v>
      </c>
      <c r="I5719" s="444">
        <f t="shared" ca="1" si="213"/>
        <v>-9518822001930582</v>
      </c>
      <c r="J5719" s="444">
        <f t="array" ref="J5719">IFERROR(INDEX('Retirement Calculator'!J:J,MATCH('Isaac 401k'!N5719,'Retirement Calculator'!A:A,0),0),0)</f>
        <v>0</v>
      </c>
      <c r="K5719" s="444">
        <f t="shared" ca="1" si="211"/>
        <v>-39661758341377.422</v>
      </c>
      <c r="L5719" s="444">
        <f t="shared" ca="1" si="212"/>
        <v>-9558483760271960</v>
      </c>
      <c r="M5719" s="460">
        <f t="shared" si="214"/>
        <v>0.05</v>
      </c>
      <c r="N5719" s="464">
        <f t="shared" si="215"/>
        <v>225112</v>
      </c>
    </row>
    <row r="5720" spans="7:14" ht="11.25" customHeight="1" x14ac:dyDescent="0.25">
      <c r="G5720" s="459"/>
      <c r="H5720" s="459">
        <v>5713</v>
      </c>
      <c r="I5720" s="444">
        <f t="shared" ca="1" si="213"/>
        <v>-9558483760271960</v>
      </c>
      <c r="J5720" s="444">
        <f t="array" ref="J5720">IFERROR(INDEX('Retirement Calculator'!J:J,MATCH('Isaac 401k'!N5720,'Retirement Calculator'!A:A,0),0),0)</f>
        <v>0</v>
      </c>
      <c r="K5720" s="444">
        <f t="shared" ca="1" si="211"/>
        <v>-39827015667799.836</v>
      </c>
      <c r="L5720" s="444">
        <f t="shared" ca="1" si="212"/>
        <v>-9598310775939760</v>
      </c>
      <c r="M5720" s="460">
        <f t="shared" si="214"/>
        <v>0.05</v>
      </c>
      <c r="N5720" s="464">
        <f t="shared" si="215"/>
        <v>225143</v>
      </c>
    </row>
    <row r="5721" spans="7:14" ht="11.25" customHeight="1" x14ac:dyDescent="0.25">
      <c r="G5721" s="459"/>
      <c r="H5721" s="459">
        <v>5714</v>
      </c>
      <c r="I5721" s="444">
        <f t="shared" ca="1" si="213"/>
        <v>-9598310775939760</v>
      </c>
      <c r="J5721" s="444">
        <f t="array" ref="J5721">IFERROR(INDEX('Retirement Calculator'!J:J,MATCH('Isaac 401k'!N5721,'Retirement Calculator'!A:A,0),0),0)</f>
        <v>0</v>
      </c>
      <c r="K5721" s="444">
        <f t="shared" ca="1" si="211"/>
        <v>-39992961566415.664</v>
      </c>
      <c r="L5721" s="444">
        <f t="shared" ca="1" si="212"/>
        <v>-9638303737506176</v>
      </c>
      <c r="M5721" s="460">
        <f t="shared" si="214"/>
        <v>0.05</v>
      </c>
      <c r="N5721" s="464">
        <f t="shared" si="215"/>
        <v>225173</v>
      </c>
    </row>
    <row r="5722" spans="7:14" ht="11.25" customHeight="1" x14ac:dyDescent="0.25">
      <c r="G5722" s="459"/>
      <c r="H5722" s="459">
        <v>5715</v>
      </c>
      <c r="I5722" s="444">
        <f t="shared" ca="1" si="213"/>
        <v>-9638303737506176</v>
      </c>
      <c r="J5722" s="444">
        <f t="array" ref="J5722">IFERROR(INDEX('Retirement Calculator'!J:J,MATCH('Isaac 401k'!N5722,'Retirement Calculator'!A:A,0),0),0)</f>
        <v>0</v>
      </c>
      <c r="K5722" s="444">
        <f t="shared" ca="1" si="211"/>
        <v>-40159598906275.734</v>
      </c>
      <c r="L5722" s="444">
        <f t="shared" ca="1" si="212"/>
        <v>-9678463336412452</v>
      </c>
      <c r="M5722" s="460">
        <f t="shared" si="214"/>
        <v>0.05</v>
      </c>
      <c r="N5722" s="464">
        <f t="shared" si="215"/>
        <v>225204</v>
      </c>
    </row>
    <row r="5723" spans="7:14" ht="11.25" customHeight="1" x14ac:dyDescent="0.25">
      <c r="G5723" s="459"/>
      <c r="H5723" s="459">
        <v>5716</v>
      </c>
      <c r="I5723" s="444">
        <f t="shared" ca="1" si="213"/>
        <v>-9678463336412452</v>
      </c>
      <c r="J5723" s="444">
        <f t="array" ref="J5723">IFERROR(INDEX('Retirement Calculator'!J:J,MATCH('Isaac 401k'!N5723,'Retirement Calculator'!A:A,0),0),0)</f>
        <v>0</v>
      </c>
      <c r="K5723" s="444">
        <f t="shared" ca="1" si="211"/>
        <v>-40326930568385.219</v>
      </c>
      <c r="L5723" s="444">
        <f t="shared" ca="1" si="212"/>
        <v>-9718790266980838</v>
      </c>
      <c r="M5723" s="460">
        <f t="shared" si="214"/>
        <v>0.05</v>
      </c>
      <c r="N5723" s="464">
        <f t="shared" si="215"/>
        <v>225235</v>
      </c>
    </row>
    <row r="5724" spans="7:14" ht="11.25" customHeight="1" x14ac:dyDescent="0.25">
      <c r="G5724" s="459"/>
      <c r="H5724" s="459">
        <v>5717</v>
      </c>
      <c r="I5724" s="444">
        <f t="shared" ca="1" si="213"/>
        <v>-9718790266980838</v>
      </c>
      <c r="J5724" s="444">
        <f t="array" ref="J5724">IFERROR(INDEX('Retirement Calculator'!J:J,MATCH('Isaac 401k'!N5724,'Retirement Calculator'!A:A,0),0),0)</f>
        <v>0</v>
      </c>
      <c r="K5724" s="444">
        <f t="shared" ca="1" si="211"/>
        <v>-40494959445753.492</v>
      </c>
      <c r="L5724" s="444">
        <f t="shared" ca="1" si="212"/>
        <v>-9759285226426592</v>
      </c>
      <c r="M5724" s="460">
        <f t="shared" si="214"/>
        <v>0.05</v>
      </c>
      <c r="N5724" s="464">
        <f t="shared" si="215"/>
        <v>225265</v>
      </c>
    </row>
    <row r="5725" spans="7:14" ht="11.25" customHeight="1" x14ac:dyDescent="0.25">
      <c r="G5725" s="459"/>
      <c r="H5725" s="459">
        <v>5718</v>
      </c>
      <c r="I5725" s="444">
        <f t="shared" ca="1" si="213"/>
        <v>-9759285226426592</v>
      </c>
      <c r="J5725" s="444">
        <f t="array" ref="J5725">IFERROR(INDEX('Retirement Calculator'!J:J,MATCH('Isaac 401k'!N5725,'Retirement Calculator'!A:A,0),0),0)</f>
        <v>0</v>
      </c>
      <c r="K5725" s="444">
        <f t="shared" ca="1" si="211"/>
        <v>-40663688443444.133</v>
      </c>
      <c r="L5725" s="444">
        <f t="shared" ca="1" si="212"/>
        <v>-9799948914870036</v>
      </c>
      <c r="M5725" s="460">
        <f t="shared" si="214"/>
        <v>0.05</v>
      </c>
      <c r="N5725" s="464">
        <f t="shared" si="215"/>
        <v>225296</v>
      </c>
    </row>
    <row r="5726" spans="7:14" ht="11.25" customHeight="1" x14ac:dyDescent="0.25">
      <c r="G5726" s="459"/>
      <c r="H5726" s="459">
        <v>5719</v>
      </c>
      <c r="I5726" s="444">
        <f t="shared" ca="1" si="213"/>
        <v>-9799948914870036</v>
      </c>
      <c r="J5726" s="444">
        <f t="array" ref="J5726">IFERROR(INDEX('Retirement Calculator'!J:J,MATCH('Isaac 401k'!N5726,'Retirement Calculator'!A:A,0),0),0)</f>
        <v>0</v>
      </c>
      <c r="K5726" s="444">
        <f t="shared" ca="1" si="211"/>
        <v>-40833120478625.148</v>
      </c>
      <c r="L5726" s="444">
        <f t="shared" ca="1" si="212"/>
        <v>-9840782035348662</v>
      </c>
      <c r="M5726" s="460">
        <f t="shared" si="214"/>
        <v>0.05</v>
      </c>
      <c r="N5726" s="464">
        <f t="shared" si="215"/>
        <v>225326</v>
      </c>
    </row>
    <row r="5727" spans="7:14" ht="11.25" customHeight="1" x14ac:dyDescent="0.25">
      <c r="G5727" s="459"/>
      <c r="H5727" s="459">
        <v>5720</v>
      </c>
      <c r="I5727" s="444">
        <f t="shared" ca="1" si="213"/>
        <v>-9840782035348662</v>
      </c>
      <c r="J5727" s="444">
        <f t="array" ref="J5727">IFERROR(INDEX('Retirement Calculator'!J:J,MATCH('Isaac 401k'!N5727,'Retirement Calculator'!A:A,0),0),0)</f>
        <v>0</v>
      </c>
      <c r="K5727" s="444">
        <f t="shared" ca="1" si="211"/>
        <v>-41003258480619.422</v>
      </c>
      <c r="L5727" s="444">
        <f t="shared" ca="1" si="212"/>
        <v>-9881785293829282</v>
      </c>
      <c r="M5727" s="460">
        <f t="shared" si="214"/>
        <v>0.05</v>
      </c>
      <c r="N5727" s="464">
        <f t="shared" si="215"/>
        <v>225357</v>
      </c>
    </row>
    <row r="5728" spans="7:14" ht="11.25" customHeight="1" x14ac:dyDescent="0.25">
      <c r="G5728" s="459"/>
      <c r="H5728" s="459">
        <v>5721</v>
      </c>
      <c r="I5728" s="444">
        <f t="shared" ca="1" si="213"/>
        <v>-9881785293829282</v>
      </c>
      <c r="J5728" s="444">
        <f t="array" ref="J5728">IFERROR(INDEX('Retirement Calculator'!J:J,MATCH('Isaac 401k'!N5728,'Retirement Calculator'!A:A,0),0),0)</f>
        <v>0</v>
      </c>
      <c r="K5728" s="444">
        <f t="shared" ca="1" si="211"/>
        <v>-41174105390955.344</v>
      </c>
      <c r="L5728" s="444">
        <f t="shared" ca="1" si="212"/>
        <v>-9922959399220238</v>
      </c>
      <c r="M5728" s="460">
        <f t="shared" si="214"/>
        <v>0.05</v>
      </c>
      <c r="N5728" s="464">
        <f t="shared" si="215"/>
        <v>225388</v>
      </c>
    </row>
    <row r="5729" spans="7:14" ht="11.25" customHeight="1" x14ac:dyDescent="0.25">
      <c r="G5729" s="459"/>
      <c r="H5729" s="459">
        <v>5722</v>
      </c>
      <c r="I5729" s="444">
        <f t="shared" ca="1" si="213"/>
        <v>-9922959399220238</v>
      </c>
      <c r="J5729" s="444">
        <f t="array" ref="J5729">IFERROR(INDEX('Retirement Calculator'!J:J,MATCH('Isaac 401k'!N5729,'Retirement Calculator'!A:A,0),0),0)</f>
        <v>0</v>
      </c>
      <c r="K5729" s="444">
        <f t="shared" ca="1" si="211"/>
        <v>-41345664163417.656</v>
      </c>
      <c r="L5729" s="444">
        <f t="shared" ca="1" si="212"/>
        <v>-9964305063383656</v>
      </c>
      <c r="M5729" s="460">
        <f t="shared" si="214"/>
        <v>0.05</v>
      </c>
      <c r="N5729" s="464">
        <f t="shared" si="215"/>
        <v>225416</v>
      </c>
    </row>
    <row r="5730" spans="7:14" ht="11.25" customHeight="1" x14ac:dyDescent="0.25">
      <c r="G5730" s="459"/>
      <c r="H5730" s="459">
        <v>5723</v>
      </c>
      <c r="I5730" s="444">
        <f t="shared" ca="1" si="213"/>
        <v>-9964305063383656</v>
      </c>
      <c r="J5730" s="444">
        <f t="array" ref="J5730">IFERROR(INDEX('Retirement Calculator'!J:J,MATCH('Isaac 401k'!N5730,'Retirement Calculator'!A:A,0),0),0)</f>
        <v>0</v>
      </c>
      <c r="K5730" s="444">
        <f t="shared" ca="1" si="211"/>
        <v>-41517937764098.563</v>
      </c>
      <c r="L5730" s="444">
        <f t="shared" ca="1" si="212"/>
        <v>-1.0005823001147754E+16</v>
      </c>
      <c r="M5730" s="460">
        <f t="shared" si="214"/>
        <v>0.05</v>
      </c>
      <c r="N5730" s="464">
        <f t="shared" si="215"/>
        <v>225447</v>
      </c>
    </row>
    <row r="5731" spans="7:14" ht="11.25" customHeight="1" x14ac:dyDescent="0.25">
      <c r="G5731" s="459"/>
      <c r="H5731" s="459">
        <v>5724</v>
      </c>
      <c r="I5731" s="444">
        <f t="shared" ca="1" si="213"/>
        <v>-1.0005823001147754E+16</v>
      </c>
      <c r="J5731" s="444">
        <f t="array" ref="J5731">IFERROR(INDEX('Retirement Calculator'!J:J,MATCH('Isaac 401k'!N5731,'Retirement Calculator'!A:A,0),0),0)</f>
        <v>0</v>
      </c>
      <c r="K5731" s="444">
        <f t="shared" ca="1" si="211"/>
        <v>-41690929171448.977</v>
      </c>
      <c r="L5731" s="444">
        <f t="shared" ca="1" si="212"/>
        <v>-1.0047513930319202E+16</v>
      </c>
      <c r="M5731" s="460">
        <f t="shared" si="214"/>
        <v>0.05</v>
      </c>
      <c r="N5731" s="464">
        <f t="shared" si="215"/>
        <v>225477</v>
      </c>
    </row>
    <row r="5732" spans="7:14" ht="11.25" customHeight="1" x14ac:dyDescent="0.25">
      <c r="G5732" s="459"/>
      <c r="H5732" s="459">
        <v>5725</v>
      </c>
      <c r="I5732" s="444">
        <f t="shared" ca="1" si="213"/>
        <v>-1.0047513930319202E+16</v>
      </c>
      <c r="J5732" s="444">
        <f t="array" ref="J5732">IFERROR(INDEX('Retirement Calculator'!J:J,MATCH('Isaac 401k'!N5732,'Retirement Calculator'!A:A,0),0),0)</f>
        <v>0</v>
      </c>
      <c r="K5732" s="444">
        <f t="shared" ca="1" si="211"/>
        <v>-41864641376330.008</v>
      </c>
      <c r="L5732" s="444">
        <f t="shared" ca="1" si="212"/>
        <v>-1.0089378571695532E+16</v>
      </c>
      <c r="M5732" s="460">
        <f t="shared" si="214"/>
        <v>0.05</v>
      </c>
      <c r="N5732" s="464">
        <f t="shared" si="215"/>
        <v>225508</v>
      </c>
    </row>
    <row r="5733" spans="7:14" ht="11.25" customHeight="1" x14ac:dyDescent="0.25">
      <c r="G5733" s="459"/>
      <c r="H5733" s="459">
        <v>5726</v>
      </c>
      <c r="I5733" s="444">
        <f t="shared" ca="1" si="213"/>
        <v>-1.0089378571695532E+16</v>
      </c>
      <c r="J5733" s="444">
        <f t="array" ref="J5733">IFERROR(INDEX('Retirement Calculator'!J:J,MATCH('Isaac 401k'!N5733,'Retirement Calculator'!A:A,0),0),0)</f>
        <v>0</v>
      </c>
      <c r="K5733" s="444">
        <f t="shared" ca="1" si="211"/>
        <v>-42039077382064.719</v>
      </c>
      <c r="L5733" s="444">
        <f t="shared" ca="1" si="212"/>
        <v>-1.0131417649077596E+16</v>
      </c>
      <c r="M5733" s="460">
        <f t="shared" si="214"/>
        <v>0.05</v>
      </c>
      <c r="N5733" s="464">
        <f t="shared" si="215"/>
        <v>225538</v>
      </c>
    </row>
    <row r="5734" spans="7:14" ht="11.25" customHeight="1" x14ac:dyDescent="0.25">
      <c r="G5734" s="459"/>
      <c r="H5734" s="459">
        <v>5727</v>
      </c>
      <c r="I5734" s="444">
        <f t="shared" ca="1" si="213"/>
        <v>-1.0131417649077596E+16</v>
      </c>
      <c r="J5734" s="444">
        <f t="array" ref="J5734">IFERROR(INDEX('Retirement Calculator'!J:J,MATCH('Isaac 401k'!N5734,'Retirement Calculator'!A:A,0),0),0)</f>
        <v>0</v>
      </c>
      <c r="K5734" s="444">
        <f t="shared" ca="1" si="211"/>
        <v>-42214240204489.984</v>
      </c>
      <c r="L5734" s="444">
        <f t="shared" ca="1" si="212"/>
        <v>-1.0173631889282086E+16</v>
      </c>
      <c r="M5734" s="460">
        <f t="shared" si="214"/>
        <v>0.05</v>
      </c>
      <c r="N5734" s="464">
        <f t="shared" si="215"/>
        <v>225569</v>
      </c>
    </row>
    <row r="5735" spans="7:14" ht="11.25" customHeight="1" x14ac:dyDescent="0.25">
      <c r="G5735" s="459"/>
      <c r="H5735" s="459">
        <v>5728</v>
      </c>
      <c r="I5735" s="444">
        <f t="shared" ca="1" si="213"/>
        <v>-1.0173631889282086E+16</v>
      </c>
      <c r="J5735" s="444">
        <f t="array" ref="J5735">IFERROR(INDEX('Retirement Calculator'!J:J,MATCH('Isaac 401k'!N5735,'Retirement Calculator'!A:A,0),0),0)</f>
        <v>0</v>
      </c>
      <c r="K5735" s="444">
        <f t="shared" ca="1" si="211"/>
        <v>-42390132872008.688</v>
      </c>
      <c r="L5735" s="444">
        <f t="shared" ca="1" si="212"/>
        <v>-1.0216022022154094E+16</v>
      </c>
      <c r="M5735" s="460">
        <f t="shared" si="214"/>
        <v>0.05</v>
      </c>
      <c r="N5735" s="464">
        <f t="shared" si="215"/>
        <v>225600</v>
      </c>
    </row>
    <row r="5736" spans="7:14" ht="11.25" customHeight="1" x14ac:dyDescent="0.25">
      <c r="G5736" s="459"/>
      <c r="H5736" s="459">
        <v>5729</v>
      </c>
      <c r="I5736" s="444">
        <f t="shared" ca="1" si="213"/>
        <v>-1.0216022022154094E+16</v>
      </c>
      <c r="J5736" s="444">
        <f t="array" ref="J5736">IFERROR(INDEX('Retirement Calculator'!J:J,MATCH('Isaac 401k'!N5736,'Retirement Calculator'!A:A,0),0),0)</f>
        <v>0</v>
      </c>
      <c r="K5736" s="444">
        <f t="shared" ca="1" si="211"/>
        <v>-42566758425642.055</v>
      </c>
      <c r="L5736" s="444">
        <f t="shared" ca="1" si="212"/>
        <v>-1.0258588780579736E+16</v>
      </c>
      <c r="M5736" s="460">
        <f t="shared" si="214"/>
        <v>0.05</v>
      </c>
      <c r="N5736" s="464">
        <f t="shared" si="215"/>
        <v>225630</v>
      </c>
    </row>
    <row r="5737" spans="7:14" ht="11.25" customHeight="1" x14ac:dyDescent="0.25">
      <c r="G5737" s="459"/>
      <c r="H5737" s="459">
        <v>5730</v>
      </c>
      <c r="I5737" s="444">
        <f t="shared" ca="1" si="213"/>
        <v>-1.0258588780579736E+16</v>
      </c>
      <c r="J5737" s="444">
        <f t="array" ref="J5737">IFERROR(INDEX('Retirement Calculator'!J:J,MATCH('Isaac 401k'!N5737,'Retirement Calculator'!A:A,0),0),0)</f>
        <v>0</v>
      </c>
      <c r="K5737" s="444">
        <f t="shared" ca="1" si="211"/>
        <v>-42744119919082.234</v>
      </c>
      <c r="L5737" s="444">
        <f t="shared" ca="1" si="212"/>
        <v>-1.0301332900498818E+16</v>
      </c>
      <c r="M5737" s="460">
        <f t="shared" si="214"/>
        <v>0.05</v>
      </c>
      <c r="N5737" s="464">
        <f t="shared" si="215"/>
        <v>225661</v>
      </c>
    </row>
    <row r="5738" spans="7:14" ht="11.25" customHeight="1" x14ac:dyDescent="0.25">
      <c r="G5738" s="459"/>
      <c r="H5738" s="459">
        <v>5731</v>
      </c>
      <c r="I5738" s="444">
        <f t="shared" ca="1" si="213"/>
        <v>-1.0301332900498818E+16</v>
      </c>
      <c r="J5738" s="444">
        <f t="array" ref="J5738">IFERROR(INDEX('Retirement Calculator'!J:J,MATCH('Isaac 401k'!N5738,'Retirement Calculator'!A:A,0),0),0)</f>
        <v>0</v>
      </c>
      <c r="K5738" s="444">
        <f t="shared" ca="1" si="211"/>
        <v>-42922220418745.078</v>
      </c>
      <c r="L5738" s="444">
        <f t="shared" ca="1" si="212"/>
        <v>-1.0344255120917564E+16</v>
      </c>
      <c r="M5738" s="460">
        <f t="shared" si="214"/>
        <v>0.05</v>
      </c>
      <c r="N5738" s="464">
        <f t="shared" si="215"/>
        <v>225691</v>
      </c>
    </row>
    <row r="5739" spans="7:14" ht="11.25" customHeight="1" x14ac:dyDescent="0.25">
      <c r="G5739" s="459"/>
      <c r="H5739" s="459">
        <v>5732</v>
      </c>
      <c r="I5739" s="444">
        <f t="shared" ca="1" si="213"/>
        <v>-1.0344255120917564E+16</v>
      </c>
      <c r="J5739" s="444">
        <f t="array" ref="J5739">IFERROR(INDEX('Retirement Calculator'!J:J,MATCH('Isaac 401k'!N5739,'Retirement Calculator'!A:A,0),0),0)</f>
        <v>0</v>
      </c>
      <c r="K5739" s="444">
        <f t="shared" ca="1" si="211"/>
        <v>-43101063003823.18</v>
      </c>
      <c r="L5739" s="444">
        <f t="shared" ca="1" si="212"/>
        <v>-1.0387356183921388E+16</v>
      </c>
      <c r="M5739" s="460">
        <f t="shared" si="214"/>
        <v>0.05</v>
      </c>
      <c r="N5739" s="464">
        <f t="shared" si="215"/>
        <v>225722</v>
      </c>
    </row>
    <row r="5740" spans="7:14" ht="11.25" customHeight="1" x14ac:dyDescent="0.25">
      <c r="G5740" s="459"/>
      <c r="H5740" s="459">
        <v>5733</v>
      </c>
      <c r="I5740" s="444">
        <f t="shared" ca="1" si="213"/>
        <v>-1.0387356183921388E+16</v>
      </c>
      <c r="J5740" s="444">
        <f t="array" ref="J5740">IFERROR(INDEX('Retirement Calculator'!J:J,MATCH('Isaac 401k'!N5740,'Retirement Calculator'!A:A,0),0),0)</f>
        <v>0</v>
      </c>
      <c r="K5740" s="444">
        <f t="shared" ca="1" si="211"/>
        <v>-43280650766339.117</v>
      </c>
      <c r="L5740" s="444">
        <f t="shared" ca="1" si="212"/>
        <v>-1.0430636834687728E+16</v>
      </c>
      <c r="M5740" s="460">
        <f t="shared" si="214"/>
        <v>0.05</v>
      </c>
      <c r="N5740" s="464">
        <f t="shared" si="215"/>
        <v>225753</v>
      </c>
    </row>
    <row r="5741" spans="7:14" ht="11.25" customHeight="1" x14ac:dyDescent="0.25">
      <c r="G5741" s="459"/>
      <c r="H5741" s="459">
        <v>5734</v>
      </c>
      <c r="I5741" s="444">
        <f t="shared" ca="1" si="213"/>
        <v>-1.0430636834687728E+16</v>
      </c>
      <c r="J5741" s="444">
        <f t="array" ref="J5741">IFERROR(INDEX('Retirement Calculator'!J:J,MATCH('Isaac 401k'!N5741,'Retirement Calculator'!A:A,0),0),0)</f>
        <v>0</v>
      </c>
      <c r="K5741" s="444">
        <f t="shared" ca="1" si="211"/>
        <v>-43460986811198.867</v>
      </c>
      <c r="L5741" s="444">
        <f t="shared" ca="1" si="212"/>
        <v>-1.0474097821498926E+16</v>
      </c>
      <c r="M5741" s="460">
        <f t="shared" si="214"/>
        <v>0.05</v>
      </c>
      <c r="N5741" s="464">
        <f t="shared" si="215"/>
        <v>225781</v>
      </c>
    </row>
    <row r="5742" spans="7:14" ht="11.25" customHeight="1" x14ac:dyDescent="0.25">
      <c r="G5742" s="459"/>
      <c r="H5742" s="459">
        <v>5735</v>
      </c>
      <c r="I5742" s="444">
        <f t="shared" ca="1" si="213"/>
        <v>-1.0474097821498926E+16</v>
      </c>
      <c r="J5742" s="444">
        <f t="array" ref="J5742">IFERROR(INDEX('Retirement Calculator'!J:J,MATCH('Isaac 401k'!N5742,'Retirement Calculator'!A:A,0),0),0)</f>
        <v>0</v>
      </c>
      <c r="K5742" s="444">
        <f t="shared" ca="1" si="211"/>
        <v>-43642074256245.523</v>
      </c>
      <c r="L5742" s="444">
        <f t="shared" ca="1" si="212"/>
        <v>-1.0517739895755172E+16</v>
      </c>
      <c r="M5742" s="460">
        <f t="shared" si="214"/>
        <v>0.05</v>
      </c>
      <c r="N5742" s="464">
        <f t="shared" si="215"/>
        <v>225812</v>
      </c>
    </row>
    <row r="5743" spans="7:14" ht="11.25" customHeight="1" x14ac:dyDescent="0.25">
      <c r="G5743" s="459"/>
      <c r="H5743" s="459">
        <v>5736</v>
      </c>
      <c r="I5743" s="444">
        <f t="shared" ca="1" si="213"/>
        <v>-1.0517739895755172E+16</v>
      </c>
      <c r="J5743" s="444">
        <f t="array" ref="J5743">IFERROR(INDEX('Retirement Calculator'!J:J,MATCH('Isaac 401k'!N5743,'Retirement Calculator'!A:A,0),0),0)</f>
        <v>0</v>
      </c>
      <c r="K5743" s="444">
        <f t="shared" ca="1" si="211"/>
        <v>-43823916232313.219</v>
      </c>
      <c r="L5743" s="444">
        <f t="shared" ca="1" si="212"/>
        <v>-1.0561563811987486E+16</v>
      </c>
      <c r="M5743" s="460">
        <f t="shared" si="214"/>
        <v>0.05</v>
      </c>
      <c r="N5743" s="464">
        <f t="shared" si="215"/>
        <v>225842</v>
      </c>
    </row>
    <row r="5744" spans="7:14" ht="11.25" customHeight="1" x14ac:dyDescent="0.25">
      <c r="G5744" s="459"/>
      <c r="H5744" s="459">
        <v>5737</v>
      </c>
      <c r="I5744" s="444">
        <f t="shared" ca="1" si="213"/>
        <v>-1.0561563811987486E+16</v>
      </c>
      <c r="J5744" s="444">
        <f t="array" ref="J5744">IFERROR(INDEX('Retirement Calculator'!J:J,MATCH('Isaac 401k'!N5744,'Retirement Calculator'!A:A,0),0),0)</f>
        <v>0</v>
      </c>
      <c r="K5744" s="444">
        <f t="shared" ca="1" si="211"/>
        <v>-44006515883281.188</v>
      </c>
      <c r="L5744" s="444">
        <f t="shared" ca="1" si="212"/>
        <v>-1.0605570327870768E+16</v>
      </c>
      <c r="M5744" s="460">
        <f t="shared" si="214"/>
        <v>0.05</v>
      </c>
      <c r="N5744" s="464">
        <f t="shared" si="215"/>
        <v>225873</v>
      </c>
    </row>
    <row r="5745" spans="7:14" ht="11.25" customHeight="1" x14ac:dyDescent="0.25">
      <c r="G5745" s="459"/>
      <c r="H5745" s="459">
        <v>5738</v>
      </c>
      <c r="I5745" s="444">
        <f t="shared" ca="1" si="213"/>
        <v>-1.0605570327870768E+16</v>
      </c>
      <c r="J5745" s="444">
        <f t="array" ref="J5745">IFERROR(INDEX('Retirement Calculator'!J:J,MATCH('Isaac 401k'!N5745,'Retirement Calculator'!A:A,0),0),0)</f>
        <v>0</v>
      </c>
      <c r="K5745" s="444">
        <f t="shared" ca="1" si="211"/>
        <v>-44189876366128.203</v>
      </c>
      <c r="L5745" s="444">
        <f t="shared" ca="1" si="212"/>
        <v>-1.0649760204236896E+16</v>
      </c>
      <c r="M5745" s="460">
        <f t="shared" si="214"/>
        <v>0.05</v>
      </c>
      <c r="N5745" s="464">
        <f t="shared" si="215"/>
        <v>225903</v>
      </c>
    </row>
    <row r="5746" spans="7:14" ht="11.25" customHeight="1" x14ac:dyDescent="0.25">
      <c r="G5746" s="459"/>
      <c r="H5746" s="459">
        <v>5739</v>
      </c>
      <c r="I5746" s="444">
        <f t="shared" ca="1" si="213"/>
        <v>-1.0649760204236896E+16</v>
      </c>
      <c r="J5746" s="444">
        <f t="array" ref="J5746">IFERROR(INDEX('Retirement Calculator'!J:J,MATCH('Isaac 401k'!N5746,'Retirement Calculator'!A:A,0),0),0)</f>
        <v>0</v>
      </c>
      <c r="K5746" s="444">
        <f t="shared" ca="1" si="211"/>
        <v>-44374000850987.063</v>
      </c>
      <c r="L5746" s="444">
        <f t="shared" ca="1" si="212"/>
        <v>-1.0694134205087884E+16</v>
      </c>
      <c r="M5746" s="460">
        <f t="shared" si="214"/>
        <v>0.05</v>
      </c>
      <c r="N5746" s="464">
        <f t="shared" si="215"/>
        <v>225934</v>
      </c>
    </row>
    <row r="5747" spans="7:14" ht="11.25" customHeight="1" x14ac:dyDescent="0.25">
      <c r="G5747" s="459"/>
      <c r="H5747" s="459">
        <v>5740</v>
      </c>
      <c r="I5747" s="444">
        <f t="shared" ca="1" si="213"/>
        <v>-1.0694134205087884E+16</v>
      </c>
      <c r="J5747" s="444">
        <f t="array" ref="J5747">IFERROR(INDEX('Retirement Calculator'!J:J,MATCH('Isaac 401k'!N5747,'Retirement Calculator'!A:A,0),0),0)</f>
        <v>0</v>
      </c>
      <c r="K5747" s="444">
        <f t="shared" ca="1" si="211"/>
        <v>-44558892521199.516</v>
      </c>
      <c r="L5747" s="444">
        <f t="shared" ca="1" si="212"/>
        <v>-1.0738693097609084E+16</v>
      </c>
      <c r="M5747" s="460">
        <f t="shared" si="214"/>
        <v>0.05</v>
      </c>
      <c r="N5747" s="464">
        <f t="shared" si="215"/>
        <v>225965</v>
      </c>
    </row>
    <row r="5748" spans="7:14" ht="11.25" customHeight="1" x14ac:dyDescent="0.25">
      <c r="G5748" s="459"/>
      <c r="H5748" s="459">
        <v>5741</v>
      </c>
      <c r="I5748" s="444">
        <f t="shared" ca="1" si="213"/>
        <v>-1.0738693097609084E+16</v>
      </c>
      <c r="J5748" s="444">
        <f t="array" ref="J5748">IFERROR(INDEX('Retirement Calculator'!J:J,MATCH('Isaac 401k'!N5748,'Retirement Calculator'!A:A,0),0),0)</f>
        <v>0</v>
      </c>
      <c r="K5748" s="444">
        <f t="shared" ca="1" si="211"/>
        <v>-44744554573371.18</v>
      </c>
      <c r="L5748" s="444">
        <f t="shared" ca="1" si="212"/>
        <v>-1.0783437652182456E+16</v>
      </c>
      <c r="M5748" s="460">
        <f t="shared" si="214"/>
        <v>0.05</v>
      </c>
      <c r="N5748" s="464">
        <f t="shared" si="215"/>
        <v>225995</v>
      </c>
    </row>
    <row r="5749" spans="7:14" ht="11.25" customHeight="1" x14ac:dyDescent="0.25">
      <c r="G5749" s="459"/>
      <c r="H5749" s="459">
        <v>5742</v>
      </c>
      <c r="I5749" s="444">
        <f t="shared" ca="1" si="213"/>
        <v>-1.0783437652182456E+16</v>
      </c>
      <c r="J5749" s="444">
        <f t="array" ref="J5749">IFERROR(INDEX('Retirement Calculator'!J:J,MATCH('Isaac 401k'!N5749,'Retirement Calculator'!A:A,0),0),0)</f>
        <v>0</v>
      </c>
      <c r="K5749" s="444">
        <f t="shared" ca="1" si="211"/>
        <v>-44930990217426.898</v>
      </c>
      <c r="L5749" s="444">
        <f t="shared" ca="1" si="212"/>
        <v>-1.0828368642399882E+16</v>
      </c>
      <c r="M5749" s="460">
        <f t="shared" si="214"/>
        <v>0.05</v>
      </c>
      <c r="N5749" s="464">
        <f t="shared" si="215"/>
        <v>226026</v>
      </c>
    </row>
    <row r="5750" spans="7:14" ht="11.25" customHeight="1" x14ac:dyDescent="0.25">
      <c r="G5750" s="459"/>
      <c r="H5750" s="459">
        <v>5743</v>
      </c>
      <c r="I5750" s="444">
        <f t="shared" ca="1" si="213"/>
        <v>-1.0828368642399882E+16</v>
      </c>
      <c r="J5750" s="444">
        <f t="array" ref="J5750">IFERROR(INDEX('Retirement Calculator'!J:J,MATCH('Isaac 401k'!N5750,'Retirement Calculator'!A:A,0),0),0)</f>
        <v>0</v>
      </c>
      <c r="K5750" s="444">
        <f t="shared" ca="1" si="211"/>
        <v>-45118202676666.172</v>
      </c>
      <c r="L5750" s="444">
        <f t="shared" ca="1" si="212"/>
        <v>-1.0873486845076548E+16</v>
      </c>
      <c r="M5750" s="460">
        <f t="shared" si="214"/>
        <v>0.05</v>
      </c>
      <c r="N5750" s="464">
        <f t="shared" si="215"/>
        <v>226056</v>
      </c>
    </row>
    <row r="5751" spans="7:14" ht="11.25" customHeight="1" x14ac:dyDescent="0.25">
      <c r="G5751" s="459"/>
      <c r="H5751" s="459">
        <v>5744</v>
      </c>
      <c r="I5751" s="444">
        <f t="shared" ca="1" si="213"/>
        <v>-1.0873486845076548E+16</v>
      </c>
      <c r="J5751" s="444">
        <f t="array" ref="J5751">IFERROR(INDEX('Retirement Calculator'!J:J,MATCH('Isaac 401k'!N5751,'Retirement Calculator'!A:A,0),0),0)</f>
        <v>0</v>
      </c>
      <c r="K5751" s="444">
        <f t="shared" ca="1" si="211"/>
        <v>-45306195187818.953</v>
      </c>
      <c r="L5751" s="444">
        <f t="shared" ca="1" si="212"/>
        <v>-1.0918793040264366E+16</v>
      </c>
      <c r="M5751" s="460">
        <f t="shared" si="214"/>
        <v>0.05</v>
      </c>
      <c r="N5751" s="464">
        <f t="shared" si="215"/>
        <v>226087</v>
      </c>
    </row>
    <row r="5752" spans="7:14" ht="11.25" customHeight="1" x14ac:dyDescent="0.25">
      <c r="G5752" s="459"/>
      <c r="H5752" s="459">
        <v>5745</v>
      </c>
      <c r="I5752" s="444">
        <f t="shared" ca="1" si="213"/>
        <v>-1.0918793040264366E+16</v>
      </c>
      <c r="J5752" s="444">
        <f t="array" ref="J5752">IFERROR(INDEX('Retirement Calculator'!J:J,MATCH('Isaac 401k'!N5752,'Retirement Calculator'!A:A,0),0),0)</f>
        <v>0</v>
      </c>
      <c r="K5752" s="444">
        <f t="shared" ca="1" si="211"/>
        <v>-45494971001101.523</v>
      </c>
      <c r="L5752" s="444">
        <f t="shared" ca="1" si="212"/>
        <v>-1.0964288011265468E+16</v>
      </c>
      <c r="M5752" s="460">
        <f t="shared" si="214"/>
        <v>0.05</v>
      </c>
      <c r="N5752" s="464">
        <f t="shared" si="215"/>
        <v>226118</v>
      </c>
    </row>
    <row r="5753" spans="7:14" ht="11.25" customHeight="1" x14ac:dyDescent="0.25">
      <c r="G5753" s="459"/>
      <c r="H5753" s="459">
        <v>5746</v>
      </c>
      <c r="I5753" s="444">
        <f t="shared" ca="1" si="213"/>
        <v>-1.0964288011265468E+16</v>
      </c>
      <c r="J5753" s="444">
        <f t="array" ref="J5753">IFERROR(INDEX('Retirement Calculator'!J:J,MATCH('Isaac 401k'!N5753,'Retirement Calculator'!A:A,0),0),0)</f>
        <v>0</v>
      </c>
      <c r="K5753" s="444">
        <f t="shared" ca="1" si="211"/>
        <v>-45684533380272.781</v>
      </c>
      <c r="L5753" s="444">
        <f t="shared" ca="1" si="212"/>
        <v>-1.100997254464574E+16</v>
      </c>
      <c r="M5753" s="460">
        <f t="shared" si="214"/>
        <v>0.05</v>
      </c>
      <c r="N5753" s="464">
        <f t="shared" si="215"/>
        <v>226146</v>
      </c>
    </row>
    <row r="5754" spans="7:14" ht="11.25" customHeight="1" x14ac:dyDescent="0.25">
      <c r="G5754" s="459"/>
      <c r="H5754" s="459">
        <v>5747</v>
      </c>
      <c r="I5754" s="444">
        <f t="shared" ca="1" si="213"/>
        <v>-1.100997254464574E+16</v>
      </c>
      <c r="J5754" s="444">
        <f t="array" ref="J5754">IFERROR(INDEX('Retirement Calculator'!J:J,MATCH('Isaac 401k'!N5754,'Retirement Calculator'!A:A,0),0),0)</f>
        <v>0</v>
      </c>
      <c r="K5754" s="444">
        <f t="shared" ca="1" si="211"/>
        <v>-45874885602690.586</v>
      </c>
      <c r="L5754" s="444">
        <f t="shared" ca="1" si="212"/>
        <v>-1.105584743024843E+16</v>
      </c>
      <c r="M5754" s="460">
        <f t="shared" si="214"/>
        <v>0.05</v>
      </c>
      <c r="N5754" s="464">
        <f t="shared" si="215"/>
        <v>226177</v>
      </c>
    </row>
    <row r="5755" spans="7:14" ht="11.25" customHeight="1" x14ac:dyDescent="0.25">
      <c r="G5755" s="459"/>
      <c r="H5755" s="459">
        <v>5748</v>
      </c>
      <c r="I5755" s="444">
        <f t="shared" ca="1" si="213"/>
        <v>-1.105584743024843E+16</v>
      </c>
      <c r="J5755" s="444">
        <f t="array" ref="J5755">IFERROR(INDEX('Retirement Calculator'!J:J,MATCH('Isaac 401k'!N5755,'Retirement Calculator'!A:A,0),0),0)</f>
        <v>0</v>
      </c>
      <c r="K5755" s="444">
        <f t="shared" ca="1" si="211"/>
        <v>-46066030959368.461</v>
      </c>
      <c r="L5755" s="444">
        <f t="shared" ca="1" si="212"/>
        <v>-1.1101913461207798E+16</v>
      </c>
      <c r="M5755" s="460">
        <f t="shared" si="214"/>
        <v>0.05</v>
      </c>
      <c r="N5755" s="464">
        <f t="shared" si="215"/>
        <v>226207</v>
      </c>
    </row>
    <row r="5756" spans="7:14" ht="11.25" customHeight="1" x14ac:dyDescent="0.25">
      <c r="G5756" s="459"/>
      <c r="H5756" s="459">
        <v>5749</v>
      </c>
      <c r="I5756" s="444">
        <f t="shared" ca="1" si="213"/>
        <v>-1.1101913461207798E+16</v>
      </c>
      <c r="J5756" s="444">
        <f t="array" ref="J5756">IFERROR(INDEX('Retirement Calculator'!J:J,MATCH('Isaac 401k'!N5756,'Retirement Calculator'!A:A,0),0),0)</f>
        <v>0</v>
      </c>
      <c r="K5756" s="444">
        <f t="shared" ca="1" si="211"/>
        <v>-46257972755032.492</v>
      </c>
      <c r="L5756" s="444">
        <f t="shared" ca="1" si="212"/>
        <v>-1.114817143396283E+16</v>
      </c>
      <c r="M5756" s="460">
        <f t="shared" si="214"/>
        <v>0.05</v>
      </c>
      <c r="N5756" s="464">
        <f t="shared" si="215"/>
        <v>226238</v>
      </c>
    </row>
    <row r="5757" spans="7:14" ht="11.25" customHeight="1" x14ac:dyDescent="0.25">
      <c r="G5757" s="459"/>
      <c r="H5757" s="459">
        <v>5750</v>
      </c>
      <c r="I5757" s="444">
        <f t="shared" ca="1" si="213"/>
        <v>-1.114817143396283E+16</v>
      </c>
      <c r="J5757" s="444">
        <f t="array" ref="J5757">IFERROR(INDEX('Retirement Calculator'!J:J,MATCH('Isaac 401k'!N5757,'Retirement Calculator'!A:A,0),0),0)</f>
        <v>0</v>
      </c>
      <c r="K5757" s="444">
        <f t="shared" ca="1" si="211"/>
        <v>-46450714308178.461</v>
      </c>
      <c r="L5757" s="444">
        <f t="shared" ca="1" si="212"/>
        <v>-1.1194622148271008E+16</v>
      </c>
      <c r="M5757" s="460">
        <f t="shared" si="214"/>
        <v>0.05</v>
      </c>
      <c r="N5757" s="464">
        <f t="shared" si="215"/>
        <v>226268</v>
      </c>
    </row>
    <row r="5758" spans="7:14" ht="11.25" customHeight="1" x14ac:dyDescent="0.25">
      <c r="G5758" s="459"/>
      <c r="H5758" s="459">
        <v>5751</v>
      </c>
      <c r="I5758" s="444">
        <f t="shared" ca="1" si="213"/>
        <v>-1.1194622148271008E+16</v>
      </c>
      <c r="J5758" s="444">
        <f t="array" ref="J5758">IFERROR(INDEX('Retirement Calculator'!J:J,MATCH('Isaac 401k'!N5758,'Retirement Calculator'!A:A,0),0),0)</f>
        <v>0</v>
      </c>
      <c r="K5758" s="444">
        <f t="shared" ca="1" si="211"/>
        <v>-46644258951129.203</v>
      </c>
      <c r="L5758" s="444">
        <f t="shared" ca="1" si="212"/>
        <v>-1.1241266407222138E+16</v>
      </c>
      <c r="M5758" s="460">
        <f t="shared" si="214"/>
        <v>0.05</v>
      </c>
      <c r="N5758" s="464">
        <f t="shared" si="215"/>
        <v>226299</v>
      </c>
    </row>
    <row r="5759" spans="7:14" ht="11.25" customHeight="1" x14ac:dyDescent="0.25">
      <c r="G5759" s="459"/>
      <c r="H5759" s="459">
        <v>5752</v>
      </c>
      <c r="I5759" s="444">
        <f t="shared" ca="1" si="213"/>
        <v>-1.1241266407222138E+16</v>
      </c>
      <c r="J5759" s="444">
        <f t="array" ref="J5759">IFERROR(INDEX('Retirement Calculator'!J:J,MATCH('Isaac 401k'!N5759,'Retirement Calculator'!A:A,0),0),0)</f>
        <v>0</v>
      </c>
      <c r="K5759" s="444">
        <f t="shared" ca="1" si="211"/>
        <v>-46838610030092.242</v>
      </c>
      <c r="L5759" s="444">
        <f t="shared" ca="1" si="212"/>
        <v>-1.128810501725223E+16</v>
      </c>
      <c r="M5759" s="460">
        <f t="shared" si="214"/>
        <v>0.05</v>
      </c>
      <c r="N5759" s="464">
        <f t="shared" si="215"/>
        <v>226330</v>
      </c>
    </row>
    <row r="5760" spans="7:14" ht="11.25" customHeight="1" x14ac:dyDescent="0.25">
      <c r="G5760" s="459"/>
      <c r="H5760" s="459">
        <v>5753</v>
      </c>
      <c r="I5760" s="444">
        <f t="shared" ca="1" si="213"/>
        <v>-1.128810501725223E+16</v>
      </c>
      <c r="J5760" s="444">
        <f t="array" ref="J5760">IFERROR(INDEX('Retirement Calculator'!J:J,MATCH('Isaac 401k'!N5760,'Retirement Calculator'!A:A,0),0),0)</f>
        <v>0</v>
      </c>
      <c r="K5760" s="444">
        <f t="shared" ca="1" si="211"/>
        <v>-47033770905217.625</v>
      </c>
      <c r="L5760" s="444">
        <f t="shared" ca="1" si="212"/>
        <v>-1.1335138788157448E+16</v>
      </c>
      <c r="M5760" s="460">
        <f t="shared" si="214"/>
        <v>0.05</v>
      </c>
      <c r="N5760" s="464">
        <f t="shared" si="215"/>
        <v>226360</v>
      </c>
    </row>
    <row r="5761" spans="7:14" ht="11.25" customHeight="1" x14ac:dyDescent="0.25">
      <c r="G5761" s="459"/>
      <c r="H5761" s="459">
        <v>5754</v>
      </c>
      <c r="I5761" s="444">
        <f t="shared" ca="1" si="213"/>
        <v>-1.1335138788157448E+16</v>
      </c>
      <c r="J5761" s="444">
        <f t="array" ref="J5761">IFERROR(INDEX('Retirement Calculator'!J:J,MATCH('Isaac 401k'!N5761,'Retirement Calculator'!A:A,0),0),0)</f>
        <v>0</v>
      </c>
      <c r="K5761" s="444">
        <f t="shared" ca="1" si="211"/>
        <v>-47229744950656.031</v>
      </c>
      <c r="L5761" s="444">
        <f t="shared" ca="1" si="212"/>
        <v>-1.1382368533108104E+16</v>
      </c>
      <c r="M5761" s="460">
        <f t="shared" si="214"/>
        <v>0.05</v>
      </c>
      <c r="N5761" s="464">
        <f t="shared" si="215"/>
        <v>226391</v>
      </c>
    </row>
    <row r="5762" spans="7:14" ht="11.25" customHeight="1" x14ac:dyDescent="0.25">
      <c r="G5762" s="459"/>
      <c r="H5762" s="459">
        <v>5755</v>
      </c>
      <c r="I5762" s="444">
        <f t="shared" ca="1" si="213"/>
        <v>-1.1382368533108104E+16</v>
      </c>
      <c r="J5762" s="444">
        <f t="array" ref="J5762">IFERROR(INDEX('Retirement Calculator'!J:J,MATCH('Isaac 401k'!N5762,'Retirement Calculator'!A:A,0),0),0)</f>
        <v>0</v>
      </c>
      <c r="K5762" s="444">
        <f t="shared" ca="1" si="211"/>
        <v>-47426535554617.102</v>
      </c>
      <c r="L5762" s="444">
        <f t="shared" ca="1" si="212"/>
        <v>-1.1429795068662722E+16</v>
      </c>
      <c r="M5762" s="460">
        <f t="shared" si="214"/>
        <v>0.05</v>
      </c>
      <c r="N5762" s="464">
        <f t="shared" si="215"/>
        <v>226421</v>
      </c>
    </row>
    <row r="5763" spans="7:14" ht="11.25" customHeight="1" x14ac:dyDescent="0.25">
      <c r="G5763" s="459"/>
      <c r="H5763" s="459">
        <v>5756</v>
      </c>
      <c r="I5763" s="444">
        <f t="shared" ca="1" si="213"/>
        <v>-1.1429795068662722E+16</v>
      </c>
      <c r="J5763" s="444">
        <f t="array" ref="J5763">IFERROR(INDEX('Retirement Calculator'!J:J,MATCH('Isaac 401k'!N5763,'Retirement Calculator'!A:A,0),0),0)</f>
        <v>0</v>
      </c>
      <c r="K5763" s="444">
        <f t="shared" ca="1" si="211"/>
        <v>-47624146119428.008</v>
      </c>
      <c r="L5763" s="444">
        <f t="shared" ca="1" si="212"/>
        <v>-1.147741921478215E+16</v>
      </c>
      <c r="M5763" s="460">
        <f t="shared" si="214"/>
        <v>0.05</v>
      </c>
      <c r="N5763" s="464">
        <f t="shared" si="215"/>
        <v>226452</v>
      </c>
    </row>
    <row r="5764" spans="7:14" ht="11.25" customHeight="1" x14ac:dyDescent="0.25">
      <c r="G5764" s="459"/>
      <c r="H5764" s="459">
        <v>5757</v>
      </c>
      <c r="I5764" s="444">
        <f t="shared" ca="1" si="213"/>
        <v>-1.147741921478215E+16</v>
      </c>
      <c r="J5764" s="444">
        <f t="array" ref="J5764">IFERROR(INDEX('Retirement Calculator'!J:J,MATCH('Isaac 401k'!N5764,'Retirement Calculator'!A:A,0),0),0)</f>
        <v>0</v>
      </c>
      <c r="K5764" s="444">
        <f t="shared" ca="1" si="211"/>
        <v>-47822580061592.289</v>
      </c>
      <c r="L5764" s="444">
        <f t="shared" ca="1" si="212"/>
        <v>-1.1525241794843742E+16</v>
      </c>
      <c r="M5764" s="460">
        <f t="shared" si="214"/>
        <v>0.05</v>
      </c>
      <c r="N5764" s="464">
        <f t="shared" si="215"/>
        <v>226483</v>
      </c>
    </row>
    <row r="5765" spans="7:14" ht="11.25" customHeight="1" x14ac:dyDescent="0.25">
      <c r="G5765" s="459"/>
      <c r="H5765" s="459">
        <v>5758</v>
      </c>
      <c r="I5765" s="444">
        <f t="shared" ca="1" si="213"/>
        <v>-1.1525241794843742E+16</v>
      </c>
      <c r="J5765" s="444">
        <f t="array" ref="J5765">IFERROR(INDEX('Retirement Calculator'!J:J,MATCH('Isaac 401k'!N5765,'Retirement Calculator'!A:A,0),0),0)</f>
        <v>0</v>
      </c>
      <c r="K5765" s="444">
        <f t="shared" ca="1" si="211"/>
        <v>-48021840811848.922</v>
      </c>
      <c r="L5765" s="444">
        <f t="shared" ca="1" si="212"/>
        <v>-1.157326363565559E+16</v>
      </c>
      <c r="M5765" s="460">
        <f t="shared" si="214"/>
        <v>0.05</v>
      </c>
      <c r="N5765" s="464">
        <f t="shared" si="215"/>
        <v>226512</v>
      </c>
    </row>
    <row r="5766" spans="7:14" ht="11.25" customHeight="1" x14ac:dyDescent="0.25">
      <c r="G5766" s="459"/>
      <c r="H5766" s="459">
        <v>5759</v>
      </c>
      <c r="I5766" s="444">
        <f t="shared" ca="1" si="213"/>
        <v>-1.157326363565559E+16</v>
      </c>
      <c r="J5766" s="444">
        <f t="array" ref="J5766">IFERROR(INDEX('Retirement Calculator'!J:J,MATCH('Isaac 401k'!N5766,'Retirement Calculator'!A:A,0),0),0)</f>
        <v>0</v>
      </c>
      <c r="K5766" s="444">
        <f t="shared" ca="1" si="211"/>
        <v>-48221931815231.625</v>
      </c>
      <c r="L5766" s="444">
        <f t="shared" ca="1" si="212"/>
        <v>-1.1621485567470822E+16</v>
      </c>
      <c r="M5766" s="460">
        <f t="shared" si="214"/>
        <v>0.05</v>
      </c>
      <c r="N5766" s="464">
        <f t="shared" si="215"/>
        <v>226543</v>
      </c>
    </row>
    <row r="5767" spans="7:14" ht="11.25" customHeight="1" x14ac:dyDescent="0.25">
      <c r="G5767" s="459"/>
      <c r="H5767" s="459">
        <v>5760</v>
      </c>
      <c r="I5767" s="444">
        <f t="shared" ca="1" si="213"/>
        <v>-1.1621485567470822E+16</v>
      </c>
      <c r="J5767" s="444">
        <f t="array" ref="J5767">IFERROR(INDEX('Retirement Calculator'!J:J,MATCH('Isaac 401k'!N5767,'Retirement Calculator'!A:A,0),0),0)</f>
        <v>0</v>
      </c>
      <c r="K5767" s="444">
        <f t="shared" ca="1" si="211"/>
        <v>-48422856531128.422</v>
      </c>
      <c r="L5767" s="444">
        <f t="shared" ca="1" si="212"/>
        <v>-1.166990842400195E+16</v>
      </c>
      <c r="M5767" s="460">
        <f t="shared" si="214"/>
        <v>0.05</v>
      </c>
      <c r="N5767" s="464">
        <f t="shared" si="215"/>
        <v>226573</v>
      </c>
    </row>
    <row r="5768" spans="7:14" ht="11.25" customHeight="1" x14ac:dyDescent="0.25">
      <c r="G5768" s="459"/>
      <c r="H5768" s="459">
        <v>5761</v>
      </c>
      <c r="I5768" s="444">
        <f t="shared" ca="1" si="213"/>
        <v>-1.166990842400195E+16</v>
      </c>
      <c r="J5768" s="444">
        <f t="array" ref="J5768">IFERROR(INDEX('Retirement Calculator'!J:J,MATCH('Isaac 401k'!N5768,'Retirement Calculator'!A:A,0),0),0)</f>
        <v>0</v>
      </c>
      <c r="K5768" s="444">
        <f t="shared" ca="1" si="211"/>
        <v>-48624618433341.461</v>
      </c>
      <c r="L5768" s="444">
        <f t="shared" ca="1" si="212"/>
        <v>-1.1718533042435292E+16</v>
      </c>
      <c r="M5768" s="460">
        <f t="shared" si="214"/>
        <v>0.05</v>
      </c>
      <c r="N5768" s="464">
        <f t="shared" si="215"/>
        <v>226604</v>
      </c>
    </row>
    <row r="5769" spans="7:14" ht="11.25" customHeight="1" x14ac:dyDescent="0.25">
      <c r="G5769" s="459"/>
      <c r="H5769" s="459">
        <v>5762</v>
      </c>
      <c r="I5769" s="444">
        <f t="shared" ca="1" si="213"/>
        <v>-1.1718533042435292E+16</v>
      </c>
      <c r="J5769" s="444">
        <f t="array" ref="J5769">IFERROR(INDEX('Retirement Calculator'!J:J,MATCH('Isaac 401k'!N5769,'Retirement Calculator'!A:A,0),0),0)</f>
        <v>0</v>
      </c>
      <c r="K5769" s="444">
        <f t="shared" ca="1" si="211"/>
        <v>-48827221010147.047</v>
      </c>
      <c r="L5769" s="444">
        <f t="shared" ca="1" si="212"/>
        <v>-1.176736026344544E+16</v>
      </c>
      <c r="M5769" s="460">
        <f t="shared" si="214"/>
        <v>0.05</v>
      </c>
      <c r="N5769" s="464">
        <f t="shared" si="215"/>
        <v>226634</v>
      </c>
    </row>
    <row r="5770" spans="7:14" ht="11.25" customHeight="1" x14ac:dyDescent="0.25">
      <c r="G5770" s="459"/>
      <c r="H5770" s="459">
        <v>5763</v>
      </c>
      <c r="I5770" s="444">
        <f t="shared" ca="1" si="213"/>
        <v>-1.176736026344544E+16</v>
      </c>
      <c r="J5770" s="444">
        <f t="array" ref="J5770">IFERROR(INDEX('Retirement Calculator'!J:J,MATCH('Isaac 401k'!N5770,'Retirement Calculator'!A:A,0),0),0)</f>
        <v>0</v>
      </c>
      <c r="K5770" s="444">
        <f t="shared" ca="1" si="211"/>
        <v>-49030667764356</v>
      </c>
      <c r="L5770" s="444">
        <f t="shared" ca="1" si="212"/>
        <v>-1.1816390931209796E+16</v>
      </c>
      <c r="M5770" s="460">
        <f t="shared" si="214"/>
        <v>0.05</v>
      </c>
      <c r="N5770" s="464">
        <f t="shared" si="215"/>
        <v>226665</v>
      </c>
    </row>
    <row r="5771" spans="7:14" ht="11.25" customHeight="1" x14ac:dyDescent="0.25">
      <c r="G5771" s="459"/>
      <c r="H5771" s="459">
        <v>5764</v>
      </c>
      <c r="I5771" s="444">
        <f t="shared" ca="1" si="213"/>
        <v>-1.1816390931209796E+16</v>
      </c>
      <c r="J5771" s="444">
        <f t="array" ref="J5771">IFERROR(INDEX('Retirement Calculator'!J:J,MATCH('Isaac 401k'!N5771,'Retirement Calculator'!A:A,0),0),0)</f>
        <v>0</v>
      </c>
      <c r="K5771" s="444">
        <f t="shared" ca="1" si="211"/>
        <v>-49234962213374.148</v>
      </c>
      <c r="L5771" s="444">
        <f t="shared" ca="1" si="212"/>
        <v>-1.186562589342317E+16</v>
      </c>
      <c r="M5771" s="460">
        <f t="shared" si="214"/>
        <v>0.05</v>
      </c>
      <c r="N5771" s="464">
        <f t="shared" si="215"/>
        <v>226696</v>
      </c>
    </row>
    <row r="5772" spans="7:14" ht="11.25" customHeight="1" x14ac:dyDescent="0.25">
      <c r="G5772" s="459"/>
      <c r="H5772" s="459">
        <v>5765</v>
      </c>
      <c r="I5772" s="444">
        <f t="shared" ca="1" si="213"/>
        <v>-1.186562589342317E+16</v>
      </c>
      <c r="J5772" s="444">
        <f t="array" ref="J5772">IFERROR(INDEX('Retirement Calculator'!J:J,MATCH('Isaac 401k'!N5772,'Retirement Calculator'!A:A,0),0),0)</f>
        <v>0</v>
      </c>
      <c r="K5772" s="444">
        <f t="shared" ca="1" si="211"/>
        <v>-49440107889263.211</v>
      </c>
      <c r="L5772" s="444">
        <f t="shared" ca="1" si="212"/>
        <v>-1.1915066001312434E+16</v>
      </c>
      <c r="M5772" s="460">
        <f t="shared" si="214"/>
        <v>0.05</v>
      </c>
      <c r="N5772" s="464">
        <f t="shared" si="215"/>
        <v>226726</v>
      </c>
    </row>
    <row r="5773" spans="7:14" ht="11.25" customHeight="1" x14ac:dyDescent="0.25">
      <c r="G5773" s="459"/>
      <c r="H5773" s="459">
        <v>5766</v>
      </c>
      <c r="I5773" s="444">
        <f t="shared" ca="1" si="213"/>
        <v>-1.1915066001312434E+16</v>
      </c>
      <c r="J5773" s="444">
        <f t="array" ref="J5773">IFERROR(INDEX('Retirement Calculator'!J:J,MATCH('Isaac 401k'!N5773,'Retirement Calculator'!A:A,0),0),0)</f>
        <v>0</v>
      </c>
      <c r="K5773" s="444">
        <f t="shared" ca="1" si="211"/>
        <v>-49646108338801.805</v>
      </c>
      <c r="L5773" s="444">
        <f t="shared" ca="1" si="212"/>
        <v>-1.1964712109651236E+16</v>
      </c>
      <c r="M5773" s="460">
        <f t="shared" si="214"/>
        <v>0.05</v>
      </c>
      <c r="N5773" s="464">
        <f t="shared" si="215"/>
        <v>226757</v>
      </c>
    </row>
    <row r="5774" spans="7:14" ht="11.25" customHeight="1" x14ac:dyDescent="0.25">
      <c r="G5774" s="459"/>
      <c r="H5774" s="459">
        <v>5767</v>
      </c>
      <c r="I5774" s="444">
        <f t="shared" ca="1" si="213"/>
        <v>-1.1964712109651236E+16</v>
      </c>
      <c r="J5774" s="444">
        <f t="array" ref="J5774">IFERROR(INDEX('Retirement Calculator'!J:J,MATCH('Isaac 401k'!N5774,'Retirement Calculator'!A:A,0),0),0)</f>
        <v>0</v>
      </c>
      <c r="K5774" s="444">
        <f t="shared" ca="1" si="211"/>
        <v>-49852967123546.813</v>
      </c>
      <c r="L5774" s="444">
        <f t="shared" ca="1" si="212"/>
        <v>-1.2014565076774782E+16</v>
      </c>
      <c r="M5774" s="460">
        <f t="shared" si="214"/>
        <v>0.05</v>
      </c>
      <c r="N5774" s="464">
        <f t="shared" si="215"/>
        <v>226787</v>
      </c>
    </row>
    <row r="5775" spans="7:14" ht="11.25" customHeight="1" x14ac:dyDescent="0.25">
      <c r="G5775" s="459"/>
      <c r="H5775" s="459">
        <v>5768</v>
      </c>
      <c r="I5775" s="444">
        <f t="shared" ca="1" si="213"/>
        <v>-1.2014565076774782E+16</v>
      </c>
      <c r="J5775" s="444">
        <f t="array" ref="J5775">IFERROR(INDEX('Retirement Calculator'!J:J,MATCH('Isaac 401k'!N5775,'Retirement Calculator'!A:A,0),0),0)</f>
        <v>0</v>
      </c>
      <c r="K5775" s="444">
        <f t="shared" ca="1" si="211"/>
        <v>-50060687819894.922</v>
      </c>
      <c r="L5775" s="444">
        <f t="shared" ca="1" si="212"/>
        <v>-1.2064625764594676E+16</v>
      </c>
      <c r="M5775" s="460">
        <f t="shared" si="214"/>
        <v>0.05</v>
      </c>
      <c r="N5775" s="464">
        <f t="shared" si="215"/>
        <v>226818</v>
      </c>
    </row>
    <row r="5776" spans="7:14" ht="11.25" customHeight="1" x14ac:dyDescent="0.25">
      <c r="G5776" s="459"/>
      <c r="H5776" s="459">
        <v>5769</v>
      </c>
      <c r="I5776" s="444">
        <f t="shared" ca="1" si="213"/>
        <v>-1.2064625764594676E+16</v>
      </c>
      <c r="J5776" s="444">
        <f t="array" ref="J5776">IFERROR(INDEX('Retirement Calculator'!J:J,MATCH('Isaac 401k'!N5776,'Retirement Calculator'!A:A,0),0),0)</f>
        <v>0</v>
      </c>
      <c r="K5776" s="444">
        <f t="shared" ca="1" si="211"/>
        <v>-50269274019144.484</v>
      </c>
      <c r="L5776" s="444">
        <f t="shared" ca="1" si="212"/>
        <v>-1.211489503861382E+16</v>
      </c>
      <c r="M5776" s="460">
        <f t="shared" si="214"/>
        <v>0.05</v>
      </c>
      <c r="N5776" s="464">
        <f t="shared" si="215"/>
        <v>226849</v>
      </c>
    </row>
    <row r="5777" spans="7:14" ht="11.25" customHeight="1" x14ac:dyDescent="0.25">
      <c r="G5777" s="459"/>
      <c r="H5777" s="459">
        <v>5770</v>
      </c>
      <c r="I5777" s="444">
        <f t="shared" ca="1" si="213"/>
        <v>-1.211489503861382E+16</v>
      </c>
      <c r="J5777" s="444">
        <f t="array" ref="J5777">IFERROR(INDEX('Retirement Calculator'!J:J,MATCH('Isaac 401k'!N5777,'Retirement Calculator'!A:A,0),0),0)</f>
        <v>0</v>
      </c>
      <c r="K5777" s="444">
        <f t="shared" ca="1" si="211"/>
        <v>-50478729327557.586</v>
      </c>
      <c r="L5777" s="444">
        <f t="shared" ca="1" si="212"/>
        <v>-1.2165373767941378E+16</v>
      </c>
      <c r="M5777" s="460">
        <f t="shared" si="214"/>
        <v>0.05</v>
      </c>
      <c r="N5777" s="464">
        <f t="shared" si="215"/>
        <v>226877</v>
      </c>
    </row>
    <row r="5778" spans="7:14" ht="11.25" customHeight="1" x14ac:dyDescent="0.25">
      <c r="G5778" s="459"/>
      <c r="H5778" s="459">
        <v>5771</v>
      </c>
      <c r="I5778" s="444">
        <f t="shared" ca="1" si="213"/>
        <v>-1.2165373767941378E+16</v>
      </c>
      <c r="J5778" s="444">
        <f t="array" ref="J5778">IFERROR(INDEX('Retirement Calculator'!J:J,MATCH('Isaac 401k'!N5778,'Retirement Calculator'!A:A,0),0),0)</f>
        <v>0</v>
      </c>
      <c r="K5778" s="444">
        <f t="shared" ca="1" si="211"/>
        <v>-50689057366422.406</v>
      </c>
      <c r="L5778" s="444">
        <f t="shared" ca="1" si="212"/>
        <v>-1.22160628253078E+16</v>
      </c>
      <c r="M5778" s="460">
        <f t="shared" si="214"/>
        <v>0.05</v>
      </c>
      <c r="N5778" s="464">
        <f t="shared" si="215"/>
        <v>226908</v>
      </c>
    </row>
    <row r="5779" spans="7:14" ht="11.25" customHeight="1" x14ac:dyDescent="0.25">
      <c r="G5779" s="459"/>
      <c r="H5779" s="459">
        <v>5772</v>
      </c>
      <c r="I5779" s="444">
        <f t="shared" ca="1" si="213"/>
        <v>-1.22160628253078E+16</v>
      </c>
      <c r="J5779" s="444">
        <f t="array" ref="J5779">IFERROR(INDEX('Retirement Calculator'!J:J,MATCH('Isaac 401k'!N5779,'Retirement Calculator'!A:A,0),0),0)</f>
        <v>0</v>
      </c>
      <c r="K5779" s="444">
        <f t="shared" ca="1" si="211"/>
        <v>-50900261772115.836</v>
      </c>
      <c r="L5779" s="444">
        <f t="shared" ca="1" si="212"/>
        <v>-1.2266963087079916E+16</v>
      </c>
      <c r="M5779" s="460">
        <f t="shared" si="214"/>
        <v>0.05</v>
      </c>
      <c r="N5779" s="464">
        <f t="shared" si="215"/>
        <v>226938</v>
      </c>
    </row>
    <row r="5780" spans="7:14" ht="11.25" customHeight="1" x14ac:dyDescent="0.25">
      <c r="G5780" s="459"/>
      <c r="H5780" s="459">
        <v>5773</v>
      </c>
      <c r="I5780" s="444">
        <f t="shared" ca="1" si="213"/>
        <v>-1.2266963087079916E+16</v>
      </c>
      <c r="J5780" s="444">
        <f t="array" ref="J5780">IFERROR(INDEX('Retirement Calculator'!J:J,MATCH('Isaac 401k'!N5780,'Retirement Calculator'!A:A,0),0),0)</f>
        <v>0</v>
      </c>
      <c r="K5780" s="444">
        <f t="shared" ca="1" si="211"/>
        <v>-51112346196166.313</v>
      </c>
      <c r="L5780" s="444">
        <f t="shared" ca="1" si="212"/>
        <v>-1.2318075433276082E+16</v>
      </c>
      <c r="M5780" s="460">
        <f t="shared" si="214"/>
        <v>0.05</v>
      </c>
      <c r="N5780" s="464">
        <f t="shared" si="215"/>
        <v>226969</v>
      </c>
    </row>
    <row r="5781" spans="7:14" ht="11.25" customHeight="1" x14ac:dyDescent="0.25">
      <c r="G5781" s="459"/>
      <c r="H5781" s="459">
        <v>5774</v>
      </c>
      <c r="I5781" s="444">
        <f t="shared" ca="1" si="213"/>
        <v>-1.2318075433276082E+16</v>
      </c>
      <c r="J5781" s="444">
        <f t="array" ref="J5781">IFERROR(INDEX('Retirement Calculator'!J:J,MATCH('Isaac 401k'!N5781,'Retirement Calculator'!A:A,0),0),0)</f>
        <v>0</v>
      </c>
      <c r="K5781" s="444">
        <f t="shared" ca="1" si="211"/>
        <v>-51325314305317.008</v>
      </c>
      <c r="L5781" s="444">
        <f t="shared" ca="1" si="212"/>
        <v>-1.23694007475814E+16</v>
      </c>
      <c r="M5781" s="460">
        <f t="shared" si="214"/>
        <v>0.05</v>
      </c>
      <c r="N5781" s="464">
        <f t="shared" si="215"/>
        <v>226999</v>
      </c>
    </row>
    <row r="5782" spans="7:14" ht="11.25" customHeight="1" x14ac:dyDescent="0.25">
      <c r="G5782" s="459"/>
      <c r="H5782" s="459">
        <v>5775</v>
      </c>
      <c r="I5782" s="444">
        <f t="shared" ca="1" si="213"/>
        <v>-1.23694007475814E+16</v>
      </c>
      <c r="J5782" s="444">
        <f t="array" ref="J5782">IFERROR(INDEX('Retirement Calculator'!J:J,MATCH('Isaac 401k'!N5782,'Retirement Calculator'!A:A,0),0),0)</f>
        <v>0</v>
      </c>
      <c r="K5782" s="444">
        <f t="shared" ca="1" si="211"/>
        <v>-51539169781589.164</v>
      </c>
      <c r="L5782" s="444">
        <f t="shared" ca="1" si="212"/>
        <v>-1.242093991736299E+16</v>
      </c>
      <c r="M5782" s="460">
        <f t="shared" si="214"/>
        <v>0.05</v>
      </c>
      <c r="N5782" s="464">
        <f t="shared" si="215"/>
        <v>227030</v>
      </c>
    </row>
    <row r="5783" spans="7:14" ht="11.25" customHeight="1" x14ac:dyDescent="0.25">
      <c r="G5783" s="459"/>
      <c r="H5783" s="459">
        <v>5776</v>
      </c>
      <c r="I5783" s="444">
        <f t="shared" ca="1" si="213"/>
        <v>-1.242093991736299E+16</v>
      </c>
      <c r="J5783" s="444">
        <f t="array" ref="J5783">IFERROR(INDEX('Retirement Calculator'!J:J,MATCH('Isaac 401k'!N5783,'Retirement Calculator'!A:A,0),0),0)</f>
        <v>0</v>
      </c>
      <c r="K5783" s="444">
        <f t="shared" ca="1" si="211"/>
        <v>-51753916322345.789</v>
      </c>
      <c r="L5783" s="444">
        <f t="shared" ca="1" si="212"/>
        <v>-1.2472693833685336E+16</v>
      </c>
      <c r="M5783" s="460">
        <f t="shared" si="214"/>
        <v>0.05</v>
      </c>
      <c r="N5783" s="464">
        <f t="shared" si="215"/>
        <v>227061</v>
      </c>
    </row>
    <row r="5784" spans="7:14" ht="11.25" customHeight="1" x14ac:dyDescent="0.25">
      <c r="G5784" s="459"/>
      <c r="H5784" s="459">
        <v>5777</v>
      </c>
      <c r="I5784" s="444">
        <f t="shared" ca="1" si="213"/>
        <v>-1.2472693833685336E+16</v>
      </c>
      <c r="J5784" s="444">
        <f t="array" ref="J5784">IFERROR(INDEX('Retirement Calculator'!J:J,MATCH('Isaac 401k'!N5784,'Retirement Calculator'!A:A,0),0),0)</f>
        <v>0</v>
      </c>
      <c r="K5784" s="444">
        <f t="shared" ca="1" si="211"/>
        <v>-51969557640355.563</v>
      </c>
      <c r="L5784" s="444">
        <f t="shared" ca="1" si="212"/>
        <v>-1.2524663391325692E+16</v>
      </c>
      <c r="M5784" s="460">
        <f t="shared" si="214"/>
        <v>0.05</v>
      </c>
      <c r="N5784" s="464">
        <f t="shared" si="215"/>
        <v>227091</v>
      </c>
    </row>
    <row r="5785" spans="7:14" ht="11.25" customHeight="1" x14ac:dyDescent="0.25">
      <c r="G5785" s="459"/>
      <c r="H5785" s="459">
        <v>5778</v>
      </c>
      <c r="I5785" s="444">
        <f t="shared" ca="1" si="213"/>
        <v>-1.2524663391325692E+16</v>
      </c>
      <c r="J5785" s="444">
        <f t="array" ref="J5785">IFERROR(INDEX('Retirement Calculator'!J:J,MATCH('Isaac 401k'!N5785,'Retirement Calculator'!A:A,0),0),0)</f>
        <v>0</v>
      </c>
      <c r="K5785" s="444">
        <f t="shared" ca="1" si="211"/>
        <v>-52186097463857.047</v>
      </c>
      <c r="L5785" s="444">
        <f t="shared" ca="1" si="212"/>
        <v>-1.257684948878955E+16</v>
      </c>
      <c r="M5785" s="460">
        <f t="shared" si="214"/>
        <v>0.05</v>
      </c>
      <c r="N5785" s="464">
        <f t="shared" si="215"/>
        <v>227122</v>
      </c>
    </row>
    <row r="5786" spans="7:14" ht="11.25" customHeight="1" x14ac:dyDescent="0.25">
      <c r="G5786" s="459"/>
      <c r="H5786" s="459">
        <v>5779</v>
      </c>
      <c r="I5786" s="444">
        <f t="shared" ca="1" si="213"/>
        <v>-1.257684948878955E+16</v>
      </c>
      <c r="J5786" s="444">
        <f t="array" ref="J5786">IFERROR(INDEX('Retirement Calculator'!J:J,MATCH('Isaac 401k'!N5786,'Retirement Calculator'!A:A,0),0),0)</f>
        <v>0</v>
      </c>
      <c r="K5786" s="444">
        <f t="shared" ca="1" si="211"/>
        <v>-52403539536623.125</v>
      </c>
      <c r="L5786" s="444">
        <f t="shared" ca="1" si="212"/>
        <v>-1.2629253028326174E+16</v>
      </c>
      <c r="M5786" s="460">
        <f t="shared" si="214"/>
        <v>0.05</v>
      </c>
      <c r="N5786" s="464">
        <f t="shared" si="215"/>
        <v>227152</v>
      </c>
    </row>
    <row r="5787" spans="7:14" ht="11.25" customHeight="1" x14ac:dyDescent="0.25">
      <c r="G5787" s="459"/>
      <c r="H5787" s="459">
        <v>5780</v>
      </c>
      <c r="I5787" s="444">
        <f t="shared" ca="1" si="213"/>
        <v>-1.2629253028326174E+16</v>
      </c>
      <c r="J5787" s="444">
        <f t="array" ref="J5787">IFERROR(INDEX('Retirement Calculator'!J:J,MATCH('Isaac 401k'!N5787,'Retirement Calculator'!A:A,0),0),0)</f>
        <v>0</v>
      </c>
      <c r="K5787" s="444">
        <f t="shared" ca="1" si="211"/>
        <v>-52621887618025.727</v>
      </c>
      <c r="L5787" s="444">
        <f t="shared" ca="1" si="212"/>
        <v>-1.26818749159442E+16</v>
      </c>
      <c r="M5787" s="460">
        <f t="shared" si="214"/>
        <v>0.05</v>
      </c>
      <c r="N5787" s="464">
        <f t="shared" si="215"/>
        <v>227183</v>
      </c>
    </row>
    <row r="5788" spans="7:14" ht="11.25" customHeight="1" x14ac:dyDescent="0.25">
      <c r="G5788" s="459"/>
      <c r="H5788" s="459">
        <v>5781</v>
      </c>
      <c r="I5788" s="444">
        <f t="shared" ca="1" si="213"/>
        <v>-1.26818749159442E+16</v>
      </c>
      <c r="J5788" s="444">
        <f t="array" ref="J5788">IFERROR(INDEX('Retirement Calculator'!J:J,MATCH('Isaac 401k'!N5788,'Retirement Calculator'!A:A,0),0),0)</f>
        <v>0</v>
      </c>
      <c r="K5788" s="444">
        <f t="shared" ca="1" si="211"/>
        <v>-52841145483100.836</v>
      </c>
      <c r="L5788" s="444">
        <f t="shared" ca="1" si="212"/>
        <v>-1.27347160614273E+16</v>
      </c>
      <c r="M5788" s="460">
        <f t="shared" si="214"/>
        <v>0.05</v>
      </c>
      <c r="N5788" s="464">
        <f t="shared" si="215"/>
        <v>227214</v>
      </c>
    </row>
    <row r="5789" spans="7:14" ht="11.25" customHeight="1" x14ac:dyDescent="0.25">
      <c r="G5789" s="459"/>
      <c r="H5789" s="459">
        <v>5782</v>
      </c>
      <c r="I5789" s="444">
        <f t="shared" ca="1" si="213"/>
        <v>-1.27347160614273E+16</v>
      </c>
      <c r="J5789" s="444">
        <f t="array" ref="J5789">IFERROR(INDEX('Retirement Calculator'!J:J,MATCH('Isaac 401k'!N5789,'Retirement Calculator'!A:A,0),0),0)</f>
        <v>0</v>
      </c>
      <c r="K5789" s="444">
        <f t="shared" ca="1" si="211"/>
        <v>-53061316922613.75</v>
      </c>
      <c r="L5789" s="444">
        <f t="shared" ca="1" si="212"/>
        <v>-1.2787777378349914E+16</v>
      </c>
      <c r="M5789" s="460">
        <f t="shared" si="214"/>
        <v>0.05</v>
      </c>
      <c r="N5789" s="464">
        <f t="shared" si="215"/>
        <v>227242</v>
      </c>
    </row>
    <row r="5790" spans="7:14" ht="11.25" customHeight="1" x14ac:dyDescent="0.25">
      <c r="G5790" s="459"/>
      <c r="H5790" s="459">
        <v>5783</v>
      </c>
      <c r="I5790" s="444">
        <f t="shared" ca="1" si="213"/>
        <v>-1.2787777378349914E+16</v>
      </c>
      <c r="J5790" s="444">
        <f t="array" ref="J5790">IFERROR(INDEX('Retirement Calculator'!J:J,MATCH('Isaac 401k'!N5790,'Retirement Calculator'!A:A,0),0),0)</f>
        <v>0</v>
      </c>
      <c r="K5790" s="444">
        <f t="shared" ca="1" si="211"/>
        <v>-53282405743124.641</v>
      </c>
      <c r="L5790" s="444">
        <f t="shared" ca="1" si="212"/>
        <v>-1.2841059784093038E+16</v>
      </c>
      <c r="M5790" s="460">
        <f t="shared" si="214"/>
        <v>0.05</v>
      </c>
      <c r="N5790" s="464">
        <f t="shared" si="215"/>
        <v>227273</v>
      </c>
    </row>
    <row r="5791" spans="7:14" ht="11.25" customHeight="1" x14ac:dyDescent="0.25">
      <c r="G5791" s="459"/>
      <c r="H5791" s="459">
        <v>5784</v>
      </c>
      <c r="I5791" s="444">
        <f t="shared" ca="1" si="213"/>
        <v>-1.2841059784093038E+16</v>
      </c>
      <c r="J5791" s="444">
        <f t="array" ref="J5791">IFERROR(INDEX('Retirement Calculator'!J:J,MATCH('Isaac 401k'!N5791,'Retirement Calculator'!A:A,0),0),0)</f>
        <v>0</v>
      </c>
      <c r="K5791" s="444">
        <f t="shared" ca="1" si="211"/>
        <v>-53504415767054.328</v>
      </c>
      <c r="L5791" s="444">
        <f t="shared" ca="1" si="212"/>
        <v>-1.2894564199860092E+16</v>
      </c>
      <c r="M5791" s="460">
        <f t="shared" si="214"/>
        <v>0.05</v>
      </c>
      <c r="N5791" s="464">
        <f t="shared" si="215"/>
        <v>227303</v>
      </c>
    </row>
    <row r="5792" spans="7:14" ht="11.25" customHeight="1" x14ac:dyDescent="0.25">
      <c r="G5792" s="459"/>
      <c r="H5792" s="459">
        <v>5785</v>
      </c>
      <c r="I5792" s="444">
        <f t="shared" ca="1" si="213"/>
        <v>-1.2894564199860092E+16</v>
      </c>
      <c r="J5792" s="444">
        <f t="array" ref="J5792">IFERROR(INDEX('Retirement Calculator'!J:J,MATCH('Isaac 401k'!N5792,'Retirement Calculator'!A:A,0),0),0)</f>
        <v>0</v>
      </c>
      <c r="K5792" s="444">
        <f t="shared" ca="1" si="211"/>
        <v>-53727350832750.383</v>
      </c>
      <c r="L5792" s="444">
        <f t="shared" ca="1" si="212"/>
        <v>-1.2948291550692842E+16</v>
      </c>
      <c r="M5792" s="460">
        <f t="shared" si="214"/>
        <v>0.05</v>
      </c>
      <c r="N5792" s="464">
        <f t="shared" si="215"/>
        <v>227334</v>
      </c>
    </row>
    <row r="5793" spans="7:14" ht="11.25" customHeight="1" x14ac:dyDescent="0.25">
      <c r="G5793" s="459"/>
      <c r="H5793" s="459">
        <v>5786</v>
      </c>
      <c r="I5793" s="444">
        <f t="shared" ca="1" si="213"/>
        <v>-1.2948291550692842E+16</v>
      </c>
      <c r="J5793" s="444">
        <f t="array" ref="J5793">IFERROR(INDEX('Retirement Calculator'!J:J,MATCH('Isaac 401k'!N5793,'Retirement Calculator'!A:A,0),0),0)</f>
        <v>0</v>
      </c>
      <c r="K5793" s="444">
        <f t="shared" ca="1" si="211"/>
        <v>-53951214794553.508</v>
      </c>
      <c r="L5793" s="444">
        <f t="shared" ca="1" si="212"/>
        <v>-1.3002242765487396E+16</v>
      </c>
      <c r="M5793" s="460">
        <f t="shared" si="214"/>
        <v>0.05</v>
      </c>
      <c r="N5793" s="464">
        <f t="shared" si="215"/>
        <v>227364</v>
      </c>
    </row>
    <row r="5794" spans="7:14" ht="11.25" customHeight="1" x14ac:dyDescent="0.25">
      <c r="G5794" s="459"/>
      <c r="H5794" s="459">
        <v>5787</v>
      </c>
      <c r="I5794" s="444">
        <f t="shared" ca="1" si="213"/>
        <v>-1.3002242765487396E+16</v>
      </c>
      <c r="J5794" s="444">
        <f t="array" ref="J5794">IFERROR(INDEX('Retirement Calculator'!J:J,MATCH('Isaac 401k'!N5794,'Retirement Calculator'!A:A,0),0),0)</f>
        <v>0</v>
      </c>
      <c r="K5794" s="444">
        <f t="shared" ca="1" si="211"/>
        <v>-54176011522864.148</v>
      </c>
      <c r="L5794" s="444">
        <f t="shared" ca="1" si="212"/>
        <v>-1.305641877701026E+16</v>
      </c>
      <c r="M5794" s="460">
        <f t="shared" si="214"/>
        <v>0.05</v>
      </c>
      <c r="N5794" s="464">
        <f t="shared" si="215"/>
        <v>227395</v>
      </c>
    </row>
    <row r="5795" spans="7:14" ht="11.25" customHeight="1" x14ac:dyDescent="0.25">
      <c r="G5795" s="459"/>
      <c r="H5795" s="459">
        <v>5788</v>
      </c>
      <c r="I5795" s="444">
        <f t="shared" ca="1" si="213"/>
        <v>-1.305641877701026E+16</v>
      </c>
      <c r="J5795" s="444">
        <f t="array" ref="J5795">IFERROR(INDEX('Retirement Calculator'!J:J,MATCH('Isaac 401k'!N5795,'Retirement Calculator'!A:A,0),0),0)</f>
        <v>0</v>
      </c>
      <c r="K5795" s="444">
        <f t="shared" ca="1" si="211"/>
        <v>-54401744904209.414</v>
      </c>
      <c r="L5795" s="444">
        <f t="shared" ca="1" si="212"/>
        <v>-1.311082052191447E+16</v>
      </c>
      <c r="M5795" s="460">
        <f t="shared" si="214"/>
        <v>0.05</v>
      </c>
      <c r="N5795" s="464">
        <f t="shared" si="215"/>
        <v>227426</v>
      </c>
    </row>
    <row r="5796" spans="7:14" ht="11.25" customHeight="1" x14ac:dyDescent="0.25">
      <c r="G5796" s="459"/>
      <c r="H5796" s="459">
        <v>5789</v>
      </c>
      <c r="I5796" s="444">
        <f t="shared" ca="1" si="213"/>
        <v>-1.311082052191447E+16</v>
      </c>
      <c r="J5796" s="444">
        <f t="array" ref="J5796">IFERROR(INDEX('Retirement Calculator'!J:J,MATCH('Isaac 401k'!N5796,'Retirement Calculator'!A:A,0),0),0)</f>
        <v>0</v>
      </c>
      <c r="K5796" s="444">
        <f t="shared" ca="1" si="211"/>
        <v>-54628418841310.289</v>
      </c>
      <c r="L5796" s="444">
        <f t="shared" ca="1" si="212"/>
        <v>-1.316544894075578E+16</v>
      </c>
      <c r="M5796" s="460">
        <f t="shared" si="214"/>
        <v>0.05</v>
      </c>
      <c r="N5796" s="464">
        <f t="shared" si="215"/>
        <v>227456</v>
      </c>
    </row>
    <row r="5797" spans="7:14" ht="11.25" customHeight="1" x14ac:dyDescent="0.25">
      <c r="G5797" s="459"/>
      <c r="H5797" s="459">
        <v>5790</v>
      </c>
      <c r="I5797" s="444">
        <f t="shared" ca="1" si="213"/>
        <v>-1.316544894075578E+16</v>
      </c>
      <c r="J5797" s="444">
        <f t="array" ref="J5797">IFERROR(INDEX('Retirement Calculator'!J:J,MATCH('Isaac 401k'!N5797,'Retirement Calculator'!A:A,0),0),0)</f>
        <v>0</v>
      </c>
      <c r="K5797" s="444">
        <f t="shared" ca="1" si="211"/>
        <v>-54856037253149.086</v>
      </c>
      <c r="L5797" s="444">
        <f t="shared" ca="1" si="212"/>
        <v>-1.322030497800893E+16</v>
      </c>
      <c r="M5797" s="460">
        <f t="shared" si="214"/>
        <v>0.05</v>
      </c>
      <c r="N5797" s="464">
        <f t="shared" si="215"/>
        <v>227487</v>
      </c>
    </row>
    <row r="5798" spans="7:14" ht="11.25" customHeight="1" x14ac:dyDescent="0.25">
      <c r="G5798" s="459"/>
      <c r="H5798" s="459">
        <v>5791</v>
      </c>
      <c r="I5798" s="444">
        <f t="shared" ca="1" si="213"/>
        <v>-1.322030497800893E+16</v>
      </c>
      <c r="J5798" s="444">
        <f t="array" ref="J5798">IFERROR(INDEX('Retirement Calculator'!J:J,MATCH('Isaac 401k'!N5798,'Retirement Calculator'!A:A,0),0),0)</f>
        <v>0</v>
      </c>
      <c r="K5798" s="444">
        <f t="shared" ca="1" si="211"/>
        <v>-55084604075037.211</v>
      </c>
      <c r="L5798" s="444">
        <f t="shared" ca="1" si="212"/>
        <v>-1.3275389582083968E+16</v>
      </c>
      <c r="M5798" s="460">
        <f t="shared" si="214"/>
        <v>0.05</v>
      </c>
      <c r="N5798" s="464">
        <f t="shared" si="215"/>
        <v>227517</v>
      </c>
    </row>
    <row r="5799" spans="7:14" ht="11.25" customHeight="1" x14ac:dyDescent="0.25">
      <c r="G5799" s="459"/>
      <c r="H5799" s="459">
        <v>5792</v>
      </c>
      <c r="I5799" s="444">
        <f t="shared" ca="1" si="213"/>
        <v>-1.3275389582083968E+16</v>
      </c>
      <c r="J5799" s="444">
        <f t="array" ref="J5799">IFERROR(INDEX('Retirement Calculator'!J:J,MATCH('Isaac 401k'!N5799,'Retirement Calculator'!A:A,0),0),0)</f>
        <v>0</v>
      </c>
      <c r="K5799" s="444">
        <f t="shared" ca="1" si="211"/>
        <v>-55314123258683.203</v>
      </c>
      <c r="L5799" s="444">
        <f t="shared" ca="1" si="212"/>
        <v>-1.3330703705342652E+16</v>
      </c>
      <c r="M5799" s="460">
        <f t="shared" si="214"/>
        <v>0.05</v>
      </c>
      <c r="N5799" s="464">
        <f t="shared" si="215"/>
        <v>227548</v>
      </c>
    </row>
    <row r="5800" spans="7:14" ht="11.25" customHeight="1" x14ac:dyDescent="0.25">
      <c r="G5800" s="459"/>
      <c r="H5800" s="459">
        <v>5793</v>
      </c>
      <c r="I5800" s="444">
        <f t="shared" ca="1" si="213"/>
        <v>-1.3330703705342652E+16</v>
      </c>
      <c r="J5800" s="444">
        <f t="array" ref="J5800">IFERROR(INDEX('Retirement Calculator'!J:J,MATCH('Isaac 401k'!N5800,'Retirement Calculator'!A:A,0),0),0)</f>
        <v>0</v>
      </c>
      <c r="K5800" s="444">
        <f t="shared" ca="1" si="211"/>
        <v>-55544598772261.047</v>
      </c>
      <c r="L5800" s="444">
        <f t="shared" ca="1" si="212"/>
        <v>-1.3386248304114914E+16</v>
      </c>
      <c r="M5800" s="460">
        <f t="shared" si="214"/>
        <v>0.05</v>
      </c>
      <c r="N5800" s="464">
        <f t="shared" si="215"/>
        <v>227579</v>
      </c>
    </row>
    <row r="5801" spans="7:14" ht="11.25" customHeight="1" x14ac:dyDescent="0.25">
      <c r="G5801" s="459"/>
      <c r="H5801" s="459">
        <v>5794</v>
      </c>
      <c r="I5801" s="444">
        <f t="shared" ca="1" si="213"/>
        <v>-1.3386248304114914E+16</v>
      </c>
      <c r="J5801" s="444">
        <f t="array" ref="J5801">IFERROR(INDEX('Retirement Calculator'!J:J,MATCH('Isaac 401k'!N5801,'Retirement Calculator'!A:A,0),0),0)</f>
        <v>0</v>
      </c>
      <c r="K5801" s="444">
        <f t="shared" ca="1" si="211"/>
        <v>-55776034600478.805</v>
      </c>
      <c r="L5801" s="444">
        <f t="shared" ca="1" si="212"/>
        <v>-1.3442024338715392E+16</v>
      </c>
      <c r="M5801" s="460">
        <f t="shared" si="214"/>
        <v>0.05</v>
      </c>
      <c r="N5801" s="464">
        <f t="shared" si="215"/>
        <v>227607</v>
      </c>
    </row>
    <row r="5802" spans="7:14" ht="11.25" customHeight="1" x14ac:dyDescent="0.25">
      <c r="G5802" s="459"/>
      <c r="H5802" s="459">
        <v>5795</v>
      </c>
      <c r="I5802" s="444">
        <f t="shared" ca="1" si="213"/>
        <v>-1.3442024338715392E+16</v>
      </c>
      <c r="J5802" s="444">
        <f t="array" ref="J5802">IFERROR(INDEX('Retirement Calculator'!J:J,MATCH('Isaac 401k'!N5802,'Retirement Calculator'!A:A,0),0),0)</f>
        <v>0</v>
      </c>
      <c r="K5802" s="444">
        <f t="shared" ca="1" si="211"/>
        <v>-56008434744647.469</v>
      </c>
      <c r="L5802" s="444">
        <f t="shared" ca="1" si="212"/>
        <v>-1.349803277346004E+16</v>
      </c>
      <c r="M5802" s="460">
        <f t="shared" si="214"/>
        <v>0.05</v>
      </c>
      <c r="N5802" s="464">
        <f t="shared" si="215"/>
        <v>227638</v>
      </c>
    </row>
    <row r="5803" spans="7:14" ht="11.25" customHeight="1" x14ac:dyDescent="0.25">
      <c r="G5803" s="459"/>
      <c r="H5803" s="459">
        <v>5796</v>
      </c>
      <c r="I5803" s="444">
        <f t="shared" ca="1" si="213"/>
        <v>-1.349803277346004E+16</v>
      </c>
      <c r="J5803" s="444">
        <f t="array" ref="J5803">IFERROR(INDEX('Retirement Calculator'!J:J,MATCH('Isaac 401k'!N5803,'Retirement Calculator'!A:A,0),0),0)</f>
        <v>0</v>
      </c>
      <c r="K5803" s="444">
        <f t="shared" ca="1" si="211"/>
        <v>-56241803222750.164</v>
      </c>
      <c r="L5803" s="444">
        <f t="shared" ca="1" si="212"/>
        <v>-1.355427457668279E+16</v>
      </c>
      <c r="M5803" s="460">
        <f t="shared" si="214"/>
        <v>0.05</v>
      </c>
      <c r="N5803" s="464">
        <f t="shared" si="215"/>
        <v>227668</v>
      </c>
    </row>
    <row r="5804" spans="7:14" ht="11.25" customHeight="1" x14ac:dyDescent="0.25">
      <c r="G5804" s="459"/>
      <c r="H5804" s="459">
        <v>5797</v>
      </c>
      <c r="I5804" s="444">
        <f t="shared" ca="1" si="213"/>
        <v>-1.355427457668279E+16</v>
      </c>
      <c r="J5804" s="444">
        <f t="array" ref="J5804">IFERROR(INDEX('Retirement Calculator'!J:J,MATCH('Isaac 401k'!N5804,'Retirement Calculator'!A:A,0),0),0)</f>
        <v>0</v>
      </c>
      <c r="K5804" s="444">
        <f t="shared" ca="1" si="211"/>
        <v>-56476144069511.625</v>
      </c>
      <c r="L5804" s="444">
        <f t="shared" ca="1" si="212"/>
        <v>-1.3610750720752302E+16</v>
      </c>
      <c r="M5804" s="460">
        <f t="shared" si="214"/>
        <v>0.05</v>
      </c>
      <c r="N5804" s="464">
        <f t="shared" si="215"/>
        <v>227699</v>
      </c>
    </row>
    <row r="5805" spans="7:14" ht="11.25" customHeight="1" x14ac:dyDescent="0.25">
      <c r="G5805" s="459"/>
      <c r="H5805" s="459">
        <v>5798</v>
      </c>
      <c r="I5805" s="444">
        <f t="shared" ca="1" si="213"/>
        <v>-1.3610750720752302E+16</v>
      </c>
      <c r="J5805" s="444">
        <f t="array" ref="J5805">IFERROR(INDEX('Retirement Calculator'!J:J,MATCH('Isaac 401k'!N5805,'Retirement Calculator'!A:A,0),0),0)</f>
        <v>0</v>
      </c>
      <c r="K5805" s="444">
        <f t="shared" ca="1" si="211"/>
        <v>-56711461336467.922</v>
      </c>
      <c r="L5805" s="444">
        <f t="shared" ca="1" si="212"/>
        <v>-1.366746218208877E+16</v>
      </c>
      <c r="M5805" s="460">
        <f t="shared" si="214"/>
        <v>0.05</v>
      </c>
      <c r="N5805" s="464">
        <f t="shared" si="215"/>
        <v>227729</v>
      </c>
    </row>
    <row r="5806" spans="7:14" ht="11.25" customHeight="1" x14ac:dyDescent="0.25">
      <c r="G5806" s="459"/>
      <c r="H5806" s="459">
        <v>5799</v>
      </c>
      <c r="I5806" s="444">
        <f t="shared" ca="1" si="213"/>
        <v>-1.366746218208877E+16</v>
      </c>
      <c r="J5806" s="444">
        <f t="array" ref="J5806">IFERROR(INDEX('Retirement Calculator'!J:J,MATCH('Isaac 401k'!N5806,'Retirement Calculator'!A:A,0),0),0)</f>
        <v>0</v>
      </c>
      <c r="K5806" s="444">
        <f t="shared" ca="1" si="211"/>
        <v>-56947759092036.539</v>
      </c>
      <c r="L5806" s="444">
        <f t="shared" ca="1" si="212"/>
        <v>-1.3724409941180806E+16</v>
      </c>
      <c r="M5806" s="460">
        <f t="shared" si="214"/>
        <v>0.05</v>
      </c>
      <c r="N5806" s="464">
        <f t="shared" si="215"/>
        <v>227760</v>
      </c>
    </row>
    <row r="5807" spans="7:14" ht="11.25" customHeight="1" x14ac:dyDescent="0.25">
      <c r="G5807" s="459"/>
      <c r="H5807" s="459">
        <v>5800</v>
      </c>
      <c r="I5807" s="444">
        <f t="shared" ca="1" si="213"/>
        <v>-1.3724409941180806E+16</v>
      </c>
      <c r="J5807" s="444">
        <f t="array" ref="J5807">IFERROR(INDEX('Retirement Calculator'!J:J,MATCH('Isaac 401k'!N5807,'Retirement Calculator'!A:A,0),0),0)</f>
        <v>0</v>
      </c>
      <c r="K5807" s="444">
        <f t="shared" ca="1" si="211"/>
        <v>-57185041421586.688</v>
      </c>
      <c r="L5807" s="444">
        <f t="shared" ca="1" si="212"/>
        <v>-1.3781594982602392E+16</v>
      </c>
      <c r="M5807" s="460">
        <f t="shared" si="214"/>
        <v>0.05</v>
      </c>
      <c r="N5807" s="464">
        <f t="shared" si="215"/>
        <v>227791</v>
      </c>
    </row>
    <row r="5808" spans="7:14" ht="11.25" customHeight="1" x14ac:dyDescent="0.25">
      <c r="G5808" s="459"/>
      <c r="H5808" s="459">
        <v>5801</v>
      </c>
      <c r="I5808" s="444">
        <f t="shared" ca="1" si="213"/>
        <v>-1.3781594982602392E+16</v>
      </c>
      <c r="J5808" s="444">
        <f t="array" ref="J5808">IFERROR(INDEX('Retirement Calculator'!J:J,MATCH('Isaac 401k'!N5808,'Retirement Calculator'!A:A,0),0),0)</f>
        <v>0</v>
      </c>
      <c r="K5808" s="444">
        <f t="shared" ca="1" si="211"/>
        <v>-57423312427509.969</v>
      </c>
      <c r="L5808" s="444">
        <f t="shared" ca="1" si="212"/>
        <v>-1.3839018295029902E+16</v>
      </c>
      <c r="M5808" s="460">
        <f t="shared" si="214"/>
        <v>0.05</v>
      </c>
      <c r="N5808" s="464">
        <f t="shared" si="215"/>
        <v>227821</v>
      </c>
    </row>
    <row r="5809" spans="7:14" ht="11.25" customHeight="1" x14ac:dyDescent="0.25">
      <c r="G5809" s="459"/>
      <c r="H5809" s="459">
        <v>5802</v>
      </c>
      <c r="I5809" s="444">
        <f t="shared" ca="1" si="213"/>
        <v>-1.3839018295029902E+16</v>
      </c>
      <c r="J5809" s="444">
        <f t="array" ref="J5809">IFERROR(INDEX('Retirement Calculator'!J:J,MATCH('Isaac 401k'!N5809,'Retirement Calculator'!A:A,0),0),0)</f>
        <v>0</v>
      </c>
      <c r="K5809" s="444">
        <f t="shared" ca="1" si="211"/>
        <v>-57662576229291.258</v>
      </c>
      <c r="L5809" s="444">
        <f t="shared" ca="1" si="212"/>
        <v>-1.3896680871259194E+16</v>
      </c>
      <c r="M5809" s="460">
        <f t="shared" si="214"/>
        <v>0.05</v>
      </c>
      <c r="N5809" s="464">
        <f t="shared" si="215"/>
        <v>227852</v>
      </c>
    </row>
    <row r="5810" spans="7:14" ht="11.25" customHeight="1" x14ac:dyDescent="0.25">
      <c r="G5810" s="459"/>
      <c r="H5810" s="459">
        <v>5803</v>
      </c>
      <c r="I5810" s="444">
        <f t="shared" ca="1" si="213"/>
        <v>-1.3896680871259194E+16</v>
      </c>
      <c r="J5810" s="444">
        <f t="array" ref="J5810">IFERROR(INDEX('Retirement Calculator'!J:J,MATCH('Isaac 401k'!N5810,'Retirement Calculator'!A:A,0),0),0)</f>
        <v>0</v>
      </c>
      <c r="K5810" s="444">
        <f t="shared" ca="1" si="211"/>
        <v>-57902836963579.977</v>
      </c>
      <c r="L5810" s="444">
        <f t="shared" ca="1" si="212"/>
        <v>-1.3954583708222774E+16</v>
      </c>
      <c r="M5810" s="460">
        <f t="shared" si="214"/>
        <v>0.05</v>
      </c>
      <c r="N5810" s="464">
        <f t="shared" si="215"/>
        <v>227882</v>
      </c>
    </row>
    <row r="5811" spans="7:14" ht="11.25" customHeight="1" x14ac:dyDescent="0.25">
      <c r="G5811" s="459"/>
      <c r="H5811" s="459">
        <v>5804</v>
      </c>
      <c r="I5811" s="444">
        <f t="shared" ca="1" si="213"/>
        <v>-1.3954583708222774E+16</v>
      </c>
      <c r="J5811" s="444">
        <f t="array" ref="J5811">IFERROR(INDEX('Retirement Calculator'!J:J,MATCH('Isaac 401k'!N5811,'Retirement Calculator'!A:A,0),0),0)</f>
        <v>0</v>
      </c>
      <c r="K5811" s="444">
        <f t="shared" ca="1" si="211"/>
        <v>-58144098784261.555</v>
      </c>
      <c r="L5811" s="444">
        <f t="shared" ca="1" si="212"/>
        <v>-1.4012727807007036E+16</v>
      </c>
      <c r="M5811" s="460">
        <f t="shared" si="214"/>
        <v>0.05</v>
      </c>
      <c r="N5811" s="464">
        <f t="shared" si="215"/>
        <v>227913</v>
      </c>
    </row>
    <row r="5812" spans="7:14" ht="11.25" customHeight="1" x14ac:dyDescent="0.25">
      <c r="G5812" s="459"/>
      <c r="H5812" s="459">
        <v>5805</v>
      </c>
      <c r="I5812" s="444">
        <f t="shared" ca="1" si="213"/>
        <v>-1.4012727807007036E+16</v>
      </c>
      <c r="J5812" s="444">
        <f t="array" ref="J5812">IFERROR(INDEX('Retirement Calculator'!J:J,MATCH('Isaac 401k'!N5812,'Retirement Calculator'!A:A,0),0),0)</f>
        <v>0</v>
      </c>
      <c r="K5812" s="444">
        <f t="shared" ca="1" si="211"/>
        <v>-58386365862529.313</v>
      </c>
      <c r="L5812" s="444">
        <f t="shared" ca="1" si="212"/>
        <v>-1.4071114172869566E+16</v>
      </c>
      <c r="M5812" s="460">
        <f t="shared" si="214"/>
        <v>0.05</v>
      </c>
      <c r="N5812" s="464">
        <f t="shared" si="215"/>
        <v>227944</v>
      </c>
    </row>
    <row r="5813" spans="7:14" ht="11.25" customHeight="1" x14ac:dyDescent="0.25">
      <c r="G5813" s="459"/>
      <c r="H5813" s="459">
        <v>5806</v>
      </c>
      <c r="I5813" s="444">
        <f t="shared" ca="1" si="213"/>
        <v>-1.4071114172869566E+16</v>
      </c>
      <c r="J5813" s="444">
        <f t="array" ref="J5813">IFERROR(INDEX('Retirement Calculator'!J:J,MATCH('Isaac 401k'!N5813,'Retirement Calculator'!A:A,0),0),0)</f>
        <v>0</v>
      </c>
      <c r="K5813" s="444">
        <f t="shared" ca="1" si="211"/>
        <v>-58629642386956.523</v>
      </c>
      <c r="L5813" s="444">
        <f t="shared" ca="1" si="212"/>
        <v>-1.4129743815256522E+16</v>
      </c>
      <c r="M5813" s="460">
        <f t="shared" si="214"/>
        <v>0.05</v>
      </c>
      <c r="N5813" s="464">
        <f t="shared" si="215"/>
        <v>227973</v>
      </c>
    </row>
    <row r="5814" spans="7:14" ht="11.25" customHeight="1" x14ac:dyDescent="0.25">
      <c r="G5814" s="459"/>
      <c r="H5814" s="459">
        <v>5807</v>
      </c>
      <c r="I5814" s="444">
        <f t="shared" ca="1" si="213"/>
        <v>-1.4129743815256522E+16</v>
      </c>
      <c r="J5814" s="444">
        <f t="array" ref="J5814">IFERROR(INDEX('Retirement Calculator'!J:J,MATCH('Isaac 401k'!N5814,'Retirement Calculator'!A:A,0),0),0)</f>
        <v>0</v>
      </c>
      <c r="K5814" s="444">
        <f t="shared" ca="1" si="211"/>
        <v>-58873932563568.836</v>
      </c>
      <c r="L5814" s="444">
        <f t="shared" ca="1" si="212"/>
        <v>-1.418861774782009E+16</v>
      </c>
      <c r="M5814" s="460">
        <f t="shared" si="214"/>
        <v>0.05</v>
      </c>
      <c r="N5814" s="464">
        <f t="shared" si="215"/>
        <v>228004</v>
      </c>
    </row>
    <row r="5815" spans="7:14" ht="11.25" customHeight="1" x14ac:dyDescent="0.25">
      <c r="G5815" s="459"/>
      <c r="H5815" s="459">
        <v>5808</v>
      </c>
      <c r="I5815" s="444">
        <f t="shared" ca="1" si="213"/>
        <v>-1.418861774782009E+16</v>
      </c>
      <c r="J5815" s="444">
        <f t="array" ref="J5815">IFERROR(INDEX('Retirement Calculator'!J:J,MATCH('Isaac 401k'!N5815,'Retirement Calculator'!A:A,0),0),0)</f>
        <v>0</v>
      </c>
      <c r="K5815" s="444">
        <f t="shared" ca="1" si="211"/>
        <v>-59119240615917.039</v>
      </c>
      <c r="L5815" s="444">
        <f t="shared" ca="1" si="212"/>
        <v>-1.4247736988436008E+16</v>
      </c>
      <c r="M5815" s="460">
        <f t="shared" si="214"/>
        <v>0.05</v>
      </c>
      <c r="N5815" s="464">
        <f t="shared" si="215"/>
        <v>228034</v>
      </c>
    </row>
    <row r="5816" spans="7:14" ht="11.25" customHeight="1" x14ac:dyDescent="0.25">
      <c r="G5816" s="459"/>
      <c r="H5816" s="459">
        <v>5809</v>
      </c>
      <c r="I5816" s="444">
        <f t="shared" ca="1" si="213"/>
        <v>-1.4247736988436008E+16</v>
      </c>
      <c r="J5816" s="444">
        <f t="array" ref="J5816">IFERROR(INDEX('Retirement Calculator'!J:J,MATCH('Isaac 401k'!N5816,'Retirement Calculator'!A:A,0),0),0)</f>
        <v>0</v>
      </c>
      <c r="K5816" s="444">
        <f t="shared" ca="1" si="211"/>
        <v>-59365570785150.031</v>
      </c>
      <c r="L5816" s="444">
        <f t="shared" ca="1" si="212"/>
        <v>-1.4307102559221158E+16</v>
      </c>
      <c r="M5816" s="460">
        <f t="shared" si="214"/>
        <v>0.05</v>
      </c>
      <c r="N5816" s="464">
        <f t="shared" si="215"/>
        <v>228065</v>
      </c>
    </row>
    <row r="5817" spans="7:14" ht="11.25" customHeight="1" x14ac:dyDescent="0.25">
      <c r="G5817" s="459"/>
      <c r="H5817" s="459">
        <v>5810</v>
      </c>
      <c r="I5817" s="444">
        <f t="shared" ca="1" si="213"/>
        <v>-1.4307102559221158E+16</v>
      </c>
      <c r="J5817" s="444">
        <f t="array" ref="J5817">IFERROR(INDEX('Retirement Calculator'!J:J,MATCH('Isaac 401k'!N5817,'Retirement Calculator'!A:A,0),0),0)</f>
        <v>0</v>
      </c>
      <c r="K5817" s="444">
        <f t="shared" ca="1" si="211"/>
        <v>-59612927330088.156</v>
      </c>
      <c r="L5817" s="444">
        <f t="shared" ca="1" si="212"/>
        <v>-1.4366715486551246E+16</v>
      </c>
      <c r="M5817" s="460">
        <f t="shared" si="214"/>
        <v>0.05</v>
      </c>
      <c r="N5817" s="464">
        <f t="shared" si="215"/>
        <v>228095</v>
      </c>
    </row>
    <row r="5818" spans="7:14" ht="11.25" customHeight="1" x14ac:dyDescent="0.25">
      <c r="G5818" s="459"/>
      <c r="H5818" s="459">
        <v>5811</v>
      </c>
      <c r="I5818" s="444">
        <f t="shared" ca="1" si="213"/>
        <v>-1.4366715486551246E+16</v>
      </c>
      <c r="J5818" s="444">
        <f t="array" ref="J5818">IFERROR(INDEX('Retirement Calculator'!J:J,MATCH('Isaac 401k'!N5818,'Retirement Calculator'!A:A,0),0),0)</f>
        <v>0</v>
      </c>
      <c r="K5818" s="444">
        <f t="shared" ca="1" si="211"/>
        <v>-59861314527296.859</v>
      </c>
      <c r="L5818" s="444">
        <f t="shared" ca="1" si="212"/>
        <v>-1.4426576801078542E+16</v>
      </c>
      <c r="M5818" s="460">
        <f t="shared" si="214"/>
        <v>0.05</v>
      </c>
      <c r="N5818" s="464">
        <f t="shared" si="215"/>
        <v>228126</v>
      </c>
    </row>
    <row r="5819" spans="7:14" ht="11.25" customHeight="1" x14ac:dyDescent="0.25">
      <c r="G5819" s="459"/>
      <c r="H5819" s="459">
        <v>5812</v>
      </c>
      <c r="I5819" s="444">
        <f t="shared" ca="1" si="213"/>
        <v>-1.4426576801078542E+16</v>
      </c>
      <c r="J5819" s="444">
        <f t="array" ref="J5819">IFERROR(INDEX('Retirement Calculator'!J:J,MATCH('Isaac 401k'!N5819,'Retirement Calculator'!A:A,0),0),0)</f>
        <v>0</v>
      </c>
      <c r="K5819" s="444">
        <f t="shared" ca="1" si="211"/>
        <v>-60110736671160.594</v>
      </c>
      <c r="L5819" s="444">
        <f t="shared" ca="1" si="212"/>
        <v>-1.4486687537749702E+16</v>
      </c>
      <c r="M5819" s="460">
        <f t="shared" si="214"/>
        <v>0.05</v>
      </c>
      <c r="N5819" s="464">
        <f t="shared" si="215"/>
        <v>228157</v>
      </c>
    </row>
    <row r="5820" spans="7:14" ht="11.25" customHeight="1" x14ac:dyDescent="0.25">
      <c r="G5820" s="459"/>
      <c r="H5820" s="459">
        <v>5813</v>
      </c>
      <c r="I5820" s="444">
        <f t="shared" ca="1" si="213"/>
        <v>-1.4486687537749702E+16</v>
      </c>
      <c r="J5820" s="444">
        <f t="array" ref="J5820">IFERROR(INDEX('Retirement Calculator'!J:J,MATCH('Isaac 401k'!N5820,'Retirement Calculator'!A:A,0),0),0)</f>
        <v>0</v>
      </c>
      <c r="K5820" s="444">
        <f t="shared" ca="1" si="211"/>
        <v>-60361198073957.094</v>
      </c>
      <c r="L5820" s="444">
        <f t="shared" ca="1" si="212"/>
        <v>-1.454704873582366E+16</v>
      </c>
      <c r="M5820" s="460">
        <f t="shared" si="214"/>
        <v>0.05</v>
      </c>
      <c r="N5820" s="464">
        <f t="shared" si="215"/>
        <v>228187</v>
      </c>
    </row>
    <row r="5821" spans="7:14" ht="11.25" customHeight="1" x14ac:dyDescent="0.25">
      <c r="G5821" s="459"/>
      <c r="H5821" s="459">
        <v>5814</v>
      </c>
      <c r="I5821" s="444">
        <f t="shared" ca="1" si="213"/>
        <v>-1.454704873582366E+16</v>
      </c>
      <c r="J5821" s="444">
        <f t="array" ref="J5821">IFERROR(INDEX('Retirement Calculator'!J:J,MATCH('Isaac 401k'!N5821,'Retirement Calculator'!A:A,0),0),0)</f>
        <v>0</v>
      </c>
      <c r="K5821" s="444">
        <f t="shared" ca="1" si="211"/>
        <v>-60612703065931.914</v>
      </c>
      <c r="L5821" s="444">
        <f t="shared" ca="1" si="212"/>
        <v>-1.4607661438889592E+16</v>
      </c>
      <c r="M5821" s="460">
        <f t="shared" si="214"/>
        <v>0.05</v>
      </c>
      <c r="N5821" s="464">
        <f t="shared" si="215"/>
        <v>228218</v>
      </c>
    </row>
    <row r="5822" spans="7:14" ht="11.25" customHeight="1" x14ac:dyDescent="0.25">
      <c r="G5822" s="459"/>
      <c r="H5822" s="459">
        <v>5815</v>
      </c>
      <c r="I5822" s="444">
        <f t="shared" ca="1" si="213"/>
        <v>-1.4607661438889592E+16</v>
      </c>
      <c r="J5822" s="444">
        <f t="array" ref="J5822">IFERROR(INDEX('Retirement Calculator'!J:J,MATCH('Isaac 401k'!N5822,'Retirement Calculator'!A:A,0),0),0)</f>
        <v>0</v>
      </c>
      <c r="K5822" s="444">
        <f t="shared" ca="1" si="211"/>
        <v>-60865255995373.305</v>
      </c>
      <c r="L5822" s="444">
        <f t="shared" ca="1" si="212"/>
        <v>-1.4668526694884966E+16</v>
      </c>
      <c r="M5822" s="460">
        <f t="shared" si="214"/>
        <v>0.05</v>
      </c>
      <c r="N5822" s="464">
        <f t="shared" si="215"/>
        <v>228248</v>
      </c>
    </row>
    <row r="5823" spans="7:14" ht="11.25" customHeight="1" x14ac:dyDescent="0.25">
      <c r="G5823" s="459"/>
      <c r="H5823" s="459">
        <v>5816</v>
      </c>
      <c r="I5823" s="444">
        <f t="shared" ca="1" si="213"/>
        <v>-1.4668526694884966E+16</v>
      </c>
      <c r="J5823" s="444">
        <f t="array" ref="J5823">IFERROR(INDEX('Retirement Calculator'!J:J,MATCH('Isaac 401k'!N5823,'Retirement Calculator'!A:A,0),0),0)</f>
        <v>0</v>
      </c>
      <c r="K5823" s="444">
        <f t="shared" ca="1" si="211"/>
        <v>-61118861228687.352</v>
      </c>
      <c r="L5823" s="444">
        <f t="shared" ca="1" si="212"/>
        <v>-1.4729645556113654E+16</v>
      </c>
      <c r="M5823" s="460">
        <f t="shared" si="214"/>
        <v>0.05</v>
      </c>
      <c r="N5823" s="464">
        <f t="shared" si="215"/>
        <v>228279</v>
      </c>
    </row>
    <row r="5824" spans="7:14" ht="11.25" customHeight="1" x14ac:dyDescent="0.25">
      <c r="G5824" s="459"/>
      <c r="H5824" s="459">
        <v>5817</v>
      </c>
      <c r="I5824" s="444">
        <f t="shared" ca="1" si="213"/>
        <v>-1.4729645556113654E+16</v>
      </c>
      <c r="J5824" s="444">
        <f t="array" ref="J5824">IFERROR(INDEX('Retirement Calculator'!J:J,MATCH('Isaac 401k'!N5824,'Retirement Calculator'!A:A,0),0),0)</f>
        <v>0</v>
      </c>
      <c r="K5824" s="444">
        <f t="shared" ca="1" si="211"/>
        <v>-61373523150473.555</v>
      </c>
      <c r="L5824" s="444">
        <f t="shared" ca="1" si="212"/>
        <v>-1.4791019079264128E+16</v>
      </c>
      <c r="M5824" s="460">
        <f t="shared" si="214"/>
        <v>0.05</v>
      </c>
      <c r="N5824" s="464">
        <f t="shared" si="215"/>
        <v>228310</v>
      </c>
    </row>
    <row r="5825" spans="7:14" ht="11.25" customHeight="1" x14ac:dyDescent="0.25">
      <c r="G5825" s="459"/>
      <c r="H5825" s="459">
        <v>5818</v>
      </c>
      <c r="I5825" s="444">
        <f t="shared" ca="1" si="213"/>
        <v>-1.4791019079264128E+16</v>
      </c>
      <c r="J5825" s="444">
        <f t="array" ref="J5825">IFERROR(INDEX('Retirement Calculator'!J:J,MATCH('Isaac 401k'!N5825,'Retirement Calculator'!A:A,0),0),0)</f>
        <v>0</v>
      </c>
      <c r="K5825" s="444">
        <f t="shared" ca="1" si="211"/>
        <v>-61629246163600.523</v>
      </c>
      <c r="L5825" s="444">
        <f t="shared" ca="1" si="212"/>
        <v>-1.4852648325427728E+16</v>
      </c>
      <c r="M5825" s="460">
        <f t="shared" si="214"/>
        <v>0.05</v>
      </c>
      <c r="N5825" s="464">
        <f t="shared" si="215"/>
        <v>228338</v>
      </c>
    </row>
    <row r="5826" spans="7:14" ht="11.25" customHeight="1" x14ac:dyDescent="0.25">
      <c r="G5826" s="459"/>
      <c r="H5826" s="459">
        <v>5819</v>
      </c>
      <c r="I5826" s="444">
        <f t="shared" ca="1" si="213"/>
        <v>-1.4852648325427728E+16</v>
      </c>
      <c r="J5826" s="444">
        <f t="array" ref="J5826">IFERROR(INDEX('Retirement Calculator'!J:J,MATCH('Isaac 401k'!N5826,'Retirement Calculator'!A:A,0),0),0)</f>
        <v>0</v>
      </c>
      <c r="K5826" s="444">
        <f t="shared" ca="1" si="211"/>
        <v>-61886034689282.195</v>
      </c>
      <c r="L5826" s="444">
        <f t="shared" ca="1" si="212"/>
        <v>-1.491453436011701E+16</v>
      </c>
      <c r="M5826" s="460">
        <f t="shared" si="214"/>
        <v>0.05</v>
      </c>
      <c r="N5826" s="464">
        <f t="shared" si="215"/>
        <v>228369</v>
      </c>
    </row>
    <row r="5827" spans="7:14" ht="11.25" customHeight="1" x14ac:dyDescent="0.25">
      <c r="G5827" s="459"/>
      <c r="H5827" s="459">
        <v>5820</v>
      </c>
      <c r="I5827" s="444">
        <f t="shared" ca="1" si="213"/>
        <v>-1.491453436011701E+16</v>
      </c>
      <c r="J5827" s="444">
        <f t="array" ref="J5827">IFERROR(INDEX('Retirement Calculator'!J:J,MATCH('Isaac 401k'!N5827,'Retirement Calculator'!A:A,0),0),0)</f>
        <v>0</v>
      </c>
      <c r="K5827" s="444">
        <f t="shared" ca="1" si="211"/>
        <v>-62143893167154.211</v>
      </c>
      <c r="L5827" s="444">
        <f t="shared" ca="1" si="212"/>
        <v>-1.4976678253284164E+16</v>
      </c>
      <c r="M5827" s="460">
        <f t="shared" si="214"/>
        <v>0.05</v>
      </c>
      <c r="N5827" s="464">
        <f t="shared" si="215"/>
        <v>228399</v>
      </c>
    </row>
    <row r="5828" spans="7:14" ht="11.25" customHeight="1" x14ac:dyDescent="0.25">
      <c r="G5828" s="459"/>
      <c r="H5828" s="459">
        <v>5821</v>
      </c>
      <c r="I5828" s="444">
        <f t="shared" ca="1" si="213"/>
        <v>-1.4976678253284164E+16</v>
      </c>
      <c r="J5828" s="444">
        <f t="array" ref="J5828">IFERROR(INDEX('Retirement Calculator'!J:J,MATCH('Isaac 401k'!N5828,'Retirement Calculator'!A:A,0),0),0)</f>
        <v>0</v>
      </c>
      <c r="K5828" s="444">
        <f t="shared" ca="1" si="211"/>
        <v>-62402826055350.68</v>
      </c>
      <c r="L5828" s="444">
        <f t="shared" ca="1" si="212"/>
        <v>-1.5039081079339514E+16</v>
      </c>
      <c r="M5828" s="460">
        <f t="shared" si="214"/>
        <v>0.05</v>
      </c>
      <c r="N5828" s="464">
        <f t="shared" si="215"/>
        <v>228430</v>
      </c>
    </row>
    <row r="5829" spans="7:14" ht="11.25" customHeight="1" x14ac:dyDescent="0.25">
      <c r="G5829" s="459"/>
      <c r="H5829" s="459">
        <v>5822</v>
      </c>
      <c r="I5829" s="444">
        <f t="shared" ca="1" si="213"/>
        <v>-1.5039081079339514E+16</v>
      </c>
      <c r="J5829" s="444">
        <f t="array" ref="J5829">IFERROR(INDEX('Retirement Calculator'!J:J,MATCH('Isaac 401k'!N5829,'Retirement Calculator'!A:A,0),0),0)</f>
        <v>0</v>
      </c>
      <c r="K5829" s="444">
        <f t="shared" ca="1" si="211"/>
        <v>-62662837830581.313</v>
      </c>
      <c r="L5829" s="444">
        <f t="shared" ca="1" si="212"/>
        <v>-1.5101743917170096E+16</v>
      </c>
      <c r="M5829" s="460">
        <f t="shared" si="214"/>
        <v>0.05</v>
      </c>
      <c r="N5829" s="464">
        <f t="shared" si="215"/>
        <v>228460</v>
      </c>
    </row>
    <row r="5830" spans="7:14" ht="11.25" customHeight="1" x14ac:dyDescent="0.25">
      <c r="G5830" s="459"/>
      <c r="H5830" s="459">
        <v>5823</v>
      </c>
      <c r="I5830" s="444">
        <f t="shared" ca="1" si="213"/>
        <v>-1.5101743917170096E+16</v>
      </c>
      <c r="J5830" s="444">
        <f t="array" ref="J5830">IFERROR(INDEX('Retirement Calculator'!J:J,MATCH('Isaac 401k'!N5830,'Retirement Calculator'!A:A,0),0),0)</f>
        <v>0</v>
      </c>
      <c r="K5830" s="444">
        <f t="shared" ca="1" si="211"/>
        <v>-62923932988208.742</v>
      </c>
      <c r="L5830" s="444">
        <f t="shared" ca="1" si="212"/>
        <v>-1.5164667850158304E+16</v>
      </c>
      <c r="M5830" s="460">
        <f t="shared" si="214"/>
        <v>0.05</v>
      </c>
      <c r="N5830" s="464">
        <f t="shared" si="215"/>
        <v>228491</v>
      </c>
    </row>
    <row r="5831" spans="7:14" ht="11.25" customHeight="1" x14ac:dyDescent="0.25">
      <c r="G5831" s="459"/>
      <c r="H5831" s="459">
        <v>5824</v>
      </c>
      <c r="I5831" s="444">
        <f t="shared" ca="1" si="213"/>
        <v>-1.5164667850158304E+16</v>
      </c>
      <c r="J5831" s="444">
        <f t="array" ref="J5831">IFERROR(INDEX('Retirement Calculator'!J:J,MATCH('Isaac 401k'!N5831,'Retirement Calculator'!A:A,0),0),0)</f>
        <v>0</v>
      </c>
      <c r="K5831" s="444">
        <f t="shared" ca="1" si="211"/>
        <v>-63186116042326.266</v>
      </c>
      <c r="L5831" s="444">
        <f t="shared" ca="1" si="212"/>
        <v>-1.522785396620063E+16</v>
      </c>
      <c r="M5831" s="460">
        <f t="shared" si="214"/>
        <v>0.05</v>
      </c>
      <c r="N5831" s="464">
        <f t="shared" si="215"/>
        <v>228522</v>
      </c>
    </row>
    <row r="5832" spans="7:14" ht="11.25" customHeight="1" x14ac:dyDescent="0.25">
      <c r="G5832" s="459"/>
      <c r="H5832" s="459">
        <v>5825</v>
      </c>
      <c r="I5832" s="444">
        <f t="shared" ca="1" si="213"/>
        <v>-1.522785396620063E+16</v>
      </c>
      <c r="J5832" s="444">
        <f t="array" ref="J5832">IFERROR(INDEX('Retirement Calculator'!J:J,MATCH('Isaac 401k'!N5832,'Retirement Calculator'!A:A,0),0),0)</f>
        <v>0</v>
      </c>
      <c r="K5832" s="444">
        <f t="shared" ca="1" si="211"/>
        <v>-63449391525835.961</v>
      </c>
      <c r="L5832" s="444">
        <f t="shared" ca="1" si="212"/>
        <v>-1.5291303357726466E+16</v>
      </c>
      <c r="M5832" s="460">
        <f t="shared" si="214"/>
        <v>0.05</v>
      </c>
      <c r="N5832" s="464">
        <f t="shared" si="215"/>
        <v>228552</v>
      </c>
    </row>
    <row r="5833" spans="7:14" ht="11.25" customHeight="1" x14ac:dyDescent="0.25">
      <c r="G5833" s="459"/>
      <c r="H5833" s="459">
        <v>5826</v>
      </c>
      <c r="I5833" s="444">
        <f t="shared" ca="1" si="213"/>
        <v>-1.5291303357726466E+16</v>
      </c>
      <c r="J5833" s="444">
        <f t="array" ref="J5833">IFERROR(INDEX('Retirement Calculator'!J:J,MATCH('Isaac 401k'!N5833,'Retirement Calculator'!A:A,0),0),0)</f>
        <v>0</v>
      </c>
      <c r="K5833" s="444">
        <f t="shared" ca="1" si="211"/>
        <v>-63713763990526.938</v>
      </c>
      <c r="L5833" s="444">
        <f t="shared" ca="1" si="212"/>
        <v>-1.5355017121716992E+16</v>
      </c>
      <c r="M5833" s="460">
        <f t="shared" si="214"/>
        <v>0.05</v>
      </c>
      <c r="N5833" s="464">
        <f t="shared" si="215"/>
        <v>228583</v>
      </c>
    </row>
    <row r="5834" spans="7:14" ht="11.25" customHeight="1" x14ac:dyDescent="0.25">
      <c r="G5834" s="459"/>
      <c r="H5834" s="459">
        <v>5827</v>
      </c>
      <c r="I5834" s="444">
        <f t="shared" ca="1" si="213"/>
        <v>-1.5355017121716992E+16</v>
      </c>
      <c r="J5834" s="444">
        <f t="array" ref="J5834">IFERROR(INDEX('Retirement Calculator'!J:J,MATCH('Isaac 401k'!N5834,'Retirement Calculator'!A:A,0),0),0)</f>
        <v>0</v>
      </c>
      <c r="K5834" s="444">
        <f t="shared" ca="1" si="211"/>
        <v>-63979238007154.133</v>
      </c>
      <c r="L5834" s="444">
        <f t="shared" ca="1" si="212"/>
        <v>-1.5418996359724146E+16</v>
      </c>
      <c r="M5834" s="460">
        <f t="shared" si="214"/>
        <v>0.05</v>
      </c>
      <c r="N5834" s="464">
        <f t="shared" si="215"/>
        <v>228613</v>
      </c>
    </row>
    <row r="5835" spans="7:14" ht="11.25" customHeight="1" x14ac:dyDescent="0.25">
      <c r="G5835" s="459"/>
      <c r="H5835" s="459">
        <v>5828</v>
      </c>
      <c r="I5835" s="444">
        <f t="shared" ca="1" si="213"/>
        <v>-1.5418996359724146E+16</v>
      </c>
      <c r="J5835" s="444">
        <f t="array" ref="J5835">IFERROR(INDEX('Retirement Calculator'!J:J,MATCH('Isaac 401k'!N5835,'Retirement Calculator'!A:A,0),0),0)</f>
        <v>0</v>
      </c>
      <c r="K5835" s="444">
        <f t="shared" ca="1" si="211"/>
        <v>-64245818165517.273</v>
      </c>
      <c r="L5835" s="444">
        <f t="shared" ca="1" si="212"/>
        <v>-1.5483242177889664E+16</v>
      </c>
      <c r="M5835" s="460">
        <f t="shared" si="214"/>
        <v>0.05</v>
      </c>
      <c r="N5835" s="464">
        <f t="shared" si="215"/>
        <v>228644</v>
      </c>
    </row>
    <row r="5836" spans="7:14" ht="11.25" customHeight="1" x14ac:dyDescent="0.25">
      <c r="G5836" s="459"/>
      <c r="H5836" s="459">
        <v>5829</v>
      </c>
      <c r="I5836" s="444">
        <f t="shared" ca="1" si="213"/>
        <v>-1.5483242177889664E+16</v>
      </c>
      <c r="J5836" s="444">
        <f t="array" ref="J5836">IFERROR(INDEX('Retirement Calculator'!J:J,MATCH('Isaac 401k'!N5836,'Retirement Calculator'!A:A,0),0),0)</f>
        <v>0</v>
      </c>
      <c r="K5836" s="444">
        <f t="shared" ca="1" si="211"/>
        <v>-64513509074540.266</v>
      </c>
      <c r="L5836" s="444">
        <f t="shared" ca="1" si="212"/>
        <v>-1.5547755686964204E+16</v>
      </c>
      <c r="M5836" s="460">
        <f t="shared" si="214"/>
        <v>0.05</v>
      </c>
      <c r="N5836" s="464">
        <f t="shared" si="215"/>
        <v>228675</v>
      </c>
    </row>
    <row r="5837" spans="7:14" ht="11.25" customHeight="1" x14ac:dyDescent="0.25">
      <c r="G5837" s="459"/>
      <c r="H5837" s="459">
        <v>5830</v>
      </c>
      <c r="I5837" s="444">
        <f t="shared" ca="1" si="213"/>
        <v>-1.5547755686964204E+16</v>
      </c>
      <c r="J5837" s="444">
        <f t="array" ref="J5837">IFERROR(INDEX('Retirement Calculator'!J:J,MATCH('Isaac 401k'!N5837,'Retirement Calculator'!A:A,0),0),0)</f>
        <v>0</v>
      </c>
      <c r="K5837" s="444">
        <f t="shared" ca="1" si="211"/>
        <v>-64782315362350.852</v>
      </c>
      <c r="L5837" s="444">
        <f t="shared" ca="1" si="212"/>
        <v>-1.5612538002326554E+16</v>
      </c>
      <c r="M5837" s="460">
        <f t="shared" si="214"/>
        <v>0.05</v>
      </c>
      <c r="N5837" s="464">
        <f t="shared" si="215"/>
        <v>228703</v>
      </c>
    </row>
    <row r="5838" spans="7:14" ht="11.25" customHeight="1" x14ac:dyDescent="0.25">
      <c r="G5838" s="459"/>
      <c r="H5838" s="459">
        <v>5831</v>
      </c>
      <c r="I5838" s="444">
        <f t="shared" ca="1" si="213"/>
        <v>-1.5612538002326554E+16</v>
      </c>
      <c r="J5838" s="444">
        <f t="array" ref="J5838">IFERROR(INDEX('Retirement Calculator'!J:J,MATCH('Isaac 401k'!N5838,'Retirement Calculator'!A:A,0),0),0)</f>
        <v>0</v>
      </c>
      <c r="K5838" s="444">
        <f t="shared" ca="1" si="211"/>
        <v>-65052241676360.633</v>
      </c>
      <c r="L5838" s="444">
        <f t="shared" ca="1" si="212"/>
        <v>-1.5677590244002914E+16</v>
      </c>
      <c r="M5838" s="460">
        <f t="shared" si="214"/>
        <v>0.05</v>
      </c>
      <c r="N5838" s="464">
        <f t="shared" si="215"/>
        <v>228734</v>
      </c>
    </row>
    <row r="5839" spans="7:14" ht="11.25" customHeight="1" x14ac:dyDescent="0.25">
      <c r="G5839" s="459"/>
      <c r="H5839" s="459">
        <v>5832</v>
      </c>
      <c r="I5839" s="444">
        <f t="shared" ca="1" si="213"/>
        <v>-1.5677590244002914E+16</v>
      </c>
      <c r="J5839" s="444">
        <f t="array" ref="J5839">IFERROR(INDEX('Retirement Calculator'!J:J,MATCH('Isaac 401k'!N5839,'Retirement Calculator'!A:A,0),0),0)</f>
        <v>0</v>
      </c>
      <c r="K5839" s="444">
        <f t="shared" ca="1" si="211"/>
        <v>-65323292683345.477</v>
      </c>
      <c r="L5839" s="444">
        <f t="shared" ca="1" si="212"/>
        <v>-1.574291353668626E+16</v>
      </c>
      <c r="M5839" s="460">
        <f t="shared" si="214"/>
        <v>0.05</v>
      </c>
      <c r="N5839" s="464">
        <f t="shared" si="215"/>
        <v>228764</v>
      </c>
    </row>
    <row r="5840" spans="7:14" ht="11.25" customHeight="1" x14ac:dyDescent="0.25">
      <c r="G5840" s="459"/>
      <c r="H5840" s="459">
        <v>5833</v>
      </c>
      <c r="I5840" s="444">
        <f t="shared" ca="1" si="213"/>
        <v>-1.574291353668626E+16</v>
      </c>
      <c r="J5840" s="444">
        <f t="array" ref="J5840">IFERROR(INDEX('Retirement Calculator'!J:J,MATCH('Isaac 401k'!N5840,'Retirement Calculator'!A:A,0),0),0)</f>
        <v>0</v>
      </c>
      <c r="K5840" s="444">
        <f t="shared" ca="1" si="211"/>
        <v>-65595473069526.086</v>
      </c>
      <c r="L5840" s="444">
        <f t="shared" ca="1" si="212"/>
        <v>-1.5808509009755786E+16</v>
      </c>
      <c r="M5840" s="460">
        <f t="shared" si="214"/>
        <v>0.05</v>
      </c>
      <c r="N5840" s="464">
        <f t="shared" si="215"/>
        <v>228795</v>
      </c>
    </row>
    <row r="5841" spans="7:14" ht="11.25" customHeight="1" x14ac:dyDescent="0.25">
      <c r="G5841" s="459"/>
      <c r="H5841" s="459">
        <v>5834</v>
      </c>
      <c r="I5841" s="444">
        <f t="shared" ca="1" si="213"/>
        <v>-1.5808509009755786E+16</v>
      </c>
      <c r="J5841" s="444">
        <f t="array" ref="J5841">IFERROR(INDEX('Retirement Calculator'!J:J,MATCH('Isaac 401k'!N5841,'Retirement Calculator'!A:A,0),0),0)</f>
        <v>0</v>
      </c>
      <c r="K5841" s="444">
        <f t="shared" ca="1" si="211"/>
        <v>-65868787540649.109</v>
      </c>
      <c r="L5841" s="444">
        <f t="shared" ca="1" si="212"/>
        <v>-1.5874377797296436E+16</v>
      </c>
      <c r="M5841" s="460">
        <f t="shared" si="214"/>
        <v>0.05</v>
      </c>
      <c r="N5841" s="464">
        <f t="shared" si="215"/>
        <v>228825</v>
      </c>
    </row>
    <row r="5842" spans="7:14" ht="11.25" customHeight="1" x14ac:dyDescent="0.25">
      <c r="G5842" s="459"/>
      <c r="H5842" s="459">
        <v>5835</v>
      </c>
      <c r="I5842" s="444">
        <f t="shared" ca="1" si="213"/>
        <v>-1.5874377797296436E+16</v>
      </c>
      <c r="J5842" s="444">
        <f t="array" ref="J5842">IFERROR(INDEX('Retirement Calculator'!J:J,MATCH('Isaac 401k'!N5842,'Retirement Calculator'!A:A,0),0),0)</f>
        <v>0</v>
      </c>
      <c r="K5842" s="444">
        <f t="shared" ca="1" si="211"/>
        <v>-66143240822068.484</v>
      </c>
      <c r="L5842" s="444">
        <f t="shared" ca="1" si="212"/>
        <v>-1.5940521038118504E+16</v>
      </c>
      <c r="M5842" s="460">
        <f t="shared" si="214"/>
        <v>0.05</v>
      </c>
      <c r="N5842" s="464">
        <f t="shared" si="215"/>
        <v>228856</v>
      </c>
    </row>
    <row r="5843" spans="7:14" ht="11.25" customHeight="1" x14ac:dyDescent="0.25">
      <c r="G5843" s="459"/>
      <c r="H5843" s="459">
        <v>5836</v>
      </c>
      <c r="I5843" s="444">
        <f t="shared" ca="1" si="213"/>
        <v>-1.5940521038118504E+16</v>
      </c>
      <c r="J5843" s="444">
        <f t="array" ref="J5843">IFERROR(INDEX('Retirement Calculator'!J:J,MATCH('Isaac 401k'!N5843,'Retirement Calculator'!A:A,0),0),0)</f>
        <v>0</v>
      </c>
      <c r="K5843" s="444">
        <f t="shared" ca="1" si="211"/>
        <v>-66418837658827.102</v>
      </c>
      <c r="L5843" s="444">
        <f t="shared" ca="1" si="212"/>
        <v>-1.6006939875777332E+16</v>
      </c>
      <c r="M5843" s="460">
        <f t="shared" si="214"/>
        <v>0.05</v>
      </c>
      <c r="N5843" s="464">
        <f t="shared" si="215"/>
        <v>228887</v>
      </c>
    </row>
    <row r="5844" spans="7:14" ht="11.25" customHeight="1" x14ac:dyDescent="0.25">
      <c r="G5844" s="459"/>
      <c r="H5844" s="459">
        <v>5837</v>
      </c>
      <c r="I5844" s="444">
        <f t="shared" ca="1" si="213"/>
        <v>-1.6006939875777332E+16</v>
      </c>
      <c r="J5844" s="444">
        <f t="array" ref="J5844">IFERROR(INDEX('Retirement Calculator'!J:J,MATCH('Isaac 401k'!N5844,'Retirement Calculator'!A:A,0),0),0)</f>
        <v>0</v>
      </c>
      <c r="K5844" s="444">
        <f t="shared" ca="1" si="211"/>
        <v>-66695582815738.883</v>
      </c>
      <c r="L5844" s="444">
        <f t="shared" ca="1" si="212"/>
        <v>-1.607363545859307E+16</v>
      </c>
      <c r="M5844" s="460">
        <f t="shared" si="214"/>
        <v>0.05</v>
      </c>
      <c r="N5844" s="464">
        <f t="shared" si="215"/>
        <v>228917</v>
      </c>
    </row>
    <row r="5845" spans="7:14" ht="11.25" customHeight="1" x14ac:dyDescent="0.25">
      <c r="G5845" s="459"/>
      <c r="H5845" s="459">
        <v>5838</v>
      </c>
      <c r="I5845" s="444">
        <f t="shared" ca="1" si="213"/>
        <v>-1.607363545859307E+16</v>
      </c>
      <c r="J5845" s="444">
        <f t="array" ref="J5845">IFERROR(INDEX('Retirement Calculator'!J:J,MATCH('Isaac 401k'!N5845,'Retirement Calculator'!A:A,0),0),0)</f>
        <v>0</v>
      </c>
      <c r="K5845" s="444">
        <f t="shared" ca="1" si="211"/>
        <v>-66973481077471.133</v>
      </c>
      <c r="L5845" s="444">
        <f t="shared" ca="1" si="212"/>
        <v>-1.6140608939670542E+16</v>
      </c>
      <c r="M5845" s="460">
        <f t="shared" si="214"/>
        <v>0.05</v>
      </c>
      <c r="N5845" s="464">
        <f t="shared" si="215"/>
        <v>228948</v>
      </c>
    </row>
    <row r="5846" spans="7:14" ht="11.25" customHeight="1" x14ac:dyDescent="0.25">
      <c r="G5846" s="459"/>
      <c r="H5846" s="459">
        <v>5839</v>
      </c>
      <c r="I5846" s="444">
        <f t="shared" ca="1" si="213"/>
        <v>-1.6140608939670542E+16</v>
      </c>
      <c r="J5846" s="444">
        <f t="array" ref="J5846">IFERROR(INDEX('Retirement Calculator'!J:J,MATCH('Isaac 401k'!N5846,'Retirement Calculator'!A:A,0),0),0)</f>
        <v>0</v>
      </c>
      <c r="K5846" s="444">
        <f t="shared" ca="1" si="211"/>
        <v>-67252537248627.258</v>
      </c>
      <c r="L5846" s="444">
        <f t="shared" ca="1" si="212"/>
        <v>-1.620786147691917E+16</v>
      </c>
      <c r="M5846" s="460">
        <f t="shared" si="214"/>
        <v>0.05</v>
      </c>
      <c r="N5846" s="464">
        <f t="shared" si="215"/>
        <v>228978</v>
      </c>
    </row>
    <row r="5847" spans="7:14" ht="11.25" customHeight="1" x14ac:dyDescent="0.25">
      <c r="G5847" s="459"/>
      <c r="H5847" s="459">
        <v>5840</v>
      </c>
      <c r="I5847" s="444">
        <f t="shared" ca="1" si="213"/>
        <v>-1.620786147691917E+16</v>
      </c>
      <c r="J5847" s="444">
        <f t="array" ref="J5847">IFERROR(INDEX('Retirement Calculator'!J:J,MATCH('Isaac 401k'!N5847,'Retirement Calculator'!A:A,0),0),0)</f>
        <v>0</v>
      </c>
      <c r="K5847" s="444">
        <f t="shared" ca="1" si="211"/>
        <v>-67532756153829.875</v>
      </c>
      <c r="L5847" s="444">
        <f t="shared" ca="1" si="212"/>
        <v>-1.6275394233073E+16</v>
      </c>
      <c r="M5847" s="460">
        <f t="shared" si="214"/>
        <v>0.05</v>
      </c>
      <c r="N5847" s="464">
        <f t="shared" si="215"/>
        <v>229009</v>
      </c>
    </row>
    <row r="5848" spans="7:14" ht="11.25" customHeight="1" x14ac:dyDescent="0.25">
      <c r="G5848" s="459"/>
      <c r="H5848" s="459">
        <v>5841</v>
      </c>
      <c r="I5848" s="444">
        <f t="shared" ca="1" si="213"/>
        <v>-1.6275394233073E+16</v>
      </c>
      <c r="J5848" s="444">
        <f t="array" ref="J5848">IFERROR(INDEX('Retirement Calculator'!J:J,MATCH('Isaac 401k'!N5848,'Retirement Calculator'!A:A,0),0),0)</f>
        <v>0</v>
      </c>
      <c r="K5848" s="444">
        <f t="shared" ca="1" si="211"/>
        <v>-67814142637804.164</v>
      </c>
      <c r="L5848" s="444">
        <f t="shared" ca="1" si="212"/>
        <v>-1.6343208375710804E+16</v>
      </c>
      <c r="M5848" s="460">
        <f t="shared" si="214"/>
        <v>0.05</v>
      </c>
      <c r="N5848" s="464">
        <f t="shared" si="215"/>
        <v>229040</v>
      </c>
    </row>
    <row r="5849" spans="7:14" ht="11.25" customHeight="1" x14ac:dyDescent="0.25">
      <c r="G5849" s="459"/>
      <c r="H5849" s="459">
        <v>5842</v>
      </c>
      <c r="I5849" s="444">
        <f t="shared" ca="1" si="213"/>
        <v>-1.6343208375710804E+16</v>
      </c>
      <c r="J5849" s="444">
        <f t="array" ref="J5849">IFERROR(INDEX('Retirement Calculator'!J:J,MATCH('Isaac 401k'!N5849,'Retirement Calculator'!A:A,0),0),0)</f>
        <v>0</v>
      </c>
      <c r="K5849" s="444">
        <f t="shared" ca="1" si="211"/>
        <v>-68096701565461.68</v>
      </c>
      <c r="L5849" s="444">
        <f t="shared" ca="1" si="212"/>
        <v>-1.6411305077276266E+16</v>
      </c>
      <c r="M5849" s="460">
        <f t="shared" si="214"/>
        <v>0.05</v>
      </c>
      <c r="N5849" s="464">
        <f t="shared" si="215"/>
        <v>229068</v>
      </c>
    </row>
    <row r="5850" spans="7:14" ht="11.25" customHeight="1" x14ac:dyDescent="0.25">
      <c r="G5850" s="459"/>
      <c r="H5850" s="459">
        <v>5843</v>
      </c>
      <c r="I5850" s="444">
        <f t="shared" ca="1" si="213"/>
        <v>-1.6411305077276266E+16</v>
      </c>
      <c r="J5850" s="444">
        <f t="array" ref="J5850">IFERROR(INDEX('Retirement Calculator'!J:J,MATCH('Isaac 401k'!N5850,'Retirement Calculator'!A:A,0),0),0)</f>
        <v>0</v>
      </c>
      <c r="K5850" s="444">
        <f t="shared" ca="1" si="211"/>
        <v>-68380437821984.438</v>
      </c>
      <c r="L5850" s="444">
        <f t="shared" ca="1" si="212"/>
        <v>-1.647968551509825E+16</v>
      </c>
      <c r="M5850" s="460">
        <f t="shared" si="214"/>
        <v>0.05</v>
      </c>
      <c r="N5850" s="464">
        <f t="shared" si="215"/>
        <v>229099</v>
      </c>
    </row>
    <row r="5851" spans="7:14" ht="11.25" customHeight="1" x14ac:dyDescent="0.25">
      <c r="G5851" s="459"/>
      <c r="H5851" s="459">
        <v>5844</v>
      </c>
      <c r="I5851" s="444">
        <f t="shared" ca="1" si="213"/>
        <v>-1.647968551509825E+16</v>
      </c>
      <c r="J5851" s="444">
        <f t="array" ref="J5851">IFERROR(INDEX('Retirement Calculator'!J:J,MATCH('Isaac 401k'!N5851,'Retirement Calculator'!A:A,0),0),0)</f>
        <v>0</v>
      </c>
      <c r="K5851" s="444">
        <f t="shared" ca="1" si="211"/>
        <v>-68665356312909.375</v>
      </c>
      <c r="L5851" s="444">
        <f t="shared" ca="1" si="212"/>
        <v>-1.654835087141116E+16</v>
      </c>
      <c r="M5851" s="460">
        <f t="shared" si="214"/>
        <v>0.05</v>
      </c>
      <c r="N5851" s="464">
        <f t="shared" si="215"/>
        <v>229129</v>
      </c>
    </row>
    <row r="5852" spans="7:14" ht="11.25" customHeight="1" x14ac:dyDescent="0.25">
      <c r="G5852" s="459"/>
      <c r="H5852" s="459">
        <v>5845</v>
      </c>
      <c r="I5852" s="444">
        <f t="shared" ca="1" si="213"/>
        <v>-1.654835087141116E+16</v>
      </c>
      <c r="J5852" s="444">
        <f t="array" ref="J5852">IFERROR(INDEX('Retirement Calculator'!J:J,MATCH('Isaac 401k'!N5852,'Retirement Calculator'!A:A,0),0),0)</f>
        <v>0</v>
      </c>
      <c r="K5852" s="444">
        <f t="shared" ca="1" si="211"/>
        <v>-68951461964213.156</v>
      </c>
      <c r="L5852" s="444">
        <f t="shared" ca="1" si="212"/>
        <v>-1.6617302333375374E+16</v>
      </c>
      <c r="M5852" s="460">
        <f t="shared" si="214"/>
        <v>0.05</v>
      </c>
      <c r="N5852" s="464">
        <f t="shared" si="215"/>
        <v>229160</v>
      </c>
    </row>
    <row r="5853" spans="7:14" ht="11.25" customHeight="1" x14ac:dyDescent="0.25">
      <c r="G5853" s="459"/>
      <c r="H5853" s="459">
        <v>5846</v>
      </c>
      <c r="I5853" s="444">
        <f t="shared" ca="1" si="213"/>
        <v>-1.6617302333375374E+16</v>
      </c>
      <c r="J5853" s="444">
        <f t="array" ref="J5853">IFERROR(INDEX('Retirement Calculator'!J:J,MATCH('Isaac 401k'!N5853,'Retirement Calculator'!A:A,0),0),0)</f>
        <v>0</v>
      </c>
      <c r="K5853" s="444">
        <f t="shared" ca="1" si="211"/>
        <v>-69238759722397.383</v>
      </c>
      <c r="L5853" s="444">
        <f t="shared" ca="1" si="212"/>
        <v>-1.6686541093097772E+16</v>
      </c>
      <c r="M5853" s="460">
        <f t="shared" si="214"/>
        <v>0.05</v>
      </c>
      <c r="N5853" s="464">
        <f t="shared" si="215"/>
        <v>229190</v>
      </c>
    </row>
    <row r="5854" spans="7:14" ht="11.25" customHeight="1" x14ac:dyDescent="0.25">
      <c r="G5854" s="459"/>
      <c r="H5854" s="459">
        <v>5847</v>
      </c>
      <c r="I5854" s="444">
        <f t="shared" ca="1" si="213"/>
        <v>-1.6686541093097772E+16</v>
      </c>
      <c r="J5854" s="444">
        <f t="array" ref="J5854">IFERROR(INDEX('Retirement Calculator'!J:J,MATCH('Isaac 401k'!N5854,'Retirement Calculator'!A:A,0),0),0)</f>
        <v>0</v>
      </c>
      <c r="K5854" s="444">
        <f t="shared" ca="1" si="211"/>
        <v>-69527254554574.055</v>
      </c>
      <c r="L5854" s="444">
        <f t="shared" ca="1" si="212"/>
        <v>-1.6756068347652346E+16</v>
      </c>
      <c r="M5854" s="460">
        <f t="shared" si="214"/>
        <v>0.05</v>
      </c>
      <c r="N5854" s="464">
        <f t="shared" si="215"/>
        <v>229221</v>
      </c>
    </row>
    <row r="5855" spans="7:14" ht="11.25" customHeight="1" x14ac:dyDescent="0.25">
      <c r="G5855" s="459"/>
      <c r="H5855" s="459">
        <v>5848</v>
      </c>
      <c r="I5855" s="444">
        <f t="shared" ca="1" si="213"/>
        <v>-1.6756068347652346E+16</v>
      </c>
      <c r="J5855" s="444">
        <f t="array" ref="J5855">IFERROR(INDEX('Retirement Calculator'!J:J,MATCH('Isaac 401k'!N5855,'Retirement Calculator'!A:A,0),0),0)</f>
        <v>0</v>
      </c>
      <c r="K5855" s="444">
        <f t="shared" ca="1" si="211"/>
        <v>-69816951448551.438</v>
      </c>
      <c r="L5855" s="444">
        <f t="shared" ca="1" si="212"/>
        <v>-1.6825885299100898E+16</v>
      </c>
      <c r="M5855" s="460">
        <f t="shared" si="214"/>
        <v>0.05</v>
      </c>
      <c r="N5855" s="464">
        <f t="shared" si="215"/>
        <v>229252</v>
      </c>
    </row>
    <row r="5856" spans="7:14" ht="11.25" customHeight="1" x14ac:dyDescent="0.25">
      <c r="G5856" s="459"/>
      <c r="H5856" s="459">
        <v>5849</v>
      </c>
      <c r="I5856" s="444">
        <f t="shared" ca="1" si="213"/>
        <v>-1.6825885299100898E+16</v>
      </c>
      <c r="J5856" s="444">
        <f t="array" ref="J5856">IFERROR(INDEX('Retirement Calculator'!J:J,MATCH('Isaac 401k'!N5856,'Retirement Calculator'!A:A,0),0),0)</f>
        <v>0</v>
      </c>
      <c r="K5856" s="444">
        <f t="shared" ca="1" si="211"/>
        <v>-70107855412920.398</v>
      </c>
      <c r="L5856" s="444">
        <f t="shared" ca="1" si="212"/>
        <v>-1.6895993154513818E+16</v>
      </c>
      <c r="M5856" s="460">
        <f t="shared" si="214"/>
        <v>0.05</v>
      </c>
      <c r="N5856" s="464">
        <f t="shared" si="215"/>
        <v>229282</v>
      </c>
    </row>
    <row r="5857" spans="7:14" ht="11.25" customHeight="1" x14ac:dyDescent="0.25">
      <c r="G5857" s="459"/>
      <c r="H5857" s="459">
        <v>5850</v>
      </c>
      <c r="I5857" s="444">
        <f t="shared" ca="1" si="213"/>
        <v>-1.6895993154513818E+16</v>
      </c>
      <c r="J5857" s="444">
        <f t="array" ref="J5857">IFERROR(INDEX('Retirement Calculator'!J:J,MATCH('Isaac 401k'!N5857,'Retirement Calculator'!A:A,0),0),0)</f>
        <v>0</v>
      </c>
      <c r="K5857" s="444">
        <f t="shared" ca="1" si="211"/>
        <v>-70399971477140.906</v>
      </c>
      <c r="L5857" s="444">
        <f t="shared" ca="1" si="212"/>
        <v>-1.6966393125990958E+16</v>
      </c>
      <c r="M5857" s="460">
        <f t="shared" si="214"/>
        <v>0.05</v>
      </c>
      <c r="N5857" s="464">
        <f t="shared" si="215"/>
        <v>229313</v>
      </c>
    </row>
    <row r="5858" spans="7:14" ht="11.25" customHeight="1" x14ac:dyDescent="0.25">
      <c r="G5858" s="459"/>
      <c r="H5858" s="459">
        <v>5851</v>
      </c>
      <c r="I5858" s="444">
        <f t="shared" ca="1" si="213"/>
        <v>-1.6966393125990958E+16</v>
      </c>
      <c r="J5858" s="444">
        <f t="array" ref="J5858">IFERROR(INDEX('Retirement Calculator'!J:J,MATCH('Isaac 401k'!N5858,'Retirement Calculator'!A:A,0),0),0)</f>
        <v>0</v>
      </c>
      <c r="K5858" s="444">
        <f t="shared" ca="1" si="211"/>
        <v>-70693304691628.984</v>
      </c>
      <c r="L5858" s="444">
        <f t="shared" ca="1" si="212"/>
        <v>-1.7037086430682586E+16</v>
      </c>
      <c r="M5858" s="460">
        <f t="shared" si="214"/>
        <v>0.05</v>
      </c>
      <c r="N5858" s="464">
        <f t="shared" si="215"/>
        <v>229343</v>
      </c>
    </row>
    <row r="5859" spans="7:14" ht="11.25" customHeight="1" x14ac:dyDescent="0.25">
      <c r="G5859" s="459"/>
      <c r="H5859" s="459">
        <v>5852</v>
      </c>
      <c r="I5859" s="444">
        <f t="shared" ca="1" si="213"/>
        <v>-1.7037086430682586E+16</v>
      </c>
      <c r="J5859" s="444">
        <f t="array" ref="J5859">IFERROR(INDEX('Retirement Calculator'!J:J,MATCH('Isaac 401k'!N5859,'Retirement Calculator'!A:A,0),0),0)</f>
        <v>0</v>
      </c>
      <c r="K5859" s="444">
        <f t="shared" ca="1" si="211"/>
        <v>-70987860127844.109</v>
      </c>
      <c r="L5859" s="444">
        <f t="shared" ca="1" si="212"/>
        <v>-1.710807429081043E+16</v>
      </c>
      <c r="M5859" s="460">
        <f t="shared" si="214"/>
        <v>0.05</v>
      </c>
      <c r="N5859" s="464">
        <f t="shared" si="215"/>
        <v>229374</v>
      </c>
    </row>
    <row r="5860" spans="7:14" ht="11.25" customHeight="1" x14ac:dyDescent="0.25">
      <c r="G5860" s="459"/>
      <c r="H5860" s="459">
        <v>5853</v>
      </c>
      <c r="I5860" s="444">
        <f t="shared" ca="1" si="213"/>
        <v>-1.710807429081043E+16</v>
      </c>
      <c r="J5860" s="444">
        <f t="array" ref="J5860">IFERROR(INDEX('Retirement Calculator'!J:J,MATCH('Isaac 401k'!N5860,'Retirement Calculator'!A:A,0),0),0)</f>
        <v>0</v>
      </c>
      <c r="K5860" s="444">
        <f t="shared" ca="1" si="211"/>
        <v>-71283642878376.797</v>
      </c>
      <c r="L5860" s="444">
        <f t="shared" ca="1" si="212"/>
        <v>-1.7179357933688806E+16</v>
      </c>
      <c r="M5860" s="460">
        <f t="shared" si="214"/>
        <v>0.05</v>
      </c>
      <c r="N5860" s="464">
        <f t="shared" si="215"/>
        <v>229405</v>
      </c>
    </row>
    <row r="5861" spans="7:14" ht="11.25" customHeight="1" x14ac:dyDescent="0.25">
      <c r="G5861" s="459"/>
      <c r="H5861" s="459">
        <v>5854</v>
      </c>
      <c r="I5861" s="444">
        <f t="shared" ca="1" si="213"/>
        <v>-1.7179357933688806E+16</v>
      </c>
      <c r="J5861" s="444">
        <f t="array" ref="J5861">IFERROR(INDEX('Retirement Calculator'!J:J,MATCH('Isaac 401k'!N5861,'Retirement Calculator'!A:A,0),0),0)</f>
        <v>0</v>
      </c>
      <c r="K5861" s="444">
        <f t="shared" ca="1" si="211"/>
        <v>-71580658057036.688</v>
      </c>
      <c r="L5861" s="444">
        <f t="shared" ca="1" si="212"/>
        <v>-1.7250938591745842E+16</v>
      </c>
      <c r="M5861" s="460">
        <f t="shared" si="214"/>
        <v>0.05</v>
      </c>
      <c r="N5861" s="464">
        <f t="shared" si="215"/>
        <v>229434</v>
      </c>
    </row>
    <row r="5862" spans="7:14" ht="11.25" customHeight="1" x14ac:dyDescent="0.25">
      <c r="G5862" s="459"/>
      <c r="H5862" s="459">
        <v>5855</v>
      </c>
      <c r="I5862" s="444">
        <f t="shared" ca="1" si="213"/>
        <v>-1.7250938591745842E+16</v>
      </c>
      <c r="J5862" s="444">
        <f t="array" ref="J5862">IFERROR(INDEX('Retirement Calculator'!J:J,MATCH('Isaac 401k'!N5862,'Retirement Calculator'!A:A,0),0),0)</f>
        <v>0</v>
      </c>
      <c r="K5862" s="444">
        <f t="shared" ca="1" si="211"/>
        <v>-71878910798941</v>
      </c>
      <c r="L5862" s="444">
        <f t="shared" ca="1" si="212"/>
        <v>-1.7322817502544784E+16</v>
      </c>
      <c r="M5862" s="460">
        <f t="shared" si="214"/>
        <v>0.05</v>
      </c>
      <c r="N5862" s="464">
        <f t="shared" si="215"/>
        <v>229465</v>
      </c>
    </row>
    <row r="5863" spans="7:14" ht="11.25" customHeight="1" x14ac:dyDescent="0.25">
      <c r="G5863" s="459"/>
      <c r="H5863" s="459">
        <v>5856</v>
      </c>
      <c r="I5863" s="444">
        <f t="shared" ca="1" si="213"/>
        <v>-1.7322817502544784E+16</v>
      </c>
      <c r="J5863" s="444">
        <f t="array" ref="J5863">IFERROR(INDEX('Retirement Calculator'!J:J,MATCH('Isaac 401k'!N5863,'Retirement Calculator'!A:A,0),0),0)</f>
        <v>0</v>
      </c>
      <c r="K5863" s="444">
        <f t="shared" ca="1" si="211"/>
        <v>-72178406260603.25</v>
      </c>
      <c r="L5863" s="444">
        <f t="shared" ca="1" si="212"/>
        <v>-1.7394995908805388E+16</v>
      </c>
      <c r="M5863" s="460">
        <f t="shared" si="214"/>
        <v>0.05</v>
      </c>
      <c r="N5863" s="464">
        <f t="shared" si="215"/>
        <v>229495</v>
      </c>
    </row>
    <row r="5864" spans="7:14" ht="11.25" customHeight="1" x14ac:dyDescent="0.25">
      <c r="G5864" s="459"/>
      <c r="H5864" s="459">
        <v>5857</v>
      </c>
      <c r="I5864" s="444">
        <f t="shared" ca="1" si="213"/>
        <v>-1.7394995908805388E+16</v>
      </c>
      <c r="J5864" s="444">
        <f t="array" ref="J5864">IFERROR(INDEX('Retirement Calculator'!J:J,MATCH('Isaac 401k'!N5864,'Retirement Calculator'!A:A,0),0),0)</f>
        <v>0</v>
      </c>
      <c r="K5864" s="444">
        <f t="shared" ca="1" si="211"/>
        <v>-72479149620022.453</v>
      </c>
      <c r="L5864" s="444">
        <f t="shared" ca="1" si="212"/>
        <v>-1.746747505842541E+16</v>
      </c>
      <c r="M5864" s="460">
        <f t="shared" si="214"/>
        <v>0.05</v>
      </c>
      <c r="N5864" s="464">
        <f t="shared" si="215"/>
        <v>229526</v>
      </c>
    </row>
    <row r="5865" spans="7:14" ht="11.25" customHeight="1" x14ac:dyDescent="0.25">
      <c r="G5865" s="459"/>
      <c r="H5865" s="459">
        <v>5858</v>
      </c>
      <c r="I5865" s="444">
        <f t="shared" ca="1" si="213"/>
        <v>-1.746747505842541E+16</v>
      </c>
      <c r="J5865" s="444">
        <f t="array" ref="J5865">IFERROR(INDEX('Retirement Calculator'!J:J,MATCH('Isaac 401k'!N5865,'Retirement Calculator'!A:A,0),0),0)</f>
        <v>0</v>
      </c>
      <c r="K5865" s="444">
        <f t="shared" ca="1" si="211"/>
        <v>-72781146076772.547</v>
      </c>
      <c r="L5865" s="444">
        <f t="shared" ca="1" si="212"/>
        <v>-1.7540256204502182E+16</v>
      </c>
      <c r="M5865" s="460">
        <f t="shared" si="214"/>
        <v>0.05</v>
      </c>
      <c r="N5865" s="464">
        <f t="shared" si="215"/>
        <v>229556</v>
      </c>
    </row>
    <row r="5866" spans="7:14" ht="11.25" customHeight="1" x14ac:dyDescent="0.25">
      <c r="G5866" s="459"/>
      <c r="H5866" s="459">
        <v>5859</v>
      </c>
      <c r="I5866" s="444">
        <f t="shared" ca="1" si="213"/>
        <v>-1.7540256204502182E+16</v>
      </c>
      <c r="J5866" s="444">
        <f t="array" ref="J5866">IFERROR(INDEX('Retirement Calculator'!J:J,MATCH('Isaac 401k'!N5866,'Retirement Calculator'!A:A,0),0),0)</f>
        <v>0</v>
      </c>
      <c r="K5866" s="444">
        <f t="shared" ca="1" si="211"/>
        <v>-73084400852092.422</v>
      </c>
      <c r="L5866" s="444">
        <f t="shared" ca="1" si="212"/>
        <v>-1.7613340605354274E+16</v>
      </c>
      <c r="M5866" s="460">
        <f t="shared" si="214"/>
        <v>0.05</v>
      </c>
      <c r="N5866" s="464">
        <f t="shared" si="215"/>
        <v>229587</v>
      </c>
    </row>
    <row r="5867" spans="7:14" ht="11.25" customHeight="1" x14ac:dyDescent="0.25">
      <c r="G5867" s="459"/>
      <c r="H5867" s="459">
        <v>5860</v>
      </c>
      <c r="I5867" s="444">
        <f t="shared" ca="1" si="213"/>
        <v>-1.7613340605354274E+16</v>
      </c>
      <c r="J5867" s="444">
        <f t="array" ref="J5867">IFERROR(INDEX('Retirement Calculator'!J:J,MATCH('Isaac 401k'!N5867,'Retirement Calculator'!A:A,0),0),0)</f>
        <v>0</v>
      </c>
      <c r="K5867" s="444">
        <f t="shared" ca="1" si="211"/>
        <v>-73388919188976.141</v>
      </c>
      <c r="L5867" s="444">
        <f t="shared" ca="1" si="212"/>
        <v>-1.768672952454325E+16</v>
      </c>
      <c r="M5867" s="460">
        <f t="shared" si="214"/>
        <v>0.05</v>
      </c>
      <c r="N5867" s="464">
        <f t="shared" si="215"/>
        <v>229618</v>
      </c>
    </row>
    <row r="5868" spans="7:14" ht="11.25" customHeight="1" x14ac:dyDescent="0.25">
      <c r="G5868" s="459"/>
      <c r="H5868" s="459">
        <v>5861</v>
      </c>
      <c r="I5868" s="444">
        <f t="shared" ca="1" si="213"/>
        <v>-1.768672952454325E+16</v>
      </c>
      <c r="J5868" s="444">
        <f t="array" ref="J5868">IFERROR(INDEX('Retirement Calculator'!J:J,MATCH('Isaac 401k'!N5868,'Retirement Calculator'!A:A,0),0),0)</f>
        <v>0</v>
      </c>
      <c r="K5868" s="444">
        <f t="shared" ca="1" si="211"/>
        <v>-73694706352263.547</v>
      </c>
      <c r="L5868" s="444">
        <f t="shared" ca="1" si="212"/>
        <v>-1.7760424230895514E+16</v>
      </c>
      <c r="M5868" s="460">
        <f t="shared" si="214"/>
        <v>0.05</v>
      </c>
      <c r="N5868" s="464">
        <f t="shared" si="215"/>
        <v>229648</v>
      </c>
    </row>
    <row r="5869" spans="7:14" ht="11.25" customHeight="1" x14ac:dyDescent="0.25">
      <c r="G5869" s="459"/>
      <c r="H5869" s="459">
        <v>5862</v>
      </c>
      <c r="I5869" s="444">
        <f t="shared" ca="1" si="213"/>
        <v>-1.7760424230895514E+16</v>
      </c>
      <c r="J5869" s="444">
        <f t="array" ref="J5869">IFERROR(INDEX('Retirement Calculator'!J:J,MATCH('Isaac 401k'!N5869,'Retirement Calculator'!A:A,0),0),0)</f>
        <v>0</v>
      </c>
      <c r="K5869" s="444">
        <f t="shared" ca="1" si="211"/>
        <v>-74001767628731.313</v>
      </c>
      <c r="L5869" s="444">
        <f t="shared" ca="1" si="212"/>
        <v>-1.7834425998524246E+16</v>
      </c>
      <c r="M5869" s="460">
        <f t="shared" si="214"/>
        <v>0.05</v>
      </c>
      <c r="N5869" s="464">
        <f t="shared" si="215"/>
        <v>229679</v>
      </c>
    </row>
    <row r="5870" spans="7:14" ht="11.25" customHeight="1" x14ac:dyDescent="0.25">
      <c r="G5870" s="459"/>
      <c r="H5870" s="459">
        <v>5863</v>
      </c>
      <c r="I5870" s="444">
        <f t="shared" ca="1" si="213"/>
        <v>-1.7834425998524246E+16</v>
      </c>
      <c r="J5870" s="444">
        <f t="array" ref="J5870">IFERROR(INDEX('Retirement Calculator'!J:J,MATCH('Isaac 401k'!N5870,'Retirement Calculator'!A:A,0),0),0)</f>
        <v>0</v>
      </c>
      <c r="K5870" s="444">
        <f t="shared" ca="1" si="211"/>
        <v>-74310108327184.359</v>
      </c>
      <c r="L5870" s="444">
        <f t="shared" ca="1" si="212"/>
        <v>-1.790873610685143E+16</v>
      </c>
      <c r="M5870" s="460">
        <f t="shared" si="214"/>
        <v>0.05</v>
      </c>
      <c r="N5870" s="464">
        <f t="shared" si="215"/>
        <v>229709</v>
      </c>
    </row>
    <row r="5871" spans="7:14" ht="11.25" customHeight="1" x14ac:dyDescent="0.25">
      <c r="G5871" s="459"/>
      <c r="H5871" s="459">
        <v>5864</v>
      </c>
      <c r="I5871" s="444">
        <f t="shared" ca="1" si="213"/>
        <v>-1.790873610685143E+16</v>
      </c>
      <c r="J5871" s="444">
        <f t="array" ref="J5871">IFERROR(INDEX('Retirement Calculator'!J:J,MATCH('Isaac 401k'!N5871,'Retirement Calculator'!A:A,0),0),0)</f>
        <v>0</v>
      </c>
      <c r="K5871" s="444">
        <f t="shared" ca="1" si="211"/>
        <v>-74619733778547.625</v>
      </c>
      <c r="L5871" s="444">
        <f t="shared" ca="1" si="212"/>
        <v>-1.7983355840629978E+16</v>
      </c>
      <c r="M5871" s="460">
        <f t="shared" si="214"/>
        <v>0.05</v>
      </c>
      <c r="N5871" s="464">
        <f t="shared" si="215"/>
        <v>229740</v>
      </c>
    </row>
    <row r="5872" spans="7:14" ht="11.25" customHeight="1" x14ac:dyDescent="0.25">
      <c r="G5872" s="459"/>
      <c r="H5872" s="459">
        <v>5865</v>
      </c>
      <c r="I5872" s="444">
        <f t="shared" ca="1" si="213"/>
        <v>-1.7983355840629978E+16</v>
      </c>
      <c r="J5872" s="444">
        <f t="array" ref="J5872">IFERROR(INDEX('Retirement Calculator'!J:J,MATCH('Isaac 401k'!N5872,'Retirement Calculator'!A:A,0),0),0)</f>
        <v>0</v>
      </c>
      <c r="K5872" s="444">
        <f t="shared" ca="1" si="211"/>
        <v>-74930649335958.25</v>
      </c>
      <c r="L5872" s="444">
        <f t="shared" ca="1" si="212"/>
        <v>-1.8058286489965936E+16</v>
      </c>
      <c r="M5872" s="460">
        <f t="shared" si="214"/>
        <v>0.05</v>
      </c>
      <c r="N5872" s="464">
        <f t="shared" si="215"/>
        <v>229771</v>
      </c>
    </row>
    <row r="5873" spans="7:14" ht="11.25" customHeight="1" x14ac:dyDescent="0.25">
      <c r="G5873" s="459"/>
      <c r="H5873" s="459">
        <v>5866</v>
      </c>
      <c r="I5873" s="444">
        <f t="shared" ca="1" si="213"/>
        <v>-1.8058286489965936E+16</v>
      </c>
      <c r="J5873" s="444">
        <f t="array" ref="J5873">IFERROR(INDEX('Retirement Calculator'!J:J,MATCH('Isaac 401k'!N5873,'Retirement Calculator'!A:A,0),0),0)</f>
        <v>0</v>
      </c>
      <c r="K5873" s="444">
        <f t="shared" ref="K5873:K6127" ca="1" si="216">IPMT(M5873/12,1,12,-I5873+J5873,,0)</f>
        <v>-75242860374858.063</v>
      </c>
      <c r="L5873" s="444">
        <f t="shared" ref="L5873:L6127" ca="1" si="217">I5873-J5873+K5873</f>
        <v>-1.8133529350340796E+16</v>
      </c>
      <c r="M5873" s="460">
        <f t="shared" si="214"/>
        <v>0.05</v>
      </c>
      <c r="N5873" s="464">
        <f t="shared" si="215"/>
        <v>229799</v>
      </c>
    </row>
    <row r="5874" spans="7:14" ht="11.25" customHeight="1" x14ac:dyDescent="0.25">
      <c r="G5874" s="459"/>
      <c r="H5874" s="459">
        <v>5867</v>
      </c>
      <c r="I5874" s="444">
        <f t="shared" ref="I5874:I6128" ca="1" si="218">L5873</f>
        <v>-1.8133529350340796E+16</v>
      </c>
      <c r="J5874" s="444">
        <f t="array" ref="J5874">IFERROR(INDEX('Retirement Calculator'!J:J,MATCH('Isaac 401k'!N5874,'Retirement Calculator'!A:A,0),0),0)</f>
        <v>0</v>
      </c>
      <c r="K5874" s="444">
        <f t="shared" ca="1" si="216"/>
        <v>-75556372293086.656</v>
      </c>
      <c r="L5874" s="444">
        <f t="shared" ca="1" si="217"/>
        <v>-1.8209085722633884E+16</v>
      </c>
      <c r="M5874" s="460">
        <f t="shared" ref="M5874:M6128" si="219">M5873</f>
        <v>0.05</v>
      </c>
      <c r="N5874" s="464">
        <f t="shared" ref="N5874:N6128" si="220">EDATE(N5873,1)</f>
        <v>229830</v>
      </c>
    </row>
    <row r="5875" spans="7:14" ht="11.25" customHeight="1" x14ac:dyDescent="0.25">
      <c r="G5875" s="459"/>
      <c r="H5875" s="459">
        <v>5868</v>
      </c>
      <c r="I5875" s="444">
        <f t="shared" ca="1" si="218"/>
        <v>-1.8209085722633884E+16</v>
      </c>
      <c r="J5875" s="444">
        <f t="array" ref="J5875">IFERROR(INDEX('Retirement Calculator'!J:J,MATCH('Isaac 401k'!N5875,'Retirement Calculator'!A:A,0),0),0)</f>
        <v>0</v>
      </c>
      <c r="K5875" s="444">
        <f t="shared" ca="1" si="216"/>
        <v>-75871190510974.516</v>
      </c>
      <c r="L5875" s="444">
        <f t="shared" ca="1" si="217"/>
        <v>-1.828495691314486E+16</v>
      </c>
      <c r="M5875" s="460">
        <f t="shared" si="219"/>
        <v>0.05</v>
      </c>
      <c r="N5875" s="464">
        <f t="shared" si="220"/>
        <v>229860</v>
      </c>
    </row>
    <row r="5876" spans="7:14" ht="11.25" customHeight="1" x14ac:dyDescent="0.25">
      <c r="G5876" s="459"/>
      <c r="H5876" s="459">
        <v>5869</v>
      </c>
      <c r="I5876" s="444">
        <f t="shared" ca="1" si="218"/>
        <v>-1.828495691314486E+16</v>
      </c>
      <c r="J5876" s="444">
        <f t="array" ref="J5876">IFERROR(INDEX('Retirement Calculator'!J:J,MATCH('Isaac 401k'!N5876,'Retirement Calculator'!A:A,0),0),0)</f>
        <v>0</v>
      </c>
      <c r="K5876" s="444">
        <f t="shared" ca="1" si="216"/>
        <v>-76187320471436.922</v>
      </c>
      <c r="L5876" s="444">
        <f t="shared" ca="1" si="217"/>
        <v>-1.8361144233616296E+16</v>
      </c>
      <c r="M5876" s="460">
        <f t="shared" si="219"/>
        <v>0.05</v>
      </c>
      <c r="N5876" s="464">
        <f t="shared" si="220"/>
        <v>229891</v>
      </c>
    </row>
    <row r="5877" spans="7:14" ht="11.25" customHeight="1" x14ac:dyDescent="0.25">
      <c r="G5877" s="459"/>
      <c r="H5877" s="459">
        <v>5870</v>
      </c>
      <c r="I5877" s="444">
        <f t="shared" ca="1" si="218"/>
        <v>-1.8361144233616296E+16</v>
      </c>
      <c r="J5877" s="444">
        <f t="array" ref="J5877">IFERROR(INDEX('Retirement Calculator'!J:J,MATCH('Isaac 401k'!N5877,'Retirement Calculator'!A:A,0),0),0)</f>
        <v>0</v>
      </c>
      <c r="K5877" s="444">
        <f t="shared" ca="1" si="216"/>
        <v>-76504767640067.906</v>
      </c>
      <c r="L5877" s="444">
        <f t="shared" ca="1" si="217"/>
        <v>-1.8437649001256364E+16</v>
      </c>
      <c r="M5877" s="460">
        <f t="shared" si="219"/>
        <v>0.05</v>
      </c>
      <c r="N5877" s="464">
        <f t="shared" si="220"/>
        <v>229921</v>
      </c>
    </row>
    <row r="5878" spans="7:14" ht="11.25" customHeight="1" x14ac:dyDescent="0.25">
      <c r="G5878" s="459"/>
      <c r="H5878" s="459">
        <v>5871</v>
      </c>
      <c r="I5878" s="444">
        <f t="shared" ca="1" si="218"/>
        <v>-1.8437649001256364E+16</v>
      </c>
      <c r="J5878" s="444">
        <f t="array" ref="J5878">IFERROR(INDEX('Retirement Calculator'!J:J,MATCH('Isaac 401k'!N5878,'Retirement Calculator'!A:A,0),0),0)</f>
        <v>0</v>
      </c>
      <c r="K5878" s="444">
        <f t="shared" ca="1" si="216"/>
        <v>-76823537505234.844</v>
      </c>
      <c r="L5878" s="444">
        <f t="shared" ca="1" si="217"/>
        <v>-1.85144725387616E+16</v>
      </c>
      <c r="M5878" s="460">
        <f t="shared" si="219"/>
        <v>0.05</v>
      </c>
      <c r="N5878" s="464">
        <f t="shared" si="220"/>
        <v>229952</v>
      </c>
    </row>
    <row r="5879" spans="7:14" ht="11.25" customHeight="1" x14ac:dyDescent="0.25">
      <c r="G5879" s="459"/>
      <c r="H5879" s="459">
        <v>5872</v>
      </c>
      <c r="I5879" s="444">
        <f t="shared" ca="1" si="218"/>
        <v>-1.85144725387616E+16</v>
      </c>
      <c r="J5879" s="444">
        <f t="array" ref="J5879">IFERROR(INDEX('Retirement Calculator'!J:J,MATCH('Isaac 401k'!N5879,'Retirement Calculator'!A:A,0),0),0)</f>
        <v>0</v>
      </c>
      <c r="K5879" s="444">
        <f t="shared" ca="1" si="216"/>
        <v>-77143635578173.328</v>
      </c>
      <c r="L5879" s="444">
        <f t="shared" ca="1" si="217"/>
        <v>-1.8591616174339772E+16</v>
      </c>
      <c r="M5879" s="460">
        <f t="shared" si="219"/>
        <v>0.05</v>
      </c>
      <c r="N5879" s="464">
        <f t="shared" si="220"/>
        <v>229983</v>
      </c>
    </row>
    <row r="5880" spans="7:14" ht="11.25" customHeight="1" x14ac:dyDescent="0.25">
      <c r="G5880" s="459"/>
      <c r="H5880" s="459">
        <v>5873</v>
      </c>
      <c r="I5880" s="444">
        <f t="shared" ca="1" si="218"/>
        <v>-1.8591616174339772E+16</v>
      </c>
      <c r="J5880" s="444">
        <f t="array" ref="J5880">IFERROR(INDEX('Retirement Calculator'!J:J,MATCH('Isaac 401k'!N5880,'Retirement Calculator'!A:A,0),0),0)</f>
        <v>0</v>
      </c>
      <c r="K5880" s="444">
        <f t="shared" ca="1" si="216"/>
        <v>-77465067393082.375</v>
      </c>
      <c r="L5880" s="444">
        <f t="shared" ca="1" si="217"/>
        <v>-1.8669081241732856E+16</v>
      </c>
      <c r="M5880" s="460">
        <f t="shared" si="219"/>
        <v>0.05</v>
      </c>
      <c r="N5880" s="464">
        <f t="shared" si="220"/>
        <v>230013</v>
      </c>
    </row>
    <row r="5881" spans="7:14" ht="11.25" customHeight="1" x14ac:dyDescent="0.25">
      <c r="G5881" s="459"/>
      <c r="H5881" s="459">
        <v>5874</v>
      </c>
      <c r="I5881" s="444">
        <f t="shared" ca="1" si="218"/>
        <v>-1.8669081241732856E+16</v>
      </c>
      <c r="J5881" s="444">
        <f t="array" ref="J5881">IFERROR(INDEX('Retirement Calculator'!J:J,MATCH('Isaac 401k'!N5881,'Retirement Calculator'!A:A,0),0),0)</f>
        <v>0</v>
      </c>
      <c r="K5881" s="444">
        <f t="shared" ca="1" si="216"/>
        <v>-77787838507220.234</v>
      </c>
      <c r="L5881" s="444">
        <f t="shared" ca="1" si="217"/>
        <v>-1.8746869080240076E+16</v>
      </c>
      <c r="M5881" s="460">
        <f t="shared" si="219"/>
        <v>0.05</v>
      </c>
      <c r="N5881" s="464">
        <f t="shared" si="220"/>
        <v>230044</v>
      </c>
    </row>
    <row r="5882" spans="7:14" ht="11.25" customHeight="1" x14ac:dyDescent="0.25">
      <c r="G5882" s="459"/>
      <c r="H5882" s="459">
        <v>5875</v>
      </c>
      <c r="I5882" s="444">
        <f t="shared" ca="1" si="218"/>
        <v>-1.8746869080240076E+16</v>
      </c>
      <c r="J5882" s="444">
        <f t="array" ref="J5882">IFERROR(INDEX('Retirement Calculator'!J:J,MATCH('Isaac 401k'!N5882,'Retirement Calculator'!A:A,0),0),0)</f>
        <v>0</v>
      </c>
      <c r="K5882" s="444">
        <f t="shared" ca="1" si="216"/>
        <v>-78111954501000.313</v>
      </c>
      <c r="L5882" s="444">
        <f t="shared" ca="1" si="217"/>
        <v>-1.8824981034741076E+16</v>
      </c>
      <c r="M5882" s="460">
        <f t="shared" si="219"/>
        <v>0.05</v>
      </c>
      <c r="N5882" s="464">
        <f t="shared" si="220"/>
        <v>230074</v>
      </c>
    </row>
    <row r="5883" spans="7:14" ht="11.25" customHeight="1" x14ac:dyDescent="0.25">
      <c r="G5883" s="459"/>
      <c r="H5883" s="459">
        <v>5876</v>
      </c>
      <c r="I5883" s="444">
        <f t="shared" ca="1" si="218"/>
        <v>-1.8824981034741076E+16</v>
      </c>
      <c r="J5883" s="444">
        <f t="array" ref="J5883">IFERROR(INDEX('Retirement Calculator'!J:J,MATCH('Isaac 401k'!N5883,'Retirement Calculator'!A:A,0),0),0)</f>
        <v>0</v>
      </c>
      <c r="K5883" s="444">
        <f t="shared" ca="1" si="216"/>
        <v>-78437420978087.813</v>
      </c>
      <c r="L5883" s="444">
        <f t="shared" ca="1" si="217"/>
        <v>-1.8903418455719164E+16</v>
      </c>
      <c r="M5883" s="460">
        <f t="shared" si="219"/>
        <v>0.05</v>
      </c>
      <c r="N5883" s="464">
        <f t="shared" si="220"/>
        <v>230105</v>
      </c>
    </row>
    <row r="5884" spans="7:14" ht="11.25" customHeight="1" x14ac:dyDescent="0.25">
      <c r="G5884" s="459"/>
      <c r="H5884" s="459">
        <v>5877</v>
      </c>
      <c r="I5884" s="444">
        <f t="shared" ca="1" si="218"/>
        <v>-1.8903418455719164E+16</v>
      </c>
      <c r="J5884" s="444">
        <f t="array" ref="J5884">IFERROR(INDEX('Retirement Calculator'!J:J,MATCH('Isaac 401k'!N5884,'Retirement Calculator'!A:A,0),0),0)</f>
        <v>0</v>
      </c>
      <c r="K5884" s="444">
        <f t="shared" ca="1" si="216"/>
        <v>-78764243565496.516</v>
      </c>
      <c r="L5884" s="444">
        <f t="shared" ca="1" si="217"/>
        <v>-1.898218269928466E+16</v>
      </c>
      <c r="M5884" s="460">
        <f t="shared" si="219"/>
        <v>0.05</v>
      </c>
      <c r="N5884" s="464">
        <f t="shared" si="220"/>
        <v>230136</v>
      </c>
    </row>
    <row r="5885" spans="7:14" ht="11.25" customHeight="1" x14ac:dyDescent="0.25">
      <c r="G5885" s="459"/>
      <c r="H5885" s="459">
        <v>5878</v>
      </c>
      <c r="I5885" s="444">
        <f t="shared" ca="1" si="218"/>
        <v>-1.898218269928466E+16</v>
      </c>
      <c r="J5885" s="444">
        <f t="array" ref="J5885">IFERROR(INDEX('Retirement Calculator'!J:J,MATCH('Isaac 401k'!N5885,'Retirement Calculator'!A:A,0),0),0)</f>
        <v>0</v>
      </c>
      <c r="K5885" s="444">
        <f t="shared" ca="1" si="216"/>
        <v>-79092427913686.078</v>
      </c>
      <c r="L5885" s="444">
        <f t="shared" ca="1" si="217"/>
        <v>-1.9061275127198348E+16</v>
      </c>
      <c r="M5885" s="460">
        <f t="shared" si="219"/>
        <v>0.05</v>
      </c>
      <c r="N5885" s="464">
        <f t="shared" si="220"/>
        <v>230164</v>
      </c>
    </row>
    <row r="5886" spans="7:14" ht="11.25" customHeight="1" x14ac:dyDescent="0.25">
      <c r="G5886" s="459"/>
      <c r="H5886" s="459">
        <v>5879</v>
      </c>
      <c r="I5886" s="444">
        <f t="shared" ca="1" si="218"/>
        <v>-1.9061275127198348E+16</v>
      </c>
      <c r="J5886" s="444">
        <f t="array" ref="J5886">IFERROR(INDEX('Retirement Calculator'!J:J,MATCH('Isaac 401k'!N5886,'Retirement Calculator'!A:A,0),0),0)</f>
        <v>0</v>
      </c>
      <c r="K5886" s="444">
        <f t="shared" ca="1" si="216"/>
        <v>-79421979696659.781</v>
      </c>
      <c r="L5886" s="444">
        <f t="shared" ca="1" si="217"/>
        <v>-1.9140697106895008E+16</v>
      </c>
      <c r="M5886" s="460">
        <f t="shared" si="219"/>
        <v>0.05</v>
      </c>
      <c r="N5886" s="464">
        <f t="shared" si="220"/>
        <v>230195</v>
      </c>
    </row>
    <row r="5887" spans="7:14" ht="11.25" customHeight="1" x14ac:dyDescent="0.25">
      <c r="G5887" s="459"/>
      <c r="H5887" s="459">
        <v>5880</v>
      </c>
      <c r="I5887" s="444">
        <f t="shared" ca="1" si="218"/>
        <v>-1.9140697106895008E+16</v>
      </c>
      <c r="J5887" s="444">
        <f t="array" ref="J5887">IFERROR(INDEX('Retirement Calculator'!J:J,MATCH('Isaac 401k'!N5887,'Retirement Calculator'!A:A,0),0),0)</f>
        <v>0</v>
      </c>
      <c r="K5887" s="444">
        <f t="shared" ca="1" si="216"/>
        <v>-79752904612062.531</v>
      </c>
      <c r="L5887" s="444">
        <f t="shared" ca="1" si="217"/>
        <v>-1.9220450011507072E+16</v>
      </c>
      <c r="M5887" s="460">
        <f t="shared" si="219"/>
        <v>0.05</v>
      </c>
      <c r="N5887" s="464">
        <f t="shared" si="220"/>
        <v>230225</v>
      </c>
    </row>
    <row r="5888" spans="7:14" ht="11.25" customHeight="1" x14ac:dyDescent="0.25">
      <c r="G5888" s="459"/>
      <c r="H5888" s="459">
        <v>5881</v>
      </c>
      <c r="I5888" s="444">
        <f t="shared" ca="1" si="218"/>
        <v>-1.9220450011507072E+16</v>
      </c>
      <c r="J5888" s="444">
        <f t="array" ref="J5888">IFERROR(INDEX('Retirement Calculator'!J:J,MATCH('Isaac 401k'!N5888,'Retirement Calculator'!A:A,0),0),0)</f>
        <v>0</v>
      </c>
      <c r="K5888" s="444">
        <f t="shared" ca="1" si="216"/>
        <v>-80085208381279.469</v>
      </c>
      <c r="L5888" s="444">
        <f t="shared" ca="1" si="217"/>
        <v>-1.9300535219888352E+16</v>
      </c>
      <c r="M5888" s="460">
        <f t="shared" si="219"/>
        <v>0.05</v>
      </c>
      <c r="N5888" s="464">
        <f t="shared" si="220"/>
        <v>230256</v>
      </c>
    </row>
    <row r="5889" spans="7:14" ht="11.25" customHeight="1" x14ac:dyDescent="0.25">
      <c r="G5889" s="459"/>
      <c r="H5889" s="459">
        <v>5882</v>
      </c>
      <c r="I5889" s="444">
        <f t="shared" ca="1" si="218"/>
        <v>-1.9300535219888352E+16</v>
      </c>
      <c r="J5889" s="444">
        <f t="array" ref="J5889">IFERROR(INDEX('Retirement Calculator'!J:J,MATCH('Isaac 401k'!N5889,'Retirement Calculator'!A:A,0),0),0)</f>
        <v>0</v>
      </c>
      <c r="K5889" s="444">
        <f t="shared" ca="1" si="216"/>
        <v>-80418896749534.797</v>
      </c>
      <c r="L5889" s="444">
        <f t="shared" ca="1" si="217"/>
        <v>-1.9380954116637888E+16</v>
      </c>
      <c r="M5889" s="460">
        <f t="shared" si="219"/>
        <v>0.05</v>
      </c>
      <c r="N5889" s="464">
        <f t="shared" si="220"/>
        <v>230286</v>
      </c>
    </row>
    <row r="5890" spans="7:14" ht="11.25" customHeight="1" x14ac:dyDescent="0.25">
      <c r="G5890" s="459"/>
      <c r="H5890" s="459">
        <v>5883</v>
      </c>
      <c r="I5890" s="444">
        <f t="shared" ca="1" si="218"/>
        <v>-1.9380954116637888E+16</v>
      </c>
      <c r="J5890" s="444">
        <f t="array" ref="J5890">IFERROR(INDEX('Retirement Calculator'!J:J,MATCH('Isaac 401k'!N5890,'Retirement Calculator'!A:A,0),0),0)</f>
        <v>0</v>
      </c>
      <c r="K5890" s="444">
        <f t="shared" ca="1" si="216"/>
        <v>-80753975485991.203</v>
      </c>
      <c r="L5890" s="444">
        <f t="shared" ca="1" si="217"/>
        <v>-1.946170809212388E+16</v>
      </c>
      <c r="M5890" s="460">
        <f t="shared" si="219"/>
        <v>0.05</v>
      </c>
      <c r="N5890" s="464">
        <f t="shared" si="220"/>
        <v>230317</v>
      </c>
    </row>
    <row r="5891" spans="7:14" ht="11.25" customHeight="1" x14ac:dyDescent="0.25">
      <c r="G5891" s="459"/>
      <c r="H5891" s="459">
        <v>5884</v>
      </c>
      <c r="I5891" s="444">
        <f t="shared" ca="1" si="218"/>
        <v>-1.946170809212388E+16</v>
      </c>
      <c r="J5891" s="444">
        <f t="array" ref="J5891">IFERROR(INDEX('Retirement Calculator'!J:J,MATCH('Isaac 401k'!N5891,'Retirement Calculator'!A:A,0),0),0)</f>
        <v>0</v>
      </c>
      <c r="K5891" s="444">
        <f t="shared" ca="1" si="216"/>
        <v>-81090450383849.5</v>
      </c>
      <c r="L5891" s="444">
        <f t="shared" ca="1" si="217"/>
        <v>-1.9542798542507728E+16</v>
      </c>
      <c r="M5891" s="460">
        <f t="shared" si="219"/>
        <v>0.05</v>
      </c>
      <c r="N5891" s="464">
        <f t="shared" si="220"/>
        <v>230348</v>
      </c>
    </row>
    <row r="5892" spans="7:14" ht="11.25" customHeight="1" x14ac:dyDescent="0.25">
      <c r="G5892" s="459"/>
      <c r="H5892" s="459">
        <v>5885</v>
      </c>
      <c r="I5892" s="444">
        <f t="shared" ca="1" si="218"/>
        <v>-1.9542798542507728E+16</v>
      </c>
      <c r="J5892" s="444">
        <f t="array" ref="J5892">IFERROR(INDEX('Retirement Calculator'!J:J,MATCH('Isaac 401k'!N5892,'Retirement Calculator'!A:A,0),0),0)</f>
        <v>0</v>
      </c>
      <c r="K5892" s="444">
        <f t="shared" ca="1" si="216"/>
        <v>-81428327260448.859</v>
      </c>
      <c r="L5892" s="444">
        <f t="shared" ca="1" si="217"/>
        <v>-1.9624226869768176E+16</v>
      </c>
      <c r="M5892" s="460">
        <f t="shared" si="219"/>
        <v>0.05</v>
      </c>
      <c r="N5892" s="464">
        <f t="shared" si="220"/>
        <v>230378</v>
      </c>
    </row>
    <row r="5893" spans="7:14" ht="11.25" customHeight="1" x14ac:dyDescent="0.25">
      <c r="G5893" s="459"/>
      <c r="H5893" s="459">
        <v>5886</v>
      </c>
      <c r="I5893" s="444">
        <f t="shared" ca="1" si="218"/>
        <v>-1.9624226869768176E+16</v>
      </c>
      <c r="J5893" s="444">
        <f t="array" ref="J5893">IFERROR(INDEX('Retirement Calculator'!J:J,MATCH('Isaac 401k'!N5893,'Retirement Calculator'!A:A,0),0),0)</f>
        <v>0</v>
      </c>
      <c r="K5893" s="444">
        <f t="shared" ca="1" si="216"/>
        <v>-81767611957367.406</v>
      </c>
      <c r="L5893" s="444">
        <f t="shared" ca="1" si="217"/>
        <v>-1.9705994481725544E+16</v>
      </c>
      <c r="M5893" s="460">
        <f t="shared" si="219"/>
        <v>0.05</v>
      </c>
      <c r="N5893" s="464">
        <f t="shared" si="220"/>
        <v>230409</v>
      </c>
    </row>
    <row r="5894" spans="7:14" ht="11.25" customHeight="1" x14ac:dyDescent="0.25">
      <c r="G5894" s="459"/>
      <c r="H5894" s="459">
        <v>5887</v>
      </c>
      <c r="I5894" s="444">
        <f t="shared" ca="1" si="218"/>
        <v>-1.9705994481725544E+16</v>
      </c>
      <c r="J5894" s="444">
        <f t="array" ref="J5894">IFERROR(INDEX('Retirement Calculator'!J:J,MATCH('Isaac 401k'!N5894,'Retirement Calculator'!A:A,0),0),0)</f>
        <v>0</v>
      </c>
      <c r="K5894" s="444">
        <f t="shared" ca="1" si="216"/>
        <v>-82108310340523.094</v>
      </c>
      <c r="L5894" s="444">
        <f t="shared" ca="1" si="217"/>
        <v>-1.9788102792066068E+16</v>
      </c>
      <c r="M5894" s="460">
        <f t="shared" si="219"/>
        <v>0.05</v>
      </c>
      <c r="N5894" s="464">
        <f t="shared" si="220"/>
        <v>230439</v>
      </c>
    </row>
    <row r="5895" spans="7:14" ht="11.25" customHeight="1" x14ac:dyDescent="0.25">
      <c r="G5895" s="459"/>
      <c r="H5895" s="459">
        <v>5888</v>
      </c>
      <c r="I5895" s="444">
        <f t="shared" ca="1" si="218"/>
        <v>-1.9788102792066068E+16</v>
      </c>
      <c r="J5895" s="444">
        <f t="array" ref="J5895">IFERROR(INDEX('Retirement Calculator'!J:J,MATCH('Isaac 401k'!N5895,'Retirement Calculator'!A:A,0),0),0)</f>
        <v>0</v>
      </c>
      <c r="K5895" s="444">
        <f t="shared" ca="1" si="216"/>
        <v>-82450428300275.281</v>
      </c>
      <c r="L5895" s="444">
        <f t="shared" ca="1" si="217"/>
        <v>-1.9870553220366344E+16</v>
      </c>
      <c r="M5895" s="460">
        <f t="shared" si="219"/>
        <v>0.05</v>
      </c>
      <c r="N5895" s="464">
        <f t="shared" si="220"/>
        <v>230470</v>
      </c>
    </row>
    <row r="5896" spans="7:14" ht="11.25" customHeight="1" x14ac:dyDescent="0.25">
      <c r="G5896" s="459"/>
      <c r="H5896" s="459">
        <v>5889</v>
      </c>
      <c r="I5896" s="444">
        <f t="shared" ca="1" si="218"/>
        <v>-1.9870553220366344E+16</v>
      </c>
      <c r="J5896" s="444">
        <f t="array" ref="J5896">IFERROR(INDEX('Retirement Calculator'!J:J,MATCH('Isaac 401k'!N5896,'Retirement Calculator'!A:A,0),0),0)</f>
        <v>0</v>
      </c>
      <c r="K5896" s="444">
        <f t="shared" ca="1" si="216"/>
        <v>-82793971751526.438</v>
      </c>
      <c r="L5896" s="444">
        <f t="shared" ca="1" si="217"/>
        <v>-1.9953347192117872E+16</v>
      </c>
      <c r="M5896" s="460">
        <f t="shared" si="219"/>
        <v>0.05</v>
      </c>
      <c r="N5896" s="464">
        <f t="shared" si="220"/>
        <v>230501</v>
      </c>
    </row>
    <row r="5897" spans="7:14" ht="11.25" customHeight="1" x14ac:dyDescent="0.25">
      <c r="G5897" s="459"/>
      <c r="H5897" s="459">
        <v>5890</v>
      </c>
      <c r="I5897" s="444">
        <f t="shared" ca="1" si="218"/>
        <v>-1.9953347192117872E+16</v>
      </c>
      <c r="J5897" s="444">
        <f t="array" ref="J5897">IFERROR(INDEX('Retirement Calculator'!J:J,MATCH('Isaac 401k'!N5897,'Retirement Calculator'!A:A,0),0),0)</f>
        <v>0</v>
      </c>
      <c r="K5897" s="444">
        <f t="shared" ca="1" si="216"/>
        <v>-83138946633824.469</v>
      </c>
      <c r="L5897" s="444">
        <f t="shared" ca="1" si="217"/>
        <v>-2.0036486138751696E+16</v>
      </c>
      <c r="M5897" s="460">
        <f t="shared" si="219"/>
        <v>0.05</v>
      </c>
      <c r="N5897" s="464">
        <f t="shared" si="220"/>
        <v>230529</v>
      </c>
    </row>
    <row r="5898" spans="7:14" ht="11.25" customHeight="1" x14ac:dyDescent="0.25">
      <c r="G5898" s="459"/>
      <c r="H5898" s="459">
        <v>5891</v>
      </c>
      <c r="I5898" s="444">
        <f t="shared" ca="1" si="218"/>
        <v>-2.0036486138751696E+16</v>
      </c>
      <c r="J5898" s="444">
        <f t="array" ref="J5898">IFERROR(INDEX('Retirement Calculator'!J:J,MATCH('Isaac 401k'!N5898,'Retirement Calculator'!A:A,0),0),0)</f>
        <v>0</v>
      </c>
      <c r="K5898" s="444">
        <f t="shared" ca="1" si="216"/>
        <v>-83485358911465.406</v>
      </c>
      <c r="L5898" s="444">
        <f t="shared" ca="1" si="217"/>
        <v>-2.011997149766316E+16</v>
      </c>
      <c r="M5898" s="460">
        <f t="shared" si="219"/>
        <v>0.05</v>
      </c>
      <c r="N5898" s="464">
        <f t="shared" si="220"/>
        <v>230560</v>
      </c>
    </row>
    <row r="5899" spans="7:14" ht="11.25" customHeight="1" x14ac:dyDescent="0.25">
      <c r="G5899" s="459"/>
      <c r="H5899" s="459">
        <v>5892</v>
      </c>
      <c r="I5899" s="444">
        <f t="shared" ca="1" si="218"/>
        <v>-2.011997149766316E+16</v>
      </c>
      <c r="J5899" s="444">
        <f t="array" ref="J5899">IFERROR(INDEX('Retirement Calculator'!J:J,MATCH('Isaac 401k'!N5899,'Retirement Calculator'!A:A,0),0),0)</f>
        <v>0</v>
      </c>
      <c r="K5899" s="444">
        <f t="shared" ca="1" si="216"/>
        <v>-83833214573596.5</v>
      </c>
      <c r="L5899" s="444">
        <f t="shared" ca="1" si="217"/>
        <v>-2.0203804712236756E+16</v>
      </c>
      <c r="M5899" s="460">
        <f t="shared" si="219"/>
        <v>0.05</v>
      </c>
      <c r="N5899" s="464">
        <f t="shared" si="220"/>
        <v>230590</v>
      </c>
    </row>
    <row r="5900" spans="7:14" ht="11.25" customHeight="1" x14ac:dyDescent="0.25">
      <c r="G5900" s="459"/>
      <c r="H5900" s="459">
        <v>5893</v>
      </c>
      <c r="I5900" s="444">
        <f t="shared" ca="1" si="218"/>
        <v>-2.0203804712236756E+16</v>
      </c>
      <c r="J5900" s="444">
        <f t="array" ref="J5900">IFERROR(INDEX('Retirement Calculator'!J:J,MATCH('Isaac 401k'!N5900,'Retirement Calculator'!A:A,0),0),0)</f>
        <v>0</v>
      </c>
      <c r="K5900" s="444">
        <f t="shared" ca="1" si="216"/>
        <v>-84182519634319.813</v>
      </c>
      <c r="L5900" s="444">
        <f t="shared" ca="1" si="217"/>
        <v>-2.0287987231871076E+16</v>
      </c>
      <c r="M5900" s="460">
        <f t="shared" si="219"/>
        <v>0.05</v>
      </c>
      <c r="N5900" s="464">
        <f t="shared" si="220"/>
        <v>230621</v>
      </c>
    </row>
    <row r="5901" spans="7:14" ht="11.25" customHeight="1" x14ac:dyDescent="0.25">
      <c r="G5901" s="459"/>
      <c r="H5901" s="459">
        <v>5894</v>
      </c>
      <c r="I5901" s="444">
        <f t="shared" ca="1" si="218"/>
        <v>-2.0287987231871076E+16</v>
      </c>
      <c r="J5901" s="444">
        <f t="array" ref="J5901">IFERROR(INDEX('Retirement Calculator'!J:J,MATCH('Isaac 401k'!N5901,'Retirement Calculator'!A:A,0),0),0)</f>
        <v>0</v>
      </c>
      <c r="K5901" s="444">
        <f t="shared" ca="1" si="216"/>
        <v>-84533280132796.156</v>
      </c>
      <c r="L5901" s="444">
        <f t="shared" ca="1" si="217"/>
        <v>-2.0372520512003872E+16</v>
      </c>
      <c r="M5901" s="460">
        <f t="shared" si="219"/>
        <v>0.05</v>
      </c>
      <c r="N5901" s="464">
        <f t="shared" si="220"/>
        <v>230651</v>
      </c>
    </row>
    <row r="5902" spans="7:14" ht="11.25" customHeight="1" x14ac:dyDescent="0.25">
      <c r="G5902" s="459"/>
      <c r="H5902" s="459">
        <v>5895</v>
      </c>
      <c r="I5902" s="444">
        <f t="shared" ca="1" si="218"/>
        <v>-2.0372520512003872E+16</v>
      </c>
      <c r="J5902" s="444">
        <f t="array" ref="J5902">IFERROR(INDEX('Retirement Calculator'!J:J,MATCH('Isaac 401k'!N5902,'Retirement Calculator'!A:A,0),0),0)</f>
        <v>0</v>
      </c>
      <c r="K5902" s="444">
        <f t="shared" ca="1" si="216"/>
        <v>-84885502133349.469</v>
      </c>
      <c r="L5902" s="444">
        <f t="shared" ca="1" si="217"/>
        <v>-2.045740601413722E+16</v>
      </c>
      <c r="M5902" s="460">
        <f t="shared" si="219"/>
        <v>0.05</v>
      </c>
      <c r="N5902" s="464">
        <f t="shared" si="220"/>
        <v>230682</v>
      </c>
    </row>
    <row r="5903" spans="7:14" ht="11.25" customHeight="1" x14ac:dyDescent="0.25">
      <c r="G5903" s="459"/>
      <c r="H5903" s="459">
        <v>5896</v>
      </c>
      <c r="I5903" s="444">
        <f t="shared" ca="1" si="218"/>
        <v>-2.045740601413722E+16</v>
      </c>
      <c r="J5903" s="444">
        <f t="array" ref="J5903">IFERROR(INDEX('Retirement Calculator'!J:J,MATCH('Isaac 401k'!N5903,'Retirement Calculator'!A:A,0),0),0)</f>
        <v>0</v>
      </c>
      <c r="K5903" s="444">
        <f t="shared" ca="1" si="216"/>
        <v>-85239191725571.75</v>
      </c>
      <c r="L5903" s="444">
        <f t="shared" ca="1" si="217"/>
        <v>-2.0542645205862792E+16</v>
      </c>
      <c r="M5903" s="460">
        <f t="shared" si="219"/>
        <v>0.05</v>
      </c>
      <c r="N5903" s="464">
        <f t="shared" si="220"/>
        <v>230713</v>
      </c>
    </row>
    <row r="5904" spans="7:14" ht="11.25" customHeight="1" x14ac:dyDescent="0.25">
      <c r="G5904" s="459"/>
      <c r="H5904" s="459">
        <v>5897</v>
      </c>
      <c r="I5904" s="444">
        <f t="shared" ca="1" si="218"/>
        <v>-2.0542645205862792E+16</v>
      </c>
      <c r="J5904" s="444">
        <f t="array" ref="J5904">IFERROR(INDEX('Retirement Calculator'!J:J,MATCH('Isaac 401k'!N5904,'Retirement Calculator'!A:A,0),0),0)</f>
        <v>0</v>
      </c>
      <c r="K5904" s="444">
        <f t="shared" ca="1" si="216"/>
        <v>-85594355024428.297</v>
      </c>
      <c r="L5904" s="444">
        <f t="shared" ca="1" si="217"/>
        <v>-2.062823956088722E+16</v>
      </c>
      <c r="M5904" s="460">
        <f t="shared" si="219"/>
        <v>0.05</v>
      </c>
      <c r="N5904" s="464">
        <f t="shared" si="220"/>
        <v>230743</v>
      </c>
    </row>
    <row r="5905" spans="7:14" ht="11.25" customHeight="1" x14ac:dyDescent="0.25">
      <c r="G5905" s="459"/>
      <c r="H5905" s="459">
        <v>5898</v>
      </c>
      <c r="I5905" s="444">
        <f t="shared" ca="1" si="218"/>
        <v>-2.062823956088722E+16</v>
      </c>
      <c r="J5905" s="444">
        <f t="array" ref="J5905">IFERROR(INDEX('Retirement Calculator'!J:J,MATCH('Isaac 401k'!N5905,'Retirement Calculator'!A:A,0),0),0)</f>
        <v>0</v>
      </c>
      <c r="K5905" s="444">
        <f t="shared" ca="1" si="216"/>
        <v>-85950998170363.422</v>
      </c>
      <c r="L5905" s="444">
        <f t="shared" ca="1" si="217"/>
        <v>-2.0714190559057584E+16</v>
      </c>
      <c r="M5905" s="460">
        <f t="shared" si="219"/>
        <v>0.05</v>
      </c>
      <c r="N5905" s="464">
        <f t="shared" si="220"/>
        <v>230774</v>
      </c>
    </row>
    <row r="5906" spans="7:14" ht="11.25" customHeight="1" x14ac:dyDescent="0.25">
      <c r="G5906" s="459"/>
      <c r="H5906" s="459">
        <v>5899</v>
      </c>
      <c r="I5906" s="444">
        <f t="shared" ca="1" si="218"/>
        <v>-2.0714190559057584E+16</v>
      </c>
      <c r="J5906" s="444">
        <f t="array" ref="J5906">IFERROR(INDEX('Retirement Calculator'!J:J,MATCH('Isaac 401k'!N5906,'Retirement Calculator'!A:A,0),0),0)</f>
        <v>0</v>
      </c>
      <c r="K5906" s="444">
        <f t="shared" ca="1" si="216"/>
        <v>-86309127329406.594</v>
      </c>
      <c r="L5906" s="444">
        <f t="shared" ca="1" si="217"/>
        <v>-2.0800499686386992E+16</v>
      </c>
      <c r="M5906" s="460">
        <f t="shared" si="219"/>
        <v>0.05</v>
      </c>
      <c r="N5906" s="464">
        <f t="shared" si="220"/>
        <v>230804</v>
      </c>
    </row>
    <row r="5907" spans="7:14" ht="11.25" customHeight="1" x14ac:dyDescent="0.25">
      <c r="G5907" s="459"/>
      <c r="H5907" s="459">
        <v>5900</v>
      </c>
      <c r="I5907" s="444">
        <f t="shared" ca="1" si="218"/>
        <v>-2.0800499686386992E+16</v>
      </c>
      <c r="J5907" s="444">
        <f t="array" ref="J5907">IFERROR(INDEX('Retirement Calculator'!J:J,MATCH('Isaac 401k'!N5907,'Retirement Calculator'!A:A,0),0),0)</f>
        <v>0</v>
      </c>
      <c r="K5907" s="444">
        <f t="shared" ca="1" si="216"/>
        <v>-86668748693279.125</v>
      </c>
      <c r="L5907" s="444">
        <f t="shared" ca="1" si="217"/>
        <v>-2.0887168435080272E+16</v>
      </c>
      <c r="M5907" s="460">
        <f t="shared" si="219"/>
        <v>0.05</v>
      </c>
      <c r="N5907" s="464">
        <f t="shared" si="220"/>
        <v>230835</v>
      </c>
    </row>
    <row r="5908" spans="7:14" ht="11.25" customHeight="1" x14ac:dyDescent="0.25">
      <c r="G5908" s="459"/>
      <c r="H5908" s="459">
        <v>5901</v>
      </c>
      <c r="I5908" s="444">
        <f t="shared" ca="1" si="218"/>
        <v>-2.0887168435080272E+16</v>
      </c>
      <c r="J5908" s="444">
        <f t="array" ref="J5908">IFERROR(INDEX('Retirement Calculator'!J:J,MATCH('Isaac 401k'!N5908,'Retirement Calculator'!A:A,0),0),0)</f>
        <v>0</v>
      </c>
      <c r="K5908" s="444">
        <f t="shared" ca="1" si="216"/>
        <v>-87029868479501.125</v>
      </c>
      <c r="L5908" s="444">
        <f t="shared" ca="1" si="217"/>
        <v>-2.0974198303559772E+16</v>
      </c>
      <c r="M5908" s="460">
        <f t="shared" si="219"/>
        <v>0.05</v>
      </c>
      <c r="N5908" s="464">
        <f t="shared" si="220"/>
        <v>230866</v>
      </c>
    </row>
    <row r="5909" spans="7:14" ht="11.25" customHeight="1" x14ac:dyDescent="0.25">
      <c r="G5909" s="459"/>
      <c r="H5909" s="459">
        <v>5902</v>
      </c>
      <c r="I5909" s="444">
        <f t="shared" ca="1" si="218"/>
        <v>-2.0974198303559772E+16</v>
      </c>
      <c r="J5909" s="444">
        <f t="array" ref="J5909">IFERROR(INDEX('Retirement Calculator'!J:J,MATCH('Isaac 401k'!N5909,'Retirement Calculator'!A:A,0),0),0)</f>
        <v>0</v>
      </c>
      <c r="K5909" s="444">
        <f t="shared" ca="1" si="216"/>
        <v>-87392492931499.047</v>
      </c>
      <c r="L5909" s="444">
        <f t="shared" ca="1" si="217"/>
        <v>-2.1061590796491272E+16</v>
      </c>
      <c r="M5909" s="460">
        <f t="shared" si="219"/>
        <v>0.05</v>
      </c>
      <c r="N5909" s="464">
        <f t="shared" si="220"/>
        <v>230895</v>
      </c>
    </row>
    <row r="5910" spans="7:14" ht="11.25" customHeight="1" x14ac:dyDescent="0.25">
      <c r="G5910" s="459"/>
      <c r="H5910" s="459">
        <v>5903</v>
      </c>
      <c r="I5910" s="444">
        <f t="shared" ca="1" si="218"/>
        <v>-2.1061590796491272E+16</v>
      </c>
      <c r="J5910" s="444">
        <f t="array" ref="J5910">IFERROR(INDEX('Retirement Calculator'!J:J,MATCH('Isaac 401k'!N5910,'Retirement Calculator'!A:A,0),0),0)</f>
        <v>0</v>
      </c>
      <c r="K5910" s="444">
        <f t="shared" ca="1" si="216"/>
        <v>-87756628318713.625</v>
      </c>
      <c r="L5910" s="444">
        <f t="shared" ca="1" si="217"/>
        <v>-2.1149347424809984E+16</v>
      </c>
      <c r="M5910" s="460">
        <f t="shared" si="219"/>
        <v>0.05</v>
      </c>
      <c r="N5910" s="464">
        <f t="shared" si="220"/>
        <v>230926</v>
      </c>
    </row>
    <row r="5911" spans="7:14" ht="11.25" customHeight="1" x14ac:dyDescent="0.25">
      <c r="G5911" s="459"/>
      <c r="H5911" s="459">
        <v>5904</v>
      </c>
      <c r="I5911" s="444">
        <f t="shared" ca="1" si="218"/>
        <v>-2.1149347424809984E+16</v>
      </c>
      <c r="J5911" s="444">
        <f t="array" ref="J5911">IFERROR(INDEX('Retirement Calculator'!J:J,MATCH('Isaac 401k'!N5911,'Retirement Calculator'!A:A,0),0),0)</f>
        <v>0</v>
      </c>
      <c r="K5911" s="444">
        <f t="shared" ca="1" si="216"/>
        <v>-88122280936708.266</v>
      </c>
      <c r="L5911" s="444">
        <f t="shared" ca="1" si="217"/>
        <v>-2.1237469705746692E+16</v>
      </c>
      <c r="M5911" s="460">
        <f t="shared" si="219"/>
        <v>0.05</v>
      </c>
      <c r="N5911" s="464">
        <f t="shared" si="220"/>
        <v>230956</v>
      </c>
    </row>
    <row r="5912" spans="7:14" ht="11.25" customHeight="1" x14ac:dyDescent="0.25">
      <c r="G5912" s="459"/>
      <c r="H5912" s="459">
        <v>5905</v>
      </c>
      <c r="I5912" s="444">
        <f t="shared" ca="1" si="218"/>
        <v>-2.1237469705746692E+16</v>
      </c>
      <c r="J5912" s="444">
        <f t="array" ref="J5912">IFERROR(INDEX('Retirement Calculator'!J:J,MATCH('Isaac 401k'!N5912,'Retirement Calculator'!A:A,0),0),0)</f>
        <v>0</v>
      </c>
      <c r="K5912" s="444">
        <f t="shared" ca="1" si="216"/>
        <v>-88489457107277.875</v>
      </c>
      <c r="L5912" s="444">
        <f t="shared" ca="1" si="217"/>
        <v>-2.1325959162853968E+16</v>
      </c>
      <c r="M5912" s="460">
        <f t="shared" si="219"/>
        <v>0.05</v>
      </c>
      <c r="N5912" s="464">
        <f t="shared" si="220"/>
        <v>230987</v>
      </c>
    </row>
    <row r="5913" spans="7:14" ht="11.25" customHeight="1" x14ac:dyDescent="0.25">
      <c r="G5913" s="459"/>
      <c r="H5913" s="459">
        <v>5906</v>
      </c>
      <c r="I5913" s="444">
        <f t="shared" ca="1" si="218"/>
        <v>-2.1325959162853968E+16</v>
      </c>
      <c r="J5913" s="444">
        <f t="array" ref="J5913">IFERROR(INDEX('Retirement Calculator'!J:J,MATCH('Isaac 401k'!N5913,'Retirement Calculator'!A:A,0),0),0)</f>
        <v>0</v>
      </c>
      <c r="K5913" s="444">
        <f t="shared" ca="1" si="216"/>
        <v>-88858163178558.203</v>
      </c>
      <c r="L5913" s="444">
        <f t="shared" ca="1" si="217"/>
        <v>-2.1414817326032528E+16</v>
      </c>
      <c r="M5913" s="460">
        <f t="shared" si="219"/>
        <v>0.05</v>
      </c>
      <c r="N5913" s="464">
        <f t="shared" si="220"/>
        <v>231017</v>
      </c>
    </row>
    <row r="5914" spans="7:14" ht="11.25" customHeight="1" x14ac:dyDescent="0.25">
      <c r="G5914" s="459"/>
      <c r="H5914" s="459">
        <v>5907</v>
      </c>
      <c r="I5914" s="444">
        <f t="shared" ca="1" si="218"/>
        <v>-2.1414817326032528E+16</v>
      </c>
      <c r="J5914" s="444">
        <f t="array" ref="J5914">IFERROR(INDEX('Retirement Calculator'!J:J,MATCH('Isaac 401k'!N5914,'Retirement Calculator'!A:A,0),0),0)</f>
        <v>0</v>
      </c>
      <c r="K5914" s="444">
        <f t="shared" ca="1" si="216"/>
        <v>-89228405525135.531</v>
      </c>
      <c r="L5914" s="444">
        <f t="shared" ca="1" si="217"/>
        <v>-2.1504045731557664E+16</v>
      </c>
      <c r="M5914" s="460">
        <f t="shared" si="219"/>
        <v>0.05</v>
      </c>
      <c r="N5914" s="464">
        <f t="shared" si="220"/>
        <v>231048</v>
      </c>
    </row>
    <row r="5915" spans="7:14" ht="11.25" customHeight="1" x14ac:dyDescent="0.25">
      <c r="G5915" s="459"/>
      <c r="H5915" s="459">
        <v>5908</v>
      </c>
      <c r="I5915" s="444">
        <f t="shared" ca="1" si="218"/>
        <v>-2.1504045731557664E+16</v>
      </c>
      <c r="J5915" s="444">
        <f t="array" ref="J5915">IFERROR(INDEX('Retirement Calculator'!J:J,MATCH('Isaac 401k'!N5915,'Retirement Calculator'!A:A,0),0),0)</f>
        <v>0</v>
      </c>
      <c r="K5915" s="444">
        <f t="shared" ca="1" si="216"/>
        <v>-89600190548156.938</v>
      </c>
      <c r="L5915" s="444">
        <f t="shared" ca="1" si="217"/>
        <v>-2.159364592210582E+16</v>
      </c>
      <c r="M5915" s="460">
        <f t="shared" si="219"/>
        <v>0.05</v>
      </c>
      <c r="N5915" s="464">
        <f t="shared" si="220"/>
        <v>231079</v>
      </c>
    </row>
    <row r="5916" spans="7:14" ht="11.25" customHeight="1" x14ac:dyDescent="0.25">
      <c r="G5916" s="459"/>
      <c r="H5916" s="459">
        <v>5909</v>
      </c>
      <c r="I5916" s="444">
        <f t="shared" ca="1" si="218"/>
        <v>-2.159364592210582E+16</v>
      </c>
      <c r="J5916" s="444">
        <f t="array" ref="J5916">IFERROR(INDEX('Retirement Calculator'!J:J,MATCH('Isaac 401k'!N5916,'Retirement Calculator'!A:A,0),0),0)</f>
        <v>0</v>
      </c>
      <c r="K5916" s="444">
        <f t="shared" ca="1" si="216"/>
        <v>-89973524675440.922</v>
      </c>
      <c r="L5916" s="444">
        <f t="shared" ca="1" si="217"/>
        <v>-2.168361944678126E+16</v>
      </c>
      <c r="M5916" s="460">
        <f t="shared" si="219"/>
        <v>0.05</v>
      </c>
      <c r="N5916" s="464">
        <f t="shared" si="220"/>
        <v>231109</v>
      </c>
    </row>
    <row r="5917" spans="7:14" ht="11.25" customHeight="1" x14ac:dyDescent="0.25">
      <c r="G5917" s="459"/>
      <c r="H5917" s="459">
        <v>5910</v>
      </c>
      <c r="I5917" s="444">
        <f t="shared" ca="1" si="218"/>
        <v>-2.168361944678126E+16</v>
      </c>
      <c r="J5917" s="444">
        <f t="array" ref="J5917">IFERROR(INDEX('Retirement Calculator'!J:J,MATCH('Isaac 401k'!N5917,'Retirement Calculator'!A:A,0),0),0)</f>
        <v>0</v>
      </c>
      <c r="K5917" s="444">
        <f t="shared" ca="1" si="216"/>
        <v>-90348414361588.578</v>
      </c>
      <c r="L5917" s="444">
        <f t="shared" ca="1" si="217"/>
        <v>-2.1773967861142848E+16</v>
      </c>
      <c r="M5917" s="460">
        <f t="shared" si="219"/>
        <v>0.05</v>
      </c>
      <c r="N5917" s="464">
        <f t="shared" si="220"/>
        <v>231140</v>
      </c>
    </row>
    <row r="5918" spans="7:14" ht="11.25" customHeight="1" x14ac:dyDescent="0.25">
      <c r="G5918" s="459"/>
      <c r="H5918" s="459">
        <v>5911</v>
      </c>
      <c r="I5918" s="444">
        <f t="shared" ca="1" si="218"/>
        <v>-2.1773967861142848E+16</v>
      </c>
      <c r="J5918" s="444">
        <f t="array" ref="J5918">IFERROR(INDEX('Retirement Calculator'!J:J,MATCH('Isaac 401k'!N5918,'Retirement Calculator'!A:A,0),0),0)</f>
        <v>0</v>
      </c>
      <c r="K5918" s="444">
        <f t="shared" ca="1" si="216"/>
        <v>-90724866088095.203</v>
      </c>
      <c r="L5918" s="444">
        <f t="shared" ca="1" si="217"/>
        <v>-2.1864692727230944E+16</v>
      </c>
      <c r="M5918" s="460">
        <f t="shared" si="219"/>
        <v>0.05</v>
      </c>
      <c r="N5918" s="464">
        <f t="shared" si="220"/>
        <v>231170</v>
      </c>
    </row>
    <row r="5919" spans="7:14" ht="11.25" customHeight="1" x14ac:dyDescent="0.25">
      <c r="G5919" s="459"/>
      <c r="H5919" s="459">
        <v>5912</v>
      </c>
      <c r="I5919" s="444">
        <f t="shared" ca="1" si="218"/>
        <v>-2.1864692727230944E+16</v>
      </c>
      <c r="J5919" s="444">
        <f t="array" ref="J5919">IFERROR(INDEX('Retirement Calculator'!J:J,MATCH('Isaac 401k'!N5919,'Retirement Calculator'!A:A,0),0),0)</f>
        <v>0</v>
      </c>
      <c r="K5919" s="444">
        <f t="shared" ca="1" si="216"/>
        <v>-91102886363462.266</v>
      </c>
      <c r="L5919" s="444">
        <f t="shared" ca="1" si="217"/>
        <v>-2.1955795613594408E+16</v>
      </c>
      <c r="M5919" s="460">
        <f t="shared" si="219"/>
        <v>0.05</v>
      </c>
      <c r="N5919" s="464">
        <f t="shared" si="220"/>
        <v>231201</v>
      </c>
    </row>
    <row r="5920" spans="7:14" ht="11.25" customHeight="1" x14ac:dyDescent="0.25">
      <c r="G5920" s="459"/>
      <c r="H5920" s="459">
        <v>5913</v>
      </c>
      <c r="I5920" s="444">
        <f t="shared" ca="1" si="218"/>
        <v>-2.1955795613594408E+16</v>
      </c>
      <c r="J5920" s="444">
        <f t="array" ref="J5920">IFERROR(INDEX('Retirement Calculator'!J:J,MATCH('Isaac 401k'!N5920,'Retirement Calculator'!A:A,0),0),0)</f>
        <v>0</v>
      </c>
      <c r="K5920" s="444">
        <f t="shared" ca="1" si="216"/>
        <v>-91482481723310.031</v>
      </c>
      <c r="L5920" s="444">
        <f t="shared" ca="1" si="217"/>
        <v>-2.204727809531772E+16</v>
      </c>
      <c r="M5920" s="460">
        <f t="shared" si="219"/>
        <v>0.05</v>
      </c>
      <c r="N5920" s="464">
        <f t="shared" si="220"/>
        <v>231232</v>
      </c>
    </row>
    <row r="5921" spans="7:14" ht="11.25" customHeight="1" x14ac:dyDescent="0.25">
      <c r="G5921" s="459"/>
      <c r="H5921" s="459">
        <v>5914</v>
      </c>
      <c r="I5921" s="444">
        <f t="shared" ca="1" si="218"/>
        <v>-2.204727809531772E+16</v>
      </c>
      <c r="J5921" s="444">
        <f t="array" ref="J5921">IFERROR(INDEX('Retirement Calculator'!J:J,MATCH('Isaac 401k'!N5921,'Retirement Calculator'!A:A,0),0),0)</f>
        <v>0</v>
      </c>
      <c r="K5921" s="444">
        <f t="shared" ca="1" si="216"/>
        <v>-91863658730490.5</v>
      </c>
      <c r="L5921" s="444">
        <f t="shared" ca="1" si="217"/>
        <v>-2.2139141754048212E+16</v>
      </c>
      <c r="M5921" s="460">
        <f t="shared" si="219"/>
        <v>0.05</v>
      </c>
      <c r="N5921" s="464">
        <f t="shared" si="220"/>
        <v>231260</v>
      </c>
    </row>
    <row r="5922" spans="7:14" ht="11.25" customHeight="1" x14ac:dyDescent="0.25">
      <c r="G5922" s="459"/>
      <c r="H5922" s="459">
        <v>5915</v>
      </c>
      <c r="I5922" s="444">
        <f t="shared" ca="1" si="218"/>
        <v>-2.2139141754048212E+16</v>
      </c>
      <c r="J5922" s="444">
        <f t="array" ref="J5922">IFERROR(INDEX('Retirement Calculator'!J:J,MATCH('Isaac 401k'!N5922,'Retirement Calculator'!A:A,0),0),0)</f>
        <v>0</v>
      </c>
      <c r="K5922" s="444">
        <f t="shared" ca="1" si="216"/>
        <v>-92246423975200.875</v>
      </c>
      <c r="L5922" s="444">
        <f t="shared" ca="1" si="217"/>
        <v>-2.2231388178023412E+16</v>
      </c>
      <c r="M5922" s="460">
        <f t="shared" si="219"/>
        <v>0.05</v>
      </c>
      <c r="N5922" s="464">
        <f t="shared" si="220"/>
        <v>231291</v>
      </c>
    </row>
    <row r="5923" spans="7:14" ht="11.25" customHeight="1" x14ac:dyDescent="0.25">
      <c r="G5923" s="459"/>
      <c r="H5923" s="459">
        <v>5916</v>
      </c>
      <c r="I5923" s="444">
        <f t="shared" ca="1" si="218"/>
        <v>-2.2231388178023412E+16</v>
      </c>
      <c r="J5923" s="444">
        <f t="array" ref="J5923">IFERROR(INDEX('Retirement Calculator'!J:J,MATCH('Isaac 401k'!N5923,'Retirement Calculator'!A:A,0),0),0)</f>
        <v>0</v>
      </c>
      <c r="K5923" s="444">
        <f t="shared" ca="1" si="216"/>
        <v>-92630784075097.547</v>
      </c>
      <c r="L5923" s="444">
        <f t="shared" ca="1" si="217"/>
        <v>-2.2324018962098508E+16</v>
      </c>
      <c r="M5923" s="460">
        <f t="shared" si="219"/>
        <v>0.05</v>
      </c>
      <c r="N5923" s="464">
        <f t="shared" si="220"/>
        <v>231321</v>
      </c>
    </row>
    <row r="5924" spans="7:14" ht="11.25" customHeight="1" x14ac:dyDescent="0.25">
      <c r="G5924" s="459"/>
      <c r="H5924" s="459">
        <v>5917</v>
      </c>
      <c r="I5924" s="444">
        <f t="shared" ca="1" si="218"/>
        <v>-2.2324018962098508E+16</v>
      </c>
      <c r="J5924" s="444">
        <f t="array" ref="J5924">IFERROR(INDEX('Retirement Calculator'!J:J,MATCH('Isaac 401k'!N5924,'Retirement Calculator'!A:A,0),0),0)</f>
        <v>0</v>
      </c>
      <c r="K5924" s="444">
        <f t="shared" ca="1" si="216"/>
        <v>-93016745675410.453</v>
      </c>
      <c r="L5924" s="444">
        <f t="shared" ca="1" si="217"/>
        <v>-2.241703570777392E+16</v>
      </c>
      <c r="M5924" s="460">
        <f t="shared" si="219"/>
        <v>0.05</v>
      </c>
      <c r="N5924" s="464">
        <f t="shared" si="220"/>
        <v>231352</v>
      </c>
    </row>
    <row r="5925" spans="7:14" ht="11.25" customHeight="1" x14ac:dyDescent="0.25">
      <c r="G5925" s="459"/>
      <c r="H5925" s="459">
        <v>5918</v>
      </c>
      <c r="I5925" s="444">
        <f t="shared" ca="1" si="218"/>
        <v>-2.241703570777392E+16</v>
      </c>
      <c r="J5925" s="444">
        <f t="array" ref="J5925">IFERROR(INDEX('Retirement Calculator'!J:J,MATCH('Isaac 401k'!N5925,'Retirement Calculator'!A:A,0),0),0)</f>
        <v>0</v>
      </c>
      <c r="K5925" s="444">
        <f t="shared" ca="1" si="216"/>
        <v>-93404315449058</v>
      </c>
      <c r="L5925" s="444">
        <f t="shared" ca="1" si="217"/>
        <v>-2.2510440023222976E+16</v>
      </c>
      <c r="M5925" s="460">
        <f t="shared" si="219"/>
        <v>0.05</v>
      </c>
      <c r="N5925" s="464">
        <f t="shared" si="220"/>
        <v>231382</v>
      </c>
    </row>
    <row r="5926" spans="7:14" ht="11.25" customHeight="1" x14ac:dyDescent="0.25">
      <c r="G5926" s="459"/>
      <c r="H5926" s="459">
        <v>5919</v>
      </c>
      <c r="I5926" s="444">
        <f t="shared" ca="1" si="218"/>
        <v>-2.2510440023222976E+16</v>
      </c>
      <c r="J5926" s="444">
        <f t="array" ref="J5926">IFERROR(INDEX('Retirement Calculator'!J:J,MATCH('Isaac 401k'!N5926,'Retirement Calculator'!A:A,0),0),0)</f>
        <v>0</v>
      </c>
      <c r="K5926" s="444">
        <f t="shared" ca="1" si="216"/>
        <v>-93793500096762.406</v>
      </c>
      <c r="L5926" s="444">
        <f t="shared" ca="1" si="217"/>
        <v>-2.260423352331974E+16</v>
      </c>
      <c r="M5926" s="460">
        <f t="shared" si="219"/>
        <v>0.05</v>
      </c>
      <c r="N5926" s="464">
        <f t="shared" si="220"/>
        <v>231413</v>
      </c>
    </row>
    <row r="5927" spans="7:14" ht="11.25" customHeight="1" x14ac:dyDescent="0.25">
      <c r="G5927" s="459"/>
      <c r="H5927" s="459">
        <v>5920</v>
      </c>
      <c r="I5927" s="444">
        <f t="shared" ca="1" si="218"/>
        <v>-2.260423352331974E+16</v>
      </c>
      <c r="J5927" s="444">
        <f t="array" ref="J5927">IFERROR(INDEX('Retirement Calculator'!J:J,MATCH('Isaac 401k'!N5927,'Retirement Calculator'!A:A,0),0),0)</f>
        <v>0</v>
      </c>
      <c r="K5927" s="444">
        <f t="shared" ca="1" si="216"/>
        <v>-94184306347165.578</v>
      </c>
      <c r="L5927" s="444">
        <f t="shared" ca="1" si="217"/>
        <v>-2.2698417829666904E+16</v>
      </c>
      <c r="M5927" s="460">
        <f t="shared" si="219"/>
        <v>0.05</v>
      </c>
      <c r="N5927" s="464">
        <f t="shared" si="220"/>
        <v>231444</v>
      </c>
    </row>
    <row r="5928" spans="7:14" ht="11.25" customHeight="1" x14ac:dyDescent="0.25">
      <c r="G5928" s="459"/>
      <c r="H5928" s="459">
        <v>5921</v>
      </c>
      <c r="I5928" s="444">
        <f t="shared" ca="1" si="218"/>
        <v>-2.2698417829666904E+16</v>
      </c>
      <c r="J5928" s="444">
        <f t="array" ref="J5928">IFERROR(INDEX('Retirement Calculator'!J:J,MATCH('Isaac 401k'!N5928,'Retirement Calculator'!A:A,0),0),0)</f>
        <v>0</v>
      </c>
      <c r="K5928" s="444">
        <f t="shared" ca="1" si="216"/>
        <v>-94576740956945.438</v>
      </c>
      <c r="L5928" s="444">
        <f t="shared" ca="1" si="217"/>
        <v>-2.2792994570623848E+16</v>
      </c>
      <c r="M5928" s="460">
        <f t="shared" si="219"/>
        <v>0.05</v>
      </c>
      <c r="N5928" s="464">
        <f t="shared" si="220"/>
        <v>231474</v>
      </c>
    </row>
    <row r="5929" spans="7:14" ht="11.25" customHeight="1" x14ac:dyDescent="0.25">
      <c r="G5929" s="459"/>
      <c r="H5929" s="459">
        <v>5922</v>
      </c>
      <c r="I5929" s="444">
        <f t="shared" ca="1" si="218"/>
        <v>-2.2792994570623848E+16</v>
      </c>
      <c r="J5929" s="444">
        <f t="array" ref="J5929">IFERROR(INDEX('Retirement Calculator'!J:J,MATCH('Isaac 401k'!N5929,'Retirement Calculator'!A:A,0),0),0)</f>
        <v>0</v>
      </c>
      <c r="K5929" s="444">
        <f t="shared" ca="1" si="216"/>
        <v>-94970810710932.703</v>
      </c>
      <c r="L5929" s="444">
        <f t="shared" ca="1" si="217"/>
        <v>-2.288796538133478E+16</v>
      </c>
      <c r="M5929" s="460">
        <f t="shared" si="219"/>
        <v>0.05</v>
      </c>
      <c r="N5929" s="464">
        <f t="shared" si="220"/>
        <v>231505</v>
      </c>
    </row>
    <row r="5930" spans="7:14" ht="11.25" customHeight="1" x14ac:dyDescent="0.25">
      <c r="G5930" s="459"/>
      <c r="H5930" s="459">
        <v>5923</v>
      </c>
      <c r="I5930" s="444">
        <f t="shared" ca="1" si="218"/>
        <v>-2.288796538133478E+16</v>
      </c>
      <c r="J5930" s="444">
        <f t="array" ref="J5930">IFERROR(INDEX('Retirement Calculator'!J:J,MATCH('Isaac 401k'!N5930,'Retirement Calculator'!A:A,0),0),0)</f>
        <v>0</v>
      </c>
      <c r="K5930" s="444">
        <f t="shared" ca="1" si="216"/>
        <v>-95366522422228.25</v>
      </c>
      <c r="L5930" s="444">
        <f t="shared" ca="1" si="217"/>
        <v>-2.2983331903757008E+16</v>
      </c>
      <c r="M5930" s="460">
        <f t="shared" si="219"/>
        <v>0.05</v>
      </c>
      <c r="N5930" s="464">
        <f t="shared" si="220"/>
        <v>231535</v>
      </c>
    </row>
    <row r="5931" spans="7:14" ht="11.25" customHeight="1" x14ac:dyDescent="0.25">
      <c r="G5931" s="459"/>
      <c r="H5931" s="459">
        <v>5924</v>
      </c>
      <c r="I5931" s="444">
        <f t="shared" ca="1" si="218"/>
        <v>-2.2983331903757008E+16</v>
      </c>
      <c r="J5931" s="444">
        <f t="array" ref="J5931">IFERROR(INDEX('Retirement Calculator'!J:J,MATCH('Isaac 401k'!N5931,'Retirement Calculator'!A:A,0),0),0)</f>
        <v>0</v>
      </c>
      <c r="K5931" s="444">
        <f t="shared" ca="1" si="216"/>
        <v>-95763882932320.859</v>
      </c>
      <c r="L5931" s="444">
        <f t="shared" ca="1" si="217"/>
        <v>-2.3079095786689328E+16</v>
      </c>
      <c r="M5931" s="460">
        <f t="shared" si="219"/>
        <v>0.05</v>
      </c>
      <c r="N5931" s="464">
        <f t="shared" si="220"/>
        <v>231566</v>
      </c>
    </row>
    <row r="5932" spans="7:14" ht="11.25" customHeight="1" x14ac:dyDescent="0.25">
      <c r="G5932" s="459"/>
      <c r="H5932" s="459">
        <v>5925</v>
      </c>
      <c r="I5932" s="444">
        <f t="shared" ca="1" si="218"/>
        <v>-2.3079095786689328E+16</v>
      </c>
      <c r="J5932" s="444">
        <f t="array" ref="J5932">IFERROR(INDEX('Retirement Calculator'!J:J,MATCH('Isaac 401k'!N5932,'Retirement Calculator'!A:A,0),0),0)</f>
        <v>0</v>
      </c>
      <c r="K5932" s="444">
        <f t="shared" ca="1" si="216"/>
        <v>-96162899111205.531</v>
      </c>
      <c r="L5932" s="444">
        <f t="shared" ca="1" si="217"/>
        <v>-2.3175258685800532E+16</v>
      </c>
      <c r="M5932" s="460">
        <f t="shared" si="219"/>
        <v>0.05</v>
      </c>
      <c r="N5932" s="464">
        <f t="shared" si="220"/>
        <v>231597</v>
      </c>
    </row>
    <row r="5933" spans="7:14" ht="11.25" customHeight="1" x14ac:dyDescent="0.25">
      <c r="G5933" s="459"/>
      <c r="H5933" s="459">
        <v>5926</v>
      </c>
      <c r="I5933" s="444">
        <f t="shared" ca="1" si="218"/>
        <v>-2.3175258685800532E+16</v>
      </c>
      <c r="J5933" s="444">
        <f t="array" ref="J5933">IFERROR(INDEX('Retirement Calculator'!J:J,MATCH('Isaac 401k'!N5933,'Retirement Calculator'!A:A,0),0),0)</f>
        <v>0</v>
      </c>
      <c r="K5933" s="444">
        <f t="shared" ca="1" si="216"/>
        <v>-96563577857502.219</v>
      </c>
      <c r="L5933" s="444">
        <f t="shared" ca="1" si="217"/>
        <v>-2.3271822263658036E+16</v>
      </c>
      <c r="M5933" s="460">
        <f t="shared" si="219"/>
        <v>0.05</v>
      </c>
      <c r="N5933" s="464">
        <f t="shared" si="220"/>
        <v>231625</v>
      </c>
    </row>
    <row r="5934" spans="7:14" ht="11.25" customHeight="1" x14ac:dyDescent="0.25">
      <c r="G5934" s="459"/>
      <c r="H5934" s="459">
        <v>5927</v>
      </c>
      <c r="I5934" s="444">
        <f t="shared" ca="1" si="218"/>
        <v>-2.3271822263658036E+16</v>
      </c>
      <c r="J5934" s="444">
        <f t="array" ref="J5934">IFERROR(INDEX('Retirement Calculator'!J:J,MATCH('Isaac 401k'!N5934,'Retirement Calculator'!A:A,0),0),0)</f>
        <v>0</v>
      </c>
      <c r="K5934" s="444">
        <f t="shared" ca="1" si="216"/>
        <v>-96965926098575.156</v>
      </c>
      <c r="L5934" s="444">
        <f t="shared" ca="1" si="217"/>
        <v>-2.3368788189756612E+16</v>
      </c>
      <c r="M5934" s="460">
        <f t="shared" si="219"/>
        <v>0.05</v>
      </c>
      <c r="N5934" s="464">
        <f t="shared" si="220"/>
        <v>231656</v>
      </c>
    </row>
    <row r="5935" spans="7:14" ht="11.25" customHeight="1" x14ac:dyDescent="0.25">
      <c r="G5935" s="459"/>
      <c r="H5935" s="459">
        <v>5928</v>
      </c>
      <c r="I5935" s="444">
        <f t="shared" ca="1" si="218"/>
        <v>-2.3368788189756612E+16</v>
      </c>
      <c r="J5935" s="444">
        <f t="array" ref="J5935">IFERROR(INDEX('Retirement Calculator'!J:J,MATCH('Isaac 401k'!N5935,'Retirement Calculator'!A:A,0),0),0)</f>
        <v>0</v>
      </c>
      <c r="K5935" s="444">
        <f t="shared" ca="1" si="216"/>
        <v>-97369950790652.547</v>
      </c>
      <c r="L5935" s="444">
        <f t="shared" ca="1" si="217"/>
        <v>-2.3466158140547264E+16</v>
      </c>
      <c r="M5935" s="460">
        <f t="shared" si="219"/>
        <v>0.05</v>
      </c>
      <c r="N5935" s="464">
        <f t="shared" si="220"/>
        <v>231686</v>
      </c>
    </row>
    <row r="5936" spans="7:14" ht="11.25" customHeight="1" x14ac:dyDescent="0.25">
      <c r="G5936" s="459"/>
      <c r="H5936" s="459">
        <v>5929</v>
      </c>
      <c r="I5936" s="444">
        <f t="shared" ca="1" si="218"/>
        <v>-2.3466158140547264E+16</v>
      </c>
      <c r="J5936" s="444">
        <f t="array" ref="J5936">IFERROR(INDEX('Retirement Calculator'!J:J,MATCH('Isaac 401k'!N5936,'Retirement Calculator'!A:A,0),0),0)</f>
        <v>0</v>
      </c>
      <c r="K5936" s="444">
        <f t="shared" ca="1" si="216"/>
        <v>-97775658918946.938</v>
      </c>
      <c r="L5936" s="444">
        <f t="shared" ca="1" si="217"/>
        <v>-2.3563933799466212E+16</v>
      </c>
      <c r="M5936" s="460">
        <f t="shared" si="219"/>
        <v>0.05</v>
      </c>
      <c r="N5936" s="464">
        <f t="shared" si="220"/>
        <v>231717</v>
      </c>
    </row>
    <row r="5937" spans="7:14" ht="11.25" customHeight="1" x14ac:dyDescent="0.25">
      <c r="G5937" s="459"/>
      <c r="H5937" s="459">
        <v>5930</v>
      </c>
      <c r="I5937" s="444">
        <f t="shared" ca="1" si="218"/>
        <v>-2.3563933799466212E+16</v>
      </c>
      <c r="J5937" s="444">
        <f t="array" ref="J5937">IFERROR(INDEX('Retirement Calculator'!J:J,MATCH('Isaac 401k'!N5937,'Retirement Calculator'!A:A,0),0),0)</f>
        <v>0</v>
      </c>
      <c r="K5937" s="444">
        <f t="shared" ca="1" si="216"/>
        <v>-98183057497775.875</v>
      </c>
      <c r="L5937" s="444">
        <f t="shared" ca="1" si="217"/>
        <v>-2.3662116856963988E+16</v>
      </c>
      <c r="M5937" s="460">
        <f t="shared" si="219"/>
        <v>0.05</v>
      </c>
      <c r="N5937" s="464">
        <f t="shared" si="220"/>
        <v>231747</v>
      </c>
    </row>
    <row r="5938" spans="7:14" ht="11.25" customHeight="1" x14ac:dyDescent="0.25">
      <c r="G5938" s="459"/>
      <c r="H5938" s="459">
        <v>5931</v>
      </c>
      <c r="I5938" s="444">
        <f t="shared" ca="1" si="218"/>
        <v>-2.3662116856963988E+16</v>
      </c>
      <c r="J5938" s="444">
        <f t="array" ref="J5938">IFERROR(INDEX('Retirement Calculator'!J:J,MATCH('Isaac 401k'!N5938,'Retirement Calculator'!A:A,0),0),0)</f>
        <v>0</v>
      </c>
      <c r="K5938" s="444">
        <f t="shared" ca="1" si="216"/>
        <v>-98592153570683.281</v>
      </c>
      <c r="L5938" s="444">
        <f t="shared" ca="1" si="217"/>
        <v>-2.3760709010534672E+16</v>
      </c>
      <c r="M5938" s="460">
        <f t="shared" si="219"/>
        <v>0.05</v>
      </c>
      <c r="N5938" s="464">
        <f t="shared" si="220"/>
        <v>231778</v>
      </c>
    </row>
    <row r="5939" spans="7:14" ht="11.25" customHeight="1" x14ac:dyDescent="0.25">
      <c r="G5939" s="459"/>
      <c r="H5939" s="459">
        <v>5932</v>
      </c>
      <c r="I5939" s="444">
        <f t="shared" ca="1" si="218"/>
        <v>-2.3760709010534672E+16</v>
      </c>
      <c r="J5939" s="444">
        <f t="array" ref="J5939">IFERROR(INDEX('Retirement Calculator'!J:J,MATCH('Isaac 401k'!N5939,'Retirement Calculator'!A:A,0),0),0)</f>
        <v>0</v>
      </c>
      <c r="K5939" s="444">
        <f t="shared" ca="1" si="216"/>
        <v>-99002954210561.125</v>
      </c>
      <c r="L5939" s="444">
        <f t="shared" ca="1" si="217"/>
        <v>-2.3859711964745232E+16</v>
      </c>
      <c r="M5939" s="460">
        <f t="shared" si="219"/>
        <v>0.05</v>
      </c>
      <c r="N5939" s="464">
        <f t="shared" si="220"/>
        <v>231809</v>
      </c>
    </row>
    <row r="5940" spans="7:14" ht="11.25" customHeight="1" x14ac:dyDescent="0.25">
      <c r="G5940" s="459"/>
      <c r="H5940" s="459">
        <v>5933</v>
      </c>
      <c r="I5940" s="444">
        <f t="shared" ca="1" si="218"/>
        <v>-2.3859711964745232E+16</v>
      </c>
      <c r="J5940" s="444">
        <f t="array" ref="J5940">IFERROR(INDEX('Retirement Calculator'!J:J,MATCH('Isaac 401k'!N5940,'Retirement Calculator'!A:A,0),0),0)</f>
        <v>0</v>
      </c>
      <c r="K5940" s="444">
        <f t="shared" ca="1" si="216"/>
        <v>-99415466519771.797</v>
      </c>
      <c r="L5940" s="444">
        <f t="shared" ca="1" si="217"/>
        <v>-2.3959127431265004E+16</v>
      </c>
      <c r="M5940" s="460">
        <f t="shared" si="219"/>
        <v>0.05</v>
      </c>
      <c r="N5940" s="464">
        <f t="shared" si="220"/>
        <v>231839</v>
      </c>
    </row>
    <row r="5941" spans="7:14" ht="11.25" customHeight="1" x14ac:dyDescent="0.25">
      <c r="G5941" s="459"/>
      <c r="H5941" s="459">
        <v>5934</v>
      </c>
      <c r="I5941" s="444">
        <f t="shared" ca="1" si="218"/>
        <v>-2.3959127431265004E+16</v>
      </c>
      <c r="J5941" s="444">
        <f t="array" ref="J5941">IFERROR(INDEX('Retirement Calculator'!J:J,MATCH('Isaac 401k'!N5941,'Retirement Calculator'!A:A,0),0),0)</f>
        <v>0</v>
      </c>
      <c r="K5941" s="444">
        <f t="shared" ca="1" si="216"/>
        <v>-99829697630270.844</v>
      </c>
      <c r="L5941" s="444">
        <f t="shared" ca="1" si="217"/>
        <v>-2.4058957128895276E+16</v>
      </c>
      <c r="M5941" s="460">
        <f t="shared" si="219"/>
        <v>0.05</v>
      </c>
      <c r="N5941" s="464">
        <f t="shared" si="220"/>
        <v>231870</v>
      </c>
    </row>
    <row r="5942" spans="7:14" ht="11.25" customHeight="1" x14ac:dyDescent="0.25">
      <c r="G5942" s="459"/>
      <c r="H5942" s="459">
        <v>5935</v>
      </c>
      <c r="I5942" s="444">
        <f t="shared" ca="1" si="218"/>
        <v>-2.4058957128895276E+16</v>
      </c>
      <c r="J5942" s="444">
        <f t="array" ref="J5942">IFERROR(INDEX('Retirement Calculator'!J:J,MATCH('Isaac 401k'!N5942,'Retirement Calculator'!A:A,0),0),0)</f>
        <v>0</v>
      </c>
      <c r="K5942" s="444">
        <f t="shared" ca="1" si="216"/>
        <v>-100245654703730.31</v>
      </c>
      <c r="L5942" s="444">
        <f t="shared" ca="1" si="217"/>
        <v>-2.4159202783599008E+16</v>
      </c>
      <c r="M5942" s="460">
        <f t="shared" si="219"/>
        <v>0.05</v>
      </c>
      <c r="N5942" s="464">
        <f t="shared" si="220"/>
        <v>231900</v>
      </c>
    </row>
    <row r="5943" spans="7:14" ht="11.25" customHeight="1" x14ac:dyDescent="0.25">
      <c r="G5943" s="459"/>
      <c r="H5943" s="459">
        <v>5936</v>
      </c>
      <c r="I5943" s="444">
        <f t="shared" ca="1" si="218"/>
        <v>-2.4159202783599008E+16</v>
      </c>
      <c r="J5943" s="444">
        <f t="array" ref="J5943">IFERROR(INDEX('Retirement Calculator'!J:J,MATCH('Isaac 401k'!N5943,'Retirement Calculator'!A:A,0),0),0)</f>
        <v>0</v>
      </c>
      <c r="K5943" s="444">
        <f t="shared" ca="1" si="216"/>
        <v>-100663344931662.53</v>
      </c>
      <c r="L5943" s="444">
        <f t="shared" ca="1" si="217"/>
        <v>-2.4259866128530672E+16</v>
      </c>
      <c r="M5943" s="460">
        <f t="shared" si="219"/>
        <v>0.05</v>
      </c>
      <c r="N5943" s="464">
        <f t="shared" si="220"/>
        <v>231931</v>
      </c>
    </row>
    <row r="5944" spans="7:14" ht="11.25" customHeight="1" x14ac:dyDescent="0.25">
      <c r="G5944" s="459"/>
      <c r="H5944" s="459">
        <v>5937</v>
      </c>
      <c r="I5944" s="444">
        <f t="shared" ca="1" si="218"/>
        <v>-2.4259866128530672E+16</v>
      </c>
      <c r="J5944" s="444">
        <f t="array" ref="J5944">IFERROR(INDEX('Retirement Calculator'!J:J,MATCH('Isaac 401k'!N5944,'Retirement Calculator'!A:A,0),0),0)</f>
        <v>0</v>
      </c>
      <c r="K5944" s="444">
        <f t="shared" ca="1" si="216"/>
        <v>-101082775535544.47</v>
      </c>
      <c r="L5944" s="444">
        <f t="shared" ca="1" si="217"/>
        <v>-2.4360948904066216E+16</v>
      </c>
      <c r="M5944" s="460">
        <f t="shared" si="219"/>
        <v>0.05</v>
      </c>
      <c r="N5944" s="464">
        <f t="shared" si="220"/>
        <v>231962</v>
      </c>
    </row>
    <row r="5945" spans="7:14" ht="11.25" customHeight="1" x14ac:dyDescent="0.25">
      <c r="G5945" s="459"/>
      <c r="H5945" s="459">
        <v>5938</v>
      </c>
      <c r="I5945" s="444">
        <f t="shared" ca="1" si="218"/>
        <v>-2.4360948904066216E+16</v>
      </c>
      <c r="J5945" s="444">
        <f t="array" ref="J5945">IFERROR(INDEX('Retirement Calculator'!J:J,MATCH('Isaac 401k'!N5945,'Retirement Calculator'!A:A,0),0),0)</f>
        <v>0</v>
      </c>
      <c r="K5945" s="444">
        <f t="shared" ca="1" si="216"/>
        <v>-101503953766942.56</v>
      </c>
      <c r="L5945" s="444">
        <f t="shared" ca="1" si="217"/>
        <v>-2.446245285783316E+16</v>
      </c>
      <c r="M5945" s="460">
        <f t="shared" si="219"/>
        <v>0.05</v>
      </c>
      <c r="N5945" s="464">
        <f t="shared" si="220"/>
        <v>231990</v>
      </c>
    </row>
    <row r="5946" spans="7:14" ht="11.25" customHeight="1" x14ac:dyDescent="0.25">
      <c r="G5946" s="459"/>
      <c r="H5946" s="459">
        <v>5939</v>
      </c>
      <c r="I5946" s="444">
        <f t="shared" ca="1" si="218"/>
        <v>-2.446245285783316E+16</v>
      </c>
      <c r="J5946" s="444">
        <f t="array" ref="J5946">IFERROR(INDEX('Retirement Calculator'!J:J,MATCH('Isaac 401k'!N5946,'Retirement Calculator'!A:A,0),0),0)</f>
        <v>0</v>
      </c>
      <c r="K5946" s="444">
        <f t="shared" ca="1" si="216"/>
        <v>-101926886907638.17</v>
      </c>
      <c r="L5946" s="444">
        <f t="shared" ca="1" si="217"/>
        <v>-2.45643797447408E+16</v>
      </c>
      <c r="M5946" s="460">
        <f t="shared" si="219"/>
        <v>0.05</v>
      </c>
      <c r="N5946" s="464">
        <f t="shared" si="220"/>
        <v>232021</v>
      </c>
    </row>
    <row r="5947" spans="7:14" ht="11.25" customHeight="1" x14ac:dyDescent="0.25">
      <c r="G5947" s="459"/>
      <c r="H5947" s="459">
        <v>5940</v>
      </c>
      <c r="I5947" s="444">
        <f t="shared" ca="1" si="218"/>
        <v>-2.45643797447408E+16</v>
      </c>
      <c r="J5947" s="444">
        <f t="array" ref="J5947">IFERROR(INDEX('Retirement Calculator'!J:J,MATCH('Isaac 401k'!N5947,'Retirement Calculator'!A:A,0),0),0)</f>
        <v>0</v>
      </c>
      <c r="K5947" s="444">
        <f t="shared" ca="1" si="216"/>
        <v>-102351582269753.33</v>
      </c>
      <c r="L5947" s="444">
        <f t="shared" ca="1" si="217"/>
        <v>-2.4666731327010552E+16</v>
      </c>
      <c r="M5947" s="460">
        <f t="shared" si="219"/>
        <v>0.05</v>
      </c>
      <c r="N5947" s="464">
        <f t="shared" si="220"/>
        <v>232051</v>
      </c>
    </row>
    <row r="5948" spans="7:14" ht="11.25" customHeight="1" x14ac:dyDescent="0.25">
      <c r="G5948" s="459"/>
      <c r="H5948" s="459">
        <v>5941</v>
      </c>
      <c r="I5948" s="444">
        <f t="shared" ca="1" si="218"/>
        <v>-2.4666731327010552E+16</v>
      </c>
      <c r="J5948" s="444">
        <f t="array" ref="J5948">IFERROR(INDEX('Retirement Calculator'!J:J,MATCH('Isaac 401k'!N5948,'Retirement Calculator'!A:A,0),0),0)</f>
        <v>0</v>
      </c>
      <c r="K5948" s="444">
        <f t="shared" ca="1" si="216"/>
        <v>-102778047195877.3</v>
      </c>
      <c r="L5948" s="444">
        <f t="shared" ca="1" si="217"/>
        <v>-2.4769509374206428E+16</v>
      </c>
      <c r="M5948" s="460">
        <f t="shared" si="219"/>
        <v>0.05</v>
      </c>
      <c r="N5948" s="464">
        <f t="shared" si="220"/>
        <v>232082</v>
      </c>
    </row>
    <row r="5949" spans="7:14" ht="11.25" customHeight="1" x14ac:dyDescent="0.25">
      <c r="G5949" s="459"/>
      <c r="H5949" s="459">
        <v>5942</v>
      </c>
      <c r="I5949" s="444">
        <f t="shared" ca="1" si="218"/>
        <v>-2.4769509374206428E+16</v>
      </c>
      <c r="J5949" s="444">
        <f t="array" ref="J5949">IFERROR(INDEX('Retirement Calculator'!J:J,MATCH('Isaac 401k'!N5949,'Retirement Calculator'!A:A,0),0),0)</f>
        <v>0</v>
      </c>
      <c r="K5949" s="444">
        <f t="shared" ca="1" si="216"/>
        <v>-103206289059193.45</v>
      </c>
      <c r="L5949" s="444">
        <f t="shared" ca="1" si="217"/>
        <v>-2.487271566326562E+16</v>
      </c>
      <c r="M5949" s="460">
        <f t="shared" si="219"/>
        <v>0.05</v>
      </c>
      <c r="N5949" s="464">
        <f t="shared" si="220"/>
        <v>232112</v>
      </c>
    </row>
    <row r="5950" spans="7:14" ht="11.25" customHeight="1" x14ac:dyDescent="0.25">
      <c r="G5950" s="459"/>
      <c r="H5950" s="459">
        <v>5943</v>
      </c>
      <c r="I5950" s="444">
        <f t="shared" ca="1" si="218"/>
        <v>-2.487271566326562E+16</v>
      </c>
      <c r="J5950" s="444">
        <f t="array" ref="J5950">IFERROR(INDEX('Retirement Calculator'!J:J,MATCH('Isaac 401k'!N5950,'Retirement Calculator'!A:A,0),0),0)</f>
        <v>0</v>
      </c>
      <c r="K5950" s="444">
        <f t="shared" ca="1" si="216"/>
        <v>-103636315263606.75</v>
      </c>
      <c r="L5950" s="444">
        <f t="shared" ca="1" si="217"/>
        <v>-2.4976351978529228E+16</v>
      </c>
      <c r="M5950" s="460">
        <f t="shared" si="219"/>
        <v>0.05</v>
      </c>
      <c r="N5950" s="464">
        <f t="shared" si="220"/>
        <v>232143</v>
      </c>
    </row>
    <row r="5951" spans="7:14" ht="11.25" customHeight="1" x14ac:dyDescent="0.25">
      <c r="G5951" s="459"/>
      <c r="H5951" s="459">
        <v>5944</v>
      </c>
      <c r="I5951" s="444">
        <f t="shared" ca="1" si="218"/>
        <v>-2.4976351978529228E+16</v>
      </c>
      <c r="J5951" s="444">
        <f t="array" ref="J5951">IFERROR(INDEX('Retirement Calculator'!J:J,MATCH('Isaac 401k'!N5951,'Retirement Calculator'!A:A,0),0),0)</f>
        <v>0</v>
      </c>
      <c r="K5951" s="444">
        <f t="shared" ca="1" si="216"/>
        <v>-104068133243871.78</v>
      </c>
      <c r="L5951" s="444">
        <f t="shared" ca="1" si="217"/>
        <v>-2.50804201117731E+16</v>
      </c>
      <c r="M5951" s="460">
        <f t="shared" si="219"/>
        <v>0.05</v>
      </c>
      <c r="N5951" s="464">
        <f t="shared" si="220"/>
        <v>232174</v>
      </c>
    </row>
    <row r="5952" spans="7:14" ht="11.25" customHeight="1" x14ac:dyDescent="0.25">
      <c r="G5952" s="459"/>
      <c r="H5952" s="459">
        <v>5945</v>
      </c>
      <c r="I5952" s="444">
        <f t="shared" ca="1" si="218"/>
        <v>-2.50804201117731E+16</v>
      </c>
      <c r="J5952" s="444">
        <f t="array" ref="J5952">IFERROR(INDEX('Retirement Calculator'!J:J,MATCH('Isaac 401k'!N5952,'Retirement Calculator'!A:A,0),0),0)</f>
        <v>0</v>
      </c>
      <c r="K5952" s="444">
        <f t="shared" ca="1" si="216"/>
        <v>-104501750465721.25</v>
      </c>
      <c r="L5952" s="444">
        <f t="shared" ca="1" si="217"/>
        <v>-2.518492186223882E+16</v>
      </c>
      <c r="M5952" s="460">
        <f t="shared" si="219"/>
        <v>0.05</v>
      </c>
      <c r="N5952" s="464">
        <f t="shared" si="220"/>
        <v>232204</v>
      </c>
    </row>
    <row r="5953" spans="7:14" ht="11.25" customHeight="1" x14ac:dyDescent="0.25">
      <c r="G5953" s="459"/>
      <c r="H5953" s="459">
        <v>5946</v>
      </c>
      <c r="I5953" s="444">
        <f t="shared" ca="1" si="218"/>
        <v>-2.518492186223882E+16</v>
      </c>
      <c r="J5953" s="444">
        <f t="array" ref="J5953">IFERROR(INDEX('Retirement Calculator'!J:J,MATCH('Isaac 401k'!N5953,'Retirement Calculator'!A:A,0),0),0)</f>
        <v>0</v>
      </c>
      <c r="K5953" s="444">
        <f t="shared" ca="1" si="216"/>
        <v>-104937174425995.08</v>
      </c>
      <c r="L5953" s="444">
        <f t="shared" ca="1" si="217"/>
        <v>-2.5289859036664816E+16</v>
      </c>
      <c r="M5953" s="460">
        <f t="shared" si="219"/>
        <v>0.05</v>
      </c>
      <c r="N5953" s="464">
        <f t="shared" si="220"/>
        <v>232235</v>
      </c>
    </row>
    <row r="5954" spans="7:14" ht="11.25" customHeight="1" x14ac:dyDescent="0.25">
      <c r="G5954" s="459"/>
      <c r="H5954" s="459">
        <v>5947</v>
      </c>
      <c r="I5954" s="444">
        <f t="shared" ca="1" si="218"/>
        <v>-2.5289859036664816E+16</v>
      </c>
      <c r="J5954" s="444">
        <f t="array" ref="J5954">IFERROR(INDEX('Retirement Calculator'!J:J,MATCH('Isaac 401k'!N5954,'Retirement Calculator'!A:A,0),0),0)</f>
        <v>0</v>
      </c>
      <c r="K5954" s="444">
        <f t="shared" ca="1" si="216"/>
        <v>-105374412652770.06</v>
      </c>
      <c r="L5954" s="444">
        <f t="shared" ca="1" si="217"/>
        <v>-2.5395233449317588E+16</v>
      </c>
      <c r="M5954" s="460">
        <f t="shared" si="219"/>
        <v>0.05</v>
      </c>
      <c r="N5954" s="464">
        <f t="shared" si="220"/>
        <v>232265</v>
      </c>
    </row>
    <row r="5955" spans="7:14" ht="11.25" customHeight="1" x14ac:dyDescent="0.25">
      <c r="G5955" s="459"/>
      <c r="H5955" s="459">
        <v>5948</v>
      </c>
      <c r="I5955" s="444">
        <f t="shared" ca="1" si="218"/>
        <v>-2.5395233449317588E+16</v>
      </c>
      <c r="J5955" s="444">
        <f t="array" ref="J5955">IFERROR(INDEX('Retirement Calculator'!J:J,MATCH('Isaac 401k'!N5955,'Retirement Calculator'!A:A,0),0),0)</f>
        <v>0</v>
      </c>
      <c r="K5955" s="444">
        <f t="shared" ca="1" si="216"/>
        <v>-105813472705489.95</v>
      </c>
      <c r="L5955" s="444">
        <f t="shared" ca="1" si="217"/>
        <v>-2.5501046922023076E+16</v>
      </c>
      <c r="M5955" s="460">
        <f t="shared" si="219"/>
        <v>0.05</v>
      </c>
      <c r="N5955" s="464">
        <f t="shared" si="220"/>
        <v>232296</v>
      </c>
    </row>
    <row r="5956" spans="7:14" ht="11.25" customHeight="1" x14ac:dyDescent="0.25">
      <c r="G5956" s="459"/>
      <c r="H5956" s="459">
        <v>5949</v>
      </c>
      <c r="I5956" s="444">
        <f t="shared" ca="1" si="218"/>
        <v>-2.5501046922023076E+16</v>
      </c>
      <c r="J5956" s="444">
        <f t="array" ref="J5956">IFERROR(INDEX('Retirement Calculator'!J:J,MATCH('Isaac 401k'!N5956,'Retirement Calculator'!A:A,0),0),0)</f>
        <v>0</v>
      </c>
      <c r="K5956" s="444">
        <f t="shared" ca="1" si="216"/>
        <v>-106254362175096.16</v>
      </c>
      <c r="L5956" s="444">
        <f t="shared" ca="1" si="217"/>
        <v>-2.5607301284198172E+16</v>
      </c>
      <c r="M5956" s="460">
        <f t="shared" si="219"/>
        <v>0.05</v>
      </c>
      <c r="N5956" s="464">
        <f t="shared" si="220"/>
        <v>232327</v>
      </c>
    </row>
    <row r="5957" spans="7:14" ht="11.25" customHeight="1" x14ac:dyDescent="0.25">
      <c r="G5957" s="459"/>
      <c r="H5957" s="459">
        <v>5950</v>
      </c>
      <c r="I5957" s="444">
        <f t="shared" ca="1" si="218"/>
        <v>-2.5607301284198172E+16</v>
      </c>
      <c r="J5957" s="444">
        <f t="array" ref="J5957">IFERROR(INDEX('Retirement Calculator'!J:J,MATCH('Isaac 401k'!N5957,'Retirement Calculator'!A:A,0),0),0)</f>
        <v>0</v>
      </c>
      <c r="K5957" s="444">
        <f t="shared" ca="1" si="216"/>
        <v>-106697088684159.05</v>
      </c>
      <c r="L5957" s="444">
        <f t="shared" ca="1" si="217"/>
        <v>-2.5713998372882332E+16</v>
      </c>
      <c r="M5957" s="460">
        <f t="shared" si="219"/>
        <v>0.05</v>
      </c>
      <c r="N5957" s="464">
        <f t="shared" si="220"/>
        <v>232356</v>
      </c>
    </row>
    <row r="5958" spans="7:14" ht="11.25" customHeight="1" x14ac:dyDescent="0.25">
      <c r="G5958" s="459"/>
      <c r="H5958" s="459">
        <v>5951</v>
      </c>
      <c r="I5958" s="444">
        <f t="shared" ca="1" si="218"/>
        <v>-2.5713998372882332E+16</v>
      </c>
      <c r="J5958" s="444">
        <f t="array" ref="J5958">IFERROR(INDEX('Retirement Calculator'!J:J,MATCH('Isaac 401k'!N5958,'Retirement Calculator'!A:A,0),0),0)</f>
        <v>0</v>
      </c>
      <c r="K5958" s="444">
        <f t="shared" ca="1" si="216"/>
        <v>-107141659887009.72</v>
      </c>
      <c r="L5958" s="444">
        <f t="shared" ca="1" si="217"/>
        <v>-2.582114003276934E+16</v>
      </c>
      <c r="M5958" s="460">
        <f t="shared" si="219"/>
        <v>0.05</v>
      </c>
      <c r="N5958" s="464">
        <f t="shared" si="220"/>
        <v>232387</v>
      </c>
    </row>
    <row r="5959" spans="7:14" ht="11.25" customHeight="1" x14ac:dyDescent="0.25">
      <c r="G5959" s="459"/>
      <c r="H5959" s="459">
        <v>5952</v>
      </c>
      <c r="I5959" s="444">
        <f t="shared" ca="1" si="218"/>
        <v>-2.582114003276934E+16</v>
      </c>
      <c r="J5959" s="444">
        <f t="array" ref="J5959">IFERROR(INDEX('Retirement Calculator'!J:J,MATCH('Isaac 401k'!N5959,'Retirement Calculator'!A:A,0),0),0)</f>
        <v>0</v>
      </c>
      <c r="K5959" s="444">
        <f t="shared" ca="1" si="216"/>
        <v>-107588083469872.25</v>
      </c>
      <c r="L5959" s="444">
        <f t="shared" ca="1" si="217"/>
        <v>-2.5928728116239212E+16</v>
      </c>
      <c r="M5959" s="460">
        <f t="shared" si="219"/>
        <v>0.05</v>
      </c>
      <c r="N5959" s="464">
        <f t="shared" si="220"/>
        <v>232417</v>
      </c>
    </row>
    <row r="5960" spans="7:14" ht="11.25" customHeight="1" x14ac:dyDescent="0.25">
      <c r="G5960" s="459"/>
      <c r="H5960" s="459">
        <v>5953</v>
      </c>
      <c r="I5960" s="444">
        <f t="shared" ca="1" si="218"/>
        <v>-2.5928728116239212E+16</v>
      </c>
      <c r="J5960" s="444">
        <f t="array" ref="J5960">IFERROR(INDEX('Retirement Calculator'!J:J,MATCH('Isaac 401k'!N5960,'Retirement Calculator'!A:A,0),0),0)</f>
        <v>0</v>
      </c>
      <c r="K5960" s="444">
        <f t="shared" ca="1" si="216"/>
        <v>-108036367150996.72</v>
      </c>
      <c r="L5960" s="444">
        <f t="shared" ca="1" si="217"/>
        <v>-2.6036764483390208E+16</v>
      </c>
      <c r="M5960" s="460">
        <f t="shared" si="219"/>
        <v>0.05</v>
      </c>
      <c r="N5960" s="464">
        <f t="shared" si="220"/>
        <v>232448</v>
      </c>
    </row>
    <row r="5961" spans="7:14" ht="11.25" customHeight="1" x14ac:dyDescent="0.25">
      <c r="G5961" s="459"/>
      <c r="H5961" s="459">
        <v>5954</v>
      </c>
      <c r="I5961" s="444">
        <f t="shared" ca="1" si="218"/>
        <v>-2.6036764483390208E+16</v>
      </c>
      <c r="J5961" s="444">
        <f t="array" ref="J5961">IFERROR(INDEX('Retirement Calculator'!J:J,MATCH('Isaac 401k'!N5961,'Retirement Calculator'!A:A,0),0),0)</f>
        <v>0</v>
      </c>
      <c r="K5961" s="444">
        <f t="shared" ca="1" si="216"/>
        <v>-108486518680792.53</v>
      </c>
      <c r="L5961" s="444">
        <f t="shared" ca="1" si="217"/>
        <v>-2.6145251002071E+16</v>
      </c>
      <c r="M5961" s="460">
        <f t="shared" si="219"/>
        <v>0.05</v>
      </c>
      <c r="N5961" s="464">
        <f t="shared" si="220"/>
        <v>232478</v>
      </c>
    </row>
    <row r="5962" spans="7:14" ht="11.25" customHeight="1" x14ac:dyDescent="0.25">
      <c r="G5962" s="459"/>
      <c r="H5962" s="459">
        <v>5955</v>
      </c>
      <c r="I5962" s="444">
        <f t="shared" ca="1" si="218"/>
        <v>-2.6145251002071E+16</v>
      </c>
      <c r="J5962" s="444">
        <f t="array" ref="J5962">IFERROR(INDEX('Retirement Calculator'!J:J,MATCH('Isaac 401k'!N5962,'Retirement Calculator'!A:A,0),0),0)</f>
        <v>0</v>
      </c>
      <c r="K5962" s="444">
        <f t="shared" ca="1" si="216"/>
        <v>-108938545841962.5</v>
      </c>
      <c r="L5962" s="444">
        <f t="shared" ca="1" si="217"/>
        <v>-2.6254189547912964E+16</v>
      </c>
      <c r="M5962" s="460">
        <f t="shared" si="219"/>
        <v>0.05</v>
      </c>
      <c r="N5962" s="464">
        <f t="shared" si="220"/>
        <v>232509</v>
      </c>
    </row>
    <row r="5963" spans="7:14" ht="11.25" customHeight="1" x14ac:dyDescent="0.25">
      <c r="G5963" s="459"/>
      <c r="H5963" s="459">
        <v>5956</v>
      </c>
      <c r="I5963" s="444">
        <f t="shared" ca="1" si="218"/>
        <v>-2.6254189547912964E+16</v>
      </c>
      <c r="J5963" s="444">
        <f t="array" ref="J5963">IFERROR(INDEX('Retirement Calculator'!J:J,MATCH('Isaac 401k'!N5963,'Retirement Calculator'!A:A,0),0),0)</f>
        <v>0</v>
      </c>
      <c r="K5963" s="444">
        <f t="shared" ca="1" si="216"/>
        <v>-109392456449637.34</v>
      </c>
      <c r="L5963" s="444">
        <f t="shared" ca="1" si="217"/>
        <v>-2.63635820043626E+16</v>
      </c>
      <c r="M5963" s="460">
        <f t="shared" si="219"/>
        <v>0.05</v>
      </c>
      <c r="N5963" s="464">
        <f t="shared" si="220"/>
        <v>232540</v>
      </c>
    </row>
    <row r="5964" spans="7:14" ht="11.25" customHeight="1" x14ac:dyDescent="0.25">
      <c r="G5964" s="459"/>
      <c r="H5964" s="459">
        <v>5957</v>
      </c>
      <c r="I5964" s="444">
        <f t="shared" ca="1" si="218"/>
        <v>-2.63635820043626E+16</v>
      </c>
      <c r="J5964" s="444">
        <f t="array" ref="J5964">IFERROR(INDEX('Retirement Calculator'!J:J,MATCH('Isaac 401k'!N5964,'Retirement Calculator'!A:A,0),0),0)</f>
        <v>0</v>
      </c>
      <c r="K5964" s="444">
        <f t="shared" ca="1" si="216"/>
        <v>-109848258351510.83</v>
      </c>
      <c r="L5964" s="444">
        <f t="shared" ca="1" si="217"/>
        <v>-2.6473430262714112E+16</v>
      </c>
      <c r="M5964" s="460">
        <f t="shared" si="219"/>
        <v>0.05</v>
      </c>
      <c r="N5964" s="464">
        <f t="shared" si="220"/>
        <v>232570</v>
      </c>
    </row>
    <row r="5965" spans="7:14" ht="11.25" customHeight="1" x14ac:dyDescent="0.25">
      <c r="G5965" s="459"/>
      <c r="H5965" s="459">
        <v>5958</v>
      </c>
      <c r="I5965" s="444">
        <f t="shared" ca="1" si="218"/>
        <v>-2.6473430262714112E+16</v>
      </c>
      <c r="J5965" s="444">
        <f t="array" ref="J5965">IFERROR(INDEX('Retirement Calculator'!J:J,MATCH('Isaac 401k'!N5965,'Retirement Calculator'!A:A,0),0),0)</f>
        <v>0</v>
      </c>
      <c r="K5965" s="444">
        <f t="shared" ca="1" si="216"/>
        <v>-110305959427975.47</v>
      </c>
      <c r="L5965" s="444">
        <f t="shared" ca="1" si="217"/>
        <v>-2.6583736222142088E+16</v>
      </c>
      <c r="M5965" s="460">
        <f t="shared" si="219"/>
        <v>0.05</v>
      </c>
      <c r="N5965" s="464">
        <f t="shared" si="220"/>
        <v>232601</v>
      </c>
    </row>
    <row r="5966" spans="7:14" ht="11.25" customHeight="1" x14ac:dyDescent="0.25">
      <c r="G5966" s="459"/>
      <c r="H5966" s="459">
        <v>5959</v>
      </c>
      <c r="I5966" s="444">
        <f t="shared" ca="1" si="218"/>
        <v>-2.6583736222142088E+16</v>
      </c>
      <c r="J5966" s="444">
        <f t="array" ref="J5966">IFERROR(INDEX('Retirement Calculator'!J:J,MATCH('Isaac 401k'!N5966,'Retirement Calculator'!A:A,0),0),0)</f>
        <v>0</v>
      </c>
      <c r="K5966" s="444">
        <f t="shared" ca="1" si="216"/>
        <v>-110765567592258.7</v>
      </c>
      <c r="L5966" s="444">
        <f t="shared" ca="1" si="217"/>
        <v>-2.6694501789734348E+16</v>
      </c>
      <c r="M5966" s="460">
        <f t="shared" si="219"/>
        <v>0.05</v>
      </c>
      <c r="N5966" s="464">
        <f t="shared" si="220"/>
        <v>232631</v>
      </c>
    </row>
    <row r="5967" spans="7:14" ht="11.25" customHeight="1" x14ac:dyDescent="0.25">
      <c r="G5967" s="459"/>
      <c r="H5967" s="459">
        <v>5960</v>
      </c>
      <c r="I5967" s="444">
        <f t="shared" ca="1" si="218"/>
        <v>-2.6694501789734348E+16</v>
      </c>
      <c r="J5967" s="444">
        <f t="array" ref="J5967">IFERROR(INDEX('Retirement Calculator'!J:J,MATCH('Isaac 401k'!N5967,'Retirement Calculator'!A:A,0),0),0)</f>
        <v>0</v>
      </c>
      <c r="K5967" s="444">
        <f t="shared" ca="1" si="216"/>
        <v>-111227090790559.78</v>
      </c>
      <c r="L5967" s="444">
        <f t="shared" ca="1" si="217"/>
        <v>-2.6805728880524908E+16</v>
      </c>
      <c r="M5967" s="460">
        <f t="shared" si="219"/>
        <v>0.05</v>
      </c>
      <c r="N5967" s="464">
        <f t="shared" si="220"/>
        <v>232662</v>
      </c>
    </row>
    <row r="5968" spans="7:14" ht="11.25" customHeight="1" x14ac:dyDescent="0.25">
      <c r="G5968" s="459"/>
      <c r="H5968" s="459">
        <v>5961</v>
      </c>
      <c r="I5968" s="444">
        <f t="shared" ca="1" si="218"/>
        <v>-2.6805728880524908E+16</v>
      </c>
      <c r="J5968" s="444">
        <f t="array" ref="J5968">IFERROR(INDEX('Retirement Calculator'!J:J,MATCH('Isaac 401k'!N5968,'Retirement Calculator'!A:A,0),0),0)</f>
        <v>0</v>
      </c>
      <c r="K5968" s="444">
        <f t="shared" ca="1" si="216"/>
        <v>-111690537002187.11</v>
      </c>
      <c r="L5968" s="444">
        <f t="shared" ca="1" si="217"/>
        <v>-2.6917419417527096E+16</v>
      </c>
      <c r="M5968" s="460">
        <f t="shared" si="219"/>
        <v>0.05</v>
      </c>
      <c r="N5968" s="464">
        <f t="shared" si="220"/>
        <v>232693</v>
      </c>
    </row>
    <row r="5969" spans="7:14" ht="11.25" customHeight="1" x14ac:dyDescent="0.25">
      <c r="G5969" s="459"/>
      <c r="H5969" s="459">
        <v>5962</v>
      </c>
      <c r="I5969" s="444">
        <f t="shared" ca="1" si="218"/>
        <v>-2.6917419417527096E+16</v>
      </c>
      <c r="J5969" s="444">
        <f t="array" ref="J5969">IFERROR(INDEX('Retirement Calculator'!J:J,MATCH('Isaac 401k'!N5969,'Retirement Calculator'!A:A,0),0),0)</f>
        <v>0</v>
      </c>
      <c r="K5969" s="444">
        <f t="shared" ca="1" si="216"/>
        <v>-112155914239696.23</v>
      </c>
      <c r="L5969" s="444">
        <f t="shared" ca="1" si="217"/>
        <v>-2.7029575331766792E+16</v>
      </c>
      <c r="M5969" s="460">
        <f t="shared" si="219"/>
        <v>0.05</v>
      </c>
      <c r="N5969" s="464">
        <f t="shared" si="220"/>
        <v>232721</v>
      </c>
    </row>
    <row r="5970" spans="7:14" ht="11.25" customHeight="1" x14ac:dyDescent="0.25">
      <c r="G5970" s="459"/>
      <c r="H5970" s="459">
        <v>5963</v>
      </c>
      <c r="I5970" s="444">
        <f t="shared" ca="1" si="218"/>
        <v>-2.7029575331766792E+16</v>
      </c>
      <c r="J5970" s="444">
        <f t="array" ref="J5970">IFERROR(INDEX('Retirement Calculator'!J:J,MATCH('Isaac 401k'!N5970,'Retirement Calculator'!A:A,0),0),0)</f>
        <v>0</v>
      </c>
      <c r="K5970" s="444">
        <f t="shared" ca="1" si="216"/>
        <v>-112623230549028.3</v>
      </c>
      <c r="L5970" s="444">
        <f t="shared" ca="1" si="217"/>
        <v>-2.714219856231582E+16</v>
      </c>
      <c r="M5970" s="460">
        <f t="shared" si="219"/>
        <v>0.05</v>
      </c>
      <c r="N5970" s="464">
        <f t="shared" si="220"/>
        <v>232752</v>
      </c>
    </row>
    <row r="5971" spans="7:14" ht="11.25" customHeight="1" x14ac:dyDescent="0.25">
      <c r="G5971" s="459"/>
      <c r="H5971" s="459">
        <v>5964</v>
      </c>
      <c r="I5971" s="444">
        <f t="shared" ca="1" si="218"/>
        <v>-2.714219856231582E+16</v>
      </c>
      <c r="J5971" s="444">
        <f t="array" ref="J5971">IFERROR(INDEX('Retirement Calculator'!J:J,MATCH('Isaac 401k'!N5971,'Retirement Calculator'!A:A,0),0),0)</f>
        <v>0</v>
      </c>
      <c r="K5971" s="444">
        <f t="shared" ca="1" si="216"/>
        <v>-113092494009649.25</v>
      </c>
      <c r="L5971" s="444">
        <f t="shared" ca="1" si="217"/>
        <v>-2.7255291056325468E+16</v>
      </c>
      <c r="M5971" s="460">
        <f t="shared" si="219"/>
        <v>0.05</v>
      </c>
      <c r="N5971" s="464">
        <f t="shared" si="220"/>
        <v>232782</v>
      </c>
    </row>
    <row r="5972" spans="7:14" ht="11.25" customHeight="1" x14ac:dyDescent="0.25">
      <c r="G5972" s="459"/>
      <c r="H5972" s="459">
        <v>5965</v>
      </c>
      <c r="I5972" s="444">
        <f t="shared" ca="1" si="218"/>
        <v>-2.7255291056325468E+16</v>
      </c>
      <c r="J5972" s="444">
        <f t="array" ref="J5972">IFERROR(INDEX('Retirement Calculator'!J:J,MATCH('Isaac 401k'!N5972,'Retirement Calculator'!A:A,0),0),0)</f>
        <v>0</v>
      </c>
      <c r="K5972" s="444">
        <f t="shared" ca="1" si="216"/>
        <v>-113563712734689.45</v>
      </c>
      <c r="L5972" s="444">
        <f t="shared" ca="1" si="217"/>
        <v>-2.7368854769060156E+16</v>
      </c>
      <c r="M5972" s="460">
        <f t="shared" si="219"/>
        <v>0.05</v>
      </c>
      <c r="N5972" s="464">
        <f t="shared" si="220"/>
        <v>232813</v>
      </c>
    </row>
    <row r="5973" spans="7:14" ht="11.25" customHeight="1" x14ac:dyDescent="0.25">
      <c r="G5973" s="459"/>
      <c r="H5973" s="459">
        <v>5966</v>
      </c>
      <c r="I5973" s="444">
        <f t="shared" ca="1" si="218"/>
        <v>-2.7368854769060156E+16</v>
      </c>
      <c r="J5973" s="444">
        <f t="array" ref="J5973">IFERROR(INDEX('Retirement Calculator'!J:J,MATCH('Isaac 401k'!N5973,'Retirement Calculator'!A:A,0),0),0)</f>
        <v>0</v>
      </c>
      <c r="K5973" s="444">
        <f t="shared" ca="1" si="216"/>
        <v>-114036894871083.98</v>
      </c>
      <c r="L5973" s="444">
        <f t="shared" ca="1" si="217"/>
        <v>-2.748289166393124E+16</v>
      </c>
      <c r="M5973" s="460">
        <f t="shared" si="219"/>
        <v>0.05</v>
      </c>
      <c r="N5973" s="464">
        <f t="shared" si="220"/>
        <v>232843</v>
      </c>
    </row>
    <row r="5974" spans="7:14" ht="11.25" customHeight="1" x14ac:dyDescent="0.25">
      <c r="G5974" s="459"/>
      <c r="H5974" s="459">
        <v>5967</v>
      </c>
      <c r="I5974" s="444">
        <f t="shared" ca="1" si="218"/>
        <v>-2.748289166393124E+16</v>
      </c>
      <c r="J5974" s="444">
        <f t="array" ref="J5974">IFERROR(INDEX('Retirement Calculator'!J:J,MATCH('Isaac 401k'!N5974,'Retirement Calculator'!A:A,0),0),0)</f>
        <v>0</v>
      </c>
      <c r="K5974" s="444">
        <f t="shared" ca="1" si="216"/>
        <v>-114512048599713.5</v>
      </c>
      <c r="L5974" s="444">
        <f t="shared" ca="1" si="217"/>
        <v>-2.7597403712530952E+16</v>
      </c>
      <c r="M5974" s="460">
        <f t="shared" si="219"/>
        <v>0.05</v>
      </c>
      <c r="N5974" s="464">
        <f t="shared" si="220"/>
        <v>232874</v>
      </c>
    </row>
    <row r="5975" spans="7:14" ht="11.25" customHeight="1" x14ac:dyDescent="0.25">
      <c r="G5975" s="459"/>
      <c r="H5975" s="459">
        <v>5968</v>
      </c>
      <c r="I5975" s="444">
        <f t="shared" ca="1" si="218"/>
        <v>-2.7597403712530952E+16</v>
      </c>
      <c r="J5975" s="444">
        <f t="array" ref="J5975">IFERROR(INDEX('Retirement Calculator'!J:J,MATCH('Isaac 401k'!N5975,'Retirement Calculator'!A:A,0),0),0)</f>
        <v>0</v>
      </c>
      <c r="K5975" s="444">
        <f t="shared" ca="1" si="216"/>
        <v>-114989182135545.63</v>
      </c>
      <c r="L5975" s="444">
        <f t="shared" ca="1" si="217"/>
        <v>-2.7712392894666496E+16</v>
      </c>
      <c r="M5975" s="460">
        <f t="shared" si="219"/>
        <v>0.05</v>
      </c>
      <c r="N5975" s="464">
        <f t="shared" si="220"/>
        <v>232905</v>
      </c>
    </row>
    <row r="5976" spans="7:14" ht="11.25" customHeight="1" x14ac:dyDescent="0.25">
      <c r="G5976" s="459"/>
      <c r="H5976" s="459">
        <v>5969</v>
      </c>
      <c r="I5976" s="444">
        <f t="shared" ca="1" si="218"/>
        <v>-2.7712392894666496E+16</v>
      </c>
      <c r="J5976" s="444">
        <f t="array" ref="J5976">IFERROR(INDEX('Retirement Calculator'!J:J,MATCH('Isaac 401k'!N5976,'Retirement Calculator'!A:A,0),0),0)</f>
        <v>0</v>
      </c>
      <c r="K5976" s="444">
        <f t="shared" ca="1" si="216"/>
        <v>-115468303727777.06</v>
      </c>
      <c r="L5976" s="444">
        <f t="shared" ca="1" si="217"/>
        <v>-2.7827861198394272E+16</v>
      </c>
      <c r="M5976" s="460">
        <f t="shared" si="219"/>
        <v>0.05</v>
      </c>
      <c r="N5976" s="464">
        <f t="shared" si="220"/>
        <v>232935</v>
      </c>
    </row>
    <row r="5977" spans="7:14" ht="11.25" customHeight="1" x14ac:dyDescent="0.25">
      <c r="G5977" s="459"/>
      <c r="H5977" s="459">
        <v>5970</v>
      </c>
      <c r="I5977" s="444">
        <f t="shared" ca="1" si="218"/>
        <v>-2.7827861198394272E+16</v>
      </c>
      <c r="J5977" s="444">
        <f t="array" ref="J5977">IFERROR(INDEX('Retirement Calculator'!J:J,MATCH('Isaac 401k'!N5977,'Retirement Calculator'!A:A,0),0),0)</f>
        <v>0</v>
      </c>
      <c r="K5977" s="444">
        <f t="shared" ca="1" si="216"/>
        <v>-115949421659976.13</v>
      </c>
      <c r="L5977" s="444">
        <f t="shared" ca="1" si="217"/>
        <v>-2.7943810620054248E+16</v>
      </c>
      <c r="M5977" s="460">
        <f t="shared" si="219"/>
        <v>0.05</v>
      </c>
      <c r="N5977" s="464">
        <f t="shared" si="220"/>
        <v>232966</v>
      </c>
    </row>
    <row r="5978" spans="7:14" ht="11.25" customHeight="1" x14ac:dyDescent="0.25">
      <c r="G5978" s="459"/>
      <c r="H5978" s="459">
        <v>5971</v>
      </c>
      <c r="I5978" s="444">
        <f t="shared" ca="1" si="218"/>
        <v>-2.7943810620054248E+16</v>
      </c>
      <c r="J5978" s="444">
        <f t="array" ref="J5978">IFERROR(INDEX('Retirement Calculator'!J:J,MATCH('Isaac 401k'!N5978,'Retirement Calculator'!A:A,0),0),0)</f>
        <v>0</v>
      </c>
      <c r="K5978" s="444">
        <f t="shared" ca="1" si="216"/>
        <v>-116432544250226.03</v>
      </c>
      <c r="L5978" s="444">
        <f t="shared" ca="1" si="217"/>
        <v>-2.8060243164304476E+16</v>
      </c>
      <c r="M5978" s="460">
        <f t="shared" si="219"/>
        <v>0.05</v>
      </c>
      <c r="N5978" s="464">
        <f t="shared" si="220"/>
        <v>232996</v>
      </c>
    </row>
    <row r="5979" spans="7:14" ht="11.25" customHeight="1" x14ac:dyDescent="0.25">
      <c r="G5979" s="459"/>
      <c r="H5979" s="459">
        <v>5972</v>
      </c>
      <c r="I5979" s="444">
        <f t="shared" ca="1" si="218"/>
        <v>-2.8060243164304476E+16</v>
      </c>
      <c r="J5979" s="444">
        <f t="array" ref="J5979">IFERROR(INDEX('Retirement Calculator'!J:J,MATCH('Isaac 401k'!N5979,'Retirement Calculator'!A:A,0),0),0)</f>
        <v>0</v>
      </c>
      <c r="K5979" s="444">
        <f t="shared" ca="1" si="216"/>
        <v>-116917679851268.64</v>
      </c>
      <c r="L5979" s="444">
        <f t="shared" ca="1" si="217"/>
        <v>-2.8177160844155744E+16</v>
      </c>
      <c r="M5979" s="460">
        <f t="shared" si="219"/>
        <v>0.05</v>
      </c>
      <c r="N5979" s="464">
        <f t="shared" si="220"/>
        <v>233027</v>
      </c>
    </row>
    <row r="5980" spans="7:14" ht="11.25" customHeight="1" x14ac:dyDescent="0.25">
      <c r="G5980" s="459"/>
      <c r="H5980" s="459">
        <v>5973</v>
      </c>
      <c r="I5980" s="444">
        <f t="shared" ca="1" si="218"/>
        <v>-2.8177160844155744E+16</v>
      </c>
      <c r="J5980" s="444">
        <f t="array" ref="J5980">IFERROR(INDEX('Retirement Calculator'!J:J,MATCH('Isaac 401k'!N5980,'Retirement Calculator'!A:A,0),0),0)</f>
        <v>0</v>
      </c>
      <c r="K5980" s="444">
        <f t="shared" ca="1" si="216"/>
        <v>-117404836850648.92</v>
      </c>
      <c r="L5980" s="444">
        <f t="shared" ca="1" si="217"/>
        <v>-2.8294565681006392E+16</v>
      </c>
      <c r="M5980" s="460">
        <f t="shared" si="219"/>
        <v>0.05</v>
      </c>
      <c r="N5980" s="464">
        <f t="shared" si="220"/>
        <v>233058</v>
      </c>
    </row>
    <row r="5981" spans="7:14" ht="11.25" customHeight="1" x14ac:dyDescent="0.25">
      <c r="G5981" s="459"/>
      <c r="H5981" s="459">
        <v>5974</v>
      </c>
      <c r="I5981" s="444">
        <f t="shared" ca="1" si="218"/>
        <v>-2.8294565681006392E+16</v>
      </c>
      <c r="J5981" s="444">
        <f t="array" ref="J5981">IFERROR(INDEX('Retirement Calculator'!J:J,MATCH('Isaac 401k'!N5981,'Retirement Calculator'!A:A,0),0),0)</f>
        <v>0</v>
      </c>
      <c r="K5981" s="444">
        <f t="shared" ca="1" si="216"/>
        <v>-117894023670859.97</v>
      </c>
      <c r="L5981" s="444">
        <f t="shared" ca="1" si="217"/>
        <v>-2.8412459704677252E+16</v>
      </c>
      <c r="M5981" s="460">
        <f t="shared" si="219"/>
        <v>0.05</v>
      </c>
      <c r="N5981" s="464">
        <f t="shared" si="220"/>
        <v>233086</v>
      </c>
    </row>
    <row r="5982" spans="7:14" ht="11.25" customHeight="1" x14ac:dyDescent="0.25">
      <c r="G5982" s="459"/>
      <c r="H5982" s="459">
        <v>5975</v>
      </c>
      <c r="I5982" s="444">
        <f t="shared" ca="1" si="218"/>
        <v>-2.8412459704677252E+16</v>
      </c>
      <c r="J5982" s="444">
        <f t="array" ref="J5982">IFERROR(INDEX('Retirement Calculator'!J:J,MATCH('Isaac 401k'!N5982,'Retirement Calculator'!A:A,0),0),0)</f>
        <v>0</v>
      </c>
      <c r="K5982" s="444">
        <f t="shared" ca="1" si="216"/>
        <v>-118385248769488.55</v>
      </c>
      <c r="L5982" s="444">
        <f t="shared" ca="1" si="217"/>
        <v>-2.853084495344674E+16</v>
      </c>
      <c r="M5982" s="460">
        <f t="shared" si="219"/>
        <v>0.05</v>
      </c>
      <c r="N5982" s="464">
        <f t="shared" si="220"/>
        <v>233117</v>
      </c>
    </row>
    <row r="5983" spans="7:14" ht="11.25" customHeight="1" x14ac:dyDescent="0.25">
      <c r="G5983" s="459"/>
      <c r="H5983" s="459">
        <v>5976</v>
      </c>
      <c r="I5983" s="444">
        <f t="shared" ca="1" si="218"/>
        <v>-2.853084495344674E+16</v>
      </c>
      <c r="J5983" s="444">
        <f t="array" ref="J5983">IFERROR(INDEX('Retirement Calculator'!J:J,MATCH('Isaac 401k'!N5983,'Retirement Calculator'!A:A,0),0),0)</f>
        <v>0</v>
      </c>
      <c r="K5983" s="444">
        <f t="shared" ca="1" si="216"/>
        <v>-118878520639361.42</v>
      </c>
      <c r="L5983" s="444">
        <f t="shared" ca="1" si="217"/>
        <v>-2.86497234740861E+16</v>
      </c>
      <c r="M5983" s="460">
        <f t="shared" si="219"/>
        <v>0.05</v>
      </c>
      <c r="N5983" s="464">
        <f t="shared" si="220"/>
        <v>233147</v>
      </c>
    </row>
    <row r="5984" spans="7:14" ht="11.25" customHeight="1" x14ac:dyDescent="0.25">
      <c r="G5984" s="459"/>
      <c r="H5984" s="459">
        <v>5977</v>
      </c>
      <c r="I5984" s="444">
        <f t="shared" ca="1" si="218"/>
        <v>-2.86497234740861E+16</v>
      </c>
      <c r="J5984" s="444">
        <f t="array" ref="J5984">IFERROR(INDEX('Retirement Calculator'!J:J,MATCH('Isaac 401k'!N5984,'Retirement Calculator'!A:A,0),0),0)</f>
        <v>0</v>
      </c>
      <c r="K5984" s="444">
        <f t="shared" ca="1" si="216"/>
        <v>-119373847808692.06</v>
      </c>
      <c r="L5984" s="444">
        <f t="shared" ca="1" si="217"/>
        <v>-2.8769097321894792E+16</v>
      </c>
      <c r="M5984" s="460">
        <f t="shared" si="219"/>
        <v>0.05</v>
      </c>
      <c r="N5984" s="464">
        <f t="shared" si="220"/>
        <v>233178</v>
      </c>
    </row>
    <row r="5985" spans="7:14" ht="11.25" customHeight="1" x14ac:dyDescent="0.25">
      <c r="G5985" s="459"/>
      <c r="H5985" s="459">
        <v>5978</v>
      </c>
      <c r="I5985" s="444">
        <f t="shared" ca="1" si="218"/>
        <v>-2.8769097321894792E+16</v>
      </c>
      <c r="J5985" s="444">
        <f t="array" ref="J5985">IFERROR(INDEX('Retirement Calculator'!J:J,MATCH('Isaac 401k'!N5985,'Retirement Calculator'!A:A,0),0),0)</f>
        <v>0</v>
      </c>
      <c r="K5985" s="444">
        <f t="shared" ca="1" si="216"/>
        <v>-119871238841228.28</v>
      </c>
      <c r="L5985" s="444">
        <f t="shared" ca="1" si="217"/>
        <v>-2.888896856073602E+16</v>
      </c>
      <c r="M5985" s="460">
        <f t="shared" si="219"/>
        <v>0.05</v>
      </c>
      <c r="N5985" s="464">
        <f t="shared" si="220"/>
        <v>233208</v>
      </c>
    </row>
    <row r="5986" spans="7:14" ht="11.25" customHeight="1" x14ac:dyDescent="0.25">
      <c r="G5986" s="459"/>
      <c r="H5986" s="459">
        <v>5979</v>
      </c>
      <c r="I5986" s="444">
        <f t="shared" ca="1" si="218"/>
        <v>-2.888896856073602E+16</v>
      </c>
      <c r="J5986" s="444">
        <f t="array" ref="J5986">IFERROR(INDEX('Retirement Calculator'!J:J,MATCH('Isaac 401k'!N5986,'Retirement Calculator'!A:A,0),0),0)</f>
        <v>0</v>
      </c>
      <c r="K5986" s="444">
        <f t="shared" ca="1" si="216"/>
        <v>-120370702336400.09</v>
      </c>
      <c r="L5986" s="444">
        <f t="shared" ca="1" si="217"/>
        <v>-2.900933926307242E+16</v>
      </c>
      <c r="M5986" s="460">
        <f t="shared" si="219"/>
        <v>0.05</v>
      </c>
      <c r="N5986" s="464">
        <f t="shared" si="220"/>
        <v>233239</v>
      </c>
    </row>
    <row r="5987" spans="7:14" ht="11.25" customHeight="1" x14ac:dyDescent="0.25">
      <c r="G5987" s="459"/>
      <c r="H5987" s="459">
        <v>5980</v>
      </c>
      <c r="I5987" s="444">
        <f t="shared" ca="1" si="218"/>
        <v>-2.900933926307242E+16</v>
      </c>
      <c r="J5987" s="444">
        <f t="array" ref="J5987">IFERROR(INDEX('Retirement Calculator'!J:J,MATCH('Isaac 401k'!N5987,'Retirement Calculator'!A:A,0),0),0)</f>
        <v>0</v>
      </c>
      <c r="K5987" s="444">
        <f t="shared" ca="1" si="216"/>
        <v>-120872246929468.42</v>
      </c>
      <c r="L5987" s="444">
        <f t="shared" ca="1" si="217"/>
        <v>-2.9130211510001888E+16</v>
      </c>
      <c r="M5987" s="460">
        <f t="shared" si="219"/>
        <v>0.05</v>
      </c>
      <c r="N5987" s="464">
        <f t="shared" si="220"/>
        <v>233270</v>
      </c>
    </row>
    <row r="5988" spans="7:14" ht="11.25" customHeight="1" x14ac:dyDescent="0.25">
      <c r="G5988" s="459"/>
      <c r="H5988" s="459">
        <v>5981</v>
      </c>
      <c r="I5988" s="444">
        <f t="shared" ca="1" si="218"/>
        <v>-2.9130211510001888E+16</v>
      </c>
      <c r="J5988" s="444">
        <f t="array" ref="J5988">IFERROR(INDEX('Retirement Calculator'!J:J,MATCH('Isaac 401k'!N5988,'Retirement Calculator'!A:A,0),0),0)</f>
        <v>0</v>
      </c>
      <c r="K5988" s="444">
        <f t="shared" ca="1" si="216"/>
        <v>-121375881291674.53</v>
      </c>
      <c r="L5988" s="444">
        <f t="shared" ca="1" si="217"/>
        <v>-2.9251587391293564E+16</v>
      </c>
      <c r="M5988" s="460">
        <f t="shared" si="219"/>
        <v>0.05</v>
      </c>
      <c r="N5988" s="464">
        <f t="shared" si="220"/>
        <v>233300</v>
      </c>
    </row>
    <row r="5989" spans="7:14" ht="11.25" customHeight="1" x14ac:dyDescent="0.25">
      <c r="G5989" s="459"/>
      <c r="H5989" s="459">
        <v>5982</v>
      </c>
      <c r="I5989" s="444">
        <f t="shared" ca="1" si="218"/>
        <v>-2.9251587391293564E+16</v>
      </c>
      <c r="J5989" s="444">
        <f t="array" ref="J5989">IFERROR(INDEX('Retirement Calculator'!J:J,MATCH('Isaac 401k'!N5989,'Retirement Calculator'!A:A,0),0),0)</f>
        <v>0</v>
      </c>
      <c r="K5989" s="444">
        <f t="shared" ca="1" si="216"/>
        <v>-121881614130389.84</v>
      </c>
      <c r="L5989" s="444">
        <f t="shared" ca="1" si="217"/>
        <v>-2.9373469005423952E+16</v>
      </c>
      <c r="M5989" s="460">
        <f t="shared" si="219"/>
        <v>0.05</v>
      </c>
      <c r="N5989" s="464">
        <f t="shared" si="220"/>
        <v>233331</v>
      </c>
    </row>
    <row r="5990" spans="7:14" ht="11.25" customHeight="1" x14ac:dyDescent="0.25">
      <c r="G5990" s="459"/>
      <c r="H5990" s="459">
        <v>5983</v>
      </c>
      <c r="I5990" s="444">
        <f t="shared" ca="1" si="218"/>
        <v>-2.9373469005423952E+16</v>
      </c>
      <c r="J5990" s="444">
        <f t="array" ref="J5990">IFERROR(INDEX('Retirement Calculator'!J:J,MATCH('Isaac 401k'!N5990,'Retirement Calculator'!A:A,0),0),0)</f>
        <v>0</v>
      </c>
      <c r="K5990" s="444">
        <f t="shared" ca="1" si="216"/>
        <v>-122389454189266.45</v>
      </c>
      <c r="L5990" s="444">
        <f t="shared" ca="1" si="217"/>
        <v>-2.949585845961322E+16</v>
      </c>
      <c r="M5990" s="460">
        <f t="shared" si="219"/>
        <v>0.05</v>
      </c>
      <c r="N5990" s="464">
        <f t="shared" si="220"/>
        <v>233361</v>
      </c>
    </row>
    <row r="5991" spans="7:14" ht="11.25" customHeight="1" x14ac:dyDescent="0.25">
      <c r="G5991" s="459"/>
      <c r="H5991" s="459">
        <v>5984</v>
      </c>
      <c r="I5991" s="444">
        <f t="shared" ca="1" si="218"/>
        <v>-2.949585845961322E+16</v>
      </c>
      <c r="J5991" s="444">
        <f t="array" ref="J5991">IFERROR(INDEX('Retirement Calculator'!J:J,MATCH('Isaac 401k'!N5991,'Retirement Calculator'!A:A,0),0),0)</f>
        <v>0</v>
      </c>
      <c r="K5991" s="444">
        <f t="shared" ca="1" si="216"/>
        <v>-122899410248388.42</v>
      </c>
      <c r="L5991" s="444">
        <f t="shared" ca="1" si="217"/>
        <v>-2.9618757869861608E+16</v>
      </c>
      <c r="M5991" s="460">
        <f t="shared" si="219"/>
        <v>0.05</v>
      </c>
      <c r="N5991" s="464">
        <f t="shared" si="220"/>
        <v>233392</v>
      </c>
    </row>
    <row r="5992" spans="7:14" ht="11.25" customHeight="1" x14ac:dyDescent="0.25">
      <c r="G5992" s="459"/>
      <c r="H5992" s="459">
        <v>5985</v>
      </c>
      <c r="I5992" s="444">
        <f t="shared" ca="1" si="218"/>
        <v>-2.9618757869861608E+16</v>
      </c>
      <c r="J5992" s="444">
        <f t="array" ref="J5992">IFERROR(INDEX('Retirement Calculator'!J:J,MATCH('Isaac 401k'!N5992,'Retirement Calculator'!A:A,0),0),0)</f>
        <v>0</v>
      </c>
      <c r="K5992" s="444">
        <f t="shared" ca="1" si="216"/>
        <v>-123411491124423.36</v>
      </c>
      <c r="L5992" s="444">
        <f t="shared" ca="1" si="217"/>
        <v>-2.9742169360986032E+16</v>
      </c>
      <c r="M5992" s="460">
        <f t="shared" si="219"/>
        <v>0.05</v>
      </c>
      <c r="N5992" s="464">
        <f t="shared" si="220"/>
        <v>233423</v>
      </c>
    </row>
    <row r="5993" spans="7:14" ht="11.25" customHeight="1" x14ac:dyDescent="0.25">
      <c r="G5993" s="459"/>
      <c r="H5993" s="459">
        <v>5986</v>
      </c>
      <c r="I5993" s="444">
        <f t="shared" ca="1" si="218"/>
        <v>-2.9742169360986032E+16</v>
      </c>
      <c r="J5993" s="444">
        <f t="array" ref="J5993">IFERROR(INDEX('Retirement Calculator'!J:J,MATCH('Isaac 401k'!N5993,'Retirement Calculator'!A:A,0),0),0)</f>
        <v>0</v>
      </c>
      <c r="K5993" s="444">
        <f t="shared" ca="1" si="216"/>
        <v>-123925705670775.13</v>
      </c>
      <c r="L5993" s="444">
        <f t="shared" ca="1" si="217"/>
        <v>-2.9866095066656808E+16</v>
      </c>
      <c r="M5993" s="460">
        <f t="shared" si="219"/>
        <v>0.05</v>
      </c>
      <c r="N5993" s="464">
        <f t="shared" si="220"/>
        <v>233451</v>
      </c>
    </row>
    <row r="5994" spans="7:14" ht="11.25" customHeight="1" x14ac:dyDescent="0.25">
      <c r="G5994" s="459"/>
      <c r="H5994" s="459">
        <v>5987</v>
      </c>
      <c r="I5994" s="444">
        <f t="shared" ca="1" si="218"/>
        <v>-2.9866095066656808E+16</v>
      </c>
      <c r="J5994" s="444">
        <f t="array" ref="J5994">IFERROR(INDEX('Retirement Calculator'!J:J,MATCH('Isaac 401k'!N5994,'Retirement Calculator'!A:A,0),0),0)</f>
        <v>0</v>
      </c>
      <c r="K5994" s="444">
        <f t="shared" ca="1" si="216"/>
        <v>-124442062777736.7</v>
      </c>
      <c r="L5994" s="444">
        <f t="shared" ca="1" si="217"/>
        <v>-2.9990537129434544E+16</v>
      </c>
      <c r="M5994" s="460">
        <f t="shared" si="219"/>
        <v>0.05</v>
      </c>
      <c r="N5994" s="464">
        <f t="shared" si="220"/>
        <v>233482</v>
      </c>
    </row>
    <row r="5995" spans="7:14" ht="11.25" customHeight="1" x14ac:dyDescent="0.25">
      <c r="G5995" s="459"/>
      <c r="H5995" s="459">
        <v>5988</v>
      </c>
      <c r="I5995" s="444">
        <f t="shared" ca="1" si="218"/>
        <v>-2.9990537129434544E+16</v>
      </c>
      <c r="J5995" s="444">
        <f t="array" ref="J5995">IFERROR(INDEX('Retirement Calculator'!J:J,MATCH('Isaac 401k'!N5995,'Retirement Calculator'!A:A,0),0),0)</f>
        <v>0</v>
      </c>
      <c r="K5995" s="444">
        <f t="shared" ca="1" si="216"/>
        <v>-124960571372643.94</v>
      </c>
      <c r="L5995" s="444">
        <f t="shared" ca="1" si="217"/>
        <v>-3.0115497700807188E+16</v>
      </c>
      <c r="M5995" s="460">
        <f t="shared" si="219"/>
        <v>0.05</v>
      </c>
      <c r="N5995" s="464">
        <f t="shared" si="220"/>
        <v>233512</v>
      </c>
    </row>
    <row r="5996" spans="7:14" ht="11.25" customHeight="1" x14ac:dyDescent="0.25">
      <c r="G5996" s="459"/>
      <c r="H5996" s="459">
        <v>5989</v>
      </c>
      <c r="I5996" s="444">
        <f t="shared" ca="1" si="218"/>
        <v>-3.0115497700807188E+16</v>
      </c>
      <c r="J5996" s="444">
        <f t="array" ref="J5996">IFERROR(INDEX('Retirement Calculator'!J:J,MATCH('Isaac 401k'!N5996,'Retirement Calculator'!A:A,0),0),0)</f>
        <v>0</v>
      </c>
      <c r="K5996" s="444">
        <f t="shared" ca="1" si="216"/>
        <v>-125481240420029.95</v>
      </c>
      <c r="L5996" s="444">
        <f t="shared" ca="1" si="217"/>
        <v>-3.0240978941227216E+16</v>
      </c>
      <c r="M5996" s="460">
        <f t="shared" si="219"/>
        <v>0.05</v>
      </c>
      <c r="N5996" s="464">
        <f t="shared" si="220"/>
        <v>233543</v>
      </c>
    </row>
    <row r="5997" spans="7:14" ht="11.25" customHeight="1" x14ac:dyDescent="0.25">
      <c r="G5997" s="459"/>
      <c r="H5997" s="459">
        <v>5990</v>
      </c>
      <c r="I5997" s="444">
        <f t="shared" ca="1" si="218"/>
        <v>-3.0240978941227216E+16</v>
      </c>
      <c r="J5997" s="444">
        <f t="array" ref="J5997">IFERROR(INDEX('Retirement Calculator'!J:J,MATCH('Isaac 401k'!N5997,'Retirement Calculator'!A:A,0),0),0)</f>
        <v>0</v>
      </c>
      <c r="K5997" s="444">
        <f t="shared" ca="1" si="216"/>
        <v>-126004078921780.06</v>
      </c>
      <c r="L5997" s="444">
        <f t="shared" ca="1" si="217"/>
        <v>-3.0366983020148996E+16</v>
      </c>
      <c r="M5997" s="460">
        <f t="shared" si="219"/>
        <v>0.05</v>
      </c>
      <c r="N5997" s="464">
        <f t="shared" si="220"/>
        <v>233573</v>
      </c>
    </row>
    <row r="5998" spans="7:14" ht="11.25" customHeight="1" x14ac:dyDescent="0.25">
      <c r="G5998" s="459"/>
      <c r="H5998" s="459">
        <v>5991</v>
      </c>
      <c r="I5998" s="444">
        <f t="shared" ca="1" si="218"/>
        <v>-3.0366983020148996E+16</v>
      </c>
      <c r="J5998" s="444">
        <f t="array" ref="J5998">IFERROR(INDEX('Retirement Calculator'!J:J,MATCH('Isaac 401k'!N5998,'Retirement Calculator'!A:A,0),0),0)</f>
        <v>0</v>
      </c>
      <c r="K5998" s="444">
        <f t="shared" ca="1" si="216"/>
        <v>-126529095917287.47</v>
      </c>
      <c r="L5998" s="444">
        <f t="shared" ca="1" si="217"/>
        <v>-3.0493512116066284E+16</v>
      </c>
      <c r="M5998" s="460">
        <f t="shared" si="219"/>
        <v>0.05</v>
      </c>
      <c r="N5998" s="464">
        <f t="shared" si="220"/>
        <v>233604</v>
      </c>
    </row>
    <row r="5999" spans="7:14" ht="11.25" customHeight="1" x14ac:dyDescent="0.25">
      <c r="G5999" s="459"/>
      <c r="H5999" s="459">
        <v>5992</v>
      </c>
      <c r="I5999" s="444">
        <f t="shared" ca="1" si="218"/>
        <v>-3.0493512116066284E+16</v>
      </c>
      <c r="J5999" s="444">
        <f t="array" ref="J5999">IFERROR(INDEX('Retirement Calculator'!J:J,MATCH('Isaac 401k'!N5999,'Retirement Calculator'!A:A,0),0),0)</f>
        <v>0</v>
      </c>
      <c r="K5999" s="444">
        <f t="shared" ca="1" si="216"/>
        <v>-127056300483609.52</v>
      </c>
      <c r="L5999" s="444">
        <f t="shared" ca="1" si="217"/>
        <v>-3.0620568416549892E+16</v>
      </c>
      <c r="M5999" s="460">
        <f t="shared" si="219"/>
        <v>0.05</v>
      </c>
      <c r="N5999" s="464">
        <f t="shared" si="220"/>
        <v>233635</v>
      </c>
    </row>
    <row r="6000" spans="7:14" ht="11.25" customHeight="1" x14ac:dyDescent="0.25">
      <c r="G6000" s="459"/>
      <c r="H6000" s="459">
        <v>5993</v>
      </c>
      <c r="I6000" s="444">
        <f t="shared" ca="1" si="218"/>
        <v>-3.0620568416549892E+16</v>
      </c>
      <c r="J6000" s="444">
        <f t="array" ref="J6000">IFERROR(INDEX('Retirement Calculator'!J:J,MATCH('Isaac 401k'!N6000,'Retirement Calculator'!A:A,0),0),0)</f>
        <v>0</v>
      </c>
      <c r="K6000" s="444">
        <f t="shared" ca="1" si="216"/>
        <v>-127585701735624.55</v>
      </c>
      <c r="L6000" s="444">
        <f t="shared" ca="1" si="217"/>
        <v>-3.0748154118285516E+16</v>
      </c>
      <c r="M6000" s="460">
        <f t="shared" si="219"/>
        <v>0.05</v>
      </c>
      <c r="N6000" s="464">
        <f t="shared" si="220"/>
        <v>233665</v>
      </c>
    </row>
    <row r="6001" spans="7:14" ht="11.25" customHeight="1" x14ac:dyDescent="0.25">
      <c r="G6001" s="459"/>
      <c r="H6001" s="459">
        <v>5994</v>
      </c>
      <c r="I6001" s="444">
        <f t="shared" ca="1" si="218"/>
        <v>-3.0748154118285516E+16</v>
      </c>
      <c r="J6001" s="444">
        <f t="array" ref="J6001">IFERROR(INDEX('Retirement Calculator'!J:J,MATCH('Isaac 401k'!N6001,'Retirement Calculator'!A:A,0),0),0)</f>
        <v>0</v>
      </c>
      <c r="K6001" s="444">
        <f t="shared" ca="1" si="216"/>
        <v>-128117308826189.64</v>
      </c>
      <c r="L6001" s="444">
        <f t="shared" ca="1" si="217"/>
        <v>-3.0876271427111704E+16</v>
      </c>
      <c r="M6001" s="460">
        <f t="shared" si="219"/>
        <v>0.05</v>
      </c>
      <c r="N6001" s="464">
        <f t="shared" si="220"/>
        <v>233696</v>
      </c>
    </row>
    <row r="6002" spans="7:14" ht="11.25" customHeight="1" x14ac:dyDescent="0.25">
      <c r="G6002" s="459"/>
      <c r="H6002" s="459">
        <v>5995</v>
      </c>
      <c r="I6002" s="444">
        <f t="shared" ca="1" si="218"/>
        <v>-3.0876271427111704E+16</v>
      </c>
      <c r="J6002" s="444">
        <f t="array" ref="J6002">IFERROR(INDEX('Retirement Calculator'!J:J,MATCH('Isaac 401k'!N6002,'Retirement Calculator'!A:A,0),0),0)</f>
        <v>0</v>
      </c>
      <c r="K6002" s="444">
        <f t="shared" ca="1" si="216"/>
        <v>-128651130946298.77</v>
      </c>
      <c r="L6002" s="444">
        <f t="shared" ca="1" si="217"/>
        <v>-3.1004922558058004E+16</v>
      </c>
      <c r="M6002" s="460">
        <f t="shared" si="219"/>
        <v>0.05</v>
      </c>
      <c r="N6002" s="464">
        <f t="shared" si="220"/>
        <v>233726</v>
      </c>
    </row>
    <row r="6003" spans="7:14" ht="11.25" customHeight="1" x14ac:dyDescent="0.25">
      <c r="G6003" s="459"/>
      <c r="H6003" s="459">
        <v>5996</v>
      </c>
      <c r="I6003" s="444">
        <f t="shared" ca="1" si="218"/>
        <v>-3.1004922558058004E+16</v>
      </c>
      <c r="J6003" s="444">
        <f t="array" ref="J6003">IFERROR(INDEX('Retirement Calculator'!J:J,MATCH('Isaac 401k'!N6003,'Retirement Calculator'!A:A,0),0),0)</f>
        <v>0</v>
      </c>
      <c r="K6003" s="444">
        <f t="shared" ca="1" si="216"/>
        <v>-129187177325241.67</v>
      </c>
      <c r="L6003" s="444">
        <f t="shared" ca="1" si="217"/>
        <v>-3.1134109735383244E+16</v>
      </c>
      <c r="M6003" s="460">
        <f t="shared" si="219"/>
        <v>0.05</v>
      </c>
      <c r="N6003" s="464">
        <f t="shared" si="220"/>
        <v>233757</v>
      </c>
    </row>
    <row r="6004" spans="7:14" ht="11.25" customHeight="1" x14ac:dyDescent="0.25">
      <c r="G6004" s="459"/>
      <c r="H6004" s="459">
        <v>5997</v>
      </c>
      <c r="I6004" s="444">
        <f t="shared" ca="1" si="218"/>
        <v>-3.1134109735383244E+16</v>
      </c>
      <c r="J6004" s="444">
        <f t="array" ref="J6004">IFERROR(INDEX('Retirement Calculator'!J:J,MATCH('Isaac 401k'!N6004,'Retirement Calculator'!A:A,0),0),0)</f>
        <v>0</v>
      </c>
      <c r="K6004" s="444">
        <f t="shared" ca="1" si="216"/>
        <v>-129725457230763.53</v>
      </c>
      <c r="L6004" s="444">
        <f t="shared" ca="1" si="217"/>
        <v>-3.1263835192614008E+16</v>
      </c>
      <c r="M6004" s="460">
        <f t="shared" si="219"/>
        <v>0.05</v>
      </c>
      <c r="N6004" s="464">
        <f t="shared" si="220"/>
        <v>233788</v>
      </c>
    </row>
    <row r="6005" spans="7:14" ht="11.25" customHeight="1" x14ac:dyDescent="0.25">
      <c r="G6005" s="459"/>
      <c r="H6005" s="459">
        <v>5998</v>
      </c>
      <c r="I6005" s="444">
        <f t="shared" ca="1" si="218"/>
        <v>-3.1263835192614008E+16</v>
      </c>
      <c r="J6005" s="444">
        <f t="array" ref="J6005">IFERROR(INDEX('Retirement Calculator'!J:J,MATCH('Isaac 401k'!N6005,'Retirement Calculator'!A:A,0),0),0)</f>
        <v>0</v>
      </c>
      <c r="K6005" s="444">
        <f t="shared" ca="1" si="216"/>
        <v>-130265979969225.03</v>
      </c>
      <c r="L6005" s="444">
        <f t="shared" ca="1" si="217"/>
        <v>-3.1394101172583232E+16</v>
      </c>
      <c r="M6005" s="460">
        <f t="shared" si="219"/>
        <v>0.05</v>
      </c>
      <c r="N6005" s="464">
        <f t="shared" si="220"/>
        <v>233817</v>
      </c>
    </row>
    <row r="6006" spans="7:14" ht="11.25" customHeight="1" x14ac:dyDescent="0.25">
      <c r="G6006" s="459"/>
      <c r="H6006" s="459">
        <v>5999</v>
      </c>
      <c r="I6006" s="444">
        <f t="shared" ca="1" si="218"/>
        <v>-3.1394101172583232E+16</v>
      </c>
      <c r="J6006" s="444">
        <f t="array" ref="J6006">IFERROR(INDEX('Retirement Calculator'!J:J,MATCH('Isaac 401k'!N6006,'Retirement Calculator'!A:A,0),0),0)</f>
        <v>0</v>
      </c>
      <c r="K6006" s="444">
        <f t="shared" ca="1" si="216"/>
        <v>-130808754885763.45</v>
      </c>
      <c r="L6006" s="444">
        <f t="shared" ca="1" si="217"/>
        <v>-3.1524909927468996E+16</v>
      </c>
      <c r="M6006" s="460">
        <f t="shared" si="219"/>
        <v>0.05</v>
      </c>
      <c r="N6006" s="464">
        <f t="shared" si="220"/>
        <v>233848</v>
      </c>
    </row>
    <row r="6007" spans="7:14" ht="11.25" customHeight="1" x14ac:dyDescent="0.25">
      <c r="G6007" s="459"/>
      <c r="H6007" s="459">
        <v>6000</v>
      </c>
      <c r="I6007" s="444">
        <f t="shared" ca="1" si="218"/>
        <v>-3.1524909927468996E+16</v>
      </c>
      <c r="J6007" s="444">
        <f t="array" ref="J6007">IFERROR(INDEX('Retirement Calculator'!J:J,MATCH('Isaac 401k'!N6007,'Retirement Calculator'!A:A,0),0),0)</f>
        <v>0</v>
      </c>
      <c r="K6007" s="444">
        <f t="shared" ca="1" si="216"/>
        <v>-131353791364454.14</v>
      </c>
      <c r="L6007" s="444">
        <f t="shared" ca="1" si="217"/>
        <v>-3.1656263718833452E+16</v>
      </c>
      <c r="M6007" s="460">
        <f t="shared" si="219"/>
        <v>0.05</v>
      </c>
      <c r="N6007" s="464">
        <f t="shared" si="220"/>
        <v>233878</v>
      </c>
    </row>
    <row r="6008" spans="7:14" ht="11.25" customHeight="1" x14ac:dyDescent="0.25">
      <c r="G6008" s="459"/>
      <c r="H6008" s="459">
        <v>6001</v>
      </c>
      <c r="I6008" s="444">
        <f t="shared" ca="1" si="218"/>
        <v>-3.1656263718833452E+16</v>
      </c>
      <c r="J6008" s="444">
        <f t="array" ref="J6008">IFERROR(INDEX('Retirement Calculator'!J:J,MATCH('Isaac 401k'!N6008,'Retirement Calculator'!A:A,0),0),0)</f>
        <v>0</v>
      </c>
      <c r="K6008" s="444">
        <f t="shared" ca="1" si="216"/>
        <v>-131901098828472.73</v>
      </c>
      <c r="L6008" s="444">
        <f t="shared" ca="1" si="217"/>
        <v>-3.1788164817661924E+16</v>
      </c>
      <c r="M6008" s="460">
        <f t="shared" si="219"/>
        <v>0.05</v>
      </c>
      <c r="N6008" s="464">
        <f t="shared" si="220"/>
        <v>233909</v>
      </c>
    </row>
    <row r="6009" spans="7:14" ht="11.25" customHeight="1" x14ac:dyDescent="0.25">
      <c r="G6009" s="459"/>
      <c r="H6009" s="459">
        <v>6002</v>
      </c>
      <c r="I6009" s="444">
        <f t="shared" ca="1" si="218"/>
        <v>-3.1788164817661924E+16</v>
      </c>
      <c r="J6009" s="444">
        <f t="array" ref="J6009">IFERROR(INDEX('Retirement Calculator'!J:J,MATCH('Isaac 401k'!N6009,'Retirement Calculator'!A:A,0),0),0)</f>
        <v>0</v>
      </c>
      <c r="K6009" s="444">
        <f t="shared" ca="1" si="216"/>
        <v>-132450686740258.02</v>
      </c>
      <c r="L6009" s="444">
        <f t="shared" ca="1" si="217"/>
        <v>-3.1920615504402184E+16</v>
      </c>
      <c r="M6009" s="460">
        <f t="shared" si="219"/>
        <v>0.05</v>
      </c>
      <c r="N6009" s="464">
        <f t="shared" si="220"/>
        <v>233939</v>
      </c>
    </row>
    <row r="6010" spans="7:14" ht="11.25" customHeight="1" x14ac:dyDescent="0.25">
      <c r="G6010" s="459"/>
      <c r="H6010" s="459">
        <v>6003</v>
      </c>
      <c r="I6010" s="444">
        <f t="shared" ca="1" si="218"/>
        <v>-3.1920615504402184E+16</v>
      </c>
      <c r="J6010" s="444">
        <f t="array" ref="J6010">IFERROR(INDEX('Retirement Calculator'!J:J,MATCH('Isaac 401k'!N6010,'Retirement Calculator'!A:A,0),0),0)</f>
        <v>0</v>
      </c>
      <c r="K6010" s="444">
        <f t="shared" ca="1" si="216"/>
        <v>-133002564601675.75</v>
      </c>
      <c r="L6010" s="444">
        <f t="shared" ca="1" si="217"/>
        <v>-3.205361806900386E+16</v>
      </c>
      <c r="M6010" s="460">
        <f t="shared" si="219"/>
        <v>0.05</v>
      </c>
      <c r="N6010" s="464">
        <f t="shared" si="220"/>
        <v>233970</v>
      </c>
    </row>
    <row r="6011" spans="7:14" ht="11.25" customHeight="1" x14ac:dyDescent="0.25">
      <c r="G6011" s="459"/>
      <c r="H6011" s="459">
        <v>6004</v>
      </c>
      <c r="I6011" s="444">
        <f t="shared" ca="1" si="218"/>
        <v>-3.205361806900386E+16</v>
      </c>
      <c r="J6011" s="444">
        <f t="array" ref="J6011">IFERROR(INDEX('Retirement Calculator'!J:J,MATCH('Isaac 401k'!N6011,'Retirement Calculator'!A:A,0),0),0)</f>
        <v>0</v>
      </c>
      <c r="K6011" s="444">
        <f t="shared" ca="1" si="216"/>
        <v>-133556741954182.77</v>
      </c>
      <c r="L6011" s="444">
        <f t="shared" ca="1" si="217"/>
        <v>-3.2187174810958044E+16</v>
      </c>
      <c r="M6011" s="460">
        <f t="shared" si="219"/>
        <v>0.05</v>
      </c>
      <c r="N6011" s="464">
        <f t="shared" si="220"/>
        <v>234001</v>
      </c>
    </row>
    <row r="6012" spans="7:14" ht="11.25" customHeight="1" x14ac:dyDescent="0.25">
      <c r="G6012" s="459"/>
      <c r="H6012" s="459">
        <v>6005</v>
      </c>
      <c r="I6012" s="444">
        <f t="shared" ca="1" si="218"/>
        <v>-3.2187174810958044E+16</v>
      </c>
      <c r="J6012" s="444">
        <f t="array" ref="J6012">IFERROR(INDEX('Retirement Calculator'!J:J,MATCH('Isaac 401k'!N6012,'Retirement Calculator'!A:A,0),0),0)</f>
        <v>0</v>
      </c>
      <c r="K6012" s="444">
        <f t="shared" ca="1" si="216"/>
        <v>-134113228378991.84</v>
      </c>
      <c r="L6012" s="444">
        <f t="shared" ca="1" si="217"/>
        <v>-3.2321288039337036E+16</v>
      </c>
      <c r="M6012" s="460">
        <f t="shared" si="219"/>
        <v>0.05</v>
      </c>
      <c r="N6012" s="464">
        <f t="shared" si="220"/>
        <v>234031</v>
      </c>
    </row>
    <row r="6013" spans="7:14" ht="11.25" customHeight="1" x14ac:dyDescent="0.25">
      <c r="G6013" s="459"/>
      <c r="H6013" s="459">
        <v>6006</v>
      </c>
      <c r="I6013" s="444">
        <f t="shared" ca="1" si="218"/>
        <v>-3.2321288039337036E+16</v>
      </c>
      <c r="J6013" s="444">
        <f t="array" ref="J6013">IFERROR(INDEX('Retirement Calculator'!J:J,MATCH('Isaac 401k'!N6013,'Retirement Calculator'!A:A,0),0),0)</f>
        <v>0</v>
      </c>
      <c r="K6013" s="444">
        <f t="shared" ca="1" si="216"/>
        <v>-134672033497237.64</v>
      </c>
      <c r="L6013" s="444">
        <f t="shared" ca="1" si="217"/>
        <v>-3.2455960072834272E+16</v>
      </c>
      <c r="M6013" s="460">
        <f t="shared" si="219"/>
        <v>0.05</v>
      </c>
      <c r="N6013" s="464">
        <f t="shared" si="220"/>
        <v>234062</v>
      </c>
    </row>
    <row r="6014" spans="7:14" ht="11.25" customHeight="1" x14ac:dyDescent="0.25">
      <c r="G6014" s="459"/>
      <c r="H6014" s="459">
        <v>6007</v>
      </c>
      <c r="I6014" s="444">
        <f t="shared" ca="1" si="218"/>
        <v>-3.2455960072834272E+16</v>
      </c>
      <c r="J6014" s="444">
        <f t="array" ref="J6014">IFERROR(INDEX('Retirement Calculator'!J:J,MATCH('Isaac 401k'!N6014,'Retirement Calculator'!A:A,0),0),0)</f>
        <v>0</v>
      </c>
      <c r="K6014" s="444">
        <f t="shared" ca="1" si="216"/>
        <v>-135233166970142.78</v>
      </c>
      <c r="L6014" s="444">
        <f t="shared" ca="1" si="217"/>
        <v>-3.2591193239804416E+16</v>
      </c>
      <c r="M6014" s="460">
        <f t="shared" si="219"/>
        <v>0.05</v>
      </c>
      <c r="N6014" s="464">
        <f t="shared" si="220"/>
        <v>234092</v>
      </c>
    </row>
    <row r="6015" spans="7:14" ht="11.25" customHeight="1" x14ac:dyDescent="0.25">
      <c r="G6015" s="459"/>
      <c r="H6015" s="459">
        <v>6008</v>
      </c>
      <c r="I6015" s="444">
        <f t="shared" ca="1" si="218"/>
        <v>-3.2591193239804416E+16</v>
      </c>
      <c r="J6015" s="444">
        <f t="array" ref="J6015">IFERROR(INDEX('Retirement Calculator'!J:J,MATCH('Isaac 401k'!N6015,'Retirement Calculator'!A:A,0),0),0)</f>
        <v>0</v>
      </c>
      <c r="K6015" s="444">
        <f t="shared" ca="1" si="216"/>
        <v>-135796638499185.06</v>
      </c>
      <c r="L6015" s="444">
        <f t="shared" ca="1" si="217"/>
        <v>-3.27269898783036E+16</v>
      </c>
      <c r="M6015" s="460">
        <f t="shared" si="219"/>
        <v>0.05</v>
      </c>
      <c r="N6015" s="464">
        <f t="shared" si="220"/>
        <v>234123</v>
      </c>
    </row>
    <row r="6016" spans="7:14" ht="11.25" customHeight="1" x14ac:dyDescent="0.25">
      <c r="G6016" s="459"/>
      <c r="H6016" s="459">
        <v>6009</v>
      </c>
      <c r="I6016" s="444">
        <f t="shared" ca="1" si="218"/>
        <v>-3.27269898783036E+16</v>
      </c>
      <c r="J6016" s="444">
        <f t="array" ref="J6016">IFERROR(INDEX('Retirement Calculator'!J:J,MATCH('Isaac 401k'!N6016,'Retirement Calculator'!A:A,0),0),0)</f>
        <v>0</v>
      </c>
      <c r="K6016" s="444">
        <f t="shared" ca="1" si="216"/>
        <v>-136362457826265</v>
      </c>
      <c r="L6016" s="444">
        <f t="shared" ca="1" si="217"/>
        <v>-3.2863352336129864E+16</v>
      </c>
      <c r="M6016" s="460">
        <f t="shared" si="219"/>
        <v>0.05</v>
      </c>
      <c r="N6016" s="464">
        <f t="shared" si="220"/>
        <v>234154</v>
      </c>
    </row>
    <row r="6017" spans="7:14" ht="11.25" customHeight="1" x14ac:dyDescent="0.25">
      <c r="G6017" s="459"/>
      <c r="H6017" s="459">
        <v>6010</v>
      </c>
      <c r="I6017" s="444">
        <f t="shared" ca="1" si="218"/>
        <v>-3.2863352336129864E+16</v>
      </c>
      <c r="J6017" s="444">
        <f t="array" ref="J6017">IFERROR(INDEX('Retirement Calculator'!J:J,MATCH('Isaac 401k'!N6017,'Retirement Calculator'!A:A,0),0),0)</f>
        <v>0</v>
      </c>
      <c r="K6017" s="444">
        <f t="shared" ca="1" si="216"/>
        <v>-136930634733874.44</v>
      </c>
      <c r="L6017" s="444">
        <f t="shared" ca="1" si="217"/>
        <v>-3.300028297086374E+16</v>
      </c>
      <c r="M6017" s="460">
        <f t="shared" si="219"/>
        <v>0.05</v>
      </c>
      <c r="N6017" s="464">
        <f t="shared" si="220"/>
        <v>234182</v>
      </c>
    </row>
    <row r="6018" spans="7:14" ht="11.25" customHeight="1" x14ac:dyDescent="0.25">
      <c r="G6018" s="459"/>
      <c r="H6018" s="459">
        <v>6011</v>
      </c>
      <c r="I6018" s="444">
        <f t="shared" ca="1" si="218"/>
        <v>-3.300028297086374E+16</v>
      </c>
      <c r="J6018" s="444">
        <f t="array" ref="J6018">IFERROR(INDEX('Retirement Calculator'!J:J,MATCH('Isaac 401k'!N6018,'Retirement Calculator'!A:A,0),0),0)</f>
        <v>0</v>
      </c>
      <c r="K6018" s="444">
        <f t="shared" ca="1" si="216"/>
        <v>-137501179045265.58</v>
      </c>
      <c r="L6018" s="444">
        <f t="shared" ca="1" si="217"/>
        <v>-3.3137784149909004E+16</v>
      </c>
      <c r="M6018" s="460">
        <f t="shared" si="219"/>
        <v>0.05</v>
      </c>
      <c r="N6018" s="464">
        <f t="shared" si="220"/>
        <v>234213</v>
      </c>
    </row>
    <row r="6019" spans="7:14" ht="11.25" customHeight="1" x14ac:dyDescent="0.25">
      <c r="G6019" s="459"/>
      <c r="H6019" s="459">
        <v>6012</v>
      </c>
      <c r="I6019" s="444">
        <f t="shared" ca="1" si="218"/>
        <v>-3.3137784149909004E+16</v>
      </c>
      <c r="J6019" s="444">
        <f t="array" ref="J6019">IFERROR(INDEX('Retirement Calculator'!J:J,MATCH('Isaac 401k'!N6019,'Retirement Calculator'!A:A,0),0),0)</f>
        <v>0</v>
      </c>
      <c r="K6019" s="444">
        <f t="shared" ca="1" si="216"/>
        <v>-138074100624620.84</v>
      </c>
      <c r="L6019" s="444">
        <f t="shared" ca="1" si="217"/>
        <v>-3.3275858250533624E+16</v>
      </c>
      <c r="M6019" s="460">
        <f t="shared" si="219"/>
        <v>0.05</v>
      </c>
      <c r="N6019" s="464">
        <f t="shared" si="220"/>
        <v>234243</v>
      </c>
    </row>
    <row r="6020" spans="7:14" ht="11.25" customHeight="1" x14ac:dyDescent="0.25">
      <c r="G6020" s="459"/>
      <c r="H6020" s="459">
        <v>6013</v>
      </c>
      <c r="I6020" s="444">
        <f t="shared" ca="1" si="218"/>
        <v>-3.3275858250533624E+16</v>
      </c>
      <c r="J6020" s="444">
        <f t="array" ref="J6020">IFERROR(INDEX('Retirement Calculator'!J:J,MATCH('Isaac 401k'!N6020,'Retirement Calculator'!A:A,0),0),0)</f>
        <v>0</v>
      </c>
      <c r="K6020" s="444">
        <f t="shared" ca="1" si="216"/>
        <v>-138649409377223.42</v>
      </c>
      <c r="L6020" s="444">
        <f t="shared" ca="1" si="217"/>
        <v>-3.3414507659910848E+16</v>
      </c>
      <c r="M6020" s="460">
        <f t="shared" si="219"/>
        <v>0.05</v>
      </c>
      <c r="N6020" s="464">
        <f t="shared" si="220"/>
        <v>234274</v>
      </c>
    </row>
    <row r="6021" spans="7:14" ht="11.25" customHeight="1" x14ac:dyDescent="0.25">
      <c r="G6021" s="459"/>
      <c r="H6021" s="459">
        <v>6014</v>
      </c>
      <c r="I6021" s="444">
        <f t="shared" ca="1" si="218"/>
        <v>-3.3414507659910848E+16</v>
      </c>
      <c r="J6021" s="444">
        <f t="array" ref="J6021">IFERROR(INDEX('Retirement Calculator'!J:J,MATCH('Isaac 401k'!N6021,'Retirement Calculator'!A:A,0),0),0)</f>
        <v>0</v>
      </c>
      <c r="K6021" s="444">
        <f t="shared" ca="1" si="216"/>
        <v>-139227115249628.53</v>
      </c>
      <c r="L6021" s="444">
        <f t="shared" ca="1" si="217"/>
        <v>-3.3553734775160476E+16</v>
      </c>
      <c r="M6021" s="460">
        <f t="shared" si="219"/>
        <v>0.05</v>
      </c>
      <c r="N6021" s="464">
        <f t="shared" si="220"/>
        <v>234304</v>
      </c>
    </row>
    <row r="6022" spans="7:14" ht="11.25" customHeight="1" x14ac:dyDescent="0.25">
      <c r="G6022" s="459"/>
      <c r="H6022" s="459">
        <v>6015</v>
      </c>
      <c r="I6022" s="444">
        <f t="shared" ca="1" si="218"/>
        <v>-3.3553734775160476E+16</v>
      </c>
      <c r="J6022" s="444">
        <f t="array" ref="J6022">IFERROR(INDEX('Retirement Calculator'!J:J,MATCH('Isaac 401k'!N6022,'Retirement Calculator'!A:A,0),0),0)</f>
        <v>0</v>
      </c>
      <c r="K6022" s="444">
        <f t="shared" ca="1" si="216"/>
        <v>-139807228229835.3</v>
      </c>
      <c r="L6022" s="444">
        <f t="shared" ca="1" si="217"/>
        <v>-3.3693542003390312E+16</v>
      </c>
      <c r="M6022" s="460">
        <f t="shared" si="219"/>
        <v>0.05</v>
      </c>
      <c r="N6022" s="464">
        <f t="shared" si="220"/>
        <v>234335</v>
      </c>
    </row>
    <row r="6023" spans="7:14" ht="11.25" customHeight="1" x14ac:dyDescent="0.25">
      <c r="G6023" s="459"/>
      <c r="H6023" s="459">
        <v>6016</v>
      </c>
      <c r="I6023" s="444">
        <f t="shared" ca="1" si="218"/>
        <v>-3.3693542003390312E+16</v>
      </c>
      <c r="J6023" s="444">
        <f t="array" ref="J6023">IFERROR(INDEX('Retirement Calculator'!J:J,MATCH('Isaac 401k'!N6023,'Retirement Calculator'!A:A,0),0),0)</f>
        <v>0</v>
      </c>
      <c r="K6023" s="444">
        <f t="shared" ca="1" si="216"/>
        <v>-140389758347459.63</v>
      </c>
      <c r="L6023" s="444">
        <f t="shared" ca="1" si="217"/>
        <v>-3.3833931761737772E+16</v>
      </c>
      <c r="M6023" s="460">
        <f t="shared" si="219"/>
        <v>0.05</v>
      </c>
      <c r="N6023" s="464">
        <f t="shared" si="220"/>
        <v>234366</v>
      </c>
    </row>
    <row r="6024" spans="7:14" ht="11.25" customHeight="1" x14ac:dyDescent="0.25">
      <c r="G6024" s="459"/>
      <c r="H6024" s="459">
        <v>6017</v>
      </c>
      <c r="I6024" s="444">
        <f t="shared" ca="1" si="218"/>
        <v>-3.3833931761737772E+16</v>
      </c>
      <c r="J6024" s="444">
        <f t="array" ref="J6024">IFERROR(INDEX('Retirement Calculator'!J:J,MATCH('Isaac 401k'!N6024,'Retirement Calculator'!A:A,0),0),0)</f>
        <v>0</v>
      </c>
      <c r="K6024" s="444">
        <f t="shared" ca="1" si="216"/>
        <v>-140974715673907.38</v>
      </c>
      <c r="L6024" s="444">
        <f t="shared" ca="1" si="217"/>
        <v>-3.397490647741168E+16</v>
      </c>
      <c r="M6024" s="460">
        <f t="shared" si="219"/>
        <v>0.05</v>
      </c>
      <c r="N6024" s="464">
        <f t="shared" si="220"/>
        <v>234396</v>
      </c>
    </row>
    <row r="6025" spans="7:14" ht="11.25" customHeight="1" x14ac:dyDescent="0.25">
      <c r="G6025" s="459"/>
      <c r="H6025" s="459">
        <v>6018</v>
      </c>
      <c r="I6025" s="444">
        <f t="shared" ca="1" si="218"/>
        <v>-3.397490647741168E+16</v>
      </c>
      <c r="J6025" s="444">
        <f t="array" ref="J6025">IFERROR(INDEX('Retirement Calculator'!J:J,MATCH('Isaac 401k'!N6025,'Retirement Calculator'!A:A,0),0),0)</f>
        <v>0</v>
      </c>
      <c r="K6025" s="444">
        <f t="shared" ca="1" si="216"/>
        <v>-141562110322548.66</v>
      </c>
      <c r="L6025" s="444">
        <f t="shared" ca="1" si="217"/>
        <v>-3.4116468587734228E+16</v>
      </c>
      <c r="M6025" s="460">
        <f t="shared" si="219"/>
        <v>0.05</v>
      </c>
      <c r="N6025" s="464">
        <f t="shared" si="220"/>
        <v>234427</v>
      </c>
    </row>
    <row r="6026" spans="7:14" ht="11.25" customHeight="1" x14ac:dyDescent="0.25">
      <c r="G6026" s="459"/>
      <c r="H6026" s="459">
        <v>6019</v>
      </c>
      <c r="I6026" s="444">
        <f t="shared" ca="1" si="218"/>
        <v>-3.4116468587734228E+16</v>
      </c>
      <c r="J6026" s="444">
        <f t="array" ref="J6026">IFERROR(INDEX('Retirement Calculator'!J:J,MATCH('Isaac 401k'!N6026,'Retirement Calculator'!A:A,0),0),0)</f>
        <v>0</v>
      </c>
      <c r="K6026" s="444">
        <f t="shared" ca="1" si="216"/>
        <v>-142151952448892.63</v>
      </c>
      <c r="L6026" s="444">
        <f t="shared" ca="1" si="217"/>
        <v>-3.425862054018312E+16</v>
      </c>
      <c r="M6026" s="460">
        <f t="shared" si="219"/>
        <v>0.05</v>
      </c>
      <c r="N6026" s="464">
        <f t="shared" si="220"/>
        <v>234457</v>
      </c>
    </row>
    <row r="6027" spans="7:14" ht="11.25" customHeight="1" x14ac:dyDescent="0.25">
      <c r="G6027" s="459"/>
      <c r="H6027" s="459">
        <v>6020</v>
      </c>
      <c r="I6027" s="444">
        <f t="shared" ca="1" si="218"/>
        <v>-3.425862054018312E+16</v>
      </c>
      <c r="J6027" s="444">
        <f t="array" ref="J6027">IFERROR(INDEX('Retirement Calculator'!J:J,MATCH('Isaac 401k'!N6027,'Retirement Calculator'!A:A,0),0),0)</f>
        <v>0</v>
      </c>
      <c r="K6027" s="444">
        <f t="shared" ca="1" si="216"/>
        <v>-142744252250763</v>
      </c>
      <c r="L6027" s="444">
        <f t="shared" ca="1" si="217"/>
        <v>-3.4401364792433884E+16</v>
      </c>
      <c r="M6027" s="460">
        <f t="shared" si="219"/>
        <v>0.05</v>
      </c>
      <c r="N6027" s="464">
        <f t="shared" si="220"/>
        <v>234488</v>
      </c>
    </row>
    <row r="6028" spans="7:14" ht="11.25" customHeight="1" x14ac:dyDescent="0.25">
      <c r="G6028" s="459"/>
      <c r="H6028" s="459">
        <v>6021</v>
      </c>
      <c r="I6028" s="444">
        <f t="shared" ca="1" si="218"/>
        <v>-3.4401364792433884E+16</v>
      </c>
      <c r="J6028" s="444">
        <f t="array" ref="J6028">IFERROR(INDEX('Retirement Calculator'!J:J,MATCH('Isaac 401k'!N6028,'Retirement Calculator'!A:A,0),0),0)</f>
        <v>0</v>
      </c>
      <c r="K6028" s="444">
        <f t="shared" ca="1" si="216"/>
        <v>-143339019968474.5</v>
      </c>
      <c r="L6028" s="444">
        <f t="shared" ca="1" si="217"/>
        <v>-3.454470381240236E+16</v>
      </c>
      <c r="M6028" s="460">
        <f t="shared" si="219"/>
        <v>0.05</v>
      </c>
      <c r="N6028" s="464">
        <f t="shared" si="220"/>
        <v>234519</v>
      </c>
    </row>
    <row r="6029" spans="7:14" ht="11.25" customHeight="1" x14ac:dyDescent="0.25">
      <c r="G6029" s="459"/>
      <c r="H6029" s="459">
        <v>6022</v>
      </c>
      <c r="I6029" s="444">
        <f t="shared" ca="1" si="218"/>
        <v>-3.454470381240236E+16</v>
      </c>
      <c r="J6029" s="444">
        <f t="array" ref="J6029">IFERROR(INDEX('Retirement Calculator'!J:J,MATCH('Isaac 401k'!N6029,'Retirement Calculator'!A:A,0),0),0)</f>
        <v>0</v>
      </c>
      <c r="K6029" s="444">
        <f t="shared" ca="1" si="216"/>
        <v>-143936265885009.84</v>
      </c>
      <c r="L6029" s="444">
        <f t="shared" ca="1" si="217"/>
        <v>-3.4688640078287368E+16</v>
      </c>
      <c r="M6029" s="460">
        <f t="shared" si="219"/>
        <v>0.05</v>
      </c>
      <c r="N6029" s="464">
        <f t="shared" si="220"/>
        <v>234547</v>
      </c>
    </row>
    <row r="6030" spans="7:14" ht="11.25" customHeight="1" x14ac:dyDescent="0.25">
      <c r="G6030" s="459"/>
      <c r="H6030" s="459">
        <v>6023</v>
      </c>
      <c r="I6030" s="444">
        <f t="shared" ca="1" si="218"/>
        <v>-3.4688640078287368E+16</v>
      </c>
      <c r="J6030" s="444">
        <f t="array" ref="J6030">IFERROR(INDEX('Retirement Calculator'!J:J,MATCH('Isaac 401k'!N6030,'Retirement Calculator'!A:A,0),0),0)</f>
        <v>0</v>
      </c>
      <c r="K6030" s="444">
        <f t="shared" ca="1" si="216"/>
        <v>-144536000326197.38</v>
      </c>
      <c r="L6030" s="444">
        <f t="shared" ca="1" si="217"/>
        <v>-3.4833176078613564E+16</v>
      </c>
      <c r="M6030" s="460">
        <f t="shared" si="219"/>
        <v>0.05</v>
      </c>
      <c r="N6030" s="464">
        <f t="shared" si="220"/>
        <v>234578</v>
      </c>
    </row>
    <row r="6031" spans="7:14" ht="11.25" customHeight="1" x14ac:dyDescent="0.25">
      <c r="G6031" s="459"/>
      <c r="H6031" s="459">
        <v>6024</v>
      </c>
      <c r="I6031" s="444">
        <f t="shared" ca="1" si="218"/>
        <v>-3.4833176078613564E+16</v>
      </c>
      <c r="J6031" s="444">
        <f t="array" ref="J6031">IFERROR(INDEX('Retirement Calculator'!J:J,MATCH('Isaac 401k'!N6031,'Retirement Calculator'!A:A,0),0),0)</f>
        <v>0</v>
      </c>
      <c r="K6031" s="444">
        <f t="shared" ca="1" si="216"/>
        <v>-145138233660889.88</v>
      </c>
      <c r="L6031" s="444">
        <f t="shared" ca="1" si="217"/>
        <v>-3.4978314312274452E+16</v>
      </c>
      <c r="M6031" s="460">
        <f t="shared" si="219"/>
        <v>0.05</v>
      </c>
      <c r="N6031" s="464">
        <f t="shared" si="220"/>
        <v>234608</v>
      </c>
    </row>
    <row r="6032" spans="7:14" ht="11.25" customHeight="1" x14ac:dyDescent="0.25">
      <c r="G6032" s="459"/>
      <c r="H6032" s="459">
        <v>6025</v>
      </c>
      <c r="I6032" s="444">
        <f t="shared" ca="1" si="218"/>
        <v>-3.4978314312274452E+16</v>
      </c>
      <c r="J6032" s="444">
        <f t="array" ref="J6032">IFERROR(INDEX('Retirement Calculator'!J:J,MATCH('Isaac 401k'!N6032,'Retirement Calculator'!A:A,0),0),0)</f>
        <v>0</v>
      </c>
      <c r="K6032" s="444">
        <f t="shared" ca="1" si="216"/>
        <v>-145742976301143.56</v>
      </c>
      <c r="L6032" s="444">
        <f t="shared" ca="1" si="217"/>
        <v>-3.5124057288575596E+16</v>
      </c>
      <c r="M6032" s="460">
        <f t="shared" si="219"/>
        <v>0.05</v>
      </c>
      <c r="N6032" s="464">
        <f t="shared" si="220"/>
        <v>234639</v>
      </c>
    </row>
    <row r="6033" spans="7:14" ht="11.25" customHeight="1" x14ac:dyDescent="0.25">
      <c r="G6033" s="459"/>
      <c r="H6033" s="459">
        <v>6026</v>
      </c>
      <c r="I6033" s="444">
        <f t="shared" ca="1" si="218"/>
        <v>-3.5124057288575596E+16</v>
      </c>
      <c r="J6033" s="444">
        <f t="array" ref="J6033">IFERROR(INDEX('Retirement Calculator'!J:J,MATCH('Isaac 401k'!N6033,'Retirement Calculator'!A:A,0),0),0)</f>
        <v>0</v>
      </c>
      <c r="K6033" s="444">
        <f t="shared" ca="1" si="216"/>
        <v>-146350238702398.34</v>
      </c>
      <c r="L6033" s="444">
        <f t="shared" ca="1" si="217"/>
        <v>-3.5270407527277996E+16</v>
      </c>
      <c r="M6033" s="460">
        <f t="shared" si="219"/>
        <v>0.05</v>
      </c>
      <c r="N6033" s="464">
        <f t="shared" si="220"/>
        <v>234669</v>
      </c>
    </row>
    <row r="6034" spans="7:14" ht="11.25" customHeight="1" x14ac:dyDescent="0.25">
      <c r="G6034" s="459"/>
      <c r="H6034" s="459">
        <v>6027</v>
      </c>
      <c r="I6034" s="444">
        <f t="shared" ca="1" si="218"/>
        <v>-3.5270407527277996E+16</v>
      </c>
      <c r="J6034" s="444">
        <f t="array" ref="J6034">IFERROR(INDEX('Retirement Calculator'!J:J,MATCH('Isaac 401k'!N6034,'Retirement Calculator'!A:A,0),0),0)</f>
        <v>0</v>
      </c>
      <c r="K6034" s="444">
        <f t="shared" ca="1" si="216"/>
        <v>-146960031363658.31</v>
      </c>
      <c r="L6034" s="444">
        <f t="shared" ca="1" si="217"/>
        <v>-3.5417367558641656E+16</v>
      </c>
      <c r="M6034" s="460">
        <f t="shared" si="219"/>
        <v>0.05</v>
      </c>
      <c r="N6034" s="464">
        <f t="shared" si="220"/>
        <v>234700</v>
      </c>
    </row>
    <row r="6035" spans="7:14" ht="11.25" customHeight="1" x14ac:dyDescent="0.25">
      <c r="G6035" s="459"/>
      <c r="H6035" s="459">
        <v>6028</v>
      </c>
      <c r="I6035" s="444">
        <f t="shared" ca="1" si="218"/>
        <v>-3.5417367558641656E+16</v>
      </c>
      <c r="J6035" s="444">
        <f t="array" ref="J6035">IFERROR(INDEX('Retirement Calculator'!J:J,MATCH('Isaac 401k'!N6035,'Retirement Calculator'!A:A,0),0),0)</f>
        <v>0</v>
      </c>
      <c r="K6035" s="444">
        <f t="shared" ca="1" si="216"/>
        <v>-147572364827673.56</v>
      </c>
      <c r="L6035" s="444">
        <f t="shared" ca="1" si="217"/>
        <v>-3.5564939923469328E+16</v>
      </c>
      <c r="M6035" s="460">
        <f t="shared" si="219"/>
        <v>0.05</v>
      </c>
      <c r="N6035" s="464">
        <f t="shared" si="220"/>
        <v>234731</v>
      </c>
    </row>
    <row r="6036" spans="7:14" ht="11.25" customHeight="1" x14ac:dyDescent="0.25">
      <c r="G6036" s="459"/>
      <c r="H6036" s="459">
        <v>6029</v>
      </c>
      <c r="I6036" s="444">
        <f t="shared" ca="1" si="218"/>
        <v>-3.5564939923469328E+16</v>
      </c>
      <c r="J6036" s="444">
        <f t="array" ref="J6036">IFERROR(INDEX('Retirement Calculator'!J:J,MATCH('Isaac 401k'!N6036,'Retirement Calculator'!A:A,0),0),0)</f>
        <v>0</v>
      </c>
      <c r="K6036" s="444">
        <f t="shared" ca="1" si="216"/>
        <v>-148187249681122.19</v>
      </c>
      <c r="L6036" s="444">
        <f t="shared" ca="1" si="217"/>
        <v>-3.5713127173150452E+16</v>
      </c>
      <c r="M6036" s="460">
        <f t="shared" si="219"/>
        <v>0.05</v>
      </c>
      <c r="N6036" s="464">
        <f t="shared" si="220"/>
        <v>234761</v>
      </c>
    </row>
    <row r="6037" spans="7:14" ht="11.25" customHeight="1" x14ac:dyDescent="0.25">
      <c r="G6037" s="459"/>
      <c r="H6037" s="459">
        <v>6030</v>
      </c>
      <c r="I6037" s="444">
        <f t="shared" ca="1" si="218"/>
        <v>-3.5713127173150452E+16</v>
      </c>
      <c r="J6037" s="444">
        <f t="array" ref="J6037">IFERROR(INDEX('Retirement Calculator'!J:J,MATCH('Isaac 401k'!N6037,'Retirement Calculator'!A:A,0),0),0)</f>
        <v>0</v>
      </c>
      <c r="K6037" s="444">
        <f t="shared" ca="1" si="216"/>
        <v>-148804696554793.56</v>
      </c>
      <c r="L6037" s="444">
        <f t="shared" ca="1" si="217"/>
        <v>-3.5861931869705244E+16</v>
      </c>
      <c r="M6037" s="460">
        <f t="shared" si="219"/>
        <v>0.05</v>
      </c>
      <c r="N6037" s="464">
        <f t="shared" si="220"/>
        <v>234792</v>
      </c>
    </row>
    <row r="6038" spans="7:14" ht="11.25" customHeight="1" x14ac:dyDescent="0.25">
      <c r="G6038" s="459"/>
      <c r="H6038" s="459">
        <v>6031</v>
      </c>
      <c r="I6038" s="444">
        <f t="shared" ca="1" si="218"/>
        <v>-3.5861931869705244E+16</v>
      </c>
      <c r="J6038" s="444">
        <f t="array" ref="J6038">IFERROR(INDEX('Retirement Calculator'!J:J,MATCH('Isaac 401k'!N6038,'Retirement Calculator'!A:A,0),0),0)</f>
        <v>0</v>
      </c>
      <c r="K6038" s="444">
        <f t="shared" ca="1" si="216"/>
        <v>-149424716123771.84</v>
      </c>
      <c r="L6038" s="444">
        <f t="shared" ca="1" si="217"/>
        <v>-3.6011356585829016E+16</v>
      </c>
      <c r="M6038" s="460">
        <f t="shared" si="219"/>
        <v>0.05</v>
      </c>
      <c r="N6038" s="464">
        <f t="shared" si="220"/>
        <v>234822</v>
      </c>
    </row>
    <row r="6039" spans="7:14" ht="11.25" customHeight="1" x14ac:dyDescent="0.25">
      <c r="G6039" s="459"/>
      <c r="H6039" s="459">
        <v>6032</v>
      </c>
      <c r="I6039" s="444">
        <f t="shared" ca="1" si="218"/>
        <v>-3.6011356585829016E+16</v>
      </c>
      <c r="J6039" s="444">
        <f t="array" ref="J6039">IFERROR(INDEX('Retirement Calculator'!J:J,MATCH('Isaac 401k'!N6039,'Retirement Calculator'!A:A,0),0),0)</f>
        <v>0</v>
      </c>
      <c r="K6039" s="444">
        <f t="shared" ca="1" si="216"/>
        <v>-150047319107620.88</v>
      </c>
      <c r="L6039" s="444">
        <f t="shared" ca="1" si="217"/>
        <v>-3.616140390493664E+16</v>
      </c>
      <c r="M6039" s="460">
        <f t="shared" si="219"/>
        <v>0.05</v>
      </c>
      <c r="N6039" s="464">
        <f t="shared" si="220"/>
        <v>234853</v>
      </c>
    </row>
    <row r="6040" spans="7:14" ht="11.25" customHeight="1" x14ac:dyDescent="0.25">
      <c r="G6040" s="459"/>
      <c r="H6040" s="459">
        <v>6033</v>
      </c>
      <c r="I6040" s="444">
        <f t="shared" ca="1" si="218"/>
        <v>-3.616140390493664E+16</v>
      </c>
      <c r="J6040" s="444">
        <f t="array" ref="J6040">IFERROR(INDEX('Retirement Calculator'!J:J,MATCH('Isaac 401k'!N6040,'Retirement Calculator'!A:A,0),0),0)</f>
        <v>0</v>
      </c>
      <c r="K6040" s="444">
        <f t="shared" ca="1" si="216"/>
        <v>-150672516270569.34</v>
      </c>
      <c r="L6040" s="444">
        <f t="shared" ca="1" si="217"/>
        <v>-3.6312076421207208E+16</v>
      </c>
      <c r="M6040" s="460">
        <f t="shared" si="219"/>
        <v>0.05</v>
      </c>
      <c r="N6040" s="464">
        <f t="shared" si="220"/>
        <v>234884</v>
      </c>
    </row>
    <row r="6041" spans="7:14" ht="11.25" customHeight="1" x14ac:dyDescent="0.25">
      <c r="G6041" s="459"/>
      <c r="H6041" s="459">
        <v>6034</v>
      </c>
      <c r="I6041" s="444">
        <f t="shared" ca="1" si="218"/>
        <v>-3.6312076421207208E+16</v>
      </c>
      <c r="J6041" s="444">
        <f t="array" ref="J6041">IFERROR(INDEX('Retirement Calculator'!J:J,MATCH('Isaac 401k'!N6041,'Retirement Calculator'!A:A,0),0),0)</f>
        <v>0</v>
      </c>
      <c r="K6041" s="444">
        <f t="shared" ca="1" si="216"/>
        <v>-151300318421696.69</v>
      </c>
      <c r="L6041" s="444">
        <f t="shared" ca="1" si="217"/>
        <v>-3.6463376739628904E+16</v>
      </c>
      <c r="M6041" s="460">
        <f t="shared" si="219"/>
        <v>0.05</v>
      </c>
      <c r="N6041" s="464">
        <f t="shared" si="220"/>
        <v>234912</v>
      </c>
    </row>
    <row r="6042" spans="7:14" ht="11.25" customHeight="1" x14ac:dyDescent="0.25">
      <c r="G6042" s="459"/>
      <c r="H6042" s="459">
        <v>6035</v>
      </c>
      <c r="I6042" s="444">
        <f t="shared" ca="1" si="218"/>
        <v>-3.6463376739628904E+16</v>
      </c>
      <c r="J6042" s="444">
        <f t="array" ref="J6042">IFERROR(INDEX('Retirement Calculator'!J:J,MATCH('Isaac 401k'!N6042,'Retirement Calculator'!A:A,0),0),0)</f>
        <v>0</v>
      </c>
      <c r="K6042" s="444">
        <f t="shared" ca="1" si="216"/>
        <v>-151930736415120.44</v>
      </c>
      <c r="L6042" s="444">
        <f t="shared" ca="1" si="217"/>
        <v>-3.6615307476044024E+16</v>
      </c>
      <c r="M6042" s="460">
        <f t="shared" si="219"/>
        <v>0.05</v>
      </c>
      <c r="N6042" s="464">
        <f t="shared" si="220"/>
        <v>234943</v>
      </c>
    </row>
    <row r="6043" spans="7:14" ht="11.25" customHeight="1" x14ac:dyDescent="0.25">
      <c r="G6043" s="459"/>
      <c r="H6043" s="459">
        <v>6036</v>
      </c>
      <c r="I6043" s="444">
        <f t="shared" ca="1" si="218"/>
        <v>-3.6615307476044024E+16</v>
      </c>
      <c r="J6043" s="444">
        <f t="array" ref="J6043">IFERROR(INDEX('Retirement Calculator'!J:J,MATCH('Isaac 401k'!N6043,'Retirement Calculator'!A:A,0),0),0)</f>
        <v>0</v>
      </c>
      <c r="K6043" s="444">
        <f t="shared" ca="1" si="216"/>
        <v>-152563781150183.44</v>
      </c>
      <c r="L6043" s="444">
        <f t="shared" ca="1" si="217"/>
        <v>-3.6767871257194208E+16</v>
      </c>
      <c r="M6043" s="460">
        <f t="shared" si="219"/>
        <v>0.05</v>
      </c>
      <c r="N6043" s="464">
        <f t="shared" si="220"/>
        <v>234973</v>
      </c>
    </row>
    <row r="6044" spans="7:14" ht="11.25" customHeight="1" x14ac:dyDescent="0.25">
      <c r="G6044" s="459"/>
      <c r="H6044" s="459">
        <v>6037</v>
      </c>
      <c r="I6044" s="444">
        <f t="shared" ca="1" si="218"/>
        <v>-3.6767871257194208E+16</v>
      </c>
      <c r="J6044" s="444">
        <f t="array" ref="J6044">IFERROR(INDEX('Retirement Calculator'!J:J,MATCH('Isaac 401k'!N6044,'Retirement Calculator'!A:A,0),0),0)</f>
        <v>0</v>
      </c>
      <c r="K6044" s="444">
        <f t="shared" ca="1" si="216"/>
        <v>-153199463571642.53</v>
      </c>
      <c r="L6044" s="444">
        <f t="shared" ca="1" si="217"/>
        <v>-3.6921070720765848E+16</v>
      </c>
      <c r="M6044" s="460">
        <f t="shared" si="219"/>
        <v>0.05</v>
      </c>
      <c r="N6044" s="464">
        <f t="shared" si="220"/>
        <v>235004</v>
      </c>
    </row>
    <row r="6045" spans="7:14" ht="11.25" customHeight="1" x14ac:dyDescent="0.25">
      <c r="G6045" s="459"/>
      <c r="H6045" s="459">
        <v>6038</v>
      </c>
      <c r="I6045" s="444">
        <f t="shared" ca="1" si="218"/>
        <v>-3.6921070720765848E+16</v>
      </c>
      <c r="J6045" s="444">
        <f t="array" ref="J6045">IFERROR(INDEX('Retirement Calculator'!J:J,MATCH('Isaac 401k'!N6045,'Retirement Calculator'!A:A,0),0),0)</f>
        <v>0</v>
      </c>
      <c r="K6045" s="444">
        <f t="shared" ca="1" si="216"/>
        <v>-153837794669857.69</v>
      </c>
      <c r="L6045" s="444">
        <f t="shared" ca="1" si="217"/>
        <v>-3.7074908515435704E+16</v>
      </c>
      <c r="M6045" s="460">
        <f t="shared" si="219"/>
        <v>0.05</v>
      </c>
      <c r="N6045" s="464">
        <f t="shared" si="220"/>
        <v>235034</v>
      </c>
    </row>
    <row r="6046" spans="7:14" ht="11.25" customHeight="1" x14ac:dyDescent="0.25">
      <c r="G6046" s="459"/>
      <c r="H6046" s="459">
        <v>6039</v>
      </c>
      <c r="I6046" s="444">
        <f t="shared" ca="1" si="218"/>
        <v>-3.7074908515435704E+16</v>
      </c>
      <c r="J6046" s="444">
        <f t="array" ref="J6046">IFERROR(INDEX('Retirement Calculator'!J:J,MATCH('Isaac 401k'!N6046,'Retirement Calculator'!A:A,0),0),0)</f>
        <v>0</v>
      </c>
      <c r="K6046" s="444">
        <f t="shared" ca="1" si="216"/>
        <v>-154478785480982.09</v>
      </c>
      <c r="L6046" s="444">
        <f t="shared" ca="1" si="217"/>
        <v>-3.7229387300916688E+16</v>
      </c>
      <c r="M6046" s="460">
        <f t="shared" si="219"/>
        <v>0.05</v>
      </c>
      <c r="N6046" s="464">
        <f t="shared" si="220"/>
        <v>235065</v>
      </c>
    </row>
    <row r="6047" spans="7:14" ht="11.25" customHeight="1" x14ac:dyDescent="0.25">
      <c r="G6047" s="459"/>
      <c r="H6047" s="459">
        <v>6040</v>
      </c>
      <c r="I6047" s="444">
        <f t="shared" ca="1" si="218"/>
        <v>-3.7229387300916688E+16</v>
      </c>
      <c r="J6047" s="444">
        <f t="array" ref="J6047">IFERROR(INDEX('Retirement Calculator'!J:J,MATCH('Isaac 401k'!N6047,'Retirement Calculator'!A:A,0),0),0)</f>
        <v>0</v>
      </c>
      <c r="K6047" s="444">
        <f t="shared" ca="1" si="216"/>
        <v>-155122447087152.88</v>
      </c>
      <c r="L6047" s="444">
        <f t="shared" ca="1" si="217"/>
        <v>-3.738450974800384E+16</v>
      </c>
      <c r="M6047" s="460">
        <f t="shared" si="219"/>
        <v>0.05</v>
      </c>
      <c r="N6047" s="464">
        <f t="shared" si="220"/>
        <v>235096</v>
      </c>
    </row>
    <row r="6048" spans="7:14" ht="11.25" customHeight="1" x14ac:dyDescent="0.25">
      <c r="G6048" s="459"/>
      <c r="H6048" s="459">
        <v>6041</v>
      </c>
      <c r="I6048" s="444">
        <f t="shared" ca="1" si="218"/>
        <v>-3.738450974800384E+16</v>
      </c>
      <c r="J6048" s="444">
        <f t="array" ref="J6048">IFERROR(INDEX('Retirement Calculator'!J:J,MATCH('Isaac 401k'!N6048,'Retirement Calculator'!A:A,0),0),0)</f>
        <v>0</v>
      </c>
      <c r="K6048" s="444">
        <f t="shared" ca="1" si="216"/>
        <v>-155768790616682.66</v>
      </c>
      <c r="L6048" s="444">
        <f t="shared" ca="1" si="217"/>
        <v>-3.754027853862052E+16</v>
      </c>
      <c r="M6048" s="460">
        <f t="shared" si="219"/>
        <v>0.05</v>
      </c>
      <c r="N6048" s="464">
        <f t="shared" si="220"/>
        <v>235126</v>
      </c>
    </row>
    <row r="6049" spans="7:14" ht="11.25" customHeight="1" x14ac:dyDescent="0.25">
      <c r="G6049" s="459"/>
      <c r="H6049" s="459">
        <v>6042</v>
      </c>
      <c r="I6049" s="444">
        <f t="shared" ca="1" si="218"/>
        <v>-3.754027853862052E+16</v>
      </c>
      <c r="J6049" s="444">
        <f t="array" ref="J6049">IFERROR(INDEX('Retirement Calculator'!J:J,MATCH('Isaac 401k'!N6049,'Retirement Calculator'!A:A,0),0),0)</f>
        <v>0</v>
      </c>
      <c r="K6049" s="444">
        <f t="shared" ca="1" si="216"/>
        <v>-156417827244252.16</v>
      </c>
      <c r="L6049" s="444">
        <f t="shared" ca="1" si="217"/>
        <v>-3.7696696365864776E+16</v>
      </c>
      <c r="M6049" s="460">
        <f t="shared" si="219"/>
        <v>0.05</v>
      </c>
      <c r="N6049" s="464">
        <f t="shared" si="220"/>
        <v>235157</v>
      </c>
    </row>
    <row r="6050" spans="7:14" ht="11.25" customHeight="1" x14ac:dyDescent="0.25">
      <c r="G6050" s="459"/>
      <c r="H6050" s="459">
        <v>6043</v>
      </c>
      <c r="I6050" s="444">
        <f t="shared" ca="1" si="218"/>
        <v>-3.7696696365864776E+16</v>
      </c>
      <c r="J6050" s="444">
        <f t="array" ref="J6050">IFERROR(INDEX('Retirement Calculator'!J:J,MATCH('Isaac 401k'!N6050,'Retirement Calculator'!A:A,0),0),0)</f>
        <v>0</v>
      </c>
      <c r="K6050" s="444">
        <f t="shared" ca="1" si="216"/>
        <v>-157069568191103.22</v>
      </c>
      <c r="L6050" s="444">
        <f t="shared" ca="1" si="217"/>
        <v>-3.785376593405588E+16</v>
      </c>
      <c r="M6050" s="460">
        <f t="shared" si="219"/>
        <v>0.05</v>
      </c>
      <c r="N6050" s="464">
        <f t="shared" si="220"/>
        <v>235187</v>
      </c>
    </row>
    <row r="6051" spans="7:14" ht="11.25" customHeight="1" x14ac:dyDescent="0.25">
      <c r="G6051" s="459"/>
      <c r="H6051" s="459">
        <v>6044</v>
      </c>
      <c r="I6051" s="444">
        <f t="shared" ca="1" si="218"/>
        <v>-3.785376593405588E+16</v>
      </c>
      <c r="J6051" s="444">
        <f t="array" ref="J6051">IFERROR(INDEX('Retirement Calculator'!J:J,MATCH('Isaac 401k'!N6051,'Retirement Calculator'!A:A,0),0),0)</f>
        <v>0</v>
      </c>
      <c r="K6051" s="444">
        <f t="shared" ca="1" si="216"/>
        <v>-157724024725232.84</v>
      </c>
      <c r="L6051" s="444">
        <f t="shared" ca="1" si="217"/>
        <v>-3.8011489958781112E+16</v>
      </c>
      <c r="M6051" s="460">
        <f t="shared" si="219"/>
        <v>0.05</v>
      </c>
      <c r="N6051" s="464">
        <f t="shared" si="220"/>
        <v>235218</v>
      </c>
    </row>
    <row r="6052" spans="7:14" ht="11.25" customHeight="1" x14ac:dyDescent="0.25">
      <c r="G6052" s="459"/>
      <c r="H6052" s="459">
        <v>6045</v>
      </c>
      <c r="I6052" s="444">
        <f t="shared" ca="1" si="218"/>
        <v>-3.8011489958781112E+16</v>
      </c>
      <c r="J6052" s="444">
        <f t="array" ref="J6052">IFERROR(INDEX('Retirement Calculator'!J:J,MATCH('Isaac 401k'!N6052,'Retirement Calculator'!A:A,0),0),0)</f>
        <v>0</v>
      </c>
      <c r="K6052" s="444">
        <f t="shared" ca="1" si="216"/>
        <v>-158381208161587.97</v>
      </c>
      <c r="L6052" s="444">
        <f t="shared" ca="1" si="217"/>
        <v>-3.8169871166942696E+16</v>
      </c>
      <c r="M6052" s="460">
        <f t="shared" si="219"/>
        <v>0.05</v>
      </c>
      <c r="N6052" s="464">
        <f t="shared" si="220"/>
        <v>235249</v>
      </c>
    </row>
    <row r="6053" spans="7:14" ht="11.25" customHeight="1" x14ac:dyDescent="0.25">
      <c r="G6053" s="459"/>
      <c r="H6053" s="459">
        <v>6046</v>
      </c>
      <c r="I6053" s="444">
        <f t="shared" ca="1" si="218"/>
        <v>-3.8169871166942696E+16</v>
      </c>
      <c r="J6053" s="444">
        <f t="array" ref="J6053">IFERROR(INDEX('Retirement Calculator'!J:J,MATCH('Isaac 401k'!N6053,'Retirement Calculator'!A:A,0),0),0)</f>
        <v>0</v>
      </c>
      <c r="K6053" s="444">
        <f t="shared" ca="1" si="216"/>
        <v>-159041129862261.22</v>
      </c>
      <c r="L6053" s="444">
        <f t="shared" ca="1" si="217"/>
        <v>-3.832891229680496E+16</v>
      </c>
      <c r="M6053" s="460">
        <f t="shared" si="219"/>
        <v>0.05</v>
      </c>
      <c r="N6053" s="464">
        <f t="shared" si="220"/>
        <v>235278</v>
      </c>
    </row>
    <row r="6054" spans="7:14" ht="11.25" customHeight="1" x14ac:dyDescent="0.25">
      <c r="G6054" s="459"/>
      <c r="H6054" s="459">
        <v>6047</v>
      </c>
      <c r="I6054" s="444">
        <f t="shared" ca="1" si="218"/>
        <v>-3.832891229680496E+16</v>
      </c>
      <c r="J6054" s="444">
        <f t="array" ref="J6054">IFERROR(INDEX('Retirement Calculator'!J:J,MATCH('Isaac 401k'!N6054,'Retirement Calculator'!A:A,0),0),0)</f>
        <v>0</v>
      </c>
      <c r="K6054" s="444">
        <f t="shared" ca="1" si="216"/>
        <v>-159703801236687.34</v>
      </c>
      <c r="L6054" s="444">
        <f t="shared" ca="1" si="217"/>
        <v>-3.8488616098041648E+16</v>
      </c>
      <c r="M6054" s="460">
        <f t="shared" si="219"/>
        <v>0.05</v>
      </c>
      <c r="N6054" s="464">
        <f t="shared" si="220"/>
        <v>235309</v>
      </c>
    </row>
    <row r="6055" spans="7:14" ht="11.25" customHeight="1" x14ac:dyDescent="0.25">
      <c r="G6055" s="459"/>
      <c r="H6055" s="459">
        <v>6048</v>
      </c>
      <c r="I6055" s="444">
        <f t="shared" ca="1" si="218"/>
        <v>-3.8488616098041648E+16</v>
      </c>
      <c r="J6055" s="444">
        <f t="array" ref="J6055">IFERROR(INDEX('Retirement Calculator'!J:J,MATCH('Isaac 401k'!N6055,'Retirement Calculator'!A:A,0),0),0)</f>
        <v>0</v>
      </c>
      <c r="K6055" s="444">
        <f t="shared" ca="1" si="216"/>
        <v>-160369233741840.19</v>
      </c>
      <c r="L6055" s="444">
        <f t="shared" ca="1" si="217"/>
        <v>-3.8648985331783488E+16</v>
      </c>
      <c r="M6055" s="460">
        <f t="shared" si="219"/>
        <v>0.05</v>
      </c>
      <c r="N6055" s="464">
        <f t="shared" si="220"/>
        <v>235339</v>
      </c>
    </row>
    <row r="6056" spans="7:14" ht="11.25" customHeight="1" x14ac:dyDescent="0.25">
      <c r="G6056" s="459"/>
      <c r="H6056" s="459">
        <v>6049</v>
      </c>
      <c r="I6056" s="444">
        <f t="shared" ca="1" si="218"/>
        <v>-3.8648985331783488E+16</v>
      </c>
      <c r="J6056" s="444">
        <f t="array" ref="J6056">IFERROR(INDEX('Retirement Calculator'!J:J,MATCH('Isaac 401k'!N6056,'Retirement Calculator'!A:A,0),0),0)</f>
        <v>0</v>
      </c>
      <c r="K6056" s="444">
        <f t="shared" ca="1" si="216"/>
        <v>-161037438882431.19</v>
      </c>
      <c r="L6056" s="444">
        <f t="shared" ca="1" si="217"/>
        <v>-3.881002277066592E+16</v>
      </c>
      <c r="M6056" s="460">
        <f t="shared" si="219"/>
        <v>0.05</v>
      </c>
      <c r="N6056" s="464">
        <f t="shared" si="220"/>
        <v>235370</v>
      </c>
    </row>
    <row r="6057" spans="7:14" ht="11.25" customHeight="1" x14ac:dyDescent="0.25">
      <c r="G6057" s="459"/>
      <c r="H6057" s="459">
        <v>6050</v>
      </c>
      <c r="I6057" s="444">
        <f t="shared" ca="1" si="218"/>
        <v>-3.881002277066592E+16</v>
      </c>
      <c r="J6057" s="444">
        <f t="array" ref="J6057">IFERROR(INDEX('Retirement Calculator'!J:J,MATCH('Isaac 401k'!N6057,'Retirement Calculator'!A:A,0),0),0)</f>
        <v>0</v>
      </c>
      <c r="K6057" s="444">
        <f t="shared" ca="1" si="216"/>
        <v>-161708428211108</v>
      </c>
      <c r="L6057" s="444">
        <f t="shared" ca="1" si="217"/>
        <v>-3.8971731198877024E+16</v>
      </c>
      <c r="M6057" s="460">
        <f t="shared" si="219"/>
        <v>0.05</v>
      </c>
      <c r="N6057" s="464">
        <f t="shared" si="220"/>
        <v>235400</v>
      </c>
    </row>
    <row r="6058" spans="7:14" ht="11.25" customHeight="1" x14ac:dyDescent="0.25">
      <c r="G6058" s="459"/>
      <c r="H6058" s="459">
        <v>6051</v>
      </c>
      <c r="I6058" s="444">
        <f t="shared" ca="1" si="218"/>
        <v>-3.8971731198877024E+16</v>
      </c>
      <c r="J6058" s="444">
        <f t="array" ref="J6058">IFERROR(INDEX('Retirement Calculator'!J:J,MATCH('Isaac 401k'!N6058,'Retirement Calculator'!A:A,0),0),0)</f>
        <v>0</v>
      </c>
      <c r="K6058" s="444">
        <f t="shared" ca="1" si="216"/>
        <v>-162382213328654.25</v>
      </c>
      <c r="L6058" s="444">
        <f t="shared" ca="1" si="217"/>
        <v>-3.913411341220568E+16</v>
      </c>
      <c r="M6058" s="460">
        <f t="shared" si="219"/>
        <v>0.05</v>
      </c>
      <c r="N6058" s="464">
        <f t="shared" si="220"/>
        <v>235431</v>
      </c>
    </row>
    <row r="6059" spans="7:14" ht="11.25" customHeight="1" x14ac:dyDescent="0.25">
      <c r="G6059" s="459"/>
      <c r="H6059" s="459">
        <v>6052</v>
      </c>
      <c r="I6059" s="444">
        <f t="shared" ca="1" si="218"/>
        <v>-3.913411341220568E+16</v>
      </c>
      <c r="J6059" s="444">
        <f t="array" ref="J6059">IFERROR(INDEX('Retirement Calculator'!J:J,MATCH('Isaac 401k'!N6059,'Retirement Calculator'!A:A,0),0),0)</f>
        <v>0</v>
      </c>
      <c r="K6059" s="444">
        <f t="shared" ca="1" si="216"/>
        <v>-163058805884190.34</v>
      </c>
      <c r="L6059" s="444">
        <f t="shared" ca="1" si="217"/>
        <v>-3.9297172218089872E+16</v>
      </c>
      <c r="M6059" s="460">
        <f t="shared" si="219"/>
        <v>0.05</v>
      </c>
      <c r="N6059" s="464">
        <f t="shared" si="220"/>
        <v>235462</v>
      </c>
    </row>
    <row r="6060" spans="7:14" ht="11.25" customHeight="1" x14ac:dyDescent="0.25">
      <c r="G6060" s="459"/>
      <c r="H6060" s="459">
        <v>6053</v>
      </c>
      <c r="I6060" s="444">
        <f t="shared" ca="1" si="218"/>
        <v>-3.9297172218089872E+16</v>
      </c>
      <c r="J6060" s="444">
        <f t="array" ref="J6060">IFERROR(INDEX('Retirement Calculator'!J:J,MATCH('Isaac 401k'!N6060,'Retirement Calculator'!A:A,0),0),0)</f>
        <v>0</v>
      </c>
      <c r="K6060" s="444">
        <f t="shared" ca="1" si="216"/>
        <v>-163738217575374.47</v>
      </c>
      <c r="L6060" s="444">
        <f t="shared" ca="1" si="217"/>
        <v>-3.9460910435665248E+16</v>
      </c>
      <c r="M6060" s="460">
        <f t="shared" si="219"/>
        <v>0.05</v>
      </c>
      <c r="N6060" s="464">
        <f t="shared" si="220"/>
        <v>235492</v>
      </c>
    </row>
    <row r="6061" spans="7:14" ht="11.25" customHeight="1" x14ac:dyDescent="0.25">
      <c r="G6061" s="459"/>
      <c r="H6061" s="459">
        <v>6054</v>
      </c>
      <c r="I6061" s="444">
        <f t="shared" ca="1" si="218"/>
        <v>-3.9460910435665248E+16</v>
      </c>
      <c r="J6061" s="444">
        <f t="array" ref="J6061">IFERROR(INDEX('Retirement Calculator'!J:J,MATCH('Isaac 401k'!N6061,'Retirement Calculator'!A:A,0),0),0)</f>
        <v>0</v>
      </c>
      <c r="K6061" s="444">
        <f t="shared" ca="1" si="216"/>
        <v>-164420460148605.19</v>
      </c>
      <c r="L6061" s="444">
        <f t="shared" ca="1" si="217"/>
        <v>-3.9625330895813856E+16</v>
      </c>
      <c r="M6061" s="460">
        <f t="shared" si="219"/>
        <v>0.05</v>
      </c>
      <c r="N6061" s="464">
        <f t="shared" si="220"/>
        <v>235523</v>
      </c>
    </row>
    <row r="6062" spans="7:14" ht="11.25" customHeight="1" x14ac:dyDescent="0.25">
      <c r="G6062" s="459"/>
      <c r="H6062" s="459">
        <v>6055</v>
      </c>
      <c r="I6062" s="444">
        <f t="shared" ca="1" si="218"/>
        <v>-3.9625330895813856E+16</v>
      </c>
      <c r="J6062" s="444">
        <f t="array" ref="J6062">IFERROR(INDEX('Retirement Calculator'!J:J,MATCH('Isaac 401k'!N6062,'Retirement Calculator'!A:A,0),0),0)</f>
        <v>0</v>
      </c>
      <c r="K6062" s="444">
        <f t="shared" ca="1" si="216"/>
        <v>-165105545399224.41</v>
      </c>
      <c r="L6062" s="444">
        <f t="shared" ca="1" si="217"/>
        <v>-3.979043644121308E+16</v>
      </c>
      <c r="M6062" s="460">
        <f t="shared" si="219"/>
        <v>0.05</v>
      </c>
      <c r="N6062" s="464">
        <f t="shared" si="220"/>
        <v>235553</v>
      </c>
    </row>
    <row r="6063" spans="7:14" ht="11.25" customHeight="1" x14ac:dyDescent="0.25">
      <c r="G6063" s="459"/>
      <c r="H6063" s="459">
        <v>6056</v>
      </c>
      <c r="I6063" s="444">
        <f t="shared" ca="1" si="218"/>
        <v>-3.979043644121308E+16</v>
      </c>
      <c r="J6063" s="444">
        <f t="array" ref="J6063">IFERROR(INDEX('Retirement Calculator'!J:J,MATCH('Isaac 401k'!N6063,'Retirement Calculator'!A:A,0),0),0)</f>
        <v>0</v>
      </c>
      <c r="K6063" s="444">
        <f t="shared" ca="1" si="216"/>
        <v>-165793485171721.16</v>
      </c>
      <c r="L6063" s="444">
        <f t="shared" ca="1" si="217"/>
        <v>-3.99562299263848E+16</v>
      </c>
      <c r="M6063" s="460">
        <f t="shared" si="219"/>
        <v>0.05</v>
      </c>
      <c r="N6063" s="464">
        <f t="shared" si="220"/>
        <v>235584</v>
      </c>
    </row>
    <row r="6064" spans="7:14" ht="11.25" customHeight="1" x14ac:dyDescent="0.25">
      <c r="G6064" s="459"/>
      <c r="H6064" s="459">
        <v>6057</v>
      </c>
      <c r="I6064" s="444">
        <f t="shared" ca="1" si="218"/>
        <v>-3.99562299263848E+16</v>
      </c>
      <c r="J6064" s="444">
        <f t="array" ref="J6064">IFERROR(INDEX('Retirement Calculator'!J:J,MATCH('Isaac 401k'!N6064,'Retirement Calculator'!A:A,0),0),0)</f>
        <v>0</v>
      </c>
      <c r="K6064" s="444">
        <f t="shared" ca="1" si="216"/>
        <v>-166484291359936.66</v>
      </c>
      <c r="L6064" s="444">
        <f t="shared" ca="1" si="217"/>
        <v>-4.0122714217744736E+16</v>
      </c>
      <c r="M6064" s="460">
        <f t="shared" si="219"/>
        <v>0.05</v>
      </c>
      <c r="N6064" s="464">
        <f t="shared" si="220"/>
        <v>235615</v>
      </c>
    </row>
    <row r="6065" spans="7:14" ht="11.25" customHeight="1" x14ac:dyDescent="0.25">
      <c r="G6065" s="459"/>
      <c r="H6065" s="459">
        <v>6058</v>
      </c>
      <c r="I6065" s="444">
        <f t="shared" ca="1" si="218"/>
        <v>-4.0122714217744736E+16</v>
      </c>
      <c r="J6065" s="444">
        <f t="array" ref="J6065">IFERROR(INDEX('Retirement Calculator'!J:J,MATCH('Isaac 401k'!N6065,'Retirement Calculator'!A:A,0),0),0)</f>
        <v>0</v>
      </c>
      <c r="K6065" s="444">
        <f t="shared" ca="1" si="216"/>
        <v>-167177975907269.72</v>
      </c>
      <c r="L6065" s="444">
        <f t="shared" ca="1" si="217"/>
        <v>-4.0289892193652008E+16</v>
      </c>
      <c r="M6065" s="460">
        <f t="shared" si="219"/>
        <v>0.05</v>
      </c>
      <c r="N6065" s="464">
        <f t="shared" si="220"/>
        <v>235643</v>
      </c>
    </row>
    <row r="6066" spans="7:14" ht="11.25" customHeight="1" x14ac:dyDescent="0.25">
      <c r="G6066" s="459"/>
      <c r="H6066" s="459">
        <v>6059</v>
      </c>
      <c r="I6066" s="444">
        <f t="shared" ca="1" si="218"/>
        <v>-4.0289892193652008E+16</v>
      </c>
      <c r="J6066" s="444">
        <f t="array" ref="J6066">IFERROR(INDEX('Retirement Calculator'!J:J,MATCH('Isaac 401k'!N6066,'Retirement Calculator'!A:A,0),0),0)</f>
        <v>0</v>
      </c>
      <c r="K6066" s="444">
        <f t="shared" ca="1" si="216"/>
        <v>-167874550806883.38</v>
      </c>
      <c r="L6066" s="444">
        <f t="shared" ca="1" si="217"/>
        <v>-4.0457766744458888E+16</v>
      </c>
      <c r="M6066" s="460">
        <f t="shared" si="219"/>
        <v>0.05</v>
      </c>
      <c r="N6066" s="464">
        <f t="shared" si="220"/>
        <v>235674</v>
      </c>
    </row>
    <row r="6067" spans="7:14" ht="11.25" customHeight="1" x14ac:dyDescent="0.25">
      <c r="G6067" s="459"/>
      <c r="H6067" s="459">
        <v>6060</v>
      </c>
      <c r="I6067" s="444">
        <f t="shared" ca="1" si="218"/>
        <v>-4.0457766744458888E+16</v>
      </c>
      <c r="J6067" s="444">
        <f t="array" ref="J6067">IFERROR(INDEX('Retirement Calculator'!J:J,MATCH('Isaac 401k'!N6067,'Retirement Calculator'!A:A,0),0),0)</f>
        <v>0</v>
      </c>
      <c r="K6067" s="444">
        <f t="shared" ca="1" si="216"/>
        <v>-168574028101912.03</v>
      </c>
      <c r="L6067" s="444">
        <f t="shared" ca="1" si="217"/>
        <v>-4.06263407725608E+16</v>
      </c>
      <c r="M6067" s="460">
        <f t="shared" si="219"/>
        <v>0.05</v>
      </c>
      <c r="N6067" s="464">
        <f t="shared" si="220"/>
        <v>235704</v>
      </c>
    </row>
    <row r="6068" spans="7:14" ht="11.25" customHeight="1" x14ac:dyDescent="0.25">
      <c r="G6068" s="459"/>
      <c r="H6068" s="459">
        <v>6061</v>
      </c>
      <c r="I6068" s="444">
        <f t="shared" ca="1" si="218"/>
        <v>-4.06263407725608E+16</v>
      </c>
      <c r="J6068" s="444">
        <f t="array" ref="J6068">IFERROR(INDEX('Retirement Calculator'!J:J,MATCH('Isaac 401k'!N6068,'Retirement Calculator'!A:A,0),0),0)</f>
        <v>0</v>
      </c>
      <c r="K6068" s="444">
        <f t="shared" ca="1" si="216"/>
        <v>-169276419885670</v>
      </c>
      <c r="L6068" s="444">
        <f t="shared" ca="1" si="217"/>
        <v>-4.0795617192446472E+16</v>
      </c>
      <c r="M6068" s="460">
        <f t="shared" si="219"/>
        <v>0.05</v>
      </c>
      <c r="N6068" s="464">
        <f t="shared" si="220"/>
        <v>235735</v>
      </c>
    </row>
    <row r="6069" spans="7:14" ht="11.25" customHeight="1" x14ac:dyDescent="0.25">
      <c r="G6069" s="459"/>
      <c r="H6069" s="459">
        <v>6062</v>
      </c>
      <c r="I6069" s="444">
        <f t="shared" ca="1" si="218"/>
        <v>-4.0795617192446472E+16</v>
      </c>
      <c r="J6069" s="444">
        <f t="array" ref="J6069">IFERROR(INDEX('Retirement Calculator'!J:J,MATCH('Isaac 401k'!N6069,'Retirement Calculator'!A:A,0),0),0)</f>
        <v>0</v>
      </c>
      <c r="K6069" s="444">
        <f t="shared" ca="1" si="216"/>
        <v>-169981738301860.31</v>
      </c>
      <c r="L6069" s="444">
        <f t="shared" ca="1" si="217"/>
        <v>-4.0965598930748336E+16</v>
      </c>
      <c r="M6069" s="460">
        <f t="shared" si="219"/>
        <v>0.05</v>
      </c>
      <c r="N6069" s="464">
        <f t="shared" si="220"/>
        <v>235765</v>
      </c>
    </row>
    <row r="6070" spans="7:14" ht="11.25" customHeight="1" x14ac:dyDescent="0.25">
      <c r="G6070" s="459"/>
      <c r="H6070" s="459">
        <v>6063</v>
      </c>
      <c r="I6070" s="444">
        <f t="shared" ca="1" si="218"/>
        <v>-4.0965598930748336E+16</v>
      </c>
      <c r="J6070" s="444">
        <f t="array" ref="J6070">IFERROR(INDEX('Retirement Calculator'!J:J,MATCH('Isaac 401k'!N6070,'Retirement Calculator'!A:A,0),0),0)</f>
        <v>0</v>
      </c>
      <c r="K6070" s="444">
        <f t="shared" ca="1" si="216"/>
        <v>-170689995544784.72</v>
      </c>
      <c r="L6070" s="444">
        <f t="shared" ca="1" si="217"/>
        <v>-4.113628892629312E+16</v>
      </c>
      <c r="M6070" s="460">
        <f t="shared" si="219"/>
        <v>0.05</v>
      </c>
      <c r="N6070" s="464">
        <f t="shared" si="220"/>
        <v>235796</v>
      </c>
    </row>
    <row r="6071" spans="7:14" ht="11.25" customHeight="1" x14ac:dyDescent="0.25">
      <c r="G6071" s="459"/>
      <c r="H6071" s="459">
        <v>6064</v>
      </c>
      <c r="I6071" s="444">
        <f t="shared" ca="1" si="218"/>
        <v>-4.113628892629312E+16</v>
      </c>
      <c r="J6071" s="444">
        <f t="array" ref="J6071">IFERROR(INDEX('Retirement Calculator'!J:J,MATCH('Isaac 401k'!N6071,'Retirement Calculator'!A:A,0),0),0)</f>
        <v>0</v>
      </c>
      <c r="K6071" s="444">
        <f t="shared" ca="1" si="216"/>
        <v>-171401203859554.66</v>
      </c>
      <c r="L6071" s="444">
        <f t="shared" ca="1" si="217"/>
        <v>-4.1307690130152672E+16</v>
      </c>
      <c r="M6071" s="460">
        <f t="shared" si="219"/>
        <v>0.05</v>
      </c>
      <c r="N6071" s="464">
        <f t="shared" si="220"/>
        <v>235827</v>
      </c>
    </row>
    <row r="6072" spans="7:14" ht="11.25" customHeight="1" x14ac:dyDescent="0.25">
      <c r="G6072" s="459"/>
      <c r="H6072" s="459">
        <v>6065</v>
      </c>
      <c r="I6072" s="444">
        <f t="shared" ca="1" si="218"/>
        <v>-4.1307690130152672E+16</v>
      </c>
      <c r="J6072" s="444">
        <f t="array" ref="J6072">IFERROR(INDEX('Retirement Calculator'!J:J,MATCH('Isaac 401k'!N6072,'Retirement Calculator'!A:A,0),0),0)</f>
        <v>0</v>
      </c>
      <c r="K6072" s="444">
        <f t="shared" ca="1" si="216"/>
        <v>-172115375542302.81</v>
      </c>
      <c r="L6072" s="444">
        <f t="shared" ca="1" si="217"/>
        <v>-4.1479805505694976E+16</v>
      </c>
      <c r="M6072" s="460">
        <f t="shared" si="219"/>
        <v>0.05</v>
      </c>
      <c r="N6072" s="464">
        <f t="shared" si="220"/>
        <v>235857</v>
      </c>
    </row>
    <row r="6073" spans="7:14" ht="11.25" customHeight="1" x14ac:dyDescent="0.25">
      <c r="G6073" s="459"/>
      <c r="H6073" s="459">
        <v>6066</v>
      </c>
      <c r="I6073" s="444">
        <f t="shared" ca="1" si="218"/>
        <v>-4.1479805505694976E+16</v>
      </c>
      <c r="J6073" s="444">
        <f t="array" ref="J6073">IFERROR(INDEX('Retirement Calculator'!J:J,MATCH('Isaac 401k'!N6073,'Retirement Calculator'!A:A,0),0),0)</f>
        <v>0</v>
      </c>
      <c r="K6073" s="444">
        <f t="shared" ca="1" si="216"/>
        <v>-172832522940395.72</v>
      </c>
      <c r="L6073" s="444">
        <f t="shared" ca="1" si="217"/>
        <v>-4.1652638028635368E+16</v>
      </c>
      <c r="M6073" s="460">
        <f t="shared" si="219"/>
        <v>0.05</v>
      </c>
      <c r="N6073" s="464">
        <f t="shared" si="220"/>
        <v>235888</v>
      </c>
    </row>
    <row r="6074" spans="7:14" ht="11.25" customHeight="1" x14ac:dyDescent="0.25">
      <c r="G6074" s="459"/>
      <c r="H6074" s="459">
        <v>6067</v>
      </c>
      <c r="I6074" s="444">
        <f t="shared" ca="1" si="218"/>
        <v>-4.1652638028635368E+16</v>
      </c>
      <c r="J6074" s="444">
        <f t="array" ref="J6074">IFERROR(INDEX('Retirement Calculator'!J:J,MATCH('Isaac 401k'!N6074,'Retirement Calculator'!A:A,0),0),0)</f>
        <v>0</v>
      </c>
      <c r="K6074" s="444">
        <f t="shared" ca="1" si="216"/>
        <v>-173552658452647.38</v>
      </c>
      <c r="L6074" s="444">
        <f t="shared" ca="1" si="217"/>
        <v>-4.1826190687088016E+16</v>
      </c>
      <c r="M6074" s="460">
        <f t="shared" si="219"/>
        <v>0.05</v>
      </c>
      <c r="N6074" s="464">
        <f t="shared" si="220"/>
        <v>235918</v>
      </c>
    </row>
    <row r="6075" spans="7:14" ht="11.25" customHeight="1" x14ac:dyDescent="0.25">
      <c r="G6075" s="459"/>
      <c r="H6075" s="459">
        <v>6068</v>
      </c>
      <c r="I6075" s="444">
        <f t="shared" ca="1" si="218"/>
        <v>-4.1826190687088016E+16</v>
      </c>
      <c r="J6075" s="444">
        <f t="array" ref="J6075">IFERROR(INDEX('Retirement Calculator'!J:J,MATCH('Isaac 401k'!N6075,'Retirement Calculator'!A:A,0),0),0)</f>
        <v>0</v>
      </c>
      <c r="K6075" s="444">
        <f t="shared" ca="1" si="216"/>
        <v>-174275794529533.41</v>
      </c>
      <c r="L6075" s="444">
        <f t="shared" ca="1" si="217"/>
        <v>-4.2000466481617552E+16</v>
      </c>
      <c r="M6075" s="460">
        <f t="shared" si="219"/>
        <v>0.05</v>
      </c>
      <c r="N6075" s="464">
        <f t="shared" si="220"/>
        <v>235949</v>
      </c>
    </row>
    <row r="6076" spans="7:14" ht="11.25" customHeight="1" x14ac:dyDescent="0.25">
      <c r="G6076" s="459"/>
      <c r="H6076" s="459">
        <v>6069</v>
      </c>
      <c r="I6076" s="444">
        <f t="shared" ca="1" si="218"/>
        <v>-4.2000466481617552E+16</v>
      </c>
      <c r="J6076" s="444">
        <f t="array" ref="J6076">IFERROR(INDEX('Retirement Calculator'!J:J,MATCH('Isaac 401k'!N6076,'Retirement Calculator'!A:A,0),0),0)</f>
        <v>0</v>
      </c>
      <c r="K6076" s="444">
        <f t="shared" ca="1" si="216"/>
        <v>-175001943673406.47</v>
      </c>
      <c r="L6076" s="444">
        <f t="shared" ca="1" si="217"/>
        <v>-4.217546842529096E+16</v>
      </c>
      <c r="M6076" s="460">
        <f t="shared" si="219"/>
        <v>0.05</v>
      </c>
      <c r="N6076" s="464">
        <f t="shared" si="220"/>
        <v>235980</v>
      </c>
    </row>
    <row r="6077" spans="7:14" ht="11.25" customHeight="1" x14ac:dyDescent="0.25">
      <c r="G6077" s="459"/>
      <c r="H6077" s="459">
        <v>6070</v>
      </c>
      <c r="I6077" s="444">
        <f t="shared" ca="1" si="218"/>
        <v>-4.217546842529096E+16</v>
      </c>
      <c r="J6077" s="444">
        <f t="array" ref="J6077">IFERROR(INDEX('Retirement Calculator'!J:J,MATCH('Isaac 401k'!N6077,'Retirement Calculator'!A:A,0),0),0)</f>
        <v>0</v>
      </c>
      <c r="K6077" s="444">
        <f t="shared" ca="1" si="216"/>
        <v>-175731118438712.34</v>
      </c>
      <c r="L6077" s="444">
        <f t="shared" ca="1" si="217"/>
        <v>-4.2351199543729672E+16</v>
      </c>
      <c r="M6077" s="460">
        <f t="shared" si="219"/>
        <v>0.05</v>
      </c>
      <c r="N6077" s="464">
        <f t="shared" si="220"/>
        <v>236008</v>
      </c>
    </row>
    <row r="6078" spans="7:14" ht="11.25" customHeight="1" x14ac:dyDescent="0.25">
      <c r="G6078" s="459"/>
      <c r="H6078" s="459">
        <v>6071</v>
      </c>
      <c r="I6078" s="444">
        <f t="shared" ca="1" si="218"/>
        <v>-4.2351199543729672E+16</v>
      </c>
      <c r="J6078" s="444">
        <f t="array" ref="J6078">IFERROR(INDEX('Retirement Calculator'!J:J,MATCH('Isaac 401k'!N6078,'Retirement Calculator'!A:A,0),0),0)</f>
        <v>0</v>
      </c>
      <c r="K6078" s="444">
        <f t="shared" ca="1" si="216"/>
        <v>-176463331432206.97</v>
      </c>
      <c r="L6078" s="444">
        <f t="shared" ca="1" si="217"/>
        <v>-4.252766287516188E+16</v>
      </c>
      <c r="M6078" s="460">
        <f t="shared" si="219"/>
        <v>0.05</v>
      </c>
      <c r="N6078" s="464">
        <f t="shared" si="220"/>
        <v>236039</v>
      </c>
    </row>
    <row r="6079" spans="7:14" ht="11.25" customHeight="1" x14ac:dyDescent="0.25">
      <c r="G6079" s="459"/>
      <c r="H6079" s="459">
        <v>6072</v>
      </c>
      <c r="I6079" s="444">
        <f t="shared" ca="1" si="218"/>
        <v>-4.252766287516188E+16</v>
      </c>
      <c r="J6079" s="444">
        <f t="array" ref="J6079">IFERROR(INDEX('Retirement Calculator'!J:J,MATCH('Isaac 401k'!N6079,'Retirement Calculator'!A:A,0),0),0)</f>
        <v>0</v>
      </c>
      <c r="K6079" s="444">
        <f t="shared" ca="1" si="216"/>
        <v>-177198595313174.5</v>
      </c>
      <c r="L6079" s="444">
        <f t="shared" ca="1" si="217"/>
        <v>-4.2704861470475056E+16</v>
      </c>
      <c r="M6079" s="460">
        <f t="shared" si="219"/>
        <v>0.05</v>
      </c>
      <c r="N6079" s="464">
        <f t="shared" si="220"/>
        <v>236069</v>
      </c>
    </row>
    <row r="6080" spans="7:14" ht="11.25" customHeight="1" x14ac:dyDescent="0.25">
      <c r="G6080" s="459"/>
      <c r="H6080" s="459">
        <v>6073</v>
      </c>
      <c r="I6080" s="444">
        <f t="shared" ca="1" si="218"/>
        <v>-4.2704861470475056E+16</v>
      </c>
      <c r="J6080" s="444">
        <f t="array" ref="J6080">IFERROR(INDEX('Retirement Calculator'!J:J,MATCH('Isaac 401k'!N6080,'Retirement Calculator'!A:A,0),0),0)</f>
        <v>0</v>
      </c>
      <c r="K6080" s="444">
        <f t="shared" ca="1" si="216"/>
        <v>-177936922793646.06</v>
      </c>
      <c r="L6080" s="444">
        <f t="shared" ca="1" si="217"/>
        <v>-4.2882798393268704E+16</v>
      </c>
      <c r="M6080" s="460">
        <f t="shared" si="219"/>
        <v>0.05</v>
      </c>
      <c r="N6080" s="464">
        <f t="shared" si="220"/>
        <v>236100</v>
      </c>
    </row>
    <row r="6081" spans="7:14" ht="11.25" customHeight="1" x14ac:dyDescent="0.25">
      <c r="G6081" s="459"/>
      <c r="H6081" s="459">
        <v>6074</v>
      </c>
      <c r="I6081" s="444">
        <f t="shared" ca="1" si="218"/>
        <v>-4.2882798393268704E+16</v>
      </c>
      <c r="J6081" s="444">
        <f t="array" ref="J6081">IFERROR(INDEX('Retirement Calculator'!J:J,MATCH('Isaac 401k'!N6081,'Retirement Calculator'!A:A,0),0),0)</f>
        <v>0</v>
      </c>
      <c r="K6081" s="444">
        <f t="shared" ca="1" si="216"/>
        <v>-178678326638619.59</v>
      </c>
      <c r="L6081" s="444">
        <f t="shared" ca="1" si="217"/>
        <v>-4.306147671990732E+16</v>
      </c>
      <c r="M6081" s="460">
        <f t="shared" si="219"/>
        <v>0.05</v>
      </c>
      <c r="N6081" s="464">
        <f t="shared" si="220"/>
        <v>236130</v>
      </c>
    </row>
    <row r="6082" spans="7:14" ht="11.25" customHeight="1" x14ac:dyDescent="0.25">
      <c r="G6082" s="459"/>
      <c r="H6082" s="459">
        <v>6075</v>
      </c>
      <c r="I6082" s="444">
        <f t="shared" ca="1" si="218"/>
        <v>-4.306147671990732E+16</v>
      </c>
      <c r="J6082" s="444">
        <f t="array" ref="J6082">IFERROR(INDEX('Retirement Calculator'!J:J,MATCH('Isaac 401k'!N6082,'Retirement Calculator'!A:A,0),0),0)</f>
        <v>0</v>
      </c>
      <c r="K6082" s="444">
        <f t="shared" ca="1" si="216"/>
        <v>-179422819666280.5</v>
      </c>
      <c r="L6082" s="444">
        <f t="shared" ca="1" si="217"/>
        <v>-4.32408995395736E+16</v>
      </c>
      <c r="M6082" s="460">
        <f t="shared" si="219"/>
        <v>0.05</v>
      </c>
      <c r="N6082" s="464">
        <f t="shared" si="220"/>
        <v>236161</v>
      </c>
    </row>
    <row r="6083" spans="7:14" ht="11.25" customHeight="1" x14ac:dyDescent="0.25">
      <c r="G6083" s="459"/>
      <c r="H6083" s="459">
        <v>6076</v>
      </c>
      <c r="I6083" s="444">
        <f t="shared" ca="1" si="218"/>
        <v>-4.32408995395736E+16</v>
      </c>
      <c r="J6083" s="444">
        <f t="array" ref="J6083">IFERROR(INDEX('Retirement Calculator'!J:J,MATCH('Isaac 401k'!N6083,'Retirement Calculator'!A:A,0),0),0)</f>
        <v>0</v>
      </c>
      <c r="K6083" s="444">
        <f t="shared" ca="1" si="216"/>
        <v>-180170414748223.34</v>
      </c>
      <c r="L6083" s="444">
        <f t="shared" ca="1" si="217"/>
        <v>-4.3421069954321824E+16</v>
      </c>
      <c r="M6083" s="460">
        <f t="shared" si="219"/>
        <v>0.05</v>
      </c>
      <c r="N6083" s="464">
        <f t="shared" si="220"/>
        <v>236192</v>
      </c>
    </row>
    <row r="6084" spans="7:14" ht="11.25" customHeight="1" x14ac:dyDescent="0.25">
      <c r="G6084" s="459"/>
      <c r="H6084" s="459">
        <v>6077</v>
      </c>
      <c r="I6084" s="444">
        <f t="shared" ca="1" si="218"/>
        <v>-4.3421069954321824E+16</v>
      </c>
      <c r="J6084" s="444">
        <f t="array" ref="J6084">IFERROR(INDEX('Retirement Calculator'!J:J,MATCH('Isaac 401k'!N6084,'Retirement Calculator'!A:A,0),0),0)</f>
        <v>0</v>
      </c>
      <c r="K6084" s="444">
        <f t="shared" ca="1" si="216"/>
        <v>-180921124809674.25</v>
      </c>
      <c r="L6084" s="444">
        <f t="shared" ca="1" si="217"/>
        <v>-4.3601991079131496E+16</v>
      </c>
      <c r="M6084" s="460">
        <f t="shared" si="219"/>
        <v>0.05</v>
      </c>
      <c r="N6084" s="464">
        <f t="shared" si="220"/>
        <v>236222</v>
      </c>
    </row>
    <row r="6085" spans="7:14" ht="11.25" customHeight="1" x14ac:dyDescent="0.25">
      <c r="G6085" s="459"/>
      <c r="H6085" s="459">
        <v>6078</v>
      </c>
      <c r="I6085" s="444">
        <f t="shared" ca="1" si="218"/>
        <v>-4.3601991079131496E+16</v>
      </c>
      <c r="J6085" s="444">
        <f t="array" ref="J6085">IFERROR(INDEX('Retirement Calculator'!J:J,MATCH('Isaac 401k'!N6085,'Retirement Calculator'!A:A,0),0),0)</f>
        <v>0</v>
      </c>
      <c r="K6085" s="444">
        <f t="shared" ca="1" si="216"/>
        <v>-181674962829714.56</v>
      </c>
      <c r="L6085" s="444">
        <f t="shared" ca="1" si="217"/>
        <v>-4.3783666041961208E+16</v>
      </c>
      <c r="M6085" s="460">
        <f t="shared" si="219"/>
        <v>0.05</v>
      </c>
      <c r="N6085" s="464">
        <f t="shared" si="220"/>
        <v>236253</v>
      </c>
    </row>
    <row r="6086" spans="7:14" ht="11.25" customHeight="1" x14ac:dyDescent="0.25">
      <c r="G6086" s="459"/>
      <c r="H6086" s="459">
        <v>6079</v>
      </c>
      <c r="I6086" s="444">
        <f t="shared" ca="1" si="218"/>
        <v>-4.3783666041961208E+16</v>
      </c>
      <c r="J6086" s="444">
        <f t="array" ref="J6086">IFERROR(INDEX('Retirement Calculator'!J:J,MATCH('Isaac 401k'!N6086,'Retirement Calculator'!A:A,0),0),0)</f>
        <v>0</v>
      </c>
      <c r="K6086" s="444">
        <f t="shared" ca="1" si="216"/>
        <v>-182431941841505.03</v>
      </c>
      <c r="L6086" s="444">
        <f t="shared" ca="1" si="217"/>
        <v>-4.3966097983802712E+16</v>
      </c>
      <c r="M6086" s="460">
        <f t="shared" si="219"/>
        <v>0.05</v>
      </c>
      <c r="N6086" s="464">
        <f t="shared" si="220"/>
        <v>236283</v>
      </c>
    </row>
    <row r="6087" spans="7:14" ht="11.25" customHeight="1" x14ac:dyDescent="0.25">
      <c r="G6087" s="459"/>
      <c r="H6087" s="459">
        <v>6080</v>
      </c>
      <c r="I6087" s="444">
        <f t="shared" ca="1" si="218"/>
        <v>-4.3966097983802712E+16</v>
      </c>
      <c r="J6087" s="444">
        <f t="array" ref="J6087">IFERROR(INDEX('Retirement Calculator'!J:J,MATCH('Isaac 401k'!N6087,'Retirement Calculator'!A:A,0),0),0)</f>
        <v>0</v>
      </c>
      <c r="K6087" s="444">
        <f t="shared" ca="1" si="216"/>
        <v>-183192074932511.31</v>
      </c>
      <c r="L6087" s="444">
        <f t="shared" ca="1" si="217"/>
        <v>-4.4149290058735224E+16</v>
      </c>
      <c r="M6087" s="460">
        <f t="shared" si="219"/>
        <v>0.05</v>
      </c>
      <c r="N6087" s="464">
        <f t="shared" si="220"/>
        <v>236314</v>
      </c>
    </row>
    <row r="6088" spans="7:14" ht="11.25" customHeight="1" x14ac:dyDescent="0.25">
      <c r="G6088" s="459"/>
      <c r="H6088" s="459">
        <v>6081</v>
      </c>
      <c r="I6088" s="444">
        <f t="shared" ca="1" si="218"/>
        <v>-4.4149290058735224E+16</v>
      </c>
      <c r="J6088" s="444">
        <f t="array" ref="J6088">IFERROR(INDEX('Retirement Calculator'!J:J,MATCH('Isaac 401k'!N6088,'Retirement Calculator'!A:A,0),0),0)</f>
        <v>0</v>
      </c>
      <c r="K6088" s="444">
        <f t="shared" ca="1" si="216"/>
        <v>-183955375244730.09</v>
      </c>
      <c r="L6088" s="444">
        <f t="shared" ca="1" si="217"/>
        <v>-4.4333245433979952E+16</v>
      </c>
      <c r="M6088" s="460">
        <f t="shared" si="219"/>
        <v>0.05</v>
      </c>
      <c r="N6088" s="464">
        <f t="shared" si="220"/>
        <v>236345</v>
      </c>
    </row>
    <row r="6089" spans="7:14" ht="11.25" customHeight="1" x14ac:dyDescent="0.25">
      <c r="G6089" s="459"/>
      <c r="H6089" s="459">
        <v>6082</v>
      </c>
      <c r="I6089" s="444">
        <f t="shared" ca="1" si="218"/>
        <v>-4.4333245433979952E+16</v>
      </c>
      <c r="J6089" s="444">
        <f t="array" ref="J6089">IFERROR(INDEX('Retirement Calculator'!J:J,MATCH('Isaac 401k'!N6089,'Retirement Calculator'!A:A,0),0),0)</f>
        <v>0</v>
      </c>
      <c r="K6089" s="444">
        <f t="shared" ca="1" si="216"/>
        <v>-184721855974916.47</v>
      </c>
      <c r="L6089" s="444">
        <f t="shared" ca="1" si="217"/>
        <v>-4.4517967289954872E+16</v>
      </c>
      <c r="M6089" s="460">
        <f t="shared" si="219"/>
        <v>0.05</v>
      </c>
      <c r="N6089" s="464">
        <f t="shared" si="220"/>
        <v>236373</v>
      </c>
    </row>
    <row r="6090" spans="7:14" ht="11.25" customHeight="1" x14ac:dyDescent="0.25">
      <c r="G6090" s="459"/>
      <c r="H6090" s="459">
        <v>6083</v>
      </c>
      <c r="I6090" s="444">
        <f t="shared" ca="1" si="218"/>
        <v>-4.4517967289954872E+16</v>
      </c>
      <c r="J6090" s="444">
        <f t="array" ref="J6090">IFERROR(INDEX('Retirement Calculator'!J:J,MATCH('Isaac 401k'!N6090,'Retirement Calculator'!A:A,0),0),0)</f>
        <v>0</v>
      </c>
      <c r="K6090" s="444">
        <f t="shared" ca="1" si="216"/>
        <v>-185491530374811.97</v>
      </c>
      <c r="L6090" s="444">
        <f t="shared" ca="1" si="217"/>
        <v>-4.470345882032968E+16</v>
      </c>
      <c r="M6090" s="460">
        <f t="shared" si="219"/>
        <v>0.05</v>
      </c>
      <c r="N6090" s="464">
        <f t="shared" si="220"/>
        <v>236404</v>
      </c>
    </row>
    <row r="6091" spans="7:14" ht="11.25" customHeight="1" x14ac:dyDescent="0.25">
      <c r="G6091" s="459"/>
      <c r="H6091" s="459">
        <v>6084</v>
      </c>
      <c r="I6091" s="444">
        <f t="shared" ca="1" si="218"/>
        <v>-4.470345882032968E+16</v>
      </c>
      <c r="J6091" s="444">
        <f t="array" ref="J6091">IFERROR(INDEX('Retirement Calculator'!J:J,MATCH('Isaac 401k'!N6091,'Retirement Calculator'!A:A,0),0),0)</f>
        <v>0</v>
      </c>
      <c r="K6091" s="444">
        <f t="shared" ca="1" si="216"/>
        <v>-186264411751373.66</v>
      </c>
      <c r="L6091" s="444">
        <f t="shared" ca="1" si="217"/>
        <v>-4.4889723232081056E+16</v>
      </c>
      <c r="M6091" s="460">
        <f t="shared" si="219"/>
        <v>0.05</v>
      </c>
      <c r="N6091" s="464">
        <f t="shared" si="220"/>
        <v>236434</v>
      </c>
    </row>
    <row r="6092" spans="7:14" ht="11.25" customHeight="1" x14ac:dyDescent="0.25">
      <c r="G6092" s="459"/>
      <c r="H6092" s="459">
        <v>6085</v>
      </c>
      <c r="I6092" s="444">
        <f t="shared" ca="1" si="218"/>
        <v>-4.4889723232081056E+16</v>
      </c>
      <c r="J6092" s="444">
        <f t="array" ref="J6092">IFERROR(INDEX('Retirement Calculator'!J:J,MATCH('Isaac 401k'!N6092,'Retirement Calculator'!A:A,0),0),0)</f>
        <v>0</v>
      </c>
      <c r="K6092" s="444">
        <f t="shared" ca="1" si="216"/>
        <v>-187040513467004.41</v>
      </c>
      <c r="L6092" s="444">
        <f t="shared" ca="1" si="217"/>
        <v>-4.5076763745548064E+16</v>
      </c>
      <c r="M6092" s="460">
        <f t="shared" si="219"/>
        <v>0.05</v>
      </c>
      <c r="N6092" s="464">
        <f t="shared" si="220"/>
        <v>236465</v>
      </c>
    </row>
    <row r="6093" spans="7:14" ht="11.25" customHeight="1" x14ac:dyDescent="0.25">
      <c r="G6093" s="459"/>
      <c r="H6093" s="459">
        <v>6086</v>
      </c>
      <c r="I6093" s="444">
        <f t="shared" ca="1" si="218"/>
        <v>-4.5076763745548064E+16</v>
      </c>
      <c r="J6093" s="444">
        <f t="array" ref="J6093">IFERROR(INDEX('Retirement Calculator'!J:J,MATCH('Isaac 401k'!N6093,'Retirement Calculator'!A:A,0),0),0)</f>
        <v>0</v>
      </c>
      <c r="K6093" s="444">
        <f t="shared" ca="1" si="216"/>
        <v>-187819848939783.59</v>
      </c>
      <c r="L6093" s="444">
        <f t="shared" ca="1" si="217"/>
        <v>-4.5264583594487848E+16</v>
      </c>
      <c r="M6093" s="460">
        <f t="shared" si="219"/>
        <v>0.05</v>
      </c>
      <c r="N6093" s="464">
        <f t="shared" si="220"/>
        <v>236495</v>
      </c>
    </row>
    <row r="6094" spans="7:14" ht="11.25" customHeight="1" x14ac:dyDescent="0.25">
      <c r="G6094" s="459"/>
      <c r="H6094" s="459">
        <v>6087</v>
      </c>
      <c r="I6094" s="444">
        <f t="shared" ca="1" si="218"/>
        <v>-4.5264583594487848E+16</v>
      </c>
      <c r="J6094" s="444">
        <f t="array" ref="J6094">IFERROR(INDEX('Retirement Calculator'!J:J,MATCH('Isaac 401k'!N6094,'Retirement Calculator'!A:A,0),0),0)</f>
        <v>0</v>
      </c>
      <c r="K6094" s="444">
        <f t="shared" ca="1" si="216"/>
        <v>-188602431643699.38</v>
      </c>
      <c r="L6094" s="444">
        <f t="shared" ca="1" si="217"/>
        <v>-4.5453186026131544E+16</v>
      </c>
      <c r="M6094" s="460">
        <f t="shared" si="219"/>
        <v>0.05</v>
      </c>
      <c r="N6094" s="464">
        <f t="shared" si="220"/>
        <v>236526</v>
      </c>
    </row>
    <row r="6095" spans="7:14" ht="11.25" customHeight="1" x14ac:dyDescent="0.25">
      <c r="G6095" s="459"/>
      <c r="H6095" s="459">
        <v>6088</v>
      </c>
      <c r="I6095" s="444">
        <f t="shared" ca="1" si="218"/>
        <v>-4.5453186026131544E+16</v>
      </c>
      <c r="J6095" s="444">
        <f t="array" ref="J6095">IFERROR(INDEX('Retirement Calculator'!J:J,MATCH('Isaac 401k'!N6095,'Retirement Calculator'!A:A,0),0),0)</f>
        <v>0</v>
      </c>
      <c r="K6095" s="444">
        <f t="shared" ca="1" si="216"/>
        <v>-189388275108881.44</v>
      </c>
      <c r="L6095" s="444">
        <f t="shared" ca="1" si="217"/>
        <v>-4.5642574301240424E+16</v>
      </c>
      <c r="M6095" s="460">
        <f t="shared" si="219"/>
        <v>0.05</v>
      </c>
      <c r="N6095" s="464">
        <f t="shared" si="220"/>
        <v>236557</v>
      </c>
    </row>
    <row r="6096" spans="7:14" ht="11.25" customHeight="1" x14ac:dyDescent="0.25">
      <c r="G6096" s="459"/>
      <c r="H6096" s="459">
        <v>6089</v>
      </c>
      <c r="I6096" s="444">
        <f t="shared" ca="1" si="218"/>
        <v>-4.5642574301240424E+16</v>
      </c>
      <c r="J6096" s="444">
        <f t="array" ref="J6096">IFERROR(INDEX('Retirement Calculator'!J:J,MATCH('Isaac 401k'!N6096,'Retirement Calculator'!A:A,0),0),0)</f>
        <v>0</v>
      </c>
      <c r="K6096" s="444">
        <f t="shared" ca="1" si="216"/>
        <v>-190177392921835.09</v>
      </c>
      <c r="L6096" s="444">
        <f t="shared" ca="1" si="217"/>
        <v>-4.5832751694162256E+16</v>
      </c>
      <c r="M6096" s="460">
        <f t="shared" si="219"/>
        <v>0.05</v>
      </c>
      <c r="N6096" s="464">
        <f t="shared" si="220"/>
        <v>236587</v>
      </c>
    </row>
    <row r="6097" spans="7:14" ht="11.25" customHeight="1" x14ac:dyDescent="0.25">
      <c r="G6097" s="459"/>
      <c r="H6097" s="459">
        <v>6090</v>
      </c>
      <c r="I6097" s="444">
        <f t="shared" ca="1" si="218"/>
        <v>-4.5832751694162256E+16</v>
      </c>
      <c r="J6097" s="444">
        <f t="array" ref="J6097">IFERROR(INDEX('Retirement Calculator'!J:J,MATCH('Isaac 401k'!N6097,'Retirement Calculator'!A:A,0),0),0)</f>
        <v>0</v>
      </c>
      <c r="K6097" s="444">
        <f t="shared" ca="1" si="216"/>
        <v>-190969798725676.06</v>
      </c>
      <c r="L6097" s="444">
        <f t="shared" ca="1" si="217"/>
        <v>-4.6023721492887936E+16</v>
      </c>
      <c r="M6097" s="460">
        <f t="shared" si="219"/>
        <v>0.05</v>
      </c>
      <c r="N6097" s="464">
        <f t="shared" si="220"/>
        <v>236618</v>
      </c>
    </row>
    <row r="6098" spans="7:14" ht="11.25" customHeight="1" x14ac:dyDescent="0.25">
      <c r="G6098" s="459"/>
      <c r="H6098" s="459">
        <v>6091</v>
      </c>
      <c r="I6098" s="444">
        <f t="shared" ca="1" si="218"/>
        <v>-4.6023721492887936E+16</v>
      </c>
      <c r="J6098" s="444">
        <f t="array" ref="J6098">IFERROR(INDEX('Retirement Calculator'!J:J,MATCH('Isaac 401k'!N6098,'Retirement Calculator'!A:A,0),0),0)</f>
        <v>0</v>
      </c>
      <c r="K6098" s="444">
        <f t="shared" ca="1" si="216"/>
        <v>-191765506220366.41</v>
      </c>
      <c r="L6098" s="444">
        <f t="shared" ca="1" si="217"/>
        <v>-4.6215486999108304E+16</v>
      </c>
      <c r="M6098" s="460">
        <f t="shared" si="219"/>
        <v>0.05</v>
      </c>
      <c r="N6098" s="464">
        <f t="shared" si="220"/>
        <v>236648</v>
      </c>
    </row>
    <row r="6099" spans="7:14" ht="11.25" customHeight="1" x14ac:dyDescent="0.25">
      <c r="G6099" s="459"/>
      <c r="H6099" s="459">
        <v>6092</v>
      </c>
      <c r="I6099" s="444">
        <f t="shared" ca="1" si="218"/>
        <v>-4.6215486999108304E+16</v>
      </c>
      <c r="J6099" s="444">
        <f t="array" ref="J6099">IFERROR(INDEX('Retirement Calculator'!J:J,MATCH('Isaac 401k'!N6099,'Retirement Calculator'!A:A,0),0),0)</f>
        <v>0</v>
      </c>
      <c r="K6099" s="444">
        <f t="shared" ca="1" si="216"/>
        <v>-192564529162951.25</v>
      </c>
      <c r="L6099" s="444">
        <f t="shared" ca="1" si="217"/>
        <v>-4.6408051528271256E+16</v>
      </c>
      <c r="M6099" s="460">
        <f t="shared" si="219"/>
        <v>0.05</v>
      </c>
      <c r="N6099" s="464">
        <f t="shared" si="220"/>
        <v>236679</v>
      </c>
    </row>
    <row r="6100" spans="7:14" ht="11.25" customHeight="1" x14ac:dyDescent="0.25">
      <c r="G6100" s="459"/>
      <c r="H6100" s="459">
        <v>6093</v>
      </c>
      <c r="I6100" s="444">
        <f t="shared" ca="1" si="218"/>
        <v>-4.6408051528271256E+16</v>
      </c>
      <c r="J6100" s="444">
        <f t="array" ref="J6100">IFERROR(INDEX('Retirement Calculator'!J:J,MATCH('Isaac 401k'!N6100,'Retirement Calculator'!A:A,0),0),0)</f>
        <v>0</v>
      </c>
      <c r="K6100" s="444">
        <f t="shared" ca="1" si="216"/>
        <v>-193366881367796.91</v>
      </c>
      <c r="L6100" s="444">
        <f t="shared" ca="1" si="217"/>
        <v>-4.6601418409639056E+16</v>
      </c>
      <c r="M6100" s="460">
        <f t="shared" si="219"/>
        <v>0.05</v>
      </c>
      <c r="N6100" s="464">
        <f t="shared" si="220"/>
        <v>236710</v>
      </c>
    </row>
    <row r="6101" spans="7:14" ht="11.25" customHeight="1" x14ac:dyDescent="0.25">
      <c r="G6101" s="459"/>
      <c r="H6101" s="459">
        <v>6094</v>
      </c>
      <c r="I6101" s="444">
        <f t="shared" ca="1" si="218"/>
        <v>-4.6601418409639056E+16</v>
      </c>
      <c r="J6101" s="444">
        <f t="array" ref="J6101">IFERROR(INDEX('Retirement Calculator'!J:J,MATCH('Isaac 401k'!N6101,'Retirement Calculator'!A:A,0),0),0)</f>
        <v>0</v>
      </c>
      <c r="K6101" s="444">
        <f t="shared" ca="1" si="216"/>
        <v>-194172576706829.41</v>
      </c>
      <c r="L6101" s="444">
        <f t="shared" ca="1" si="217"/>
        <v>-4.6795590986345888E+16</v>
      </c>
      <c r="M6101" s="460">
        <f t="shared" si="219"/>
        <v>0.05</v>
      </c>
      <c r="N6101" s="464">
        <f t="shared" si="220"/>
        <v>236739</v>
      </c>
    </row>
    <row r="6102" spans="7:14" ht="11.25" customHeight="1" x14ac:dyDescent="0.25">
      <c r="G6102" s="459"/>
      <c r="H6102" s="459">
        <v>6095</v>
      </c>
      <c r="I6102" s="444">
        <f t="shared" ca="1" si="218"/>
        <v>-4.6795590986345888E+16</v>
      </c>
      <c r="J6102" s="444">
        <f t="array" ref="J6102">IFERROR(INDEX('Retirement Calculator'!J:J,MATCH('Isaac 401k'!N6102,'Retirement Calculator'!A:A,0),0),0)</f>
        <v>0</v>
      </c>
      <c r="K6102" s="444">
        <f t="shared" ca="1" si="216"/>
        <v>-194981629109774.53</v>
      </c>
      <c r="L6102" s="444">
        <f t="shared" ca="1" si="217"/>
        <v>-4.6990572615455664E+16</v>
      </c>
      <c r="M6102" s="460">
        <f t="shared" si="219"/>
        <v>0.05</v>
      </c>
      <c r="N6102" s="464">
        <f t="shared" si="220"/>
        <v>236770</v>
      </c>
    </row>
    <row r="6103" spans="7:14" ht="11.25" customHeight="1" x14ac:dyDescent="0.25">
      <c r="G6103" s="459"/>
      <c r="H6103" s="459">
        <v>6096</v>
      </c>
      <c r="I6103" s="444">
        <f t="shared" ca="1" si="218"/>
        <v>-4.6990572615455664E+16</v>
      </c>
      <c r="J6103" s="444">
        <f t="array" ref="J6103">IFERROR(INDEX('Retirement Calculator'!J:J,MATCH('Isaac 401k'!N6103,'Retirement Calculator'!A:A,0),0),0)</f>
        <v>0</v>
      </c>
      <c r="K6103" s="444">
        <f t="shared" ca="1" si="216"/>
        <v>-195794052564398.59</v>
      </c>
      <c r="L6103" s="444">
        <f t="shared" ca="1" si="217"/>
        <v>-4.7186366668020064E+16</v>
      </c>
      <c r="M6103" s="460">
        <f t="shared" si="219"/>
        <v>0.05</v>
      </c>
      <c r="N6103" s="464">
        <f t="shared" si="220"/>
        <v>236800</v>
      </c>
    </row>
    <row r="6104" spans="7:14" ht="11.25" customHeight="1" x14ac:dyDescent="0.25">
      <c r="G6104" s="459"/>
      <c r="H6104" s="459">
        <v>6097</v>
      </c>
      <c r="I6104" s="444">
        <f t="shared" ca="1" si="218"/>
        <v>-4.7186366668020064E+16</v>
      </c>
      <c r="J6104" s="444">
        <f t="array" ref="J6104">IFERROR(INDEX('Retirement Calculator'!J:J,MATCH('Isaac 401k'!N6104,'Retirement Calculator'!A:A,0),0),0)</f>
        <v>0</v>
      </c>
      <c r="K6104" s="444">
        <f t="shared" ca="1" si="216"/>
        <v>-196609861116750.25</v>
      </c>
      <c r="L6104" s="444">
        <f t="shared" ca="1" si="217"/>
        <v>-4.7382976529136816E+16</v>
      </c>
      <c r="M6104" s="460">
        <f t="shared" si="219"/>
        <v>0.05</v>
      </c>
      <c r="N6104" s="464">
        <f t="shared" si="220"/>
        <v>236831</v>
      </c>
    </row>
    <row r="6105" spans="7:14" ht="11.25" customHeight="1" x14ac:dyDescent="0.25">
      <c r="G6105" s="459"/>
      <c r="H6105" s="459">
        <v>6098</v>
      </c>
      <c r="I6105" s="444">
        <f t="shared" ca="1" si="218"/>
        <v>-4.7382976529136816E+16</v>
      </c>
      <c r="J6105" s="444">
        <f t="array" ref="J6105">IFERROR(INDEX('Retirement Calculator'!J:J,MATCH('Isaac 401k'!N6105,'Retirement Calculator'!A:A,0),0),0)</f>
        <v>0</v>
      </c>
      <c r="K6105" s="444">
        <f t="shared" ca="1" si="216"/>
        <v>-197429068871403.41</v>
      </c>
      <c r="L6105" s="444">
        <f t="shared" ca="1" si="217"/>
        <v>-4.7580405598008216E+16</v>
      </c>
      <c r="M6105" s="460">
        <f t="shared" si="219"/>
        <v>0.05</v>
      </c>
      <c r="N6105" s="464">
        <f t="shared" si="220"/>
        <v>236861</v>
      </c>
    </row>
    <row r="6106" spans="7:14" ht="11.25" customHeight="1" x14ac:dyDescent="0.25">
      <c r="G6106" s="459"/>
      <c r="H6106" s="459">
        <v>6099</v>
      </c>
      <c r="I6106" s="444">
        <f t="shared" ca="1" si="218"/>
        <v>-4.7580405598008216E+16</v>
      </c>
      <c r="J6106" s="444">
        <f t="array" ref="J6106">IFERROR(INDEX('Retirement Calculator'!J:J,MATCH('Isaac 401k'!N6106,'Retirement Calculator'!A:A,0),0),0)</f>
        <v>0</v>
      </c>
      <c r="K6106" s="444">
        <f t="shared" ca="1" si="216"/>
        <v>-198251689991700.91</v>
      </c>
      <c r="L6106" s="444">
        <f t="shared" ca="1" si="217"/>
        <v>-4.777865728799992E+16</v>
      </c>
      <c r="M6106" s="460">
        <f t="shared" si="219"/>
        <v>0.05</v>
      </c>
      <c r="N6106" s="464">
        <f t="shared" si="220"/>
        <v>236892</v>
      </c>
    </row>
    <row r="6107" spans="7:14" ht="11.25" customHeight="1" x14ac:dyDescent="0.25">
      <c r="G6107" s="459"/>
      <c r="H6107" s="459">
        <v>6100</v>
      </c>
      <c r="I6107" s="444">
        <f t="shared" ca="1" si="218"/>
        <v>-4.777865728799992E+16</v>
      </c>
      <c r="J6107" s="444">
        <f t="array" ref="J6107">IFERROR(INDEX('Retirement Calculator'!J:J,MATCH('Isaac 401k'!N6107,'Retirement Calculator'!A:A,0),0),0)</f>
        <v>0</v>
      </c>
      <c r="K6107" s="444">
        <f t="shared" ca="1" si="216"/>
        <v>-199077738699999.66</v>
      </c>
      <c r="L6107" s="444">
        <f t="shared" ca="1" si="217"/>
        <v>-4.797773502669992E+16</v>
      </c>
      <c r="M6107" s="460">
        <f t="shared" si="219"/>
        <v>0.05</v>
      </c>
      <c r="N6107" s="464">
        <f t="shared" si="220"/>
        <v>236923</v>
      </c>
    </row>
    <row r="6108" spans="7:14" ht="11.25" customHeight="1" x14ac:dyDescent="0.25">
      <c r="G6108" s="459"/>
      <c r="H6108" s="459">
        <v>6101</v>
      </c>
      <c r="I6108" s="444">
        <f t="shared" ca="1" si="218"/>
        <v>-4.797773502669992E+16</v>
      </c>
      <c r="J6108" s="444">
        <f t="array" ref="J6108">IFERROR(INDEX('Retirement Calculator'!J:J,MATCH('Isaac 401k'!N6108,'Retirement Calculator'!A:A,0),0),0)</f>
        <v>0</v>
      </c>
      <c r="K6108" s="444">
        <f t="shared" ca="1" si="216"/>
        <v>-199907229277916.34</v>
      </c>
      <c r="L6108" s="444">
        <f t="shared" ca="1" si="217"/>
        <v>-4.817764225597784E+16</v>
      </c>
      <c r="M6108" s="460">
        <f t="shared" si="219"/>
        <v>0.05</v>
      </c>
      <c r="N6108" s="464">
        <f t="shared" si="220"/>
        <v>236953</v>
      </c>
    </row>
    <row r="6109" spans="7:14" ht="11.25" customHeight="1" x14ac:dyDescent="0.25">
      <c r="G6109" s="459"/>
      <c r="H6109" s="459">
        <v>6102</v>
      </c>
      <c r="I6109" s="444">
        <f t="shared" ca="1" si="218"/>
        <v>-4.817764225597784E+16</v>
      </c>
      <c r="J6109" s="444">
        <f t="array" ref="J6109">IFERROR(INDEX('Retirement Calculator'!J:J,MATCH('Isaac 401k'!N6109,'Retirement Calculator'!A:A,0),0),0)</f>
        <v>0</v>
      </c>
      <c r="K6109" s="444">
        <f t="shared" ca="1" si="216"/>
        <v>-200740176066574.34</v>
      </c>
      <c r="L6109" s="444">
        <f t="shared" ca="1" si="217"/>
        <v>-4.8378382432044416E+16</v>
      </c>
      <c r="M6109" s="460">
        <f t="shared" si="219"/>
        <v>0.05</v>
      </c>
      <c r="N6109" s="464">
        <f t="shared" si="220"/>
        <v>236984</v>
      </c>
    </row>
    <row r="6110" spans="7:14" ht="11.25" customHeight="1" x14ac:dyDescent="0.25">
      <c r="G6110" s="459"/>
      <c r="H6110" s="459">
        <v>6103</v>
      </c>
      <c r="I6110" s="444">
        <f t="shared" ca="1" si="218"/>
        <v>-4.8378382432044416E+16</v>
      </c>
      <c r="J6110" s="444">
        <f t="array" ref="J6110">IFERROR(INDEX('Retirement Calculator'!J:J,MATCH('Isaac 401k'!N6110,'Retirement Calculator'!A:A,0),0),0)</f>
        <v>0</v>
      </c>
      <c r="K6110" s="444">
        <f t="shared" ca="1" si="216"/>
        <v>-201576593466851.72</v>
      </c>
      <c r="L6110" s="444">
        <f t="shared" ca="1" si="217"/>
        <v>-4.8579959025511264E+16</v>
      </c>
      <c r="M6110" s="460">
        <f t="shared" si="219"/>
        <v>0.05</v>
      </c>
      <c r="N6110" s="464">
        <f t="shared" si="220"/>
        <v>237014</v>
      </c>
    </row>
    <row r="6111" spans="7:14" ht="11.25" customHeight="1" x14ac:dyDescent="0.25">
      <c r="G6111" s="459"/>
      <c r="H6111" s="459">
        <v>6104</v>
      </c>
      <c r="I6111" s="444">
        <f t="shared" ca="1" si="218"/>
        <v>-4.8579959025511264E+16</v>
      </c>
      <c r="J6111" s="444">
        <f t="array" ref="J6111">IFERROR(INDEX('Retirement Calculator'!J:J,MATCH('Isaac 401k'!N6111,'Retirement Calculator'!A:A,0),0),0)</f>
        <v>0</v>
      </c>
      <c r="K6111" s="444">
        <f t="shared" ca="1" si="216"/>
        <v>-202416495939630.25</v>
      </c>
      <c r="L6111" s="444">
        <f t="shared" ca="1" si="217"/>
        <v>-4.8782375521450896E+16</v>
      </c>
      <c r="M6111" s="460">
        <f t="shared" si="219"/>
        <v>0.05</v>
      </c>
      <c r="N6111" s="464">
        <f t="shared" si="220"/>
        <v>237045</v>
      </c>
    </row>
    <row r="6112" spans="7:14" ht="11.25" customHeight="1" x14ac:dyDescent="0.25">
      <c r="G6112" s="459"/>
      <c r="H6112" s="459">
        <v>6105</v>
      </c>
      <c r="I6112" s="444">
        <f t="shared" ca="1" si="218"/>
        <v>-4.8782375521450896E+16</v>
      </c>
      <c r="J6112" s="444">
        <f t="array" ref="J6112">IFERROR(INDEX('Retirement Calculator'!J:J,MATCH('Isaac 401k'!N6112,'Retirement Calculator'!A:A,0),0),0)</f>
        <v>0</v>
      </c>
      <c r="K6112" s="444">
        <f t="shared" ca="1" si="216"/>
        <v>-203259898006045.41</v>
      </c>
      <c r="L6112" s="444">
        <f t="shared" ca="1" si="217"/>
        <v>-4.8985635419456944E+16</v>
      </c>
      <c r="M6112" s="460">
        <f t="shared" si="219"/>
        <v>0.05</v>
      </c>
      <c r="N6112" s="464">
        <f t="shared" si="220"/>
        <v>237076</v>
      </c>
    </row>
    <row r="6113" spans="7:14" ht="11.25" customHeight="1" x14ac:dyDescent="0.25">
      <c r="G6113" s="459"/>
      <c r="H6113" s="459">
        <v>6106</v>
      </c>
      <c r="I6113" s="444">
        <f t="shared" ca="1" si="218"/>
        <v>-4.8985635419456944E+16</v>
      </c>
      <c r="J6113" s="444">
        <f t="array" ref="J6113">IFERROR(INDEX('Retirement Calculator'!J:J,MATCH('Isaac 401k'!N6113,'Retirement Calculator'!A:A,0),0),0)</f>
        <v>0</v>
      </c>
      <c r="K6113" s="444">
        <f t="shared" ca="1" si="216"/>
        <v>-204106814247737.25</v>
      </c>
      <c r="L6113" s="444">
        <f t="shared" ca="1" si="217"/>
        <v>-4.918974223370468E+16</v>
      </c>
      <c r="M6113" s="460">
        <f t="shared" si="219"/>
        <v>0.05</v>
      </c>
      <c r="N6113" s="464">
        <f t="shared" si="220"/>
        <v>237104</v>
      </c>
    </row>
    <row r="6114" spans="7:14" ht="11.25" customHeight="1" x14ac:dyDescent="0.25">
      <c r="G6114" s="459"/>
      <c r="H6114" s="459">
        <v>6107</v>
      </c>
      <c r="I6114" s="444">
        <f t="shared" ca="1" si="218"/>
        <v>-4.918974223370468E+16</v>
      </c>
      <c r="J6114" s="444">
        <f t="array" ref="J6114">IFERROR(INDEX('Retirement Calculator'!J:J,MATCH('Isaac 401k'!N6114,'Retirement Calculator'!A:A,0),0),0)</f>
        <v>0</v>
      </c>
      <c r="K6114" s="444">
        <f t="shared" ca="1" si="216"/>
        <v>-204957259307102.84</v>
      </c>
      <c r="L6114" s="444">
        <f t="shared" ca="1" si="217"/>
        <v>-4.9394699493011784E+16</v>
      </c>
      <c r="M6114" s="460">
        <f t="shared" si="219"/>
        <v>0.05</v>
      </c>
      <c r="N6114" s="464">
        <f t="shared" si="220"/>
        <v>237135</v>
      </c>
    </row>
    <row r="6115" spans="7:14" ht="11.25" customHeight="1" x14ac:dyDescent="0.25">
      <c r="G6115" s="459"/>
      <c r="H6115" s="459">
        <v>6108</v>
      </c>
      <c r="I6115" s="444">
        <f t="shared" ca="1" si="218"/>
        <v>-4.9394699493011784E+16</v>
      </c>
      <c r="J6115" s="444">
        <f t="array" ref="J6115">IFERROR(INDEX('Retirement Calculator'!J:J,MATCH('Isaac 401k'!N6115,'Retirement Calculator'!A:A,0),0),0)</f>
        <v>0</v>
      </c>
      <c r="K6115" s="444">
        <f t="shared" ca="1" si="216"/>
        <v>-205811247887549.09</v>
      </c>
      <c r="L6115" s="444">
        <f t="shared" ca="1" si="217"/>
        <v>-4.9600510740899336E+16</v>
      </c>
      <c r="M6115" s="460">
        <f t="shared" si="219"/>
        <v>0.05</v>
      </c>
      <c r="N6115" s="464">
        <f t="shared" si="220"/>
        <v>237165</v>
      </c>
    </row>
    <row r="6116" spans="7:14" ht="11.25" customHeight="1" x14ac:dyDescent="0.25">
      <c r="G6116" s="459"/>
      <c r="H6116" s="459">
        <v>6109</v>
      </c>
      <c r="I6116" s="444">
        <f t="shared" ca="1" si="218"/>
        <v>-4.9600510740899336E+16</v>
      </c>
      <c r="J6116" s="444">
        <f t="array" ref="J6116">IFERROR(INDEX('Retirement Calculator'!J:J,MATCH('Isaac 401k'!N6116,'Retirement Calculator'!A:A,0),0),0)</f>
        <v>0</v>
      </c>
      <c r="K6116" s="444">
        <f t="shared" ca="1" si="216"/>
        <v>-206668794753747.22</v>
      </c>
      <c r="L6116" s="444">
        <f t="shared" ca="1" si="217"/>
        <v>-4.980717953565308E+16</v>
      </c>
      <c r="M6116" s="460">
        <f t="shared" si="219"/>
        <v>0.05</v>
      </c>
      <c r="N6116" s="464">
        <f t="shared" si="220"/>
        <v>237196</v>
      </c>
    </row>
    <row r="6117" spans="7:14" ht="11.25" customHeight="1" x14ac:dyDescent="0.25">
      <c r="G6117" s="459"/>
      <c r="H6117" s="459">
        <v>6110</v>
      </c>
      <c r="I6117" s="444">
        <f t="shared" ca="1" si="218"/>
        <v>-4.980717953565308E+16</v>
      </c>
      <c r="J6117" s="444">
        <f t="array" ref="J6117">IFERROR(INDEX('Retirement Calculator'!J:J,MATCH('Isaac 401k'!N6117,'Retirement Calculator'!A:A,0),0),0)</f>
        <v>0</v>
      </c>
      <c r="K6117" s="444">
        <f t="shared" ca="1" si="216"/>
        <v>-207529914731887.84</v>
      </c>
      <c r="L6117" s="444">
        <f t="shared" ca="1" si="217"/>
        <v>-5.0014709450384968E+16</v>
      </c>
      <c r="M6117" s="460">
        <f t="shared" si="219"/>
        <v>0.05</v>
      </c>
      <c r="N6117" s="464">
        <f t="shared" si="220"/>
        <v>237226</v>
      </c>
    </row>
    <row r="6118" spans="7:14" ht="11.25" customHeight="1" x14ac:dyDescent="0.25">
      <c r="G6118" s="459"/>
      <c r="H6118" s="459">
        <v>6111</v>
      </c>
      <c r="I6118" s="444">
        <f t="shared" ca="1" si="218"/>
        <v>-5.0014709450384968E+16</v>
      </c>
      <c r="J6118" s="444">
        <f t="array" ref="J6118">IFERROR(INDEX('Retirement Calculator'!J:J,MATCH('Isaac 401k'!N6118,'Retirement Calculator'!A:A,0),0),0)</f>
        <v>0</v>
      </c>
      <c r="K6118" s="444">
        <f t="shared" ca="1" si="216"/>
        <v>-208394622709937.38</v>
      </c>
      <c r="L6118" s="444">
        <f t="shared" ca="1" si="217"/>
        <v>-5.0223104073094904E+16</v>
      </c>
      <c r="M6118" s="460">
        <f t="shared" si="219"/>
        <v>0.05</v>
      </c>
      <c r="N6118" s="464">
        <f t="shared" si="220"/>
        <v>237257</v>
      </c>
    </row>
    <row r="6119" spans="7:14" ht="11.25" customHeight="1" x14ac:dyDescent="0.25">
      <c r="G6119" s="459"/>
      <c r="H6119" s="459">
        <v>6112</v>
      </c>
      <c r="I6119" s="444">
        <f t="shared" ca="1" si="218"/>
        <v>-5.0223104073094904E+16</v>
      </c>
      <c r="J6119" s="444">
        <f t="array" ref="J6119">IFERROR(INDEX('Retirement Calculator'!J:J,MATCH('Isaac 401k'!N6119,'Retirement Calculator'!A:A,0),0),0)</f>
        <v>0</v>
      </c>
      <c r="K6119" s="444">
        <f t="shared" ca="1" si="216"/>
        <v>-209262933637895.44</v>
      </c>
      <c r="L6119" s="444">
        <f t="shared" ca="1" si="217"/>
        <v>-5.04323670067328E+16</v>
      </c>
      <c r="M6119" s="460">
        <f t="shared" si="219"/>
        <v>0.05</v>
      </c>
      <c r="N6119" s="464">
        <f t="shared" si="220"/>
        <v>237288</v>
      </c>
    </row>
    <row r="6120" spans="7:14" ht="11.25" customHeight="1" x14ac:dyDescent="0.25">
      <c r="G6120" s="459"/>
      <c r="H6120" s="459">
        <v>6113</v>
      </c>
      <c r="I6120" s="444">
        <f t="shared" ca="1" si="218"/>
        <v>-5.04323670067328E+16</v>
      </c>
      <c r="J6120" s="444">
        <f t="array" ref="J6120">IFERROR(INDEX('Retirement Calculator'!J:J,MATCH('Isaac 401k'!N6120,'Retirement Calculator'!A:A,0),0),0)</f>
        <v>0</v>
      </c>
      <c r="K6120" s="444">
        <f t="shared" ca="1" si="216"/>
        <v>-210134862528053.34</v>
      </c>
      <c r="L6120" s="444">
        <f t="shared" ca="1" si="217"/>
        <v>-5.0642501869260856E+16</v>
      </c>
      <c r="M6120" s="460">
        <f t="shared" si="219"/>
        <v>0.05</v>
      </c>
      <c r="N6120" s="464">
        <f t="shared" si="220"/>
        <v>237318</v>
      </c>
    </row>
    <row r="6121" spans="7:14" ht="11.25" customHeight="1" x14ac:dyDescent="0.25">
      <c r="G6121" s="459"/>
      <c r="H6121" s="459">
        <v>6114</v>
      </c>
      <c r="I6121" s="444">
        <f t="shared" ca="1" si="218"/>
        <v>-5.0642501869260856E+16</v>
      </c>
      <c r="J6121" s="444">
        <f t="array" ref="J6121">IFERROR(INDEX('Retirement Calculator'!J:J,MATCH('Isaac 401k'!N6121,'Retirement Calculator'!A:A,0),0),0)</f>
        <v>0</v>
      </c>
      <c r="K6121" s="444">
        <f t="shared" ca="1" si="216"/>
        <v>-211010424455253.56</v>
      </c>
      <c r="L6121" s="444">
        <f t="shared" ca="1" si="217"/>
        <v>-5.0853512293716112E+16</v>
      </c>
      <c r="M6121" s="460">
        <f t="shared" si="219"/>
        <v>0.05</v>
      </c>
      <c r="N6121" s="464">
        <f t="shared" si="220"/>
        <v>237349</v>
      </c>
    </row>
    <row r="6122" spans="7:14" ht="11.25" customHeight="1" x14ac:dyDescent="0.25">
      <c r="G6122" s="459"/>
      <c r="H6122" s="459">
        <v>6115</v>
      </c>
      <c r="I6122" s="444">
        <f t="shared" ca="1" si="218"/>
        <v>-5.0853512293716112E+16</v>
      </c>
      <c r="J6122" s="444">
        <f t="array" ref="J6122">IFERROR(INDEX('Retirement Calculator'!J:J,MATCH('Isaac 401k'!N6122,'Retirement Calculator'!A:A,0),0),0)</f>
        <v>0</v>
      </c>
      <c r="K6122" s="444">
        <f t="shared" ca="1" si="216"/>
        <v>-211889634557150.47</v>
      </c>
      <c r="L6122" s="444">
        <f t="shared" ca="1" si="217"/>
        <v>-5.1065401928273264E+16</v>
      </c>
      <c r="M6122" s="460">
        <f t="shared" si="219"/>
        <v>0.05</v>
      </c>
      <c r="N6122" s="464">
        <f t="shared" si="220"/>
        <v>237379</v>
      </c>
    </row>
    <row r="6123" spans="7:14" ht="11.25" customHeight="1" x14ac:dyDescent="0.25">
      <c r="G6123" s="459"/>
      <c r="H6123" s="459">
        <v>6116</v>
      </c>
      <c r="I6123" s="444">
        <f t="shared" ca="1" si="218"/>
        <v>-5.1065401928273264E+16</v>
      </c>
      <c r="J6123" s="444">
        <f t="array" ref="J6123">IFERROR(INDEX('Retirement Calculator'!J:J,MATCH('Isaac 401k'!N6123,'Retirement Calculator'!A:A,0),0),0)</f>
        <v>0</v>
      </c>
      <c r="K6123" s="444">
        <f t="shared" ca="1" si="216"/>
        <v>-212772508034471.94</v>
      </c>
      <c r="L6123" s="444">
        <f t="shared" ca="1" si="217"/>
        <v>-5.1278174436307736E+16</v>
      </c>
      <c r="M6123" s="460">
        <f t="shared" si="219"/>
        <v>0.05</v>
      </c>
      <c r="N6123" s="464">
        <f t="shared" si="220"/>
        <v>237410</v>
      </c>
    </row>
    <row r="6124" spans="7:14" ht="11.25" customHeight="1" x14ac:dyDescent="0.25">
      <c r="G6124" s="459"/>
      <c r="H6124" s="459">
        <v>6117</v>
      </c>
      <c r="I6124" s="444">
        <f t="shared" ca="1" si="218"/>
        <v>-5.1278174436307736E+16</v>
      </c>
      <c r="J6124" s="444">
        <f t="array" ref="J6124">IFERROR(INDEX('Retirement Calculator'!J:J,MATCH('Isaac 401k'!N6124,'Retirement Calculator'!A:A,0),0),0)</f>
        <v>0</v>
      </c>
      <c r="K6124" s="444">
        <f t="shared" ca="1" si="216"/>
        <v>-213659060151282.22</v>
      </c>
      <c r="L6124" s="444">
        <f t="shared" ca="1" si="217"/>
        <v>-5.1491833496459016E+16</v>
      </c>
      <c r="M6124" s="460">
        <f t="shared" si="219"/>
        <v>0.05</v>
      </c>
      <c r="N6124" s="464">
        <f t="shared" si="220"/>
        <v>237441</v>
      </c>
    </row>
    <row r="6125" spans="7:14" ht="11.25" customHeight="1" x14ac:dyDescent="0.25">
      <c r="G6125" s="459"/>
      <c r="H6125" s="459">
        <v>6118</v>
      </c>
      <c r="I6125" s="444">
        <f t="shared" ca="1" si="218"/>
        <v>-5.1491833496459016E+16</v>
      </c>
      <c r="J6125" s="444">
        <f t="array" ref="J6125">IFERROR(INDEX('Retirement Calculator'!J:J,MATCH('Isaac 401k'!N6125,'Retirement Calculator'!A:A,0),0),0)</f>
        <v>0</v>
      </c>
      <c r="K6125" s="444">
        <f t="shared" ca="1" si="216"/>
        <v>-214549306235245.91</v>
      </c>
      <c r="L6125" s="444">
        <f t="shared" ca="1" si="217"/>
        <v>-5.1706382802694264E+16</v>
      </c>
      <c r="M6125" s="460">
        <f t="shared" si="219"/>
        <v>0.05</v>
      </c>
      <c r="N6125" s="464">
        <f t="shared" si="220"/>
        <v>237469</v>
      </c>
    </row>
    <row r="6126" spans="7:14" ht="11.25" customHeight="1" x14ac:dyDescent="0.25">
      <c r="G6126" s="459"/>
      <c r="H6126" s="459">
        <v>6119</v>
      </c>
      <c r="I6126" s="444">
        <f t="shared" ca="1" si="218"/>
        <v>-5.1706382802694264E+16</v>
      </c>
      <c r="J6126" s="444">
        <f t="array" ref="J6126">IFERROR(INDEX('Retirement Calculator'!J:J,MATCH('Isaac 401k'!N6126,'Retirement Calculator'!A:A,0),0),0)</f>
        <v>0</v>
      </c>
      <c r="K6126" s="444">
        <f t="shared" ca="1" si="216"/>
        <v>-215443261677892.75</v>
      </c>
      <c r="L6126" s="444">
        <f t="shared" ca="1" si="217"/>
        <v>-5.192182606437216E+16</v>
      </c>
      <c r="M6126" s="460">
        <f t="shared" si="219"/>
        <v>0.05</v>
      </c>
      <c r="N6126" s="464">
        <f t="shared" si="220"/>
        <v>237500</v>
      </c>
    </row>
    <row r="6127" spans="7:14" ht="11.25" customHeight="1" x14ac:dyDescent="0.25">
      <c r="G6127" s="459"/>
      <c r="H6127" s="459">
        <v>6120</v>
      </c>
      <c r="I6127" s="444">
        <f t="shared" ca="1" si="218"/>
        <v>-5.192182606437216E+16</v>
      </c>
      <c r="J6127" s="444">
        <f t="array" ref="J6127">IFERROR(INDEX('Retirement Calculator'!J:J,MATCH('Isaac 401k'!N6127,'Retirement Calculator'!A:A,0),0),0)</f>
        <v>0</v>
      </c>
      <c r="K6127" s="444">
        <f t="shared" ca="1" si="216"/>
        <v>-216340941934884</v>
      </c>
      <c r="L6127" s="444">
        <f t="shared" ca="1" si="217"/>
        <v>-5.213816700630704E+16</v>
      </c>
      <c r="M6127" s="460">
        <f t="shared" si="219"/>
        <v>0.05</v>
      </c>
      <c r="N6127" s="464">
        <f t="shared" si="220"/>
        <v>237530</v>
      </c>
    </row>
    <row r="6128" spans="7:14" ht="11.25" customHeight="1" x14ac:dyDescent="0.25">
      <c r="G6128" s="459"/>
      <c r="H6128" s="459">
        <v>6121</v>
      </c>
      <c r="I6128" s="444">
        <f t="shared" ca="1" si="218"/>
        <v>-5.213816700630704E+16</v>
      </c>
      <c r="J6128" s="444">
        <f t="array" ref="J6128">IFERROR(INDEX('Retirement Calculator'!J:J,MATCH('Isaac 401k'!N6128,'Retirement Calculator'!A:A,0),0),0)</f>
        <v>0</v>
      </c>
      <c r="K6128" s="444">
        <f t="shared" ref="K6128:K6250" ca="1" si="221">IPMT(M6128/12,1,12,-I6128+J6128,,0)</f>
        <v>-217242362526279.34</v>
      </c>
      <c r="L6128" s="444">
        <f t="shared" ref="L6128:L6250" ca="1" si="222">I6128-J6128+K6128</f>
        <v>-5.235540936883332E+16</v>
      </c>
      <c r="M6128" s="460">
        <f t="shared" si="219"/>
        <v>0.05</v>
      </c>
      <c r="N6128" s="464">
        <f t="shared" si="220"/>
        <v>237561</v>
      </c>
    </row>
    <row r="6129" spans="7:14" ht="11.25" customHeight="1" x14ac:dyDescent="0.25">
      <c r="G6129" s="459"/>
      <c r="H6129" s="459">
        <v>6122</v>
      </c>
      <c r="I6129" s="444">
        <f t="shared" ref="I6129:I6250" ca="1" si="223">L6128</f>
        <v>-5.235540936883332E+16</v>
      </c>
      <c r="J6129" s="444">
        <f t="array" ref="J6129">IFERROR(INDEX('Retirement Calculator'!J:J,MATCH('Isaac 401k'!N6129,'Retirement Calculator'!A:A,0),0),0)</f>
        <v>0</v>
      </c>
      <c r="K6129" s="444">
        <f t="shared" ca="1" si="221"/>
        <v>-218147539036805.5</v>
      </c>
      <c r="L6129" s="444">
        <f t="shared" ca="1" si="222"/>
        <v>-5.2573556907870128E+16</v>
      </c>
      <c r="M6129" s="460">
        <f t="shared" ref="M6129:M6250" si="224">M6128</f>
        <v>0.05</v>
      </c>
      <c r="N6129" s="464">
        <f t="shared" ref="N6129:N6250" si="225">EDATE(N6128,1)</f>
        <v>237591</v>
      </c>
    </row>
    <row r="6130" spans="7:14" ht="11.25" customHeight="1" x14ac:dyDescent="0.25">
      <c r="G6130" s="459"/>
      <c r="H6130" s="459">
        <v>6123</v>
      </c>
      <c r="I6130" s="444">
        <f t="shared" ca="1" si="223"/>
        <v>-5.2573556907870128E+16</v>
      </c>
      <c r="J6130" s="444">
        <f t="array" ref="J6130">IFERROR(INDEX('Retirement Calculator'!J:J,MATCH('Isaac 401k'!N6130,'Retirement Calculator'!A:A,0),0),0)</f>
        <v>0</v>
      </c>
      <c r="K6130" s="444">
        <f t="shared" ca="1" si="221"/>
        <v>-219056487116125.53</v>
      </c>
      <c r="L6130" s="444">
        <f t="shared" ca="1" si="222"/>
        <v>-5.2792613394986256E+16</v>
      </c>
      <c r="M6130" s="460">
        <f t="shared" si="224"/>
        <v>0.05</v>
      </c>
      <c r="N6130" s="464">
        <f t="shared" si="225"/>
        <v>237622</v>
      </c>
    </row>
    <row r="6131" spans="7:14" ht="11.25" customHeight="1" x14ac:dyDescent="0.25">
      <c r="G6131" s="459"/>
      <c r="H6131" s="459">
        <v>6124</v>
      </c>
      <c r="I6131" s="444">
        <f t="shared" ca="1" si="223"/>
        <v>-5.2792613394986256E+16</v>
      </c>
      <c r="J6131" s="444">
        <f t="array" ref="J6131">IFERROR(INDEX('Retirement Calculator'!J:J,MATCH('Isaac 401k'!N6131,'Retirement Calculator'!A:A,0),0),0)</f>
        <v>0</v>
      </c>
      <c r="K6131" s="444">
        <f t="shared" ca="1" si="221"/>
        <v>-219969222479109.41</v>
      </c>
      <c r="L6131" s="444">
        <f t="shared" ca="1" si="222"/>
        <v>-5.3012582617465368E+16</v>
      </c>
      <c r="M6131" s="460">
        <f t="shared" si="224"/>
        <v>0.05</v>
      </c>
      <c r="N6131" s="464">
        <f t="shared" si="225"/>
        <v>237653</v>
      </c>
    </row>
    <row r="6132" spans="7:14" ht="11.25" customHeight="1" x14ac:dyDescent="0.25">
      <c r="G6132" s="459"/>
      <c r="H6132" s="459">
        <v>6125</v>
      </c>
      <c r="I6132" s="444">
        <f t="shared" ca="1" si="223"/>
        <v>-5.3012582617465368E+16</v>
      </c>
      <c r="J6132" s="444">
        <f t="array" ref="J6132">IFERROR(INDEX('Retirement Calculator'!J:J,MATCH('Isaac 401k'!N6132,'Retirement Calculator'!A:A,0),0),0)</f>
        <v>0</v>
      </c>
      <c r="K6132" s="444">
        <f t="shared" ca="1" si="221"/>
        <v>-220885760906105.69</v>
      </c>
      <c r="L6132" s="444">
        <f t="shared" ca="1" si="222"/>
        <v>-5.3233468378371472E+16</v>
      </c>
      <c r="M6132" s="460">
        <f t="shared" si="224"/>
        <v>0.05</v>
      </c>
      <c r="N6132" s="464">
        <f t="shared" si="225"/>
        <v>237683</v>
      </c>
    </row>
    <row r="6133" spans="7:14" ht="11.25" customHeight="1" x14ac:dyDescent="0.25">
      <c r="G6133" s="459"/>
      <c r="H6133" s="459">
        <v>6126</v>
      </c>
      <c r="I6133" s="444">
        <f t="shared" ca="1" si="223"/>
        <v>-5.3233468378371472E+16</v>
      </c>
      <c r="J6133" s="444">
        <f t="array" ref="J6133">IFERROR(INDEX('Retirement Calculator'!J:J,MATCH('Isaac 401k'!N6133,'Retirement Calculator'!A:A,0),0),0)</f>
        <v>0</v>
      </c>
      <c r="K6133" s="444">
        <f t="shared" ca="1" si="221"/>
        <v>-221806118243214.47</v>
      </c>
      <c r="L6133" s="444">
        <f t="shared" ca="1" si="222"/>
        <v>-5.3455274496614688E+16</v>
      </c>
      <c r="M6133" s="460">
        <f t="shared" si="224"/>
        <v>0.05</v>
      </c>
      <c r="N6133" s="464">
        <f t="shared" si="225"/>
        <v>237714</v>
      </c>
    </row>
    <row r="6134" spans="7:14" ht="11.25" customHeight="1" x14ac:dyDescent="0.25">
      <c r="G6134" s="459"/>
      <c r="H6134" s="459">
        <v>6127</v>
      </c>
      <c r="I6134" s="444">
        <f t="shared" ca="1" si="223"/>
        <v>-5.3455274496614688E+16</v>
      </c>
      <c r="J6134" s="444">
        <f t="array" ref="J6134">IFERROR(INDEX('Retirement Calculator'!J:J,MATCH('Isaac 401k'!N6134,'Retirement Calculator'!A:A,0),0),0)</f>
        <v>0</v>
      </c>
      <c r="K6134" s="444">
        <f t="shared" ca="1" si="221"/>
        <v>-222730310402561.19</v>
      </c>
      <c r="L6134" s="444">
        <f t="shared" ca="1" si="222"/>
        <v>-5.3678004807017248E+16</v>
      </c>
      <c r="M6134" s="460">
        <f t="shared" si="224"/>
        <v>0.05</v>
      </c>
      <c r="N6134" s="464">
        <f t="shared" si="225"/>
        <v>237744</v>
      </c>
    </row>
    <row r="6135" spans="7:14" ht="11.25" customHeight="1" x14ac:dyDescent="0.25">
      <c r="G6135" s="459"/>
      <c r="H6135" s="459">
        <v>6128</v>
      </c>
      <c r="I6135" s="444">
        <f t="shared" ca="1" si="223"/>
        <v>-5.3678004807017248E+16</v>
      </c>
      <c r="J6135" s="444">
        <f t="array" ref="J6135">IFERROR(INDEX('Retirement Calculator'!J:J,MATCH('Isaac 401k'!N6135,'Retirement Calculator'!A:A,0),0),0)</f>
        <v>0</v>
      </c>
      <c r="K6135" s="444">
        <f t="shared" ca="1" si="221"/>
        <v>-223658353362571.88</v>
      </c>
      <c r="L6135" s="444">
        <f t="shared" ca="1" si="222"/>
        <v>-5.3901663160379816E+16</v>
      </c>
      <c r="M6135" s="460">
        <f t="shared" si="224"/>
        <v>0.05</v>
      </c>
      <c r="N6135" s="464">
        <f t="shared" si="225"/>
        <v>237775</v>
      </c>
    </row>
    <row r="6136" spans="7:14" ht="11.25" customHeight="1" x14ac:dyDescent="0.25">
      <c r="G6136" s="459"/>
      <c r="H6136" s="459">
        <v>6129</v>
      </c>
      <c r="I6136" s="444">
        <f t="shared" ca="1" si="223"/>
        <v>-5.3901663160379816E+16</v>
      </c>
      <c r="J6136" s="444">
        <f t="array" ref="J6136">IFERROR(INDEX('Retirement Calculator'!J:J,MATCH('Isaac 401k'!N6136,'Retirement Calculator'!A:A,0),0),0)</f>
        <v>0</v>
      </c>
      <c r="K6136" s="444">
        <f t="shared" ca="1" si="221"/>
        <v>-224590263168249.22</v>
      </c>
      <c r="L6136" s="444">
        <f t="shared" ca="1" si="222"/>
        <v>-5.4126253423548064E+16</v>
      </c>
      <c r="M6136" s="460">
        <f t="shared" si="224"/>
        <v>0.05</v>
      </c>
      <c r="N6136" s="464">
        <f t="shared" si="225"/>
        <v>237806</v>
      </c>
    </row>
    <row r="6137" spans="7:14" ht="11.25" customHeight="1" x14ac:dyDescent="0.25">
      <c r="G6137" s="459"/>
      <c r="H6137" s="459">
        <v>6130</v>
      </c>
      <c r="I6137" s="444">
        <f t="shared" ca="1" si="223"/>
        <v>-5.4126253423548064E+16</v>
      </c>
      <c r="J6137" s="444">
        <f t="array" ref="J6137">IFERROR(INDEX('Retirement Calculator'!J:J,MATCH('Isaac 401k'!N6137,'Retirement Calculator'!A:A,0),0),0)</f>
        <v>0</v>
      </c>
      <c r="K6137" s="444">
        <f t="shared" ca="1" si="221"/>
        <v>-225526055931450.25</v>
      </c>
      <c r="L6137" s="444">
        <f t="shared" ca="1" si="222"/>
        <v>-5.4351779479479512E+16</v>
      </c>
      <c r="M6137" s="460">
        <f t="shared" si="224"/>
        <v>0.05</v>
      </c>
      <c r="N6137" s="464">
        <f t="shared" si="225"/>
        <v>237834</v>
      </c>
    </row>
    <row r="6138" spans="7:14" ht="11.25" customHeight="1" x14ac:dyDescent="0.25">
      <c r="G6138" s="459"/>
      <c r="H6138" s="459">
        <v>6131</v>
      </c>
      <c r="I6138" s="444">
        <f t="shared" ca="1" si="223"/>
        <v>-5.4351779479479512E+16</v>
      </c>
      <c r="J6138" s="444">
        <f t="array" ref="J6138">IFERROR(INDEX('Retirement Calculator'!J:J,MATCH('Isaac 401k'!N6138,'Retirement Calculator'!A:A,0),0),0)</f>
        <v>0</v>
      </c>
      <c r="K6138" s="444">
        <f t="shared" ca="1" si="221"/>
        <v>-226465747831164.63</v>
      </c>
      <c r="L6138" s="444">
        <f t="shared" ca="1" si="222"/>
        <v>-5.457824522731068E+16</v>
      </c>
      <c r="M6138" s="460">
        <f t="shared" si="224"/>
        <v>0.05</v>
      </c>
      <c r="N6138" s="464">
        <f t="shared" si="225"/>
        <v>237865</v>
      </c>
    </row>
    <row r="6139" spans="7:14" ht="11.25" customHeight="1" x14ac:dyDescent="0.25">
      <c r="G6139" s="459"/>
      <c r="H6139" s="459">
        <v>6132</v>
      </c>
      <c r="I6139" s="444">
        <f t="shared" ca="1" si="223"/>
        <v>-5.457824522731068E+16</v>
      </c>
      <c r="J6139" s="444">
        <f t="array" ref="J6139">IFERROR(INDEX('Retirement Calculator'!J:J,MATCH('Isaac 401k'!N6139,'Retirement Calculator'!A:A,0),0),0)</f>
        <v>0</v>
      </c>
      <c r="K6139" s="444">
        <f t="shared" ca="1" si="221"/>
        <v>-227409355113794.5</v>
      </c>
      <c r="L6139" s="444">
        <f t="shared" ca="1" si="222"/>
        <v>-5.4805654582424472E+16</v>
      </c>
      <c r="M6139" s="460">
        <f t="shared" si="224"/>
        <v>0.05</v>
      </c>
      <c r="N6139" s="464">
        <f t="shared" si="225"/>
        <v>237895</v>
      </c>
    </row>
    <row r="6140" spans="7:14" ht="11.25" customHeight="1" x14ac:dyDescent="0.25">
      <c r="G6140" s="459"/>
      <c r="H6140" s="459">
        <v>6133</v>
      </c>
      <c r="I6140" s="444">
        <f t="shared" ca="1" si="223"/>
        <v>-5.4805654582424472E+16</v>
      </c>
      <c r="J6140" s="444">
        <f t="array" ref="J6140">IFERROR(INDEX('Retirement Calculator'!J:J,MATCH('Isaac 401k'!N6140,'Retirement Calculator'!A:A,0),0),0)</f>
        <v>0</v>
      </c>
      <c r="K6140" s="444">
        <f t="shared" ca="1" si="221"/>
        <v>-228356894093435.28</v>
      </c>
      <c r="L6140" s="444">
        <f t="shared" ca="1" si="222"/>
        <v>-5.5034011476517904E+16</v>
      </c>
      <c r="M6140" s="460">
        <f t="shared" si="224"/>
        <v>0.05</v>
      </c>
      <c r="N6140" s="464">
        <f t="shared" si="225"/>
        <v>237926</v>
      </c>
    </row>
    <row r="6141" spans="7:14" ht="11.25" customHeight="1" x14ac:dyDescent="0.25">
      <c r="G6141" s="459"/>
      <c r="H6141" s="459">
        <v>6134</v>
      </c>
      <c r="I6141" s="444">
        <f t="shared" ca="1" si="223"/>
        <v>-5.5034011476517904E+16</v>
      </c>
      <c r="J6141" s="444">
        <f t="array" ref="J6141">IFERROR(INDEX('Retirement Calculator'!J:J,MATCH('Isaac 401k'!N6141,'Retirement Calculator'!A:A,0),0),0)</f>
        <v>0</v>
      </c>
      <c r="K6141" s="444">
        <f t="shared" ca="1" si="221"/>
        <v>-229308381152157.94</v>
      </c>
      <c r="L6141" s="444">
        <f t="shared" ca="1" si="222"/>
        <v>-5.5263319857670064E+16</v>
      </c>
      <c r="M6141" s="460">
        <f t="shared" si="224"/>
        <v>0.05</v>
      </c>
      <c r="N6141" s="464">
        <f t="shared" si="225"/>
        <v>237956</v>
      </c>
    </row>
    <row r="6142" spans="7:14" ht="11.25" customHeight="1" x14ac:dyDescent="0.25">
      <c r="G6142" s="459"/>
      <c r="H6142" s="459">
        <v>6135</v>
      </c>
      <c r="I6142" s="444">
        <f t="shared" ca="1" si="223"/>
        <v>-5.5263319857670064E+16</v>
      </c>
      <c r="J6142" s="444">
        <f t="array" ref="J6142">IFERROR(INDEX('Retirement Calculator'!J:J,MATCH('Isaac 401k'!N6142,'Retirement Calculator'!A:A,0),0),0)</f>
        <v>0</v>
      </c>
      <c r="K6142" s="444">
        <f t="shared" ca="1" si="221"/>
        <v>-230263832740291.94</v>
      </c>
      <c r="L6142" s="444">
        <f t="shared" ca="1" si="222"/>
        <v>-5.5493583690410352E+16</v>
      </c>
      <c r="M6142" s="460">
        <f t="shared" si="224"/>
        <v>0.05</v>
      </c>
      <c r="N6142" s="464">
        <f t="shared" si="225"/>
        <v>237987</v>
      </c>
    </row>
    <row r="6143" spans="7:14" ht="11.25" customHeight="1" x14ac:dyDescent="0.25">
      <c r="G6143" s="459"/>
      <c r="H6143" s="459">
        <v>6136</v>
      </c>
      <c r="I6143" s="444">
        <f t="shared" ca="1" si="223"/>
        <v>-5.5493583690410352E+16</v>
      </c>
      <c r="J6143" s="444">
        <f t="array" ref="J6143">IFERROR(INDEX('Retirement Calculator'!J:J,MATCH('Isaac 401k'!N6143,'Retirement Calculator'!A:A,0),0),0)</f>
        <v>0</v>
      </c>
      <c r="K6143" s="444">
        <f t="shared" ca="1" si="221"/>
        <v>-231223265376709.78</v>
      </c>
      <c r="L6143" s="444">
        <f t="shared" ca="1" si="222"/>
        <v>-5.5724806955787064E+16</v>
      </c>
      <c r="M6143" s="460">
        <f t="shared" si="224"/>
        <v>0.05</v>
      </c>
      <c r="N6143" s="464">
        <f t="shared" si="225"/>
        <v>238018</v>
      </c>
    </row>
    <row r="6144" spans="7:14" ht="11.25" customHeight="1" x14ac:dyDescent="0.25">
      <c r="G6144" s="459"/>
      <c r="H6144" s="459">
        <v>6137</v>
      </c>
      <c r="I6144" s="444">
        <f t="shared" ca="1" si="223"/>
        <v>-5.5724806955787064E+16</v>
      </c>
      <c r="J6144" s="444">
        <f t="array" ref="J6144">IFERROR(INDEX('Retirement Calculator'!J:J,MATCH('Isaac 401k'!N6144,'Retirement Calculator'!A:A,0),0),0)</f>
        <v>0</v>
      </c>
      <c r="K6144" s="444">
        <f t="shared" ca="1" si="221"/>
        <v>-232186695649112.75</v>
      </c>
      <c r="L6144" s="444">
        <f t="shared" ca="1" si="222"/>
        <v>-5.5956993651436176E+16</v>
      </c>
      <c r="M6144" s="460">
        <f t="shared" si="224"/>
        <v>0.05</v>
      </c>
      <c r="N6144" s="464">
        <f t="shared" si="225"/>
        <v>238048</v>
      </c>
    </row>
    <row r="6145" spans="7:14" ht="11.25" customHeight="1" x14ac:dyDescent="0.25">
      <c r="G6145" s="459"/>
      <c r="H6145" s="459">
        <v>6138</v>
      </c>
      <c r="I6145" s="444">
        <f t="shared" ca="1" si="223"/>
        <v>-5.5956993651436176E+16</v>
      </c>
      <c r="J6145" s="444">
        <f t="array" ref="J6145">IFERROR(INDEX('Retirement Calculator'!J:J,MATCH('Isaac 401k'!N6145,'Retirement Calculator'!A:A,0),0),0)</f>
        <v>0</v>
      </c>
      <c r="K6145" s="444">
        <f t="shared" ca="1" si="221"/>
        <v>-233154140214317.41</v>
      </c>
      <c r="L6145" s="444">
        <f t="shared" ca="1" si="222"/>
        <v>-5.6190147791650496E+16</v>
      </c>
      <c r="M6145" s="460">
        <f t="shared" si="224"/>
        <v>0.05</v>
      </c>
      <c r="N6145" s="464">
        <f t="shared" si="225"/>
        <v>238079</v>
      </c>
    </row>
    <row r="6146" spans="7:14" ht="11.25" customHeight="1" x14ac:dyDescent="0.25">
      <c r="G6146" s="459"/>
      <c r="H6146" s="459">
        <v>6139</v>
      </c>
      <c r="I6146" s="444">
        <f t="shared" ca="1" si="223"/>
        <v>-5.6190147791650496E+16</v>
      </c>
      <c r="J6146" s="444">
        <f t="array" ref="J6146">IFERROR(INDEX('Retirement Calculator'!J:J,MATCH('Isaac 401k'!N6146,'Retirement Calculator'!A:A,0),0),0)</f>
        <v>0</v>
      </c>
      <c r="K6146" s="444">
        <f t="shared" ca="1" si="221"/>
        <v>-234125615798543.72</v>
      </c>
      <c r="L6146" s="444">
        <f t="shared" ca="1" si="222"/>
        <v>-5.642427340744904E+16</v>
      </c>
      <c r="M6146" s="460">
        <f t="shared" si="224"/>
        <v>0.05</v>
      </c>
      <c r="N6146" s="464">
        <f t="shared" si="225"/>
        <v>238109</v>
      </c>
    </row>
    <row r="6147" spans="7:14" ht="11.25" customHeight="1" x14ac:dyDescent="0.25">
      <c r="G6147" s="459"/>
      <c r="H6147" s="459">
        <v>6140</v>
      </c>
      <c r="I6147" s="444">
        <f t="shared" ca="1" si="223"/>
        <v>-5.642427340744904E+16</v>
      </c>
      <c r="J6147" s="444">
        <f t="array" ref="J6147">IFERROR(INDEX('Retirement Calculator'!J:J,MATCH('Isaac 401k'!N6147,'Retirement Calculator'!A:A,0),0),0)</f>
        <v>0</v>
      </c>
      <c r="K6147" s="444">
        <f t="shared" ca="1" si="221"/>
        <v>-235101139197704.38</v>
      </c>
      <c r="L6147" s="444">
        <f t="shared" ca="1" si="222"/>
        <v>-5.6659374546646744E+16</v>
      </c>
      <c r="M6147" s="460">
        <f t="shared" si="224"/>
        <v>0.05</v>
      </c>
      <c r="N6147" s="464">
        <f t="shared" si="225"/>
        <v>238140</v>
      </c>
    </row>
    <row r="6148" spans="7:14" ht="11.25" customHeight="1" x14ac:dyDescent="0.25">
      <c r="G6148" s="459"/>
      <c r="H6148" s="459">
        <v>6141</v>
      </c>
      <c r="I6148" s="444">
        <f t="shared" ca="1" si="223"/>
        <v>-5.6659374546646744E+16</v>
      </c>
      <c r="J6148" s="444">
        <f t="array" ref="J6148">IFERROR(INDEX('Retirement Calculator'!J:J,MATCH('Isaac 401k'!N6148,'Retirement Calculator'!A:A,0),0),0)</f>
        <v>0</v>
      </c>
      <c r="K6148" s="444">
        <f t="shared" ca="1" si="221"/>
        <v>-236080727277694.75</v>
      </c>
      <c r="L6148" s="444">
        <f t="shared" ca="1" si="222"/>
        <v>-5.689545527392444E+16</v>
      </c>
      <c r="M6148" s="460">
        <f t="shared" si="224"/>
        <v>0.05</v>
      </c>
      <c r="N6148" s="464">
        <f t="shared" si="225"/>
        <v>238171</v>
      </c>
    </row>
    <row r="6149" spans="7:14" ht="11.25" customHeight="1" x14ac:dyDescent="0.25">
      <c r="G6149" s="459"/>
      <c r="H6149" s="459">
        <v>6142</v>
      </c>
      <c r="I6149" s="444">
        <f t="shared" ca="1" si="223"/>
        <v>-5.689545527392444E+16</v>
      </c>
      <c r="J6149" s="444">
        <f t="array" ref="J6149">IFERROR(INDEX('Retirement Calculator'!J:J,MATCH('Isaac 401k'!N6149,'Retirement Calculator'!A:A,0),0),0)</f>
        <v>0</v>
      </c>
      <c r="K6149" s="444">
        <f t="shared" ca="1" si="221"/>
        <v>-237064396974685.16</v>
      </c>
      <c r="L6149" s="444">
        <f t="shared" ca="1" si="222"/>
        <v>-5.7132519670899128E+16</v>
      </c>
      <c r="M6149" s="460">
        <f t="shared" si="224"/>
        <v>0.05</v>
      </c>
      <c r="N6149" s="464">
        <f t="shared" si="225"/>
        <v>238200</v>
      </c>
    </row>
    <row r="6150" spans="7:14" ht="11.25" customHeight="1" x14ac:dyDescent="0.25">
      <c r="G6150" s="459"/>
      <c r="H6150" s="459">
        <v>6143</v>
      </c>
      <c r="I6150" s="444">
        <f t="shared" ca="1" si="223"/>
        <v>-5.7132519670899128E+16</v>
      </c>
      <c r="J6150" s="444">
        <f t="array" ref="J6150">IFERROR(INDEX('Retirement Calculator'!J:J,MATCH('Isaac 401k'!N6150,'Retirement Calculator'!A:A,0),0),0)</f>
        <v>0</v>
      </c>
      <c r="K6150" s="444">
        <f t="shared" ca="1" si="221"/>
        <v>-238052165295413.06</v>
      </c>
      <c r="L6150" s="444">
        <f t="shared" ca="1" si="222"/>
        <v>-5.7370571836194544E+16</v>
      </c>
      <c r="M6150" s="460">
        <f t="shared" si="224"/>
        <v>0.05</v>
      </c>
      <c r="N6150" s="464">
        <f t="shared" si="225"/>
        <v>238231</v>
      </c>
    </row>
    <row r="6151" spans="7:14" ht="11.25" customHeight="1" x14ac:dyDescent="0.25">
      <c r="G6151" s="459"/>
      <c r="H6151" s="459">
        <v>6144</v>
      </c>
      <c r="I6151" s="444">
        <f t="shared" ca="1" si="223"/>
        <v>-5.7370571836194544E+16</v>
      </c>
      <c r="J6151" s="444">
        <f t="array" ref="J6151">IFERROR(INDEX('Retirement Calculator'!J:J,MATCH('Isaac 401k'!N6151,'Retirement Calculator'!A:A,0),0),0)</f>
        <v>0</v>
      </c>
      <c r="K6151" s="444">
        <f t="shared" ca="1" si="221"/>
        <v>-239044049317477.25</v>
      </c>
      <c r="L6151" s="444">
        <f t="shared" ca="1" si="222"/>
        <v>-5.7609615885512024E+16</v>
      </c>
      <c r="M6151" s="460">
        <f t="shared" si="224"/>
        <v>0.05</v>
      </c>
      <c r="N6151" s="464">
        <f t="shared" si="225"/>
        <v>238261</v>
      </c>
    </row>
    <row r="6152" spans="7:14" ht="11.25" customHeight="1" x14ac:dyDescent="0.25">
      <c r="G6152" s="459"/>
      <c r="H6152" s="459">
        <v>6145</v>
      </c>
      <c r="I6152" s="444">
        <f t="shared" ca="1" si="223"/>
        <v>-5.7609615885512024E+16</v>
      </c>
      <c r="J6152" s="444">
        <f t="array" ref="J6152">IFERROR(INDEX('Retirement Calculator'!J:J,MATCH('Isaac 401k'!N6152,'Retirement Calculator'!A:A,0),0),0)</f>
        <v>0</v>
      </c>
      <c r="K6152" s="444">
        <f t="shared" ca="1" si="221"/>
        <v>-240040066189633.44</v>
      </c>
      <c r="L6152" s="444">
        <f t="shared" ca="1" si="222"/>
        <v>-5.7849655951701656E+16</v>
      </c>
      <c r="M6152" s="460">
        <f t="shared" si="224"/>
        <v>0.05</v>
      </c>
      <c r="N6152" s="464">
        <f t="shared" si="225"/>
        <v>238292</v>
      </c>
    </row>
    <row r="6153" spans="7:14" ht="11.25" customHeight="1" x14ac:dyDescent="0.25">
      <c r="G6153" s="459"/>
      <c r="H6153" s="459">
        <v>6146</v>
      </c>
      <c r="I6153" s="444">
        <f t="shared" ca="1" si="223"/>
        <v>-5.7849655951701656E+16</v>
      </c>
      <c r="J6153" s="444">
        <f t="array" ref="J6153">IFERROR(INDEX('Retirement Calculator'!J:J,MATCH('Isaac 401k'!N6153,'Retirement Calculator'!A:A,0),0),0)</f>
        <v>0</v>
      </c>
      <c r="K6153" s="444">
        <f t="shared" ca="1" si="221"/>
        <v>-241040233132090.22</v>
      </c>
      <c r="L6153" s="444">
        <f t="shared" ca="1" si="222"/>
        <v>-5.8090696184833744E+16</v>
      </c>
      <c r="M6153" s="460">
        <f t="shared" si="224"/>
        <v>0.05</v>
      </c>
      <c r="N6153" s="464">
        <f t="shared" si="225"/>
        <v>238322</v>
      </c>
    </row>
    <row r="6154" spans="7:14" ht="11.25" customHeight="1" x14ac:dyDescent="0.25">
      <c r="G6154" s="459"/>
      <c r="H6154" s="459">
        <v>6147</v>
      </c>
      <c r="I6154" s="444">
        <f t="shared" ca="1" si="223"/>
        <v>-5.8090696184833744E+16</v>
      </c>
      <c r="J6154" s="444">
        <f t="array" ref="J6154">IFERROR(INDEX('Retirement Calculator'!J:J,MATCH('Isaac 401k'!N6154,'Retirement Calculator'!A:A,0),0),0)</f>
        <v>0</v>
      </c>
      <c r="K6154" s="444">
        <f t="shared" ca="1" si="221"/>
        <v>-242044567436807.22</v>
      </c>
      <c r="L6154" s="444">
        <f t="shared" ca="1" si="222"/>
        <v>-5.8332740752270552E+16</v>
      </c>
      <c r="M6154" s="460">
        <f t="shared" si="224"/>
        <v>0.05</v>
      </c>
      <c r="N6154" s="464">
        <f t="shared" si="225"/>
        <v>238353</v>
      </c>
    </row>
    <row r="6155" spans="7:14" ht="11.25" customHeight="1" x14ac:dyDescent="0.25">
      <c r="G6155" s="459"/>
      <c r="H6155" s="459">
        <v>6148</v>
      </c>
      <c r="I6155" s="444">
        <f t="shared" ca="1" si="223"/>
        <v>-5.8332740752270552E+16</v>
      </c>
      <c r="J6155" s="444">
        <f t="array" ref="J6155">IFERROR(INDEX('Retirement Calculator'!J:J,MATCH('Isaac 401k'!N6155,'Retirement Calculator'!A:A,0),0),0)</f>
        <v>0</v>
      </c>
      <c r="K6155" s="444">
        <f t="shared" ca="1" si="221"/>
        <v>-243053086467794</v>
      </c>
      <c r="L6155" s="444">
        <f t="shared" ca="1" si="222"/>
        <v>-5.8575793838738344E+16</v>
      </c>
      <c r="M6155" s="460">
        <f t="shared" si="224"/>
        <v>0.05</v>
      </c>
      <c r="N6155" s="464">
        <f t="shared" si="225"/>
        <v>238384</v>
      </c>
    </row>
    <row r="6156" spans="7:14" ht="11.25" customHeight="1" x14ac:dyDescent="0.25">
      <c r="G6156" s="459"/>
      <c r="H6156" s="459">
        <v>6149</v>
      </c>
      <c r="I6156" s="444">
        <f t="shared" ca="1" si="223"/>
        <v>-5.8575793838738344E+16</v>
      </c>
      <c r="J6156" s="444">
        <f t="array" ref="J6156">IFERROR(INDEX('Retirement Calculator'!J:J,MATCH('Isaac 401k'!N6156,'Retirement Calculator'!A:A,0),0),0)</f>
        <v>0</v>
      </c>
      <c r="K6156" s="444">
        <f t="shared" ca="1" si="221"/>
        <v>-244065807661409.75</v>
      </c>
      <c r="L6156" s="444">
        <f t="shared" ca="1" si="222"/>
        <v>-5.8819859646399752E+16</v>
      </c>
      <c r="M6156" s="460">
        <f t="shared" si="224"/>
        <v>0.05</v>
      </c>
      <c r="N6156" s="464">
        <f t="shared" si="225"/>
        <v>238414</v>
      </c>
    </row>
    <row r="6157" spans="7:14" ht="11.25" customHeight="1" x14ac:dyDescent="0.25">
      <c r="G6157" s="459"/>
      <c r="H6157" s="459">
        <v>6150</v>
      </c>
      <c r="I6157" s="444">
        <f t="shared" ca="1" si="223"/>
        <v>-5.8819859646399752E+16</v>
      </c>
      <c r="J6157" s="444">
        <f t="array" ref="J6157">IFERROR(INDEX('Retirement Calculator'!J:J,MATCH('Isaac 401k'!N6157,'Retirement Calculator'!A:A,0),0),0)</f>
        <v>0</v>
      </c>
      <c r="K6157" s="444">
        <f t="shared" ca="1" si="221"/>
        <v>-245082748526665.59</v>
      </c>
      <c r="L6157" s="444">
        <f t="shared" ca="1" si="222"/>
        <v>-5.9064942394926416E+16</v>
      </c>
      <c r="M6157" s="460">
        <f t="shared" si="224"/>
        <v>0.05</v>
      </c>
      <c r="N6157" s="464">
        <f t="shared" si="225"/>
        <v>238445</v>
      </c>
    </row>
    <row r="6158" spans="7:14" ht="11.25" customHeight="1" x14ac:dyDescent="0.25">
      <c r="G6158" s="459"/>
      <c r="H6158" s="459">
        <v>6151</v>
      </c>
      <c r="I6158" s="444">
        <f t="shared" ca="1" si="223"/>
        <v>-5.9064942394926416E+16</v>
      </c>
      <c r="J6158" s="444">
        <f t="array" ref="J6158">IFERROR(INDEX('Retirement Calculator'!J:J,MATCH('Isaac 401k'!N6158,'Retirement Calculator'!A:A,0),0),0)</f>
        <v>0</v>
      </c>
      <c r="K6158" s="444">
        <f t="shared" ca="1" si="221"/>
        <v>-246103926645526.75</v>
      </c>
      <c r="L6158" s="444">
        <f t="shared" ca="1" si="222"/>
        <v>-5.9311046321571944E+16</v>
      </c>
      <c r="M6158" s="460">
        <f t="shared" si="224"/>
        <v>0.05</v>
      </c>
      <c r="N6158" s="464">
        <f t="shared" si="225"/>
        <v>238475</v>
      </c>
    </row>
    <row r="6159" spans="7:14" ht="11.25" customHeight="1" x14ac:dyDescent="0.25">
      <c r="G6159" s="459"/>
      <c r="H6159" s="459">
        <v>6152</v>
      </c>
      <c r="I6159" s="444">
        <f t="shared" ca="1" si="223"/>
        <v>-5.9311046321571944E+16</v>
      </c>
      <c r="J6159" s="444">
        <f t="array" ref="J6159">IFERROR(INDEX('Retirement Calculator'!J:J,MATCH('Isaac 401k'!N6159,'Retirement Calculator'!A:A,0),0),0)</f>
        <v>0</v>
      </c>
      <c r="K6159" s="444">
        <f t="shared" ca="1" si="221"/>
        <v>-247129359673216.44</v>
      </c>
      <c r="L6159" s="444">
        <f t="shared" ca="1" si="222"/>
        <v>-5.955817568124516E+16</v>
      </c>
      <c r="M6159" s="460">
        <f t="shared" si="224"/>
        <v>0.05</v>
      </c>
      <c r="N6159" s="464">
        <f t="shared" si="225"/>
        <v>238506</v>
      </c>
    </row>
    <row r="6160" spans="7:14" ht="11.25" customHeight="1" x14ac:dyDescent="0.25">
      <c r="G6160" s="459"/>
      <c r="H6160" s="459">
        <v>6153</v>
      </c>
      <c r="I6160" s="444">
        <f t="shared" ca="1" si="223"/>
        <v>-5.955817568124516E+16</v>
      </c>
      <c r="J6160" s="444">
        <f t="array" ref="J6160">IFERROR(INDEX('Retirement Calculator'!J:J,MATCH('Isaac 401k'!N6160,'Retirement Calculator'!A:A,0),0),0)</f>
        <v>0</v>
      </c>
      <c r="K6160" s="444">
        <f t="shared" ca="1" si="221"/>
        <v>-248159065338521.47</v>
      </c>
      <c r="L6160" s="444">
        <f t="shared" ca="1" si="222"/>
        <v>-5.980633474658368E+16</v>
      </c>
      <c r="M6160" s="460">
        <f t="shared" si="224"/>
        <v>0.05</v>
      </c>
      <c r="N6160" s="464">
        <f t="shared" si="225"/>
        <v>238537</v>
      </c>
    </row>
    <row r="6161" spans="7:14" ht="11.25" customHeight="1" x14ac:dyDescent="0.25">
      <c r="G6161" s="459"/>
      <c r="H6161" s="459">
        <v>6154</v>
      </c>
      <c r="I6161" s="444">
        <f t="shared" ca="1" si="223"/>
        <v>-5.980633474658368E+16</v>
      </c>
      <c r="J6161" s="444">
        <f t="array" ref="J6161">IFERROR(INDEX('Retirement Calculator'!J:J,MATCH('Isaac 401k'!N6161,'Retirement Calculator'!A:A,0),0),0)</f>
        <v>0</v>
      </c>
      <c r="K6161" s="444">
        <f t="shared" ca="1" si="221"/>
        <v>-249193061444098.69</v>
      </c>
      <c r="L6161" s="444">
        <f t="shared" ca="1" si="222"/>
        <v>-6.0055527808027776E+16</v>
      </c>
      <c r="M6161" s="460">
        <f t="shared" si="224"/>
        <v>0.05</v>
      </c>
      <c r="N6161" s="464">
        <f t="shared" si="225"/>
        <v>238565</v>
      </c>
    </row>
    <row r="6162" spans="7:14" ht="11.25" customHeight="1" x14ac:dyDescent="0.25">
      <c r="G6162" s="459"/>
      <c r="H6162" s="459">
        <v>6155</v>
      </c>
      <c r="I6162" s="444">
        <f t="shared" ca="1" si="223"/>
        <v>-6.0055527808027776E+16</v>
      </c>
      <c r="J6162" s="444">
        <f t="array" ref="J6162">IFERROR(INDEX('Retirement Calculator'!J:J,MATCH('Isaac 401k'!N6162,'Retirement Calculator'!A:A,0),0),0)</f>
        <v>0</v>
      </c>
      <c r="K6162" s="444">
        <f t="shared" ca="1" si="221"/>
        <v>-250231365866782.44</v>
      </c>
      <c r="L6162" s="444">
        <f t="shared" ca="1" si="222"/>
        <v>-6.030575917389456E+16</v>
      </c>
      <c r="M6162" s="460">
        <f t="shared" si="224"/>
        <v>0.05</v>
      </c>
      <c r="N6162" s="464">
        <f t="shared" si="225"/>
        <v>238596</v>
      </c>
    </row>
    <row r="6163" spans="7:14" ht="11.25" customHeight="1" x14ac:dyDescent="0.25">
      <c r="G6163" s="459"/>
      <c r="H6163" s="459">
        <v>6156</v>
      </c>
      <c r="I6163" s="444">
        <f t="shared" ca="1" si="223"/>
        <v>-6.030575917389456E+16</v>
      </c>
      <c r="J6163" s="444">
        <f t="array" ref="J6163">IFERROR(INDEX('Retirement Calculator'!J:J,MATCH('Isaac 401k'!N6163,'Retirement Calculator'!A:A,0),0),0)</f>
        <v>0</v>
      </c>
      <c r="K6163" s="444">
        <f t="shared" ca="1" si="221"/>
        <v>-251273996557894</v>
      </c>
      <c r="L6163" s="444">
        <f t="shared" ca="1" si="222"/>
        <v>-6.0557033170452456E+16</v>
      </c>
      <c r="M6163" s="460">
        <f t="shared" si="224"/>
        <v>0.05</v>
      </c>
      <c r="N6163" s="464">
        <f t="shared" si="225"/>
        <v>238626</v>
      </c>
    </row>
    <row r="6164" spans="7:14" ht="11.25" customHeight="1" x14ac:dyDescent="0.25">
      <c r="G6164" s="459"/>
      <c r="H6164" s="459">
        <v>6157</v>
      </c>
      <c r="I6164" s="444">
        <f t="shared" ca="1" si="223"/>
        <v>-6.0557033170452456E+16</v>
      </c>
      <c r="J6164" s="444">
        <f t="array" ref="J6164">IFERROR(INDEX('Retirement Calculator'!J:J,MATCH('Isaac 401k'!N6164,'Retirement Calculator'!A:A,0),0),0)</f>
        <v>0</v>
      </c>
      <c r="K6164" s="444">
        <f t="shared" ca="1" si="221"/>
        <v>-252320971543551.91</v>
      </c>
      <c r="L6164" s="444">
        <f t="shared" ca="1" si="222"/>
        <v>-6.0809354141996008E+16</v>
      </c>
      <c r="M6164" s="460">
        <f t="shared" si="224"/>
        <v>0.05</v>
      </c>
      <c r="N6164" s="464">
        <f t="shared" si="225"/>
        <v>238657</v>
      </c>
    </row>
    <row r="6165" spans="7:14" ht="11.25" customHeight="1" x14ac:dyDescent="0.25">
      <c r="G6165" s="459"/>
      <c r="H6165" s="459">
        <v>6158</v>
      </c>
      <c r="I6165" s="444">
        <f t="shared" ca="1" si="223"/>
        <v>-6.0809354141996008E+16</v>
      </c>
      <c r="J6165" s="444">
        <f t="array" ref="J6165">IFERROR(INDEX('Retirement Calculator'!J:J,MATCH('Isaac 401k'!N6165,'Retirement Calculator'!A:A,0),0),0)</f>
        <v>0</v>
      </c>
      <c r="K6165" s="444">
        <f t="shared" ca="1" si="221"/>
        <v>-253372308924983.38</v>
      </c>
      <c r="L6165" s="444">
        <f t="shared" ca="1" si="222"/>
        <v>-6.1062726450920992E+16</v>
      </c>
      <c r="M6165" s="460">
        <f t="shared" si="224"/>
        <v>0.05</v>
      </c>
      <c r="N6165" s="464">
        <f t="shared" si="225"/>
        <v>238687</v>
      </c>
    </row>
    <row r="6166" spans="7:14" ht="11.25" customHeight="1" x14ac:dyDescent="0.25">
      <c r="G6166" s="459"/>
      <c r="H6166" s="459">
        <v>6159</v>
      </c>
      <c r="I6166" s="444">
        <f t="shared" ca="1" si="223"/>
        <v>-6.1062726450920992E+16</v>
      </c>
      <c r="J6166" s="444">
        <f t="array" ref="J6166">IFERROR(INDEX('Retirement Calculator'!J:J,MATCH('Isaac 401k'!N6166,'Retirement Calculator'!A:A,0),0),0)</f>
        <v>0</v>
      </c>
      <c r="K6166" s="444">
        <f t="shared" ca="1" si="221"/>
        <v>-254428026878837.44</v>
      </c>
      <c r="L6166" s="444">
        <f t="shared" ca="1" si="222"/>
        <v>-6.1317154477799832E+16</v>
      </c>
      <c r="M6166" s="460">
        <f t="shared" si="224"/>
        <v>0.05</v>
      </c>
      <c r="N6166" s="464">
        <f t="shared" si="225"/>
        <v>238718</v>
      </c>
    </row>
    <row r="6167" spans="7:14" ht="11.25" customHeight="1" x14ac:dyDescent="0.25">
      <c r="G6167" s="459"/>
      <c r="H6167" s="459">
        <v>6160</v>
      </c>
      <c r="I6167" s="444">
        <f t="shared" ca="1" si="223"/>
        <v>-6.1317154477799832E+16</v>
      </c>
      <c r="J6167" s="444">
        <f t="array" ref="J6167">IFERROR(INDEX('Retirement Calculator'!J:J,MATCH('Isaac 401k'!N6167,'Retirement Calculator'!A:A,0),0),0)</f>
        <v>0</v>
      </c>
      <c r="K6167" s="444">
        <f t="shared" ca="1" si="221"/>
        <v>-255488143657499.28</v>
      </c>
      <c r="L6167" s="444">
        <f t="shared" ca="1" si="222"/>
        <v>-6.1572642621457328E+16</v>
      </c>
      <c r="M6167" s="460">
        <f t="shared" si="224"/>
        <v>0.05</v>
      </c>
      <c r="N6167" s="464">
        <f t="shared" si="225"/>
        <v>238749</v>
      </c>
    </row>
    <row r="6168" spans="7:14" ht="11.25" customHeight="1" x14ac:dyDescent="0.25">
      <c r="G6168" s="459"/>
      <c r="H6168" s="459">
        <v>6161</v>
      </c>
      <c r="I6168" s="444">
        <f t="shared" ca="1" si="223"/>
        <v>-6.1572642621457328E+16</v>
      </c>
      <c r="J6168" s="444">
        <f t="array" ref="J6168">IFERROR(INDEX('Retirement Calculator'!J:J,MATCH('Isaac 401k'!N6168,'Retirement Calculator'!A:A,0),0),0)</f>
        <v>0</v>
      </c>
      <c r="K6168" s="444">
        <f t="shared" ca="1" si="221"/>
        <v>-256552677589405.5</v>
      </c>
      <c r="L6168" s="444">
        <f t="shared" ca="1" si="222"/>
        <v>-6.1829195299046736E+16</v>
      </c>
      <c r="M6168" s="460">
        <f t="shared" si="224"/>
        <v>0.05</v>
      </c>
      <c r="N6168" s="464">
        <f t="shared" si="225"/>
        <v>238779</v>
      </c>
    </row>
    <row r="6169" spans="7:14" ht="11.25" customHeight="1" x14ac:dyDescent="0.25">
      <c r="G6169" s="459"/>
      <c r="H6169" s="459">
        <v>6162</v>
      </c>
      <c r="I6169" s="444">
        <f t="shared" ca="1" si="223"/>
        <v>-6.1829195299046736E+16</v>
      </c>
      <c r="J6169" s="444">
        <f t="array" ref="J6169">IFERROR(INDEX('Retirement Calculator'!J:J,MATCH('Isaac 401k'!N6169,'Retirement Calculator'!A:A,0),0),0)</f>
        <v>0</v>
      </c>
      <c r="K6169" s="444">
        <f t="shared" ca="1" si="221"/>
        <v>-257621647079361.41</v>
      </c>
      <c r="L6169" s="444">
        <f t="shared" ca="1" si="222"/>
        <v>-6.2086816946126096E+16</v>
      </c>
      <c r="M6169" s="460">
        <f t="shared" si="224"/>
        <v>0.05</v>
      </c>
      <c r="N6169" s="464">
        <f t="shared" si="225"/>
        <v>238810</v>
      </c>
    </row>
    <row r="6170" spans="7:14" ht="11.25" customHeight="1" x14ac:dyDescent="0.25">
      <c r="G6170" s="459"/>
      <c r="H6170" s="459">
        <v>6163</v>
      </c>
      <c r="I6170" s="444">
        <f t="shared" ca="1" si="223"/>
        <v>-6.2086816946126096E+16</v>
      </c>
      <c r="J6170" s="444">
        <f t="array" ref="J6170">IFERROR(INDEX('Retirement Calculator'!J:J,MATCH('Isaac 401k'!N6170,'Retirement Calculator'!A:A,0),0),0)</f>
        <v>0</v>
      </c>
      <c r="K6170" s="444">
        <f t="shared" ca="1" si="221"/>
        <v>-258695070608858.72</v>
      </c>
      <c r="L6170" s="444">
        <f t="shared" ca="1" si="222"/>
        <v>-6.2345512016734952E+16</v>
      </c>
      <c r="M6170" s="460">
        <f t="shared" si="224"/>
        <v>0.05</v>
      </c>
      <c r="N6170" s="464">
        <f t="shared" si="225"/>
        <v>238840</v>
      </c>
    </row>
    <row r="6171" spans="7:14" ht="11.25" customHeight="1" x14ac:dyDescent="0.25">
      <c r="G6171" s="459"/>
      <c r="H6171" s="459">
        <v>6164</v>
      </c>
      <c r="I6171" s="444">
        <f t="shared" ca="1" si="223"/>
        <v>-6.2345512016734952E+16</v>
      </c>
      <c r="J6171" s="444">
        <f t="array" ref="J6171">IFERROR(INDEX('Retirement Calculator'!J:J,MATCH('Isaac 401k'!N6171,'Retirement Calculator'!A:A,0),0),0)</f>
        <v>0</v>
      </c>
      <c r="K6171" s="444">
        <f t="shared" ca="1" si="221"/>
        <v>-259772966736395.63</v>
      </c>
      <c r="L6171" s="444">
        <f t="shared" ca="1" si="222"/>
        <v>-6.2605284983471344E+16</v>
      </c>
      <c r="M6171" s="460">
        <f t="shared" si="224"/>
        <v>0.05</v>
      </c>
      <c r="N6171" s="464">
        <f t="shared" si="225"/>
        <v>238871</v>
      </c>
    </row>
    <row r="6172" spans="7:14" ht="11.25" customHeight="1" x14ac:dyDescent="0.25">
      <c r="G6172" s="459"/>
      <c r="H6172" s="459">
        <v>6165</v>
      </c>
      <c r="I6172" s="444">
        <f t="shared" ca="1" si="223"/>
        <v>-6.2605284983471344E+16</v>
      </c>
      <c r="J6172" s="444">
        <f t="array" ref="J6172">IFERROR(INDEX('Retirement Calculator'!J:J,MATCH('Isaac 401k'!N6172,'Retirement Calculator'!A:A,0),0),0)</f>
        <v>0</v>
      </c>
      <c r="K6172" s="444">
        <f t="shared" ca="1" si="221"/>
        <v>-260855354097797.25</v>
      </c>
      <c r="L6172" s="444">
        <f t="shared" ca="1" si="222"/>
        <v>-6.2866140337569144E+16</v>
      </c>
      <c r="M6172" s="460">
        <f t="shared" si="224"/>
        <v>0.05</v>
      </c>
      <c r="N6172" s="464">
        <f t="shared" si="225"/>
        <v>238902</v>
      </c>
    </row>
    <row r="6173" spans="7:14" ht="11.25" customHeight="1" x14ac:dyDescent="0.25">
      <c r="G6173" s="459"/>
      <c r="H6173" s="459">
        <v>6166</v>
      </c>
      <c r="I6173" s="444">
        <f t="shared" ca="1" si="223"/>
        <v>-6.2866140337569144E+16</v>
      </c>
      <c r="J6173" s="444">
        <f t="array" ref="J6173">IFERROR(INDEX('Retirement Calculator'!J:J,MATCH('Isaac 401k'!N6173,'Retirement Calculator'!A:A,0),0),0)</f>
        <v>0</v>
      </c>
      <c r="K6173" s="444">
        <f t="shared" ca="1" si="221"/>
        <v>-261942251406538.09</v>
      </c>
      <c r="L6173" s="444">
        <f t="shared" ca="1" si="222"/>
        <v>-6.312808258897568E+16</v>
      </c>
      <c r="M6173" s="460">
        <f t="shared" si="224"/>
        <v>0.05</v>
      </c>
      <c r="N6173" s="464">
        <f t="shared" si="225"/>
        <v>238930</v>
      </c>
    </row>
    <row r="6174" spans="7:14" ht="11.25" customHeight="1" x14ac:dyDescent="0.25">
      <c r="G6174" s="459"/>
      <c r="H6174" s="459">
        <v>6167</v>
      </c>
      <c r="I6174" s="444">
        <f t="shared" ca="1" si="223"/>
        <v>-6.312808258897568E+16</v>
      </c>
      <c r="J6174" s="444">
        <f t="array" ref="J6174">IFERROR(INDEX('Retirement Calculator'!J:J,MATCH('Isaac 401k'!N6174,'Retirement Calculator'!A:A,0),0),0)</f>
        <v>0</v>
      </c>
      <c r="K6174" s="444">
        <f t="shared" ca="1" si="221"/>
        <v>-263033677454065.34</v>
      </c>
      <c r="L6174" s="444">
        <f t="shared" ca="1" si="222"/>
        <v>-6.3391116266429744E+16</v>
      </c>
      <c r="M6174" s="460">
        <f t="shared" si="224"/>
        <v>0.05</v>
      </c>
      <c r="N6174" s="464">
        <f t="shared" si="225"/>
        <v>238961</v>
      </c>
    </row>
    <row r="6175" spans="7:14" ht="11.25" customHeight="1" x14ac:dyDescent="0.25">
      <c r="G6175" s="459"/>
      <c r="H6175" s="459">
        <v>6168</v>
      </c>
      <c r="I6175" s="444">
        <f t="shared" ca="1" si="223"/>
        <v>-6.3391116266429744E+16</v>
      </c>
      <c r="J6175" s="444">
        <f t="array" ref="J6175">IFERROR(INDEX('Retirement Calculator'!J:J,MATCH('Isaac 401k'!N6175,'Retirement Calculator'!A:A,0),0),0)</f>
        <v>0</v>
      </c>
      <c r="K6175" s="444">
        <f t="shared" ca="1" si="221"/>
        <v>-264129651110123.94</v>
      </c>
      <c r="L6175" s="444">
        <f t="shared" ca="1" si="222"/>
        <v>-6.3655245917539864E+16</v>
      </c>
      <c r="M6175" s="460">
        <f t="shared" si="224"/>
        <v>0.05</v>
      </c>
      <c r="N6175" s="464">
        <f t="shared" si="225"/>
        <v>238991</v>
      </c>
    </row>
    <row r="6176" spans="7:14" ht="11.25" customHeight="1" x14ac:dyDescent="0.25">
      <c r="G6176" s="459"/>
      <c r="H6176" s="459">
        <v>6169</v>
      </c>
      <c r="I6176" s="444">
        <f t="shared" ca="1" si="223"/>
        <v>-6.3655245917539864E+16</v>
      </c>
      <c r="J6176" s="444">
        <f t="array" ref="J6176">IFERROR(INDEX('Retirement Calculator'!J:J,MATCH('Isaac 401k'!N6176,'Retirement Calculator'!A:A,0),0),0)</f>
        <v>0</v>
      </c>
      <c r="K6176" s="444">
        <f t="shared" ca="1" si="221"/>
        <v>-265230191323082.78</v>
      </c>
      <c r="L6176" s="444">
        <f t="shared" ca="1" si="222"/>
        <v>-6.3920476108862944E+16</v>
      </c>
      <c r="M6176" s="460">
        <f t="shared" si="224"/>
        <v>0.05</v>
      </c>
      <c r="N6176" s="464">
        <f t="shared" si="225"/>
        <v>239022</v>
      </c>
    </row>
    <row r="6177" spans="7:14" ht="11.25" customHeight="1" x14ac:dyDescent="0.25">
      <c r="G6177" s="459"/>
      <c r="H6177" s="459">
        <v>6170</v>
      </c>
      <c r="I6177" s="444">
        <f t="shared" ca="1" si="223"/>
        <v>-6.3920476108862944E+16</v>
      </c>
      <c r="J6177" s="444">
        <f t="array" ref="J6177">IFERROR(INDEX('Retirement Calculator'!J:J,MATCH('Isaac 401k'!N6177,'Retirement Calculator'!A:A,0),0),0)</f>
        <v>0</v>
      </c>
      <c r="K6177" s="444">
        <f t="shared" ca="1" si="221"/>
        <v>-266335317120262.28</v>
      </c>
      <c r="L6177" s="444">
        <f t="shared" ca="1" si="222"/>
        <v>-6.4186811425983208E+16</v>
      </c>
      <c r="M6177" s="460">
        <f t="shared" si="224"/>
        <v>0.05</v>
      </c>
      <c r="N6177" s="464">
        <f t="shared" si="225"/>
        <v>239052</v>
      </c>
    </row>
    <row r="6178" spans="7:14" ht="11.25" customHeight="1" x14ac:dyDescent="0.25">
      <c r="G6178" s="459"/>
      <c r="H6178" s="459">
        <v>6171</v>
      </c>
      <c r="I6178" s="444">
        <f t="shared" ca="1" si="223"/>
        <v>-6.4186811425983208E+16</v>
      </c>
      <c r="J6178" s="444">
        <f t="array" ref="J6178">IFERROR(INDEX('Retirement Calculator'!J:J,MATCH('Isaac 401k'!N6178,'Retirement Calculator'!A:A,0),0),0)</f>
        <v>0</v>
      </c>
      <c r="K6178" s="444">
        <f t="shared" ca="1" si="221"/>
        <v>-267445047608263.34</v>
      </c>
      <c r="L6178" s="444">
        <f t="shared" ca="1" si="222"/>
        <v>-6.4454256473591472E+16</v>
      </c>
      <c r="M6178" s="460">
        <f t="shared" si="224"/>
        <v>0.05</v>
      </c>
      <c r="N6178" s="464">
        <f t="shared" si="225"/>
        <v>239083</v>
      </c>
    </row>
    <row r="6179" spans="7:14" ht="11.25" customHeight="1" x14ac:dyDescent="0.25">
      <c r="G6179" s="459"/>
      <c r="H6179" s="459">
        <v>6172</v>
      </c>
      <c r="I6179" s="444">
        <f t="shared" ca="1" si="223"/>
        <v>-6.4454256473591472E+16</v>
      </c>
      <c r="J6179" s="444">
        <f t="array" ref="J6179">IFERROR(INDEX('Retirement Calculator'!J:J,MATCH('Isaac 401k'!N6179,'Retirement Calculator'!A:A,0),0),0)</f>
        <v>0</v>
      </c>
      <c r="K6179" s="444">
        <f t="shared" ca="1" si="221"/>
        <v>-268559401973297.78</v>
      </c>
      <c r="L6179" s="444">
        <f t="shared" ca="1" si="222"/>
        <v>-6.4722815875564768E+16</v>
      </c>
      <c r="M6179" s="460">
        <f t="shared" si="224"/>
        <v>0.05</v>
      </c>
      <c r="N6179" s="464">
        <f t="shared" si="225"/>
        <v>239114</v>
      </c>
    </row>
    <row r="6180" spans="7:14" ht="11.25" customHeight="1" x14ac:dyDescent="0.25">
      <c r="G6180" s="459"/>
      <c r="H6180" s="459">
        <v>6173</v>
      </c>
      <c r="I6180" s="444">
        <f t="shared" ca="1" si="223"/>
        <v>-6.4722815875564768E+16</v>
      </c>
      <c r="J6180" s="444">
        <f t="array" ref="J6180">IFERROR(INDEX('Retirement Calculator'!J:J,MATCH('Isaac 401k'!N6180,'Retirement Calculator'!A:A,0),0),0)</f>
        <v>0</v>
      </c>
      <c r="K6180" s="444">
        <f t="shared" ca="1" si="221"/>
        <v>-269678399481519.84</v>
      </c>
      <c r="L6180" s="444">
        <f t="shared" ca="1" si="222"/>
        <v>-6.4992494275046288E+16</v>
      </c>
      <c r="M6180" s="460">
        <f t="shared" si="224"/>
        <v>0.05</v>
      </c>
      <c r="N6180" s="464">
        <f t="shared" si="225"/>
        <v>239144</v>
      </c>
    </row>
    <row r="6181" spans="7:14" ht="11.25" customHeight="1" x14ac:dyDescent="0.25">
      <c r="G6181" s="459"/>
      <c r="H6181" s="459">
        <v>6174</v>
      </c>
      <c r="I6181" s="444">
        <f t="shared" ca="1" si="223"/>
        <v>-6.4992494275046288E+16</v>
      </c>
      <c r="J6181" s="444">
        <f t="array" ref="J6181">IFERROR(INDEX('Retirement Calculator'!J:J,MATCH('Isaac 401k'!N6181,'Retirement Calculator'!A:A,0),0),0)</f>
        <v>0</v>
      </c>
      <c r="K6181" s="444">
        <f t="shared" ca="1" si="221"/>
        <v>-270802059479359.53</v>
      </c>
      <c r="L6181" s="444">
        <f t="shared" ca="1" si="222"/>
        <v>-6.5263296334525648E+16</v>
      </c>
      <c r="M6181" s="460">
        <f t="shared" si="224"/>
        <v>0.05</v>
      </c>
      <c r="N6181" s="464">
        <f t="shared" si="225"/>
        <v>239175</v>
      </c>
    </row>
    <row r="6182" spans="7:14" ht="11.25" customHeight="1" x14ac:dyDescent="0.25">
      <c r="G6182" s="459"/>
      <c r="H6182" s="459">
        <v>6175</v>
      </c>
      <c r="I6182" s="444">
        <f t="shared" ca="1" si="223"/>
        <v>-6.5263296334525648E+16</v>
      </c>
      <c r="J6182" s="444">
        <f t="array" ref="J6182">IFERROR(INDEX('Retirement Calculator'!J:J,MATCH('Isaac 401k'!N6182,'Retirement Calculator'!A:A,0),0),0)</f>
        <v>0</v>
      </c>
      <c r="K6182" s="444">
        <f t="shared" ca="1" si="221"/>
        <v>-271930401393856.91</v>
      </c>
      <c r="L6182" s="444">
        <f t="shared" ca="1" si="222"/>
        <v>-6.5535226735919504E+16</v>
      </c>
      <c r="M6182" s="460">
        <f t="shared" si="224"/>
        <v>0.05</v>
      </c>
      <c r="N6182" s="464">
        <f t="shared" si="225"/>
        <v>239205</v>
      </c>
    </row>
    <row r="6183" spans="7:14" ht="11.25" customHeight="1" x14ac:dyDescent="0.25">
      <c r="G6183" s="459"/>
      <c r="H6183" s="459">
        <v>6176</v>
      </c>
      <c r="I6183" s="444">
        <f t="shared" ca="1" si="223"/>
        <v>-6.5535226735919504E+16</v>
      </c>
      <c r="J6183" s="444">
        <f t="array" ref="J6183">IFERROR(INDEX('Retirement Calculator'!J:J,MATCH('Isaac 401k'!N6183,'Retirement Calculator'!A:A,0),0),0)</f>
        <v>0</v>
      </c>
      <c r="K6183" s="444">
        <f t="shared" ca="1" si="221"/>
        <v>-273063444732997.94</v>
      </c>
      <c r="L6183" s="444">
        <f t="shared" ca="1" si="222"/>
        <v>-6.5808290180652504E+16</v>
      </c>
      <c r="M6183" s="460">
        <f t="shared" si="224"/>
        <v>0.05</v>
      </c>
      <c r="N6183" s="464">
        <f t="shared" si="225"/>
        <v>239236</v>
      </c>
    </row>
    <row r="6184" spans="7:14" ht="11.25" customHeight="1" x14ac:dyDescent="0.25">
      <c r="G6184" s="459"/>
      <c r="H6184" s="459">
        <v>6177</v>
      </c>
      <c r="I6184" s="444">
        <f t="shared" ca="1" si="223"/>
        <v>-6.5808290180652504E+16</v>
      </c>
      <c r="J6184" s="444">
        <f t="array" ref="J6184">IFERROR(INDEX('Retirement Calculator'!J:J,MATCH('Isaac 401k'!N6184,'Retirement Calculator'!A:A,0),0),0)</f>
        <v>0</v>
      </c>
      <c r="K6184" s="444">
        <f t="shared" ca="1" si="221"/>
        <v>-274201209086052.06</v>
      </c>
      <c r="L6184" s="444">
        <f t="shared" ca="1" si="222"/>
        <v>-6.608249138973856E+16</v>
      </c>
      <c r="M6184" s="460">
        <f t="shared" si="224"/>
        <v>0.05</v>
      </c>
      <c r="N6184" s="464">
        <f t="shared" si="225"/>
        <v>239267</v>
      </c>
    </row>
    <row r="6185" spans="7:14" ht="11.25" customHeight="1" x14ac:dyDescent="0.25">
      <c r="G6185" s="459"/>
      <c r="H6185" s="459">
        <v>6178</v>
      </c>
      <c r="I6185" s="444">
        <f t="shared" ca="1" si="223"/>
        <v>-6.608249138973856E+16</v>
      </c>
      <c r="J6185" s="444">
        <f t="array" ref="J6185">IFERROR(INDEX('Retirement Calculator'!J:J,MATCH('Isaac 401k'!N6185,'Retirement Calculator'!A:A,0),0),0)</f>
        <v>0</v>
      </c>
      <c r="K6185" s="444">
        <f t="shared" ca="1" si="221"/>
        <v>-275343714123910.66</v>
      </c>
      <c r="L6185" s="444">
        <f t="shared" ca="1" si="222"/>
        <v>-6.6357835103862472E+16</v>
      </c>
      <c r="M6185" s="460">
        <f t="shared" si="224"/>
        <v>0.05</v>
      </c>
      <c r="N6185" s="464">
        <f t="shared" si="225"/>
        <v>239295</v>
      </c>
    </row>
    <row r="6186" spans="7:14" ht="11.25" customHeight="1" x14ac:dyDescent="0.25">
      <c r="G6186" s="459"/>
      <c r="H6186" s="459">
        <v>6179</v>
      </c>
      <c r="I6186" s="444">
        <f t="shared" ca="1" si="223"/>
        <v>-6.6357835103862472E+16</v>
      </c>
      <c r="J6186" s="444">
        <f t="array" ref="J6186">IFERROR(INDEX('Retirement Calculator'!J:J,MATCH('Isaac 401k'!N6186,'Retirement Calculator'!A:A,0),0),0)</f>
        <v>0</v>
      </c>
      <c r="K6186" s="444">
        <f t="shared" ca="1" si="221"/>
        <v>-276490979599427</v>
      </c>
      <c r="L6186" s="444">
        <f t="shared" ca="1" si="222"/>
        <v>-6.6634326083461896E+16</v>
      </c>
      <c r="M6186" s="460">
        <f t="shared" si="224"/>
        <v>0.05</v>
      </c>
      <c r="N6186" s="464">
        <f t="shared" si="225"/>
        <v>239326</v>
      </c>
    </row>
    <row r="6187" spans="7:14" ht="11.25" customHeight="1" x14ac:dyDescent="0.25">
      <c r="G6187" s="459"/>
      <c r="H6187" s="459">
        <v>6180</v>
      </c>
      <c r="I6187" s="444">
        <f t="shared" ca="1" si="223"/>
        <v>-6.6634326083461896E+16</v>
      </c>
      <c r="J6187" s="444">
        <f t="array" ref="J6187">IFERROR(INDEX('Retirement Calculator'!J:J,MATCH('Isaac 401k'!N6187,'Retirement Calculator'!A:A,0),0),0)</f>
        <v>0</v>
      </c>
      <c r="K6187" s="444">
        <f t="shared" ca="1" si="221"/>
        <v>-277643025347757.91</v>
      </c>
      <c r="L6187" s="444">
        <f t="shared" ca="1" si="222"/>
        <v>-6.6911969108809656E+16</v>
      </c>
      <c r="M6187" s="460">
        <f t="shared" si="224"/>
        <v>0.05</v>
      </c>
      <c r="N6187" s="464">
        <f t="shared" si="225"/>
        <v>239356</v>
      </c>
    </row>
    <row r="6188" spans="7:14" ht="11.25" customHeight="1" x14ac:dyDescent="0.25">
      <c r="G6188" s="459"/>
      <c r="H6188" s="459">
        <v>6181</v>
      </c>
      <c r="I6188" s="444">
        <f t="shared" ca="1" si="223"/>
        <v>-6.6911969108809656E+16</v>
      </c>
      <c r="J6188" s="444">
        <f t="array" ref="J6188">IFERROR(INDEX('Retirement Calculator'!J:J,MATCH('Isaac 401k'!N6188,'Retirement Calculator'!A:A,0),0),0)</f>
        <v>0</v>
      </c>
      <c r="K6188" s="444">
        <f t="shared" ca="1" si="221"/>
        <v>-278799871286706.94</v>
      </c>
      <c r="L6188" s="444">
        <f t="shared" ca="1" si="222"/>
        <v>-6.719076898009636E+16</v>
      </c>
      <c r="M6188" s="460">
        <f t="shared" si="224"/>
        <v>0.05</v>
      </c>
      <c r="N6188" s="464">
        <f t="shared" si="225"/>
        <v>239387</v>
      </c>
    </row>
    <row r="6189" spans="7:14" ht="11.25" customHeight="1" x14ac:dyDescent="0.25">
      <c r="G6189" s="459"/>
      <c r="H6189" s="459">
        <v>6182</v>
      </c>
      <c r="I6189" s="444">
        <f t="shared" ca="1" si="223"/>
        <v>-6.719076898009636E+16</v>
      </c>
      <c r="J6189" s="444">
        <f t="array" ref="J6189">IFERROR(INDEX('Retirement Calculator'!J:J,MATCH('Isaac 401k'!N6189,'Retirement Calculator'!A:A,0),0),0)</f>
        <v>0</v>
      </c>
      <c r="K6189" s="444">
        <f t="shared" ca="1" si="221"/>
        <v>-279961537417068.13</v>
      </c>
      <c r="L6189" s="444">
        <f t="shared" ca="1" si="222"/>
        <v>-6.7470730517513432E+16</v>
      </c>
      <c r="M6189" s="460">
        <f t="shared" si="224"/>
        <v>0.05</v>
      </c>
      <c r="N6189" s="464">
        <f t="shared" si="225"/>
        <v>239417</v>
      </c>
    </row>
    <row r="6190" spans="7:14" ht="11.25" customHeight="1" x14ac:dyDescent="0.25">
      <c r="G6190" s="459"/>
      <c r="H6190" s="459">
        <v>6183</v>
      </c>
      <c r="I6190" s="444">
        <f t="shared" ca="1" si="223"/>
        <v>-6.7470730517513432E+16</v>
      </c>
      <c r="J6190" s="444">
        <f t="array" ref="J6190">IFERROR(INDEX('Retirement Calculator'!J:J,MATCH('Isaac 401k'!N6190,'Retirement Calculator'!A:A,0),0),0)</f>
        <v>0</v>
      </c>
      <c r="K6190" s="444">
        <f t="shared" ca="1" si="221"/>
        <v>-281128043822972.63</v>
      </c>
      <c r="L6190" s="444">
        <f t="shared" ca="1" si="222"/>
        <v>-6.7751858561336408E+16</v>
      </c>
      <c r="M6190" s="460">
        <f t="shared" si="224"/>
        <v>0.05</v>
      </c>
      <c r="N6190" s="464">
        <f t="shared" si="225"/>
        <v>239448</v>
      </c>
    </row>
    <row r="6191" spans="7:14" ht="11.25" customHeight="1" x14ac:dyDescent="0.25">
      <c r="G6191" s="459"/>
      <c r="H6191" s="459">
        <v>6184</v>
      </c>
      <c r="I6191" s="444">
        <f t="shared" ca="1" si="223"/>
        <v>-6.7751858561336408E+16</v>
      </c>
      <c r="J6191" s="444">
        <f t="array" ref="J6191">IFERROR(INDEX('Retirement Calculator'!J:J,MATCH('Isaac 401k'!N6191,'Retirement Calculator'!A:A,0),0),0)</f>
        <v>0</v>
      </c>
      <c r="K6191" s="444">
        <f t="shared" ca="1" si="221"/>
        <v>-282299410672235</v>
      </c>
      <c r="L6191" s="444">
        <f t="shared" ca="1" si="222"/>
        <v>-6.803415797200864E+16</v>
      </c>
      <c r="M6191" s="460">
        <f t="shared" si="224"/>
        <v>0.05</v>
      </c>
      <c r="N6191" s="464">
        <f t="shared" si="225"/>
        <v>239479</v>
      </c>
    </row>
    <row r="6192" spans="7:14" ht="11.25" customHeight="1" x14ac:dyDescent="0.25">
      <c r="G6192" s="459"/>
      <c r="H6192" s="459">
        <v>6185</v>
      </c>
      <c r="I6192" s="444">
        <f t="shared" ca="1" si="223"/>
        <v>-6.803415797200864E+16</v>
      </c>
      <c r="J6192" s="444">
        <f t="array" ref="J6192">IFERROR(INDEX('Retirement Calculator'!J:J,MATCH('Isaac 401k'!N6192,'Retirement Calculator'!A:A,0),0),0)</f>
        <v>0</v>
      </c>
      <c r="K6192" s="444">
        <f t="shared" ca="1" si="221"/>
        <v>-283475658216702.69</v>
      </c>
      <c r="L6192" s="444">
        <f t="shared" ca="1" si="222"/>
        <v>-6.8317633630225344E+16</v>
      </c>
      <c r="M6192" s="460">
        <f t="shared" si="224"/>
        <v>0.05</v>
      </c>
      <c r="N6192" s="464">
        <f t="shared" si="225"/>
        <v>239509</v>
      </c>
    </row>
    <row r="6193" spans="7:14" ht="11.25" customHeight="1" x14ac:dyDescent="0.25">
      <c r="G6193" s="459"/>
      <c r="H6193" s="459">
        <v>6186</v>
      </c>
      <c r="I6193" s="444">
        <f t="shared" ca="1" si="223"/>
        <v>-6.8317633630225344E+16</v>
      </c>
      <c r="J6193" s="444">
        <f t="array" ref="J6193">IFERROR(INDEX('Retirement Calculator'!J:J,MATCH('Isaac 401k'!N6193,'Retirement Calculator'!A:A,0),0),0)</f>
        <v>0</v>
      </c>
      <c r="K6193" s="444">
        <f t="shared" ca="1" si="221"/>
        <v>-284656806792605.63</v>
      </c>
      <c r="L6193" s="444">
        <f t="shared" ca="1" si="222"/>
        <v>-6.8602290437017952E+16</v>
      </c>
      <c r="M6193" s="460">
        <f t="shared" si="224"/>
        <v>0.05</v>
      </c>
      <c r="N6193" s="464">
        <f t="shared" si="225"/>
        <v>239540</v>
      </c>
    </row>
    <row r="6194" spans="7:14" ht="11.25" customHeight="1" x14ac:dyDescent="0.25">
      <c r="G6194" s="459"/>
      <c r="H6194" s="459">
        <v>6187</v>
      </c>
      <c r="I6194" s="444">
        <f t="shared" ca="1" si="223"/>
        <v>-6.8602290437017952E+16</v>
      </c>
      <c r="J6194" s="444">
        <f t="array" ref="J6194">IFERROR(INDEX('Retirement Calculator'!J:J,MATCH('Isaac 401k'!N6194,'Retirement Calculator'!A:A,0),0),0)</f>
        <v>0</v>
      </c>
      <c r="K6194" s="444">
        <f t="shared" ca="1" si="221"/>
        <v>-285842876820908.13</v>
      </c>
      <c r="L6194" s="444">
        <f t="shared" ca="1" si="222"/>
        <v>-6.8888133313838864E+16</v>
      </c>
      <c r="M6194" s="460">
        <f t="shared" si="224"/>
        <v>0.05</v>
      </c>
      <c r="N6194" s="464">
        <f t="shared" si="225"/>
        <v>239570</v>
      </c>
    </row>
    <row r="6195" spans="7:14" ht="11.25" customHeight="1" x14ac:dyDescent="0.25">
      <c r="G6195" s="459"/>
      <c r="H6195" s="459">
        <v>6188</v>
      </c>
      <c r="I6195" s="444">
        <f t="shared" ca="1" si="223"/>
        <v>-6.8888133313838864E+16</v>
      </c>
      <c r="J6195" s="444">
        <f t="array" ref="J6195">IFERROR(INDEX('Retirement Calculator'!J:J,MATCH('Isaac 401k'!N6195,'Retirement Calculator'!A:A,0),0),0)</f>
        <v>0</v>
      </c>
      <c r="K6195" s="444">
        <f t="shared" ca="1" si="221"/>
        <v>-287033888807661.94</v>
      </c>
      <c r="L6195" s="444">
        <f t="shared" ca="1" si="222"/>
        <v>-6.9175167202646528E+16</v>
      </c>
      <c r="M6195" s="460">
        <f t="shared" si="224"/>
        <v>0.05</v>
      </c>
      <c r="N6195" s="464">
        <f t="shared" si="225"/>
        <v>239601</v>
      </c>
    </row>
    <row r="6196" spans="7:14" ht="11.25" customHeight="1" x14ac:dyDescent="0.25">
      <c r="G6196" s="459"/>
      <c r="H6196" s="459">
        <v>6189</v>
      </c>
      <c r="I6196" s="444">
        <f t="shared" ca="1" si="223"/>
        <v>-6.9175167202646528E+16</v>
      </c>
      <c r="J6196" s="444">
        <f t="array" ref="J6196">IFERROR(INDEX('Retirement Calculator'!J:J,MATCH('Isaac 401k'!N6196,'Retirement Calculator'!A:A,0),0),0)</f>
        <v>0</v>
      </c>
      <c r="K6196" s="444">
        <f t="shared" ca="1" si="221"/>
        <v>-288229863344360.56</v>
      </c>
      <c r="L6196" s="444">
        <f t="shared" ca="1" si="222"/>
        <v>-6.9463397065990888E+16</v>
      </c>
      <c r="M6196" s="460">
        <f t="shared" si="224"/>
        <v>0.05</v>
      </c>
      <c r="N6196" s="464">
        <f t="shared" si="225"/>
        <v>239632</v>
      </c>
    </row>
    <row r="6197" spans="7:14" ht="11.25" customHeight="1" x14ac:dyDescent="0.25">
      <c r="G6197" s="459"/>
      <c r="H6197" s="459">
        <v>6190</v>
      </c>
      <c r="I6197" s="444">
        <f t="shared" ca="1" si="223"/>
        <v>-6.9463397065990888E+16</v>
      </c>
      <c r="J6197" s="444">
        <f t="array" ref="J6197">IFERROR(INDEX('Retirement Calculator'!J:J,MATCH('Isaac 401k'!N6197,'Retirement Calculator'!A:A,0),0),0)</f>
        <v>0</v>
      </c>
      <c r="K6197" s="444">
        <f t="shared" ca="1" si="221"/>
        <v>-289430821108295.38</v>
      </c>
      <c r="L6197" s="444">
        <f t="shared" ca="1" si="222"/>
        <v>-6.9752827887099184E+16</v>
      </c>
      <c r="M6197" s="460">
        <f t="shared" si="224"/>
        <v>0.05</v>
      </c>
      <c r="N6197" s="464">
        <f t="shared" si="225"/>
        <v>239661</v>
      </c>
    </row>
    <row r="6198" spans="7:14" ht="11.25" customHeight="1" x14ac:dyDescent="0.25">
      <c r="G6198" s="459"/>
      <c r="H6198" s="459">
        <v>6191</v>
      </c>
      <c r="I6198" s="444">
        <f t="shared" ca="1" si="223"/>
        <v>-6.9752827887099184E+16</v>
      </c>
      <c r="J6198" s="444">
        <f t="array" ref="J6198">IFERROR(INDEX('Retirement Calculator'!J:J,MATCH('Isaac 401k'!N6198,'Retirement Calculator'!A:A,0),0),0)</f>
        <v>0</v>
      </c>
      <c r="K6198" s="444">
        <f t="shared" ca="1" si="221"/>
        <v>-290636782862913.31</v>
      </c>
      <c r="L6198" s="444">
        <f t="shared" ca="1" si="222"/>
        <v>-7.0043464669962096E+16</v>
      </c>
      <c r="M6198" s="460">
        <f t="shared" si="224"/>
        <v>0.05</v>
      </c>
      <c r="N6198" s="464">
        <f t="shared" si="225"/>
        <v>239692</v>
      </c>
    </row>
    <row r="6199" spans="7:14" ht="11.25" customHeight="1" x14ac:dyDescent="0.25">
      <c r="G6199" s="459"/>
      <c r="H6199" s="459">
        <v>6192</v>
      </c>
      <c r="I6199" s="444">
        <f t="shared" ca="1" si="223"/>
        <v>-7.0043464669962096E+16</v>
      </c>
      <c r="J6199" s="444">
        <f t="array" ref="J6199">IFERROR(INDEX('Retirement Calculator'!J:J,MATCH('Isaac 401k'!N6199,'Retirement Calculator'!A:A,0),0),0)</f>
        <v>0</v>
      </c>
      <c r="K6199" s="444">
        <f t="shared" ca="1" si="221"/>
        <v>-291847769458175.38</v>
      </c>
      <c r="L6199" s="444">
        <f t="shared" ca="1" si="222"/>
        <v>-7.0335312439420272E+16</v>
      </c>
      <c r="M6199" s="460">
        <f t="shared" si="224"/>
        <v>0.05</v>
      </c>
      <c r="N6199" s="464">
        <f t="shared" si="225"/>
        <v>239722</v>
      </c>
    </row>
    <row r="6200" spans="7:14" ht="11.25" customHeight="1" x14ac:dyDescent="0.25">
      <c r="G6200" s="459"/>
      <c r="H6200" s="459">
        <v>6193</v>
      </c>
      <c r="I6200" s="444">
        <f t="shared" ca="1" si="223"/>
        <v>-7.0335312439420272E+16</v>
      </c>
      <c r="J6200" s="444">
        <f t="array" ref="J6200">IFERROR(INDEX('Retirement Calculator'!J:J,MATCH('Isaac 401k'!N6200,'Retirement Calculator'!A:A,0),0),0)</f>
        <v>0</v>
      </c>
      <c r="K6200" s="444">
        <f t="shared" ca="1" si="221"/>
        <v>-293063801830917.81</v>
      </c>
      <c r="L6200" s="444">
        <f t="shared" ca="1" si="222"/>
        <v>-7.0628376241251192E+16</v>
      </c>
      <c r="M6200" s="460">
        <f t="shared" si="224"/>
        <v>0.05</v>
      </c>
      <c r="N6200" s="464">
        <f t="shared" si="225"/>
        <v>239753</v>
      </c>
    </row>
    <row r="6201" spans="7:14" ht="11.25" customHeight="1" x14ac:dyDescent="0.25">
      <c r="G6201" s="459"/>
      <c r="H6201" s="459">
        <v>6194</v>
      </c>
      <c r="I6201" s="444">
        <f t="shared" ca="1" si="223"/>
        <v>-7.0628376241251192E+16</v>
      </c>
      <c r="J6201" s="444">
        <f t="array" ref="J6201">IFERROR(INDEX('Retirement Calculator'!J:J,MATCH('Isaac 401k'!N6201,'Retirement Calculator'!A:A,0),0),0)</f>
        <v>0</v>
      </c>
      <c r="K6201" s="444">
        <f t="shared" ca="1" si="221"/>
        <v>-294284901005213.31</v>
      </c>
      <c r="L6201" s="444">
        <f t="shared" ca="1" si="222"/>
        <v>-7.0922661142256408E+16</v>
      </c>
      <c r="M6201" s="460">
        <f t="shared" si="224"/>
        <v>0.05</v>
      </c>
      <c r="N6201" s="464">
        <f t="shared" si="225"/>
        <v>239783</v>
      </c>
    </row>
    <row r="6202" spans="7:14" ht="11.25" customHeight="1" x14ac:dyDescent="0.25">
      <c r="G6202" s="459"/>
      <c r="H6202" s="459">
        <v>6195</v>
      </c>
      <c r="I6202" s="444">
        <f t="shared" ca="1" si="223"/>
        <v>-7.0922661142256408E+16</v>
      </c>
      <c r="J6202" s="444">
        <f t="array" ref="J6202">IFERROR(INDEX('Retirement Calculator'!J:J,MATCH('Isaac 401k'!N6202,'Retirement Calculator'!A:A,0),0),0)</f>
        <v>0</v>
      </c>
      <c r="K6202" s="444">
        <f t="shared" ca="1" si="221"/>
        <v>-295511088092735</v>
      </c>
      <c r="L6202" s="444">
        <f t="shared" ca="1" si="222"/>
        <v>-7.1218172230349144E+16</v>
      </c>
      <c r="M6202" s="460">
        <f t="shared" si="224"/>
        <v>0.05</v>
      </c>
      <c r="N6202" s="464">
        <f t="shared" si="225"/>
        <v>239814</v>
      </c>
    </row>
    <row r="6203" spans="7:14" ht="11.25" customHeight="1" x14ac:dyDescent="0.25">
      <c r="G6203" s="459"/>
      <c r="H6203" s="459">
        <v>6196</v>
      </c>
      <c r="I6203" s="444">
        <f t="shared" ca="1" si="223"/>
        <v>-7.1218172230349144E+16</v>
      </c>
      <c r="J6203" s="444">
        <f t="array" ref="J6203">IFERROR(INDEX('Retirement Calculator'!J:J,MATCH('Isaac 401k'!N6203,'Retirement Calculator'!A:A,0),0),0)</f>
        <v>0</v>
      </c>
      <c r="K6203" s="444">
        <f t="shared" ca="1" si="221"/>
        <v>-296742384293121.44</v>
      </c>
      <c r="L6203" s="444">
        <f t="shared" ca="1" si="222"/>
        <v>-7.1514914614642264E+16</v>
      </c>
      <c r="M6203" s="460">
        <f t="shared" si="224"/>
        <v>0.05</v>
      </c>
      <c r="N6203" s="464">
        <f t="shared" si="225"/>
        <v>239845</v>
      </c>
    </row>
    <row r="6204" spans="7:14" ht="11.25" customHeight="1" x14ac:dyDescent="0.25">
      <c r="G6204" s="459"/>
      <c r="H6204" s="459">
        <v>6197</v>
      </c>
      <c r="I6204" s="444">
        <f t="shared" ca="1" si="223"/>
        <v>-7.1514914614642264E+16</v>
      </c>
      <c r="J6204" s="444">
        <f t="array" ref="J6204">IFERROR(INDEX('Retirement Calculator'!J:J,MATCH('Isaac 401k'!N6204,'Retirement Calculator'!A:A,0),0),0)</f>
        <v>0</v>
      </c>
      <c r="K6204" s="444">
        <f t="shared" ca="1" si="221"/>
        <v>-297978810894342.75</v>
      </c>
      <c r="L6204" s="444">
        <f t="shared" ca="1" si="222"/>
        <v>-7.1812893425536608E+16</v>
      </c>
      <c r="M6204" s="460">
        <f t="shared" si="224"/>
        <v>0.05</v>
      </c>
      <c r="N6204" s="464">
        <f t="shared" si="225"/>
        <v>239875</v>
      </c>
    </row>
    <row r="6205" spans="7:14" ht="11.25" customHeight="1" x14ac:dyDescent="0.25">
      <c r="G6205" s="459"/>
      <c r="H6205" s="459">
        <v>6198</v>
      </c>
      <c r="I6205" s="444">
        <f t="shared" ca="1" si="223"/>
        <v>-7.1812893425536608E+16</v>
      </c>
      <c r="J6205" s="444">
        <f t="array" ref="J6205">IFERROR(INDEX('Retirement Calculator'!J:J,MATCH('Isaac 401k'!N6205,'Retirement Calculator'!A:A,0),0),0)</f>
        <v>0</v>
      </c>
      <c r="K6205" s="444">
        <f t="shared" ca="1" si="221"/>
        <v>-299220389273069.19</v>
      </c>
      <c r="L6205" s="444">
        <f t="shared" ca="1" si="222"/>
        <v>-7.211211381480968E+16</v>
      </c>
      <c r="M6205" s="460">
        <f t="shared" si="224"/>
        <v>0.05</v>
      </c>
      <c r="N6205" s="464">
        <f t="shared" si="225"/>
        <v>239906</v>
      </c>
    </row>
    <row r="6206" spans="7:14" ht="11.25" customHeight="1" x14ac:dyDescent="0.25">
      <c r="G6206" s="459"/>
      <c r="H6206" s="459">
        <v>6199</v>
      </c>
      <c r="I6206" s="444">
        <f t="shared" ca="1" si="223"/>
        <v>-7.211211381480968E+16</v>
      </c>
      <c r="J6206" s="444">
        <f t="array" ref="J6206">IFERROR(INDEX('Retirement Calculator'!J:J,MATCH('Isaac 401k'!N6206,'Retirement Calculator'!A:A,0),0),0)</f>
        <v>0</v>
      </c>
      <c r="K6206" s="444">
        <f t="shared" ca="1" si="221"/>
        <v>-300467140895040.31</v>
      </c>
      <c r="L6206" s="444">
        <f t="shared" ca="1" si="222"/>
        <v>-7.241258095570472E+16</v>
      </c>
      <c r="M6206" s="460">
        <f t="shared" si="224"/>
        <v>0.05</v>
      </c>
      <c r="N6206" s="464">
        <f t="shared" si="225"/>
        <v>239936</v>
      </c>
    </row>
    <row r="6207" spans="7:14" ht="11.25" customHeight="1" x14ac:dyDescent="0.25">
      <c r="G6207" s="459"/>
      <c r="H6207" s="459">
        <v>6200</v>
      </c>
      <c r="I6207" s="444">
        <f t="shared" ca="1" si="223"/>
        <v>-7.241258095570472E+16</v>
      </c>
      <c r="J6207" s="444">
        <f t="array" ref="J6207">IFERROR(INDEX('Retirement Calculator'!J:J,MATCH('Isaac 401k'!N6207,'Retirement Calculator'!A:A,0),0),0)</f>
        <v>0</v>
      </c>
      <c r="K6207" s="444">
        <f t="shared" ca="1" si="221"/>
        <v>-301719087315436.31</v>
      </c>
      <c r="L6207" s="444">
        <f t="shared" ca="1" si="222"/>
        <v>-7.271430004302016E+16</v>
      </c>
      <c r="M6207" s="460">
        <f t="shared" si="224"/>
        <v>0.05</v>
      </c>
      <c r="N6207" s="464">
        <f t="shared" si="225"/>
        <v>239967</v>
      </c>
    </row>
    <row r="6208" spans="7:14" ht="11.25" customHeight="1" x14ac:dyDescent="0.25">
      <c r="G6208" s="459"/>
      <c r="H6208" s="459">
        <v>6201</v>
      </c>
      <c r="I6208" s="444">
        <f t="shared" ca="1" si="223"/>
        <v>-7.271430004302016E+16</v>
      </c>
      <c r="J6208" s="444">
        <f t="array" ref="J6208">IFERROR(INDEX('Retirement Calculator'!J:J,MATCH('Isaac 401k'!N6208,'Retirement Calculator'!A:A,0),0),0)</f>
        <v>0</v>
      </c>
      <c r="K6208" s="444">
        <f t="shared" ca="1" si="221"/>
        <v>-302976250179250.69</v>
      </c>
      <c r="L6208" s="444">
        <f t="shared" ca="1" si="222"/>
        <v>-7.3017276293199408E+16</v>
      </c>
      <c r="M6208" s="460">
        <f t="shared" si="224"/>
        <v>0.05</v>
      </c>
      <c r="N6208" s="464">
        <f t="shared" si="225"/>
        <v>239998</v>
      </c>
    </row>
    <row r="6209" spans="7:14" ht="11.25" customHeight="1" x14ac:dyDescent="0.25">
      <c r="G6209" s="459"/>
      <c r="H6209" s="459">
        <v>6202</v>
      </c>
      <c r="I6209" s="444">
        <f t="shared" ca="1" si="223"/>
        <v>-7.3017276293199408E+16</v>
      </c>
      <c r="J6209" s="444">
        <f t="array" ref="J6209">IFERROR(INDEX('Retirement Calculator'!J:J,MATCH('Isaac 401k'!N6209,'Retirement Calculator'!A:A,0),0),0)</f>
        <v>0</v>
      </c>
      <c r="K6209" s="444">
        <f t="shared" ca="1" si="221"/>
        <v>-304238651221664.19</v>
      </c>
      <c r="L6209" s="444">
        <f t="shared" ca="1" si="222"/>
        <v>-7.3321514944421072E+16</v>
      </c>
      <c r="M6209" s="460">
        <f t="shared" si="224"/>
        <v>0.05</v>
      </c>
      <c r="N6209" s="464">
        <f t="shared" si="225"/>
        <v>240026</v>
      </c>
    </row>
    <row r="6210" spans="7:14" ht="11.25" customHeight="1" x14ac:dyDescent="0.25">
      <c r="G6210" s="459"/>
      <c r="H6210" s="459">
        <v>6203</v>
      </c>
      <c r="I6210" s="444">
        <f t="shared" ca="1" si="223"/>
        <v>-7.3321514944421072E+16</v>
      </c>
      <c r="J6210" s="444">
        <f t="array" ref="J6210">IFERROR(INDEX('Retirement Calculator'!J:J,MATCH('Isaac 401k'!N6210,'Retirement Calculator'!A:A,0),0),0)</f>
        <v>0</v>
      </c>
      <c r="K6210" s="444">
        <f t="shared" ca="1" si="221"/>
        <v>-305506312268421.13</v>
      </c>
      <c r="L6210" s="444">
        <f t="shared" ca="1" si="222"/>
        <v>-7.3627021256689488E+16</v>
      </c>
      <c r="M6210" s="460">
        <f t="shared" si="224"/>
        <v>0.05</v>
      </c>
      <c r="N6210" s="464">
        <f t="shared" si="225"/>
        <v>240057</v>
      </c>
    </row>
    <row r="6211" spans="7:14" ht="11.25" customHeight="1" x14ac:dyDescent="0.25">
      <c r="G6211" s="459"/>
      <c r="H6211" s="459">
        <v>6204</v>
      </c>
      <c r="I6211" s="444">
        <f t="shared" ca="1" si="223"/>
        <v>-7.3627021256689488E+16</v>
      </c>
      <c r="J6211" s="444">
        <f t="array" ref="J6211">IFERROR(INDEX('Retirement Calculator'!J:J,MATCH('Isaac 401k'!N6211,'Retirement Calculator'!A:A,0),0),0)</f>
        <v>0</v>
      </c>
      <c r="K6211" s="444">
        <f t="shared" ca="1" si="221"/>
        <v>-306779255236206.19</v>
      </c>
      <c r="L6211" s="444">
        <f t="shared" ca="1" si="222"/>
        <v>-7.3933800511925696E+16</v>
      </c>
      <c r="M6211" s="460">
        <f t="shared" si="224"/>
        <v>0.05</v>
      </c>
      <c r="N6211" s="464">
        <f t="shared" si="225"/>
        <v>240087</v>
      </c>
    </row>
    <row r="6212" spans="7:14" ht="11.25" customHeight="1" x14ac:dyDescent="0.25">
      <c r="G6212" s="459"/>
      <c r="H6212" s="459">
        <v>6205</v>
      </c>
      <c r="I6212" s="444">
        <f t="shared" ca="1" si="223"/>
        <v>-7.3933800511925696E+16</v>
      </c>
      <c r="J6212" s="444">
        <f t="array" ref="J6212">IFERROR(INDEX('Retirement Calculator'!J:J,MATCH('Isaac 401k'!N6212,'Retirement Calculator'!A:A,0),0),0)</f>
        <v>0</v>
      </c>
      <c r="K6212" s="444">
        <f t="shared" ca="1" si="221"/>
        <v>-308057502133023.75</v>
      </c>
      <c r="L6212" s="444">
        <f t="shared" ca="1" si="222"/>
        <v>-7.424185801405872E+16</v>
      </c>
      <c r="M6212" s="460">
        <f t="shared" si="224"/>
        <v>0.05</v>
      </c>
      <c r="N6212" s="464">
        <f t="shared" si="225"/>
        <v>240118</v>
      </c>
    </row>
    <row r="6213" spans="7:14" ht="11.25" customHeight="1" x14ac:dyDescent="0.25">
      <c r="G6213" s="459"/>
      <c r="H6213" s="459">
        <v>6206</v>
      </c>
      <c r="I6213" s="444">
        <f t="shared" ca="1" si="223"/>
        <v>-7.424185801405872E+16</v>
      </c>
      <c r="J6213" s="444">
        <f t="array" ref="J6213">IFERROR(INDEX('Retirement Calculator'!J:J,MATCH('Isaac 401k'!N6213,'Retirement Calculator'!A:A,0),0),0)</f>
        <v>0</v>
      </c>
      <c r="K6213" s="444">
        <f t="shared" ca="1" si="221"/>
        <v>-309341075058578</v>
      </c>
      <c r="L6213" s="444">
        <f t="shared" ca="1" si="222"/>
        <v>-7.4551199089117296E+16</v>
      </c>
      <c r="M6213" s="460">
        <f t="shared" si="224"/>
        <v>0.05</v>
      </c>
      <c r="N6213" s="464">
        <f t="shared" si="225"/>
        <v>240148</v>
      </c>
    </row>
    <row r="6214" spans="7:14" ht="11.25" customHeight="1" x14ac:dyDescent="0.25">
      <c r="G6214" s="459"/>
      <c r="H6214" s="459">
        <v>6207</v>
      </c>
      <c r="I6214" s="444">
        <f t="shared" ca="1" si="223"/>
        <v>-7.4551199089117296E+16</v>
      </c>
      <c r="J6214" s="444">
        <f t="array" ref="J6214">IFERROR(INDEX('Retirement Calculator'!J:J,MATCH('Isaac 401k'!N6214,'Retirement Calculator'!A:A,0),0),0)</f>
        <v>0</v>
      </c>
      <c r="K6214" s="444">
        <f t="shared" ca="1" si="221"/>
        <v>-310629996204655.38</v>
      </c>
      <c r="L6214" s="444">
        <f t="shared" ca="1" si="222"/>
        <v>-7.4861829085321952E+16</v>
      </c>
      <c r="M6214" s="460">
        <f t="shared" si="224"/>
        <v>0.05</v>
      </c>
      <c r="N6214" s="464">
        <f t="shared" si="225"/>
        <v>240179</v>
      </c>
    </row>
    <row r="6215" spans="7:14" ht="11.25" customHeight="1" x14ac:dyDescent="0.25">
      <c r="G6215" s="459"/>
      <c r="H6215" s="459">
        <v>6208</v>
      </c>
      <c r="I6215" s="444">
        <f t="shared" ca="1" si="223"/>
        <v>-7.4861829085321952E+16</v>
      </c>
      <c r="J6215" s="444">
        <f t="array" ref="J6215">IFERROR(INDEX('Retirement Calculator'!J:J,MATCH('Isaac 401k'!N6215,'Retirement Calculator'!A:A,0),0),0)</f>
        <v>0</v>
      </c>
      <c r="K6215" s="444">
        <f t="shared" ca="1" si="221"/>
        <v>-311924287855508.13</v>
      </c>
      <c r="L6215" s="444">
        <f t="shared" ca="1" si="222"/>
        <v>-7.5173753373177456E+16</v>
      </c>
      <c r="M6215" s="460">
        <f t="shared" si="224"/>
        <v>0.05</v>
      </c>
      <c r="N6215" s="464">
        <f t="shared" si="225"/>
        <v>240210</v>
      </c>
    </row>
    <row r="6216" spans="7:14" ht="11.25" customHeight="1" x14ac:dyDescent="0.25">
      <c r="G6216" s="459"/>
      <c r="H6216" s="459">
        <v>6209</v>
      </c>
      <c r="I6216" s="444">
        <f t="shared" ca="1" si="223"/>
        <v>-7.5173753373177456E+16</v>
      </c>
      <c r="J6216" s="444">
        <f t="array" ref="J6216">IFERROR(INDEX('Retirement Calculator'!J:J,MATCH('Isaac 401k'!N6216,'Retirement Calculator'!A:A,0),0),0)</f>
        <v>0</v>
      </c>
      <c r="K6216" s="444">
        <f t="shared" ca="1" si="221"/>
        <v>-313223972388239.38</v>
      </c>
      <c r="L6216" s="444">
        <f t="shared" ca="1" si="222"/>
        <v>-7.5486977345565696E+16</v>
      </c>
      <c r="M6216" s="460">
        <f t="shared" si="224"/>
        <v>0.05</v>
      </c>
      <c r="N6216" s="464">
        <f t="shared" si="225"/>
        <v>240240</v>
      </c>
    </row>
    <row r="6217" spans="7:14" ht="11.25" customHeight="1" x14ac:dyDescent="0.25">
      <c r="G6217" s="459"/>
      <c r="H6217" s="459">
        <v>6210</v>
      </c>
      <c r="I6217" s="444">
        <f t="shared" ca="1" si="223"/>
        <v>-7.5486977345565696E+16</v>
      </c>
      <c r="J6217" s="444">
        <f t="array" ref="J6217">IFERROR(INDEX('Retirement Calculator'!J:J,MATCH('Isaac 401k'!N6217,'Retirement Calculator'!A:A,0),0),0)</f>
        <v>0</v>
      </c>
      <c r="K6217" s="444">
        <f t="shared" ca="1" si="221"/>
        <v>-314529072273190.38</v>
      </c>
      <c r="L6217" s="444">
        <f t="shared" ca="1" si="222"/>
        <v>-7.580150641783888E+16</v>
      </c>
      <c r="M6217" s="460">
        <f t="shared" si="224"/>
        <v>0.05</v>
      </c>
      <c r="N6217" s="464">
        <f t="shared" si="225"/>
        <v>240271</v>
      </c>
    </row>
    <row r="6218" spans="7:14" ht="11.25" customHeight="1" x14ac:dyDescent="0.25">
      <c r="G6218" s="459"/>
      <c r="H6218" s="459">
        <v>6211</v>
      </c>
      <c r="I6218" s="444">
        <f t="shared" ca="1" si="223"/>
        <v>-7.580150641783888E+16</v>
      </c>
      <c r="J6218" s="444">
        <f t="array" ref="J6218">IFERROR(INDEX('Retirement Calculator'!J:J,MATCH('Isaac 401k'!N6218,'Retirement Calculator'!A:A,0),0),0)</f>
        <v>0</v>
      </c>
      <c r="K6218" s="444">
        <f t="shared" ca="1" si="221"/>
        <v>-315839610074328.69</v>
      </c>
      <c r="L6218" s="444">
        <f t="shared" ca="1" si="222"/>
        <v>-7.6117346027913216E+16</v>
      </c>
      <c r="M6218" s="460">
        <f t="shared" si="224"/>
        <v>0.05</v>
      </c>
      <c r="N6218" s="464">
        <f t="shared" si="225"/>
        <v>240301</v>
      </c>
    </row>
    <row r="6219" spans="7:14" ht="11.25" customHeight="1" x14ac:dyDescent="0.25">
      <c r="G6219" s="459"/>
      <c r="H6219" s="459">
        <v>6212</v>
      </c>
      <c r="I6219" s="444">
        <f t="shared" ca="1" si="223"/>
        <v>-7.6117346027913216E+16</v>
      </c>
      <c r="J6219" s="444">
        <f t="array" ref="J6219">IFERROR(INDEX('Retirement Calculator'!J:J,MATCH('Isaac 401k'!N6219,'Retirement Calculator'!A:A,0),0),0)</f>
        <v>0</v>
      </c>
      <c r="K6219" s="444">
        <f t="shared" ca="1" si="221"/>
        <v>-317155608449638.38</v>
      </c>
      <c r="L6219" s="444">
        <f t="shared" ca="1" si="222"/>
        <v>-7.6434501636362848E+16</v>
      </c>
      <c r="M6219" s="460">
        <f t="shared" si="224"/>
        <v>0.05</v>
      </c>
      <c r="N6219" s="464">
        <f t="shared" si="225"/>
        <v>240332</v>
      </c>
    </row>
    <row r="6220" spans="7:14" ht="11.25" customHeight="1" x14ac:dyDescent="0.25">
      <c r="G6220" s="459"/>
      <c r="H6220" s="459">
        <v>6213</v>
      </c>
      <c r="I6220" s="444">
        <f t="shared" ca="1" si="223"/>
        <v>-7.6434501636362848E+16</v>
      </c>
      <c r="J6220" s="444">
        <f t="array" ref="J6220">IFERROR(INDEX('Retirement Calculator'!J:J,MATCH('Isaac 401k'!N6220,'Retirement Calculator'!A:A,0),0),0)</f>
        <v>0</v>
      </c>
      <c r="K6220" s="444">
        <f t="shared" ca="1" si="221"/>
        <v>-318477090151511.88</v>
      </c>
      <c r="L6220" s="444">
        <f t="shared" ca="1" si="222"/>
        <v>-7.6752978726514352E+16</v>
      </c>
      <c r="M6220" s="460">
        <f t="shared" si="224"/>
        <v>0.05</v>
      </c>
      <c r="N6220" s="464">
        <f t="shared" si="225"/>
        <v>240363</v>
      </c>
    </row>
    <row r="6221" spans="7:14" ht="11.25" customHeight="1" x14ac:dyDescent="0.25">
      <c r="G6221" s="459"/>
      <c r="H6221" s="459">
        <v>6214</v>
      </c>
      <c r="I6221" s="444">
        <f t="shared" ca="1" si="223"/>
        <v>-7.6752978726514352E+16</v>
      </c>
      <c r="J6221" s="444">
        <f t="array" ref="J6221">IFERROR(INDEX('Retirement Calculator'!J:J,MATCH('Isaac 401k'!N6221,'Retirement Calculator'!A:A,0),0),0)</f>
        <v>0</v>
      </c>
      <c r="K6221" s="444">
        <f t="shared" ca="1" si="221"/>
        <v>-319804078027143.13</v>
      </c>
      <c r="L6221" s="444">
        <f t="shared" ca="1" si="222"/>
        <v>-7.7072782804541488E+16</v>
      </c>
      <c r="M6221" s="460">
        <f t="shared" si="224"/>
        <v>0.05</v>
      </c>
      <c r="N6221" s="464">
        <f t="shared" si="225"/>
        <v>240391</v>
      </c>
    </row>
    <row r="6222" spans="7:14" ht="11.25" customHeight="1" x14ac:dyDescent="0.25">
      <c r="G6222" s="459"/>
      <c r="H6222" s="459">
        <v>6215</v>
      </c>
      <c r="I6222" s="444">
        <f t="shared" ca="1" si="223"/>
        <v>-7.7072782804541488E+16</v>
      </c>
      <c r="J6222" s="444">
        <f t="array" ref="J6222">IFERROR(INDEX('Retirement Calculator'!J:J,MATCH('Isaac 401k'!N6222,'Retirement Calculator'!A:A,0),0),0)</f>
        <v>0</v>
      </c>
      <c r="K6222" s="444">
        <f t="shared" ca="1" si="221"/>
        <v>-321136595018922.88</v>
      </c>
      <c r="L6222" s="444">
        <f t="shared" ca="1" si="222"/>
        <v>-7.7393919399560416E+16</v>
      </c>
      <c r="M6222" s="460">
        <f t="shared" si="224"/>
        <v>0.05</v>
      </c>
      <c r="N6222" s="464">
        <f t="shared" si="225"/>
        <v>240422</v>
      </c>
    </row>
    <row r="6223" spans="7:14" ht="11.25" customHeight="1" x14ac:dyDescent="0.25">
      <c r="G6223" s="459"/>
      <c r="H6223" s="459">
        <v>6216</v>
      </c>
      <c r="I6223" s="444">
        <f t="shared" ca="1" si="223"/>
        <v>-7.7393919399560416E+16</v>
      </c>
      <c r="J6223" s="444">
        <f t="array" ref="J6223">IFERROR(INDEX('Retirement Calculator'!J:J,MATCH('Isaac 401k'!N6223,'Retirement Calculator'!A:A,0),0),0)</f>
        <v>0</v>
      </c>
      <c r="K6223" s="444">
        <f t="shared" ca="1" si="221"/>
        <v>-322474664164835.06</v>
      </c>
      <c r="L6223" s="444">
        <f t="shared" ca="1" si="222"/>
        <v>-7.7716394063725248E+16</v>
      </c>
      <c r="M6223" s="460">
        <f t="shared" si="224"/>
        <v>0.05</v>
      </c>
      <c r="N6223" s="464">
        <f t="shared" si="225"/>
        <v>240452</v>
      </c>
    </row>
    <row r="6224" spans="7:14" ht="11.25" customHeight="1" x14ac:dyDescent="0.25">
      <c r="G6224" s="459"/>
      <c r="H6224" s="459">
        <v>6217</v>
      </c>
      <c r="I6224" s="444">
        <f t="shared" ca="1" si="223"/>
        <v>-7.7716394063725248E+16</v>
      </c>
      <c r="J6224" s="444">
        <f t="array" ref="J6224">IFERROR(INDEX('Retirement Calculator'!J:J,MATCH('Isaac 401k'!N6224,'Retirement Calculator'!A:A,0),0),0)</f>
        <v>0</v>
      </c>
      <c r="K6224" s="444">
        <f t="shared" ca="1" si="221"/>
        <v>-323818308598855.19</v>
      </c>
      <c r="L6224" s="444">
        <f t="shared" ca="1" si="222"/>
        <v>-7.8040212372324096E+16</v>
      </c>
      <c r="M6224" s="460">
        <f t="shared" si="224"/>
        <v>0.05</v>
      </c>
      <c r="N6224" s="464">
        <f t="shared" si="225"/>
        <v>240483</v>
      </c>
    </row>
    <row r="6225" spans="7:14" ht="11.25" customHeight="1" x14ac:dyDescent="0.25">
      <c r="G6225" s="459"/>
      <c r="H6225" s="459">
        <v>6218</v>
      </c>
      <c r="I6225" s="444">
        <f t="shared" ca="1" si="223"/>
        <v>-7.8040212372324096E+16</v>
      </c>
      <c r="J6225" s="444">
        <f t="array" ref="J6225">IFERROR(INDEX('Retirement Calculator'!J:J,MATCH('Isaac 401k'!N6225,'Retirement Calculator'!A:A,0),0),0)</f>
        <v>0</v>
      </c>
      <c r="K6225" s="444">
        <f t="shared" ca="1" si="221"/>
        <v>-325167551551350.38</v>
      </c>
      <c r="L6225" s="444">
        <f t="shared" ca="1" si="222"/>
        <v>-7.836537992387544E+16</v>
      </c>
      <c r="M6225" s="460">
        <f t="shared" si="224"/>
        <v>0.05</v>
      </c>
      <c r="N6225" s="464">
        <f t="shared" si="225"/>
        <v>240513</v>
      </c>
    </row>
    <row r="6226" spans="7:14" ht="11.25" customHeight="1" x14ac:dyDescent="0.25">
      <c r="G6226" s="459"/>
      <c r="H6226" s="459">
        <v>6219</v>
      </c>
      <c r="I6226" s="444">
        <f t="shared" ca="1" si="223"/>
        <v>-7.836537992387544E+16</v>
      </c>
      <c r="J6226" s="444">
        <f t="array" ref="J6226">IFERROR(INDEX('Retirement Calculator'!J:J,MATCH('Isaac 401k'!N6226,'Retirement Calculator'!A:A,0),0),0)</f>
        <v>0</v>
      </c>
      <c r="K6226" s="444">
        <f t="shared" ca="1" si="221"/>
        <v>-326522416349481</v>
      </c>
      <c r="L6226" s="444">
        <f t="shared" ca="1" si="222"/>
        <v>-7.8691902340224928E+16</v>
      </c>
      <c r="M6226" s="460">
        <f t="shared" si="224"/>
        <v>0.05</v>
      </c>
      <c r="N6226" s="464">
        <f t="shared" si="225"/>
        <v>240544</v>
      </c>
    </row>
    <row r="6227" spans="7:14" ht="11.25" customHeight="1" x14ac:dyDescent="0.25">
      <c r="G6227" s="459"/>
      <c r="H6227" s="459">
        <v>6220</v>
      </c>
      <c r="I6227" s="444">
        <f t="shared" ca="1" si="223"/>
        <v>-7.8691902340224928E+16</v>
      </c>
      <c r="J6227" s="444">
        <f t="array" ref="J6227">IFERROR(INDEX('Retirement Calculator'!J:J,MATCH('Isaac 401k'!N6227,'Retirement Calculator'!A:A,0),0),0)</f>
        <v>0</v>
      </c>
      <c r="K6227" s="444">
        <f t="shared" ca="1" si="221"/>
        <v>-327882926417603.88</v>
      </c>
      <c r="L6227" s="444">
        <f t="shared" ca="1" si="222"/>
        <v>-7.9019785266642528E+16</v>
      </c>
      <c r="M6227" s="460">
        <f t="shared" si="224"/>
        <v>0.05</v>
      </c>
      <c r="N6227" s="464">
        <f t="shared" si="225"/>
        <v>240575</v>
      </c>
    </row>
    <row r="6228" spans="7:14" ht="11.25" customHeight="1" x14ac:dyDescent="0.25">
      <c r="G6228" s="459"/>
      <c r="H6228" s="459">
        <v>6221</v>
      </c>
      <c r="I6228" s="444">
        <f t="shared" ca="1" si="223"/>
        <v>-7.9019785266642528E+16</v>
      </c>
      <c r="J6228" s="444">
        <f t="array" ref="J6228">IFERROR(INDEX('Retirement Calculator'!J:J,MATCH('Isaac 401k'!N6228,'Retirement Calculator'!A:A,0),0),0)</f>
        <v>0</v>
      </c>
      <c r="K6228" s="444">
        <f t="shared" ca="1" si="221"/>
        <v>-329249105277677.19</v>
      </c>
      <c r="L6228" s="444">
        <f t="shared" ca="1" si="222"/>
        <v>-7.9349034371920208E+16</v>
      </c>
      <c r="M6228" s="460">
        <f t="shared" si="224"/>
        <v>0.05</v>
      </c>
      <c r="N6228" s="464">
        <f t="shared" si="225"/>
        <v>240605</v>
      </c>
    </row>
    <row r="6229" spans="7:14" ht="11.25" customHeight="1" x14ac:dyDescent="0.25">
      <c r="G6229" s="459"/>
      <c r="H6229" s="459">
        <v>6222</v>
      </c>
      <c r="I6229" s="444">
        <f t="shared" ca="1" si="223"/>
        <v>-7.9349034371920208E+16</v>
      </c>
      <c r="J6229" s="444">
        <f t="array" ref="J6229">IFERROR(INDEX('Retirement Calculator'!J:J,MATCH('Isaac 401k'!N6229,'Retirement Calculator'!A:A,0),0),0)</f>
        <v>0</v>
      </c>
      <c r="K6229" s="444">
        <f t="shared" ca="1" si="221"/>
        <v>-330620976549667.5</v>
      </c>
      <c r="L6229" s="444">
        <f t="shared" ca="1" si="222"/>
        <v>-7.9679655348469872E+16</v>
      </c>
      <c r="M6229" s="460">
        <f t="shared" si="224"/>
        <v>0.05</v>
      </c>
      <c r="N6229" s="464">
        <f t="shared" si="225"/>
        <v>240636</v>
      </c>
    </row>
    <row r="6230" spans="7:14" ht="11.25" customHeight="1" x14ac:dyDescent="0.25">
      <c r="G6230" s="459"/>
      <c r="H6230" s="459">
        <v>6223</v>
      </c>
      <c r="I6230" s="444">
        <f t="shared" ca="1" si="223"/>
        <v>-7.9679655348469872E+16</v>
      </c>
      <c r="J6230" s="444">
        <f t="array" ref="J6230">IFERROR(INDEX('Retirement Calculator'!J:J,MATCH('Isaac 401k'!N6230,'Retirement Calculator'!A:A,0),0),0)</f>
        <v>0</v>
      </c>
      <c r="K6230" s="444">
        <f t="shared" ca="1" si="221"/>
        <v>-331998563951957.81</v>
      </c>
      <c r="L6230" s="444">
        <f t="shared" ca="1" si="222"/>
        <v>-8.0011653912421824E+16</v>
      </c>
      <c r="M6230" s="460">
        <f t="shared" si="224"/>
        <v>0.05</v>
      </c>
      <c r="N6230" s="464">
        <f t="shared" si="225"/>
        <v>240666</v>
      </c>
    </row>
    <row r="6231" spans="7:14" ht="11.25" customHeight="1" x14ac:dyDescent="0.25">
      <c r="G6231" s="459"/>
      <c r="H6231" s="459">
        <v>6224</v>
      </c>
      <c r="I6231" s="444">
        <f t="shared" ca="1" si="223"/>
        <v>-8.0011653912421824E+16</v>
      </c>
      <c r="J6231" s="444">
        <f t="array" ref="J6231">IFERROR(INDEX('Retirement Calculator'!J:J,MATCH('Isaac 401k'!N6231,'Retirement Calculator'!A:A,0),0),0)</f>
        <v>0</v>
      </c>
      <c r="K6231" s="444">
        <f t="shared" ca="1" si="221"/>
        <v>-333381891301757.63</v>
      </c>
      <c r="L6231" s="444">
        <f t="shared" ca="1" si="222"/>
        <v>-8.0345035803723584E+16</v>
      </c>
      <c r="M6231" s="460">
        <f t="shared" si="224"/>
        <v>0.05</v>
      </c>
      <c r="N6231" s="464">
        <f t="shared" si="225"/>
        <v>240697</v>
      </c>
    </row>
    <row r="6232" spans="7:14" ht="11.25" customHeight="1" x14ac:dyDescent="0.25">
      <c r="G6232" s="459"/>
      <c r="H6232" s="459">
        <v>6225</v>
      </c>
      <c r="I6232" s="444">
        <f t="shared" ca="1" si="223"/>
        <v>-8.0345035803723584E+16</v>
      </c>
      <c r="J6232" s="444">
        <f t="array" ref="J6232">IFERROR(INDEX('Retirement Calculator'!J:J,MATCH('Isaac 401k'!N6232,'Retirement Calculator'!A:A,0),0),0)</f>
        <v>0</v>
      </c>
      <c r="K6232" s="444">
        <f t="shared" ca="1" si="221"/>
        <v>-334770982515514.94</v>
      </c>
      <c r="L6232" s="444">
        <f t="shared" ca="1" si="222"/>
        <v>-8.0679806786239104E+16</v>
      </c>
      <c r="M6232" s="460">
        <f t="shared" si="224"/>
        <v>0.05</v>
      </c>
      <c r="N6232" s="464">
        <f t="shared" si="225"/>
        <v>240728</v>
      </c>
    </row>
    <row r="6233" spans="7:14" ht="11.25" customHeight="1" x14ac:dyDescent="0.25">
      <c r="G6233" s="459"/>
      <c r="H6233" s="459">
        <v>6226</v>
      </c>
      <c r="I6233" s="444">
        <f t="shared" ca="1" si="223"/>
        <v>-8.0679806786239104E+16</v>
      </c>
      <c r="J6233" s="444">
        <f t="array" ref="J6233">IFERROR(INDEX('Retirement Calculator'!J:J,MATCH('Isaac 401k'!N6233,'Retirement Calculator'!A:A,0),0),0)</f>
        <v>0</v>
      </c>
      <c r="K6233" s="444">
        <f t="shared" ca="1" si="221"/>
        <v>-336165861609329.63</v>
      </c>
      <c r="L6233" s="444">
        <f t="shared" ca="1" si="222"/>
        <v>-8.1015972647848432E+16</v>
      </c>
      <c r="M6233" s="460">
        <f t="shared" si="224"/>
        <v>0.05</v>
      </c>
      <c r="N6233" s="464">
        <f t="shared" si="225"/>
        <v>240756</v>
      </c>
    </row>
    <row r="6234" spans="7:14" ht="11.25" customHeight="1" x14ac:dyDescent="0.25">
      <c r="G6234" s="459"/>
      <c r="H6234" s="459">
        <v>6227</v>
      </c>
      <c r="I6234" s="444">
        <f t="shared" ca="1" si="223"/>
        <v>-8.1015972647848432E+16</v>
      </c>
      <c r="J6234" s="444">
        <f t="array" ref="J6234">IFERROR(INDEX('Retirement Calculator'!J:J,MATCH('Isaac 401k'!N6234,'Retirement Calculator'!A:A,0),0),0)</f>
        <v>0</v>
      </c>
      <c r="K6234" s="444">
        <f t="shared" ca="1" si="221"/>
        <v>-337566552699368.44</v>
      </c>
      <c r="L6234" s="444">
        <f t="shared" ca="1" si="222"/>
        <v>-8.1353539200547808E+16</v>
      </c>
      <c r="M6234" s="460">
        <f t="shared" si="224"/>
        <v>0.05</v>
      </c>
      <c r="N6234" s="464">
        <f t="shared" si="225"/>
        <v>240787</v>
      </c>
    </row>
    <row r="6235" spans="7:14" ht="11.25" customHeight="1" x14ac:dyDescent="0.25">
      <c r="G6235" s="459"/>
      <c r="H6235" s="459">
        <v>6228</v>
      </c>
      <c r="I6235" s="444">
        <f t="shared" ca="1" si="223"/>
        <v>-8.1353539200547808E+16</v>
      </c>
      <c r="J6235" s="444">
        <f t="array" ref="J6235">IFERROR(INDEX('Retirement Calculator'!J:J,MATCH('Isaac 401k'!N6235,'Retirement Calculator'!A:A,0),0),0)</f>
        <v>0</v>
      </c>
      <c r="K6235" s="444">
        <f t="shared" ca="1" si="221"/>
        <v>-338973080002282.5</v>
      </c>
      <c r="L6235" s="444">
        <f t="shared" ca="1" si="222"/>
        <v>-8.1692512280550096E+16</v>
      </c>
      <c r="M6235" s="460">
        <f t="shared" si="224"/>
        <v>0.05</v>
      </c>
      <c r="N6235" s="464">
        <f t="shared" si="225"/>
        <v>240817</v>
      </c>
    </row>
    <row r="6236" spans="7:14" ht="11.25" customHeight="1" x14ac:dyDescent="0.25">
      <c r="G6236" s="459"/>
      <c r="H6236" s="459">
        <v>6229</v>
      </c>
      <c r="I6236" s="444">
        <f t="shared" ca="1" si="223"/>
        <v>-8.1692512280550096E+16</v>
      </c>
      <c r="J6236" s="444">
        <f t="array" ref="J6236">IFERROR(INDEX('Retirement Calculator'!J:J,MATCH('Isaac 401k'!N6236,'Retirement Calculator'!A:A,0),0),0)</f>
        <v>0</v>
      </c>
      <c r="K6236" s="444">
        <f t="shared" ca="1" si="221"/>
        <v>-340385467835625.38</v>
      </c>
      <c r="L6236" s="444">
        <f t="shared" ca="1" si="222"/>
        <v>-8.2032897748385728E+16</v>
      </c>
      <c r="M6236" s="460">
        <f t="shared" si="224"/>
        <v>0.05</v>
      </c>
      <c r="N6236" s="464">
        <f t="shared" si="225"/>
        <v>240848</v>
      </c>
    </row>
    <row r="6237" spans="7:14" ht="11.25" customHeight="1" x14ac:dyDescent="0.25">
      <c r="G6237" s="459"/>
      <c r="H6237" s="459">
        <v>6230</v>
      </c>
      <c r="I6237" s="444">
        <f t="shared" ca="1" si="223"/>
        <v>-8.2032897748385728E+16</v>
      </c>
      <c r="J6237" s="444">
        <f t="array" ref="J6237">IFERROR(INDEX('Retirement Calculator'!J:J,MATCH('Isaac 401k'!N6237,'Retirement Calculator'!A:A,0),0),0)</f>
        <v>0</v>
      </c>
      <c r="K6237" s="444">
        <f t="shared" ca="1" si="221"/>
        <v>-341803740618273.88</v>
      </c>
      <c r="L6237" s="444">
        <f t="shared" ca="1" si="222"/>
        <v>-8.2374701489004E+16</v>
      </c>
      <c r="M6237" s="460">
        <f t="shared" si="224"/>
        <v>0.05</v>
      </c>
      <c r="N6237" s="464">
        <f t="shared" si="225"/>
        <v>240878</v>
      </c>
    </row>
    <row r="6238" spans="7:14" ht="11.25" customHeight="1" x14ac:dyDescent="0.25">
      <c r="G6238" s="459"/>
      <c r="H6238" s="459">
        <v>6231</v>
      </c>
      <c r="I6238" s="444">
        <f t="shared" ca="1" si="223"/>
        <v>-8.2374701489004E+16</v>
      </c>
      <c r="J6238" s="444">
        <f t="array" ref="J6238">IFERROR(INDEX('Retirement Calculator'!J:J,MATCH('Isaac 401k'!N6238,'Retirement Calculator'!A:A,0),0),0)</f>
        <v>0</v>
      </c>
      <c r="K6238" s="444">
        <f t="shared" ca="1" si="221"/>
        <v>-343227922870850</v>
      </c>
      <c r="L6238" s="444">
        <f t="shared" ca="1" si="222"/>
        <v>-8.2717929411874848E+16</v>
      </c>
      <c r="M6238" s="460">
        <f t="shared" si="224"/>
        <v>0.05</v>
      </c>
      <c r="N6238" s="464">
        <f t="shared" si="225"/>
        <v>240909</v>
      </c>
    </row>
    <row r="6239" spans="7:14" ht="11.25" customHeight="1" x14ac:dyDescent="0.25">
      <c r="G6239" s="459"/>
      <c r="H6239" s="459">
        <v>6232</v>
      </c>
      <c r="I6239" s="444">
        <f t="shared" ca="1" si="223"/>
        <v>-8.2717929411874848E+16</v>
      </c>
      <c r="J6239" s="444">
        <f t="array" ref="J6239">IFERROR(INDEX('Retirement Calculator'!J:J,MATCH('Isaac 401k'!N6239,'Retirement Calculator'!A:A,0),0),0)</f>
        <v>0</v>
      </c>
      <c r="K6239" s="444">
        <f t="shared" ca="1" si="221"/>
        <v>-344658039216145.19</v>
      </c>
      <c r="L6239" s="444">
        <f t="shared" ca="1" si="222"/>
        <v>-8.3062587451090992E+16</v>
      </c>
      <c r="M6239" s="460">
        <f t="shared" si="224"/>
        <v>0.05</v>
      </c>
      <c r="N6239" s="464">
        <f t="shared" si="225"/>
        <v>240940</v>
      </c>
    </row>
    <row r="6240" spans="7:14" ht="11.25" customHeight="1" x14ac:dyDescent="0.25">
      <c r="G6240" s="459"/>
      <c r="H6240" s="459">
        <v>6233</v>
      </c>
      <c r="I6240" s="444">
        <f t="shared" ca="1" si="223"/>
        <v>-8.3062587451090992E+16</v>
      </c>
      <c r="J6240" s="444">
        <f t="array" ref="J6240">IFERROR(INDEX('Retirement Calculator'!J:J,MATCH('Isaac 401k'!N6240,'Retirement Calculator'!A:A,0),0),0)</f>
        <v>0</v>
      </c>
      <c r="K6240" s="444">
        <f t="shared" ca="1" si="221"/>
        <v>-346094114379545.81</v>
      </c>
      <c r="L6240" s="444">
        <f t="shared" ca="1" si="222"/>
        <v>-8.3408681565470544E+16</v>
      </c>
      <c r="M6240" s="460">
        <f t="shared" si="224"/>
        <v>0.05</v>
      </c>
      <c r="N6240" s="464">
        <f t="shared" si="225"/>
        <v>240970</v>
      </c>
    </row>
    <row r="6241" spans="7:14" ht="11.25" customHeight="1" x14ac:dyDescent="0.25">
      <c r="G6241" s="459"/>
      <c r="H6241" s="459">
        <v>6234</v>
      </c>
      <c r="I6241" s="444">
        <f t="shared" ca="1" si="223"/>
        <v>-8.3408681565470544E+16</v>
      </c>
      <c r="J6241" s="444">
        <f t="array" ref="J6241">IFERROR(INDEX('Retirement Calculator'!J:J,MATCH('Isaac 401k'!N6241,'Retirement Calculator'!A:A,0),0),0)</f>
        <v>0</v>
      </c>
      <c r="K6241" s="444">
        <f t="shared" ca="1" si="221"/>
        <v>-347536173189460.63</v>
      </c>
      <c r="L6241" s="444">
        <f t="shared" ca="1" si="222"/>
        <v>-8.375621773866E+16</v>
      </c>
      <c r="M6241" s="460">
        <f t="shared" si="224"/>
        <v>0.05</v>
      </c>
      <c r="N6241" s="464">
        <f t="shared" si="225"/>
        <v>241001</v>
      </c>
    </row>
    <row r="6242" spans="7:14" ht="11.25" customHeight="1" x14ac:dyDescent="0.25">
      <c r="G6242" s="459"/>
      <c r="H6242" s="459">
        <v>6235</v>
      </c>
      <c r="I6242" s="444">
        <f t="shared" ca="1" si="223"/>
        <v>-8.375621773866E+16</v>
      </c>
      <c r="J6242" s="444">
        <f t="array" ref="J6242">IFERROR(INDEX('Retirement Calculator'!J:J,MATCH('Isaac 401k'!N6242,'Retirement Calculator'!A:A,0),0),0)</f>
        <v>0</v>
      </c>
      <c r="K6242" s="444">
        <f t="shared" ca="1" si="221"/>
        <v>-348984240577750</v>
      </c>
      <c r="L6242" s="444">
        <f t="shared" ca="1" si="222"/>
        <v>-8.4105201979237744E+16</v>
      </c>
      <c r="M6242" s="460">
        <f t="shared" si="224"/>
        <v>0.05</v>
      </c>
      <c r="N6242" s="464">
        <f t="shared" si="225"/>
        <v>241031</v>
      </c>
    </row>
    <row r="6243" spans="7:14" ht="11.25" customHeight="1" x14ac:dyDescent="0.25">
      <c r="G6243" s="459"/>
      <c r="H6243" s="459">
        <v>6236</v>
      </c>
      <c r="I6243" s="444">
        <f t="shared" ca="1" si="223"/>
        <v>-8.4105201979237744E+16</v>
      </c>
      <c r="J6243" s="444">
        <f t="array" ref="J6243">IFERROR(INDEX('Retirement Calculator'!J:J,MATCH('Isaac 401k'!N6243,'Retirement Calculator'!A:A,0),0),0)</f>
        <v>0</v>
      </c>
      <c r="K6243" s="444">
        <f t="shared" ca="1" si="221"/>
        <v>-350438341580157.25</v>
      </c>
      <c r="L6243" s="444">
        <f t="shared" ca="1" si="222"/>
        <v>-8.4455640320817904E+16</v>
      </c>
      <c r="M6243" s="460">
        <f t="shared" si="224"/>
        <v>0.05</v>
      </c>
      <c r="N6243" s="464">
        <f t="shared" si="225"/>
        <v>241062</v>
      </c>
    </row>
    <row r="6244" spans="7:14" ht="11.25" customHeight="1" x14ac:dyDescent="0.25">
      <c r="G6244" s="459"/>
      <c r="H6244" s="459">
        <v>6237</v>
      </c>
      <c r="I6244" s="444">
        <f t="shared" ca="1" si="223"/>
        <v>-8.4455640320817904E+16</v>
      </c>
      <c r="J6244" s="444">
        <f t="array" ref="J6244">IFERROR(INDEX('Retirement Calculator'!J:J,MATCH('Isaac 401k'!N6244,'Retirement Calculator'!A:A,0),0),0)</f>
        <v>0</v>
      </c>
      <c r="K6244" s="444">
        <f t="shared" ca="1" si="221"/>
        <v>-351898501336741.25</v>
      </c>
      <c r="L6244" s="444">
        <f t="shared" ca="1" si="222"/>
        <v>-8.480753882215464E+16</v>
      </c>
      <c r="M6244" s="460">
        <f t="shared" si="224"/>
        <v>0.05</v>
      </c>
      <c r="N6244" s="464">
        <f t="shared" si="225"/>
        <v>241093</v>
      </c>
    </row>
    <row r="6245" spans="7:14" ht="11.25" customHeight="1" x14ac:dyDescent="0.25">
      <c r="G6245" s="459"/>
      <c r="H6245" s="459">
        <v>6238</v>
      </c>
      <c r="I6245" s="444">
        <f t="shared" ca="1" si="223"/>
        <v>-8.480753882215464E+16</v>
      </c>
      <c r="J6245" s="444">
        <f t="array" ref="J6245">IFERROR(INDEX('Retirement Calculator'!J:J,MATCH('Isaac 401k'!N6245,'Retirement Calculator'!A:A,0),0),0)</f>
        <v>0</v>
      </c>
      <c r="K6245" s="444">
        <f t="shared" ca="1" si="221"/>
        <v>-353364745092311</v>
      </c>
      <c r="L6245" s="444">
        <f t="shared" ca="1" si="222"/>
        <v>-8.5160903567246944E+16</v>
      </c>
      <c r="M6245" s="460">
        <f t="shared" si="224"/>
        <v>0.05</v>
      </c>
      <c r="N6245" s="464">
        <f t="shared" si="225"/>
        <v>241122</v>
      </c>
    </row>
    <row r="6246" spans="7:14" ht="11.25" customHeight="1" x14ac:dyDescent="0.25">
      <c r="G6246" s="459"/>
      <c r="H6246" s="459">
        <v>6239</v>
      </c>
      <c r="I6246" s="444">
        <f t="shared" ca="1" si="223"/>
        <v>-8.5160903567246944E+16</v>
      </c>
      <c r="J6246" s="444">
        <f t="array" ref="J6246">IFERROR(INDEX('Retirement Calculator'!J:J,MATCH('Isaac 401k'!N6246,'Retirement Calculator'!A:A,0),0),0)</f>
        <v>0</v>
      </c>
      <c r="K6246" s="444">
        <f t="shared" ca="1" si="221"/>
        <v>-354837098196862.25</v>
      </c>
      <c r="L6246" s="444">
        <f t="shared" ca="1" si="222"/>
        <v>-8.5515740665443808E+16</v>
      </c>
      <c r="M6246" s="460">
        <f t="shared" si="224"/>
        <v>0.05</v>
      </c>
      <c r="N6246" s="464">
        <f t="shared" si="225"/>
        <v>241153</v>
      </c>
    </row>
    <row r="6247" spans="7:14" ht="11.25" customHeight="1" x14ac:dyDescent="0.25">
      <c r="G6247" s="459"/>
      <c r="H6247" s="459">
        <v>6240</v>
      </c>
      <c r="I6247" s="444">
        <f t="shared" ca="1" si="223"/>
        <v>-8.5515740665443808E+16</v>
      </c>
      <c r="J6247" s="444">
        <f t="array" ref="J6247">IFERROR(INDEX('Retirement Calculator'!J:J,MATCH('Isaac 401k'!N6247,'Retirement Calculator'!A:A,0),0),0)</f>
        <v>0</v>
      </c>
      <c r="K6247" s="444">
        <f t="shared" ca="1" si="221"/>
        <v>-356315586106015.88</v>
      </c>
      <c r="L6247" s="444">
        <f t="shared" ca="1" si="222"/>
        <v>-8.5872056251549824E+16</v>
      </c>
      <c r="M6247" s="460">
        <f t="shared" si="224"/>
        <v>0.05</v>
      </c>
      <c r="N6247" s="464">
        <f t="shared" si="225"/>
        <v>241183</v>
      </c>
    </row>
    <row r="6248" spans="7:14" ht="11.25" customHeight="1" x14ac:dyDescent="0.25">
      <c r="G6248" s="459"/>
      <c r="H6248" s="459">
        <v>6241</v>
      </c>
      <c r="I6248" s="444">
        <f t="shared" ca="1" si="223"/>
        <v>-8.5872056251549824E+16</v>
      </c>
      <c r="J6248" s="444">
        <f t="array" ref="J6248">IFERROR(INDEX('Retirement Calculator'!J:J,MATCH('Isaac 401k'!N6248,'Retirement Calculator'!A:A,0),0),0)</f>
        <v>0</v>
      </c>
      <c r="K6248" s="444">
        <f t="shared" ca="1" si="221"/>
        <v>-357800234381457.63</v>
      </c>
      <c r="L6248" s="444">
        <f t="shared" ca="1" si="222"/>
        <v>-8.622985648593128E+16</v>
      </c>
      <c r="M6248" s="460">
        <f t="shared" si="224"/>
        <v>0.05</v>
      </c>
      <c r="N6248" s="464">
        <f t="shared" si="225"/>
        <v>241214</v>
      </c>
    </row>
    <row r="6249" spans="7:14" ht="11.25" customHeight="1" x14ac:dyDescent="0.25">
      <c r="G6249" s="459"/>
      <c r="H6249" s="459">
        <v>6242</v>
      </c>
      <c r="I6249" s="444">
        <f t="shared" ca="1" si="223"/>
        <v>-8.622985648593128E+16</v>
      </c>
      <c r="J6249" s="444">
        <f t="array" ref="J6249">IFERROR(INDEX('Retirement Calculator'!J:J,MATCH('Isaac 401k'!N6249,'Retirement Calculator'!A:A,0),0),0)</f>
        <v>0</v>
      </c>
      <c r="K6249" s="444">
        <f t="shared" ca="1" si="221"/>
        <v>-359291068691380.31</v>
      </c>
      <c r="L6249" s="444">
        <f t="shared" ca="1" si="222"/>
        <v>-8.6589147554622656E+16</v>
      </c>
      <c r="M6249" s="460">
        <f t="shared" si="224"/>
        <v>0.05</v>
      </c>
      <c r="N6249" s="464">
        <f t="shared" si="225"/>
        <v>241244</v>
      </c>
    </row>
    <row r="6250" spans="7:14" ht="11.25" customHeight="1" x14ac:dyDescent="0.25">
      <c r="G6250" s="459"/>
      <c r="H6250" s="459">
        <v>6243</v>
      </c>
      <c r="I6250" s="444">
        <f t="shared" ca="1" si="223"/>
        <v>-8.6589147554622656E+16</v>
      </c>
      <c r="J6250" s="444">
        <f t="array" ref="J6250">IFERROR(INDEX('Retirement Calculator'!J:J,MATCH('Isaac 401k'!N6250,'Retirement Calculator'!A:A,0),0),0)</f>
        <v>0</v>
      </c>
      <c r="K6250" s="444">
        <f t="shared" ca="1" si="221"/>
        <v>-360788114810927.75</v>
      </c>
      <c r="L6250" s="444">
        <f t="shared" ca="1" si="222"/>
        <v>-8.6949935669433584E+16</v>
      </c>
      <c r="M6250" s="460">
        <f t="shared" si="224"/>
        <v>0.05</v>
      </c>
      <c r="N6250" s="464">
        <f t="shared" si="225"/>
        <v>241275</v>
      </c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625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14.5703125" customWidth="1"/>
    <col min="2" max="2" width="12.28515625" customWidth="1"/>
    <col min="3" max="4" width="10.42578125" customWidth="1"/>
    <col min="5" max="5" width="11.7109375" customWidth="1"/>
    <col min="6" max="6" width="14.7109375" customWidth="1"/>
    <col min="7" max="7" width="2.7109375" customWidth="1"/>
    <col min="8" max="8" width="5.42578125" customWidth="1"/>
    <col min="9" max="9" width="18" customWidth="1"/>
    <col min="10" max="10" width="9.140625" customWidth="1"/>
    <col min="11" max="11" width="14.85546875" customWidth="1"/>
    <col min="12" max="12" width="18" customWidth="1"/>
    <col min="13" max="13" width="9.42578125" customWidth="1"/>
    <col min="14" max="14" width="14.7109375" customWidth="1"/>
  </cols>
  <sheetData>
    <row r="1" spans="1:14" ht="11.25" customHeight="1" x14ac:dyDescent="0.25">
      <c r="A1" s="459" t="s">
        <v>655</v>
      </c>
      <c r="B1" s="444">
        <f ca="1">'Combined Retirement'!I8+'Combined Retirement'!K8</f>
        <v>3134933.3260868634</v>
      </c>
      <c r="C1" s="446"/>
      <c r="D1" s="446"/>
      <c r="E1" s="446"/>
      <c r="F1" s="446"/>
      <c r="G1" s="459"/>
      <c r="H1" s="459"/>
      <c r="I1" s="431"/>
      <c r="J1" s="431"/>
      <c r="K1" s="431"/>
      <c r="L1" s="431"/>
      <c r="M1" s="462"/>
      <c r="N1" s="464"/>
    </row>
    <row r="2" spans="1:14" ht="11.25" customHeight="1" x14ac:dyDescent="0.25">
      <c r="A2" s="459" t="s">
        <v>656</v>
      </c>
      <c r="B2" s="460">
        <v>0.05</v>
      </c>
      <c r="C2" s="446" t="s">
        <v>665</v>
      </c>
      <c r="D2" s="446"/>
      <c r="E2" s="446"/>
      <c r="F2" s="446"/>
      <c r="G2" s="459"/>
      <c r="H2" s="459"/>
      <c r="I2" s="431"/>
      <c r="J2" s="431"/>
      <c r="K2" s="431"/>
      <c r="L2" s="431"/>
      <c r="M2" s="462"/>
      <c r="N2" s="464"/>
    </row>
    <row r="3" spans="1:14" ht="11.25" customHeight="1" x14ac:dyDescent="0.25">
      <c r="A3" s="459"/>
      <c r="B3" s="446"/>
      <c r="C3" s="446"/>
      <c r="D3" s="446"/>
      <c r="E3" s="446"/>
      <c r="F3" s="446"/>
      <c r="G3" s="459"/>
      <c r="H3" s="459"/>
      <c r="I3" s="431"/>
      <c r="J3" s="431"/>
      <c r="K3" s="431"/>
      <c r="L3" s="431"/>
      <c r="M3" s="462"/>
      <c r="N3" s="464"/>
    </row>
    <row r="4" spans="1:14" ht="11.25" customHeight="1" x14ac:dyDescent="0.25">
      <c r="A4" s="459" t="s">
        <v>658</v>
      </c>
      <c r="B4" s="451">
        <f ca="1">(SUMIFS(H:H,I:I,"&gt;0",L:L,"&lt;0"))/12</f>
        <v>36.333333333333336</v>
      </c>
      <c r="C4" s="463">
        <f ca="1">(SUMIFS(H:H,I:I,"&gt;0",L:L,"&lt;0"))</f>
        <v>436</v>
      </c>
      <c r="D4" s="456">
        <f t="array" aca="1" ref="D4" ca="1">INDEX(N:N,MATCH(C4,H:H,0),0)</f>
        <v>64529</v>
      </c>
      <c r="E4" s="446"/>
      <c r="F4" s="446"/>
      <c r="G4" s="459"/>
      <c r="H4" s="459"/>
      <c r="I4" s="446"/>
      <c r="J4" s="431"/>
      <c r="K4" s="431"/>
      <c r="L4" s="431"/>
      <c r="M4" s="462"/>
      <c r="N4" s="464"/>
    </row>
    <row r="5" spans="1:14" ht="11.25" customHeight="1" x14ac:dyDescent="0.25">
      <c r="A5" s="459"/>
      <c r="B5" s="446"/>
      <c r="C5" s="446"/>
      <c r="D5" s="446"/>
      <c r="E5" s="446"/>
      <c r="F5" s="446"/>
      <c r="G5" s="459"/>
      <c r="H5" s="459"/>
      <c r="I5" s="431"/>
      <c r="J5" s="431"/>
      <c r="K5" s="431"/>
      <c r="L5" s="431"/>
      <c r="M5" s="462"/>
      <c r="N5" s="464"/>
    </row>
    <row r="6" spans="1:14" ht="11.25" customHeight="1" x14ac:dyDescent="0.25">
      <c r="A6" s="459"/>
      <c r="B6" s="446"/>
      <c r="C6" s="446"/>
      <c r="D6" s="446"/>
      <c r="E6" s="446"/>
      <c r="F6" s="446"/>
      <c r="G6" s="459"/>
      <c r="H6" s="459"/>
      <c r="I6" s="431"/>
      <c r="J6" s="431"/>
      <c r="K6" s="431"/>
      <c r="L6" s="431"/>
      <c r="M6" s="462"/>
      <c r="N6" s="464"/>
    </row>
    <row r="7" spans="1:14" ht="11.25" customHeight="1" x14ac:dyDescent="0.25">
      <c r="A7" s="459" t="s">
        <v>659</v>
      </c>
      <c r="B7" s="446" t="s">
        <v>660</v>
      </c>
      <c r="C7" s="446" t="s">
        <v>661</v>
      </c>
      <c r="D7" s="446" t="s">
        <v>662</v>
      </c>
      <c r="E7" s="446" t="s">
        <v>663</v>
      </c>
      <c r="F7" s="446"/>
      <c r="G7" s="459" t="s">
        <v>664</v>
      </c>
      <c r="H7" s="459" t="s">
        <v>224</v>
      </c>
      <c r="I7" s="446" t="s">
        <v>660</v>
      </c>
      <c r="J7" s="446" t="s">
        <v>661</v>
      </c>
      <c r="K7" s="446" t="s">
        <v>662</v>
      </c>
      <c r="L7" s="446" t="s">
        <v>663</v>
      </c>
      <c r="M7" s="460"/>
      <c r="N7" s="464" t="s">
        <v>590</v>
      </c>
    </row>
    <row r="8" spans="1:14" ht="11.25" customHeight="1" x14ac:dyDescent="0.25">
      <c r="A8" s="459">
        <v>1</v>
      </c>
      <c r="B8" s="447">
        <f ca="1">B1</f>
        <v>3134933.3260868634</v>
      </c>
      <c r="C8" s="447">
        <f t="shared" ref="C8:C71" si="0">SUMIF(G:G,A8,J:J)</f>
        <v>0</v>
      </c>
      <c r="D8" s="447">
        <f ca="1">SUMIF(G:G,1,K:K)</f>
        <v>160389.13869529826</v>
      </c>
      <c r="E8" s="447">
        <f t="shared" ref="E8:E71" ca="1" si="1">B8-C8+D8</f>
        <v>3295322.4647821616</v>
      </c>
      <c r="F8" s="431"/>
      <c r="G8" s="459">
        <v>1</v>
      </c>
      <c r="H8" s="459">
        <v>1</v>
      </c>
      <c r="I8" s="444">
        <f ca="1">B1</f>
        <v>3134933.3260868634</v>
      </c>
      <c r="J8" s="444">
        <f t="array" ref="J8">IFERROR(INDEX('Retirement Calculator'!K:K,MATCH('Lorri 401b'!N8,'Retirement Calculator'!A:A,0),0),0)</f>
        <v>0</v>
      </c>
      <c r="K8" s="444">
        <f t="shared" ref="K8:K262" ca="1" si="2">IPMT(M8/12,1,12,-I8+J8,,0)</f>
        <v>13062.222192028597</v>
      </c>
      <c r="L8" s="444">
        <f t="shared" ref="L8:L262" ca="1" si="3">I8-J8+K8</f>
        <v>3147995.5482788919</v>
      </c>
      <c r="M8" s="460">
        <f>B2</f>
        <v>0.05</v>
      </c>
      <c r="N8" s="464">
        <f>'Retirement Calculator'!D7</f>
        <v>51288</v>
      </c>
    </row>
    <row r="9" spans="1:14" ht="11.25" customHeight="1" x14ac:dyDescent="0.25">
      <c r="A9" s="459">
        <v>2</v>
      </c>
      <c r="B9" s="447">
        <f t="shared" ref="B9:B71" ca="1" si="4">E8</f>
        <v>3295322.4647821616</v>
      </c>
      <c r="C9" s="447">
        <f t="shared" si="0"/>
        <v>0</v>
      </c>
      <c r="D9" s="447">
        <f ca="1">SUMIF(G:G,2,K:K)</f>
        <v>168594.95143056629</v>
      </c>
      <c r="E9" s="447">
        <f t="shared" ca="1" si="1"/>
        <v>3463917.4162127278</v>
      </c>
      <c r="F9" s="431"/>
      <c r="G9" s="459">
        <v>1</v>
      </c>
      <c r="H9" s="459">
        <v>2</v>
      </c>
      <c r="I9" s="444">
        <f t="shared" ref="I9:I263" ca="1" si="5">L8</f>
        <v>3147995.5482788919</v>
      </c>
      <c r="J9" s="444">
        <f t="array" ref="J9">IFERROR(INDEX('Retirement Calculator'!K:K,MATCH('Lorri 401b'!N9,'Retirement Calculator'!A:A,0),0),0)</f>
        <v>0</v>
      </c>
      <c r="K9" s="444">
        <f t="shared" ca="1" si="2"/>
        <v>13116.648117828716</v>
      </c>
      <c r="L9" s="444">
        <f t="shared" ca="1" si="3"/>
        <v>3161112.1963967206</v>
      </c>
      <c r="M9" s="460">
        <f t="shared" ref="M9:M263" si="6">M8</f>
        <v>0.05</v>
      </c>
      <c r="N9" s="464">
        <f t="shared" ref="N9:N263" si="7">EDATE(N8,1)</f>
        <v>51318</v>
      </c>
    </row>
    <row r="10" spans="1:14" ht="11.25" customHeight="1" x14ac:dyDescent="0.25">
      <c r="A10" s="459">
        <v>3</v>
      </c>
      <c r="B10" s="447">
        <f t="shared" ca="1" si="4"/>
        <v>3463917.4162127278</v>
      </c>
      <c r="C10" s="447">
        <f t="shared" si="0"/>
        <v>0</v>
      </c>
      <c r="D10" s="447">
        <f ca="1">SUMIF(G:G,3,K:K)</f>
        <v>177220.58911903267</v>
      </c>
      <c r="E10" s="447">
        <f t="shared" ca="1" si="1"/>
        <v>3641138.0053317603</v>
      </c>
      <c r="F10" s="431"/>
      <c r="G10" s="459">
        <v>1</v>
      </c>
      <c r="H10" s="459">
        <v>3</v>
      </c>
      <c r="I10" s="444">
        <f t="shared" ca="1" si="5"/>
        <v>3161112.1963967206</v>
      </c>
      <c r="J10" s="444">
        <f t="array" ref="J10">IFERROR(INDEX('Retirement Calculator'!K:K,MATCH('Lorri 401b'!N10,'Retirement Calculator'!A:A,0),0),0)</f>
        <v>0</v>
      </c>
      <c r="K10" s="444">
        <f t="shared" ca="1" si="2"/>
        <v>13171.300818319669</v>
      </c>
      <c r="L10" s="444">
        <f t="shared" ca="1" si="3"/>
        <v>3174283.4972150405</v>
      </c>
      <c r="M10" s="460">
        <f t="shared" si="6"/>
        <v>0.05</v>
      </c>
      <c r="N10" s="464">
        <f t="shared" si="7"/>
        <v>51349</v>
      </c>
    </row>
    <row r="11" spans="1:14" ht="11.25" customHeight="1" x14ac:dyDescent="0.25">
      <c r="A11" s="459">
        <v>4</v>
      </c>
      <c r="B11" s="447">
        <f t="shared" ca="1" si="4"/>
        <v>3641138.0053317603</v>
      </c>
      <c r="C11" s="447">
        <f t="shared" si="0"/>
        <v>0</v>
      </c>
      <c r="D11" s="447">
        <f ca="1">SUMIF(G:G,4,K:K)</f>
        <v>186287.53080208119</v>
      </c>
      <c r="E11" s="447">
        <f t="shared" ca="1" si="1"/>
        <v>3827425.5361338416</v>
      </c>
      <c r="F11" s="431"/>
      <c r="G11" s="459">
        <v>1</v>
      </c>
      <c r="H11" s="459">
        <v>4</v>
      </c>
      <c r="I11" s="444">
        <f t="shared" ca="1" si="5"/>
        <v>3174283.4972150405</v>
      </c>
      <c r="J11" s="444">
        <f t="array" ref="J11">IFERROR(INDEX('Retirement Calculator'!K:K,MATCH('Lorri 401b'!N11,'Retirement Calculator'!A:A,0),0),0)</f>
        <v>0</v>
      </c>
      <c r="K11" s="444">
        <f t="shared" ca="1" si="2"/>
        <v>13226.181238396002</v>
      </c>
      <c r="L11" s="444">
        <f t="shared" ca="1" si="3"/>
        <v>3187509.6784534366</v>
      </c>
      <c r="M11" s="460">
        <f t="shared" si="6"/>
        <v>0.05</v>
      </c>
      <c r="N11" s="464">
        <f t="shared" si="7"/>
        <v>51380</v>
      </c>
    </row>
    <row r="12" spans="1:14" ht="11.25" customHeight="1" x14ac:dyDescent="0.25">
      <c r="A12" s="459">
        <v>5</v>
      </c>
      <c r="B12" s="447">
        <f t="shared" ca="1" si="4"/>
        <v>3827425.5361338416</v>
      </c>
      <c r="C12" s="447">
        <f t="shared" si="0"/>
        <v>0</v>
      </c>
      <c r="D12" s="447">
        <f ca="1">SUMIF(G:G,5,K:K)</f>
        <v>195818.35442961752</v>
      </c>
      <c r="E12" s="447">
        <f t="shared" ca="1" si="1"/>
        <v>4023243.8905634591</v>
      </c>
      <c r="F12" s="431"/>
      <c r="G12" s="459">
        <v>1</v>
      </c>
      <c r="H12" s="459">
        <v>5</v>
      </c>
      <c r="I12" s="444">
        <f t="shared" ca="1" si="5"/>
        <v>3187509.6784534366</v>
      </c>
      <c r="J12" s="444">
        <f t="array" ref="J12">IFERROR(INDEX('Retirement Calculator'!K:K,MATCH('Lorri 401b'!N12,'Retirement Calculator'!A:A,0),0),0)</f>
        <v>0</v>
      </c>
      <c r="K12" s="444">
        <f t="shared" ca="1" si="2"/>
        <v>13281.290326889319</v>
      </c>
      <c r="L12" s="444">
        <f t="shared" ca="1" si="3"/>
        <v>3200790.9687803257</v>
      </c>
      <c r="M12" s="460">
        <f t="shared" si="6"/>
        <v>0.05</v>
      </c>
      <c r="N12" s="464">
        <f t="shared" si="7"/>
        <v>51410</v>
      </c>
    </row>
    <row r="13" spans="1:14" ht="11.25" customHeight="1" x14ac:dyDescent="0.25">
      <c r="A13" s="459">
        <v>6</v>
      </c>
      <c r="B13" s="447">
        <f t="shared" ca="1" si="4"/>
        <v>4023243.8905634591</v>
      </c>
      <c r="C13" s="447">
        <f t="shared" si="0"/>
        <v>116996.01957289393</v>
      </c>
      <c r="D13" s="447">
        <f ca="1">SUMIF(G:G,6,K:K)</f>
        <v>204366.19268196519</v>
      </c>
      <c r="E13" s="447">
        <f t="shared" ca="1" si="1"/>
        <v>4110614.0636725305</v>
      </c>
      <c r="F13" s="431"/>
      <c r="G13" s="459">
        <v>1</v>
      </c>
      <c r="H13" s="459">
        <v>6</v>
      </c>
      <c r="I13" s="444">
        <f t="shared" ca="1" si="5"/>
        <v>3200790.9687803257</v>
      </c>
      <c r="J13" s="444">
        <f t="array" ref="J13">IFERROR(INDEX('Retirement Calculator'!K:K,MATCH('Lorri 401b'!N13,'Retirement Calculator'!A:A,0),0),0)</f>
        <v>0</v>
      </c>
      <c r="K13" s="444">
        <f t="shared" ca="1" si="2"/>
        <v>13336.629036584691</v>
      </c>
      <c r="L13" s="444">
        <f t="shared" ca="1" si="3"/>
        <v>3214127.5978169106</v>
      </c>
      <c r="M13" s="460">
        <f t="shared" si="6"/>
        <v>0.05</v>
      </c>
      <c r="N13" s="464">
        <f t="shared" si="7"/>
        <v>51441</v>
      </c>
    </row>
    <row r="14" spans="1:14" ht="11.25" customHeight="1" x14ac:dyDescent="0.25">
      <c r="A14" s="459">
        <v>7</v>
      </c>
      <c r="B14" s="447">
        <f t="shared" ca="1" si="4"/>
        <v>4110614.0636725305</v>
      </c>
      <c r="C14" s="447">
        <f t="shared" si="0"/>
        <v>280790.44697494537</v>
      </c>
      <c r="D14" s="447">
        <f ca="1">SUMIF(G:G,7,K:K)</f>
        <v>202584.67276461655</v>
      </c>
      <c r="E14" s="447">
        <f t="shared" ca="1" si="1"/>
        <v>4032408.2894622018</v>
      </c>
      <c r="F14" s="431"/>
      <c r="G14" s="459">
        <v>1</v>
      </c>
      <c r="H14" s="459">
        <v>7</v>
      </c>
      <c r="I14" s="444">
        <f t="shared" ca="1" si="5"/>
        <v>3214127.5978169106</v>
      </c>
      <c r="J14" s="444">
        <f t="array" ref="J14">IFERROR(INDEX('Retirement Calculator'!K:K,MATCH('Lorri 401b'!N14,'Retirement Calculator'!A:A,0),0),0)</f>
        <v>0</v>
      </c>
      <c r="K14" s="444">
        <f t="shared" ca="1" si="2"/>
        <v>13392.198324237128</v>
      </c>
      <c r="L14" s="444">
        <f t="shared" ca="1" si="3"/>
        <v>3227519.7961411476</v>
      </c>
      <c r="M14" s="460">
        <f t="shared" si="6"/>
        <v>0.05</v>
      </c>
      <c r="N14" s="464">
        <f t="shared" si="7"/>
        <v>51471</v>
      </c>
    </row>
    <row r="15" spans="1:14" ht="11.25" customHeight="1" x14ac:dyDescent="0.25">
      <c r="A15" s="459">
        <v>8</v>
      </c>
      <c r="B15" s="447">
        <f t="shared" ca="1" si="4"/>
        <v>4032408.2894622018</v>
      </c>
      <c r="C15" s="447">
        <f t="shared" si="0"/>
        <v>280790.44697494537</v>
      </c>
      <c r="D15" s="447">
        <f ca="1">SUMIF(G:G,8,K:K)</f>
        <v>198583.51693070569</v>
      </c>
      <c r="E15" s="447">
        <f t="shared" ca="1" si="1"/>
        <v>3950201.3594179624</v>
      </c>
      <c r="F15" s="431"/>
      <c r="G15" s="459">
        <v>1</v>
      </c>
      <c r="H15" s="459">
        <v>8</v>
      </c>
      <c r="I15" s="444">
        <f t="shared" ca="1" si="5"/>
        <v>3227519.7961411476</v>
      </c>
      <c r="J15" s="444">
        <f t="array" ref="J15">IFERROR(INDEX('Retirement Calculator'!K:K,MATCH('Lorri 401b'!N15,'Retirement Calculator'!A:A,0),0),0)</f>
        <v>0</v>
      </c>
      <c r="K15" s="444">
        <f t="shared" ca="1" si="2"/>
        <v>13447.999150588115</v>
      </c>
      <c r="L15" s="444">
        <f t="shared" ca="1" si="3"/>
        <v>3240967.7952917358</v>
      </c>
      <c r="M15" s="460">
        <f t="shared" si="6"/>
        <v>0.05</v>
      </c>
      <c r="N15" s="464">
        <f t="shared" si="7"/>
        <v>51502</v>
      </c>
    </row>
    <row r="16" spans="1:14" ht="11.25" customHeight="1" x14ac:dyDescent="0.25">
      <c r="A16" s="459">
        <v>9</v>
      </c>
      <c r="B16" s="447">
        <f t="shared" ca="1" si="4"/>
        <v>3950201.3594179624</v>
      </c>
      <c r="C16" s="447">
        <f t="shared" si="0"/>
        <v>261607.54257494543</v>
      </c>
      <c r="D16" s="447">
        <f ca="1">SUMIF(G:G,9,K:K)</f>
        <v>194863.9505739827</v>
      </c>
      <c r="E16" s="447">
        <f t="shared" ca="1" si="1"/>
        <v>3883457.7674169997</v>
      </c>
      <c r="F16" s="431"/>
      <c r="G16" s="459">
        <v>1</v>
      </c>
      <c r="H16" s="459">
        <v>9</v>
      </c>
      <c r="I16" s="444">
        <f t="shared" ca="1" si="5"/>
        <v>3240967.7952917358</v>
      </c>
      <c r="J16" s="444">
        <f t="array" ref="J16">IFERROR(INDEX('Retirement Calculator'!K:K,MATCH('Lorri 401b'!N16,'Retirement Calculator'!A:A,0),0),0)</f>
        <v>0</v>
      </c>
      <c r="K16" s="444">
        <f t="shared" ca="1" si="2"/>
        <v>13504.032480382231</v>
      </c>
      <c r="L16" s="444">
        <f t="shared" ca="1" si="3"/>
        <v>3254471.8277721182</v>
      </c>
      <c r="M16" s="460">
        <f t="shared" si="6"/>
        <v>0.05</v>
      </c>
      <c r="N16" s="464">
        <f t="shared" si="7"/>
        <v>51533</v>
      </c>
    </row>
    <row r="17" spans="1:14" ht="11.25" customHeight="1" x14ac:dyDescent="0.25">
      <c r="A17" s="459">
        <v>10</v>
      </c>
      <c r="B17" s="447">
        <f t="shared" ca="1" si="4"/>
        <v>3883457.7674169997</v>
      </c>
      <c r="C17" s="447">
        <f t="shared" si="0"/>
        <v>259863.64217494545</v>
      </c>
      <c r="D17" s="447">
        <f ca="1">SUMIF(G:G,10,K:K)</f>
        <v>191538.44298995004</v>
      </c>
      <c r="E17" s="447">
        <f t="shared" ca="1" si="1"/>
        <v>3815132.5682320045</v>
      </c>
      <c r="F17" s="431"/>
      <c r="G17" s="459">
        <v>1</v>
      </c>
      <c r="H17" s="459">
        <v>10</v>
      </c>
      <c r="I17" s="444">
        <f t="shared" ca="1" si="5"/>
        <v>3254471.8277721182</v>
      </c>
      <c r="J17" s="444">
        <f t="array" ref="J17">IFERROR(INDEX('Retirement Calculator'!K:K,MATCH('Lorri 401b'!N17,'Retirement Calculator'!A:A,0),0),0)</f>
        <v>0</v>
      </c>
      <c r="K17" s="444">
        <f t="shared" ca="1" si="2"/>
        <v>13560.299282383825</v>
      </c>
      <c r="L17" s="444">
        <f t="shared" ca="1" si="3"/>
        <v>3268032.1270545018</v>
      </c>
      <c r="M17" s="460">
        <f t="shared" si="6"/>
        <v>0.05</v>
      </c>
      <c r="N17" s="464">
        <f t="shared" si="7"/>
        <v>51561</v>
      </c>
    </row>
    <row r="18" spans="1:14" ht="11.25" customHeight="1" x14ac:dyDescent="0.25">
      <c r="A18" s="459">
        <v>11</v>
      </c>
      <c r="B18" s="447">
        <f t="shared" ca="1" si="4"/>
        <v>3815132.5682320045</v>
      </c>
      <c r="C18" s="447">
        <f t="shared" si="0"/>
        <v>259863.64217494545</v>
      </c>
      <c r="D18" s="447">
        <f ca="1">SUMIF(G:G,11,K:K)</f>
        <v>188042.7961264982</v>
      </c>
      <c r="E18" s="447">
        <f t="shared" ca="1" si="1"/>
        <v>3743311.7221835577</v>
      </c>
      <c r="F18" s="431"/>
      <c r="G18" s="459">
        <v>1</v>
      </c>
      <c r="H18" s="459">
        <v>11</v>
      </c>
      <c r="I18" s="444">
        <f t="shared" ca="1" si="5"/>
        <v>3268032.1270545018</v>
      </c>
      <c r="J18" s="444">
        <f t="array" ref="J18">IFERROR(INDEX('Retirement Calculator'!K:K,MATCH('Lorri 401b'!N18,'Retirement Calculator'!A:A,0),0),0)</f>
        <v>0</v>
      </c>
      <c r="K18" s="444">
        <f t="shared" ca="1" si="2"/>
        <v>13616.800529393757</v>
      </c>
      <c r="L18" s="444">
        <f t="shared" ca="1" si="3"/>
        <v>3281648.9275838956</v>
      </c>
      <c r="M18" s="460">
        <f t="shared" si="6"/>
        <v>0.05</v>
      </c>
      <c r="N18" s="464">
        <f t="shared" si="7"/>
        <v>51592</v>
      </c>
    </row>
    <row r="19" spans="1:14" ht="11.25" customHeight="1" x14ac:dyDescent="0.25">
      <c r="A19" s="459">
        <v>12</v>
      </c>
      <c r="B19" s="447">
        <f t="shared" ca="1" si="4"/>
        <v>3743311.7221835577</v>
      </c>
      <c r="C19" s="447">
        <f t="shared" si="0"/>
        <v>259863.64217494545</v>
      </c>
      <c r="D19" s="447">
        <f ca="1">SUMIF(G:G,12,K:K)</f>
        <v>184368.30533518782</v>
      </c>
      <c r="E19" s="447">
        <f t="shared" ca="1" si="1"/>
        <v>3667816.3853437998</v>
      </c>
      <c r="F19" s="431"/>
      <c r="G19" s="459">
        <v>1</v>
      </c>
      <c r="H19" s="459">
        <v>12</v>
      </c>
      <c r="I19" s="444">
        <f t="shared" ca="1" si="5"/>
        <v>3281648.9275838956</v>
      </c>
      <c r="J19" s="444">
        <f t="array" ref="J19">IFERROR(INDEX('Retirement Calculator'!K:K,MATCH('Lorri 401b'!N19,'Retirement Calculator'!A:A,0),0),0)</f>
        <v>0</v>
      </c>
      <c r="K19" s="444">
        <f t="shared" ca="1" si="2"/>
        <v>13673.537198266231</v>
      </c>
      <c r="L19" s="444">
        <f t="shared" ca="1" si="3"/>
        <v>3295322.4647821616</v>
      </c>
      <c r="M19" s="460">
        <f t="shared" si="6"/>
        <v>0.05</v>
      </c>
      <c r="N19" s="464">
        <f t="shared" si="7"/>
        <v>51622</v>
      </c>
    </row>
    <row r="20" spans="1:14" ht="11.25" customHeight="1" x14ac:dyDescent="0.25">
      <c r="A20" s="459">
        <v>13</v>
      </c>
      <c r="B20" s="447">
        <f t="shared" ca="1" si="4"/>
        <v>3667816.3853437998</v>
      </c>
      <c r="C20" s="447">
        <f t="shared" si="0"/>
        <v>259863.64217494545</v>
      </c>
      <c r="D20" s="447">
        <f ca="1">SUMIF(G:G,13,K:K)</f>
        <v>180505.82062124502</v>
      </c>
      <c r="E20" s="447">
        <f t="shared" ca="1" si="1"/>
        <v>3588458.5637900992</v>
      </c>
      <c r="F20" s="431"/>
      <c r="G20" s="459">
        <v>2</v>
      </c>
      <c r="H20" s="459">
        <v>13</v>
      </c>
      <c r="I20" s="444">
        <f t="shared" ca="1" si="5"/>
        <v>3295322.4647821616</v>
      </c>
      <c r="J20" s="444">
        <f t="array" ref="J20">IFERROR(INDEX('Retirement Calculator'!K:K,MATCH('Lorri 401b'!N20,'Retirement Calculator'!A:A,0),0),0)</f>
        <v>0</v>
      </c>
      <c r="K20" s="444">
        <f t="shared" ca="1" si="2"/>
        <v>13730.510269925675</v>
      </c>
      <c r="L20" s="444">
        <f t="shared" ca="1" si="3"/>
        <v>3309052.9750520871</v>
      </c>
      <c r="M20" s="460">
        <f t="shared" si="6"/>
        <v>0.05</v>
      </c>
      <c r="N20" s="464">
        <f t="shared" si="7"/>
        <v>51653</v>
      </c>
    </row>
    <row r="21" spans="1:14" ht="11.25" customHeight="1" x14ac:dyDescent="0.25">
      <c r="A21" s="459">
        <v>14</v>
      </c>
      <c r="B21" s="447">
        <f t="shared" ca="1" si="4"/>
        <v>3588458.5637900992</v>
      </c>
      <c r="C21" s="447">
        <f t="shared" si="0"/>
        <v>259863.64217494545</v>
      </c>
      <c r="D21" s="447">
        <f ca="1">SUMIF(G:G,14,K:K)</f>
        <v>176445.72385879778</v>
      </c>
      <c r="E21" s="447">
        <f t="shared" ca="1" si="1"/>
        <v>3505040.6454739515</v>
      </c>
      <c r="F21" s="431"/>
      <c r="G21" s="459">
        <v>2</v>
      </c>
      <c r="H21" s="459">
        <v>14</v>
      </c>
      <c r="I21" s="444">
        <f t="shared" ca="1" si="5"/>
        <v>3309052.9750520871</v>
      </c>
      <c r="J21" s="444">
        <f t="array" ref="J21">IFERROR(INDEX('Retirement Calculator'!K:K,MATCH('Lorri 401b'!N21,'Retirement Calculator'!A:A,0),0),0)</f>
        <v>0</v>
      </c>
      <c r="K21" s="444">
        <f t="shared" ca="1" si="2"/>
        <v>13787.720729383696</v>
      </c>
      <c r="L21" s="444">
        <f t="shared" ca="1" si="3"/>
        <v>3322840.6957814707</v>
      </c>
      <c r="M21" s="460">
        <f t="shared" si="6"/>
        <v>0.05</v>
      </c>
      <c r="N21" s="464">
        <f t="shared" si="7"/>
        <v>51683</v>
      </c>
    </row>
    <row r="22" spans="1:14" ht="11.25" customHeight="1" x14ac:dyDescent="0.25">
      <c r="A22" s="459">
        <v>15</v>
      </c>
      <c r="B22" s="447">
        <f t="shared" ca="1" si="4"/>
        <v>3505040.6454739515</v>
      </c>
      <c r="C22" s="447">
        <f t="shared" si="0"/>
        <v>259863.64217494545</v>
      </c>
      <c r="D22" s="447">
        <f ca="1">SUMIF(G:G,15,K:K)</f>
        <v>172177.9048404003</v>
      </c>
      <c r="E22" s="447">
        <f t="shared" ca="1" si="1"/>
        <v>3417354.9081394067</v>
      </c>
      <c r="F22" s="431"/>
      <c r="G22" s="459">
        <v>2</v>
      </c>
      <c r="H22" s="459">
        <v>15</v>
      </c>
      <c r="I22" s="444">
        <f t="shared" ca="1" si="5"/>
        <v>3322840.6957814707</v>
      </c>
      <c r="J22" s="444">
        <f t="array" ref="J22">IFERROR(INDEX('Retirement Calculator'!K:K,MATCH('Lorri 401b'!N22,'Retirement Calculator'!A:A,0),0),0)</f>
        <v>0</v>
      </c>
      <c r="K22" s="444">
        <f t="shared" ca="1" si="2"/>
        <v>13845.169565756129</v>
      </c>
      <c r="L22" s="444">
        <f t="shared" ca="1" si="3"/>
        <v>3336685.8653472271</v>
      </c>
      <c r="M22" s="460">
        <f t="shared" si="6"/>
        <v>0.05</v>
      </c>
      <c r="N22" s="464">
        <f t="shared" si="7"/>
        <v>51714</v>
      </c>
    </row>
    <row r="23" spans="1:14" ht="11.25" customHeight="1" x14ac:dyDescent="0.25">
      <c r="A23" s="459">
        <v>16</v>
      </c>
      <c r="B23" s="447">
        <f t="shared" ca="1" si="4"/>
        <v>3417354.9081394067</v>
      </c>
      <c r="C23" s="447">
        <f t="shared" si="0"/>
        <v>259863.64217494545</v>
      </c>
      <c r="D23" s="447">
        <f ca="1">SUMIF(G:G,16,K:K)</f>
        <v>167691.73610120578</v>
      </c>
      <c r="E23" s="447">
        <f t="shared" ca="1" si="1"/>
        <v>3325183.0020656674</v>
      </c>
      <c r="F23" s="431"/>
      <c r="G23" s="459">
        <v>2</v>
      </c>
      <c r="H23" s="459">
        <v>16</v>
      </c>
      <c r="I23" s="444">
        <f t="shared" ca="1" si="5"/>
        <v>3336685.8653472271</v>
      </c>
      <c r="J23" s="444">
        <f t="array" ref="J23">IFERROR(INDEX('Retirement Calculator'!K:K,MATCH('Lorri 401b'!N23,'Retirement Calculator'!A:A,0),0),0)</f>
        <v>0</v>
      </c>
      <c r="K23" s="444">
        <f t="shared" ca="1" si="2"/>
        <v>13902.857772280113</v>
      </c>
      <c r="L23" s="444">
        <f t="shared" ca="1" si="3"/>
        <v>3350588.7231195071</v>
      </c>
      <c r="M23" s="460">
        <f t="shared" si="6"/>
        <v>0.05</v>
      </c>
      <c r="N23" s="464">
        <f t="shared" si="7"/>
        <v>51745</v>
      </c>
    </row>
    <row r="24" spans="1:14" ht="11.25" customHeight="1" x14ac:dyDescent="0.25">
      <c r="A24" s="459">
        <v>17</v>
      </c>
      <c r="B24" s="447">
        <f t="shared" ca="1" si="4"/>
        <v>3325183.0020656674</v>
      </c>
      <c r="C24" s="447">
        <f t="shared" si="0"/>
        <v>259863.64217494545</v>
      </c>
      <c r="D24" s="447">
        <f ca="1">SUMIF(G:G,17,K:K)</f>
        <v>162976.04645509642</v>
      </c>
      <c r="E24" s="447">
        <f t="shared" ca="1" si="1"/>
        <v>3228295.4063458182</v>
      </c>
      <c r="F24" s="431"/>
      <c r="G24" s="459">
        <v>2</v>
      </c>
      <c r="H24" s="459">
        <v>17</v>
      </c>
      <c r="I24" s="444">
        <f t="shared" ca="1" si="5"/>
        <v>3350588.7231195071</v>
      </c>
      <c r="J24" s="444">
        <f t="array" ref="J24">IFERROR(INDEX('Retirement Calculator'!K:K,MATCH('Lorri 401b'!N24,'Retirement Calculator'!A:A,0),0),0)</f>
        <v>0</v>
      </c>
      <c r="K24" s="444">
        <f t="shared" ca="1" si="2"/>
        <v>13960.786346331281</v>
      </c>
      <c r="L24" s="444">
        <f t="shared" ca="1" si="3"/>
        <v>3364549.5094658383</v>
      </c>
      <c r="M24" s="460">
        <f t="shared" si="6"/>
        <v>0.05</v>
      </c>
      <c r="N24" s="464">
        <f t="shared" si="7"/>
        <v>51775</v>
      </c>
    </row>
    <row r="25" spans="1:14" ht="11.25" customHeight="1" x14ac:dyDescent="0.25">
      <c r="A25" s="459">
        <v>18</v>
      </c>
      <c r="B25" s="447">
        <f t="shared" ca="1" si="4"/>
        <v>3228295.4063458182</v>
      </c>
      <c r="C25" s="447">
        <f t="shared" si="0"/>
        <v>259863.64217494545</v>
      </c>
      <c r="D25" s="447">
        <f ca="1">SUMIF(G:G,18,K:K)</f>
        <v>158019.09317687081</v>
      </c>
      <c r="E25" s="447">
        <f t="shared" ca="1" si="1"/>
        <v>3126450.8573477436</v>
      </c>
      <c r="F25" s="431"/>
      <c r="G25" s="459">
        <v>2</v>
      </c>
      <c r="H25" s="459">
        <v>18</v>
      </c>
      <c r="I25" s="444">
        <f t="shared" ca="1" si="5"/>
        <v>3364549.5094658383</v>
      </c>
      <c r="J25" s="444">
        <f t="array" ref="J25">IFERROR(INDEX('Retirement Calculator'!K:K,MATCH('Lorri 401b'!N25,'Retirement Calculator'!A:A,0),0),0)</f>
        <v>0</v>
      </c>
      <c r="K25" s="444">
        <f t="shared" ca="1" si="2"/>
        <v>14018.95628944099</v>
      </c>
      <c r="L25" s="444">
        <f t="shared" ca="1" si="3"/>
        <v>3378568.4657552792</v>
      </c>
      <c r="M25" s="460">
        <f t="shared" si="6"/>
        <v>0.05</v>
      </c>
      <c r="N25" s="464">
        <f t="shared" si="7"/>
        <v>51806</v>
      </c>
    </row>
    <row r="26" spans="1:14" ht="11.25" customHeight="1" x14ac:dyDescent="0.25">
      <c r="A26" s="459">
        <v>19</v>
      </c>
      <c r="B26" s="447">
        <f t="shared" ca="1" si="4"/>
        <v>3126450.8573477436</v>
      </c>
      <c r="C26" s="447">
        <f t="shared" si="0"/>
        <v>259863.64217494545</v>
      </c>
      <c r="D26" s="447">
        <f ca="1">SUMIF(G:G,19,K:K)</f>
        <v>152808.53276122009</v>
      </c>
      <c r="E26" s="447">
        <f t="shared" ca="1" si="1"/>
        <v>3019395.7479340183</v>
      </c>
      <c r="F26" s="431"/>
      <c r="G26" s="459">
        <v>2</v>
      </c>
      <c r="H26" s="459">
        <v>19</v>
      </c>
      <c r="I26" s="444">
        <f t="shared" ca="1" si="5"/>
        <v>3378568.4657552792</v>
      </c>
      <c r="J26" s="444">
        <f t="array" ref="J26">IFERROR(INDEX('Retirement Calculator'!K:K,MATCH('Lorri 401b'!N26,'Retirement Calculator'!A:A,0),0),0)</f>
        <v>0</v>
      </c>
      <c r="K26" s="444">
        <f t="shared" ca="1" si="2"/>
        <v>14077.368607313663</v>
      </c>
      <c r="L26" s="444">
        <f t="shared" ca="1" si="3"/>
        <v>3392645.834362593</v>
      </c>
      <c r="M26" s="460">
        <f t="shared" si="6"/>
        <v>0.05</v>
      </c>
      <c r="N26" s="464">
        <f t="shared" si="7"/>
        <v>51836</v>
      </c>
    </row>
    <row r="27" spans="1:14" ht="11.25" customHeight="1" x14ac:dyDescent="0.25">
      <c r="A27" s="459">
        <v>20</v>
      </c>
      <c r="B27" s="447">
        <f t="shared" ca="1" si="4"/>
        <v>3019395.7479340183</v>
      </c>
      <c r="C27" s="447">
        <f t="shared" si="0"/>
        <v>259863.64217494545</v>
      </c>
      <c r="D27" s="447">
        <f ca="1">SUMIF(G:G,20,K:K)</f>
        <v>147331.39018567727</v>
      </c>
      <c r="E27" s="447">
        <f t="shared" ca="1" si="1"/>
        <v>2906863.4959447505</v>
      </c>
      <c r="F27" s="431"/>
      <c r="G27" s="459">
        <v>2</v>
      </c>
      <c r="H27" s="459">
        <v>20</v>
      </c>
      <c r="I27" s="444">
        <f t="shared" ca="1" si="5"/>
        <v>3392645.834362593</v>
      </c>
      <c r="J27" s="444">
        <f t="array" ref="J27">IFERROR(INDEX('Retirement Calculator'!K:K,MATCH('Lorri 401b'!N27,'Retirement Calculator'!A:A,0),0),0)</f>
        <v>0</v>
      </c>
      <c r="K27" s="444">
        <f t="shared" ca="1" si="2"/>
        <v>14136.024309844139</v>
      </c>
      <c r="L27" s="444">
        <f t="shared" ca="1" si="3"/>
        <v>3406781.8586724373</v>
      </c>
      <c r="M27" s="460">
        <f t="shared" si="6"/>
        <v>0.05</v>
      </c>
      <c r="N27" s="464">
        <f t="shared" si="7"/>
        <v>51867</v>
      </c>
    </row>
    <row r="28" spans="1:14" ht="11.25" customHeight="1" x14ac:dyDescent="0.25">
      <c r="A28" s="459">
        <v>21</v>
      </c>
      <c r="B28" s="447">
        <f t="shared" ca="1" si="4"/>
        <v>2906863.4959447505</v>
      </c>
      <c r="C28" s="447">
        <f t="shared" si="0"/>
        <v>259863.64217494545</v>
      </c>
      <c r="D28" s="447">
        <f ca="1">SUMIF(G:G,21,K:K)</f>
        <v>141574.02660100078</v>
      </c>
      <c r="E28" s="447">
        <f t="shared" ca="1" si="1"/>
        <v>2788573.880370806</v>
      </c>
      <c r="F28" s="431"/>
      <c r="G28" s="459">
        <v>2</v>
      </c>
      <c r="H28" s="459">
        <v>21</v>
      </c>
      <c r="I28" s="444">
        <f t="shared" ca="1" si="5"/>
        <v>3406781.8586724373</v>
      </c>
      <c r="J28" s="444">
        <f t="array" ref="J28">IFERROR(INDEX('Retirement Calculator'!K:K,MATCH('Lorri 401b'!N28,'Retirement Calculator'!A:A,0),0),0)</f>
        <v>0</v>
      </c>
      <c r="K28" s="444">
        <f t="shared" ca="1" si="2"/>
        <v>14194.924411135156</v>
      </c>
      <c r="L28" s="444">
        <f t="shared" ca="1" si="3"/>
        <v>3420976.7830835725</v>
      </c>
      <c r="M28" s="460">
        <f t="shared" si="6"/>
        <v>0.05</v>
      </c>
      <c r="N28" s="464">
        <f t="shared" si="7"/>
        <v>51898</v>
      </c>
    </row>
    <row r="29" spans="1:14" ht="11.25" customHeight="1" x14ac:dyDescent="0.25">
      <c r="A29" s="459">
        <v>22</v>
      </c>
      <c r="B29" s="447">
        <f t="shared" ca="1" si="4"/>
        <v>2788573.880370806</v>
      </c>
      <c r="C29" s="447">
        <f t="shared" si="0"/>
        <v>259863.64217494545</v>
      </c>
      <c r="D29" s="447">
        <f ca="1">SUMIF(G:G,22,K:K)</f>
        <v>135522.10536853713</v>
      </c>
      <c r="E29" s="447">
        <f t="shared" ca="1" si="1"/>
        <v>2664232.3435643977</v>
      </c>
      <c r="F29" s="431"/>
      <c r="G29" s="459">
        <v>2</v>
      </c>
      <c r="H29" s="459">
        <v>22</v>
      </c>
      <c r="I29" s="444">
        <f t="shared" ca="1" si="5"/>
        <v>3420976.7830835725</v>
      </c>
      <c r="J29" s="444">
        <f t="array" ref="J29">IFERROR(INDEX('Retirement Calculator'!K:K,MATCH('Lorri 401b'!N29,'Retirement Calculator'!A:A,0),0),0)</f>
        <v>0</v>
      </c>
      <c r="K29" s="444">
        <f t="shared" ca="1" si="2"/>
        <v>14254.069929514886</v>
      </c>
      <c r="L29" s="444">
        <f t="shared" ca="1" si="3"/>
        <v>3435230.8530130875</v>
      </c>
      <c r="M29" s="460">
        <f t="shared" si="6"/>
        <v>0.05</v>
      </c>
      <c r="N29" s="464">
        <f t="shared" si="7"/>
        <v>51926</v>
      </c>
    </row>
    <row r="30" spans="1:14" ht="11.25" customHeight="1" x14ac:dyDescent="0.25">
      <c r="A30" s="459">
        <v>23</v>
      </c>
      <c r="B30" s="447">
        <f t="shared" ca="1" si="4"/>
        <v>2664232.3435643977</v>
      </c>
      <c r="C30" s="447">
        <f t="shared" si="0"/>
        <v>259863.64217494545</v>
      </c>
      <c r="D30" s="447">
        <f ca="1">SUMIF(G:G,23,K:K)</f>
        <v>129160.5563599899</v>
      </c>
      <c r="E30" s="447">
        <f t="shared" ca="1" si="1"/>
        <v>2533529.2577494425</v>
      </c>
      <c r="F30" s="431"/>
      <c r="G30" s="459">
        <v>2</v>
      </c>
      <c r="H30" s="459">
        <v>23</v>
      </c>
      <c r="I30" s="444">
        <f t="shared" ca="1" si="5"/>
        <v>3435230.8530130875</v>
      </c>
      <c r="J30" s="444">
        <f t="array" ref="J30">IFERROR(INDEX('Retirement Calculator'!K:K,MATCH('Lorri 401b'!N30,'Retirement Calculator'!A:A,0),0),0)</f>
        <v>0</v>
      </c>
      <c r="K30" s="444">
        <f t="shared" ca="1" si="2"/>
        <v>14313.461887554533</v>
      </c>
      <c r="L30" s="444">
        <f t="shared" ca="1" si="3"/>
        <v>3449544.3149006423</v>
      </c>
      <c r="M30" s="460">
        <f t="shared" si="6"/>
        <v>0.05</v>
      </c>
      <c r="N30" s="464">
        <f t="shared" si="7"/>
        <v>51957</v>
      </c>
    </row>
    <row r="31" spans="1:14" ht="11.25" customHeight="1" x14ac:dyDescent="0.25">
      <c r="A31" s="459">
        <v>24</v>
      </c>
      <c r="B31" s="447">
        <f t="shared" ca="1" si="4"/>
        <v>2533529.2577494425</v>
      </c>
      <c r="C31" s="447">
        <f t="shared" si="0"/>
        <v>259863.64217494545</v>
      </c>
      <c r="D31" s="447">
        <f ca="1">SUMIF(G:G,24,K:K)</f>
        <v>122473.53843069768</v>
      </c>
      <c r="E31" s="447">
        <f t="shared" ca="1" si="1"/>
        <v>2396139.1540051945</v>
      </c>
      <c r="F31" s="431"/>
      <c r="G31" s="459">
        <v>2</v>
      </c>
      <c r="H31" s="459">
        <v>24</v>
      </c>
      <c r="I31" s="444">
        <f t="shared" ca="1" si="5"/>
        <v>3449544.3149006423</v>
      </c>
      <c r="J31" s="444">
        <f t="array" ref="J31">IFERROR(INDEX('Retirement Calculator'!K:K,MATCH('Lorri 401b'!N31,'Retirement Calculator'!A:A,0),0),0)</f>
        <v>0</v>
      </c>
      <c r="K31" s="444">
        <f t="shared" ca="1" si="2"/>
        <v>14373.10131208601</v>
      </c>
      <c r="L31" s="444">
        <f t="shared" ca="1" si="3"/>
        <v>3463917.4162127282</v>
      </c>
      <c r="M31" s="460">
        <f t="shared" si="6"/>
        <v>0.05</v>
      </c>
      <c r="N31" s="464">
        <f t="shared" si="7"/>
        <v>51987</v>
      </c>
    </row>
    <row r="32" spans="1:14" ht="11.25" customHeight="1" x14ac:dyDescent="0.25">
      <c r="A32" s="459">
        <v>25</v>
      </c>
      <c r="B32" s="447">
        <f t="shared" ca="1" si="4"/>
        <v>2396139.1540051945</v>
      </c>
      <c r="C32" s="447">
        <f t="shared" si="0"/>
        <v>259863.64217494545</v>
      </c>
      <c r="D32" s="447">
        <f ca="1">SUMIF(G:G,25,K:K)</f>
        <v>115444.39997297364</v>
      </c>
      <c r="E32" s="447">
        <f t="shared" ca="1" si="1"/>
        <v>2251719.9118032227</v>
      </c>
      <c r="F32" s="431"/>
      <c r="G32" s="459">
        <v>3</v>
      </c>
      <c r="H32" s="459">
        <v>25</v>
      </c>
      <c r="I32" s="444">
        <f t="shared" ca="1" si="5"/>
        <v>3463917.4162127282</v>
      </c>
      <c r="J32" s="444">
        <f t="array" ref="J32">IFERROR(INDEX('Retirement Calculator'!K:K,MATCH('Lorri 401b'!N32,'Retirement Calculator'!A:A,0),0),0)</f>
        <v>0</v>
      </c>
      <c r="K32" s="444">
        <f t="shared" ca="1" si="2"/>
        <v>14432.989234219698</v>
      </c>
      <c r="L32" s="444">
        <f t="shared" ca="1" si="3"/>
        <v>3478350.405446948</v>
      </c>
      <c r="M32" s="460">
        <f t="shared" si="6"/>
        <v>0.05</v>
      </c>
      <c r="N32" s="464">
        <f t="shared" si="7"/>
        <v>52018</v>
      </c>
    </row>
    <row r="33" spans="1:14" ht="11.25" customHeight="1" x14ac:dyDescent="0.25">
      <c r="A33" s="459">
        <v>26</v>
      </c>
      <c r="B33" s="447">
        <f t="shared" ca="1" si="4"/>
        <v>2251719.9118032227</v>
      </c>
      <c r="C33" s="447">
        <f t="shared" si="0"/>
        <v>259863.64217494545</v>
      </c>
      <c r="D33" s="447">
        <f ca="1">SUMIF(G:G,26,K:K)</f>
        <v>108055.63745127902</v>
      </c>
      <c r="E33" s="447">
        <f t="shared" ca="1" si="1"/>
        <v>2099911.9070795565</v>
      </c>
      <c r="F33" s="431"/>
      <c r="G33" s="459">
        <v>3</v>
      </c>
      <c r="H33" s="459">
        <v>26</v>
      </c>
      <c r="I33" s="444">
        <f t="shared" ca="1" si="5"/>
        <v>3478350.405446948</v>
      </c>
      <c r="J33" s="444">
        <f t="array" ref="J33">IFERROR(INDEX('Retirement Calculator'!K:K,MATCH('Lorri 401b'!N33,'Retirement Calculator'!A:A,0),0),0)</f>
        <v>0</v>
      </c>
      <c r="K33" s="444">
        <f t="shared" ca="1" si="2"/>
        <v>14493.126689362283</v>
      </c>
      <c r="L33" s="444">
        <f t="shared" ca="1" si="3"/>
        <v>3492843.5321363104</v>
      </c>
      <c r="M33" s="460">
        <f t="shared" si="6"/>
        <v>0.05</v>
      </c>
      <c r="N33" s="464">
        <f t="shared" si="7"/>
        <v>52048</v>
      </c>
    </row>
    <row r="34" spans="1:14" ht="11.25" customHeight="1" x14ac:dyDescent="0.25">
      <c r="A34" s="459">
        <v>27</v>
      </c>
      <c r="B34" s="447">
        <f t="shared" ca="1" si="4"/>
        <v>2099911.9070795565</v>
      </c>
      <c r="C34" s="447">
        <f t="shared" si="0"/>
        <v>259863.64217494545</v>
      </c>
      <c r="D34" s="447">
        <f ca="1">SUMIF(G:G,27,K:K)</f>
        <v>100288.85181597712</v>
      </c>
      <c r="E34" s="447">
        <f t="shared" ca="1" si="1"/>
        <v>1940337.1167205882</v>
      </c>
      <c r="F34" s="431"/>
      <c r="G34" s="459">
        <v>3</v>
      </c>
      <c r="H34" s="459">
        <v>27</v>
      </c>
      <c r="I34" s="444">
        <f t="shared" ca="1" si="5"/>
        <v>3492843.5321363104</v>
      </c>
      <c r="J34" s="444">
        <f t="array" ref="J34">IFERROR(INDEX('Retirement Calculator'!K:K,MATCH('Lorri 401b'!N34,'Retirement Calculator'!A:A,0),0),0)</f>
        <v>0</v>
      </c>
      <c r="K34" s="444">
        <f t="shared" ca="1" si="2"/>
        <v>14553.514717234626</v>
      </c>
      <c r="L34" s="444">
        <f t="shared" ca="1" si="3"/>
        <v>3507397.0468535451</v>
      </c>
      <c r="M34" s="460">
        <f t="shared" si="6"/>
        <v>0.05</v>
      </c>
      <c r="N34" s="464">
        <f t="shared" si="7"/>
        <v>52079</v>
      </c>
    </row>
    <row r="35" spans="1:14" ht="11.25" customHeight="1" x14ac:dyDescent="0.25">
      <c r="A35" s="459">
        <v>28</v>
      </c>
      <c r="B35" s="447">
        <f t="shared" ca="1" si="4"/>
        <v>1940337.1167205882</v>
      </c>
      <c r="C35" s="447">
        <f t="shared" si="0"/>
        <v>259863.64217494545</v>
      </c>
      <c r="D35" s="447">
        <f ca="1">SUMIF(G:G,28,K:K)</f>
        <v>92124.702687132565</v>
      </c>
      <c r="E35" s="447">
        <f t="shared" ca="1" si="1"/>
        <v>1772598.1772327754</v>
      </c>
      <c r="F35" s="431"/>
      <c r="G35" s="459">
        <v>3</v>
      </c>
      <c r="H35" s="459">
        <v>28</v>
      </c>
      <c r="I35" s="444">
        <f t="shared" ca="1" si="5"/>
        <v>3507397.0468535451</v>
      </c>
      <c r="J35" s="444">
        <f t="array" ref="J35">IFERROR(INDEX('Retirement Calculator'!K:K,MATCH('Lorri 401b'!N35,'Retirement Calculator'!A:A,0),0),0)</f>
        <v>0</v>
      </c>
      <c r="K35" s="444">
        <f t="shared" ca="1" si="2"/>
        <v>14614.15436188977</v>
      </c>
      <c r="L35" s="444">
        <f t="shared" ca="1" si="3"/>
        <v>3522011.2012154348</v>
      </c>
      <c r="M35" s="460">
        <f t="shared" si="6"/>
        <v>0.05</v>
      </c>
      <c r="N35" s="464">
        <f t="shared" si="7"/>
        <v>52110</v>
      </c>
    </row>
    <row r="36" spans="1:14" ht="11.25" customHeight="1" x14ac:dyDescent="0.25">
      <c r="A36" s="459">
        <v>29</v>
      </c>
      <c r="B36" s="447">
        <f t="shared" ca="1" si="4"/>
        <v>1772598.1772327754</v>
      </c>
      <c r="C36" s="447">
        <f t="shared" si="0"/>
        <v>259863.64217494545</v>
      </c>
      <c r="D36" s="447">
        <f ca="1">SUMIF(G:G,29,K:K)</f>
        <v>83542.860194266817</v>
      </c>
      <c r="E36" s="447">
        <f t="shared" ca="1" si="1"/>
        <v>1596277.3952520967</v>
      </c>
      <c r="F36" s="431"/>
      <c r="G36" s="459">
        <v>3</v>
      </c>
      <c r="H36" s="459">
        <v>29</v>
      </c>
      <c r="I36" s="444">
        <f t="shared" ca="1" si="5"/>
        <v>3522011.2012154348</v>
      </c>
      <c r="J36" s="444">
        <f t="array" ref="J36">IFERROR(INDEX('Retirement Calculator'!K:K,MATCH('Lorri 401b'!N36,'Retirement Calculator'!A:A,0),0),0)</f>
        <v>0</v>
      </c>
      <c r="K36" s="444">
        <f t="shared" ca="1" si="2"/>
        <v>14675.046671730977</v>
      </c>
      <c r="L36" s="444">
        <f t="shared" ca="1" si="3"/>
        <v>3536686.2478871658</v>
      </c>
      <c r="M36" s="460">
        <f t="shared" si="6"/>
        <v>0.05</v>
      </c>
      <c r="N36" s="464">
        <f t="shared" si="7"/>
        <v>52140</v>
      </c>
    </row>
    <row r="37" spans="1:14" ht="11.25" customHeight="1" x14ac:dyDescent="0.25">
      <c r="A37" s="459">
        <v>30</v>
      </c>
      <c r="B37" s="447">
        <f t="shared" ca="1" si="4"/>
        <v>1596277.3952520967</v>
      </c>
      <c r="C37" s="447">
        <f t="shared" si="0"/>
        <v>259863.64217494545</v>
      </c>
      <c r="D37" s="447">
        <f ca="1">SUMIF(G:G,30,K:K)</f>
        <v>74521.954352143948</v>
      </c>
      <c r="E37" s="447">
        <f t="shared" ca="1" si="1"/>
        <v>1410935.7074292952</v>
      </c>
      <c r="F37" s="431"/>
      <c r="G37" s="459">
        <v>3</v>
      </c>
      <c r="H37" s="459">
        <v>30</v>
      </c>
      <c r="I37" s="444">
        <f t="shared" ca="1" si="5"/>
        <v>3536686.2478871658</v>
      </c>
      <c r="J37" s="444">
        <f t="array" ref="J37">IFERROR(INDEX('Retirement Calculator'!K:K,MATCH('Lorri 401b'!N37,'Retirement Calculator'!A:A,0),0),0)</f>
        <v>0</v>
      </c>
      <c r="K37" s="444">
        <f t="shared" ca="1" si="2"/>
        <v>14736.192699529855</v>
      </c>
      <c r="L37" s="444">
        <f t="shared" ca="1" si="3"/>
        <v>3551422.4405866954</v>
      </c>
      <c r="M37" s="460">
        <f t="shared" si="6"/>
        <v>0.05</v>
      </c>
      <c r="N37" s="464">
        <f t="shared" si="7"/>
        <v>52171</v>
      </c>
    </row>
    <row r="38" spans="1:14" ht="11.25" customHeight="1" x14ac:dyDescent="0.25">
      <c r="A38" s="459">
        <v>31</v>
      </c>
      <c r="B38" s="447">
        <f t="shared" ca="1" si="4"/>
        <v>1410935.7074292952</v>
      </c>
      <c r="C38" s="447">
        <f t="shared" si="0"/>
        <v>259863.64217494545</v>
      </c>
      <c r="D38" s="447">
        <f ca="1">SUMIF(G:G,31,K:K)</f>
        <v>65039.521846525684</v>
      </c>
      <c r="E38" s="447">
        <f t="shared" ca="1" si="1"/>
        <v>1216111.5871008753</v>
      </c>
      <c r="F38" s="431"/>
      <c r="G38" s="459">
        <v>3</v>
      </c>
      <c r="H38" s="459">
        <v>31</v>
      </c>
      <c r="I38" s="444">
        <f t="shared" ca="1" si="5"/>
        <v>3551422.4405866954</v>
      </c>
      <c r="J38" s="444">
        <f t="array" ref="J38">IFERROR(INDEX('Retirement Calculator'!K:K,MATCH('Lorri 401b'!N38,'Retirement Calculator'!A:A,0),0),0)</f>
        <v>0</v>
      </c>
      <c r="K38" s="444">
        <f t="shared" ca="1" si="2"/>
        <v>14797.593502444564</v>
      </c>
      <c r="L38" s="444">
        <f t="shared" ca="1" si="3"/>
        <v>3566220.0340891401</v>
      </c>
      <c r="M38" s="460">
        <f t="shared" si="6"/>
        <v>0.05</v>
      </c>
      <c r="N38" s="464">
        <f t="shared" si="7"/>
        <v>52201</v>
      </c>
    </row>
    <row r="39" spans="1:14" ht="11.25" customHeight="1" x14ac:dyDescent="0.25">
      <c r="A39" s="459">
        <v>32</v>
      </c>
      <c r="B39" s="447">
        <f t="shared" ca="1" si="4"/>
        <v>1216111.5871008753</v>
      </c>
      <c r="C39" s="447">
        <f t="shared" si="0"/>
        <v>259863.64217494545</v>
      </c>
      <c r="D39" s="447">
        <f ca="1">SUMIF(G:G,32,K:K)</f>
        <v>55071.950097384557</v>
      </c>
      <c r="E39" s="447">
        <f t="shared" ca="1" si="1"/>
        <v>1011319.8950233144</v>
      </c>
      <c r="F39" s="431"/>
      <c r="G39" s="459">
        <v>3</v>
      </c>
      <c r="H39" s="459">
        <v>32</v>
      </c>
      <c r="I39" s="444">
        <f t="shared" ca="1" si="5"/>
        <v>3566220.0340891401</v>
      </c>
      <c r="J39" s="444">
        <f t="array" ref="J39">IFERROR(INDEX('Retirement Calculator'!K:K,MATCH('Lorri 401b'!N39,'Retirement Calculator'!A:A,0),0),0)</f>
        <v>0</v>
      </c>
      <c r="K39" s="444">
        <f t="shared" ca="1" si="2"/>
        <v>14859.250142038083</v>
      </c>
      <c r="L39" s="444">
        <f t="shared" ca="1" si="3"/>
        <v>3581079.284231178</v>
      </c>
      <c r="M39" s="460">
        <f t="shared" si="6"/>
        <v>0.05</v>
      </c>
      <c r="N39" s="464">
        <f t="shared" si="7"/>
        <v>52232</v>
      </c>
    </row>
    <row r="40" spans="1:14" ht="11.25" customHeight="1" x14ac:dyDescent="0.25">
      <c r="A40" s="459">
        <v>33</v>
      </c>
      <c r="B40" s="447">
        <f t="shared" ca="1" si="4"/>
        <v>1011319.8950233144</v>
      </c>
      <c r="C40" s="447">
        <f t="shared" si="0"/>
        <v>259863.64217494545</v>
      </c>
      <c r="D40" s="447">
        <f ca="1">SUMIF(G:G,33,K:K)</f>
        <v>44594.418460285007</v>
      </c>
      <c r="E40" s="447">
        <f t="shared" ca="1" si="1"/>
        <v>796050.67130865401</v>
      </c>
      <c r="F40" s="431"/>
      <c r="G40" s="459">
        <v>3</v>
      </c>
      <c r="H40" s="459">
        <v>33</v>
      </c>
      <c r="I40" s="444">
        <f t="shared" ca="1" si="5"/>
        <v>3581079.284231178</v>
      </c>
      <c r="J40" s="444">
        <f t="array" ref="J40">IFERROR(INDEX('Retirement Calculator'!K:K,MATCH('Lorri 401b'!N40,'Retirement Calculator'!A:A,0),0),0)</f>
        <v>0</v>
      </c>
      <c r="K40" s="444">
        <f t="shared" ca="1" si="2"/>
        <v>14921.163684296573</v>
      </c>
      <c r="L40" s="444">
        <f t="shared" ca="1" si="3"/>
        <v>3596000.4479154744</v>
      </c>
      <c r="M40" s="460">
        <f t="shared" si="6"/>
        <v>0.05</v>
      </c>
      <c r="N40" s="464">
        <f t="shared" si="7"/>
        <v>52263</v>
      </c>
    </row>
    <row r="41" spans="1:14" ht="11.25" customHeight="1" x14ac:dyDescent="0.25">
      <c r="A41" s="459">
        <v>34</v>
      </c>
      <c r="B41" s="447">
        <f t="shared" ca="1" si="4"/>
        <v>796050.67130865401</v>
      </c>
      <c r="C41" s="447">
        <f t="shared" si="0"/>
        <v>259863.64217494545</v>
      </c>
      <c r="D41" s="447">
        <f ca="1">SUMIF(G:G,34,K:K)</f>
        <v>33580.836419515566</v>
      </c>
      <c r="E41" s="447">
        <f t="shared" ca="1" si="1"/>
        <v>569767.86555322411</v>
      </c>
      <c r="F41" s="431"/>
      <c r="G41" s="459">
        <v>3</v>
      </c>
      <c r="H41" s="459">
        <v>34</v>
      </c>
      <c r="I41" s="444">
        <f t="shared" ca="1" si="5"/>
        <v>3596000.4479154744</v>
      </c>
      <c r="J41" s="444">
        <f t="array" ref="J41">IFERROR(INDEX('Retirement Calculator'!K:K,MATCH('Lorri 401b'!N41,'Retirement Calculator'!A:A,0),0),0)</f>
        <v>0</v>
      </c>
      <c r="K41" s="444">
        <f t="shared" ca="1" si="2"/>
        <v>14983.33519964781</v>
      </c>
      <c r="L41" s="444">
        <f t="shared" ca="1" si="3"/>
        <v>3610983.783115122</v>
      </c>
      <c r="M41" s="460">
        <f t="shared" si="6"/>
        <v>0.05</v>
      </c>
      <c r="N41" s="464">
        <f t="shared" si="7"/>
        <v>52291</v>
      </c>
    </row>
    <row r="42" spans="1:14" ht="11.25" customHeight="1" x14ac:dyDescent="0.25">
      <c r="A42" s="459">
        <v>35</v>
      </c>
      <c r="B42" s="447">
        <f t="shared" ca="1" si="4"/>
        <v>569767.86555322411</v>
      </c>
      <c r="C42" s="447">
        <f t="shared" si="0"/>
        <v>259863.64217494545</v>
      </c>
      <c r="D42" s="447">
        <f ca="1">SUMIF(G:G,35,K:K)</f>
        <v>22003.7786190642</v>
      </c>
      <c r="E42" s="447">
        <f t="shared" ca="1" si="1"/>
        <v>331908.00199734286</v>
      </c>
      <c r="F42" s="431"/>
      <c r="G42" s="459">
        <v>3</v>
      </c>
      <c r="H42" s="459">
        <v>35</v>
      </c>
      <c r="I42" s="444">
        <f t="shared" ca="1" si="5"/>
        <v>3610983.783115122</v>
      </c>
      <c r="J42" s="444">
        <f t="array" ref="J42">IFERROR(INDEX('Retirement Calculator'!K:K,MATCH('Lorri 401b'!N42,'Retirement Calculator'!A:A,0),0),0)</f>
        <v>0</v>
      </c>
      <c r="K42" s="444">
        <f t="shared" ca="1" si="2"/>
        <v>15045.765762979672</v>
      </c>
      <c r="L42" s="444">
        <f t="shared" ca="1" si="3"/>
        <v>3626029.5488781016</v>
      </c>
      <c r="M42" s="460">
        <f t="shared" si="6"/>
        <v>0.05</v>
      </c>
      <c r="N42" s="464">
        <f t="shared" si="7"/>
        <v>52322</v>
      </c>
    </row>
    <row r="43" spans="1:14" ht="11.25" customHeight="1" x14ac:dyDescent="0.25">
      <c r="A43" s="459">
        <v>36</v>
      </c>
      <c r="B43" s="447">
        <f t="shared" ca="1" si="4"/>
        <v>331908.00199734286</v>
      </c>
      <c r="C43" s="447">
        <f t="shared" si="0"/>
        <v>259863.64217494545</v>
      </c>
      <c r="D43" s="447">
        <f ca="1">SUMIF(G:G,36,K:K)</f>
        <v>9834.4165696552136</v>
      </c>
      <c r="E43" s="447">
        <f t="shared" ca="1" si="1"/>
        <v>81878.776392052619</v>
      </c>
      <c r="F43" s="431"/>
      <c r="G43" s="459">
        <v>3</v>
      </c>
      <c r="H43" s="459">
        <v>36</v>
      </c>
      <c r="I43" s="444">
        <f t="shared" ca="1" si="5"/>
        <v>3626029.5488781016</v>
      </c>
      <c r="J43" s="444">
        <f t="array" ref="J43">IFERROR(INDEX('Retirement Calculator'!K:K,MATCH('Lorri 401b'!N43,'Retirement Calculator'!A:A,0),0),0)</f>
        <v>0</v>
      </c>
      <c r="K43" s="444">
        <f t="shared" ca="1" si="2"/>
        <v>15108.456453658755</v>
      </c>
      <c r="L43" s="444">
        <f t="shared" ca="1" si="3"/>
        <v>3641138.0053317603</v>
      </c>
      <c r="M43" s="460">
        <f t="shared" si="6"/>
        <v>0.05</v>
      </c>
      <c r="N43" s="464">
        <f t="shared" si="7"/>
        <v>52352</v>
      </c>
    </row>
    <row r="44" spans="1:14" ht="11.25" customHeight="1" x14ac:dyDescent="0.25">
      <c r="A44" s="459">
        <v>37</v>
      </c>
      <c r="B44" s="447">
        <f t="shared" ca="1" si="4"/>
        <v>81878.776392052619</v>
      </c>
      <c r="C44" s="447">
        <f t="shared" si="0"/>
        <v>259863.64217494545</v>
      </c>
      <c r="D44" s="447">
        <f ca="1">SUMIF(G:G,37,K:K)</f>
        <v>-2957.553138211475</v>
      </c>
      <c r="E44" s="447">
        <f t="shared" ca="1" si="1"/>
        <v>-180942.41892110431</v>
      </c>
      <c r="F44" s="431"/>
      <c r="G44" s="459">
        <v>4</v>
      </c>
      <c r="H44" s="459">
        <v>37</v>
      </c>
      <c r="I44" s="444">
        <f t="shared" ca="1" si="5"/>
        <v>3641138.0053317603</v>
      </c>
      <c r="J44" s="444">
        <f t="array" ref="J44">IFERROR(INDEX('Retirement Calculator'!K:K,MATCH('Lorri 401b'!N44,'Retirement Calculator'!A:A,0),0),0)</f>
        <v>0</v>
      </c>
      <c r="K44" s="444">
        <f t="shared" ca="1" si="2"/>
        <v>15171.408355549001</v>
      </c>
      <c r="L44" s="444">
        <f t="shared" ca="1" si="3"/>
        <v>3656309.4136873093</v>
      </c>
      <c r="M44" s="460">
        <f t="shared" si="6"/>
        <v>0.05</v>
      </c>
      <c r="N44" s="464">
        <f t="shared" si="7"/>
        <v>52383</v>
      </c>
    </row>
    <row r="45" spans="1:14" ht="11.25" customHeight="1" x14ac:dyDescent="0.25">
      <c r="A45" s="459">
        <v>38</v>
      </c>
      <c r="B45" s="447">
        <f t="shared" ca="1" si="4"/>
        <v>-180942.41892110431</v>
      </c>
      <c r="C45" s="447">
        <f t="shared" si="0"/>
        <v>259863.64217494545</v>
      </c>
      <c r="D45" s="447">
        <f ca="1">SUMIF(G:G,38,K:K)</f>
        <v>-16403.984293978257</v>
      </c>
      <c r="E45" s="447">
        <f t="shared" ca="1" si="1"/>
        <v>-457210.04539002798</v>
      </c>
      <c r="F45" s="431"/>
      <c r="G45" s="459">
        <v>4</v>
      </c>
      <c r="H45" s="459">
        <v>38</v>
      </c>
      <c r="I45" s="444">
        <f t="shared" ca="1" si="5"/>
        <v>3656309.4136873093</v>
      </c>
      <c r="J45" s="444">
        <f t="array" ref="J45">IFERROR(INDEX('Retirement Calculator'!K:K,MATCH('Lorri 401b'!N45,'Retirement Calculator'!A:A,0),0),0)</f>
        <v>0</v>
      </c>
      <c r="K45" s="444">
        <f t="shared" ca="1" si="2"/>
        <v>15234.622557030452</v>
      </c>
      <c r="L45" s="444">
        <f t="shared" ca="1" si="3"/>
        <v>3671544.0362443398</v>
      </c>
      <c r="M45" s="460">
        <f t="shared" si="6"/>
        <v>0.05</v>
      </c>
      <c r="N45" s="464">
        <f t="shared" si="7"/>
        <v>52413</v>
      </c>
    </row>
    <row r="46" spans="1:14" ht="11.25" customHeight="1" x14ac:dyDescent="0.25">
      <c r="A46" s="459">
        <v>39</v>
      </c>
      <c r="B46" s="447">
        <f t="shared" ca="1" si="4"/>
        <v>-457210.04539002798</v>
      </c>
      <c r="C46" s="447">
        <f t="shared" si="0"/>
        <v>259863.64217494545</v>
      </c>
      <c r="D46" s="447">
        <f ca="1">SUMIF(G:G,39,K:K)</f>
        <v>-30538.360387410135</v>
      </c>
      <c r="E46" s="447">
        <f t="shared" ca="1" si="1"/>
        <v>-747612.04795238364</v>
      </c>
      <c r="F46" s="431"/>
      <c r="G46" s="459">
        <v>4</v>
      </c>
      <c r="H46" s="459">
        <v>39</v>
      </c>
      <c r="I46" s="444">
        <f t="shared" ca="1" si="5"/>
        <v>3671544.0362443398</v>
      </c>
      <c r="J46" s="444">
        <f t="array" ref="J46">IFERROR(INDEX('Retirement Calculator'!K:K,MATCH('Lorri 401b'!N46,'Retirement Calculator'!A:A,0),0),0)</f>
        <v>0</v>
      </c>
      <c r="K46" s="444">
        <f t="shared" ca="1" si="2"/>
        <v>15298.100151018081</v>
      </c>
      <c r="L46" s="444">
        <f t="shared" ca="1" si="3"/>
        <v>3686842.136395358</v>
      </c>
      <c r="M46" s="460">
        <f t="shared" si="6"/>
        <v>0.05</v>
      </c>
      <c r="N46" s="464">
        <f t="shared" si="7"/>
        <v>52444</v>
      </c>
    </row>
    <row r="47" spans="1:14" ht="11.25" customHeight="1" x14ac:dyDescent="0.25">
      <c r="A47" s="459">
        <v>40</v>
      </c>
      <c r="B47" s="447">
        <f t="shared" ca="1" si="4"/>
        <v>-747612.04795238364</v>
      </c>
      <c r="C47" s="447">
        <f t="shared" si="0"/>
        <v>259863.64217494545</v>
      </c>
      <c r="D47" s="447">
        <f ca="1">SUMIF(G:G,40,K:K)</f>
        <v>-45395.8779871562</v>
      </c>
      <c r="E47" s="447">
        <f t="shared" ca="1" si="1"/>
        <v>-1052871.5681144854</v>
      </c>
      <c r="F47" s="431"/>
      <c r="G47" s="459">
        <v>4</v>
      </c>
      <c r="H47" s="459">
        <v>40</v>
      </c>
      <c r="I47" s="444">
        <f t="shared" ca="1" si="5"/>
        <v>3686842.136395358</v>
      </c>
      <c r="J47" s="444">
        <f t="array" ref="J47">IFERROR(INDEX('Retirement Calculator'!K:K,MATCH('Lorri 401b'!N47,'Retirement Calculator'!A:A,0),0),0)</f>
        <v>0</v>
      </c>
      <c r="K47" s="444">
        <f t="shared" ca="1" si="2"/>
        <v>15361.842234980659</v>
      </c>
      <c r="L47" s="444">
        <f t="shared" ca="1" si="3"/>
        <v>3702203.9786303388</v>
      </c>
      <c r="M47" s="460">
        <f t="shared" si="6"/>
        <v>0.05</v>
      </c>
      <c r="N47" s="464">
        <f t="shared" si="7"/>
        <v>52475</v>
      </c>
    </row>
    <row r="48" spans="1:14" ht="11.25" customHeight="1" x14ac:dyDescent="0.25">
      <c r="A48" s="459">
        <v>41</v>
      </c>
      <c r="B48" s="447">
        <f t="shared" ca="1" si="4"/>
        <v>-1052871.5681144854</v>
      </c>
      <c r="C48" s="447">
        <f t="shared" si="0"/>
        <v>259863.64217494545</v>
      </c>
      <c r="D48" s="447">
        <f ca="1">SUMIF(G:G,41,K:K)</f>
        <v>-61013.534385116523</v>
      </c>
      <c r="E48" s="447">
        <f t="shared" ca="1" si="1"/>
        <v>-1373748.7446745473</v>
      </c>
      <c r="F48" s="431"/>
      <c r="G48" s="459">
        <v>4</v>
      </c>
      <c r="H48" s="459">
        <v>41</v>
      </c>
      <c r="I48" s="444">
        <f t="shared" ca="1" si="5"/>
        <v>3702203.9786303388</v>
      </c>
      <c r="J48" s="444">
        <f t="array" ref="J48">IFERROR(INDEX('Retirement Calculator'!K:K,MATCH('Lorri 401b'!N48,'Retirement Calculator'!A:A,0),0),0)</f>
        <v>0</v>
      </c>
      <c r="K48" s="444">
        <f t="shared" ca="1" si="2"/>
        <v>15425.849910959743</v>
      </c>
      <c r="L48" s="444">
        <f t="shared" ca="1" si="3"/>
        <v>3717629.8285412984</v>
      </c>
      <c r="M48" s="460">
        <f t="shared" si="6"/>
        <v>0.05</v>
      </c>
      <c r="N48" s="464">
        <f t="shared" si="7"/>
        <v>52505</v>
      </c>
    </row>
    <row r="49" spans="1:14" ht="11.25" customHeight="1" x14ac:dyDescent="0.25">
      <c r="A49" s="459">
        <v>42</v>
      </c>
      <c r="B49" s="447">
        <f t="shared" ca="1" si="4"/>
        <v>-1373748.7446745473</v>
      </c>
      <c r="C49" s="447">
        <f t="shared" si="0"/>
        <v>259863.64217494545</v>
      </c>
      <c r="D49" s="447">
        <f ca="1">SUMIF(G:G,42,K:K)</f>
        <v>-77430.219724861308</v>
      </c>
      <c r="E49" s="447">
        <f t="shared" ca="1" si="1"/>
        <v>-1711042.606574354</v>
      </c>
      <c r="F49" s="431"/>
      <c r="G49" s="459">
        <v>4</v>
      </c>
      <c r="H49" s="459">
        <v>42</v>
      </c>
      <c r="I49" s="444">
        <f t="shared" ca="1" si="5"/>
        <v>3717629.8285412984</v>
      </c>
      <c r="J49" s="444">
        <f t="array" ref="J49">IFERROR(INDEX('Retirement Calculator'!K:K,MATCH('Lorri 401b'!N49,'Retirement Calculator'!A:A,0),0),0)</f>
        <v>0</v>
      </c>
      <c r="K49" s="444">
        <f t="shared" ca="1" si="2"/>
        <v>15490.124285588743</v>
      </c>
      <c r="L49" s="444">
        <f t="shared" ca="1" si="3"/>
        <v>3733119.9528268874</v>
      </c>
      <c r="M49" s="460">
        <f t="shared" si="6"/>
        <v>0.05</v>
      </c>
      <c r="N49" s="464">
        <f t="shared" si="7"/>
        <v>52536</v>
      </c>
    </row>
    <row r="50" spans="1:14" ht="11.25" customHeight="1" x14ac:dyDescent="0.25">
      <c r="A50" s="459">
        <v>43</v>
      </c>
      <c r="B50" s="447">
        <f t="shared" ca="1" si="4"/>
        <v>-1711042.606574354</v>
      </c>
      <c r="C50" s="447">
        <f t="shared" si="0"/>
        <v>259863.64217494545</v>
      </c>
      <c r="D50" s="447">
        <f ca="1">SUMIF(G:G,43,K:K)</f>
        <v>-94686.813843514698</v>
      </c>
      <c r="E50" s="447">
        <f t="shared" ca="1" si="1"/>
        <v>-2065593.0625928142</v>
      </c>
      <c r="F50" s="431"/>
      <c r="G50" s="459">
        <v>4</v>
      </c>
      <c r="H50" s="459">
        <v>43</v>
      </c>
      <c r="I50" s="444">
        <f t="shared" ca="1" si="5"/>
        <v>3733119.9528268874</v>
      </c>
      <c r="J50" s="444">
        <f t="array" ref="J50">IFERROR(INDEX('Retirement Calculator'!K:K,MATCH('Lorri 401b'!N50,'Retirement Calculator'!A:A,0),0),0)</f>
        <v>0</v>
      </c>
      <c r="K50" s="444">
        <f t="shared" ca="1" si="2"/>
        <v>15554.666470112028</v>
      </c>
      <c r="L50" s="444">
        <f t="shared" ca="1" si="3"/>
        <v>3748674.6192969992</v>
      </c>
      <c r="M50" s="460">
        <f t="shared" si="6"/>
        <v>0.05</v>
      </c>
      <c r="N50" s="464">
        <f t="shared" si="7"/>
        <v>52566</v>
      </c>
    </row>
    <row r="51" spans="1:14" ht="11.25" customHeight="1" x14ac:dyDescent="0.25">
      <c r="A51" s="459">
        <v>44</v>
      </c>
      <c r="B51" s="447">
        <f t="shared" ca="1" si="4"/>
        <v>-2065593.0625928142</v>
      </c>
      <c r="C51" s="447">
        <f t="shared" si="0"/>
        <v>259863.64217494545</v>
      </c>
      <c r="D51" s="447">
        <f ca="1">SUMIF(G:G,44,K:K)</f>
        <v>-112826.28806825314</v>
      </c>
      <c r="E51" s="447">
        <f t="shared" ca="1" si="1"/>
        <v>-2438282.992836013</v>
      </c>
      <c r="F51" s="431"/>
      <c r="G51" s="459">
        <v>4</v>
      </c>
      <c r="H51" s="459">
        <v>44</v>
      </c>
      <c r="I51" s="444">
        <f t="shared" ca="1" si="5"/>
        <v>3748674.6192969992</v>
      </c>
      <c r="J51" s="444">
        <f t="array" ref="J51">IFERROR(INDEX('Retirement Calculator'!K:K,MATCH('Lorri 401b'!N51,'Retirement Calculator'!A:A,0),0),0)</f>
        <v>0</v>
      </c>
      <c r="K51" s="444">
        <f t="shared" ca="1" si="2"/>
        <v>15619.477580404162</v>
      </c>
      <c r="L51" s="444">
        <f t="shared" ca="1" si="3"/>
        <v>3764294.0968774036</v>
      </c>
      <c r="M51" s="460">
        <f t="shared" si="6"/>
        <v>0.05</v>
      </c>
      <c r="N51" s="464">
        <f t="shared" si="7"/>
        <v>52597</v>
      </c>
    </row>
    <row r="52" spans="1:14" ht="11.25" customHeight="1" x14ac:dyDescent="0.25">
      <c r="A52" s="459">
        <v>45</v>
      </c>
      <c r="B52" s="447">
        <f t="shared" ca="1" si="4"/>
        <v>-2438282.992836013</v>
      </c>
      <c r="C52" s="447">
        <f t="shared" si="0"/>
        <v>259863.64217494545</v>
      </c>
      <c r="D52" s="447">
        <f ca="1">SUMIF(G:G,45,K:K)</f>
        <v>-131893.81222090599</v>
      </c>
      <c r="E52" s="447">
        <f t="shared" ca="1" si="1"/>
        <v>-2830040.4472318646</v>
      </c>
      <c r="F52" s="431"/>
      <c r="G52" s="459">
        <v>4</v>
      </c>
      <c r="H52" s="459">
        <v>45</v>
      </c>
      <c r="I52" s="444">
        <f t="shared" ca="1" si="5"/>
        <v>3764294.0968774036</v>
      </c>
      <c r="J52" s="444">
        <f t="array" ref="J52">IFERROR(INDEX('Retirement Calculator'!K:K,MATCH('Lorri 401b'!N52,'Retirement Calculator'!A:A,0),0),0)</f>
        <v>0</v>
      </c>
      <c r="K52" s="444">
        <f t="shared" ca="1" si="2"/>
        <v>15684.558736989182</v>
      </c>
      <c r="L52" s="444">
        <f t="shared" ca="1" si="3"/>
        <v>3779978.6556143928</v>
      </c>
      <c r="M52" s="460">
        <f t="shared" si="6"/>
        <v>0.05</v>
      </c>
      <c r="N52" s="464">
        <f t="shared" si="7"/>
        <v>52628</v>
      </c>
    </row>
    <row r="53" spans="1:14" ht="11.25" customHeight="1" x14ac:dyDescent="0.25">
      <c r="A53" s="459">
        <v>46</v>
      </c>
      <c r="B53" s="447">
        <f t="shared" ca="1" si="4"/>
        <v>-2830040.4472318646</v>
      </c>
      <c r="C53" s="447">
        <f t="shared" si="0"/>
        <v>259863.64217494545</v>
      </c>
      <c r="D53" s="447">
        <f ca="1">SUMIF(G:G,46,K:K)</f>
        <v>-151936.86709711433</v>
      </c>
      <c r="E53" s="447">
        <f t="shared" ca="1" si="1"/>
        <v>-3241840.956503924</v>
      </c>
      <c r="F53" s="431"/>
      <c r="G53" s="459">
        <v>4</v>
      </c>
      <c r="H53" s="459">
        <v>46</v>
      </c>
      <c r="I53" s="444">
        <f t="shared" ca="1" si="5"/>
        <v>3779978.6556143928</v>
      </c>
      <c r="J53" s="444">
        <f t="array" ref="J53">IFERROR(INDEX('Retirement Calculator'!K:K,MATCH('Lorri 401b'!N53,'Retirement Calculator'!A:A,0),0),0)</f>
        <v>0</v>
      </c>
      <c r="K53" s="444">
        <f t="shared" ca="1" si="2"/>
        <v>15749.91106505997</v>
      </c>
      <c r="L53" s="444">
        <f t="shared" ca="1" si="3"/>
        <v>3795728.566679453</v>
      </c>
      <c r="M53" s="460">
        <f t="shared" si="6"/>
        <v>0.05</v>
      </c>
      <c r="N53" s="464">
        <f t="shared" si="7"/>
        <v>52657</v>
      </c>
    </row>
    <row r="54" spans="1:14" ht="11.25" customHeight="1" x14ac:dyDescent="0.25">
      <c r="A54" s="459">
        <v>47</v>
      </c>
      <c r="B54" s="447">
        <f t="shared" ca="1" si="4"/>
        <v>-3241840.956503924</v>
      </c>
      <c r="C54" s="447">
        <f t="shared" si="0"/>
        <v>259863.64217494545</v>
      </c>
      <c r="D54" s="447">
        <f ca="1">SUMIF(G:G,47,K:K)</f>
        <v>-173005.36270013728</v>
      </c>
      <c r="E54" s="447">
        <f t="shared" ca="1" si="1"/>
        <v>-3674709.9613790065</v>
      </c>
      <c r="F54" s="431"/>
      <c r="G54" s="459">
        <v>4</v>
      </c>
      <c r="H54" s="459">
        <v>47</v>
      </c>
      <c r="I54" s="444">
        <f t="shared" ca="1" si="5"/>
        <v>3795728.566679453</v>
      </c>
      <c r="J54" s="444">
        <f t="array" ref="J54">IFERROR(INDEX('Retirement Calculator'!K:K,MATCH('Lorri 401b'!N54,'Retirement Calculator'!A:A,0),0),0)</f>
        <v>0</v>
      </c>
      <c r="K54" s="444">
        <f t="shared" ca="1" si="2"/>
        <v>15815.535694497719</v>
      </c>
      <c r="L54" s="444">
        <f t="shared" ca="1" si="3"/>
        <v>3811544.1023739506</v>
      </c>
      <c r="M54" s="460">
        <f t="shared" si="6"/>
        <v>0.05</v>
      </c>
      <c r="N54" s="464">
        <f t="shared" si="7"/>
        <v>52688</v>
      </c>
    </row>
    <row r="55" spans="1:14" ht="11.25" customHeight="1" x14ac:dyDescent="0.25">
      <c r="A55" s="459">
        <v>48</v>
      </c>
      <c r="B55" s="447">
        <f t="shared" ca="1" si="4"/>
        <v>-3674709.9613790065</v>
      </c>
      <c r="C55" s="447">
        <f t="shared" si="0"/>
        <v>259863.64217494545</v>
      </c>
      <c r="D55" s="447">
        <f ca="1">SUMIF(G:G,48,K:K)</f>
        <v>-195151.76252372377</v>
      </c>
      <c r="E55" s="447">
        <f t="shared" ca="1" si="1"/>
        <v>-4129725.3660776755</v>
      </c>
      <c r="F55" s="431"/>
      <c r="G55" s="459">
        <v>4</v>
      </c>
      <c r="H55" s="459">
        <v>48</v>
      </c>
      <c r="I55" s="444">
        <f t="shared" ca="1" si="5"/>
        <v>3811544.1023739506</v>
      </c>
      <c r="J55" s="444">
        <f t="array" ref="J55">IFERROR(INDEX('Retirement Calculator'!K:K,MATCH('Lorri 401b'!N55,'Retirement Calculator'!A:A,0),0),0)</f>
        <v>0</v>
      </c>
      <c r="K55" s="444">
        <f t="shared" ca="1" si="2"/>
        <v>15881.433759891461</v>
      </c>
      <c r="L55" s="444">
        <f t="shared" ca="1" si="3"/>
        <v>3827425.5361338421</v>
      </c>
      <c r="M55" s="460">
        <f t="shared" si="6"/>
        <v>0.05</v>
      </c>
      <c r="N55" s="464">
        <f t="shared" si="7"/>
        <v>52718</v>
      </c>
    </row>
    <row r="56" spans="1:14" ht="11.25" customHeight="1" x14ac:dyDescent="0.25">
      <c r="A56" s="459">
        <v>49</v>
      </c>
      <c r="B56" s="447">
        <f t="shared" ca="1" si="4"/>
        <v>-4129725.3660776755</v>
      </c>
      <c r="C56" s="447">
        <f t="shared" si="0"/>
        <v>259863.64217494545</v>
      </c>
      <c r="D56" s="447">
        <f ca="1">SUMIF(G:G,49,K:K)</f>
        <v>-218431.21419353256</v>
      </c>
      <c r="E56" s="447">
        <f t="shared" ca="1" si="1"/>
        <v>-4608020.2224461529</v>
      </c>
      <c r="F56" s="431"/>
      <c r="G56" s="459">
        <f>G55+1</f>
        <v>5</v>
      </c>
      <c r="H56" s="459">
        <v>49</v>
      </c>
      <c r="I56" s="444">
        <f t="shared" ca="1" si="5"/>
        <v>3827425.5361338421</v>
      </c>
      <c r="J56" s="444">
        <f t="array" ref="J56">IFERROR(INDEX('Retirement Calculator'!K:K,MATCH('Lorri 401b'!N56,'Retirement Calculator'!A:A,0),0),0)</f>
        <v>0</v>
      </c>
      <c r="K56" s="444">
        <f t="shared" ca="1" si="2"/>
        <v>15947.606400557675</v>
      </c>
      <c r="L56" s="444">
        <f t="shared" ca="1" si="3"/>
        <v>3843373.1425343999</v>
      </c>
      <c r="M56" s="460">
        <f t="shared" si="6"/>
        <v>0.05</v>
      </c>
      <c r="N56" s="464">
        <f t="shared" si="7"/>
        <v>52749</v>
      </c>
    </row>
    <row r="57" spans="1:14" ht="11.25" customHeight="1" x14ac:dyDescent="0.25">
      <c r="A57" s="459">
        <v>50</v>
      </c>
      <c r="B57" s="447">
        <f t="shared" ca="1" si="4"/>
        <v>-4608020.2224461529</v>
      </c>
      <c r="C57" s="447">
        <f t="shared" si="0"/>
        <v>259863.64217494545</v>
      </c>
      <c r="D57" s="447">
        <f ca="1">SUMIF(G:G,50,K:K)</f>
        <v>-242901.68679241464</v>
      </c>
      <c r="E57" s="447">
        <f t="shared" ca="1" si="1"/>
        <v>-5110785.5514135128</v>
      </c>
      <c r="F57" s="431"/>
      <c r="G57" s="459">
        <f t="shared" ref="G57:G67" si="8">G56</f>
        <v>5</v>
      </c>
      <c r="H57" s="459">
        <v>50</v>
      </c>
      <c r="I57" s="444">
        <f t="shared" ca="1" si="5"/>
        <v>3843373.1425343999</v>
      </c>
      <c r="J57" s="444">
        <f t="array" ref="J57">IFERROR(INDEX('Retirement Calculator'!K:K,MATCH('Lorri 401b'!N57,'Retirement Calculator'!A:A,0),0),0)</f>
        <v>0</v>
      </c>
      <c r="K57" s="444">
        <f t="shared" ca="1" si="2"/>
        <v>16014.054760559999</v>
      </c>
      <c r="L57" s="444">
        <f t="shared" ca="1" si="3"/>
        <v>3859387.1972949598</v>
      </c>
      <c r="M57" s="460">
        <f t="shared" si="6"/>
        <v>0.05</v>
      </c>
      <c r="N57" s="464">
        <f t="shared" si="7"/>
        <v>52779</v>
      </c>
    </row>
    <row r="58" spans="1:14" ht="11.25" customHeight="1" x14ac:dyDescent="0.25">
      <c r="A58" s="459">
        <v>51</v>
      </c>
      <c r="B58" s="447">
        <f t="shared" ca="1" si="4"/>
        <v>-5110785.5514135128</v>
      </c>
      <c r="C58" s="447">
        <f t="shared" si="0"/>
        <v>259863.64217494545</v>
      </c>
      <c r="D58" s="447">
        <f ca="1">SUMIF(G:G,51,K:K)</f>
        <v>-268624.11521151854</v>
      </c>
      <c r="E58" s="447">
        <f t="shared" ca="1" si="1"/>
        <v>-5639273.3087999765</v>
      </c>
      <c r="F58" s="431"/>
      <c r="G58" s="459">
        <f t="shared" si="8"/>
        <v>5</v>
      </c>
      <c r="H58" s="459">
        <v>51</v>
      </c>
      <c r="I58" s="444">
        <f t="shared" ca="1" si="5"/>
        <v>3859387.1972949598</v>
      </c>
      <c r="J58" s="444">
        <f t="array" ref="J58">IFERROR(INDEX('Retirement Calculator'!K:K,MATCH('Lorri 401b'!N58,'Retirement Calculator'!A:A,0),0),0)</f>
        <v>0</v>
      </c>
      <c r="K58" s="444">
        <f t="shared" ca="1" si="2"/>
        <v>16080.779988728998</v>
      </c>
      <c r="L58" s="444">
        <f t="shared" ca="1" si="3"/>
        <v>3875467.9772836887</v>
      </c>
      <c r="M58" s="460">
        <f t="shared" si="6"/>
        <v>0.05</v>
      </c>
      <c r="N58" s="464">
        <f t="shared" si="7"/>
        <v>52810</v>
      </c>
    </row>
    <row r="59" spans="1:14" ht="11.25" customHeight="1" x14ac:dyDescent="0.25">
      <c r="A59" s="459">
        <v>52</v>
      </c>
      <c r="B59" s="447">
        <f t="shared" ca="1" si="4"/>
        <v>-5639273.3087999765</v>
      </c>
      <c r="C59" s="447">
        <f t="shared" si="0"/>
        <v>259863.64217494545</v>
      </c>
      <c r="D59" s="447">
        <f ca="1">SUMIF(G:G,52,K:K)</f>
        <v>-295662.55188667076</v>
      </c>
      <c r="E59" s="447">
        <f t="shared" ca="1" si="1"/>
        <v>-6194799.5028615929</v>
      </c>
      <c r="F59" s="431"/>
      <c r="G59" s="459">
        <f t="shared" si="8"/>
        <v>5</v>
      </c>
      <c r="H59" s="459">
        <v>52</v>
      </c>
      <c r="I59" s="444">
        <f t="shared" ca="1" si="5"/>
        <v>3875467.9772836887</v>
      </c>
      <c r="J59" s="444">
        <f t="array" ref="J59">IFERROR(INDEX('Retirement Calculator'!K:K,MATCH('Lorri 401b'!N59,'Retirement Calculator'!A:A,0),0),0)</f>
        <v>0</v>
      </c>
      <c r="K59" s="444">
        <f t="shared" ca="1" si="2"/>
        <v>16147.783238682037</v>
      </c>
      <c r="L59" s="444">
        <f t="shared" ca="1" si="3"/>
        <v>3891615.7605223707</v>
      </c>
      <c r="M59" s="460">
        <f t="shared" si="6"/>
        <v>0.05</v>
      </c>
      <c r="N59" s="464">
        <f t="shared" si="7"/>
        <v>52841</v>
      </c>
    </row>
    <row r="60" spans="1:14" ht="11.25" customHeight="1" x14ac:dyDescent="0.25">
      <c r="A60" s="459">
        <v>53</v>
      </c>
      <c r="B60" s="447">
        <f t="shared" ca="1" si="4"/>
        <v>-6194799.5028615929</v>
      </c>
      <c r="C60" s="447">
        <f t="shared" si="0"/>
        <v>259863.64217494545</v>
      </c>
      <c r="D60" s="447">
        <f ca="1">SUMIF(G:G,53,K:K)</f>
        <v>-324084.32629787875</v>
      </c>
      <c r="E60" s="447">
        <f t="shared" ca="1" si="1"/>
        <v>-6778747.4713344164</v>
      </c>
      <c r="F60" s="431"/>
      <c r="G60" s="459">
        <f t="shared" si="8"/>
        <v>5</v>
      </c>
      <c r="H60" s="459">
        <v>53</v>
      </c>
      <c r="I60" s="444">
        <f t="shared" ca="1" si="5"/>
        <v>3891615.7605223707</v>
      </c>
      <c r="J60" s="444">
        <f t="array" ref="J60">IFERROR(INDEX('Retirement Calculator'!K:K,MATCH('Lorri 401b'!N60,'Retirement Calculator'!A:A,0),0),0)</f>
        <v>0</v>
      </c>
      <c r="K60" s="444">
        <f t="shared" ca="1" si="2"/>
        <v>16215.065668843212</v>
      </c>
      <c r="L60" s="444">
        <f t="shared" ca="1" si="3"/>
        <v>3907830.8261912139</v>
      </c>
      <c r="M60" s="460">
        <f t="shared" si="6"/>
        <v>0.05</v>
      </c>
      <c r="N60" s="464">
        <f t="shared" si="7"/>
        <v>52871</v>
      </c>
    </row>
    <row r="61" spans="1:14" ht="11.25" customHeight="1" x14ac:dyDescent="0.25">
      <c r="A61" s="459">
        <v>54</v>
      </c>
      <c r="B61" s="447">
        <f t="shared" ca="1" si="4"/>
        <v>-6778747.4713344164</v>
      </c>
      <c r="C61" s="447">
        <f t="shared" si="0"/>
        <v>259863.64217494545</v>
      </c>
      <c r="D61" s="447">
        <f ca="1">SUMIF(G:G,54,K:K)</f>
        <v>-353960.21262913063</v>
      </c>
      <c r="E61" s="447">
        <f t="shared" ca="1" si="1"/>
        <v>-7392571.3261384927</v>
      </c>
      <c r="F61" s="431"/>
      <c r="G61" s="459">
        <f t="shared" si="8"/>
        <v>5</v>
      </c>
      <c r="H61" s="459">
        <v>54</v>
      </c>
      <c r="I61" s="444">
        <f t="shared" ca="1" si="5"/>
        <v>3907830.8261912139</v>
      </c>
      <c r="J61" s="444">
        <f t="array" ref="J61">IFERROR(INDEX('Retirement Calculator'!K:K,MATCH('Lorri 401b'!N61,'Retirement Calculator'!A:A,0),0),0)</f>
        <v>0</v>
      </c>
      <c r="K61" s="444">
        <f t="shared" ca="1" si="2"/>
        <v>16282.62844246339</v>
      </c>
      <c r="L61" s="444">
        <f t="shared" ca="1" si="3"/>
        <v>3924113.4546336774</v>
      </c>
      <c r="M61" s="460">
        <f t="shared" si="6"/>
        <v>0.05</v>
      </c>
      <c r="N61" s="464">
        <f t="shared" si="7"/>
        <v>52902</v>
      </c>
    </row>
    <row r="62" spans="1:14" ht="11.25" customHeight="1" x14ac:dyDescent="0.25">
      <c r="A62" s="459">
        <v>55</v>
      </c>
      <c r="B62" s="447">
        <f t="shared" ca="1" si="4"/>
        <v>-7392571.3261384927</v>
      </c>
      <c r="C62" s="447">
        <f t="shared" si="0"/>
        <v>259863.64217494545</v>
      </c>
      <c r="D62" s="447">
        <f ca="1">SUMIF(G:G,55,K:K)</f>
        <v>-385364.60600598826</v>
      </c>
      <c r="E62" s="447">
        <f t="shared" ca="1" si="1"/>
        <v>-8037799.574319426</v>
      </c>
      <c r="F62" s="431"/>
      <c r="G62" s="459">
        <f t="shared" si="8"/>
        <v>5</v>
      </c>
      <c r="H62" s="459">
        <v>55</v>
      </c>
      <c r="I62" s="444">
        <f t="shared" ca="1" si="5"/>
        <v>3924113.4546336774</v>
      </c>
      <c r="J62" s="444">
        <f t="array" ref="J62">IFERROR(INDEX('Retirement Calculator'!K:K,MATCH('Lorri 401b'!N62,'Retirement Calculator'!A:A,0),0),0)</f>
        <v>0</v>
      </c>
      <c r="K62" s="444">
        <f t="shared" ca="1" si="2"/>
        <v>16350.472727640321</v>
      </c>
      <c r="L62" s="444">
        <f t="shared" ca="1" si="3"/>
        <v>3940463.9273613179</v>
      </c>
      <c r="M62" s="460">
        <f t="shared" si="6"/>
        <v>0.05</v>
      </c>
      <c r="N62" s="464">
        <f t="shared" si="7"/>
        <v>52932</v>
      </c>
    </row>
    <row r="63" spans="1:14" ht="11.25" customHeight="1" x14ac:dyDescent="0.25">
      <c r="A63" s="459">
        <v>56</v>
      </c>
      <c r="B63" s="447">
        <f t="shared" ca="1" si="4"/>
        <v>-8037799.574319426</v>
      </c>
      <c r="C63" s="447">
        <f t="shared" si="0"/>
        <v>259863.64217494545</v>
      </c>
      <c r="D63" s="447">
        <f ca="1">SUMIF(G:G,56,K:K)</f>
        <v>-418375.70774983068</v>
      </c>
      <c r="E63" s="447">
        <f t="shared" ca="1" si="1"/>
        <v>-8716038.9242442027</v>
      </c>
      <c r="F63" s="431"/>
      <c r="G63" s="459">
        <f t="shared" si="8"/>
        <v>5</v>
      </c>
      <c r="H63" s="459">
        <v>56</v>
      </c>
      <c r="I63" s="444">
        <f t="shared" ca="1" si="5"/>
        <v>3940463.9273613179</v>
      </c>
      <c r="J63" s="444">
        <f t="array" ref="J63">IFERROR(INDEX('Retirement Calculator'!K:K,MATCH('Lorri 401b'!N63,'Retirement Calculator'!A:A,0),0),0)</f>
        <v>0</v>
      </c>
      <c r="K63" s="444">
        <f t="shared" ca="1" si="2"/>
        <v>16418.599697338825</v>
      </c>
      <c r="L63" s="444">
        <f t="shared" ca="1" si="3"/>
        <v>3956882.5270586568</v>
      </c>
      <c r="M63" s="460">
        <f t="shared" si="6"/>
        <v>0.05</v>
      </c>
      <c r="N63" s="464">
        <f t="shared" si="7"/>
        <v>52963</v>
      </c>
    </row>
    <row r="64" spans="1:14" ht="11.25" customHeight="1" x14ac:dyDescent="0.25">
      <c r="A64" s="459">
        <v>57</v>
      </c>
      <c r="B64" s="447">
        <f t="shared" ca="1" si="4"/>
        <v>-8716038.9242442027</v>
      </c>
      <c r="C64" s="447">
        <f t="shared" si="0"/>
        <v>259863.64217494545</v>
      </c>
      <c r="D64" s="447">
        <f ca="1">SUMIF(G:G,57,K:K)</f>
        <v>-453075.72011005541</v>
      </c>
      <c r="E64" s="447">
        <f t="shared" ca="1" si="1"/>
        <v>-9428978.2865292039</v>
      </c>
      <c r="F64" s="431"/>
      <c r="G64" s="459">
        <f t="shared" si="8"/>
        <v>5</v>
      </c>
      <c r="H64" s="459">
        <v>57</v>
      </c>
      <c r="I64" s="444">
        <f t="shared" ca="1" si="5"/>
        <v>3956882.5270586568</v>
      </c>
      <c r="J64" s="444">
        <f t="array" ref="J64">IFERROR(INDEX('Retirement Calculator'!K:K,MATCH('Lorri 401b'!N64,'Retirement Calculator'!A:A,0),0),0)</f>
        <v>0</v>
      </c>
      <c r="K64" s="444">
        <f t="shared" ca="1" si="2"/>
        <v>16487.010529411069</v>
      </c>
      <c r="L64" s="444">
        <f t="shared" ca="1" si="3"/>
        <v>3973369.5375880678</v>
      </c>
      <c r="M64" s="460">
        <f t="shared" si="6"/>
        <v>0.05</v>
      </c>
      <c r="N64" s="464">
        <f t="shared" si="7"/>
        <v>52994</v>
      </c>
    </row>
    <row r="65" spans="1:14" ht="11.25" customHeight="1" x14ac:dyDescent="0.25">
      <c r="A65" s="459">
        <v>58</v>
      </c>
      <c r="B65" s="447">
        <f t="shared" ca="1" si="4"/>
        <v>-9428978.2865292039</v>
      </c>
      <c r="C65" s="447">
        <f t="shared" si="0"/>
        <v>259863.64217494545</v>
      </c>
      <c r="D65" s="447">
        <f ca="1">SUMIF(G:G,58,K:K)</f>
        <v>-489551.05095914885</v>
      </c>
      <c r="E65" s="447">
        <f t="shared" ca="1" si="1"/>
        <v>-10178392.979663299</v>
      </c>
      <c r="F65" s="431"/>
      <c r="G65" s="459">
        <f t="shared" si="8"/>
        <v>5</v>
      </c>
      <c r="H65" s="459">
        <v>58</v>
      </c>
      <c r="I65" s="444">
        <f t="shared" ca="1" si="5"/>
        <v>3973369.5375880678</v>
      </c>
      <c r="J65" s="444">
        <f t="array" ref="J65">IFERROR(INDEX('Retirement Calculator'!K:K,MATCH('Lorri 401b'!N65,'Retirement Calculator'!A:A,0),0),0)</f>
        <v>0</v>
      </c>
      <c r="K65" s="444">
        <f t="shared" ca="1" si="2"/>
        <v>16555.706406616948</v>
      </c>
      <c r="L65" s="444">
        <f t="shared" ca="1" si="3"/>
        <v>3989925.2439946849</v>
      </c>
      <c r="M65" s="460">
        <f t="shared" si="6"/>
        <v>0.05</v>
      </c>
      <c r="N65" s="464">
        <f t="shared" si="7"/>
        <v>53022</v>
      </c>
    </row>
    <row r="66" spans="1:14" ht="11.25" customHeight="1" x14ac:dyDescent="0.25">
      <c r="A66" s="459">
        <v>59</v>
      </c>
      <c r="B66" s="447">
        <f t="shared" ca="1" si="4"/>
        <v>-10178392.979663299</v>
      </c>
      <c r="C66" s="447">
        <f t="shared" si="0"/>
        <v>259863.64217494545</v>
      </c>
      <c r="D66" s="447">
        <f ca="1">SUMIF(G:G,59,K:K)</f>
        <v>-527892.52896034613</v>
      </c>
      <c r="E66" s="447">
        <f t="shared" ca="1" si="1"/>
        <v>-10966149.150798591</v>
      </c>
      <c r="F66" s="431"/>
      <c r="G66" s="459">
        <f t="shared" si="8"/>
        <v>5</v>
      </c>
      <c r="H66" s="459">
        <v>59</v>
      </c>
      <c r="I66" s="444">
        <f t="shared" ca="1" si="5"/>
        <v>3989925.2439946849</v>
      </c>
      <c r="J66" s="444">
        <f t="array" ref="J66">IFERROR(INDEX('Retirement Calculator'!K:K,MATCH('Lorri 401b'!N66,'Retirement Calculator'!A:A,0),0),0)</f>
        <v>0</v>
      </c>
      <c r="K66" s="444">
        <f t="shared" ca="1" si="2"/>
        <v>16624.688516644521</v>
      </c>
      <c r="L66" s="444">
        <f t="shared" ca="1" si="3"/>
        <v>4006549.9325113292</v>
      </c>
      <c r="M66" s="460">
        <f t="shared" si="6"/>
        <v>0.05</v>
      </c>
      <c r="N66" s="464">
        <f t="shared" si="7"/>
        <v>53053</v>
      </c>
    </row>
    <row r="67" spans="1:14" ht="11.25" customHeight="1" x14ac:dyDescent="0.25">
      <c r="A67" s="459">
        <v>60</v>
      </c>
      <c r="B67" s="447">
        <f t="shared" ca="1" si="4"/>
        <v>-10966149.150798591</v>
      </c>
      <c r="C67" s="447">
        <f t="shared" si="0"/>
        <v>259863.64217494545</v>
      </c>
      <c r="D67" s="447">
        <f t="shared" ref="D67:D71" ca="1" si="9">SUMIF(G:G,60,K:K)</f>
        <v>-568195.62974367535</v>
      </c>
      <c r="E67" s="447">
        <f t="shared" ca="1" si="1"/>
        <v>-11794208.422717212</v>
      </c>
      <c r="F67" s="431"/>
      <c r="G67" s="459">
        <f t="shared" si="8"/>
        <v>5</v>
      </c>
      <c r="H67" s="459">
        <v>60</v>
      </c>
      <c r="I67" s="444">
        <f t="shared" ca="1" si="5"/>
        <v>4006549.9325113292</v>
      </c>
      <c r="J67" s="444">
        <f t="array" ref="J67">IFERROR(INDEX('Retirement Calculator'!K:K,MATCH('Lorri 401b'!N67,'Retirement Calculator'!A:A,0),0),0)</f>
        <v>0</v>
      </c>
      <c r="K67" s="444">
        <f t="shared" ca="1" si="2"/>
        <v>16693.95805213054</v>
      </c>
      <c r="L67" s="444">
        <f t="shared" ca="1" si="3"/>
        <v>4023243.8905634596</v>
      </c>
      <c r="M67" s="460">
        <f t="shared" si="6"/>
        <v>0.05</v>
      </c>
      <c r="N67" s="464">
        <f t="shared" si="7"/>
        <v>53083</v>
      </c>
    </row>
    <row r="68" spans="1:14" ht="11.25" customHeight="1" x14ac:dyDescent="0.25">
      <c r="A68" s="459">
        <v>61</v>
      </c>
      <c r="B68" s="447">
        <f t="shared" ca="1" si="4"/>
        <v>-11794208.422717212</v>
      </c>
      <c r="C68" s="447">
        <f t="shared" si="0"/>
        <v>259863.64217494545</v>
      </c>
      <c r="D68" s="447">
        <f t="shared" ca="1" si="9"/>
        <v>-568195.62974367535</v>
      </c>
      <c r="E68" s="447">
        <f t="shared" ca="1" si="1"/>
        <v>-12622267.694635833</v>
      </c>
      <c r="F68" s="431"/>
      <c r="G68" s="459">
        <f>G67+1</f>
        <v>6</v>
      </c>
      <c r="H68" s="459">
        <v>61</v>
      </c>
      <c r="I68" s="444">
        <f t="shared" ca="1" si="5"/>
        <v>4023243.8905634596</v>
      </c>
      <c r="J68" s="444">
        <f t="array" ref="J68">IFERROR(INDEX('Retirement Calculator'!K:K,MATCH('Lorri 401b'!N68,'Retirement Calculator'!A:A,0),0),0)</f>
        <v>0</v>
      </c>
      <c r="K68" s="444">
        <f t="shared" ca="1" si="2"/>
        <v>16763.516210681082</v>
      </c>
      <c r="L68" s="444">
        <f t="shared" ca="1" si="3"/>
        <v>4040007.4067741409</v>
      </c>
      <c r="M68" s="460">
        <f t="shared" si="6"/>
        <v>0.05</v>
      </c>
      <c r="N68" s="464">
        <f t="shared" si="7"/>
        <v>53114</v>
      </c>
    </row>
    <row r="69" spans="1:14" ht="11.25" customHeight="1" x14ac:dyDescent="0.25">
      <c r="A69" s="459">
        <v>62</v>
      </c>
      <c r="B69" s="447">
        <f t="shared" ca="1" si="4"/>
        <v>-12622267.694635833</v>
      </c>
      <c r="C69" s="447">
        <f t="shared" si="0"/>
        <v>259863.64217494545</v>
      </c>
      <c r="D69" s="447">
        <f t="shared" ca="1" si="9"/>
        <v>-568195.62974367535</v>
      </c>
      <c r="E69" s="447">
        <f t="shared" ca="1" si="1"/>
        <v>-13450326.966554454</v>
      </c>
      <c r="F69" s="431"/>
      <c r="G69" s="459">
        <f t="shared" ref="G69:G79" si="10">G68</f>
        <v>6</v>
      </c>
      <c r="H69" s="459">
        <v>62</v>
      </c>
      <c r="I69" s="444">
        <f t="shared" ca="1" si="5"/>
        <v>4040007.4067741409</v>
      </c>
      <c r="J69" s="444">
        <f t="array" ref="J69">IFERROR(INDEX('Retirement Calculator'!K:K,MATCH('Lorri 401b'!N69,'Retirement Calculator'!A:A,0),0),0)</f>
        <v>0</v>
      </c>
      <c r="K69" s="444">
        <f t="shared" ca="1" si="2"/>
        <v>16833.364194892252</v>
      </c>
      <c r="L69" s="444">
        <f t="shared" ca="1" si="3"/>
        <v>4056840.7709690332</v>
      </c>
      <c r="M69" s="460">
        <f t="shared" si="6"/>
        <v>0.05</v>
      </c>
      <c r="N69" s="464">
        <f t="shared" si="7"/>
        <v>53144</v>
      </c>
    </row>
    <row r="70" spans="1:14" ht="11.25" customHeight="1" x14ac:dyDescent="0.25">
      <c r="A70" s="459">
        <v>63</v>
      </c>
      <c r="B70" s="447">
        <f t="shared" ca="1" si="4"/>
        <v>-13450326.966554454</v>
      </c>
      <c r="C70" s="447">
        <f t="shared" si="0"/>
        <v>259863.64217494545</v>
      </c>
      <c r="D70" s="447">
        <f t="shared" ca="1" si="9"/>
        <v>-568195.62974367535</v>
      </c>
      <c r="E70" s="447">
        <f t="shared" ca="1" si="1"/>
        <v>-14278386.238473075</v>
      </c>
      <c r="F70" s="431"/>
      <c r="G70" s="459">
        <f t="shared" si="10"/>
        <v>6</v>
      </c>
      <c r="H70" s="459">
        <v>63</v>
      </c>
      <c r="I70" s="444">
        <f t="shared" ca="1" si="5"/>
        <v>4056840.7709690332</v>
      </c>
      <c r="J70" s="444">
        <f t="array" ref="J70">IFERROR(INDEX('Retirement Calculator'!K:K,MATCH('Lorri 401b'!N70,'Retirement Calculator'!A:A,0),0),0)</f>
        <v>0</v>
      </c>
      <c r="K70" s="444">
        <f t="shared" ca="1" si="2"/>
        <v>16903.503212370975</v>
      </c>
      <c r="L70" s="444">
        <f t="shared" ca="1" si="3"/>
        <v>4073744.2741814042</v>
      </c>
      <c r="M70" s="460">
        <f t="shared" si="6"/>
        <v>0.05</v>
      </c>
      <c r="N70" s="464">
        <f t="shared" si="7"/>
        <v>53175</v>
      </c>
    </row>
    <row r="71" spans="1:14" ht="11.25" customHeight="1" x14ac:dyDescent="0.25">
      <c r="A71" s="459">
        <v>64</v>
      </c>
      <c r="B71" s="447">
        <f t="shared" ca="1" si="4"/>
        <v>-14278386.238473075</v>
      </c>
      <c r="C71" s="447">
        <f t="shared" si="0"/>
        <v>259863.64217494545</v>
      </c>
      <c r="D71" s="447">
        <f t="shared" ca="1" si="9"/>
        <v>-568195.62974367535</v>
      </c>
      <c r="E71" s="447">
        <f t="shared" ca="1" si="1"/>
        <v>-15106445.510391695</v>
      </c>
      <c r="F71" s="431"/>
      <c r="G71" s="459">
        <f t="shared" si="10"/>
        <v>6</v>
      </c>
      <c r="H71" s="459">
        <v>64</v>
      </c>
      <c r="I71" s="444">
        <f t="shared" ca="1" si="5"/>
        <v>4073744.2741814042</v>
      </c>
      <c r="J71" s="444">
        <f t="array" ref="J71">IFERROR(INDEX('Retirement Calculator'!K:K,MATCH('Lorri 401b'!N71,'Retirement Calculator'!A:A,0),0),0)</f>
        <v>0</v>
      </c>
      <c r="K71" s="444">
        <f t="shared" ca="1" si="2"/>
        <v>16973.93447575585</v>
      </c>
      <c r="L71" s="444">
        <f t="shared" ca="1" si="3"/>
        <v>4090718.2086571599</v>
      </c>
      <c r="M71" s="460">
        <f t="shared" si="6"/>
        <v>0.05</v>
      </c>
      <c r="N71" s="464">
        <f t="shared" si="7"/>
        <v>53206</v>
      </c>
    </row>
    <row r="72" spans="1:14" ht="11.25" customHeight="1" x14ac:dyDescent="0.25">
      <c r="A72" s="459">
        <v>65</v>
      </c>
      <c r="B72" s="431"/>
      <c r="C72" s="431"/>
      <c r="D72" s="431"/>
      <c r="E72" s="431"/>
      <c r="F72" s="431"/>
      <c r="G72" s="459">
        <f t="shared" si="10"/>
        <v>6</v>
      </c>
      <c r="H72" s="459">
        <v>65</v>
      </c>
      <c r="I72" s="444">
        <f t="shared" ca="1" si="5"/>
        <v>4090718.2086571599</v>
      </c>
      <c r="J72" s="444">
        <f t="array" ref="J72">IFERROR(INDEX('Retirement Calculator'!K:K,MATCH('Lorri 401b'!N72,'Retirement Calculator'!A:A,0),0),0)</f>
        <v>0</v>
      </c>
      <c r="K72" s="444">
        <f t="shared" ca="1" si="2"/>
        <v>17044.659202738163</v>
      </c>
      <c r="L72" s="444">
        <f t="shared" ca="1" si="3"/>
        <v>4107762.8678598981</v>
      </c>
      <c r="M72" s="460">
        <f t="shared" si="6"/>
        <v>0.05</v>
      </c>
      <c r="N72" s="464">
        <f t="shared" si="7"/>
        <v>53236</v>
      </c>
    </row>
    <row r="73" spans="1:14" ht="11.25" customHeight="1" x14ac:dyDescent="0.25">
      <c r="A73" s="459">
        <v>66</v>
      </c>
      <c r="B73" s="431"/>
      <c r="C73" s="431"/>
      <c r="D73" s="431"/>
      <c r="E73" s="431"/>
      <c r="F73" s="431"/>
      <c r="G73" s="459">
        <f t="shared" si="10"/>
        <v>6</v>
      </c>
      <c r="H73" s="459">
        <v>66</v>
      </c>
      <c r="I73" s="444">
        <f t="shared" ca="1" si="5"/>
        <v>4107762.8678598981</v>
      </c>
      <c r="J73" s="444">
        <f t="array" ref="J73">IFERROR(INDEX('Retirement Calculator'!K:K,MATCH('Lorri 401b'!N73,'Retirement Calculator'!A:A,0),0),0)</f>
        <v>0</v>
      </c>
      <c r="K73" s="444">
        <f t="shared" ca="1" si="2"/>
        <v>17115.678616082911</v>
      </c>
      <c r="L73" s="444">
        <f t="shared" ca="1" si="3"/>
        <v>4124878.5464759809</v>
      </c>
      <c r="M73" s="460">
        <f t="shared" si="6"/>
        <v>0.05</v>
      </c>
      <c r="N73" s="464">
        <f t="shared" si="7"/>
        <v>53267</v>
      </c>
    </row>
    <row r="74" spans="1:14" ht="11.25" customHeight="1" x14ac:dyDescent="0.25">
      <c r="A74" s="459">
        <v>67</v>
      </c>
      <c r="B74" s="431"/>
      <c r="C74" s="431"/>
      <c r="D74" s="431"/>
      <c r="E74" s="431"/>
      <c r="F74" s="431"/>
      <c r="G74" s="459">
        <f t="shared" si="10"/>
        <v>6</v>
      </c>
      <c r="H74" s="459">
        <v>67</v>
      </c>
      <c r="I74" s="444">
        <f t="shared" ca="1" si="5"/>
        <v>4124878.5464759809</v>
      </c>
      <c r="J74" s="444">
        <f t="array" ref="J74">IFERROR(INDEX('Retirement Calculator'!K:K,MATCH('Lorri 401b'!N74,'Retirement Calculator'!A:A,0),0),0)</f>
        <v>0</v>
      </c>
      <c r="K74" s="444">
        <f t="shared" ca="1" si="2"/>
        <v>17186.993943649919</v>
      </c>
      <c r="L74" s="444">
        <f t="shared" ca="1" si="3"/>
        <v>4142065.5404196307</v>
      </c>
      <c r="M74" s="460">
        <f t="shared" si="6"/>
        <v>0.05</v>
      </c>
      <c r="N74" s="464">
        <f t="shared" si="7"/>
        <v>53297</v>
      </c>
    </row>
    <row r="75" spans="1:14" ht="11.25" customHeight="1" x14ac:dyDescent="0.25">
      <c r="A75" s="459">
        <v>68</v>
      </c>
      <c r="B75" s="431"/>
      <c r="C75" s="431"/>
      <c r="D75" s="431"/>
      <c r="E75" s="431"/>
      <c r="F75" s="431"/>
      <c r="G75" s="459">
        <f t="shared" si="10"/>
        <v>6</v>
      </c>
      <c r="H75" s="459">
        <v>68</v>
      </c>
      <c r="I75" s="444">
        <f t="shared" ca="1" si="5"/>
        <v>4142065.5404196307</v>
      </c>
      <c r="J75" s="444">
        <f t="array" ref="J75">IFERROR(INDEX('Retirement Calculator'!K:K,MATCH('Lorri 401b'!N75,'Retirement Calculator'!A:A,0),0),0)</f>
        <v>23399.203914578786</v>
      </c>
      <c r="K75" s="444">
        <f t="shared" ca="1" si="2"/>
        <v>17161.109735437716</v>
      </c>
      <c r="L75" s="444">
        <f t="shared" ca="1" si="3"/>
        <v>4135827.4462404894</v>
      </c>
      <c r="M75" s="460">
        <f t="shared" si="6"/>
        <v>0.05</v>
      </c>
      <c r="N75" s="464">
        <f t="shared" si="7"/>
        <v>53328</v>
      </c>
    </row>
    <row r="76" spans="1:14" ht="11.25" customHeight="1" x14ac:dyDescent="0.25">
      <c r="A76" s="459">
        <v>69</v>
      </c>
      <c r="B76" s="431"/>
      <c r="C76" s="431"/>
      <c r="D76" s="431"/>
      <c r="E76" s="431"/>
      <c r="F76" s="431"/>
      <c r="G76" s="459">
        <f t="shared" si="10"/>
        <v>6</v>
      </c>
      <c r="H76" s="459">
        <v>69</v>
      </c>
      <c r="I76" s="444">
        <f t="shared" ca="1" si="5"/>
        <v>4135827.4462404894</v>
      </c>
      <c r="J76" s="444">
        <f t="array" ref="J76">IFERROR(INDEX('Retirement Calculator'!K:K,MATCH('Lorri 401b'!N76,'Retirement Calculator'!A:A,0),0),0)</f>
        <v>23399.203914578786</v>
      </c>
      <c r="K76" s="444">
        <f t="shared" ca="1" si="2"/>
        <v>17135.117676357961</v>
      </c>
      <c r="L76" s="444">
        <f t="shared" ca="1" si="3"/>
        <v>4129563.3600022681</v>
      </c>
      <c r="M76" s="460">
        <f t="shared" si="6"/>
        <v>0.05</v>
      </c>
      <c r="N76" s="464">
        <f t="shared" si="7"/>
        <v>53359</v>
      </c>
    </row>
    <row r="77" spans="1:14" ht="11.25" customHeight="1" x14ac:dyDescent="0.25">
      <c r="A77" s="459">
        <v>70</v>
      </c>
      <c r="B77" s="431"/>
      <c r="C77" s="431"/>
      <c r="D77" s="431"/>
      <c r="E77" s="431"/>
      <c r="F77" s="431"/>
      <c r="G77" s="459">
        <f t="shared" si="10"/>
        <v>6</v>
      </c>
      <c r="H77" s="459">
        <v>70</v>
      </c>
      <c r="I77" s="444">
        <f t="shared" ca="1" si="5"/>
        <v>4129563.3600022681</v>
      </c>
      <c r="J77" s="444">
        <f t="array" ref="J77">IFERROR(INDEX('Retirement Calculator'!K:K,MATCH('Lorri 401b'!N77,'Retirement Calculator'!A:A,0),0),0)</f>
        <v>23399.203914578786</v>
      </c>
      <c r="K77" s="444">
        <f t="shared" ca="1" si="2"/>
        <v>17109.017317032041</v>
      </c>
      <c r="L77" s="444">
        <f t="shared" ca="1" si="3"/>
        <v>4123273.1734047211</v>
      </c>
      <c r="M77" s="460">
        <f t="shared" si="6"/>
        <v>0.05</v>
      </c>
      <c r="N77" s="464">
        <f t="shared" si="7"/>
        <v>53387</v>
      </c>
    </row>
    <row r="78" spans="1:14" ht="11.25" customHeight="1" x14ac:dyDescent="0.25">
      <c r="A78" s="459">
        <v>71</v>
      </c>
      <c r="B78" s="431"/>
      <c r="C78" s="431"/>
      <c r="D78" s="431"/>
      <c r="E78" s="431"/>
      <c r="F78" s="431"/>
      <c r="G78" s="459">
        <f t="shared" si="10"/>
        <v>6</v>
      </c>
      <c r="H78" s="459">
        <v>71</v>
      </c>
      <c r="I78" s="444">
        <f t="shared" ca="1" si="5"/>
        <v>4123273.1734047211</v>
      </c>
      <c r="J78" s="444">
        <f t="array" ref="J78">IFERROR(INDEX('Retirement Calculator'!K:K,MATCH('Lorri 401b'!N78,'Retirement Calculator'!A:A,0),0),0)</f>
        <v>23399.203914578786</v>
      </c>
      <c r="K78" s="444">
        <f t="shared" ca="1" si="2"/>
        <v>17082.808206208923</v>
      </c>
      <c r="L78" s="444">
        <f t="shared" ca="1" si="3"/>
        <v>4116956.7776963511</v>
      </c>
      <c r="M78" s="460">
        <f t="shared" si="6"/>
        <v>0.05</v>
      </c>
      <c r="N78" s="464">
        <f t="shared" si="7"/>
        <v>53418</v>
      </c>
    </row>
    <row r="79" spans="1:14" ht="11.25" customHeight="1" x14ac:dyDescent="0.25">
      <c r="A79" s="459">
        <v>72</v>
      </c>
      <c r="B79" s="431"/>
      <c r="C79" s="431"/>
      <c r="D79" s="431"/>
      <c r="E79" s="431"/>
      <c r="F79" s="431"/>
      <c r="G79" s="459">
        <f t="shared" si="10"/>
        <v>6</v>
      </c>
      <c r="H79" s="459">
        <v>72</v>
      </c>
      <c r="I79" s="444">
        <f t="shared" ca="1" si="5"/>
        <v>4116956.7776963511</v>
      </c>
      <c r="J79" s="444">
        <f t="array" ref="J79">IFERROR(INDEX('Retirement Calculator'!K:K,MATCH('Lorri 401b'!N79,'Retirement Calculator'!A:A,0),0),0)</f>
        <v>23399.203914578786</v>
      </c>
      <c r="K79" s="444">
        <f t="shared" ca="1" si="2"/>
        <v>17056.489890757381</v>
      </c>
      <c r="L79" s="444">
        <f t="shared" ca="1" si="3"/>
        <v>4110614.0636725295</v>
      </c>
      <c r="M79" s="460">
        <f t="shared" si="6"/>
        <v>0.05</v>
      </c>
      <c r="N79" s="464">
        <f t="shared" si="7"/>
        <v>53448</v>
      </c>
    </row>
    <row r="80" spans="1:14" ht="11.25" customHeight="1" x14ac:dyDescent="0.25">
      <c r="A80" s="459">
        <v>73</v>
      </c>
      <c r="B80" s="431"/>
      <c r="C80" s="431"/>
      <c r="D80" s="431"/>
      <c r="E80" s="431"/>
      <c r="F80" s="431"/>
      <c r="G80" s="459">
        <f>G79+1</f>
        <v>7</v>
      </c>
      <c r="H80" s="459">
        <v>73</v>
      </c>
      <c r="I80" s="444">
        <f t="shared" ca="1" si="5"/>
        <v>4110614.0636725295</v>
      </c>
      <c r="J80" s="444">
        <f t="array" ref="J80">IFERROR(INDEX('Retirement Calculator'!K:K,MATCH('Lorri 401b'!N80,'Retirement Calculator'!A:A,0),0),0)</f>
        <v>23399.203914578786</v>
      </c>
      <c r="K80" s="444">
        <f t="shared" ca="1" si="2"/>
        <v>17030.061915658127</v>
      </c>
      <c r="L80" s="444">
        <f t="shared" ca="1" si="3"/>
        <v>4104244.9216736085</v>
      </c>
      <c r="M80" s="460">
        <f t="shared" si="6"/>
        <v>0.05</v>
      </c>
      <c r="N80" s="464">
        <f t="shared" si="7"/>
        <v>53479</v>
      </c>
    </row>
    <row r="81" spans="1:14" ht="11.25" customHeight="1" x14ac:dyDescent="0.25">
      <c r="A81" s="459">
        <v>74</v>
      </c>
      <c r="B81" s="431"/>
      <c r="C81" s="431"/>
      <c r="D81" s="431"/>
      <c r="E81" s="431"/>
      <c r="F81" s="431"/>
      <c r="G81" s="459">
        <f t="shared" ref="G81:G91" si="11">G80</f>
        <v>7</v>
      </c>
      <c r="H81" s="459">
        <v>74</v>
      </c>
      <c r="I81" s="444">
        <f t="shared" ca="1" si="5"/>
        <v>4104244.9216736085</v>
      </c>
      <c r="J81" s="444">
        <f t="array" ref="J81">IFERROR(INDEX('Retirement Calculator'!K:K,MATCH('Lorri 401b'!N81,'Retirement Calculator'!A:A,0),0),0)</f>
        <v>23399.203914578786</v>
      </c>
      <c r="K81" s="444">
        <f t="shared" ca="1" si="2"/>
        <v>17003.523823995954</v>
      </c>
      <c r="L81" s="444">
        <f t="shared" ca="1" si="3"/>
        <v>4097849.2415830255</v>
      </c>
      <c r="M81" s="460">
        <f t="shared" si="6"/>
        <v>0.05</v>
      </c>
      <c r="N81" s="464">
        <f t="shared" si="7"/>
        <v>53509</v>
      </c>
    </row>
    <row r="82" spans="1:14" ht="11.25" customHeight="1" x14ac:dyDescent="0.25">
      <c r="A82" s="459">
        <v>75</v>
      </c>
      <c r="B82" s="431"/>
      <c r="C82" s="431"/>
      <c r="D82" s="431"/>
      <c r="E82" s="431"/>
      <c r="F82" s="431"/>
      <c r="G82" s="459">
        <f t="shared" si="11"/>
        <v>7</v>
      </c>
      <c r="H82" s="459">
        <v>75</v>
      </c>
      <c r="I82" s="444">
        <f t="shared" ca="1" si="5"/>
        <v>4097849.2415830255</v>
      </c>
      <c r="J82" s="444">
        <f t="array" ref="J82">IFERROR(INDEX('Retirement Calculator'!K:K,MATCH('Lorri 401b'!N82,'Retirement Calculator'!A:A,0),0),0)</f>
        <v>23399.203914578786</v>
      </c>
      <c r="K82" s="444">
        <f t="shared" ca="1" si="2"/>
        <v>16976.875156951861</v>
      </c>
      <c r="L82" s="444">
        <f t="shared" ca="1" si="3"/>
        <v>4091426.9128253986</v>
      </c>
      <c r="M82" s="460">
        <f t="shared" si="6"/>
        <v>0.05</v>
      </c>
      <c r="N82" s="464">
        <f t="shared" si="7"/>
        <v>53540</v>
      </c>
    </row>
    <row r="83" spans="1:14" ht="11.25" customHeight="1" x14ac:dyDescent="0.25">
      <c r="A83" s="459">
        <v>76</v>
      </c>
      <c r="B83" s="431"/>
      <c r="C83" s="431"/>
      <c r="D83" s="431"/>
      <c r="E83" s="431"/>
      <c r="F83" s="431"/>
      <c r="G83" s="459">
        <f t="shared" si="11"/>
        <v>7</v>
      </c>
      <c r="H83" s="459">
        <v>76</v>
      </c>
      <c r="I83" s="444">
        <f t="shared" ca="1" si="5"/>
        <v>4091426.9128253986</v>
      </c>
      <c r="J83" s="444">
        <f t="array" ref="J83">IFERROR(INDEX('Retirement Calculator'!K:K,MATCH('Lorri 401b'!N83,'Retirement Calculator'!A:A,0),0),0)</f>
        <v>23399.203914578786</v>
      </c>
      <c r="K83" s="444">
        <f t="shared" ca="1" si="2"/>
        <v>16950.115453795082</v>
      </c>
      <c r="L83" s="444">
        <f t="shared" ca="1" si="3"/>
        <v>4084977.8243646147</v>
      </c>
      <c r="M83" s="460">
        <f t="shared" si="6"/>
        <v>0.05</v>
      </c>
      <c r="N83" s="464">
        <f t="shared" si="7"/>
        <v>53571</v>
      </c>
    </row>
    <row r="84" spans="1:14" ht="11.25" customHeight="1" x14ac:dyDescent="0.25">
      <c r="A84" s="459">
        <v>77</v>
      </c>
      <c r="B84" s="431"/>
      <c r="C84" s="431"/>
      <c r="D84" s="431"/>
      <c r="E84" s="431"/>
      <c r="F84" s="431"/>
      <c r="G84" s="459">
        <f t="shared" si="11"/>
        <v>7</v>
      </c>
      <c r="H84" s="459">
        <v>77</v>
      </c>
      <c r="I84" s="444">
        <f t="shared" ca="1" si="5"/>
        <v>4084977.8243646147</v>
      </c>
      <c r="J84" s="444">
        <f t="array" ref="J84">IFERROR(INDEX('Retirement Calculator'!K:K,MATCH('Lorri 401b'!N84,'Retirement Calculator'!A:A,0),0),0)</f>
        <v>23399.203914578786</v>
      </c>
      <c r="K84" s="444">
        <f t="shared" ca="1" si="2"/>
        <v>16923.244251875149</v>
      </c>
      <c r="L84" s="444">
        <f t="shared" ca="1" si="3"/>
        <v>4078501.8647019109</v>
      </c>
      <c r="M84" s="460">
        <f t="shared" si="6"/>
        <v>0.05</v>
      </c>
      <c r="N84" s="464">
        <f t="shared" si="7"/>
        <v>53601</v>
      </c>
    </row>
    <row r="85" spans="1:14" ht="11.25" customHeight="1" x14ac:dyDescent="0.25">
      <c r="A85" s="459">
        <v>78</v>
      </c>
      <c r="B85" s="431"/>
      <c r="C85" s="431"/>
      <c r="D85" s="431"/>
      <c r="E85" s="431"/>
      <c r="F85" s="431"/>
      <c r="G85" s="459">
        <f t="shared" si="11"/>
        <v>7</v>
      </c>
      <c r="H85" s="459">
        <v>78</v>
      </c>
      <c r="I85" s="444">
        <f t="shared" ca="1" si="5"/>
        <v>4078501.8647019109</v>
      </c>
      <c r="J85" s="444">
        <f t="array" ref="J85">IFERROR(INDEX('Retirement Calculator'!K:K,MATCH('Lorri 401b'!N85,'Retirement Calculator'!A:A,0),0),0)</f>
        <v>23399.203914578786</v>
      </c>
      <c r="K85" s="444">
        <f t="shared" ca="1" si="2"/>
        <v>16896.261086613882</v>
      </c>
      <c r="L85" s="444">
        <f t="shared" ca="1" si="3"/>
        <v>4071998.9218739457</v>
      </c>
      <c r="M85" s="460">
        <f t="shared" si="6"/>
        <v>0.05</v>
      </c>
      <c r="N85" s="464">
        <f t="shared" si="7"/>
        <v>53632</v>
      </c>
    </row>
    <row r="86" spans="1:14" ht="11.25" customHeight="1" x14ac:dyDescent="0.25">
      <c r="A86" s="459">
        <v>79</v>
      </c>
      <c r="B86" s="431"/>
      <c r="C86" s="431"/>
      <c r="D86" s="431"/>
      <c r="E86" s="431"/>
      <c r="F86" s="431"/>
      <c r="G86" s="459">
        <f t="shared" si="11"/>
        <v>7</v>
      </c>
      <c r="H86" s="459">
        <v>79</v>
      </c>
      <c r="I86" s="444">
        <f t="shared" ca="1" si="5"/>
        <v>4071998.9218739457</v>
      </c>
      <c r="J86" s="444">
        <f t="array" ref="J86">IFERROR(INDEX('Retirement Calculator'!K:K,MATCH('Lorri 401b'!N86,'Retirement Calculator'!A:A,0),0),0)</f>
        <v>23399.203914578786</v>
      </c>
      <c r="K86" s="444">
        <f t="shared" ca="1" si="2"/>
        <v>16869.165491497362</v>
      </c>
      <c r="L86" s="444">
        <f t="shared" ca="1" si="3"/>
        <v>4065468.8834508639</v>
      </c>
      <c r="M86" s="460">
        <f t="shared" si="6"/>
        <v>0.05</v>
      </c>
      <c r="N86" s="464">
        <f t="shared" si="7"/>
        <v>53662</v>
      </c>
    </row>
    <row r="87" spans="1:14" ht="11.25" customHeight="1" x14ac:dyDescent="0.25">
      <c r="A87" s="459">
        <v>80</v>
      </c>
      <c r="B87" s="431"/>
      <c r="C87" s="431"/>
      <c r="D87" s="431"/>
      <c r="E87" s="431"/>
      <c r="F87" s="431"/>
      <c r="G87" s="459">
        <f t="shared" si="11"/>
        <v>7</v>
      </c>
      <c r="H87" s="459">
        <v>80</v>
      </c>
      <c r="I87" s="444">
        <f t="shared" ca="1" si="5"/>
        <v>4065468.8834508639</v>
      </c>
      <c r="J87" s="444">
        <f t="array" ref="J87">IFERROR(INDEX('Retirement Calculator'!K:K,MATCH('Lorri 401b'!N87,'Retirement Calculator'!A:A,0),0),0)</f>
        <v>23399.203914578786</v>
      </c>
      <c r="K87" s="444">
        <f t="shared" ca="1" si="2"/>
        <v>16841.95699806785</v>
      </c>
      <c r="L87" s="444">
        <f t="shared" ca="1" si="3"/>
        <v>4058911.6365343528</v>
      </c>
      <c r="M87" s="460">
        <f t="shared" si="6"/>
        <v>0.05</v>
      </c>
      <c r="N87" s="464">
        <f t="shared" si="7"/>
        <v>53693</v>
      </c>
    </row>
    <row r="88" spans="1:14" ht="11.25" customHeight="1" x14ac:dyDescent="0.25">
      <c r="A88" s="459">
        <v>81</v>
      </c>
      <c r="B88" s="431"/>
      <c r="C88" s="431"/>
      <c r="D88" s="431"/>
      <c r="E88" s="431"/>
      <c r="F88" s="431"/>
      <c r="G88" s="459">
        <f t="shared" si="11"/>
        <v>7</v>
      </c>
      <c r="H88" s="459">
        <v>81</v>
      </c>
      <c r="I88" s="444">
        <f t="shared" ca="1" si="5"/>
        <v>4058911.6365343528</v>
      </c>
      <c r="J88" s="444">
        <f t="array" ref="J88">IFERROR(INDEX('Retirement Calculator'!K:K,MATCH('Lorri 401b'!N88,'Retirement Calculator'!A:A,0),0),0)</f>
        <v>23399.203914578786</v>
      </c>
      <c r="K88" s="444">
        <f t="shared" ca="1" si="2"/>
        <v>16814.635135915723</v>
      </c>
      <c r="L88" s="444">
        <f t="shared" ca="1" si="3"/>
        <v>4052327.0677556894</v>
      </c>
      <c r="M88" s="460">
        <f t="shared" si="6"/>
        <v>0.05</v>
      </c>
      <c r="N88" s="464">
        <f t="shared" si="7"/>
        <v>53724</v>
      </c>
    </row>
    <row r="89" spans="1:14" ht="11.25" customHeight="1" x14ac:dyDescent="0.25">
      <c r="A89" s="459">
        <v>82</v>
      </c>
      <c r="B89" s="431"/>
      <c r="C89" s="431"/>
      <c r="D89" s="431"/>
      <c r="E89" s="431"/>
      <c r="F89" s="431"/>
      <c r="G89" s="459">
        <f t="shared" si="11"/>
        <v>7</v>
      </c>
      <c r="H89" s="459">
        <v>82</v>
      </c>
      <c r="I89" s="444">
        <f t="shared" ca="1" si="5"/>
        <v>4052327.0677556894</v>
      </c>
      <c r="J89" s="444">
        <f t="array" ref="J89">IFERROR(INDEX('Retirement Calculator'!K:K,MATCH('Lorri 401b'!N89,'Retirement Calculator'!A:A,0),0),0)</f>
        <v>23399.203914578786</v>
      </c>
      <c r="K89" s="444">
        <f t="shared" ca="1" si="2"/>
        <v>16787.199432671292</v>
      </c>
      <c r="L89" s="444">
        <f t="shared" ca="1" si="3"/>
        <v>4045715.0632737814</v>
      </c>
      <c r="M89" s="460">
        <f t="shared" si="6"/>
        <v>0.05</v>
      </c>
      <c r="N89" s="464">
        <f t="shared" si="7"/>
        <v>53752</v>
      </c>
    </row>
    <row r="90" spans="1:14" ht="11.25" customHeight="1" x14ac:dyDescent="0.25">
      <c r="A90" s="459">
        <v>83</v>
      </c>
      <c r="B90" s="431"/>
      <c r="C90" s="431"/>
      <c r="D90" s="431"/>
      <c r="E90" s="431"/>
      <c r="F90" s="431"/>
      <c r="G90" s="459">
        <f t="shared" si="11"/>
        <v>7</v>
      </c>
      <c r="H90" s="459">
        <v>83</v>
      </c>
      <c r="I90" s="444">
        <f t="shared" ca="1" si="5"/>
        <v>4045715.0632737814</v>
      </c>
      <c r="J90" s="444">
        <f t="array" ref="J90">IFERROR(INDEX('Retirement Calculator'!K:K,MATCH('Lorri 401b'!N90,'Retirement Calculator'!A:A,0),0),0)</f>
        <v>23399.203914578786</v>
      </c>
      <c r="K90" s="444">
        <f t="shared" ca="1" si="2"/>
        <v>16759.649413996678</v>
      </c>
      <c r="L90" s="444">
        <f t="shared" ca="1" si="3"/>
        <v>4039075.5087731993</v>
      </c>
      <c r="M90" s="460">
        <f t="shared" si="6"/>
        <v>0.05</v>
      </c>
      <c r="N90" s="464">
        <f t="shared" si="7"/>
        <v>53783</v>
      </c>
    </row>
    <row r="91" spans="1:14" ht="11.25" customHeight="1" x14ac:dyDescent="0.25">
      <c r="A91" s="459">
        <v>84</v>
      </c>
      <c r="B91" s="431"/>
      <c r="C91" s="431"/>
      <c r="D91" s="431"/>
      <c r="E91" s="431"/>
      <c r="F91" s="431"/>
      <c r="G91" s="459">
        <f t="shared" si="11"/>
        <v>7</v>
      </c>
      <c r="H91" s="459">
        <v>84</v>
      </c>
      <c r="I91" s="444">
        <f t="shared" ca="1" si="5"/>
        <v>4039075.5087731993</v>
      </c>
      <c r="J91" s="444">
        <f t="array" ref="J91">IFERROR(INDEX('Retirement Calculator'!K:K,MATCH('Lorri 401b'!N91,'Retirement Calculator'!A:A,0),0),0)</f>
        <v>23399.203914578786</v>
      </c>
      <c r="K91" s="444">
        <f t="shared" ca="1" si="2"/>
        <v>16731.984603577584</v>
      </c>
      <c r="L91" s="444">
        <f t="shared" ca="1" si="3"/>
        <v>4032408.289462198</v>
      </c>
      <c r="M91" s="460">
        <f t="shared" si="6"/>
        <v>0.05</v>
      </c>
      <c r="N91" s="464">
        <f t="shared" si="7"/>
        <v>53813</v>
      </c>
    </row>
    <row r="92" spans="1:14" ht="11.25" customHeight="1" x14ac:dyDescent="0.25">
      <c r="A92" s="459">
        <v>85</v>
      </c>
      <c r="B92" s="431"/>
      <c r="C92" s="431"/>
      <c r="D92" s="431"/>
      <c r="E92" s="431"/>
      <c r="F92" s="431"/>
      <c r="G92" s="459">
        <f>G91+1</f>
        <v>8</v>
      </c>
      <c r="H92" s="459">
        <v>85</v>
      </c>
      <c r="I92" s="444">
        <f t="shared" ca="1" si="5"/>
        <v>4032408.289462198</v>
      </c>
      <c r="J92" s="444">
        <f t="array" ref="J92">IFERROR(INDEX('Retirement Calculator'!K:K,MATCH('Lorri 401b'!N92,'Retirement Calculator'!A:A,0),0),0)</f>
        <v>23399.203914578786</v>
      </c>
      <c r="K92" s="444">
        <f t="shared" ca="1" si="2"/>
        <v>16704.204523115081</v>
      </c>
      <c r="L92" s="444">
        <f t="shared" ca="1" si="3"/>
        <v>4025713.290070734</v>
      </c>
      <c r="M92" s="460">
        <f t="shared" si="6"/>
        <v>0.05</v>
      </c>
      <c r="N92" s="464">
        <f t="shared" si="7"/>
        <v>53844</v>
      </c>
    </row>
    <row r="93" spans="1:14" ht="11.25" customHeight="1" x14ac:dyDescent="0.25">
      <c r="A93" s="459">
        <v>86</v>
      </c>
      <c r="B93" s="431"/>
      <c r="C93" s="431"/>
      <c r="D93" s="431"/>
      <c r="E93" s="431"/>
      <c r="F93" s="431"/>
      <c r="G93" s="459">
        <f t="shared" ref="G93:G103" si="12">G92</f>
        <v>8</v>
      </c>
      <c r="H93" s="459">
        <v>86</v>
      </c>
      <c r="I93" s="444">
        <f t="shared" ca="1" si="5"/>
        <v>4025713.290070734</v>
      </c>
      <c r="J93" s="444">
        <f t="array" ref="J93">IFERROR(INDEX('Retirement Calculator'!K:K,MATCH('Lorri 401b'!N93,'Retirement Calculator'!A:A,0),0),0)</f>
        <v>23399.203914578786</v>
      </c>
      <c r="K93" s="444">
        <f t="shared" ca="1" si="2"/>
        <v>16676.308692317314</v>
      </c>
      <c r="L93" s="444">
        <f t="shared" ca="1" si="3"/>
        <v>4018990.3948484724</v>
      </c>
      <c r="M93" s="460">
        <f t="shared" si="6"/>
        <v>0.05</v>
      </c>
      <c r="N93" s="464">
        <f t="shared" si="7"/>
        <v>53874</v>
      </c>
    </row>
    <row r="94" spans="1:14" ht="11.25" customHeight="1" x14ac:dyDescent="0.25">
      <c r="A94" s="459">
        <v>87</v>
      </c>
      <c r="B94" s="431"/>
      <c r="C94" s="431"/>
      <c r="D94" s="431"/>
      <c r="E94" s="431"/>
      <c r="F94" s="431"/>
      <c r="G94" s="459">
        <f t="shared" si="12"/>
        <v>8</v>
      </c>
      <c r="H94" s="459">
        <v>87</v>
      </c>
      <c r="I94" s="444">
        <f t="shared" ca="1" si="5"/>
        <v>4018990.3948484724</v>
      </c>
      <c r="J94" s="444">
        <f t="array" ref="J94">IFERROR(INDEX('Retirement Calculator'!K:K,MATCH('Lorri 401b'!N94,'Retirement Calculator'!A:A,0),0),0)</f>
        <v>23399.203914578786</v>
      </c>
      <c r="K94" s="444">
        <f t="shared" ca="1" si="2"/>
        <v>16648.296628891221</v>
      </c>
      <c r="L94" s="444">
        <f t="shared" ca="1" si="3"/>
        <v>4012239.4875627845</v>
      </c>
      <c r="M94" s="460">
        <f t="shared" si="6"/>
        <v>0.05</v>
      </c>
      <c r="N94" s="464">
        <f t="shared" si="7"/>
        <v>53905</v>
      </c>
    </row>
    <row r="95" spans="1:14" ht="11.25" customHeight="1" x14ac:dyDescent="0.25">
      <c r="A95" s="459">
        <v>88</v>
      </c>
      <c r="B95" s="431"/>
      <c r="C95" s="431"/>
      <c r="D95" s="431"/>
      <c r="E95" s="431"/>
      <c r="F95" s="431"/>
      <c r="G95" s="459">
        <f t="shared" si="12"/>
        <v>8</v>
      </c>
      <c r="H95" s="459">
        <v>88</v>
      </c>
      <c r="I95" s="444">
        <f t="shared" ca="1" si="5"/>
        <v>4012239.4875627845</v>
      </c>
      <c r="J95" s="444">
        <f t="array" ref="J95">IFERROR(INDEX('Retirement Calculator'!K:K,MATCH('Lorri 401b'!N95,'Retirement Calculator'!A:A,0),0),0)</f>
        <v>23399.203914578786</v>
      </c>
      <c r="K95" s="444">
        <f t="shared" ca="1" si="2"/>
        <v>16620.167848534191</v>
      </c>
      <c r="L95" s="444">
        <f t="shared" ca="1" si="3"/>
        <v>4005460.4514967399</v>
      </c>
      <c r="M95" s="460">
        <f t="shared" si="6"/>
        <v>0.05</v>
      </c>
      <c r="N95" s="464">
        <f t="shared" si="7"/>
        <v>53936</v>
      </c>
    </row>
    <row r="96" spans="1:14" ht="11.25" customHeight="1" x14ac:dyDescent="0.25">
      <c r="A96" s="459">
        <v>89</v>
      </c>
      <c r="B96" s="431"/>
      <c r="C96" s="431"/>
      <c r="D96" s="431"/>
      <c r="E96" s="431"/>
      <c r="F96" s="431"/>
      <c r="G96" s="459">
        <f t="shared" si="12"/>
        <v>8</v>
      </c>
      <c r="H96" s="459">
        <v>89</v>
      </c>
      <c r="I96" s="444">
        <f t="shared" ca="1" si="5"/>
        <v>4005460.4514967399</v>
      </c>
      <c r="J96" s="444">
        <f t="array" ref="J96">IFERROR(INDEX('Retirement Calculator'!K:K,MATCH('Lorri 401b'!N96,'Retirement Calculator'!A:A,0),0),0)</f>
        <v>23399.203914578786</v>
      </c>
      <c r="K96" s="444">
        <f t="shared" ca="1" si="2"/>
        <v>16591.921864925669</v>
      </c>
      <c r="L96" s="444">
        <f t="shared" ca="1" si="3"/>
        <v>3998653.1694470868</v>
      </c>
      <c r="M96" s="460">
        <f t="shared" si="6"/>
        <v>0.05</v>
      </c>
      <c r="N96" s="464">
        <f t="shared" si="7"/>
        <v>53966</v>
      </c>
    </row>
    <row r="97" spans="1:14" ht="11.25" customHeight="1" x14ac:dyDescent="0.25">
      <c r="A97" s="459">
        <v>90</v>
      </c>
      <c r="B97" s="431"/>
      <c r="C97" s="431"/>
      <c r="D97" s="431"/>
      <c r="E97" s="431"/>
      <c r="F97" s="431"/>
      <c r="G97" s="459">
        <f t="shared" si="12"/>
        <v>8</v>
      </c>
      <c r="H97" s="459">
        <v>90</v>
      </c>
      <c r="I97" s="444">
        <f t="shared" ca="1" si="5"/>
        <v>3998653.1694470868</v>
      </c>
      <c r="J97" s="444">
        <f t="array" ref="J97">IFERROR(INDEX('Retirement Calculator'!K:K,MATCH('Lorri 401b'!N97,'Retirement Calculator'!A:A,0),0),0)</f>
        <v>23399.203914578786</v>
      </c>
      <c r="K97" s="444">
        <f t="shared" ca="1" si="2"/>
        <v>16563.558189718784</v>
      </c>
      <c r="L97" s="444">
        <f t="shared" ca="1" si="3"/>
        <v>3991817.5237222267</v>
      </c>
      <c r="M97" s="460">
        <f t="shared" si="6"/>
        <v>0.05</v>
      </c>
      <c r="N97" s="464">
        <f t="shared" si="7"/>
        <v>53997</v>
      </c>
    </row>
    <row r="98" spans="1:14" ht="11.25" customHeight="1" x14ac:dyDescent="0.25">
      <c r="A98" s="459">
        <v>91</v>
      </c>
      <c r="B98" s="431"/>
      <c r="C98" s="431"/>
      <c r="D98" s="431"/>
      <c r="E98" s="431"/>
      <c r="F98" s="431"/>
      <c r="G98" s="459">
        <f t="shared" si="12"/>
        <v>8</v>
      </c>
      <c r="H98" s="459">
        <v>91</v>
      </c>
      <c r="I98" s="444">
        <f t="shared" ca="1" si="5"/>
        <v>3991817.5237222267</v>
      </c>
      <c r="J98" s="444">
        <f t="array" ref="J98">IFERROR(INDEX('Retirement Calculator'!K:K,MATCH('Lorri 401b'!N98,'Retirement Calculator'!A:A,0),0),0)</f>
        <v>23399.203914578786</v>
      </c>
      <c r="K98" s="444">
        <f t="shared" ca="1" si="2"/>
        <v>16535.076332531862</v>
      </c>
      <c r="L98" s="444">
        <f t="shared" ca="1" si="3"/>
        <v>3984953.3961401796</v>
      </c>
      <c r="M98" s="460">
        <f t="shared" si="6"/>
        <v>0.05</v>
      </c>
      <c r="N98" s="464">
        <f t="shared" si="7"/>
        <v>54027</v>
      </c>
    </row>
    <row r="99" spans="1:14" ht="11.25" customHeight="1" x14ac:dyDescent="0.25">
      <c r="A99" s="459">
        <v>92</v>
      </c>
      <c r="B99" s="431"/>
      <c r="C99" s="431"/>
      <c r="D99" s="431"/>
      <c r="E99" s="431"/>
      <c r="F99" s="431"/>
      <c r="G99" s="459">
        <f t="shared" si="12"/>
        <v>8</v>
      </c>
      <c r="H99" s="459">
        <v>92</v>
      </c>
      <c r="I99" s="444">
        <f t="shared" ca="1" si="5"/>
        <v>3984953.3961401796</v>
      </c>
      <c r="J99" s="444">
        <f t="array" ref="J99">IFERROR(INDEX('Retirement Calculator'!K:K,MATCH('Lorri 401b'!N99,'Retirement Calculator'!A:A,0),0),0)</f>
        <v>23399.203914578786</v>
      </c>
      <c r="K99" s="444">
        <f t="shared" ca="1" si="2"/>
        <v>16506.475800940003</v>
      </c>
      <c r="L99" s="444">
        <f t="shared" ca="1" si="3"/>
        <v>3978060.6680265404</v>
      </c>
      <c r="M99" s="460">
        <f t="shared" si="6"/>
        <v>0.05</v>
      </c>
      <c r="N99" s="464">
        <f t="shared" si="7"/>
        <v>54058</v>
      </c>
    </row>
    <row r="100" spans="1:14" ht="11.25" customHeight="1" x14ac:dyDescent="0.25">
      <c r="A100" s="459">
        <v>93</v>
      </c>
      <c r="B100" s="431"/>
      <c r="C100" s="431"/>
      <c r="D100" s="431"/>
      <c r="E100" s="431"/>
      <c r="F100" s="431"/>
      <c r="G100" s="459">
        <f t="shared" si="12"/>
        <v>8</v>
      </c>
      <c r="H100" s="459">
        <v>93</v>
      </c>
      <c r="I100" s="444">
        <f t="shared" ca="1" si="5"/>
        <v>3978060.6680265404</v>
      </c>
      <c r="J100" s="444">
        <f t="array" ref="J100">IFERROR(INDEX('Retirement Calculator'!K:K,MATCH('Lorri 401b'!N100,'Retirement Calculator'!A:A,0),0),0)</f>
        <v>23399.203914578786</v>
      </c>
      <c r="K100" s="444">
        <f t="shared" ca="1" si="2"/>
        <v>16477.756100466504</v>
      </c>
      <c r="L100" s="444">
        <f t="shared" ca="1" si="3"/>
        <v>3971139.2202124279</v>
      </c>
      <c r="M100" s="460">
        <f t="shared" si="6"/>
        <v>0.05</v>
      </c>
      <c r="N100" s="464">
        <f t="shared" si="7"/>
        <v>54089</v>
      </c>
    </row>
    <row r="101" spans="1:14" ht="11.25" customHeight="1" x14ac:dyDescent="0.25">
      <c r="A101" s="459">
        <v>94</v>
      </c>
      <c r="B101" s="431"/>
      <c r="C101" s="431"/>
      <c r="D101" s="431"/>
      <c r="E101" s="431"/>
      <c r="F101" s="431"/>
      <c r="G101" s="459">
        <f t="shared" si="12"/>
        <v>8</v>
      </c>
      <c r="H101" s="459">
        <v>94</v>
      </c>
      <c r="I101" s="444">
        <f t="shared" ca="1" si="5"/>
        <v>3971139.2202124279</v>
      </c>
      <c r="J101" s="444">
        <f t="array" ref="J101">IFERROR(INDEX('Retirement Calculator'!K:K,MATCH('Lorri 401b'!N101,'Retirement Calculator'!A:A,0),0),0)</f>
        <v>23399.203914578786</v>
      </c>
      <c r="K101" s="444">
        <f t="shared" ca="1" si="2"/>
        <v>16448.91673457437</v>
      </c>
      <c r="L101" s="444">
        <f t="shared" ca="1" si="3"/>
        <v>3964188.9330324233</v>
      </c>
      <c r="M101" s="460">
        <f t="shared" si="6"/>
        <v>0.05</v>
      </c>
      <c r="N101" s="464">
        <f t="shared" si="7"/>
        <v>54118</v>
      </c>
    </row>
    <row r="102" spans="1:14" ht="11.25" customHeight="1" x14ac:dyDescent="0.25">
      <c r="A102" s="459">
        <v>95</v>
      </c>
      <c r="B102" s="431"/>
      <c r="C102" s="431"/>
      <c r="D102" s="431"/>
      <c r="E102" s="431"/>
      <c r="F102" s="431"/>
      <c r="G102" s="459">
        <f t="shared" si="12"/>
        <v>8</v>
      </c>
      <c r="H102" s="459">
        <v>95</v>
      </c>
      <c r="I102" s="444">
        <f t="shared" ca="1" si="5"/>
        <v>3964188.9330324233</v>
      </c>
      <c r="J102" s="444">
        <f t="array" ref="J102">IFERROR(INDEX('Retirement Calculator'!K:K,MATCH('Lorri 401b'!N102,'Retirement Calculator'!A:A,0),0),0)</f>
        <v>23399.203914578786</v>
      </c>
      <c r="K102" s="444">
        <f t="shared" ca="1" si="2"/>
        <v>16419.957204657683</v>
      </c>
      <c r="L102" s="444">
        <f t="shared" ca="1" si="3"/>
        <v>3957209.6863225019</v>
      </c>
      <c r="M102" s="460">
        <f t="shared" si="6"/>
        <v>0.05</v>
      </c>
      <c r="N102" s="464">
        <f t="shared" si="7"/>
        <v>54149</v>
      </c>
    </row>
    <row r="103" spans="1:14" ht="11.25" customHeight="1" x14ac:dyDescent="0.25">
      <c r="A103" s="459">
        <v>96</v>
      </c>
      <c r="B103" s="431"/>
      <c r="C103" s="431"/>
      <c r="D103" s="431"/>
      <c r="E103" s="431"/>
      <c r="F103" s="431"/>
      <c r="G103" s="459">
        <f t="shared" si="12"/>
        <v>8</v>
      </c>
      <c r="H103" s="459">
        <v>96</v>
      </c>
      <c r="I103" s="444">
        <f t="shared" ca="1" si="5"/>
        <v>3957209.6863225019</v>
      </c>
      <c r="J103" s="444">
        <f t="array" ref="J103">IFERROR(INDEX('Retirement Calculator'!K:K,MATCH('Lorri 401b'!N103,'Retirement Calculator'!A:A,0),0),0)</f>
        <v>23399.203914578786</v>
      </c>
      <c r="K103" s="444">
        <f t="shared" ca="1" si="2"/>
        <v>16390.877010033011</v>
      </c>
      <c r="L103" s="444">
        <f t="shared" ca="1" si="3"/>
        <v>3950201.3594179559</v>
      </c>
      <c r="M103" s="460">
        <f t="shared" si="6"/>
        <v>0.05</v>
      </c>
      <c r="N103" s="464">
        <f t="shared" si="7"/>
        <v>54179</v>
      </c>
    </row>
    <row r="104" spans="1:14" ht="11.25" customHeight="1" x14ac:dyDescent="0.25">
      <c r="A104" s="459">
        <v>97</v>
      </c>
      <c r="B104" s="431"/>
      <c r="C104" s="431"/>
      <c r="D104" s="431"/>
      <c r="E104" s="431"/>
      <c r="F104" s="431"/>
      <c r="G104" s="459">
        <f>G103+1</f>
        <v>9</v>
      </c>
      <c r="H104" s="459">
        <v>97</v>
      </c>
      <c r="I104" s="444">
        <f t="shared" ca="1" si="5"/>
        <v>3950201.3594179559</v>
      </c>
      <c r="J104" s="444">
        <f t="array" ref="J104">IFERROR(INDEX('Retirement Calculator'!K:K,MATCH('Lorri 401b'!N104,'Retirement Calculator'!A:A,0),0),0)</f>
        <v>23399.203914578786</v>
      </c>
      <c r="K104" s="444">
        <f t="shared" ca="1" si="2"/>
        <v>16361.675647930735</v>
      </c>
      <c r="L104" s="444">
        <f t="shared" ca="1" si="3"/>
        <v>3943163.8311513076</v>
      </c>
      <c r="M104" s="460">
        <f t="shared" si="6"/>
        <v>0.05</v>
      </c>
      <c r="N104" s="464">
        <f t="shared" si="7"/>
        <v>54210</v>
      </c>
    </row>
    <row r="105" spans="1:14" ht="11.25" customHeight="1" x14ac:dyDescent="0.25">
      <c r="A105" s="459">
        <v>98</v>
      </c>
      <c r="B105" s="431"/>
      <c r="C105" s="431"/>
      <c r="D105" s="431"/>
      <c r="E105" s="431"/>
      <c r="F105" s="431"/>
      <c r="G105" s="459">
        <f t="shared" ref="G105:G115" si="13">G104</f>
        <v>9</v>
      </c>
      <c r="H105" s="459">
        <v>98</v>
      </c>
      <c r="I105" s="444">
        <f t="shared" ca="1" si="5"/>
        <v>3943163.8311513076</v>
      </c>
      <c r="J105" s="444">
        <f t="array" ref="J105">IFERROR(INDEX('Retirement Calculator'!K:K,MATCH('Lorri 401b'!N105,'Retirement Calculator'!A:A,0),0),0)</f>
        <v>21655.303514578787</v>
      </c>
      <c r="K105" s="444">
        <f t="shared" ca="1" si="2"/>
        <v>16339.618865153034</v>
      </c>
      <c r="L105" s="444">
        <f t="shared" ca="1" si="3"/>
        <v>3937848.1465018815</v>
      </c>
      <c r="M105" s="460">
        <f t="shared" si="6"/>
        <v>0.05</v>
      </c>
      <c r="N105" s="464">
        <f t="shared" si="7"/>
        <v>54240</v>
      </c>
    </row>
    <row r="106" spans="1:14" ht="11.25" customHeight="1" x14ac:dyDescent="0.25">
      <c r="A106" s="459">
        <v>99</v>
      </c>
      <c r="B106" s="431"/>
      <c r="C106" s="431"/>
      <c r="D106" s="431"/>
      <c r="E106" s="431"/>
      <c r="F106" s="431"/>
      <c r="G106" s="459">
        <f t="shared" si="13"/>
        <v>9</v>
      </c>
      <c r="H106" s="459">
        <v>99</v>
      </c>
      <c r="I106" s="444">
        <f t="shared" ca="1" si="5"/>
        <v>3937848.1465018815</v>
      </c>
      <c r="J106" s="444">
        <f t="array" ref="J106">IFERROR(INDEX('Retirement Calculator'!K:K,MATCH('Lorri 401b'!N106,'Retirement Calculator'!A:A,0),0),0)</f>
        <v>21655.303514578787</v>
      </c>
      <c r="K106" s="444">
        <f t="shared" ca="1" si="2"/>
        <v>16317.470179113761</v>
      </c>
      <c r="L106" s="444">
        <f t="shared" ca="1" si="3"/>
        <v>3932510.3131664163</v>
      </c>
      <c r="M106" s="460">
        <f t="shared" si="6"/>
        <v>0.05</v>
      </c>
      <c r="N106" s="464">
        <f t="shared" si="7"/>
        <v>54271</v>
      </c>
    </row>
    <row r="107" spans="1:14" ht="11.25" customHeight="1" x14ac:dyDescent="0.25">
      <c r="A107" s="459">
        <v>100</v>
      </c>
      <c r="B107" s="431"/>
      <c r="C107" s="431"/>
      <c r="D107" s="431"/>
      <c r="E107" s="431"/>
      <c r="F107" s="431"/>
      <c r="G107" s="459">
        <f t="shared" si="13"/>
        <v>9</v>
      </c>
      <c r="H107" s="459">
        <v>100</v>
      </c>
      <c r="I107" s="444">
        <f t="shared" ca="1" si="5"/>
        <v>3932510.3131664163</v>
      </c>
      <c r="J107" s="444">
        <f t="array" ref="J107">IFERROR(INDEX('Retirement Calculator'!K:K,MATCH('Lorri 401b'!N107,'Retirement Calculator'!A:A,0),0),0)</f>
        <v>21655.303514578787</v>
      </c>
      <c r="K107" s="444">
        <f t="shared" ca="1" si="2"/>
        <v>16295.229206882657</v>
      </c>
      <c r="L107" s="444">
        <f t="shared" ca="1" si="3"/>
        <v>3927150.2388587203</v>
      </c>
      <c r="M107" s="460">
        <f t="shared" si="6"/>
        <v>0.05</v>
      </c>
      <c r="N107" s="464">
        <f t="shared" si="7"/>
        <v>54302</v>
      </c>
    </row>
    <row r="108" spans="1:14" ht="11.25" customHeight="1" x14ac:dyDescent="0.25">
      <c r="A108" s="459">
        <v>101</v>
      </c>
      <c r="B108" s="431"/>
      <c r="C108" s="431"/>
      <c r="D108" s="431"/>
      <c r="E108" s="431"/>
      <c r="F108" s="431"/>
      <c r="G108" s="459">
        <f t="shared" si="13"/>
        <v>9</v>
      </c>
      <c r="H108" s="459">
        <v>101</v>
      </c>
      <c r="I108" s="444">
        <f t="shared" ca="1" si="5"/>
        <v>3927150.2388587203</v>
      </c>
      <c r="J108" s="444">
        <f t="array" ref="J108">IFERROR(INDEX('Retirement Calculator'!K:K,MATCH('Lorri 401b'!N108,'Retirement Calculator'!A:A,0),0),0)</f>
        <v>21655.303514578787</v>
      </c>
      <c r="K108" s="444">
        <f t="shared" ca="1" si="2"/>
        <v>16272.89556393392</v>
      </c>
      <c r="L108" s="444">
        <f t="shared" ca="1" si="3"/>
        <v>3921767.8309080754</v>
      </c>
      <c r="M108" s="460">
        <f t="shared" si="6"/>
        <v>0.05</v>
      </c>
      <c r="N108" s="464">
        <f t="shared" si="7"/>
        <v>54332</v>
      </c>
    </row>
    <row r="109" spans="1:14" ht="11.25" customHeight="1" x14ac:dyDescent="0.25">
      <c r="A109" s="459">
        <v>102</v>
      </c>
      <c r="B109" s="431"/>
      <c r="C109" s="431"/>
      <c r="D109" s="431"/>
      <c r="E109" s="431"/>
      <c r="F109" s="431"/>
      <c r="G109" s="459">
        <f t="shared" si="13"/>
        <v>9</v>
      </c>
      <c r="H109" s="459">
        <v>102</v>
      </c>
      <c r="I109" s="444">
        <f t="shared" ca="1" si="5"/>
        <v>3921767.8309080754</v>
      </c>
      <c r="J109" s="444">
        <f t="array" ref="J109">IFERROR(INDEX('Retirement Calculator'!K:K,MATCH('Lorri 401b'!N109,'Retirement Calculator'!A:A,0),0),0)</f>
        <v>21655.303514578787</v>
      </c>
      <c r="K109" s="444">
        <f t="shared" ca="1" si="2"/>
        <v>16250.46886413957</v>
      </c>
      <c r="L109" s="444">
        <f t="shared" ca="1" si="3"/>
        <v>3916362.9962576362</v>
      </c>
      <c r="M109" s="460">
        <f t="shared" si="6"/>
        <v>0.05</v>
      </c>
      <c r="N109" s="464">
        <f t="shared" si="7"/>
        <v>54363</v>
      </c>
    </row>
    <row r="110" spans="1:14" ht="11.25" customHeight="1" x14ac:dyDescent="0.25">
      <c r="A110" s="459">
        <v>103</v>
      </c>
      <c r="B110" s="431"/>
      <c r="C110" s="431"/>
      <c r="D110" s="431"/>
      <c r="E110" s="431"/>
      <c r="F110" s="431"/>
      <c r="G110" s="459">
        <f t="shared" si="13"/>
        <v>9</v>
      </c>
      <c r="H110" s="459">
        <v>103</v>
      </c>
      <c r="I110" s="444">
        <f t="shared" ca="1" si="5"/>
        <v>3916362.9962576362</v>
      </c>
      <c r="J110" s="444">
        <f t="array" ref="J110">IFERROR(INDEX('Retirement Calculator'!K:K,MATCH('Lorri 401b'!N110,'Retirement Calculator'!A:A,0),0),0)</f>
        <v>21655.303514578787</v>
      </c>
      <c r="K110" s="444">
        <f t="shared" ca="1" si="2"/>
        <v>16227.94871976274</v>
      </c>
      <c r="L110" s="444">
        <f t="shared" ca="1" si="3"/>
        <v>3910935.6414628201</v>
      </c>
      <c r="M110" s="460">
        <f t="shared" si="6"/>
        <v>0.05</v>
      </c>
      <c r="N110" s="464">
        <f t="shared" si="7"/>
        <v>54393</v>
      </c>
    </row>
    <row r="111" spans="1:14" ht="11.25" customHeight="1" x14ac:dyDescent="0.25">
      <c r="A111" s="459">
        <v>104</v>
      </c>
      <c r="B111" s="431"/>
      <c r="C111" s="431"/>
      <c r="D111" s="431"/>
      <c r="E111" s="431"/>
      <c r="F111" s="431"/>
      <c r="G111" s="459">
        <f t="shared" si="13"/>
        <v>9</v>
      </c>
      <c r="H111" s="459">
        <v>104</v>
      </c>
      <c r="I111" s="444">
        <f t="shared" ca="1" si="5"/>
        <v>3910935.6414628201</v>
      </c>
      <c r="J111" s="444">
        <f t="array" ref="J111">IFERROR(INDEX('Retirement Calculator'!K:K,MATCH('Lorri 401b'!N111,'Retirement Calculator'!A:A,0),0),0)</f>
        <v>21655.303514578787</v>
      </c>
      <c r="K111" s="444">
        <f t="shared" ca="1" si="2"/>
        <v>16205.334741451006</v>
      </c>
      <c r="L111" s="444">
        <f t="shared" ca="1" si="3"/>
        <v>3905485.6726896921</v>
      </c>
      <c r="M111" s="460">
        <f t="shared" si="6"/>
        <v>0.05</v>
      </c>
      <c r="N111" s="464">
        <f t="shared" si="7"/>
        <v>54424</v>
      </c>
    </row>
    <row r="112" spans="1:14" ht="11.25" customHeight="1" x14ac:dyDescent="0.25">
      <c r="A112" s="459">
        <v>105</v>
      </c>
      <c r="B112" s="431"/>
      <c r="C112" s="431"/>
      <c r="D112" s="431"/>
      <c r="E112" s="431"/>
      <c r="F112" s="431"/>
      <c r="G112" s="459">
        <f t="shared" si="13"/>
        <v>9</v>
      </c>
      <c r="H112" s="459">
        <v>105</v>
      </c>
      <c r="I112" s="444">
        <f t="shared" ca="1" si="5"/>
        <v>3905485.6726896921</v>
      </c>
      <c r="J112" s="444">
        <f t="array" ref="J112">IFERROR(INDEX('Retirement Calculator'!K:K,MATCH('Lorri 401b'!N112,'Retirement Calculator'!A:A,0),0),0)</f>
        <v>21655.303514578787</v>
      </c>
      <c r="K112" s="444">
        <f t="shared" ca="1" si="2"/>
        <v>16182.626538229639</v>
      </c>
      <c r="L112" s="444">
        <f t="shared" ca="1" si="3"/>
        <v>3900012.9957133429</v>
      </c>
      <c r="M112" s="460">
        <f t="shared" si="6"/>
        <v>0.05</v>
      </c>
      <c r="N112" s="464">
        <f t="shared" si="7"/>
        <v>54455</v>
      </c>
    </row>
    <row r="113" spans="1:14" ht="11.25" customHeight="1" x14ac:dyDescent="0.25">
      <c r="A113" s="459">
        <v>106</v>
      </c>
      <c r="B113" s="431"/>
      <c r="C113" s="431"/>
      <c r="D113" s="431"/>
      <c r="E113" s="431"/>
      <c r="F113" s="431"/>
      <c r="G113" s="459">
        <f t="shared" si="13"/>
        <v>9</v>
      </c>
      <c r="H113" s="459">
        <v>106</v>
      </c>
      <c r="I113" s="444">
        <f t="shared" ca="1" si="5"/>
        <v>3900012.9957133429</v>
      </c>
      <c r="J113" s="444">
        <f t="array" ref="J113">IFERROR(INDEX('Retirement Calculator'!K:K,MATCH('Lorri 401b'!N113,'Retirement Calculator'!A:A,0),0),0)</f>
        <v>21655.303514578787</v>
      </c>
      <c r="K113" s="444">
        <f t="shared" ca="1" si="2"/>
        <v>16159.823717494852</v>
      </c>
      <c r="L113" s="444">
        <f t="shared" ca="1" si="3"/>
        <v>3894517.515916259</v>
      </c>
      <c r="M113" s="460">
        <f t="shared" si="6"/>
        <v>0.05</v>
      </c>
      <c r="N113" s="464">
        <f t="shared" si="7"/>
        <v>54483</v>
      </c>
    </row>
    <row r="114" spans="1:14" ht="11.25" customHeight="1" x14ac:dyDescent="0.25">
      <c r="A114" s="459">
        <v>107</v>
      </c>
      <c r="B114" s="431"/>
      <c r="C114" s="431"/>
      <c r="D114" s="431"/>
      <c r="E114" s="431"/>
      <c r="F114" s="431"/>
      <c r="G114" s="459">
        <f t="shared" si="13"/>
        <v>9</v>
      </c>
      <c r="H114" s="459">
        <v>107</v>
      </c>
      <c r="I114" s="444">
        <f t="shared" ca="1" si="5"/>
        <v>3894517.515916259</v>
      </c>
      <c r="J114" s="444">
        <f t="array" ref="J114">IFERROR(INDEX('Retirement Calculator'!K:K,MATCH('Lorri 401b'!N114,'Retirement Calculator'!A:A,0),0),0)</f>
        <v>21655.303514578787</v>
      </c>
      <c r="K114" s="444">
        <f t="shared" ca="1" si="2"/>
        <v>16136.925885007002</v>
      </c>
      <c r="L114" s="444">
        <f t="shared" ca="1" si="3"/>
        <v>3888999.138286687</v>
      </c>
      <c r="M114" s="460">
        <f t="shared" si="6"/>
        <v>0.05</v>
      </c>
      <c r="N114" s="464">
        <f t="shared" si="7"/>
        <v>54514</v>
      </c>
    </row>
    <row r="115" spans="1:14" ht="11.25" customHeight="1" x14ac:dyDescent="0.25">
      <c r="A115" s="459">
        <v>108</v>
      </c>
      <c r="B115" s="431"/>
      <c r="C115" s="431"/>
      <c r="D115" s="431"/>
      <c r="E115" s="431"/>
      <c r="F115" s="431"/>
      <c r="G115" s="459">
        <f t="shared" si="13"/>
        <v>9</v>
      </c>
      <c r="H115" s="459">
        <v>108</v>
      </c>
      <c r="I115" s="444">
        <f t="shared" ca="1" si="5"/>
        <v>3888999.138286687</v>
      </c>
      <c r="J115" s="444">
        <f t="array" ref="J115">IFERROR(INDEX('Retirement Calculator'!K:K,MATCH('Lorri 401b'!N115,'Retirement Calculator'!A:A,0),0),0)</f>
        <v>21655.303514578787</v>
      </c>
      <c r="K115" s="444">
        <f t="shared" ca="1" si="2"/>
        <v>16113.932644883782</v>
      </c>
      <c r="L115" s="444">
        <f t="shared" ca="1" si="3"/>
        <v>3883457.7674169918</v>
      </c>
      <c r="M115" s="460">
        <f t="shared" si="6"/>
        <v>0.05</v>
      </c>
      <c r="N115" s="464">
        <f t="shared" si="7"/>
        <v>54544</v>
      </c>
    </row>
    <row r="116" spans="1:14" ht="11.25" customHeight="1" x14ac:dyDescent="0.25">
      <c r="A116" s="459">
        <v>109</v>
      </c>
      <c r="B116" s="431"/>
      <c r="C116" s="431"/>
      <c r="D116" s="431"/>
      <c r="E116" s="431"/>
      <c r="F116" s="431"/>
      <c r="G116" s="459">
        <f>G115+1</f>
        <v>10</v>
      </c>
      <c r="H116" s="459">
        <v>109</v>
      </c>
      <c r="I116" s="444">
        <f t="shared" ca="1" si="5"/>
        <v>3883457.7674169918</v>
      </c>
      <c r="J116" s="444">
        <f t="array" ref="J116">IFERROR(INDEX('Retirement Calculator'!K:K,MATCH('Lorri 401b'!N116,'Retirement Calculator'!A:A,0),0),0)</f>
        <v>21655.303514578787</v>
      </c>
      <c r="K116" s="444">
        <f t="shared" ca="1" si="2"/>
        <v>16090.843599593387</v>
      </c>
      <c r="L116" s="444">
        <f t="shared" ca="1" si="3"/>
        <v>3877893.3075020062</v>
      </c>
      <c r="M116" s="460">
        <f t="shared" si="6"/>
        <v>0.05</v>
      </c>
      <c r="N116" s="464">
        <f t="shared" si="7"/>
        <v>54575</v>
      </c>
    </row>
    <row r="117" spans="1:14" ht="11.25" customHeight="1" x14ac:dyDescent="0.25">
      <c r="A117" s="459">
        <v>110</v>
      </c>
      <c r="B117" s="431"/>
      <c r="C117" s="431"/>
      <c r="D117" s="431"/>
      <c r="E117" s="431"/>
      <c r="F117" s="431"/>
      <c r="G117" s="459">
        <f t="shared" ref="G117:G127" si="14">G116</f>
        <v>10</v>
      </c>
      <c r="H117" s="459">
        <v>110</v>
      </c>
      <c r="I117" s="444">
        <f t="shared" ca="1" si="5"/>
        <v>3877893.3075020062</v>
      </c>
      <c r="J117" s="444">
        <f t="array" ref="J117">IFERROR(INDEX('Retirement Calculator'!K:K,MATCH('Lorri 401b'!N117,'Retirement Calculator'!A:A,0),0),0)</f>
        <v>21655.303514578787</v>
      </c>
      <c r="K117" s="444">
        <f t="shared" ca="1" si="2"/>
        <v>16067.658349947613</v>
      </c>
      <c r="L117" s="444">
        <f t="shared" ca="1" si="3"/>
        <v>3872305.6623373749</v>
      </c>
      <c r="M117" s="460">
        <f t="shared" si="6"/>
        <v>0.05</v>
      </c>
      <c r="N117" s="464">
        <f t="shared" si="7"/>
        <v>54605</v>
      </c>
    </row>
    <row r="118" spans="1:14" ht="11.25" customHeight="1" x14ac:dyDescent="0.25">
      <c r="A118" s="459">
        <v>111</v>
      </c>
      <c r="B118" s="431"/>
      <c r="C118" s="431"/>
      <c r="D118" s="431"/>
      <c r="E118" s="431"/>
      <c r="F118" s="431"/>
      <c r="G118" s="459">
        <f t="shared" si="14"/>
        <v>10</v>
      </c>
      <c r="H118" s="459">
        <v>111</v>
      </c>
      <c r="I118" s="444">
        <f t="shared" ca="1" si="5"/>
        <v>3872305.6623373749</v>
      </c>
      <c r="J118" s="444">
        <f t="array" ref="J118">IFERROR(INDEX('Retirement Calculator'!K:K,MATCH('Lorri 401b'!N118,'Retirement Calculator'!A:A,0),0),0)</f>
        <v>21655.303514578787</v>
      </c>
      <c r="K118" s="444">
        <f t="shared" ca="1" si="2"/>
        <v>16044.376495094983</v>
      </c>
      <c r="L118" s="444">
        <f t="shared" ca="1" si="3"/>
        <v>3866694.735317891</v>
      </c>
      <c r="M118" s="460">
        <f t="shared" si="6"/>
        <v>0.05</v>
      </c>
      <c r="N118" s="464">
        <f t="shared" si="7"/>
        <v>54636</v>
      </c>
    </row>
    <row r="119" spans="1:14" ht="11.25" customHeight="1" x14ac:dyDescent="0.25">
      <c r="A119" s="459">
        <v>112</v>
      </c>
      <c r="B119" s="431"/>
      <c r="C119" s="431"/>
      <c r="D119" s="431"/>
      <c r="E119" s="431"/>
      <c r="F119" s="431"/>
      <c r="G119" s="459">
        <f t="shared" si="14"/>
        <v>10</v>
      </c>
      <c r="H119" s="459">
        <v>112</v>
      </c>
      <c r="I119" s="444">
        <f t="shared" ca="1" si="5"/>
        <v>3866694.735317891</v>
      </c>
      <c r="J119" s="444">
        <f t="array" ref="J119">IFERROR(INDEX('Retirement Calculator'!K:K,MATCH('Lorri 401b'!N119,'Retirement Calculator'!A:A,0),0),0)</f>
        <v>21655.303514578787</v>
      </c>
      <c r="K119" s="444">
        <f t="shared" ca="1" si="2"/>
        <v>16020.997632513803</v>
      </c>
      <c r="L119" s="444">
        <f t="shared" ca="1" si="3"/>
        <v>3861060.4294358259</v>
      </c>
      <c r="M119" s="460">
        <f t="shared" si="6"/>
        <v>0.05</v>
      </c>
      <c r="N119" s="464">
        <f t="shared" si="7"/>
        <v>54667</v>
      </c>
    </row>
    <row r="120" spans="1:14" ht="11.25" customHeight="1" x14ac:dyDescent="0.25">
      <c r="A120" s="459">
        <v>113</v>
      </c>
      <c r="B120" s="431"/>
      <c r="C120" s="431"/>
      <c r="D120" s="431"/>
      <c r="E120" s="431"/>
      <c r="F120" s="431"/>
      <c r="G120" s="459">
        <f t="shared" si="14"/>
        <v>10</v>
      </c>
      <c r="H120" s="459">
        <v>113</v>
      </c>
      <c r="I120" s="444">
        <f t="shared" ca="1" si="5"/>
        <v>3861060.4294358259</v>
      </c>
      <c r="J120" s="444">
        <f t="array" ref="J120">IFERROR(INDEX('Retirement Calculator'!K:K,MATCH('Lorri 401b'!N120,'Retirement Calculator'!A:A,0),0),0)</f>
        <v>21655.303514578787</v>
      </c>
      <c r="K120" s="444">
        <f t="shared" ca="1" si="2"/>
        <v>15997.521358005195</v>
      </c>
      <c r="L120" s="444">
        <f t="shared" ca="1" si="3"/>
        <v>3855402.6472792523</v>
      </c>
      <c r="M120" s="460">
        <f t="shared" si="6"/>
        <v>0.05</v>
      </c>
      <c r="N120" s="464">
        <f t="shared" si="7"/>
        <v>54697</v>
      </c>
    </row>
    <row r="121" spans="1:14" ht="11.25" customHeight="1" x14ac:dyDescent="0.25">
      <c r="A121" s="459">
        <v>114</v>
      </c>
      <c r="B121" s="431"/>
      <c r="C121" s="431"/>
      <c r="D121" s="431"/>
      <c r="E121" s="431"/>
      <c r="F121" s="431"/>
      <c r="G121" s="459">
        <f t="shared" si="14"/>
        <v>10</v>
      </c>
      <c r="H121" s="459">
        <v>114</v>
      </c>
      <c r="I121" s="444">
        <f t="shared" ca="1" si="5"/>
        <v>3855402.6472792523</v>
      </c>
      <c r="J121" s="444">
        <f t="array" ref="J121">IFERROR(INDEX('Retirement Calculator'!K:K,MATCH('Lorri 401b'!N121,'Retirement Calculator'!A:A,0),0),0)</f>
        <v>21655.303514578787</v>
      </c>
      <c r="K121" s="444">
        <f t="shared" ca="1" si="2"/>
        <v>15973.947265686142</v>
      </c>
      <c r="L121" s="444">
        <f t="shared" ca="1" si="3"/>
        <v>3849721.2910303595</v>
      </c>
      <c r="M121" s="460">
        <f t="shared" si="6"/>
        <v>0.05</v>
      </c>
      <c r="N121" s="464">
        <f t="shared" si="7"/>
        <v>54728</v>
      </c>
    </row>
    <row r="122" spans="1:14" ht="11.25" customHeight="1" x14ac:dyDescent="0.25">
      <c r="A122" s="459">
        <v>115</v>
      </c>
      <c r="B122" s="431"/>
      <c r="C122" s="431"/>
      <c r="D122" s="431"/>
      <c r="E122" s="431"/>
      <c r="F122" s="431"/>
      <c r="G122" s="459">
        <f t="shared" si="14"/>
        <v>10</v>
      </c>
      <c r="H122" s="459">
        <v>115</v>
      </c>
      <c r="I122" s="444">
        <f t="shared" ca="1" si="5"/>
        <v>3849721.2910303595</v>
      </c>
      <c r="J122" s="444">
        <f t="array" ref="J122">IFERROR(INDEX('Retirement Calculator'!K:K,MATCH('Lorri 401b'!N122,'Retirement Calculator'!A:A,0),0),0)</f>
        <v>21655.303514578787</v>
      </c>
      <c r="K122" s="444">
        <f t="shared" ca="1" si="2"/>
        <v>15950.27494798242</v>
      </c>
      <c r="L122" s="444">
        <f t="shared" ca="1" si="3"/>
        <v>3844016.2624637629</v>
      </c>
      <c r="M122" s="460">
        <f t="shared" si="6"/>
        <v>0.05</v>
      </c>
      <c r="N122" s="464">
        <f t="shared" si="7"/>
        <v>54758</v>
      </c>
    </row>
    <row r="123" spans="1:14" ht="11.25" customHeight="1" x14ac:dyDescent="0.25">
      <c r="A123" s="459">
        <v>116</v>
      </c>
      <c r="B123" s="431"/>
      <c r="C123" s="431"/>
      <c r="D123" s="431"/>
      <c r="E123" s="431"/>
      <c r="F123" s="431"/>
      <c r="G123" s="459">
        <f t="shared" si="14"/>
        <v>10</v>
      </c>
      <c r="H123" s="459">
        <v>116</v>
      </c>
      <c r="I123" s="444">
        <f t="shared" ca="1" si="5"/>
        <v>3844016.2624637629</v>
      </c>
      <c r="J123" s="444">
        <f t="array" ref="J123">IFERROR(INDEX('Retirement Calculator'!K:K,MATCH('Lorri 401b'!N123,'Retirement Calculator'!A:A,0),0),0)</f>
        <v>21655.303514578787</v>
      </c>
      <c r="K123" s="444">
        <f t="shared" ca="1" si="2"/>
        <v>15926.503995621599</v>
      </c>
      <c r="L123" s="444">
        <f t="shared" ca="1" si="3"/>
        <v>3838287.4629448056</v>
      </c>
      <c r="M123" s="460">
        <f t="shared" si="6"/>
        <v>0.05</v>
      </c>
      <c r="N123" s="464">
        <f t="shared" si="7"/>
        <v>54789</v>
      </c>
    </row>
    <row r="124" spans="1:14" ht="11.25" customHeight="1" x14ac:dyDescent="0.25">
      <c r="A124" s="459">
        <v>117</v>
      </c>
      <c r="B124" s="431"/>
      <c r="C124" s="431"/>
      <c r="D124" s="431"/>
      <c r="E124" s="431"/>
      <c r="F124" s="431"/>
      <c r="G124" s="459">
        <f t="shared" si="14"/>
        <v>10</v>
      </c>
      <c r="H124" s="459">
        <v>117</v>
      </c>
      <c r="I124" s="444">
        <f t="shared" ca="1" si="5"/>
        <v>3838287.4629448056</v>
      </c>
      <c r="J124" s="444">
        <f t="array" ref="J124">IFERROR(INDEX('Retirement Calculator'!K:K,MATCH('Lorri 401b'!N124,'Retirement Calculator'!A:A,0),0),0)</f>
        <v>21655.303514578787</v>
      </c>
      <c r="K124" s="444">
        <f t="shared" ca="1" si="2"/>
        <v>15902.633997625944</v>
      </c>
      <c r="L124" s="444">
        <f t="shared" ca="1" si="3"/>
        <v>3832534.7934278529</v>
      </c>
      <c r="M124" s="460">
        <f t="shared" si="6"/>
        <v>0.05</v>
      </c>
      <c r="N124" s="464">
        <f t="shared" si="7"/>
        <v>54820</v>
      </c>
    </row>
    <row r="125" spans="1:14" ht="11.25" customHeight="1" x14ac:dyDescent="0.25">
      <c r="A125" s="459">
        <v>118</v>
      </c>
      <c r="B125" s="431"/>
      <c r="C125" s="431"/>
      <c r="D125" s="431"/>
      <c r="E125" s="431"/>
      <c r="F125" s="431"/>
      <c r="G125" s="459">
        <f t="shared" si="14"/>
        <v>10</v>
      </c>
      <c r="H125" s="459">
        <v>118</v>
      </c>
      <c r="I125" s="444">
        <f t="shared" ca="1" si="5"/>
        <v>3832534.7934278529</v>
      </c>
      <c r="J125" s="444">
        <f t="array" ref="J125">IFERROR(INDEX('Retirement Calculator'!K:K,MATCH('Lorri 401b'!N125,'Retirement Calculator'!A:A,0),0),0)</f>
        <v>21655.303514578787</v>
      </c>
      <c r="K125" s="444">
        <f t="shared" ca="1" si="2"/>
        <v>15878.664541305307</v>
      </c>
      <c r="L125" s="444">
        <f t="shared" ca="1" si="3"/>
        <v>3826758.1544545796</v>
      </c>
      <c r="M125" s="460">
        <f t="shared" si="6"/>
        <v>0.05</v>
      </c>
      <c r="N125" s="464">
        <f t="shared" si="7"/>
        <v>54848</v>
      </c>
    </row>
    <row r="126" spans="1:14" ht="11.25" customHeight="1" x14ac:dyDescent="0.25">
      <c r="A126" s="459">
        <v>119</v>
      </c>
      <c r="B126" s="431"/>
      <c r="C126" s="431"/>
      <c r="D126" s="431"/>
      <c r="E126" s="431"/>
      <c r="F126" s="431"/>
      <c r="G126" s="459">
        <f t="shared" si="14"/>
        <v>10</v>
      </c>
      <c r="H126" s="459">
        <v>119</v>
      </c>
      <c r="I126" s="444">
        <f t="shared" ca="1" si="5"/>
        <v>3826758.1544545796</v>
      </c>
      <c r="J126" s="444">
        <f t="array" ref="J126">IFERROR(INDEX('Retirement Calculator'!K:K,MATCH('Lorri 401b'!N126,'Retirement Calculator'!A:A,0),0),0)</f>
        <v>21655.303514578787</v>
      </c>
      <c r="K126" s="444">
        <f t="shared" ca="1" si="2"/>
        <v>15854.595212250002</v>
      </c>
      <c r="L126" s="444">
        <f t="shared" ca="1" si="3"/>
        <v>3820957.4461522507</v>
      </c>
      <c r="M126" s="460">
        <f t="shared" si="6"/>
        <v>0.05</v>
      </c>
      <c r="N126" s="464">
        <f t="shared" si="7"/>
        <v>54879</v>
      </c>
    </row>
    <row r="127" spans="1:14" ht="11.25" customHeight="1" x14ac:dyDescent="0.25">
      <c r="A127" s="459">
        <v>120</v>
      </c>
      <c r="B127" s="431"/>
      <c r="C127" s="431"/>
      <c r="D127" s="431"/>
      <c r="E127" s="431"/>
      <c r="F127" s="431"/>
      <c r="G127" s="459">
        <f t="shared" si="14"/>
        <v>10</v>
      </c>
      <c r="H127" s="459">
        <v>120</v>
      </c>
      <c r="I127" s="444">
        <f t="shared" ca="1" si="5"/>
        <v>3820957.4461522507</v>
      </c>
      <c r="J127" s="444">
        <f t="array" ref="J127">IFERROR(INDEX('Retirement Calculator'!K:K,MATCH('Lorri 401b'!N127,'Retirement Calculator'!A:A,0),0),0)</f>
        <v>21655.303514578787</v>
      </c>
      <c r="K127" s="444">
        <f t="shared" ca="1" si="2"/>
        <v>15830.425594323635</v>
      </c>
      <c r="L127" s="444">
        <f t="shared" ca="1" si="3"/>
        <v>3815132.5682319957</v>
      </c>
      <c r="M127" s="460">
        <f t="shared" si="6"/>
        <v>0.05</v>
      </c>
      <c r="N127" s="464">
        <f t="shared" si="7"/>
        <v>54909</v>
      </c>
    </row>
    <row r="128" spans="1:14" ht="11.25" customHeight="1" x14ac:dyDescent="0.25">
      <c r="A128" s="459">
        <v>121</v>
      </c>
      <c r="B128" s="431"/>
      <c r="C128" s="431"/>
      <c r="D128" s="431"/>
      <c r="E128" s="431"/>
      <c r="F128" s="431"/>
      <c r="G128" s="459">
        <f>G127+1</f>
        <v>11</v>
      </c>
      <c r="H128" s="459">
        <v>121</v>
      </c>
      <c r="I128" s="444">
        <f t="shared" ca="1" si="5"/>
        <v>3815132.5682319957</v>
      </c>
      <c r="J128" s="444">
        <f t="array" ref="J128">IFERROR(INDEX('Retirement Calculator'!K:K,MATCH('Lorri 401b'!N128,'Retirement Calculator'!A:A,0),0),0)</f>
        <v>21655.303514578787</v>
      </c>
      <c r="K128" s="444">
        <f t="shared" ca="1" si="2"/>
        <v>15806.155269655903</v>
      </c>
      <c r="L128" s="444">
        <f t="shared" ca="1" si="3"/>
        <v>3809283.4199870727</v>
      </c>
      <c r="M128" s="460">
        <f t="shared" si="6"/>
        <v>0.05</v>
      </c>
      <c r="N128" s="464">
        <f t="shared" si="7"/>
        <v>54940</v>
      </c>
    </row>
    <row r="129" spans="1:14" ht="11.25" customHeight="1" x14ac:dyDescent="0.25">
      <c r="A129" s="459">
        <v>122</v>
      </c>
      <c r="B129" s="431"/>
      <c r="C129" s="431"/>
      <c r="D129" s="431"/>
      <c r="E129" s="431"/>
      <c r="F129" s="431"/>
      <c r="G129" s="459">
        <f t="shared" ref="G129:G139" si="15">G128</f>
        <v>11</v>
      </c>
      <c r="H129" s="459">
        <v>122</v>
      </c>
      <c r="I129" s="444">
        <f t="shared" ca="1" si="5"/>
        <v>3809283.4199870727</v>
      </c>
      <c r="J129" s="444">
        <f t="array" ref="J129">IFERROR(INDEX('Retirement Calculator'!K:K,MATCH('Lorri 401b'!N129,'Retirement Calculator'!A:A,0),0),0)</f>
        <v>21655.303514578787</v>
      </c>
      <c r="K129" s="444">
        <f t="shared" ca="1" si="2"/>
        <v>15781.783818635391</v>
      </c>
      <c r="L129" s="444">
        <f t="shared" ca="1" si="3"/>
        <v>3803409.900291129</v>
      </c>
      <c r="M129" s="460">
        <f t="shared" si="6"/>
        <v>0.05</v>
      </c>
      <c r="N129" s="464">
        <f t="shared" si="7"/>
        <v>54970</v>
      </c>
    </row>
    <row r="130" spans="1:14" ht="11.25" customHeight="1" x14ac:dyDescent="0.25">
      <c r="A130" s="459">
        <v>123</v>
      </c>
      <c r="B130" s="431"/>
      <c r="C130" s="431"/>
      <c r="D130" s="431"/>
      <c r="E130" s="431"/>
      <c r="F130" s="431"/>
      <c r="G130" s="459">
        <f t="shared" si="15"/>
        <v>11</v>
      </c>
      <c r="H130" s="459">
        <v>123</v>
      </c>
      <c r="I130" s="444">
        <f t="shared" ca="1" si="5"/>
        <v>3803409.900291129</v>
      </c>
      <c r="J130" s="444">
        <f t="array" ref="J130">IFERROR(INDEX('Retirement Calculator'!K:K,MATCH('Lorri 401b'!N130,'Retirement Calculator'!A:A,0),0),0)</f>
        <v>21655.303514578787</v>
      </c>
      <c r="K130" s="444">
        <f t="shared" ca="1" si="2"/>
        <v>15757.310819902294</v>
      </c>
      <c r="L130" s="444">
        <f t="shared" ca="1" si="3"/>
        <v>3797511.9075964526</v>
      </c>
      <c r="M130" s="460">
        <f t="shared" si="6"/>
        <v>0.05</v>
      </c>
      <c r="N130" s="464">
        <f t="shared" si="7"/>
        <v>55001</v>
      </c>
    </row>
    <row r="131" spans="1:14" ht="11.25" customHeight="1" x14ac:dyDescent="0.25">
      <c r="A131" s="459">
        <v>124</v>
      </c>
      <c r="B131" s="431"/>
      <c r="C131" s="431"/>
      <c r="D131" s="431"/>
      <c r="E131" s="431"/>
      <c r="F131" s="431"/>
      <c r="G131" s="459">
        <f t="shared" si="15"/>
        <v>11</v>
      </c>
      <c r="H131" s="459">
        <v>124</v>
      </c>
      <c r="I131" s="444">
        <f t="shared" ca="1" si="5"/>
        <v>3797511.9075964526</v>
      </c>
      <c r="J131" s="444">
        <f t="array" ref="J131">IFERROR(INDEX('Retirement Calculator'!K:K,MATCH('Lorri 401b'!N131,'Retirement Calculator'!A:A,0),0),0)</f>
        <v>21655.303514578787</v>
      </c>
      <c r="K131" s="444">
        <f t="shared" ca="1" si="2"/>
        <v>15732.735850341138</v>
      </c>
      <c r="L131" s="444">
        <f t="shared" ca="1" si="3"/>
        <v>3791589.3399322149</v>
      </c>
      <c r="M131" s="460">
        <f t="shared" si="6"/>
        <v>0.05</v>
      </c>
      <c r="N131" s="464">
        <f t="shared" si="7"/>
        <v>55032</v>
      </c>
    </row>
    <row r="132" spans="1:14" ht="11.25" customHeight="1" x14ac:dyDescent="0.25">
      <c r="A132" s="459">
        <v>125</v>
      </c>
      <c r="B132" s="431"/>
      <c r="C132" s="431"/>
      <c r="D132" s="431"/>
      <c r="E132" s="431"/>
      <c r="F132" s="431"/>
      <c r="G132" s="459">
        <f t="shared" si="15"/>
        <v>11</v>
      </c>
      <c r="H132" s="459">
        <v>125</v>
      </c>
      <c r="I132" s="444">
        <f t="shared" ca="1" si="5"/>
        <v>3791589.3399322149</v>
      </c>
      <c r="J132" s="444">
        <f t="array" ref="J132">IFERROR(INDEX('Retirement Calculator'!K:K,MATCH('Lorri 401b'!N132,'Retirement Calculator'!A:A,0),0),0)</f>
        <v>21655.303514578787</v>
      </c>
      <c r="K132" s="444">
        <f t="shared" ca="1" si="2"/>
        <v>15708.058485073483</v>
      </c>
      <c r="L132" s="444">
        <f t="shared" ca="1" si="3"/>
        <v>3785642.0949027096</v>
      </c>
      <c r="M132" s="460">
        <f t="shared" si="6"/>
        <v>0.05</v>
      </c>
      <c r="N132" s="464">
        <f t="shared" si="7"/>
        <v>55062</v>
      </c>
    </row>
    <row r="133" spans="1:14" ht="11.25" customHeight="1" x14ac:dyDescent="0.25">
      <c r="A133" s="459">
        <v>126</v>
      </c>
      <c r="B133" s="431"/>
      <c r="C133" s="431"/>
      <c r="D133" s="431"/>
      <c r="E133" s="431"/>
      <c r="F133" s="431"/>
      <c r="G133" s="459">
        <f t="shared" si="15"/>
        <v>11</v>
      </c>
      <c r="H133" s="459">
        <v>126</v>
      </c>
      <c r="I133" s="444">
        <f t="shared" ca="1" si="5"/>
        <v>3785642.0949027096</v>
      </c>
      <c r="J133" s="444">
        <f t="array" ref="J133">IFERROR(INDEX('Retirement Calculator'!K:K,MATCH('Lorri 401b'!N133,'Retirement Calculator'!A:A,0),0),0)</f>
        <v>21655.303514578787</v>
      </c>
      <c r="K133" s="444">
        <f t="shared" ca="1" si="2"/>
        <v>15683.278297450544</v>
      </c>
      <c r="L133" s="444">
        <f t="shared" ca="1" si="3"/>
        <v>3779670.0696855811</v>
      </c>
      <c r="M133" s="460">
        <f t="shared" si="6"/>
        <v>0.05</v>
      </c>
      <c r="N133" s="464">
        <f t="shared" si="7"/>
        <v>55093</v>
      </c>
    </row>
    <row r="134" spans="1:14" ht="11.25" customHeight="1" x14ac:dyDescent="0.25">
      <c r="A134" s="459">
        <v>127</v>
      </c>
      <c r="B134" s="431"/>
      <c r="C134" s="431"/>
      <c r="D134" s="431"/>
      <c r="E134" s="431"/>
      <c r="F134" s="431"/>
      <c r="G134" s="459">
        <f t="shared" si="15"/>
        <v>11</v>
      </c>
      <c r="H134" s="459">
        <v>127</v>
      </c>
      <c r="I134" s="444">
        <f t="shared" ca="1" si="5"/>
        <v>3779670.0696855811</v>
      </c>
      <c r="J134" s="444">
        <f t="array" ref="J134">IFERROR(INDEX('Retirement Calculator'!K:K,MATCH('Lorri 401b'!N134,'Retirement Calculator'!A:A,0),0),0)</f>
        <v>21655.303514578787</v>
      </c>
      <c r="K134" s="444">
        <f t="shared" ca="1" si="2"/>
        <v>15658.394859045844</v>
      </c>
      <c r="L134" s="444">
        <f t="shared" ca="1" si="3"/>
        <v>3773673.161030048</v>
      </c>
      <c r="M134" s="460">
        <f t="shared" si="6"/>
        <v>0.05</v>
      </c>
      <c r="N134" s="464">
        <f t="shared" si="7"/>
        <v>55123</v>
      </c>
    </row>
    <row r="135" spans="1:14" ht="11.25" customHeight="1" x14ac:dyDescent="0.25">
      <c r="A135" s="459">
        <v>128</v>
      </c>
      <c r="B135" s="431"/>
      <c r="C135" s="431"/>
      <c r="D135" s="431"/>
      <c r="E135" s="431"/>
      <c r="F135" s="431"/>
      <c r="G135" s="459">
        <f t="shared" si="15"/>
        <v>11</v>
      </c>
      <c r="H135" s="459">
        <v>128</v>
      </c>
      <c r="I135" s="444">
        <f t="shared" ca="1" si="5"/>
        <v>3773673.161030048</v>
      </c>
      <c r="J135" s="444">
        <f t="array" ref="J135">IFERROR(INDEX('Retirement Calculator'!K:K,MATCH('Lorri 401b'!N135,'Retirement Calculator'!A:A,0),0),0)</f>
        <v>21655.303514578787</v>
      </c>
      <c r="K135" s="444">
        <f t="shared" ca="1" si="2"/>
        <v>15633.407739647788</v>
      </c>
      <c r="L135" s="444">
        <f t="shared" ca="1" si="3"/>
        <v>3767651.2652551169</v>
      </c>
      <c r="M135" s="460">
        <f t="shared" si="6"/>
        <v>0.05</v>
      </c>
      <c r="N135" s="464">
        <f t="shared" si="7"/>
        <v>55154</v>
      </c>
    </row>
    <row r="136" spans="1:14" ht="11.25" customHeight="1" x14ac:dyDescent="0.25">
      <c r="A136" s="459">
        <v>129</v>
      </c>
      <c r="B136" s="431"/>
      <c r="C136" s="431"/>
      <c r="D136" s="431"/>
      <c r="E136" s="431"/>
      <c r="F136" s="431"/>
      <c r="G136" s="459">
        <f t="shared" si="15"/>
        <v>11</v>
      </c>
      <c r="H136" s="459">
        <v>129</v>
      </c>
      <c r="I136" s="444">
        <f t="shared" ca="1" si="5"/>
        <v>3767651.2652551169</v>
      </c>
      <c r="J136" s="444">
        <f t="array" ref="J136">IFERROR(INDEX('Retirement Calculator'!K:K,MATCH('Lorri 401b'!N136,'Retirement Calculator'!A:A,0),0),0)</f>
        <v>21655.303514578787</v>
      </c>
      <c r="K136" s="444">
        <f t="shared" ca="1" si="2"/>
        <v>15608.316507252244</v>
      </c>
      <c r="L136" s="444">
        <f t="shared" ca="1" si="3"/>
        <v>3761604.2782477904</v>
      </c>
      <c r="M136" s="460">
        <f t="shared" si="6"/>
        <v>0.05</v>
      </c>
      <c r="N136" s="464">
        <f t="shared" si="7"/>
        <v>55185</v>
      </c>
    </row>
    <row r="137" spans="1:14" ht="11.25" customHeight="1" x14ac:dyDescent="0.25">
      <c r="A137" s="459"/>
      <c r="B137" s="431"/>
      <c r="C137" s="431"/>
      <c r="D137" s="431"/>
      <c r="E137" s="431"/>
      <c r="F137" s="431"/>
      <c r="G137" s="459">
        <f t="shared" si="15"/>
        <v>11</v>
      </c>
      <c r="H137" s="459">
        <v>130</v>
      </c>
      <c r="I137" s="444">
        <f t="shared" ca="1" si="5"/>
        <v>3761604.2782477904</v>
      </c>
      <c r="J137" s="444">
        <f t="array" ref="J137">IFERROR(INDEX('Retirement Calculator'!K:K,MATCH('Lorri 401b'!N137,'Retirement Calculator'!A:A,0),0),0)</f>
        <v>21655.303514578787</v>
      </c>
      <c r="K137" s="444">
        <f t="shared" ca="1" si="2"/>
        <v>15583.12072805505</v>
      </c>
      <c r="L137" s="444">
        <f t="shared" ca="1" si="3"/>
        <v>3755532.0954612666</v>
      </c>
      <c r="M137" s="460">
        <f t="shared" si="6"/>
        <v>0.05</v>
      </c>
      <c r="N137" s="464">
        <f t="shared" si="7"/>
        <v>55213</v>
      </c>
    </row>
    <row r="138" spans="1:14" ht="11.25" customHeight="1" x14ac:dyDescent="0.25">
      <c r="A138" s="459"/>
      <c r="B138" s="431"/>
      <c r="C138" s="431"/>
      <c r="D138" s="431"/>
      <c r="E138" s="431"/>
      <c r="F138" s="431"/>
      <c r="G138" s="459">
        <f t="shared" si="15"/>
        <v>11</v>
      </c>
      <c r="H138" s="459">
        <v>131</v>
      </c>
      <c r="I138" s="444">
        <f t="shared" ca="1" si="5"/>
        <v>3755532.0954612666</v>
      </c>
      <c r="J138" s="444">
        <f t="array" ref="J138">IFERROR(INDEX('Retirement Calculator'!K:K,MATCH('Lorri 401b'!N138,'Retirement Calculator'!A:A,0),0),0)</f>
        <v>21655.303514578787</v>
      </c>
      <c r="K138" s="444">
        <f t="shared" ca="1" si="2"/>
        <v>15557.819966444533</v>
      </c>
      <c r="L138" s="444">
        <f t="shared" ca="1" si="3"/>
        <v>3749434.6119131325</v>
      </c>
      <c r="M138" s="460">
        <f t="shared" si="6"/>
        <v>0.05</v>
      </c>
      <c r="N138" s="464">
        <f t="shared" si="7"/>
        <v>55244</v>
      </c>
    </row>
    <row r="139" spans="1:14" ht="11.25" customHeight="1" x14ac:dyDescent="0.25">
      <c r="A139" s="459"/>
      <c r="B139" s="431"/>
      <c r="C139" s="431"/>
      <c r="D139" s="431"/>
      <c r="E139" s="431"/>
      <c r="F139" s="431"/>
      <c r="G139" s="459">
        <f t="shared" si="15"/>
        <v>11</v>
      </c>
      <c r="H139" s="459">
        <v>132</v>
      </c>
      <c r="I139" s="444">
        <f t="shared" ca="1" si="5"/>
        <v>3749434.6119131325</v>
      </c>
      <c r="J139" s="444">
        <f t="array" ref="J139">IFERROR(INDEX('Retirement Calculator'!K:K,MATCH('Lorri 401b'!N139,'Retirement Calculator'!A:A,0),0),0)</f>
        <v>21655.303514578787</v>
      </c>
      <c r="K139" s="444">
        <f t="shared" ca="1" si="2"/>
        <v>15532.413784993973</v>
      </c>
      <c r="L139" s="444">
        <f t="shared" ca="1" si="3"/>
        <v>3743311.7221835474</v>
      </c>
      <c r="M139" s="460">
        <f t="shared" si="6"/>
        <v>0.05</v>
      </c>
      <c r="N139" s="464">
        <f t="shared" si="7"/>
        <v>55274</v>
      </c>
    </row>
    <row r="140" spans="1:14" ht="11.25" customHeight="1" x14ac:dyDescent="0.25">
      <c r="A140" s="459"/>
      <c r="B140" s="431"/>
      <c r="C140" s="431"/>
      <c r="D140" s="431"/>
      <c r="E140" s="431"/>
      <c r="F140" s="431"/>
      <c r="G140" s="459">
        <f>G139+1</f>
        <v>12</v>
      </c>
      <c r="H140" s="459">
        <v>133</v>
      </c>
      <c r="I140" s="444">
        <f t="shared" ca="1" si="5"/>
        <v>3743311.7221835474</v>
      </c>
      <c r="J140" s="444">
        <f t="array" ref="J140">IFERROR(INDEX('Retirement Calculator'!K:K,MATCH('Lorri 401b'!N140,'Retirement Calculator'!A:A,0),0),0)</f>
        <v>21655.303514578787</v>
      </c>
      <c r="K140" s="444">
        <f t="shared" ca="1" si="2"/>
        <v>15506.901744454035</v>
      </c>
      <c r="L140" s="444">
        <f t="shared" ca="1" si="3"/>
        <v>3737163.3204134228</v>
      </c>
      <c r="M140" s="460">
        <f t="shared" si="6"/>
        <v>0.05</v>
      </c>
      <c r="N140" s="464">
        <f t="shared" si="7"/>
        <v>55305</v>
      </c>
    </row>
    <row r="141" spans="1:14" ht="11.25" customHeight="1" x14ac:dyDescent="0.25">
      <c r="A141" s="459"/>
      <c r="B141" s="431"/>
      <c r="C141" s="431"/>
      <c r="D141" s="431"/>
      <c r="E141" s="431"/>
      <c r="F141" s="431"/>
      <c r="G141" s="459">
        <f t="shared" ref="G141:G151" si="16">G140</f>
        <v>12</v>
      </c>
      <c r="H141" s="459">
        <v>134</v>
      </c>
      <c r="I141" s="444">
        <f t="shared" ca="1" si="5"/>
        <v>3737163.3204134228</v>
      </c>
      <c r="J141" s="444">
        <f t="array" ref="J141">IFERROR(INDEX('Retirement Calculator'!K:K,MATCH('Lorri 401b'!N141,'Retirement Calculator'!A:A,0),0),0)</f>
        <v>21655.303514578787</v>
      </c>
      <c r="K141" s="444">
        <f t="shared" ca="1" si="2"/>
        <v>15481.283403745183</v>
      </c>
      <c r="L141" s="444">
        <f t="shared" ca="1" si="3"/>
        <v>3730989.3003025893</v>
      </c>
      <c r="M141" s="460">
        <f t="shared" si="6"/>
        <v>0.05</v>
      </c>
      <c r="N141" s="464">
        <f t="shared" si="7"/>
        <v>55335</v>
      </c>
    </row>
    <row r="142" spans="1:14" ht="11.25" customHeight="1" x14ac:dyDescent="0.25">
      <c r="A142" s="459"/>
      <c r="B142" s="431"/>
      <c r="C142" s="431"/>
      <c r="D142" s="431"/>
      <c r="E142" s="431"/>
      <c r="F142" s="431"/>
      <c r="G142" s="459">
        <f t="shared" si="16"/>
        <v>12</v>
      </c>
      <c r="H142" s="459">
        <v>135</v>
      </c>
      <c r="I142" s="444">
        <f t="shared" ca="1" si="5"/>
        <v>3730989.3003025893</v>
      </c>
      <c r="J142" s="444">
        <f t="array" ref="J142">IFERROR(INDEX('Retirement Calculator'!K:K,MATCH('Lorri 401b'!N142,'Retirement Calculator'!A:A,0),0),0)</f>
        <v>21655.303514578787</v>
      </c>
      <c r="K142" s="444">
        <f t="shared" ca="1" si="2"/>
        <v>15455.558319950045</v>
      </c>
      <c r="L142" s="444">
        <f t="shared" ca="1" si="3"/>
        <v>3724789.5551079605</v>
      </c>
      <c r="M142" s="460">
        <f t="shared" si="6"/>
        <v>0.05</v>
      </c>
      <c r="N142" s="464">
        <f t="shared" si="7"/>
        <v>55366</v>
      </c>
    </row>
    <row r="143" spans="1:14" ht="11.25" customHeight="1" x14ac:dyDescent="0.25">
      <c r="A143" s="459"/>
      <c r="B143" s="431"/>
      <c r="C143" s="431"/>
      <c r="D143" s="431"/>
      <c r="E143" s="431"/>
      <c r="F143" s="431"/>
      <c r="G143" s="459">
        <f t="shared" si="16"/>
        <v>12</v>
      </c>
      <c r="H143" s="459">
        <v>136</v>
      </c>
      <c r="I143" s="444">
        <f t="shared" ca="1" si="5"/>
        <v>3724789.5551079605</v>
      </c>
      <c r="J143" s="444">
        <f t="array" ref="J143">IFERROR(INDEX('Retirement Calculator'!K:K,MATCH('Lorri 401b'!N143,'Retirement Calculator'!A:A,0),0),0)</f>
        <v>21655.303514578787</v>
      </c>
      <c r="K143" s="444">
        <f t="shared" ca="1" si="2"/>
        <v>15429.726048305756</v>
      </c>
      <c r="L143" s="444">
        <f t="shared" ca="1" si="3"/>
        <v>3718563.9776416873</v>
      </c>
      <c r="M143" s="460">
        <f t="shared" si="6"/>
        <v>0.05</v>
      </c>
      <c r="N143" s="464">
        <f t="shared" si="7"/>
        <v>55397</v>
      </c>
    </row>
    <row r="144" spans="1:14" ht="11.25" customHeight="1" x14ac:dyDescent="0.25">
      <c r="A144" s="459"/>
      <c r="B144" s="431"/>
      <c r="C144" s="431"/>
      <c r="D144" s="431"/>
      <c r="E144" s="431"/>
      <c r="F144" s="431"/>
      <c r="G144" s="459">
        <f t="shared" si="16"/>
        <v>12</v>
      </c>
      <c r="H144" s="459">
        <v>137</v>
      </c>
      <c r="I144" s="444">
        <f t="shared" ca="1" si="5"/>
        <v>3718563.9776416873</v>
      </c>
      <c r="J144" s="444">
        <f t="array" ref="J144">IFERROR(INDEX('Retirement Calculator'!K:K,MATCH('Lorri 401b'!N144,'Retirement Calculator'!A:A,0),0),0)</f>
        <v>21655.303514578787</v>
      </c>
      <c r="K144" s="444">
        <f t="shared" ca="1" si="2"/>
        <v>15403.786142196284</v>
      </c>
      <c r="L144" s="444">
        <f t="shared" ca="1" si="3"/>
        <v>3712312.4602693049</v>
      </c>
      <c r="M144" s="460">
        <f t="shared" si="6"/>
        <v>0.05</v>
      </c>
      <c r="N144" s="464">
        <f t="shared" si="7"/>
        <v>55427</v>
      </c>
    </row>
    <row r="145" spans="7:14" ht="11.25" customHeight="1" x14ac:dyDescent="0.25">
      <c r="G145" s="459">
        <f t="shared" si="16"/>
        <v>12</v>
      </c>
      <c r="H145" s="459">
        <v>138</v>
      </c>
      <c r="I145" s="444">
        <f t="shared" ca="1" si="5"/>
        <v>3712312.4602693049</v>
      </c>
      <c r="J145" s="444">
        <f t="array" ref="J145">IFERROR(INDEX('Retirement Calculator'!K:K,MATCH('Lorri 401b'!N145,'Retirement Calculator'!A:A,0),0),0)</f>
        <v>21655.303514578787</v>
      </c>
      <c r="K145" s="444">
        <f t="shared" ca="1" si="2"/>
        <v>15377.738153144692</v>
      </c>
      <c r="L145" s="444">
        <f t="shared" ca="1" si="3"/>
        <v>3706034.8949078708</v>
      </c>
      <c r="M145" s="460">
        <f t="shared" si="6"/>
        <v>0.05</v>
      </c>
      <c r="N145" s="464">
        <f t="shared" si="7"/>
        <v>55458</v>
      </c>
    </row>
    <row r="146" spans="7:14" ht="11.25" customHeight="1" x14ac:dyDescent="0.25">
      <c r="G146" s="459">
        <f t="shared" si="16"/>
        <v>12</v>
      </c>
      <c r="H146" s="459">
        <v>139</v>
      </c>
      <c r="I146" s="444">
        <f t="shared" ca="1" si="5"/>
        <v>3706034.8949078708</v>
      </c>
      <c r="J146" s="444">
        <f t="array" ref="J146">IFERROR(INDEX('Retirement Calculator'!K:K,MATCH('Lorri 401b'!N146,'Retirement Calculator'!A:A,0),0),0)</f>
        <v>21655.303514578787</v>
      </c>
      <c r="K146" s="444">
        <f t="shared" ca="1" si="2"/>
        <v>15351.581630805385</v>
      </c>
      <c r="L146" s="444">
        <f t="shared" ca="1" si="3"/>
        <v>3699731.1730240975</v>
      </c>
      <c r="M146" s="460">
        <f t="shared" si="6"/>
        <v>0.05</v>
      </c>
      <c r="N146" s="464">
        <f t="shared" si="7"/>
        <v>55488</v>
      </c>
    </row>
    <row r="147" spans="7:14" ht="11.25" customHeight="1" x14ac:dyDescent="0.25">
      <c r="G147" s="459">
        <f t="shared" si="16"/>
        <v>12</v>
      </c>
      <c r="H147" s="459">
        <v>140</v>
      </c>
      <c r="I147" s="444">
        <f t="shared" ca="1" si="5"/>
        <v>3699731.1730240975</v>
      </c>
      <c r="J147" s="444">
        <f t="array" ref="J147">IFERROR(INDEX('Retirement Calculator'!K:K,MATCH('Lorri 401b'!N147,'Retirement Calculator'!A:A,0),0),0)</f>
        <v>21655.303514578787</v>
      </c>
      <c r="K147" s="444">
        <f t="shared" ca="1" si="2"/>
        <v>15325.316122956325</v>
      </c>
      <c r="L147" s="444">
        <f t="shared" ca="1" si="3"/>
        <v>3693401.1856324747</v>
      </c>
      <c r="M147" s="460">
        <f t="shared" si="6"/>
        <v>0.05</v>
      </c>
      <c r="N147" s="464">
        <f t="shared" si="7"/>
        <v>55519</v>
      </c>
    </row>
    <row r="148" spans="7:14" ht="11.25" customHeight="1" x14ac:dyDescent="0.25">
      <c r="G148" s="459">
        <f t="shared" si="16"/>
        <v>12</v>
      </c>
      <c r="H148" s="459">
        <v>141</v>
      </c>
      <c r="I148" s="444">
        <f t="shared" ca="1" si="5"/>
        <v>3693401.1856324747</v>
      </c>
      <c r="J148" s="444">
        <f t="array" ref="J148">IFERROR(INDEX('Retirement Calculator'!K:K,MATCH('Lorri 401b'!N148,'Retirement Calculator'!A:A,0),0),0)</f>
        <v>21655.303514578787</v>
      </c>
      <c r="K148" s="444">
        <f t="shared" ca="1" si="2"/>
        <v>15298.941175491233</v>
      </c>
      <c r="L148" s="444">
        <f t="shared" ca="1" si="3"/>
        <v>3687044.823293387</v>
      </c>
      <c r="M148" s="460">
        <f t="shared" si="6"/>
        <v>0.05</v>
      </c>
      <c r="N148" s="464">
        <f t="shared" si="7"/>
        <v>55550</v>
      </c>
    </row>
    <row r="149" spans="7:14" ht="11.25" customHeight="1" x14ac:dyDescent="0.25">
      <c r="G149" s="459">
        <f t="shared" si="16"/>
        <v>12</v>
      </c>
      <c r="H149" s="459">
        <v>142</v>
      </c>
      <c r="I149" s="444">
        <f t="shared" ca="1" si="5"/>
        <v>3687044.823293387</v>
      </c>
      <c r="J149" s="444">
        <f t="array" ref="J149">IFERROR(INDEX('Retirement Calculator'!K:K,MATCH('Lorri 401b'!N149,'Retirement Calculator'!A:A,0),0),0)</f>
        <v>21655.303514578787</v>
      </c>
      <c r="K149" s="444">
        <f t="shared" ca="1" si="2"/>
        <v>15272.456332411701</v>
      </c>
      <c r="L149" s="444">
        <f t="shared" ca="1" si="3"/>
        <v>3680661.9761112197</v>
      </c>
      <c r="M149" s="460">
        <f t="shared" si="6"/>
        <v>0.05</v>
      </c>
      <c r="N149" s="464">
        <f t="shared" si="7"/>
        <v>55579</v>
      </c>
    </row>
    <row r="150" spans="7:14" ht="11.25" customHeight="1" x14ac:dyDescent="0.25">
      <c r="G150" s="459">
        <f t="shared" si="16"/>
        <v>12</v>
      </c>
      <c r="H150" s="459">
        <v>143</v>
      </c>
      <c r="I150" s="444">
        <f t="shared" ca="1" si="5"/>
        <v>3680661.9761112197</v>
      </c>
      <c r="J150" s="444">
        <f t="array" ref="J150">IFERROR(INDEX('Retirement Calculator'!K:K,MATCH('Lorri 401b'!N150,'Retirement Calculator'!A:A,0),0),0)</f>
        <v>21655.303514578787</v>
      </c>
      <c r="K150" s="444">
        <f t="shared" ca="1" si="2"/>
        <v>15245.861135819338</v>
      </c>
      <c r="L150" s="444">
        <f t="shared" ca="1" si="3"/>
        <v>3674252.5337324603</v>
      </c>
      <c r="M150" s="460">
        <f t="shared" si="6"/>
        <v>0.05</v>
      </c>
      <c r="N150" s="464">
        <f t="shared" si="7"/>
        <v>55610</v>
      </c>
    </row>
    <row r="151" spans="7:14" ht="11.25" customHeight="1" x14ac:dyDescent="0.25">
      <c r="G151" s="459">
        <f t="shared" si="16"/>
        <v>12</v>
      </c>
      <c r="H151" s="459">
        <v>144</v>
      </c>
      <c r="I151" s="444">
        <f t="shared" ca="1" si="5"/>
        <v>3674252.5337324603</v>
      </c>
      <c r="J151" s="444">
        <f t="array" ref="J151">IFERROR(INDEX('Retirement Calculator'!K:K,MATCH('Lorri 401b'!N151,'Retirement Calculator'!A:A,0),0),0)</f>
        <v>21655.303514578787</v>
      </c>
      <c r="K151" s="444">
        <f t="shared" ca="1" si="2"/>
        <v>15219.155125907839</v>
      </c>
      <c r="L151" s="444">
        <f t="shared" ca="1" si="3"/>
        <v>3667816.3853437891</v>
      </c>
      <c r="M151" s="460">
        <f t="shared" si="6"/>
        <v>0.05</v>
      </c>
      <c r="N151" s="464">
        <f t="shared" si="7"/>
        <v>55640</v>
      </c>
    </row>
    <row r="152" spans="7:14" ht="11.25" customHeight="1" x14ac:dyDescent="0.25">
      <c r="G152" s="459">
        <f>G151+1</f>
        <v>13</v>
      </c>
      <c r="H152" s="459">
        <v>145</v>
      </c>
      <c r="I152" s="444">
        <f t="shared" ca="1" si="5"/>
        <v>3667816.3853437891</v>
      </c>
      <c r="J152" s="444">
        <f t="array" ref="J152">IFERROR(INDEX('Retirement Calculator'!K:K,MATCH('Lorri 401b'!N152,'Retirement Calculator'!A:A,0),0),0)</f>
        <v>21655.303514578787</v>
      </c>
      <c r="K152" s="444">
        <f t="shared" ca="1" si="2"/>
        <v>15192.337840955044</v>
      </c>
      <c r="L152" s="444">
        <f t="shared" ca="1" si="3"/>
        <v>3661353.4196701655</v>
      </c>
      <c r="M152" s="460">
        <f t="shared" si="6"/>
        <v>0.05</v>
      </c>
      <c r="N152" s="464">
        <f t="shared" si="7"/>
        <v>55671</v>
      </c>
    </row>
    <row r="153" spans="7:14" ht="11.25" customHeight="1" x14ac:dyDescent="0.25">
      <c r="G153" s="459">
        <f t="shared" ref="G153:G163" si="17">G152</f>
        <v>13</v>
      </c>
      <c r="H153" s="459">
        <v>146</v>
      </c>
      <c r="I153" s="444">
        <f t="shared" ca="1" si="5"/>
        <v>3661353.4196701655</v>
      </c>
      <c r="J153" s="444">
        <f t="array" ref="J153">IFERROR(INDEX('Retirement Calculator'!K:K,MATCH('Lorri 401b'!N153,'Retirement Calculator'!A:A,0),0),0)</f>
        <v>21655.303514578787</v>
      </c>
      <c r="K153" s="444">
        <f t="shared" ca="1" si="2"/>
        <v>15165.408817314945</v>
      </c>
      <c r="L153" s="444">
        <f t="shared" ca="1" si="3"/>
        <v>3654863.5249729017</v>
      </c>
      <c r="M153" s="460">
        <f t="shared" si="6"/>
        <v>0.05</v>
      </c>
      <c r="N153" s="464">
        <f t="shared" si="7"/>
        <v>55701</v>
      </c>
    </row>
    <row r="154" spans="7:14" ht="11.25" customHeight="1" x14ac:dyDescent="0.25">
      <c r="G154" s="459">
        <f t="shared" si="17"/>
        <v>13</v>
      </c>
      <c r="H154" s="459">
        <v>147</v>
      </c>
      <c r="I154" s="444">
        <f t="shared" ca="1" si="5"/>
        <v>3654863.5249729017</v>
      </c>
      <c r="J154" s="444">
        <f t="array" ref="J154">IFERROR(INDEX('Retirement Calculator'!K:K,MATCH('Lorri 401b'!N154,'Retirement Calculator'!A:A,0),0),0)</f>
        <v>21655.303514578787</v>
      </c>
      <c r="K154" s="444">
        <f t="shared" ca="1" si="2"/>
        <v>15138.367589409676</v>
      </c>
      <c r="L154" s="444">
        <f t="shared" ca="1" si="3"/>
        <v>3648346.5890477323</v>
      </c>
      <c r="M154" s="460">
        <f t="shared" si="6"/>
        <v>0.05</v>
      </c>
      <c r="N154" s="464">
        <f t="shared" si="7"/>
        <v>55732</v>
      </c>
    </row>
    <row r="155" spans="7:14" ht="11.25" customHeight="1" x14ac:dyDescent="0.25">
      <c r="G155" s="459">
        <f t="shared" si="17"/>
        <v>13</v>
      </c>
      <c r="H155" s="459">
        <v>148</v>
      </c>
      <c r="I155" s="444">
        <f t="shared" ca="1" si="5"/>
        <v>3648346.5890477323</v>
      </c>
      <c r="J155" s="444">
        <f t="array" ref="J155">IFERROR(INDEX('Retirement Calculator'!K:K,MATCH('Lorri 401b'!N155,'Retirement Calculator'!A:A,0),0),0)</f>
        <v>21655.303514578787</v>
      </c>
      <c r="K155" s="444">
        <f t="shared" ca="1" si="2"/>
        <v>15111.213689721473</v>
      </c>
      <c r="L155" s="444">
        <f t="shared" ca="1" si="3"/>
        <v>3641802.4992228751</v>
      </c>
      <c r="M155" s="460">
        <f t="shared" si="6"/>
        <v>0.05</v>
      </c>
      <c r="N155" s="464">
        <f t="shared" si="7"/>
        <v>55763</v>
      </c>
    </row>
    <row r="156" spans="7:14" ht="11.25" customHeight="1" x14ac:dyDescent="0.25">
      <c r="G156" s="459">
        <f t="shared" si="17"/>
        <v>13</v>
      </c>
      <c r="H156" s="459">
        <v>149</v>
      </c>
      <c r="I156" s="444">
        <f t="shared" ca="1" si="5"/>
        <v>3641802.4992228751</v>
      </c>
      <c r="J156" s="444">
        <f t="array" ref="J156">IFERROR(INDEX('Retirement Calculator'!K:K,MATCH('Lorri 401b'!N156,'Retirement Calculator'!A:A,0),0),0)</f>
        <v>21655.303514578787</v>
      </c>
      <c r="K156" s="444">
        <f t="shared" ca="1" si="2"/>
        <v>15083.946648784568</v>
      </c>
      <c r="L156" s="444">
        <f t="shared" ca="1" si="3"/>
        <v>3635231.1423570807</v>
      </c>
      <c r="M156" s="460">
        <f t="shared" si="6"/>
        <v>0.05</v>
      </c>
      <c r="N156" s="464">
        <f t="shared" si="7"/>
        <v>55793</v>
      </c>
    </row>
    <row r="157" spans="7:14" ht="11.25" customHeight="1" x14ac:dyDescent="0.25">
      <c r="G157" s="459">
        <f t="shared" si="17"/>
        <v>13</v>
      </c>
      <c r="H157" s="459">
        <v>150</v>
      </c>
      <c r="I157" s="444">
        <f t="shared" ca="1" si="5"/>
        <v>3635231.1423570807</v>
      </c>
      <c r="J157" s="444">
        <f t="array" ref="J157">IFERROR(INDEX('Retirement Calculator'!K:K,MATCH('Lorri 401b'!N157,'Retirement Calculator'!A:A,0),0),0)</f>
        <v>21655.303514578787</v>
      </c>
      <c r="K157" s="444">
        <f t="shared" ca="1" si="2"/>
        <v>15056.565995177092</v>
      </c>
      <c r="L157" s="444">
        <f t="shared" ca="1" si="3"/>
        <v>3628632.4048376791</v>
      </c>
      <c r="M157" s="460">
        <f t="shared" si="6"/>
        <v>0.05</v>
      </c>
      <c r="N157" s="464">
        <f t="shared" si="7"/>
        <v>55824</v>
      </c>
    </row>
    <row r="158" spans="7:14" ht="11.25" customHeight="1" x14ac:dyDescent="0.25">
      <c r="G158" s="459">
        <f t="shared" si="17"/>
        <v>13</v>
      </c>
      <c r="H158" s="459">
        <v>151</v>
      </c>
      <c r="I158" s="444">
        <f t="shared" ca="1" si="5"/>
        <v>3628632.4048376791</v>
      </c>
      <c r="J158" s="444">
        <f t="array" ref="J158">IFERROR(INDEX('Retirement Calculator'!K:K,MATCH('Lorri 401b'!N158,'Retirement Calculator'!A:A,0),0),0)</f>
        <v>21655.303514578787</v>
      </c>
      <c r="K158" s="444">
        <f t="shared" ca="1" si="2"/>
        <v>15029.071255512918</v>
      </c>
      <c r="L158" s="444">
        <f t="shared" ca="1" si="3"/>
        <v>3622006.1725786133</v>
      </c>
      <c r="M158" s="460">
        <f t="shared" si="6"/>
        <v>0.05</v>
      </c>
      <c r="N158" s="464">
        <f t="shared" si="7"/>
        <v>55854</v>
      </c>
    </row>
    <row r="159" spans="7:14" ht="11.25" customHeight="1" x14ac:dyDescent="0.25">
      <c r="G159" s="459">
        <f t="shared" si="17"/>
        <v>13</v>
      </c>
      <c r="H159" s="459">
        <v>152</v>
      </c>
      <c r="I159" s="444">
        <f t="shared" ca="1" si="5"/>
        <v>3622006.1725786133</v>
      </c>
      <c r="J159" s="444">
        <f t="array" ref="J159">IFERROR(INDEX('Retirement Calculator'!K:K,MATCH('Lorri 401b'!N159,'Retirement Calculator'!A:A,0),0),0)</f>
        <v>21655.303514578787</v>
      </c>
      <c r="K159" s="444">
        <f t="shared" ca="1" si="2"/>
        <v>15001.461954433476</v>
      </c>
      <c r="L159" s="444">
        <f t="shared" ca="1" si="3"/>
        <v>3615352.3310184679</v>
      </c>
      <c r="M159" s="460">
        <f t="shared" si="6"/>
        <v>0.05</v>
      </c>
      <c r="N159" s="464">
        <f t="shared" si="7"/>
        <v>55885</v>
      </c>
    </row>
    <row r="160" spans="7:14" ht="11.25" customHeight="1" x14ac:dyDescent="0.25">
      <c r="G160" s="459">
        <f t="shared" si="17"/>
        <v>13</v>
      </c>
      <c r="H160" s="459">
        <v>153</v>
      </c>
      <c r="I160" s="444">
        <f t="shared" ca="1" si="5"/>
        <v>3615352.3310184679</v>
      </c>
      <c r="J160" s="444">
        <f t="array" ref="J160">IFERROR(INDEX('Retirement Calculator'!K:K,MATCH('Lorri 401b'!N160,'Retirement Calculator'!A:A,0),0),0)</f>
        <v>21655.303514578787</v>
      </c>
      <c r="K160" s="444">
        <f t="shared" ca="1" si="2"/>
        <v>14973.737614599537</v>
      </c>
      <c r="L160" s="444">
        <f t="shared" ca="1" si="3"/>
        <v>3608670.7651184886</v>
      </c>
      <c r="M160" s="460">
        <f t="shared" si="6"/>
        <v>0.05</v>
      </c>
      <c r="N160" s="464">
        <f t="shared" si="7"/>
        <v>55916</v>
      </c>
    </row>
    <row r="161" spans="7:14" ht="11.25" customHeight="1" x14ac:dyDescent="0.25">
      <c r="G161" s="459">
        <f t="shared" si="17"/>
        <v>13</v>
      </c>
      <c r="H161" s="459">
        <v>154</v>
      </c>
      <c r="I161" s="444">
        <f t="shared" ca="1" si="5"/>
        <v>3608670.7651184886</v>
      </c>
      <c r="J161" s="444">
        <f t="array" ref="J161">IFERROR(INDEX('Retirement Calculator'!K:K,MATCH('Lorri 401b'!N161,'Retirement Calculator'!A:A,0),0),0)</f>
        <v>21655.303514578787</v>
      </c>
      <c r="K161" s="444">
        <f t="shared" ca="1" si="2"/>
        <v>14945.897756682954</v>
      </c>
      <c r="L161" s="444">
        <f t="shared" ca="1" si="3"/>
        <v>3601961.3593605929</v>
      </c>
      <c r="M161" s="460">
        <f t="shared" si="6"/>
        <v>0.05</v>
      </c>
      <c r="N161" s="464">
        <f t="shared" si="7"/>
        <v>55944</v>
      </c>
    </row>
    <row r="162" spans="7:14" ht="11.25" customHeight="1" x14ac:dyDescent="0.25">
      <c r="G162" s="459">
        <f t="shared" si="17"/>
        <v>13</v>
      </c>
      <c r="H162" s="459">
        <v>155</v>
      </c>
      <c r="I162" s="444">
        <f t="shared" ca="1" si="5"/>
        <v>3601961.3593605929</v>
      </c>
      <c r="J162" s="444">
        <f t="array" ref="J162">IFERROR(INDEX('Retirement Calculator'!K:K,MATCH('Lorri 401b'!N162,'Retirement Calculator'!A:A,0),0),0)</f>
        <v>21655.303514578787</v>
      </c>
      <c r="K162" s="444">
        <f t="shared" ca="1" si="2"/>
        <v>14917.941899358391</v>
      </c>
      <c r="L162" s="444">
        <f t="shared" ca="1" si="3"/>
        <v>3595223.9977453724</v>
      </c>
      <c r="M162" s="460">
        <f t="shared" si="6"/>
        <v>0.05</v>
      </c>
      <c r="N162" s="464">
        <f t="shared" si="7"/>
        <v>55975</v>
      </c>
    </row>
    <row r="163" spans="7:14" ht="11.25" customHeight="1" x14ac:dyDescent="0.25">
      <c r="G163" s="459">
        <f t="shared" si="17"/>
        <v>13</v>
      </c>
      <c r="H163" s="459">
        <v>156</v>
      </c>
      <c r="I163" s="444">
        <f t="shared" ca="1" si="5"/>
        <v>3595223.9977453724</v>
      </c>
      <c r="J163" s="444">
        <f t="array" ref="J163">IFERROR(INDEX('Retirement Calculator'!K:K,MATCH('Lorri 401b'!N163,'Retirement Calculator'!A:A,0),0),0)</f>
        <v>21655.303514578787</v>
      </c>
      <c r="K163" s="444">
        <f t="shared" ca="1" si="2"/>
        <v>14889.869559294975</v>
      </c>
      <c r="L163" s="444">
        <f t="shared" ca="1" si="3"/>
        <v>3588458.5637900885</v>
      </c>
      <c r="M163" s="460">
        <f t="shared" si="6"/>
        <v>0.05</v>
      </c>
      <c r="N163" s="464">
        <f t="shared" si="7"/>
        <v>56005</v>
      </c>
    </row>
    <row r="164" spans="7:14" ht="11.25" customHeight="1" x14ac:dyDescent="0.25">
      <c r="G164" s="459">
        <f>G163+1</f>
        <v>14</v>
      </c>
      <c r="H164" s="459">
        <v>157</v>
      </c>
      <c r="I164" s="444">
        <f t="shared" ca="1" si="5"/>
        <v>3588458.5637900885</v>
      </c>
      <c r="J164" s="444">
        <f t="array" ref="J164">IFERROR(INDEX('Retirement Calculator'!K:K,MATCH('Lorri 401b'!N164,'Retirement Calculator'!A:A,0),0),0)</f>
        <v>21655.303514578787</v>
      </c>
      <c r="K164" s="444">
        <f t="shared" ca="1" si="2"/>
        <v>14861.680251147958</v>
      </c>
      <c r="L164" s="444">
        <f t="shared" ca="1" si="3"/>
        <v>3581664.9405266577</v>
      </c>
      <c r="M164" s="460">
        <f t="shared" si="6"/>
        <v>0.05</v>
      </c>
      <c r="N164" s="464">
        <f t="shared" si="7"/>
        <v>56036</v>
      </c>
    </row>
    <row r="165" spans="7:14" ht="11.25" customHeight="1" x14ac:dyDescent="0.25">
      <c r="G165" s="459">
        <f t="shared" ref="G165:G175" si="18">G164</f>
        <v>14</v>
      </c>
      <c r="H165" s="459">
        <v>158</v>
      </c>
      <c r="I165" s="444">
        <f t="shared" ca="1" si="5"/>
        <v>3581664.9405266577</v>
      </c>
      <c r="J165" s="444">
        <f t="array" ref="J165">IFERROR(INDEX('Retirement Calculator'!K:K,MATCH('Lorri 401b'!N165,'Retirement Calculator'!A:A,0),0),0)</f>
        <v>21655.303514578787</v>
      </c>
      <c r="K165" s="444">
        <f t="shared" ca="1" si="2"/>
        <v>14833.373487550329</v>
      </c>
      <c r="L165" s="444">
        <f t="shared" ca="1" si="3"/>
        <v>3574843.0104996292</v>
      </c>
      <c r="M165" s="460">
        <f t="shared" si="6"/>
        <v>0.05</v>
      </c>
      <c r="N165" s="464">
        <f t="shared" si="7"/>
        <v>56066</v>
      </c>
    </row>
    <row r="166" spans="7:14" ht="11.25" customHeight="1" x14ac:dyDescent="0.25">
      <c r="G166" s="459">
        <f t="shared" si="18"/>
        <v>14</v>
      </c>
      <c r="H166" s="459">
        <v>159</v>
      </c>
      <c r="I166" s="444">
        <f t="shared" ca="1" si="5"/>
        <v>3574843.0104996292</v>
      </c>
      <c r="J166" s="444">
        <f t="array" ref="J166">IFERROR(INDEX('Retirement Calculator'!K:K,MATCH('Lorri 401b'!N166,'Retirement Calculator'!A:A,0),0),0)</f>
        <v>21655.303514578787</v>
      </c>
      <c r="K166" s="444">
        <f t="shared" ca="1" si="2"/>
        <v>14804.948779104376</v>
      </c>
      <c r="L166" s="444">
        <f t="shared" ca="1" si="3"/>
        <v>3567992.6557641546</v>
      </c>
      <c r="M166" s="460">
        <f t="shared" si="6"/>
        <v>0.05</v>
      </c>
      <c r="N166" s="464">
        <f t="shared" si="7"/>
        <v>56097</v>
      </c>
    </row>
    <row r="167" spans="7:14" ht="11.25" customHeight="1" x14ac:dyDescent="0.25">
      <c r="G167" s="459">
        <f t="shared" si="18"/>
        <v>14</v>
      </c>
      <c r="H167" s="459">
        <v>160</v>
      </c>
      <c r="I167" s="444">
        <f t="shared" ca="1" si="5"/>
        <v>3567992.6557641546</v>
      </c>
      <c r="J167" s="444">
        <f t="array" ref="J167">IFERROR(INDEX('Retirement Calculator'!K:K,MATCH('Lorri 401b'!N167,'Retirement Calculator'!A:A,0),0),0)</f>
        <v>21655.303514578787</v>
      </c>
      <c r="K167" s="444">
        <f t="shared" ca="1" si="2"/>
        <v>14776.405634373232</v>
      </c>
      <c r="L167" s="444">
        <f t="shared" ca="1" si="3"/>
        <v>3561113.7578839492</v>
      </c>
      <c r="M167" s="460">
        <f t="shared" si="6"/>
        <v>0.05</v>
      </c>
      <c r="N167" s="464">
        <f t="shared" si="7"/>
        <v>56128</v>
      </c>
    </row>
    <row r="168" spans="7:14" ht="11.25" customHeight="1" x14ac:dyDescent="0.25">
      <c r="G168" s="459">
        <f t="shared" si="18"/>
        <v>14</v>
      </c>
      <c r="H168" s="459">
        <v>161</v>
      </c>
      <c r="I168" s="444">
        <f t="shared" ca="1" si="5"/>
        <v>3561113.7578839492</v>
      </c>
      <c r="J168" s="444">
        <f t="array" ref="J168">IFERROR(INDEX('Retirement Calculator'!K:K,MATCH('Lorri 401b'!N168,'Retirement Calculator'!A:A,0),0),0)</f>
        <v>21655.303514578787</v>
      </c>
      <c r="K168" s="444">
        <f t="shared" ca="1" si="2"/>
        <v>14747.743559872377</v>
      </c>
      <c r="L168" s="444">
        <f t="shared" ca="1" si="3"/>
        <v>3554206.1979292426</v>
      </c>
      <c r="M168" s="460">
        <f t="shared" si="6"/>
        <v>0.05</v>
      </c>
      <c r="N168" s="464">
        <f t="shared" si="7"/>
        <v>56158</v>
      </c>
    </row>
    <row r="169" spans="7:14" ht="11.25" customHeight="1" x14ac:dyDescent="0.25">
      <c r="G169" s="459">
        <f t="shared" si="18"/>
        <v>14</v>
      </c>
      <c r="H169" s="459">
        <v>162</v>
      </c>
      <c r="I169" s="444">
        <f t="shared" ca="1" si="5"/>
        <v>3554206.1979292426</v>
      </c>
      <c r="J169" s="444">
        <f t="array" ref="J169">IFERROR(INDEX('Retirement Calculator'!K:K,MATCH('Lorri 401b'!N169,'Retirement Calculator'!A:A,0),0),0)</f>
        <v>21655.303514578787</v>
      </c>
      <c r="K169" s="444">
        <f t="shared" ca="1" si="2"/>
        <v>14718.9620600611</v>
      </c>
      <c r="L169" s="444">
        <f t="shared" ca="1" si="3"/>
        <v>3547269.8564747251</v>
      </c>
      <c r="M169" s="460">
        <f t="shared" si="6"/>
        <v>0.05</v>
      </c>
      <c r="N169" s="464">
        <f t="shared" si="7"/>
        <v>56189</v>
      </c>
    </row>
    <row r="170" spans="7:14" ht="11.25" customHeight="1" x14ac:dyDescent="0.25">
      <c r="G170" s="459">
        <f t="shared" si="18"/>
        <v>14</v>
      </c>
      <c r="H170" s="459">
        <v>163</v>
      </c>
      <c r="I170" s="444">
        <f t="shared" ca="1" si="5"/>
        <v>3547269.8564747251</v>
      </c>
      <c r="J170" s="444">
        <f t="array" ref="J170">IFERROR(INDEX('Retirement Calculator'!K:K,MATCH('Lorri 401b'!N170,'Retirement Calculator'!A:A,0),0),0)</f>
        <v>21655.303514578787</v>
      </c>
      <c r="K170" s="444">
        <f t="shared" ca="1" si="2"/>
        <v>14690.06063733394</v>
      </c>
      <c r="L170" s="444">
        <f t="shared" ca="1" si="3"/>
        <v>3540304.6135974801</v>
      </c>
      <c r="M170" s="460">
        <f t="shared" si="6"/>
        <v>0.05</v>
      </c>
      <c r="N170" s="464">
        <f t="shared" si="7"/>
        <v>56219</v>
      </c>
    </row>
    <row r="171" spans="7:14" ht="11.25" customHeight="1" x14ac:dyDescent="0.25">
      <c r="G171" s="459">
        <f t="shared" si="18"/>
        <v>14</v>
      </c>
      <c r="H171" s="459">
        <v>164</v>
      </c>
      <c r="I171" s="444">
        <f t="shared" ca="1" si="5"/>
        <v>3540304.6135974801</v>
      </c>
      <c r="J171" s="444">
        <f t="array" ref="J171">IFERROR(INDEX('Retirement Calculator'!K:K,MATCH('Lorri 401b'!N171,'Retirement Calculator'!A:A,0),0),0)</f>
        <v>21655.303514578787</v>
      </c>
      <c r="K171" s="444">
        <f t="shared" ca="1" si="2"/>
        <v>14661.038792012088</v>
      </c>
      <c r="L171" s="444">
        <f t="shared" ca="1" si="3"/>
        <v>3533310.3488749135</v>
      </c>
      <c r="M171" s="460">
        <f t="shared" si="6"/>
        <v>0.05</v>
      </c>
      <c r="N171" s="464">
        <f t="shared" si="7"/>
        <v>56250</v>
      </c>
    </row>
    <row r="172" spans="7:14" ht="11.25" customHeight="1" x14ac:dyDescent="0.25">
      <c r="G172" s="459">
        <f t="shared" si="18"/>
        <v>14</v>
      </c>
      <c r="H172" s="459">
        <v>165</v>
      </c>
      <c r="I172" s="444">
        <f t="shared" ca="1" si="5"/>
        <v>3533310.3488749135</v>
      </c>
      <c r="J172" s="444">
        <f t="array" ref="J172">IFERROR(INDEX('Retirement Calculator'!K:K,MATCH('Lorri 401b'!N172,'Retirement Calculator'!A:A,0),0),0)</f>
        <v>21655.303514578787</v>
      </c>
      <c r="K172" s="444">
        <f t="shared" ca="1" si="2"/>
        <v>14631.896022334729</v>
      </c>
      <c r="L172" s="444">
        <f t="shared" ca="1" si="3"/>
        <v>3526286.9413826694</v>
      </c>
      <c r="M172" s="460">
        <f t="shared" si="6"/>
        <v>0.05</v>
      </c>
      <c r="N172" s="464">
        <f t="shared" si="7"/>
        <v>56281</v>
      </c>
    </row>
    <row r="173" spans="7:14" ht="11.25" customHeight="1" x14ac:dyDescent="0.25">
      <c r="G173" s="459">
        <f t="shared" si="18"/>
        <v>14</v>
      </c>
      <c r="H173" s="459">
        <v>166</v>
      </c>
      <c r="I173" s="444">
        <f t="shared" ca="1" si="5"/>
        <v>3526286.9413826694</v>
      </c>
      <c r="J173" s="444">
        <f t="array" ref="J173">IFERROR(INDEX('Retirement Calculator'!K:K,MATCH('Lorri 401b'!N173,'Retirement Calculator'!A:A,0),0),0)</f>
        <v>21655.303514578787</v>
      </c>
      <c r="K173" s="444">
        <f t="shared" ca="1" si="2"/>
        <v>14602.631824450375</v>
      </c>
      <c r="L173" s="444">
        <f t="shared" ca="1" si="3"/>
        <v>3519234.2696925411</v>
      </c>
      <c r="M173" s="460">
        <f t="shared" si="6"/>
        <v>0.05</v>
      </c>
      <c r="N173" s="464">
        <f t="shared" si="7"/>
        <v>56309</v>
      </c>
    </row>
    <row r="174" spans="7:14" ht="11.25" customHeight="1" x14ac:dyDescent="0.25">
      <c r="G174" s="459">
        <f t="shared" si="18"/>
        <v>14</v>
      </c>
      <c r="H174" s="459">
        <v>167</v>
      </c>
      <c r="I174" s="444">
        <f t="shared" ca="1" si="5"/>
        <v>3519234.2696925411</v>
      </c>
      <c r="J174" s="444">
        <f t="array" ref="J174">IFERROR(INDEX('Retirement Calculator'!K:K,MATCH('Lorri 401b'!N174,'Retirement Calculator'!A:A,0),0),0)</f>
        <v>21655.303514578787</v>
      </c>
      <c r="K174" s="444">
        <f t="shared" ca="1" si="2"/>
        <v>14573.245692408174</v>
      </c>
      <c r="L174" s="444">
        <f t="shared" ca="1" si="3"/>
        <v>3512152.2118703704</v>
      </c>
      <c r="M174" s="460">
        <f t="shared" si="6"/>
        <v>0.05</v>
      </c>
      <c r="N174" s="464">
        <f t="shared" si="7"/>
        <v>56340</v>
      </c>
    </row>
    <row r="175" spans="7:14" ht="11.25" customHeight="1" x14ac:dyDescent="0.25">
      <c r="G175" s="459">
        <f t="shared" si="18"/>
        <v>14</v>
      </c>
      <c r="H175" s="459">
        <v>168</v>
      </c>
      <c r="I175" s="444">
        <f t="shared" ca="1" si="5"/>
        <v>3512152.2118703704</v>
      </c>
      <c r="J175" s="444">
        <f t="array" ref="J175">IFERROR(INDEX('Retirement Calculator'!K:K,MATCH('Lorri 401b'!N175,'Retirement Calculator'!A:A,0),0),0)</f>
        <v>21655.303514578787</v>
      </c>
      <c r="K175" s="444">
        <f t="shared" ca="1" si="2"/>
        <v>14543.737118149131</v>
      </c>
      <c r="L175" s="444">
        <f t="shared" ca="1" si="3"/>
        <v>3505040.6454739408</v>
      </c>
      <c r="M175" s="460">
        <f t="shared" si="6"/>
        <v>0.05</v>
      </c>
      <c r="N175" s="464">
        <f t="shared" si="7"/>
        <v>56370</v>
      </c>
    </row>
    <row r="176" spans="7:14" ht="11.25" customHeight="1" x14ac:dyDescent="0.25">
      <c r="G176" s="459">
        <f>G175+1</f>
        <v>15</v>
      </c>
      <c r="H176" s="459">
        <v>169</v>
      </c>
      <c r="I176" s="444">
        <f t="shared" ca="1" si="5"/>
        <v>3505040.6454739408</v>
      </c>
      <c r="J176" s="444">
        <f t="array" ref="J176">IFERROR(INDEX('Retirement Calculator'!K:K,MATCH('Lorri 401b'!N176,'Retirement Calculator'!A:A,0),0),0)</f>
        <v>21655.303514578787</v>
      </c>
      <c r="K176" s="444">
        <f t="shared" ca="1" si="2"/>
        <v>14514.10559149734</v>
      </c>
      <c r="L176" s="444">
        <f t="shared" ca="1" si="3"/>
        <v>3497899.4475508593</v>
      </c>
      <c r="M176" s="460">
        <f t="shared" si="6"/>
        <v>0.05</v>
      </c>
      <c r="N176" s="464">
        <f t="shared" si="7"/>
        <v>56401</v>
      </c>
    </row>
    <row r="177" spans="7:14" ht="11.25" customHeight="1" x14ac:dyDescent="0.25">
      <c r="G177" s="459">
        <f t="shared" ref="G177:G187" si="19">G176</f>
        <v>15</v>
      </c>
      <c r="H177" s="459">
        <v>170</v>
      </c>
      <c r="I177" s="444">
        <f t="shared" ca="1" si="5"/>
        <v>3497899.4475508593</v>
      </c>
      <c r="J177" s="444">
        <f t="array" ref="J177">IFERROR(INDEX('Retirement Calculator'!K:K,MATCH('Lorri 401b'!N177,'Retirement Calculator'!A:A,0),0),0)</f>
        <v>21655.303514578787</v>
      </c>
      <c r="K177" s="444">
        <f t="shared" ca="1" si="2"/>
        <v>14484.350600151169</v>
      </c>
      <c r="L177" s="444">
        <f t="shared" ca="1" si="3"/>
        <v>3490728.4946364318</v>
      </c>
      <c r="M177" s="460">
        <f t="shared" si="6"/>
        <v>0.05</v>
      </c>
      <c r="N177" s="464">
        <f t="shared" si="7"/>
        <v>56431</v>
      </c>
    </row>
    <row r="178" spans="7:14" ht="11.25" customHeight="1" x14ac:dyDescent="0.25">
      <c r="G178" s="459">
        <f t="shared" si="19"/>
        <v>15</v>
      </c>
      <c r="H178" s="459">
        <v>171</v>
      </c>
      <c r="I178" s="444">
        <f t="shared" ca="1" si="5"/>
        <v>3490728.4946364318</v>
      </c>
      <c r="J178" s="444">
        <f t="array" ref="J178">IFERROR(INDEX('Retirement Calculator'!K:K,MATCH('Lorri 401b'!N178,'Retirement Calculator'!A:A,0),0),0)</f>
        <v>21655.303514578787</v>
      </c>
      <c r="K178" s="444">
        <f t="shared" ca="1" si="2"/>
        <v>14454.471629674386</v>
      </c>
      <c r="L178" s="444">
        <f t="shared" ca="1" si="3"/>
        <v>3483527.6627515275</v>
      </c>
      <c r="M178" s="460">
        <f t="shared" si="6"/>
        <v>0.05</v>
      </c>
      <c r="N178" s="464">
        <f t="shared" si="7"/>
        <v>56462</v>
      </c>
    </row>
    <row r="179" spans="7:14" ht="11.25" customHeight="1" x14ac:dyDescent="0.25">
      <c r="G179" s="459">
        <f t="shared" si="19"/>
        <v>15</v>
      </c>
      <c r="H179" s="459">
        <v>172</v>
      </c>
      <c r="I179" s="444">
        <f t="shared" ca="1" si="5"/>
        <v>3483527.6627515275</v>
      </c>
      <c r="J179" s="444">
        <f t="array" ref="J179">IFERROR(INDEX('Retirement Calculator'!K:K,MATCH('Lorri 401b'!N179,'Retirement Calculator'!A:A,0),0),0)</f>
        <v>21655.303514578787</v>
      </c>
      <c r="K179" s="444">
        <f t="shared" ca="1" si="2"/>
        <v>14424.468163487285</v>
      </c>
      <c r="L179" s="444">
        <f t="shared" ca="1" si="3"/>
        <v>3476296.8274004362</v>
      </c>
      <c r="M179" s="460">
        <f t="shared" si="6"/>
        <v>0.05</v>
      </c>
      <c r="N179" s="464">
        <f t="shared" si="7"/>
        <v>56493</v>
      </c>
    </row>
    <row r="180" spans="7:14" ht="11.25" customHeight="1" x14ac:dyDescent="0.25">
      <c r="G180" s="459">
        <f t="shared" si="19"/>
        <v>15</v>
      </c>
      <c r="H180" s="459">
        <v>173</v>
      </c>
      <c r="I180" s="444">
        <f t="shared" ca="1" si="5"/>
        <v>3476296.8274004362</v>
      </c>
      <c r="J180" s="444">
        <f t="array" ref="J180">IFERROR(INDEX('Retirement Calculator'!K:K,MATCH('Lorri 401b'!N180,'Retirement Calculator'!A:A,0),0),0)</f>
        <v>21655.303514578787</v>
      </c>
      <c r="K180" s="444">
        <f t="shared" ca="1" si="2"/>
        <v>14394.339682857739</v>
      </c>
      <c r="L180" s="444">
        <f t="shared" ca="1" si="3"/>
        <v>3469035.8635687148</v>
      </c>
      <c r="M180" s="460">
        <f t="shared" si="6"/>
        <v>0.05</v>
      </c>
      <c r="N180" s="464">
        <f t="shared" si="7"/>
        <v>56523</v>
      </c>
    </row>
    <row r="181" spans="7:14" ht="11.25" customHeight="1" x14ac:dyDescent="0.25">
      <c r="G181" s="459">
        <f t="shared" si="19"/>
        <v>15</v>
      </c>
      <c r="H181" s="459">
        <v>174</v>
      </c>
      <c r="I181" s="444">
        <f t="shared" ca="1" si="5"/>
        <v>3469035.8635687148</v>
      </c>
      <c r="J181" s="444">
        <f t="array" ref="J181">IFERROR(INDEX('Retirement Calculator'!K:K,MATCH('Lorri 401b'!N181,'Retirement Calculator'!A:A,0),0),0)</f>
        <v>21655.303514578787</v>
      </c>
      <c r="K181" s="444">
        <f t="shared" ca="1" si="2"/>
        <v>14364.085666892233</v>
      </c>
      <c r="L181" s="444">
        <f t="shared" ca="1" si="3"/>
        <v>3461744.6457210281</v>
      </c>
      <c r="M181" s="460">
        <f t="shared" si="6"/>
        <v>0.05</v>
      </c>
      <c r="N181" s="464">
        <f t="shared" si="7"/>
        <v>56554</v>
      </c>
    </row>
    <row r="182" spans="7:14" ht="11.25" customHeight="1" x14ac:dyDescent="0.25">
      <c r="G182" s="459">
        <f t="shared" si="19"/>
        <v>15</v>
      </c>
      <c r="H182" s="459">
        <v>175</v>
      </c>
      <c r="I182" s="444">
        <f t="shared" ca="1" si="5"/>
        <v>3461744.6457210281</v>
      </c>
      <c r="J182" s="444">
        <f t="array" ref="J182">IFERROR(INDEX('Retirement Calculator'!K:K,MATCH('Lorri 401b'!N182,'Retirement Calculator'!A:A,0),0),0)</f>
        <v>21655.303514578787</v>
      </c>
      <c r="K182" s="444">
        <f t="shared" ca="1" si="2"/>
        <v>14333.705592526872</v>
      </c>
      <c r="L182" s="444">
        <f t="shared" ca="1" si="3"/>
        <v>3454423.0477989763</v>
      </c>
      <c r="M182" s="460">
        <f t="shared" si="6"/>
        <v>0.05</v>
      </c>
      <c r="N182" s="464">
        <f t="shared" si="7"/>
        <v>56584</v>
      </c>
    </row>
    <row r="183" spans="7:14" ht="11.25" customHeight="1" x14ac:dyDescent="0.25">
      <c r="G183" s="459">
        <f t="shared" si="19"/>
        <v>15</v>
      </c>
      <c r="H183" s="459">
        <v>176</v>
      </c>
      <c r="I183" s="444">
        <f t="shared" ca="1" si="5"/>
        <v>3454423.0477989763</v>
      </c>
      <c r="J183" s="444">
        <f t="array" ref="J183">IFERROR(INDEX('Retirement Calculator'!K:K,MATCH('Lorri 401b'!N183,'Retirement Calculator'!A:A,0),0),0)</f>
        <v>21655.303514578787</v>
      </c>
      <c r="K183" s="444">
        <f t="shared" ca="1" si="2"/>
        <v>14303.198934518323</v>
      </c>
      <c r="L183" s="444">
        <f t="shared" ca="1" si="3"/>
        <v>3447070.9432189157</v>
      </c>
      <c r="M183" s="460">
        <f t="shared" si="6"/>
        <v>0.05</v>
      </c>
      <c r="N183" s="464">
        <f t="shared" si="7"/>
        <v>56615</v>
      </c>
    </row>
    <row r="184" spans="7:14" ht="11.25" customHeight="1" x14ac:dyDescent="0.25">
      <c r="G184" s="459">
        <f t="shared" si="19"/>
        <v>15</v>
      </c>
      <c r="H184" s="459">
        <v>177</v>
      </c>
      <c r="I184" s="444">
        <f t="shared" ca="1" si="5"/>
        <v>3447070.9432189157</v>
      </c>
      <c r="J184" s="444">
        <f t="array" ref="J184">IFERROR(INDEX('Retirement Calculator'!K:K,MATCH('Lorri 401b'!N184,'Retirement Calculator'!A:A,0),0),0)</f>
        <v>21655.303514578787</v>
      </c>
      <c r="K184" s="444">
        <f t="shared" ca="1" si="2"/>
        <v>14272.565165434737</v>
      </c>
      <c r="L184" s="444">
        <f t="shared" ca="1" si="3"/>
        <v>3439688.2048697718</v>
      </c>
      <c r="M184" s="460">
        <f t="shared" si="6"/>
        <v>0.05</v>
      </c>
      <c r="N184" s="464">
        <f t="shared" si="7"/>
        <v>56646</v>
      </c>
    </row>
    <row r="185" spans="7:14" ht="11.25" customHeight="1" x14ac:dyDescent="0.25">
      <c r="G185" s="459">
        <f t="shared" si="19"/>
        <v>15</v>
      </c>
      <c r="H185" s="459">
        <v>178</v>
      </c>
      <c r="I185" s="444">
        <f t="shared" ca="1" si="5"/>
        <v>3439688.2048697718</v>
      </c>
      <c r="J185" s="444">
        <f t="array" ref="J185">IFERROR(INDEX('Retirement Calculator'!K:K,MATCH('Lorri 401b'!N185,'Retirement Calculator'!A:A,0),0),0)</f>
        <v>21655.303514578787</v>
      </c>
      <c r="K185" s="444">
        <f t="shared" ca="1" si="2"/>
        <v>14241.803755646637</v>
      </c>
      <c r="L185" s="444">
        <f t="shared" ca="1" si="3"/>
        <v>3432274.7051108396</v>
      </c>
      <c r="M185" s="460">
        <f t="shared" si="6"/>
        <v>0.05</v>
      </c>
      <c r="N185" s="464">
        <f t="shared" si="7"/>
        <v>56674</v>
      </c>
    </row>
    <row r="186" spans="7:14" ht="11.25" customHeight="1" x14ac:dyDescent="0.25">
      <c r="G186" s="459">
        <f t="shared" si="19"/>
        <v>15</v>
      </c>
      <c r="H186" s="459">
        <v>179</v>
      </c>
      <c r="I186" s="444">
        <f t="shared" ca="1" si="5"/>
        <v>3432274.7051108396</v>
      </c>
      <c r="J186" s="444">
        <f t="array" ref="J186">IFERROR(INDEX('Retirement Calculator'!K:K,MATCH('Lorri 401b'!N186,'Retirement Calculator'!A:A,0),0),0)</f>
        <v>21655.303514578787</v>
      </c>
      <c r="K186" s="444">
        <f t="shared" ca="1" si="2"/>
        <v>14210.914173317755</v>
      </c>
      <c r="L186" s="444">
        <f t="shared" ca="1" si="3"/>
        <v>3424830.3157695783</v>
      </c>
      <c r="M186" s="460">
        <f t="shared" si="6"/>
        <v>0.05</v>
      </c>
      <c r="N186" s="464">
        <f t="shared" si="7"/>
        <v>56705</v>
      </c>
    </row>
    <row r="187" spans="7:14" ht="11.25" customHeight="1" x14ac:dyDescent="0.25">
      <c r="G187" s="459">
        <f t="shared" si="19"/>
        <v>15</v>
      </c>
      <c r="H187" s="459">
        <v>180</v>
      </c>
      <c r="I187" s="444">
        <f t="shared" ca="1" si="5"/>
        <v>3424830.3157695783</v>
      </c>
      <c r="J187" s="444">
        <f t="array" ref="J187">IFERROR(INDEX('Retirement Calculator'!K:K,MATCH('Lorri 401b'!N187,'Retirement Calculator'!A:A,0),0),0)</f>
        <v>21655.303514578787</v>
      </c>
      <c r="K187" s="444">
        <f t="shared" ca="1" si="2"/>
        <v>14179.895884395832</v>
      </c>
      <c r="L187" s="444">
        <f t="shared" ca="1" si="3"/>
        <v>3417354.9081393955</v>
      </c>
      <c r="M187" s="460">
        <f t="shared" si="6"/>
        <v>0.05</v>
      </c>
      <c r="N187" s="464">
        <f t="shared" si="7"/>
        <v>56735</v>
      </c>
    </row>
    <row r="188" spans="7:14" ht="11.25" customHeight="1" x14ac:dyDescent="0.25">
      <c r="G188" s="459">
        <f>G187+1</f>
        <v>16</v>
      </c>
      <c r="H188" s="459">
        <v>181</v>
      </c>
      <c r="I188" s="444">
        <f t="shared" ca="1" si="5"/>
        <v>3417354.9081393955</v>
      </c>
      <c r="J188" s="444">
        <f t="array" ref="J188">IFERROR(INDEX('Retirement Calculator'!K:K,MATCH('Lorri 401b'!N188,'Retirement Calculator'!A:A,0),0),0)</f>
        <v>21655.303514578787</v>
      </c>
      <c r="K188" s="444">
        <f t="shared" ca="1" si="2"/>
        <v>14148.748352603403</v>
      </c>
      <c r="L188" s="444">
        <f t="shared" ca="1" si="3"/>
        <v>3409848.3529774202</v>
      </c>
      <c r="M188" s="460">
        <f t="shared" si="6"/>
        <v>0.05</v>
      </c>
      <c r="N188" s="464">
        <f t="shared" si="7"/>
        <v>56766</v>
      </c>
    </row>
    <row r="189" spans="7:14" ht="11.25" customHeight="1" x14ac:dyDescent="0.25">
      <c r="G189" s="459">
        <f t="shared" ref="G189:G199" si="20">G188</f>
        <v>16</v>
      </c>
      <c r="H189" s="459">
        <v>182</v>
      </c>
      <c r="I189" s="444">
        <f t="shared" ca="1" si="5"/>
        <v>3409848.3529774202</v>
      </c>
      <c r="J189" s="444">
        <f t="array" ref="J189">IFERROR(INDEX('Retirement Calculator'!K:K,MATCH('Lorri 401b'!N189,'Retirement Calculator'!A:A,0),0),0)</f>
        <v>21655.303514578787</v>
      </c>
      <c r="K189" s="444">
        <f t="shared" ca="1" si="2"/>
        <v>14117.471039428507</v>
      </c>
      <c r="L189" s="444">
        <f t="shared" ca="1" si="3"/>
        <v>3402310.5205022697</v>
      </c>
      <c r="M189" s="460">
        <f t="shared" si="6"/>
        <v>0.05</v>
      </c>
      <c r="N189" s="464">
        <f t="shared" si="7"/>
        <v>56796</v>
      </c>
    </row>
    <row r="190" spans="7:14" ht="11.25" customHeight="1" x14ac:dyDescent="0.25">
      <c r="G190" s="459">
        <f t="shared" si="20"/>
        <v>16</v>
      </c>
      <c r="H190" s="459">
        <v>183</v>
      </c>
      <c r="I190" s="444">
        <f t="shared" ca="1" si="5"/>
        <v>3402310.5205022697</v>
      </c>
      <c r="J190" s="444">
        <f t="array" ref="J190">IFERROR(INDEX('Retirement Calculator'!K:K,MATCH('Lorri 401b'!N190,'Retirement Calculator'!A:A,0),0),0)</f>
        <v>21655.303514578787</v>
      </c>
      <c r="K190" s="444">
        <f t="shared" ca="1" si="2"/>
        <v>14086.063404115379</v>
      </c>
      <c r="L190" s="444">
        <f t="shared" ca="1" si="3"/>
        <v>3394741.2803918063</v>
      </c>
      <c r="M190" s="460">
        <f t="shared" si="6"/>
        <v>0.05</v>
      </c>
      <c r="N190" s="464">
        <f t="shared" si="7"/>
        <v>56827</v>
      </c>
    </row>
    <row r="191" spans="7:14" ht="11.25" customHeight="1" x14ac:dyDescent="0.25">
      <c r="G191" s="459">
        <f t="shared" si="20"/>
        <v>16</v>
      </c>
      <c r="H191" s="459">
        <v>184</v>
      </c>
      <c r="I191" s="444">
        <f t="shared" ca="1" si="5"/>
        <v>3394741.2803918063</v>
      </c>
      <c r="J191" s="444">
        <f t="array" ref="J191">IFERROR(INDEX('Retirement Calculator'!K:K,MATCH('Lorri 401b'!N191,'Retirement Calculator'!A:A,0),0),0)</f>
        <v>21655.303514578787</v>
      </c>
      <c r="K191" s="444">
        <f t="shared" ca="1" si="2"/>
        <v>14054.524903655114</v>
      </c>
      <c r="L191" s="444">
        <f t="shared" ca="1" si="3"/>
        <v>3387140.5017808825</v>
      </c>
      <c r="M191" s="460">
        <f t="shared" si="6"/>
        <v>0.05</v>
      </c>
      <c r="N191" s="464">
        <f t="shared" si="7"/>
        <v>56858</v>
      </c>
    </row>
    <row r="192" spans="7:14" ht="11.25" customHeight="1" x14ac:dyDescent="0.25">
      <c r="G192" s="459">
        <f t="shared" si="20"/>
        <v>16</v>
      </c>
      <c r="H192" s="459">
        <v>185</v>
      </c>
      <c r="I192" s="444">
        <f t="shared" ca="1" si="5"/>
        <v>3387140.5017808825</v>
      </c>
      <c r="J192" s="444">
        <f t="array" ref="J192">IFERROR(INDEX('Retirement Calculator'!K:K,MATCH('Lorri 401b'!N192,'Retirement Calculator'!A:A,0),0),0)</f>
        <v>21655.303514578787</v>
      </c>
      <c r="K192" s="444">
        <f t="shared" ca="1" si="2"/>
        <v>14022.854992776267</v>
      </c>
      <c r="L192" s="444">
        <f t="shared" ca="1" si="3"/>
        <v>3379508.0532590798</v>
      </c>
      <c r="M192" s="460">
        <f t="shared" si="6"/>
        <v>0.05</v>
      </c>
      <c r="N192" s="464">
        <f t="shared" si="7"/>
        <v>56888</v>
      </c>
    </row>
    <row r="193" spans="7:14" ht="11.25" customHeight="1" x14ac:dyDescent="0.25">
      <c r="G193" s="459">
        <f t="shared" si="20"/>
        <v>16</v>
      </c>
      <c r="H193" s="459">
        <v>186</v>
      </c>
      <c r="I193" s="444">
        <f t="shared" ca="1" si="5"/>
        <v>3379508.0532590798</v>
      </c>
      <c r="J193" s="444">
        <f t="array" ref="J193">IFERROR(INDEX('Retirement Calculator'!K:K,MATCH('Lorri 401b'!N193,'Retirement Calculator'!A:A,0),0),0)</f>
        <v>21655.303514578787</v>
      </c>
      <c r="K193" s="444">
        <f t="shared" ca="1" si="2"/>
        <v>13991.053123935422</v>
      </c>
      <c r="L193" s="444">
        <f t="shared" ca="1" si="3"/>
        <v>3371843.8028684366</v>
      </c>
      <c r="M193" s="460">
        <f t="shared" si="6"/>
        <v>0.05</v>
      </c>
      <c r="N193" s="464">
        <f t="shared" si="7"/>
        <v>56919</v>
      </c>
    </row>
    <row r="194" spans="7:14" ht="11.25" customHeight="1" x14ac:dyDescent="0.25">
      <c r="G194" s="459">
        <f t="shared" si="20"/>
        <v>16</v>
      </c>
      <c r="H194" s="459">
        <v>187</v>
      </c>
      <c r="I194" s="444">
        <f t="shared" ca="1" si="5"/>
        <v>3371843.8028684366</v>
      </c>
      <c r="J194" s="444">
        <f t="array" ref="J194">IFERROR(INDEX('Retirement Calculator'!K:K,MATCH('Lorri 401b'!N194,'Retirement Calculator'!A:A,0),0),0)</f>
        <v>21655.303514578787</v>
      </c>
      <c r="K194" s="444">
        <f t="shared" ca="1" si="2"/>
        <v>13959.118747307741</v>
      </c>
      <c r="L194" s="444">
        <f t="shared" ca="1" si="3"/>
        <v>3364147.6181011656</v>
      </c>
      <c r="M194" s="460">
        <f t="shared" si="6"/>
        <v>0.05</v>
      </c>
      <c r="N194" s="464">
        <f t="shared" si="7"/>
        <v>56949</v>
      </c>
    </row>
    <row r="195" spans="7:14" ht="11.25" customHeight="1" x14ac:dyDescent="0.25">
      <c r="G195" s="459">
        <f t="shared" si="20"/>
        <v>16</v>
      </c>
      <c r="H195" s="459">
        <v>188</v>
      </c>
      <c r="I195" s="444">
        <f t="shared" ca="1" si="5"/>
        <v>3364147.6181011656</v>
      </c>
      <c r="J195" s="444">
        <f t="array" ref="J195">IFERROR(INDEX('Retirement Calculator'!K:K,MATCH('Lorri 401b'!N195,'Retirement Calculator'!A:A,0),0),0)</f>
        <v>21655.303514578787</v>
      </c>
      <c r="K195" s="444">
        <f t="shared" ca="1" si="2"/>
        <v>13927.051310777444</v>
      </c>
      <c r="L195" s="444">
        <f t="shared" ca="1" si="3"/>
        <v>3356419.3658973644</v>
      </c>
      <c r="M195" s="460">
        <f t="shared" si="6"/>
        <v>0.05</v>
      </c>
      <c r="N195" s="464">
        <f t="shared" si="7"/>
        <v>56980</v>
      </c>
    </row>
    <row r="196" spans="7:14" ht="11.25" customHeight="1" x14ac:dyDescent="0.25">
      <c r="G196" s="459">
        <f t="shared" si="20"/>
        <v>16</v>
      </c>
      <c r="H196" s="459">
        <v>189</v>
      </c>
      <c r="I196" s="444">
        <f t="shared" ca="1" si="5"/>
        <v>3356419.3658973644</v>
      </c>
      <c r="J196" s="444">
        <f t="array" ref="J196">IFERROR(INDEX('Retirement Calculator'!K:K,MATCH('Lorri 401b'!N196,'Retirement Calculator'!A:A,0),0),0)</f>
        <v>21655.303514578787</v>
      </c>
      <c r="K196" s="444">
        <f t="shared" ca="1" si="2"/>
        <v>13894.850259928271</v>
      </c>
      <c r="L196" s="444">
        <f t="shared" ca="1" si="3"/>
        <v>3348658.9126427141</v>
      </c>
      <c r="M196" s="460">
        <f t="shared" si="6"/>
        <v>0.05</v>
      </c>
      <c r="N196" s="464">
        <f t="shared" si="7"/>
        <v>57011</v>
      </c>
    </row>
    <row r="197" spans="7:14" ht="11.25" customHeight="1" x14ac:dyDescent="0.25">
      <c r="G197" s="459">
        <f t="shared" si="20"/>
        <v>16</v>
      </c>
      <c r="H197" s="459">
        <v>190</v>
      </c>
      <c r="I197" s="444">
        <f t="shared" ca="1" si="5"/>
        <v>3348658.9126427141</v>
      </c>
      <c r="J197" s="444">
        <f t="array" ref="J197">IFERROR(INDEX('Retirement Calculator'!K:K,MATCH('Lorri 401b'!N197,'Retirement Calculator'!A:A,0),0),0)</f>
        <v>21655.303514578787</v>
      </c>
      <c r="K197" s="444">
        <f t="shared" ca="1" si="2"/>
        <v>13862.515038033898</v>
      </c>
      <c r="L197" s="444">
        <f t="shared" ca="1" si="3"/>
        <v>3340866.1241661692</v>
      </c>
      <c r="M197" s="460">
        <f t="shared" si="6"/>
        <v>0.05</v>
      </c>
      <c r="N197" s="464">
        <f t="shared" si="7"/>
        <v>57040</v>
      </c>
    </row>
    <row r="198" spans="7:14" ht="11.25" customHeight="1" x14ac:dyDescent="0.25">
      <c r="G198" s="459">
        <f t="shared" si="20"/>
        <v>16</v>
      </c>
      <c r="H198" s="459">
        <v>191</v>
      </c>
      <c r="I198" s="444">
        <f t="shared" ca="1" si="5"/>
        <v>3340866.1241661692</v>
      </c>
      <c r="J198" s="444">
        <f t="array" ref="J198">IFERROR(INDEX('Retirement Calculator'!K:K,MATCH('Lorri 401b'!N198,'Retirement Calculator'!A:A,0),0),0)</f>
        <v>21655.303514578787</v>
      </c>
      <c r="K198" s="444">
        <f t="shared" ca="1" si="2"/>
        <v>13830.045086048292</v>
      </c>
      <c r="L198" s="444">
        <f t="shared" ca="1" si="3"/>
        <v>3333040.8657376384</v>
      </c>
      <c r="M198" s="460">
        <f t="shared" si="6"/>
        <v>0.05</v>
      </c>
      <c r="N198" s="464">
        <f t="shared" si="7"/>
        <v>57071</v>
      </c>
    </row>
    <row r="199" spans="7:14" ht="11.25" customHeight="1" x14ac:dyDescent="0.25">
      <c r="G199" s="459">
        <f t="shared" si="20"/>
        <v>16</v>
      </c>
      <c r="H199" s="459">
        <v>192</v>
      </c>
      <c r="I199" s="444">
        <f t="shared" ca="1" si="5"/>
        <v>3333040.8657376384</v>
      </c>
      <c r="J199" s="444">
        <f t="array" ref="J199">IFERROR(INDEX('Retirement Calculator'!K:K,MATCH('Lorri 401b'!N199,'Retirement Calculator'!A:A,0),0),0)</f>
        <v>21655.303514578787</v>
      </c>
      <c r="K199" s="444">
        <f t="shared" ca="1" si="2"/>
        <v>13797.439842596079</v>
      </c>
      <c r="L199" s="444">
        <f t="shared" ca="1" si="3"/>
        <v>3325183.0020656558</v>
      </c>
      <c r="M199" s="460">
        <f t="shared" si="6"/>
        <v>0.05</v>
      </c>
      <c r="N199" s="464">
        <f t="shared" si="7"/>
        <v>57101</v>
      </c>
    </row>
    <row r="200" spans="7:14" ht="11.25" customHeight="1" x14ac:dyDescent="0.25">
      <c r="G200" s="459">
        <f>G199+1</f>
        <v>17</v>
      </c>
      <c r="H200" s="459">
        <v>193</v>
      </c>
      <c r="I200" s="444">
        <f t="shared" ca="1" si="5"/>
        <v>3325183.0020656558</v>
      </c>
      <c r="J200" s="444">
        <f t="array" ref="J200">IFERROR(INDEX('Retirement Calculator'!K:K,MATCH('Lorri 401b'!N200,'Retirement Calculator'!A:A,0),0),0)</f>
        <v>21655.303514578787</v>
      </c>
      <c r="K200" s="444">
        <f t="shared" ca="1" si="2"/>
        <v>13764.698743962819</v>
      </c>
      <c r="L200" s="444">
        <f t="shared" ca="1" si="3"/>
        <v>3317292.3972950396</v>
      </c>
      <c r="M200" s="460">
        <f t="shared" si="6"/>
        <v>0.05</v>
      </c>
      <c r="N200" s="464">
        <f t="shared" si="7"/>
        <v>57132</v>
      </c>
    </row>
    <row r="201" spans="7:14" ht="11.25" customHeight="1" x14ac:dyDescent="0.25">
      <c r="G201" s="459">
        <f t="shared" ref="G201:G211" si="21">G200</f>
        <v>17</v>
      </c>
      <c r="H201" s="459">
        <v>194</v>
      </c>
      <c r="I201" s="444">
        <f t="shared" ca="1" si="5"/>
        <v>3317292.3972950396</v>
      </c>
      <c r="J201" s="444">
        <f t="array" ref="J201">IFERROR(INDEX('Retirement Calculator'!K:K,MATCH('Lorri 401b'!N201,'Retirement Calculator'!A:A,0),0),0)</f>
        <v>21655.303514578787</v>
      </c>
      <c r="K201" s="444">
        <f t="shared" ca="1" si="2"/>
        <v>13731.821224085254</v>
      </c>
      <c r="L201" s="444">
        <f t="shared" ca="1" si="3"/>
        <v>3309368.9150045458</v>
      </c>
      <c r="M201" s="460">
        <f t="shared" si="6"/>
        <v>0.05</v>
      </c>
      <c r="N201" s="464">
        <f t="shared" si="7"/>
        <v>57162</v>
      </c>
    </row>
    <row r="202" spans="7:14" ht="11.25" customHeight="1" x14ac:dyDescent="0.25">
      <c r="G202" s="459">
        <f t="shared" si="21"/>
        <v>17</v>
      </c>
      <c r="H202" s="459">
        <v>195</v>
      </c>
      <c r="I202" s="444">
        <f t="shared" ca="1" si="5"/>
        <v>3309368.9150045458</v>
      </c>
      <c r="J202" s="444">
        <f t="array" ref="J202">IFERROR(INDEX('Retirement Calculator'!K:K,MATCH('Lorri 401b'!N202,'Retirement Calculator'!A:A,0),0),0)</f>
        <v>21655.303514578787</v>
      </c>
      <c r="K202" s="444">
        <f t="shared" ca="1" si="2"/>
        <v>13698.806714541528</v>
      </c>
      <c r="L202" s="444">
        <f t="shared" ca="1" si="3"/>
        <v>3301412.4182045087</v>
      </c>
      <c r="M202" s="460">
        <f t="shared" si="6"/>
        <v>0.05</v>
      </c>
      <c r="N202" s="464">
        <f t="shared" si="7"/>
        <v>57193</v>
      </c>
    </row>
    <row r="203" spans="7:14" ht="11.25" customHeight="1" x14ac:dyDescent="0.25">
      <c r="G203" s="459">
        <f t="shared" si="21"/>
        <v>17</v>
      </c>
      <c r="H203" s="459">
        <v>196</v>
      </c>
      <c r="I203" s="444">
        <f t="shared" ca="1" si="5"/>
        <v>3301412.4182045087</v>
      </c>
      <c r="J203" s="444">
        <f t="array" ref="J203">IFERROR(INDEX('Retirement Calculator'!K:K,MATCH('Lorri 401b'!N203,'Retirement Calculator'!A:A,0),0),0)</f>
        <v>21655.303514578787</v>
      </c>
      <c r="K203" s="444">
        <f t="shared" ca="1" si="2"/>
        <v>13665.654644541375</v>
      </c>
      <c r="L203" s="444">
        <f t="shared" ca="1" si="3"/>
        <v>3293422.7693344713</v>
      </c>
      <c r="M203" s="460">
        <f t="shared" si="6"/>
        <v>0.05</v>
      </c>
      <c r="N203" s="464">
        <f t="shared" si="7"/>
        <v>57224</v>
      </c>
    </row>
    <row r="204" spans="7:14" ht="11.25" customHeight="1" x14ac:dyDescent="0.25">
      <c r="G204" s="459">
        <f t="shared" si="21"/>
        <v>17</v>
      </c>
      <c r="H204" s="459">
        <v>197</v>
      </c>
      <c r="I204" s="444">
        <f t="shared" ca="1" si="5"/>
        <v>3293422.7693344713</v>
      </c>
      <c r="J204" s="444">
        <f t="array" ref="J204">IFERROR(INDEX('Retirement Calculator'!K:K,MATCH('Lorri 401b'!N204,'Retirement Calculator'!A:A,0),0),0)</f>
        <v>21655.303514578787</v>
      </c>
      <c r="K204" s="444">
        <f t="shared" ca="1" si="2"/>
        <v>13632.364440916219</v>
      </c>
      <c r="L204" s="444">
        <f t="shared" ca="1" si="3"/>
        <v>3285399.8302608086</v>
      </c>
      <c r="M204" s="460">
        <f t="shared" si="6"/>
        <v>0.05</v>
      </c>
      <c r="N204" s="464">
        <f t="shared" si="7"/>
        <v>57254</v>
      </c>
    </row>
    <row r="205" spans="7:14" ht="11.25" customHeight="1" x14ac:dyDescent="0.25">
      <c r="G205" s="459">
        <f t="shared" si="21"/>
        <v>17</v>
      </c>
      <c r="H205" s="459">
        <v>198</v>
      </c>
      <c r="I205" s="444">
        <f t="shared" ca="1" si="5"/>
        <v>3285399.8302608086</v>
      </c>
      <c r="J205" s="444">
        <f t="array" ref="J205">IFERROR(INDEX('Retirement Calculator'!K:K,MATCH('Lorri 401b'!N205,'Retirement Calculator'!A:A,0),0),0)</f>
        <v>21655.303514578787</v>
      </c>
      <c r="K205" s="444">
        <f t="shared" ca="1" si="2"/>
        <v>13598.93552810929</v>
      </c>
      <c r="L205" s="444">
        <f t="shared" ca="1" si="3"/>
        <v>3277343.4622743391</v>
      </c>
      <c r="M205" s="460">
        <f t="shared" si="6"/>
        <v>0.05</v>
      </c>
      <c r="N205" s="464">
        <f t="shared" si="7"/>
        <v>57285</v>
      </c>
    </row>
    <row r="206" spans="7:14" ht="11.25" customHeight="1" x14ac:dyDescent="0.25">
      <c r="G206" s="459">
        <f t="shared" si="21"/>
        <v>17</v>
      </c>
      <c r="H206" s="459">
        <v>199</v>
      </c>
      <c r="I206" s="444">
        <f t="shared" ca="1" si="5"/>
        <v>3277343.4622743391</v>
      </c>
      <c r="J206" s="444">
        <f t="array" ref="J206">IFERROR(INDEX('Retirement Calculator'!K:K,MATCH('Lorri 401b'!N206,'Retirement Calculator'!A:A,0),0),0)</f>
        <v>21655.303514578787</v>
      </c>
      <c r="K206" s="444">
        <f t="shared" ca="1" si="2"/>
        <v>13565.367328165667</v>
      </c>
      <c r="L206" s="444">
        <f t="shared" ca="1" si="3"/>
        <v>3269253.5260879258</v>
      </c>
      <c r="M206" s="460">
        <f t="shared" si="6"/>
        <v>0.05</v>
      </c>
      <c r="N206" s="464">
        <f t="shared" si="7"/>
        <v>57315</v>
      </c>
    </row>
    <row r="207" spans="7:14" ht="11.25" customHeight="1" x14ac:dyDescent="0.25">
      <c r="G207" s="459">
        <f t="shared" si="21"/>
        <v>17</v>
      </c>
      <c r="H207" s="459">
        <v>200</v>
      </c>
      <c r="I207" s="444">
        <f t="shared" ca="1" si="5"/>
        <v>3269253.5260879258</v>
      </c>
      <c r="J207" s="444">
        <f t="array" ref="J207">IFERROR(INDEX('Retirement Calculator'!K:K,MATCH('Lorri 401b'!N207,'Retirement Calculator'!A:A,0),0),0)</f>
        <v>21655.303514578787</v>
      </c>
      <c r="K207" s="444">
        <f t="shared" ca="1" si="2"/>
        <v>13531.659260722279</v>
      </c>
      <c r="L207" s="444">
        <f t="shared" ca="1" si="3"/>
        <v>3261129.8818340693</v>
      </c>
      <c r="M207" s="460">
        <f t="shared" si="6"/>
        <v>0.05</v>
      </c>
      <c r="N207" s="464">
        <f t="shared" si="7"/>
        <v>57346</v>
      </c>
    </row>
    <row r="208" spans="7:14" ht="11.25" customHeight="1" x14ac:dyDescent="0.25">
      <c r="G208" s="459">
        <f t="shared" si="21"/>
        <v>17</v>
      </c>
      <c r="H208" s="459">
        <v>201</v>
      </c>
      <c r="I208" s="444">
        <f t="shared" ca="1" si="5"/>
        <v>3261129.8818340693</v>
      </c>
      <c r="J208" s="444">
        <f t="array" ref="J208">IFERROR(INDEX('Retirement Calculator'!K:K,MATCH('Lorri 401b'!N208,'Retirement Calculator'!A:A,0),0),0)</f>
        <v>21655.303514578787</v>
      </c>
      <c r="K208" s="444">
        <f t="shared" ca="1" si="2"/>
        <v>13497.810742997877</v>
      </c>
      <c r="L208" s="444">
        <f t="shared" ca="1" si="3"/>
        <v>3252972.3890624885</v>
      </c>
      <c r="M208" s="460">
        <f t="shared" si="6"/>
        <v>0.05</v>
      </c>
      <c r="N208" s="464">
        <f t="shared" si="7"/>
        <v>57377</v>
      </c>
    </row>
    <row r="209" spans="7:14" ht="11.25" customHeight="1" x14ac:dyDescent="0.25">
      <c r="G209" s="459">
        <f t="shared" si="21"/>
        <v>17</v>
      </c>
      <c r="H209" s="459">
        <v>202</v>
      </c>
      <c r="I209" s="444">
        <f t="shared" ca="1" si="5"/>
        <v>3252972.3890624885</v>
      </c>
      <c r="J209" s="444">
        <f t="array" ref="J209">IFERROR(INDEX('Retirement Calculator'!K:K,MATCH('Lorri 401b'!N209,'Retirement Calculator'!A:A,0),0),0)</f>
        <v>21655.303514578787</v>
      </c>
      <c r="K209" s="444">
        <f t="shared" ca="1" si="2"/>
        <v>13463.821189782957</v>
      </c>
      <c r="L209" s="444">
        <f t="shared" ca="1" si="3"/>
        <v>3244780.9067376927</v>
      </c>
      <c r="M209" s="460">
        <f t="shared" si="6"/>
        <v>0.05</v>
      </c>
      <c r="N209" s="464">
        <f t="shared" si="7"/>
        <v>57405</v>
      </c>
    </row>
    <row r="210" spans="7:14" ht="11.25" customHeight="1" x14ac:dyDescent="0.25">
      <c r="G210" s="459">
        <f t="shared" si="21"/>
        <v>17</v>
      </c>
      <c r="H210" s="459">
        <v>203</v>
      </c>
      <c r="I210" s="444">
        <f t="shared" ca="1" si="5"/>
        <v>3244780.9067376927</v>
      </c>
      <c r="J210" s="444">
        <f t="array" ref="J210">IFERROR(INDEX('Retirement Calculator'!K:K,MATCH('Lorri 401b'!N210,'Retirement Calculator'!A:A,0),0),0)</f>
        <v>21655.303514578787</v>
      </c>
      <c r="K210" s="444">
        <f t="shared" ca="1" si="2"/>
        <v>13429.690013429641</v>
      </c>
      <c r="L210" s="444">
        <f t="shared" ca="1" si="3"/>
        <v>3236555.2932365434</v>
      </c>
      <c r="M210" s="460">
        <f t="shared" si="6"/>
        <v>0.05</v>
      </c>
      <c r="N210" s="464">
        <f t="shared" si="7"/>
        <v>57436</v>
      </c>
    </row>
    <row r="211" spans="7:14" ht="11.25" customHeight="1" x14ac:dyDescent="0.25">
      <c r="G211" s="459">
        <f t="shared" si="21"/>
        <v>17</v>
      </c>
      <c r="H211" s="459">
        <v>204</v>
      </c>
      <c r="I211" s="444">
        <f t="shared" ca="1" si="5"/>
        <v>3236555.2932365434</v>
      </c>
      <c r="J211" s="444">
        <f t="array" ref="J211">IFERROR(INDEX('Retirement Calculator'!K:K,MATCH('Lorri 401b'!N211,'Retirement Calculator'!A:A,0),0),0)</f>
        <v>21655.303514578787</v>
      </c>
      <c r="K211" s="444">
        <f t="shared" ca="1" si="2"/>
        <v>13395.416623841518</v>
      </c>
      <c r="L211" s="444">
        <f t="shared" ca="1" si="3"/>
        <v>3228295.4063458061</v>
      </c>
      <c r="M211" s="460">
        <f t="shared" si="6"/>
        <v>0.05</v>
      </c>
      <c r="N211" s="464">
        <f t="shared" si="7"/>
        <v>57466</v>
      </c>
    </row>
    <row r="212" spans="7:14" ht="11.25" customHeight="1" x14ac:dyDescent="0.25">
      <c r="G212" s="459">
        <f>G211+1</f>
        <v>18</v>
      </c>
      <c r="H212" s="459">
        <v>205</v>
      </c>
      <c r="I212" s="444">
        <f t="shared" ca="1" si="5"/>
        <v>3228295.4063458061</v>
      </c>
      <c r="J212" s="444">
        <f t="array" ref="J212">IFERROR(INDEX('Retirement Calculator'!K:K,MATCH('Lorri 401b'!N212,'Retirement Calculator'!A:A,0),0),0)</f>
        <v>21655.303514578787</v>
      </c>
      <c r="K212" s="444">
        <f t="shared" ca="1" si="2"/>
        <v>13361.000428463447</v>
      </c>
      <c r="L212" s="444">
        <f t="shared" ca="1" si="3"/>
        <v>3220001.1032596906</v>
      </c>
      <c r="M212" s="460">
        <f t="shared" si="6"/>
        <v>0.05</v>
      </c>
      <c r="N212" s="464">
        <f t="shared" si="7"/>
        <v>57497</v>
      </c>
    </row>
    <row r="213" spans="7:14" ht="11.25" customHeight="1" x14ac:dyDescent="0.25">
      <c r="G213" s="459">
        <f t="shared" ref="G213:G223" si="22">G212</f>
        <v>18</v>
      </c>
      <c r="H213" s="459">
        <v>206</v>
      </c>
      <c r="I213" s="444">
        <f t="shared" ca="1" si="5"/>
        <v>3220001.1032596906</v>
      </c>
      <c r="J213" s="444">
        <f t="array" ref="J213">IFERROR(INDEX('Retirement Calculator'!K:K,MATCH('Lorri 401b'!N213,'Retirement Calculator'!A:A,0),0),0)</f>
        <v>21655.303514578787</v>
      </c>
      <c r="K213" s="444">
        <f t="shared" ca="1" si="2"/>
        <v>13326.440832271299</v>
      </c>
      <c r="L213" s="444">
        <f t="shared" ca="1" si="3"/>
        <v>3211672.240577383</v>
      </c>
      <c r="M213" s="460">
        <f t="shared" si="6"/>
        <v>0.05</v>
      </c>
      <c r="N213" s="464">
        <f t="shared" si="7"/>
        <v>57527</v>
      </c>
    </row>
    <row r="214" spans="7:14" ht="11.25" customHeight="1" x14ac:dyDescent="0.25">
      <c r="G214" s="459">
        <f t="shared" si="22"/>
        <v>18</v>
      </c>
      <c r="H214" s="459">
        <v>207</v>
      </c>
      <c r="I214" s="444">
        <f t="shared" ca="1" si="5"/>
        <v>3211672.240577383</v>
      </c>
      <c r="J214" s="444">
        <f t="array" ref="J214">IFERROR(INDEX('Retirement Calculator'!K:K,MATCH('Lorri 401b'!N214,'Retirement Calculator'!A:A,0),0),0)</f>
        <v>21655.303514578787</v>
      </c>
      <c r="K214" s="444">
        <f t="shared" ca="1" si="2"/>
        <v>13291.737237761683</v>
      </c>
      <c r="L214" s="444">
        <f t="shared" ca="1" si="3"/>
        <v>3203308.6743005658</v>
      </c>
      <c r="M214" s="460">
        <f t="shared" si="6"/>
        <v>0.05</v>
      </c>
      <c r="N214" s="464">
        <f t="shared" si="7"/>
        <v>57558</v>
      </c>
    </row>
    <row r="215" spans="7:14" ht="11.25" customHeight="1" x14ac:dyDescent="0.25">
      <c r="G215" s="459">
        <f t="shared" si="22"/>
        <v>18</v>
      </c>
      <c r="H215" s="459">
        <v>208</v>
      </c>
      <c r="I215" s="444">
        <f t="shared" ca="1" si="5"/>
        <v>3203308.6743005658</v>
      </c>
      <c r="J215" s="444">
        <f t="array" ref="J215">IFERROR(INDEX('Retirement Calculator'!K:K,MATCH('Lorri 401b'!N215,'Retirement Calculator'!A:A,0),0),0)</f>
        <v>21655.303514578787</v>
      </c>
      <c r="K215" s="444">
        <f t="shared" ca="1" si="2"/>
        <v>13256.889044941612</v>
      </c>
      <c r="L215" s="444">
        <f t="shared" ca="1" si="3"/>
        <v>3194910.2598309284</v>
      </c>
      <c r="M215" s="460">
        <f t="shared" si="6"/>
        <v>0.05</v>
      </c>
      <c r="N215" s="464">
        <f t="shared" si="7"/>
        <v>57589</v>
      </c>
    </row>
    <row r="216" spans="7:14" ht="11.25" customHeight="1" x14ac:dyDescent="0.25">
      <c r="G216" s="459">
        <f t="shared" si="22"/>
        <v>18</v>
      </c>
      <c r="H216" s="459">
        <v>209</v>
      </c>
      <c r="I216" s="444">
        <f t="shared" ca="1" si="5"/>
        <v>3194910.2598309284</v>
      </c>
      <c r="J216" s="444">
        <f t="array" ref="J216">IFERROR(INDEX('Retirement Calculator'!K:K,MATCH('Lorri 401b'!N216,'Retirement Calculator'!A:A,0),0),0)</f>
        <v>21655.303514578787</v>
      </c>
      <c r="K216" s="444">
        <f t="shared" ca="1" si="2"/>
        <v>13221.895651318124</v>
      </c>
      <c r="L216" s="444">
        <f t="shared" ca="1" si="3"/>
        <v>3186476.8519676677</v>
      </c>
      <c r="M216" s="460">
        <f t="shared" si="6"/>
        <v>0.05</v>
      </c>
      <c r="N216" s="464">
        <f t="shared" si="7"/>
        <v>57619</v>
      </c>
    </row>
    <row r="217" spans="7:14" ht="11.25" customHeight="1" x14ac:dyDescent="0.25">
      <c r="G217" s="459">
        <f t="shared" si="22"/>
        <v>18</v>
      </c>
      <c r="H217" s="459">
        <v>210</v>
      </c>
      <c r="I217" s="444">
        <f t="shared" ca="1" si="5"/>
        <v>3186476.8519676677</v>
      </c>
      <c r="J217" s="444">
        <f t="array" ref="J217">IFERROR(INDEX('Retirement Calculator'!K:K,MATCH('Lorri 401b'!N217,'Retirement Calculator'!A:A,0),0),0)</f>
        <v>21655.303514578787</v>
      </c>
      <c r="K217" s="444">
        <f t="shared" ca="1" si="2"/>
        <v>13186.75645188787</v>
      </c>
      <c r="L217" s="444">
        <f t="shared" ca="1" si="3"/>
        <v>3178008.3049049769</v>
      </c>
      <c r="M217" s="460">
        <f t="shared" si="6"/>
        <v>0.05</v>
      </c>
      <c r="N217" s="464">
        <f t="shared" si="7"/>
        <v>57650</v>
      </c>
    </row>
    <row r="218" spans="7:14" ht="11.25" customHeight="1" x14ac:dyDescent="0.25">
      <c r="G218" s="459">
        <f t="shared" si="22"/>
        <v>18</v>
      </c>
      <c r="H218" s="459">
        <v>211</v>
      </c>
      <c r="I218" s="444">
        <f t="shared" ca="1" si="5"/>
        <v>3178008.3049049769</v>
      </c>
      <c r="J218" s="444">
        <f t="array" ref="J218">IFERROR(INDEX('Retirement Calculator'!K:K,MATCH('Lorri 401b'!N218,'Retirement Calculator'!A:A,0),0),0)</f>
        <v>21655.303514578787</v>
      </c>
      <c r="K218" s="444">
        <f t="shared" ca="1" si="2"/>
        <v>13151.470839126658</v>
      </c>
      <c r="L218" s="444">
        <f t="shared" ca="1" si="3"/>
        <v>3169504.4722295245</v>
      </c>
      <c r="M218" s="460">
        <f t="shared" si="6"/>
        <v>0.05</v>
      </c>
      <c r="N218" s="464">
        <f t="shared" si="7"/>
        <v>57680</v>
      </c>
    </row>
    <row r="219" spans="7:14" ht="11.25" customHeight="1" x14ac:dyDescent="0.25">
      <c r="G219" s="459">
        <f t="shared" si="22"/>
        <v>18</v>
      </c>
      <c r="H219" s="459">
        <v>212</v>
      </c>
      <c r="I219" s="444">
        <f t="shared" ca="1" si="5"/>
        <v>3169504.4722295245</v>
      </c>
      <c r="J219" s="444">
        <f t="array" ref="J219">IFERROR(INDEX('Retirement Calculator'!K:K,MATCH('Lorri 401b'!N219,'Retirement Calculator'!A:A,0),0),0)</f>
        <v>21655.303514578787</v>
      </c>
      <c r="K219" s="444">
        <f t="shared" ca="1" si="2"/>
        <v>13116.03820297894</v>
      </c>
      <c r="L219" s="444">
        <f t="shared" ca="1" si="3"/>
        <v>3160965.2069179248</v>
      </c>
      <c r="M219" s="460">
        <f t="shared" si="6"/>
        <v>0.05</v>
      </c>
      <c r="N219" s="464">
        <f t="shared" si="7"/>
        <v>57711</v>
      </c>
    </row>
    <row r="220" spans="7:14" ht="11.25" customHeight="1" x14ac:dyDescent="0.25">
      <c r="G220" s="459">
        <f t="shared" si="22"/>
        <v>18</v>
      </c>
      <c r="H220" s="459">
        <v>213</v>
      </c>
      <c r="I220" s="444">
        <f t="shared" ca="1" si="5"/>
        <v>3160965.2069179248</v>
      </c>
      <c r="J220" s="444">
        <f t="array" ref="J220">IFERROR(INDEX('Retirement Calculator'!K:K,MATCH('Lorri 401b'!N220,'Retirement Calculator'!A:A,0),0),0)</f>
        <v>21655.303514578787</v>
      </c>
      <c r="K220" s="444">
        <f t="shared" ca="1" si="2"/>
        <v>13080.457930847275</v>
      </c>
      <c r="L220" s="444">
        <f t="shared" ca="1" si="3"/>
        <v>3152390.361334193</v>
      </c>
      <c r="M220" s="460">
        <f t="shared" si="6"/>
        <v>0.05</v>
      </c>
      <c r="N220" s="464">
        <f t="shared" si="7"/>
        <v>57742</v>
      </c>
    </row>
    <row r="221" spans="7:14" ht="11.25" customHeight="1" x14ac:dyDescent="0.25">
      <c r="G221" s="459">
        <f t="shared" si="22"/>
        <v>18</v>
      </c>
      <c r="H221" s="459">
        <v>214</v>
      </c>
      <c r="I221" s="444">
        <f t="shared" ca="1" si="5"/>
        <v>3152390.361334193</v>
      </c>
      <c r="J221" s="444">
        <f t="array" ref="J221">IFERROR(INDEX('Retirement Calculator'!K:K,MATCH('Lorri 401b'!N221,'Retirement Calculator'!A:A,0),0),0)</f>
        <v>21655.303514578787</v>
      </c>
      <c r="K221" s="444">
        <f t="shared" ca="1" si="2"/>
        <v>13044.729407581726</v>
      </c>
      <c r="L221" s="444">
        <f t="shared" ca="1" si="3"/>
        <v>3143779.7872271957</v>
      </c>
      <c r="M221" s="460">
        <f t="shared" si="6"/>
        <v>0.05</v>
      </c>
      <c r="N221" s="464">
        <f t="shared" si="7"/>
        <v>57770</v>
      </c>
    </row>
    <row r="222" spans="7:14" ht="11.25" customHeight="1" x14ac:dyDescent="0.25">
      <c r="G222" s="459">
        <f t="shared" si="22"/>
        <v>18</v>
      </c>
      <c r="H222" s="459">
        <v>215</v>
      </c>
      <c r="I222" s="444">
        <f t="shared" ca="1" si="5"/>
        <v>3143779.7872271957</v>
      </c>
      <c r="J222" s="444">
        <f t="array" ref="J222">IFERROR(INDEX('Retirement Calculator'!K:K,MATCH('Lorri 401b'!N222,'Retirement Calculator'!A:A,0),0),0)</f>
        <v>21655.303514578787</v>
      </c>
      <c r="K222" s="444">
        <f t="shared" ca="1" si="2"/>
        <v>13008.852015469236</v>
      </c>
      <c r="L222" s="444">
        <f t="shared" ca="1" si="3"/>
        <v>3135133.3357280861</v>
      </c>
      <c r="M222" s="460">
        <f t="shared" si="6"/>
        <v>0.05</v>
      </c>
      <c r="N222" s="464">
        <f t="shared" si="7"/>
        <v>57801</v>
      </c>
    </row>
    <row r="223" spans="7:14" ht="11.25" customHeight="1" x14ac:dyDescent="0.25">
      <c r="G223" s="459">
        <f t="shared" si="22"/>
        <v>18</v>
      </c>
      <c r="H223" s="459">
        <v>216</v>
      </c>
      <c r="I223" s="444">
        <f t="shared" ca="1" si="5"/>
        <v>3135133.3357280861</v>
      </c>
      <c r="J223" s="444">
        <f t="array" ref="J223">IFERROR(INDEX('Retirement Calculator'!K:K,MATCH('Lorri 401b'!N223,'Retirement Calculator'!A:A,0),0),0)</f>
        <v>21655.303514578787</v>
      </c>
      <c r="K223" s="444">
        <f t="shared" ca="1" si="2"/>
        <v>12972.825134222947</v>
      </c>
      <c r="L223" s="444">
        <f t="shared" ca="1" si="3"/>
        <v>3126450.8573477301</v>
      </c>
      <c r="M223" s="460">
        <f t="shared" si="6"/>
        <v>0.05</v>
      </c>
      <c r="N223" s="464">
        <f t="shared" si="7"/>
        <v>57831</v>
      </c>
    </row>
    <row r="224" spans="7:14" ht="11.25" customHeight="1" x14ac:dyDescent="0.25">
      <c r="G224" s="459">
        <f>G223+1</f>
        <v>19</v>
      </c>
      <c r="H224" s="459">
        <v>217</v>
      </c>
      <c r="I224" s="444">
        <f t="shared" ca="1" si="5"/>
        <v>3126450.8573477301</v>
      </c>
      <c r="J224" s="444">
        <f t="array" ref="J224">IFERROR(INDEX('Retirement Calculator'!K:K,MATCH('Lorri 401b'!N224,'Retirement Calculator'!A:A,0),0),0)</f>
        <v>21655.303514578787</v>
      </c>
      <c r="K224" s="444">
        <f t="shared" ca="1" si="2"/>
        <v>12936.648140971463</v>
      </c>
      <c r="L224" s="444">
        <f t="shared" ca="1" si="3"/>
        <v>3117732.2019741228</v>
      </c>
      <c r="M224" s="460">
        <f t="shared" si="6"/>
        <v>0.05</v>
      </c>
      <c r="N224" s="464">
        <f t="shared" si="7"/>
        <v>57862</v>
      </c>
    </row>
    <row r="225" spans="7:14" ht="11.25" customHeight="1" x14ac:dyDescent="0.25">
      <c r="G225" s="459">
        <f t="shared" ref="G225:G235" si="23">G224</f>
        <v>19</v>
      </c>
      <c r="H225" s="459">
        <v>218</v>
      </c>
      <c r="I225" s="444">
        <f t="shared" ca="1" si="5"/>
        <v>3117732.2019741228</v>
      </c>
      <c r="J225" s="444">
        <f t="array" ref="J225">IFERROR(INDEX('Retirement Calculator'!K:K,MATCH('Lorri 401b'!N225,'Retirement Calculator'!A:A,0),0),0)</f>
        <v>21655.303514578787</v>
      </c>
      <c r="K225" s="444">
        <f t="shared" ca="1" si="2"/>
        <v>12900.3204102481</v>
      </c>
      <c r="L225" s="444">
        <f t="shared" ca="1" si="3"/>
        <v>3108977.2188697918</v>
      </c>
      <c r="M225" s="460">
        <f t="shared" si="6"/>
        <v>0.05</v>
      </c>
      <c r="N225" s="464">
        <f t="shared" si="7"/>
        <v>57892</v>
      </c>
    </row>
    <row r="226" spans="7:14" ht="11.25" customHeight="1" x14ac:dyDescent="0.25">
      <c r="G226" s="459">
        <f t="shared" si="23"/>
        <v>19</v>
      </c>
      <c r="H226" s="459">
        <v>219</v>
      </c>
      <c r="I226" s="444">
        <f t="shared" ca="1" si="5"/>
        <v>3108977.2188697918</v>
      </c>
      <c r="J226" s="444">
        <f t="array" ref="J226">IFERROR(INDEX('Retirement Calculator'!K:K,MATCH('Lorri 401b'!N226,'Retirement Calculator'!A:A,0),0),0)</f>
        <v>21655.303514578787</v>
      </c>
      <c r="K226" s="444">
        <f t="shared" ca="1" si="2"/>
        <v>12863.841313980054</v>
      </c>
      <c r="L226" s="444">
        <f t="shared" ca="1" si="3"/>
        <v>3100185.756669193</v>
      </c>
      <c r="M226" s="460">
        <f t="shared" si="6"/>
        <v>0.05</v>
      </c>
      <c r="N226" s="464">
        <f t="shared" si="7"/>
        <v>57923</v>
      </c>
    </row>
    <row r="227" spans="7:14" ht="11.25" customHeight="1" x14ac:dyDescent="0.25">
      <c r="G227" s="459">
        <f t="shared" si="23"/>
        <v>19</v>
      </c>
      <c r="H227" s="459">
        <v>220</v>
      </c>
      <c r="I227" s="444">
        <f t="shared" ca="1" si="5"/>
        <v>3100185.756669193</v>
      </c>
      <c r="J227" s="444">
        <f t="array" ref="J227">IFERROR(INDEX('Retirement Calculator'!K:K,MATCH('Lorri 401b'!N227,'Retirement Calculator'!A:A,0),0),0)</f>
        <v>21655.303514578787</v>
      </c>
      <c r="K227" s="444">
        <f t="shared" ca="1" si="2"/>
        <v>12827.210221477559</v>
      </c>
      <c r="L227" s="444">
        <f t="shared" ca="1" si="3"/>
        <v>3091357.663376092</v>
      </c>
      <c r="M227" s="460">
        <f t="shared" si="6"/>
        <v>0.05</v>
      </c>
      <c r="N227" s="464">
        <f t="shared" si="7"/>
        <v>57954</v>
      </c>
    </row>
    <row r="228" spans="7:14" ht="11.25" customHeight="1" x14ac:dyDescent="0.25">
      <c r="G228" s="459">
        <f t="shared" si="23"/>
        <v>19</v>
      </c>
      <c r="H228" s="459">
        <v>221</v>
      </c>
      <c r="I228" s="444">
        <f t="shared" ca="1" si="5"/>
        <v>3091357.663376092</v>
      </c>
      <c r="J228" s="444">
        <f t="array" ref="J228">IFERROR(INDEX('Retirement Calculator'!K:K,MATCH('Lorri 401b'!N228,'Retirement Calculator'!A:A,0),0),0)</f>
        <v>21655.303514578787</v>
      </c>
      <c r="K228" s="444">
        <f t="shared" ca="1" si="2"/>
        <v>12790.426499422971</v>
      </c>
      <c r="L228" s="444">
        <f t="shared" ca="1" si="3"/>
        <v>3082492.7863609362</v>
      </c>
      <c r="M228" s="460">
        <f t="shared" si="6"/>
        <v>0.05</v>
      </c>
      <c r="N228" s="464">
        <f t="shared" si="7"/>
        <v>57984</v>
      </c>
    </row>
    <row r="229" spans="7:14" ht="11.25" customHeight="1" x14ac:dyDescent="0.25">
      <c r="G229" s="459">
        <f t="shared" si="23"/>
        <v>19</v>
      </c>
      <c r="H229" s="459">
        <v>222</v>
      </c>
      <c r="I229" s="444">
        <f t="shared" ca="1" si="5"/>
        <v>3082492.7863609362</v>
      </c>
      <c r="J229" s="444">
        <f t="array" ref="J229">IFERROR(INDEX('Retirement Calculator'!K:K,MATCH('Lorri 401b'!N229,'Retirement Calculator'!A:A,0),0),0)</f>
        <v>21655.303514578787</v>
      </c>
      <c r="K229" s="444">
        <f t="shared" ca="1" si="2"/>
        <v>12753.489511859822</v>
      </c>
      <c r="L229" s="444">
        <f t="shared" ca="1" si="3"/>
        <v>3073590.972358217</v>
      </c>
      <c r="M229" s="460">
        <f t="shared" si="6"/>
        <v>0.05</v>
      </c>
      <c r="N229" s="464">
        <f t="shared" si="7"/>
        <v>58015</v>
      </c>
    </row>
    <row r="230" spans="7:14" ht="11.25" customHeight="1" x14ac:dyDescent="0.25">
      <c r="G230" s="459">
        <f t="shared" si="23"/>
        <v>19</v>
      </c>
      <c r="H230" s="459">
        <v>223</v>
      </c>
      <c r="I230" s="444">
        <f t="shared" ca="1" si="5"/>
        <v>3073590.972358217</v>
      </c>
      <c r="J230" s="444">
        <f t="array" ref="J230">IFERROR(INDEX('Retirement Calculator'!K:K,MATCH('Lorri 401b'!N230,'Retirement Calculator'!A:A,0),0),0)</f>
        <v>21655.303514578787</v>
      </c>
      <c r="K230" s="444">
        <f t="shared" ca="1" si="2"/>
        <v>12716.398620181826</v>
      </c>
      <c r="L230" s="444">
        <f t="shared" ca="1" si="3"/>
        <v>3064652.0674638199</v>
      </c>
      <c r="M230" s="460">
        <f t="shared" si="6"/>
        <v>0.05</v>
      </c>
      <c r="N230" s="464">
        <f t="shared" si="7"/>
        <v>58045</v>
      </c>
    </row>
    <row r="231" spans="7:14" ht="11.25" customHeight="1" x14ac:dyDescent="0.25">
      <c r="G231" s="459">
        <f t="shared" si="23"/>
        <v>19</v>
      </c>
      <c r="H231" s="459">
        <v>224</v>
      </c>
      <c r="I231" s="444">
        <f t="shared" ca="1" si="5"/>
        <v>3064652.0674638199</v>
      </c>
      <c r="J231" s="444">
        <f t="array" ref="J231">IFERROR(INDEX('Retirement Calculator'!K:K,MATCH('Lorri 401b'!N231,'Retirement Calculator'!A:A,0),0),0)</f>
        <v>21655.303514578787</v>
      </c>
      <c r="K231" s="444">
        <f t="shared" ca="1" si="2"/>
        <v>12679.153183121838</v>
      </c>
      <c r="L231" s="444">
        <f t="shared" ca="1" si="3"/>
        <v>3055675.9171323627</v>
      </c>
      <c r="M231" s="460">
        <f t="shared" si="6"/>
        <v>0.05</v>
      </c>
      <c r="N231" s="464">
        <f t="shared" si="7"/>
        <v>58076</v>
      </c>
    </row>
    <row r="232" spans="7:14" ht="11.25" customHeight="1" x14ac:dyDescent="0.25">
      <c r="G232" s="459">
        <f t="shared" si="23"/>
        <v>19</v>
      </c>
      <c r="H232" s="459">
        <v>225</v>
      </c>
      <c r="I232" s="444">
        <f t="shared" ca="1" si="5"/>
        <v>3055675.9171323627</v>
      </c>
      <c r="J232" s="444">
        <f t="array" ref="J232">IFERROR(INDEX('Retirement Calculator'!K:K,MATCH('Lorri 401b'!N232,'Retirement Calculator'!A:A,0),0),0)</f>
        <v>21655.303514578787</v>
      </c>
      <c r="K232" s="444">
        <f t="shared" ca="1" si="2"/>
        <v>12641.752556740767</v>
      </c>
      <c r="L232" s="444">
        <f t="shared" ca="1" si="3"/>
        <v>3046662.3661745246</v>
      </c>
      <c r="M232" s="460">
        <f t="shared" si="6"/>
        <v>0.05</v>
      </c>
      <c r="N232" s="464">
        <f t="shared" si="7"/>
        <v>58107</v>
      </c>
    </row>
    <row r="233" spans="7:14" ht="11.25" customHeight="1" x14ac:dyDescent="0.25">
      <c r="G233" s="459">
        <f t="shared" si="23"/>
        <v>19</v>
      </c>
      <c r="H233" s="459">
        <v>226</v>
      </c>
      <c r="I233" s="444">
        <f t="shared" ca="1" si="5"/>
        <v>3046662.3661745246</v>
      </c>
      <c r="J233" s="444">
        <f t="array" ref="J233">IFERROR(INDEX('Retirement Calculator'!K:K,MATCH('Lorri 401b'!N233,'Retirement Calculator'!A:A,0),0),0)</f>
        <v>21655.303514578787</v>
      </c>
      <c r="K233" s="444">
        <f t="shared" ca="1" si="2"/>
        <v>12604.19609441644</v>
      </c>
      <c r="L233" s="444">
        <f t="shared" ca="1" si="3"/>
        <v>3037611.2587543624</v>
      </c>
      <c r="M233" s="460">
        <f t="shared" si="6"/>
        <v>0.05</v>
      </c>
      <c r="N233" s="464">
        <f t="shared" si="7"/>
        <v>58135</v>
      </c>
    </row>
    <row r="234" spans="7:14" ht="11.25" customHeight="1" x14ac:dyDescent="0.25">
      <c r="G234" s="459">
        <f t="shared" si="23"/>
        <v>19</v>
      </c>
      <c r="H234" s="459">
        <v>227</v>
      </c>
      <c r="I234" s="444">
        <f t="shared" ca="1" si="5"/>
        <v>3037611.2587543624</v>
      </c>
      <c r="J234" s="444">
        <f t="array" ref="J234">IFERROR(INDEX('Retirement Calculator'!K:K,MATCH('Lorri 401b'!N234,'Retirement Calculator'!A:A,0),0),0)</f>
        <v>21655.303514578787</v>
      </c>
      <c r="K234" s="444">
        <f t="shared" ca="1" si="2"/>
        <v>12566.483146832432</v>
      </c>
      <c r="L234" s="444">
        <f t="shared" ca="1" si="3"/>
        <v>3028522.4383866158</v>
      </c>
      <c r="M234" s="460">
        <f t="shared" si="6"/>
        <v>0.05</v>
      </c>
      <c r="N234" s="464">
        <f t="shared" si="7"/>
        <v>58166</v>
      </c>
    </row>
    <row r="235" spans="7:14" ht="11.25" customHeight="1" x14ac:dyDescent="0.25">
      <c r="G235" s="459">
        <f t="shared" si="23"/>
        <v>19</v>
      </c>
      <c r="H235" s="459">
        <v>228</v>
      </c>
      <c r="I235" s="444">
        <f t="shared" ca="1" si="5"/>
        <v>3028522.4383866158</v>
      </c>
      <c r="J235" s="444">
        <f t="array" ref="J235">IFERROR(INDEX('Retirement Calculator'!K:K,MATCH('Lorri 401b'!N235,'Retirement Calculator'!A:A,0),0),0)</f>
        <v>21655.303514578787</v>
      </c>
      <c r="K235" s="444">
        <f t="shared" ca="1" si="2"/>
        <v>12528.61306196682</v>
      </c>
      <c r="L235" s="444">
        <f t="shared" ca="1" si="3"/>
        <v>3019395.7479340038</v>
      </c>
      <c r="M235" s="460">
        <f t="shared" si="6"/>
        <v>0.05</v>
      </c>
      <c r="N235" s="464">
        <f t="shared" si="7"/>
        <v>58196</v>
      </c>
    </row>
    <row r="236" spans="7:14" ht="11.25" customHeight="1" x14ac:dyDescent="0.25">
      <c r="G236" s="459">
        <f>G235+1</f>
        <v>20</v>
      </c>
      <c r="H236" s="459">
        <v>229</v>
      </c>
      <c r="I236" s="444">
        <f t="shared" ca="1" si="5"/>
        <v>3019395.7479340038</v>
      </c>
      <c r="J236" s="444">
        <f t="array" ref="J236">IFERROR(INDEX('Retirement Calculator'!K:K,MATCH('Lorri 401b'!N236,'Retirement Calculator'!A:A,0),0),0)</f>
        <v>21655.303514578787</v>
      </c>
      <c r="K236" s="444">
        <f t="shared" ca="1" si="2"/>
        <v>12490.585185080938</v>
      </c>
      <c r="L236" s="444">
        <f t="shared" ca="1" si="3"/>
        <v>3010231.0296045057</v>
      </c>
      <c r="M236" s="460">
        <f t="shared" si="6"/>
        <v>0.05</v>
      </c>
      <c r="N236" s="464">
        <f t="shared" si="7"/>
        <v>58227</v>
      </c>
    </row>
    <row r="237" spans="7:14" ht="11.25" customHeight="1" x14ac:dyDescent="0.25">
      <c r="G237" s="459">
        <f t="shared" ref="G237:G247" si="24">G236</f>
        <v>20</v>
      </c>
      <c r="H237" s="459">
        <v>230</v>
      </c>
      <c r="I237" s="444">
        <f t="shared" ca="1" si="5"/>
        <v>3010231.0296045057</v>
      </c>
      <c r="J237" s="444">
        <f t="array" ref="J237">IFERROR(INDEX('Retirement Calculator'!K:K,MATCH('Lorri 401b'!N237,'Retirement Calculator'!A:A,0),0),0)</f>
        <v>21655.303514578787</v>
      </c>
      <c r="K237" s="444">
        <f t="shared" ca="1" si="2"/>
        <v>12452.398858708029</v>
      </c>
      <c r="L237" s="444">
        <f t="shared" ca="1" si="3"/>
        <v>3001028.1249486348</v>
      </c>
      <c r="M237" s="460">
        <f t="shared" si="6"/>
        <v>0.05</v>
      </c>
      <c r="N237" s="464">
        <f t="shared" si="7"/>
        <v>58257</v>
      </c>
    </row>
    <row r="238" spans="7:14" ht="11.25" customHeight="1" x14ac:dyDescent="0.25">
      <c r="G238" s="459">
        <f t="shared" si="24"/>
        <v>20</v>
      </c>
      <c r="H238" s="459">
        <v>231</v>
      </c>
      <c r="I238" s="444">
        <f t="shared" ca="1" si="5"/>
        <v>3001028.1249486348</v>
      </c>
      <c r="J238" s="444">
        <f t="array" ref="J238">IFERROR(INDEX('Retirement Calculator'!K:K,MATCH('Lorri 401b'!N238,'Retirement Calculator'!A:A,0),0),0)</f>
        <v>21655.303514578787</v>
      </c>
      <c r="K238" s="444">
        <f t="shared" ca="1" si="2"/>
        <v>12414.0534226419</v>
      </c>
      <c r="L238" s="444">
        <f t="shared" ca="1" si="3"/>
        <v>2991786.8748566979</v>
      </c>
      <c r="M238" s="460">
        <f t="shared" si="6"/>
        <v>0.05</v>
      </c>
      <c r="N238" s="464">
        <f t="shared" si="7"/>
        <v>58288</v>
      </c>
    </row>
    <row r="239" spans="7:14" ht="11.25" customHeight="1" x14ac:dyDescent="0.25">
      <c r="G239" s="459">
        <f t="shared" si="24"/>
        <v>20</v>
      </c>
      <c r="H239" s="459">
        <v>232</v>
      </c>
      <c r="I239" s="444">
        <f t="shared" ca="1" si="5"/>
        <v>2991786.8748566979</v>
      </c>
      <c r="J239" s="444">
        <f t="array" ref="J239">IFERROR(INDEX('Retirement Calculator'!K:K,MATCH('Lorri 401b'!N239,'Retirement Calculator'!A:A,0),0),0)</f>
        <v>21655.303514578787</v>
      </c>
      <c r="K239" s="444">
        <f t="shared" ca="1" si="2"/>
        <v>12375.548213925496</v>
      </c>
      <c r="L239" s="444">
        <f t="shared" ca="1" si="3"/>
        <v>2982507.1195560447</v>
      </c>
      <c r="M239" s="460">
        <f t="shared" si="6"/>
        <v>0.05</v>
      </c>
      <c r="N239" s="464">
        <f t="shared" si="7"/>
        <v>58319</v>
      </c>
    </row>
    <row r="240" spans="7:14" ht="11.25" customHeight="1" x14ac:dyDescent="0.25">
      <c r="G240" s="459">
        <f t="shared" si="24"/>
        <v>20</v>
      </c>
      <c r="H240" s="459">
        <v>233</v>
      </c>
      <c r="I240" s="444">
        <f t="shared" ca="1" si="5"/>
        <v>2982507.1195560447</v>
      </c>
      <c r="J240" s="444">
        <f t="array" ref="J240">IFERROR(INDEX('Retirement Calculator'!K:K,MATCH('Lorri 401b'!N240,'Retirement Calculator'!A:A,0),0),0)</f>
        <v>21655.303514578787</v>
      </c>
      <c r="K240" s="444">
        <f t="shared" ca="1" si="2"/>
        <v>12336.88256683944</v>
      </c>
      <c r="L240" s="444">
        <f t="shared" ca="1" si="3"/>
        <v>2973188.6986083053</v>
      </c>
      <c r="M240" s="460">
        <f t="shared" si="6"/>
        <v>0.05</v>
      </c>
      <c r="N240" s="464">
        <f t="shared" si="7"/>
        <v>58349</v>
      </c>
    </row>
    <row r="241" spans="7:14" ht="11.25" customHeight="1" x14ac:dyDescent="0.25">
      <c r="G241" s="459">
        <f t="shared" si="24"/>
        <v>20</v>
      </c>
      <c r="H241" s="459">
        <v>234</v>
      </c>
      <c r="I241" s="444">
        <f t="shared" ca="1" si="5"/>
        <v>2973188.6986083053</v>
      </c>
      <c r="J241" s="444">
        <f t="array" ref="J241">IFERROR(INDEX('Retirement Calculator'!K:K,MATCH('Lorri 401b'!N241,'Retirement Calculator'!A:A,0),0),0)</f>
        <v>21655.303514578787</v>
      </c>
      <c r="K241" s="444">
        <f t="shared" ca="1" si="2"/>
        <v>12298.055812890527</v>
      </c>
      <c r="L241" s="444">
        <f t="shared" ca="1" si="3"/>
        <v>2963831.4509066171</v>
      </c>
      <c r="M241" s="460">
        <f t="shared" si="6"/>
        <v>0.05</v>
      </c>
      <c r="N241" s="464">
        <f t="shared" si="7"/>
        <v>58380</v>
      </c>
    </row>
    <row r="242" spans="7:14" ht="11.25" customHeight="1" x14ac:dyDescent="0.25">
      <c r="G242" s="459">
        <f t="shared" si="24"/>
        <v>20</v>
      </c>
      <c r="H242" s="459">
        <v>235</v>
      </c>
      <c r="I242" s="444">
        <f t="shared" ca="1" si="5"/>
        <v>2963831.4509066171</v>
      </c>
      <c r="J242" s="444">
        <f t="array" ref="J242">IFERROR(INDEX('Retirement Calculator'!K:K,MATCH('Lorri 401b'!N242,'Retirement Calculator'!A:A,0),0),0)</f>
        <v>21655.303514578787</v>
      </c>
      <c r="K242" s="444">
        <f t="shared" ca="1" si="2"/>
        <v>12259.06728080016</v>
      </c>
      <c r="L242" s="444">
        <f t="shared" ca="1" si="3"/>
        <v>2954435.2146728383</v>
      </c>
      <c r="M242" s="460">
        <f t="shared" si="6"/>
        <v>0.05</v>
      </c>
      <c r="N242" s="464">
        <f t="shared" si="7"/>
        <v>58410</v>
      </c>
    </row>
    <row r="243" spans="7:14" ht="11.25" customHeight="1" x14ac:dyDescent="0.25">
      <c r="G243" s="459">
        <f t="shared" si="24"/>
        <v>20</v>
      </c>
      <c r="H243" s="459">
        <v>236</v>
      </c>
      <c r="I243" s="444">
        <f t="shared" ca="1" si="5"/>
        <v>2954435.2146728383</v>
      </c>
      <c r="J243" s="444">
        <f t="array" ref="J243">IFERROR(INDEX('Retirement Calculator'!K:K,MATCH('Lorri 401b'!N243,'Retirement Calculator'!A:A,0),0),0)</f>
        <v>21655.303514578787</v>
      </c>
      <c r="K243" s="444">
        <f t="shared" ca="1" si="2"/>
        <v>12219.916296492747</v>
      </c>
      <c r="L243" s="444">
        <f t="shared" ca="1" si="3"/>
        <v>2944999.8274547523</v>
      </c>
      <c r="M243" s="460">
        <f t="shared" si="6"/>
        <v>0.05</v>
      </c>
      <c r="N243" s="464">
        <f t="shared" si="7"/>
        <v>58441</v>
      </c>
    </row>
    <row r="244" spans="7:14" ht="11.25" customHeight="1" x14ac:dyDescent="0.25">
      <c r="G244" s="459">
        <f t="shared" si="24"/>
        <v>20</v>
      </c>
      <c r="H244" s="459">
        <v>237</v>
      </c>
      <c r="I244" s="444">
        <f t="shared" ca="1" si="5"/>
        <v>2944999.8274547523</v>
      </c>
      <c r="J244" s="444">
        <f t="array" ref="J244">IFERROR(INDEX('Retirement Calculator'!K:K,MATCH('Lorri 401b'!N244,'Retirement Calculator'!A:A,0),0),0)</f>
        <v>21655.303514578787</v>
      </c>
      <c r="K244" s="444">
        <f t="shared" ca="1" si="2"/>
        <v>12180.602183084056</v>
      </c>
      <c r="L244" s="444">
        <f t="shared" ca="1" si="3"/>
        <v>2935525.1261232574</v>
      </c>
      <c r="M244" s="460">
        <f t="shared" si="6"/>
        <v>0.05</v>
      </c>
      <c r="N244" s="464">
        <f t="shared" si="7"/>
        <v>58472</v>
      </c>
    </row>
    <row r="245" spans="7:14" ht="11.25" customHeight="1" x14ac:dyDescent="0.25">
      <c r="G245" s="459">
        <f t="shared" si="24"/>
        <v>20</v>
      </c>
      <c r="H245" s="459">
        <v>238</v>
      </c>
      <c r="I245" s="444">
        <f t="shared" ca="1" si="5"/>
        <v>2935525.1261232574</v>
      </c>
      <c r="J245" s="444">
        <f t="array" ref="J245">IFERROR(INDEX('Retirement Calculator'!K:K,MATCH('Lorri 401b'!N245,'Retirement Calculator'!A:A,0),0),0)</f>
        <v>21655.303514578787</v>
      </c>
      <c r="K245" s="444">
        <f t="shared" ca="1" si="2"/>
        <v>12141.124260869494</v>
      </c>
      <c r="L245" s="444">
        <f t="shared" ca="1" si="3"/>
        <v>2926010.9468695479</v>
      </c>
      <c r="M245" s="460">
        <f t="shared" si="6"/>
        <v>0.05</v>
      </c>
      <c r="N245" s="464">
        <f t="shared" si="7"/>
        <v>58501</v>
      </c>
    </row>
    <row r="246" spans="7:14" ht="11.25" customHeight="1" x14ac:dyDescent="0.25">
      <c r="G246" s="459">
        <f t="shared" si="24"/>
        <v>20</v>
      </c>
      <c r="H246" s="459">
        <v>239</v>
      </c>
      <c r="I246" s="444">
        <f t="shared" ca="1" si="5"/>
        <v>2926010.9468695479</v>
      </c>
      <c r="J246" s="444">
        <f t="array" ref="J246">IFERROR(INDEX('Retirement Calculator'!K:K,MATCH('Lorri 401b'!N246,'Retirement Calculator'!A:A,0),0),0)</f>
        <v>21655.303514578787</v>
      </c>
      <c r="K246" s="444">
        <f t="shared" ca="1" si="2"/>
        <v>12101.481847312371</v>
      </c>
      <c r="L246" s="444">
        <f t="shared" ca="1" si="3"/>
        <v>2916457.1252022814</v>
      </c>
      <c r="M246" s="460">
        <f t="shared" si="6"/>
        <v>0.05</v>
      </c>
      <c r="N246" s="464">
        <f t="shared" si="7"/>
        <v>58532</v>
      </c>
    </row>
    <row r="247" spans="7:14" ht="11.25" customHeight="1" x14ac:dyDescent="0.25">
      <c r="G247" s="459">
        <f t="shared" si="24"/>
        <v>20</v>
      </c>
      <c r="H247" s="459">
        <v>240</v>
      </c>
      <c r="I247" s="444">
        <f t="shared" ca="1" si="5"/>
        <v>2916457.1252022814</v>
      </c>
      <c r="J247" s="444">
        <f t="array" ref="J247">IFERROR(INDEX('Retirement Calculator'!K:K,MATCH('Lorri 401b'!N247,'Retirement Calculator'!A:A,0),0),0)</f>
        <v>21655.303514578787</v>
      </c>
      <c r="K247" s="444">
        <f t="shared" ca="1" si="2"/>
        <v>12061.674257032093</v>
      </c>
      <c r="L247" s="444">
        <f t="shared" ca="1" si="3"/>
        <v>2906863.4959447347</v>
      </c>
      <c r="M247" s="460">
        <f t="shared" si="6"/>
        <v>0.05</v>
      </c>
      <c r="N247" s="464">
        <f t="shared" si="7"/>
        <v>58562</v>
      </c>
    </row>
    <row r="248" spans="7:14" ht="11.25" customHeight="1" x14ac:dyDescent="0.25">
      <c r="G248" s="459">
        <f>G247+1</f>
        <v>21</v>
      </c>
      <c r="H248" s="459">
        <v>241</v>
      </c>
      <c r="I248" s="444">
        <f t="shared" ca="1" si="5"/>
        <v>2906863.4959447347</v>
      </c>
      <c r="J248" s="444">
        <f t="array" ref="J248">IFERROR(INDEX('Retirement Calculator'!K:K,MATCH('Lorri 401b'!N248,'Retirement Calculator'!A:A,0),0),0)</f>
        <v>21655.303514578787</v>
      </c>
      <c r="K248" s="444">
        <f t="shared" ca="1" si="2"/>
        <v>12021.700801792316</v>
      </c>
      <c r="L248" s="444">
        <f t="shared" ca="1" si="3"/>
        <v>2897229.8932319479</v>
      </c>
      <c r="M248" s="460">
        <f t="shared" si="6"/>
        <v>0.05</v>
      </c>
      <c r="N248" s="464">
        <f t="shared" si="7"/>
        <v>58593</v>
      </c>
    </row>
    <row r="249" spans="7:14" ht="11.25" customHeight="1" x14ac:dyDescent="0.25">
      <c r="G249" s="459">
        <f t="shared" ref="G249:G259" si="25">G248</f>
        <v>21</v>
      </c>
      <c r="H249" s="459">
        <v>242</v>
      </c>
      <c r="I249" s="444">
        <f t="shared" ca="1" si="5"/>
        <v>2897229.8932319479</v>
      </c>
      <c r="J249" s="444">
        <f t="array" ref="J249">IFERROR(INDEX('Retirement Calculator'!K:K,MATCH('Lorri 401b'!N249,'Retirement Calculator'!A:A,0),0),0)</f>
        <v>21655.303514578787</v>
      </c>
      <c r="K249" s="444">
        <f t="shared" ca="1" si="2"/>
        <v>11981.560790489038</v>
      </c>
      <c r="L249" s="444">
        <f t="shared" ca="1" si="3"/>
        <v>2887556.150507858</v>
      </c>
      <c r="M249" s="460">
        <f t="shared" si="6"/>
        <v>0.05</v>
      </c>
      <c r="N249" s="464">
        <f t="shared" si="7"/>
        <v>58623</v>
      </c>
    </row>
    <row r="250" spans="7:14" ht="11.25" customHeight="1" x14ac:dyDescent="0.25">
      <c r="G250" s="459">
        <f t="shared" si="25"/>
        <v>21</v>
      </c>
      <c r="H250" s="459">
        <v>243</v>
      </c>
      <c r="I250" s="444">
        <f t="shared" ca="1" si="5"/>
        <v>2887556.150507858</v>
      </c>
      <c r="J250" s="444">
        <f t="array" ref="J250">IFERROR(INDEX('Retirement Calculator'!K:K,MATCH('Lorri 401b'!N250,'Retirement Calculator'!A:A,0),0),0)</f>
        <v>21655.303514578787</v>
      </c>
      <c r="K250" s="444">
        <f t="shared" ca="1" si="2"/>
        <v>11941.253529138663</v>
      </c>
      <c r="L250" s="444">
        <f t="shared" ca="1" si="3"/>
        <v>2877842.100522418</v>
      </c>
      <c r="M250" s="460">
        <f t="shared" si="6"/>
        <v>0.05</v>
      </c>
      <c r="N250" s="464">
        <f t="shared" si="7"/>
        <v>58654</v>
      </c>
    </row>
    <row r="251" spans="7:14" ht="11.25" customHeight="1" x14ac:dyDescent="0.25">
      <c r="G251" s="459">
        <f t="shared" si="25"/>
        <v>21</v>
      </c>
      <c r="H251" s="459">
        <v>244</v>
      </c>
      <c r="I251" s="444">
        <f t="shared" ca="1" si="5"/>
        <v>2877842.100522418</v>
      </c>
      <c r="J251" s="444">
        <f t="array" ref="J251">IFERROR(INDEX('Retirement Calculator'!K:K,MATCH('Lorri 401b'!N251,'Retirement Calculator'!A:A,0),0),0)</f>
        <v>21655.303514578787</v>
      </c>
      <c r="K251" s="444">
        <f t="shared" ca="1" si="2"/>
        <v>11900.778320865997</v>
      </c>
      <c r="L251" s="444">
        <f t="shared" ca="1" si="3"/>
        <v>2868087.5753287054</v>
      </c>
      <c r="M251" s="460">
        <f t="shared" si="6"/>
        <v>0.05</v>
      </c>
      <c r="N251" s="464">
        <f t="shared" si="7"/>
        <v>58685</v>
      </c>
    </row>
    <row r="252" spans="7:14" ht="11.25" customHeight="1" x14ac:dyDescent="0.25">
      <c r="G252" s="459">
        <f t="shared" si="25"/>
        <v>21</v>
      </c>
      <c r="H252" s="459">
        <v>245</v>
      </c>
      <c r="I252" s="444">
        <f t="shared" ca="1" si="5"/>
        <v>2868087.5753287054</v>
      </c>
      <c r="J252" s="444">
        <f t="array" ref="J252">IFERROR(INDEX('Retirement Calculator'!K:K,MATCH('Lorri 401b'!N252,'Retirement Calculator'!A:A,0),0),0)</f>
        <v>21655.303514578787</v>
      </c>
      <c r="K252" s="444">
        <f t="shared" ca="1" si="2"/>
        <v>11860.134465892193</v>
      </c>
      <c r="L252" s="444">
        <f t="shared" ca="1" si="3"/>
        <v>2858292.4062800189</v>
      </c>
      <c r="M252" s="460">
        <f t="shared" si="6"/>
        <v>0.05</v>
      </c>
      <c r="N252" s="464">
        <f t="shared" si="7"/>
        <v>58715</v>
      </c>
    </row>
    <row r="253" spans="7:14" ht="11.25" customHeight="1" x14ac:dyDescent="0.25">
      <c r="G253" s="459">
        <f t="shared" si="25"/>
        <v>21</v>
      </c>
      <c r="H253" s="459">
        <v>246</v>
      </c>
      <c r="I253" s="444">
        <f t="shared" ca="1" si="5"/>
        <v>2858292.4062800189</v>
      </c>
      <c r="J253" s="444">
        <f t="array" ref="J253">IFERROR(INDEX('Retirement Calculator'!K:K,MATCH('Lorri 401b'!N253,'Retirement Calculator'!A:A,0),0),0)</f>
        <v>21655.303514578787</v>
      </c>
      <c r="K253" s="444">
        <f t="shared" ca="1" si="2"/>
        <v>11819.321261522666</v>
      </c>
      <c r="L253" s="444">
        <f t="shared" ca="1" si="3"/>
        <v>2848456.4240269628</v>
      </c>
      <c r="M253" s="460">
        <f t="shared" si="6"/>
        <v>0.05</v>
      </c>
      <c r="N253" s="464">
        <f t="shared" si="7"/>
        <v>58746</v>
      </c>
    </row>
    <row r="254" spans="7:14" ht="11.25" customHeight="1" x14ac:dyDescent="0.25">
      <c r="G254" s="459">
        <f t="shared" si="25"/>
        <v>21</v>
      </c>
      <c r="H254" s="459">
        <v>247</v>
      </c>
      <c r="I254" s="444">
        <f t="shared" ca="1" si="5"/>
        <v>2848456.4240269628</v>
      </c>
      <c r="J254" s="444">
        <f t="array" ref="J254">IFERROR(INDEX('Retirement Calculator'!K:K,MATCH('Lorri 401b'!N254,'Retirement Calculator'!A:A,0),0),0)</f>
        <v>21655.303514578787</v>
      </c>
      <c r="K254" s="444">
        <f t="shared" ca="1" si="2"/>
        <v>11778.338002134933</v>
      </c>
      <c r="L254" s="444">
        <f t="shared" ca="1" si="3"/>
        <v>2838579.458514519</v>
      </c>
      <c r="M254" s="460">
        <f t="shared" si="6"/>
        <v>0.05</v>
      </c>
      <c r="N254" s="464">
        <f t="shared" si="7"/>
        <v>58776</v>
      </c>
    </row>
    <row r="255" spans="7:14" ht="11.25" customHeight="1" x14ac:dyDescent="0.25">
      <c r="G255" s="459">
        <f t="shared" si="25"/>
        <v>21</v>
      </c>
      <c r="H255" s="459">
        <v>248</v>
      </c>
      <c r="I255" s="444">
        <f t="shared" ca="1" si="5"/>
        <v>2838579.458514519</v>
      </c>
      <c r="J255" s="444">
        <f t="array" ref="J255">IFERROR(INDEX('Retirement Calculator'!K:K,MATCH('Lorri 401b'!N255,'Retirement Calculator'!A:A,0),0),0)</f>
        <v>21655.303514578787</v>
      </c>
      <c r="K255" s="444">
        <f t="shared" ca="1" si="2"/>
        <v>11737.183979166417</v>
      </c>
      <c r="L255" s="444">
        <f t="shared" ca="1" si="3"/>
        <v>2828661.3389791064</v>
      </c>
      <c r="M255" s="460">
        <f t="shared" si="6"/>
        <v>0.05</v>
      </c>
      <c r="N255" s="464">
        <f t="shared" si="7"/>
        <v>58807</v>
      </c>
    </row>
    <row r="256" spans="7:14" ht="11.25" customHeight="1" x14ac:dyDescent="0.25">
      <c r="G256" s="459">
        <f t="shared" si="25"/>
        <v>21</v>
      </c>
      <c r="H256" s="459">
        <v>249</v>
      </c>
      <c r="I256" s="444">
        <f t="shared" ca="1" si="5"/>
        <v>2828661.3389791064</v>
      </c>
      <c r="J256" s="444">
        <f t="array" ref="J256">IFERROR(INDEX('Retirement Calculator'!K:K,MATCH('Lorri 401b'!N256,'Retirement Calculator'!A:A,0),0),0)</f>
        <v>21655.303514578787</v>
      </c>
      <c r="K256" s="444">
        <f t="shared" ca="1" si="2"/>
        <v>11695.858481102197</v>
      </c>
      <c r="L256" s="444">
        <f t="shared" ca="1" si="3"/>
        <v>2818701.8939456297</v>
      </c>
      <c r="M256" s="460">
        <f t="shared" si="6"/>
        <v>0.05</v>
      </c>
      <c r="N256" s="464">
        <f t="shared" si="7"/>
        <v>58838</v>
      </c>
    </row>
    <row r="257" spans="7:14" ht="11.25" customHeight="1" x14ac:dyDescent="0.25">
      <c r="G257" s="459">
        <f t="shared" si="25"/>
        <v>21</v>
      </c>
      <c r="H257" s="459">
        <v>250</v>
      </c>
      <c r="I257" s="444">
        <f t="shared" ca="1" si="5"/>
        <v>2818701.8939456297</v>
      </c>
      <c r="J257" s="444">
        <f t="array" ref="J257">IFERROR(INDEX('Retirement Calculator'!K:K,MATCH('Lorri 401b'!N257,'Retirement Calculator'!A:A,0),0),0)</f>
        <v>21655.303514578787</v>
      </c>
      <c r="K257" s="444">
        <f t="shared" ca="1" si="2"/>
        <v>11654.360793462713</v>
      </c>
      <c r="L257" s="444">
        <f t="shared" ca="1" si="3"/>
        <v>2808700.9512245134</v>
      </c>
      <c r="M257" s="460">
        <f t="shared" si="6"/>
        <v>0.05</v>
      </c>
      <c r="N257" s="464">
        <f t="shared" si="7"/>
        <v>58866</v>
      </c>
    </row>
    <row r="258" spans="7:14" ht="11.25" customHeight="1" x14ac:dyDescent="0.25">
      <c r="G258" s="459">
        <f t="shared" si="25"/>
        <v>21</v>
      </c>
      <c r="H258" s="459">
        <v>251</v>
      </c>
      <c r="I258" s="444">
        <f t="shared" ca="1" si="5"/>
        <v>2808700.9512245134</v>
      </c>
      <c r="J258" s="444">
        <f t="array" ref="J258">IFERROR(INDEX('Retirement Calculator'!K:K,MATCH('Lorri 401b'!N258,'Retirement Calculator'!A:A,0),0),0)</f>
        <v>21655.303514578787</v>
      </c>
      <c r="K258" s="444">
        <f t="shared" ca="1" si="2"/>
        <v>11612.690198791393</v>
      </c>
      <c r="L258" s="444">
        <f t="shared" ca="1" si="3"/>
        <v>2798658.3379087257</v>
      </c>
      <c r="M258" s="460">
        <f t="shared" si="6"/>
        <v>0.05</v>
      </c>
      <c r="N258" s="464">
        <f t="shared" si="7"/>
        <v>58897</v>
      </c>
    </row>
    <row r="259" spans="7:14" ht="11.25" customHeight="1" x14ac:dyDescent="0.25">
      <c r="G259" s="459">
        <f t="shared" si="25"/>
        <v>21</v>
      </c>
      <c r="H259" s="459">
        <v>252</v>
      </c>
      <c r="I259" s="444">
        <f t="shared" ca="1" si="5"/>
        <v>2798658.3379087257</v>
      </c>
      <c r="J259" s="444">
        <f t="array" ref="J259">IFERROR(INDEX('Retirement Calculator'!K:K,MATCH('Lorri 401b'!N259,'Retirement Calculator'!A:A,0),0),0)</f>
        <v>21655.303514578787</v>
      </c>
      <c r="K259" s="444">
        <f t="shared" ca="1" si="2"/>
        <v>11570.845976642278</v>
      </c>
      <c r="L259" s="444">
        <f t="shared" ca="1" si="3"/>
        <v>2788573.8803707892</v>
      </c>
      <c r="M259" s="460">
        <f t="shared" si="6"/>
        <v>0.05</v>
      </c>
      <c r="N259" s="464">
        <f t="shared" si="7"/>
        <v>58927</v>
      </c>
    </row>
    <row r="260" spans="7:14" ht="11.25" customHeight="1" x14ac:dyDescent="0.25">
      <c r="G260" s="459">
        <f>G259+1</f>
        <v>22</v>
      </c>
      <c r="H260" s="459">
        <v>253</v>
      </c>
      <c r="I260" s="444">
        <f t="shared" ca="1" si="5"/>
        <v>2788573.8803707892</v>
      </c>
      <c r="J260" s="444">
        <f t="array" ref="J260">IFERROR(INDEX('Retirement Calculator'!K:K,MATCH('Lorri 401b'!N260,'Retirement Calculator'!A:A,0),0),0)</f>
        <v>21655.303514578787</v>
      </c>
      <c r="K260" s="444">
        <f t="shared" ca="1" si="2"/>
        <v>11528.827403567542</v>
      </c>
      <c r="L260" s="444">
        <f t="shared" ca="1" si="3"/>
        <v>2778447.4042597781</v>
      </c>
      <c r="M260" s="460">
        <f t="shared" si="6"/>
        <v>0.05</v>
      </c>
      <c r="N260" s="464">
        <f t="shared" si="7"/>
        <v>58958</v>
      </c>
    </row>
    <row r="261" spans="7:14" ht="11.25" customHeight="1" x14ac:dyDescent="0.25">
      <c r="G261" s="459">
        <f t="shared" ref="G261:G271" si="26">G260</f>
        <v>22</v>
      </c>
      <c r="H261" s="459">
        <v>254</v>
      </c>
      <c r="I261" s="444">
        <f t="shared" ca="1" si="5"/>
        <v>2778447.4042597781</v>
      </c>
      <c r="J261" s="444">
        <f t="array" ref="J261">IFERROR(INDEX('Retirement Calculator'!K:K,MATCH('Lorri 401b'!N261,'Retirement Calculator'!A:A,0),0),0)</f>
        <v>21655.303514578787</v>
      </c>
      <c r="K261" s="444">
        <f t="shared" ca="1" si="2"/>
        <v>11486.633753104998</v>
      </c>
      <c r="L261" s="444">
        <f t="shared" ca="1" si="3"/>
        <v>2768278.7344983043</v>
      </c>
      <c r="M261" s="460">
        <f t="shared" si="6"/>
        <v>0.05</v>
      </c>
      <c r="N261" s="464">
        <f t="shared" si="7"/>
        <v>58988</v>
      </c>
    </row>
    <row r="262" spans="7:14" ht="11.25" customHeight="1" x14ac:dyDescent="0.25">
      <c r="G262" s="459">
        <f t="shared" si="26"/>
        <v>22</v>
      </c>
      <c r="H262" s="459">
        <v>255</v>
      </c>
      <c r="I262" s="444">
        <f t="shared" ca="1" si="5"/>
        <v>2768278.7344983043</v>
      </c>
      <c r="J262" s="444">
        <f t="array" ref="J262">IFERROR(INDEX('Retirement Calculator'!K:K,MATCH('Lorri 401b'!N262,'Retirement Calculator'!A:A,0),0),0)</f>
        <v>21655.303514578787</v>
      </c>
      <c r="K262" s="444">
        <f t="shared" ca="1" si="2"/>
        <v>11444.264295765523</v>
      </c>
      <c r="L262" s="444">
        <f t="shared" ca="1" si="3"/>
        <v>2758067.6952794911</v>
      </c>
      <c r="M262" s="460">
        <f t="shared" si="6"/>
        <v>0.05</v>
      </c>
      <c r="N262" s="464">
        <f t="shared" si="7"/>
        <v>59019</v>
      </c>
    </row>
    <row r="263" spans="7:14" ht="11.25" customHeight="1" x14ac:dyDescent="0.25">
      <c r="G263" s="459">
        <f t="shared" si="26"/>
        <v>22</v>
      </c>
      <c r="H263" s="459">
        <v>256</v>
      </c>
      <c r="I263" s="444">
        <f t="shared" ca="1" si="5"/>
        <v>2758067.6952794911</v>
      </c>
      <c r="J263" s="444">
        <f t="array" ref="J263">IFERROR(INDEX('Retirement Calculator'!K:K,MATCH('Lorri 401b'!N263,'Retirement Calculator'!A:A,0),0),0)</f>
        <v>21655.303514578787</v>
      </c>
      <c r="K263" s="444">
        <f t="shared" ref="K263:K517" ca="1" si="27">IPMT(M263/12,1,12,-I263+J263,,0)</f>
        <v>11401.718299020467</v>
      </c>
      <c r="L263" s="444">
        <f t="shared" ref="L263:L517" ca="1" si="28">I263-J263+K263</f>
        <v>2747814.1100639328</v>
      </c>
      <c r="M263" s="460">
        <f t="shared" si="6"/>
        <v>0.05</v>
      </c>
      <c r="N263" s="464">
        <f t="shared" si="7"/>
        <v>59050</v>
      </c>
    </row>
    <row r="264" spans="7:14" ht="11.25" customHeight="1" x14ac:dyDescent="0.25">
      <c r="G264" s="459">
        <f t="shared" si="26"/>
        <v>22</v>
      </c>
      <c r="H264" s="459">
        <v>257</v>
      </c>
      <c r="I264" s="444">
        <f t="shared" ref="I264:I518" ca="1" si="29">L263</f>
        <v>2747814.1100639328</v>
      </c>
      <c r="J264" s="444">
        <f t="array" ref="J264">IFERROR(INDEX('Retirement Calculator'!K:K,MATCH('Lorri 401b'!N264,'Retirement Calculator'!A:A,0),0),0)</f>
        <v>21655.303514578787</v>
      </c>
      <c r="K264" s="444">
        <f t="shared" ca="1" si="27"/>
        <v>11358.995027288975</v>
      </c>
      <c r="L264" s="444">
        <f t="shared" ca="1" si="28"/>
        <v>2737517.8015766428</v>
      </c>
      <c r="M264" s="460">
        <f t="shared" ref="M264:M518" si="30">M263</f>
        <v>0.05</v>
      </c>
      <c r="N264" s="464">
        <f t="shared" ref="N264:N518" si="31">EDATE(N263,1)</f>
        <v>59080</v>
      </c>
    </row>
    <row r="265" spans="7:14" ht="11.25" customHeight="1" x14ac:dyDescent="0.25">
      <c r="G265" s="459">
        <f t="shared" si="26"/>
        <v>22</v>
      </c>
      <c r="H265" s="459">
        <v>258</v>
      </c>
      <c r="I265" s="444">
        <f t="shared" ca="1" si="29"/>
        <v>2737517.8015766428</v>
      </c>
      <c r="J265" s="444">
        <f t="array" ref="J265">IFERROR(INDEX('Retirement Calculator'!K:K,MATCH('Lorri 401b'!N265,'Retirement Calculator'!A:A,0),0),0)</f>
        <v>21655.303514578787</v>
      </c>
      <c r="K265" s="444">
        <f t="shared" ca="1" si="27"/>
        <v>11316.093741925266</v>
      </c>
      <c r="L265" s="444">
        <f t="shared" ca="1" si="28"/>
        <v>2727178.5918039894</v>
      </c>
      <c r="M265" s="460">
        <f t="shared" si="30"/>
        <v>0.05</v>
      </c>
      <c r="N265" s="464">
        <f t="shared" si="31"/>
        <v>59111</v>
      </c>
    </row>
    <row r="266" spans="7:14" ht="11.25" customHeight="1" x14ac:dyDescent="0.25">
      <c r="G266" s="459">
        <f t="shared" si="26"/>
        <v>22</v>
      </c>
      <c r="H266" s="459">
        <v>259</v>
      </c>
      <c r="I266" s="444">
        <f t="shared" ca="1" si="29"/>
        <v>2727178.5918039894</v>
      </c>
      <c r="J266" s="444">
        <f t="array" ref="J266">IFERROR(INDEX('Retirement Calculator'!K:K,MATCH('Lorri 401b'!N266,'Retirement Calculator'!A:A,0),0),0)</f>
        <v>21655.303514578787</v>
      </c>
      <c r="K266" s="444">
        <f t="shared" ca="1" si="27"/>
        <v>11273.013701205877</v>
      </c>
      <c r="L266" s="444">
        <f t="shared" ca="1" si="28"/>
        <v>2716796.3019906166</v>
      </c>
      <c r="M266" s="460">
        <f t="shared" si="30"/>
        <v>0.05</v>
      </c>
      <c r="N266" s="464">
        <f t="shared" si="31"/>
        <v>59141</v>
      </c>
    </row>
    <row r="267" spans="7:14" ht="11.25" customHeight="1" x14ac:dyDescent="0.25">
      <c r="G267" s="459">
        <f t="shared" si="26"/>
        <v>22</v>
      </c>
      <c r="H267" s="459">
        <v>260</v>
      </c>
      <c r="I267" s="444">
        <f t="shared" ca="1" si="29"/>
        <v>2716796.3019906166</v>
      </c>
      <c r="J267" s="444">
        <f t="array" ref="J267">IFERROR(INDEX('Retirement Calculator'!K:K,MATCH('Lorri 401b'!N267,'Retirement Calculator'!A:A,0),0),0)</f>
        <v>21655.303514578787</v>
      </c>
      <c r="K267" s="444">
        <f t="shared" ca="1" si="27"/>
        <v>11229.754160316825</v>
      </c>
      <c r="L267" s="444">
        <f t="shared" ca="1" si="28"/>
        <v>2706370.7526363544</v>
      </c>
      <c r="M267" s="460">
        <f t="shared" si="30"/>
        <v>0.05</v>
      </c>
      <c r="N267" s="464">
        <f t="shared" si="31"/>
        <v>59172</v>
      </c>
    </row>
    <row r="268" spans="7:14" ht="11.25" customHeight="1" x14ac:dyDescent="0.25">
      <c r="G268" s="459">
        <f t="shared" si="26"/>
        <v>22</v>
      </c>
      <c r="H268" s="459">
        <v>261</v>
      </c>
      <c r="I268" s="444">
        <f t="shared" ca="1" si="29"/>
        <v>2706370.7526363544</v>
      </c>
      <c r="J268" s="444">
        <f t="array" ref="J268">IFERROR(INDEX('Retirement Calculator'!K:K,MATCH('Lorri 401b'!N268,'Retirement Calculator'!A:A,0),0),0)</f>
        <v>21655.303514578787</v>
      </c>
      <c r="K268" s="444">
        <f t="shared" ca="1" si="27"/>
        <v>11186.314371340732</v>
      </c>
      <c r="L268" s="444">
        <f t="shared" ca="1" si="28"/>
        <v>2695901.7634931165</v>
      </c>
      <c r="M268" s="460">
        <f t="shared" si="30"/>
        <v>0.05</v>
      </c>
      <c r="N268" s="464">
        <f t="shared" si="31"/>
        <v>59203</v>
      </c>
    </row>
    <row r="269" spans="7:14" ht="11.25" customHeight="1" x14ac:dyDescent="0.25">
      <c r="G269" s="459">
        <f t="shared" si="26"/>
        <v>22</v>
      </c>
      <c r="H269" s="459">
        <v>262</v>
      </c>
      <c r="I269" s="444">
        <f t="shared" ca="1" si="29"/>
        <v>2695901.7634931165</v>
      </c>
      <c r="J269" s="444">
        <f t="array" ref="J269">IFERROR(INDEX('Retirement Calculator'!K:K,MATCH('Lorri 401b'!N269,'Retirement Calculator'!A:A,0),0),0)</f>
        <v>21655.303514578787</v>
      </c>
      <c r="K269" s="444">
        <f t="shared" ca="1" si="27"/>
        <v>11142.693583243907</v>
      </c>
      <c r="L269" s="444">
        <f t="shared" ca="1" si="28"/>
        <v>2685389.1535617816</v>
      </c>
      <c r="M269" s="460">
        <f t="shared" si="30"/>
        <v>0.05</v>
      </c>
      <c r="N269" s="464">
        <f t="shared" si="31"/>
        <v>59231</v>
      </c>
    </row>
    <row r="270" spans="7:14" ht="11.25" customHeight="1" x14ac:dyDescent="0.25">
      <c r="G270" s="459">
        <f t="shared" si="26"/>
        <v>22</v>
      </c>
      <c r="H270" s="459">
        <v>263</v>
      </c>
      <c r="I270" s="444">
        <f t="shared" ca="1" si="29"/>
        <v>2685389.1535617816</v>
      </c>
      <c r="J270" s="444">
        <f t="array" ref="J270">IFERROR(INDEX('Retirement Calculator'!K:K,MATCH('Lorri 401b'!N270,'Retirement Calculator'!A:A,0),0),0)</f>
        <v>21655.303514578787</v>
      </c>
      <c r="K270" s="444">
        <f t="shared" ca="1" si="27"/>
        <v>11098.891041863344</v>
      </c>
      <c r="L270" s="444">
        <f t="shared" ca="1" si="28"/>
        <v>2674832.741089066</v>
      </c>
      <c r="M270" s="460">
        <f t="shared" si="30"/>
        <v>0.05</v>
      </c>
      <c r="N270" s="464">
        <f t="shared" si="31"/>
        <v>59262</v>
      </c>
    </row>
    <row r="271" spans="7:14" ht="11.25" customHeight="1" x14ac:dyDescent="0.25">
      <c r="G271" s="459">
        <f t="shared" si="26"/>
        <v>22</v>
      </c>
      <c r="H271" s="459">
        <v>264</v>
      </c>
      <c r="I271" s="444">
        <f t="shared" ca="1" si="29"/>
        <v>2674832.741089066</v>
      </c>
      <c r="J271" s="444">
        <f t="array" ref="J271">IFERROR(INDEX('Retirement Calculator'!K:K,MATCH('Lorri 401b'!N271,'Retirement Calculator'!A:A,0),0),0)</f>
        <v>21655.303514578787</v>
      </c>
      <c r="K271" s="444">
        <f t="shared" ca="1" si="27"/>
        <v>11054.905989893696</v>
      </c>
      <c r="L271" s="444">
        <f t="shared" ca="1" si="28"/>
        <v>2664232.3435643809</v>
      </c>
      <c r="M271" s="460">
        <f t="shared" si="30"/>
        <v>0.05</v>
      </c>
      <c r="N271" s="464">
        <f t="shared" si="31"/>
        <v>59292</v>
      </c>
    </row>
    <row r="272" spans="7:14" ht="11.25" customHeight="1" x14ac:dyDescent="0.25">
      <c r="G272" s="459">
        <f>G271+1</f>
        <v>23</v>
      </c>
      <c r="H272" s="459">
        <v>265</v>
      </c>
      <c r="I272" s="444">
        <f t="shared" ca="1" si="29"/>
        <v>2664232.3435643809</v>
      </c>
      <c r="J272" s="444">
        <f t="array" ref="J272">IFERROR(INDEX('Retirement Calculator'!K:K,MATCH('Lorri 401b'!N272,'Retirement Calculator'!A:A,0),0),0)</f>
        <v>21655.303514578787</v>
      </c>
      <c r="K272" s="444">
        <f t="shared" ca="1" si="27"/>
        <v>11010.737666874174</v>
      </c>
      <c r="L272" s="444">
        <f t="shared" ca="1" si="28"/>
        <v>2653587.7777166762</v>
      </c>
      <c r="M272" s="460">
        <f t="shared" si="30"/>
        <v>0.05</v>
      </c>
      <c r="N272" s="464">
        <f t="shared" si="31"/>
        <v>59323</v>
      </c>
    </row>
    <row r="273" spans="7:14" ht="11.25" customHeight="1" x14ac:dyDescent="0.25">
      <c r="G273" s="459">
        <f t="shared" ref="G273:G283" si="32">G272</f>
        <v>23</v>
      </c>
      <c r="H273" s="459">
        <v>266</v>
      </c>
      <c r="I273" s="444">
        <f t="shared" ca="1" si="29"/>
        <v>2653587.7777166762</v>
      </c>
      <c r="J273" s="444">
        <f t="array" ref="J273">IFERROR(INDEX('Retirement Calculator'!K:K,MATCH('Lorri 401b'!N273,'Retirement Calculator'!A:A,0),0),0)</f>
        <v>21655.303514578787</v>
      </c>
      <c r="K273" s="444">
        <f t="shared" ca="1" si="27"/>
        <v>10966.385309175406</v>
      </c>
      <c r="L273" s="444">
        <f t="shared" ca="1" si="28"/>
        <v>2642898.859511273</v>
      </c>
      <c r="M273" s="460">
        <f t="shared" si="30"/>
        <v>0.05</v>
      </c>
      <c r="N273" s="464">
        <f t="shared" si="31"/>
        <v>59353</v>
      </c>
    </row>
    <row r="274" spans="7:14" ht="11.25" customHeight="1" x14ac:dyDescent="0.25">
      <c r="G274" s="459">
        <f t="shared" si="32"/>
        <v>23</v>
      </c>
      <c r="H274" s="459">
        <v>267</v>
      </c>
      <c r="I274" s="444">
        <f t="shared" ca="1" si="29"/>
        <v>2642898.859511273</v>
      </c>
      <c r="J274" s="444">
        <f t="array" ref="J274">IFERROR(INDEX('Retirement Calculator'!K:K,MATCH('Lorri 401b'!N274,'Retirement Calculator'!A:A,0),0),0)</f>
        <v>21655.303514578787</v>
      </c>
      <c r="K274" s="444">
        <f t="shared" ca="1" si="27"/>
        <v>10921.848149986225</v>
      </c>
      <c r="L274" s="444">
        <f t="shared" ca="1" si="28"/>
        <v>2632165.4041466801</v>
      </c>
      <c r="M274" s="460">
        <f t="shared" si="30"/>
        <v>0.05</v>
      </c>
      <c r="N274" s="464">
        <f t="shared" si="31"/>
        <v>59384</v>
      </c>
    </row>
    <row r="275" spans="7:14" ht="11.25" customHeight="1" x14ac:dyDescent="0.25">
      <c r="G275" s="459">
        <f t="shared" si="32"/>
        <v>23</v>
      </c>
      <c r="H275" s="459">
        <v>268</v>
      </c>
      <c r="I275" s="444">
        <f t="shared" ca="1" si="29"/>
        <v>2632165.4041466801</v>
      </c>
      <c r="J275" s="444">
        <f t="array" ref="J275">IFERROR(INDEX('Retirement Calculator'!K:K,MATCH('Lorri 401b'!N275,'Retirement Calculator'!A:A,0),0),0)</f>
        <v>21655.303514578787</v>
      </c>
      <c r="K275" s="444">
        <f t="shared" ca="1" si="27"/>
        <v>10877.125419300422</v>
      </c>
      <c r="L275" s="444">
        <f t="shared" ca="1" si="28"/>
        <v>2621387.2260514018</v>
      </c>
      <c r="M275" s="460">
        <f t="shared" si="30"/>
        <v>0.05</v>
      </c>
      <c r="N275" s="464">
        <f t="shared" si="31"/>
        <v>59415</v>
      </c>
    </row>
    <row r="276" spans="7:14" ht="11.25" customHeight="1" x14ac:dyDescent="0.25">
      <c r="G276" s="459">
        <f t="shared" si="32"/>
        <v>23</v>
      </c>
      <c r="H276" s="459">
        <v>269</v>
      </c>
      <c r="I276" s="444">
        <f t="shared" ca="1" si="29"/>
        <v>2621387.2260514018</v>
      </c>
      <c r="J276" s="444">
        <f t="array" ref="J276">IFERROR(INDEX('Retirement Calculator'!K:K,MATCH('Lorri 401b'!N276,'Retirement Calculator'!A:A,0),0),0)</f>
        <v>21655.303514578787</v>
      </c>
      <c r="K276" s="444">
        <f t="shared" ca="1" si="27"/>
        <v>10832.216343903428</v>
      </c>
      <c r="L276" s="444">
        <f t="shared" ca="1" si="28"/>
        <v>2610564.1388807264</v>
      </c>
      <c r="M276" s="460">
        <f t="shared" si="30"/>
        <v>0.05</v>
      </c>
      <c r="N276" s="464">
        <f t="shared" si="31"/>
        <v>59445</v>
      </c>
    </row>
    <row r="277" spans="7:14" ht="11.25" customHeight="1" x14ac:dyDescent="0.25">
      <c r="G277" s="459">
        <f t="shared" si="32"/>
        <v>23</v>
      </c>
      <c r="H277" s="459">
        <v>270</v>
      </c>
      <c r="I277" s="444">
        <f t="shared" ca="1" si="29"/>
        <v>2610564.1388807264</v>
      </c>
      <c r="J277" s="444">
        <f t="array" ref="J277">IFERROR(INDEX('Retirement Calculator'!K:K,MATCH('Lorri 401b'!N277,'Retirement Calculator'!A:A,0),0),0)</f>
        <v>21655.303514578787</v>
      </c>
      <c r="K277" s="444">
        <f t="shared" ca="1" si="27"/>
        <v>10787.120147358948</v>
      </c>
      <c r="L277" s="444">
        <f t="shared" ca="1" si="28"/>
        <v>2599695.9555135067</v>
      </c>
      <c r="M277" s="460">
        <f t="shared" si="30"/>
        <v>0.05</v>
      </c>
      <c r="N277" s="464">
        <f t="shared" si="31"/>
        <v>59476</v>
      </c>
    </row>
    <row r="278" spans="7:14" ht="11.25" customHeight="1" x14ac:dyDescent="0.25">
      <c r="G278" s="459">
        <f t="shared" si="32"/>
        <v>23</v>
      </c>
      <c r="H278" s="459">
        <v>271</v>
      </c>
      <c r="I278" s="444">
        <f t="shared" ca="1" si="29"/>
        <v>2599695.9555135067</v>
      </c>
      <c r="J278" s="444">
        <f t="array" ref="J278">IFERROR(INDEX('Retirement Calculator'!K:K,MATCH('Lorri 401b'!N278,'Retirement Calculator'!A:A,0),0),0)</f>
        <v>21655.303514578787</v>
      </c>
      <c r="K278" s="444">
        <f t="shared" ca="1" si="27"/>
        <v>10741.836049995532</v>
      </c>
      <c r="L278" s="444">
        <f t="shared" ca="1" si="28"/>
        <v>2588782.4880489232</v>
      </c>
      <c r="M278" s="460">
        <f t="shared" si="30"/>
        <v>0.05</v>
      </c>
      <c r="N278" s="464">
        <f t="shared" si="31"/>
        <v>59506</v>
      </c>
    </row>
    <row r="279" spans="7:14" ht="11.25" customHeight="1" x14ac:dyDescent="0.25">
      <c r="G279" s="459">
        <f t="shared" si="32"/>
        <v>23</v>
      </c>
      <c r="H279" s="459">
        <v>272</v>
      </c>
      <c r="I279" s="444">
        <f t="shared" ca="1" si="29"/>
        <v>2588782.4880489232</v>
      </c>
      <c r="J279" s="444">
        <f t="array" ref="J279">IFERROR(INDEX('Retirement Calculator'!K:K,MATCH('Lorri 401b'!N279,'Retirement Calculator'!A:A,0),0),0)</f>
        <v>21655.303514578787</v>
      </c>
      <c r="K279" s="444">
        <f t="shared" ca="1" si="27"/>
        <v>10696.363268893101</v>
      </c>
      <c r="L279" s="444">
        <f t="shared" ca="1" si="28"/>
        <v>2577823.5478032376</v>
      </c>
      <c r="M279" s="460">
        <f t="shared" si="30"/>
        <v>0.05</v>
      </c>
      <c r="N279" s="464">
        <f t="shared" si="31"/>
        <v>59537</v>
      </c>
    </row>
    <row r="280" spans="7:14" ht="11.25" customHeight="1" x14ac:dyDescent="0.25">
      <c r="G280" s="459">
        <f t="shared" si="32"/>
        <v>23</v>
      </c>
      <c r="H280" s="459">
        <v>273</v>
      </c>
      <c r="I280" s="444">
        <f t="shared" ca="1" si="29"/>
        <v>2577823.5478032376</v>
      </c>
      <c r="J280" s="444">
        <f t="array" ref="J280">IFERROR(INDEX('Retirement Calculator'!K:K,MATCH('Lorri 401b'!N280,'Retirement Calculator'!A:A,0),0),0)</f>
        <v>21655.303514578787</v>
      </c>
      <c r="K280" s="444">
        <f t="shared" ca="1" si="27"/>
        <v>10650.701017869411</v>
      </c>
      <c r="L280" s="444">
        <f t="shared" ca="1" si="28"/>
        <v>2566818.9453065284</v>
      </c>
      <c r="M280" s="460">
        <f t="shared" si="30"/>
        <v>0.05</v>
      </c>
      <c r="N280" s="464">
        <f t="shared" si="31"/>
        <v>59568</v>
      </c>
    </row>
    <row r="281" spans="7:14" ht="11.25" customHeight="1" x14ac:dyDescent="0.25">
      <c r="G281" s="459">
        <f t="shared" si="32"/>
        <v>23</v>
      </c>
      <c r="H281" s="459">
        <v>274</v>
      </c>
      <c r="I281" s="444">
        <f t="shared" ca="1" si="29"/>
        <v>2566818.9453065284</v>
      </c>
      <c r="J281" s="444">
        <f t="array" ref="J281">IFERROR(INDEX('Retirement Calculator'!K:K,MATCH('Lorri 401b'!N281,'Retirement Calculator'!A:A,0),0),0)</f>
        <v>21655.303514578787</v>
      </c>
      <c r="K281" s="444">
        <f t="shared" ca="1" si="27"/>
        <v>10604.848507466457</v>
      </c>
      <c r="L281" s="444">
        <f t="shared" ca="1" si="28"/>
        <v>2555768.4902994158</v>
      </c>
      <c r="M281" s="460">
        <f t="shared" si="30"/>
        <v>0.05</v>
      </c>
      <c r="N281" s="464">
        <f t="shared" si="31"/>
        <v>59596</v>
      </c>
    </row>
    <row r="282" spans="7:14" ht="11.25" customHeight="1" x14ac:dyDescent="0.25">
      <c r="G282" s="459">
        <f t="shared" si="32"/>
        <v>23</v>
      </c>
      <c r="H282" s="459">
        <v>275</v>
      </c>
      <c r="I282" s="444">
        <f t="shared" ca="1" si="29"/>
        <v>2555768.4902994158</v>
      </c>
      <c r="J282" s="444">
        <f t="array" ref="J282">IFERROR(INDEX('Retirement Calculator'!K:K,MATCH('Lorri 401b'!N282,'Retirement Calculator'!A:A,0),0),0)</f>
        <v>21655.303514578787</v>
      </c>
      <c r="K282" s="444">
        <f t="shared" ca="1" si="27"/>
        <v>10558.804944936821</v>
      </c>
      <c r="L282" s="444">
        <f t="shared" ca="1" si="28"/>
        <v>2544671.9917297736</v>
      </c>
      <c r="M282" s="460">
        <f t="shared" si="30"/>
        <v>0.05</v>
      </c>
      <c r="N282" s="464">
        <f t="shared" si="31"/>
        <v>59627</v>
      </c>
    </row>
    <row r="283" spans="7:14" ht="11.25" customHeight="1" x14ac:dyDescent="0.25">
      <c r="G283" s="459">
        <f t="shared" si="32"/>
        <v>23</v>
      </c>
      <c r="H283" s="459">
        <v>276</v>
      </c>
      <c r="I283" s="444">
        <f t="shared" ca="1" si="29"/>
        <v>2544671.9917297736</v>
      </c>
      <c r="J283" s="444">
        <f t="array" ref="J283">IFERROR(INDEX('Retirement Calculator'!K:K,MATCH('Lorri 401b'!N283,'Retirement Calculator'!A:A,0),0),0)</f>
        <v>21655.303514578787</v>
      </c>
      <c r="K283" s="444">
        <f t="shared" ca="1" si="27"/>
        <v>10512.569534229979</v>
      </c>
      <c r="L283" s="444">
        <f t="shared" ca="1" si="28"/>
        <v>2533529.2577494248</v>
      </c>
      <c r="M283" s="460">
        <f t="shared" si="30"/>
        <v>0.05</v>
      </c>
      <c r="N283" s="464">
        <f t="shared" si="31"/>
        <v>59657</v>
      </c>
    </row>
    <row r="284" spans="7:14" ht="11.25" customHeight="1" x14ac:dyDescent="0.25">
      <c r="G284" s="459">
        <f>G283+1</f>
        <v>24</v>
      </c>
      <c r="H284" s="459">
        <v>277</v>
      </c>
      <c r="I284" s="444">
        <f t="shared" ca="1" si="29"/>
        <v>2533529.2577494248</v>
      </c>
      <c r="J284" s="444">
        <f t="array" ref="J284">IFERROR(INDEX('Retirement Calculator'!K:K,MATCH('Lorri 401b'!N284,'Retirement Calculator'!A:A,0),0),0)</f>
        <v>21655.303514578787</v>
      </c>
      <c r="K284" s="444">
        <f t="shared" ca="1" si="27"/>
        <v>10466.141475978524</v>
      </c>
      <c r="L284" s="444">
        <f t="shared" ca="1" si="28"/>
        <v>2522340.0957108242</v>
      </c>
      <c r="M284" s="460">
        <f t="shared" si="30"/>
        <v>0.05</v>
      </c>
      <c r="N284" s="464">
        <f t="shared" si="31"/>
        <v>59688</v>
      </c>
    </row>
    <row r="285" spans="7:14" ht="11.25" customHeight="1" x14ac:dyDescent="0.25">
      <c r="G285" s="459">
        <f t="shared" ref="G285:G295" si="33">G284</f>
        <v>24</v>
      </c>
      <c r="H285" s="459">
        <v>278</v>
      </c>
      <c r="I285" s="444">
        <f t="shared" ca="1" si="29"/>
        <v>2522340.0957108242</v>
      </c>
      <c r="J285" s="444">
        <f t="array" ref="J285">IFERROR(INDEX('Retirement Calculator'!K:K,MATCH('Lorri 401b'!N285,'Retirement Calculator'!A:A,0),0),0)</f>
        <v>21655.303514578787</v>
      </c>
      <c r="K285" s="444">
        <f t="shared" ca="1" si="27"/>
        <v>10419.519967484355</v>
      </c>
      <c r="L285" s="444">
        <f t="shared" ca="1" si="28"/>
        <v>2511104.3121637297</v>
      </c>
      <c r="M285" s="460">
        <f t="shared" si="30"/>
        <v>0.05</v>
      </c>
      <c r="N285" s="464">
        <f t="shared" si="31"/>
        <v>59718</v>
      </c>
    </row>
    <row r="286" spans="7:14" ht="11.25" customHeight="1" x14ac:dyDescent="0.25">
      <c r="G286" s="459">
        <f t="shared" si="33"/>
        <v>24</v>
      </c>
      <c r="H286" s="459">
        <v>279</v>
      </c>
      <c r="I286" s="444">
        <f t="shared" ca="1" si="29"/>
        <v>2511104.3121637297</v>
      </c>
      <c r="J286" s="444">
        <f t="array" ref="J286">IFERROR(INDEX('Retirement Calculator'!K:K,MATCH('Lorri 401b'!N286,'Retirement Calculator'!A:A,0),0),0)</f>
        <v>21655.303514578787</v>
      </c>
      <c r="K286" s="444">
        <f t="shared" ca="1" si="27"/>
        <v>10372.704202704796</v>
      </c>
      <c r="L286" s="444">
        <f t="shared" ca="1" si="28"/>
        <v>2499821.7128518554</v>
      </c>
      <c r="M286" s="460">
        <f t="shared" si="30"/>
        <v>0.05</v>
      </c>
      <c r="N286" s="464">
        <f t="shared" si="31"/>
        <v>59749</v>
      </c>
    </row>
    <row r="287" spans="7:14" ht="11.25" customHeight="1" x14ac:dyDescent="0.25">
      <c r="G287" s="459">
        <f t="shared" si="33"/>
        <v>24</v>
      </c>
      <c r="H287" s="459">
        <v>280</v>
      </c>
      <c r="I287" s="444">
        <f t="shared" ca="1" si="29"/>
        <v>2499821.7128518554</v>
      </c>
      <c r="J287" s="444">
        <f t="array" ref="J287">IFERROR(INDEX('Retirement Calculator'!K:K,MATCH('Lorri 401b'!N287,'Retirement Calculator'!A:A,0),0),0)</f>
        <v>21655.303514578787</v>
      </c>
      <c r="K287" s="444">
        <f t="shared" ca="1" si="27"/>
        <v>10325.693372238653</v>
      </c>
      <c r="L287" s="444">
        <f t="shared" ca="1" si="28"/>
        <v>2488492.102709515</v>
      </c>
      <c r="M287" s="460">
        <f t="shared" si="30"/>
        <v>0.05</v>
      </c>
      <c r="N287" s="464">
        <f t="shared" si="31"/>
        <v>59780</v>
      </c>
    </row>
    <row r="288" spans="7:14" ht="11.25" customHeight="1" x14ac:dyDescent="0.25">
      <c r="G288" s="459">
        <f t="shared" si="33"/>
        <v>24</v>
      </c>
      <c r="H288" s="459">
        <v>281</v>
      </c>
      <c r="I288" s="444">
        <f t="shared" ca="1" si="29"/>
        <v>2488492.102709515</v>
      </c>
      <c r="J288" s="444">
        <f t="array" ref="J288">IFERROR(INDEX('Retirement Calculator'!K:K,MATCH('Lorri 401b'!N288,'Retirement Calculator'!A:A,0),0),0)</f>
        <v>21655.303514578787</v>
      </c>
      <c r="K288" s="444">
        <f t="shared" ca="1" si="27"/>
        <v>10278.486663312235</v>
      </c>
      <c r="L288" s="444">
        <f t="shared" ca="1" si="28"/>
        <v>2477115.2858582484</v>
      </c>
      <c r="M288" s="460">
        <f t="shared" si="30"/>
        <v>0.05</v>
      </c>
      <c r="N288" s="464">
        <f t="shared" si="31"/>
        <v>59810</v>
      </c>
    </row>
    <row r="289" spans="7:14" ht="11.25" customHeight="1" x14ac:dyDescent="0.25">
      <c r="G289" s="459">
        <f t="shared" si="33"/>
        <v>24</v>
      </c>
      <c r="H289" s="459">
        <v>282</v>
      </c>
      <c r="I289" s="444">
        <f t="shared" ca="1" si="29"/>
        <v>2477115.2858582484</v>
      </c>
      <c r="J289" s="444">
        <f t="array" ref="J289">IFERROR(INDEX('Retirement Calculator'!K:K,MATCH('Lorri 401b'!N289,'Retirement Calculator'!A:A,0),0),0)</f>
        <v>21655.303514578787</v>
      </c>
      <c r="K289" s="444">
        <f t="shared" ca="1" si="27"/>
        <v>10231.08325976529</v>
      </c>
      <c r="L289" s="444">
        <f t="shared" ca="1" si="28"/>
        <v>2465691.0656034346</v>
      </c>
      <c r="M289" s="460">
        <f t="shared" si="30"/>
        <v>0.05</v>
      </c>
      <c r="N289" s="464">
        <f t="shared" si="31"/>
        <v>59841</v>
      </c>
    </row>
    <row r="290" spans="7:14" ht="11.25" customHeight="1" x14ac:dyDescent="0.25">
      <c r="G290" s="459">
        <f t="shared" si="33"/>
        <v>24</v>
      </c>
      <c r="H290" s="459">
        <v>283</v>
      </c>
      <c r="I290" s="444">
        <f t="shared" ca="1" si="29"/>
        <v>2465691.0656034346</v>
      </c>
      <c r="J290" s="444">
        <f t="array" ref="J290">IFERROR(INDEX('Retirement Calculator'!K:K,MATCH('Lorri 401b'!N290,'Retirement Calculator'!A:A,0),0),0)</f>
        <v>21655.303514578787</v>
      </c>
      <c r="K290" s="444">
        <f t="shared" ca="1" si="27"/>
        <v>10183.482342036899</v>
      </c>
      <c r="L290" s="444">
        <f t="shared" ca="1" si="28"/>
        <v>2454219.2444308926</v>
      </c>
      <c r="M290" s="460">
        <f t="shared" si="30"/>
        <v>0.05</v>
      </c>
      <c r="N290" s="464">
        <f t="shared" si="31"/>
        <v>59871</v>
      </c>
    </row>
    <row r="291" spans="7:14" ht="11.25" customHeight="1" x14ac:dyDescent="0.25">
      <c r="G291" s="459">
        <f t="shared" si="33"/>
        <v>24</v>
      </c>
      <c r="H291" s="459">
        <v>284</v>
      </c>
      <c r="I291" s="444">
        <f t="shared" ca="1" si="29"/>
        <v>2454219.2444308926</v>
      </c>
      <c r="J291" s="444">
        <f t="array" ref="J291">IFERROR(INDEX('Retirement Calculator'!K:K,MATCH('Lorri 401b'!N291,'Retirement Calculator'!A:A,0),0),0)</f>
        <v>21655.303514578787</v>
      </c>
      <c r="K291" s="444">
        <f t="shared" ca="1" si="27"/>
        <v>10135.683087151307</v>
      </c>
      <c r="L291" s="444">
        <f t="shared" ca="1" si="28"/>
        <v>2442699.6240034653</v>
      </c>
      <c r="M291" s="460">
        <f t="shared" si="30"/>
        <v>0.05</v>
      </c>
      <c r="N291" s="464">
        <f t="shared" si="31"/>
        <v>59902</v>
      </c>
    </row>
    <row r="292" spans="7:14" ht="11.25" customHeight="1" x14ac:dyDescent="0.25">
      <c r="G292" s="459">
        <f t="shared" si="33"/>
        <v>24</v>
      </c>
      <c r="H292" s="459">
        <v>285</v>
      </c>
      <c r="I292" s="444">
        <f t="shared" ca="1" si="29"/>
        <v>2442699.6240034653</v>
      </c>
      <c r="J292" s="444">
        <f t="array" ref="J292">IFERROR(INDEX('Retirement Calculator'!K:K,MATCH('Lorri 401b'!N292,'Retirement Calculator'!A:A,0),0),0)</f>
        <v>21655.303514578787</v>
      </c>
      <c r="K292" s="444">
        <f t="shared" ca="1" si="27"/>
        <v>10087.684668703694</v>
      </c>
      <c r="L292" s="444">
        <f t="shared" ca="1" si="28"/>
        <v>2431132.0051575899</v>
      </c>
      <c r="M292" s="460">
        <f t="shared" si="30"/>
        <v>0.05</v>
      </c>
      <c r="N292" s="464">
        <f t="shared" si="31"/>
        <v>59933</v>
      </c>
    </row>
    <row r="293" spans="7:14" ht="11.25" customHeight="1" x14ac:dyDescent="0.25">
      <c r="G293" s="459">
        <f t="shared" si="33"/>
        <v>24</v>
      </c>
      <c r="H293" s="459">
        <v>286</v>
      </c>
      <c r="I293" s="444">
        <f t="shared" ca="1" si="29"/>
        <v>2431132.0051575899</v>
      </c>
      <c r="J293" s="444">
        <f t="array" ref="J293">IFERROR(INDEX('Retirement Calculator'!K:K,MATCH('Lorri 401b'!N293,'Retirement Calculator'!A:A,0),0),0)</f>
        <v>21655.303514578787</v>
      </c>
      <c r="K293" s="444">
        <f t="shared" ca="1" si="27"/>
        <v>10039.486256845879</v>
      </c>
      <c r="L293" s="444">
        <f t="shared" ca="1" si="28"/>
        <v>2419516.1878998568</v>
      </c>
      <c r="M293" s="460">
        <f t="shared" si="30"/>
        <v>0.05</v>
      </c>
      <c r="N293" s="464">
        <f t="shared" si="31"/>
        <v>59962</v>
      </c>
    </row>
    <row r="294" spans="7:14" ht="11.25" customHeight="1" x14ac:dyDescent="0.25">
      <c r="G294" s="459">
        <f t="shared" si="33"/>
        <v>24</v>
      </c>
      <c r="H294" s="459">
        <v>287</v>
      </c>
      <c r="I294" s="444">
        <f t="shared" ca="1" si="29"/>
        <v>2419516.1878998568</v>
      </c>
      <c r="J294" s="444">
        <f t="array" ref="J294">IFERROR(INDEX('Retirement Calculator'!K:K,MATCH('Lorri 401b'!N294,'Retirement Calculator'!A:A,0),0),0)</f>
        <v>21655.303514578787</v>
      </c>
      <c r="K294" s="444">
        <f t="shared" ca="1" si="27"/>
        <v>9991.0870182719918</v>
      </c>
      <c r="L294" s="444">
        <f t="shared" ca="1" si="28"/>
        <v>2407851.9714035499</v>
      </c>
      <c r="M294" s="460">
        <f t="shared" si="30"/>
        <v>0.05</v>
      </c>
      <c r="N294" s="464">
        <f t="shared" si="31"/>
        <v>59993</v>
      </c>
    </row>
    <row r="295" spans="7:14" ht="11.25" customHeight="1" x14ac:dyDescent="0.25">
      <c r="G295" s="459">
        <f t="shared" si="33"/>
        <v>24</v>
      </c>
      <c r="H295" s="459">
        <v>288</v>
      </c>
      <c r="I295" s="444">
        <f t="shared" ca="1" si="29"/>
        <v>2407851.9714035499</v>
      </c>
      <c r="J295" s="444">
        <f t="array" ref="J295">IFERROR(INDEX('Retirement Calculator'!K:K,MATCH('Lorri 401b'!N295,'Retirement Calculator'!A:A,0),0),0)</f>
        <v>21655.303514578787</v>
      </c>
      <c r="K295" s="444">
        <f t="shared" ca="1" si="27"/>
        <v>9942.4861162040452</v>
      </c>
      <c r="L295" s="444">
        <f t="shared" ca="1" si="28"/>
        <v>2396139.154005175</v>
      </c>
      <c r="M295" s="460">
        <f t="shared" si="30"/>
        <v>0.05</v>
      </c>
      <c r="N295" s="464">
        <f t="shared" si="31"/>
        <v>60023</v>
      </c>
    </row>
    <row r="296" spans="7:14" ht="11.25" customHeight="1" x14ac:dyDescent="0.25">
      <c r="G296" s="459">
        <f>G295+1</f>
        <v>25</v>
      </c>
      <c r="H296" s="459">
        <v>289</v>
      </c>
      <c r="I296" s="444">
        <f t="shared" ca="1" si="29"/>
        <v>2396139.154005175</v>
      </c>
      <c r="J296" s="444">
        <f t="array" ref="J296">IFERROR(INDEX('Retirement Calculator'!K:K,MATCH('Lorri 401b'!N296,'Retirement Calculator'!A:A,0),0),0)</f>
        <v>21655.303514578787</v>
      </c>
      <c r="K296" s="444">
        <f t="shared" ca="1" si="27"/>
        <v>9893.6827103774831</v>
      </c>
      <c r="L296" s="444">
        <f t="shared" ca="1" si="28"/>
        <v>2384377.5332009736</v>
      </c>
      <c r="M296" s="460">
        <f t="shared" si="30"/>
        <v>0.05</v>
      </c>
      <c r="N296" s="464">
        <f t="shared" si="31"/>
        <v>60054</v>
      </c>
    </row>
    <row r="297" spans="7:14" ht="11.25" customHeight="1" x14ac:dyDescent="0.25">
      <c r="G297" s="459">
        <f t="shared" ref="G297:G307" si="34">G296</f>
        <v>25</v>
      </c>
      <c r="H297" s="459">
        <v>290</v>
      </c>
      <c r="I297" s="444">
        <f t="shared" ca="1" si="29"/>
        <v>2384377.5332009736</v>
      </c>
      <c r="J297" s="444">
        <f t="array" ref="J297">IFERROR(INDEX('Retirement Calculator'!K:K,MATCH('Lorri 401b'!N297,'Retirement Calculator'!A:A,0),0),0)</f>
        <v>21655.303514578787</v>
      </c>
      <c r="K297" s="444">
        <f t="shared" ca="1" si="27"/>
        <v>9844.675957026644</v>
      </c>
      <c r="L297" s="444">
        <f t="shared" ca="1" si="28"/>
        <v>2372566.9056434212</v>
      </c>
      <c r="M297" s="460">
        <f t="shared" si="30"/>
        <v>0.05</v>
      </c>
      <c r="N297" s="464">
        <f t="shared" si="31"/>
        <v>60084</v>
      </c>
    </row>
    <row r="298" spans="7:14" ht="11.25" customHeight="1" x14ac:dyDescent="0.25">
      <c r="G298" s="459">
        <f t="shared" si="34"/>
        <v>25</v>
      </c>
      <c r="H298" s="459">
        <v>291</v>
      </c>
      <c r="I298" s="444">
        <f t="shared" ca="1" si="29"/>
        <v>2372566.9056434212</v>
      </c>
      <c r="J298" s="444">
        <f t="array" ref="J298">IFERROR(INDEX('Retirement Calculator'!K:K,MATCH('Lorri 401b'!N298,'Retirement Calculator'!A:A,0),0),0)</f>
        <v>21655.303514578787</v>
      </c>
      <c r="K298" s="444">
        <f t="shared" ca="1" si="27"/>
        <v>9795.4650088701765</v>
      </c>
      <c r="L298" s="444">
        <f t="shared" ca="1" si="28"/>
        <v>2360707.0671377126</v>
      </c>
      <c r="M298" s="460">
        <f t="shared" si="30"/>
        <v>0.05</v>
      </c>
      <c r="N298" s="464">
        <f t="shared" si="31"/>
        <v>60115</v>
      </c>
    </row>
    <row r="299" spans="7:14" ht="11.25" customHeight="1" x14ac:dyDescent="0.25">
      <c r="G299" s="459">
        <f t="shared" si="34"/>
        <v>25</v>
      </c>
      <c r="H299" s="459">
        <v>292</v>
      </c>
      <c r="I299" s="444">
        <f t="shared" ca="1" si="29"/>
        <v>2360707.0671377126</v>
      </c>
      <c r="J299" s="444">
        <f t="array" ref="J299">IFERROR(INDEX('Retirement Calculator'!K:K,MATCH('Lorri 401b'!N299,'Retirement Calculator'!A:A,0),0),0)</f>
        <v>21655.303514578787</v>
      </c>
      <c r="K299" s="444">
        <f t="shared" ca="1" si="27"/>
        <v>9746.0490150963906</v>
      </c>
      <c r="L299" s="444">
        <f t="shared" ca="1" si="28"/>
        <v>2348797.8126382302</v>
      </c>
      <c r="M299" s="460">
        <f t="shared" si="30"/>
        <v>0.05</v>
      </c>
      <c r="N299" s="464">
        <f t="shared" si="31"/>
        <v>60146</v>
      </c>
    </row>
    <row r="300" spans="7:14" ht="11.25" customHeight="1" x14ac:dyDescent="0.25">
      <c r="G300" s="459">
        <f t="shared" si="34"/>
        <v>25</v>
      </c>
      <c r="H300" s="459">
        <v>293</v>
      </c>
      <c r="I300" s="444">
        <f t="shared" ca="1" si="29"/>
        <v>2348797.8126382302</v>
      </c>
      <c r="J300" s="444">
        <f t="array" ref="J300">IFERROR(INDEX('Retirement Calculator'!K:K,MATCH('Lorri 401b'!N300,'Retirement Calculator'!A:A,0),0),0)</f>
        <v>21655.303514578787</v>
      </c>
      <c r="K300" s="444">
        <f t="shared" ca="1" si="27"/>
        <v>9696.4271213485463</v>
      </c>
      <c r="L300" s="444">
        <f t="shared" ca="1" si="28"/>
        <v>2336838.936245</v>
      </c>
      <c r="M300" s="460">
        <f t="shared" si="30"/>
        <v>0.05</v>
      </c>
      <c r="N300" s="464">
        <f t="shared" si="31"/>
        <v>60176</v>
      </c>
    </row>
    <row r="301" spans="7:14" ht="11.25" customHeight="1" x14ac:dyDescent="0.25">
      <c r="G301" s="459">
        <f t="shared" si="34"/>
        <v>25</v>
      </c>
      <c r="H301" s="459">
        <v>294</v>
      </c>
      <c r="I301" s="444">
        <f t="shared" ca="1" si="29"/>
        <v>2336838.936245</v>
      </c>
      <c r="J301" s="444">
        <f t="array" ref="J301">IFERROR(INDEX('Retirement Calculator'!K:K,MATCH('Lorri 401b'!N301,'Retirement Calculator'!A:A,0),0),0)</f>
        <v>21655.303514578787</v>
      </c>
      <c r="K301" s="444">
        <f t="shared" ca="1" si="27"/>
        <v>9646.5984697100885</v>
      </c>
      <c r="L301" s="444">
        <f t="shared" ca="1" si="28"/>
        <v>2324830.2312001311</v>
      </c>
      <c r="M301" s="460">
        <f t="shared" si="30"/>
        <v>0.05</v>
      </c>
      <c r="N301" s="464">
        <f t="shared" si="31"/>
        <v>60207</v>
      </c>
    </row>
    <row r="302" spans="7:14" ht="11.25" customHeight="1" x14ac:dyDescent="0.25">
      <c r="G302" s="459">
        <f t="shared" si="34"/>
        <v>25</v>
      </c>
      <c r="H302" s="459">
        <v>295</v>
      </c>
      <c r="I302" s="444">
        <f t="shared" ca="1" si="29"/>
        <v>2324830.2312001311</v>
      </c>
      <c r="J302" s="444">
        <f t="array" ref="J302">IFERROR(INDEX('Retirement Calculator'!K:K,MATCH('Lorri 401b'!N302,'Retirement Calculator'!A:A,0),0),0)</f>
        <v>21655.303514578787</v>
      </c>
      <c r="K302" s="444">
        <f t="shared" ca="1" si="27"/>
        <v>9596.5621986898004</v>
      </c>
      <c r="L302" s="444">
        <f t="shared" ca="1" si="28"/>
        <v>2312771.4898842419</v>
      </c>
      <c r="M302" s="460">
        <f t="shared" si="30"/>
        <v>0.05</v>
      </c>
      <c r="N302" s="464">
        <f t="shared" si="31"/>
        <v>60237</v>
      </c>
    </row>
    <row r="303" spans="7:14" ht="11.25" customHeight="1" x14ac:dyDescent="0.25">
      <c r="G303" s="459">
        <f t="shared" si="34"/>
        <v>25</v>
      </c>
      <c r="H303" s="459">
        <v>296</v>
      </c>
      <c r="I303" s="444">
        <f t="shared" ca="1" si="29"/>
        <v>2312771.4898842419</v>
      </c>
      <c r="J303" s="444">
        <f t="array" ref="J303">IFERROR(INDEX('Retirement Calculator'!K:K,MATCH('Lorri 401b'!N303,'Retirement Calculator'!A:A,0),0),0)</f>
        <v>21655.303514578787</v>
      </c>
      <c r="K303" s="444">
        <f t="shared" ca="1" si="27"/>
        <v>9546.31744320693</v>
      </c>
      <c r="L303" s="444">
        <f t="shared" ca="1" si="28"/>
        <v>2300662.50381287</v>
      </c>
      <c r="M303" s="460">
        <f t="shared" si="30"/>
        <v>0.05</v>
      </c>
      <c r="N303" s="464">
        <f t="shared" si="31"/>
        <v>60268</v>
      </c>
    </row>
    <row r="304" spans="7:14" ht="11.25" customHeight="1" x14ac:dyDescent="0.25">
      <c r="G304" s="459">
        <f t="shared" si="34"/>
        <v>25</v>
      </c>
      <c r="H304" s="459">
        <v>297</v>
      </c>
      <c r="I304" s="444">
        <f t="shared" ca="1" si="29"/>
        <v>2300662.50381287</v>
      </c>
      <c r="J304" s="444">
        <f t="array" ref="J304">IFERROR(INDEX('Retirement Calculator'!K:K,MATCH('Lorri 401b'!N304,'Retirement Calculator'!A:A,0),0),0)</f>
        <v>21655.303514578787</v>
      </c>
      <c r="K304" s="444">
        <f t="shared" ca="1" si="27"/>
        <v>9495.8633345762137</v>
      </c>
      <c r="L304" s="444">
        <f t="shared" ca="1" si="28"/>
        <v>2288503.0636328673</v>
      </c>
      <c r="M304" s="460">
        <f t="shared" si="30"/>
        <v>0.05</v>
      </c>
      <c r="N304" s="464">
        <f t="shared" si="31"/>
        <v>60299</v>
      </c>
    </row>
    <row r="305" spans="7:14" ht="11.25" customHeight="1" x14ac:dyDescent="0.25">
      <c r="G305" s="459">
        <f t="shared" si="34"/>
        <v>25</v>
      </c>
      <c r="H305" s="459">
        <v>298</v>
      </c>
      <c r="I305" s="444">
        <f t="shared" ca="1" si="29"/>
        <v>2288503.0636328673</v>
      </c>
      <c r="J305" s="444">
        <f t="array" ref="J305">IFERROR(INDEX('Retirement Calculator'!K:K,MATCH('Lorri 401b'!N305,'Retirement Calculator'!A:A,0),0),0)</f>
        <v>21655.303514578787</v>
      </c>
      <c r="K305" s="444">
        <f t="shared" ca="1" si="27"/>
        <v>9445.1990004928684</v>
      </c>
      <c r="L305" s="444">
        <f t="shared" ca="1" si="28"/>
        <v>2276292.9591187811</v>
      </c>
      <c r="M305" s="460">
        <f t="shared" si="30"/>
        <v>0.05</v>
      </c>
      <c r="N305" s="464">
        <f t="shared" si="31"/>
        <v>60327</v>
      </c>
    </row>
    <row r="306" spans="7:14" ht="11.25" customHeight="1" x14ac:dyDescent="0.25">
      <c r="G306" s="459">
        <f t="shared" si="34"/>
        <v>25</v>
      </c>
      <c r="H306" s="459">
        <v>299</v>
      </c>
      <c r="I306" s="444">
        <f t="shared" ca="1" si="29"/>
        <v>2276292.9591187811</v>
      </c>
      <c r="J306" s="444">
        <f t="array" ref="J306">IFERROR(INDEX('Retirement Calculator'!K:K,MATCH('Lorri 401b'!N306,'Retirement Calculator'!A:A,0),0),0)</f>
        <v>21655.303514578787</v>
      </c>
      <c r="K306" s="444">
        <f t="shared" ca="1" si="27"/>
        <v>9394.3235650175102</v>
      </c>
      <c r="L306" s="444">
        <f t="shared" ca="1" si="28"/>
        <v>2264031.9791692197</v>
      </c>
      <c r="M306" s="460">
        <f t="shared" si="30"/>
        <v>0.05</v>
      </c>
      <c r="N306" s="464">
        <f t="shared" si="31"/>
        <v>60358</v>
      </c>
    </row>
    <row r="307" spans="7:14" ht="11.25" customHeight="1" x14ac:dyDescent="0.25">
      <c r="G307" s="459">
        <f t="shared" si="34"/>
        <v>25</v>
      </c>
      <c r="H307" s="459">
        <v>300</v>
      </c>
      <c r="I307" s="444">
        <f t="shared" ca="1" si="29"/>
        <v>2264031.9791692197</v>
      </c>
      <c r="J307" s="444">
        <f t="array" ref="J307">IFERROR(INDEX('Retirement Calculator'!K:K,MATCH('Lorri 401b'!N307,'Retirement Calculator'!A:A,0),0),0)</f>
        <v>21655.303514578787</v>
      </c>
      <c r="K307" s="444">
        <f t="shared" ca="1" si="27"/>
        <v>9343.2361485610036</v>
      </c>
      <c r="L307" s="444">
        <f t="shared" ca="1" si="28"/>
        <v>2251719.9118032018</v>
      </c>
      <c r="M307" s="460">
        <f t="shared" si="30"/>
        <v>0.05</v>
      </c>
      <c r="N307" s="464">
        <f t="shared" si="31"/>
        <v>60388</v>
      </c>
    </row>
    <row r="308" spans="7:14" ht="11.25" customHeight="1" x14ac:dyDescent="0.25">
      <c r="G308" s="459">
        <f>G307+1</f>
        <v>26</v>
      </c>
      <c r="H308" s="459">
        <v>301</v>
      </c>
      <c r="I308" s="444">
        <f t="shared" ca="1" si="29"/>
        <v>2251719.9118032018</v>
      </c>
      <c r="J308" s="444">
        <f t="array" ref="J308">IFERROR(INDEX('Retirement Calculator'!K:K,MATCH('Lorri 401b'!N308,'Retirement Calculator'!A:A,0),0),0)</f>
        <v>21655.303514578787</v>
      </c>
      <c r="K308" s="444">
        <f t="shared" ca="1" si="27"/>
        <v>9291.9358678692624</v>
      </c>
      <c r="L308" s="444">
        <f t="shared" ca="1" si="28"/>
        <v>2239356.5441564922</v>
      </c>
      <c r="M308" s="460">
        <f t="shared" si="30"/>
        <v>0.05</v>
      </c>
      <c r="N308" s="464">
        <f t="shared" si="31"/>
        <v>60419</v>
      </c>
    </row>
    <row r="309" spans="7:14" ht="11.25" customHeight="1" x14ac:dyDescent="0.25">
      <c r="G309" s="459">
        <f t="shared" ref="G309:G319" si="35">G308</f>
        <v>26</v>
      </c>
      <c r="H309" s="459">
        <v>302</v>
      </c>
      <c r="I309" s="444">
        <f t="shared" ca="1" si="29"/>
        <v>2239356.5441564922</v>
      </c>
      <c r="J309" s="444">
        <f t="array" ref="J309">IFERROR(INDEX('Retirement Calculator'!K:K,MATCH('Lorri 401b'!N309,'Retirement Calculator'!A:A,0),0),0)</f>
        <v>21655.303514578787</v>
      </c>
      <c r="K309" s="444">
        <f t="shared" ca="1" si="27"/>
        <v>9240.4218360079722</v>
      </c>
      <c r="L309" s="444">
        <f t="shared" ca="1" si="28"/>
        <v>2226941.6624779212</v>
      </c>
      <c r="M309" s="460">
        <f t="shared" si="30"/>
        <v>0.05</v>
      </c>
      <c r="N309" s="464">
        <f t="shared" si="31"/>
        <v>60449</v>
      </c>
    </row>
    <row r="310" spans="7:14" ht="11.25" customHeight="1" x14ac:dyDescent="0.25">
      <c r="G310" s="459">
        <f t="shared" si="35"/>
        <v>26</v>
      </c>
      <c r="H310" s="459">
        <v>303</v>
      </c>
      <c r="I310" s="444">
        <f t="shared" ca="1" si="29"/>
        <v>2226941.6624779212</v>
      </c>
      <c r="J310" s="444">
        <f t="array" ref="J310">IFERROR(INDEX('Retirement Calculator'!K:K,MATCH('Lorri 401b'!N310,'Retirement Calculator'!A:A,0),0),0)</f>
        <v>21655.303514578787</v>
      </c>
      <c r="K310" s="444">
        <f t="shared" ca="1" si="27"/>
        <v>9188.6931623472592</v>
      </c>
      <c r="L310" s="444">
        <f t="shared" ca="1" si="28"/>
        <v>2214475.0521256896</v>
      </c>
      <c r="M310" s="460">
        <f t="shared" si="30"/>
        <v>0.05</v>
      </c>
      <c r="N310" s="464">
        <f t="shared" si="31"/>
        <v>60480</v>
      </c>
    </row>
    <row r="311" spans="7:14" ht="11.25" customHeight="1" x14ac:dyDescent="0.25">
      <c r="G311" s="459">
        <f t="shared" si="35"/>
        <v>26</v>
      </c>
      <c r="H311" s="459">
        <v>304</v>
      </c>
      <c r="I311" s="444">
        <f t="shared" ca="1" si="29"/>
        <v>2214475.0521256896</v>
      </c>
      <c r="J311" s="444">
        <f t="array" ref="J311">IFERROR(INDEX('Retirement Calculator'!K:K,MATCH('Lorri 401b'!N311,'Retirement Calculator'!A:A,0),0),0)</f>
        <v>21655.303514578787</v>
      </c>
      <c r="K311" s="444">
        <f t="shared" ca="1" si="27"/>
        <v>9136.7489525462952</v>
      </c>
      <c r="L311" s="444">
        <f t="shared" ca="1" si="28"/>
        <v>2201956.4975636569</v>
      </c>
      <c r="M311" s="460">
        <f t="shared" si="30"/>
        <v>0.05</v>
      </c>
      <c r="N311" s="464">
        <f t="shared" si="31"/>
        <v>60511</v>
      </c>
    </row>
    <row r="312" spans="7:14" ht="11.25" customHeight="1" x14ac:dyDescent="0.25">
      <c r="G312" s="459">
        <f t="shared" si="35"/>
        <v>26</v>
      </c>
      <c r="H312" s="459">
        <v>305</v>
      </c>
      <c r="I312" s="444">
        <f t="shared" ca="1" si="29"/>
        <v>2201956.4975636569</v>
      </c>
      <c r="J312" s="444">
        <f t="array" ref="J312">IFERROR(INDEX('Retirement Calculator'!K:K,MATCH('Lorri 401b'!N312,'Retirement Calculator'!A:A,0),0),0)</f>
        <v>21655.303514578787</v>
      </c>
      <c r="K312" s="444">
        <f t="shared" ca="1" si="27"/>
        <v>9084.5883085378246</v>
      </c>
      <c r="L312" s="444">
        <f t="shared" ca="1" si="28"/>
        <v>2189385.7823576159</v>
      </c>
      <c r="M312" s="460">
        <f t="shared" si="30"/>
        <v>0.05</v>
      </c>
      <c r="N312" s="464">
        <f t="shared" si="31"/>
        <v>60541</v>
      </c>
    </row>
    <row r="313" spans="7:14" ht="11.25" customHeight="1" x14ac:dyDescent="0.25">
      <c r="G313" s="459">
        <f t="shared" si="35"/>
        <v>26</v>
      </c>
      <c r="H313" s="459">
        <v>306</v>
      </c>
      <c r="I313" s="444">
        <f t="shared" ca="1" si="29"/>
        <v>2189385.7823576159</v>
      </c>
      <c r="J313" s="444">
        <f t="array" ref="J313">IFERROR(INDEX('Retirement Calculator'!K:K,MATCH('Lorri 401b'!N313,'Retirement Calculator'!A:A,0),0),0)</f>
        <v>21655.303514578787</v>
      </c>
      <c r="K313" s="444">
        <f t="shared" ca="1" si="27"/>
        <v>9032.2103285126541</v>
      </c>
      <c r="L313" s="444">
        <f t="shared" ca="1" si="28"/>
        <v>2176762.6891715499</v>
      </c>
      <c r="M313" s="460">
        <f t="shared" si="30"/>
        <v>0.05</v>
      </c>
      <c r="N313" s="464">
        <f t="shared" si="31"/>
        <v>60572</v>
      </c>
    </row>
    <row r="314" spans="7:14" ht="11.25" customHeight="1" x14ac:dyDescent="0.25">
      <c r="G314" s="459">
        <f t="shared" si="35"/>
        <v>26</v>
      </c>
      <c r="H314" s="459">
        <v>307</v>
      </c>
      <c r="I314" s="444">
        <f t="shared" ca="1" si="29"/>
        <v>2176762.6891715499</v>
      </c>
      <c r="J314" s="444">
        <f t="array" ref="J314">IFERROR(INDEX('Retirement Calculator'!K:K,MATCH('Lorri 401b'!N314,'Retirement Calculator'!A:A,0),0),0)</f>
        <v>21655.303514578787</v>
      </c>
      <c r="K314" s="444">
        <f t="shared" ca="1" si="27"/>
        <v>8979.6141069040459</v>
      </c>
      <c r="L314" s="444">
        <f t="shared" ca="1" si="28"/>
        <v>2164086.9997638753</v>
      </c>
      <c r="M314" s="460">
        <f t="shared" si="30"/>
        <v>0.05</v>
      </c>
      <c r="N314" s="464">
        <f t="shared" si="31"/>
        <v>60602</v>
      </c>
    </row>
    <row r="315" spans="7:14" ht="11.25" customHeight="1" x14ac:dyDescent="0.25">
      <c r="G315" s="459">
        <f t="shared" si="35"/>
        <v>26</v>
      </c>
      <c r="H315" s="459">
        <v>308</v>
      </c>
      <c r="I315" s="444">
        <f t="shared" ca="1" si="29"/>
        <v>2164086.9997638753</v>
      </c>
      <c r="J315" s="444">
        <f t="array" ref="J315">IFERROR(INDEX('Retirement Calculator'!K:K,MATCH('Lorri 401b'!N315,'Retirement Calculator'!A:A,0),0),0)</f>
        <v>21655.303514578787</v>
      </c>
      <c r="K315" s="444">
        <f t="shared" ca="1" si="27"/>
        <v>8926.7987343720688</v>
      </c>
      <c r="L315" s="444">
        <f t="shared" ca="1" si="28"/>
        <v>2151358.4949836684</v>
      </c>
      <c r="M315" s="460">
        <f t="shared" si="30"/>
        <v>0.05</v>
      </c>
      <c r="N315" s="464">
        <f t="shared" si="31"/>
        <v>60633</v>
      </c>
    </row>
    <row r="316" spans="7:14" ht="11.25" customHeight="1" x14ac:dyDescent="0.25">
      <c r="G316" s="459">
        <f t="shared" si="35"/>
        <v>26</v>
      </c>
      <c r="H316" s="459">
        <v>309</v>
      </c>
      <c r="I316" s="444">
        <f t="shared" ca="1" si="29"/>
        <v>2151358.4949836684</v>
      </c>
      <c r="J316" s="444">
        <f t="array" ref="J316">IFERROR(INDEX('Retirement Calculator'!K:K,MATCH('Lorri 401b'!N316,'Retirement Calculator'!A:A,0),0),0)</f>
        <v>21655.303514578787</v>
      </c>
      <c r="K316" s="444">
        <f t="shared" ca="1" si="27"/>
        <v>8873.7632977878729</v>
      </c>
      <c r="L316" s="444">
        <f t="shared" ca="1" si="28"/>
        <v>2138576.9547668775</v>
      </c>
      <c r="M316" s="460">
        <f t="shared" si="30"/>
        <v>0.05</v>
      </c>
      <c r="N316" s="464">
        <f t="shared" si="31"/>
        <v>60664</v>
      </c>
    </row>
    <row r="317" spans="7:14" ht="11.25" customHeight="1" x14ac:dyDescent="0.25">
      <c r="G317" s="459">
        <f t="shared" si="35"/>
        <v>26</v>
      </c>
      <c r="H317" s="459">
        <v>310</v>
      </c>
      <c r="I317" s="444">
        <f t="shared" ca="1" si="29"/>
        <v>2138576.9547668775</v>
      </c>
      <c r="J317" s="444">
        <f t="array" ref="J317">IFERROR(INDEX('Retirement Calculator'!K:K,MATCH('Lorri 401b'!N317,'Retirement Calculator'!A:A,0),0),0)</f>
        <v>21655.303514578787</v>
      </c>
      <c r="K317" s="444">
        <f t="shared" ca="1" si="27"/>
        <v>8820.5068802179103</v>
      </c>
      <c r="L317" s="444">
        <f t="shared" ca="1" si="28"/>
        <v>2125742.1581325163</v>
      </c>
      <c r="M317" s="460">
        <f t="shared" si="30"/>
        <v>0.05</v>
      </c>
      <c r="N317" s="464">
        <f t="shared" si="31"/>
        <v>60692</v>
      </c>
    </row>
    <row r="318" spans="7:14" ht="11.25" customHeight="1" x14ac:dyDescent="0.25">
      <c r="G318" s="459">
        <f t="shared" si="35"/>
        <v>26</v>
      </c>
      <c r="H318" s="459">
        <v>311</v>
      </c>
      <c r="I318" s="444">
        <f t="shared" ca="1" si="29"/>
        <v>2125742.1581325163</v>
      </c>
      <c r="J318" s="444">
        <f t="array" ref="J318">IFERROR(INDEX('Retirement Calculator'!K:K,MATCH('Lorri 401b'!N318,'Retirement Calculator'!A:A,0),0),0)</f>
        <v>21655.303514578787</v>
      </c>
      <c r="K318" s="444">
        <f t="shared" ca="1" si="27"/>
        <v>8767.0285609080729</v>
      </c>
      <c r="L318" s="444">
        <f t="shared" ca="1" si="28"/>
        <v>2112853.8831788455</v>
      </c>
      <c r="M318" s="460">
        <f t="shared" si="30"/>
        <v>0.05</v>
      </c>
      <c r="N318" s="464">
        <f t="shared" si="31"/>
        <v>60723</v>
      </c>
    </row>
    <row r="319" spans="7:14" ht="11.25" customHeight="1" x14ac:dyDescent="0.25">
      <c r="G319" s="459">
        <f t="shared" si="35"/>
        <v>26</v>
      </c>
      <c r="H319" s="459">
        <v>312</v>
      </c>
      <c r="I319" s="444">
        <f t="shared" ca="1" si="29"/>
        <v>2112853.8831788455</v>
      </c>
      <c r="J319" s="444">
        <f t="array" ref="J319">IFERROR(INDEX('Retirement Calculator'!K:K,MATCH('Lorri 401b'!N319,'Retirement Calculator'!A:A,0),0),0)</f>
        <v>21655.303514578787</v>
      </c>
      <c r="K319" s="444">
        <f t="shared" ca="1" si="27"/>
        <v>8713.3274152677768</v>
      </c>
      <c r="L319" s="444">
        <f t="shared" ca="1" si="28"/>
        <v>2099911.9070795346</v>
      </c>
      <c r="M319" s="460">
        <f t="shared" si="30"/>
        <v>0.05</v>
      </c>
      <c r="N319" s="464">
        <f t="shared" si="31"/>
        <v>60753</v>
      </c>
    </row>
    <row r="320" spans="7:14" ht="11.25" customHeight="1" x14ac:dyDescent="0.25">
      <c r="G320" s="459">
        <f>G319+1</f>
        <v>27</v>
      </c>
      <c r="H320" s="459">
        <v>313</v>
      </c>
      <c r="I320" s="444">
        <f t="shared" ca="1" si="29"/>
        <v>2099911.9070795346</v>
      </c>
      <c r="J320" s="444">
        <f t="array" ref="J320">IFERROR(INDEX('Retirement Calculator'!K:K,MATCH('Lorri 401b'!N320,'Retirement Calculator'!A:A,0),0),0)</f>
        <v>21655.303514578787</v>
      </c>
      <c r="K320" s="444">
        <f t="shared" ca="1" si="27"/>
        <v>8659.4025148539822</v>
      </c>
      <c r="L320" s="444">
        <f t="shared" ca="1" si="28"/>
        <v>2086916.0060798097</v>
      </c>
      <c r="M320" s="460">
        <f t="shared" si="30"/>
        <v>0.05</v>
      </c>
      <c r="N320" s="464">
        <f t="shared" si="31"/>
        <v>60784</v>
      </c>
    </row>
    <row r="321" spans="7:14" ht="11.25" customHeight="1" x14ac:dyDescent="0.25">
      <c r="G321" s="459">
        <f t="shared" ref="G321:G331" si="36">G320</f>
        <v>27</v>
      </c>
      <c r="H321" s="459">
        <v>314</v>
      </c>
      <c r="I321" s="444">
        <f t="shared" ca="1" si="29"/>
        <v>2086916.0060798097</v>
      </c>
      <c r="J321" s="444">
        <f t="array" ref="J321">IFERROR(INDEX('Retirement Calculator'!K:K,MATCH('Lorri 401b'!N321,'Retirement Calculator'!A:A,0),0),0)</f>
        <v>21655.303514578787</v>
      </c>
      <c r="K321" s="444">
        <f t="shared" ca="1" si="27"/>
        <v>8605.2529273551281</v>
      </c>
      <c r="L321" s="444">
        <f t="shared" ca="1" si="28"/>
        <v>2073865.9554925861</v>
      </c>
      <c r="M321" s="460">
        <f t="shared" si="30"/>
        <v>0.05</v>
      </c>
      <c r="N321" s="464">
        <f t="shared" si="31"/>
        <v>60814</v>
      </c>
    </row>
    <row r="322" spans="7:14" ht="11.25" customHeight="1" x14ac:dyDescent="0.25">
      <c r="G322" s="459">
        <f t="shared" si="36"/>
        <v>27</v>
      </c>
      <c r="H322" s="459">
        <v>315</v>
      </c>
      <c r="I322" s="444">
        <f t="shared" ca="1" si="29"/>
        <v>2073865.9554925861</v>
      </c>
      <c r="J322" s="444">
        <f t="array" ref="J322">IFERROR(INDEX('Retirement Calculator'!K:K,MATCH('Lorri 401b'!N322,'Retirement Calculator'!A:A,0),0),0)</f>
        <v>21655.303514578787</v>
      </c>
      <c r="K322" s="444">
        <f t="shared" ca="1" si="27"/>
        <v>8550.8777165750307</v>
      </c>
      <c r="L322" s="444">
        <f t="shared" ca="1" si="28"/>
        <v>2060761.5296945823</v>
      </c>
      <c r="M322" s="460">
        <f t="shared" si="30"/>
        <v>0.05</v>
      </c>
      <c r="N322" s="464">
        <f t="shared" si="31"/>
        <v>60845</v>
      </c>
    </row>
    <row r="323" spans="7:14" ht="11.25" customHeight="1" x14ac:dyDescent="0.25">
      <c r="G323" s="459">
        <f t="shared" si="36"/>
        <v>27</v>
      </c>
      <c r="H323" s="459">
        <v>316</v>
      </c>
      <c r="I323" s="444">
        <f t="shared" ca="1" si="29"/>
        <v>2060761.5296945823</v>
      </c>
      <c r="J323" s="444">
        <f t="array" ref="J323">IFERROR(INDEX('Retirement Calculator'!K:K,MATCH('Lorri 401b'!N323,'Retirement Calculator'!A:A,0),0),0)</f>
        <v>21655.303514578787</v>
      </c>
      <c r="K323" s="444">
        <f t="shared" ca="1" si="27"/>
        <v>8496.2759424166816</v>
      </c>
      <c r="L323" s="444">
        <f t="shared" ca="1" si="28"/>
        <v>2047602.5021224201</v>
      </c>
      <c r="M323" s="460">
        <f t="shared" si="30"/>
        <v>0.05</v>
      </c>
      <c r="N323" s="464">
        <f t="shared" si="31"/>
        <v>60876</v>
      </c>
    </row>
    <row r="324" spans="7:14" ht="11.25" customHeight="1" x14ac:dyDescent="0.25">
      <c r="G324" s="459">
        <f t="shared" si="36"/>
        <v>27</v>
      </c>
      <c r="H324" s="459">
        <v>317</v>
      </c>
      <c r="I324" s="444">
        <f t="shared" ca="1" si="29"/>
        <v>2047602.5021224201</v>
      </c>
      <c r="J324" s="444">
        <f t="array" ref="J324">IFERROR(INDEX('Retirement Calculator'!K:K,MATCH('Lorri 401b'!N324,'Retirement Calculator'!A:A,0),0),0)</f>
        <v>21655.303514578787</v>
      </c>
      <c r="K324" s="444">
        <f t="shared" ca="1" si="27"/>
        <v>8441.4466608660059</v>
      </c>
      <c r="L324" s="444">
        <f t="shared" ca="1" si="28"/>
        <v>2034388.6452687073</v>
      </c>
      <c r="M324" s="460">
        <f t="shared" si="30"/>
        <v>0.05</v>
      </c>
      <c r="N324" s="464">
        <f t="shared" si="31"/>
        <v>60906</v>
      </c>
    </row>
    <row r="325" spans="7:14" ht="11.25" customHeight="1" x14ac:dyDescent="0.25">
      <c r="G325" s="459">
        <f t="shared" si="36"/>
        <v>27</v>
      </c>
      <c r="H325" s="459">
        <v>318</v>
      </c>
      <c r="I325" s="444">
        <f t="shared" ca="1" si="29"/>
        <v>2034388.6452687073</v>
      </c>
      <c r="J325" s="444">
        <f t="array" ref="J325">IFERROR(INDEX('Retirement Calculator'!K:K,MATCH('Lorri 401b'!N325,'Retirement Calculator'!A:A,0),0),0)</f>
        <v>21655.303514578787</v>
      </c>
      <c r="K325" s="444">
        <f t="shared" ca="1" si="27"/>
        <v>8386.3889239755354</v>
      </c>
      <c r="L325" s="444">
        <f t="shared" ca="1" si="28"/>
        <v>2021119.7306781041</v>
      </c>
      <c r="M325" s="460">
        <f t="shared" si="30"/>
        <v>0.05</v>
      </c>
      <c r="N325" s="464">
        <f t="shared" si="31"/>
        <v>60937</v>
      </c>
    </row>
    <row r="326" spans="7:14" ht="11.25" customHeight="1" x14ac:dyDescent="0.25">
      <c r="G326" s="459">
        <f t="shared" si="36"/>
        <v>27</v>
      </c>
      <c r="H326" s="459">
        <v>319</v>
      </c>
      <c r="I326" s="444">
        <f t="shared" ca="1" si="29"/>
        <v>2021119.7306781041</v>
      </c>
      <c r="J326" s="444">
        <f t="array" ref="J326">IFERROR(INDEX('Retirement Calculator'!K:K,MATCH('Lorri 401b'!N326,'Retirement Calculator'!A:A,0),0),0)</f>
        <v>21655.303514578787</v>
      </c>
      <c r="K326" s="444">
        <f t="shared" ca="1" si="27"/>
        <v>8331.1017798480207</v>
      </c>
      <c r="L326" s="444">
        <f t="shared" ca="1" si="28"/>
        <v>2007795.5289433734</v>
      </c>
      <c r="M326" s="460">
        <f t="shared" si="30"/>
        <v>0.05</v>
      </c>
      <c r="N326" s="464">
        <f t="shared" si="31"/>
        <v>60967</v>
      </c>
    </row>
    <row r="327" spans="7:14" ht="11.25" customHeight="1" x14ac:dyDescent="0.25">
      <c r="G327" s="459">
        <f t="shared" si="36"/>
        <v>27</v>
      </c>
      <c r="H327" s="459">
        <v>320</v>
      </c>
      <c r="I327" s="444">
        <f t="shared" ca="1" si="29"/>
        <v>2007795.5289433734</v>
      </c>
      <c r="J327" s="444">
        <f t="array" ref="J327">IFERROR(INDEX('Retirement Calculator'!K:K,MATCH('Lorri 401b'!N327,'Retirement Calculator'!A:A,0),0),0)</f>
        <v>21655.303514578787</v>
      </c>
      <c r="K327" s="444">
        <f t="shared" ca="1" si="27"/>
        <v>8275.5842726199771</v>
      </c>
      <c r="L327" s="444">
        <f t="shared" ca="1" si="28"/>
        <v>1994415.8097014145</v>
      </c>
      <c r="M327" s="460">
        <f t="shared" si="30"/>
        <v>0.05</v>
      </c>
      <c r="N327" s="464">
        <f t="shared" si="31"/>
        <v>60998</v>
      </c>
    </row>
    <row r="328" spans="7:14" ht="11.25" customHeight="1" x14ac:dyDescent="0.25">
      <c r="G328" s="459">
        <f t="shared" si="36"/>
        <v>27</v>
      </c>
      <c r="H328" s="459">
        <v>321</v>
      </c>
      <c r="I328" s="444">
        <f t="shared" ca="1" si="29"/>
        <v>1994415.8097014145</v>
      </c>
      <c r="J328" s="444">
        <f t="array" ref="J328">IFERROR(INDEX('Retirement Calculator'!K:K,MATCH('Lorri 401b'!N328,'Retirement Calculator'!A:A,0),0),0)</f>
        <v>21655.303514578787</v>
      </c>
      <c r="K328" s="444">
        <f t="shared" ca="1" si="27"/>
        <v>8219.8354424451481</v>
      </c>
      <c r="L328" s="444">
        <f t="shared" ca="1" si="28"/>
        <v>1980980.3416292809</v>
      </c>
      <c r="M328" s="460">
        <f t="shared" si="30"/>
        <v>0.05</v>
      </c>
      <c r="N328" s="464">
        <f t="shared" si="31"/>
        <v>61029</v>
      </c>
    </row>
    <row r="329" spans="7:14" ht="11.25" customHeight="1" x14ac:dyDescent="0.25">
      <c r="G329" s="459">
        <f t="shared" si="36"/>
        <v>27</v>
      </c>
      <c r="H329" s="459">
        <v>322</v>
      </c>
      <c r="I329" s="444">
        <f t="shared" ca="1" si="29"/>
        <v>1980980.3416292809</v>
      </c>
      <c r="J329" s="444">
        <f t="array" ref="J329">IFERROR(INDEX('Retirement Calculator'!K:K,MATCH('Lorri 401b'!N329,'Retirement Calculator'!A:A,0),0),0)</f>
        <v>21655.303514578787</v>
      </c>
      <c r="K329" s="444">
        <f t="shared" ca="1" si="27"/>
        <v>8163.8543254779252</v>
      </c>
      <c r="L329" s="444">
        <f t="shared" ca="1" si="28"/>
        <v>1967488.8924401801</v>
      </c>
      <c r="M329" s="460">
        <f t="shared" si="30"/>
        <v>0.05</v>
      </c>
      <c r="N329" s="464">
        <f t="shared" si="31"/>
        <v>61057</v>
      </c>
    </row>
    <row r="330" spans="7:14" ht="11.25" customHeight="1" x14ac:dyDescent="0.25">
      <c r="G330" s="459">
        <f t="shared" si="36"/>
        <v>27</v>
      </c>
      <c r="H330" s="459">
        <v>323</v>
      </c>
      <c r="I330" s="444">
        <f t="shared" ca="1" si="29"/>
        <v>1967488.8924401801</v>
      </c>
      <c r="J330" s="444">
        <f t="array" ref="J330">IFERROR(INDEX('Retirement Calculator'!K:K,MATCH('Lorri 401b'!N330,'Retirement Calculator'!A:A,0),0),0)</f>
        <v>21655.303514578787</v>
      </c>
      <c r="K330" s="444">
        <f t="shared" ca="1" si="27"/>
        <v>8107.639953856672</v>
      </c>
      <c r="L330" s="444">
        <f t="shared" ca="1" si="28"/>
        <v>1953941.2288794578</v>
      </c>
      <c r="M330" s="460">
        <f t="shared" si="30"/>
        <v>0.05</v>
      </c>
      <c r="N330" s="464">
        <f t="shared" si="31"/>
        <v>61088</v>
      </c>
    </row>
    <row r="331" spans="7:14" ht="11.25" customHeight="1" x14ac:dyDescent="0.25">
      <c r="G331" s="459">
        <f t="shared" si="36"/>
        <v>27</v>
      </c>
      <c r="H331" s="459">
        <v>324</v>
      </c>
      <c r="I331" s="444">
        <f t="shared" ca="1" si="29"/>
        <v>1953941.2288794578</v>
      </c>
      <c r="J331" s="444">
        <f t="array" ref="J331">IFERROR(INDEX('Retirement Calculator'!K:K,MATCH('Lorri 401b'!N331,'Retirement Calculator'!A:A,0),0),0)</f>
        <v>21655.303514578787</v>
      </c>
      <c r="K331" s="444">
        <f t="shared" ca="1" si="27"/>
        <v>8051.1913556869958</v>
      </c>
      <c r="L331" s="444">
        <f t="shared" ca="1" si="28"/>
        <v>1940337.1167205661</v>
      </c>
      <c r="M331" s="460">
        <f t="shared" si="30"/>
        <v>0.05</v>
      </c>
      <c r="N331" s="464">
        <f t="shared" si="31"/>
        <v>61118</v>
      </c>
    </row>
    <row r="332" spans="7:14" ht="11.25" customHeight="1" x14ac:dyDescent="0.25">
      <c r="G332" s="459">
        <f>G331+1</f>
        <v>28</v>
      </c>
      <c r="H332" s="459">
        <v>325</v>
      </c>
      <c r="I332" s="444">
        <f t="shared" ca="1" si="29"/>
        <v>1940337.1167205661</v>
      </c>
      <c r="J332" s="444">
        <f t="array" ref="J332">IFERROR(INDEX('Retirement Calculator'!K:K,MATCH('Lorri 401b'!N332,'Retirement Calculator'!A:A,0),0),0)</f>
        <v>21655.303514578787</v>
      </c>
      <c r="K332" s="444">
        <f t="shared" ca="1" si="27"/>
        <v>7994.5075550249458</v>
      </c>
      <c r="L332" s="444">
        <f t="shared" ca="1" si="28"/>
        <v>1926676.3207610121</v>
      </c>
      <c r="M332" s="460">
        <f t="shared" si="30"/>
        <v>0.05</v>
      </c>
      <c r="N332" s="464">
        <f t="shared" si="31"/>
        <v>61149</v>
      </c>
    </row>
    <row r="333" spans="7:14" ht="11.25" customHeight="1" x14ac:dyDescent="0.25">
      <c r="G333" s="459">
        <f t="shared" ref="G333:G343" si="37">G332</f>
        <v>28</v>
      </c>
      <c r="H333" s="459">
        <v>326</v>
      </c>
      <c r="I333" s="444">
        <f t="shared" ca="1" si="29"/>
        <v>1926676.3207610121</v>
      </c>
      <c r="J333" s="444">
        <f t="array" ref="J333">IFERROR(INDEX('Retirement Calculator'!K:K,MATCH('Lorri 401b'!N333,'Retirement Calculator'!A:A,0),0),0)</f>
        <v>21655.303514578787</v>
      </c>
      <c r="K333" s="444">
        <f t="shared" ca="1" si="27"/>
        <v>7937.5875718601383</v>
      </c>
      <c r="L333" s="444">
        <f t="shared" ca="1" si="28"/>
        <v>1912958.6048182934</v>
      </c>
      <c r="M333" s="460">
        <f t="shared" si="30"/>
        <v>0.05</v>
      </c>
      <c r="N333" s="464">
        <f t="shared" si="31"/>
        <v>61179</v>
      </c>
    </row>
    <row r="334" spans="7:14" ht="11.25" customHeight="1" x14ac:dyDescent="0.25">
      <c r="G334" s="459">
        <f t="shared" si="37"/>
        <v>28</v>
      </c>
      <c r="H334" s="459">
        <v>327</v>
      </c>
      <c r="I334" s="444">
        <f t="shared" ca="1" si="29"/>
        <v>1912958.6048182934</v>
      </c>
      <c r="J334" s="444">
        <f t="array" ref="J334">IFERROR(INDEX('Retirement Calculator'!K:K,MATCH('Lorri 401b'!N334,'Retirement Calculator'!A:A,0),0),0)</f>
        <v>21655.303514578787</v>
      </c>
      <c r="K334" s="444">
        <f t="shared" ca="1" si="27"/>
        <v>7880.4304220988106</v>
      </c>
      <c r="L334" s="444">
        <f t="shared" ca="1" si="28"/>
        <v>1899183.7317258134</v>
      </c>
      <c r="M334" s="460">
        <f t="shared" si="30"/>
        <v>0.05</v>
      </c>
      <c r="N334" s="464">
        <f t="shared" si="31"/>
        <v>61210</v>
      </c>
    </row>
    <row r="335" spans="7:14" ht="11.25" customHeight="1" x14ac:dyDescent="0.25">
      <c r="G335" s="459">
        <f t="shared" si="37"/>
        <v>28</v>
      </c>
      <c r="H335" s="459">
        <v>328</v>
      </c>
      <c r="I335" s="444">
        <f t="shared" ca="1" si="29"/>
        <v>1899183.7317258134</v>
      </c>
      <c r="J335" s="444">
        <f t="array" ref="J335">IFERROR(INDEX('Retirement Calculator'!K:K,MATCH('Lorri 401b'!N335,'Retirement Calculator'!A:A,0),0),0)</f>
        <v>21655.303514578787</v>
      </c>
      <c r="K335" s="444">
        <f t="shared" ca="1" si="27"/>
        <v>7823.0351175468104</v>
      </c>
      <c r="L335" s="444">
        <f t="shared" ca="1" si="28"/>
        <v>1885351.4633287813</v>
      </c>
      <c r="M335" s="460">
        <f t="shared" si="30"/>
        <v>0.05</v>
      </c>
      <c r="N335" s="464">
        <f t="shared" si="31"/>
        <v>61241</v>
      </c>
    </row>
    <row r="336" spans="7:14" ht="11.25" customHeight="1" x14ac:dyDescent="0.25">
      <c r="G336" s="459">
        <f t="shared" si="37"/>
        <v>28</v>
      </c>
      <c r="H336" s="459">
        <v>329</v>
      </c>
      <c r="I336" s="444">
        <f t="shared" ca="1" si="29"/>
        <v>1885351.4633287813</v>
      </c>
      <c r="J336" s="444">
        <f t="array" ref="J336">IFERROR(INDEX('Retirement Calculator'!K:K,MATCH('Lorri 401b'!N336,'Retirement Calculator'!A:A,0),0),0)</f>
        <v>21655.303514578787</v>
      </c>
      <c r="K336" s="444">
        <f t="shared" ca="1" si="27"/>
        <v>7765.40066589251</v>
      </c>
      <c r="L336" s="444">
        <f t="shared" ca="1" si="28"/>
        <v>1871461.560480095</v>
      </c>
      <c r="M336" s="460">
        <f t="shared" si="30"/>
        <v>0.05</v>
      </c>
      <c r="N336" s="464">
        <f t="shared" si="31"/>
        <v>61271</v>
      </c>
    </row>
    <row r="337" spans="7:14" ht="11.25" customHeight="1" x14ac:dyDescent="0.25">
      <c r="G337" s="459">
        <f t="shared" si="37"/>
        <v>28</v>
      </c>
      <c r="H337" s="459">
        <v>330</v>
      </c>
      <c r="I337" s="444">
        <f t="shared" ca="1" si="29"/>
        <v>1871461.560480095</v>
      </c>
      <c r="J337" s="444">
        <f t="array" ref="J337">IFERROR(INDEX('Retirement Calculator'!K:K,MATCH('Lorri 401b'!N337,'Retirement Calculator'!A:A,0),0),0)</f>
        <v>21655.303514578787</v>
      </c>
      <c r="K337" s="444">
        <f t="shared" ca="1" si="27"/>
        <v>7707.5260706896515</v>
      </c>
      <c r="L337" s="444">
        <f t="shared" ca="1" si="28"/>
        <v>1857513.7830362057</v>
      </c>
      <c r="M337" s="460">
        <f t="shared" si="30"/>
        <v>0.05</v>
      </c>
      <c r="N337" s="464">
        <f t="shared" si="31"/>
        <v>61302</v>
      </c>
    </row>
    <row r="338" spans="7:14" ht="11.25" customHeight="1" x14ac:dyDescent="0.25">
      <c r="G338" s="459">
        <f t="shared" si="37"/>
        <v>28</v>
      </c>
      <c r="H338" s="459">
        <v>331</v>
      </c>
      <c r="I338" s="444">
        <f t="shared" ca="1" si="29"/>
        <v>1857513.7830362057</v>
      </c>
      <c r="J338" s="444">
        <f t="array" ref="J338">IFERROR(INDEX('Retirement Calculator'!K:K,MATCH('Lorri 401b'!N338,'Retirement Calculator'!A:A,0),0),0)</f>
        <v>21655.303514578787</v>
      </c>
      <c r="K338" s="444">
        <f t="shared" ca="1" si="27"/>
        <v>7649.410331340112</v>
      </c>
      <c r="L338" s="444">
        <f t="shared" ca="1" si="28"/>
        <v>1843507.8898529669</v>
      </c>
      <c r="M338" s="460">
        <f t="shared" si="30"/>
        <v>0.05</v>
      </c>
      <c r="N338" s="464">
        <f t="shared" si="31"/>
        <v>61332</v>
      </c>
    </row>
    <row r="339" spans="7:14" ht="11.25" customHeight="1" x14ac:dyDescent="0.25">
      <c r="G339" s="459">
        <f t="shared" si="37"/>
        <v>28</v>
      </c>
      <c r="H339" s="459">
        <v>332</v>
      </c>
      <c r="I339" s="444">
        <f t="shared" ca="1" si="29"/>
        <v>1843507.8898529669</v>
      </c>
      <c r="J339" s="444">
        <f t="array" ref="J339">IFERROR(INDEX('Retirement Calculator'!K:K,MATCH('Lorri 401b'!N339,'Retirement Calculator'!A:A,0),0),0)</f>
        <v>21655.303514578787</v>
      </c>
      <c r="K339" s="444">
        <f t="shared" ca="1" si="27"/>
        <v>7591.0524430766163</v>
      </c>
      <c r="L339" s="444">
        <f t="shared" ca="1" si="28"/>
        <v>1829443.6387814647</v>
      </c>
      <c r="M339" s="460">
        <f t="shared" si="30"/>
        <v>0.05</v>
      </c>
      <c r="N339" s="464">
        <f t="shared" si="31"/>
        <v>61363</v>
      </c>
    </row>
    <row r="340" spans="7:14" ht="11.25" customHeight="1" x14ac:dyDescent="0.25">
      <c r="G340" s="459">
        <f t="shared" si="37"/>
        <v>28</v>
      </c>
      <c r="H340" s="459">
        <v>333</v>
      </c>
      <c r="I340" s="444">
        <f t="shared" ca="1" si="29"/>
        <v>1829443.6387814647</v>
      </c>
      <c r="J340" s="444">
        <f t="array" ref="J340">IFERROR(INDEX('Retirement Calculator'!K:K,MATCH('Lorri 401b'!N340,'Retirement Calculator'!A:A,0),0),0)</f>
        <v>21655.303514578787</v>
      </c>
      <c r="K340" s="444">
        <f t="shared" ca="1" si="27"/>
        <v>7532.4513969453583</v>
      </c>
      <c r="L340" s="444">
        <f t="shared" ca="1" si="28"/>
        <v>1815320.7866638312</v>
      </c>
      <c r="M340" s="460">
        <f t="shared" si="30"/>
        <v>0.05</v>
      </c>
      <c r="N340" s="464">
        <f t="shared" si="31"/>
        <v>61394</v>
      </c>
    </row>
    <row r="341" spans="7:14" ht="11.25" customHeight="1" x14ac:dyDescent="0.25">
      <c r="G341" s="459">
        <f t="shared" si="37"/>
        <v>28</v>
      </c>
      <c r="H341" s="459">
        <v>334</v>
      </c>
      <c r="I341" s="444">
        <f t="shared" ca="1" si="29"/>
        <v>1815320.7866638312</v>
      </c>
      <c r="J341" s="444">
        <f t="array" ref="J341">IFERROR(INDEX('Retirement Calculator'!K:K,MATCH('Lorri 401b'!N341,'Retirement Calculator'!A:A,0),0),0)</f>
        <v>21655.303514578787</v>
      </c>
      <c r="K341" s="444">
        <f t="shared" ca="1" si="27"/>
        <v>7473.6061797885513</v>
      </c>
      <c r="L341" s="444">
        <f t="shared" ca="1" si="28"/>
        <v>1801139.0893290408</v>
      </c>
      <c r="M341" s="460">
        <f t="shared" si="30"/>
        <v>0.05</v>
      </c>
      <c r="N341" s="464">
        <f t="shared" si="31"/>
        <v>61423</v>
      </c>
    </row>
    <row r="342" spans="7:14" ht="11.25" customHeight="1" x14ac:dyDescent="0.25">
      <c r="G342" s="459">
        <f t="shared" si="37"/>
        <v>28</v>
      </c>
      <c r="H342" s="459">
        <v>335</v>
      </c>
      <c r="I342" s="444">
        <f t="shared" ca="1" si="29"/>
        <v>1801139.0893290408</v>
      </c>
      <c r="J342" s="444">
        <f t="array" ref="J342">IFERROR(INDEX('Retirement Calculator'!K:K,MATCH('Lorri 401b'!N342,'Retirement Calculator'!A:A,0),0),0)</f>
        <v>21655.303514578787</v>
      </c>
      <c r="K342" s="444">
        <f t="shared" ca="1" si="27"/>
        <v>7414.5157742269248</v>
      </c>
      <c r="L342" s="444">
        <f t="shared" ca="1" si="28"/>
        <v>1786898.301588689</v>
      </c>
      <c r="M342" s="460">
        <f t="shared" si="30"/>
        <v>0.05</v>
      </c>
      <c r="N342" s="464">
        <f t="shared" si="31"/>
        <v>61454</v>
      </c>
    </row>
    <row r="343" spans="7:14" ht="11.25" customHeight="1" x14ac:dyDescent="0.25">
      <c r="G343" s="459">
        <f t="shared" si="37"/>
        <v>28</v>
      </c>
      <c r="H343" s="459">
        <v>336</v>
      </c>
      <c r="I343" s="444">
        <f t="shared" ca="1" si="29"/>
        <v>1786898.301588689</v>
      </c>
      <c r="J343" s="444">
        <f t="array" ref="J343">IFERROR(INDEX('Retirement Calculator'!K:K,MATCH('Lorri 401b'!N343,'Retirement Calculator'!A:A,0),0),0)</f>
        <v>21655.303514578787</v>
      </c>
      <c r="K343" s="444">
        <f t="shared" ca="1" si="27"/>
        <v>7355.179158642125</v>
      </c>
      <c r="L343" s="444">
        <f t="shared" ca="1" si="28"/>
        <v>1772598.1772327523</v>
      </c>
      <c r="M343" s="460">
        <f t="shared" si="30"/>
        <v>0.05</v>
      </c>
      <c r="N343" s="464">
        <f t="shared" si="31"/>
        <v>61484</v>
      </c>
    </row>
    <row r="344" spans="7:14" ht="11.25" customHeight="1" x14ac:dyDescent="0.25">
      <c r="G344" s="459">
        <f>G343+1</f>
        <v>29</v>
      </c>
      <c r="H344" s="459">
        <v>337</v>
      </c>
      <c r="I344" s="444">
        <f t="shared" ca="1" si="29"/>
        <v>1772598.1772327523</v>
      </c>
      <c r="J344" s="444">
        <f t="array" ref="J344">IFERROR(INDEX('Retirement Calculator'!K:K,MATCH('Lorri 401b'!N344,'Retirement Calculator'!A:A,0),0),0)</f>
        <v>21655.303514578787</v>
      </c>
      <c r="K344" s="444">
        <f t="shared" ca="1" si="27"/>
        <v>7295.5953071590557</v>
      </c>
      <c r="L344" s="444">
        <f t="shared" ca="1" si="28"/>
        <v>1758238.4690253325</v>
      </c>
      <c r="M344" s="460">
        <f t="shared" si="30"/>
        <v>0.05</v>
      </c>
      <c r="N344" s="464">
        <f t="shared" si="31"/>
        <v>61515</v>
      </c>
    </row>
    <row r="345" spans="7:14" ht="11.25" customHeight="1" x14ac:dyDescent="0.25">
      <c r="G345" s="459">
        <f t="shared" ref="G345:G355" si="38">G344</f>
        <v>29</v>
      </c>
      <c r="H345" s="459">
        <v>338</v>
      </c>
      <c r="I345" s="444">
        <f t="shared" ca="1" si="29"/>
        <v>1758238.4690253325</v>
      </c>
      <c r="J345" s="444">
        <f t="array" ref="J345">IFERROR(INDEX('Retirement Calculator'!K:K,MATCH('Lorri 401b'!N345,'Retirement Calculator'!A:A,0),0),0)</f>
        <v>21655.303514578787</v>
      </c>
      <c r="K345" s="444">
        <f t="shared" ca="1" si="27"/>
        <v>7235.76318962814</v>
      </c>
      <c r="L345" s="444">
        <f t="shared" ca="1" si="28"/>
        <v>1743818.9287003819</v>
      </c>
      <c r="M345" s="460">
        <f t="shared" si="30"/>
        <v>0.05</v>
      </c>
      <c r="N345" s="464">
        <f t="shared" si="31"/>
        <v>61545</v>
      </c>
    </row>
    <row r="346" spans="7:14" ht="11.25" customHeight="1" x14ac:dyDescent="0.25">
      <c r="G346" s="459">
        <f t="shared" si="38"/>
        <v>29</v>
      </c>
      <c r="H346" s="459">
        <v>339</v>
      </c>
      <c r="I346" s="444">
        <f t="shared" ca="1" si="29"/>
        <v>1743818.9287003819</v>
      </c>
      <c r="J346" s="444">
        <f t="array" ref="J346">IFERROR(INDEX('Retirement Calculator'!K:K,MATCH('Lorri 401b'!N346,'Retirement Calculator'!A:A,0),0),0)</f>
        <v>21655.303514578787</v>
      </c>
      <c r="K346" s="444">
        <f t="shared" ca="1" si="27"/>
        <v>7175.6817716075129</v>
      </c>
      <c r="L346" s="444">
        <f t="shared" ca="1" si="28"/>
        <v>1729339.3069574106</v>
      </c>
      <c r="M346" s="460">
        <f t="shared" si="30"/>
        <v>0.05</v>
      </c>
      <c r="N346" s="464">
        <f t="shared" si="31"/>
        <v>61576</v>
      </c>
    </row>
    <row r="347" spans="7:14" ht="11.25" customHeight="1" x14ac:dyDescent="0.25">
      <c r="G347" s="459">
        <f t="shared" si="38"/>
        <v>29</v>
      </c>
      <c r="H347" s="459">
        <v>340</v>
      </c>
      <c r="I347" s="444">
        <f t="shared" ca="1" si="29"/>
        <v>1729339.3069574106</v>
      </c>
      <c r="J347" s="444">
        <f t="array" ref="J347">IFERROR(INDEX('Retirement Calculator'!K:K,MATCH('Lorri 401b'!N347,'Retirement Calculator'!A:A,0),0),0)</f>
        <v>21655.303514578787</v>
      </c>
      <c r="K347" s="444">
        <f t="shared" ca="1" si="27"/>
        <v>7115.3500143451311</v>
      </c>
      <c r="L347" s="444">
        <f t="shared" ca="1" si="28"/>
        <v>1714799.3534571768</v>
      </c>
      <c r="M347" s="460">
        <f t="shared" si="30"/>
        <v>0.05</v>
      </c>
      <c r="N347" s="464">
        <f t="shared" si="31"/>
        <v>61607</v>
      </c>
    </row>
    <row r="348" spans="7:14" ht="11.25" customHeight="1" x14ac:dyDescent="0.25">
      <c r="G348" s="459">
        <f t="shared" si="38"/>
        <v>29</v>
      </c>
      <c r="H348" s="459">
        <v>341</v>
      </c>
      <c r="I348" s="444">
        <f t="shared" ca="1" si="29"/>
        <v>1714799.3534571768</v>
      </c>
      <c r="J348" s="444">
        <f t="array" ref="J348">IFERROR(INDEX('Retirement Calculator'!K:K,MATCH('Lorri 401b'!N348,'Retirement Calculator'!A:A,0),0),0)</f>
        <v>21655.303514578787</v>
      </c>
      <c r="K348" s="444">
        <f t="shared" ca="1" si="27"/>
        <v>7054.766874760825</v>
      </c>
      <c r="L348" s="444">
        <f t="shared" ca="1" si="28"/>
        <v>1700198.8168173588</v>
      </c>
      <c r="M348" s="460">
        <f t="shared" si="30"/>
        <v>0.05</v>
      </c>
      <c r="N348" s="464">
        <f t="shared" si="31"/>
        <v>61637</v>
      </c>
    </row>
    <row r="349" spans="7:14" ht="11.25" customHeight="1" x14ac:dyDescent="0.25">
      <c r="G349" s="459">
        <f t="shared" si="38"/>
        <v>29</v>
      </c>
      <c r="H349" s="459">
        <v>342</v>
      </c>
      <c r="I349" s="444">
        <f t="shared" ca="1" si="29"/>
        <v>1700198.8168173588</v>
      </c>
      <c r="J349" s="444">
        <f t="array" ref="J349">IFERROR(INDEX('Retirement Calculator'!K:K,MATCH('Lorri 401b'!N349,'Retirement Calculator'!A:A,0),0),0)</f>
        <v>21655.303514578787</v>
      </c>
      <c r="K349" s="444">
        <f t="shared" ca="1" si="27"/>
        <v>6993.9313054282493</v>
      </c>
      <c r="L349" s="444">
        <f t="shared" ca="1" si="28"/>
        <v>1685537.4446082083</v>
      </c>
      <c r="M349" s="460">
        <f t="shared" si="30"/>
        <v>0.05</v>
      </c>
      <c r="N349" s="464">
        <f t="shared" si="31"/>
        <v>61668</v>
      </c>
    </row>
    <row r="350" spans="7:14" ht="11.25" customHeight="1" x14ac:dyDescent="0.25">
      <c r="G350" s="459">
        <f t="shared" si="38"/>
        <v>29</v>
      </c>
      <c r="H350" s="459">
        <v>343</v>
      </c>
      <c r="I350" s="444">
        <f t="shared" ca="1" si="29"/>
        <v>1685537.4446082083</v>
      </c>
      <c r="J350" s="444">
        <f t="array" ref="J350">IFERROR(INDEX('Retirement Calculator'!K:K,MATCH('Lorri 401b'!N350,'Retirement Calculator'!A:A,0),0),0)</f>
        <v>21655.303514578787</v>
      </c>
      <c r="K350" s="444">
        <f t="shared" ca="1" si="27"/>
        <v>6932.8422545567901</v>
      </c>
      <c r="L350" s="444">
        <f t="shared" ca="1" si="28"/>
        <v>1670814.9833481861</v>
      </c>
      <c r="M350" s="460">
        <f t="shared" si="30"/>
        <v>0.05</v>
      </c>
      <c r="N350" s="464">
        <f t="shared" si="31"/>
        <v>61698</v>
      </c>
    </row>
    <row r="351" spans="7:14" ht="11.25" customHeight="1" x14ac:dyDescent="0.25">
      <c r="G351" s="459">
        <f t="shared" si="38"/>
        <v>29</v>
      </c>
      <c r="H351" s="459">
        <v>344</v>
      </c>
      <c r="I351" s="444">
        <f t="shared" ca="1" si="29"/>
        <v>1670814.9833481861</v>
      </c>
      <c r="J351" s="444">
        <f t="array" ref="J351">IFERROR(INDEX('Retirement Calculator'!K:K,MATCH('Lorri 401b'!N351,'Retirement Calculator'!A:A,0),0),0)</f>
        <v>21655.303514578787</v>
      </c>
      <c r="K351" s="444">
        <f t="shared" ca="1" si="27"/>
        <v>6871.4986659733622</v>
      </c>
      <c r="L351" s="444">
        <f t="shared" ca="1" si="28"/>
        <v>1656031.1784995806</v>
      </c>
      <c r="M351" s="460">
        <f t="shared" si="30"/>
        <v>0.05</v>
      </c>
      <c r="N351" s="464">
        <f t="shared" si="31"/>
        <v>61729</v>
      </c>
    </row>
    <row r="352" spans="7:14" ht="11.25" customHeight="1" x14ac:dyDescent="0.25">
      <c r="G352" s="459">
        <f t="shared" si="38"/>
        <v>29</v>
      </c>
      <c r="H352" s="459">
        <v>345</v>
      </c>
      <c r="I352" s="444">
        <f t="shared" ca="1" si="29"/>
        <v>1656031.1784995806</v>
      </c>
      <c r="J352" s="444">
        <f t="array" ref="J352">IFERROR(INDEX('Retirement Calculator'!K:K,MATCH('Lorri 401b'!N352,'Retirement Calculator'!A:A,0),0),0)</f>
        <v>21655.303514578787</v>
      </c>
      <c r="K352" s="444">
        <f t="shared" ca="1" si="27"/>
        <v>6809.899479104175</v>
      </c>
      <c r="L352" s="444">
        <f t="shared" ca="1" si="28"/>
        <v>1641185.774464106</v>
      </c>
      <c r="M352" s="460">
        <f t="shared" si="30"/>
        <v>0.05</v>
      </c>
      <c r="N352" s="464">
        <f t="shared" si="31"/>
        <v>61760</v>
      </c>
    </row>
    <row r="353" spans="7:14" ht="11.25" customHeight="1" x14ac:dyDescent="0.25">
      <c r="G353" s="459">
        <f t="shared" si="38"/>
        <v>29</v>
      </c>
      <c r="H353" s="459">
        <v>346</v>
      </c>
      <c r="I353" s="444">
        <f t="shared" ca="1" si="29"/>
        <v>1641185.774464106</v>
      </c>
      <c r="J353" s="444">
        <f t="array" ref="J353">IFERROR(INDEX('Retirement Calculator'!K:K,MATCH('Lorri 401b'!N353,'Retirement Calculator'!A:A,0),0),0)</f>
        <v>21655.303514578787</v>
      </c>
      <c r="K353" s="444">
        <f t="shared" ca="1" si="27"/>
        <v>6748.0436289563631</v>
      </c>
      <c r="L353" s="444">
        <f t="shared" ca="1" si="28"/>
        <v>1626278.5145784835</v>
      </c>
      <c r="M353" s="460">
        <f t="shared" si="30"/>
        <v>0.05</v>
      </c>
      <c r="N353" s="464">
        <f t="shared" si="31"/>
        <v>61788</v>
      </c>
    </row>
    <row r="354" spans="7:14" ht="11.25" customHeight="1" x14ac:dyDescent="0.25">
      <c r="G354" s="459">
        <f t="shared" si="38"/>
        <v>29</v>
      </c>
      <c r="H354" s="459">
        <v>347</v>
      </c>
      <c r="I354" s="444">
        <f t="shared" ca="1" si="29"/>
        <v>1626278.5145784835</v>
      </c>
      <c r="J354" s="444">
        <f t="array" ref="J354">IFERROR(INDEX('Retirement Calculator'!K:K,MATCH('Lorri 401b'!N354,'Retirement Calculator'!A:A,0),0),0)</f>
        <v>21655.303514578787</v>
      </c>
      <c r="K354" s="444">
        <f t="shared" ca="1" si="27"/>
        <v>6685.9300460996028</v>
      </c>
      <c r="L354" s="444">
        <f t="shared" ca="1" si="28"/>
        <v>1611309.1411100044</v>
      </c>
      <c r="M354" s="460">
        <f t="shared" si="30"/>
        <v>0.05</v>
      </c>
      <c r="N354" s="464">
        <f t="shared" si="31"/>
        <v>61819</v>
      </c>
    </row>
    <row r="355" spans="7:14" ht="11.25" customHeight="1" x14ac:dyDescent="0.25">
      <c r="G355" s="459">
        <f t="shared" si="38"/>
        <v>29</v>
      </c>
      <c r="H355" s="459">
        <v>348</v>
      </c>
      <c r="I355" s="444">
        <f t="shared" ca="1" si="29"/>
        <v>1611309.1411100044</v>
      </c>
      <c r="J355" s="444">
        <f t="array" ref="J355">IFERROR(INDEX('Retirement Calculator'!K:K,MATCH('Lorri 401b'!N355,'Retirement Calculator'!A:A,0),0),0)</f>
        <v>21655.303514578787</v>
      </c>
      <c r="K355" s="444">
        <f t="shared" ca="1" si="27"/>
        <v>6623.5576566476066</v>
      </c>
      <c r="L355" s="444">
        <f t="shared" ca="1" si="28"/>
        <v>1596277.3952520732</v>
      </c>
      <c r="M355" s="460">
        <f t="shared" si="30"/>
        <v>0.05</v>
      </c>
      <c r="N355" s="464">
        <f t="shared" si="31"/>
        <v>61849</v>
      </c>
    </row>
    <row r="356" spans="7:14" ht="11.25" customHeight="1" x14ac:dyDescent="0.25">
      <c r="G356" s="459">
        <f>G355+1</f>
        <v>30</v>
      </c>
      <c r="H356" s="459">
        <v>349</v>
      </c>
      <c r="I356" s="444">
        <f t="shared" ca="1" si="29"/>
        <v>1596277.3952520732</v>
      </c>
      <c r="J356" s="444">
        <f t="array" ref="J356">IFERROR(INDEX('Retirement Calculator'!K:K,MATCH('Lorri 401b'!N356,'Retirement Calculator'!A:A,0),0),0)</f>
        <v>21655.303514578787</v>
      </c>
      <c r="K356" s="444">
        <f t="shared" ca="1" si="27"/>
        <v>6560.9253822395594</v>
      </c>
      <c r="L356" s="444">
        <f t="shared" ca="1" si="28"/>
        <v>1581183.0171197338</v>
      </c>
      <c r="M356" s="460">
        <f t="shared" si="30"/>
        <v>0.05</v>
      </c>
      <c r="N356" s="464">
        <f t="shared" si="31"/>
        <v>61880</v>
      </c>
    </row>
    <row r="357" spans="7:14" ht="11.25" customHeight="1" x14ac:dyDescent="0.25">
      <c r="G357" s="459">
        <f t="shared" ref="G357:G367" si="39">G356</f>
        <v>30</v>
      </c>
      <c r="H357" s="459">
        <v>350</v>
      </c>
      <c r="I357" s="444">
        <f t="shared" ca="1" si="29"/>
        <v>1581183.0171197338</v>
      </c>
      <c r="J357" s="444">
        <f t="array" ref="J357">IFERROR(INDEX('Retirement Calculator'!K:K,MATCH('Lorri 401b'!N357,'Retirement Calculator'!A:A,0),0),0)</f>
        <v>21655.303514578787</v>
      </c>
      <c r="K357" s="444">
        <f t="shared" ca="1" si="27"/>
        <v>6498.0321400214789</v>
      </c>
      <c r="L357" s="444">
        <f t="shared" ca="1" si="28"/>
        <v>1566025.7457451764</v>
      </c>
      <c r="M357" s="460">
        <f t="shared" si="30"/>
        <v>0.05</v>
      </c>
      <c r="N357" s="464">
        <f t="shared" si="31"/>
        <v>61910</v>
      </c>
    </row>
    <row r="358" spans="7:14" ht="11.25" customHeight="1" x14ac:dyDescent="0.25">
      <c r="G358" s="459">
        <f t="shared" si="39"/>
        <v>30</v>
      </c>
      <c r="H358" s="459">
        <v>351</v>
      </c>
      <c r="I358" s="444">
        <f t="shared" ca="1" si="29"/>
        <v>1566025.7457451764</v>
      </c>
      <c r="J358" s="444">
        <f t="array" ref="J358">IFERROR(INDEX('Retirement Calculator'!K:K,MATCH('Lorri 401b'!N358,'Retirement Calculator'!A:A,0),0),0)</f>
        <v>21655.303514578787</v>
      </c>
      <c r="K358" s="444">
        <f t="shared" ca="1" si="27"/>
        <v>6434.8768426274901</v>
      </c>
      <c r="L358" s="444">
        <f t="shared" ca="1" si="28"/>
        <v>1550805.3190732251</v>
      </c>
      <c r="M358" s="460">
        <f t="shared" si="30"/>
        <v>0.05</v>
      </c>
      <c r="N358" s="464">
        <f t="shared" si="31"/>
        <v>61941</v>
      </c>
    </row>
    <row r="359" spans="7:14" ht="11.25" customHeight="1" x14ac:dyDescent="0.25">
      <c r="G359" s="459">
        <f t="shared" si="39"/>
        <v>30</v>
      </c>
      <c r="H359" s="459">
        <v>352</v>
      </c>
      <c r="I359" s="444">
        <f t="shared" ca="1" si="29"/>
        <v>1550805.3190732251</v>
      </c>
      <c r="J359" s="444">
        <f t="array" ref="J359">IFERROR(INDEX('Retirement Calculator'!K:K,MATCH('Lorri 401b'!N359,'Retirement Calculator'!A:A,0),0),0)</f>
        <v>21655.303514578787</v>
      </c>
      <c r="K359" s="444">
        <f t="shared" ca="1" si="27"/>
        <v>6371.4583981610258</v>
      </c>
      <c r="L359" s="444">
        <f t="shared" ca="1" si="28"/>
        <v>1535521.4739568073</v>
      </c>
      <c r="M359" s="460">
        <f t="shared" si="30"/>
        <v>0.05</v>
      </c>
      <c r="N359" s="464">
        <f t="shared" si="31"/>
        <v>61972</v>
      </c>
    </row>
    <row r="360" spans="7:14" ht="11.25" customHeight="1" x14ac:dyDescent="0.25">
      <c r="G360" s="459">
        <f t="shared" si="39"/>
        <v>30</v>
      </c>
      <c r="H360" s="459">
        <v>353</v>
      </c>
      <c r="I360" s="444">
        <f t="shared" ca="1" si="29"/>
        <v>1535521.4739568073</v>
      </c>
      <c r="J360" s="444">
        <f t="array" ref="J360">IFERROR(INDEX('Retirement Calculator'!K:K,MATCH('Lorri 401b'!N360,'Retirement Calculator'!A:A,0),0),0)</f>
        <v>21655.303514578787</v>
      </c>
      <c r="K360" s="444">
        <f t="shared" ca="1" si="27"/>
        <v>6307.7757101759516</v>
      </c>
      <c r="L360" s="444">
        <f t="shared" ca="1" si="28"/>
        <v>1520173.9461524044</v>
      </c>
      <c r="M360" s="460">
        <f t="shared" si="30"/>
        <v>0.05</v>
      </c>
      <c r="N360" s="464">
        <f t="shared" si="31"/>
        <v>62002</v>
      </c>
    </row>
    <row r="361" spans="7:14" ht="11.25" customHeight="1" x14ac:dyDescent="0.25">
      <c r="G361" s="459">
        <f t="shared" si="39"/>
        <v>30</v>
      </c>
      <c r="H361" s="459">
        <v>354</v>
      </c>
      <c r="I361" s="444">
        <f t="shared" ca="1" si="29"/>
        <v>1520173.9461524044</v>
      </c>
      <c r="J361" s="444">
        <f t="array" ref="J361">IFERROR(INDEX('Retirement Calculator'!K:K,MATCH('Lorri 401b'!N361,'Retirement Calculator'!A:A,0),0),0)</f>
        <v>21655.303514578787</v>
      </c>
      <c r="K361" s="444">
        <f t="shared" ca="1" si="27"/>
        <v>6243.8276776576067</v>
      </c>
      <c r="L361" s="444">
        <f t="shared" ca="1" si="28"/>
        <v>1504762.4703154832</v>
      </c>
      <c r="M361" s="460">
        <f t="shared" si="30"/>
        <v>0.05</v>
      </c>
      <c r="N361" s="464">
        <f t="shared" si="31"/>
        <v>62033</v>
      </c>
    </row>
    <row r="362" spans="7:14" ht="11.25" customHeight="1" x14ac:dyDescent="0.25">
      <c r="G362" s="459">
        <f t="shared" si="39"/>
        <v>30</v>
      </c>
      <c r="H362" s="459">
        <v>355</v>
      </c>
      <c r="I362" s="444">
        <f t="shared" ca="1" si="29"/>
        <v>1504762.4703154832</v>
      </c>
      <c r="J362" s="444">
        <f t="array" ref="J362">IFERROR(INDEX('Retirement Calculator'!K:K,MATCH('Lorri 401b'!N362,'Retirement Calculator'!A:A,0),0),0)</f>
        <v>21655.303514578787</v>
      </c>
      <c r="K362" s="444">
        <f t="shared" ca="1" si="27"/>
        <v>6179.6131950037679</v>
      </c>
      <c r="L362" s="444">
        <f t="shared" ca="1" si="28"/>
        <v>1489286.779995908</v>
      </c>
      <c r="M362" s="460">
        <f t="shared" si="30"/>
        <v>0.05</v>
      </c>
      <c r="N362" s="464">
        <f t="shared" si="31"/>
        <v>62063</v>
      </c>
    </row>
    <row r="363" spans="7:14" ht="11.25" customHeight="1" x14ac:dyDescent="0.25">
      <c r="G363" s="459">
        <f t="shared" si="39"/>
        <v>30</v>
      </c>
      <c r="H363" s="459">
        <v>356</v>
      </c>
      <c r="I363" s="444">
        <f t="shared" ca="1" si="29"/>
        <v>1489286.779995908</v>
      </c>
      <c r="J363" s="444">
        <f t="array" ref="J363">IFERROR(INDEX('Retirement Calculator'!K:K,MATCH('Lorri 401b'!N363,'Retirement Calculator'!A:A,0),0),0)</f>
        <v>21655.303514578787</v>
      </c>
      <c r="K363" s="444">
        <f t="shared" ca="1" si="27"/>
        <v>6115.1311520055378</v>
      </c>
      <c r="L363" s="444">
        <f t="shared" ca="1" si="28"/>
        <v>1473746.6076333348</v>
      </c>
      <c r="M363" s="460">
        <f t="shared" si="30"/>
        <v>0.05</v>
      </c>
      <c r="N363" s="464">
        <f t="shared" si="31"/>
        <v>62094</v>
      </c>
    </row>
    <row r="364" spans="7:14" ht="11.25" customHeight="1" x14ac:dyDescent="0.25">
      <c r="G364" s="459">
        <f t="shared" si="39"/>
        <v>30</v>
      </c>
      <c r="H364" s="459">
        <v>357</v>
      </c>
      <c r="I364" s="444">
        <f t="shared" ca="1" si="29"/>
        <v>1473746.6076333348</v>
      </c>
      <c r="J364" s="444">
        <f t="array" ref="J364">IFERROR(INDEX('Retirement Calculator'!K:K,MATCH('Lorri 401b'!N364,'Retirement Calculator'!A:A,0),0),0)</f>
        <v>21655.303514578787</v>
      </c>
      <c r="K364" s="444">
        <f t="shared" ca="1" si="27"/>
        <v>6050.3804338281498</v>
      </c>
      <c r="L364" s="444">
        <f t="shared" ca="1" si="28"/>
        <v>1458141.6845525841</v>
      </c>
      <c r="M364" s="460">
        <f t="shared" si="30"/>
        <v>0.05</v>
      </c>
      <c r="N364" s="464">
        <f t="shared" si="31"/>
        <v>62125</v>
      </c>
    </row>
    <row r="365" spans="7:14" ht="11.25" customHeight="1" x14ac:dyDescent="0.25">
      <c r="G365" s="459">
        <f t="shared" si="39"/>
        <v>30</v>
      </c>
      <c r="H365" s="459">
        <v>358</v>
      </c>
      <c r="I365" s="444">
        <f t="shared" ca="1" si="29"/>
        <v>1458141.6845525841</v>
      </c>
      <c r="J365" s="444">
        <f t="array" ref="J365">IFERROR(INDEX('Retirement Calculator'!K:K,MATCH('Lorri 401b'!N365,'Retirement Calculator'!A:A,0),0),0)</f>
        <v>21655.303514578787</v>
      </c>
      <c r="K365" s="444">
        <f t="shared" ca="1" si="27"/>
        <v>5985.3599209916883</v>
      </c>
      <c r="L365" s="444">
        <f t="shared" ca="1" si="28"/>
        <v>1442471.7409589968</v>
      </c>
      <c r="M365" s="460">
        <f t="shared" si="30"/>
        <v>0.05</v>
      </c>
      <c r="N365" s="464">
        <f t="shared" si="31"/>
        <v>62153</v>
      </c>
    </row>
    <row r="366" spans="7:14" ht="11.25" customHeight="1" x14ac:dyDescent="0.25">
      <c r="G366" s="459">
        <f t="shared" si="39"/>
        <v>30</v>
      </c>
      <c r="H366" s="459">
        <v>359</v>
      </c>
      <c r="I366" s="444">
        <f t="shared" ca="1" si="29"/>
        <v>1442471.7409589968</v>
      </c>
      <c r="J366" s="444">
        <f t="array" ref="J366">IFERROR(INDEX('Retirement Calculator'!K:K,MATCH('Lorri 401b'!N366,'Retirement Calculator'!A:A,0),0),0)</f>
        <v>21655.303514578787</v>
      </c>
      <c r="K366" s="444">
        <f t="shared" ca="1" si="27"/>
        <v>5920.0684893517418</v>
      </c>
      <c r="L366" s="444">
        <f t="shared" ca="1" si="28"/>
        <v>1426736.5059337697</v>
      </c>
      <c r="M366" s="460">
        <f t="shared" si="30"/>
        <v>0.05</v>
      </c>
      <c r="N366" s="464">
        <f t="shared" si="31"/>
        <v>62184</v>
      </c>
    </row>
    <row r="367" spans="7:14" ht="11.25" customHeight="1" x14ac:dyDescent="0.25">
      <c r="G367" s="459">
        <f t="shared" si="39"/>
        <v>30</v>
      </c>
      <c r="H367" s="459">
        <v>360</v>
      </c>
      <c r="I367" s="444">
        <f t="shared" ca="1" si="29"/>
        <v>1426736.5059337697</v>
      </c>
      <c r="J367" s="444">
        <f t="array" ref="J367">IFERROR(INDEX('Retirement Calculator'!K:K,MATCH('Lorri 401b'!N367,'Retirement Calculator'!A:A,0),0),0)</f>
        <v>21655.303514578787</v>
      </c>
      <c r="K367" s="444">
        <f t="shared" ca="1" si="27"/>
        <v>5854.5050100799617</v>
      </c>
      <c r="L367" s="444">
        <f t="shared" ca="1" si="28"/>
        <v>1410935.707429271</v>
      </c>
      <c r="M367" s="460">
        <f t="shared" si="30"/>
        <v>0.05</v>
      </c>
      <c r="N367" s="464">
        <f t="shared" si="31"/>
        <v>62214</v>
      </c>
    </row>
    <row r="368" spans="7:14" ht="11.25" customHeight="1" x14ac:dyDescent="0.25">
      <c r="G368" s="459">
        <f>G367+1</f>
        <v>31</v>
      </c>
      <c r="H368" s="459">
        <v>361</v>
      </c>
      <c r="I368" s="444">
        <f t="shared" ca="1" si="29"/>
        <v>1410935.707429271</v>
      </c>
      <c r="J368" s="444">
        <f t="array" ref="J368">IFERROR(INDEX('Retirement Calculator'!K:K,MATCH('Lorri 401b'!N368,'Retirement Calculator'!A:A,0),0),0)</f>
        <v>21655.303514578787</v>
      </c>
      <c r="K368" s="444">
        <f t="shared" ca="1" si="27"/>
        <v>5788.6683496445503</v>
      </c>
      <c r="L368" s="444">
        <f t="shared" ca="1" si="28"/>
        <v>1395069.0722643367</v>
      </c>
      <c r="M368" s="460">
        <f t="shared" si="30"/>
        <v>0.05</v>
      </c>
      <c r="N368" s="464">
        <f t="shared" si="31"/>
        <v>62245</v>
      </c>
    </row>
    <row r="369" spans="7:14" ht="11.25" customHeight="1" x14ac:dyDescent="0.25">
      <c r="G369" s="459">
        <f t="shared" ref="G369:G379" si="40">G368</f>
        <v>31</v>
      </c>
      <c r="H369" s="459">
        <v>362</v>
      </c>
      <c r="I369" s="444">
        <f t="shared" ca="1" si="29"/>
        <v>1395069.0722643367</v>
      </c>
      <c r="J369" s="444">
        <f t="array" ref="J369">IFERROR(INDEX('Retirement Calculator'!K:K,MATCH('Lorri 401b'!N369,'Retirement Calculator'!A:A,0),0),0)</f>
        <v>21655.303514578787</v>
      </c>
      <c r="K369" s="444">
        <f t="shared" ca="1" si="27"/>
        <v>5722.5573697906575</v>
      </c>
      <c r="L369" s="444">
        <f t="shared" ca="1" si="28"/>
        <v>1379136.3261195486</v>
      </c>
      <c r="M369" s="460">
        <f t="shared" si="30"/>
        <v>0.05</v>
      </c>
      <c r="N369" s="464">
        <f t="shared" si="31"/>
        <v>62275</v>
      </c>
    </row>
    <row r="370" spans="7:14" ht="11.25" customHeight="1" x14ac:dyDescent="0.25">
      <c r="G370" s="459">
        <f t="shared" si="40"/>
        <v>31</v>
      </c>
      <c r="H370" s="459">
        <v>363</v>
      </c>
      <c r="I370" s="444">
        <f t="shared" ca="1" si="29"/>
        <v>1379136.3261195486</v>
      </c>
      <c r="J370" s="444">
        <f t="array" ref="J370">IFERROR(INDEX('Retirement Calculator'!K:K,MATCH('Lorri 401b'!N370,'Retirement Calculator'!A:A,0),0),0)</f>
        <v>21655.303514578787</v>
      </c>
      <c r="K370" s="444">
        <f t="shared" ca="1" si="27"/>
        <v>5656.1709275207077</v>
      </c>
      <c r="L370" s="444">
        <f t="shared" ca="1" si="28"/>
        <v>1363137.1935324904</v>
      </c>
      <c r="M370" s="460">
        <f t="shared" si="30"/>
        <v>0.05</v>
      </c>
      <c r="N370" s="464">
        <f t="shared" si="31"/>
        <v>62306</v>
      </c>
    </row>
    <row r="371" spans="7:14" ht="11.25" customHeight="1" x14ac:dyDescent="0.25">
      <c r="G371" s="459">
        <f t="shared" si="40"/>
        <v>31</v>
      </c>
      <c r="H371" s="459">
        <v>364</v>
      </c>
      <c r="I371" s="444">
        <f t="shared" ca="1" si="29"/>
        <v>1363137.1935324904</v>
      </c>
      <c r="J371" s="444">
        <f t="array" ref="J371">IFERROR(INDEX('Retirement Calculator'!K:K,MATCH('Lorri 401b'!N371,'Retirement Calculator'!A:A,0),0),0)</f>
        <v>21655.303514578787</v>
      </c>
      <c r="K371" s="444">
        <f t="shared" ca="1" si="27"/>
        <v>5589.5078750746316</v>
      </c>
      <c r="L371" s="444">
        <f t="shared" ca="1" si="28"/>
        <v>1347071.3978929862</v>
      </c>
      <c r="M371" s="460">
        <f t="shared" si="30"/>
        <v>0.05</v>
      </c>
      <c r="N371" s="464">
        <f t="shared" si="31"/>
        <v>62337</v>
      </c>
    </row>
    <row r="372" spans="7:14" ht="11.25" customHeight="1" x14ac:dyDescent="0.25">
      <c r="G372" s="459">
        <f t="shared" si="40"/>
        <v>31</v>
      </c>
      <c r="H372" s="459">
        <v>365</v>
      </c>
      <c r="I372" s="444">
        <f t="shared" ca="1" si="29"/>
        <v>1347071.3978929862</v>
      </c>
      <c r="J372" s="444">
        <f t="array" ref="J372">IFERROR(INDEX('Retirement Calculator'!K:K,MATCH('Lorri 401b'!N372,'Retirement Calculator'!A:A,0),0),0)</f>
        <v>21655.303514578787</v>
      </c>
      <c r="K372" s="444">
        <f t="shared" ca="1" si="27"/>
        <v>5522.5670599100304</v>
      </c>
      <c r="L372" s="444">
        <f t="shared" ca="1" si="28"/>
        <v>1330938.6614383173</v>
      </c>
      <c r="M372" s="460">
        <f t="shared" si="30"/>
        <v>0.05</v>
      </c>
      <c r="N372" s="464">
        <f t="shared" si="31"/>
        <v>62367</v>
      </c>
    </row>
    <row r="373" spans="7:14" ht="11.25" customHeight="1" x14ac:dyDescent="0.25">
      <c r="G373" s="459">
        <f t="shared" si="40"/>
        <v>31</v>
      </c>
      <c r="H373" s="459">
        <v>366</v>
      </c>
      <c r="I373" s="444">
        <f t="shared" ca="1" si="29"/>
        <v>1330938.6614383173</v>
      </c>
      <c r="J373" s="444">
        <f t="array" ref="J373">IFERROR(INDEX('Retirement Calculator'!K:K,MATCH('Lorri 401b'!N373,'Retirement Calculator'!A:A,0),0),0)</f>
        <v>21655.303514578787</v>
      </c>
      <c r="K373" s="444">
        <f t="shared" ca="1" si="27"/>
        <v>5455.3473246822432</v>
      </c>
      <c r="L373" s="444">
        <f t="shared" ca="1" si="28"/>
        <v>1314738.7052484206</v>
      </c>
      <c r="M373" s="460">
        <f t="shared" si="30"/>
        <v>0.05</v>
      </c>
      <c r="N373" s="464">
        <f t="shared" si="31"/>
        <v>62398</v>
      </c>
    </row>
    <row r="374" spans="7:14" ht="11.25" customHeight="1" x14ac:dyDescent="0.25">
      <c r="G374" s="459">
        <f t="shared" si="40"/>
        <v>31</v>
      </c>
      <c r="H374" s="459">
        <v>367</v>
      </c>
      <c r="I374" s="444">
        <f t="shared" ca="1" si="29"/>
        <v>1314738.7052484206</v>
      </c>
      <c r="J374" s="444">
        <f t="array" ref="J374">IFERROR(INDEX('Retirement Calculator'!K:K,MATCH('Lorri 401b'!N374,'Retirement Calculator'!A:A,0),0),0)</f>
        <v>21655.303514578787</v>
      </c>
      <c r="K374" s="444">
        <f t="shared" ca="1" si="27"/>
        <v>5387.8475072243409</v>
      </c>
      <c r="L374" s="444">
        <f t="shared" ca="1" si="28"/>
        <v>1298471.2492410662</v>
      </c>
      <c r="M374" s="460">
        <f t="shared" si="30"/>
        <v>0.05</v>
      </c>
      <c r="N374" s="464">
        <f t="shared" si="31"/>
        <v>62428</v>
      </c>
    </row>
    <row r="375" spans="7:14" ht="11.25" customHeight="1" x14ac:dyDescent="0.25">
      <c r="G375" s="459">
        <f t="shared" si="40"/>
        <v>31</v>
      </c>
      <c r="H375" s="459">
        <v>368</v>
      </c>
      <c r="I375" s="444">
        <f t="shared" ca="1" si="29"/>
        <v>1298471.2492410662</v>
      </c>
      <c r="J375" s="444">
        <f t="array" ref="J375">IFERROR(INDEX('Retirement Calculator'!K:K,MATCH('Lorri 401b'!N375,'Retirement Calculator'!A:A,0),0),0)</f>
        <v>21655.303514578787</v>
      </c>
      <c r="K375" s="444">
        <f t="shared" ca="1" si="27"/>
        <v>5320.0664405270309</v>
      </c>
      <c r="L375" s="444">
        <f t="shared" ca="1" si="28"/>
        <v>1282136.0121670144</v>
      </c>
      <c r="M375" s="460">
        <f t="shared" si="30"/>
        <v>0.05</v>
      </c>
      <c r="N375" s="464">
        <f t="shared" si="31"/>
        <v>62459</v>
      </c>
    </row>
    <row r="376" spans="7:14" ht="11.25" customHeight="1" x14ac:dyDescent="0.25">
      <c r="G376" s="459">
        <f t="shared" si="40"/>
        <v>31</v>
      </c>
      <c r="H376" s="459">
        <v>369</v>
      </c>
      <c r="I376" s="444">
        <f t="shared" ca="1" si="29"/>
        <v>1282136.0121670144</v>
      </c>
      <c r="J376" s="444">
        <f t="array" ref="J376">IFERROR(INDEX('Retirement Calculator'!K:K,MATCH('Lorri 401b'!N376,'Retirement Calculator'!A:A,0),0),0)</f>
        <v>21655.303514578787</v>
      </c>
      <c r="K376" s="444">
        <f t="shared" ca="1" si="27"/>
        <v>5252.0029527184815</v>
      </c>
      <c r="L376" s="444">
        <f t="shared" ca="1" si="28"/>
        <v>1265732.711605154</v>
      </c>
      <c r="M376" s="460">
        <f t="shared" si="30"/>
        <v>0.05</v>
      </c>
      <c r="N376" s="464">
        <f t="shared" si="31"/>
        <v>62490</v>
      </c>
    </row>
    <row r="377" spans="7:14" ht="11.25" customHeight="1" x14ac:dyDescent="0.25">
      <c r="G377" s="459">
        <f t="shared" si="40"/>
        <v>31</v>
      </c>
      <c r="H377" s="459">
        <v>370</v>
      </c>
      <c r="I377" s="444">
        <f t="shared" ca="1" si="29"/>
        <v>1265732.711605154</v>
      </c>
      <c r="J377" s="444">
        <f t="array" ref="J377">IFERROR(INDEX('Retirement Calculator'!K:K,MATCH('Lorri 401b'!N377,'Retirement Calculator'!A:A,0),0),0)</f>
        <v>21655.303514578787</v>
      </c>
      <c r="K377" s="444">
        <f t="shared" ca="1" si="27"/>
        <v>5183.6558670440627</v>
      </c>
      <c r="L377" s="444">
        <f t="shared" ca="1" si="28"/>
        <v>1249261.0639576192</v>
      </c>
      <c r="M377" s="460">
        <f t="shared" si="30"/>
        <v>0.05</v>
      </c>
      <c r="N377" s="464">
        <f t="shared" si="31"/>
        <v>62518</v>
      </c>
    </row>
    <row r="378" spans="7:14" ht="11.25" customHeight="1" x14ac:dyDescent="0.25">
      <c r="G378" s="459">
        <f t="shared" si="40"/>
        <v>31</v>
      </c>
      <c r="H378" s="459">
        <v>371</v>
      </c>
      <c r="I378" s="444">
        <f t="shared" ca="1" si="29"/>
        <v>1249261.0639576192</v>
      </c>
      <c r="J378" s="444">
        <f t="array" ref="J378">IFERROR(INDEX('Retirement Calculator'!K:K,MATCH('Lorri 401b'!N378,'Retirement Calculator'!A:A,0),0),0)</f>
        <v>21655.303514578787</v>
      </c>
      <c r="K378" s="444">
        <f t="shared" ca="1" si="27"/>
        <v>5115.0240018460017</v>
      </c>
      <c r="L378" s="444">
        <f t="shared" ca="1" si="28"/>
        <v>1232720.7844448865</v>
      </c>
      <c r="M378" s="460">
        <f t="shared" si="30"/>
        <v>0.05</v>
      </c>
      <c r="N378" s="464">
        <f t="shared" si="31"/>
        <v>62549</v>
      </c>
    </row>
    <row r="379" spans="7:14" ht="11.25" customHeight="1" x14ac:dyDescent="0.25">
      <c r="G379" s="459">
        <f t="shared" si="40"/>
        <v>31</v>
      </c>
      <c r="H379" s="459">
        <v>372</v>
      </c>
      <c r="I379" s="444">
        <f t="shared" ca="1" si="29"/>
        <v>1232720.7844448865</v>
      </c>
      <c r="J379" s="444">
        <f t="array" ref="J379">IFERROR(INDEX('Retirement Calculator'!K:K,MATCH('Lorri 401b'!N379,'Retirement Calculator'!A:A,0),0),0)</f>
        <v>21655.303514578787</v>
      </c>
      <c r="K379" s="444">
        <f t="shared" ca="1" si="27"/>
        <v>5046.1061705429483</v>
      </c>
      <c r="L379" s="444">
        <f t="shared" ca="1" si="28"/>
        <v>1216111.5871008507</v>
      </c>
      <c r="M379" s="460">
        <f t="shared" si="30"/>
        <v>0.05</v>
      </c>
      <c r="N379" s="464">
        <f t="shared" si="31"/>
        <v>62579</v>
      </c>
    </row>
    <row r="380" spans="7:14" ht="11.25" customHeight="1" x14ac:dyDescent="0.25">
      <c r="G380" s="459">
        <f>G379+1</f>
        <v>32</v>
      </c>
      <c r="H380" s="459">
        <v>373</v>
      </c>
      <c r="I380" s="444">
        <f t="shared" ca="1" si="29"/>
        <v>1216111.5871008507</v>
      </c>
      <c r="J380" s="444">
        <f t="array" ref="J380">IFERROR(INDEX('Retirement Calculator'!K:K,MATCH('Lorri 401b'!N380,'Retirement Calculator'!A:A,0),0),0)</f>
        <v>21655.303514578787</v>
      </c>
      <c r="K380" s="444">
        <f t="shared" ca="1" si="27"/>
        <v>4976.9011816094662</v>
      </c>
      <c r="L380" s="444">
        <f t="shared" ca="1" si="28"/>
        <v>1199433.1847678812</v>
      </c>
      <c r="M380" s="460">
        <f t="shared" si="30"/>
        <v>0.05</v>
      </c>
      <c r="N380" s="464">
        <f t="shared" si="31"/>
        <v>62610</v>
      </c>
    </row>
    <row r="381" spans="7:14" ht="11.25" customHeight="1" x14ac:dyDescent="0.25">
      <c r="G381" s="459">
        <f t="shared" ref="G381:G391" si="41">G380</f>
        <v>32</v>
      </c>
      <c r="H381" s="459">
        <v>374</v>
      </c>
      <c r="I381" s="444">
        <f t="shared" ca="1" si="29"/>
        <v>1199433.1847678812</v>
      </c>
      <c r="J381" s="444">
        <f t="array" ref="J381">IFERROR(INDEX('Retirement Calculator'!K:K,MATCH('Lorri 401b'!N381,'Retirement Calculator'!A:A,0),0),0)</f>
        <v>21655.303514578787</v>
      </c>
      <c r="K381" s="444">
        <f t="shared" ca="1" si="27"/>
        <v>4907.4078385554267</v>
      </c>
      <c r="L381" s="444">
        <f t="shared" ca="1" si="28"/>
        <v>1182685.2890918578</v>
      </c>
      <c r="M381" s="460">
        <f t="shared" si="30"/>
        <v>0.05</v>
      </c>
      <c r="N381" s="464">
        <f t="shared" si="31"/>
        <v>62640</v>
      </c>
    </row>
    <row r="382" spans="7:14" ht="11.25" customHeight="1" x14ac:dyDescent="0.25">
      <c r="G382" s="459">
        <f t="shared" si="41"/>
        <v>32</v>
      </c>
      <c r="H382" s="459">
        <v>375</v>
      </c>
      <c r="I382" s="444">
        <f t="shared" ca="1" si="29"/>
        <v>1182685.2890918578</v>
      </c>
      <c r="J382" s="444">
        <f t="array" ref="J382">IFERROR(INDEX('Retirement Calculator'!K:K,MATCH('Lorri 401b'!N382,'Retirement Calculator'!A:A,0),0),0)</f>
        <v>21655.303514578787</v>
      </c>
      <c r="K382" s="444">
        <f t="shared" ca="1" si="27"/>
        <v>4837.6249399053295</v>
      </c>
      <c r="L382" s="444">
        <f t="shared" ca="1" si="28"/>
        <v>1165867.6105171843</v>
      </c>
      <c r="M382" s="460">
        <f t="shared" si="30"/>
        <v>0.05</v>
      </c>
      <c r="N382" s="464">
        <f t="shared" si="31"/>
        <v>62671</v>
      </c>
    </row>
    <row r="383" spans="7:14" ht="11.25" customHeight="1" x14ac:dyDescent="0.25">
      <c r="G383" s="459">
        <f t="shared" si="41"/>
        <v>32</v>
      </c>
      <c r="H383" s="459">
        <v>376</v>
      </c>
      <c r="I383" s="444">
        <f t="shared" ca="1" si="29"/>
        <v>1165867.6105171843</v>
      </c>
      <c r="J383" s="444">
        <f t="array" ref="J383">IFERROR(INDEX('Retirement Calculator'!K:K,MATCH('Lorri 401b'!N383,'Retirement Calculator'!A:A,0),0),0)</f>
        <v>21655.303514578787</v>
      </c>
      <c r="K383" s="444">
        <f t="shared" ca="1" si="27"/>
        <v>4767.5512791775227</v>
      </c>
      <c r="L383" s="444">
        <f t="shared" ca="1" si="28"/>
        <v>1148979.8582817828</v>
      </c>
      <c r="M383" s="460">
        <f t="shared" si="30"/>
        <v>0.05</v>
      </c>
      <c r="N383" s="464">
        <f t="shared" si="31"/>
        <v>62702</v>
      </c>
    </row>
    <row r="384" spans="7:14" ht="11.25" customHeight="1" x14ac:dyDescent="0.25">
      <c r="G384" s="459">
        <f t="shared" si="41"/>
        <v>32</v>
      </c>
      <c r="H384" s="459">
        <v>377</v>
      </c>
      <c r="I384" s="444">
        <f t="shared" ca="1" si="29"/>
        <v>1148979.8582817828</v>
      </c>
      <c r="J384" s="444">
        <f t="array" ref="J384">IFERROR(INDEX('Retirement Calculator'!K:K,MATCH('Lorri 401b'!N384,'Retirement Calculator'!A:A,0),0),0)</f>
        <v>21655.303514578787</v>
      </c>
      <c r="K384" s="444">
        <f t="shared" ca="1" si="27"/>
        <v>4697.1856448633498</v>
      </c>
      <c r="L384" s="444">
        <f t="shared" ca="1" si="28"/>
        <v>1132021.7404120674</v>
      </c>
      <c r="M384" s="460">
        <f t="shared" si="30"/>
        <v>0.05</v>
      </c>
      <c r="N384" s="464">
        <f t="shared" si="31"/>
        <v>62732</v>
      </c>
    </row>
    <row r="385" spans="7:14" ht="11.25" customHeight="1" x14ac:dyDescent="0.25">
      <c r="G385" s="459">
        <f t="shared" si="41"/>
        <v>32</v>
      </c>
      <c r="H385" s="459">
        <v>378</v>
      </c>
      <c r="I385" s="444">
        <f t="shared" ca="1" si="29"/>
        <v>1132021.7404120674</v>
      </c>
      <c r="J385" s="444">
        <f t="array" ref="J385">IFERROR(INDEX('Retirement Calculator'!K:K,MATCH('Lorri 401b'!N385,'Retirement Calculator'!A:A,0),0),0)</f>
        <v>21655.303514578787</v>
      </c>
      <c r="K385" s="444">
        <f t="shared" ca="1" si="27"/>
        <v>4626.5268204062022</v>
      </c>
      <c r="L385" s="444">
        <f t="shared" ca="1" si="28"/>
        <v>1114992.9637178949</v>
      </c>
      <c r="M385" s="460">
        <f t="shared" si="30"/>
        <v>0.05</v>
      </c>
      <c r="N385" s="464">
        <f t="shared" si="31"/>
        <v>62763</v>
      </c>
    </row>
    <row r="386" spans="7:14" ht="11.25" customHeight="1" x14ac:dyDescent="0.25">
      <c r="G386" s="459">
        <f t="shared" si="41"/>
        <v>32</v>
      </c>
      <c r="H386" s="459">
        <v>379</v>
      </c>
      <c r="I386" s="444">
        <f t="shared" ca="1" si="29"/>
        <v>1114992.9637178949</v>
      </c>
      <c r="J386" s="444">
        <f t="array" ref="J386">IFERROR(INDEX('Retirement Calculator'!K:K,MATCH('Lorri 401b'!N386,'Retirement Calculator'!A:A,0),0),0)</f>
        <v>21655.303514578787</v>
      </c>
      <c r="K386" s="444">
        <f t="shared" ca="1" si="27"/>
        <v>4555.5735841804835</v>
      </c>
      <c r="L386" s="444">
        <f t="shared" ca="1" si="28"/>
        <v>1097893.2337874966</v>
      </c>
      <c r="M386" s="460">
        <f t="shared" si="30"/>
        <v>0.05</v>
      </c>
      <c r="N386" s="464">
        <f t="shared" si="31"/>
        <v>62793</v>
      </c>
    </row>
    <row r="387" spans="7:14" ht="11.25" customHeight="1" x14ac:dyDescent="0.25">
      <c r="G387" s="459">
        <f t="shared" si="41"/>
        <v>32</v>
      </c>
      <c r="H387" s="459">
        <v>380</v>
      </c>
      <c r="I387" s="444">
        <f t="shared" ca="1" si="29"/>
        <v>1097893.2337874966</v>
      </c>
      <c r="J387" s="444">
        <f t="array" ref="J387">IFERROR(INDEX('Retirement Calculator'!K:K,MATCH('Lorri 401b'!N387,'Retirement Calculator'!A:A,0),0),0)</f>
        <v>21655.303514578787</v>
      </c>
      <c r="K387" s="444">
        <f t="shared" ca="1" si="27"/>
        <v>4484.3247094704902</v>
      </c>
      <c r="L387" s="444">
        <f t="shared" ca="1" si="28"/>
        <v>1080722.2549823881</v>
      </c>
      <c r="M387" s="460">
        <f t="shared" si="30"/>
        <v>0.05</v>
      </c>
      <c r="N387" s="464">
        <f t="shared" si="31"/>
        <v>62824</v>
      </c>
    </row>
    <row r="388" spans="7:14" ht="11.25" customHeight="1" x14ac:dyDescent="0.25">
      <c r="G388" s="459">
        <f t="shared" si="41"/>
        <v>32</v>
      </c>
      <c r="H388" s="459">
        <v>381</v>
      </c>
      <c r="I388" s="444">
        <f t="shared" ca="1" si="29"/>
        <v>1080722.2549823881</v>
      </c>
      <c r="J388" s="444">
        <f t="array" ref="J388">IFERROR(INDEX('Retirement Calculator'!K:K,MATCH('Lorri 401b'!N388,'Retirement Calculator'!A:A,0),0),0)</f>
        <v>21655.303514578787</v>
      </c>
      <c r="K388" s="444">
        <f t="shared" ca="1" si="27"/>
        <v>4412.778964449205</v>
      </c>
      <c r="L388" s="444">
        <f t="shared" ca="1" si="28"/>
        <v>1063479.7304322585</v>
      </c>
      <c r="M388" s="460">
        <f t="shared" si="30"/>
        <v>0.05</v>
      </c>
      <c r="N388" s="464">
        <f t="shared" si="31"/>
        <v>62855</v>
      </c>
    </row>
    <row r="389" spans="7:14" ht="11.25" customHeight="1" x14ac:dyDescent="0.25">
      <c r="G389" s="459">
        <f t="shared" si="41"/>
        <v>32</v>
      </c>
      <c r="H389" s="459">
        <v>382</v>
      </c>
      <c r="I389" s="444">
        <f t="shared" ca="1" si="29"/>
        <v>1063479.7304322585</v>
      </c>
      <c r="J389" s="444">
        <f t="array" ref="J389">IFERROR(INDEX('Retirement Calculator'!K:K,MATCH('Lorri 401b'!N389,'Retirement Calculator'!A:A,0),0),0)</f>
        <v>21655.303514578787</v>
      </c>
      <c r="K389" s="444">
        <f t="shared" ca="1" si="27"/>
        <v>4340.935112156998</v>
      </c>
      <c r="L389" s="444">
        <f t="shared" ca="1" si="28"/>
        <v>1046165.3620298366</v>
      </c>
      <c r="M389" s="460">
        <f t="shared" si="30"/>
        <v>0.05</v>
      </c>
      <c r="N389" s="464">
        <f t="shared" si="31"/>
        <v>62884</v>
      </c>
    </row>
    <row r="390" spans="7:14" ht="11.25" customHeight="1" x14ac:dyDescent="0.25">
      <c r="G390" s="459">
        <f t="shared" si="41"/>
        <v>32</v>
      </c>
      <c r="H390" s="459">
        <v>383</v>
      </c>
      <c r="I390" s="444">
        <f t="shared" ca="1" si="29"/>
        <v>1046165.3620298366</v>
      </c>
      <c r="J390" s="444">
        <f t="array" ref="J390">IFERROR(INDEX('Retirement Calculator'!K:K,MATCH('Lorri 401b'!N390,'Retirement Calculator'!A:A,0),0),0)</f>
        <v>21655.303514578787</v>
      </c>
      <c r="K390" s="444">
        <f t="shared" ca="1" si="27"/>
        <v>4268.7919104802413</v>
      </c>
      <c r="L390" s="444">
        <f t="shared" ca="1" si="28"/>
        <v>1028778.8504257381</v>
      </c>
      <c r="M390" s="460">
        <f t="shared" si="30"/>
        <v>0.05</v>
      </c>
      <c r="N390" s="464">
        <f t="shared" si="31"/>
        <v>62915</v>
      </c>
    </row>
    <row r="391" spans="7:14" ht="11.25" customHeight="1" x14ac:dyDescent="0.25">
      <c r="G391" s="459">
        <f t="shared" si="41"/>
        <v>32</v>
      </c>
      <c r="H391" s="459">
        <v>384</v>
      </c>
      <c r="I391" s="444">
        <f t="shared" ca="1" si="29"/>
        <v>1028778.8504257381</v>
      </c>
      <c r="J391" s="444">
        <f t="array" ref="J391">IFERROR(INDEX('Retirement Calculator'!K:K,MATCH('Lorri 401b'!N391,'Retirement Calculator'!A:A,0),0),0)</f>
        <v>21655.303514578787</v>
      </c>
      <c r="K391" s="444">
        <f t="shared" ca="1" si="27"/>
        <v>4196.348112129831</v>
      </c>
      <c r="L391" s="444">
        <f t="shared" ca="1" si="28"/>
        <v>1011319.8950232891</v>
      </c>
      <c r="M391" s="460">
        <f t="shared" si="30"/>
        <v>0.05</v>
      </c>
      <c r="N391" s="464">
        <f t="shared" si="31"/>
        <v>62945</v>
      </c>
    </row>
    <row r="392" spans="7:14" ht="11.25" customHeight="1" x14ac:dyDescent="0.25">
      <c r="G392" s="459">
        <f>G391+1</f>
        <v>33</v>
      </c>
      <c r="H392" s="459">
        <v>385</v>
      </c>
      <c r="I392" s="444">
        <f t="shared" ca="1" si="29"/>
        <v>1011319.8950232891</v>
      </c>
      <c r="J392" s="444">
        <f t="array" ref="J392">IFERROR(INDEX('Retirement Calculator'!K:K,MATCH('Lorri 401b'!N392,'Retirement Calculator'!A:A,0),0),0)</f>
        <v>21655.303514578787</v>
      </c>
      <c r="K392" s="444">
        <f t="shared" ca="1" si="27"/>
        <v>4123.6024646196265</v>
      </c>
      <c r="L392" s="444">
        <f t="shared" ca="1" si="28"/>
        <v>993788.19397332997</v>
      </c>
      <c r="M392" s="460">
        <f t="shared" si="30"/>
        <v>0.05</v>
      </c>
      <c r="N392" s="464">
        <f t="shared" si="31"/>
        <v>62976</v>
      </c>
    </row>
    <row r="393" spans="7:14" ht="11.25" customHeight="1" x14ac:dyDescent="0.25">
      <c r="G393" s="459">
        <f t="shared" ref="G393:G403" si="42">G392</f>
        <v>33</v>
      </c>
      <c r="H393" s="459">
        <v>386</v>
      </c>
      <c r="I393" s="444">
        <f t="shared" ca="1" si="29"/>
        <v>993788.19397332997</v>
      </c>
      <c r="J393" s="444">
        <f t="array" ref="J393">IFERROR(INDEX('Retirement Calculator'!K:K,MATCH('Lorri 401b'!N393,'Retirement Calculator'!A:A,0),0),0)</f>
        <v>21655.303514578787</v>
      </c>
      <c r="K393" s="444">
        <f t="shared" ca="1" si="27"/>
        <v>4050.5537102447965</v>
      </c>
      <c r="L393" s="444">
        <f t="shared" ca="1" si="28"/>
        <v>976183.44416899607</v>
      </c>
      <c r="M393" s="460">
        <f t="shared" si="30"/>
        <v>0.05</v>
      </c>
      <c r="N393" s="464">
        <f t="shared" si="31"/>
        <v>63006</v>
      </c>
    </row>
    <row r="394" spans="7:14" ht="11.25" customHeight="1" x14ac:dyDescent="0.25">
      <c r="G394" s="459">
        <f t="shared" si="42"/>
        <v>33</v>
      </c>
      <c r="H394" s="459">
        <v>387</v>
      </c>
      <c r="I394" s="444">
        <f t="shared" ca="1" si="29"/>
        <v>976183.44416899607</v>
      </c>
      <c r="J394" s="444">
        <f t="array" ref="J394">IFERROR(INDEX('Retirement Calculator'!K:K,MATCH('Lorri 401b'!N394,'Retirement Calculator'!A:A,0),0),0)</f>
        <v>21655.303514578787</v>
      </c>
      <c r="K394" s="444">
        <f t="shared" ca="1" si="27"/>
        <v>3977.2005860600716</v>
      </c>
      <c r="L394" s="444">
        <f t="shared" ca="1" si="28"/>
        <v>958505.34124047728</v>
      </c>
      <c r="M394" s="460">
        <f t="shared" si="30"/>
        <v>0.05</v>
      </c>
      <c r="N394" s="464">
        <f t="shared" si="31"/>
        <v>63037</v>
      </c>
    </row>
    <row r="395" spans="7:14" ht="11.25" customHeight="1" x14ac:dyDescent="0.25">
      <c r="G395" s="459">
        <f t="shared" si="42"/>
        <v>33</v>
      </c>
      <c r="H395" s="459">
        <v>388</v>
      </c>
      <c r="I395" s="444">
        <f t="shared" ca="1" si="29"/>
        <v>958505.34124047728</v>
      </c>
      <c r="J395" s="444">
        <f t="array" ref="J395">IFERROR(INDEX('Retirement Calculator'!K:K,MATCH('Lorri 401b'!N395,'Retirement Calculator'!A:A,0),0),0)</f>
        <v>21655.303514578787</v>
      </c>
      <c r="K395" s="444">
        <f t="shared" ca="1" si="27"/>
        <v>3903.54182385791</v>
      </c>
      <c r="L395" s="444">
        <f t="shared" ca="1" si="28"/>
        <v>940753.57954975637</v>
      </c>
      <c r="M395" s="460">
        <f t="shared" si="30"/>
        <v>0.05</v>
      </c>
      <c r="N395" s="464">
        <f t="shared" si="31"/>
        <v>63068</v>
      </c>
    </row>
    <row r="396" spans="7:14" ht="11.25" customHeight="1" x14ac:dyDescent="0.25">
      <c r="G396" s="459">
        <f t="shared" si="42"/>
        <v>33</v>
      </c>
      <c r="H396" s="459">
        <v>389</v>
      </c>
      <c r="I396" s="444">
        <f t="shared" ca="1" si="29"/>
        <v>940753.57954975637</v>
      </c>
      <c r="J396" s="444">
        <f t="array" ref="J396">IFERROR(INDEX('Retirement Calculator'!K:K,MATCH('Lorri 401b'!N396,'Retirement Calculator'!A:A,0),0),0)</f>
        <v>21655.303514578787</v>
      </c>
      <c r="K396" s="444">
        <f t="shared" ca="1" si="27"/>
        <v>3829.5761501465731</v>
      </c>
      <c r="L396" s="444">
        <f t="shared" ca="1" si="28"/>
        <v>922927.85218532407</v>
      </c>
      <c r="M396" s="460">
        <f t="shared" si="30"/>
        <v>0.05</v>
      </c>
      <c r="N396" s="464">
        <f t="shared" si="31"/>
        <v>63098</v>
      </c>
    </row>
    <row r="397" spans="7:14" ht="11.25" customHeight="1" x14ac:dyDescent="0.25">
      <c r="G397" s="459">
        <f t="shared" si="42"/>
        <v>33</v>
      </c>
      <c r="H397" s="459">
        <v>390</v>
      </c>
      <c r="I397" s="444">
        <f t="shared" ca="1" si="29"/>
        <v>922927.85218532407</v>
      </c>
      <c r="J397" s="444">
        <f t="array" ref="J397">IFERROR(INDEX('Retirement Calculator'!K:K,MATCH('Lorri 401b'!N397,'Retirement Calculator'!A:A,0),0),0)</f>
        <v>21655.303514578787</v>
      </c>
      <c r="K397" s="444">
        <f t="shared" ca="1" si="27"/>
        <v>3755.3022861281052</v>
      </c>
      <c r="L397" s="444">
        <f t="shared" ca="1" si="28"/>
        <v>905027.85095687327</v>
      </c>
      <c r="M397" s="460">
        <f t="shared" si="30"/>
        <v>0.05</v>
      </c>
      <c r="N397" s="464">
        <f t="shared" si="31"/>
        <v>63129</v>
      </c>
    </row>
    <row r="398" spans="7:14" ht="11.25" customHeight="1" x14ac:dyDescent="0.25">
      <c r="G398" s="459">
        <f t="shared" si="42"/>
        <v>33</v>
      </c>
      <c r="H398" s="459">
        <v>391</v>
      </c>
      <c r="I398" s="444">
        <f t="shared" ca="1" si="29"/>
        <v>905027.85095687327</v>
      </c>
      <c r="J398" s="444">
        <f t="array" ref="J398">IFERROR(INDEX('Retirement Calculator'!K:K,MATCH('Lorri 401b'!N398,'Retirement Calculator'!A:A,0),0),0)</f>
        <v>21655.303514578787</v>
      </c>
      <c r="K398" s="444">
        <f t="shared" ca="1" si="27"/>
        <v>3680.7189476762269</v>
      </c>
      <c r="L398" s="444">
        <f t="shared" ca="1" si="28"/>
        <v>887053.26638997067</v>
      </c>
      <c r="M398" s="460">
        <f t="shared" si="30"/>
        <v>0.05</v>
      </c>
      <c r="N398" s="464">
        <f t="shared" si="31"/>
        <v>63159</v>
      </c>
    </row>
    <row r="399" spans="7:14" ht="11.25" customHeight="1" x14ac:dyDescent="0.25">
      <c r="G399" s="459">
        <f t="shared" si="42"/>
        <v>33</v>
      </c>
      <c r="H399" s="459">
        <v>392</v>
      </c>
      <c r="I399" s="444">
        <f t="shared" ca="1" si="29"/>
        <v>887053.26638997067</v>
      </c>
      <c r="J399" s="444">
        <f t="array" ref="J399">IFERROR(INDEX('Retirement Calculator'!K:K,MATCH('Lorri 401b'!N399,'Retirement Calculator'!A:A,0),0),0)</f>
        <v>21655.303514578787</v>
      </c>
      <c r="K399" s="444">
        <f t="shared" ca="1" si="27"/>
        <v>3605.8248453141327</v>
      </c>
      <c r="L399" s="444">
        <f t="shared" ca="1" si="28"/>
        <v>869003.78772070596</v>
      </c>
      <c r="M399" s="460">
        <f t="shared" si="30"/>
        <v>0.05</v>
      </c>
      <c r="N399" s="464">
        <f t="shared" si="31"/>
        <v>63190</v>
      </c>
    </row>
    <row r="400" spans="7:14" ht="11.25" customHeight="1" x14ac:dyDescent="0.25">
      <c r="G400" s="459">
        <f t="shared" si="42"/>
        <v>33</v>
      </c>
      <c r="H400" s="459">
        <v>393</v>
      </c>
      <c r="I400" s="444">
        <f t="shared" ca="1" si="29"/>
        <v>869003.78772070596</v>
      </c>
      <c r="J400" s="444">
        <f t="array" ref="J400">IFERROR(INDEX('Retirement Calculator'!K:K,MATCH('Lorri 401b'!N400,'Retirement Calculator'!A:A,0),0),0)</f>
        <v>21655.303514578787</v>
      </c>
      <c r="K400" s="444">
        <f t="shared" ca="1" si="27"/>
        <v>3530.6186841921972</v>
      </c>
      <c r="L400" s="444">
        <f t="shared" ca="1" si="28"/>
        <v>850879.10289031942</v>
      </c>
      <c r="M400" s="460">
        <f t="shared" si="30"/>
        <v>0.05</v>
      </c>
      <c r="N400" s="464">
        <f t="shared" si="31"/>
        <v>63221</v>
      </c>
    </row>
    <row r="401" spans="7:14" ht="11.25" customHeight="1" x14ac:dyDescent="0.25">
      <c r="G401" s="459">
        <f t="shared" si="42"/>
        <v>33</v>
      </c>
      <c r="H401" s="459">
        <v>394</v>
      </c>
      <c r="I401" s="444">
        <f t="shared" ca="1" si="29"/>
        <v>850879.10289031942</v>
      </c>
      <c r="J401" s="444">
        <f t="array" ref="J401">IFERROR(INDEX('Retirement Calculator'!K:K,MATCH('Lorri 401b'!N401,'Retirement Calculator'!A:A,0),0),0)</f>
        <v>21655.303514578787</v>
      </c>
      <c r="K401" s="444">
        <f t="shared" ca="1" si="27"/>
        <v>3455.0991640655857</v>
      </c>
      <c r="L401" s="444">
        <f t="shared" ca="1" si="28"/>
        <v>832678.89853980613</v>
      </c>
      <c r="M401" s="460">
        <f t="shared" si="30"/>
        <v>0.05</v>
      </c>
      <c r="N401" s="464">
        <f t="shared" si="31"/>
        <v>63249</v>
      </c>
    </row>
    <row r="402" spans="7:14" ht="11.25" customHeight="1" x14ac:dyDescent="0.25">
      <c r="G402" s="459">
        <f t="shared" si="42"/>
        <v>33</v>
      </c>
      <c r="H402" s="459">
        <v>395</v>
      </c>
      <c r="I402" s="444">
        <f t="shared" ca="1" si="29"/>
        <v>832678.89853980613</v>
      </c>
      <c r="J402" s="444">
        <f t="array" ref="J402">IFERROR(INDEX('Retirement Calculator'!K:K,MATCH('Lorri 401b'!N402,'Retirement Calculator'!A:A,0),0),0)</f>
        <v>21655.303514578787</v>
      </c>
      <c r="K402" s="444">
        <f t="shared" ca="1" si="27"/>
        <v>3379.2649792717807</v>
      </c>
      <c r="L402" s="444">
        <f t="shared" ca="1" si="28"/>
        <v>814402.86000449921</v>
      </c>
      <c r="M402" s="460">
        <f t="shared" si="30"/>
        <v>0.05</v>
      </c>
      <c r="N402" s="464">
        <f t="shared" si="31"/>
        <v>63280</v>
      </c>
    </row>
    <row r="403" spans="7:14" ht="11.25" customHeight="1" x14ac:dyDescent="0.25">
      <c r="G403" s="459">
        <f t="shared" si="42"/>
        <v>33</v>
      </c>
      <c r="H403" s="459">
        <v>396</v>
      </c>
      <c r="I403" s="444">
        <f t="shared" ca="1" si="29"/>
        <v>814402.86000449921</v>
      </c>
      <c r="J403" s="444">
        <f t="array" ref="J403">IFERROR(INDEX('Retirement Calculator'!K:K,MATCH('Lorri 401b'!N403,'Retirement Calculator'!A:A,0),0),0)</f>
        <v>21655.303514578787</v>
      </c>
      <c r="K403" s="444">
        <f t="shared" ca="1" si="27"/>
        <v>3303.1148187080021</v>
      </c>
      <c r="L403" s="444">
        <f t="shared" ca="1" si="28"/>
        <v>796050.67130862852</v>
      </c>
      <c r="M403" s="460">
        <f t="shared" si="30"/>
        <v>0.05</v>
      </c>
      <c r="N403" s="464">
        <f t="shared" si="31"/>
        <v>63310</v>
      </c>
    </row>
    <row r="404" spans="7:14" ht="11.25" customHeight="1" x14ac:dyDescent="0.25">
      <c r="G404" s="459">
        <f>G403+1</f>
        <v>34</v>
      </c>
      <c r="H404" s="459">
        <v>397</v>
      </c>
      <c r="I404" s="444">
        <f t="shared" ca="1" si="29"/>
        <v>796050.67130862852</v>
      </c>
      <c r="J404" s="444">
        <f t="array" ref="J404">IFERROR(INDEX('Retirement Calculator'!K:K,MATCH('Lorri 401b'!N404,'Retirement Calculator'!A:A,0),0),0)</f>
        <v>21655.303514578787</v>
      </c>
      <c r="K404" s="444">
        <f t="shared" ca="1" si="27"/>
        <v>3226.6473658085401</v>
      </c>
      <c r="L404" s="444">
        <f t="shared" ca="1" si="28"/>
        <v>777622.01515985816</v>
      </c>
      <c r="M404" s="460">
        <f t="shared" si="30"/>
        <v>0.05</v>
      </c>
      <c r="N404" s="464">
        <f t="shared" si="31"/>
        <v>63341</v>
      </c>
    </row>
    <row r="405" spans="7:14" ht="11.25" customHeight="1" x14ac:dyDescent="0.25">
      <c r="G405" s="459">
        <f t="shared" ref="G405:G415" si="43">G404</f>
        <v>34</v>
      </c>
      <c r="H405" s="459">
        <v>398</v>
      </c>
      <c r="I405" s="444">
        <f t="shared" ca="1" si="29"/>
        <v>777622.01515985816</v>
      </c>
      <c r="J405" s="444">
        <f t="array" ref="J405">IFERROR(INDEX('Retirement Calculator'!K:K,MATCH('Lorri 401b'!N405,'Retirement Calculator'!A:A,0),0),0)</f>
        <v>21655.303514578787</v>
      </c>
      <c r="K405" s="444">
        <f t="shared" ca="1" si="27"/>
        <v>3149.861298521997</v>
      </c>
      <c r="L405" s="444">
        <f t="shared" ca="1" si="28"/>
        <v>759116.57294380129</v>
      </c>
      <c r="M405" s="460">
        <f t="shared" si="30"/>
        <v>0.05</v>
      </c>
      <c r="N405" s="464">
        <f t="shared" si="31"/>
        <v>63371</v>
      </c>
    </row>
    <row r="406" spans="7:14" ht="11.25" customHeight="1" x14ac:dyDescent="0.25">
      <c r="G406" s="459">
        <f t="shared" si="43"/>
        <v>34</v>
      </c>
      <c r="H406" s="459">
        <v>399</v>
      </c>
      <c r="I406" s="444">
        <f t="shared" ca="1" si="29"/>
        <v>759116.57294380129</v>
      </c>
      <c r="J406" s="444">
        <f t="array" ref="J406">IFERROR(INDEX('Retirement Calculator'!K:K,MATCH('Lorri 401b'!N406,'Retirement Calculator'!A:A,0),0),0)</f>
        <v>21655.303514578787</v>
      </c>
      <c r="K406" s="444">
        <f t="shared" ca="1" si="27"/>
        <v>3072.7552892884269</v>
      </c>
      <c r="L406" s="444">
        <f t="shared" ca="1" si="28"/>
        <v>740534.02471851092</v>
      </c>
      <c r="M406" s="460">
        <f t="shared" si="30"/>
        <v>0.05</v>
      </c>
      <c r="N406" s="464">
        <f t="shared" si="31"/>
        <v>63402</v>
      </c>
    </row>
    <row r="407" spans="7:14" ht="11.25" customHeight="1" x14ac:dyDescent="0.25">
      <c r="G407" s="459">
        <f t="shared" si="43"/>
        <v>34</v>
      </c>
      <c r="H407" s="459">
        <v>400</v>
      </c>
      <c r="I407" s="444">
        <f t="shared" ca="1" si="29"/>
        <v>740534.02471851092</v>
      </c>
      <c r="J407" s="444">
        <f t="array" ref="J407">IFERROR(INDEX('Retirement Calculator'!K:K,MATCH('Lorri 401b'!N407,'Retirement Calculator'!A:A,0),0),0)</f>
        <v>21655.303514578787</v>
      </c>
      <c r="K407" s="444">
        <f t="shared" ca="1" si="27"/>
        <v>2995.3280050163835</v>
      </c>
      <c r="L407" s="444">
        <f t="shared" ca="1" si="28"/>
        <v>721874.04920894851</v>
      </c>
      <c r="M407" s="460">
        <f t="shared" si="30"/>
        <v>0.05</v>
      </c>
      <c r="N407" s="464">
        <f t="shared" si="31"/>
        <v>63433</v>
      </c>
    </row>
    <row r="408" spans="7:14" ht="11.25" customHeight="1" x14ac:dyDescent="0.25">
      <c r="G408" s="459">
        <f t="shared" si="43"/>
        <v>34</v>
      </c>
      <c r="H408" s="459">
        <v>401</v>
      </c>
      <c r="I408" s="444">
        <f t="shared" ca="1" si="29"/>
        <v>721874.04920894851</v>
      </c>
      <c r="J408" s="444">
        <f t="array" ref="J408">IFERROR(INDEX('Retirement Calculator'!K:K,MATCH('Lorri 401b'!N408,'Retirement Calculator'!A:A,0),0),0)</f>
        <v>21655.303514578787</v>
      </c>
      <c r="K408" s="444">
        <f t="shared" ca="1" si="27"/>
        <v>2917.5781070598741</v>
      </c>
      <c r="L408" s="444">
        <f t="shared" ca="1" si="28"/>
        <v>703136.32380142959</v>
      </c>
      <c r="M408" s="460">
        <f t="shared" si="30"/>
        <v>0.05</v>
      </c>
      <c r="N408" s="464">
        <f t="shared" si="31"/>
        <v>63463</v>
      </c>
    </row>
    <row r="409" spans="7:14" ht="11.25" customHeight="1" x14ac:dyDescent="0.25">
      <c r="G409" s="459">
        <f t="shared" si="43"/>
        <v>34</v>
      </c>
      <c r="H409" s="459">
        <v>402</v>
      </c>
      <c r="I409" s="444">
        <f t="shared" ca="1" si="29"/>
        <v>703136.32380142959</v>
      </c>
      <c r="J409" s="444">
        <f t="array" ref="J409">IFERROR(INDEX('Retirement Calculator'!K:K,MATCH('Lorri 401b'!N409,'Retirement Calculator'!A:A,0),0),0)</f>
        <v>21655.303514578787</v>
      </c>
      <c r="K409" s="444">
        <f t="shared" ca="1" si="27"/>
        <v>2839.504251195212</v>
      </c>
      <c r="L409" s="444">
        <f t="shared" ca="1" si="28"/>
        <v>684320.5245380461</v>
      </c>
      <c r="M409" s="460">
        <f t="shared" si="30"/>
        <v>0.05</v>
      </c>
      <c r="N409" s="464">
        <f t="shared" si="31"/>
        <v>63494</v>
      </c>
    </row>
    <row r="410" spans="7:14" ht="11.25" customHeight="1" x14ac:dyDescent="0.25">
      <c r="G410" s="459">
        <f t="shared" si="43"/>
        <v>34</v>
      </c>
      <c r="H410" s="459">
        <v>403</v>
      </c>
      <c r="I410" s="444">
        <f t="shared" ca="1" si="29"/>
        <v>684320.5245380461</v>
      </c>
      <c r="J410" s="444">
        <f t="array" ref="J410">IFERROR(INDEX('Retirement Calculator'!K:K,MATCH('Lorri 401b'!N410,'Retirement Calculator'!A:A,0),0),0)</f>
        <v>21655.303514578787</v>
      </c>
      <c r="K410" s="444">
        <f t="shared" ca="1" si="27"/>
        <v>2761.1050875977808</v>
      </c>
      <c r="L410" s="444">
        <f t="shared" ca="1" si="28"/>
        <v>665426.32611106511</v>
      </c>
      <c r="M410" s="460">
        <f t="shared" si="30"/>
        <v>0.05</v>
      </c>
      <c r="N410" s="464">
        <f t="shared" si="31"/>
        <v>63524</v>
      </c>
    </row>
    <row r="411" spans="7:14" ht="11.25" customHeight="1" x14ac:dyDescent="0.25">
      <c r="G411" s="459">
        <f t="shared" si="43"/>
        <v>34</v>
      </c>
      <c r="H411" s="459">
        <v>404</v>
      </c>
      <c r="I411" s="444">
        <f t="shared" ca="1" si="29"/>
        <v>665426.32611106511</v>
      </c>
      <c r="J411" s="444">
        <f t="array" ref="J411">IFERROR(INDEX('Retirement Calculator'!K:K,MATCH('Lorri 401b'!N411,'Retirement Calculator'!A:A,0),0),0)</f>
        <v>21655.303514578787</v>
      </c>
      <c r="K411" s="444">
        <f t="shared" ca="1" si="27"/>
        <v>2682.3792608186932</v>
      </c>
      <c r="L411" s="444">
        <f t="shared" ca="1" si="28"/>
        <v>646453.40185730509</v>
      </c>
      <c r="M411" s="460">
        <f t="shared" si="30"/>
        <v>0.05</v>
      </c>
      <c r="N411" s="464">
        <f t="shared" si="31"/>
        <v>63555</v>
      </c>
    </row>
    <row r="412" spans="7:14" ht="11.25" customHeight="1" x14ac:dyDescent="0.25">
      <c r="G412" s="459">
        <f t="shared" si="43"/>
        <v>34</v>
      </c>
      <c r="H412" s="459">
        <v>405</v>
      </c>
      <c r="I412" s="444">
        <f t="shared" ca="1" si="29"/>
        <v>646453.40185730509</v>
      </c>
      <c r="J412" s="444">
        <f t="array" ref="J412">IFERROR(INDEX('Retirement Calculator'!K:K,MATCH('Lorri 401b'!N412,'Retirement Calculator'!A:A,0),0),0)</f>
        <v>21655.303514578787</v>
      </c>
      <c r="K412" s="444">
        <f t="shared" ca="1" si="27"/>
        <v>2603.3254097613594</v>
      </c>
      <c r="L412" s="444">
        <f t="shared" ca="1" si="28"/>
        <v>627401.42375248764</v>
      </c>
      <c r="M412" s="460">
        <f t="shared" si="30"/>
        <v>0.05</v>
      </c>
      <c r="N412" s="464">
        <f t="shared" si="31"/>
        <v>63586</v>
      </c>
    </row>
    <row r="413" spans="7:14" ht="11.25" customHeight="1" x14ac:dyDescent="0.25">
      <c r="G413" s="459">
        <f t="shared" si="43"/>
        <v>34</v>
      </c>
      <c r="H413" s="459">
        <v>406</v>
      </c>
      <c r="I413" s="444">
        <f t="shared" ca="1" si="29"/>
        <v>627401.42375248764</v>
      </c>
      <c r="J413" s="444">
        <f t="array" ref="J413">IFERROR(INDEX('Retirement Calculator'!K:K,MATCH('Lorri 401b'!N413,'Retirement Calculator'!A:A,0),0),0)</f>
        <v>21655.303514578787</v>
      </c>
      <c r="K413" s="444">
        <f t="shared" ca="1" si="27"/>
        <v>2523.9421676579532</v>
      </c>
      <c r="L413" s="444">
        <f t="shared" ca="1" si="28"/>
        <v>608270.0624055668</v>
      </c>
      <c r="M413" s="460">
        <f t="shared" si="30"/>
        <v>0.05</v>
      </c>
      <c r="N413" s="464">
        <f t="shared" si="31"/>
        <v>63614</v>
      </c>
    </row>
    <row r="414" spans="7:14" ht="11.25" customHeight="1" x14ac:dyDescent="0.25">
      <c r="G414" s="459">
        <f t="shared" si="43"/>
        <v>34</v>
      </c>
      <c r="H414" s="459">
        <v>407</v>
      </c>
      <c r="I414" s="444">
        <f t="shared" ca="1" si="29"/>
        <v>608270.0624055668</v>
      </c>
      <c r="J414" s="444">
        <f t="array" ref="J414">IFERROR(INDEX('Retirement Calculator'!K:K,MATCH('Lorri 401b'!N414,'Retirement Calculator'!A:A,0),0),0)</f>
        <v>21655.303514578787</v>
      </c>
      <c r="K414" s="444">
        <f t="shared" ca="1" si="27"/>
        <v>2444.2281620457834</v>
      </c>
      <c r="L414" s="444">
        <f t="shared" ca="1" si="28"/>
        <v>589058.9870530339</v>
      </c>
      <c r="M414" s="460">
        <f t="shared" si="30"/>
        <v>0.05</v>
      </c>
      <c r="N414" s="464">
        <f t="shared" si="31"/>
        <v>63645</v>
      </c>
    </row>
    <row r="415" spans="7:14" ht="11.25" customHeight="1" x14ac:dyDescent="0.25">
      <c r="G415" s="459">
        <f t="shared" si="43"/>
        <v>34</v>
      </c>
      <c r="H415" s="459">
        <v>408</v>
      </c>
      <c r="I415" s="444">
        <f t="shared" ca="1" si="29"/>
        <v>589058.9870530339</v>
      </c>
      <c r="J415" s="444">
        <f t="array" ref="J415">IFERROR(INDEX('Retirement Calculator'!K:K,MATCH('Lorri 401b'!N415,'Retirement Calculator'!A:A,0),0),0)</f>
        <v>21655.303514578787</v>
      </c>
      <c r="K415" s="444">
        <f t="shared" ca="1" si="27"/>
        <v>2364.1820147435628</v>
      </c>
      <c r="L415" s="444">
        <f t="shared" ca="1" si="28"/>
        <v>569767.86555319862</v>
      </c>
      <c r="M415" s="460">
        <f t="shared" si="30"/>
        <v>0.05</v>
      </c>
      <c r="N415" s="464">
        <f t="shared" si="31"/>
        <v>63675</v>
      </c>
    </row>
    <row r="416" spans="7:14" ht="11.25" customHeight="1" x14ac:dyDescent="0.25">
      <c r="G416" s="459">
        <f>G415+1</f>
        <v>35</v>
      </c>
      <c r="H416" s="459">
        <v>409</v>
      </c>
      <c r="I416" s="444">
        <f t="shared" ca="1" si="29"/>
        <v>569767.86555319862</v>
      </c>
      <c r="J416" s="444">
        <f t="array" ref="J416">IFERROR(INDEX('Retirement Calculator'!K:K,MATCH('Lorri 401b'!N416,'Retirement Calculator'!A:A,0),0),0)</f>
        <v>21655.303514578787</v>
      </c>
      <c r="K416" s="444">
        <f t="shared" ca="1" si="27"/>
        <v>2283.8023418275825</v>
      </c>
      <c r="L416" s="444">
        <f t="shared" ca="1" si="28"/>
        <v>550396.36438044731</v>
      </c>
      <c r="M416" s="460">
        <f t="shared" si="30"/>
        <v>0.05</v>
      </c>
      <c r="N416" s="464">
        <f t="shared" si="31"/>
        <v>63706</v>
      </c>
    </row>
    <row r="417" spans="7:14" ht="11.25" customHeight="1" x14ac:dyDescent="0.25">
      <c r="G417" s="459">
        <f t="shared" ref="G417:G427" si="44">G416</f>
        <v>35</v>
      </c>
      <c r="H417" s="459">
        <v>410</v>
      </c>
      <c r="I417" s="444">
        <f t="shared" ca="1" si="29"/>
        <v>550396.36438044731</v>
      </c>
      <c r="J417" s="444">
        <f t="array" ref="J417">IFERROR(INDEX('Retirement Calculator'!K:K,MATCH('Lorri 401b'!N417,'Retirement Calculator'!A:A,0),0),0)</f>
        <v>21655.303514578787</v>
      </c>
      <c r="K417" s="444">
        <f t="shared" ca="1" si="27"/>
        <v>2203.0877536077855</v>
      </c>
      <c r="L417" s="444">
        <f t="shared" ca="1" si="28"/>
        <v>530944.14861947636</v>
      </c>
      <c r="M417" s="460">
        <f t="shared" si="30"/>
        <v>0.05</v>
      </c>
      <c r="N417" s="464">
        <f t="shared" si="31"/>
        <v>63736</v>
      </c>
    </row>
    <row r="418" spans="7:14" ht="11.25" customHeight="1" x14ac:dyDescent="0.25">
      <c r="G418" s="459">
        <f t="shared" si="44"/>
        <v>35</v>
      </c>
      <c r="H418" s="459">
        <v>411</v>
      </c>
      <c r="I418" s="444">
        <f t="shared" ca="1" si="29"/>
        <v>530944.14861947636</v>
      </c>
      <c r="J418" s="444">
        <f t="array" ref="J418">IFERROR(INDEX('Retirement Calculator'!K:K,MATCH('Lorri 401b'!N418,'Retirement Calculator'!A:A,0),0),0)</f>
        <v>21655.303514578787</v>
      </c>
      <c r="K418" s="444">
        <f t="shared" ca="1" si="27"/>
        <v>2122.0368546037398</v>
      </c>
      <c r="L418" s="444">
        <f t="shared" ca="1" si="28"/>
        <v>511410.8819595013</v>
      </c>
      <c r="M418" s="460">
        <f t="shared" si="30"/>
        <v>0.05</v>
      </c>
      <c r="N418" s="464">
        <f t="shared" si="31"/>
        <v>63767</v>
      </c>
    </row>
    <row r="419" spans="7:14" ht="11.25" customHeight="1" x14ac:dyDescent="0.25">
      <c r="G419" s="459">
        <f t="shared" si="44"/>
        <v>35</v>
      </c>
      <c r="H419" s="459">
        <v>412</v>
      </c>
      <c r="I419" s="444">
        <f t="shared" ca="1" si="29"/>
        <v>511410.8819595013</v>
      </c>
      <c r="J419" s="444">
        <f t="array" ref="J419">IFERROR(INDEX('Retirement Calculator'!K:K,MATCH('Lorri 401b'!N419,'Retirement Calculator'!A:A,0),0),0)</f>
        <v>21655.303514578787</v>
      </c>
      <c r="K419" s="444">
        <f t="shared" ca="1" si="27"/>
        <v>2040.6482435205105</v>
      </c>
      <c r="L419" s="444">
        <f t="shared" ca="1" si="28"/>
        <v>491796.22668844304</v>
      </c>
      <c r="M419" s="460">
        <f t="shared" si="30"/>
        <v>0.05</v>
      </c>
      <c r="N419" s="464">
        <f t="shared" si="31"/>
        <v>63798</v>
      </c>
    </row>
    <row r="420" spans="7:14" ht="11.25" customHeight="1" x14ac:dyDescent="0.25">
      <c r="G420" s="459">
        <f t="shared" si="44"/>
        <v>35</v>
      </c>
      <c r="H420" s="459">
        <v>413</v>
      </c>
      <c r="I420" s="444">
        <f t="shared" ca="1" si="29"/>
        <v>491796.22668844304</v>
      </c>
      <c r="J420" s="444">
        <f t="array" ref="J420">IFERROR(INDEX('Retirement Calculator'!K:K,MATCH('Lorri 401b'!N420,'Retirement Calculator'!A:A,0),0),0)</f>
        <v>21655.303514578787</v>
      </c>
      <c r="K420" s="444">
        <f t="shared" ca="1" si="27"/>
        <v>1958.9205132244344</v>
      </c>
      <c r="L420" s="444">
        <f t="shared" ca="1" si="28"/>
        <v>472099.84368708869</v>
      </c>
      <c r="M420" s="460">
        <f t="shared" si="30"/>
        <v>0.05</v>
      </c>
      <c r="N420" s="464">
        <f t="shared" si="31"/>
        <v>63828</v>
      </c>
    </row>
    <row r="421" spans="7:14" ht="11.25" customHeight="1" x14ac:dyDescent="0.25">
      <c r="G421" s="459">
        <f t="shared" si="44"/>
        <v>35</v>
      </c>
      <c r="H421" s="459">
        <v>414</v>
      </c>
      <c r="I421" s="444">
        <f t="shared" ca="1" si="29"/>
        <v>472099.84368708869</v>
      </c>
      <c r="J421" s="444">
        <f t="array" ref="J421">IFERROR(INDEX('Retirement Calculator'!K:K,MATCH('Lorri 401b'!N421,'Retirement Calculator'!A:A,0),0),0)</f>
        <v>21655.303514578787</v>
      </c>
      <c r="K421" s="444">
        <f t="shared" ca="1" si="27"/>
        <v>1876.8522507187913</v>
      </c>
      <c r="L421" s="444">
        <f t="shared" ca="1" si="28"/>
        <v>452321.39242322871</v>
      </c>
      <c r="M421" s="460">
        <f t="shared" si="30"/>
        <v>0.05</v>
      </c>
      <c r="N421" s="464">
        <f t="shared" si="31"/>
        <v>63859</v>
      </c>
    </row>
    <row r="422" spans="7:14" ht="11.25" customHeight="1" x14ac:dyDescent="0.25">
      <c r="G422" s="459">
        <f t="shared" si="44"/>
        <v>35</v>
      </c>
      <c r="H422" s="459">
        <v>415</v>
      </c>
      <c r="I422" s="444">
        <f t="shared" ca="1" si="29"/>
        <v>452321.39242322871</v>
      </c>
      <c r="J422" s="444">
        <f t="array" ref="J422">IFERROR(INDEX('Retirement Calculator'!K:K,MATCH('Lorri 401b'!N422,'Retirement Calculator'!A:A,0),0),0)</f>
        <v>21655.303514578787</v>
      </c>
      <c r="K422" s="444">
        <f t="shared" ca="1" si="27"/>
        <v>1794.4420371193748</v>
      </c>
      <c r="L422" s="444">
        <f t="shared" ca="1" si="28"/>
        <v>432460.53094576928</v>
      </c>
      <c r="M422" s="460">
        <f t="shared" si="30"/>
        <v>0.05</v>
      </c>
      <c r="N422" s="464">
        <f t="shared" si="31"/>
        <v>63889</v>
      </c>
    </row>
    <row r="423" spans="7:14" ht="11.25" customHeight="1" x14ac:dyDescent="0.25">
      <c r="G423" s="459">
        <f t="shared" si="44"/>
        <v>35</v>
      </c>
      <c r="H423" s="459">
        <v>416</v>
      </c>
      <c r="I423" s="444">
        <f t="shared" ca="1" si="29"/>
        <v>432460.53094576928</v>
      </c>
      <c r="J423" s="444">
        <f t="array" ref="J423">IFERROR(INDEX('Retirement Calculator'!K:K,MATCH('Lorri 401b'!N423,'Retirement Calculator'!A:A,0),0),0)</f>
        <v>21655.303514578787</v>
      </c>
      <c r="K423" s="444">
        <f t="shared" ca="1" si="27"/>
        <v>1711.6884476299604</v>
      </c>
      <c r="L423" s="444">
        <f t="shared" ca="1" si="28"/>
        <v>412516.91587882047</v>
      </c>
      <c r="M423" s="460">
        <f t="shared" si="30"/>
        <v>0.05</v>
      </c>
      <c r="N423" s="464">
        <f t="shared" si="31"/>
        <v>63920</v>
      </c>
    </row>
    <row r="424" spans="7:14" ht="11.25" customHeight="1" x14ac:dyDescent="0.25">
      <c r="G424" s="459">
        <f t="shared" si="44"/>
        <v>35</v>
      </c>
      <c r="H424" s="459">
        <v>417</v>
      </c>
      <c r="I424" s="444">
        <f t="shared" ca="1" si="29"/>
        <v>412516.91587882047</v>
      </c>
      <c r="J424" s="444">
        <f t="array" ref="J424">IFERROR(INDEX('Retirement Calculator'!K:K,MATCH('Lorri 401b'!N424,'Retirement Calculator'!A:A,0),0),0)</f>
        <v>21655.303514578787</v>
      </c>
      <c r="K424" s="444">
        <f t="shared" ca="1" si="27"/>
        <v>1628.5900515176736</v>
      </c>
      <c r="L424" s="444">
        <f t="shared" ca="1" si="28"/>
        <v>392490.20241575933</v>
      </c>
      <c r="M424" s="460">
        <f t="shared" si="30"/>
        <v>0.05</v>
      </c>
      <c r="N424" s="464">
        <f t="shared" si="31"/>
        <v>63951</v>
      </c>
    </row>
    <row r="425" spans="7:14" ht="11.25" customHeight="1" x14ac:dyDescent="0.25">
      <c r="G425" s="459">
        <f t="shared" si="44"/>
        <v>35</v>
      </c>
      <c r="H425" s="459">
        <v>418</v>
      </c>
      <c r="I425" s="444">
        <f t="shared" ca="1" si="29"/>
        <v>392490.20241575933</v>
      </c>
      <c r="J425" s="444">
        <f t="array" ref="J425">IFERROR(INDEX('Retirement Calculator'!K:K,MATCH('Lorri 401b'!N425,'Retirement Calculator'!A:A,0),0),0)</f>
        <v>21655.303514578787</v>
      </c>
      <c r="K425" s="444">
        <f t="shared" ca="1" si="27"/>
        <v>1545.1454120882522</v>
      </c>
      <c r="L425" s="444">
        <f t="shared" ca="1" si="28"/>
        <v>372380.04431326879</v>
      </c>
      <c r="M425" s="460">
        <f t="shared" si="30"/>
        <v>0.05</v>
      </c>
      <c r="N425" s="464">
        <f t="shared" si="31"/>
        <v>63979</v>
      </c>
    </row>
    <row r="426" spans="7:14" ht="11.25" customHeight="1" x14ac:dyDescent="0.25">
      <c r="G426" s="459">
        <f t="shared" si="44"/>
        <v>35</v>
      </c>
      <c r="H426" s="459">
        <v>419</v>
      </c>
      <c r="I426" s="444">
        <f t="shared" ca="1" si="29"/>
        <v>372380.04431326879</v>
      </c>
      <c r="J426" s="444">
        <f t="array" ref="J426">IFERROR(INDEX('Retirement Calculator'!K:K,MATCH('Lorri 401b'!N426,'Retirement Calculator'!A:A,0),0),0)</f>
        <v>21655.303514578787</v>
      </c>
      <c r="K426" s="444">
        <f t="shared" ca="1" si="27"/>
        <v>1461.3530866612084</v>
      </c>
      <c r="L426" s="444">
        <f t="shared" ca="1" si="28"/>
        <v>352186.09388535121</v>
      </c>
      <c r="M426" s="460">
        <f t="shared" si="30"/>
        <v>0.05</v>
      </c>
      <c r="N426" s="464">
        <f t="shared" si="31"/>
        <v>64010</v>
      </c>
    </row>
    <row r="427" spans="7:14" ht="11.25" customHeight="1" x14ac:dyDescent="0.25">
      <c r="G427" s="459">
        <f t="shared" si="44"/>
        <v>35</v>
      </c>
      <c r="H427" s="459">
        <v>420</v>
      </c>
      <c r="I427" s="444">
        <f t="shared" ca="1" si="29"/>
        <v>352186.09388535121</v>
      </c>
      <c r="J427" s="444">
        <f t="array" ref="J427">IFERROR(INDEX('Retirement Calculator'!K:K,MATCH('Lorri 401b'!N427,'Retirement Calculator'!A:A,0),0),0)</f>
        <v>21655.303514578787</v>
      </c>
      <c r="K427" s="444">
        <f t="shared" ca="1" si="27"/>
        <v>1377.2116265448851</v>
      </c>
      <c r="L427" s="444">
        <f t="shared" ca="1" si="28"/>
        <v>331908.0019973173</v>
      </c>
      <c r="M427" s="460">
        <f t="shared" si="30"/>
        <v>0.05</v>
      </c>
      <c r="N427" s="464">
        <f t="shared" si="31"/>
        <v>64040</v>
      </c>
    </row>
    <row r="428" spans="7:14" ht="11.25" customHeight="1" x14ac:dyDescent="0.25">
      <c r="G428" s="459">
        <f>G427+1</f>
        <v>36</v>
      </c>
      <c r="H428" s="459">
        <v>421</v>
      </c>
      <c r="I428" s="444">
        <f t="shared" ca="1" si="29"/>
        <v>331908.0019973173</v>
      </c>
      <c r="J428" s="444">
        <f t="array" ref="J428">IFERROR(INDEX('Retirement Calculator'!K:K,MATCH('Lorri 401b'!N428,'Retirement Calculator'!A:A,0),0),0)</f>
        <v>21655.303514578787</v>
      </c>
      <c r="K428" s="444">
        <f t="shared" ca="1" si="27"/>
        <v>1292.7195770114104</v>
      </c>
      <c r="L428" s="444">
        <f t="shared" ca="1" si="28"/>
        <v>311545.41805974994</v>
      </c>
      <c r="M428" s="460">
        <f t="shared" si="30"/>
        <v>0.05</v>
      </c>
      <c r="N428" s="464">
        <f t="shared" si="31"/>
        <v>64071</v>
      </c>
    </row>
    <row r="429" spans="7:14" ht="11.25" customHeight="1" x14ac:dyDescent="0.25">
      <c r="G429" s="459">
        <f t="shared" ref="G429:G439" si="45">G428</f>
        <v>36</v>
      </c>
      <c r="H429" s="459">
        <v>422</v>
      </c>
      <c r="I429" s="444">
        <f t="shared" ca="1" si="29"/>
        <v>311545.41805974994</v>
      </c>
      <c r="J429" s="444">
        <f t="array" ref="J429">IFERROR(INDEX('Retirement Calculator'!K:K,MATCH('Lorri 401b'!N429,'Retirement Calculator'!A:A,0),0),0)</f>
        <v>21655.303514578787</v>
      </c>
      <c r="K429" s="444">
        <f t="shared" ca="1" si="27"/>
        <v>1207.8754772715465</v>
      </c>
      <c r="L429" s="444">
        <f t="shared" ca="1" si="28"/>
        <v>291097.99002244271</v>
      </c>
      <c r="M429" s="460">
        <f t="shared" si="30"/>
        <v>0.05</v>
      </c>
      <c r="N429" s="464">
        <f t="shared" si="31"/>
        <v>64101</v>
      </c>
    </row>
    <row r="430" spans="7:14" ht="11.25" customHeight="1" x14ac:dyDescent="0.25">
      <c r="G430" s="459">
        <f t="shared" si="45"/>
        <v>36</v>
      </c>
      <c r="H430" s="459">
        <v>423</v>
      </c>
      <c r="I430" s="444">
        <f t="shared" ca="1" si="29"/>
        <v>291097.99002244271</v>
      </c>
      <c r="J430" s="444">
        <f t="array" ref="J430">IFERROR(INDEX('Retirement Calculator'!K:K,MATCH('Lorri 401b'!N430,'Retirement Calculator'!A:A,0),0),0)</f>
        <v>21655.303514578787</v>
      </c>
      <c r="K430" s="444">
        <f t="shared" ca="1" si="27"/>
        <v>1122.677860449433</v>
      </c>
      <c r="L430" s="444">
        <f t="shared" ca="1" si="28"/>
        <v>270565.36436831334</v>
      </c>
      <c r="M430" s="460">
        <f t="shared" si="30"/>
        <v>0.05</v>
      </c>
      <c r="N430" s="464">
        <f t="shared" si="31"/>
        <v>64132</v>
      </c>
    </row>
    <row r="431" spans="7:14" ht="11.25" customHeight="1" x14ac:dyDescent="0.25">
      <c r="G431" s="459">
        <f t="shared" si="45"/>
        <v>36</v>
      </c>
      <c r="H431" s="459">
        <v>424</v>
      </c>
      <c r="I431" s="444">
        <f t="shared" ca="1" si="29"/>
        <v>270565.36436831334</v>
      </c>
      <c r="J431" s="444">
        <f t="array" ref="J431">IFERROR(INDEX('Retirement Calculator'!K:K,MATCH('Lorri 401b'!N431,'Retirement Calculator'!A:A,0),0),0)</f>
        <v>21655.303514578787</v>
      </c>
      <c r="K431" s="444">
        <f t="shared" ca="1" si="27"/>
        <v>1037.1252535572273</v>
      </c>
      <c r="L431" s="444">
        <f t="shared" ca="1" si="28"/>
        <v>249947.18610729178</v>
      </c>
      <c r="M431" s="460">
        <f t="shared" si="30"/>
        <v>0.05</v>
      </c>
      <c r="N431" s="464">
        <f t="shared" si="31"/>
        <v>64163</v>
      </c>
    </row>
    <row r="432" spans="7:14" ht="11.25" customHeight="1" x14ac:dyDescent="0.25">
      <c r="G432" s="459">
        <f t="shared" si="45"/>
        <v>36</v>
      </c>
      <c r="H432" s="459">
        <v>425</v>
      </c>
      <c r="I432" s="444">
        <f t="shared" ca="1" si="29"/>
        <v>249947.18610729178</v>
      </c>
      <c r="J432" s="444">
        <f t="array" ref="J432">IFERROR(INDEX('Retirement Calculator'!K:K,MATCH('Lorri 401b'!N432,'Retirement Calculator'!A:A,0),0),0)</f>
        <v>21655.303514578787</v>
      </c>
      <c r="K432" s="444">
        <f t="shared" ca="1" si="27"/>
        <v>951.2161774696375</v>
      </c>
      <c r="L432" s="444">
        <f t="shared" ca="1" si="28"/>
        <v>229243.09877018264</v>
      </c>
      <c r="M432" s="460">
        <f t="shared" si="30"/>
        <v>0.05</v>
      </c>
      <c r="N432" s="464">
        <f t="shared" si="31"/>
        <v>64193</v>
      </c>
    </row>
    <row r="433" spans="7:14" ht="11.25" customHeight="1" x14ac:dyDescent="0.25">
      <c r="G433" s="459">
        <f t="shared" si="45"/>
        <v>36</v>
      </c>
      <c r="H433" s="459">
        <v>426</v>
      </c>
      <c r="I433" s="444">
        <f t="shared" ca="1" si="29"/>
        <v>229243.09877018264</v>
      </c>
      <c r="J433" s="444">
        <f t="array" ref="J433">IFERROR(INDEX('Retirement Calculator'!K:K,MATCH('Lorri 401b'!N433,'Retirement Calculator'!A:A,0),0),0)</f>
        <v>21655.303514578787</v>
      </c>
      <c r="K433" s="444">
        <f t="shared" ca="1" si="27"/>
        <v>864.94914689834934</v>
      </c>
      <c r="L433" s="444">
        <f t="shared" ca="1" si="28"/>
        <v>208452.7444025022</v>
      </c>
      <c r="M433" s="460">
        <f t="shared" si="30"/>
        <v>0.05</v>
      </c>
      <c r="N433" s="464">
        <f t="shared" si="31"/>
        <v>64224</v>
      </c>
    </row>
    <row r="434" spans="7:14" ht="11.25" customHeight="1" x14ac:dyDescent="0.25">
      <c r="G434" s="459">
        <f t="shared" si="45"/>
        <v>36</v>
      </c>
      <c r="H434" s="459">
        <v>427</v>
      </c>
      <c r="I434" s="444">
        <f t="shared" ca="1" si="29"/>
        <v>208452.7444025022</v>
      </c>
      <c r="J434" s="444">
        <f t="array" ref="J434">IFERROR(INDEX('Retirement Calculator'!K:K,MATCH('Lorri 401b'!N434,'Retirement Calculator'!A:A,0),0),0)</f>
        <v>21655.303514578787</v>
      </c>
      <c r="K434" s="444">
        <f t="shared" ca="1" si="27"/>
        <v>778.32267036634755</v>
      </c>
      <c r="L434" s="444">
        <f t="shared" ca="1" si="28"/>
        <v>187575.76355828976</v>
      </c>
      <c r="M434" s="460">
        <f t="shared" si="30"/>
        <v>0.05</v>
      </c>
      <c r="N434" s="464">
        <f t="shared" si="31"/>
        <v>64254</v>
      </c>
    </row>
    <row r="435" spans="7:14" ht="11.25" customHeight="1" x14ac:dyDescent="0.25">
      <c r="G435" s="459">
        <f t="shared" si="45"/>
        <v>36</v>
      </c>
      <c r="H435" s="459">
        <v>428</v>
      </c>
      <c r="I435" s="444">
        <f t="shared" ca="1" si="29"/>
        <v>187575.76355828976</v>
      </c>
      <c r="J435" s="444">
        <f t="array" ref="J435">IFERROR(INDEX('Retirement Calculator'!K:K,MATCH('Lorri 401b'!N435,'Retirement Calculator'!A:A,0),0),0)</f>
        <v>21655.303514578787</v>
      </c>
      <c r="K435" s="444">
        <f t="shared" ca="1" si="27"/>
        <v>691.33525018212902</v>
      </c>
      <c r="L435" s="444">
        <f t="shared" ca="1" si="28"/>
        <v>166611.79529389311</v>
      </c>
      <c r="M435" s="460">
        <f t="shared" si="30"/>
        <v>0.05</v>
      </c>
      <c r="N435" s="464">
        <f t="shared" si="31"/>
        <v>64285</v>
      </c>
    </row>
    <row r="436" spans="7:14" ht="11.25" customHeight="1" x14ac:dyDescent="0.25">
      <c r="G436" s="459">
        <f t="shared" si="45"/>
        <v>36</v>
      </c>
      <c r="H436" s="459">
        <v>429</v>
      </c>
      <c r="I436" s="444">
        <f t="shared" ca="1" si="29"/>
        <v>166611.79529389311</v>
      </c>
      <c r="J436" s="444">
        <f t="array" ref="J436">IFERROR(INDEX('Retirement Calculator'!K:K,MATCH('Lorri 401b'!N436,'Retirement Calculator'!A:A,0),0),0)</f>
        <v>21655.303514578787</v>
      </c>
      <c r="K436" s="444">
        <f t="shared" ca="1" si="27"/>
        <v>603.9853824138097</v>
      </c>
      <c r="L436" s="444">
        <f t="shared" ca="1" si="28"/>
        <v>145560.47716172814</v>
      </c>
      <c r="M436" s="460">
        <f t="shared" si="30"/>
        <v>0.05</v>
      </c>
      <c r="N436" s="464">
        <f t="shared" si="31"/>
        <v>64316</v>
      </c>
    </row>
    <row r="437" spans="7:14" ht="11.25" customHeight="1" x14ac:dyDescent="0.25">
      <c r="G437" s="459">
        <f t="shared" si="45"/>
        <v>36</v>
      </c>
      <c r="H437" s="459">
        <v>430</v>
      </c>
      <c r="I437" s="444">
        <f t="shared" ca="1" si="29"/>
        <v>145560.47716172814</v>
      </c>
      <c r="J437" s="444">
        <f t="array" ref="J437">IFERROR(INDEX('Retirement Calculator'!K:K,MATCH('Lorri 401b'!N437,'Retirement Calculator'!A:A,0),0),0)</f>
        <v>21655.303514578787</v>
      </c>
      <c r="K437" s="444">
        <f t="shared" ca="1" si="27"/>
        <v>516.27155686312233</v>
      </c>
      <c r="L437" s="444">
        <f t="shared" ca="1" si="28"/>
        <v>124421.44520401247</v>
      </c>
      <c r="M437" s="460">
        <f t="shared" si="30"/>
        <v>0.05</v>
      </c>
      <c r="N437" s="464">
        <f t="shared" si="31"/>
        <v>64345</v>
      </c>
    </row>
    <row r="438" spans="7:14" ht="11.25" customHeight="1" x14ac:dyDescent="0.25">
      <c r="G438" s="459">
        <f t="shared" si="45"/>
        <v>36</v>
      </c>
      <c r="H438" s="459">
        <v>431</v>
      </c>
      <c r="I438" s="444">
        <f t="shared" ca="1" si="29"/>
        <v>124421.44520401247</v>
      </c>
      <c r="J438" s="444">
        <f t="array" ref="J438">IFERROR(INDEX('Retirement Calculator'!K:K,MATCH('Lorri 401b'!N438,'Retirement Calculator'!A:A,0),0),0)</f>
        <v>21655.303514578787</v>
      </c>
      <c r="K438" s="444">
        <f t="shared" ca="1" si="27"/>
        <v>428.19225703930709</v>
      </c>
      <c r="L438" s="444">
        <f t="shared" ca="1" si="28"/>
        <v>103194.33394647299</v>
      </c>
      <c r="M438" s="460">
        <f t="shared" si="30"/>
        <v>0.05</v>
      </c>
      <c r="N438" s="464">
        <f t="shared" si="31"/>
        <v>64376</v>
      </c>
    </row>
    <row r="439" spans="7:14" ht="11.25" customHeight="1" x14ac:dyDescent="0.25">
      <c r="G439" s="459">
        <f t="shared" si="45"/>
        <v>36</v>
      </c>
      <c r="H439" s="459">
        <v>432</v>
      </c>
      <c r="I439" s="444">
        <f t="shared" ca="1" si="29"/>
        <v>103194.33394647299</v>
      </c>
      <c r="J439" s="444">
        <f t="array" ref="J439">IFERROR(INDEX('Retirement Calculator'!K:K,MATCH('Lorri 401b'!N439,'Retirement Calculator'!A:A,0),0),0)</f>
        <v>21655.303514578787</v>
      </c>
      <c r="K439" s="444">
        <f t="shared" ca="1" si="27"/>
        <v>339.74596013289255</v>
      </c>
      <c r="L439" s="444">
        <f t="shared" ca="1" si="28"/>
        <v>81878.776392027095</v>
      </c>
      <c r="M439" s="460">
        <f t="shared" si="30"/>
        <v>0.05</v>
      </c>
      <c r="N439" s="464">
        <f t="shared" si="31"/>
        <v>64406</v>
      </c>
    </row>
    <row r="440" spans="7:14" ht="11.25" customHeight="1" x14ac:dyDescent="0.25">
      <c r="G440" s="459">
        <f>G439+1</f>
        <v>37</v>
      </c>
      <c r="H440" s="459">
        <v>433</v>
      </c>
      <c r="I440" s="444">
        <f t="shared" ca="1" si="29"/>
        <v>81878.776392027095</v>
      </c>
      <c r="J440" s="444">
        <f t="array" ref="J440">IFERROR(INDEX('Retirement Calculator'!K:K,MATCH('Lorri 401b'!N440,'Retirement Calculator'!A:A,0),0),0)</f>
        <v>21655.303514578787</v>
      </c>
      <c r="K440" s="444">
        <f t="shared" ca="1" si="27"/>
        <v>250.93113698936799</v>
      </c>
      <c r="L440" s="444">
        <f t="shared" ca="1" si="28"/>
        <v>60474.404014437678</v>
      </c>
      <c r="M440" s="460">
        <f t="shared" si="30"/>
        <v>0.05</v>
      </c>
      <c r="N440" s="464">
        <f t="shared" si="31"/>
        <v>64437</v>
      </c>
    </row>
    <row r="441" spans="7:14" ht="11.25" customHeight="1" x14ac:dyDescent="0.25">
      <c r="G441" s="459">
        <f t="shared" ref="G441:G451" si="46">G440</f>
        <v>37</v>
      </c>
      <c r="H441" s="459">
        <v>434</v>
      </c>
      <c r="I441" s="444">
        <f t="shared" ca="1" si="29"/>
        <v>60474.404014437678</v>
      </c>
      <c r="J441" s="444">
        <f t="array" ref="J441">IFERROR(INDEX('Retirement Calculator'!K:K,MATCH('Lorri 401b'!N441,'Retirement Calculator'!A:A,0),0),0)</f>
        <v>21655.303514578787</v>
      </c>
      <c r="K441" s="444">
        <f t="shared" ca="1" si="27"/>
        <v>161.74625208274537</v>
      </c>
      <c r="L441" s="444">
        <f t="shared" ca="1" si="28"/>
        <v>38980.846751941637</v>
      </c>
      <c r="M441" s="460">
        <f t="shared" si="30"/>
        <v>0.05</v>
      </c>
      <c r="N441" s="464">
        <f t="shared" si="31"/>
        <v>64467</v>
      </c>
    </row>
    <row r="442" spans="7:14" ht="11.25" customHeight="1" x14ac:dyDescent="0.25">
      <c r="G442" s="459">
        <f t="shared" si="46"/>
        <v>37</v>
      </c>
      <c r="H442" s="459">
        <v>435</v>
      </c>
      <c r="I442" s="444">
        <f t="shared" ca="1" si="29"/>
        <v>38980.846751941637</v>
      </c>
      <c r="J442" s="444">
        <f t="array" ref="J442">IFERROR(INDEX('Retirement Calculator'!K:K,MATCH('Lorri 401b'!N442,'Retirement Calculator'!A:A,0),0),0)</f>
        <v>21655.303514578787</v>
      </c>
      <c r="K442" s="444">
        <f t="shared" ca="1" si="27"/>
        <v>72.189763489011881</v>
      </c>
      <c r="L442" s="444">
        <f t="shared" ca="1" si="28"/>
        <v>17397.733000851862</v>
      </c>
      <c r="M442" s="460">
        <f t="shared" si="30"/>
        <v>0.05</v>
      </c>
      <c r="N442" s="464">
        <f t="shared" si="31"/>
        <v>64498</v>
      </c>
    </row>
    <row r="443" spans="7:14" ht="11.25" customHeight="1" x14ac:dyDescent="0.25">
      <c r="G443" s="459">
        <f t="shared" si="46"/>
        <v>37</v>
      </c>
      <c r="H443" s="459">
        <v>436</v>
      </c>
      <c r="I443" s="444">
        <f t="shared" ca="1" si="29"/>
        <v>17397.733000851862</v>
      </c>
      <c r="J443" s="444">
        <f t="array" ref="J443">IFERROR(INDEX('Retirement Calculator'!K:K,MATCH('Lorri 401b'!N443,'Retirement Calculator'!A:A,0),0),0)</f>
        <v>21655.303514578787</v>
      </c>
      <c r="K443" s="444">
        <f t="shared" ca="1" si="27"/>
        <v>-17.739877140528854</v>
      </c>
      <c r="L443" s="444">
        <f t="shared" ca="1" si="28"/>
        <v>-4275.3103908674539</v>
      </c>
      <c r="M443" s="460">
        <f t="shared" si="30"/>
        <v>0.05</v>
      </c>
      <c r="N443" s="464">
        <f t="shared" si="31"/>
        <v>64529</v>
      </c>
    </row>
    <row r="444" spans="7:14" ht="11.25" customHeight="1" x14ac:dyDescent="0.25">
      <c r="G444" s="459">
        <f t="shared" si="46"/>
        <v>37</v>
      </c>
      <c r="H444" s="459">
        <v>437</v>
      </c>
      <c r="I444" s="444">
        <f t="shared" ca="1" si="29"/>
        <v>-4275.3103908674539</v>
      </c>
      <c r="J444" s="444">
        <f t="array" ref="J444">IFERROR(INDEX('Retirement Calculator'!K:K,MATCH('Lorri 401b'!N444,'Retirement Calculator'!A:A,0),0),0)</f>
        <v>21655.303514578787</v>
      </c>
      <c r="K444" s="444">
        <f t="shared" ca="1" si="27"/>
        <v>-108.04422460602602</v>
      </c>
      <c r="L444" s="444">
        <f t="shared" ca="1" si="28"/>
        <v>-26038.658130052267</v>
      </c>
      <c r="M444" s="460">
        <f t="shared" si="30"/>
        <v>0.05</v>
      </c>
      <c r="N444" s="464">
        <f t="shared" si="31"/>
        <v>64559</v>
      </c>
    </row>
    <row r="445" spans="7:14" ht="11.25" customHeight="1" x14ac:dyDescent="0.25">
      <c r="G445" s="459">
        <f t="shared" si="46"/>
        <v>37</v>
      </c>
      <c r="H445" s="459">
        <v>438</v>
      </c>
      <c r="I445" s="444">
        <f t="shared" ca="1" si="29"/>
        <v>-26038.658130052267</v>
      </c>
      <c r="J445" s="444">
        <f t="array" ref="J445">IFERROR(INDEX('Retirement Calculator'!K:K,MATCH('Lorri 401b'!N445,'Retirement Calculator'!A:A,0),0),0)</f>
        <v>21655.303514578787</v>
      </c>
      <c r="K445" s="444">
        <f t="shared" ca="1" si="27"/>
        <v>-198.72484018596273</v>
      </c>
      <c r="L445" s="444">
        <f t="shared" ca="1" si="28"/>
        <v>-47892.686484817015</v>
      </c>
      <c r="M445" s="460">
        <f t="shared" si="30"/>
        <v>0.05</v>
      </c>
      <c r="N445" s="464">
        <f t="shared" si="31"/>
        <v>64590</v>
      </c>
    </row>
    <row r="446" spans="7:14" ht="11.25" customHeight="1" x14ac:dyDescent="0.25">
      <c r="G446" s="459">
        <f t="shared" si="46"/>
        <v>37</v>
      </c>
      <c r="H446" s="459">
        <v>439</v>
      </c>
      <c r="I446" s="444">
        <f t="shared" ca="1" si="29"/>
        <v>-47892.686484817015</v>
      </c>
      <c r="J446" s="444">
        <f t="array" ref="J446">IFERROR(INDEX('Retirement Calculator'!K:K,MATCH('Lorri 401b'!N446,'Retirement Calculator'!A:A,0),0),0)</f>
        <v>21655.303514578787</v>
      </c>
      <c r="K446" s="444">
        <f t="shared" ca="1" si="27"/>
        <v>-289.78329166414915</v>
      </c>
      <c r="L446" s="444">
        <f t="shared" ca="1" si="28"/>
        <v>-69837.773291059944</v>
      </c>
      <c r="M446" s="460">
        <f t="shared" si="30"/>
        <v>0.05</v>
      </c>
      <c r="N446" s="464">
        <f t="shared" si="31"/>
        <v>64620</v>
      </c>
    </row>
    <row r="447" spans="7:14" ht="11.25" customHeight="1" x14ac:dyDescent="0.25">
      <c r="G447" s="459">
        <f t="shared" si="46"/>
        <v>37</v>
      </c>
      <c r="H447" s="459">
        <v>440</v>
      </c>
      <c r="I447" s="444">
        <f t="shared" ca="1" si="29"/>
        <v>-69837.773291059944</v>
      </c>
      <c r="J447" s="444">
        <f t="array" ref="J447">IFERROR(INDEX('Retirement Calculator'!K:K,MATCH('Lorri 401b'!N447,'Retirement Calculator'!A:A,0),0),0)</f>
        <v>21655.303514578787</v>
      </c>
      <c r="K447" s="444">
        <f t="shared" ca="1" si="27"/>
        <v>-381.22115335682804</v>
      </c>
      <c r="L447" s="444">
        <f t="shared" ca="1" si="28"/>
        <v>-91874.297958995565</v>
      </c>
      <c r="M447" s="460">
        <f t="shared" si="30"/>
        <v>0.05</v>
      </c>
      <c r="N447" s="464">
        <f t="shared" si="31"/>
        <v>64651</v>
      </c>
    </row>
    <row r="448" spans="7:14" ht="11.25" customHeight="1" x14ac:dyDescent="0.25">
      <c r="G448" s="459">
        <f t="shared" si="46"/>
        <v>37</v>
      </c>
      <c r="H448" s="459">
        <v>441</v>
      </c>
      <c r="I448" s="444">
        <f t="shared" ca="1" si="29"/>
        <v>-91874.297958995565</v>
      </c>
      <c r="J448" s="444">
        <f t="array" ref="J448">IFERROR(INDEX('Retirement Calculator'!K:K,MATCH('Lorri 401b'!N448,'Retirement Calculator'!A:A,0),0),0)</f>
        <v>21655.303514578787</v>
      </c>
      <c r="K448" s="444">
        <f t="shared" ca="1" si="27"/>
        <v>-473.04000613989314</v>
      </c>
      <c r="L448" s="444">
        <f t="shared" ca="1" si="28"/>
        <v>-114002.64147971425</v>
      </c>
      <c r="M448" s="460">
        <f t="shared" si="30"/>
        <v>0.05</v>
      </c>
      <c r="N448" s="464">
        <f t="shared" si="31"/>
        <v>64682</v>
      </c>
    </row>
    <row r="449" spans="7:14" ht="11.25" customHeight="1" x14ac:dyDescent="0.25">
      <c r="G449" s="459">
        <f t="shared" si="46"/>
        <v>37</v>
      </c>
      <c r="H449" s="459">
        <v>442</v>
      </c>
      <c r="I449" s="444">
        <f t="shared" ca="1" si="29"/>
        <v>-114002.64147971425</v>
      </c>
      <c r="J449" s="444">
        <f t="array" ref="J449">IFERROR(INDEX('Retirement Calculator'!K:K,MATCH('Lorri 401b'!N449,'Retirement Calculator'!A:A,0),0),0)</f>
        <v>21655.303514578787</v>
      </c>
      <c r="K449" s="444">
        <f t="shared" ca="1" si="27"/>
        <v>-565.24143747622099</v>
      </c>
      <c r="L449" s="444">
        <f t="shared" ca="1" si="28"/>
        <v>-136223.18643176925</v>
      </c>
      <c r="M449" s="460">
        <f t="shared" si="30"/>
        <v>0.05</v>
      </c>
      <c r="N449" s="464">
        <f t="shared" si="31"/>
        <v>64710</v>
      </c>
    </row>
    <row r="450" spans="7:14" ht="11.25" customHeight="1" x14ac:dyDescent="0.25">
      <c r="G450" s="459">
        <f t="shared" si="46"/>
        <v>37</v>
      </c>
      <c r="H450" s="459">
        <v>443</v>
      </c>
      <c r="I450" s="444">
        <f t="shared" ca="1" si="29"/>
        <v>-136223.18643176925</v>
      </c>
      <c r="J450" s="444">
        <f t="array" ref="J450">IFERROR(INDEX('Retirement Calculator'!K:K,MATCH('Lorri 401b'!N450,'Retirement Calculator'!A:A,0),0),0)</f>
        <v>21655.303514578787</v>
      </c>
      <c r="K450" s="444">
        <f t="shared" ca="1" si="27"/>
        <v>-657.82704144311685</v>
      </c>
      <c r="L450" s="444">
        <f t="shared" ca="1" si="28"/>
        <v>-158536.31698779116</v>
      </c>
      <c r="M450" s="460">
        <f t="shared" si="30"/>
        <v>0.05</v>
      </c>
      <c r="N450" s="464">
        <f t="shared" si="31"/>
        <v>64741</v>
      </c>
    </row>
    <row r="451" spans="7:14" ht="11.25" customHeight="1" x14ac:dyDescent="0.25">
      <c r="G451" s="459">
        <f t="shared" si="46"/>
        <v>37</v>
      </c>
      <c r="H451" s="459">
        <v>444</v>
      </c>
      <c r="I451" s="444">
        <f t="shared" ca="1" si="29"/>
        <v>-158536.31698779116</v>
      </c>
      <c r="J451" s="444">
        <f t="array" ref="J451">IFERROR(INDEX('Retirement Calculator'!K:K,MATCH('Lorri 401b'!N451,'Retirement Calculator'!A:A,0),0),0)</f>
        <v>21655.303514578787</v>
      </c>
      <c r="K451" s="444">
        <f t="shared" ca="1" si="27"/>
        <v>-750.79841875987472</v>
      </c>
      <c r="L451" s="444">
        <f t="shared" ca="1" si="28"/>
        <v>-180942.41892112981</v>
      </c>
      <c r="M451" s="460">
        <f t="shared" si="30"/>
        <v>0.05</v>
      </c>
      <c r="N451" s="464">
        <f t="shared" si="31"/>
        <v>64771</v>
      </c>
    </row>
    <row r="452" spans="7:14" ht="11.25" customHeight="1" x14ac:dyDescent="0.25">
      <c r="G452" s="459">
        <f>G451+1</f>
        <v>38</v>
      </c>
      <c r="H452" s="459">
        <v>445</v>
      </c>
      <c r="I452" s="444">
        <f t="shared" ca="1" si="29"/>
        <v>-180942.41892112981</v>
      </c>
      <c r="J452" s="444">
        <f t="array" ref="J452">IFERROR(INDEX('Retirement Calculator'!K:K,MATCH('Lorri 401b'!N452,'Retirement Calculator'!A:A,0),0),0)</f>
        <v>21655.303514578787</v>
      </c>
      <c r="K452" s="444">
        <f t="shared" ca="1" si="27"/>
        <v>-844.15717681545243</v>
      </c>
      <c r="L452" s="444">
        <f t="shared" ca="1" si="28"/>
        <v>-203441.87961252403</v>
      </c>
      <c r="M452" s="460">
        <f t="shared" si="30"/>
        <v>0.05</v>
      </c>
      <c r="N452" s="464">
        <f t="shared" si="31"/>
        <v>64802</v>
      </c>
    </row>
    <row r="453" spans="7:14" ht="11.25" customHeight="1" x14ac:dyDescent="0.25">
      <c r="G453" s="459">
        <f t="shared" ref="G453:G463" si="47">G452</f>
        <v>38</v>
      </c>
      <c r="H453" s="459">
        <v>446</v>
      </c>
      <c r="I453" s="444">
        <f t="shared" ca="1" si="29"/>
        <v>-203441.87961252403</v>
      </c>
      <c r="J453" s="444">
        <f t="array" ref="J453">IFERROR(INDEX('Retirement Calculator'!K:K,MATCH('Lorri 401b'!N453,'Retirement Calculator'!A:A,0),0),0)</f>
        <v>21655.303514578787</v>
      </c>
      <c r="K453" s="444">
        <f t="shared" ca="1" si="27"/>
        <v>-937.90492969626166</v>
      </c>
      <c r="L453" s="444">
        <f t="shared" ca="1" si="28"/>
        <v>-226035.08805679908</v>
      </c>
      <c r="M453" s="460">
        <f t="shared" si="30"/>
        <v>0.05</v>
      </c>
      <c r="N453" s="464">
        <f t="shared" si="31"/>
        <v>64832</v>
      </c>
    </row>
    <row r="454" spans="7:14" ht="11.25" customHeight="1" x14ac:dyDescent="0.25">
      <c r="G454" s="459">
        <f t="shared" si="47"/>
        <v>38</v>
      </c>
      <c r="H454" s="459">
        <v>447</v>
      </c>
      <c r="I454" s="444">
        <f t="shared" ca="1" si="29"/>
        <v>-226035.08805679908</v>
      </c>
      <c r="J454" s="444">
        <f t="array" ref="J454">IFERROR(INDEX('Retirement Calculator'!K:K,MATCH('Lorri 401b'!N454,'Retirement Calculator'!A:A,0),0),0)</f>
        <v>21655.303514578787</v>
      </c>
      <c r="K454" s="444">
        <f t="shared" ca="1" si="27"/>
        <v>-1032.0432982140744</v>
      </c>
      <c r="L454" s="444">
        <f t="shared" ca="1" si="28"/>
        <v>-248722.43486959193</v>
      </c>
      <c r="M454" s="460">
        <f t="shared" si="30"/>
        <v>0.05</v>
      </c>
      <c r="N454" s="464">
        <f t="shared" si="31"/>
        <v>64863</v>
      </c>
    </row>
    <row r="455" spans="7:14" ht="11.25" customHeight="1" x14ac:dyDescent="0.25">
      <c r="G455" s="459">
        <f t="shared" si="47"/>
        <v>38</v>
      </c>
      <c r="H455" s="459">
        <v>448</v>
      </c>
      <c r="I455" s="444">
        <f t="shared" ca="1" si="29"/>
        <v>-248722.43486959193</v>
      </c>
      <c r="J455" s="444">
        <f t="array" ref="J455">IFERROR(INDEX('Retirement Calculator'!K:K,MATCH('Lorri 401b'!N455,'Retirement Calculator'!A:A,0),0),0)</f>
        <v>21655.303514578787</v>
      </c>
      <c r="K455" s="444">
        <f t="shared" ca="1" si="27"/>
        <v>-1126.5739099340444</v>
      </c>
      <c r="L455" s="444">
        <f t="shared" ca="1" si="28"/>
        <v>-271504.31229410472</v>
      </c>
      <c r="M455" s="460">
        <f t="shared" si="30"/>
        <v>0.05</v>
      </c>
      <c r="N455" s="464">
        <f t="shared" si="31"/>
        <v>64894</v>
      </c>
    </row>
    <row r="456" spans="7:14" ht="11.25" customHeight="1" x14ac:dyDescent="0.25">
      <c r="G456" s="459">
        <f t="shared" si="47"/>
        <v>38</v>
      </c>
      <c r="H456" s="459">
        <v>449</v>
      </c>
      <c r="I456" s="444">
        <f t="shared" ca="1" si="29"/>
        <v>-271504.31229410472</v>
      </c>
      <c r="J456" s="444">
        <f t="array" ref="J456">IFERROR(INDEX('Retirement Calculator'!K:K,MATCH('Lorri 401b'!N456,'Retirement Calculator'!A:A,0),0),0)</f>
        <v>21655.303514578787</v>
      </c>
      <c r="K456" s="444">
        <f t="shared" ca="1" si="27"/>
        <v>-1221.4983992028478</v>
      </c>
      <c r="L456" s="444">
        <f t="shared" ca="1" si="28"/>
        <v>-294381.11420788633</v>
      </c>
      <c r="M456" s="460">
        <f t="shared" si="30"/>
        <v>0.05</v>
      </c>
      <c r="N456" s="464">
        <f t="shared" si="31"/>
        <v>64924</v>
      </c>
    </row>
    <row r="457" spans="7:14" ht="11.25" customHeight="1" x14ac:dyDescent="0.25">
      <c r="G457" s="459">
        <f t="shared" si="47"/>
        <v>38</v>
      </c>
      <c r="H457" s="459">
        <v>450</v>
      </c>
      <c r="I457" s="444">
        <f t="shared" ca="1" si="29"/>
        <v>-294381.11420788633</v>
      </c>
      <c r="J457" s="444">
        <f t="array" ref="J457">IFERROR(INDEX('Retirement Calculator'!K:K,MATCH('Lorri 401b'!N457,'Retirement Calculator'!A:A,0),0),0)</f>
        <v>21655.303514578787</v>
      </c>
      <c r="K457" s="444">
        <f t="shared" ca="1" si="27"/>
        <v>-1316.8184071769381</v>
      </c>
      <c r="L457" s="444">
        <f t="shared" ca="1" si="28"/>
        <v>-317353.23612964206</v>
      </c>
      <c r="M457" s="460">
        <f t="shared" si="30"/>
        <v>0.05</v>
      </c>
      <c r="N457" s="464">
        <f t="shared" si="31"/>
        <v>64955</v>
      </c>
    </row>
    <row r="458" spans="7:14" ht="11.25" customHeight="1" x14ac:dyDescent="0.25">
      <c r="G458" s="459">
        <f t="shared" si="47"/>
        <v>38</v>
      </c>
      <c r="H458" s="459">
        <v>451</v>
      </c>
      <c r="I458" s="444">
        <f t="shared" ca="1" si="29"/>
        <v>-317353.23612964206</v>
      </c>
      <c r="J458" s="444">
        <f t="array" ref="J458">IFERROR(INDEX('Retirement Calculator'!K:K,MATCH('Lorri 401b'!N458,'Retirement Calculator'!A:A,0),0),0)</f>
        <v>21655.303514578787</v>
      </c>
      <c r="K458" s="444">
        <f t="shared" ca="1" si="27"/>
        <v>-1412.5355818509202</v>
      </c>
      <c r="L458" s="444">
        <f t="shared" ca="1" si="28"/>
        <v>-340421.07522607176</v>
      </c>
      <c r="M458" s="460">
        <f t="shared" si="30"/>
        <v>0.05</v>
      </c>
      <c r="N458" s="464">
        <f t="shared" si="31"/>
        <v>64985</v>
      </c>
    </row>
    <row r="459" spans="7:14" ht="11.25" customHeight="1" x14ac:dyDescent="0.25">
      <c r="G459" s="459">
        <f t="shared" si="47"/>
        <v>38</v>
      </c>
      <c r="H459" s="459">
        <v>452</v>
      </c>
      <c r="I459" s="444">
        <f t="shared" ca="1" si="29"/>
        <v>-340421.07522607176</v>
      </c>
      <c r="J459" s="444">
        <f t="array" ref="J459">IFERROR(INDEX('Retirement Calculator'!K:K,MATCH('Lorri 401b'!N459,'Retirement Calculator'!A:A,0),0),0)</f>
        <v>21655.303514578787</v>
      </c>
      <c r="K459" s="444">
        <f t="shared" ca="1" si="27"/>
        <v>-1508.6515780860439</v>
      </c>
      <c r="L459" s="444">
        <f t="shared" ca="1" si="28"/>
        <v>-363585.03031873656</v>
      </c>
      <c r="M459" s="460">
        <f t="shared" si="30"/>
        <v>0.05</v>
      </c>
      <c r="N459" s="464">
        <f t="shared" si="31"/>
        <v>65016</v>
      </c>
    </row>
    <row r="460" spans="7:14" ht="11.25" customHeight="1" x14ac:dyDescent="0.25">
      <c r="G460" s="459">
        <f t="shared" si="47"/>
        <v>38</v>
      </c>
      <c r="H460" s="459">
        <v>453</v>
      </c>
      <c r="I460" s="444">
        <f t="shared" ca="1" si="29"/>
        <v>-363585.03031873656</v>
      </c>
      <c r="J460" s="444">
        <f t="array" ref="J460">IFERROR(INDEX('Retirement Calculator'!K:K,MATCH('Lorri 401b'!N460,'Retirement Calculator'!A:A,0),0),0)</f>
        <v>21655.303514578787</v>
      </c>
      <c r="K460" s="444">
        <f t="shared" ca="1" si="27"/>
        <v>-1605.1680576388139</v>
      </c>
      <c r="L460" s="444">
        <f t="shared" ca="1" si="28"/>
        <v>-386845.50189095415</v>
      </c>
      <c r="M460" s="460">
        <f t="shared" si="30"/>
        <v>0.05</v>
      </c>
      <c r="N460" s="464">
        <f t="shared" si="31"/>
        <v>65047</v>
      </c>
    </row>
    <row r="461" spans="7:14" ht="11.25" customHeight="1" x14ac:dyDescent="0.25">
      <c r="G461" s="459">
        <f t="shared" si="47"/>
        <v>38</v>
      </c>
      <c r="H461" s="459">
        <v>454</v>
      </c>
      <c r="I461" s="444">
        <f t="shared" ca="1" si="29"/>
        <v>-386845.50189095415</v>
      </c>
      <c r="J461" s="444">
        <f t="array" ref="J461">IFERROR(INDEX('Retirement Calculator'!K:K,MATCH('Lorri 401b'!N461,'Retirement Calculator'!A:A,0),0),0)</f>
        <v>21655.303514578787</v>
      </c>
      <c r="K461" s="444">
        <f t="shared" ca="1" si="27"/>
        <v>-1702.0866891897206</v>
      </c>
      <c r="L461" s="444">
        <f t="shared" ca="1" si="28"/>
        <v>-410202.89209472266</v>
      </c>
      <c r="M461" s="460">
        <f t="shared" si="30"/>
        <v>0.05</v>
      </c>
      <c r="N461" s="464">
        <f t="shared" si="31"/>
        <v>65075</v>
      </c>
    </row>
    <row r="462" spans="7:14" ht="11.25" customHeight="1" x14ac:dyDescent="0.25">
      <c r="G462" s="459">
        <f t="shared" si="47"/>
        <v>38</v>
      </c>
      <c r="H462" s="459">
        <v>455</v>
      </c>
      <c r="I462" s="444">
        <f t="shared" ca="1" si="29"/>
        <v>-410202.89209472266</v>
      </c>
      <c r="J462" s="444">
        <f t="array" ref="J462">IFERROR(INDEX('Retirement Calculator'!K:K,MATCH('Lorri 401b'!N462,'Retirement Calculator'!A:A,0),0),0)</f>
        <v>21655.303514578787</v>
      </c>
      <c r="K462" s="444">
        <f t="shared" ca="1" si="27"/>
        <v>-1799.4091483720892</v>
      </c>
      <c r="L462" s="444">
        <f t="shared" ca="1" si="28"/>
        <v>-433657.60475767351</v>
      </c>
      <c r="M462" s="460">
        <f t="shared" si="30"/>
        <v>0.05</v>
      </c>
      <c r="N462" s="464">
        <f t="shared" si="31"/>
        <v>65106</v>
      </c>
    </row>
    <row r="463" spans="7:14" ht="11.25" customHeight="1" x14ac:dyDescent="0.25">
      <c r="G463" s="459">
        <f t="shared" si="47"/>
        <v>38</v>
      </c>
      <c r="H463" s="459">
        <v>456</v>
      </c>
      <c r="I463" s="444">
        <f t="shared" ca="1" si="29"/>
        <v>-433657.60475767351</v>
      </c>
      <c r="J463" s="444">
        <f t="array" ref="J463">IFERROR(INDEX('Retirement Calculator'!K:K,MATCH('Lorri 401b'!N463,'Retirement Calculator'!A:A,0),0),0)</f>
        <v>21655.303514578787</v>
      </c>
      <c r="K463" s="444">
        <f t="shared" ca="1" si="27"/>
        <v>-1897.1371178010513</v>
      </c>
      <c r="L463" s="444">
        <f t="shared" ca="1" si="28"/>
        <v>-457210.04539005336</v>
      </c>
      <c r="M463" s="460">
        <f t="shared" si="30"/>
        <v>0.05</v>
      </c>
      <c r="N463" s="464">
        <f t="shared" si="31"/>
        <v>65136</v>
      </c>
    </row>
    <row r="464" spans="7:14" ht="11.25" customHeight="1" x14ac:dyDescent="0.25">
      <c r="G464" s="459">
        <f>G463+1</f>
        <v>39</v>
      </c>
      <c r="H464" s="459">
        <v>457</v>
      </c>
      <c r="I464" s="444">
        <f t="shared" ca="1" si="29"/>
        <v>-457210.04539005336</v>
      </c>
      <c r="J464" s="444">
        <f t="array" ref="J464">IFERROR(INDEX('Retirement Calculator'!K:K,MATCH('Lorri 401b'!N464,'Retirement Calculator'!A:A,0),0),0)</f>
        <v>21655.303514578787</v>
      </c>
      <c r="K464" s="444">
        <f t="shared" ca="1" si="27"/>
        <v>-1995.2722871026338</v>
      </c>
      <c r="L464" s="444">
        <f t="shared" ca="1" si="28"/>
        <v>-480860.6211917348</v>
      </c>
      <c r="M464" s="460">
        <f t="shared" si="30"/>
        <v>0.05</v>
      </c>
      <c r="N464" s="464">
        <f t="shared" si="31"/>
        <v>65167</v>
      </c>
    </row>
    <row r="465" spans="7:14" ht="11.25" customHeight="1" x14ac:dyDescent="0.25">
      <c r="G465" s="459">
        <f t="shared" ref="G465:G475" si="48">G464</f>
        <v>39</v>
      </c>
      <c r="H465" s="459">
        <v>458</v>
      </c>
      <c r="I465" s="444">
        <f t="shared" ca="1" si="29"/>
        <v>-480860.6211917348</v>
      </c>
      <c r="J465" s="444">
        <f t="array" ref="J465">IFERROR(INDEX('Retirement Calculator'!K:K,MATCH('Lorri 401b'!N465,'Retirement Calculator'!A:A,0),0),0)</f>
        <v>21655.303514578787</v>
      </c>
      <c r="K465" s="444">
        <f t="shared" ca="1" si="27"/>
        <v>-2093.816352942973</v>
      </c>
      <c r="L465" s="444">
        <f t="shared" ca="1" si="28"/>
        <v>-504609.74105925654</v>
      </c>
      <c r="M465" s="460">
        <f t="shared" si="30"/>
        <v>0.05</v>
      </c>
      <c r="N465" s="464">
        <f t="shared" si="31"/>
        <v>65197</v>
      </c>
    </row>
    <row r="466" spans="7:14" ht="11.25" customHeight="1" x14ac:dyDescent="0.25">
      <c r="G466" s="459">
        <f t="shared" si="48"/>
        <v>39</v>
      </c>
      <c r="H466" s="459">
        <v>459</v>
      </c>
      <c r="I466" s="444">
        <f t="shared" ca="1" si="29"/>
        <v>-504609.74105925654</v>
      </c>
      <c r="J466" s="444">
        <f t="array" ref="J466">IFERROR(INDEX('Retirement Calculator'!K:K,MATCH('Lorri 401b'!N466,'Retirement Calculator'!A:A,0),0),0)</f>
        <v>21655.303514578787</v>
      </c>
      <c r="K466" s="444">
        <f t="shared" ca="1" si="27"/>
        <v>-2192.7710190576472</v>
      </c>
      <c r="L466" s="444">
        <f t="shared" ca="1" si="28"/>
        <v>-528457.81559289293</v>
      </c>
      <c r="M466" s="460">
        <f t="shared" si="30"/>
        <v>0.05</v>
      </c>
      <c r="N466" s="464">
        <f t="shared" si="31"/>
        <v>65228</v>
      </c>
    </row>
    <row r="467" spans="7:14" ht="11.25" customHeight="1" x14ac:dyDescent="0.25">
      <c r="G467" s="459">
        <f t="shared" si="48"/>
        <v>39</v>
      </c>
      <c r="H467" s="459">
        <v>460</v>
      </c>
      <c r="I467" s="444">
        <f t="shared" ca="1" si="29"/>
        <v>-528457.81559289293</v>
      </c>
      <c r="J467" s="444">
        <f t="array" ref="J467">IFERROR(INDEX('Retirement Calculator'!K:K,MATCH('Lorri 401b'!N467,'Retirement Calculator'!A:A,0),0),0)</f>
        <v>21655.303514578787</v>
      </c>
      <c r="K467" s="444">
        <f t="shared" ca="1" si="27"/>
        <v>-2292.1379962811325</v>
      </c>
      <c r="L467" s="444">
        <f t="shared" ca="1" si="28"/>
        <v>-552405.25710375293</v>
      </c>
      <c r="M467" s="460">
        <f t="shared" si="30"/>
        <v>0.05</v>
      </c>
      <c r="N467" s="464">
        <f t="shared" si="31"/>
        <v>65259</v>
      </c>
    </row>
    <row r="468" spans="7:14" ht="11.25" customHeight="1" x14ac:dyDescent="0.25">
      <c r="G468" s="459">
        <f t="shared" si="48"/>
        <v>39</v>
      </c>
      <c r="H468" s="459">
        <v>461</v>
      </c>
      <c r="I468" s="444">
        <f t="shared" ca="1" si="29"/>
        <v>-552405.25710375293</v>
      </c>
      <c r="J468" s="444">
        <f t="array" ref="J468">IFERROR(INDEX('Retirement Calculator'!K:K,MATCH('Lorri 401b'!N468,'Retirement Calculator'!A:A,0),0),0)</f>
        <v>21655.303514578787</v>
      </c>
      <c r="K468" s="444">
        <f t="shared" ca="1" si="27"/>
        <v>-2391.9190025763819</v>
      </c>
      <c r="L468" s="444">
        <f t="shared" ca="1" si="28"/>
        <v>-576452.47962090804</v>
      </c>
      <c r="M468" s="460">
        <f t="shared" si="30"/>
        <v>0.05</v>
      </c>
      <c r="N468" s="464">
        <f t="shared" si="31"/>
        <v>65289</v>
      </c>
    </row>
    <row r="469" spans="7:14" ht="11.25" customHeight="1" x14ac:dyDescent="0.25">
      <c r="G469" s="459">
        <f t="shared" si="48"/>
        <v>39</v>
      </c>
      <c r="H469" s="459">
        <v>462</v>
      </c>
      <c r="I469" s="444">
        <f t="shared" ca="1" si="29"/>
        <v>-576452.47962090804</v>
      </c>
      <c r="J469" s="444">
        <f t="array" ref="J469">IFERROR(INDEX('Retirement Calculator'!K:K,MATCH('Lorri 401b'!N469,'Retirement Calculator'!A:A,0),0),0)</f>
        <v>21655.303514578787</v>
      </c>
      <c r="K469" s="444">
        <f t="shared" ca="1" si="27"/>
        <v>-2492.115763064528</v>
      </c>
      <c r="L469" s="444">
        <f t="shared" ca="1" si="28"/>
        <v>-600599.89889855124</v>
      </c>
      <c r="M469" s="460">
        <f t="shared" si="30"/>
        <v>0.05</v>
      </c>
      <c r="N469" s="464">
        <f t="shared" si="31"/>
        <v>65320</v>
      </c>
    </row>
    <row r="470" spans="7:14" ht="11.25" customHeight="1" x14ac:dyDescent="0.25">
      <c r="G470" s="459">
        <f t="shared" si="48"/>
        <v>39</v>
      </c>
      <c r="H470" s="459">
        <v>463</v>
      </c>
      <c r="I470" s="444">
        <f t="shared" ca="1" si="29"/>
        <v>-600599.89889855124</v>
      </c>
      <c r="J470" s="444">
        <f t="array" ref="J470">IFERROR(INDEX('Retirement Calculator'!K:K,MATCH('Lorri 401b'!N470,'Retirement Calculator'!A:A,0),0),0)</f>
        <v>21655.303514578787</v>
      </c>
      <c r="K470" s="444">
        <f t="shared" ca="1" si="27"/>
        <v>-2592.7300100547086</v>
      </c>
      <c r="L470" s="444">
        <f t="shared" ca="1" si="28"/>
        <v>-624847.93242318474</v>
      </c>
      <c r="M470" s="460">
        <f t="shared" si="30"/>
        <v>0.05</v>
      </c>
      <c r="N470" s="464">
        <f t="shared" si="31"/>
        <v>65350</v>
      </c>
    </row>
    <row r="471" spans="7:14" ht="11.25" customHeight="1" x14ac:dyDescent="0.25">
      <c r="G471" s="459">
        <f t="shared" si="48"/>
        <v>39</v>
      </c>
      <c r="H471" s="459">
        <v>464</v>
      </c>
      <c r="I471" s="444">
        <f t="shared" ca="1" si="29"/>
        <v>-624847.93242318474</v>
      </c>
      <c r="J471" s="444">
        <f t="array" ref="J471">IFERROR(INDEX('Retirement Calculator'!K:K,MATCH('Lorri 401b'!N471,'Retirement Calculator'!A:A,0),0),0)</f>
        <v>21655.303514578787</v>
      </c>
      <c r="K471" s="444">
        <f t="shared" ca="1" si="27"/>
        <v>-2693.7634830740144</v>
      </c>
      <c r="L471" s="444">
        <f t="shared" ca="1" si="28"/>
        <v>-649196.9994208375</v>
      </c>
      <c r="M471" s="460">
        <f t="shared" si="30"/>
        <v>0.05</v>
      </c>
      <c r="N471" s="464">
        <f t="shared" si="31"/>
        <v>65381</v>
      </c>
    </row>
    <row r="472" spans="7:14" ht="11.25" customHeight="1" x14ac:dyDescent="0.25">
      <c r="G472" s="459">
        <f t="shared" si="48"/>
        <v>39</v>
      </c>
      <c r="H472" s="459">
        <v>465</v>
      </c>
      <c r="I472" s="444">
        <f t="shared" ca="1" si="29"/>
        <v>-649196.9994208375</v>
      </c>
      <c r="J472" s="444">
        <f t="array" ref="J472">IFERROR(INDEX('Retirement Calculator'!K:K,MATCH('Lorri 401b'!N472,'Retirement Calculator'!A:A,0),0),0)</f>
        <v>21655.303514578787</v>
      </c>
      <c r="K472" s="444">
        <f t="shared" ca="1" si="27"/>
        <v>-2795.2179288975681</v>
      </c>
      <c r="L472" s="444">
        <f t="shared" ca="1" si="28"/>
        <v>-673647.52086431393</v>
      </c>
      <c r="M472" s="460">
        <f t="shared" si="30"/>
        <v>0.05</v>
      </c>
      <c r="N472" s="464">
        <f t="shared" si="31"/>
        <v>65412</v>
      </c>
    </row>
    <row r="473" spans="7:14" ht="11.25" customHeight="1" x14ac:dyDescent="0.25">
      <c r="G473" s="459">
        <f t="shared" si="48"/>
        <v>39</v>
      </c>
      <c r="H473" s="459">
        <v>466</v>
      </c>
      <c r="I473" s="444">
        <f t="shared" ca="1" si="29"/>
        <v>-673647.52086431393</v>
      </c>
      <c r="J473" s="444">
        <f t="array" ref="J473">IFERROR(INDEX('Retirement Calculator'!K:K,MATCH('Lorri 401b'!N473,'Retirement Calculator'!A:A,0),0),0)</f>
        <v>21655.303514578787</v>
      </c>
      <c r="K473" s="444">
        <f t="shared" ca="1" si="27"/>
        <v>-2897.09510157872</v>
      </c>
      <c r="L473" s="444">
        <f t="shared" ca="1" si="28"/>
        <v>-698199.91948047152</v>
      </c>
      <c r="M473" s="460">
        <f t="shared" si="30"/>
        <v>0.05</v>
      </c>
      <c r="N473" s="464">
        <f t="shared" si="31"/>
        <v>65440</v>
      </c>
    </row>
    <row r="474" spans="7:14" ht="11.25" customHeight="1" x14ac:dyDescent="0.25">
      <c r="G474" s="459">
        <f t="shared" si="48"/>
        <v>39</v>
      </c>
      <c r="H474" s="459">
        <v>467</v>
      </c>
      <c r="I474" s="444">
        <f t="shared" ca="1" si="29"/>
        <v>-698199.91948047152</v>
      </c>
      <c r="J474" s="444">
        <f t="array" ref="J474">IFERROR(INDEX('Retirement Calculator'!K:K,MATCH('Lorri 401b'!N474,'Retirement Calculator'!A:A,0),0),0)</f>
        <v>21655.303514578787</v>
      </c>
      <c r="K474" s="444">
        <f t="shared" ca="1" si="27"/>
        <v>-2999.3967624793759</v>
      </c>
      <c r="L474" s="444">
        <f t="shared" ca="1" si="28"/>
        <v>-722854.61975752958</v>
      </c>
      <c r="M474" s="460">
        <f t="shared" si="30"/>
        <v>0.05</v>
      </c>
      <c r="N474" s="464">
        <f t="shared" si="31"/>
        <v>65471</v>
      </c>
    </row>
    <row r="475" spans="7:14" ht="11.25" customHeight="1" x14ac:dyDescent="0.25">
      <c r="G475" s="459">
        <f t="shared" si="48"/>
        <v>39</v>
      </c>
      <c r="H475" s="459">
        <v>468</v>
      </c>
      <c r="I475" s="444">
        <f t="shared" ca="1" si="29"/>
        <v>-722854.61975752958</v>
      </c>
      <c r="J475" s="444">
        <f t="array" ref="J475">IFERROR(INDEX('Retirement Calculator'!K:K,MATCH('Lorri 401b'!N475,'Retirement Calculator'!A:A,0),0),0)</f>
        <v>21655.303514578787</v>
      </c>
      <c r="K475" s="444">
        <f t="shared" ca="1" si="27"/>
        <v>-3102.1246803004519</v>
      </c>
      <c r="L475" s="444">
        <f t="shared" ca="1" si="28"/>
        <v>-747612.0479524089</v>
      </c>
      <c r="M475" s="460">
        <f t="shared" si="30"/>
        <v>0.05</v>
      </c>
      <c r="N475" s="464">
        <f t="shared" si="31"/>
        <v>65501</v>
      </c>
    </row>
    <row r="476" spans="7:14" ht="11.25" customHeight="1" x14ac:dyDescent="0.25">
      <c r="G476" s="459">
        <f>G475+1</f>
        <v>40</v>
      </c>
      <c r="H476" s="459">
        <v>469</v>
      </c>
      <c r="I476" s="444">
        <f t="shared" ca="1" si="29"/>
        <v>-747612.0479524089</v>
      </c>
      <c r="J476" s="444">
        <f t="array" ref="J476">IFERROR(INDEX('Retirement Calculator'!K:K,MATCH('Lorri 401b'!N476,'Retirement Calculator'!A:A,0),0),0)</f>
        <v>21655.303514578787</v>
      </c>
      <c r="K476" s="444">
        <f t="shared" ca="1" si="27"/>
        <v>-3205.2806311124491</v>
      </c>
      <c r="L476" s="444">
        <f t="shared" ca="1" si="28"/>
        <v>-772472.63209810015</v>
      </c>
      <c r="M476" s="460">
        <f t="shared" si="30"/>
        <v>0.05</v>
      </c>
      <c r="N476" s="464">
        <f t="shared" si="31"/>
        <v>65532</v>
      </c>
    </row>
    <row r="477" spans="7:14" ht="11.25" customHeight="1" x14ac:dyDescent="0.25">
      <c r="G477" s="459">
        <f t="shared" ref="G477:G487" si="49">G476</f>
        <v>40</v>
      </c>
      <c r="H477" s="459">
        <v>470</v>
      </c>
      <c r="I477" s="444">
        <f t="shared" ca="1" si="29"/>
        <v>-772472.63209810015</v>
      </c>
      <c r="J477" s="444">
        <f t="array" ref="J477">IFERROR(INDEX('Retirement Calculator'!K:K,MATCH('Lorri 401b'!N477,'Retirement Calculator'!A:A,0),0),0)</f>
        <v>21655.303514578787</v>
      </c>
      <c r="K477" s="444">
        <f t="shared" ca="1" si="27"/>
        <v>-3308.8663983861625</v>
      </c>
      <c r="L477" s="444">
        <f t="shared" ca="1" si="28"/>
        <v>-797436.80201106519</v>
      </c>
      <c r="M477" s="460">
        <f t="shared" si="30"/>
        <v>0.05</v>
      </c>
      <c r="N477" s="464">
        <f t="shared" si="31"/>
        <v>65562</v>
      </c>
    </row>
    <row r="478" spans="7:14" ht="11.25" customHeight="1" x14ac:dyDescent="0.25">
      <c r="G478" s="459">
        <f t="shared" si="49"/>
        <v>40</v>
      </c>
      <c r="H478" s="459">
        <v>471</v>
      </c>
      <c r="I478" s="444">
        <f t="shared" ca="1" si="29"/>
        <v>-797436.80201106519</v>
      </c>
      <c r="J478" s="444">
        <f t="array" ref="J478">IFERROR(INDEX('Retirement Calculator'!K:K,MATCH('Lorri 401b'!N478,'Retirement Calculator'!A:A,0),0),0)</f>
        <v>21655.303514578787</v>
      </c>
      <c r="K478" s="444">
        <f t="shared" ca="1" si="27"/>
        <v>-3412.8837730235168</v>
      </c>
      <c r="L478" s="444">
        <f t="shared" ca="1" si="28"/>
        <v>-822504.98929866753</v>
      </c>
      <c r="M478" s="460">
        <f t="shared" si="30"/>
        <v>0.05</v>
      </c>
      <c r="N478" s="464">
        <f t="shared" si="31"/>
        <v>65593</v>
      </c>
    </row>
    <row r="479" spans="7:14" ht="11.25" customHeight="1" x14ac:dyDescent="0.25">
      <c r="G479" s="459">
        <f t="shared" si="49"/>
        <v>40</v>
      </c>
      <c r="H479" s="459">
        <v>472</v>
      </c>
      <c r="I479" s="444">
        <f t="shared" ca="1" si="29"/>
        <v>-822504.98929866753</v>
      </c>
      <c r="J479" s="444">
        <f t="array" ref="J479">IFERROR(INDEX('Retirement Calculator'!K:K,MATCH('Lorri 401b'!N479,'Retirement Calculator'!A:A,0),0),0)</f>
        <v>21655.303514578787</v>
      </c>
      <c r="K479" s="444">
        <f t="shared" ca="1" si="27"/>
        <v>-3517.3345533885272</v>
      </c>
      <c r="L479" s="444">
        <f t="shared" ca="1" si="28"/>
        <v>-847677.6273666349</v>
      </c>
      <c r="M479" s="460">
        <f t="shared" si="30"/>
        <v>0.05</v>
      </c>
      <c r="N479" s="464">
        <f t="shared" si="31"/>
        <v>65624</v>
      </c>
    </row>
    <row r="480" spans="7:14" ht="11.25" customHeight="1" x14ac:dyDescent="0.25">
      <c r="G480" s="459">
        <f t="shared" si="49"/>
        <v>40</v>
      </c>
      <c r="H480" s="459">
        <v>473</v>
      </c>
      <c r="I480" s="444">
        <f t="shared" ca="1" si="29"/>
        <v>-847677.6273666349</v>
      </c>
      <c r="J480" s="444">
        <f t="array" ref="J480">IFERROR(INDEX('Retirement Calculator'!K:K,MATCH('Lorri 401b'!N480,'Retirement Calculator'!A:A,0),0),0)</f>
        <v>21655.303514578787</v>
      </c>
      <c r="K480" s="444">
        <f t="shared" ca="1" si="27"/>
        <v>-3622.2205453383899</v>
      </c>
      <c r="L480" s="444">
        <f t="shared" ca="1" si="28"/>
        <v>-872955.15142655198</v>
      </c>
      <c r="M480" s="460">
        <f t="shared" si="30"/>
        <v>0.05</v>
      </c>
      <c r="N480" s="464">
        <f t="shared" si="31"/>
        <v>65654</v>
      </c>
    </row>
    <row r="481" spans="7:14" ht="11.25" customHeight="1" x14ac:dyDescent="0.25">
      <c r="G481" s="459">
        <f t="shared" si="49"/>
        <v>40</v>
      </c>
      <c r="H481" s="459">
        <v>474</v>
      </c>
      <c r="I481" s="444">
        <f t="shared" ca="1" si="29"/>
        <v>-872955.15142655198</v>
      </c>
      <c r="J481" s="444">
        <f t="array" ref="J481">IFERROR(INDEX('Retirement Calculator'!K:K,MATCH('Lorri 401b'!N481,'Retirement Calculator'!A:A,0),0),0)</f>
        <v>21655.303514578787</v>
      </c>
      <c r="K481" s="444">
        <f t="shared" ca="1" si="27"/>
        <v>-3727.5435622547107</v>
      </c>
      <c r="L481" s="444">
        <f t="shared" ca="1" si="28"/>
        <v>-898337.99850338546</v>
      </c>
      <c r="M481" s="460">
        <f t="shared" si="30"/>
        <v>0.05</v>
      </c>
      <c r="N481" s="464">
        <f t="shared" si="31"/>
        <v>65685</v>
      </c>
    </row>
    <row r="482" spans="7:14" ht="11.25" customHeight="1" x14ac:dyDescent="0.25">
      <c r="G482" s="459">
        <f t="shared" si="49"/>
        <v>40</v>
      </c>
      <c r="H482" s="459">
        <v>475</v>
      </c>
      <c r="I482" s="444">
        <f t="shared" ca="1" si="29"/>
        <v>-898337.99850338546</v>
      </c>
      <c r="J482" s="444">
        <f t="array" ref="J482">IFERROR(INDEX('Retirement Calculator'!K:K,MATCH('Lorri 401b'!N482,'Retirement Calculator'!A:A,0),0),0)</f>
        <v>21655.303514578787</v>
      </c>
      <c r="K482" s="444">
        <f t="shared" ca="1" si="27"/>
        <v>-3833.3054250748505</v>
      </c>
      <c r="L482" s="444">
        <f t="shared" ca="1" si="28"/>
        <v>-923826.60744303907</v>
      </c>
      <c r="M482" s="460">
        <f t="shared" si="30"/>
        <v>0.05</v>
      </c>
      <c r="N482" s="464">
        <f t="shared" si="31"/>
        <v>65715</v>
      </c>
    </row>
    <row r="483" spans="7:14" ht="11.25" customHeight="1" x14ac:dyDescent="0.25">
      <c r="G483" s="459">
        <f t="shared" si="49"/>
        <v>40</v>
      </c>
      <c r="H483" s="459">
        <v>476</v>
      </c>
      <c r="I483" s="444">
        <f t="shared" ca="1" si="29"/>
        <v>-923826.60744303907</v>
      </c>
      <c r="J483" s="444">
        <f t="array" ref="J483">IFERROR(INDEX('Retirement Calculator'!K:K,MATCH('Lorri 401b'!N483,'Retirement Calculator'!A:A,0),0),0)</f>
        <v>21655.303514578787</v>
      </c>
      <c r="K483" s="444">
        <f t="shared" ca="1" si="27"/>
        <v>-3939.5079623234078</v>
      </c>
      <c r="L483" s="444">
        <f t="shared" ca="1" si="28"/>
        <v>-949421.41891994129</v>
      </c>
      <c r="M483" s="460">
        <f t="shared" si="30"/>
        <v>0.05</v>
      </c>
      <c r="N483" s="464">
        <f t="shared" si="31"/>
        <v>65746</v>
      </c>
    </row>
    <row r="484" spans="7:14" ht="11.25" customHeight="1" x14ac:dyDescent="0.25">
      <c r="G484" s="459">
        <f t="shared" si="49"/>
        <v>40</v>
      </c>
      <c r="H484" s="459">
        <v>477</v>
      </c>
      <c r="I484" s="444">
        <f t="shared" ca="1" si="29"/>
        <v>-949421.41891994129</v>
      </c>
      <c r="J484" s="444">
        <f t="array" ref="J484">IFERROR(INDEX('Retirement Calculator'!K:K,MATCH('Lorri 401b'!N484,'Retirement Calculator'!A:A,0),0),0)</f>
        <v>21655.303514578787</v>
      </c>
      <c r="K484" s="444">
        <f t="shared" ca="1" si="27"/>
        <v>-4046.1530101438334</v>
      </c>
      <c r="L484" s="444">
        <f t="shared" ca="1" si="28"/>
        <v>-975122.8754446638</v>
      </c>
      <c r="M484" s="460">
        <f t="shared" si="30"/>
        <v>0.05</v>
      </c>
      <c r="N484" s="464">
        <f t="shared" si="31"/>
        <v>65777</v>
      </c>
    </row>
    <row r="485" spans="7:14" ht="11.25" customHeight="1" x14ac:dyDescent="0.25">
      <c r="G485" s="459">
        <f t="shared" si="49"/>
        <v>40</v>
      </c>
      <c r="H485" s="459">
        <v>478</v>
      </c>
      <c r="I485" s="444">
        <f t="shared" ca="1" si="29"/>
        <v>-975122.8754446638</v>
      </c>
      <c r="J485" s="444">
        <f t="array" ref="J485">IFERROR(INDEX('Retirement Calculator'!K:K,MATCH('Lorri 401b'!N485,'Retirement Calculator'!A:A,0),0),0)</f>
        <v>21655.303514578787</v>
      </c>
      <c r="K485" s="444">
        <f t="shared" ca="1" si="27"/>
        <v>-4153.2424123301771</v>
      </c>
      <c r="L485" s="444">
        <f t="shared" ca="1" si="28"/>
        <v>-1000931.4213715728</v>
      </c>
      <c r="M485" s="460">
        <f t="shared" si="30"/>
        <v>0.05</v>
      </c>
      <c r="N485" s="464">
        <f t="shared" si="31"/>
        <v>65806</v>
      </c>
    </row>
    <row r="486" spans="7:14" ht="11.25" customHeight="1" x14ac:dyDescent="0.25">
      <c r="G486" s="459">
        <f t="shared" si="49"/>
        <v>40</v>
      </c>
      <c r="H486" s="459">
        <v>479</v>
      </c>
      <c r="I486" s="444">
        <f t="shared" ca="1" si="29"/>
        <v>-1000931.4213715728</v>
      </c>
      <c r="J486" s="444">
        <f t="array" ref="J486">IFERROR(INDEX('Retirement Calculator'!K:K,MATCH('Lorri 401b'!N486,'Retirement Calculator'!A:A,0),0),0)</f>
        <v>21655.303514578787</v>
      </c>
      <c r="K486" s="444">
        <f t="shared" ca="1" si="27"/>
        <v>-4260.7780203589637</v>
      </c>
      <c r="L486" s="444">
        <f t="shared" ca="1" si="28"/>
        <v>-1026847.5029065105</v>
      </c>
      <c r="M486" s="460">
        <f t="shared" si="30"/>
        <v>0.05</v>
      </c>
      <c r="N486" s="464">
        <f t="shared" si="31"/>
        <v>65837</v>
      </c>
    </row>
    <row r="487" spans="7:14" ht="11.25" customHeight="1" x14ac:dyDescent="0.25">
      <c r="G487" s="459">
        <f t="shared" si="49"/>
        <v>40</v>
      </c>
      <c r="H487" s="459">
        <v>480</v>
      </c>
      <c r="I487" s="444">
        <f t="shared" ca="1" si="29"/>
        <v>-1026847.5029065105</v>
      </c>
      <c r="J487" s="444">
        <f t="array" ref="J487">IFERROR(INDEX('Retirement Calculator'!K:K,MATCH('Lorri 401b'!N487,'Retirement Calculator'!A:A,0),0),0)</f>
        <v>21655.303514578787</v>
      </c>
      <c r="K487" s="444">
        <f t="shared" ca="1" si="27"/>
        <v>-4368.7616934212047</v>
      </c>
      <c r="L487" s="444">
        <f t="shared" ca="1" si="28"/>
        <v>-1052871.5681145105</v>
      </c>
      <c r="M487" s="460">
        <f t="shared" si="30"/>
        <v>0.05</v>
      </c>
      <c r="N487" s="464">
        <f t="shared" si="31"/>
        <v>65867</v>
      </c>
    </row>
    <row r="488" spans="7:14" ht="11.25" customHeight="1" x14ac:dyDescent="0.25">
      <c r="G488" s="459">
        <f>G487+1</f>
        <v>41</v>
      </c>
      <c r="H488" s="459">
        <v>481</v>
      </c>
      <c r="I488" s="444">
        <f t="shared" ca="1" si="29"/>
        <v>-1052871.5681145105</v>
      </c>
      <c r="J488" s="444">
        <f t="array" ref="J488">IFERROR(INDEX('Retirement Calculator'!K:K,MATCH('Lorri 401b'!N488,'Retirement Calculator'!A:A,0),0),0)</f>
        <v>21655.303514578787</v>
      </c>
      <c r="K488" s="444">
        <f t="shared" ca="1" si="27"/>
        <v>-4477.1952984545387</v>
      </c>
      <c r="L488" s="444">
        <f t="shared" ca="1" si="28"/>
        <v>-1079004.0669275438</v>
      </c>
      <c r="M488" s="460">
        <f t="shared" si="30"/>
        <v>0.05</v>
      </c>
      <c r="N488" s="464">
        <f t="shared" si="31"/>
        <v>65898</v>
      </c>
    </row>
    <row r="489" spans="7:14" ht="11.25" customHeight="1" x14ac:dyDescent="0.25">
      <c r="G489" s="459">
        <f t="shared" ref="G489:G499" si="50">G488</f>
        <v>41</v>
      </c>
      <c r="H489" s="459">
        <v>482</v>
      </c>
      <c r="I489" s="444">
        <f t="shared" ca="1" si="29"/>
        <v>-1079004.0669275438</v>
      </c>
      <c r="J489" s="444">
        <f t="array" ref="J489">IFERROR(INDEX('Retirement Calculator'!K:K,MATCH('Lorri 401b'!N489,'Retirement Calculator'!A:A,0),0),0)</f>
        <v>21655.303514578787</v>
      </c>
      <c r="K489" s="444">
        <f t="shared" ca="1" si="27"/>
        <v>-4586.0807101755108</v>
      </c>
      <c r="L489" s="444">
        <f t="shared" ca="1" si="28"/>
        <v>-1105245.4511522981</v>
      </c>
      <c r="M489" s="460">
        <f t="shared" si="30"/>
        <v>0.05</v>
      </c>
      <c r="N489" s="464">
        <f t="shared" si="31"/>
        <v>65928</v>
      </c>
    </row>
    <row r="490" spans="7:14" ht="11.25" customHeight="1" x14ac:dyDescent="0.25">
      <c r="G490" s="459">
        <f t="shared" si="50"/>
        <v>41</v>
      </c>
      <c r="H490" s="459">
        <v>483</v>
      </c>
      <c r="I490" s="444">
        <f t="shared" ca="1" si="29"/>
        <v>-1105245.4511522981</v>
      </c>
      <c r="J490" s="444">
        <f t="array" ref="J490">IFERROR(INDEX('Retirement Calculator'!K:K,MATCH('Lorri 401b'!N490,'Retirement Calculator'!A:A,0),0),0)</f>
        <v>21655.303514578787</v>
      </c>
      <c r="K490" s="444">
        <f t="shared" ca="1" si="27"/>
        <v>-4695.4198111119877</v>
      </c>
      <c r="L490" s="444">
        <f t="shared" ca="1" si="28"/>
        <v>-1131596.1744779889</v>
      </c>
      <c r="M490" s="460">
        <f t="shared" si="30"/>
        <v>0.05</v>
      </c>
      <c r="N490" s="464">
        <f t="shared" si="31"/>
        <v>65959</v>
      </c>
    </row>
    <row r="491" spans="7:14" ht="11.25" customHeight="1" x14ac:dyDescent="0.25">
      <c r="G491" s="459">
        <f t="shared" si="50"/>
        <v>41</v>
      </c>
      <c r="H491" s="459">
        <v>484</v>
      </c>
      <c r="I491" s="444">
        <f t="shared" ca="1" si="29"/>
        <v>-1131596.1744779889</v>
      </c>
      <c r="J491" s="444">
        <f t="array" ref="J491">IFERROR(INDEX('Retirement Calculator'!K:K,MATCH('Lorri 401b'!N491,'Retirement Calculator'!A:A,0),0),0)</f>
        <v>21655.303514578787</v>
      </c>
      <c r="K491" s="444">
        <f t="shared" ca="1" si="27"/>
        <v>-4805.2144916356983</v>
      </c>
      <c r="L491" s="444">
        <f t="shared" ca="1" si="28"/>
        <v>-1158056.6924842035</v>
      </c>
      <c r="M491" s="460">
        <f t="shared" si="30"/>
        <v>0.05</v>
      </c>
      <c r="N491" s="464">
        <f t="shared" si="31"/>
        <v>65990</v>
      </c>
    </row>
    <row r="492" spans="7:14" ht="11.25" customHeight="1" x14ac:dyDescent="0.25">
      <c r="G492" s="459">
        <f t="shared" si="50"/>
        <v>41</v>
      </c>
      <c r="H492" s="459">
        <v>485</v>
      </c>
      <c r="I492" s="444">
        <f t="shared" ca="1" si="29"/>
        <v>-1158056.6924842035</v>
      </c>
      <c r="J492" s="444">
        <f t="array" ref="J492">IFERROR(INDEX('Retirement Calculator'!K:K,MATCH('Lorri 401b'!N492,'Retirement Calculator'!A:A,0),0),0)</f>
        <v>21655.303514578787</v>
      </c>
      <c r="K492" s="444">
        <f t="shared" ca="1" si="27"/>
        <v>-4915.4666499949262</v>
      </c>
      <c r="L492" s="444">
        <f t="shared" ca="1" si="28"/>
        <v>-1184627.4626487773</v>
      </c>
      <c r="M492" s="460">
        <f t="shared" si="30"/>
        <v>0.05</v>
      </c>
      <c r="N492" s="464">
        <f t="shared" si="31"/>
        <v>66020</v>
      </c>
    </row>
    <row r="493" spans="7:14" ht="11.25" customHeight="1" x14ac:dyDescent="0.25">
      <c r="G493" s="459">
        <f t="shared" si="50"/>
        <v>41</v>
      </c>
      <c r="H493" s="459">
        <v>486</v>
      </c>
      <c r="I493" s="444">
        <f t="shared" ca="1" si="29"/>
        <v>-1184627.4626487773</v>
      </c>
      <c r="J493" s="444">
        <f t="array" ref="J493">IFERROR(INDEX('Retirement Calculator'!K:K,MATCH('Lorri 401b'!N493,'Retirement Calculator'!A:A,0),0),0)</f>
        <v>21655.303514578787</v>
      </c>
      <c r="K493" s="444">
        <f t="shared" ca="1" si="27"/>
        <v>-5026.1781923473172</v>
      </c>
      <c r="L493" s="444">
        <f t="shared" ca="1" si="28"/>
        <v>-1211308.9443557034</v>
      </c>
      <c r="M493" s="460">
        <f t="shared" si="30"/>
        <v>0.05</v>
      </c>
      <c r="N493" s="464">
        <f t="shared" si="31"/>
        <v>66051</v>
      </c>
    </row>
    <row r="494" spans="7:14" ht="11.25" customHeight="1" x14ac:dyDescent="0.25">
      <c r="G494" s="459">
        <f t="shared" si="50"/>
        <v>41</v>
      </c>
      <c r="H494" s="459">
        <v>487</v>
      </c>
      <c r="I494" s="444">
        <f t="shared" ca="1" si="29"/>
        <v>-1211308.9443557034</v>
      </c>
      <c r="J494" s="444">
        <f t="array" ref="J494">IFERROR(INDEX('Retirement Calculator'!K:K,MATCH('Lorri 401b'!N494,'Retirement Calculator'!A:A,0),0),0)</f>
        <v>21655.303514578787</v>
      </c>
      <c r="K494" s="444">
        <f t="shared" ca="1" si="27"/>
        <v>-5137.3510327928425</v>
      </c>
      <c r="L494" s="444">
        <f t="shared" ca="1" si="28"/>
        <v>-1238101.5989030751</v>
      </c>
      <c r="M494" s="460">
        <f t="shared" si="30"/>
        <v>0.05</v>
      </c>
      <c r="N494" s="464">
        <f t="shared" si="31"/>
        <v>66081</v>
      </c>
    </row>
    <row r="495" spans="7:14" ht="11.25" customHeight="1" x14ac:dyDescent="0.25">
      <c r="G495" s="459">
        <f t="shared" si="50"/>
        <v>41</v>
      </c>
      <c r="H495" s="459">
        <v>488</v>
      </c>
      <c r="I495" s="444">
        <f t="shared" ca="1" si="29"/>
        <v>-1238101.5989030751</v>
      </c>
      <c r="J495" s="444">
        <f t="array" ref="J495">IFERROR(INDEX('Retirement Calculator'!K:K,MATCH('Lorri 401b'!N495,'Retirement Calculator'!A:A,0),0),0)</f>
        <v>21655.303514578787</v>
      </c>
      <c r="K495" s="444">
        <f t="shared" ca="1" si="27"/>
        <v>-5248.9870934068913</v>
      </c>
      <c r="L495" s="444">
        <f t="shared" ca="1" si="28"/>
        <v>-1265005.8895110609</v>
      </c>
      <c r="M495" s="460">
        <f t="shared" si="30"/>
        <v>0.05</v>
      </c>
      <c r="N495" s="464">
        <f t="shared" si="31"/>
        <v>66112</v>
      </c>
    </row>
    <row r="496" spans="7:14" ht="11.25" customHeight="1" x14ac:dyDescent="0.25">
      <c r="G496" s="459">
        <f t="shared" si="50"/>
        <v>41</v>
      </c>
      <c r="H496" s="459">
        <v>489</v>
      </c>
      <c r="I496" s="444">
        <f t="shared" ca="1" si="29"/>
        <v>-1265005.8895110609</v>
      </c>
      <c r="J496" s="444">
        <f t="array" ref="J496">IFERROR(INDEX('Retirement Calculator'!K:K,MATCH('Lorri 401b'!N496,'Retirement Calculator'!A:A,0),0),0)</f>
        <v>21655.303514578787</v>
      </c>
      <c r="K496" s="444">
        <f t="shared" ca="1" si="27"/>
        <v>-5361.0883042734986</v>
      </c>
      <c r="L496" s="444">
        <f t="shared" ca="1" si="28"/>
        <v>-1292022.2813299133</v>
      </c>
      <c r="M496" s="460">
        <f t="shared" si="30"/>
        <v>0.05</v>
      </c>
      <c r="N496" s="464">
        <f t="shared" si="31"/>
        <v>66143</v>
      </c>
    </row>
    <row r="497" spans="7:14" ht="11.25" customHeight="1" x14ac:dyDescent="0.25">
      <c r="G497" s="459">
        <f t="shared" si="50"/>
        <v>41</v>
      </c>
      <c r="H497" s="459">
        <v>490</v>
      </c>
      <c r="I497" s="444">
        <f t="shared" ca="1" si="29"/>
        <v>-1292022.2813299133</v>
      </c>
      <c r="J497" s="444">
        <f t="array" ref="J497">IFERROR(INDEX('Retirement Calculator'!K:K,MATCH('Lorri 401b'!N497,'Retirement Calculator'!A:A,0),0),0)</f>
        <v>21655.303514578787</v>
      </c>
      <c r="K497" s="444">
        <f t="shared" ca="1" si="27"/>
        <v>-5473.656603518717</v>
      </c>
      <c r="L497" s="444">
        <f t="shared" ca="1" si="28"/>
        <v>-1319151.2414480108</v>
      </c>
      <c r="M497" s="460">
        <f t="shared" si="30"/>
        <v>0.05</v>
      </c>
      <c r="N497" s="464">
        <f t="shared" si="31"/>
        <v>66171</v>
      </c>
    </row>
    <row r="498" spans="7:14" ht="11.25" customHeight="1" x14ac:dyDescent="0.25">
      <c r="G498" s="459">
        <f t="shared" si="50"/>
        <v>41</v>
      </c>
      <c r="H498" s="459">
        <v>491</v>
      </c>
      <c r="I498" s="444">
        <f t="shared" ca="1" si="29"/>
        <v>-1319151.2414480108</v>
      </c>
      <c r="J498" s="444">
        <f t="array" ref="J498">IFERROR(INDEX('Retirement Calculator'!K:K,MATCH('Lorri 401b'!N498,'Retirement Calculator'!A:A,0),0),0)</f>
        <v>21655.303514578787</v>
      </c>
      <c r="K498" s="444">
        <f t="shared" ca="1" si="27"/>
        <v>-5586.6939373441237</v>
      </c>
      <c r="L498" s="444">
        <f t="shared" ca="1" si="28"/>
        <v>-1346393.2388999336</v>
      </c>
      <c r="M498" s="460">
        <f t="shared" si="30"/>
        <v>0.05</v>
      </c>
      <c r="N498" s="464">
        <f t="shared" si="31"/>
        <v>66202</v>
      </c>
    </row>
    <row r="499" spans="7:14" ht="11.25" customHeight="1" x14ac:dyDescent="0.25">
      <c r="G499" s="459">
        <f t="shared" si="50"/>
        <v>41</v>
      </c>
      <c r="H499" s="459">
        <v>492</v>
      </c>
      <c r="I499" s="444">
        <f t="shared" ca="1" si="29"/>
        <v>-1346393.2388999336</v>
      </c>
      <c r="J499" s="444">
        <f t="array" ref="J499">IFERROR(INDEX('Retirement Calculator'!K:K,MATCH('Lorri 401b'!N499,'Retirement Calculator'!A:A,0),0),0)</f>
        <v>21655.303514578787</v>
      </c>
      <c r="K499" s="444">
        <f t="shared" ca="1" si="27"/>
        <v>-5700.2022600604687</v>
      </c>
      <c r="L499" s="444">
        <f t="shared" ca="1" si="28"/>
        <v>-1373748.744674573</v>
      </c>
      <c r="M499" s="460">
        <f t="shared" si="30"/>
        <v>0.05</v>
      </c>
      <c r="N499" s="464">
        <f t="shared" si="31"/>
        <v>66232</v>
      </c>
    </row>
    <row r="500" spans="7:14" ht="11.25" customHeight="1" x14ac:dyDescent="0.25">
      <c r="G500" s="459">
        <f>G499+1</f>
        <v>42</v>
      </c>
      <c r="H500" s="459">
        <v>493</v>
      </c>
      <c r="I500" s="444">
        <f t="shared" ca="1" si="29"/>
        <v>-1373748.744674573</v>
      </c>
      <c r="J500" s="444">
        <f t="array" ref="J500">IFERROR(INDEX('Retirement Calculator'!K:K,MATCH('Lorri 401b'!N500,'Retirement Calculator'!A:A,0),0),0)</f>
        <v>21655.303514578787</v>
      </c>
      <c r="K500" s="444">
        <f t="shared" ca="1" si="27"/>
        <v>-5814.1835341214655</v>
      </c>
      <c r="L500" s="444">
        <f t="shared" ca="1" si="28"/>
        <v>-1401218.2317232732</v>
      </c>
      <c r="M500" s="460">
        <f t="shared" si="30"/>
        <v>0.05</v>
      </c>
      <c r="N500" s="464">
        <f t="shared" si="31"/>
        <v>66263</v>
      </c>
    </row>
    <row r="501" spans="7:14" ht="11.25" customHeight="1" x14ac:dyDescent="0.25">
      <c r="G501" s="459">
        <f t="shared" ref="G501:G511" si="51">G500</f>
        <v>42</v>
      </c>
      <c r="H501" s="459">
        <v>494</v>
      </c>
      <c r="I501" s="444">
        <f t="shared" ca="1" si="29"/>
        <v>-1401218.2317232732</v>
      </c>
      <c r="J501" s="444">
        <f t="array" ref="J501">IFERROR(INDEX('Retirement Calculator'!K:K,MATCH('Lorri 401b'!N501,'Retirement Calculator'!A:A,0),0),0)</f>
        <v>21655.303514578787</v>
      </c>
      <c r="K501" s="444">
        <f t="shared" ca="1" si="27"/>
        <v>-5928.6397301577163</v>
      </c>
      <c r="L501" s="444">
        <f t="shared" ca="1" si="28"/>
        <v>-1428802.1749680098</v>
      </c>
      <c r="M501" s="460">
        <f t="shared" si="30"/>
        <v>0.05</v>
      </c>
      <c r="N501" s="464">
        <f t="shared" si="31"/>
        <v>66293</v>
      </c>
    </row>
    <row r="502" spans="7:14" ht="11.25" customHeight="1" x14ac:dyDescent="0.25">
      <c r="G502" s="459">
        <f t="shared" si="51"/>
        <v>42</v>
      </c>
      <c r="H502" s="459">
        <v>495</v>
      </c>
      <c r="I502" s="444">
        <f t="shared" ca="1" si="29"/>
        <v>-1428802.1749680098</v>
      </c>
      <c r="J502" s="444">
        <f t="array" ref="J502">IFERROR(INDEX('Retirement Calculator'!K:K,MATCH('Lorri 401b'!N502,'Retirement Calculator'!A:A,0),0),0)</f>
        <v>21655.303514578787</v>
      </c>
      <c r="K502" s="444">
        <f t="shared" ca="1" si="27"/>
        <v>-6043.5728270107857</v>
      </c>
      <c r="L502" s="444">
        <f t="shared" ca="1" si="28"/>
        <v>-1456501.0513095995</v>
      </c>
      <c r="M502" s="460">
        <f t="shared" si="30"/>
        <v>0.05</v>
      </c>
      <c r="N502" s="464">
        <f t="shared" si="31"/>
        <v>66324</v>
      </c>
    </row>
    <row r="503" spans="7:14" ht="11.25" customHeight="1" x14ac:dyDescent="0.25">
      <c r="G503" s="459">
        <f t="shared" si="51"/>
        <v>42</v>
      </c>
      <c r="H503" s="459">
        <v>496</v>
      </c>
      <c r="I503" s="444">
        <f t="shared" ca="1" si="29"/>
        <v>-1456501.0513095995</v>
      </c>
      <c r="J503" s="444">
        <f t="array" ref="J503">IFERROR(INDEX('Retirement Calculator'!K:K,MATCH('Lorri 401b'!N503,'Retirement Calculator'!A:A,0),0),0)</f>
        <v>21655.303514578787</v>
      </c>
      <c r="K503" s="444">
        <f t="shared" ca="1" si="27"/>
        <v>-6158.9848117674101</v>
      </c>
      <c r="L503" s="444">
        <f t="shared" ca="1" si="28"/>
        <v>-1484315.3396359459</v>
      </c>
      <c r="M503" s="460">
        <f t="shared" si="30"/>
        <v>0.05</v>
      </c>
      <c r="N503" s="464">
        <f t="shared" si="31"/>
        <v>66355</v>
      </c>
    </row>
    <row r="504" spans="7:14" ht="11.25" customHeight="1" x14ac:dyDescent="0.25">
      <c r="G504" s="459">
        <f t="shared" si="51"/>
        <v>42</v>
      </c>
      <c r="H504" s="459">
        <v>497</v>
      </c>
      <c r="I504" s="444">
        <f t="shared" ca="1" si="29"/>
        <v>-1484315.3396359459</v>
      </c>
      <c r="J504" s="444">
        <f t="array" ref="J504">IFERROR(INDEX('Retirement Calculator'!K:K,MATCH('Lorri 401b'!N504,'Retirement Calculator'!A:A,0),0),0)</f>
        <v>21655.303514578787</v>
      </c>
      <c r="K504" s="444">
        <f t="shared" ca="1" si="27"/>
        <v>-6274.8776797938526</v>
      </c>
      <c r="L504" s="444">
        <f t="shared" ca="1" si="28"/>
        <v>-1512245.5208303186</v>
      </c>
      <c r="M504" s="460">
        <f t="shared" si="30"/>
        <v>0.05</v>
      </c>
      <c r="N504" s="464">
        <f t="shared" si="31"/>
        <v>66385</v>
      </c>
    </row>
    <row r="505" spans="7:14" ht="11.25" customHeight="1" x14ac:dyDescent="0.25">
      <c r="G505" s="459">
        <f t="shared" si="51"/>
        <v>42</v>
      </c>
      <c r="H505" s="459">
        <v>498</v>
      </c>
      <c r="I505" s="444">
        <f t="shared" ca="1" si="29"/>
        <v>-1512245.5208303186</v>
      </c>
      <c r="J505" s="444">
        <f t="array" ref="J505">IFERROR(INDEX('Retirement Calculator'!K:K,MATCH('Lorri 401b'!N505,'Retirement Calculator'!A:A,0),0),0)</f>
        <v>21655.303514578787</v>
      </c>
      <c r="K505" s="444">
        <f t="shared" ca="1" si="27"/>
        <v>-6391.2534347704059</v>
      </c>
      <c r="L505" s="444">
        <f t="shared" ca="1" si="28"/>
        <v>-1540292.0777796679</v>
      </c>
      <c r="M505" s="460">
        <f t="shared" si="30"/>
        <v>0.05</v>
      </c>
      <c r="N505" s="464">
        <f t="shared" si="31"/>
        <v>66416</v>
      </c>
    </row>
    <row r="506" spans="7:14" ht="11.25" customHeight="1" x14ac:dyDescent="0.25">
      <c r="G506" s="459">
        <f t="shared" si="51"/>
        <v>42</v>
      </c>
      <c r="H506" s="459">
        <v>499</v>
      </c>
      <c r="I506" s="444">
        <f t="shared" ca="1" si="29"/>
        <v>-1540292.0777796679</v>
      </c>
      <c r="J506" s="444">
        <f t="array" ref="J506">IFERROR(INDEX('Retirement Calculator'!K:K,MATCH('Lorri 401b'!N506,'Retirement Calculator'!A:A,0),0),0)</f>
        <v>21655.303514578787</v>
      </c>
      <c r="K506" s="444">
        <f t="shared" ca="1" si="27"/>
        <v>-6508.1140887260281</v>
      </c>
      <c r="L506" s="444">
        <f t="shared" ca="1" si="28"/>
        <v>-1568455.4953829728</v>
      </c>
      <c r="M506" s="460">
        <f t="shared" si="30"/>
        <v>0.05</v>
      </c>
      <c r="N506" s="464">
        <f t="shared" si="31"/>
        <v>66446</v>
      </c>
    </row>
    <row r="507" spans="7:14" ht="11.25" customHeight="1" x14ac:dyDescent="0.25">
      <c r="G507" s="459">
        <f t="shared" si="51"/>
        <v>42</v>
      </c>
      <c r="H507" s="459">
        <v>500</v>
      </c>
      <c r="I507" s="444">
        <f t="shared" ca="1" si="29"/>
        <v>-1568455.4953829728</v>
      </c>
      <c r="J507" s="444">
        <f t="array" ref="J507">IFERROR(INDEX('Retirement Calculator'!K:K,MATCH('Lorri 401b'!N507,'Retirement Calculator'!A:A,0),0),0)</f>
        <v>21655.303514578787</v>
      </c>
      <c r="K507" s="444">
        <f t="shared" ca="1" si="27"/>
        <v>-6625.4616620731313</v>
      </c>
      <c r="L507" s="444">
        <f t="shared" ca="1" si="28"/>
        <v>-1596736.2605596248</v>
      </c>
      <c r="M507" s="460">
        <f t="shared" si="30"/>
        <v>0.05</v>
      </c>
      <c r="N507" s="464">
        <f t="shared" si="31"/>
        <v>66477</v>
      </c>
    </row>
    <row r="508" spans="7:14" ht="11.25" customHeight="1" x14ac:dyDescent="0.25">
      <c r="G508" s="459">
        <f t="shared" si="51"/>
        <v>42</v>
      </c>
      <c r="H508" s="459">
        <v>501</v>
      </c>
      <c r="I508" s="444">
        <f t="shared" ca="1" si="29"/>
        <v>-1596736.2605596248</v>
      </c>
      <c r="J508" s="444">
        <f t="array" ref="J508">IFERROR(INDEX('Retirement Calculator'!K:K,MATCH('Lorri 401b'!N508,'Retirement Calculator'!A:A,0),0),0)</f>
        <v>21655.303514578787</v>
      </c>
      <c r="K508" s="444">
        <f t="shared" ca="1" si="27"/>
        <v>-6743.2981836425151</v>
      </c>
      <c r="L508" s="444">
        <f t="shared" ca="1" si="28"/>
        <v>-1625134.8622578462</v>
      </c>
      <c r="M508" s="460">
        <f t="shared" si="30"/>
        <v>0.05</v>
      </c>
      <c r="N508" s="464">
        <f t="shared" si="31"/>
        <v>66508</v>
      </c>
    </row>
    <row r="509" spans="7:14" ht="11.25" customHeight="1" x14ac:dyDescent="0.25">
      <c r="G509" s="459">
        <f t="shared" si="51"/>
        <v>42</v>
      </c>
      <c r="H509" s="459">
        <v>502</v>
      </c>
      <c r="I509" s="444">
        <f t="shared" ca="1" si="29"/>
        <v>-1625134.8622578462</v>
      </c>
      <c r="J509" s="444">
        <f t="array" ref="J509">IFERROR(INDEX('Retirement Calculator'!K:K,MATCH('Lorri 401b'!N509,'Retirement Calculator'!A:A,0),0),0)</f>
        <v>21655.303514578787</v>
      </c>
      <c r="K509" s="444">
        <f t="shared" ca="1" si="27"/>
        <v>-6861.6256907184361</v>
      </c>
      <c r="L509" s="444">
        <f t="shared" ca="1" si="28"/>
        <v>-1653651.7914631434</v>
      </c>
      <c r="M509" s="460">
        <f t="shared" si="30"/>
        <v>0.05</v>
      </c>
      <c r="N509" s="464">
        <f t="shared" si="31"/>
        <v>66536</v>
      </c>
    </row>
    <row r="510" spans="7:14" ht="11.25" customHeight="1" x14ac:dyDescent="0.25">
      <c r="G510" s="459">
        <f t="shared" si="51"/>
        <v>42</v>
      </c>
      <c r="H510" s="459">
        <v>503</v>
      </c>
      <c r="I510" s="444">
        <f t="shared" ca="1" si="29"/>
        <v>-1653651.7914631434</v>
      </c>
      <c r="J510" s="444">
        <f t="array" ref="J510">IFERROR(INDEX('Retirement Calculator'!K:K,MATCH('Lorri 401b'!N510,'Retirement Calculator'!A:A,0),0),0)</f>
        <v>21655.303514578787</v>
      </c>
      <c r="K510" s="444">
        <f t="shared" ca="1" si="27"/>
        <v>-6980.4462290738429</v>
      </c>
      <c r="L510" s="444">
        <f t="shared" ca="1" si="28"/>
        <v>-1682287.5412067962</v>
      </c>
      <c r="M510" s="460">
        <f t="shared" si="30"/>
        <v>0.05</v>
      </c>
      <c r="N510" s="464">
        <f t="shared" si="31"/>
        <v>66567</v>
      </c>
    </row>
    <row r="511" spans="7:14" ht="11.25" customHeight="1" x14ac:dyDescent="0.25">
      <c r="G511" s="459">
        <f t="shared" si="51"/>
        <v>42</v>
      </c>
      <c r="H511" s="459">
        <v>504</v>
      </c>
      <c r="I511" s="444">
        <f t="shared" ca="1" si="29"/>
        <v>-1682287.5412067962</v>
      </c>
      <c r="J511" s="444">
        <f t="array" ref="J511">IFERROR(INDEX('Retirement Calculator'!K:K,MATCH('Lorri 401b'!N511,'Retirement Calculator'!A:A,0),0),0)</f>
        <v>21655.303514578787</v>
      </c>
      <c r="K511" s="444">
        <f t="shared" ca="1" si="27"/>
        <v>-7099.7618530057289</v>
      </c>
      <c r="L511" s="444">
        <f t="shared" ca="1" si="28"/>
        <v>-1711042.6065743808</v>
      </c>
      <c r="M511" s="460">
        <f t="shared" si="30"/>
        <v>0.05</v>
      </c>
      <c r="N511" s="464">
        <f t="shared" si="31"/>
        <v>66597</v>
      </c>
    </row>
    <row r="512" spans="7:14" ht="11.25" customHeight="1" x14ac:dyDescent="0.25">
      <c r="G512" s="459">
        <f>G511+1</f>
        <v>43</v>
      </c>
      <c r="H512" s="459">
        <v>505</v>
      </c>
      <c r="I512" s="444">
        <f t="shared" ca="1" si="29"/>
        <v>-1711042.6065743808</v>
      </c>
      <c r="J512" s="444">
        <f t="array" ref="J512">IFERROR(INDEX('Retirement Calculator'!K:K,MATCH('Lorri 401b'!N512,'Retirement Calculator'!A:A,0),0),0)</f>
        <v>21655.303514578787</v>
      </c>
      <c r="K512" s="444">
        <f t="shared" ca="1" si="27"/>
        <v>-7219.5746253706648</v>
      </c>
      <c r="L512" s="444">
        <f t="shared" ca="1" si="28"/>
        <v>-1739917.4847143302</v>
      </c>
      <c r="M512" s="460">
        <f t="shared" si="30"/>
        <v>0.05</v>
      </c>
      <c r="N512" s="464">
        <f t="shared" si="31"/>
        <v>66628</v>
      </c>
    </row>
    <row r="513" spans="7:14" ht="11.25" customHeight="1" x14ac:dyDescent="0.25">
      <c r="G513" s="459">
        <f t="shared" ref="G513:G523" si="52">G512</f>
        <v>43</v>
      </c>
      <c r="H513" s="459">
        <v>506</v>
      </c>
      <c r="I513" s="444">
        <f t="shared" ca="1" si="29"/>
        <v>-1739917.4847143302</v>
      </c>
      <c r="J513" s="444">
        <f t="array" ref="J513">IFERROR(INDEX('Retirement Calculator'!K:K,MATCH('Lorri 401b'!N513,'Retirement Calculator'!A:A,0),0),0)</f>
        <v>21655.303514578787</v>
      </c>
      <c r="K513" s="444">
        <f t="shared" ca="1" si="27"/>
        <v>-7339.8866176204529</v>
      </c>
      <c r="L513" s="444">
        <f t="shared" ca="1" si="28"/>
        <v>-1768912.6748465295</v>
      </c>
      <c r="M513" s="460">
        <f t="shared" si="30"/>
        <v>0.05</v>
      </c>
      <c r="N513" s="464">
        <f t="shared" si="31"/>
        <v>66658</v>
      </c>
    </row>
    <row r="514" spans="7:14" ht="11.25" customHeight="1" x14ac:dyDescent="0.25">
      <c r="G514" s="459">
        <f t="shared" si="52"/>
        <v>43</v>
      </c>
      <c r="H514" s="459">
        <v>507</v>
      </c>
      <c r="I514" s="444">
        <f t="shared" ca="1" si="29"/>
        <v>-1768912.6748465295</v>
      </c>
      <c r="J514" s="444">
        <f t="array" ref="J514">IFERROR(INDEX('Retirement Calculator'!K:K,MATCH('Lorri 401b'!N514,'Retirement Calculator'!A:A,0),0),0)</f>
        <v>21655.303514578787</v>
      </c>
      <c r="K514" s="444">
        <f t="shared" ca="1" si="27"/>
        <v>-7460.6999098379511</v>
      </c>
      <c r="L514" s="444">
        <f t="shared" ca="1" si="28"/>
        <v>-1798028.6782709463</v>
      </c>
      <c r="M514" s="460">
        <f t="shared" si="30"/>
        <v>0.05</v>
      </c>
      <c r="N514" s="464">
        <f t="shared" si="31"/>
        <v>66689</v>
      </c>
    </row>
    <row r="515" spans="7:14" ht="11.25" customHeight="1" x14ac:dyDescent="0.25">
      <c r="G515" s="459">
        <f t="shared" si="52"/>
        <v>43</v>
      </c>
      <c r="H515" s="459">
        <v>508</v>
      </c>
      <c r="I515" s="444">
        <f t="shared" ca="1" si="29"/>
        <v>-1798028.6782709463</v>
      </c>
      <c r="J515" s="444">
        <f t="array" ref="J515">IFERROR(INDEX('Retirement Calculator'!K:K,MATCH('Lorri 401b'!N515,'Retirement Calculator'!A:A,0),0),0)</f>
        <v>21655.303514578787</v>
      </c>
      <c r="K515" s="444">
        <f t="shared" ca="1" si="27"/>
        <v>-7582.0165907730225</v>
      </c>
      <c r="L515" s="444">
        <f t="shared" ca="1" si="28"/>
        <v>-1827265.9983762982</v>
      </c>
      <c r="M515" s="460">
        <f t="shared" si="30"/>
        <v>0.05</v>
      </c>
      <c r="N515" s="464">
        <f t="shared" si="31"/>
        <v>66720</v>
      </c>
    </row>
    <row r="516" spans="7:14" ht="11.25" customHeight="1" x14ac:dyDescent="0.25">
      <c r="G516" s="459">
        <f t="shared" si="52"/>
        <v>43</v>
      </c>
      <c r="H516" s="459">
        <v>509</v>
      </c>
      <c r="I516" s="444">
        <f t="shared" ca="1" si="29"/>
        <v>-1827265.9983762982</v>
      </c>
      <c r="J516" s="444">
        <f t="array" ref="J516">IFERROR(INDEX('Retirement Calculator'!K:K,MATCH('Lorri 401b'!N516,'Retirement Calculator'!A:A,0),0),0)</f>
        <v>21655.303514578787</v>
      </c>
      <c r="K516" s="444">
        <f t="shared" ca="1" si="27"/>
        <v>-7703.8387578786542</v>
      </c>
      <c r="L516" s="444">
        <f t="shared" ca="1" si="28"/>
        <v>-1856625.1406487557</v>
      </c>
      <c r="M516" s="460">
        <f t="shared" si="30"/>
        <v>0.05</v>
      </c>
      <c r="N516" s="464">
        <f t="shared" si="31"/>
        <v>66750</v>
      </c>
    </row>
    <row r="517" spans="7:14" ht="11.25" customHeight="1" x14ac:dyDescent="0.25">
      <c r="G517" s="459">
        <f t="shared" si="52"/>
        <v>43</v>
      </c>
      <c r="H517" s="459">
        <v>510</v>
      </c>
      <c r="I517" s="444">
        <f t="shared" ca="1" si="29"/>
        <v>-1856625.1406487557</v>
      </c>
      <c r="J517" s="444">
        <f t="array" ref="J517">IFERROR(INDEX('Retirement Calculator'!K:K,MATCH('Lorri 401b'!N517,'Retirement Calculator'!A:A,0),0),0)</f>
        <v>21655.303514578787</v>
      </c>
      <c r="K517" s="444">
        <f t="shared" ca="1" si="27"/>
        <v>-7826.1685173472279</v>
      </c>
      <c r="L517" s="444">
        <f t="shared" ca="1" si="28"/>
        <v>-1886106.6126806817</v>
      </c>
      <c r="M517" s="460">
        <f t="shared" si="30"/>
        <v>0.05</v>
      </c>
      <c r="N517" s="464">
        <f t="shared" si="31"/>
        <v>66781</v>
      </c>
    </row>
    <row r="518" spans="7:14" ht="11.25" customHeight="1" x14ac:dyDescent="0.25">
      <c r="G518" s="459">
        <f t="shared" si="52"/>
        <v>43</v>
      </c>
      <c r="H518" s="459">
        <v>511</v>
      </c>
      <c r="I518" s="444">
        <f t="shared" ca="1" si="29"/>
        <v>-1886106.6126806817</v>
      </c>
      <c r="J518" s="444">
        <f t="array" ref="J518">IFERROR(INDEX('Retirement Calculator'!K:K,MATCH('Lorri 401b'!N518,'Retirement Calculator'!A:A,0),0),0)</f>
        <v>21655.303514578787</v>
      </c>
      <c r="K518" s="444">
        <f t="shared" ref="K518:K772" ca="1" si="53">IPMT(M518/12,1,12,-I518+J518,,0)</f>
        <v>-7949.0079841469196</v>
      </c>
      <c r="L518" s="444">
        <f t="shared" ref="L518:L772" ca="1" si="54">I518-J518+K518</f>
        <v>-1915710.9241794075</v>
      </c>
      <c r="M518" s="460">
        <f t="shared" si="30"/>
        <v>0.05</v>
      </c>
      <c r="N518" s="464">
        <f t="shared" si="31"/>
        <v>66811</v>
      </c>
    </row>
    <row r="519" spans="7:14" ht="11.25" customHeight="1" x14ac:dyDescent="0.25">
      <c r="G519" s="459">
        <f t="shared" si="52"/>
        <v>43</v>
      </c>
      <c r="H519" s="459">
        <v>512</v>
      </c>
      <c r="I519" s="444">
        <f t="shared" ref="I519:I773" ca="1" si="55">L518</f>
        <v>-1915710.9241794075</v>
      </c>
      <c r="J519" s="444">
        <f t="array" ref="J519">IFERROR(INDEX('Retirement Calculator'!K:K,MATCH('Lorri 401b'!N519,'Retirement Calculator'!A:A,0),0),0)</f>
        <v>21655.303514578787</v>
      </c>
      <c r="K519" s="444">
        <f t="shared" ca="1" si="53"/>
        <v>-8072.3592820582762</v>
      </c>
      <c r="L519" s="444">
        <f t="shared" ca="1" si="54"/>
        <v>-1945438.5869760446</v>
      </c>
      <c r="M519" s="460">
        <f t="shared" ref="M519:M773" si="56">M518</f>
        <v>0.05</v>
      </c>
      <c r="N519" s="464">
        <f t="shared" ref="N519:N773" si="57">EDATE(N518,1)</f>
        <v>66842</v>
      </c>
    </row>
    <row r="520" spans="7:14" ht="11.25" customHeight="1" x14ac:dyDescent="0.25">
      <c r="G520" s="459">
        <f t="shared" si="52"/>
        <v>43</v>
      </c>
      <c r="H520" s="459">
        <v>513</v>
      </c>
      <c r="I520" s="444">
        <f t="shared" ca="1" si="55"/>
        <v>-1945438.5869760446</v>
      </c>
      <c r="J520" s="444">
        <f t="array" ref="J520">IFERROR(INDEX('Retirement Calculator'!K:K,MATCH('Lorri 401b'!N520,'Retirement Calculator'!A:A,0),0),0)</f>
        <v>21655.303514578787</v>
      </c>
      <c r="K520" s="444">
        <f t="shared" ca="1" si="53"/>
        <v>-8196.2245437109304</v>
      </c>
      <c r="L520" s="444">
        <f t="shared" ca="1" si="54"/>
        <v>-1975290.1150343344</v>
      </c>
      <c r="M520" s="460">
        <f t="shared" si="56"/>
        <v>0.05</v>
      </c>
      <c r="N520" s="464">
        <f t="shared" si="57"/>
        <v>66873</v>
      </c>
    </row>
    <row r="521" spans="7:14" ht="11.25" customHeight="1" x14ac:dyDescent="0.25">
      <c r="G521" s="459">
        <f t="shared" si="52"/>
        <v>43</v>
      </c>
      <c r="H521" s="459">
        <v>514</v>
      </c>
      <c r="I521" s="444">
        <f t="shared" ca="1" si="55"/>
        <v>-1975290.1150343344</v>
      </c>
      <c r="J521" s="444">
        <f t="array" ref="J521">IFERROR(INDEX('Retirement Calculator'!K:K,MATCH('Lorri 401b'!N521,'Retirement Calculator'!A:A,0),0),0)</f>
        <v>21655.303514578787</v>
      </c>
      <c r="K521" s="444">
        <f t="shared" ca="1" si="53"/>
        <v>-8320.6059106204721</v>
      </c>
      <c r="L521" s="444">
        <f t="shared" ca="1" si="54"/>
        <v>-2005266.0244595336</v>
      </c>
      <c r="M521" s="460">
        <f t="shared" si="56"/>
        <v>0.05</v>
      </c>
      <c r="N521" s="464">
        <f t="shared" si="57"/>
        <v>66901</v>
      </c>
    </row>
    <row r="522" spans="7:14" ht="11.25" customHeight="1" x14ac:dyDescent="0.25">
      <c r="G522" s="459">
        <f t="shared" si="52"/>
        <v>43</v>
      </c>
      <c r="H522" s="459">
        <v>515</v>
      </c>
      <c r="I522" s="444">
        <f t="shared" ca="1" si="55"/>
        <v>-2005266.0244595336</v>
      </c>
      <c r="J522" s="444">
        <f t="array" ref="J522">IFERROR(INDEX('Retirement Calculator'!K:K,MATCH('Lorri 401b'!N522,'Retirement Calculator'!A:A,0),0),0)</f>
        <v>21655.303514578787</v>
      </c>
      <c r="K522" s="444">
        <f t="shared" ca="1" si="53"/>
        <v>-8445.5055332254688</v>
      </c>
      <c r="L522" s="444">
        <f t="shared" ca="1" si="54"/>
        <v>-2035366.8335073378</v>
      </c>
      <c r="M522" s="460">
        <f t="shared" si="56"/>
        <v>0.05</v>
      </c>
      <c r="N522" s="464">
        <f t="shared" si="57"/>
        <v>66932</v>
      </c>
    </row>
    <row r="523" spans="7:14" ht="11.25" customHeight="1" x14ac:dyDescent="0.25">
      <c r="G523" s="459">
        <f t="shared" si="52"/>
        <v>43</v>
      </c>
      <c r="H523" s="459">
        <v>516</v>
      </c>
      <c r="I523" s="444">
        <f t="shared" ca="1" si="55"/>
        <v>-2035366.8335073378</v>
      </c>
      <c r="J523" s="444">
        <f t="array" ref="J523">IFERROR(INDEX('Retirement Calculator'!K:K,MATCH('Lorri 401b'!N523,'Retirement Calculator'!A:A,0),0),0)</f>
        <v>21655.303514578787</v>
      </c>
      <c r="K523" s="444">
        <f t="shared" ca="1" si="53"/>
        <v>-8570.9255709246536</v>
      </c>
      <c r="L523" s="444">
        <f t="shared" ca="1" si="54"/>
        <v>-2065593.0625928415</v>
      </c>
      <c r="M523" s="460">
        <f t="shared" si="56"/>
        <v>0.05</v>
      </c>
      <c r="N523" s="464">
        <f t="shared" si="57"/>
        <v>66962</v>
      </c>
    </row>
    <row r="524" spans="7:14" ht="11.25" customHeight="1" x14ac:dyDescent="0.25">
      <c r="G524" s="459">
        <f>G523+1</f>
        <v>44</v>
      </c>
      <c r="H524" s="459">
        <v>517</v>
      </c>
      <c r="I524" s="444">
        <f t="shared" ca="1" si="55"/>
        <v>-2065593.0625928415</v>
      </c>
      <c r="J524" s="444">
        <f t="array" ref="J524">IFERROR(INDEX('Retirement Calculator'!K:K,MATCH('Lorri 401b'!N524,'Retirement Calculator'!A:A,0),0),0)</f>
        <v>21655.303514578787</v>
      </c>
      <c r="K524" s="444">
        <f t="shared" ca="1" si="53"/>
        <v>-8696.8681921142506</v>
      </c>
      <c r="L524" s="444">
        <f t="shared" ca="1" si="54"/>
        <v>-2095945.2342995345</v>
      </c>
      <c r="M524" s="460">
        <f t="shared" si="56"/>
        <v>0.05</v>
      </c>
      <c r="N524" s="464">
        <f t="shared" si="57"/>
        <v>66993</v>
      </c>
    </row>
    <row r="525" spans="7:14" ht="11.25" customHeight="1" x14ac:dyDescent="0.25">
      <c r="G525" s="459">
        <f t="shared" ref="G525:G535" si="58">G524</f>
        <v>44</v>
      </c>
      <c r="H525" s="459">
        <v>518</v>
      </c>
      <c r="I525" s="444">
        <f t="shared" ca="1" si="55"/>
        <v>-2095945.2342995345</v>
      </c>
      <c r="J525" s="444">
        <f t="array" ref="J525">IFERROR(INDEX('Retirement Calculator'!K:K,MATCH('Lorri 401b'!N525,'Retirement Calculator'!A:A,0),0),0)</f>
        <v>21655.303514578787</v>
      </c>
      <c r="K525" s="444">
        <f t="shared" ca="1" si="53"/>
        <v>-8823.3355742254716</v>
      </c>
      <c r="L525" s="444">
        <f t="shared" ca="1" si="54"/>
        <v>-2126423.8733883388</v>
      </c>
      <c r="M525" s="460">
        <f t="shared" si="56"/>
        <v>0.05</v>
      </c>
      <c r="N525" s="464">
        <f t="shared" si="57"/>
        <v>67023</v>
      </c>
    </row>
    <row r="526" spans="7:14" ht="11.25" customHeight="1" x14ac:dyDescent="0.25">
      <c r="G526" s="459">
        <f t="shared" si="58"/>
        <v>44</v>
      </c>
      <c r="H526" s="459">
        <v>519</v>
      </c>
      <c r="I526" s="444">
        <f t="shared" ca="1" si="55"/>
        <v>-2126423.8733883388</v>
      </c>
      <c r="J526" s="444">
        <f t="array" ref="J526">IFERROR(INDEX('Retirement Calculator'!K:K,MATCH('Lorri 401b'!N526,'Retirement Calculator'!A:A,0),0),0)</f>
        <v>21655.303514578787</v>
      </c>
      <c r="K526" s="444">
        <f t="shared" ca="1" si="53"/>
        <v>-8950.3299037621564</v>
      </c>
      <c r="L526" s="444">
        <f t="shared" ca="1" si="54"/>
        <v>-2157029.50680668</v>
      </c>
      <c r="M526" s="460">
        <f t="shared" si="56"/>
        <v>0.05</v>
      </c>
      <c r="N526" s="464">
        <f t="shared" si="57"/>
        <v>67054</v>
      </c>
    </row>
    <row r="527" spans="7:14" ht="11.25" customHeight="1" x14ac:dyDescent="0.25">
      <c r="G527" s="459">
        <f t="shared" si="58"/>
        <v>44</v>
      </c>
      <c r="H527" s="459">
        <v>520</v>
      </c>
      <c r="I527" s="444">
        <f t="shared" ca="1" si="55"/>
        <v>-2157029.50680668</v>
      </c>
      <c r="J527" s="444">
        <f t="array" ref="J527">IFERROR(INDEX('Retirement Calculator'!K:K,MATCH('Lorri 401b'!N527,'Retirement Calculator'!A:A,0),0),0)</f>
        <v>21655.303514578787</v>
      </c>
      <c r="K527" s="444">
        <f t="shared" ca="1" si="53"/>
        <v>-9077.8533763385785</v>
      </c>
      <c r="L527" s="444">
        <f t="shared" ca="1" si="54"/>
        <v>-2187762.6636975976</v>
      </c>
      <c r="M527" s="460">
        <f t="shared" si="56"/>
        <v>0.05</v>
      </c>
      <c r="N527" s="464">
        <f t="shared" si="57"/>
        <v>67085</v>
      </c>
    </row>
    <row r="528" spans="7:14" ht="11.25" customHeight="1" x14ac:dyDescent="0.25">
      <c r="G528" s="459">
        <f t="shared" si="58"/>
        <v>44</v>
      </c>
      <c r="H528" s="459">
        <v>521</v>
      </c>
      <c r="I528" s="444">
        <f t="shared" ca="1" si="55"/>
        <v>-2187762.6636975976</v>
      </c>
      <c r="J528" s="444">
        <f t="array" ref="J528">IFERROR(INDEX('Retirement Calculator'!K:K,MATCH('Lorri 401b'!N528,'Retirement Calculator'!A:A,0),0),0)</f>
        <v>21655.303514578787</v>
      </c>
      <c r="K528" s="444">
        <f t="shared" ca="1" si="53"/>
        <v>-9205.9081967174025</v>
      </c>
      <c r="L528" s="444">
        <f t="shared" ca="1" si="54"/>
        <v>-2218623.8754088939</v>
      </c>
      <c r="M528" s="460">
        <f t="shared" si="56"/>
        <v>0.05</v>
      </c>
      <c r="N528" s="464">
        <f t="shared" si="57"/>
        <v>67115</v>
      </c>
    </row>
    <row r="529" spans="7:14" ht="11.25" customHeight="1" x14ac:dyDescent="0.25">
      <c r="G529" s="459">
        <f t="shared" si="58"/>
        <v>44</v>
      </c>
      <c r="H529" s="459">
        <v>522</v>
      </c>
      <c r="I529" s="444">
        <f t="shared" ca="1" si="55"/>
        <v>-2218623.8754088939</v>
      </c>
      <c r="J529" s="444">
        <f t="array" ref="J529">IFERROR(INDEX('Retirement Calculator'!K:K,MATCH('Lorri 401b'!N529,'Retirement Calculator'!A:A,0),0),0)</f>
        <v>21655.303514578787</v>
      </c>
      <c r="K529" s="444">
        <f t="shared" ca="1" si="53"/>
        <v>-9334.4965788478039</v>
      </c>
      <c r="L529" s="444">
        <f t="shared" ca="1" si="54"/>
        <v>-2249613.6755023208</v>
      </c>
      <c r="M529" s="460">
        <f t="shared" si="56"/>
        <v>0.05</v>
      </c>
      <c r="N529" s="464">
        <f t="shared" si="57"/>
        <v>67146</v>
      </c>
    </row>
    <row r="530" spans="7:14" ht="11.25" customHeight="1" x14ac:dyDescent="0.25">
      <c r="G530" s="459">
        <f t="shared" si="58"/>
        <v>44</v>
      </c>
      <c r="H530" s="459">
        <v>523</v>
      </c>
      <c r="I530" s="444">
        <f t="shared" ca="1" si="55"/>
        <v>-2249613.6755023208</v>
      </c>
      <c r="J530" s="444">
        <f t="array" ref="J530">IFERROR(INDEX('Retirement Calculator'!K:K,MATCH('Lorri 401b'!N530,'Retirement Calculator'!A:A,0),0),0)</f>
        <v>21655.303514578787</v>
      </c>
      <c r="K530" s="444">
        <f t="shared" ca="1" si="53"/>
        <v>-9463.6207459037487</v>
      </c>
      <c r="L530" s="444">
        <f t="shared" ca="1" si="54"/>
        <v>-2280732.5997628034</v>
      </c>
      <c r="M530" s="460">
        <f t="shared" si="56"/>
        <v>0.05</v>
      </c>
      <c r="N530" s="464">
        <f t="shared" si="57"/>
        <v>67176</v>
      </c>
    </row>
    <row r="531" spans="7:14" ht="11.25" customHeight="1" x14ac:dyDescent="0.25">
      <c r="G531" s="459">
        <f t="shared" si="58"/>
        <v>44</v>
      </c>
      <c r="H531" s="459">
        <v>524</v>
      </c>
      <c r="I531" s="444">
        <f t="shared" ca="1" si="55"/>
        <v>-2280732.5997628034</v>
      </c>
      <c r="J531" s="444">
        <f t="array" ref="J531">IFERROR(INDEX('Retirement Calculator'!K:K,MATCH('Lorri 401b'!N531,'Retirement Calculator'!A:A,0),0),0)</f>
        <v>21655.303514578787</v>
      </c>
      <c r="K531" s="444">
        <f t="shared" ca="1" si="53"/>
        <v>-9593.2829303224262</v>
      </c>
      <c r="L531" s="444">
        <f t="shared" ca="1" si="54"/>
        <v>-2311981.1862077047</v>
      </c>
      <c r="M531" s="460">
        <f t="shared" si="56"/>
        <v>0.05</v>
      </c>
      <c r="N531" s="464">
        <f t="shared" si="57"/>
        <v>67207</v>
      </c>
    </row>
    <row r="532" spans="7:14" ht="11.25" customHeight="1" x14ac:dyDescent="0.25">
      <c r="G532" s="459">
        <f t="shared" si="58"/>
        <v>44</v>
      </c>
      <c r="H532" s="459">
        <v>525</v>
      </c>
      <c r="I532" s="444">
        <f t="shared" ca="1" si="55"/>
        <v>-2311981.1862077047</v>
      </c>
      <c r="J532" s="444">
        <f t="array" ref="J532">IFERROR(INDEX('Retirement Calculator'!K:K,MATCH('Lorri 401b'!N532,'Retirement Calculator'!A:A,0),0),0)</f>
        <v>21655.303514578787</v>
      </c>
      <c r="K532" s="444">
        <f t="shared" ca="1" si="53"/>
        <v>-9723.4853738428483</v>
      </c>
      <c r="L532" s="444">
        <f t="shared" ca="1" si="54"/>
        <v>-2343359.9750961266</v>
      </c>
      <c r="M532" s="460">
        <f t="shared" si="56"/>
        <v>0.05</v>
      </c>
      <c r="N532" s="464">
        <f t="shared" si="57"/>
        <v>67238</v>
      </c>
    </row>
    <row r="533" spans="7:14" ht="11.25" customHeight="1" x14ac:dyDescent="0.25">
      <c r="G533" s="459">
        <f t="shared" si="58"/>
        <v>44</v>
      </c>
      <c r="H533" s="459">
        <v>526</v>
      </c>
      <c r="I533" s="444">
        <f t="shared" ca="1" si="55"/>
        <v>-2343359.9750961266</v>
      </c>
      <c r="J533" s="444">
        <f t="array" ref="J533">IFERROR(INDEX('Retirement Calculator'!K:K,MATCH('Lorri 401b'!N533,'Retirement Calculator'!A:A,0),0),0)</f>
        <v>21655.303514578787</v>
      </c>
      <c r="K533" s="444">
        <f t="shared" ca="1" si="53"/>
        <v>-9854.2303275446066</v>
      </c>
      <c r="L533" s="444">
        <f t="shared" ca="1" si="54"/>
        <v>-2374869.5089382501</v>
      </c>
      <c r="M533" s="460">
        <f t="shared" si="56"/>
        <v>0.05</v>
      </c>
      <c r="N533" s="464">
        <f t="shared" si="57"/>
        <v>67267</v>
      </c>
    </row>
    <row r="534" spans="7:14" ht="11.25" customHeight="1" x14ac:dyDescent="0.25">
      <c r="G534" s="459">
        <f t="shared" si="58"/>
        <v>44</v>
      </c>
      <c r="H534" s="459">
        <v>527</v>
      </c>
      <c r="I534" s="444">
        <f t="shared" ca="1" si="55"/>
        <v>-2374869.5089382501</v>
      </c>
      <c r="J534" s="444">
        <f t="array" ref="J534">IFERROR(INDEX('Retirement Calculator'!K:K,MATCH('Lorri 401b'!N534,'Retirement Calculator'!A:A,0),0),0)</f>
        <v>21655.303514578787</v>
      </c>
      <c r="K534" s="444">
        <f t="shared" ca="1" si="53"/>
        <v>-9985.5200518867878</v>
      </c>
      <c r="L534" s="444">
        <f t="shared" ca="1" si="54"/>
        <v>-2406510.3325047158</v>
      </c>
      <c r="M534" s="460">
        <f t="shared" si="56"/>
        <v>0.05</v>
      </c>
      <c r="N534" s="464">
        <f t="shared" si="57"/>
        <v>67298</v>
      </c>
    </row>
    <row r="535" spans="7:14" ht="11.25" customHeight="1" x14ac:dyDescent="0.25">
      <c r="G535" s="459">
        <f t="shared" si="58"/>
        <v>44</v>
      </c>
      <c r="H535" s="459">
        <v>528</v>
      </c>
      <c r="I535" s="444">
        <f t="shared" ca="1" si="55"/>
        <v>-2406510.3325047158</v>
      </c>
      <c r="J535" s="444">
        <f t="array" ref="J535">IFERROR(INDEX('Retirement Calculator'!K:K,MATCH('Lorri 401b'!N535,'Retirement Calculator'!A:A,0),0),0)</f>
        <v>21655.303514578787</v>
      </c>
      <c r="K535" s="444">
        <f t="shared" ca="1" si="53"/>
        <v>-10117.35681674706</v>
      </c>
      <c r="L535" s="444">
        <f t="shared" ca="1" si="54"/>
        <v>-2438282.9928360418</v>
      </c>
      <c r="M535" s="460">
        <f t="shared" si="56"/>
        <v>0.05</v>
      </c>
      <c r="N535" s="464">
        <f t="shared" si="57"/>
        <v>67328</v>
      </c>
    </row>
    <row r="536" spans="7:14" ht="11.25" customHeight="1" x14ac:dyDescent="0.25">
      <c r="G536" s="459">
        <f>G535+1</f>
        <v>45</v>
      </c>
      <c r="H536" s="459">
        <v>529</v>
      </c>
      <c r="I536" s="444">
        <f t="shared" ca="1" si="55"/>
        <v>-2438282.9928360418</v>
      </c>
      <c r="J536" s="444">
        <f t="array" ref="J536">IFERROR(INDEX('Retirement Calculator'!K:K,MATCH('Lorri 401b'!N536,'Retirement Calculator'!A:A,0),0),0)</f>
        <v>21655.303514578787</v>
      </c>
      <c r="K536" s="444">
        <f t="shared" ca="1" si="53"/>
        <v>-10249.742901460919</v>
      </c>
      <c r="L536" s="444">
        <f t="shared" ca="1" si="54"/>
        <v>-2470188.0392520814</v>
      </c>
      <c r="M536" s="460">
        <f t="shared" si="56"/>
        <v>0.05</v>
      </c>
      <c r="N536" s="464">
        <f t="shared" si="57"/>
        <v>67359</v>
      </c>
    </row>
    <row r="537" spans="7:14" ht="11.25" customHeight="1" x14ac:dyDescent="0.25">
      <c r="G537" s="459">
        <f t="shared" ref="G537:G547" si="59">G536</f>
        <v>45</v>
      </c>
      <c r="H537" s="459">
        <v>530</v>
      </c>
      <c r="I537" s="444">
        <f t="shared" ca="1" si="55"/>
        <v>-2470188.0392520814</v>
      </c>
      <c r="J537" s="444">
        <f t="array" ref="J537">IFERROR(INDEX('Retirement Calculator'!K:K,MATCH('Lorri 401b'!N537,'Retirement Calculator'!A:A,0),0),0)</f>
        <v>21655.303514578787</v>
      </c>
      <c r="K537" s="444">
        <f t="shared" ca="1" si="53"/>
        <v>-10382.680594861084</v>
      </c>
      <c r="L537" s="444">
        <f t="shared" ca="1" si="54"/>
        <v>-2502226.0233615213</v>
      </c>
      <c r="M537" s="460">
        <f t="shared" si="56"/>
        <v>0.05</v>
      </c>
      <c r="N537" s="464">
        <f t="shared" si="57"/>
        <v>67389</v>
      </c>
    </row>
    <row r="538" spans="7:14" ht="11.25" customHeight="1" x14ac:dyDescent="0.25">
      <c r="G538" s="459">
        <f t="shared" si="59"/>
        <v>45</v>
      </c>
      <c r="H538" s="459">
        <v>531</v>
      </c>
      <c r="I538" s="444">
        <f t="shared" ca="1" si="55"/>
        <v>-2502226.0233615213</v>
      </c>
      <c r="J538" s="444">
        <f t="array" ref="J538">IFERROR(INDEX('Retirement Calculator'!K:K,MATCH('Lorri 401b'!N538,'Retirement Calculator'!A:A,0),0),0)</f>
        <v>21655.303514578787</v>
      </c>
      <c r="K538" s="444">
        <f t="shared" ca="1" si="53"/>
        <v>-10516.172195317084</v>
      </c>
      <c r="L538" s="444">
        <f t="shared" ca="1" si="54"/>
        <v>-2534397.4990714174</v>
      </c>
      <c r="M538" s="460">
        <f t="shared" si="56"/>
        <v>0.05</v>
      </c>
      <c r="N538" s="464">
        <f t="shared" si="57"/>
        <v>67420</v>
      </c>
    </row>
    <row r="539" spans="7:14" ht="11.25" customHeight="1" x14ac:dyDescent="0.25">
      <c r="G539" s="459">
        <f t="shared" si="59"/>
        <v>45</v>
      </c>
      <c r="H539" s="459">
        <v>532</v>
      </c>
      <c r="I539" s="444">
        <f t="shared" ca="1" si="55"/>
        <v>-2534397.4990714174</v>
      </c>
      <c r="J539" s="444">
        <f t="array" ref="J539">IFERROR(INDEX('Retirement Calculator'!K:K,MATCH('Lorri 401b'!N539,'Retirement Calculator'!A:A,0),0),0)</f>
        <v>21655.303514578787</v>
      </c>
      <c r="K539" s="444">
        <f t="shared" ca="1" si="53"/>
        <v>-10650.220010774985</v>
      </c>
      <c r="L539" s="444">
        <f t="shared" ca="1" si="54"/>
        <v>-2566703.0225967714</v>
      </c>
      <c r="M539" s="460">
        <f t="shared" si="56"/>
        <v>0.05</v>
      </c>
      <c r="N539" s="464">
        <f t="shared" si="57"/>
        <v>67451</v>
      </c>
    </row>
    <row r="540" spans="7:14" ht="11.25" customHeight="1" x14ac:dyDescent="0.25">
      <c r="G540" s="459">
        <f t="shared" si="59"/>
        <v>45</v>
      </c>
      <c r="H540" s="459">
        <v>533</v>
      </c>
      <c r="I540" s="444">
        <f t="shared" ca="1" si="55"/>
        <v>-2566703.0225967714</v>
      </c>
      <c r="J540" s="444">
        <f t="array" ref="J540">IFERROR(INDEX('Retirement Calculator'!K:K,MATCH('Lorri 401b'!N540,'Retirement Calculator'!A:A,0),0),0)</f>
        <v>21655.303514578787</v>
      </c>
      <c r="K540" s="444">
        <f t="shared" ca="1" si="53"/>
        <v>-10784.826358797292</v>
      </c>
      <c r="L540" s="444">
        <f t="shared" ca="1" si="54"/>
        <v>-2599143.1524701477</v>
      </c>
      <c r="M540" s="460">
        <f t="shared" si="56"/>
        <v>0.05</v>
      </c>
      <c r="N540" s="464">
        <f t="shared" si="57"/>
        <v>67481</v>
      </c>
    </row>
    <row r="541" spans="7:14" ht="11.25" customHeight="1" x14ac:dyDescent="0.25">
      <c r="G541" s="459">
        <f t="shared" si="59"/>
        <v>45</v>
      </c>
      <c r="H541" s="459">
        <v>534</v>
      </c>
      <c r="I541" s="444">
        <f t="shared" ca="1" si="55"/>
        <v>-2599143.1524701477</v>
      </c>
      <c r="J541" s="444">
        <f t="array" ref="J541">IFERROR(INDEX('Retirement Calculator'!K:K,MATCH('Lorri 401b'!N541,'Retirement Calculator'!A:A,0),0),0)</f>
        <v>21655.303514578787</v>
      </c>
      <c r="K541" s="444">
        <f t="shared" ca="1" si="53"/>
        <v>-10919.993566603027</v>
      </c>
      <c r="L541" s="444">
        <f t="shared" ca="1" si="54"/>
        <v>-2631718.4495513295</v>
      </c>
      <c r="M541" s="460">
        <f t="shared" si="56"/>
        <v>0.05</v>
      </c>
      <c r="N541" s="464">
        <f t="shared" si="57"/>
        <v>67512</v>
      </c>
    </row>
    <row r="542" spans="7:14" ht="11.25" customHeight="1" x14ac:dyDescent="0.25">
      <c r="G542" s="459">
        <f t="shared" si="59"/>
        <v>45</v>
      </c>
      <c r="H542" s="459">
        <v>535</v>
      </c>
      <c r="I542" s="444">
        <f t="shared" ca="1" si="55"/>
        <v>-2631718.4495513295</v>
      </c>
      <c r="J542" s="444">
        <f t="array" ref="J542">IFERROR(INDEX('Retirement Calculator'!K:K,MATCH('Lorri 401b'!N542,'Retirement Calculator'!A:A,0),0),0)</f>
        <v>21655.303514578787</v>
      </c>
      <c r="K542" s="444">
        <f t="shared" ca="1" si="53"/>
        <v>-11055.723971107951</v>
      </c>
      <c r="L542" s="444">
        <f t="shared" ca="1" si="54"/>
        <v>-2664429.4770370163</v>
      </c>
      <c r="M542" s="460">
        <f t="shared" si="56"/>
        <v>0.05</v>
      </c>
      <c r="N542" s="464">
        <f t="shared" si="57"/>
        <v>67542</v>
      </c>
    </row>
    <row r="543" spans="7:14" ht="11.25" customHeight="1" x14ac:dyDescent="0.25">
      <c r="G543" s="459">
        <f t="shared" si="59"/>
        <v>45</v>
      </c>
      <c r="H543" s="459">
        <v>536</v>
      </c>
      <c r="I543" s="444">
        <f t="shared" ca="1" si="55"/>
        <v>-2664429.4770370163</v>
      </c>
      <c r="J543" s="444">
        <f t="array" ref="J543">IFERROR(INDEX('Retirement Calculator'!K:K,MATCH('Lorri 401b'!N543,'Retirement Calculator'!A:A,0),0),0)</f>
        <v>21655.303514578787</v>
      </c>
      <c r="K543" s="444">
        <f t="shared" ca="1" si="53"/>
        <v>-11192.019918964979</v>
      </c>
      <c r="L543" s="444">
        <f t="shared" ca="1" si="54"/>
        <v>-2697276.8004705603</v>
      </c>
      <c r="M543" s="460">
        <f t="shared" si="56"/>
        <v>0.05</v>
      </c>
      <c r="N543" s="464">
        <f t="shared" si="57"/>
        <v>67573</v>
      </c>
    </row>
    <row r="544" spans="7:14" ht="11.25" customHeight="1" x14ac:dyDescent="0.25">
      <c r="G544" s="459">
        <f t="shared" si="59"/>
        <v>45</v>
      </c>
      <c r="H544" s="459">
        <v>537</v>
      </c>
      <c r="I544" s="444">
        <f t="shared" ca="1" si="55"/>
        <v>-2697276.8004705603</v>
      </c>
      <c r="J544" s="444">
        <f t="array" ref="J544">IFERROR(INDEX('Retirement Calculator'!K:K,MATCH('Lorri 401b'!N544,'Retirement Calculator'!A:A,0),0),0)</f>
        <v>21655.303514578787</v>
      </c>
      <c r="K544" s="444">
        <f t="shared" ca="1" si="53"/>
        <v>-11328.883766604746</v>
      </c>
      <c r="L544" s="444">
        <f t="shared" ca="1" si="54"/>
        <v>-2730260.9877517438</v>
      </c>
      <c r="M544" s="460">
        <f t="shared" si="56"/>
        <v>0.05</v>
      </c>
      <c r="N544" s="464">
        <f t="shared" si="57"/>
        <v>67604</v>
      </c>
    </row>
    <row r="545" spans="7:14" ht="11.25" customHeight="1" x14ac:dyDescent="0.25">
      <c r="G545" s="459">
        <f t="shared" si="59"/>
        <v>45</v>
      </c>
      <c r="H545" s="459">
        <v>538</v>
      </c>
      <c r="I545" s="444">
        <f t="shared" ca="1" si="55"/>
        <v>-2730260.9877517438</v>
      </c>
      <c r="J545" s="444">
        <f t="array" ref="J545">IFERROR(INDEX('Retirement Calculator'!K:K,MATCH('Lorri 401b'!N545,'Retirement Calculator'!A:A,0),0),0)</f>
        <v>21655.303514578787</v>
      </c>
      <c r="K545" s="444">
        <f t="shared" ca="1" si="53"/>
        <v>-11466.317880276343</v>
      </c>
      <c r="L545" s="444">
        <f t="shared" ca="1" si="54"/>
        <v>-2763382.6091465987</v>
      </c>
      <c r="M545" s="460">
        <f t="shared" si="56"/>
        <v>0.05</v>
      </c>
      <c r="N545" s="464">
        <f t="shared" si="57"/>
        <v>67632</v>
      </c>
    </row>
    <row r="546" spans="7:14" ht="11.25" customHeight="1" x14ac:dyDescent="0.25">
      <c r="G546" s="459">
        <f t="shared" si="59"/>
        <v>45</v>
      </c>
      <c r="H546" s="459">
        <v>539</v>
      </c>
      <c r="I546" s="444">
        <f t="shared" ca="1" si="55"/>
        <v>-2763382.6091465987</v>
      </c>
      <c r="J546" s="444">
        <f t="array" ref="J546">IFERROR(INDEX('Retirement Calculator'!K:K,MATCH('Lorri 401b'!N546,'Retirement Calculator'!A:A,0),0),0)</f>
        <v>21655.303514578787</v>
      </c>
      <c r="K546" s="444">
        <f t="shared" ca="1" si="53"/>
        <v>-11604.32463608824</v>
      </c>
      <c r="L546" s="444">
        <f t="shared" ca="1" si="54"/>
        <v>-2796642.2372972658</v>
      </c>
      <c r="M546" s="460">
        <f t="shared" si="56"/>
        <v>0.05</v>
      </c>
      <c r="N546" s="464">
        <f t="shared" si="57"/>
        <v>67663</v>
      </c>
    </row>
    <row r="547" spans="7:14" ht="11.25" customHeight="1" x14ac:dyDescent="0.25">
      <c r="G547" s="459">
        <f t="shared" si="59"/>
        <v>45</v>
      </c>
      <c r="H547" s="459">
        <v>540</v>
      </c>
      <c r="I547" s="444">
        <f t="shared" ca="1" si="55"/>
        <v>-2796642.2372972658</v>
      </c>
      <c r="J547" s="444">
        <f t="array" ref="J547">IFERROR(INDEX('Retirement Calculator'!K:K,MATCH('Lorri 401b'!N547,'Retirement Calculator'!A:A,0),0),0)</f>
        <v>21655.303514578787</v>
      </c>
      <c r="K547" s="444">
        <f t="shared" ca="1" si="53"/>
        <v>-11742.906420049352</v>
      </c>
      <c r="L547" s="444">
        <f t="shared" ca="1" si="54"/>
        <v>-2830040.4472318939</v>
      </c>
      <c r="M547" s="460">
        <f t="shared" si="56"/>
        <v>0.05</v>
      </c>
      <c r="N547" s="464">
        <f t="shared" si="57"/>
        <v>67693</v>
      </c>
    </row>
    <row r="548" spans="7:14" ht="11.25" customHeight="1" x14ac:dyDescent="0.25">
      <c r="G548" s="459">
        <f>G547+1</f>
        <v>46</v>
      </c>
      <c r="H548" s="459">
        <v>541</v>
      </c>
      <c r="I548" s="444">
        <f t="shared" ca="1" si="55"/>
        <v>-2830040.4472318939</v>
      </c>
      <c r="J548" s="444">
        <f t="array" ref="J548">IFERROR(INDEX('Retirement Calculator'!K:K,MATCH('Lorri 401b'!N548,'Retirement Calculator'!A:A,0),0),0)</f>
        <v>21655.303514578787</v>
      </c>
      <c r="K548" s="444">
        <f t="shared" ca="1" si="53"/>
        <v>-11882.065628110304</v>
      </c>
      <c r="L548" s="444">
        <f t="shared" ca="1" si="54"/>
        <v>-2863577.8163745832</v>
      </c>
      <c r="M548" s="460">
        <f t="shared" si="56"/>
        <v>0.05</v>
      </c>
      <c r="N548" s="464">
        <f t="shared" si="57"/>
        <v>67724</v>
      </c>
    </row>
    <row r="549" spans="7:14" ht="11.25" customHeight="1" x14ac:dyDescent="0.25">
      <c r="G549" s="459">
        <f t="shared" ref="G549:G559" si="60">G548</f>
        <v>46</v>
      </c>
      <c r="H549" s="459">
        <v>542</v>
      </c>
      <c r="I549" s="444">
        <f t="shared" ca="1" si="55"/>
        <v>-2863577.8163745832</v>
      </c>
      <c r="J549" s="444">
        <f t="array" ref="J549">IFERROR(INDEX('Retirement Calculator'!K:K,MATCH('Lorri 401b'!N549,'Retirement Calculator'!A:A,0),0),0)</f>
        <v>21655.303514578787</v>
      </c>
      <c r="K549" s="444">
        <f t="shared" ca="1" si="53"/>
        <v>-12021.804666204842</v>
      </c>
      <c r="L549" s="444">
        <f t="shared" ca="1" si="54"/>
        <v>-2897254.9245553669</v>
      </c>
      <c r="M549" s="460">
        <f t="shared" si="56"/>
        <v>0.05</v>
      </c>
      <c r="N549" s="464">
        <f t="shared" si="57"/>
        <v>67754</v>
      </c>
    </row>
    <row r="550" spans="7:14" ht="11.25" customHeight="1" x14ac:dyDescent="0.25">
      <c r="G550" s="459">
        <f t="shared" si="60"/>
        <v>46</v>
      </c>
      <c r="H550" s="459">
        <v>543</v>
      </c>
      <c r="I550" s="444">
        <f t="shared" ca="1" si="55"/>
        <v>-2897254.9245553669</v>
      </c>
      <c r="J550" s="444">
        <f t="array" ref="J550">IFERROR(INDEX('Retirement Calculator'!K:K,MATCH('Lorri 401b'!N550,'Retirement Calculator'!A:A,0),0),0)</f>
        <v>21655.303514578787</v>
      </c>
      <c r="K550" s="444">
        <f t="shared" ca="1" si="53"/>
        <v>-12162.12595029144</v>
      </c>
      <c r="L550" s="444">
        <f t="shared" ca="1" si="54"/>
        <v>-2931072.354020237</v>
      </c>
      <c r="M550" s="460">
        <f t="shared" si="56"/>
        <v>0.05</v>
      </c>
      <c r="N550" s="464">
        <f t="shared" si="57"/>
        <v>67785</v>
      </c>
    </row>
    <row r="551" spans="7:14" ht="11.25" customHeight="1" x14ac:dyDescent="0.25">
      <c r="G551" s="459">
        <f t="shared" si="60"/>
        <v>46</v>
      </c>
      <c r="H551" s="459">
        <v>544</v>
      </c>
      <c r="I551" s="444">
        <f t="shared" ca="1" si="55"/>
        <v>-2931072.354020237</v>
      </c>
      <c r="J551" s="444">
        <f t="array" ref="J551">IFERROR(INDEX('Retirement Calculator'!K:K,MATCH('Lorri 401b'!N551,'Retirement Calculator'!A:A,0),0),0)</f>
        <v>21655.303514578787</v>
      </c>
      <c r="K551" s="444">
        <f t="shared" ca="1" si="53"/>
        <v>-12303.031906395066</v>
      </c>
      <c r="L551" s="444">
        <f t="shared" ca="1" si="54"/>
        <v>-2965030.6894412111</v>
      </c>
      <c r="M551" s="460">
        <f t="shared" si="56"/>
        <v>0.05</v>
      </c>
      <c r="N551" s="464">
        <f t="shared" si="57"/>
        <v>67816</v>
      </c>
    </row>
    <row r="552" spans="7:14" ht="11.25" customHeight="1" x14ac:dyDescent="0.25">
      <c r="G552" s="459">
        <f t="shared" si="60"/>
        <v>46</v>
      </c>
      <c r="H552" s="459">
        <v>545</v>
      </c>
      <c r="I552" s="444">
        <f t="shared" ca="1" si="55"/>
        <v>-2965030.6894412111</v>
      </c>
      <c r="J552" s="444">
        <f t="array" ref="J552">IFERROR(INDEX('Retirement Calculator'!K:K,MATCH('Lorri 401b'!N552,'Retirement Calculator'!A:A,0),0),0)</f>
        <v>21655.303514578787</v>
      </c>
      <c r="K552" s="444">
        <f t="shared" ca="1" si="53"/>
        <v>-12444.524970649125</v>
      </c>
      <c r="L552" s="444">
        <f t="shared" ca="1" si="54"/>
        <v>-2999130.5179264392</v>
      </c>
      <c r="M552" s="460">
        <f t="shared" si="56"/>
        <v>0.05</v>
      </c>
      <c r="N552" s="464">
        <f t="shared" si="57"/>
        <v>67846</v>
      </c>
    </row>
    <row r="553" spans="7:14" ht="11.25" customHeight="1" x14ac:dyDescent="0.25">
      <c r="G553" s="459">
        <f t="shared" si="60"/>
        <v>46</v>
      </c>
      <c r="H553" s="459">
        <v>546</v>
      </c>
      <c r="I553" s="444">
        <f t="shared" ca="1" si="55"/>
        <v>-2999130.5179264392</v>
      </c>
      <c r="J553" s="444">
        <f t="array" ref="J553">IFERROR(INDEX('Retirement Calculator'!K:K,MATCH('Lorri 401b'!N553,'Retirement Calculator'!A:A,0),0),0)</f>
        <v>21655.303514578787</v>
      </c>
      <c r="K553" s="444">
        <f t="shared" ca="1" si="53"/>
        <v>-12586.607589337575</v>
      </c>
      <c r="L553" s="444">
        <f t="shared" ca="1" si="54"/>
        <v>-3033372.4290303555</v>
      </c>
      <c r="M553" s="460">
        <f t="shared" si="56"/>
        <v>0.05</v>
      </c>
      <c r="N553" s="464">
        <f t="shared" si="57"/>
        <v>67877</v>
      </c>
    </row>
    <row r="554" spans="7:14" ht="11.25" customHeight="1" x14ac:dyDescent="0.25">
      <c r="G554" s="459">
        <f t="shared" si="60"/>
        <v>46</v>
      </c>
      <c r="H554" s="459">
        <v>547</v>
      </c>
      <c r="I554" s="444">
        <f t="shared" ca="1" si="55"/>
        <v>-3033372.4290303555</v>
      </c>
      <c r="J554" s="444">
        <f t="array" ref="J554">IFERROR(INDEX('Retirement Calculator'!K:K,MATCH('Lorri 401b'!N554,'Retirement Calculator'!A:A,0),0),0)</f>
        <v>21655.303514578787</v>
      </c>
      <c r="K554" s="444">
        <f t="shared" ca="1" si="53"/>
        <v>-12729.282218937227</v>
      </c>
      <c r="L554" s="444">
        <f t="shared" ca="1" si="54"/>
        <v>-3067757.0147638717</v>
      </c>
      <c r="M554" s="460">
        <f t="shared" si="56"/>
        <v>0.05</v>
      </c>
      <c r="N554" s="464">
        <f t="shared" si="57"/>
        <v>67907</v>
      </c>
    </row>
    <row r="555" spans="7:14" ht="11.25" customHeight="1" x14ac:dyDescent="0.25">
      <c r="G555" s="459">
        <f t="shared" si="60"/>
        <v>46</v>
      </c>
      <c r="H555" s="459">
        <v>548</v>
      </c>
      <c r="I555" s="444">
        <f t="shared" ca="1" si="55"/>
        <v>-3067757.0147638717</v>
      </c>
      <c r="J555" s="444">
        <f t="array" ref="J555">IFERROR(INDEX('Retirement Calculator'!K:K,MATCH('Lorri 401b'!N555,'Retirement Calculator'!A:A,0),0),0)</f>
        <v>21655.303514578787</v>
      </c>
      <c r="K555" s="444">
        <f t="shared" ca="1" si="53"/>
        <v>-12872.55132616021</v>
      </c>
      <c r="L555" s="444">
        <f t="shared" ca="1" si="54"/>
        <v>-3102284.8696046108</v>
      </c>
      <c r="M555" s="460">
        <f t="shared" si="56"/>
        <v>0.05</v>
      </c>
      <c r="N555" s="464">
        <f t="shared" si="57"/>
        <v>67938</v>
      </c>
    </row>
    <row r="556" spans="7:14" ht="11.25" customHeight="1" x14ac:dyDescent="0.25">
      <c r="G556" s="459">
        <f t="shared" si="60"/>
        <v>46</v>
      </c>
      <c r="H556" s="459">
        <v>549</v>
      </c>
      <c r="I556" s="444">
        <f t="shared" ca="1" si="55"/>
        <v>-3102284.8696046108</v>
      </c>
      <c r="J556" s="444">
        <f t="array" ref="J556">IFERROR(INDEX('Retirement Calculator'!K:K,MATCH('Lorri 401b'!N556,'Retirement Calculator'!A:A,0),0),0)</f>
        <v>21655.303514578787</v>
      </c>
      <c r="K556" s="444">
        <f t="shared" ca="1" si="53"/>
        <v>-13016.417387996624</v>
      </c>
      <c r="L556" s="444">
        <f t="shared" ca="1" si="54"/>
        <v>-3136956.5905071865</v>
      </c>
      <c r="M556" s="460">
        <f t="shared" si="56"/>
        <v>0.05</v>
      </c>
      <c r="N556" s="464">
        <f t="shared" si="57"/>
        <v>67969</v>
      </c>
    </row>
    <row r="557" spans="7:14" ht="11.25" customHeight="1" x14ac:dyDescent="0.25">
      <c r="G557" s="459">
        <f t="shared" si="60"/>
        <v>46</v>
      </c>
      <c r="H557" s="459">
        <v>550</v>
      </c>
      <c r="I557" s="444">
        <f t="shared" ca="1" si="55"/>
        <v>-3136956.5905071865</v>
      </c>
      <c r="J557" s="444">
        <f t="array" ref="J557">IFERROR(INDEX('Retirement Calculator'!K:K,MATCH('Lorri 401b'!N557,'Retirement Calculator'!A:A,0),0),0)</f>
        <v>21655.303514578787</v>
      </c>
      <c r="K557" s="444">
        <f t="shared" ca="1" si="53"/>
        <v>-13160.882891757356</v>
      </c>
      <c r="L557" s="444">
        <f t="shared" ca="1" si="54"/>
        <v>-3171772.7769135227</v>
      </c>
      <c r="M557" s="460">
        <f t="shared" si="56"/>
        <v>0.05</v>
      </c>
      <c r="N557" s="464">
        <f t="shared" si="57"/>
        <v>67997</v>
      </c>
    </row>
    <row r="558" spans="7:14" ht="11.25" customHeight="1" x14ac:dyDescent="0.25">
      <c r="G558" s="459">
        <f t="shared" si="60"/>
        <v>46</v>
      </c>
      <c r="H558" s="459">
        <v>551</v>
      </c>
      <c r="I558" s="444">
        <f t="shared" ca="1" si="55"/>
        <v>-3171772.7769135227</v>
      </c>
      <c r="J558" s="444">
        <f t="array" ref="J558">IFERROR(INDEX('Retirement Calculator'!K:K,MATCH('Lorri 401b'!N558,'Retirement Calculator'!A:A,0),0),0)</f>
        <v>21655.303514578787</v>
      </c>
      <c r="K558" s="444">
        <f t="shared" ca="1" si="53"/>
        <v>-13305.95033511709</v>
      </c>
      <c r="L558" s="444">
        <f t="shared" ca="1" si="54"/>
        <v>-3206734.0307632186</v>
      </c>
      <c r="M558" s="460">
        <f t="shared" si="56"/>
        <v>0.05</v>
      </c>
      <c r="N558" s="464">
        <f t="shared" si="57"/>
        <v>68028</v>
      </c>
    </row>
    <row r="559" spans="7:14" ht="11.25" customHeight="1" x14ac:dyDescent="0.25">
      <c r="G559" s="459">
        <f t="shared" si="60"/>
        <v>46</v>
      </c>
      <c r="H559" s="459">
        <v>552</v>
      </c>
      <c r="I559" s="444">
        <f t="shared" ca="1" si="55"/>
        <v>-3206734.0307632186</v>
      </c>
      <c r="J559" s="444">
        <f t="array" ref="J559">IFERROR(INDEX('Retirement Calculator'!K:K,MATCH('Lorri 401b'!N559,'Retirement Calculator'!A:A,0),0),0)</f>
        <v>21655.303514578787</v>
      </c>
      <c r="K559" s="444">
        <f t="shared" ca="1" si="53"/>
        <v>-13451.622226157489</v>
      </c>
      <c r="L559" s="444">
        <f t="shared" ca="1" si="54"/>
        <v>-3241840.9565039552</v>
      </c>
      <c r="M559" s="460">
        <f t="shared" si="56"/>
        <v>0.05</v>
      </c>
      <c r="N559" s="464">
        <f t="shared" si="57"/>
        <v>68058</v>
      </c>
    </row>
    <row r="560" spans="7:14" ht="11.25" customHeight="1" x14ac:dyDescent="0.25">
      <c r="G560" s="459">
        <f>G559+1</f>
        <v>47</v>
      </c>
      <c r="H560" s="459">
        <v>553</v>
      </c>
      <c r="I560" s="444">
        <f t="shared" ca="1" si="55"/>
        <v>-3241840.9565039552</v>
      </c>
      <c r="J560" s="444">
        <f t="array" ref="J560">IFERROR(INDEX('Retirement Calculator'!K:K,MATCH('Lorri 401b'!N560,'Retirement Calculator'!A:A,0),0),0)</f>
        <v>21655.303514578787</v>
      </c>
      <c r="K560" s="444">
        <f t="shared" ca="1" si="53"/>
        <v>-13597.901083410557</v>
      </c>
      <c r="L560" s="444">
        <f t="shared" ca="1" si="54"/>
        <v>-3277094.1611019447</v>
      </c>
      <c r="M560" s="460">
        <f t="shared" si="56"/>
        <v>0.05</v>
      </c>
      <c r="N560" s="464">
        <f t="shared" si="57"/>
        <v>68089</v>
      </c>
    </row>
    <row r="561" spans="7:14" ht="11.25" customHeight="1" x14ac:dyDescent="0.25">
      <c r="G561" s="459">
        <f t="shared" ref="G561:G571" si="61">G560</f>
        <v>47</v>
      </c>
      <c r="H561" s="459">
        <v>554</v>
      </c>
      <c r="I561" s="444">
        <f t="shared" ca="1" si="55"/>
        <v>-3277094.1611019447</v>
      </c>
      <c r="J561" s="444">
        <f t="array" ref="J561">IFERROR(INDEX('Retirement Calculator'!K:K,MATCH('Lorri 401b'!N561,'Retirement Calculator'!A:A,0),0),0)</f>
        <v>21655.303514578787</v>
      </c>
      <c r="K561" s="444">
        <f t="shared" ca="1" si="53"/>
        <v>-13744.789435902181</v>
      </c>
      <c r="L561" s="444">
        <f t="shared" ca="1" si="54"/>
        <v>-3312494.2540524257</v>
      </c>
      <c r="M561" s="460">
        <f t="shared" si="56"/>
        <v>0.05</v>
      </c>
      <c r="N561" s="464">
        <f t="shared" si="57"/>
        <v>68119</v>
      </c>
    </row>
    <row r="562" spans="7:14" ht="11.25" customHeight="1" x14ac:dyDescent="0.25">
      <c r="G562" s="459">
        <f t="shared" si="61"/>
        <v>47</v>
      </c>
      <c r="H562" s="459">
        <v>555</v>
      </c>
      <c r="I562" s="444">
        <f t="shared" ca="1" si="55"/>
        <v>-3312494.2540524257</v>
      </c>
      <c r="J562" s="444">
        <f t="array" ref="J562">IFERROR(INDEX('Retirement Calculator'!K:K,MATCH('Lorri 401b'!N562,'Retirement Calculator'!A:A,0),0),0)</f>
        <v>21655.303514578787</v>
      </c>
      <c r="K562" s="444">
        <f t="shared" ca="1" si="53"/>
        <v>-13892.289823195853</v>
      </c>
      <c r="L562" s="444">
        <f t="shared" ca="1" si="54"/>
        <v>-3348041.8473902005</v>
      </c>
      <c r="M562" s="460">
        <f t="shared" si="56"/>
        <v>0.05</v>
      </c>
      <c r="N562" s="464">
        <f t="shared" si="57"/>
        <v>68150</v>
      </c>
    </row>
    <row r="563" spans="7:14" ht="11.25" customHeight="1" x14ac:dyDescent="0.25">
      <c r="G563" s="459">
        <f t="shared" si="61"/>
        <v>47</v>
      </c>
      <c r="H563" s="459">
        <v>556</v>
      </c>
      <c r="I563" s="444">
        <f t="shared" ca="1" si="55"/>
        <v>-3348041.8473902005</v>
      </c>
      <c r="J563" s="444">
        <f t="array" ref="J563">IFERROR(INDEX('Retirement Calculator'!K:K,MATCH('Lorri 401b'!N563,'Retirement Calculator'!A:A,0),0),0)</f>
        <v>21655.303514578787</v>
      </c>
      <c r="K563" s="444">
        <f t="shared" ca="1" si="53"/>
        <v>-14040.40479543658</v>
      </c>
      <c r="L563" s="444">
        <f t="shared" ca="1" si="54"/>
        <v>-3383737.555700216</v>
      </c>
      <c r="M563" s="460">
        <f t="shared" si="56"/>
        <v>0.05</v>
      </c>
      <c r="N563" s="464">
        <f t="shared" si="57"/>
        <v>68181</v>
      </c>
    </row>
    <row r="564" spans="7:14" ht="11.25" customHeight="1" x14ac:dyDescent="0.25">
      <c r="G564" s="459">
        <f t="shared" si="61"/>
        <v>47</v>
      </c>
      <c r="H564" s="459">
        <v>557</v>
      </c>
      <c r="I564" s="444">
        <f t="shared" ca="1" si="55"/>
        <v>-3383737.555700216</v>
      </c>
      <c r="J564" s="444">
        <f t="array" ref="J564">IFERROR(INDEX('Retirement Calculator'!K:K,MATCH('Lorri 401b'!N564,'Retirement Calculator'!A:A,0),0),0)</f>
        <v>21655.303514578787</v>
      </c>
      <c r="K564" s="444">
        <f t="shared" ca="1" si="53"/>
        <v>-14189.136913394979</v>
      </c>
      <c r="L564" s="444">
        <f t="shared" ca="1" si="54"/>
        <v>-3419581.9961281898</v>
      </c>
      <c r="M564" s="460">
        <f t="shared" si="56"/>
        <v>0.05</v>
      </c>
      <c r="N564" s="464">
        <f t="shared" si="57"/>
        <v>68211</v>
      </c>
    </row>
    <row r="565" spans="7:14" ht="11.25" customHeight="1" x14ac:dyDescent="0.25">
      <c r="G565" s="459">
        <f t="shared" si="61"/>
        <v>47</v>
      </c>
      <c r="H565" s="459">
        <v>558</v>
      </c>
      <c r="I565" s="444">
        <f t="shared" ca="1" si="55"/>
        <v>-3419581.9961281898</v>
      </c>
      <c r="J565" s="444">
        <f t="array" ref="J565">IFERROR(INDEX('Retirement Calculator'!K:K,MATCH('Lorri 401b'!N565,'Retirement Calculator'!A:A,0),0),0)</f>
        <v>21655.303514578787</v>
      </c>
      <c r="K565" s="444">
        <f t="shared" ca="1" si="53"/>
        <v>-14338.488748511538</v>
      </c>
      <c r="L565" s="444">
        <f t="shared" ca="1" si="54"/>
        <v>-3455575.7883912805</v>
      </c>
      <c r="M565" s="460">
        <f t="shared" si="56"/>
        <v>0.05</v>
      </c>
      <c r="N565" s="464">
        <f t="shared" si="57"/>
        <v>68242</v>
      </c>
    </row>
    <row r="566" spans="7:14" ht="11.25" customHeight="1" x14ac:dyDescent="0.25">
      <c r="G566" s="459">
        <f t="shared" si="61"/>
        <v>47</v>
      </c>
      <c r="H566" s="459">
        <v>559</v>
      </c>
      <c r="I566" s="444">
        <f t="shared" ca="1" si="55"/>
        <v>-3455575.7883912805</v>
      </c>
      <c r="J566" s="444">
        <f t="array" ref="J566">IFERROR(INDEX('Retirement Calculator'!K:K,MATCH('Lorri 401b'!N566,'Retirement Calculator'!A:A,0),0),0)</f>
        <v>21655.303514578787</v>
      </c>
      <c r="K566" s="444">
        <f t="shared" ca="1" si="53"/>
        <v>-14488.462882941079</v>
      </c>
      <c r="L566" s="444">
        <f t="shared" ca="1" si="54"/>
        <v>-3491719.5547888004</v>
      </c>
      <c r="M566" s="460">
        <f t="shared" si="56"/>
        <v>0.05</v>
      </c>
      <c r="N566" s="464">
        <f t="shared" si="57"/>
        <v>68272</v>
      </c>
    </row>
    <row r="567" spans="7:14" ht="11.25" customHeight="1" x14ac:dyDescent="0.25">
      <c r="G567" s="459">
        <f t="shared" si="61"/>
        <v>47</v>
      </c>
      <c r="H567" s="459">
        <v>560</v>
      </c>
      <c r="I567" s="444">
        <f t="shared" ca="1" si="55"/>
        <v>-3491719.5547888004</v>
      </c>
      <c r="J567" s="444">
        <f t="array" ref="J567">IFERROR(INDEX('Retirement Calculator'!K:K,MATCH('Lorri 401b'!N567,'Retirement Calculator'!A:A,0),0),0)</f>
        <v>21655.303514578787</v>
      </c>
      <c r="K567" s="444">
        <f t="shared" ca="1" si="53"/>
        <v>-14639.061909597413</v>
      </c>
      <c r="L567" s="444">
        <f t="shared" ca="1" si="54"/>
        <v>-3528013.9202129766</v>
      </c>
      <c r="M567" s="460">
        <f t="shared" si="56"/>
        <v>0.05</v>
      </c>
      <c r="N567" s="464">
        <f t="shared" si="57"/>
        <v>68303</v>
      </c>
    </row>
    <row r="568" spans="7:14" ht="11.25" customHeight="1" x14ac:dyDescent="0.25">
      <c r="G568" s="459">
        <f t="shared" si="61"/>
        <v>47</v>
      </c>
      <c r="H568" s="459">
        <v>561</v>
      </c>
      <c r="I568" s="444">
        <f t="shared" ca="1" si="55"/>
        <v>-3528013.9202129766</v>
      </c>
      <c r="J568" s="444">
        <f t="array" ref="J568">IFERROR(INDEX('Retirement Calculator'!K:K,MATCH('Lorri 401b'!N568,'Retirement Calculator'!A:A,0),0),0)</f>
        <v>21655.303514578787</v>
      </c>
      <c r="K568" s="444">
        <f t="shared" ca="1" si="53"/>
        <v>-14790.288432198147</v>
      </c>
      <c r="L568" s="444">
        <f t="shared" ca="1" si="54"/>
        <v>-3564459.5121597536</v>
      </c>
      <c r="M568" s="460">
        <f t="shared" si="56"/>
        <v>0.05</v>
      </c>
      <c r="N568" s="464">
        <f t="shared" si="57"/>
        <v>68334</v>
      </c>
    </row>
    <row r="569" spans="7:14" ht="11.25" customHeight="1" x14ac:dyDescent="0.25">
      <c r="G569" s="459">
        <f t="shared" si="61"/>
        <v>47</v>
      </c>
      <c r="H569" s="459">
        <v>562</v>
      </c>
      <c r="I569" s="444">
        <f t="shared" ca="1" si="55"/>
        <v>-3564459.5121597536</v>
      </c>
      <c r="J569" s="444">
        <f t="array" ref="J569">IFERROR(INDEX('Retirement Calculator'!K:K,MATCH('Lorri 401b'!N569,'Retirement Calculator'!A:A,0),0),0)</f>
        <v>21655.303514578787</v>
      </c>
      <c r="K569" s="444">
        <f t="shared" ca="1" si="53"/>
        <v>-14942.145065309718</v>
      </c>
      <c r="L569" s="444">
        <f t="shared" ca="1" si="54"/>
        <v>-3601056.9607396424</v>
      </c>
      <c r="M569" s="460">
        <f t="shared" si="56"/>
        <v>0.05</v>
      </c>
      <c r="N569" s="464">
        <f t="shared" si="57"/>
        <v>68362</v>
      </c>
    </row>
    <row r="570" spans="7:14" ht="11.25" customHeight="1" x14ac:dyDescent="0.25">
      <c r="G570" s="459">
        <f t="shared" si="61"/>
        <v>47</v>
      </c>
      <c r="H570" s="459">
        <v>563</v>
      </c>
      <c r="I570" s="444">
        <f t="shared" ca="1" si="55"/>
        <v>-3601056.9607396424</v>
      </c>
      <c r="J570" s="444">
        <f t="array" ref="J570">IFERROR(INDEX('Retirement Calculator'!K:K,MATCH('Lorri 401b'!N570,'Retirement Calculator'!A:A,0),0),0)</f>
        <v>21655.303514578787</v>
      </c>
      <c r="K570" s="444">
        <f t="shared" ca="1" si="53"/>
        <v>-15094.63443439259</v>
      </c>
      <c r="L570" s="444">
        <f t="shared" ca="1" si="54"/>
        <v>-3637806.8986886139</v>
      </c>
      <c r="M570" s="460">
        <f t="shared" si="56"/>
        <v>0.05</v>
      </c>
      <c r="N570" s="464">
        <f t="shared" si="57"/>
        <v>68393</v>
      </c>
    </row>
    <row r="571" spans="7:14" ht="11.25" customHeight="1" x14ac:dyDescent="0.25">
      <c r="G571" s="459">
        <f t="shared" si="61"/>
        <v>47</v>
      </c>
      <c r="H571" s="459">
        <v>564</v>
      </c>
      <c r="I571" s="444">
        <f t="shared" ca="1" si="55"/>
        <v>-3637806.8986886139</v>
      </c>
      <c r="J571" s="444">
        <f t="array" ref="J571">IFERROR(INDEX('Retirement Calculator'!K:K,MATCH('Lorri 401b'!N571,'Retirement Calculator'!A:A,0),0),0)</f>
        <v>21655.303514578787</v>
      </c>
      <c r="K571" s="444">
        <f t="shared" ca="1" si="53"/>
        <v>-15247.759175846637</v>
      </c>
      <c r="L571" s="444">
        <f t="shared" ca="1" si="54"/>
        <v>-3674709.9613790396</v>
      </c>
      <c r="M571" s="460">
        <f t="shared" si="56"/>
        <v>0.05</v>
      </c>
      <c r="N571" s="464">
        <f t="shared" si="57"/>
        <v>68423</v>
      </c>
    </row>
    <row r="572" spans="7:14" ht="11.25" customHeight="1" x14ac:dyDescent="0.25">
      <c r="G572" s="459">
        <f>G571+1</f>
        <v>48</v>
      </c>
      <c r="H572" s="459">
        <v>565</v>
      </c>
      <c r="I572" s="444">
        <f t="shared" ca="1" si="55"/>
        <v>-3674709.9613790396</v>
      </c>
      <c r="J572" s="444">
        <f t="array" ref="J572">IFERROR(INDEX('Retirement Calculator'!K:K,MATCH('Lorri 401b'!N572,'Retirement Calculator'!A:A,0),0),0)</f>
        <v>21655.303514578787</v>
      </c>
      <c r="K572" s="444">
        <f t="shared" ca="1" si="53"/>
        <v>-15401.521937056743</v>
      </c>
      <c r="L572" s="444">
        <f t="shared" ca="1" si="54"/>
        <v>-3711766.7868306753</v>
      </c>
      <c r="M572" s="460">
        <f t="shared" si="56"/>
        <v>0.05</v>
      </c>
      <c r="N572" s="464">
        <f t="shared" si="57"/>
        <v>68454</v>
      </c>
    </row>
    <row r="573" spans="7:14" ht="11.25" customHeight="1" x14ac:dyDescent="0.25">
      <c r="G573" s="459">
        <f t="shared" ref="G573:G583" si="62">G572</f>
        <v>48</v>
      </c>
      <c r="H573" s="459">
        <v>566</v>
      </c>
      <c r="I573" s="444">
        <f t="shared" ca="1" si="55"/>
        <v>-3711766.7868306753</v>
      </c>
      <c r="J573" s="444">
        <f t="array" ref="J573">IFERROR(INDEX('Retirement Calculator'!K:K,MATCH('Lorri 401b'!N573,'Retirement Calculator'!A:A,0),0),0)</f>
        <v>21655.303514578787</v>
      </c>
      <c r="K573" s="444">
        <f t="shared" ca="1" si="53"/>
        <v>-15555.925376438558</v>
      </c>
      <c r="L573" s="444">
        <f t="shared" ca="1" si="54"/>
        <v>-3748978.0157216927</v>
      </c>
      <c r="M573" s="460">
        <f t="shared" si="56"/>
        <v>0.05</v>
      </c>
      <c r="N573" s="464">
        <f t="shared" si="57"/>
        <v>68484</v>
      </c>
    </row>
    <row r="574" spans="7:14" ht="11.25" customHeight="1" x14ac:dyDescent="0.25">
      <c r="G574" s="459">
        <f t="shared" si="62"/>
        <v>48</v>
      </c>
      <c r="H574" s="459">
        <v>567</v>
      </c>
      <c r="I574" s="444">
        <f t="shared" ca="1" si="55"/>
        <v>-3748978.0157216927</v>
      </c>
      <c r="J574" s="444">
        <f t="array" ref="J574">IFERROR(INDEX('Retirement Calculator'!K:K,MATCH('Lorri 401b'!N574,'Retirement Calculator'!A:A,0),0),0)</f>
        <v>21655.303514578787</v>
      </c>
      <c r="K574" s="444">
        <f t="shared" ca="1" si="53"/>
        <v>-15710.972163484465</v>
      </c>
      <c r="L574" s="444">
        <f t="shared" ca="1" si="54"/>
        <v>-3786344.291399756</v>
      </c>
      <c r="M574" s="460">
        <f t="shared" si="56"/>
        <v>0.05</v>
      </c>
      <c r="N574" s="464">
        <f t="shared" si="57"/>
        <v>68515</v>
      </c>
    </row>
    <row r="575" spans="7:14" ht="11.25" customHeight="1" x14ac:dyDescent="0.25">
      <c r="G575" s="459">
        <f t="shared" si="62"/>
        <v>48</v>
      </c>
      <c r="H575" s="459">
        <v>568</v>
      </c>
      <c r="I575" s="444">
        <f t="shared" ca="1" si="55"/>
        <v>-3786344.291399756</v>
      </c>
      <c r="J575" s="444">
        <f t="array" ref="J575">IFERROR(INDEX('Retirement Calculator'!K:K,MATCH('Lorri 401b'!N575,'Retirement Calculator'!A:A,0),0),0)</f>
        <v>21655.303514578787</v>
      </c>
      <c r="K575" s="444">
        <f t="shared" ca="1" si="53"/>
        <v>-15866.664978809727</v>
      </c>
      <c r="L575" s="444">
        <f t="shared" ca="1" si="54"/>
        <v>-3823866.2598931445</v>
      </c>
      <c r="M575" s="460">
        <f t="shared" si="56"/>
        <v>0.05</v>
      </c>
      <c r="N575" s="464">
        <f t="shared" si="57"/>
        <v>68546</v>
      </c>
    </row>
    <row r="576" spans="7:14" ht="11.25" customHeight="1" x14ac:dyDescent="0.25">
      <c r="G576" s="459">
        <f t="shared" si="62"/>
        <v>48</v>
      </c>
      <c r="H576" s="459">
        <v>569</v>
      </c>
      <c r="I576" s="444">
        <f t="shared" ca="1" si="55"/>
        <v>-3823866.2598931445</v>
      </c>
      <c r="J576" s="444">
        <f t="array" ref="J576">IFERROR(INDEX('Retirement Calculator'!K:K,MATCH('Lorri 401b'!N576,'Retirement Calculator'!A:A,0),0),0)</f>
        <v>21655.303514578787</v>
      </c>
      <c r="K576" s="444">
        <f t="shared" ca="1" si="53"/>
        <v>-16023.006514198845</v>
      </c>
      <c r="L576" s="444">
        <f t="shared" ca="1" si="54"/>
        <v>-3861544.5699219219</v>
      </c>
      <c r="M576" s="460">
        <f t="shared" si="56"/>
        <v>0.05</v>
      </c>
      <c r="N576" s="464">
        <f t="shared" si="57"/>
        <v>68576</v>
      </c>
    </row>
    <row r="577" spans="7:14" ht="11.25" customHeight="1" x14ac:dyDescent="0.25">
      <c r="G577" s="459">
        <f t="shared" si="62"/>
        <v>48</v>
      </c>
      <c r="H577" s="459">
        <v>570</v>
      </c>
      <c r="I577" s="444">
        <f t="shared" ca="1" si="55"/>
        <v>-3861544.5699219219</v>
      </c>
      <c r="J577" s="444">
        <f t="array" ref="J577">IFERROR(INDEX('Retirement Calculator'!K:K,MATCH('Lorri 401b'!N577,'Retirement Calculator'!A:A,0),0),0)</f>
        <v>21655.303514578787</v>
      </c>
      <c r="K577" s="444">
        <f t="shared" ca="1" si="53"/>
        <v>-16179.999472652087</v>
      </c>
      <c r="L577" s="444">
        <f t="shared" ca="1" si="54"/>
        <v>-3899379.8729091529</v>
      </c>
      <c r="M577" s="460">
        <f t="shared" si="56"/>
        <v>0.05</v>
      </c>
      <c r="N577" s="464">
        <f t="shared" si="57"/>
        <v>68607</v>
      </c>
    </row>
    <row r="578" spans="7:14" ht="11.25" customHeight="1" x14ac:dyDescent="0.25">
      <c r="G578" s="459">
        <f t="shared" si="62"/>
        <v>48</v>
      </c>
      <c r="H578" s="459">
        <v>571</v>
      </c>
      <c r="I578" s="444">
        <f t="shared" ca="1" si="55"/>
        <v>-3899379.8729091529</v>
      </c>
      <c r="J578" s="444">
        <f t="array" ref="J578">IFERROR(INDEX('Retirement Calculator'!K:K,MATCH('Lorri 401b'!N578,'Retirement Calculator'!A:A,0),0),0)</f>
        <v>21655.303514578787</v>
      </c>
      <c r="K578" s="444">
        <f t="shared" ca="1" si="53"/>
        <v>-16337.646568432216</v>
      </c>
      <c r="L578" s="444">
        <f t="shared" ca="1" si="54"/>
        <v>-3937372.8229921637</v>
      </c>
      <c r="M578" s="460">
        <f t="shared" si="56"/>
        <v>0.05</v>
      </c>
      <c r="N578" s="464">
        <f t="shared" si="57"/>
        <v>68637</v>
      </c>
    </row>
    <row r="579" spans="7:14" ht="11.25" customHeight="1" x14ac:dyDescent="0.25">
      <c r="G579" s="459">
        <f t="shared" si="62"/>
        <v>48</v>
      </c>
      <c r="H579" s="459">
        <v>572</v>
      </c>
      <c r="I579" s="444">
        <f t="shared" ca="1" si="55"/>
        <v>-3937372.8229921637</v>
      </c>
      <c r="J579" s="444">
        <f t="array" ref="J579">IFERROR(INDEX('Retirement Calculator'!K:K,MATCH('Lorri 401b'!N579,'Retirement Calculator'!A:A,0),0),0)</f>
        <v>21655.303514578787</v>
      </c>
      <c r="K579" s="444">
        <f t="shared" ca="1" si="53"/>
        <v>-16495.950527111429</v>
      </c>
      <c r="L579" s="444">
        <f t="shared" ca="1" si="54"/>
        <v>-3975524.0770338541</v>
      </c>
      <c r="M579" s="460">
        <f t="shared" si="56"/>
        <v>0.05</v>
      </c>
      <c r="N579" s="464">
        <f t="shared" si="57"/>
        <v>68668</v>
      </c>
    </row>
    <row r="580" spans="7:14" ht="11.25" customHeight="1" x14ac:dyDescent="0.25">
      <c r="G580" s="459">
        <f t="shared" si="62"/>
        <v>48</v>
      </c>
      <c r="H580" s="459">
        <v>573</v>
      </c>
      <c r="I580" s="444">
        <f t="shared" ca="1" si="55"/>
        <v>-3975524.0770338541</v>
      </c>
      <c r="J580" s="444">
        <f t="array" ref="J580">IFERROR(INDEX('Retirement Calculator'!K:K,MATCH('Lorri 401b'!N580,'Retirement Calculator'!A:A,0),0),0)</f>
        <v>21655.303514578787</v>
      </c>
      <c r="K580" s="444">
        <f t="shared" ca="1" si="53"/>
        <v>-16654.914085618471</v>
      </c>
      <c r="L580" s="444">
        <f t="shared" ca="1" si="54"/>
        <v>-4013834.2946340516</v>
      </c>
      <c r="M580" s="460">
        <f t="shared" si="56"/>
        <v>0.05</v>
      </c>
      <c r="N580" s="464">
        <f t="shared" si="57"/>
        <v>68699</v>
      </c>
    </row>
    <row r="581" spans="7:14" ht="11.25" customHeight="1" x14ac:dyDescent="0.25">
      <c r="G581" s="459">
        <f t="shared" si="62"/>
        <v>48</v>
      </c>
      <c r="H581" s="459">
        <v>574</v>
      </c>
      <c r="I581" s="444">
        <f t="shared" ca="1" si="55"/>
        <v>-4013834.2946340516</v>
      </c>
      <c r="J581" s="444">
        <f t="array" ref="J581">IFERROR(INDEX('Retirement Calculator'!K:K,MATCH('Lorri 401b'!N581,'Retirement Calculator'!A:A,0),0),0)</f>
        <v>21655.303514578787</v>
      </c>
      <c r="K581" s="444">
        <f t="shared" ca="1" si="53"/>
        <v>-16814.539992285961</v>
      </c>
      <c r="L581" s="444">
        <f t="shared" ca="1" si="54"/>
        <v>-4052304.1381409164</v>
      </c>
      <c r="M581" s="460">
        <f t="shared" si="56"/>
        <v>0.05</v>
      </c>
      <c r="N581" s="464">
        <f t="shared" si="57"/>
        <v>68728</v>
      </c>
    </row>
    <row r="582" spans="7:14" ht="11.25" customHeight="1" x14ac:dyDescent="0.25">
      <c r="G582" s="459">
        <f t="shared" si="62"/>
        <v>48</v>
      </c>
      <c r="H582" s="459">
        <v>575</v>
      </c>
      <c r="I582" s="444">
        <f t="shared" ca="1" si="55"/>
        <v>-4052304.1381409164</v>
      </c>
      <c r="J582" s="444">
        <f t="array" ref="J582">IFERROR(INDEX('Retirement Calculator'!K:K,MATCH('Lorri 401b'!N582,'Retirement Calculator'!A:A,0),0),0)</f>
        <v>21655.303514578787</v>
      </c>
      <c r="K582" s="444">
        <f t="shared" ca="1" si="53"/>
        <v>-16974.831006897897</v>
      </c>
      <c r="L582" s="444">
        <f t="shared" ca="1" si="54"/>
        <v>-4090934.2726623933</v>
      </c>
      <c r="M582" s="460">
        <f t="shared" si="56"/>
        <v>0.05</v>
      </c>
      <c r="N582" s="464">
        <f t="shared" si="57"/>
        <v>68759</v>
      </c>
    </row>
    <row r="583" spans="7:14" ht="11.25" customHeight="1" x14ac:dyDescent="0.25">
      <c r="G583" s="459">
        <f t="shared" si="62"/>
        <v>48</v>
      </c>
      <c r="H583" s="459">
        <v>576</v>
      </c>
      <c r="I583" s="444">
        <f t="shared" ca="1" si="55"/>
        <v>-4090934.2726623933</v>
      </c>
      <c r="J583" s="444">
        <f t="array" ref="J583">IFERROR(INDEX('Retirement Calculator'!K:K,MATCH('Lorri 401b'!N583,'Retirement Calculator'!A:A,0),0),0)</f>
        <v>21655.303514578787</v>
      </c>
      <c r="K583" s="444">
        <f t="shared" ca="1" si="53"/>
        <v>-17135.789900737385</v>
      </c>
      <c r="L583" s="444">
        <f t="shared" ca="1" si="54"/>
        <v>-4129725.3660777095</v>
      </c>
      <c r="M583" s="460">
        <f t="shared" si="56"/>
        <v>0.05</v>
      </c>
      <c r="N583" s="464">
        <f t="shared" si="57"/>
        <v>68789</v>
      </c>
    </row>
    <row r="584" spans="7:14" ht="11.25" customHeight="1" x14ac:dyDescent="0.25">
      <c r="G584" s="459">
        <f>G583+1</f>
        <v>49</v>
      </c>
      <c r="H584" s="459">
        <v>577</v>
      </c>
      <c r="I584" s="444">
        <f t="shared" ca="1" si="55"/>
        <v>-4129725.3660777095</v>
      </c>
      <c r="J584" s="444">
        <f t="array" ref="J584">IFERROR(INDEX('Retirement Calculator'!K:K,MATCH('Lorri 401b'!N584,'Retirement Calculator'!A:A,0),0),0)</f>
        <v>21655.303514578787</v>
      </c>
      <c r="K584" s="444">
        <f t="shared" ca="1" si="53"/>
        <v>-17297.419456634536</v>
      </c>
      <c r="L584" s="444">
        <f t="shared" ca="1" si="54"/>
        <v>-4168678.089048923</v>
      </c>
      <c r="M584" s="460">
        <f t="shared" si="56"/>
        <v>0.05</v>
      </c>
      <c r="N584" s="464">
        <f t="shared" si="57"/>
        <v>68820</v>
      </c>
    </row>
    <row r="585" spans="7:14" ht="11.25" customHeight="1" x14ac:dyDescent="0.25">
      <c r="G585" s="459">
        <f t="shared" ref="G585:G595" si="63">G584</f>
        <v>49</v>
      </c>
      <c r="H585" s="459">
        <v>578</v>
      </c>
      <c r="I585" s="444">
        <f t="shared" ca="1" si="55"/>
        <v>-4168678.089048923</v>
      </c>
      <c r="J585" s="444">
        <f t="array" ref="J585">IFERROR(INDEX('Retirement Calculator'!K:K,MATCH('Lorri 401b'!N585,'Retirement Calculator'!A:A,0),0),0)</f>
        <v>21655.303514578787</v>
      </c>
      <c r="K585" s="444">
        <f t="shared" ca="1" si="53"/>
        <v>-17459.722469014592</v>
      </c>
      <c r="L585" s="444">
        <f t="shared" ca="1" si="54"/>
        <v>-4207793.1150325164</v>
      </c>
      <c r="M585" s="460">
        <f t="shared" si="56"/>
        <v>0.05</v>
      </c>
      <c r="N585" s="464">
        <f t="shared" si="57"/>
        <v>68850</v>
      </c>
    </row>
    <row r="586" spans="7:14" ht="11.25" customHeight="1" x14ac:dyDescent="0.25">
      <c r="G586" s="459">
        <f t="shared" si="63"/>
        <v>49</v>
      </c>
      <c r="H586" s="459">
        <v>579</v>
      </c>
      <c r="I586" s="444">
        <f t="shared" ca="1" si="55"/>
        <v>-4207793.1150325164</v>
      </c>
      <c r="J586" s="444">
        <f t="array" ref="J586">IFERROR(INDEX('Retirement Calculator'!K:K,MATCH('Lorri 401b'!N586,'Retirement Calculator'!A:A,0),0),0)</f>
        <v>21655.303514578787</v>
      </c>
      <c r="K586" s="444">
        <f t="shared" ca="1" si="53"/>
        <v>-17622.701743946229</v>
      </c>
      <c r="L586" s="444">
        <f t="shared" ca="1" si="54"/>
        <v>-4247071.1202910412</v>
      </c>
      <c r="M586" s="460">
        <f t="shared" si="56"/>
        <v>0.05</v>
      </c>
      <c r="N586" s="464">
        <f t="shared" si="57"/>
        <v>68881</v>
      </c>
    </row>
    <row r="587" spans="7:14" ht="11.25" customHeight="1" x14ac:dyDescent="0.25">
      <c r="G587" s="459">
        <f t="shared" si="63"/>
        <v>49</v>
      </c>
      <c r="H587" s="459">
        <v>580</v>
      </c>
      <c r="I587" s="444">
        <f t="shared" ca="1" si="55"/>
        <v>-4247071.1202910412</v>
      </c>
      <c r="J587" s="444">
        <f t="array" ref="J587">IFERROR(INDEX('Retirement Calculator'!K:K,MATCH('Lorri 401b'!N587,'Retirement Calculator'!A:A,0),0),0)</f>
        <v>21655.303514578787</v>
      </c>
      <c r="K587" s="444">
        <f t="shared" ca="1" si="53"/>
        <v>-17786.360099190082</v>
      </c>
      <c r="L587" s="444">
        <f t="shared" ca="1" si="54"/>
        <v>-4286512.7839048095</v>
      </c>
      <c r="M587" s="460">
        <f t="shared" si="56"/>
        <v>0.05</v>
      </c>
      <c r="N587" s="464">
        <f t="shared" si="57"/>
        <v>68912</v>
      </c>
    </row>
    <row r="588" spans="7:14" ht="11.25" customHeight="1" x14ac:dyDescent="0.25">
      <c r="G588" s="459">
        <f t="shared" si="63"/>
        <v>49</v>
      </c>
      <c r="H588" s="459">
        <v>581</v>
      </c>
      <c r="I588" s="444">
        <f t="shared" ca="1" si="55"/>
        <v>-4286512.7839048095</v>
      </c>
      <c r="J588" s="444">
        <f t="array" ref="J588">IFERROR(INDEX('Retirement Calculator'!K:K,MATCH('Lorri 401b'!N588,'Retirement Calculator'!A:A,0),0),0)</f>
        <v>21655.303514578787</v>
      </c>
      <c r="K588" s="444">
        <f t="shared" ca="1" si="53"/>
        <v>-17950.700364247448</v>
      </c>
      <c r="L588" s="444">
        <f t="shared" ca="1" si="54"/>
        <v>-4326118.7877836358</v>
      </c>
      <c r="M588" s="460">
        <f t="shared" si="56"/>
        <v>0.05</v>
      </c>
      <c r="N588" s="464">
        <f t="shared" si="57"/>
        <v>68942</v>
      </c>
    </row>
    <row r="589" spans="7:14" ht="11.25" customHeight="1" x14ac:dyDescent="0.25">
      <c r="G589" s="459">
        <f t="shared" si="63"/>
        <v>49</v>
      </c>
      <c r="H589" s="459">
        <v>582</v>
      </c>
      <c r="I589" s="444">
        <f t="shared" ca="1" si="55"/>
        <v>-4326118.7877836358</v>
      </c>
      <c r="J589" s="444">
        <f t="array" ref="J589">IFERROR(INDEX('Retirement Calculator'!K:K,MATCH('Lorri 401b'!N589,'Retirement Calculator'!A:A,0),0),0)</f>
        <v>21655.303514578787</v>
      </c>
      <c r="K589" s="444">
        <f t="shared" ca="1" si="53"/>
        <v>-18115.725380409225</v>
      </c>
      <c r="L589" s="444">
        <f t="shared" ca="1" si="54"/>
        <v>-4365889.8166786237</v>
      </c>
      <c r="M589" s="460">
        <f t="shared" si="56"/>
        <v>0.05</v>
      </c>
      <c r="N589" s="464">
        <f t="shared" si="57"/>
        <v>68973</v>
      </c>
    </row>
    <row r="590" spans="7:14" ht="11.25" customHeight="1" x14ac:dyDescent="0.25">
      <c r="G590" s="459">
        <f t="shared" si="63"/>
        <v>49</v>
      </c>
      <c r="H590" s="459">
        <v>583</v>
      </c>
      <c r="I590" s="444">
        <f t="shared" ca="1" si="55"/>
        <v>-4365889.8166786237</v>
      </c>
      <c r="J590" s="444">
        <f t="array" ref="J590">IFERROR(INDEX('Retirement Calculator'!K:K,MATCH('Lorri 401b'!N590,'Retirement Calculator'!A:A,0),0),0)</f>
        <v>21655.303514578787</v>
      </c>
      <c r="K590" s="444">
        <f t="shared" ca="1" si="53"/>
        <v>-18281.438000805007</v>
      </c>
      <c r="L590" s="444">
        <f t="shared" ca="1" si="54"/>
        <v>-4405826.5581940068</v>
      </c>
      <c r="M590" s="460">
        <f t="shared" si="56"/>
        <v>0.05</v>
      </c>
      <c r="N590" s="464">
        <f t="shared" si="57"/>
        <v>69003</v>
      </c>
    </row>
    <row r="591" spans="7:14" ht="11.25" customHeight="1" x14ac:dyDescent="0.25">
      <c r="G591" s="459">
        <f t="shared" si="63"/>
        <v>49</v>
      </c>
      <c r="H591" s="459">
        <v>584</v>
      </c>
      <c r="I591" s="444">
        <f t="shared" ca="1" si="55"/>
        <v>-4405826.5581940068</v>
      </c>
      <c r="J591" s="444">
        <f t="array" ref="J591">IFERROR(INDEX('Retirement Calculator'!K:K,MATCH('Lorri 401b'!N591,'Retirement Calculator'!A:A,0),0),0)</f>
        <v>21655.303514578787</v>
      </c>
      <c r="K591" s="444">
        <f t="shared" ca="1" si="53"/>
        <v>-18447.841090452439</v>
      </c>
      <c r="L591" s="444">
        <f t="shared" ca="1" si="54"/>
        <v>-4445929.702799038</v>
      </c>
      <c r="M591" s="460">
        <f t="shared" si="56"/>
        <v>0.05</v>
      </c>
      <c r="N591" s="464">
        <f t="shared" si="57"/>
        <v>69034</v>
      </c>
    </row>
    <row r="592" spans="7:14" ht="11.25" customHeight="1" x14ac:dyDescent="0.25">
      <c r="G592" s="459">
        <f t="shared" si="63"/>
        <v>49</v>
      </c>
      <c r="H592" s="459">
        <v>585</v>
      </c>
      <c r="I592" s="444">
        <f t="shared" ca="1" si="55"/>
        <v>-4445929.702799038</v>
      </c>
      <c r="J592" s="444">
        <f t="array" ref="J592">IFERROR(INDEX('Retirement Calculator'!K:K,MATCH('Lorri 401b'!N592,'Retirement Calculator'!A:A,0),0),0)</f>
        <v>21655.303514578787</v>
      </c>
      <c r="K592" s="444">
        <f t="shared" ca="1" si="53"/>
        <v>-18614.937526306734</v>
      </c>
      <c r="L592" s="444">
        <f t="shared" ca="1" si="54"/>
        <v>-4486199.9438399235</v>
      </c>
      <c r="M592" s="460">
        <f t="shared" si="56"/>
        <v>0.05</v>
      </c>
      <c r="N592" s="464">
        <f t="shared" si="57"/>
        <v>69065</v>
      </c>
    </row>
    <row r="593" spans="7:14" ht="11.25" customHeight="1" x14ac:dyDescent="0.25">
      <c r="G593" s="459">
        <f t="shared" si="63"/>
        <v>49</v>
      </c>
      <c r="H593" s="459">
        <v>586</v>
      </c>
      <c r="I593" s="444">
        <f t="shared" ca="1" si="55"/>
        <v>-4486199.9438399235</v>
      </c>
      <c r="J593" s="444">
        <f t="array" ref="J593">IFERROR(INDEX('Retirement Calculator'!K:K,MATCH('Lorri 401b'!N593,'Retirement Calculator'!A:A,0),0),0)</f>
        <v>21655.303514578787</v>
      </c>
      <c r="K593" s="444">
        <f t="shared" ca="1" si="53"/>
        <v>-18782.730197310426</v>
      </c>
      <c r="L593" s="444">
        <f t="shared" ca="1" si="54"/>
        <v>-4526637.9775518123</v>
      </c>
      <c r="M593" s="460">
        <f t="shared" si="56"/>
        <v>0.05</v>
      </c>
      <c r="N593" s="464">
        <f t="shared" si="57"/>
        <v>69093</v>
      </c>
    </row>
    <row r="594" spans="7:14" ht="11.25" customHeight="1" x14ac:dyDescent="0.25">
      <c r="G594" s="459">
        <f t="shared" si="63"/>
        <v>49</v>
      </c>
      <c r="H594" s="459">
        <v>587</v>
      </c>
      <c r="I594" s="444">
        <f t="shared" ca="1" si="55"/>
        <v>-4526637.9775518123</v>
      </c>
      <c r="J594" s="444">
        <f t="array" ref="J594">IFERROR(INDEX('Retirement Calculator'!K:K,MATCH('Lorri 401b'!N594,'Retirement Calculator'!A:A,0),0),0)</f>
        <v>21655.303514578787</v>
      </c>
      <c r="K594" s="444">
        <f t="shared" ca="1" si="53"/>
        <v>-18951.222004443294</v>
      </c>
      <c r="L594" s="444">
        <f t="shared" ca="1" si="54"/>
        <v>-4567244.5030708341</v>
      </c>
      <c r="M594" s="460">
        <f t="shared" si="56"/>
        <v>0.05</v>
      </c>
      <c r="N594" s="464">
        <f t="shared" si="57"/>
        <v>69124</v>
      </c>
    </row>
    <row r="595" spans="7:14" ht="11.25" customHeight="1" x14ac:dyDescent="0.25">
      <c r="G595" s="459">
        <f t="shared" si="63"/>
        <v>49</v>
      </c>
      <c r="H595" s="459">
        <v>588</v>
      </c>
      <c r="I595" s="444">
        <f t="shared" ca="1" si="55"/>
        <v>-4567244.5030708341</v>
      </c>
      <c r="J595" s="444">
        <f t="array" ref="J595">IFERROR(INDEX('Retirement Calculator'!K:K,MATCH('Lorri 401b'!N595,'Retirement Calculator'!A:A,0),0),0)</f>
        <v>21655.303514578787</v>
      </c>
      <c r="K595" s="444">
        <f t="shared" ca="1" si="53"/>
        <v>-19120.415860772551</v>
      </c>
      <c r="L595" s="444">
        <f t="shared" ca="1" si="54"/>
        <v>-4608020.2224461846</v>
      </c>
      <c r="M595" s="460">
        <f t="shared" si="56"/>
        <v>0.05</v>
      </c>
      <c r="N595" s="464">
        <f t="shared" si="57"/>
        <v>69154</v>
      </c>
    </row>
    <row r="596" spans="7:14" ht="11.25" customHeight="1" x14ac:dyDescent="0.25">
      <c r="G596" s="459">
        <f>G595+1</f>
        <v>50</v>
      </c>
      <c r="H596" s="459">
        <v>589</v>
      </c>
      <c r="I596" s="444">
        <f t="shared" ca="1" si="55"/>
        <v>-4608020.2224461846</v>
      </c>
      <c r="J596" s="444">
        <f t="array" ref="J596">IFERROR(INDEX('Retirement Calculator'!K:K,MATCH('Lorri 401b'!N596,'Retirement Calculator'!A:A,0),0),0)</f>
        <v>21655.303514578787</v>
      </c>
      <c r="K596" s="444">
        <f t="shared" ca="1" si="53"/>
        <v>-19290.314691503179</v>
      </c>
      <c r="L596" s="444">
        <f t="shared" ca="1" si="54"/>
        <v>-4648965.8406522665</v>
      </c>
      <c r="M596" s="460">
        <f t="shared" si="56"/>
        <v>0.05</v>
      </c>
      <c r="N596" s="464">
        <f t="shared" si="57"/>
        <v>69185</v>
      </c>
    </row>
    <row r="597" spans="7:14" ht="11.25" customHeight="1" x14ac:dyDescent="0.25">
      <c r="G597" s="459">
        <f t="shared" ref="G597:G607" si="64">G596</f>
        <v>50</v>
      </c>
      <c r="H597" s="459">
        <v>590</v>
      </c>
      <c r="I597" s="444">
        <f t="shared" ca="1" si="55"/>
        <v>-4648965.8406522665</v>
      </c>
      <c r="J597" s="444">
        <f t="array" ref="J597">IFERROR(INDEX('Retirement Calculator'!K:K,MATCH('Lorri 401b'!N597,'Retirement Calculator'!A:A,0),0),0)</f>
        <v>21655.303514578787</v>
      </c>
      <c r="K597" s="444">
        <f t="shared" ca="1" si="53"/>
        <v>-19460.921434028522</v>
      </c>
      <c r="L597" s="444">
        <f t="shared" ca="1" si="54"/>
        <v>-4690082.065600873</v>
      </c>
      <c r="M597" s="460">
        <f t="shared" si="56"/>
        <v>0.05</v>
      </c>
      <c r="N597" s="464">
        <f t="shared" si="57"/>
        <v>69215</v>
      </c>
    </row>
    <row r="598" spans="7:14" ht="11.25" customHeight="1" x14ac:dyDescent="0.25">
      <c r="G598" s="459">
        <f t="shared" si="64"/>
        <v>50</v>
      </c>
      <c r="H598" s="459">
        <v>591</v>
      </c>
      <c r="I598" s="444">
        <f t="shared" ca="1" si="55"/>
        <v>-4690082.065600873</v>
      </c>
      <c r="J598" s="444">
        <f t="array" ref="J598">IFERROR(INDEX('Retirement Calculator'!K:K,MATCH('Lorri 401b'!N598,'Retirement Calculator'!A:A,0),0),0)</f>
        <v>21655.303514578787</v>
      </c>
      <c r="K598" s="444">
        <f t="shared" ca="1" si="53"/>
        <v>-19632.239037981046</v>
      </c>
      <c r="L598" s="444">
        <f t="shared" ca="1" si="54"/>
        <v>-4731369.6081534326</v>
      </c>
      <c r="M598" s="460">
        <f t="shared" si="56"/>
        <v>0.05</v>
      </c>
      <c r="N598" s="464">
        <f t="shared" si="57"/>
        <v>69246</v>
      </c>
    </row>
    <row r="599" spans="7:14" ht="11.25" customHeight="1" x14ac:dyDescent="0.25">
      <c r="G599" s="459">
        <f t="shared" si="64"/>
        <v>50</v>
      </c>
      <c r="H599" s="459">
        <v>592</v>
      </c>
      <c r="I599" s="444">
        <f t="shared" ca="1" si="55"/>
        <v>-4731369.6081534326</v>
      </c>
      <c r="J599" s="444">
        <f t="array" ref="J599">IFERROR(INDEX('Retirement Calculator'!K:K,MATCH('Lorri 401b'!N599,'Retirement Calculator'!A:A,0),0),0)</f>
        <v>21655.303514578787</v>
      </c>
      <c r="K599" s="444">
        <f t="shared" ca="1" si="53"/>
        <v>-19804.270465283378</v>
      </c>
      <c r="L599" s="444">
        <f t="shared" ca="1" si="54"/>
        <v>-4772829.1821332946</v>
      </c>
      <c r="M599" s="460">
        <f t="shared" si="56"/>
        <v>0.05</v>
      </c>
      <c r="N599" s="464">
        <f t="shared" si="57"/>
        <v>69277</v>
      </c>
    </row>
    <row r="600" spans="7:14" ht="11.25" customHeight="1" x14ac:dyDescent="0.25">
      <c r="G600" s="459">
        <f t="shared" si="64"/>
        <v>50</v>
      </c>
      <c r="H600" s="459">
        <v>593</v>
      </c>
      <c r="I600" s="444">
        <f t="shared" ca="1" si="55"/>
        <v>-4772829.1821332946</v>
      </c>
      <c r="J600" s="444">
        <f t="array" ref="J600">IFERROR(INDEX('Retirement Calculator'!K:K,MATCH('Lorri 401b'!N600,'Retirement Calculator'!A:A,0),0),0)</f>
        <v>21655.303514578787</v>
      </c>
      <c r="K600" s="444">
        <f t="shared" ca="1" si="53"/>
        <v>-19977.018690199471</v>
      </c>
      <c r="L600" s="444">
        <f t="shared" ca="1" si="54"/>
        <v>-4814461.5043380726</v>
      </c>
      <c r="M600" s="460">
        <f t="shared" si="56"/>
        <v>0.05</v>
      </c>
      <c r="N600" s="464">
        <f t="shared" si="57"/>
        <v>69307</v>
      </c>
    </row>
    <row r="601" spans="7:14" ht="11.25" customHeight="1" x14ac:dyDescent="0.25">
      <c r="G601" s="459">
        <f t="shared" si="64"/>
        <v>50</v>
      </c>
      <c r="H601" s="459">
        <v>594</v>
      </c>
      <c r="I601" s="444">
        <f t="shared" ca="1" si="55"/>
        <v>-4814461.5043380726</v>
      </c>
      <c r="J601" s="444">
        <f t="array" ref="J601">IFERROR(INDEX('Retirement Calculator'!K:K,MATCH('Lorri 401b'!N601,'Retirement Calculator'!A:A,0),0),0)</f>
        <v>21655.303514578787</v>
      </c>
      <c r="K601" s="444">
        <f t="shared" ca="1" si="53"/>
        <v>-20150.486699386045</v>
      </c>
      <c r="L601" s="444">
        <f t="shared" ca="1" si="54"/>
        <v>-4856267.2945520375</v>
      </c>
      <c r="M601" s="460">
        <f t="shared" si="56"/>
        <v>0.05</v>
      </c>
      <c r="N601" s="464">
        <f t="shared" si="57"/>
        <v>69338</v>
      </c>
    </row>
    <row r="602" spans="7:14" ht="11.25" customHeight="1" x14ac:dyDescent="0.25">
      <c r="G602" s="459">
        <f t="shared" si="64"/>
        <v>50</v>
      </c>
      <c r="H602" s="459">
        <v>595</v>
      </c>
      <c r="I602" s="444">
        <f t="shared" ca="1" si="55"/>
        <v>-4856267.2945520375</v>
      </c>
      <c r="J602" s="444">
        <f t="array" ref="J602">IFERROR(INDEX('Retirement Calculator'!K:K,MATCH('Lorri 401b'!N602,'Retirement Calculator'!A:A,0),0),0)</f>
        <v>21655.303514578787</v>
      </c>
      <c r="K602" s="444">
        <f t="shared" ca="1" si="53"/>
        <v>-20324.677491944232</v>
      </c>
      <c r="L602" s="444">
        <f t="shared" ca="1" si="54"/>
        <v>-4898247.2755585602</v>
      </c>
      <c r="M602" s="460">
        <f t="shared" si="56"/>
        <v>0.05</v>
      </c>
      <c r="N602" s="464">
        <f t="shared" si="57"/>
        <v>69368</v>
      </c>
    </row>
    <row r="603" spans="7:14" ht="11.25" customHeight="1" x14ac:dyDescent="0.25">
      <c r="G603" s="459">
        <f t="shared" si="64"/>
        <v>50</v>
      </c>
      <c r="H603" s="459">
        <v>596</v>
      </c>
      <c r="I603" s="444">
        <f t="shared" ca="1" si="55"/>
        <v>-4898247.2755585602</v>
      </c>
      <c r="J603" s="444">
        <f t="array" ref="J603">IFERROR(INDEX('Retirement Calculator'!K:K,MATCH('Lorri 401b'!N603,'Retirement Calculator'!A:A,0),0),0)</f>
        <v>21655.303514578787</v>
      </c>
      <c r="K603" s="444">
        <f t="shared" ca="1" si="53"/>
        <v>-20499.594079471412</v>
      </c>
      <c r="L603" s="444">
        <f t="shared" ca="1" si="54"/>
        <v>-4940402.1731526097</v>
      </c>
      <c r="M603" s="460">
        <f t="shared" si="56"/>
        <v>0.05</v>
      </c>
      <c r="N603" s="464">
        <f t="shared" si="57"/>
        <v>69399</v>
      </c>
    </row>
    <row r="604" spans="7:14" ht="11.25" customHeight="1" x14ac:dyDescent="0.25">
      <c r="G604" s="459">
        <f t="shared" si="64"/>
        <v>50</v>
      </c>
      <c r="H604" s="459">
        <v>597</v>
      </c>
      <c r="I604" s="444">
        <f t="shared" ca="1" si="55"/>
        <v>-4940402.1731526097</v>
      </c>
      <c r="J604" s="444">
        <f t="array" ref="J604">IFERROR(INDEX('Retirement Calculator'!K:K,MATCH('Lorri 401b'!N604,'Retirement Calculator'!A:A,0),0),0)</f>
        <v>21655.303514578787</v>
      </c>
      <c r="K604" s="444">
        <f t="shared" ca="1" si="53"/>
        <v>-20675.239486113285</v>
      </c>
      <c r="L604" s="444">
        <f t="shared" ca="1" si="54"/>
        <v>-4982732.7161533013</v>
      </c>
      <c r="M604" s="460">
        <f t="shared" si="56"/>
        <v>0.05</v>
      </c>
      <c r="N604" s="464">
        <f t="shared" si="57"/>
        <v>69430</v>
      </c>
    </row>
    <row r="605" spans="7:14" ht="11.25" customHeight="1" x14ac:dyDescent="0.25">
      <c r="G605" s="459">
        <f t="shared" si="64"/>
        <v>50</v>
      </c>
      <c r="H605" s="459">
        <v>598</v>
      </c>
      <c r="I605" s="444">
        <f t="shared" ca="1" si="55"/>
        <v>-4982732.7161533013</v>
      </c>
      <c r="J605" s="444">
        <f t="array" ref="J605">IFERROR(INDEX('Retirement Calculator'!K:K,MATCH('Lorri 401b'!N605,'Retirement Calculator'!A:A,0),0),0)</f>
        <v>21655.303514578787</v>
      </c>
      <c r="K605" s="444">
        <f t="shared" ca="1" si="53"/>
        <v>-20851.616748616165</v>
      </c>
      <c r="L605" s="444">
        <f t="shared" ca="1" si="54"/>
        <v>-5025239.6364164958</v>
      </c>
      <c r="M605" s="460">
        <f t="shared" si="56"/>
        <v>0.05</v>
      </c>
      <c r="N605" s="464">
        <f t="shared" si="57"/>
        <v>69458</v>
      </c>
    </row>
    <row r="606" spans="7:14" ht="11.25" customHeight="1" x14ac:dyDescent="0.25">
      <c r="G606" s="459">
        <f t="shared" si="64"/>
        <v>50</v>
      </c>
      <c r="H606" s="459">
        <v>599</v>
      </c>
      <c r="I606" s="444">
        <f t="shared" ca="1" si="55"/>
        <v>-5025239.6364164958</v>
      </c>
      <c r="J606" s="444">
        <f t="array" ref="J606">IFERROR(INDEX('Retirement Calculator'!K:K,MATCH('Lorri 401b'!N606,'Retirement Calculator'!A:A,0),0),0)</f>
        <v>21655.303514578787</v>
      </c>
      <c r="K606" s="444">
        <f t="shared" ca="1" si="53"/>
        <v>-21028.728916379474</v>
      </c>
      <c r="L606" s="444">
        <f t="shared" ca="1" si="54"/>
        <v>-5067923.6688474538</v>
      </c>
      <c r="M606" s="460">
        <f t="shared" si="56"/>
        <v>0.05</v>
      </c>
      <c r="N606" s="464">
        <f t="shared" si="57"/>
        <v>69489</v>
      </c>
    </row>
    <row r="607" spans="7:14" ht="11.25" customHeight="1" x14ac:dyDescent="0.25">
      <c r="G607" s="459">
        <f t="shared" si="64"/>
        <v>50</v>
      </c>
      <c r="H607" s="459">
        <v>600</v>
      </c>
      <c r="I607" s="444">
        <f t="shared" ca="1" si="55"/>
        <v>-5067923.6688474538</v>
      </c>
      <c r="J607" s="444">
        <f t="array" ref="J607">IFERROR(INDEX('Retirement Calculator'!K:K,MATCH('Lorri 401b'!N607,'Retirement Calculator'!A:A,0),0),0)</f>
        <v>21655.303514578787</v>
      </c>
      <c r="K607" s="444">
        <f t="shared" ca="1" si="53"/>
        <v>-21206.579051508466</v>
      </c>
      <c r="L607" s="444">
        <f t="shared" ca="1" si="54"/>
        <v>-5110785.5514135407</v>
      </c>
      <c r="M607" s="460">
        <f t="shared" si="56"/>
        <v>0.05</v>
      </c>
      <c r="N607" s="464">
        <f t="shared" si="57"/>
        <v>69519</v>
      </c>
    </row>
    <row r="608" spans="7:14" ht="11.25" customHeight="1" x14ac:dyDescent="0.25">
      <c r="G608" s="459">
        <f>G607+1</f>
        <v>51</v>
      </c>
      <c r="H608" s="459">
        <v>601</v>
      </c>
      <c r="I608" s="444">
        <f t="shared" ca="1" si="55"/>
        <v>-5110785.5514135407</v>
      </c>
      <c r="J608" s="444">
        <f t="array" ref="J608">IFERROR(INDEX('Retirement Calculator'!K:K,MATCH('Lorri 401b'!N608,'Retirement Calculator'!A:A,0),0),0)</f>
        <v>21655.303514578787</v>
      </c>
      <c r="K608" s="444">
        <f t="shared" ca="1" si="53"/>
        <v>-21385.170228867162</v>
      </c>
      <c r="L608" s="444">
        <f t="shared" ca="1" si="54"/>
        <v>-5153826.025156986</v>
      </c>
      <c r="M608" s="460">
        <f t="shared" si="56"/>
        <v>0.05</v>
      </c>
      <c r="N608" s="464">
        <f t="shared" si="57"/>
        <v>69550</v>
      </c>
    </row>
    <row r="609" spans="7:14" ht="11.25" customHeight="1" x14ac:dyDescent="0.25">
      <c r="G609" s="459">
        <f t="shared" ref="G609:G619" si="65">G608</f>
        <v>51</v>
      </c>
      <c r="H609" s="459">
        <v>602</v>
      </c>
      <c r="I609" s="444">
        <f t="shared" ca="1" si="55"/>
        <v>-5153826.025156986</v>
      </c>
      <c r="J609" s="444">
        <f t="array" ref="J609">IFERROR(INDEX('Retirement Calculator'!K:K,MATCH('Lorri 401b'!N609,'Retirement Calculator'!A:A,0),0),0)</f>
        <v>21655.303514578787</v>
      </c>
      <c r="K609" s="444">
        <f t="shared" ca="1" si="53"/>
        <v>-21564.505536131517</v>
      </c>
      <c r="L609" s="444">
        <f t="shared" ca="1" si="54"/>
        <v>-5197045.8342076959</v>
      </c>
      <c r="M609" s="460">
        <f t="shared" si="56"/>
        <v>0.05</v>
      </c>
      <c r="N609" s="464">
        <f t="shared" si="57"/>
        <v>69580</v>
      </c>
    </row>
    <row r="610" spans="7:14" ht="11.25" customHeight="1" x14ac:dyDescent="0.25">
      <c r="G610" s="459">
        <f t="shared" si="65"/>
        <v>51</v>
      </c>
      <c r="H610" s="459">
        <v>603</v>
      </c>
      <c r="I610" s="444">
        <f t="shared" ca="1" si="55"/>
        <v>-5197045.8342076959</v>
      </c>
      <c r="J610" s="444">
        <f t="array" ref="J610">IFERROR(INDEX('Retirement Calculator'!K:K,MATCH('Lorri 401b'!N610,'Retirement Calculator'!A:A,0),0),0)</f>
        <v>21655.303514578787</v>
      </c>
      <c r="K610" s="444">
        <f t="shared" ca="1" si="53"/>
        <v>-21744.58807384281</v>
      </c>
      <c r="L610" s="444">
        <f t="shared" ca="1" si="54"/>
        <v>-5240445.7257961174</v>
      </c>
      <c r="M610" s="460">
        <f t="shared" si="56"/>
        <v>0.05</v>
      </c>
      <c r="N610" s="464">
        <f t="shared" si="57"/>
        <v>69611</v>
      </c>
    </row>
    <row r="611" spans="7:14" ht="11.25" customHeight="1" x14ac:dyDescent="0.25">
      <c r="G611" s="459">
        <f t="shared" si="65"/>
        <v>51</v>
      </c>
      <c r="H611" s="459">
        <v>604</v>
      </c>
      <c r="I611" s="444">
        <f t="shared" ca="1" si="55"/>
        <v>-5240445.7257961174</v>
      </c>
      <c r="J611" s="444">
        <f t="array" ref="J611">IFERROR(INDEX('Retirement Calculator'!K:K,MATCH('Lorri 401b'!N611,'Retirement Calculator'!A:A,0),0),0)</f>
        <v>21655.303514578787</v>
      </c>
      <c r="K611" s="444">
        <f t="shared" ca="1" si="53"/>
        <v>-21925.420955461232</v>
      </c>
      <c r="L611" s="444">
        <f t="shared" ca="1" si="54"/>
        <v>-5284026.4502661573</v>
      </c>
      <c r="M611" s="460">
        <f t="shared" si="56"/>
        <v>0.05</v>
      </c>
      <c r="N611" s="464">
        <f t="shared" si="57"/>
        <v>69642</v>
      </c>
    </row>
    <row r="612" spans="7:14" ht="11.25" customHeight="1" x14ac:dyDescent="0.25">
      <c r="G612" s="459">
        <f t="shared" si="65"/>
        <v>51</v>
      </c>
      <c r="H612" s="459">
        <v>605</v>
      </c>
      <c r="I612" s="444">
        <f t="shared" ca="1" si="55"/>
        <v>-5284026.4502661573</v>
      </c>
      <c r="J612" s="444">
        <f t="array" ref="J612">IFERROR(INDEX('Retirement Calculator'!K:K,MATCH('Lorri 401b'!N612,'Retirement Calculator'!A:A,0),0),0)</f>
        <v>21655.303514578787</v>
      </c>
      <c r="K612" s="444">
        <f t="shared" ca="1" si="53"/>
        <v>-22107.007307419732</v>
      </c>
      <c r="L612" s="444">
        <f t="shared" ca="1" si="54"/>
        <v>-5327788.7610881552</v>
      </c>
      <c r="M612" s="460">
        <f t="shared" si="56"/>
        <v>0.05</v>
      </c>
      <c r="N612" s="464">
        <f t="shared" si="57"/>
        <v>69672</v>
      </c>
    </row>
    <row r="613" spans="7:14" ht="11.25" customHeight="1" x14ac:dyDescent="0.25">
      <c r="G613" s="459">
        <f t="shared" si="65"/>
        <v>51</v>
      </c>
      <c r="H613" s="459">
        <v>606</v>
      </c>
      <c r="I613" s="444">
        <f t="shared" ca="1" si="55"/>
        <v>-5327788.7610881552</v>
      </c>
      <c r="J613" s="444">
        <f t="array" ref="J613">IFERROR(INDEX('Retirement Calculator'!K:K,MATCH('Lorri 401b'!N613,'Retirement Calculator'!A:A,0),0),0)</f>
        <v>21655.303514578787</v>
      </c>
      <c r="K613" s="444">
        <f t="shared" ca="1" si="53"/>
        <v>-22289.350269178056</v>
      </c>
      <c r="L613" s="444">
        <f t="shared" ca="1" si="54"/>
        <v>-5371733.4148719115</v>
      </c>
      <c r="M613" s="460">
        <f t="shared" si="56"/>
        <v>0.05</v>
      </c>
      <c r="N613" s="464">
        <f t="shared" si="57"/>
        <v>69703</v>
      </c>
    </row>
    <row r="614" spans="7:14" ht="11.25" customHeight="1" x14ac:dyDescent="0.25">
      <c r="G614" s="459">
        <f t="shared" si="65"/>
        <v>51</v>
      </c>
      <c r="H614" s="459">
        <v>607</v>
      </c>
      <c r="I614" s="444">
        <f t="shared" ca="1" si="55"/>
        <v>-5371733.4148719115</v>
      </c>
      <c r="J614" s="444">
        <f t="array" ref="J614">IFERROR(INDEX('Retirement Calculator'!K:K,MATCH('Lorri 401b'!N614,'Retirement Calculator'!A:A,0),0),0)</f>
        <v>21655.303514578787</v>
      </c>
      <c r="K614" s="444">
        <f t="shared" ca="1" si="53"/>
        <v>-22472.452993277042</v>
      </c>
      <c r="L614" s="444">
        <f t="shared" ca="1" si="54"/>
        <v>-5415861.1713797674</v>
      </c>
      <c r="M614" s="460">
        <f t="shared" si="56"/>
        <v>0.05</v>
      </c>
      <c r="N614" s="464">
        <f t="shared" si="57"/>
        <v>69733</v>
      </c>
    </row>
    <row r="615" spans="7:14" ht="11.25" customHeight="1" x14ac:dyDescent="0.25">
      <c r="G615" s="459">
        <f t="shared" si="65"/>
        <v>51</v>
      </c>
      <c r="H615" s="459">
        <v>608</v>
      </c>
      <c r="I615" s="444">
        <f t="shared" ca="1" si="55"/>
        <v>-5415861.1713797674</v>
      </c>
      <c r="J615" s="444">
        <f t="array" ref="J615">IFERROR(INDEX('Retirement Calculator'!K:K,MATCH('Lorri 401b'!N615,'Retirement Calculator'!A:A,0),0),0)</f>
        <v>21655.303514578787</v>
      </c>
      <c r="K615" s="444">
        <f t="shared" ca="1" si="53"/>
        <v>-22656.318645393108</v>
      </c>
      <c r="L615" s="444">
        <f t="shared" ca="1" si="54"/>
        <v>-5460172.7935397392</v>
      </c>
      <c r="M615" s="460">
        <f t="shared" si="56"/>
        <v>0.05</v>
      </c>
      <c r="N615" s="464">
        <f t="shared" si="57"/>
        <v>69764</v>
      </c>
    </row>
    <row r="616" spans="7:14" ht="11.25" customHeight="1" x14ac:dyDescent="0.25">
      <c r="G616" s="459">
        <f t="shared" si="65"/>
        <v>51</v>
      </c>
      <c r="H616" s="459">
        <v>609</v>
      </c>
      <c r="I616" s="444">
        <f t="shared" ca="1" si="55"/>
        <v>-5460172.7935397392</v>
      </c>
      <c r="J616" s="444">
        <f t="array" ref="J616">IFERROR(INDEX('Retirement Calculator'!K:K,MATCH('Lorri 401b'!N616,'Retirement Calculator'!A:A,0),0),0)</f>
        <v>21655.303514578787</v>
      </c>
      <c r="K616" s="444">
        <f t="shared" ca="1" si="53"/>
        <v>-22840.950404392988</v>
      </c>
      <c r="L616" s="444">
        <f t="shared" ca="1" si="54"/>
        <v>-5504669.0474587101</v>
      </c>
      <c r="M616" s="460">
        <f t="shared" si="56"/>
        <v>0.05</v>
      </c>
      <c r="N616" s="464">
        <f t="shared" si="57"/>
        <v>69795</v>
      </c>
    </row>
    <row r="617" spans="7:14" ht="11.25" customHeight="1" x14ac:dyDescent="0.25">
      <c r="G617" s="459">
        <f t="shared" si="65"/>
        <v>51</v>
      </c>
      <c r="H617" s="459">
        <v>610</v>
      </c>
      <c r="I617" s="444">
        <f t="shared" ca="1" si="55"/>
        <v>-5504669.0474587101</v>
      </c>
      <c r="J617" s="444">
        <f t="array" ref="J617">IFERROR(INDEX('Retirement Calculator'!K:K,MATCH('Lorri 401b'!N617,'Retirement Calculator'!A:A,0),0),0)</f>
        <v>21655.303514578787</v>
      </c>
      <c r="K617" s="444">
        <f t="shared" ca="1" si="53"/>
        <v>-23026.351462388702</v>
      </c>
      <c r="L617" s="444">
        <f t="shared" ca="1" si="54"/>
        <v>-5549350.7024356769</v>
      </c>
      <c r="M617" s="460">
        <f t="shared" si="56"/>
        <v>0.05</v>
      </c>
      <c r="N617" s="464">
        <f t="shared" si="57"/>
        <v>69823</v>
      </c>
    </row>
    <row r="618" spans="7:14" ht="11.25" customHeight="1" x14ac:dyDescent="0.25">
      <c r="G618" s="459">
        <f t="shared" si="65"/>
        <v>51</v>
      </c>
      <c r="H618" s="459">
        <v>611</v>
      </c>
      <c r="I618" s="444">
        <f t="shared" ca="1" si="55"/>
        <v>-5549350.7024356769</v>
      </c>
      <c r="J618" s="444">
        <f t="array" ref="J618">IFERROR(INDEX('Retirement Calculator'!K:K,MATCH('Lorri 401b'!N618,'Retirement Calculator'!A:A,0),0),0)</f>
        <v>21655.303514578787</v>
      </c>
      <c r="K618" s="444">
        <f t="shared" ca="1" si="53"/>
        <v>-23212.525024792729</v>
      </c>
      <c r="L618" s="444">
        <f t="shared" ca="1" si="54"/>
        <v>-5594218.5309750484</v>
      </c>
      <c r="M618" s="460">
        <f t="shared" si="56"/>
        <v>0.05</v>
      </c>
      <c r="N618" s="464">
        <f t="shared" si="57"/>
        <v>69854</v>
      </c>
    </row>
    <row r="619" spans="7:14" ht="11.25" customHeight="1" x14ac:dyDescent="0.25">
      <c r="G619" s="459">
        <f t="shared" si="65"/>
        <v>51</v>
      </c>
      <c r="H619" s="459">
        <v>612</v>
      </c>
      <c r="I619" s="444">
        <f t="shared" ca="1" si="55"/>
        <v>-5594218.5309750484</v>
      </c>
      <c r="J619" s="444">
        <f t="array" ref="J619">IFERROR(INDEX('Retirement Calculator'!K:K,MATCH('Lorri 401b'!N619,'Retirement Calculator'!A:A,0),0),0)</f>
        <v>21655.303514578787</v>
      </c>
      <c r="K619" s="444">
        <f t="shared" ca="1" si="53"/>
        <v>-23399.474310373444</v>
      </c>
      <c r="L619" s="444">
        <f t="shared" ca="1" si="54"/>
        <v>-5639273.3088000007</v>
      </c>
      <c r="M619" s="460">
        <f t="shared" si="56"/>
        <v>0.05</v>
      </c>
      <c r="N619" s="464">
        <f t="shared" si="57"/>
        <v>69884</v>
      </c>
    </row>
    <row r="620" spans="7:14" ht="11.25" customHeight="1" x14ac:dyDescent="0.25">
      <c r="G620" s="459">
        <f>G619+1</f>
        <v>52</v>
      </c>
      <c r="H620" s="459">
        <v>613</v>
      </c>
      <c r="I620" s="444">
        <f t="shared" ca="1" si="55"/>
        <v>-5639273.3088000007</v>
      </c>
      <c r="J620" s="444">
        <f t="array" ref="J620">IFERROR(INDEX('Retirement Calculator'!K:K,MATCH('Lorri 401b'!N620,'Retirement Calculator'!A:A,0),0),0)</f>
        <v>21655.303514578787</v>
      </c>
      <c r="K620" s="444">
        <f t="shared" ca="1" si="53"/>
        <v>-23587.202551310747</v>
      </c>
      <c r="L620" s="444">
        <f t="shared" ca="1" si="54"/>
        <v>-5684515.81486589</v>
      </c>
      <c r="M620" s="460">
        <f t="shared" si="56"/>
        <v>0.05</v>
      </c>
      <c r="N620" s="464">
        <f t="shared" si="57"/>
        <v>69915</v>
      </c>
    </row>
    <row r="621" spans="7:14" ht="11.25" customHeight="1" x14ac:dyDescent="0.25">
      <c r="G621" s="459">
        <f t="shared" ref="G621:G631" si="66">G620</f>
        <v>52</v>
      </c>
      <c r="H621" s="459">
        <v>614</v>
      </c>
      <c r="I621" s="444">
        <f t="shared" ca="1" si="55"/>
        <v>-5684515.81486589</v>
      </c>
      <c r="J621" s="444">
        <f t="array" ref="J621">IFERROR(INDEX('Retirement Calculator'!K:K,MATCH('Lorri 401b'!N621,'Retirement Calculator'!A:A,0),0),0)</f>
        <v>21655.303514578787</v>
      </c>
      <c r="K621" s="444">
        <f t="shared" ca="1" si="53"/>
        <v>-23775.712993251953</v>
      </c>
      <c r="L621" s="444">
        <f t="shared" ca="1" si="54"/>
        <v>-5729946.8313737204</v>
      </c>
      <c r="M621" s="460">
        <f t="shared" si="56"/>
        <v>0.05</v>
      </c>
      <c r="N621" s="464">
        <f t="shared" si="57"/>
        <v>69945</v>
      </c>
    </row>
    <row r="622" spans="7:14" ht="11.25" customHeight="1" x14ac:dyDescent="0.25">
      <c r="G622" s="459">
        <f t="shared" si="66"/>
        <v>52</v>
      </c>
      <c r="H622" s="459">
        <v>615</v>
      </c>
      <c r="I622" s="444">
        <f t="shared" ca="1" si="55"/>
        <v>-5729946.8313737204</v>
      </c>
      <c r="J622" s="444">
        <f t="array" ref="J622">IFERROR(INDEX('Retirement Calculator'!K:K,MATCH('Lorri 401b'!N622,'Retirement Calculator'!A:A,0),0),0)</f>
        <v>21655.303514578787</v>
      </c>
      <c r="K622" s="444">
        <f t="shared" ca="1" si="53"/>
        <v>-23965.008895367911</v>
      </c>
      <c r="L622" s="444">
        <f t="shared" ca="1" si="54"/>
        <v>-5775567.1437836671</v>
      </c>
      <c r="M622" s="460">
        <f t="shared" si="56"/>
        <v>0.05</v>
      </c>
      <c r="N622" s="464">
        <f t="shared" si="57"/>
        <v>69976</v>
      </c>
    </row>
    <row r="623" spans="7:14" ht="11.25" customHeight="1" x14ac:dyDescent="0.25">
      <c r="G623" s="459">
        <f t="shared" si="66"/>
        <v>52</v>
      </c>
      <c r="H623" s="459">
        <v>616</v>
      </c>
      <c r="I623" s="444">
        <f t="shared" ca="1" si="55"/>
        <v>-5775567.1437836671</v>
      </c>
      <c r="J623" s="444">
        <f t="array" ref="J623">IFERROR(INDEX('Retirement Calculator'!K:K,MATCH('Lorri 401b'!N623,'Retirement Calculator'!A:A,0),0),0)</f>
        <v>21655.303514578787</v>
      </c>
      <c r="K623" s="444">
        <f t="shared" ca="1" si="53"/>
        <v>-24155.093530409355</v>
      </c>
      <c r="L623" s="444">
        <f t="shared" ca="1" si="54"/>
        <v>-5821377.5408286545</v>
      </c>
      <c r="M623" s="460">
        <f t="shared" si="56"/>
        <v>0.05</v>
      </c>
      <c r="N623" s="464">
        <f t="shared" si="57"/>
        <v>70007</v>
      </c>
    </row>
    <row r="624" spans="7:14" ht="11.25" customHeight="1" x14ac:dyDescent="0.25">
      <c r="G624" s="459">
        <f t="shared" si="66"/>
        <v>52</v>
      </c>
      <c r="H624" s="459">
        <v>617</v>
      </c>
      <c r="I624" s="444">
        <f t="shared" ca="1" si="55"/>
        <v>-5821377.5408286545</v>
      </c>
      <c r="J624" s="444">
        <f t="array" ref="J624">IFERROR(INDEX('Retirement Calculator'!K:K,MATCH('Lorri 401b'!N624,'Retirement Calculator'!A:A,0),0),0)</f>
        <v>21655.303514578787</v>
      </c>
      <c r="K624" s="444">
        <f t="shared" ca="1" si="53"/>
        <v>-24345.970184763471</v>
      </c>
      <c r="L624" s="444">
        <f t="shared" ca="1" si="54"/>
        <v>-5867378.8145279968</v>
      </c>
      <c r="M624" s="460">
        <f t="shared" si="56"/>
        <v>0.05</v>
      </c>
      <c r="N624" s="464">
        <f t="shared" si="57"/>
        <v>70037</v>
      </c>
    </row>
    <row r="625" spans="7:14" ht="11.25" customHeight="1" x14ac:dyDescent="0.25">
      <c r="G625" s="459">
        <f t="shared" si="66"/>
        <v>52</v>
      </c>
      <c r="H625" s="459">
        <v>618</v>
      </c>
      <c r="I625" s="444">
        <f t="shared" ca="1" si="55"/>
        <v>-5867378.8145279968</v>
      </c>
      <c r="J625" s="444">
        <f t="array" ref="J625">IFERROR(INDEX('Retirement Calculator'!K:K,MATCH('Lorri 401b'!N625,'Retirement Calculator'!A:A,0),0),0)</f>
        <v>21655.303514578787</v>
      </c>
      <c r="K625" s="444">
        <f t="shared" ca="1" si="53"/>
        <v>-24537.642158510731</v>
      </c>
      <c r="L625" s="444">
        <f t="shared" ca="1" si="54"/>
        <v>-5913571.7602010863</v>
      </c>
      <c r="M625" s="460">
        <f t="shared" si="56"/>
        <v>0.05</v>
      </c>
      <c r="N625" s="464">
        <f t="shared" si="57"/>
        <v>70068</v>
      </c>
    </row>
    <row r="626" spans="7:14" ht="11.25" customHeight="1" x14ac:dyDescent="0.25">
      <c r="G626" s="459">
        <f t="shared" si="66"/>
        <v>52</v>
      </c>
      <c r="H626" s="459">
        <v>619</v>
      </c>
      <c r="I626" s="444">
        <f t="shared" ca="1" si="55"/>
        <v>-5913571.7602010863</v>
      </c>
      <c r="J626" s="444">
        <f t="array" ref="J626">IFERROR(INDEX('Retirement Calculator'!K:K,MATCH('Lorri 401b'!N626,'Retirement Calculator'!A:A,0),0),0)</f>
        <v>21655.303514578787</v>
      </c>
      <c r="K626" s="444">
        <f t="shared" ca="1" si="53"/>
        <v>-24730.112765481936</v>
      </c>
      <c r="L626" s="444">
        <f t="shared" ca="1" si="54"/>
        <v>-5959957.1764811464</v>
      </c>
      <c r="M626" s="460">
        <f t="shared" si="56"/>
        <v>0.05</v>
      </c>
      <c r="N626" s="464">
        <f t="shared" si="57"/>
        <v>70098</v>
      </c>
    </row>
    <row r="627" spans="7:14" ht="11.25" customHeight="1" x14ac:dyDescent="0.25">
      <c r="G627" s="459">
        <f t="shared" si="66"/>
        <v>52</v>
      </c>
      <c r="H627" s="459">
        <v>620</v>
      </c>
      <c r="I627" s="444">
        <f t="shared" ca="1" si="55"/>
        <v>-5959957.1764811464</v>
      </c>
      <c r="J627" s="444">
        <f t="array" ref="J627">IFERROR(INDEX('Retirement Calculator'!K:K,MATCH('Lorri 401b'!N627,'Retirement Calculator'!A:A,0),0),0)</f>
        <v>21655.303514578787</v>
      </c>
      <c r="K627" s="444">
        <f t="shared" ca="1" si="53"/>
        <v>-24923.38533331552</v>
      </c>
      <c r="L627" s="444">
        <f t="shared" ca="1" si="54"/>
        <v>-6006535.8653290402</v>
      </c>
      <c r="M627" s="460">
        <f t="shared" si="56"/>
        <v>0.05</v>
      </c>
      <c r="N627" s="464">
        <f t="shared" si="57"/>
        <v>70129</v>
      </c>
    </row>
    <row r="628" spans="7:14" ht="11.25" customHeight="1" x14ac:dyDescent="0.25">
      <c r="G628" s="459">
        <f t="shared" si="66"/>
        <v>52</v>
      </c>
      <c r="H628" s="459">
        <v>621</v>
      </c>
      <c r="I628" s="444">
        <f t="shared" ca="1" si="55"/>
        <v>-6006535.8653290402</v>
      </c>
      <c r="J628" s="444">
        <f t="array" ref="J628">IFERROR(INDEX('Retirement Calculator'!K:K,MATCH('Lorri 401b'!N628,'Retirement Calculator'!A:A,0),0),0)</f>
        <v>21655.303514578787</v>
      </c>
      <c r="K628" s="444">
        <f t="shared" ca="1" si="53"/>
        <v>-25117.463203515079</v>
      </c>
      <c r="L628" s="444">
        <f t="shared" ca="1" si="54"/>
        <v>-6053308.6320471335</v>
      </c>
      <c r="M628" s="460">
        <f t="shared" si="56"/>
        <v>0.05</v>
      </c>
      <c r="N628" s="464">
        <f t="shared" si="57"/>
        <v>70160</v>
      </c>
    </row>
    <row r="629" spans="7:14" ht="11.25" customHeight="1" x14ac:dyDescent="0.25">
      <c r="G629" s="459">
        <f t="shared" si="66"/>
        <v>52</v>
      </c>
      <c r="H629" s="459">
        <v>622</v>
      </c>
      <c r="I629" s="444">
        <f t="shared" ca="1" si="55"/>
        <v>-6053308.6320471335</v>
      </c>
      <c r="J629" s="444">
        <f t="array" ref="J629">IFERROR(INDEX('Retirement Calculator'!K:K,MATCH('Lorri 401b'!N629,'Retirement Calculator'!A:A,0),0),0)</f>
        <v>21655.303514578787</v>
      </c>
      <c r="K629" s="444">
        <f t="shared" ca="1" si="53"/>
        <v>-25312.349731507133</v>
      </c>
      <c r="L629" s="444">
        <f t="shared" ca="1" si="54"/>
        <v>-6100276.2852932187</v>
      </c>
      <c r="M629" s="460">
        <f t="shared" si="56"/>
        <v>0.05</v>
      </c>
      <c r="N629" s="464">
        <f t="shared" si="57"/>
        <v>70189</v>
      </c>
    </row>
    <row r="630" spans="7:14" ht="11.25" customHeight="1" x14ac:dyDescent="0.25">
      <c r="G630" s="459">
        <f t="shared" si="66"/>
        <v>52</v>
      </c>
      <c r="H630" s="459">
        <v>623</v>
      </c>
      <c r="I630" s="444">
        <f t="shared" ca="1" si="55"/>
        <v>-6100276.2852932187</v>
      </c>
      <c r="J630" s="444">
        <f t="array" ref="J630">IFERROR(INDEX('Retirement Calculator'!K:K,MATCH('Lorri 401b'!N630,'Retirement Calculator'!A:A,0),0),0)</f>
        <v>21655.303514578787</v>
      </c>
      <c r="K630" s="444">
        <f t="shared" ca="1" si="53"/>
        <v>-25508.048286699155</v>
      </c>
      <c r="L630" s="444">
        <f t="shared" ca="1" si="54"/>
        <v>-6147439.6370944958</v>
      </c>
      <c r="M630" s="460">
        <f t="shared" si="56"/>
        <v>0.05</v>
      </c>
      <c r="N630" s="464">
        <f t="shared" si="57"/>
        <v>70220</v>
      </c>
    </row>
    <row r="631" spans="7:14" ht="11.25" customHeight="1" x14ac:dyDescent="0.25">
      <c r="G631" s="459">
        <f t="shared" si="66"/>
        <v>52</v>
      </c>
      <c r="H631" s="459">
        <v>624</v>
      </c>
      <c r="I631" s="444">
        <f t="shared" ca="1" si="55"/>
        <v>-6147439.6370944958</v>
      </c>
      <c r="J631" s="444">
        <f t="array" ref="J631">IFERROR(INDEX('Retirement Calculator'!K:K,MATCH('Lorri 401b'!N631,'Retirement Calculator'!A:A,0),0),0)</f>
        <v>21655.303514578787</v>
      </c>
      <c r="K631" s="444">
        <f t="shared" ca="1" si="53"/>
        <v>-25704.562252537809</v>
      </c>
      <c r="L631" s="444">
        <f t="shared" ca="1" si="54"/>
        <v>-6194799.5028616115</v>
      </c>
      <c r="M631" s="460">
        <f t="shared" si="56"/>
        <v>0.05</v>
      </c>
      <c r="N631" s="464">
        <f t="shared" si="57"/>
        <v>70250</v>
      </c>
    </row>
    <row r="632" spans="7:14" ht="11.25" customHeight="1" x14ac:dyDescent="0.25">
      <c r="G632" s="459">
        <f>G631+1</f>
        <v>53</v>
      </c>
      <c r="H632" s="459">
        <v>625</v>
      </c>
      <c r="I632" s="444">
        <f t="shared" ca="1" si="55"/>
        <v>-6194799.5028616115</v>
      </c>
      <c r="J632" s="444">
        <f t="array" ref="J632">IFERROR(INDEX('Retirement Calculator'!K:K,MATCH('Lorri 401b'!N632,'Retirement Calculator'!A:A,0),0),0)</f>
        <v>21655.303514578787</v>
      </c>
      <c r="K632" s="444">
        <f t="shared" ca="1" si="53"/>
        <v>-25901.895026567458</v>
      </c>
      <c r="L632" s="444">
        <f t="shared" ca="1" si="54"/>
        <v>-6242356.7014027573</v>
      </c>
      <c r="M632" s="460">
        <f t="shared" si="56"/>
        <v>0.05</v>
      </c>
      <c r="N632" s="464">
        <f t="shared" si="57"/>
        <v>70281</v>
      </c>
    </row>
    <row r="633" spans="7:14" ht="11.25" customHeight="1" x14ac:dyDescent="0.25">
      <c r="G633" s="459">
        <f t="shared" ref="G633:G643" si="67">G632</f>
        <v>53</v>
      </c>
      <c r="H633" s="459">
        <v>626</v>
      </c>
      <c r="I633" s="444">
        <f t="shared" ca="1" si="55"/>
        <v>-6242356.7014027573</v>
      </c>
      <c r="J633" s="444">
        <f t="array" ref="J633">IFERROR(INDEX('Retirement Calculator'!K:K,MATCH('Lorri 401b'!N633,'Retirement Calculator'!A:A,0),0),0)</f>
        <v>21655.303514578787</v>
      </c>
      <c r="K633" s="444">
        <f t="shared" ca="1" si="53"/>
        <v>-26100.050020488899</v>
      </c>
      <c r="L633" s="444">
        <f t="shared" ca="1" si="54"/>
        <v>-6290112.0549378246</v>
      </c>
      <c r="M633" s="460">
        <f t="shared" si="56"/>
        <v>0.05</v>
      </c>
      <c r="N633" s="464">
        <f t="shared" si="57"/>
        <v>70311</v>
      </c>
    </row>
    <row r="634" spans="7:14" ht="11.25" customHeight="1" x14ac:dyDescent="0.25">
      <c r="G634" s="459">
        <f t="shared" si="67"/>
        <v>53</v>
      </c>
      <c r="H634" s="459">
        <v>627</v>
      </c>
      <c r="I634" s="444">
        <f t="shared" ca="1" si="55"/>
        <v>-6290112.0549378246</v>
      </c>
      <c r="J634" s="444">
        <f t="array" ref="J634">IFERROR(INDEX('Retirement Calculator'!K:K,MATCH('Lorri 401b'!N634,'Retirement Calculator'!A:A,0),0),0)</f>
        <v>21655.303514578787</v>
      </c>
      <c r="K634" s="444">
        <f t="shared" ca="1" si="53"/>
        <v>-26299.030660218345</v>
      </c>
      <c r="L634" s="444">
        <f t="shared" ca="1" si="54"/>
        <v>-6338066.3891126215</v>
      </c>
      <c r="M634" s="460">
        <f t="shared" si="56"/>
        <v>0.05</v>
      </c>
      <c r="N634" s="464">
        <f t="shared" si="57"/>
        <v>70342</v>
      </c>
    </row>
    <row r="635" spans="7:14" ht="11.25" customHeight="1" x14ac:dyDescent="0.25">
      <c r="G635" s="459">
        <f t="shared" si="67"/>
        <v>53</v>
      </c>
      <c r="H635" s="459">
        <v>628</v>
      </c>
      <c r="I635" s="444">
        <f t="shared" ca="1" si="55"/>
        <v>-6338066.3891126215</v>
      </c>
      <c r="J635" s="444">
        <f t="array" ref="J635">IFERROR(INDEX('Retirement Calculator'!K:K,MATCH('Lorri 401b'!N635,'Retirement Calculator'!A:A,0),0),0)</f>
        <v>21655.303514578787</v>
      </c>
      <c r="K635" s="444">
        <f t="shared" ca="1" si="53"/>
        <v>-26498.840385946667</v>
      </c>
      <c r="L635" s="444">
        <f t="shared" ca="1" si="54"/>
        <v>-6386220.5330131464</v>
      </c>
      <c r="M635" s="460">
        <f t="shared" si="56"/>
        <v>0.05</v>
      </c>
      <c r="N635" s="464">
        <f t="shared" si="57"/>
        <v>70373</v>
      </c>
    </row>
    <row r="636" spans="7:14" ht="11.25" customHeight="1" x14ac:dyDescent="0.25">
      <c r="G636" s="459">
        <f t="shared" si="67"/>
        <v>53</v>
      </c>
      <c r="H636" s="459">
        <v>629</v>
      </c>
      <c r="I636" s="444">
        <f t="shared" ca="1" si="55"/>
        <v>-6386220.5330131464</v>
      </c>
      <c r="J636" s="444">
        <f t="array" ref="J636">IFERROR(INDEX('Retirement Calculator'!K:K,MATCH('Lorri 401b'!N636,'Retirement Calculator'!A:A,0),0),0)</f>
        <v>21655.303514578787</v>
      </c>
      <c r="K636" s="444">
        <f t="shared" ca="1" si="53"/>
        <v>-26699.482652198854</v>
      </c>
      <c r="L636" s="444">
        <f t="shared" ca="1" si="54"/>
        <v>-6434575.3191799233</v>
      </c>
      <c r="M636" s="460">
        <f t="shared" si="56"/>
        <v>0.05</v>
      </c>
      <c r="N636" s="464">
        <f t="shared" si="57"/>
        <v>70403</v>
      </c>
    </row>
    <row r="637" spans="7:14" ht="11.25" customHeight="1" x14ac:dyDescent="0.25">
      <c r="G637" s="459">
        <f t="shared" si="67"/>
        <v>53</v>
      </c>
      <c r="H637" s="459">
        <v>630</v>
      </c>
      <c r="I637" s="444">
        <f t="shared" ca="1" si="55"/>
        <v>-6434575.3191799233</v>
      </c>
      <c r="J637" s="444">
        <f t="array" ref="J637">IFERROR(INDEX('Retirement Calculator'!K:K,MATCH('Lorri 401b'!N637,'Retirement Calculator'!A:A,0),0),0)</f>
        <v>21655.303514578787</v>
      </c>
      <c r="K637" s="444">
        <f t="shared" ca="1" si="53"/>
        <v>-26900.960927893757</v>
      </c>
      <c r="L637" s="444">
        <f t="shared" ca="1" si="54"/>
        <v>-6483131.5836223951</v>
      </c>
      <c r="M637" s="460">
        <f t="shared" si="56"/>
        <v>0.05</v>
      </c>
      <c r="N637" s="464">
        <f t="shared" si="57"/>
        <v>70434</v>
      </c>
    </row>
    <row r="638" spans="7:14" ht="11.25" customHeight="1" x14ac:dyDescent="0.25">
      <c r="G638" s="459">
        <f t="shared" si="67"/>
        <v>53</v>
      </c>
      <c r="H638" s="459">
        <v>631</v>
      </c>
      <c r="I638" s="444">
        <f t="shared" ca="1" si="55"/>
        <v>-6483131.5836223951</v>
      </c>
      <c r="J638" s="444">
        <f t="array" ref="J638">IFERROR(INDEX('Retirement Calculator'!K:K,MATCH('Lorri 401b'!N638,'Retirement Calculator'!A:A,0),0),0)</f>
        <v>21655.303514578787</v>
      </c>
      <c r="K638" s="444">
        <f t="shared" ca="1" si="53"/>
        <v>-27103.278696404057</v>
      </c>
      <c r="L638" s="444">
        <f t="shared" ca="1" si="54"/>
        <v>-6531890.1658333773</v>
      </c>
      <c r="M638" s="460">
        <f t="shared" si="56"/>
        <v>0.05</v>
      </c>
      <c r="N638" s="464">
        <f t="shared" si="57"/>
        <v>70464</v>
      </c>
    </row>
    <row r="639" spans="7:14" ht="11.25" customHeight="1" x14ac:dyDescent="0.25">
      <c r="G639" s="459">
        <f t="shared" si="67"/>
        <v>53</v>
      </c>
      <c r="H639" s="459">
        <v>632</v>
      </c>
      <c r="I639" s="444">
        <f t="shared" ca="1" si="55"/>
        <v>-6531890.1658333773</v>
      </c>
      <c r="J639" s="444">
        <f t="array" ref="J639">IFERROR(INDEX('Retirement Calculator'!K:K,MATCH('Lorri 401b'!N639,'Retirement Calculator'!A:A,0),0),0)</f>
        <v>21655.303514578787</v>
      </c>
      <c r="K639" s="444">
        <f t="shared" ca="1" si="53"/>
        <v>-27306.439455616481</v>
      </c>
      <c r="L639" s="444">
        <f t="shared" ca="1" si="54"/>
        <v>-6580851.9088035719</v>
      </c>
      <c r="M639" s="460">
        <f t="shared" si="56"/>
        <v>0.05</v>
      </c>
      <c r="N639" s="464">
        <f t="shared" si="57"/>
        <v>70495</v>
      </c>
    </row>
    <row r="640" spans="7:14" ht="11.25" customHeight="1" x14ac:dyDescent="0.25">
      <c r="G640" s="459">
        <f t="shared" si="67"/>
        <v>53</v>
      </c>
      <c r="H640" s="459">
        <v>633</v>
      </c>
      <c r="I640" s="444">
        <f t="shared" ca="1" si="55"/>
        <v>-6580851.9088035719</v>
      </c>
      <c r="J640" s="444">
        <f t="array" ref="J640">IFERROR(INDEX('Retirement Calculator'!K:K,MATCH('Lorri 401b'!N640,'Retirement Calculator'!A:A,0),0),0)</f>
        <v>21655.303514578787</v>
      </c>
      <c r="K640" s="444">
        <f t="shared" ca="1" si="53"/>
        <v>-27510.446717992294</v>
      </c>
      <c r="L640" s="444">
        <f t="shared" ca="1" si="54"/>
        <v>-6630017.6590361428</v>
      </c>
      <c r="M640" s="460">
        <f t="shared" si="56"/>
        <v>0.05</v>
      </c>
      <c r="N640" s="464">
        <f t="shared" si="57"/>
        <v>70526</v>
      </c>
    </row>
    <row r="641" spans="7:14" ht="11.25" customHeight="1" x14ac:dyDescent="0.25">
      <c r="G641" s="459">
        <f t="shared" si="67"/>
        <v>53</v>
      </c>
      <c r="H641" s="459">
        <v>634</v>
      </c>
      <c r="I641" s="444">
        <f t="shared" ca="1" si="55"/>
        <v>-6630017.6590361428</v>
      </c>
      <c r="J641" s="444">
        <f t="array" ref="J641">IFERROR(INDEX('Retirement Calculator'!K:K,MATCH('Lorri 401b'!N641,'Retirement Calculator'!A:A,0),0),0)</f>
        <v>21655.303514578787</v>
      </c>
      <c r="K641" s="444">
        <f t="shared" ca="1" si="53"/>
        <v>-27715.304010628006</v>
      </c>
      <c r="L641" s="444">
        <f t="shared" ca="1" si="54"/>
        <v>-6679388.2665613489</v>
      </c>
      <c r="M641" s="460">
        <f t="shared" si="56"/>
        <v>0.05</v>
      </c>
      <c r="N641" s="464">
        <f t="shared" si="57"/>
        <v>70554</v>
      </c>
    </row>
    <row r="642" spans="7:14" ht="11.25" customHeight="1" x14ac:dyDescent="0.25">
      <c r="G642" s="459">
        <f t="shared" si="67"/>
        <v>53</v>
      </c>
      <c r="H642" s="459">
        <v>635</v>
      </c>
      <c r="I642" s="444">
        <f t="shared" ca="1" si="55"/>
        <v>-6679388.2665613489</v>
      </c>
      <c r="J642" s="444">
        <f t="array" ref="J642">IFERROR(INDEX('Retirement Calculator'!K:K,MATCH('Lorri 401b'!N642,'Retirement Calculator'!A:A,0),0),0)</f>
        <v>21655.303514578787</v>
      </c>
      <c r="K642" s="444">
        <f t="shared" ca="1" si="53"/>
        <v>-27921.014875316367</v>
      </c>
      <c r="L642" s="444">
        <f t="shared" ca="1" si="54"/>
        <v>-6728964.5849512434</v>
      </c>
      <c r="M642" s="460">
        <f t="shared" si="56"/>
        <v>0.05</v>
      </c>
      <c r="N642" s="464">
        <f t="shared" si="57"/>
        <v>70585</v>
      </c>
    </row>
    <row r="643" spans="7:14" ht="11.25" customHeight="1" x14ac:dyDescent="0.25">
      <c r="G643" s="459">
        <f t="shared" si="67"/>
        <v>53</v>
      </c>
      <c r="H643" s="459">
        <v>636</v>
      </c>
      <c r="I643" s="444">
        <f t="shared" ca="1" si="55"/>
        <v>-6728964.5849512434</v>
      </c>
      <c r="J643" s="444">
        <f t="array" ref="J643">IFERROR(INDEX('Retirement Calculator'!K:K,MATCH('Lorri 401b'!N643,'Retirement Calculator'!A:A,0),0),0)</f>
        <v>21655.303514578787</v>
      </c>
      <c r="K643" s="444">
        <f t="shared" ca="1" si="53"/>
        <v>-28127.582868607591</v>
      </c>
      <c r="L643" s="444">
        <f t="shared" ca="1" si="54"/>
        <v>-6778747.4713344295</v>
      </c>
      <c r="M643" s="460">
        <f t="shared" si="56"/>
        <v>0.05</v>
      </c>
      <c r="N643" s="464">
        <f t="shared" si="57"/>
        <v>70615</v>
      </c>
    </row>
    <row r="644" spans="7:14" ht="11.25" customHeight="1" x14ac:dyDescent="0.25">
      <c r="G644" s="459">
        <f>G643+1</f>
        <v>54</v>
      </c>
      <c r="H644" s="459">
        <v>637</v>
      </c>
      <c r="I644" s="444">
        <f t="shared" ca="1" si="55"/>
        <v>-6778747.4713344295</v>
      </c>
      <c r="J644" s="444">
        <f t="array" ref="J644">IFERROR(INDEX('Retirement Calculator'!K:K,MATCH('Lorri 401b'!N644,'Retirement Calculator'!A:A,0),0),0)</f>
        <v>21655.303514578787</v>
      </c>
      <c r="K644" s="444">
        <f t="shared" ca="1" si="53"/>
        <v>-28335.011561870866</v>
      </c>
      <c r="L644" s="444">
        <f t="shared" ca="1" si="54"/>
        <v>-6828737.7864108784</v>
      </c>
      <c r="M644" s="460">
        <f t="shared" si="56"/>
        <v>0.05</v>
      </c>
      <c r="N644" s="464">
        <f t="shared" si="57"/>
        <v>70646</v>
      </c>
    </row>
    <row r="645" spans="7:14" ht="11.25" customHeight="1" x14ac:dyDescent="0.25">
      <c r="G645" s="459">
        <f t="shared" ref="G645:G655" si="68">G644</f>
        <v>54</v>
      </c>
      <c r="H645" s="459">
        <v>638</v>
      </c>
      <c r="I645" s="444">
        <f t="shared" ca="1" si="55"/>
        <v>-6828737.7864108784</v>
      </c>
      <c r="J645" s="444">
        <f t="array" ref="J645">IFERROR(INDEX('Retirement Calculator'!K:K,MATCH('Lorri 401b'!N645,'Retirement Calculator'!A:A,0),0),0)</f>
        <v>21655.303514578787</v>
      </c>
      <c r="K645" s="444">
        <f t="shared" ca="1" si="53"/>
        <v>-28543.304541356069</v>
      </c>
      <c r="L645" s="444">
        <f t="shared" ca="1" si="54"/>
        <v>-6878936.3944668127</v>
      </c>
      <c r="M645" s="460">
        <f t="shared" si="56"/>
        <v>0.05</v>
      </c>
      <c r="N645" s="464">
        <f t="shared" si="57"/>
        <v>70676</v>
      </c>
    </row>
    <row r="646" spans="7:14" ht="11.25" customHeight="1" x14ac:dyDescent="0.25">
      <c r="G646" s="459">
        <f t="shared" si="68"/>
        <v>54</v>
      </c>
      <c r="H646" s="459">
        <v>639</v>
      </c>
      <c r="I646" s="444">
        <f t="shared" ca="1" si="55"/>
        <v>-6878936.3944668127</v>
      </c>
      <c r="J646" s="444">
        <f t="array" ref="J646">IFERROR(INDEX('Retirement Calculator'!K:K,MATCH('Lorri 401b'!N646,'Retirement Calculator'!A:A,0),0),0)</f>
        <v>21655.303514578787</v>
      </c>
      <c r="K646" s="444">
        <f t="shared" ca="1" si="53"/>
        <v>-28752.465408255797</v>
      </c>
      <c r="L646" s="444">
        <f t="shared" ca="1" si="54"/>
        <v>-6929344.1633896464</v>
      </c>
      <c r="M646" s="460">
        <f t="shared" si="56"/>
        <v>0.05</v>
      </c>
      <c r="N646" s="464">
        <f t="shared" si="57"/>
        <v>70707</v>
      </c>
    </row>
    <row r="647" spans="7:14" ht="11.25" customHeight="1" x14ac:dyDescent="0.25">
      <c r="G647" s="459">
        <f t="shared" si="68"/>
        <v>54</v>
      </c>
      <c r="H647" s="459">
        <v>640</v>
      </c>
      <c r="I647" s="444">
        <f t="shared" ca="1" si="55"/>
        <v>-6929344.1633896464</v>
      </c>
      <c r="J647" s="444">
        <f t="array" ref="J647">IFERROR(INDEX('Retirement Calculator'!K:K,MATCH('Lorri 401b'!N647,'Retirement Calculator'!A:A,0),0),0)</f>
        <v>21655.303514578787</v>
      </c>
      <c r="K647" s="444">
        <f t="shared" ca="1" si="53"/>
        <v>-28962.497778767603</v>
      </c>
      <c r="L647" s="444">
        <f t="shared" ca="1" si="54"/>
        <v>-6979961.9646829925</v>
      </c>
      <c r="M647" s="460">
        <f t="shared" si="56"/>
        <v>0.05</v>
      </c>
      <c r="N647" s="464">
        <f t="shared" si="57"/>
        <v>70738</v>
      </c>
    </row>
    <row r="648" spans="7:14" ht="11.25" customHeight="1" x14ac:dyDescent="0.25">
      <c r="G648" s="459">
        <f t="shared" si="68"/>
        <v>54</v>
      </c>
      <c r="H648" s="459">
        <v>641</v>
      </c>
      <c r="I648" s="444">
        <f t="shared" ca="1" si="55"/>
        <v>-6979961.9646829925</v>
      </c>
      <c r="J648" s="444">
        <f t="array" ref="J648">IFERROR(INDEX('Retirement Calculator'!K:K,MATCH('Lorri 401b'!N648,'Retirement Calculator'!A:A,0),0),0)</f>
        <v>21655.303514578787</v>
      </c>
      <c r="K648" s="444">
        <f t="shared" ca="1" si="53"/>
        <v>-29173.405284156546</v>
      </c>
      <c r="L648" s="444">
        <f t="shared" ca="1" si="54"/>
        <v>-7030790.673481727</v>
      </c>
      <c r="M648" s="460">
        <f t="shared" si="56"/>
        <v>0.05</v>
      </c>
      <c r="N648" s="464">
        <f t="shared" si="57"/>
        <v>70768</v>
      </c>
    </row>
    <row r="649" spans="7:14" ht="11.25" customHeight="1" x14ac:dyDescent="0.25">
      <c r="G649" s="459">
        <f t="shared" si="68"/>
        <v>54</v>
      </c>
      <c r="H649" s="459">
        <v>642</v>
      </c>
      <c r="I649" s="444">
        <f t="shared" ca="1" si="55"/>
        <v>-7030790.673481727</v>
      </c>
      <c r="J649" s="444">
        <f t="array" ref="J649">IFERROR(INDEX('Retirement Calculator'!K:K,MATCH('Lorri 401b'!N649,'Retirement Calculator'!A:A,0),0),0)</f>
        <v>21655.303514578787</v>
      </c>
      <c r="K649" s="444">
        <f t="shared" ca="1" si="53"/>
        <v>-29385.19157081794</v>
      </c>
      <c r="L649" s="444">
        <f t="shared" ca="1" si="54"/>
        <v>-7081831.1685671229</v>
      </c>
      <c r="M649" s="460">
        <f t="shared" si="56"/>
        <v>0.05</v>
      </c>
      <c r="N649" s="464">
        <f t="shared" si="57"/>
        <v>70799</v>
      </c>
    </row>
    <row r="650" spans="7:14" ht="11.25" customHeight="1" x14ac:dyDescent="0.25">
      <c r="G650" s="459">
        <f t="shared" si="68"/>
        <v>54</v>
      </c>
      <c r="H650" s="459">
        <v>643</v>
      </c>
      <c r="I650" s="444">
        <f t="shared" ca="1" si="55"/>
        <v>-7081831.1685671229</v>
      </c>
      <c r="J650" s="444">
        <f t="array" ref="J650">IFERROR(INDEX('Retirement Calculator'!K:K,MATCH('Lorri 401b'!N650,'Retirement Calculator'!A:A,0),0),0)</f>
        <v>21655.303514578787</v>
      </c>
      <c r="K650" s="444">
        <f t="shared" ca="1" si="53"/>
        <v>-29597.860300340421</v>
      </c>
      <c r="L650" s="444">
        <f t="shared" ca="1" si="54"/>
        <v>-7133084.332382042</v>
      </c>
      <c r="M650" s="460">
        <f t="shared" si="56"/>
        <v>0.05</v>
      </c>
      <c r="N650" s="464">
        <f t="shared" si="57"/>
        <v>70829</v>
      </c>
    </row>
    <row r="651" spans="7:14" ht="11.25" customHeight="1" x14ac:dyDescent="0.25">
      <c r="G651" s="459">
        <f t="shared" si="68"/>
        <v>54</v>
      </c>
      <c r="H651" s="459">
        <v>644</v>
      </c>
      <c r="I651" s="444">
        <f t="shared" ca="1" si="55"/>
        <v>-7133084.332382042</v>
      </c>
      <c r="J651" s="444">
        <f t="array" ref="J651">IFERROR(INDEX('Retirement Calculator'!K:K,MATCH('Lorri 401b'!N651,'Retirement Calculator'!A:A,0),0),0)</f>
        <v>21655.303514578787</v>
      </c>
      <c r="K651" s="444">
        <f t="shared" ca="1" si="53"/>
        <v>-29811.415149569249</v>
      </c>
      <c r="L651" s="444">
        <f t="shared" ca="1" si="54"/>
        <v>-7184551.0510461899</v>
      </c>
      <c r="M651" s="460">
        <f t="shared" si="56"/>
        <v>0.05</v>
      </c>
      <c r="N651" s="464">
        <f t="shared" si="57"/>
        <v>70860</v>
      </c>
    </row>
    <row r="652" spans="7:14" ht="11.25" customHeight="1" x14ac:dyDescent="0.25">
      <c r="G652" s="459">
        <f t="shared" si="68"/>
        <v>54</v>
      </c>
      <c r="H652" s="459">
        <v>645</v>
      </c>
      <c r="I652" s="444">
        <f t="shared" ca="1" si="55"/>
        <v>-7184551.0510461899</v>
      </c>
      <c r="J652" s="444">
        <f t="array" ref="J652">IFERROR(INDEX('Retirement Calculator'!K:K,MATCH('Lorri 401b'!N652,'Retirement Calculator'!A:A,0),0),0)</f>
        <v>21655.303514578787</v>
      </c>
      <c r="K652" s="444">
        <f t="shared" ca="1" si="53"/>
        <v>-30025.859810669866</v>
      </c>
      <c r="L652" s="444">
        <f t="shared" ca="1" si="54"/>
        <v>-7236232.2143714381</v>
      </c>
      <c r="M652" s="460">
        <f t="shared" si="56"/>
        <v>0.05</v>
      </c>
      <c r="N652" s="464">
        <f t="shared" si="57"/>
        <v>70891</v>
      </c>
    </row>
    <row r="653" spans="7:14" ht="11.25" customHeight="1" x14ac:dyDescent="0.25">
      <c r="G653" s="459">
        <f t="shared" si="68"/>
        <v>54</v>
      </c>
      <c r="H653" s="459">
        <v>646</v>
      </c>
      <c r="I653" s="444">
        <f t="shared" ca="1" si="55"/>
        <v>-7236232.2143714381</v>
      </c>
      <c r="J653" s="444">
        <f t="array" ref="J653">IFERROR(INDEX('Retirement Calculator'!K:K,MATCH('Lorri 401b'!N653,'Retirement Calculator'!A:A,0),0),0)</f>
        <v>21655.303514578787</v>
      </c>
      <c r="K653" s="444">
        <f t="shared" ca="1" si="53"/>
        <v>-30241.197991191741</v>
      </c>
      <c r="L653" s="444">
        <f t="shared" ca="1" si="54"/>
        <v>-7288128.7158772079</v>
      </c>
      <c r="M653" s="460">
        <f t="shared" si="56"/>
        <v>0.05</v>
      </c>
      <c r="N653" s="464">
        <f t="shared" si="57"/>
        <v>70919</v>
      </c>
    </row>
    <row r="654" spans="7:14" ht="11.25" customHeight="1" x14ac:dyDescent="0.25">
      <c r="G654" s="459">
        <f t="shared" si="68"/>
        <v>54</v>
      </c>
      <c r="H654" s="459">
        <v>647</v>
      </c>
      <c r="I654" s="444">
        <f t="shared" ca="1" si="55"/>
        <v>-7288128.7158772079</v>
      </c>
      <c r="J654" s="444">
        <f t="array" ref="J654">IFERROR(INDEX('Retirement Calculator'!K:K,MATCH('Lorri 401b'!N654,'Retirement Calculator'!A:A,0),0),0)</f>
        <v>21655.303514578787</v>
      </c>
      <c r="K654" s="444">
        <f t="shared" ca="1" si="53"/>
        <v>-30457.43341413244</v>
      </c>
      <c r="L654" s="444">
        <f t="shared" ca="1" si="54"/>
        <v>-7340241.4528059186</v>
      </c>
      <c r="M654" s="460">
        <f t="shared" si="56"/>
        <v>0.05</v>
      </c>
      <c r="N654" s="464">
        <f t="shared" si="57"/>
        <v>70950</v>
      </c>
    </row>
    <row r="655" spans="7:14" ht="11.25" customHeight="1" x14ac:dyDescent="0.25">
      <c r="G655" s="459">
        <f t="shared" si="68"/>
        <v>54</v>
      </c>
      <c r="H655" s="459">
        <v>648</v>
      </c>
      <c r="I655" s="444">
        <f t="shared" ca="1" si="55"/>
        <v>-7340241.4528059186</v>
      </c>
      <c r="J655" s="444">
        <f t="array" ref="J655">IFERROR(INDEX('Retirement Calculator'!K:K,MATCH('Lorri 401b'!N655,'Retirement Calculator'!A:A,0),0),0)</f>
        <v>21655.303514578787</v>
      </c>
      <c r="K655" s="444">
        <f t="shared" ca="1" si="53"/>
        <v>-30674.569818002074</v>
      </c>
      <c r="L655" s="444">
        <f t="shared" ca="1" si="54"/>
        <v>-7392571.3261384992</v>
      </c>
      <c r="M655" s="460">
        <f t="shared" si="56"/>
        <v>0.05</v>
      </c>
      <c r="N655" s="464">
        <f t="shared" si="57"/>
        <v>70980</v>
      </c>
    </row>
    <row r="656" spans="7:14" ht="11.25" customHeight="1" x14ac:dyDescent="0.25">
      <c r="G656" s="459">
        <f>G655+1</f>
        <v>55</v>
      </c>
      <c r="H656" s="459">
        <v>649</v>
      </c>
      <c r="I656" s="444">
        <f t="shared" ca="1" si="55"/>
        <v>-7392571.3261384992</v>
      </c>
      <c r="J656" s="444">
        <f t="array" ref="J656">IFERROR(INDEX('Retirement Calculator'!K:K,MATCH('Lorri 401b'!N656,'Retirement Calculator'!A:A,0),0),0)</f>
        <v>21655.303514578787</v>
      </c>
      <c r="K656" s="444">
        <f t="shared" ca="1" si="53"/>
        <v>-30892.610956887824</v>
      </c>
      <c r="L656" s="444">
        <f t="shared" ca="1" si="54"/>
        <v>-7445119.2406099653</v>
      </c>
      <c r="M656" s="460">
        <f t="shared" si="56"/>
        <v>0.05</v>
      </c>
      <c r="N656" s="464">
        <f t="shared" si="57"/>
        <v>71011</v>
      </c>
    </row>
    <row r="657" spans="7:14" ht="11.25" customHeight="1" x14ac:dyDescent="0.25">
      <c r="G657" s="459">
        <f t="shared" ref="G657:G667" si="69">G656</f>
        <v>55</v>
      </c>
      <c r="H657" s="459">
        <v>650</v>
      </c>
      <c r="I657" s="444">
        <f t="shared" ca="1" si="55"/>
        <v>-7445119.2406099653</v>
      </c>
      <c r="J657" s="444">
        <f t="array" ref="J657">IFERROR(INDEX('Retirement Calculator'!K:K,MATCH('Lorri 401b'!N657,'Retirement Calculator'!A:A,0),0),0)</f>
        <v>21655.303514578787</v>
      </c>
      <c r="K657" s="444">
        <f t="shared" ca="1" si="53"/>
        <v>-31111.560600518933</v>
      </c>
      <c r="L657" s="444">
        <f t="shared" ca="1" si="54"/>
        <v>-7497886.1047250628</v>
      </c>
      <c r="M657" s="460">
        <f t="shared" si="56"/>
        <v>0.05</v>
      </c>
      <c r="N657" s="464">
        <f t="shared" si="57"/>
        <v>71041</v>
      </c>
    </row>
    <row r="658" spans="7:14" ht="11.25" customHeight="1" x14ac:dyDescent="0.25">
      <c r="G658" s="459">
        <f t="shared" si="69"/>
        <v>55</v>
      </c>
      <c r="H658" s="459">
        <v>651</v>
      </c>
      <c r="I658" s="444">
        <f t="shared" ca="1" si="55"/>
        <v>-7497886.1047250628</v>
      </c>
      <c r="J658" s="444">
        <f t="array" ref="J658">IFERROR(INDEX('Retirement Calculator'!K:K,MATCH('Lorri 401b'!N658,'Retirement Calculator'!A:A,0),0),0)</f>
        <v>21655.303514578787</v>
      </c>
      <c r="K658" s="444">
        <f t="shared" ca="1" si="53"/>
        <v>-31331.422534331839</v>
      </c>
      <c r="L658" s="444">
        <f t="shared" ca="1" si="54"/>
        <v>-7550872.8307739729</v>
      </c>
      <c r="M658" s="460">
        <f t="shared" si="56"/>
        <v>0.05</v>
      </c>
      <c r="N658" s="464">
        <f t="shared" si="57"/>
        <v>71072</v>
      </c>
    </row>
    <row r="659" spans="7:14" ht="11.25" customHeight="1" x14ac:dyDescent="0.25">
      <c r="G659" s="459">
        <f t="shared" si="69"/>
        <v>55</v>
      </c>
      <c r="H659" s="459">
        <v>652</v>
      </c>
      <c r="I659" s="444">
        <f t="shared" ca="1" si="55"/>
        <v>-7550872.8307739729</v>
      </c>
      <c r="J659" s="444">
        <f t="array" ref="J659">IFERROR(INDEX('Retirement Calculator'!K:K,MATCH('Lorri 401b'!N659,'Retirement Calculator'!A:A,0),0),0)</f>
        <v>21655.303514578787</v>
      </c>
      <c r="K659" s="444">
        <f t="shared" ca="1" si="53"/>
        <v>-31552.200559535631</v>
      </c>
      <c r="L659" s="444">
        <f t="shared" ca="1" si="54"/>
        <v>-7604080.3348480873</v>
      </c>
      <c r="M659" s="460">
        <f t="shared" si="56"/>
        <v>0.05</v>
      </c>
      <c r="N659" s="464">
        <f t="shared" si="57"/>
        <v>71103</v>
      </c>
    </row>
    <row r="660" spans="7:14" ht="11.25" customHeight="1" x14ac:dyDescent="0.25">
      <c r="G660" s="459">
        <f t="shared" si="69"/>
        <v>55</v>
      </c>
      <c r="H660" s="459">
        <v>653</v>
      </c>
      <c r="I660" s="444">
        <f t="shared" ca="1" si="55"/>
        <v>-7604080.3348480873</v>
      </c>
      <c r="J660" s="444">
        <f t="array" ref="J660">IFERROR(INDEX('Retirement Calculator'!K:K,MATCH('Lorri 401b'!N660,'Retirement Calculator'!A:A,0),0),0)</f>
        <v>21655.303514578787</v>
      </c>
      <c r="K660" s="444">
        <f t="shared" ca="1" si="53"/>
        <v>-31773.898493177774</v>
      </c>
      <c r="L660" s="444">
        <f t="shared" ca="1" si="54"/>
        <v>-7657509.5368558438</v>
      </c>
      <c r="M660" s="460">
        <f t="shared" si="56"/>
        <v>0.05</v>
      </c>
      <c r="N660" s="464">
        <f t="shared" si="57"/>
        <v>71133</v>
      </c>
    </row>
    <row r="661" spans="7:14" ht="11.25" customHeight="1" x14ac:dyDescent="0.25">
      <c r="G661" s="459">
        <f t="shared" si="69"/>
        <v>55</v>
      </c>
      <c r="H661" s="459">
        <v>654</v>
      </c>
      <c r="I661" s="444">
        <f t="shared" ca="1" si="55"/>
        <v>-7657509.5368558438</v>
      </c>
      <c r="J661" s="444">
        <f t="array" ref="J661">IFERROR(INDEX('Retirement Calculator'!K:K,MATCH('Lorri 401b'!N661,'Retirement Calculator'!A:A,0),0),0)</f>
        <v>21655.303514578787</v>
      </c>
      <c r="K661" s="444">
        <f t="shared" ca="1" si="53"/>
        <v>-31996.520168210092</v>
      </c>
      <c r="L661" s="444">
        <f t="shared" ca="1" si="54"/>
        <v>-7711161.3605386326</v>
      </c>
      <c r="M661" s="460">
        <f t="shared" si="56"/>
        <v>0.05</v>
      </c>
      <c r="N661" s="464">
        <f t="shared" si="57"/>
        <v>71164</v>
      </c>
    </row>
    <row r="662" spans="7:14" ht="11.25" customHeight="1" x14ac:dyDescent="0.25">
      <c r="G662" s="459">
        <f t="shared" si="69"/>
        <v>55</v>
      </c>
      <c r="H662" s="459">
        <v>655</v>
      </c>
      <c r="I662" s="444">
        <f t="shared" ca="1" si="55"/>
        <v>-7711161.3605386326</v>
      </c>
      <c r="J662" s="444">
        <f t="array" ref="J662">IFERROR(INDEX('Retirement Calculator'!K:K,MATCH('Lorri 401b'!N662,'Retirement Calculator'!A:A,0),0),0)</f>
        <v>21655.303514578787</v>
      </c>
      <c r="K662" s="444">
        <f t="shared" ca="1" si="53"/>
        <v>-32220.069433555047</v>
      </c>
      <c r="L662" s="444">
        <f t="shared" ca="1" si="54"/>
        <v>-7765036.733486766</v>
      </c>
      <c r="M662" s="460">
        <f t="shared" si="56"/>
        <v>0.05</v>
      </c>
      <c r="N662" s="464">
        <f t="shared" si="57"/>
        <v>71194</v>
      </c>
    </row>
    <row r="663" spans="7:14" ht="11.25" customHeight="1" x14ac:dyDescent="0.25">
      <c r="G663" s="459">
        <f t="shared" si="69"/>
        <v>55</v>
      </c>
      <c r="H663" s="459">
        <v>656</v>
      </c>
      <c r="I663" s="444">
        <f t="shared" ca="1" si="55"/>
        <v>-7765036.733486766</v>
      </c>
      <c r="J663" s="444">
        <f t="array" ref="J663">IFERROR(INDEX('Retirement Calculator'!K:K,MATCH('Lorri 401b'!N663,'Retirement Calculator'!A:A,0),0),0)</f>
        <v>21655.303514578787</v>
      </c>
      <c r="K663" s="444">
        <f t="shared" ca="1" si="53"/>
        <v>-32444.550154172273</v>
      </c>
      <c r="L663" s="444">
        <f t="shared" ca="1" si="54"/>
        <v>-7819136.5871555163</v>
      </c>
      <c r="M663" s="460">
        <f t="shared" si="56"/>
        <v>0.05</v>
      </c>
      <c r="N663" s="464">
        <f t="shared" si="57"/>
        <v>71225</v>
      </c>
    </row>
    <row r="664" spans="7:14" ht="11.25" customHeight="1" x14ac:dyDescent="0.25">
      <c r="G664" s="459">
        <f t="shared" si="69"/>
        <v>55</v>
      </c>
      <c r="H664" s="459">
        <v>657</v>
      </c>
      <c r="I664" s="444">
        <f t="shared" ca="1" si="55"/>
        <v>-7819136.5871555163</v>
      </c>
      <c r="J664" s="444">
        <f t="array" ref="J664">IFERROR(INDEX('Retirement Calculator'!K:K,MATCH('Lorri 401b'!N664,'Retirement Calculator'!A:A,0),0),0)</f>
        <v>21655.303514578787</v>
      </c>
      <c r="K664" s="444">
        <f t="shared" ca="1" si="53"/>
        <v>-32669.966211125393</v>
      </c>
      <c r="L664" s="444">
        <f t="shared" ca="1" si="54"/>
        <v>-7873461.8568812199</v>
      </c>
      <c r="M664" s="460">
        <f t="shared" si="56"/>
        <v>0.05</v>
      </c>
      <c r="N664" s="464">
        <f t="shared" si="57"/>
        <v>71256</v>
      </c>
    </row>
    <row r="665" spans="7:14" ht="11.25" customHeight="1" x14ac:dyDescent="0.25">
      <c r="G665" s="459">
        <f t="shared" si="69"/>
        <v>55</v>
      </c>
      <c r="H665" s="459">
        <v>658</v>
      </c>
      <c r="I665" s="444">
        <f t="shared" ca="1" si="55"/>
        <v>-7873461.8568812199</v>
      </c>
      <c r="J665" s="444">
        <f t="array" ref="J665">IFERROR(INDEX('Retirement Calculator'!K:K,MATCH('Lorri 401b'!N665,'Retirement Calculator'!A:A,0),0),0)</f>
        <v>21655.303514578787</v>
      </c>
      <c r="K665" s="444">
        <f t="shared" ca="1" si="53"/>
        <v>-32896.321501649159</v>
      </c>
      <c r="L665" s="444">
        <f t="shared" ca="1" si="54"/>
        <v>-7928013.4818974473</v>
      </c>
      <c r="M665" s="460">
        <f t="shared" si="56"/>
        <v>0.05</v>
      </c>
      <c r="N665" s="464">
        <f t="shared" si="57"/>
        <v>71284</v>
      </c>
    </row>
    <row r="666" spans="7:14" ht="11.25" customHeight="1" x14ac:dyDescent="0.25">
      <c r="G666" s="459">
        <f t="shared" si="69"/>
        <v>55</v>
      </c>
      <c r="H666" s="459">
        <v>659</v>
      </c>
      <c r="I666" s="444">
        <f t="shared" ca="1" si="55"/>
        <v>-7928013.4818974473</v>
      </c>
      <c r="J666" s="444">
        <f t="array" ref="J666">IFERROR(INDEX('Retirement Calculator'!K:K,MATCH('Lorri 401b'!N666,'Retirement Calculator'!A:A,0),0),0)</f>
        <v>21655.303514578787</v>
      </c>
      <c r="K666" s="444">
        <f t="shared" ca="1" si="53"/>
        <v>-33123.619939216776</v>
      </c>
      <c r="L666" s="444">
        <f t="shared" ca="1" si="54"/>
        <v>-7982792.4053512421</v>
      </c>
      <c r="M666" s="460">
        <f t="shared" si="56"/>
        <v>0.05</v>
      </c>
      <c r="N666" s="464">
        <f t="shared" si="57"/>
        <v>71315</v>
      </c>
    </row>
    <row r="667" spans="7:14" ht="11.25" customHeight="1" x14ac:dyDescent="0.25">
      <c r="G667" s="459">
        <f t="shared" si="69"/>
        <v>55</v>
      </c>
      <c r="H667" s="459">
        <v>660</v>
      </c>
      <c r="I667" s="444">
        <f t="shared" ca="1" si="55"/>
        <v>-7982792.4053512421</v>
      </c>
      <c r="J667" s="444">
        <f t="array" ref="J667">IFERROR(INDEX('Retirement Calculator'!K:K,MATCH('Lorri 401b'!N667,'Retirement Calculator'!A:A,0),0),0)</f>
        <v>21655.303514578787</v>
      </c>
      <c r="K667" s="444">
        <f t="shared" ca="1" si="53"/>
        <v>-33351.865453607585</v>
      </c>
      <c r="L667" s="444">
        <f t="shared" ca="1" si="54"/>
        <v>-8037799.5743194278</v>
      </c>
      <c r="M667" s="460">
        <f t="shared" si="56"/>
        <v>0.05</v>
      </c>
      <c r="N667" s="464">
        <f t="shared" si="57"/>
        <v>71345</v>
      </c>
    </row>
    <row r="668" spans="7:14" ht="11.25" customHeight="1" x14ac:dyDescent="0.25">
      <c r="G668" s="459">
        <f>G667+1</f>
        <v>56</v>
      </c>
      <c r="H668" s="459">
        <v>661</v>
      </c>
      <c r="I668" s="444">
        <f t="shared" ca="1" si="55"/>
        <v>-8037799.5743194278</v>
      </c>
      <c r="J668" s="444">
        <f t="array" ref="J668">IFERROR(INDEX('Retirement Calculator'!K:K,MATCH('Lorri 401b'!N668,'Retirement Calculator'!A:A,0),0),0)</f>
        <v>21655.303514578787</v>
      </c>
      <c r="K668" s="444">
        <f t="shared" ca="1" si="53"/>
        <v>-33581.061990975031</v>
      </c>
      <c r="L668" s="444">
        <f t="shared" ca="1" si="54"/>
        <v>-8093035.9398249816</v>
      </c>
      <c r="M668" s="460">
        <f t="shared" si="56"/>
        <v>0.05</v>
      </c>
      <c r="N668" s="464">
        <f t="shared" si="57"/>
        <v>71376</v>
      </c>
    </row>
    <row r="669" spans="7:14" ht="11.25" customHeight="1" x14ac:dyDescent="0.25">
      <c r="G669" s="459">
        <f t="shared" ref="G669:G679" si="70">G668</f>
        <v>56</v>
      </c>
      <c r="H669" s="459">
        <v>662</v>
      </c>
      <c r="I669" s="444">
        <f t="shared" ca="1" si="55"/>
        <v>-8093035.9398249816</v>
      </c>
      <c r="J669" s="444">
        <f t="array" ref="J669">IFERROR(INDEX('Retirement Calculator'!K:K,MATCH('Lorri 401b'!N669,'Retirement Calculator'!A:A,0),0),0)</f>
        <v>21655.303514578787</v>
      </c>
      <c r="K669" s="444">
        <f t="shared" ca="1" si="53"/>
        <v>-33811.21351391483</v>
      </c>
      <c r="L669" s="444">
        <f t="shared" ca="1" si="54"/>
        <v>-8148502.4568534745</v>
      </c>
      <c r="M669" s="460">
        <f t="shared" si="56"/>
        <v>0.05</v>
      </c>
      <c r="N669" s="464">
        <f t="shared" si="57"/>
        <v>71406</v>
      </c>
    </row>
    <row r="670" spans="7:14" ht="11.25" customHeight="1" x14ac:dyDescent="0.25">
      <c r="G670" s="459">
        <f t="shared" si="70"/>
        <v>56</v>
      </c>
      <c r="H670" s="459">
        <v>663</v>
      </c>
      <c r="I670" s="444">
        <f t="shared" ca="1" si="55"/>
        <v>-8148502.4568534745</v>
      </c>
      <c r="J670" s="444">
        <f t="array" ref="J670">IFERROR(INDEX('Retirement Calculator'!K:K,MATCH('Lorri 401b'!N670,'Retirement Calculator'!A:A,0),0),0)</f>
        <v>21655.303514578787</v>
      </c>
      <c r="K670" s="444">
        <f t="shared" ca="1" si="53"/>
        <v>-34042.324001533554</v>
      </c>
      <c r="L670" s="444">
        <f t="shared" ca="1" si="54"/>
        <v>-8204200.0843695868</v>
      </c>
      <c r="M670" s="460">
        <f t="shared" si="56"/>
        <v>0.05</v>
      </c>
      <c r="N670" s="464">
        <f t="shared" si="57"/>
        <v>71437</v>
      </c>
    </row>
    <row r="671" spans="7:14" ht="11.25" customHeight="1" x14ac:dyDescent="0.25">
      <c r="G671" s="459">
        <f t="shared" si="70"/>
        <v>56</v>
      </c>
      <c r="H671" s="459">
        <v>664</v>
      </c>
      <c r="I671" s="444">
        <f t="shared" ca="1" si="55"/>
        <v>-8204200.0843695868</v>
      </c>
      <c r="J671" s="444">
        <f t="array" ref="J671">IFERROR(INDEX('Retirement Calculator'!K:K,MATCH('Lorri 401b'!N671,'Retirement Calculator'!A:A,0),0),0)</f>
        <v>21655.303514578787</v>
      </c>
      <c r="K671" s="444">
        <f t="shared" ca="1" si="53"/>
        <v>-34274.397449517361</v>
      </c>
      <c r="L671" s="444">
        <f t="shared" ca="1" si="54"/>
        <v>-8260129.7853336828</v>
      </c>
      <c r="M671" s="460">
        <f t="shared" si="56"/>
        <v>0.05</v>
      </c>
      <c r="N671" s="464">
        <f t="shared" si="57"/>
        <v>71468</v>
      </c>
    </row>
    <row r="672" spans="7:14" ht="11.25" customHeight="1" x14ac:dyDescent="0.25">
      <c r="G672" s="459">
        <f t="shared" si="70"/>
        <v>56</v>
      </c>
      <c r="H672" s="459">
        <v>665</v>
      </c>
      <c r="I672" s="444">
        <f t="shared" ca="1" si="55"/>
        <v>-8260129.7853336828</v>
      </c>
      <c r="J672" s="444">
        <f t="array" ref="J672">IFERROR(INDEX('Retirement Calculator'!K:K,MATCH('Lorri 401b'!N672,'Retirement Calculator'!A:A,0),0),0)</f>
        <v>21655.303514578787</v>
      </c>
      <c r="K672" s="444">
        <f t="shared" ca="1" si="53"/>
        <v>-34507.437870201087</v>
      </c>
      <c r="L672" s="444">
        <f t="shared" ca="1" si="54"/>
        <v>-8316292.5267184619</v>
      </c>
      <c r="M672" s="460">
        <f t="shared" si="56"/>
        <v>0.05</v>
      </c>
      <c r="N672" s="464">
        <f t="shared" si="57"/>
        <v>71498</v>
      </c>
    </row>
    <row r="673" spans="7:14" ht="11.25" customHeight="1" x14ac:dyDescent="0.25">
      <c r="G673" s="459">
        <f t="shared" si="70"/>
        <v>56</v>
      </c>
      <c r="H673" s="459">
        <v>666</v>
      </c>
      <c r="I673" s="444">
        <f t="shared" ca="1" si="55"/>
        <v>-8316292.5267184619</v>
      </c>
      <c r="J673" s="444">
        <f t="array" ref="J673">IFERROR(INDEX('Retirement Calculator'!K:K,MATCH('Lorri 401b'!N673,'Retirement Calculator'!A:A,0),0),0)</f>
        <v>21655.303514578787</v>
      </c>
      <c r="K673" s="444">
        <f t="shared" ca="1" si="53"/>
        <v>-34741.449292637662</v>
      </c>
      <c r="L673" s="444">
        <f t="shared" ca="1" si="54"/>
        <v>-8372689.2795256777</v>
      </c>
      <c r="M673" s="460">
        <f t="shared" si="56"/>
        <v>0.05</v>
      </c>
      <c r="N673" s="464">
        <f t="shared" si="57"/>
        <v>71529</v>
      </c>
    </row>
    <row r="674" spans="7:14" ht="11.25" customHeight="1" x14ac:dyDescent="0.25">
      <c r="G674" s="459">
        <f t="shared" si="70"/>
        <v>56</v>
      </c>
      <c r="H674" s="459">
        <v>667</v>
      </c>
      <c r="I674" s="444">
        <f t="shared" ca="1" si="55"/>
        <v>-8372689.2795256777</v>
      </c>
      <c r="J674" s="444">
        <f t="array" ref="J674">IFERROR(INDEX('Retirement Calculator'!K:K,MATCH('Lorri 401b'!N674,'Retirement Calculator'!A:A,0),0),0)</f>
        <v>21655.303514578787</v>
      </c>
      <c r="K674" s="444">
        <f t="shared" ca="1" si="53"/>
        <v>-34976.43576266773</v>
      </c>
      <c r="L674" s="444">
        <f t="shared" ca="1" si="54"/>
        <v>-8429321.0188029241</v>
      </c>
      <c r="M674" s="460">
        <f t="shared" si="56"/>
        <v>0.05</v>
      </c>
      <c r="N674" s="464">
        <f t="shared" si="57"/>
        <v>71559</v>
      </c>
    </row>
    <row r="675" spans="7:14" ht="11.25" customHeight="1" x14ac:dyDescent="0.25">
      <c r="G675" s="459">
        <f t="shared" si="70"/>
        <v>56</v>
      </c>
      <c r="H675" s="459">
        <v>668</v>
      </c>
      <c r="I675" s="444">
        <f t="shared" ca="1" si="55"/>
        <v>-8429321.0188029241</v>
      </c>
      <c r="J675" s="444">
        <f t="array" ref="J675">IFERROR(INDEX('Retirement Calculator'!K:K,MATCH('Lorri 401b'!N675,'Retirement Calculator'!A:A,0),0),0)</f>
        <v>21655.303514578787</v>
      </c>
      <c r="K675" s="444">
        <f t="shared" ca="1" si="53"/>
        <v>-35212.4013429896</v>
      </c>
      <c r="L675" s="444">
        <f t="shared" ca="1" si="54"/>
        <v>-8486188.7236604933</v>
      </c>
      <c r="M675" s="460">
        <f t="shared" si="56"/>
        <v>0.05</v>
      </c>
      <c r="N675" s="464">
        <f t="shared" si="57"/>
        <v>71590</v>
      </c>
    </row>
    <row r="676" spans="7:14" ht="11.25" customHeight="1" x14ac:dyDescent="0.25">
      <c r="G676" s="459">
        <f t="shared" si="70"/>
        <v>56</v>
      </c>
      <c r="H676" s="459">
        <v>669</v>
      </c>
      <c r="I676" s="444">
        <f t="shared" ca="1" si="55"/>
        <v>-8486188.7236604933</v>
      </c>
      <c r="J676" s="444">
        <f t="array" ref="J676">IFERROR(INDEX('Retirement Calculator'!K:K,MATCH('Lorri 401b'!N676,'Retirement Calculator'!A:A,0),0),0)</f>
        <v>21655.303514578787</v>
      </c>
      <c r="K676" s="444">
        <f t="shared" ca="1" si="53"/>
        <v>-35449.35011322947</v>
      </c>
      <c r="L676" s="444">
        <f t="shared" ca="1" si="54"/>
        <v>-8543293.3772883024</v>
      </c>
      <c r="M676" s="460">
        <f t="shared" si="56"/>
        <v>0.05</v>
      </c>
      <c r="N676" s="464">
        <f t="shared" si="57"/>
        <v>71621</v>
      </c>
    </row>
    <row r="677" spans="7:14" ht="11.25" customHeight="1" x14ac:dyDescent="0.25">
      <c r="G677" s="459">
        <f t="shared" si="70"/>
        <v>56</v>
      </c>
      <c r="H677" s="459">
        <v>670</v>
      </c>
      <c r="I677" s="444">
        <f t="shared" ca="1" si="55"/>
        <v>-8543293.3772883024</v>
      </c>
      <c r="J677" s="444">
        <f t="array" ref="J677">IFERROR(INDEX('Retirement Calculator'!K:K,MATCH('Lorri 401b'!N677,'Retirement Calculator'!A:A,0),0),0)</f>
        <v>21655.303514578787</v>
      </c>
      <c r="K677" s="444">
        <f t="shared" ca="1" si="53"/>
        <v>-35687.286170012005</v>
      </c>
      <c r="L677" s="444">
        <f t="shared" ca="1" si="54"/>
        <v>-8600635.9669728931</v>
      </c>
      <c r="M677" s="460">
        <f t="shared" si="56"/>
        <v>0.05</v>
      </c>
      <c r="N677" s="464">
        <f t="shared" si="57"/>
        <v>71650</v>
      </c>
    </row>
    <row r="678" spans="7:14" ht="11.25" customHeight="1" x14ac:dyDescent="0.25">
      <c r="G678" s="459">
        <f t="shared" si="70"/>
        <v>56</v>
      </c>
      <c r="H678" s="459">
        <v>671</v>
      </c>
      <c r="I678" s="444">
        <f t="shared" ca="1" si="55"/>
        <v>-8600635.9669728931</v>
      </c>
      <c r="J678" s="444">
        <f t="array" ref="J678">IFERROR(INDEX('Retirement Calculator'!K:K,MATCH('Lorri 401b'!N678,'Retirement Calculator'!A:A,0),0),0)</f>
        <v>21655.303514578787</v>
      </c>
      <c r="K678" s="444">
        <f t="shared" ca="1" si="53"/>
        <v>-35926.213627031131</v>
      </c>
      <c r="L678" s="444">
        <f t="shared" ca="1" si="54"/>
        <v>-8658217.4841145035</v>
      </c>
      <c r="M678" s="460">
        <f t="shared" si="56"/>
        <v>0.05</v>
      </c>
      <c r="N678" s="464">
        <f t="shared" si="57"/>
        <v>71681</v>
      </c>
    </row>
    <row r="679" spans="7:14" ht="11.25" customHeight="1" x14ac:dyDescent="0.25">
      <c r="G679" s="459">
        <f t="shared" si="70"/>
        <v>56</v>
      </c>
      <c r="H679" s="459">
        <v>672</v>
      </c>
      <c r="I679" s="444">
        <f t="shared" ca="1" si="55"/>
        <v>-8658217.4841145035</v>
      </c>
      <c r="J679" s="444">
        <f t="array" ref="J679">IFERROR(INDEX('Retirement Calculator'!K:K,MATCH('Lorri 401b'!N679,'Retirement Calculator'!A:A,0),0),0)</f>
        <v>21655.303514578787</v>
      </c>
      <c r="K679" s="444">
        <f t="shared" ca="1" si="53"/>
        <v>-36166.136615121177</v>
      </c>
      <c r="L679" s="444">
        <f t="shared" ca="1" si="54"/>
        <v>-8716038.9242442045</v>
      </c>
      <c r="M679" s="460">
        <f t="shared" si="56"/>
        <v>0.05</v>
      </c>
      <c r="N679" s="464">
        <f t="shared" si="57"/>
        <v>71711</v>
      </c>
    </row>
    <row r="680" spans="7:14" ht="11.25" customHeight="1" x14ac:dyDescent="0.25">
      <c r="G680" s="459">
        <f>G679+1</f>
        <v>57</v>
      </c>
      <c r="H680" s="459">
        <v>673</v>
      </c>
      <c r="I680" s="444">
        <f t="shared" ca="1" si="55"/>
        <v>-8716038.9242442045</v>
      </c>
      <c r="J680" s="444">
        <f t="array" ref="J680">IFERROR(INDEX('Retirement Calculator'!K:K,MATCH('Lorri 401b'!N680,'Retirement Calculator'!A:A,0),0),0)</f>
        <v>21655.303514578787</v>
      </c>
      <c r="K680" s="444">
        <f t="shared" ca="1" si="53"/>
        <v>-36407.059282328264</v>
      </c>
      <c r="L680" s="444">
        <f t="shared" ca="1" si="54"/>
        <v>-8774101.2870411128</v>
      </c>
      <c r="M680" s="460">
        <f t="shared" si="56"/>
        <v>0.05</v>
      </c>
      <c r="N680" s="464">
        <f t="shared" si="57"/>
        <v>71742</v>
      </c>
    </row>
    <row r="681" spans="7:14" ht="11.25" customHeight="1" x14ac:dyDescent="0.25">
      <c r="G681" s="459">
        <f t="shared" ref="G681:G691" si="71">G680</f>
        <v>57</v>
      </c>
      <c r="H681" s="459">
        <v>674</v>
      </c>
      <c r="I681" s="444">
        <f t="shared" ca="1" si="55"/>
        <v>-8774101.2870411128</v>
      </c>
      <c r="J681" s="444">
        <f t="array" ref="J681">IFERROR(INDEX('Retirement Calculator'!K:K,MATCH('Lorri 401b'!N681,'Retirement Calculator'!A:A,0),0),0)</f>
        <v>21655.303514578787</v>
      </c>
      <c r="K681" s="444">
        <f t="shared" ca="1" si="53"/>
        <v>-36648.98579398205</v>
      </c>
      <c r="L681" s="444">
        <f t="shared" ca="1" si="54"/>
        <v>-8832405.5763496738</v>
      </c>
      <c r="M681" s="460">
        <f t="shared" si="56"/>
        <v>0.05</v>
      </c>
      <c r="N681" s="464">
        <f t="shared" si="57"/>
        <v>71772</v>
      </c>
    </row>
    <row r="682" spans="7:14" ht="11.25" customHeight="1" x14ac:dyDescent="0.25">
      <c r="G682" s="459">
        <f t="shared" si="71"/>
        <v>57</v>
      </c>
      <c r="H682" s="459">
        <v>675</v>
      </c>
      <c r="I682" s="444">
        <f t="shared" ca="1" si="55"/>
        <v>-8832405.5763496738</v>
      </c>
      <c r="J682" s="444">
        <f t="array" ref="J682">IFERROR(INDEX('Retirement Calculator'!K:K,MATCH('Lorri 401b'!N682,'Retirement Calculator'!A:A,0),0),0)</f>
        <v>21655.303514578787</v>
      </c>
      <c r="K682" s="444">
        <f t="shared" ca="1" si="53"/>
        <v>-36891.920332767724</v>
      </c>
      <c r="L682" s="444">
        <f t="shared" ca="1" si="54"/>
        <v>-8890952.8001970202</v>
      </c>
      <c r="M682" s="460">
        <f t="shared" si="56"/>
        <v>0.05</v>
      </c>
      <c r="N682" s="464">
        <f t="shared" si="57"/>
        <v>71803</v>
      </c>
    </row>
    <row r="683" spans="7:14" ht="11.25" customHeight="1" x14ac:dyDescent="0.25">
      <c r="G683" s="459">
        <f t="shared" si="71"/>
        <v>57</v>
      </c>
      <c r="H683" s="459">
        <v>676</v>
      </c>
      <c r="I683" s="444">
        <f t="shared" ca="1" si="55"/>
        <v>-8890952.8001970202</v>
      </c>
      <c r="J683" s="444">
        <f t="array" ref="J683">IFERROR(INDEX('Retirement Calculator'!K:K,MATCH('Lorri 401b'!N683,'Retirement Calculator'!A:A,0),0),0)</f>
        <v>21655.303514578787</v>
      </c>
      <c r="K683" s="444">
        <f t="shared" ca="1" si="53"/>
        <v>-37135.867098798328</v>
      </c>
      <c r="L683" s="444">
        <f t="shared" ca="1" si="54"/>
        <v>-8949743.9708103985</v>
      </c>
      <c r="M683" s="460">
        <f t="shared" si="56"/>
        <v>0.05</v>
      </c>
      <c r="N683" s="464">
        <f t="shared" si="57"/>
        <v>71834</v>
      </c>
    </row>
    <row r="684" spans="7:14" ht="11.25" customHeight="1" x14ac:dyDescent="0.25">
      <c r="G684" s="459">
        <f t="shared" si="71"/>
        <v>57</v>
      </c>
      <c r="H684" s="459">
        <v>677</v>
      </c>
      <c r="I684" s="444">
        <f t="shared" ca="1" si="55"/>
        <v>-8949743.9708103985</v>
      </c>
      <c r="J684" s="444">
        <f t="array" ref="J684">IFERROR(INDEX('Retirement Calculator'!K:K,MATCH('Lorri 401b'!N684,'Retirement Calculator'!A:A,0),0),0)</f>
        <v>21655.303514578787</v>
      </c>
      <c r="K684" s="444">
        <f t="shared" ca="1" si="53"/>
        <v>-37380.830309687408</v>
      </c>
      <c r="L684" s="444">
        <f t="shared" ca="1" si="54"/>
        <v>-9008780.104634665</v>
      </c>
      <c r="M684" s="460">
        <f t="shared" si="56"/>
        <v>0.05</v>
      </c>
      <c r="N684" s="464">
        <f t="shared" si="57"/>
        <v>71864</v>
      </c>
    </row>
    <row r="685" spans="7:14" ht="11.25" customHeight="1" x14ac:dyDescent="0.25">
      <c r="G685" s="459">
        <f t="shared" si="71"/>
        <v>57</v>
      </c>
      <c r="H685" s="459">
        <v>678</v>
      </c>
      <c r="I685" s="444">
        <f t="shared" ca="1" si="55"/>
        <v>-9008780.104634665</v>
      </c>
      <c r="J685" s="444">
        <f t="array" ref="J685">IFERROR(INDEX('Retirement Calculator'!K:K,MATCH('Lorri 401b'!N685,'Retirement Calculator'!A:A,0),0),0)</f>
        <v>21655.303514578787</v>
      </c>
      <c r="K685" s="444">
        <f t="shared" ca="1" si="53"/>
        <v>-37626.814200621848</v>
      </c>
      <c r="L685" s="444">
        <f t="shared" ca="1" si="54"/>
        <v>-9068062.2223498654</v>
      </c>
      <c r="M685" s="460">
        <f t="shared" si="56"/>
        <v>0.05</v>
      </c>
      <c r="N685" s="464">
        <f t="shared" si="57"/>
        <v>71895</v>
      </c>
    </row>
    <row r="686" spans="7:14" ht="11.25" customHeight="1" x14ac:dyDescent="0.25">
      <c r="G686" s="459">
        <f t="shared" si="71"/>
        <v>57</v>
      </c>
      <c r="H686" s="459">
        <v>679</v>
      </c>
      <c r="I686" s="444">
        <f t="shared" ca="1" si="55"/>
        <v>-9068062.2223498654</v>
      </c>
      <c r="J686" s="444">
        <f t="array" ref="J686">IFERROR(INDEX('Retirement Calculator'!K:K,MATCH('Lorri 401b'!N686,'Retirement Calculator'!A:A,0),0),0)</f>
        <v>21655.303514578787</v>
      </c>
      <c r="K686" s="444">
        <f t="shared" ca="1" si="53"/>
        <v>-37873.823024435187</v>
      </c>
      <c r="L686" s="444">
        <f t="shared" ca="1" si="54"/>
        <v>-9127591.3488888796</v>
      </c>
      <c r="M686" s="460">
        <f t="shared" si="56"/>
        <v>0.05</v>
      </c>
      <c r="N686" s="464">
        <f t="shared" si="57"/>
        <v>71925</v>
      </c>
    </row>
    <row r="687" spans="7:14" ht="11.25" customHeight="1" x14ac:dyDescent="0.25">
      <c r="G687" s="459">
        <f t="shared" si="71"/>
        <v>57</v>
      </c>
      <c r="H687" s="459">
        <v>680</v>
      </c>
      <c r="I687" s="444">
        <f t="shared" ca="1" si="55"/>
        <v>-9127591.3488888796</v>
      </c>
      <c r="J687" s="444">
        <f t="array" ref="J687">IFERROR(INDEX('Retirement Calculator'!K:K,MATCH('Lorri 401b'!N687,'Retirement Calculator'!A:A,0),0),0)</f>
        <v>21655.303514578787</v>
      </c>
      <c r="K687" s="444">
        <f t="shared" ca="1" si="53"/>
        <v>-38121.86105168108</v>
      </c>
      <c r="L687" s="444">
        <f t="shared" ca="1" si="54"/>
        <v>-9187368.5134551395</v>
      </c>
      <c r="M687" s="460">
        <f t="shared" si="56"/>
        <v>0.05</v>
      </c>
      <c r="N687" s="464">
        <f t="shared" si="57"/>
        <v>71956</v>
      </c>
    </row>
    <row r="688" spans="7:14" ht="11.25" customHeight="1" x14ac:dyDescent="0.25">
      <c r="G688" s="459">
        <f t="shared" si="71"/>
        <v>57</v>
      </c>
      <c r="H688" s="459">
        <v>681</v>
      </c>
      <c r="I688" s="444">
        <f t="shared" ca="1" si="55"/>
        <v>-9187368.5134551395</v>
      </c>
      <c r="J688" s="444">
        <f t="array" ref="J688">IFERROR(INDEX('Retirement Calculator'!K:K,MATCH('Lorri 401b'!N688,'Retirement Calculator'!A:A,0),0),0)</f>
        <v>21655.303514578787</v>
      </c>
      <c r="K688" s="444">
        <f t="shared" ca="1" si="53"/>
        <v>-38370.932570707162</v>
      </c>
      <c r="L688" s="444">
        <f t="shared" ca="1" si="54"/>
        <v>-9247394.7495404258</v>
      </c>
      <c r="M688" s="460">
        <f t="shared" si="56"/>
        <v>0.05</v>
      </c>
      <c r="N688" s="464">
        <f t="shared" si="57"/>
        <v>71987</v>
      </c>
    </row>
    <row r="689" spans="7:14" ht="11.25" customHeight="1" x14ac:dyDescent="0.25">
      <c r="G689" s="459">
        <f t="shared" si="71"/>
        <v>57</v>
      </c>
      <c r="H689" s="459">
        <v>682</v>
      </c>
      <c r="I689" s="444">
        <f t="shared" ca="1" si="55"/>
        <v>-9247394.7495404258</v>
      </c>
      <c r="J689" s="444">
        <f t="array" ref="J689">IFERROR(INDEX('Retirement Calculator'!K:K,MATCH('Lorri 401b'!N689,'Retirement Calculator'!A:A,0),0),0)</f>
        <v>21655.303514578787</v>
      </c>
      <c r="K689" s="444">
        <f t="shared" ca="1" si="53"/>
        <v>-38621.041887729189</v>
      </c>
      <c r="L689" s="444">
        <f t="shared" ca="1" si="54"/>
        <v>-9307671.0949427336</v>
      </c>
      <c r="M689" s="460">
        <f t="shared" si="56"/>
        <v>0.05</v>
      </c>
      <c r="N689" s="464">
        <f t="shared" si="57"/>
        <v>72015</v>
      </c>
    </row>
    <row r="690" spans="7:14" ht="11.25" customHeight="1" x14ac:dyDescent="0.25">
      <c r="G690" s="459">
        <f t="shared" si="71"/>
        <v>57</v>
      </c>
      <c r="H690" s="459">
        <v>683</v>
      </c>
      <c r="I690" s="444">
        <f t="shared" ca="1" si="55"/>
        <v>-9307671.0949427336</v>
      </c>
      <c r="J690" s="444">
        <f t="array" ref="J690">IFERROR(INDEX('Retirement Calculator'!K:K,MATCH('Lorri 401b'!N690,'Retirement Calculator'!A:A,0),0),0)</f>
        <v>21655.303514578787</v>
      </c>
      <c r="K690" s="444">
        <f t="shared" ca="1" si="53"/>
        <v>-38872.193326905472</v>
      </c>
      <c r="L690" s="444">
        <f t="shared" ca="1" si="54"/>
        <v>-9368198.5917842183</v>
      </c>
      <c r="M690" s="460">
        <f t="shared" si="56"/>
        <v>0.05</v>
      </c>
      <c r="N690" s="464">
        <f t="shared" si="57"/>
        <v>72046</v>
      </c>
    </row>
    <row r="691" spans="7:14" ht="11.25" customHeight="1" x14ac:dyDescent="0.25">
      <c r="G691" s="459">
        <f t="shared" si="71"/>
        <v>57</v>
      </c>
      <c r="H691" s="459">
        <v>684</v>
      </c>
      <c r="I691" s="444">
        <f t="shared" ca="1" si="55"/>
        <v>-9368198.5917842183</v>
      </c>
      <c r="J691" s="444">
        <f t="array" ref="J691">IFERROR(INDEX('Retirement Calculator'!K:K,MATCH('Lorri 401b'!N691,'Retirement Calculator'!A:A,0),0),0)</f>
        <v>21655.303514578787</v>
      </c>
      <c r="K691" s="444">
        <f t="shared" ca="1" si="53"/>
        <v>-39124.391230411653</v>
      </c>
      <c r="L691" s="444">
        <f t="shared" ca="1" si="54"/>
        <v>-9428978.2865292095</v>
      </c>
      <c r="M691" s="460">
        <f t="shared" si="56"/>
        <v>0.05</v>
      </c>
      <c r="N691" s="464">
        <f t="shared" si="57"/>
        <v>72076</v>
      </c>
    </row>
    <row r="692" spans="7:14" ht="11.25" customHeight="1" x14ac:dyDescent="0.25">
      <c r="G692" s="459">
        <f>G691+1</f>
        <v>58</v>
      </c>
      <c r="H692" s="459">
        <v>685</v>
      </c>
      <c r="I692" s="444">
        <f t="shared" ca="1" si="55"/>
        <v>-9428978.2865292095</v>
      </c>
      <c r="J692" s="444">
        <f t="array" ref="J692">IFERROR(INDEX('Retirement Calculator'!K:K,MATCH('Lorri 401b'!N692,'Retirement Calculator'!A:A,0),0),0)</f>
        <v>21655.303514578787</v>
      </c>
      <c r="K692" s="444">
        <f t="shared" ca="1" si="53"/>
        <v>-39377.639958515785</v>
      </c>
      <c r="L692" s="444">
        <f t="shared" ca="1" si="54"/>
        <v>-9490011.2300023045</v>
      </c>
      <c r="M692" s="460">
        <f t="shared" si="56"/>
        <v>0.05</v>
      </c>
      <c r="N692" s="464">
        <f t="shared" si="57"/>
        <v>72107</v>
      </c>
    </row>
    <row r="693" spans="7:14" ht="11.25" customHeight="1" x14ac:dyDescent="0.25">
      <c r="G693" s="459">
        <f t="shared" ref="G693:G703" si="72">G692</f>
        <v>58</v>
      </c>
      <c r="H693" s="459">
        <v>686</v>
      </c>
      <c r="I693" s="444">
        <f t="shared" ca="1" si="55"/>
        <v>-9490011.2300023045</v>
      </c>
      <c r="J693" s="444">
        <f t="array" ref="J693">IFERROR(INDEX('Retirement Calculator'!K:K,MATCH('Lorri 401b'!N693,'Retirement Calculator'!A:A,0),0),0)</f>
        <v>21655.303514578787</v>
      </c>
      <c r="K693" s="444">
        <f t="shared" ca="1" si="53"/>
        <v>-39631.943889653681</v>
      </c>
      <c r="L693" s="444">
        <f t="shared" ca="1" si="54"/>
        <v>-9551298.4774065372</v>
      </c>
      <c r="M693" s="460">
        <f t="shared" si="56"/>
        <v>0.05</v>
      </c>
      <c r="N693" s="464">
        <f t="shared" si="57"/>
        <v>72137</v>
      </c>
    </row>
    <row r="694" spans="7:14" ht="11.25" customHeight="1" x14ac:dyDescent="0.25">
      <c r="G694" s="459">
        <f t="shared" si="72"/>
        <v>58</v>
      </c>
      <c r="H694" s="459">
        <v>687</v>
      </c>
      <c r="I694" s="444">
        <f t="shared" ca="1" si="55"/>
        <v>-9551298.4774065372</v>
      </c>
      <c r="J694" s="444">
        <f t="array" ref="J694">IFERROR(INDEX('Retirement Calculator'!K:K,MATCH('Lorri 401b'!N694,'Retirement Calculator'!A:A,0),0),0)</f>
        <v>21655.303514578787</v>
      </c>
      <c r="K694" s="444">
        <f t="shared" ca="1" si="53"/>
        <v>-39887.307420504651</v>
      </c>
      <c r="L694" s="444">
        <f t="shared" ca="1" si="54"/>
        <v>-9612841.0883416217</v>
      </c>
      <c r="M694" s="460">
        <f t="shared" si="56"/>
        <v>0.05</v>
      </c>
      <c r="N694" s="464">
        <f t="shared" si="57"/>
        <v>72168</v>
      </c>
    </row>
    <row r="695" spans="7:14" ht="11.25" customHeight="1" x14ac:dyDescent="0.25">
      <c r="G695" s="459">
        <f t="shared" si="72"/>
        <v>58</v>
      </c>
      <c r="H695" s="459">
        <v>688</v>
      </c>
      <c r="I695" s="444">
        <f t="shared" ca="1" si="55"/>
        <v>-9612841.0883416217</v>
      </c>
      <c r="J695" s="444">
        <f t="array" ref="J695">IFERROR(INDEX('Retirement Calculator'!K:K,MATCH('Lorri 401b'!N695,'Retirement Calculator'!A:A,0),0),0)</f>
        <v>21655.303514578787</v>
      </c>
      <c r="K695" s="444">
        <f t="shared" ca="1" si="53"/>
        <v>-40143.734966067503</v>
      </c>
      <c r="L695" s="444">
        <f t="shared" ca="1" si="54"/>
        <v>-9674640.1268222686</v>
      </c>
      <c r="M695" s="460">
        <f t="shared" si="56"/>
        <v>0.05</v>
      </c>
      <c r="N695" s="464">
        <f t="shared" si="57"/>
        <v>72199</v>
      </c>
    </row>
    <row r="696" spans="7:14" ht="11.25" customHeight="1" x14ac:dyDescent="0.25">
      <c r="G696" s="459">
        <f t="shared" si="72"/>
        <v>58</v>
      </c>
      <c r="H696" s="459">
        <v>689</v>
      </c>
      <c r="I696" s="444">
        <f t="shared" ca="1" si="55"/>
        <v>-9674640.1268222686</v>
      </c>
      <c r="J696" s="444">
        <f t="array" ref="J696">IFERROR(INDEX('Retirement Calculator'!K:K,MATCH('Lorri 401b'!N696,'Retirement Calculator'!A:A,0),0),0)</f>
        <v>21655.303514578787</v>
      </c>
      <c r="K696" s="444">
        <f t="shared" ca="1" si="53"/>
        <v>-40401.230959736866</v>
      </c>
      <c r="L696" s="444">
        <f t="shared" ca="1" si="54"/>
        <v>-9736696.6612965856</v>
      </c>
      <c r="M696" s="460">
        <f t="shared" si="56"/>
        <v>0.05</v>
      </c>
      <c r="N696" s="464">
        <f t="shared" si="57"/>
        <v>72229</v>
      </c>
    </row>
    <row r="697" spans="7:14" ht="11.25" customHeight="1" x14ac:dyDescent="0.25">
      <c r="G697" s="459">
        <f t="shared" si="72"/>
        <v>58</v>
      </c>
      <c r="H697" s="459">
        <v>690</v>
      </c>
      <c r="I697" s="444">
        <f t="shared" ca="1" si="55"/>
        <v>-9736696.6612965856</v>
      </c>
      <c r="J697" s="444">
        <f t="array" ref="J697">IFERROR(INDEX('Retirement Calculator'!K:K,MATCH('Lorri 401b'!N697,'Retirement Calculator'!A:A,0),0),0)</f>
        <v>21655.303514578787</v>
      </c>
      <c r="K697" s="444">
        <f t="shared" ca="1" si="53"/>
        <v>-40659.799853379853</v>
      </c>
      <c r="L697" s="444">
        <f t="shared" ca="1" si="54"/>
        <v>-9799011.7646645457</v>
      </c>
      <c r="M697" s="460">
        <f t="shared" si="56"/>
        <v>0.05</v>
      </c>
      <c r="N697" s="464">
        <f t="shared" si="57"/>
        <v>72260</v>
      </c>
    </row>
    <row r="698" spans="7:14" ht="11.25" customHeight="1" x14ac:dyDescent="0.25">
      <c r="G698" s="459">
        <f t="shared" si="72"/>
        <v>58</v>
      </c>
      <c r="H698" s="459">
        <v>691</v>
      </c>
      <c r="I698" s="444">
        <f t="shared" ca="1" si="55"/>
        <v>-9799011.7646645457</v>
      </c>
      <c r="J698" s="444">
        <f t="array" ref="J698">IFERROR(INDEX('Retirement Calculator'!K:K,MATCH('Lorri 401b'!N698,'Retirement Calculator'!A:A,0),0),0)</f>
        <v>21655.303514578787</v>
      </c>
      <c r="K698" s="444">
        <f t="shared" ca="1" si="53"/>
        <v>-40919.446117413019</v>
      </c>
      <c r="L698" s="444">
        <f t="shared" ca="1" si="54"/>
        <v>-9861586.5142965373</v>
      </c>
      <c r="M698" s="460">
        <f t="shared" si="56"/>
        <v>0.05</v>
      </c>
      <c r="N698" s="464">
        <f t="shared" si="57"/>
        <v>72290</v>
      </c>
    </row>
    <row r="699" spans="7:14" ht="11.25" customHeight="1" x14ac:dyDescent="0.25">
      <c r="G699" s="459">
        <f t="shared" si="72"/>
        <v>58</v>
      </c>
      <c r="H699" s="459">
        <v>692</v>
      </c>
      <c r="I699" s="444">
        <f t="shared" ca="1" si="55"/>
        <v>-9861586.5142965373</v>
      </c>
      <c r="J699" s="444">
        <f t="array" ref="J699">IFERROR(INDEX('Retirement Calculator'!K:K,MATCH('Lorri 401b'!N699,'Retirement Calculator'!A:A,0),0),0)</f>
        <v>21655.303514578787</v>
      </c>
      <c r="K699" s="444">
        <f t="shared" ca="1" si="53"/>
        <v>-41180.174240879649</v>
      </c>
      <c r="L699" s="444">
        <f t="shared" ca="1" si="54"/>
        <v>-9924421.9920519963</v>
      </c>
      <c r="M699" s="460">
        <f t="shared" si="56"/>
        <v>0.05</v>
      </c>
      <c r="N699" s="464">
        <f t="shared" si="57"/>
        <v>72321</v>
      </c>
    </row>
    <row r="700" spans="7:14" ht="11.25" customHeight="1" x14ac:dyDescent="0.25">
      <c r="G700" s="459">
        <f t="shared" si="72"/>
        <v>58</v>
      </c>
      <c r="H700" s="459">
        <v>693</v>
      </c>
      <c r="I700" s="444">
        <f t="shared" ca="1" si="55"/>
        <v>-9924421.9920519963</v>
      </c>
      <c r="J700" s="444">
        <f t="array" ref="J700">IFERROR(INDEX('Retirement Calculator'!K:K,MATCH('Lorri 401b'!N700,'Retirement Calculator'!A:A,0),0),0)</f>
        <v>21655.303514578787</v>
      </c>
      <c r="K700" s="444">
        <f t="shared" ca="1" si="53"/>
        <v>-41441.988731527395</v>
      </c>
      <c r="L700" s="444">
        <f t="shared" ca="1" si="54"/>
        <v>-9987519.2842981033</v>
      </c>
      <c r="M700" s="460">
        <f t="shared" si="56"/>
        <v>0.05</v>
      </c>
      <c r="N700" s="464">
        <f t="shared" si="57"/>
        <v>72352</v>
      </c>
    </row>
    <row r="701" spans="7:14" ht="11.25" customHeight="1" x14ac:dyDescent="0.25">
      <c r="G701" s="459">
        <f t="shared" si="72"/>
        <v>58</v>
      </c>
      <c r="H701" s="459">
        <v>694</v>
      </c>
      <c r="I701" s="444">
        <f t="shared" ca="1" si="55"/>
        <v>-9987519.2842981033</v>
      </c>
      <c r="J701" s="444">
        <f t="array" ref="J701">IFERROR(INDEX('Retirement Calculator'!K:K,MATCH('Lorri 401b'!N701,'Retirement Calculator'!A:A,0),0),0)</f>
        <v>21655.303514578787</v>
      </c>
      <c r="K701" s="444">
        <f t="shared" ca="1" si="53"/>
        <v>-41704.894115886178</v>
      </c>
      <c r="L701" s="444">
        <f t="shared" ca="1" si="54"/>
        <v>-10050879.481928568</v>
      </c>
      <c r="M701" s="460">
        <f t="shared" si="56"/>
        <v>0.05</v>
      </c>
      <c r="N701" s="464">
        <f t="shared" si="57"/>
        <v>72380</v>
      </c>
    </row>
    <row r="702" spans="7:14" ht="11.25" customHeight="1" x14ac:dyDescent="0.25">
      <c r="G702" s="459">
        <f t="shared" si="72"/>
        <v>58</v>
      </c>
      <c r="H702" s="459">
        <v>695</v>
      </c>
      <c r="I702" s="444">
        <f t="shared" ca="1" si="55"/>
        <v>-10050879.481928568</v>
      </c>
      <c r="J702" s="444">
        <f t="array" ref="J702">IFERROR(INDEX('Retirement Calculator'!K:K,MATCH('Lorri 401b'!N702,'Retirement Calculator'!A:A,0),0),0)</f>
        <v>21655.303514578787</v>
      </c>
      <c r="K702" s="444">
        <f t="shared" ca="1" si="53"/>
        <v>-41968.89493934645</v>
      </c>
      <c r="L702" s="444">
        <f t="shared" ca="1" si="54"/>
        <v>-10114503.680382494</v>
      </c>
      <c r="M702" s="460">
        <f t="shared" si="56"/>
        <v>0.05</v>
      </c>
      <c r="N702" s="464">
        <f t="shared" si="57"/>
        <v>72411</v>
      </c>
    </row>
    <row r="703" spans="7:14" ht="11.25" customHeight="1" x14ac:dyDescent="0.25">
      <c r="G703" s="459">
        <f t="shared" si="72"/>
        <v>58</v>
      </c>
      <c r="H703" s="459">
        <v>696</v>
      </c>
      <c r="I703" s="444">
        <f t="shared" ca="1" si="55"/>
        <v>-10114503.680382494</v>
      </c>
      <c r="J703" s="444">
        <f t="array" ref="J703">IFERROR(INDEX('Retirement Calculator'!K:K,MATCH('Lorri 401b'!N703,'Retirement Calculator'!A:A,0),0),0)</f>
        <v>21655.303514578787</v>
      </c>
      <c r="K703" s="444">
        <f t="shared" ca="1" si="53"/>
        <v>-42233.995766237807</v>
      </c>
      <c r="L703" s="444">
        <f t="shared" ca="1" si="54"/>
        <v>-10178392.979663311</v>
      </c>
      <c r="M703" s="460">
        <f t="shared" si="56"/>
        <v>0.05</v>
      </c>
      <c r="N703" s="464">
        <f t="shared" si="57"/>
        <v>72441</v>
      </c>
    </row>
    <row r="704" spans="7:14" ht="11.25" customHeight="1" x14ac:dyDescent="0.25">
      <c r="G704" s="459">
        <f>G703+1</f>
        <v>59</v>
      </c>
      <c r="H704" s="459">
        <v>697</v>
      </c>
      <c r="I704" s="444">
        <f t="shared" ca="1" si="55"/>
        <v>-10178392.979663311</v>
      </c>
      <c r="J704" s="444">
        <f t="array" ref="J704">IFERROR(INDEX('Retirement Calculator'!K:K,MATCH('Lorri 401b'!N704,'Retirement Calculator'!A:A,0),0),0)</f>
        <v>21655.303514578787</v>
      </c>
      <c r="K704" s="444">
        <f t="shared" ca="1" si="53"/>
        <v>-42500.201179907875</v>
      </c>
      <c r="L704" s="444">
        <f t="shared" ca="1" si="54"/>
        <v>-10242548.484357798</v>
      </c>
      <c r="M704" s="460">
        <f t="shared" si="56"/>
        <v>0.05</v>
      </c>
      <c r="N704" s="464">
        <f t="shared" si="57"/>
        <v>72472</v>
      </c>
    </row>
    <row r="705" spans="7:14" ht="11.25" customHeight="1" x14ac:dyDescent="0.25">
      <c r="G705" s="459">
        <f t="shared" ref="G705:G715" si="73">G704</f>
        <v>59</v>
      </c>
      <c r="H705" s="459">
        <v>698</v>
      </c>
      <c r="I705" s="444">
        <f t="shared" ca="1" si="55"/>
        <v>-10242548.484357798</v>
      </c>
      <c r="J705" s="444">
        <f t="array" ref="J705">IFERROR(INDEX('Retirement Calculator'!K:K,MATCH('Lorri 401b'!N705,'Retirement Calculator'!A:A,0),0),0)</f>
        <v>21655.303514578787</v>
      </c>
      <c r="K705" s="444">
        <f t="shared" ca="1" si="53"/>
        <v>-42767.515782801573</v>
      </c>
      <c r="L705" s="444">
        <f t="shared" ca="1" si="54"/>
        <v>-10306971.303655179</v>
      </c>
      <c r="M705" s="460">
        <f t="shared" si="56"/>
        <v>0.05</v>
      </c>
      <c r="N705" s="464">
        <f t="shared" si="57"/>
        <v>72502</v>
      </c>
    </row>
    <row r="706" spans="7:14" ht="11.25" customHeight="1" x14ac:dyDescent="0.25">
      <c r="G706" s="459">
        <f t="shared" si="73"/>
        <v>59</v>
      </c>
      <c r="H706" s="459">
        <v>699</v>
      </c>
      <c r="I706" s="444">
        <f t="shared" ca="1" si="55"/>
        <v>-10306971.303655179</v>
      </c>
      <c r="J706" s="444">
        <f t="array" ref="J706">IFERROR(INDEX('Retirement Calculator'!K:K,MATCH('Lorri 401b'!N706,'Retirement Calculator'!A:A,0),0),0)</f>
        <v>21655.303514578787</v>
      </c>
      <c r="K706" s="444">
        <f t="shared" ca="1" si="53"/>
        <v>-43035.944196540659</v>
      </c>
      <c r="L706" s="444">
        <f t="shared" ca="1" si="54"/>
        <v>-10371662.551366299</v>
      </c>
      <c r="M706" s="460">
        <f t="shared" si="56"/>
        <v>0.05</v>
      </c>
      <c r="N706" s="464">
        <f t="shared" si="57"/>
        <v>72533</v>
      </c>
    </row>
    <row r="707" spans="7:14" ht="11.25" customHeight="1" x14ac:dyDescent="0.25">
      <c r="G707" s="459">
        <f t="shared" si="73"/>
        <v>59</v>
      </c>
      <c r="H707" s="459">
        <v>700</v>
      </c>
      <c r="I707" s="444">
        <f t="shared" ca="1" si="55"/>
        <v>-10371662.551366299</v>
      </c>
      <c r="J707" s="444">
        <f t="array" ref="J707">IFERROR(INDEX('Retirement Calculator'!K:K,MATCH('Lorri 401b'!N707,'Retirement Calculator'!A:A,0),0),0)</f>
        <v>21655.303514578787</v>
      </c>
      <c r="K707" s="444">
        <f t="shared" ca="1" si="53"/>
        <v>-43305.491062003661</v>
      </c>
      <c r="L707" s="444">
        <f t="shared" ca="1" si="54"/>
        <v>-10436623.345942883</v>
      </c>
      <c r="M707" s="460">
        <f t="shared" si="56"/>
        <v>0.05</v>
      </c>
      <c r="N707" s="464">
        <f t="shared" si="57"/>
        <v>72564</v>
      </c>
    </row>
    <row r="708" spans="7:14" ht="11.25" customHeight="1" x14ac:dyDescent="0.25">
      <c r="G708" s="459">
        <f t="shared" si="73"/>
        <v>59</v>
      </c>
      <c r="H708" s="459">
        <v>701</v>
      </c>
      <c r="I708" s="444">
        <f t="shared" ca="1" si="55"/>
        <v>-10436623.345942883</v>
      </c>
      <c r="J708" s="444">
        <f t="array" ref="J708">IFERROR(INDEX('Retirement Calculator'!K:K,MATCH('Lorri 401b'!N708,'Retirement Calculator'!A:A,0),0),0)</f>
        <v>21655.303514578787</v>
      </c>
      <c r="K708" s="444">
        <f t="shared" ca="1" si="53"/>
        <v>-43576.161039406092</v>
      </c>
      <c r="L708" s="444">
        <f t="shared" ca="1" si="54"/>
        <v>-10501854.810496869</v>
      </c>
      <c r="M708" s="460">
        <f t="shared" si="56"/>
        <v>0.05</v>
      </c>
      <c r="N708" s="464">
        <f t="shared" si="57"/>
        <v>72594</v>
      </c>
    </row>
    <row r="709" spans="7:14" ht="11.25" customHeight="1" x14ac:dyDescent="0.25">
      <c r="G709" s="459">
        <f t="shared" si="73"/>
        <v>59</v>
      </c>
      <c r="H709" s="459">
        <v>702</v>
      </c>
      <c r="I709" s="444">
        <f t="shared" ca="1" si="55"/>
        <v>-10501854.810496869</v>
      </c>
      <c r="J709" s="444">
        <f t="array" ref="J709">IFERROR(INDEX('Retirement Calculator'!K:K,MATCH('Lorri 401b'!N709,'Retirement Calculator'!A:A,0),0),0)</f>
        <v>21655.303514578787</v>
      </c>
      <c r="K709" s="444">
        <f t="shared" ca="1" si="53"/>
        <v>-43847.95880838103</v>
      </c>
      <c r="L709" s="444">
        <f t="shared" ca="1" si="54"/>
        <v>-10567358.072819829</v>
      </c>
      <c r="M709" s="460">
        <f t="shared" si="56"/>
        <v>0.05</v>
      </c>
      <c r="N709" s="464">
        <f t="shared" si="57"/>
        <v>72625</v>
      </c>
    </row>
    <row r="710" spans="7:14" ht="11.25" customHeight="1" x14ac:dyDescent="0.25">
      <c r="G710" s="459">
        <f t="shared" si="73"/>
        <v>59</v>
      </c>
      <c r="H710" s="459">
        <v>703</v>
      </c>
      <c r="I710" s="444">
        <f t="shared" ca="1" si="55"/>
        <v>-10567358.072819829</v>
      </c>
      <c r="J710" s="444">
        <f t="array" ref="J710">IFERROR(INDEX('Retirement Calculator'!K:K,MATCH('Lorri 401b'!N710,'Retirement Calculator'!A:A,0),0),0)</f>
        <v>21655.303514578787</v>
      </c>
      <c r="K710" s="444">
        <f t="shared" ca="1" si="53"/>
        <v>-44120.889068060031</v>
      </c>
      <c r="L710" s="444">
        <f t="shared" ca="1" si="54"/>
        <v>-10633134.265402468</v>
      </c>
      <c r="M710" s="460">
        <f t="shared" si="56"/>
        <v>0.05</v>
      </c>
      <c r="N710" s="464">
        <f t="shared" si="57"/>
        <v>72655</v>
      </c>
    </row>
    <row r="711" spans="7:14" ht="11.25" customHeight="1" x14ac:dyDescent="0.25">
      <c r="G711" s="459">
        <f t="shared" si="73"/>
        <v>59</v>
      </c>
      <c r="H711" s="459">
        <v>704</v>
      </c>
      <c r="I711" s="444">
        <f t="shared" ca="1" si="55"/>
        <v>-10633134.265402468</v>
      </c>
      <c r="J711" s="444">
        <f t="array" ref="J711">IFERROR(INDEX('Retirement Calculator'!K:K,MATCH('Lorri 401b'!N711,'Retirement Calculator'!A:A,0),0),0)</f>
        <v>21655.303514578787</v>
      </c>
      <c r="K711" s="444">
        <f t="shared" ca="1" si="53"/>
        <v>-44394.956537154365</v>
      </c>
      <c r="L711" s="444">
        <f t="shared" ca="1" si="54"/>
        <v>-10699184.525454201</v>
      </c>
      <c r="M711" s="460">
        <f t="shared" si="56"/>
        <v>0.05</v>
      </c>
      <c r="N711" s="464">
        <f t="shared" si="57"/>
        <v>72686</v>
      </c>
    </row>
    <row r="712" spans="7:14" ht="11.25" customHeight="1" x14ac:dyDescent="0.25">
      <c r="G712" s="459">
        <f t="shared" si="73"/>
        <v>59</v>
      </c>
      <c r="H712" s="459">
        <v>705</v>
      </c>
      <c r="I712" s="444">
        <f t="shared" ca="1" si="55"/>
        <v>-10699184.525454201</v>
      </c>
      <c r="J712" s="444">
        <f t="array" ref="J712">IFERROR(INDEX('Retirement Calculator'!K:K,MATCH('Lorri 401b'!N712,'Retirement Calculator'!A:A,0),0),0)</f>
        <v>21655.303514578787</v>
      </c>
      <c r="K712" s="444">
        <f t="shared" ca="1" si="53"/>
        <v>-44670.16595403658</v>
      </c>
      <c r="L712" s="444">
        <f t="shared" ca="1" si="54"/>
        <v>-10765509.994922817</v>
      </c>
      <c r="M712" s="460">
        <f t="shared" si="56"/>
        <v>0.05</v>
      </c>
      <c r="N712" s="464">
        <f t="shared" si="57"/>
        <v>72717</v>
      </c>
    </row>
    <row r="713" spans="7:14" ht="11.25" customHeight="1" x14ac:dyDescent="0.25">
      <c r="G713" s="459">
        <f t="shared" si="73"/>
        <v>59</v>
      </c>
      <c r="H713" s="459">
        <v>706</v>
      </c>
      <c r="I713" s="444">
        <f t="shared" ca="1" si="55"/>
        <v>-10765509.994922817</v>
      </c>
      <c r="J713" s="444">
        <f t="array" ref="J713">IFERROR(INDEX('Retirement Calculator'!K:K,MATCH('Lorri 401b'!N713,'Retirement Calculator'!A:A,0),0),0)</f>
        <v>21655.303514578787</v>
      </c>
      <c r="K713" s="444">
        <f t="shared" ca="1" si="53"/>
        <v>-44946.522076822483</v>
      </c>
      <c r="L713" s="444">
        <f t="shared" ca="1" si="54"/>
        <v>-10832111.820514219</v>
      </c>
      <c r="M713" s="460">
        <f t="shared" si="56"/>
        <v>0.05</v>
      </c>
      <c r="N713" s="464">
        <f t="shared" si="57"/>
        <v>72745</v>
      </c>
    </row>
    <row r="714" spans="7:14" ht="11.25" customHeight="1" x14ac:dyDescent="0.25">
      <c r="G714" s="459">
        <f t="shared" si="73"/>
        <v>59</v>
      </c>
      <c r="H714" s="459">
        <v>707</v>
      </c>
      <c r="I714" s="444">
        <f t="shared" ca="1" si="55"/>
        <v>-10832111.820514219</v>
      </c>
      <c r="J714" s="444">
        <f t="array" ref="J714">IFERROR(INDEX('Retirement Calculator'!K:K,MATCH('Lorri 401b'!N714,'Retirement Calculator'!A:A,0),0),0)</f>
        <v>21655.303514578787</v>
      </c>
      <c r="K714" s="444">
        <f t="shared" ca="1" si="53"/>
        <v>-45224.029683453322</v>
      </c>
      <c r="L714" s="444">
        <f t="shared" ca="1" si="54"/>
        <v>-10898991.153712252</v>
      </c>
      <c r="M714" s="460">
        <f t="shared" si="56"/>
        <v>0.05</v>
      </c>
      <c r="N714" s="464">
        <f t="shared" si="57"/>
        <v>72776</v>
      </c>
    </row>
    <row r="715" spans="7:14" ht="11.25" customHeight="1" x14ac:dyDescent="0.25">
      <c r="G715" s="459">
        <f t="shared" si="73"/>
        <v>59</v>
      </c>
      <c r="H715" s="459">
        <v>708</v>
      </c>
      <c r="I715" s="444">
        <f t="shared" ca="1" si="55"/>
        <v>-10898991.153712252</v>
      </c>
      <c r="J715" s="444">
        <f t="array" ref="J715">IFERROR(INDEX('Retirement Calculator'!K:K,MATCH('Lorri 401b'!N715,'Retirement Calculator'!A:A,0),0),0)</f>
        <v>21655.303514578787</v>
      </c>
      <c r="K715" s="444">
        <f t="shared" ca="1" si="53"/>
        <v>-45502.693571778465</v>
      </c>
      <c r="L715" s="444">
        <f t="shared" ca="1" si="54"/>
        <v>-10966149.150798609</v>
      </c>
      <c r="M715" s="460">
        <f t="shared" si="56"/>
        <v>0.05</v>
      </c>
      <c r="N715" s="464">
        <f t="shared" si="57"/>
        <v>72806</v>
      </c>
    </row>
    <row r="716" spans="7:14" ht="11.25" customHeight="1" x14ac:dyDescent="0.25">
      <c r="G716" s="459">
        <f>G715+1</f>
        <v>60</v>
      </c>
      <c r="H716" s="459">
        <v>709</v>
      </c>
      <c r="I716" s="444">
        <f t="shared" ca="1" si="55"/>
        <v>-10966149.150798609</v>
      </c>
      <c r="J716" s="444">
        <f t="array" ref="J716">IFERROR(INDEX('Retirement Calculator'!K:K,MATCH('Lorri 401b'!N716,'Retirement Calculator'!A:A,0),0),0)</f>
        <v>21655.303514578787</v>
      </c>
      <c r="K716" s="444">
        <f t="shared" ca="1" si="53"/>
        <v>-45782.518559638287</v>
      </c>
      <c r="L716" s="444">
        <f t="shared" ca="1" si="54"/>
        <v>-11033586.972872827</v>
      </c>
      <c r="M716" s="460">
        <f t="shared" si="56"/>
        <v>0.05</v>
      </c>
      <c r="N716" s="464">
        <f t="shared" si="57"/>
        <v>72837</v>
      </c>
    </row>
    <row r="717" spans="7:14" ht="11.25" customHeight="1" x14ac:dyDescent="0.25">
      <c r="G717" s="459">
        <f t="shared" ref="G717:G727" si="74">G716</f>
        <v>60</v>
      </c>
      <c r="H717" s="459">
        <v>710</v>
      </c>
      <c r="I717" s="444">
        <f t="shared" ca="1" si="55"/>
        <v>-11033586.972872827</v>
      </c>
      <c r="J717" s="444">
        <f t="array" ref="J717">IFERROR(INDEX('Retirement Calculator'!K:K,MATCH('Lorri 401b'!N717,'Retirement Calculator'!A:A,0),0),0)</f>
        <v>21655.303514578787</v>
      </c>
      <c r="K717" s="444">
        <f t="shared" ca="1" si="53"/>
        <v>-46063.509484947528</v>
      </c>
      <c r="L717" s="444">
        <f t="shared" ca="1" si="54"/>
        <v>-11101305.785872353</v>
      </c>
      <c r="M717" s="460">
        <f t="shared" si="56"/>
        <v>0.05</v>
      </c>
      <c r="N717" s="464">
        <f t="shared" si="57"/>
        <v>72867</v>
      </c>
    </row>
    <row r="718" spans="7:14" ht="11.25" customHeight="1" x14ac:dyDescent="0.25">
      <c r="G718" s="459">
        <f t="shared" si="74"/>
        <v>60</v>
      </c>
      <c r="H718" s="459">
        <v>711</v>
      </c>
      <c r="I718" s="444">
        <f t="shared" ca="1" si="55"/>
        <v>-11101305.785872353</v>
      </c>
      <c r="J718" s="444">
        <f t="array" ref="J718">IFERROR(INDEX('Retirement Calculator'!K:K,MATCH('Lorri 401b'!N718,'Retirement Calculator'!A:A,0),0),0)</f>
        <v>21655.303514578787</v>
      </c>
      <c r="K718" s="444">
        <f t="shared" ca="1" si="53"/>
        <v>-46345.671205778883</v>
      </c>
      <c r="L718" s="444">
        <f t="shared" ca="1" si="54"/>
        <v>-11169306.760592712</v>
      </c>
      <c r="M718" s="460">
        <f t="shared" si="56"/>
        <v>0.05</v>
      </c>
      <c r="N718" s="464">
        <f t="shared" si="57"/>
        <v>72898</v>
      </c>
    </row>
    <row r="719" spans="7:14" ht="11.25" customHeight="1" x14ac:dyDescent="0.25">
      <c r="G719" s="459">
        <f t="shared" si="74"/>
        <v>60</v>
      </c>
      <c r="H719" s="459">
        <v>712</v>
      </c>
      <c r="I719" s="444">
        <f t="shared" ca="1" si="55"/>
        <v>-11169306.760592712</v>
      </c>
      <c r="J719" s="444">
        <f t="array" ref="J719">IFERROR(INDEX('Retirement Calculator'!K:K,MATCH('Lorri 401b'!N719,'Retirement Calculator'!A:A,0),0),0)</f>
        <v>21655.303514578787</v>
      </c>
      <c r="K719" s="444">
        <f t="shared" ca="1" si="53"/>
        <v>-46629.00860044705</v>
      </c>
      <c r="L719" s="444">
        <f t="shared" ca="1" si="54"/>
        <v>-11237591.072707739</v>
      </c>
      <c r="M719" s="460">
        <f t="shared" si="56"/>
        <v>0.05</v>
      </c>
      <c r="N719" s="464">
        <f t="shared" si="57"/>
        <v>72929</v>
      </c>
    </row>
    <row r="720" spans="7:14" ht="11.25" customHeight="1" x14ac:dyDescent="0.25">
      <c r="G720" s="459">
        <f t="shared" si="74"/>
        <v>60</v>
      </c>
      <c r="H720" s="459">
        <v>713</v>
      </c>
      <c r="I720" s="444">
        <f t="shared" ca="1" si="55"/>
        <v>-11237591.072707739</v>
      </c>
      <c r="J720" s="444">
        <f t="array" ref="J720">IFERROR(INDEX('Retirement Calculator'!K:K,MATCH('Lorri 401b'!N720,'Retirement Calculator'!A:A,0),0),0)</f>
        <v>21655.303514578787</v>
      </c>
      <c r="K720" s="444">
        <f t="shared" ca="1" si="53"/>
        <v>-46913.526567592991</v>
      </c>
      <c r="L720" s="444">
        <f t="shared" ca="1" si="54"/>
        <v>-11306159.902789911</v>
      </c>
      <c r="M720" s="460">
        <f t="shared" si="56"/>
        <v>0.05</v>
      </c>
      <c r="N720" s="464">
        <f t="shared" si="57"/>
        <v>72959</v>
      </c>
    </row>
    <row r="721" spans="7:14" ht="11.25" customHeight="1" x14ac:dyDescent="0.25">
      <c r="G721" s="459">
        <f t="shared" si="74"/>
        <v>60</v>
      </c>
      <c r="H721" s="459">
        <v>714</v>
      </c>
      <c r="I721" s="444">
        <f t="shared" ca="1" si="55"/>
        <v>-11306159.902789911</v>
      </c>
      <c r="J721" s="444">
        <f t="array" ref="J721">IFERROR(INDEX('Retirement Calculator'!K:K,MATCH('Lorri 401b'!N721,'Retirement Calculator'!A:A,0),0),0)</f>
        <v>21655.303514578787</v>
      </c>
      <c r="K721" s="444">
        <f t="shared" ca="1" si="53"/>
        <v>-47199.230026268713</v>
      </c>
      <c r="L721" s="444">
        <f t="shared" ca="1" si="54"/>
        <v>-11375014.43633076</v>
      </c>
      <c r="M721" s="460">
        <f t="shared" si="56"/>
        <v>0.05</v>
      </c>
      <c r="N721" s="464">
        <f t="shared" si="57"/>
        <v>72990</v>
      </c>
    </row>
    <row r="722" spans="7:14" ht="11.25" customHeight="1" x14ac:dyDescent="0.25">
      <c r="G722" s="459">
        <f t="shared" si="74"/>
        <v>60</v>
      </c>
      <c r="H722" s="459">
        <v>715</v>
      </c>
      <c r="I722" s="444">
        <f t="shared" ca="1" si="55"/>
        <v>-11375014.43633076</v>
      </c>
      <c r="J722" s="444">
        <f t="array" ref="J722">IFERROR(INDEX('Retirement Calculator'!K:K,MATCH('Lorri 401b'!N722,'Retirement Calculator'!A:A,0),0),0)</f>
        <v>21655.303514578787</v>
      </c>
      <c r="K722" s="444">
        <f t="shared" ca="1" si="53"/>
        <v>-47486.123916022247</v>
      </c>
      <c r="L722" s="444">
        <f t="shared" ca="1" si="54"/>
        <v>-11444155.863761362</v>
      </c>
      <c r="M722" s="460">
        <f t="shared" si="56"/>
        <v>0.05</v>
      </c>
      <c r="N722" s="464">
        <f t="shared" si="57"/>
        <v>73020</v>
      </c>
    </row>
    <row r="723" spans="7:14" ht="11.25" customHeight="1" x14ac:dyDescent="0.25">
      <c r="G723" s="459">
        <f t="shared" si="74"/>
        <v>60</v>
      </c>
      <c r="H723" s="459">
        <v>716</v>
      </c>
      <c r="I723" s="444">
        <f t="shared" ca="1" si="55"/>
        <v>-11444155.863761362</v>
      </c>
      <c r="J723" s="444">
        <f t="array" ref="J723">IFERROR(INDEX('Retirement Calculator'!K:K,MATCH('Lorri 401b'!N723,'Retirement Calculator'!A:A,0),0),0)</f>
        <v>21655.303514578787</v>
      </c>
      <c r="K723" s="444">
        <f t="shared" ca="1" si="53"/>
        <v>-47774.213196983088</v>
      </c>
      <c r="L723" s="444">
        <f t="shared" ca="1" si="54"/>
        <v>-11513585.380472925</v>
      </c>
      <c r="M723" s="460">
        <f t="shared" si="56"/>
        <v>0.05</v>
      </c>
      <c r="N723" s="464">
        <f t="shared" si="57"/>
        <v>73051</v>
      </c>
    </row>
    <row r="724" spans="7:14" ht="11.25" customHeight="1" x14ac:dyDescent="0.25">
      <c r="G724" s="459">
        <f t="shared" si="74"/>
        <v>60</v>
      </c>
      <c r="H724" s="459">
        <v>717</v>
      </c>
      <c r="I724" s="444">
        <f t="shared" ca="1" si="55"/>
        <v>-11513585.380472925</v>
      </c>
      <c r="J724" s="444">
        <f t="array" ref="J724">IFERROR(INDEX('Retirement Calculator'!K:K,MATCH('Lorri 401b'!N724,'Retirement Calculator'!A:A,0),0),0)</f>
        <v>21655.303514578787</v>
      </c>
      <c r="K724" s="444">
        <f t="shared" ca="1" si="53"/>
        <v>-48063.50284994793</v>
      </c>
      <c r="L724" s="444">
        <f t="shared" ca="1" si="54"/>
        <v>-11583304.186837452</v>
      </c>
      <c r="M724" s="460">
        <f t="shared" si="56"/>
        <v>0.05</v>
      </c>
      <c r="N724" s="464">
        <f t="shared" si="57"/>
        <v>73082</v>
      </c>
    </row>
    <row r="725" spans="7:14" ht="11.25" customHeight="1" x14ac:dyDescent="0.25">
      <c r="G725" s="459">
        <f t="shared" si="74"/>
        <v>60</v>
      </c>
      <c r="H725" s="459">
        <v>718</v>
      </c>
      <c r="I725" s="444">
        <f t="shared" ca="1" si="55"/>
        <v>-11583304.186837452</v>
      </c>
      <c r="J725" s="444">
        <f t="array" ref="J725">IFERROR(INDEX('Retirement Calculator'!K:K,MATCH('Lorri 401b'!N725,'Retirement Calculator'!A:A,0),0),0)</f>
        <v>21655.303514578787</v>
      </c>
      <c r="K725" s="444">
        <f t="shared" ca="1" si="53"/>
        <v>-48353.997876466798</v>
      </c>
      <c r="L725" s="444">
        <f t="shared" ca="1" si="54"/>
        <v>-11653313.488228498</v>
      </c>
      <c r="M725" s="460">
        <f t="shared" si="56"/>
        <v>0.05</v>
      </c>
      <c r="N725" s="464">
        <f t="shared" si="57"/>
        <v>73110</v>
      </c>
    </row>
    <row r="726" spans="7:14" ht="11.25" customHeight="1" x14ac:dyDescent="0.25">
      <c r="G726" s="459">
        <f t="shared" si="74"/>
        <v>60</v>
      </c>
      <c r="H726" s="459">
        <v>719</v>
      </c>
      <c r="I726" s="444">
        <f t="shared" ca="1" si="55"/>
        <v>-11653313.488228498</v>
      </c>
      <c r="J726" s="444">
        <f t="array" ref="J726">IFERROR(INDEX('Retirement Calculator'!K:K,MATCH('Lorri 401b'!N726,'Retirement Calculator'!A:A,0),0),0)</f>
        <v>21655.303514578787</v>
      </c>
      <c r="K726" s="444">
        <f t="shared" ca="1" si="53"/>
        <v>-48645.703298929489</v>
      </c>
      <c r="L726" s="444">
        <f t="shared" ca="1" si="54"/>
        <v>-11723614.495042007</v>
      </c>
      <c r="M726" s="460">
        <f t="shared" si="56"/>
        <v>0.05</v>
      </c>
      <c r="N726" s="464">
        <f t="shared" si="57"/>
        <v>73141</v>
      </c>
    </row>
    <row r="727" spans="7:14" ht="11.25" customHeight="1" x14ac:dyDescent="0.25">
      <c r="G727" s="459">
        <f t="shared" si="74"/>
        <v>60</v>
      </c>
      <c r="H727" s="459">
        <v>720</v>
      </c>
      <c r="I727" s="444">
        <f t="shared" ca="1" si="55"/>
        <v>-11723614.495042007</v>
      </c>
      <c r="J727" s="444">
        <f t="array" ref="J727">IFERROR(INDEX('Retirement Calculator'!K:K,MATCH('Lorri 401b'!N727,'Retirement Calculator'!A:A,0),0),0)</f>
        <v>21655.303514578787</v>
      </c>
      <c r="K727" s="444">
        <f t="shared" ca="1" si="53"/>
        <v>-48938.624160652442</v>
      </c>
      <c r="L727" s="444">
        <f t="shared" ca="1" si="54"/>
        <v>-11794208.42271724</v>
      </c>
      <c r="M727" s="460">
        <f t="shared" si="56"/>
        <v>0.05</v>
      </c>
      <c r="N727" s="464">
        <f t="shared" si="57"/>
        <v>73171</v>
      </c>
    </row>
    <row r="728" spans="7:14" ht="11.25" customHeight="1" x14ac:dyDescent="0.25">
      <c r="G728" s="459">
        <f>G727+1</f>
        <v>61</v>
      </c>
      <c r="H728" s="459">
        <v>721</v>
      </c>
      <c r="I728" s="444">
        <f t="shared" ca="1" si="55"/>
        <v>-11794208.42271724</v>
      </c>
      <c r="J728" s="444">
        <f t="array" ref="J728">IFERROR(INDEX('Retirement Calculator'!K:K,MATCH('Lorri 401b'!N728,'Retirement Calculator'!A:A,0),0),0)</f>
        <v>21655.303514578787</v>
      </c>
      <c r="K728" s="444">
        <f t="shared" ca="1" si="53"/>
        <v>-49232.765525965915</v>
      </c>
      <c r="L728" s="444">
        <f t="shared" ca="1" si="54"/>
        <v>-11865096.491757784</v>
      </c>
      <c r="M728" s="460">
        <f t="shared" si="56"/>
        <v>0.05</v>
      </c>
      <c r="N728" s="464">
        <f t="shared" si="57"/>
        <v>73202</v>
      </c>
    </row>
    <row r="729" spans="7:14" ht="11.25" customHeight="1" x14ac:dyDescent="0.25">
      <c r="G729" s="459">
        <f t="shared" ref="G729:G739" si="75">G728</f>
        <v>61</v>
      </c>
      <c r="H729" s="459">
        <v>722</v>
      </c>
      <c r="I729" s="444">
        <f t="shared" ca="1" si="55"/>
        <v>-11865096.491757784</v>
      </c>
      <c r="J729" s="444">
        <f t="array" ref="J729">IFERROR(INDEX('Retirement Calculator'!K:K,MATCH('Lorri 401b'!N729,'Retirement Calculator'!A:A,0),0),0)</f>
        <v>21655.303514578787</v>
      </c>
      <c r="K729" s="444">
        <f t="shared" ca="1" si="53"/>
        <v>-49528.132480301516</v>
      </c>
      <c r="L729" s="444">
        <f t="shared" ca="1" si="54"/>
        <v>-11936279.927752664</v>
      </c>
      <c r="M729" s="460">
        <f t="shared" si="56"/>
        <v>0.05</v>
      </c>
      <c r="N729" s="464">
        <f t="shared" si="57"/>
        <v>73232</v>
      </c>
    </row>
    <row r="730" spans="7:14" ht="11.25" customHeight="1" x14ac:dyDescent="0.25">
      <c r="G730" s="459">
        <f t="shared" si="75"/>
        <v>61</v>
      </c>
      <c r="H730" s="459">
        <v>723</v>
      </c>
      <c r="I730" s="444">
        <f t="shared" ca="1" si="55"/>
        <v>-11936279.927752664</v>
      </c>
      <c r="J730" s="444">
        <f t="array" ref="J730">IFERROR(INDEX('Retirement Calculator'!K:K,MATCH('Lorri 401b'!N730,'Retirement Calculator'!A:A,0),0),0)</f>
        <v>21655.303514578787</v>
      </c>
      <c r="K730" s="444">
        <f t="shared" ca="1" si="53"/>
        <v>-49824.730130280179</v>
      </c>
      <c r="L730" s="444">
        <f t="shared" ca="1" si="54"/>
        <v>-12007759.961397523</v>
      </c>
      <c r="M730" s="460">
        <f t="shared" si="56"/>
        <v>0.05</v>
      </c>
      <c r="N730" s="464">
        <f t="shared" si="57"/>
        <v>73263</v>
      </c>
    </row>
    <row r="731" spans="7:14" ht="11.25" customHeight="1" x14ac:dyDescent="0.25">
      <c r="G731" s="459">
        <f t="shared" si="75"/>
        <v>61</v>
      </c>
      <c r="H731" s="459">
        <v>724</v>
      </c>
      <c r="I731" s="444">
        <f t="shared" ca="1" si="55"/>
        <v>-12007759.961397523</v>
      </c>
      <c r="J731" s="444">
        <f t="array" ref="J731">IFERROR(INDEX('Retirement Calculator'!K:K,MATCH('Lorri 401b'!N731,'Retirement Calculator'!A:A,0),0),0)</f>
        <v>21655.303514578787</v>
      </c>
      <c r="K731" s="444">
        <f t="shared" ca="1" si="53"/>
        <v>-50122.563603800423</v>
      </c>
      <c r="L731" s="444">
        <f t="shared" ca="1" si="54"/>
        <v>-12079537.828515902</v>
      </c>
      <c r="M731" s="460">
        <f t="shared" si="56"/>
        <v>0.05</v>
      </c>
      <c r="N731" s="464">
        <f t="shared" si="57"/>
        <v>73294</v>
      </c>
    </row>
    <row r="732" spans="7:14" ht="11.25" customHeight="1" x14ac:dyDescent="0.25">
      <c r="G732" s="459">
        <f t="shared" si="75"/>
        <v>61</v>
      </c>
      <c r="H732" s="459">
        <v>725</v>
      </c>
      <c r="I732" s="444">
        <f t="shared" ca="1" si="55"/>
        <v>-12079537.828515902</v>
      </c>
      <c r="J732" s="444">
        <f t="array" ref="J732">IFERROR(INDEX('Retirement Calculator'!K:K,MATCH('Lorri 401b'!N732,'Retirement Calculator'!A:A,0),0),0)</f>
        <v>21655.303514578787</v>
      </c>
      <c r="K732" s="444">
        <f t="shared" ca="1" si="53"/>
        <v>-50421.638050127003</v>
      </c>
      <c r="L732" s="444">
        <f t="shared" ca="1" si="54"/>
        <v>-12151614.770080609</v>
      </c>
      <c r="M732" s="460">
        <f t="shared" si="56"/>
        <v>0.05</v>
      </c>
      <c r="N732" s="464">
        <f t="shared" si="57"/>
        <v>73324</v>
      </c>
    </row>
    <row r="733" spans="7:14" ht="11.25" customHeight="1" x14ac:dyDescent="0.25">
      <c r="G733" s="459">
        <f t="shared" si="75"/>
        <v>61</v>
      </c>
      <c r="H733" s="459">
        <v>726</v>
      </c>
      <c r="I733" s="444">
        <f t="shared" ca="1" si="55"/>
        <v>-12151614.770080609</v>
      </c>
      <c r="J733" s="444">
        <f t="array" ref="J733">IFERROR(INDEX('Retirement Calculator'!K:K,MATCH('Lorri 401b'!N733,'Retirement Calculator'!A:A,0),0),0)</f>
        <v>21655.303514578787</v>
      </c>
      <c r="K733" s="444">
        <f t="shared" ca="1" si="53"/>
        <v>-50721.958639979952</v>
      </c>
      <c r="L733" s="444">
        <f t="shared" ca="1" si="54"/>
        <v>-12223992.032235168</v>
      </c>
      <c r="M733" s="460">
        <f t="shared" si="56"/>
        <v>0.05</v>
      </c>
      <c r="N733" s="464">
        <f t="shared" si="57"/>
        <v>73355</v>
      </c>
    </row>
    <row r="734" spans="7:14" ht="11.25" customHeight="1" x14ac:dyDescent="0.25">
      <c r="G734" s="459">
        <f t="shared" si="75"/>
        <v>61</v>
      </c>
      <c r="H734" s="459">
        <v>727</v>
      </c>
      <c r="I734" s="444">
        <f t="shared" ca="1" si="55"/>
        <v>-12223992.032235168</v>
      </c>
      <c r="J734" s="444">
        <f t="array" ref="J734">IFERROR(INDEX('Retirement Calculator'!K:K,MATCH('Lorri 401b'!N734,'Retirement Calculator'!A:A,0),0),0)</f>
        <v>21655.303514578787</v>
      </c>
      <c r="K734" s="444">
        <f t="shared" ca="1" si="53"/>
        <v>-51023.530565623943</v>
      </c>
      <c r="L734" s="444">
        <f t="shared" ca="1" si="54"/>
        <v>-12296670.86631537</v>
      </c>
      <c r="M734" s="460">
        <f t="shared" si="56"/>
        <v>0.05</v>
      </c>
      <c r="N734" s="464">
        <f t="shared" si="57"/>
        <v>73385</v>
      </c>
    </row>
    <row r="735" spans="7:14" ht="11.25" customHeight="1" x14ac:dyDescent="0.25">
      <c r="G735" s="459">
        <f t="shared" si="75"/>
        <v>61</v>
      </c>
      <c r="H735" s="459">
        <v>728</v>
      </c>
      <c r="I735" s="444">
        <f t="shared" ca="1" si="55"/>
        <v>-12296670.86631537</v>
      </c>
      <c r="J735" s="444">
        <f t="array" ref="J735">IFERROR(INDEX('Retirement Calculator'!K:K,MATCH('Lorri 401b'!N735,'Retirement Calculator'!A:A,0),0),0)</f>
        <v>21655.303514578787</v>
      </c>
      <c r="K735" s="444">
        <f t="shared" ca="1" si="53"/>
        <v>-51326.359040958123</v>
      </c>
      <c r="L735" s="444">
        <f t="shared" ca="1" si="54"/>
        <v>-12369652.528870909</v>
      </c>
      <c r="M735" s="460">
        <f t="shared" si="56"/>
        <v>0.05</v>
      </c>
      <c r="N735" s="464">
        <f t="shared" si="57"/>
        <v>73416</v>
      </c>
    </row>
    <row r="736" spans="7:14" ht="11.25" customHeight="1" x14ac:dyDescent="0.25">
      <c r="G736" s="459">
        <f t="shared" si="75"/>
        <v>61</v>
      </c>
      <c r="H736" s="459">
        <v>729</v>
      </c>
      <c r="I736" s="444">
        <f t="shared" ca="1" si="55"/>
        <v>-12369652.528870909</v>
      </c>
      <c r="J736" s="444">
        <f t="array" ref="J736">IFERROR(INDEX('Retirement Calculator'!K:K,MATCH('Lorri 401b'!N736,'Retirement Calculator'!A:A,0),0),0)</f>
        <v>21655.303514578787</v>
      </c>
      <c r="K736" s="444">
        <f t="shared" ca="1" si="53"/>
        <v>-51630.449301606197</v>
      </c>
      <c r="L736" s="444">
        <f t="shared" ca="1" si="54"/>
        <v>-12442938.281687094</v>
      </c>
      <c r="M736" s="460">
        <f t="shared" si="56"/>
        <v>0.05</v>
      </c>
      <c r="N736" s="464">
        <f t="shared" si="57"/>
        <v>73447</v>
      </c>
    </row>
    <row r="737" spans="7:14" ht="11.25" customHeight="1" x14ac:dyDescent="0.25">
      <c r="G737" s="459">
        <f t="shared" si="75"/>
        <v>61</v>
      </c>
      <c r="H737" s="459">
        <v>730</v>
      </c>
      <c r="I737" s="444">
        <f t="shared" ca="1" si="55"/>
        <v>-12442938.281687094</v>
      </c>
      <c r="J737" s="444">
        <f t="array" ref="J737">IFERROR(INDEX('Retirement Calculator'!K:K,MATCH('Lorri 401b'!N737,'Retirement Calculator'!A:A,0),0),0)</f>
        <v>21655.303514578787</v>
      </c>
      <c r="K737" s="444">
        <f t="shared" ca="1" si="53"/>
        <v>-51935.806605006968</v>
      </c>
      <c r="L737" s="444">
        <f t="shared" ca="1" si="54"/>
        <v>-12516529.391806681</v>
      </c>
      <c r="M737" s="460">
        <f t="shared" si="56"/>
        <v>0.05</v>
      </c>
      <c r="N737" s="464">
        <f t="shared" si="57"/>
        <v>73475</v>
      </c>
    </row>
    <row r="738" spans="7:14" ht="11.25" customHeight="1" x14ac:dyDescent="0.25">
      <c r="G738" s="459">
        <f t="shared" si="75"/>
        <v>61</v>
      </c>
      <c r="H738" s="459">
        <v>731</v>
      </c>
      <c r="I738" s="444">
        <f t="shared" ca="1" si="55"/>
        <v>-12516529.391806681</v>
      </c>
      <c r="J738" s="444">
        <f t="array" ref="J738">IFERROR(INDEX('Retirement Calculator'!K:K,MATCH('Lorri 401b'!N738,'Retirement Calculator'!A:A,0),0),0)</f>
        <v>21655.303514578787</v>
      </c>
      <c r="K738" s="444">
        <f t="shared" ca="1" si="53"/>
        <v>-52242.436230505249</v>
      </c>
      <c r="L738" s="444">
        <f t="shared" ca="1" si="54"/>
        <v>-12590427.131551765</v>
      </c>
      <c r="M738" s="460">
        <f t="shared" si="56"/>
        <v>0.05</v>
      </c>
      <c r="N738" s="464">
        <f t="shared" si="57"/>
        <v>73506</v>
      </c>
    </row>
    <row r="739" spans="7:14" ht="11.25" customHeight="1" x14ac:dyDescent="0.25">
      <c r="G739" s="459">
        <f t="shared" si="75"/>
        <v>61</v>
      </c>
      <c r="H739" s="459">
        <v>732</v>
      </c>
      <c r="I739" s="444">
        <f t="shared" ca="1" si="55"/>
        <v>-12590427.131551765</v>
      </c>
      <c r="J739" s="444">
        <f t="array" ref="J739">IFERROR(INDEX('Retirement Calculator'!K:K,MATCH('Lorri 401b'!N739,'Retirement Calculator'!A:A,0),0),0)</f>
        <v>21655.303514578787</v>
      </c>
      <c r="K739" s="444">
        <f t="shared" ca="1" si="53"/>
        <v>-52550.343479443101</v>
      </c>
      <c r="L739" s="444">
        <f t="shared" ca="1" si="54"/>
        <v>-12664632.778545788</v>
      </c>
      <c r="M739" s="460">
        <f t="shared" si="56"/>
        <v>0.05</v>
      </c>
      <c r="N739" s="464">
        <f t="shared" si="57"/>
        <v>73536</v>
      </c>
    </row>
    <row r="740" spans="7:14" ht="11.25" customHeight="1" x14ac:dyDescent="0.25">
      <c r="G740" s="459">
        <f>G739+1</f>
        <v>62</v>
      </c>
      <c r="H740" s="459">
        <v>733</v>
      </c>
      <c r="I740" s="444">
        <f t="shared" ca="1" si="55"/>
        <v>-12664632.778545788</v>
      </c>
      <c r="J740" s="444">
        <f t="array" ref="J740">IFERROR(INDEX('Retirement Calculator'!K:K,MATCH('Lorri 401b'!N740,'Retirement Calculator'!A:A,0),0),0)</f>
        <v>21655.303514578787</v>
      </c>
      <c r="K740" s="444">
        <f t="shared" ca="1" si="53"/>
        <v>-52859.533675251529</v>
      </c>
      <c r="L740" s="444">
        <f t="shared" ca="1" si="54"/>
        <v>-12739147.615735618</v>
      </c>
      <c r="M740" s="460">
        <f t="shared" si="56"/>
        <v>0.05</v>
      </c>
      <c r="N740" s="464">
        <f t="shared" si="57"/>
        <v>73567</v>
      </c>
    </row>
    <row r="741" spans="7:14" ht="11.25" customHeight="1" x14ac:dyDescent="0.25">
      <c r="G741" s="459">
        <f t="shared" ref="G741:G751" si="76">G740</f>
        <v>62</v>
      </c>
      <c r="H741" s="459">
        <v>734</v>
      </c>
      <c r="I741" s="444">
        <f t="shared" ca="1" si="55"/>
        <v>-12739147.615735618</v>
      </c>
      <c r="J741" s="444">
        <f t="array" ref="J741">IFERROR(INDEX('Retirement Calculator'!K:K,MATCH('Lorri 401b'!N741,'Retirement Calculator'!A:A,0),0),0)</f>
        <v>21655.303514578787</v>
      </c>
      <c r="K741" s="444">
        <f t="shared" ca="1" si="53"/>
        <v>-53170.012163542488</v>
      </c>
      <c r="L741" s="444">
        <f t="shared" ca="1" si="54"/>
        <v>-12813972.93141374</v>
      </c>
      <c r="M741" s="460">
        <f t="shared" si="56"/>
        <v>0.05</v>
      </c>
      <c r="N741" s="464">
        <f t="shared" si="57"/>
        <v>73597</v>
      </c>
    </row>
    <row r="742" spans="7:14" ht="11.25" customHeight="1" x14ac:dyDescent="0.25">
      <c r="G742" s="459">
        <f t="shared" si="76"/>
        <v>62</v>
      </c>
      <c r="H742" s="459">
        <v>735</v>
      </c>
      <c r="I742" s="444">
        <f t="shared" ca="1" si="55"/>
        <v>-12813972.93141374</v>
      </c>
      <c r="J742" s="444">
        <f t="array" ref="J742">IFERROR(INDEX('Retirement Calculator'!K:K,MATCH('Lorri 401b'!N742,'Retirement Calculator'!A:A,0),0),0)</f>
        <v>21655.303514578787</v>
      </c>
      <c r="K742" s="444">
        <f t="shared" ca="1" si="53"/>
        <v>-53481.784312201329</v>
      </c>
      <c r="L742" s="444">
        <f t="shared" ca="1" si="54"/>
        <v>-12889110.019240521</v>
      </c>
      <c r="M742" s="460">
        <f t="shared" si="56"/>
        <v>0.05</v>
      </c>
      <c r="N742" s="464">
        <f t="shared" si="57"/>
        <v>73628</v>
      </c>
    </row>
    <row r="743" spans="7:14" ht="11.25" customHeight="1" x14ac:dyDescent="0.25">
      <c r="G743" s="459">
        <f t="shared" si="76"/>
        <v>62</v>
      </c>
      <c r="H743" s="459">
        <v>736</v>
      </c>
      <c r="I743" s="444">
        <f t="shared" ca="1" si="55"/>
        <v>-12889110.019240521</v>
      </c>
      <c r="J743" s="444">
        <f t="array" ref="J743">IFERROR(INDEX('Retirement Calculator'!K:K,MATCH('Lorri 401b'!N743,'Retirement Calculator'!A:A,0),0),0)</f>
        <v>21655.303514578787</v>
      </c>
      <c r="K743" s="444">
        <f t="shared" ca="1" si="53"/>
        <v>-53794.855511479582</v>
      </c>
      <c r="L743" s="444">
        <f t="shared" ca="1" si="54"/>
        <v>-12964560.178266579</v>
      </c>
      <c r="M743" s="460">
        <f t="shared" si="56"/>
        <v>0.05</v>
      </c>
      <c r="N743" s="464">
        <f t="shared" si="57"/>
        <v>73659</v>
      </c>
    </row>
    <row r="744" spans="7:14" ht="11.25" customHeight="1" x14ac:dyDescent="0.25">
      <c r="G744" s="459">
        <f t="shared" si="76"/>
        <v>62</v>
      </c>
      <c r="H744" s="459">
        <v>737</v>
      </c>
      <c r="I744" s="444">
        <f t="shared" ca="1" si="55"/>
        <v>-12964560.178266579</v>
      </c>
      <c r="J744" s="444">
        <f t="array" ref="J744">IFERROR(INDEX('Retirement Calculator'!K:K,MATCH('Lorri 401b'!N744,'Retirement Calculator'!A:A,0),0),0)</f>
        <v>21655.303514578787</v>
      </c>
      <c r="K744" s="444">
        <f t="shared" ca="1" si="53"/>
        <v>-54109.231174088163</v>
      </c>
      <c r="L744" s="444">
        <f t="shared" ca="1" si="54"/>
        <v>-13040324.712955248</v>
      </c>
      <c r="M744" s="460">
        <f t="shared" si="56"/>
        <v>0.05</v>
      </c>
      <c r="N744" s="464">
        <f t="shared" si="57"/>
        <v>73689</v>
      </c>
    </row>
    <row r="745" spans="7:14" ht="11.25" customHeight="1" x14ac:dyDescent="0.25">
      <c r="G745" s="459">
        <f t="shared" si="76"/>
        <v>62</v>
      </c>
      <c r="H745" s="459">
        <v>738</v>
      </c>
      <c r="I745" s="444">
        <f t="shared" ca="1" si="55"/>
        <v>-13040324.712955248</v>
      </c>
      <c r="J745" s="444">
        <f t="array" ref="J745">IFERROR(INDEX('Retirement Calculator'!K:K,MATCH('Lorri 401b'!N745,'Retirement Calculator'!A:A,0),0),0)</f>
        <v>21655.303514578787</v>
      </c>
      <c r="K745" s="444">
        <f t="shared" ca="1" si="53"/>
        <v>-54424.916735290943</v>
      </c>
      <c r="L745" s="444">
        <f t="shared" ca="1" si="54"/>
        <v>-13116404.933205118</v>
      </c>
      <c r="M745" s="460">
        <f t="shared" si="56"/>
        <v>0.05</v>
      </c>
      <c r="N745" s="464">
        <f t="shared" si="57"/>
        <v>73720</v>
      </c>
    </row>
    <row r="746" spans="7:14" ht="11.25" customHeight="1" x14ac:dyDescent="0.25">
      <c r="G746" s="459">
        <f t="shared" si="76"/>
        <v>62</v>
      </c>
      <c r="H746" s="459">
        <v>739</v>
      </c>
      <c r="I746" s="444">
        <f t="shared" ca="1" si="55"/>
        <v>-13116404.933205118</v>
      </c>
      <c r="J746" s="444">
        <f t="array" ref="J746">IFERROR(INDEX('Retirement Calculator'!K:K,MATCH('Lorri 401b'!N746,'Retirement Calculator'!A:A,0),0),0)</f>
        <v>21655.303514578787</v>
      </c>
      <c r="K746" s="444">
        <f t="shared" ca="1" si="53"/>
        <v>-54741.917652998738</v>
      </c>
      <c r="L746" s="444">
        <f t="shared" ca="1" si="54"/>
        <v>-13192802.154372696</v>
      </c>
      <c r="M746" s="460">
        <f t="shared" si="56"/>
        <v>0.05</v>
      </c>
      <c r="N746" s="464">
        <f t="shared" si="57"/>
        <v>73750</v>
      </c>
    </row>
    <row r="747" spans="7:14" ht="11.25" customHeight="1" x14ac:dyDescent="0.25">
      <c r="G747" s="459">
        <f t="shared" si="76"/>
        <v>62</v>
      </c>
      <c r="H747" s="459">
        <v>740</v>
      </c>
      <c r="I747" s="444">
        <f t="shared" ca="1" si="55"/>
        <v>-13192802.154372696</v>
      </c>
      <c r="J747" s="444">
        <f t="array" ref="J747">IFERROR(INDEX('Retirement Calculator'!K:K,MATCH('Lorri 401b'!N747,'Retirement Calculator'!A:A,0),0),0)</f>
        <v>21655.303514578787</v>
      </c>
      <c r="K747" s="444">
        <f t="shared" ca="1" si="53"/>
        <v>-55060.239407863643</v>
      </c>
      <c r="L747" s="444">
        <f t="shared" ca="1" si="54"/>
        <v>-13269517.697295139</v>
      </c>
      <c r="M747" s="460">
        <f t="shared" si="56"/>
        <v>0.05</v>
      </c>
      <c r="N747" s="464">
        <f t="shared" si="57"/>
        <v>73781</v>
      </c>
    </row>
    <row r="748" spans="7:14" ht="11.25" customHeight="1" x14ac:dyDescent="0.25">
      <c r="G748" s="459">
        <f t="shared" si="76"/>
        <v>62</v>
      </c>
      <c r="H748" s="459">
        <v>741</v>
      </c>
      <c r="I748" s="444">
        <f t="shared" ca="1" si="55"/>
        <v>-13269517.697295139</v>
      </c>
      <c r="J748" s="444">
        <f t="array" ref="J748">IFERROR(INDEX('Retirement Calculator'!K:K,MATCH('Lorri 401b'!N748,'Retirement Calculator'!A:A,0),0),0)</f>
        <v>21655.303514578787</v>
      </c>
      <c r="K748" s="444">
        <f t="shared" ca="1" si="53"/>
        <v>-55379.887503373822</v>
      </c>
      <c r="L748" s="444">
        <f t="shared" ca="1" si="54"/>
        <v>-13346552.888313092</v>
      </c>
      <c r="M748" s="460">
        <f t="shared" si="56"/>
        <v>0.05</v>
      </c>
      <c r="N748" s="464">
        <f t="shared" si="57"/>
        <v>73812</v>
      </c>
    </row>
    <row r="749" spans="7:14" ht="11.25" customHeight="1" x14ac:dyDescent="0.25">
      <c r="G749" s="459">
        <f t="shared" si="76"/>
        <v>62</v>
      </c>
      <c r="H749" s="459">
        <v>742</v>
      </c>
      <c r="I749" s="444">
        <f t="shared" ca="1" si="55"/>
        <v>-13346552.888313092</v>
      </c>
      <c r="J749" s="444">
        <f t="array" ref="J749">IFERROR(INDEX('Retirement Calculator'!K:K,MATCH('Lorri 401b'!N749,'Retirement Calculator'!A:A,0),0),0)</f>
        <v>21655.303514578787</v>
      </c>
      <c r="K749" s="444">
        <f t="shared" ca="1" si="53"/>
        <v>-55700.867465948628</v>
      </c>
      <c r="L749" s="444">
        <f t="shared" ca="1" si="54"/>
        <v>-13423909.05929362</v>
      </c>
      <c r="M749" s="460">
        <f t="shared" si="56"/>
        <v>0.05</v>
      </c>
      <c r="N749" s="464">
        <f t="shared" si="57"/>
        <v>73840</v>
      </c>
    </row>
    <row r="750" spans="7:14" ht="11.25" customHeight="1" x14ac:dyDescent="0.25">
      <c r="G750" s="459">
        <f t="shared" si="76"/>
        <v>62</v>
      </c>
      <c r="H750" s="459">
        <v>743</v>
      </c>
      <c r="I750" s="444">
        <f t="shared" ca="1" si="55"/>
        <v>-13423909.05929362</v>
      </c>
      <c r="J750" s="444">
        <f t="array" ref="J750">IFERROR(INDEX('Retirement Calculator'!K:K,MATCH('Lorri 401b'!N750,'Retirement Calculator'!A:A,0),0),0)</f>
        <v>21655.303514578787</v>
      </c>
      <c r="K750" s="444">
        <f t="shared" ca="1" si="53"/>
        <v>-56023.184845034164</v>
      </c>
      <c r="L750" s="444">
        <f t="shared" ca="1" si="54"/>
        <v>-13501587.547653234</v>
      </c>
      <c r="M750" s="460">
        <f t="shared" si="56"/>
        <v>0.05</v>
      </c>
      <c r="N750" s="464">
        <f t="shared" si="57"/>
        <v>73871</v>
      </c>
    </row>
    <row r="751" spans="7:14" ht="11.25" customHeight="1" x14ac:dyDescent="0.25">
      <c r="G751" s="459">
        <f t="shared" si="76"/>
        <v>62</v>
      </c>
      <c r="H751" s="459">
        <v>744</v>
      </c>
      <c r="I751" s="444">
        <f t="shared" ca="1" si="55"/>
        <v>-13501587.547653234</v>
      </c>
      <c r="J751" s="444">
        <f t="array" ref="J751">IFERROR(INDEX('Retirement Calculator'!K:K,MATCH('Lorri 401b'!N751,'Retirement Calculator'!A:A,0),0),0)</f>
        <v>21655.303514578787</v>
      </c>
      <c r="K751" s="444">
        <f t="shared" ca="1" si="53"/>
        <v>-56346.845213199216</v>
      </c>
      <c r="L751" s="444">
        <f t="shared" ca="1" si="54"/>
        <v>-13579589.696381012</v>
      </c>
      <c r="M751" s="460">
        <f t="shared" si="56"/>
        <v>0.05</v>
      </c>
      <c r="N751" s="464">
        <f t="shared" si="57"/>
        <v>73901</v>
      </c>
    </row>
    <row r="752" spans="7:14" ht="11.25" customHeight="1" x14ac:dyDescent="0.25">
      <c r="G752" s="459">
        <f>G751+1</f>
        <v>63</v>
      </c>
      <c r="H752" s="459">
        <v>745</v>
      </c>
      <c r="I752" s="444">
        <f t="shared" ca="1" si="55"/>
        <v>-13579589.696381012</v>
      </c>
      <c r="J752" s="444">
        <f t="array" ref="J752">IFERROR(INDEX('Retirement Calculator'!K:K,MATCH('Lorri 401b'!N752,'Retirement Calculator'!A:A,0),0),0)</f>
        <v>21655.303514578787</v>
      </c>
      <c r="K752" s="444">
        <f t="shared" ca="1" si="53"/>
        <v>-56671.854166231627</v>
      </c>
      <c r="L752" s="444">
        <f t="shared" ca="1" si="54"/>
        <v>-13657916.854061823</v>
      </c>
      <c r="M752" s="460">
        <f t="shared" si="56"/>
        <v>0.05</v>
      </c>
      <c r="N752" s="464">
        <f t="shared" si="57"/>
        <v>73932</v>
      </c>
    </row>
    <row r="753" spans="7:14" ht="11.25" customHeight="1" x14ac:dyDescent="0.25">
      <c r="G753" s="459">
        <f t="shared" ref="G753:G763" si="77">G752</f>
        <v>63</v>
      </c>
      <c r="H753" s="459">
        <v>746</v>
      </c>
      <c r="I753" s="444">
        <f t="shared" ca="1" si="55"/>
        <v>-13657916.854061823</v>
      </c>
      <c r="J753" s="444">
        <f t="array" ref="J753">IFERROR(INDEX('Retirement Calculator'!K:K,MATCH('Lorri 401b'!N753,'Retirement Calculator'!A:A,0),0),0)</f>
        <v>21655.303514578787</v>
      </c>
      <c r="K753" s="444">
        <f t="shared" ca="1" si="53"/>
        <v>-56998.217323235011</v>
      </c>
      <c r="L753" s="444">
        <f t="shared" ca="1" si="54"/>
        <v>-13736570.374899637</v>
      </c>
      <c r="M753" s="460">
        <f t="shared" si="56"/>
        <v>0.05</v>
      </c>
      <c r="N753" s="464">
        <f t="shared" si="57"/>
        <v>73962</v>
      </c>
    </row>
    <row r="754" spans="7:14" ht="11.25" customHeight="1" x14ac:dyDescent="0.25">
      <c r="G754" s="459">
        <f t="shared" si="77"/>
        <v>63</v>
      </c>
      <c r="H754" s="459">
        <v>747</v>
      </c>
      <c r="I754" s="444">
        <f t="shared" ca="1" si="55"/>
        <v>-13736570.374899637</v>
      </c>
      <c r="J754" s="444">
        <f t="array" ref="J754">IFERROR(INDEX('Retirement Calculator'!K:K,MATCH('Lorri 401b'!N754,'Retirement Calculator'!A:A,0),0),0)</f>
        <v>21655.303514578787</v>
      </c>
      <c r="K754" s="444">
        <f t="shared" ca="1" si="53"/>
        <v>-57325.940326725911</v>
      </c>
      <c r="L754" s="444">
        <f t="shared" ca="1" si="54"/>
        <v>-13815551.618740942</v>
      </c>
      <c r="M754" s="460">
        <f t="shared" si="56"/>
        <v>0.05</v>
      </c>
      <c r="N754" s="464">
        <f t="shared" si="57"/>
        <v>73993</v>
      </c>
    </row>
    <row r="755" spans="7:14" ht="11.25" customHeight="1" x14ac:dyDescent="0.25">
      <c r="G755" s="459">
        <f t="shared" si="77"/>
        <v>63</v>
      </c>
      <c r="H755" s="459">
        <v>748</v>
      </c>
      <c r="I755" s="444">
        <f t="shared" ca="1" si="55"/>
        <v>-13815551.618740942</v>
      </c>
      <c r="J755" s="444">
        <f t="array" ref="J755">IFERROR(INDEX('Retirement Calculator'!K:K,MATCH('Lorri 401b'!N755,'Retirement Calculator'!A:A,0),0),0)</f>
        <v>21655.303514578787</v>
      </c>
      <c r="K755" s="444">
        <f t="shared" ca="1" si="53"/>
        <v>-57655.028842731343</v>
      </c>
      <c r="L755" s="444">
        <f t="shared" ca="1" si="54"/>
        <v>-13894861.951098252</v>
      </c>
      <c r="M755" s="460">
        <f t="shared" si="56"/>
        <v>0.05</v>
      </c>
      <c r="N755" s="464">
        <f t="shared" si="57"/>
        <v>74024</v>
      </c>
    </row>
    <row r="756" spans="7:14" ht="11.25" customHeight="1" x14ac:dyDescent="0.25">
      <c r="G756" s="459">
        <f t="shared" si="77"/>
        <v>63</v>
      </c>
      <c r="H756" s="459">
        <v>749</v>
      </c>
      <c r="I756" s="444">
        <f t="shared" ca="1" si="55"/>
        <v>-13894861.951098252</v>
      </c>
      <c r="J756" s="444">
        <f t="array" ref="J756">IFERROR(INDEX('Retirement Calculator'!K:K,MATCH('Lorri 401b'!N756,'Retirement Calculator'!A:A,0),0),0)</f>
        <v>21655.303514578787</v>
      </c>
      <c r="K756" s="444">
        <f t="shared" ca="1" si="53"/>
        <v>-57985.488560886799</v>
      </c>
      <c r="L756" s="444">
        <f t="shared" ca="1" si="54"/>
        <v>-13974502.743173718</v>
      </c>
      <c r="M756" s="460">
        <f t="shared" si="56"/>
        <v>0.05</v>
      </c>
      <c r="N756" s="464">
        <f t="shared" si="57"/>
        <v>74054</v>
      </c>
    </row>
    <row r="757" spans="7:14" ht="11.25" customHeight="1" x14ac:dyDescent="0.25">
      <c r="G757" s="459">
        <f t="shared" si="77"/>
        <v>63</v>
      </c>
      <c r="H757" s="459">
        <v>750</v>
      </c>
      <c r="I757" s="444">
        <f t="shared" ca="1" si="55"/>
        <v>-13974502.743173718</v>
      </c>
      <c r="J757" s="444">
        <f t="array" ref="J757">IFERROR(INDEX('Retirement Calculator'!K:K,MATCH('Lorri 401b'!N757,'Retirement Calculator'!A:A,0),0),0)</f>
        <v>21655.303514578787</v>
      </c>
      <c r="K757" s="444">
        <f t="shared" ca="1" si="53"/>
        <v>-58317.325194534576</v>
      </c>
      <c r="L757" s="444">
        <f t="shared" ca="1" si="54"/>
        <v>-14054475.371882832</v>
      </c>
      <c r="M757" s="460">
        <f t="shared" si="56"/>
        <v>0.05</v>
      </c>
      <c r="N757" s="464">
        <f t="shared" si="57"/>
        <v>74085</v>
      </c>
    </row>
    <row r="758" spans="7:14" ht="11.25" customHeight="1" x14ac:dyDescent="0.25">
      <c r="G758" s="459">
        <f t="shared" si="77"/>
        <v>63</v>
      </c>
      <c r="H758" s="459">
        <v>751</v>
      </c>
      <c r="I758" s="444">
        <f t="shared" ca="1" si="55"/>
        <v>-14054475.371882832</v>
      </c>
      <c r="J758" s="444">
        <f t="array" ref="J758">IFERROR(INDEX('Retirement Calculator'!K:K,MATCH('Lorri 401b'!N758,'Retirement Calculator'!A:A,0),0),0)</f>
        <v>21655.303514578787</v>
      </c>
      <c r="K758" s="444">
        <f t="shared" ca="1" si="53"/>
        <v>-58650.544480822544</v>
      </c>
      <c r="L758" s="444">
        <f t="shared" ca="1" si="54"/>
        <v>-14134781.219878234</v>
      </c>
      <c r="M758" s="460">
        <f t="shared" si="56"/>
        <v>0.05</v>
      </c>
      <c r="N758" s="464">
        <f t="shared" si="57"/>
        <v>74115</v>
      </c>
    </row>
    <row r="759" spans="7:14" ht="11.25" customHeight="1" x14ac:dyDescent="0.25">
      <c r="G759" s="459">
        <f t="shared" si="77"/>
        <v>63</v>
      </c>
      <c r="H759" s="459">
        <v>752</v>
      </c>
      <c r="I759" s="444">
        <f t="shared" ca="1" si="55"/>
        <v>-14134781.219878234</v>
      </c>
      <c r="J759" s="444">
        <f t="array" ref="J759">IFERROR(INDEX('Retirement Calculator'!K:K,MATCH('Lorri 401b'!N759,'Retirement Calculator'!A:A,0),0),0)</f>
        <v>21655.303514578787</v>
      </c>
      <c r="K759" s="444">
        <f t="shared" ca="1" si="53"/>
        <v>-58985.152180803387</v>
      </c>
      <c r="L759" s="444">
        <f t="shared" ca="1" si="54"/>
        <v>-14215421.675573617</v>
      </c>
      <c r="M759" s="460">
        <f t="shared" si="56"/>
        <v>0.05</v>
      </c>
      <c r="N759" s="464">
        <f t="shared" si="57"/>
        <v>74146</v>
      </c>
    </row>
    <row r="760" spans="7:14" ht="11.25" customHeight="1" x14ac:dyDescent="0.25">
      <c r="G760" s="459">
        <f t="shared" si="77"/>
        <v>63</v>
      </c>
      <c r="H760" s="459">
        <v>753</v>
      </c>
      <c r="I760" s="444">
        <f t="shared" ca="1" si="55"/>
        <v>-14215421.675573617</v>
      </c>
      <c r="J760" s="444">
        <f t="array" ref="J760">IFERROR(INDEX('Retirement Calculator'!K:K,MATCH('Lorri 401b'!N760,'Retirement Calculator'!A:A,0),0),0)</f>
        <v>21655.303514578787</v>
      </c>
      <c r="K760" s="444">
        <f t="shared" ca="1" si="53"/>
        <v>-59321.15407953415</v>
      </c>
      <c r="L760" s="444">
        <f t="shared" ca="1" si="54"/>
        <v>-14296398.133167731</v>
      </c>
      <c r="M760" s="460">
        <f t="shared" si="56"/>
        <v>0.05</v>
      </c>
      <c r="N760" s="464">
        <f t="shared" si="57"/>
        <v>74177</v>
      </c>
    </row>
    <row r="761" spans="7:14" ht="11.25" customHeight="1" x14ac:dyDescent="0.25">
      <c r="G761" s="459">
        <f t="shared" si="77"/>
        <v>63</v>
      </c>
      <c r="H761" s="459">
        <v>754</v>
      </c>
      <c r="I761" s="444">
        <f t="shared" ca="1" si="55"/>
        <v>-14296398.133167731</v>
      </c>
      <c r="J761" s="444">
        <f t="array" ref="J761">IFERROR(INDEX('Retirement Calculator'!K:K,MATCH('Lorri 401b'!N761,'Retirement Calculator'!A:A,0),0),0)</f>
        <v>21655.303514578787</v>
      </c>
      <c r="K761" s="444">
        <f t="shared" ca="1" si="53"/>
        <v>-59658.555986176281</v>
      </c>
      <c r="L761" s="444">
        <f t="shared" ca="1" si="54"/>
        <v>-14377711.992668487</v>
      </c>
      <c r="M761" s="460">
        <f t="shared" si="56"/>
        <v>0.05</v>
      </c>
      <c r="N761" s="464">
        <f t="shared" si="57"/>
        <v>74205</v>
      </c>
    </row>
    <row r="762" spans="7:14" ht="11.25" customHeight="1" x14ac:dyDescent="0.25">
      <c r="G762" s="459">
        <f t="shared" si="77"/>
        <v>63</v>
      </c>
      <c r="H762" s="459">
        <v>755</v>
      </c>
      <c r="I762" s="444">
        <f t="shared" ca="1" si="55"/>
        <v>-14377711.992668487</v>
      </c>
      <c r="J762" s="444">
        <f t="array" ref="J762">IFERROR(INDEX('Retirement Calculator'!K:K,MATCH('Lorri 401b'!N762,'Retirement Calculator'!A:A,0),0),0)</f>
        <v>21655.303514578787</v>
      </c>
      <c r="K762" s="444">
        <f t="shared" ca="1" si="53"/>
        <v>-59997.363734096107</v>
      </c>
      <c r="L762" s="444">
        <f t="shared" ca="1" si="54"/>
        <v>-14459364.659917163</v>
      </c>
      <c r="M762" s="460">
        <f t="shared" si="56"/>
        <v>0.05</v>
      </c>
      <c r="N762" s="464">
        <f t="shared" si="57"/>
        <v>74236</v>
      </c>
    </row>
    <row r="763" spans="7:14" ht="11.25" customHeight="1" x14ac:dyDescent="0.25">
      <c r="G763" s="459">
        <f t="shared" si="77"/>
        <v>63</v>
      </c>
      <c r="H763" s="459">
        <v>756</v>
      </c>
      <c r="I763" s="444">
        <f t="shared" ca="1" si="55"/>
        <v>-14459364.659917163</v>
      </c>
      <c r="J763" s="444">
        <f t="array" ref="J763">IFERROR(INDEX('Retirement Calculator'!K:K,MATCH('Lorri 401b'!N763,'Retirement Calculator'!A:A,0),0),0)</f>
        <v>21655.303514578787</v>
      </c>
      <c r="K763" s="444">
        <f t="shared" ca="1" si="53"/>
        <v>-60337.583180965594</v>
      </c>
      <c r="L763" s="444">
        <f t="shared" ca="1" si="54"/>
        <v>-14541357.546612708</v>
      </c>
      <c r="M763" s="460">
        <f t="shared" si="56"/>
        <v>0.05</v>
      </c>
      <c r="N763" s="464">
        <f t="shared" si="57"/>
        <v>74266</v>
      </c>
    </row>
    <row r="764" spans="7:14" ht="11.25" customHeight="1" x14ac:dyDescent="0.25">
      <c r="G764" s="459">
        <f>G763+1</f>
        <v>64</v>
      </c>
      <c r="H764" s="459">
        <v>757</v>
      </c>
      <c r="I764" s="444">
        <f t="shared" ca="1" si="55"/>
        <v>-14541357.546612708</v>
      </c>
      <c r="J764" s="444">
        <f t="array" ref="J764">IFERROR(INDEX('Retirement Calculator'!K:K,MATCH('Lorri 401b'!N764,'Retirement Calculator'!A:A,0),0),0)</f>
        <v>21655.303514578787</v>
      </c>
      <c r="K764" s="444">
        <f t="shared" ca="1" si="53"/>
        <v>-60679.220208863699</v>
      </c>
      <c r="L764" s="444">
        <f t="shared" ca="1" si="54"/>
        <v>-14623692.07033615</v>
      </c>
      <c r="M764" s="460">
        <f t="shared" si="56"/>
        <v>0.05</v>
      </c>
      <c r="N764" s="464">
        <f t="shared" si="57"/>
        <v>74297</v>
      </c>
    </row>
    <row r="765" spans="7:14" ht="11.25" customHeight="1" x14ac:dyDescent="0.25">
      <c r="G765" s="459">
        <f t="shared" ref="G765:G775" si="78">G764</f>
        <v>64</v>
      </c>
      <c r="H765" s="459">
        <v>758</v>
      </c>
      <c r="I765" s="444">
        <f t="shared" ca="1" si="55"/>
        <v>-14623692.07033615</v>
      </c>
      <c r="J765" s="444">
        <f t="array" ref="J765">IFERROR(INDEX('Retirement Calculator'!K:K,MATCH('Lorri 401b'!N765,'Retirement Calculator'!A:A,0),0),0)</f>
        <v>21655.303514578787</v>
      </c>
      <c r="K765" s="444">
        <f t="shared" ca="1" si="53"/>
        <v>-61022.280724378041</v>
      </c>
      <c r="L765" s="444">
        <f t="shared" ca="1" si="54"/>
        <v>-14706369.654575108</v>
      </c>
      <c r="M765" s="460">
        <f t="shared" si="56"/>
        <v>0.05</v>
      </c>
      <c r="N765" s="464">
        <f t="shared" si="57"/>
        <v>74327</v>
      </c>
    </row>
    <row r="766" spans="7:14" ht="11.25" customHeight="1" x14ac:dyDescent="0.25">
      <c r="G766" s="459">
        <f t="shared" si="78"/>
        <v>64</v>
      </c>
      <c r="H766" s="459">
        <v>759</v>
      </c>
      <c r="I766" s="444">
        <f t="shared" ca="1" si="55"/>
        <v>-14706369.654575108</v>
      </c>
      <c r="J766" s="444">
        <f t="array" ref="J766">IFERROR(INDEX('Retirement Calculator'!K:K,MATCH('Lorri 401b'!N766,'Retirement Calculator'!A:A,0),0),0)</f>
        <v>21655.303514578787</v>
      </c>
      <c r="K766" s="444">
        <f t="shared" ca="1" si="53"/>
        <v>-61366.770658707028</v>
      </c>
      <c r="L766" s="444">
        <f t="shared" ca="1" si="54"/>
        <v>-14789391.728748394</v>
      </c>
      <c r="M766" s="460">
        <f t="shared" si="56"/>
        <v>0.05</v>
      </c>
      <c r="N766" s="464">
        <f t="shared" si="57"/>
        <v>74358</v>
      </c>
    </row>
    <row r="767" spans="7:14" ht="11.25" customHeight="1" x14ac:dyDescent="0.25">
      <c r="G767" s="459">
        <f t="shared" si="78"/>
        <v>64</v>
      </c>
      <c r="H767" s="459">
        <v>760</v>
      </c>
      <c r="I767" s="444">
        <f t="shared" ca="1" si="55"/>
        <v>-14789391.728748394</v>
      </c>
      <c r="J767" s="444">
        <f t="array" ref="J767">IFERROR(INDEX('Retirement Calculator'!K:K,MATCH('Lorri 401b'!N767,'Retirement Calculator'!A:A,0),0),0)</f>
        <v>21655.303514578787</v>
      </c>
      <c r="K767" s="444">
        <f t="shared" ca="1" si="53"/>
        <v>-61712.695967762382</v>
      </c>
      <c r="L767" s="444">
        <f t="shared" ca="1" si="54"/>
        <v>-14872759.728230735</v>
      </c>
      <c r="M767" s="460">
        <f t="shared" si="56"/>
        <v>0.05</v>
      </c>
      <c r="N767" s="464">
        <f t="shared" si="57"/>
        <v>74389</v>
      </c>
    </row>
    <row r="768" spans="7:14" ht="11.25" customHeight="1" x14ac:dyDescent="0.25">
      <c r="G768" s="459">
        <f t="shared" si="78"/>
        <v>64</v>
      </c>
      <c r="H768" s="459">
        <v>761</v>
      </c>
      <c r="I768" s="444">
        <f t="shared" ca="1" si="55"/>
        <v>-14872759.728230735</v>
      </c>
      <c r="J768" s="444">
        <f t="array" ref="J768">IFERROR(INDEX('Retirement Calculator'!K:K,MATCH('Lorri 401b'!N768,'Retirement Calculator'!A:A,0),0),0)</f>
        <v>21655.303514578787</v>
      </c>
      <c r="K768" s="444">
        <f t="shared" ca="1" si="53"/>
        <v>-62060.062632272144</v>
      </c>
      <c r="L768" s="444">
        <f t="shared" ca="1" si="54"/>
        <v>-14956475.094377587</v>
      </c>
      <c r="M768" s="460">
        <f t="shared" si="56"/>
        <v>0.05</v>
      </c>
      <c r="N768" s="464">
        <f t="shared" si="57"/>
        <v>74419</v>
      </c>
    </row>
    <row r="769" spans="7:14" ht="11.25" customHeight="1" x14ac:dyDescent="0.25">
      <c r="G769" s="459">
        <f t="shared" si="78"/>
        <v>64</v>
      </c>
      <c r="H769" s="459">
        <v>762</v>
      </c>
      <c r="I769" s="444">
        <f t="shared" ca="1" si="55"/>
        <v>-14956475.094377587</v>
      </c>
      <c r="J769" s="444">
        <f t="array" ref="J769">IFERROR(INDEX('Retirement Calculator'!K:K,MATCH('Lorri 401b'!N769,'Retirement Calculator'!A:A,0),0),0)</f>
        <v>21655.303514578787</v>
      </c>
      <c r="K769" s="444">
        <f t="shared" ca="1" si="53"/>
        <v>-62408.87665788403</v>
      </c>
      <c r="L769" s="444">
        <f t="shared" ca="1" si="54"/>
        <v>-15040539.27455005</v>
      </c>
      <c r="M769" s="460">
        <f t="shared" si="56"/>
        <v>0.05</v>
      </c>
      <c r="N769" s="464">
        <f t="shared" si="57"/>
        <v>74450</v>
      </c>
    </row>
    <row r="770" spans="7:14" ht="11.25" customHeight="1" x14ac:dyDescent="0.25">
      <c r="G770" s="459">
        <f t="shared" si="78"/>
        <v>64</v>
      </c>
      <c r="H770" s="459">
        <v>763</v>
      </c>
      <c r="I770" s="444">
        <f t="shared" ca="1" si="55"/>
        <v>-15040539.27455005</v>
      </c>
      <c r="J770" s="444">
        <f t="array" ref="J770">IFERROR(INDEX('Retirement Calculator'!K:K,MATCH('Lorri 401b'!N770,'Retirement Calculator'!A:A,0),0),0)</f>
        <v>21655.303514578787</v>
      </c>
      <c r="K770" s="444">
        <f t="shared" ca="1" si="53"/>
        <v>-62759.14407526928</v>
      </c>
      <c r="L770" s="444">
        <f t="shared" ca="1" si="54"/>
        <v>-15124953.722139899</v>
      </c>
      <c r="M770" s="460">
        <f t="shared" si="56"/>
        <v>0.05</v>
      </c>
      <c r="N770" s="464">
        <f t="shared" si="57"/>
        <v>74480</v>
      </c>
    </row>
    <row r="771" spans="7:14" ht="11.25" customHeight="1" x14ac:dyDescent="0.25">
      <c r="G771" s="459">
        <f t="shared" si="78"/>
        <v>64</v>
      </c>
      <c r="H771" s="459">
        <v>764</v>
      </c>
      <c r="I771" s="444">
        <f t="shared" ca="1" si="55"/>
        <v>-15124953.722139899</v>
      </c>
      <c r="J771" s="444">
        <f t="array" ref="J771">IFERROR(INDEX('Retirement Calculator'!K:K,MATCH('Lorri 401b'!N771,'Retirement Calculator'!A:A,0),0),0)</f>
        <v>21655.303514578787</v>
      </c>
      <c r="K771" s="444">
        <f t="shared" ca="1" si="53"/>
        <v>-63110.870940226981</v>
      </c>
      <c r="L771" s="444">
        <f t="shared" ca="1" si="54"/>
        <v>-15209719.896594705</v>
      </c>
      <c r="M771" s="460">
        <f t="shared" si="56"/>
        <v>0.05</v>
      </c>
      <c r="N771" s="464">
        <f t="shared" si="57"/>
        <v>74511</v>
      </c>
    </row>
    <row r="772" spans="7:14" ht="11.25" customHeight="1" x14ac:dyDescent="0.25">
      <c r="G772" s="459">
        <f t="shared" si="78"/>
        <v>64</v>
      </c>
      <c r="H772" s="459">
        <v>765</v>
      </c>
      <c r="I772" s="444">
        <f t="shared" ca="1" si="55"/>
        <v>-15209719.896594705</v>
      </c>
      <c r="J772" s="444">
        <f t="array" ref="J772">IFERROR(INDEX('Retirement Calculator'!K:K,MATCH('Lorri 401b'!N772,'Retirement Calculator'!A:A,0),0),0)</f>
        <v>21655.303514578787</v>
      </c>
      <c r="K772" s="444">
        <f t="shared" ca="1" si="53"/>
        <v>-63464.063333788683</v>
      </c>
      <c r="L772" s="444">
        <f t="shared" ca="1" si="54"/>
        <v>-15294839.263443073</v>
      </c>
      <c r="M772" s="460">
        <f t="shared" si="56"/>
        <v>0.05</v>
      </c>
      <c r="N772" s="464">
        <f t="shared" si="57"/>
        <v>74542</v>
      </c>
    </row>
    <row r="773" spans="7:14" ht="11.25" customHeight="1" x14ac:dyDescent="0.25">
      <c r="G773" s="459">
        <f t="shared" si="78"/>
        <v>64</v>
      </c>
      <c r="H773" s="459">
        <v>766</v>
      </c>
      <c r="I773" s="444">
        <f t="shared" ca="1" si="55"/>
        <v>-15294839.263443073</v>
      </c>
      <c r="J773" s="444">
        <f t="array" ref="J773">IFERROR(INDEX('Retirement Calculator'!K:K,MATCH('Lorri 401b'!N773,'Retirement Calculator'!A:A,0),0),0)</f>
        <v>21655.303514578787</v>
      </c>
      <c r="K773" s="444">
        <f t="shared" ref="K773:K1027" ca="1" si="79">IPMT(M773/12,1,12,-I773+J773,,0)</f>
        <v>-63818.727362323552</v>
      </c>
      <c r="L773" s="444">
        <f t="shared" ref="L773:L1027" ca="1" si="80">I773-J773+K773</f>
        <v>-15380313.294319976</v>
      </c>
      <c r="M773" s="460">
        <f t="shared" si="56"/>
        <v>0.05</v>
      </c>
      <c r="N773" s="464">
        <f t="shared" si="57"/>
        <v>74571</v>
      </c>
    </row>
    <row r="774" spans="7:14" ht="11.25" customHeight="1" x14ac:dyDescent="0.25">
      <c r="G774" s="459">
        <f t="shared" si="78"/>
        <v>64</v>
      </c>
      <c r="H774" s="459">
        <v>767</v>
      </c>
      <c r="I774" s="444">
        <f t="shared" ref="I774:I1028" ca="1" si="81">L773</f>
        <v>-15380313.294319976</v>
      </c>
      <c r="J774" s="444">
        <f t="array" ref="J774">IFERROR(INDEX('Retirement Calculator'!K:K,MATCH('Lorri 401b'!N774,'Retirement Calculator'!A:A,0),0),0)</f>
        <v>21655.303514578787</v>
      </c>
      <c r="K774" s="444">
        <f t="shared" ca="1" si="79"/>
        <v>-64174.869157643981</v>
      </c>
      <c r="L774" s="444">
        <f t="shared" ca="1" si="80"/>
        <v>-15466143.466992199</v>
      </c>
      <c r="M774" s="460">
        <f t="shared" ref="M774:M1028" si="82">M773</f>
        <v>0.05</v>
      </c>
      <c r="N774" s="464">
        <f t="shared" ref="N774:N1028" si="83">EDATE(N773,1)</f>
        <v>74602</v>
      </c>
    </row>
    <row r="775" spans="7:14" ht="11.25" customHeight="1" x14ac:dyDescent="0.25">
      <c r="G775" s="459">
        <f t="shared" si="78"/>
        <v>64</v>
      </c>
      <c r="H775" s="459">
        <v>768</v>
      </c>
      <c r="I775" s="444">
        <f t="shared" ca="1" si="81"/>
        <v>-15466143.466992199</v>
      </c>
      <c r="J775" s="444">
        <f t="array" ref="J775">IFERROR(INDEX('Retirement Calculator'!K:K,MATCH('Lorri 401b'!N775,'Retirement Calculator'!A:A,0),0),0)</f>
        <v>21655.303514578787</v>
      </c>
      <c r="K775" s="444">
        <f t="shared" ca="1" si="79"/>
        <v>-64532.494877111574</v>
      </c>
      <c r="L775" s="444">
        <f t="shared" ca="1" si="80"/>
        <v>-15552331.26538389</v>
      </c>
      <c r="M775" s="460">
        <f t="shared" si="82"/>
        <v>0.05</v>
      </c>
      <c r="N775" s="464">
        <f t="shared" si="83"/>
        <v>74632</v>
      </c>
    </row>
    <row r="776" spans="7:14" ht="11.25" customHeight="1" x14ac:dyDescent="0.25">
      <c r="G776" s="459">
        <f>G775+1</f>
        <v>65</v>
      </c>
      <c r="H776" s="459">
        <v>769</v>
      </c>
      <c r="I776" s="444">
        <f t="shared" ca="1" si="81"/>
        <v>-15552331.26538389</v>
      </c>
      <c r="J776" s="444">
        <f t="array" ref="J776">IFERROR(INDEX('Retirement Calculator'!K:K,MATCH('Lorri 401b'!N776,'Retirement Calculator'!A:A,0),0),0)</f>
        <v>21655.303514578787</v>
      </c>
      <c r="K776" s="444">
        <f t="shared" ca="1" si="79"/>
        <v>-64891.610703743623</v>
      </c>
      <c r="L776" s="444">
        <f t="shared" ca="1" si="80"/>
        <v>-15638878.179602213</v>
      </c>
      <c r="M776" s="460">
        <f t="shared" si="82"/>
        <v>0.05</v>
      </c>
      <c r="N776" s="464">
        <f t="shared" si="83"/>
        <v>74663</v>
      </c>
    </row>
    <row r="777" spans="7:14" ht="11.25" customHeight="1" x14ac:dyDescent="0.25">
      <c r="G777" s="459">
        <f t="shared" ref="G777:G787" si="84">G776</f>
        <v>65</v>
      </c>
      <c r="H777" s="459">
        <v>770</v>
      </c>
      <c r="I777" s="444">
        <f t="shared" ca="1" si="81"/>
        <v>-15638878.179602213</v>
      </c>
      <c r="J777" s="444">
        <f t="array" ref="J777">IFERROR(INDEX('Retirement Calculator'!K:K,MATCH('Lorri 401b'!N777,'Retirement Calculator'!A:A,0),0),0)</f>
        <v>21655.303514578787</v>
      </c>
      <c r="K777" s="444">
        <f t="shared" ca="1" si="79"/>
        <v>-65252.222846319957</v>
      </c>
      <c r="L777" s="444">
        <f t="shared" ca="1" si="80"/>
        <v>-15725785.705963112</v>
      </c>
      <c r="M777" s="460">
        <f t="shared" si="82"/>
        <v>0.05</v>
      </c>
      <c r="N777" s="464">
        <f t="shared" si="83"/>
        <v>74693</v>
      </c>
    </row>
    <row r="778" spans="7:14" ht="11.25" customHeight="1" x14ac:dyDescent="0.25">
      <c r="G778" s="459">
        <f t="shared" si="84"/>
        <v>65</v>
      </c>
      <c r="H778" s="459">
        <v>771</v>
      </c>
      <c r="I778" s="444">
        <f t="shared" ca="1" si="81"/>
        <v>-15725785.705963112</v>
      </c>
      <c r="J778" s="444">
        <f t="array" ref="J778">IFERROR(INDEX('Retirement Calculator'!K:K,MATCH('Lorri 401b'!N778,'Retirement Calculator'!A:A,0),0),0)</f>
        <v>21655.303514578787</v>
      </c>
      <c r="K778" s="444">
        <f t="shared" ca="1" si="79"/>
        <v>-65614.337539490385</v>
      </c>
      <c r="L778" s="444">
        <f t="shared" ca="1" si="80"/>
        <v>-15813055.347017182</v>
      </c>
      <c r="M778" s="460">
        <f t="shared" si="82"/>
        <v>0.05</v>
      </c>
      <c r="N778" s="464">
        <f t="shared" si="83"/>
        <v>74724</v>
      </c>
    </row>
    <row r="779" spans="7:14" ht="11.25" customHeight="1" x14ac:dyDescent="0.25">
      <c r="G779" s="459">
        <f t="shared" si="84"/>
        <v>65</v>
      </c>
      <c r="H779" s="459">
        <v>772</v>
      </c>
      <c r="I779" s="444">
        <f t="shared" ca="1" si="81"/>
        <v>-15813055.347017182</v>
      </c>
      <c r="J779" s="444">
        <f t="array" ref="J779">IFERROR(INDEX('Retirement Calculator'!K:K,MATCH('Lorri 401b'!N779,'Retirement Calculator'!A:A,0),0),0)</f>
        <v>21655.303514578787</v>
      </c>
      <c r="K779" s="444">
        <f t="shared" ca="1" si="79"/>
        <v>-65977.961043882344</v>
      </c>
      <c r="L779" s="444">
        <f t="shared" ca="1" si="80"/>
        <v>-15900688.611575644</v>
      </c>
      <c r="M779" s="460">
        <f t="shared" si="82"/>
        <v>0.05</v>
      </c>
      <c r="N779" s="464">
        <f t="shared" si="83"/>
        <v>74755</v>
      </c>
    </row>
    <row r="780" spans="7:14" ht="11.25" customHeight="1" x14ac:dyDescent="0.25">
      <c r="G780" s="459">
        <f t="shared" si="84"/>
        <v>65</v>
      </c>
      <c r="H780" s="459">
        <v>773</v>
      </c>
      <c r="I780" s="444">
        <f t="shared" ca="1" si="81"/>
        <v>-15900688.611575644</v>
      </c>
      <c r="J780" s="444">
        <f t="array" ref="J780">IFERROR(INDEX('Retirement Calculator'!K:K,MATCH('Lorri 401b'!N780,'Retirement Calculator'!A:A,0),0),0)</f>
        <v>21655.303514578787</v>
      </c>
      <c r="K780" s="444">
        <f t="shared" ca="1" si="79"/>
        <v>-66343.099646209259</v>
      </c>
      <c r="L780" s="444">
        <f t="shared" ca="1" si="80"/>
        <v>-15988687.014736433</v>
      </c>
      <c r="M780" s="460">
        <f t="shared" si="82"/>
        <v>0.05</v>
      </c>
      <c r="N780" s="464">
        <f t="shared" si="83"/>
        <v>74785</v>
      </c>
    </row>
    <row r="781" spans="7:14" ht="11.25" customHeight="1" x14ac:dyDescent="0.25">
      <c r="G781" s="459">
        <f t="shared" si="84"/>
        <v>65</v>
      </c>
      <c r="H781" s="459">
        <v>774</v>
      </c>
      <c r="I781" s="444">
        <f t="shared" ca="1" si="81"/>
        <v>-15988687.014736433</v>
      </c>
      <c r="J781" s="444">
        <f t="array" ref="J781">IFERROR(INDEX('Retirement Calculator'!K:K,MATCH('Lorri 401b'!N781,'Retirement Calculator'!A:A,0),0),0)</f>
        <v>21655.303514578787</v>
      </c>
      <c r="K781" s="444">
        <f t="shared" ca="1" si="79"/>
        <v>-66709.759659379211</v>
      </c>
      <c r="L781" s="444">
        <f t="shared" ca="1" si="80"/>
        <v>-16077052.077910392</v>
      </c>
      <c r="M781" s="460">
        <f t="shared" si="82"/>
        <v>0.05</v>
      </c>
      <c r="N781" s="464">
        <f t="shared" si="83"/>
        <v>74816</v>
      </c>
    </row>
    <row r="782" spans="7:14" ht="11.25" customHeight="1" x14ac:dyDescent="0.25">
      <c r="G782" s="459">
        <f t="shared" si="84"/>
        <v>65</v>
      </c>
      <c r="H782" s="459">
        <v>775</v>
      </c>
      <c r="I782" s="444">
        <f t="shared" ca="1" si="81"/>
        <v>-16077052.077910392</v>
      </c>
      <c r="J782" s="444">
        <f t="array" ref="J782">IFERROR(INDEX('Retirement Calculator'!K:K,MATCH('Lorri 401b'!N782,'Retirement Calculator'!A:A,0),0),0)</f>
        <v>21655.303514578787</v>
      </c>
      <c r="K782" s="444">
        <f t="shared" ca="1" si="79"/>
        <v>-67077.947422604047</v>
      </c>
      <c r="L782" s="444">
        <f t="shared" ca="1" si="80"/>
        <v>-16165785.328847574</v>
      </c>
      <c r="M782" s="460">
        <f t="shared" si="82"/>
        <v>0.05</v>
      </c>
      <c r="N782" s="464">
        <f t="shared" si="83"/>
        <v>74846</v>
      </c>
    </row>
    <row r="783" spans="7:14" ht="11.25" customHeight="1" x14ac:dyDescent="0.25">
      <c r="G783" s="459">
        <f t="shared" si="84"/>
        <v>65</v>
      </c>
      <c r="H783" s="459">
        <v>776</v>
      </c>
      <c r="I783" s="444">
        <f t="shared" ca="1" si="81"/>
        <v>-16165785.328847574</v>
      </c>
      <c r="J783" s="444">
        <f t="array" ref="J783">IFERROR(INDEX('Retirement Calculator'!K:K,MATCH('Lorri 401b'!N783,'Retirement Calculator'!A:A,0),0),0)</f>
        <v>21655.303514578787</v>
      </c>
      <c r="K783" s="444">
        <f t="shared" ca="1" si="79"/>
        <v>-67447.66930150897</v>
      </c>
      <c r="L783" s="444">
        <f t="shared" ca="1" si="80"/>
        <v>-16254888.301663663</v>
      </c>
      <c r="M783" s="460">
        <f t="shared" si="82"/>
        <v>0.05</v>
      </c>
      <c r="N783" s="464">
        <f t="shared" si="83"/>
        <v>74877</v>
      </c>
    </row>
    <row r="784" spans="7:14" ht="11.25" customHeight="1" x14ac:dyDescent="0.25">
      <c r="G784" s="459">
        <f t="shared" si="84"/>
        <v>65</v>
      </c>
      <c r="H784" s="459">
        <v>777</v>
      </c>
      <c r="I784" s="444">
        <f t="shared" ca="1" si="81"/>
        <v>-16254888.301663663</v>
      </c>
      <c r="J784" s="444">
        <f t="array" ref="J784">IFERROR(INDEX('Retirement Calculator'!K:K,MATCH('Lorri 401b'!N784,'Retirement Calculator'!A:A,0),0),0)</f>
        <v>21655.303514578787</v>
      </c>
      <c r="K784" s="444">
        <f t="shared" ca="1" si="79"/>
        <v>-67818.931688242679</v>
      </c>
      <c r="L784" s="444">
        <f t="shared" ca="1" si="80"/>
        <v>-16344362.536866486</v>
      </c>
      <c r="M784" s="460">
        <f t="shared" si="82"/>
        <v>0.05</v>
      </c>
      <c r="N784" s="464">
        <f t="shared" si="83"/>
        <v>74908</v>
      </c>
    </row>
    <row r="785" spans="7:14" ht="11.25" customHeight="1" x14ac:dyDescent="0.25">
      <c r="G785" s="459">
        <f t="shared" si="84"/>
        <v>65</v>
      </c>
      <c r="H785" s="459">
        <v>778</v>
      </c>
      <c r="I785" s="444">
        <f t="shared" ca="1" si="81"/>
        <v>-16344362.536866486</v>
      </c>
      <c r="J785" s="444">
        <f t="array" ref="J785">IFERROR(INDEX('Retirement Calculator'!K:K,MATCH('Lorri 401b'!N785,'Retirement Calculator'!A:A,0),0),0)</f>
        <v>21655.303514578787</v>
      </c>
      <c r="K785" s="444">
        <f t="shared" ca="1" si="79"/>
        <v>-68191.741001587769</v>
      </c>
      <c r="L785" s="444">
        <f t="shared" ca="1" si="80"/>
        <v>-16434209.581382653</v>
      </c>
      <c r="M785" s="460">
        <f t="shared" si="82"/>
        <v>0.05</v>
      </c>
      <c r="N785" s="464">
        <f t="shared" si="83"/>
        <v>74936</v>
      </c>
    </row>
    <row r="786" spans="7:14" ht="11.25" customHeight="1" x14ac:dyDescent="0.25">
      <c r="G786" s="459">
        <f t="shared" si="84"/>
        <v>65</v>
      </c>
      <c r="H786" s="459">
        <v>779</v>
      </c>
      <c r="I786" s="444">
        <f t="shared" ca="1" si="81"/>
        <v>-16434209.581382653</v>
      </c>
      <c r="J786" s="444">
        <f t="array" ref="J786">IFERROR(INDEX('Retirement Calculator'!K:K,MATCH('Lorri 401b'!N786,'Retirement Calculator'!A:A,0),0),0)</f>
        <v>21655.303514578787</v>
      </c>
      <c r="K786" s="444">
        <f t="shared" ca="1" si="79"/>
        <v>-68566.103687071794</v>
      </c>
      <c r="L786" s="444">
        <f t="shared" ca="1" si="80"/>
        <v>-16524430.988584304</v>
      </c>
      <c r="M786" s="460">
        <f t="shared" si="82"/>
        <v>0.05</v>
      </c>
      <c r="N786" s="464">
        <f t="shared" si="83"/>
        <v>74967</v>
      </c>
    </row>
    <row r="787" spans="7:14" ht="11.25" customHeight="1" x14ac:dyDescent="0.25">
      <c r="G787" s="459">
        <f t="shared" si="84"/>
        <v>65</v>
      </c>
      <c r="H787" s="459">
        <v>780</v>
      </c>
      <c r="I787" s="444">
        <f t="shared" ca="1" si="81"/>
        <v>-16524430.988584304</v>
      </c>
      <c r="J787" s="444">
        <f t="array" ref="J787">IFERROR(INDEX('Retirement Calculator'!K:K,MATCH('Lorri 401b'!N787,'Retirement Calculator'!A:A,0),0),0)</f>
        <v>21655.303514578787</v>
      </c>
      <c r="K787" s="444">
        <f t="shared" ca="1" si="79"/>
        <v>-68942.026217078674</v>
      </c>
      <c r="L787" s="444">
        <f t="shared" ca="1" si="80"/>
        <v>-16615028.318315962</v>
      </c>
      <c r="M787" s="460">
        <f t="shared" si="82"/>
        <v>0.05</v>
      </c>
      <c r="N787" s="464">
        <f t="shared" si="83"/>
        <v>74997</v>
      </c>
    </row>
    <row r="788" spans="7:14" ht="11.25" customHeight="1" x14ac:dyDescent="0.25">
      <c r="G788" s="459">
        <f>G787+1</f>
        <v>66</v>
      </c>
      <c r="H788" s="459">
        <v>781</v>
      </c>
      <c r="I788" s="444">
        <f t="shared" ca="1" si="81"/>
        <v>-16615028.318315962</v>
      </c>
      <c r="J788" s="444">
        <f t="array" ref="J788">IFERROR(INDEX('Retirement Calculator'!K:K,MATCH('Lorri 401b'!N788,'Retirement Calculator'!A:A,0),0),0)</f>
        <v>21655.303514578787</v>
      </c>
      <c r="K788" s="444">
        <f t="shared" ca="1" si="79"/>
        <v>-69319.515090960587</v>
      </c>
      <c r="L788" s="444">
        <f t="shared" ca="1" si="80"/>
        <v>-16706003.136921503</v>
      </c>
      <c r="M788" s="460">
        <f t="shared" si="82"/>
        <v>0.05</v>
      </c>
      <c r="N788" s="464">
        <f t="shared" si="83"/>
        <v>75028</v>
      </c>
    </row>
    <row r="789" spans="7:14" ht="11.25" customHeight="1" x14ac:dyDescent="0.25">
      <c r="G789" s="459">
        <f t="shared" ref="G789:G799" si="85">G788</f>
        <v>66</v>
      </c>
      <c r="H789" s="459">
        <v>782</v>
      </c>
      <c r="I789" s="444">
        <f t="shared" ca="1" si="81"/>
        <v>-16706003.136921503</v>
      </c>
      <c r="J789" s="444">
        <f t="array" ref="J789">IFERROR(INDEX('Retirement Calculator'!K:K,MATCH('Lorri 401b'!N789,'Retirement Calculator'!A:A,0),0),0)</f>
        <v>21655.303514578787</v>
      </c>
      <c r="K789" s="444">
        <f t="shared" ca="1" si="79"/>
        <v>-69698.576835150336</v>
      </c>
      <c r="L789" s="444">
        <f t="shared" ca="1" si="80"/>
        <v>-16797357.017271232</v>
      </c>
      <c r="M789" s="460">
        <f t="shared" si="82"/>
        <v>0.05</v>
      </c>
      <c r="N789" s="464">
        <f t="shared" si="83"/>
        <v>75058</v>
      </c>
    </row>
    <row r="790" spans="7:14" ht="11.25" customHeight="1" x14ac:dyDescent="0.25">
      <c r="G790" s="459">
        <f t="shared" si="85"/>
        <v>66</v>
      </c>
      <c r="H790" s="459">
        <v>783</v>
      </c>
      <c r="I790" s="444">
        <f t="shared" ca="1" si="81"/>
        <v>-16797357.017271232</v>
      </c>
      <c r="J790" s="444">
        <f t="array" ref="J790">IFERROR(INDEX('Retirement Calculator'!K:K,MATCH('Lorri 401b'!N790,'Retirement Calculator'!A:A,0),0),0)</f>
        <v>21655.303514578787</v>
      </c>
      <c r="K790" s="444">
        <f t="shared" ca="1" si="79"/>
        <v>-70079.218003274204</v>
      </c>
      <c r="L790" s="444">
        <f t="shared" ca="1" si="80"/>
        <v>-16889091.538789082</v>
      </c>
      <c r="M790" s="460">
        <f t="shared" si="82"/>
        <v>0.05</v>
      </c>
      <c r="N790" s="464">
        <f t="shared" si="83"/>
        <v>75089</v>
      </c>
    </row>
    <row r="791" spans="7:14" ht="11.25" customHeight="1" x14ac:dyDescent="0.25">
      <c r="G791" s="459">
        <f t="shared" si="85"/>
        <v>66</v>
      </c>
      <c r="H791" s="459">
        <v>784</v>
      </c>
      <c r="I791" s="444">
        <f t="shared" ca="1" si="81"/>
        <v>-16889091.538789082</v>
      </c>
      <c r="J791" s="444">
        <f t="array" ref="J791">IFERROR(INDEX('Retirement Calculator'!K:K,MATCH('Lorri 401b'!N791,'Retirement Calculator'!A:A,0),0),0)</f>
        <v>21655.303514578787</v>
      </c>
      <c r="K791" s="444">
        <f t="shared" ca="1" si="79"/>
        <v>-70461.445176265246</v>
      </c>
      <c r="L791" s="444">
        <f t="shared" ca="1" si="80"/>
        <v>-16981208.287479926</v>
      </c>
      <c r="M791" s="460">
        <f t="shared" si="82"/>
        <v>0.05</v>
      </c>
      <c r="N791" s="464">
        <f t="shared" si="83"/>
        <v>75120</v>
      </c>
    </row>
    <row r="792" spans="7:14" ht="11.25" customHeight="1" x14ac:dyDescent="0.25">
      <c r="G792" s="459">
        <f t="shared" si="85"/>
        <v>66</v>
      </c>
      <c r="H792" s="459">
        <v>785</v>
      </c>
      <c r="I792" s="444">
        <f t="shared" ca="1" si="81"/>
        <v>-16981208.287479926</v>
      </c>
      <c r="J792" s="444">
        <f t="array" ref="J792">IFERROR(INDEX('Retirement Calculator'!K:K,MATCH('Lorri 401b'!N792,'Retirement Calculator'!A:A,0),0),0)</f>
        <v>21655.303514578787</v>
      </c>
      <c r="K792" s="444">
        <f t="shared" ca="1" si="79"/>
        <v>-70845.2649624771</v>
      </c>
      <c r="L792" s="444">
        <f t="shared" ca="1" si="80"/>
        <v>-17073708.855956979</v>
      </c>
      <c r="M792" s="460">
        <f t="shared" si="82"/>
        <v>0.05</v>
      </c>
      <c r="N792" s="464">
        <f t="shared" si="83"/>
        <v>75150</v>
      </c>
    </row>
    <row r="793" spans="7:14" ht="11.25" customHeight="1" x14ac:dyDescent="0.25">
      <c r="G793" s="459">
        <f t="shared" si="85"/>
        <v>66</v>
      </c>
      <c r="H793" s="459">
        <v>786</v>
      </c>
      <c r="I793" s="444">
        <f t="shared" ca="1" si="81"/>
        <v>-17073708.855956979</v>
      </c>
      <c r="J793" s="444">
        <f t="array" ref="J793">IFERROR(INDEX('Retirement Calculator'!K:K,MATCH('Lorri 401b'!N793,'Retirement Calculator'!A:A,0),0),0)</f>
        <v>21655.303514578787</v>
      </c>
      <c r="K793" s="444">
        <f t="shared" ca="1" si="79"/>
        <v>-71230.683997798158</v>
      </c>
      <c r="L793" s="444">
        <f t="shared" ca="1" si="80"/>
        <v>-17166594.843469355</v>
      </c>
      <c r="M793" s="460">
        <f t="shared" si="82"/>
        <v>0.05</v>
      </c>
      <c r="N793" s="464">
        <f t="shared" si="83"/>
        <v>75181</v>
      </c>
    </row>
    <row r="794" spans="7:14" ht="11.25" customHeight="1" x14ac:dyDescent="0.25">
      <c r="G794" s="459">
        <f t="shared" si="85"/>
        <v>66</v>
      </c>
      <c r="H794" s="459">
        <v>787</v>
      </c>
      <c r="I794" s="444">
        <f t="shared" ca="1" si="81"/>
        <v>-17166594.843469355</v>
      </c>
      <c r="J794" s="444">
        <f t="array" ref="J794">IFERROR(INDEX('Retirement Calculator'!K:K,MATCH('Lorri 401b'!N794,'Retirement Calculator'!A:A,0),0),0)</f>
        <v>21655.303514578787</v>
      </c>
      <c r="K794" s="444">
        <f t="shared" ca="1" si="79"/>
        <v>-71617.708945766382</v>
      </c>
      <c r="L794" s="444">
        <f t="shared" ca="1" si="80"/>
        <v>-17259867.855929699</v>
      </c>
      <c r="M794" s="460">
        <f t="shared" si="82"/>
        <v>0.05</v>
      </c>
      <c r="N794" s="464">
        <f t="shared" si="83"/>
        <v>75211</v>
      </c>
    </row>
    <row r="795" spans="7:14" ht="11.25" customHeight="1" x14ac:dyDescent="0.25">
      <c r="G795" s="459">
        <f t="shared" si="85"/>
        <v>66</v>
      </c>
      <c r="H795" s="459">
        <v>788</v>
      </c>
      <c r="I795" s="444">
        <f t="shared" ca="1" si="81"/>
        <v>-17259867.855929699</v>
      </c>
      <c r="J795" s="444">
        <f t="array" ref="J795">IFERROR(INDEX('Retirement Calculator'!K:K,MATCH('Lorri 401b'!N795,'Retirement Calculator'!A:A,0),0),0)</f>
        <v>21655.303514578787</v>
      </c>
      <c r="K795" s="444">
        <f t="shared" ca="1" si="79"/>
        <v>-72006.346497684484</v>
      </c>
      <c r="L795" s="444">
        <f t="shared" ca="1" si="80"/>
        <v>-17353529.505941961</v>
      </c>
      <c r="M795" s="460">
        <f t="shared" si="82"/>
        <v>0.05</v>
      </c>
      <c r="N795" s="464">
        <f t="shared" si="83"/>
        <v>75242</v>
      </c>
    </row>
    <row r="796" spans="7:14" ht="11.25" customHeight="1" x14ac:dyDescent="0.25">
      <c r="G796" s="459">
        <f t="shared" si="85"/>
        <v>66</v>
      </c>
      <c r="H796" s="459">
        <v>789</v>
      </c>
      <c r="I796" s="444">
        <f t="shared" ca="1" si="81"/>
        <v>-17353529.505941961</v>
      </c>
      <c r="J796" s="444">
        <f t="array" ref="J796">IFERROR(INDEX('Retirement Calculator'!K:K,MATCH('Lorri 401b'!N796,'Retirement Calculator'!A:A,0),0),0)</f>
        <v>21655.303514578787</v>
      </c>
      <c r="K796" s="444">
        <f t="shared" ca="1" si="79"/>
        <v>-72396.603372735583</v>
      </c>
      <c r="L796" s="444">
        <f t="shared" ca="1" si="80"/>
        <v>-17447581.412829272</v>
      </c>
      <c r="M796" s="460">
        <f t="shared" si="82"/>
        <v>0.05</v>
      </c>
      <c r="N796" s="464">
        <f t="shared" si="83"/>
        <v>75273</v>
      </c>
    </row>
    <row r="797" spans="7:14" ht="11.25" customHeight="1" x14ac:dyDescent="0.25">
      <c r="G797" s="459">
        <f t="shared" si="85"/>
        <v>66</v>
      </c>
      <c r="H797" s="459">
        <v>790</v>
      </c>
      <c r="I797" s="444">
        <f t="shared" ca="1" si="81"/>
        <v>-17447581.412829272</v>
      </c>
      <c r="J797" s="444">
        <f t="array" ref="J797">IFERROR(INDEX('Retirement Calculator'!K:K,MATCH('Lorri 401b'!N797,'Retirement Calculator'!A:A,0),0),0)</f>
        <v>21655.303514578787</v>
      </c>
      <c r="K797" s="444">
        <f t="shared" ca="1" si="79"/>
        <v>-72788.486318099371</v>
      </c>
      <c r="L797" s="444">
        <f t="shared" ca="1" si="80"/>
        <v>-17542025.20266195</v>
      </c>
      <c r="M797" s="460">
        <f t="shared" si="82"/>
        <v>0.05</v>
      </c>
      <c r="N797" s="464">
        <f t="shared" si="83"/>
        <v>75301</v>
      </c>
    </row>
    <row r="798" spans="7:14" ht="11.25" customHeight="1" x14ac:dyDescent="0.25">
      <c r="G798" s="459">
        <f t="shared" si="85"/>
        <v>66</v>
      </c>
      <c r="H798" s="459">
        <v>791</v>
      </c>
      <c r="I798" s="444">
        <f t="shared" ca="1" si="81"/>
        <v>-17542025.20266195</v>
      </c>
      <c r="J798" s="444">
        <f t="array" ref="J798">IFERROR(INDEX('Retirement Calculator'!K:K,MATCH('Lorri 401b'!N798,'Retirement Calculator'!A:A,0),0),0)</f>
        <v>21655.303514578787</v>
      </c>
      <c r="K798" s="444">
        <f t="shared" ca="1" si="79"/>
        <v>-73182.002109068868</v>
      </c>
      <c r="L798" s="444">
        <f t="shared" ca="1" si="80"/>
        <v>-17636862.508285597</v>
      </c>
      <c r="M798" s="460">
        <f t="shared" si="82"/>
        <v>0.05</v>
      </c>
      <c r="N798" s="464">
        <f t="shared" si="83"/>
        <v>75332</v>
      </c>
    </row>
    <row r="799" spans="7:14" ht="11.25" customHeight="1" x14ac:dyDescent="0.25">
      <c r="G799" s="459">
        <f t="shared" si="85"/>
        <v>66</v>
      </c>
      <c r="H799" s="459">
        <v>792</v>
      </c>
      <c r="I799" s="444">
        <f t="shared" ca="1" si="81"/>
        <v>-17636862.508285597</v>
      </c>
      <c r="J799" s="444">
        <f t="array" ref="J799">IFERROR(INDEX('Retirement Calculator'!K:K,MATCH('Lorri 401b'!N799,'Retirement Calculator'!A:A,0),0),0)</f>
        <v>21655.303514578787</v>
      </c>
      <c r="K799" s="444">
        <f t="shared" ca="1" si="79"/>
        <v>-73577.157549167387</v>
      </c>
      <c r="L799" s="444">
        <f t="shared" ca="1" si="80"/>
        <v>-17732094.969349343</v>
      </c>
      <c r="M799" s="460">
        <f t="shared" si="82"/>
        <v>0.05</v>
      </c>
      <c r="N799" s="464">
        <f t="shared" si="83"/>
        <v>75362</v>
      </c>
    </row>
    <row r="800" spans="7:14" ht="11.25" customHeight="1" x14ac:dyDescent="0.25">
      <c r="G800" s="459">
        <f>G799+1</f>
        <v>67</v>
      </c>
      <c r="H800" s="459">
        <v>793</v>
      </c>
      <c r="I800" s="444">
        <f t="shared" ca="1" si="81"/>
        <v>-17732094.969349343</v>
      </c>
      <c r="J800" s="444">
        <f t="array" ref="J800">IFERROR(INDEX('Retirement Calculator'!K:K,MATCH('Lorri 401b'!N800,'Retirement Calculator'!A:A,0),0),0)</f>
        <v>21655.303514578787</v>
      </c>
      <c r="K800" s="444">
        <f t="shared" ca="1" si="79"/>
        <v>-73973.959470266331</v>
      </c>
      <c r="L800" s="444">
        <f t="shared" ca="1" si="80"/>
        <v>-17827724.232334185</v>
      </c>
      <c r="M800" s="460">
        <f t="shared" si="82"/>
        <v>0.05</v>
      </c>
      <c r="N800" s="464">
        <f t="shared" si="83"/>
        <v>75393</v>
      </c>
    </row>
    <row r="801" spans="7:14" ht="11.25" customHeight="1" x14ac:dyDescent="0.25">
      <c r="G801" s="459">
        <f t="shared" ref="G801:G811" si="86">G800</f>
        <v>67</v>
      </c>
      <c r="H801" s="459">
        <v>794</v>
      </c>
      <c r="I801" s="444">
        <f t="shared" ca="1" si="81"/>
        <v>-17827724.232334185</v>
      </c>
      <c r="J801" s="444">
        <f t="array" ref="J801">IFERROR(INDEX('Retirement Calculator'!K:K,MATCH('Lorri 401b'!N801,'Retirement Calculator'!A:A,0),0),0)</f>
        <v>21655.303514578787</v>
      </c>
      <c r="K801" s="444">
        <f t="shared" ca="1" si="79"/>
        <v>-74372.414732703182</v>
      </c>
      <c r="L801" s="444">
        <f t="shared" ca="1" si="80"/>
        <v>-17923751.950581465</v>
      </c>
      <c r="M801" s="460">
        <f t="shared" si="82"/>
        <v>0.05</v>
      </c>
      <c r="N801" s="464">
        <f t="shared" si="83"/>
        <v>75423</v>
      </c>
    </row>
    <row r="802" spans="7:14" ht="11.25" customHeight="1" x14ac:dyDescent="0.25">
      <c r="G802" s="459">
        <f t="shared" si="86"/>
        <v>67</v>
      </c>
      <c r="H802" s="459">
        <v>795</v>
      </c>
      <c r="I802" s="444">
        <f t="shared" ca="1" si="81"/>
        <v>-17923751.950581465</v>
      </c>
      <c r="J802" s="444">
        <f t="array" ref="J802">IFERROR(INDEX('Retirement Calculator'!K:K,MATCH('Lorri 401b'!N802,'Retirement Calculator'!A:A,0),0),0)</f>
        <v>21655.303514578787</v>
      </c>
      <c r="K802" s="444">
        <f t="shared" ca="1" si="79"/>
        <v>-74772.530225400173</v>
      </c>
      <c r="L802" s="444">
        <f t="shared" ca="1" si="80"/>
        <v>-18020179.784321442</v>
      </c>
      <c r="M802" s="460">
        <f t="shared" si="82"/>
        <v>0.05</v>
      </c>
      <c r="N802" s="464">
        <f t="shared" si="83"/>
        <v>75454</v>
      </c>
    </row>
    <row r="803" spans="7:14" ht="11.25" customHeight="1" x14ac:dyDescent="0.25">
      <c r="G803" s="459">
        <f t="shared" si="86"/>
        <v>67</v>
      </c>
      <c r="H803" s="459">
        <v>796</v>
      </c>
      <c r="I803" s="444">
        <f t="shared" ca="1" si="81"/>
        <v>-18020179.784321442</v>
      </c>
      <c r="J803" s="444">
        <f t="array" ref="J803">IFERROR(INDEX('Retirement Calculator'!K:K,MATCH('Lorri 401b'!N803,'Retirement Calculator'!A:A,0),0),0)</f>
        <v>21655.303514578787</v>
      </c>
      <c r="K803" s="444">
        <f t="shared" ca="1" si="79"/>
        <v>-75174.312865983418</v>
      </c>
      <c r="L803" s="444">
        <f t="shared" ca="1" si="80"/>
        <v>-18117009.400702003</v>
      </c>
      <c r="M803" s="460">
        <f t="shared" si="82"/>
        <v>0.05</v>
      </c>
      <c r="N803" s="464">
        <f t="shared" si="83"/>
        <v>75485</v>
      </c>
    </row>
    <row r="804" spans="7:14" ht="11.25" customHeight="1" x14ac:dyDescent="0.25">
      <c r="G804" s="459">
        <f t="shared" si="86"/>
        <v>67</v>
      </c>
      <c r="H804" s="459">
        <v>797</v>
      </c>
      <c r="I804" s="444">
        <f t="shared" ca="1" si="81"/>
        <v>-18117009.400702003</v>
      </c>
      <c r="J804" s="444">
        <f t="array" ref="J804">IFERROR(INDEX('Retirement Calculator'!K:K,MATCH('Lorri 401b'!N804,'Retirement Calculator'!A:A,0),0),0)</f>
        <v>21655.303514578787</v>
      </c>
      <c r="K804" s="444">
        <f t="shared" ca="1" si="79"/>
        <v>-75577.769600902422</v>
      </c>
      <c r="L804" s="444">
        <f t="shared" ca="1" si="80"/>
        <v>-18214242.473817483</v>
      </c>
      <c r="M804" s="460">
        <f t="shared" si="82"/>
        <v>0.05</v>
      </c>
      <c r="N804" s="464">
        <f t="shared" si="83"/>
        <v>75515</v>
      </c>
    </row>
    <row r="805" spans="7:14" ht="11.25" customHeight="1" x14ac:dyDescent="0.25">
      <c r="G805" s="459">
        <f t="shared" si="86"/>
        <v>67</v>
      </c>
      <c r="H805" s="459">
        <v>798</v>
      </c>
      <c r="I805" s="444">
        <f t="shared" ca="1" si="81"/>
        <v>-18214242.473817483</v>
      </c>
      <c r="J805" s="444">
        <f t="array" ref="J805">IFERROR(INDEX('Retirement Calculator'!K:K,MATCH('Lorri 401b'!N805,'Retirement Calculator'!A:A,0),0),0)</f>
        <v>21655.303514578787</v>
      </c>
      <c r="K805" s="444">
        <f t="shared" ca="1" si="79"/>
        <v>-75982.907405550242</v>
      </c>
      <c r="L805" s="444">
        <f t="shared" ca="1" si="80"/>
        <v>-18311880.684737612</v>
      </c>
      <c r="M805" s="460">
        <f t="shared" si="82"/>
        <v>0.05</v>
      </c>
      <c r="N805" s="464">
        <f t="shared" si="83"/>
        <v>75546</v>
      </c>
    </row>
    <row r="806" spans="7:14" ht="11.25" customHeight="1" x14ac:dyDescent="0.25">
      <c r="G806" s="459">
        <f t="shared" si="86"/>
        <v>67</v>
      </c>
      <c r="H806" s="459">
        <v>799</v>
      </c>
      <c r="I806" s="444">
        <f t="shared" ca="1" si="81"/>
        <v>-18311880.684737612</v>
      </c>
      <c r="J806" s="444">
        <f t="array" ref="J806">IFERROR(INDEX('Retirement Calculator'!K:K,MATCH('Lorri 401b'!N806,'Retirement Calculator'!A:A,0),0),0)</f>
        <v>21655.303514578787</v>
      </c>
      <c r="K806" s="444">
        <f t="shared" ca="1" si="79"/>
        <v>-76389.733284384114</v>
      </c>
      <c r="L806" s="444">
        <f t="shared" ca="1" si="80"/>
        <v>-18409925.721536573</v>
      </c>
      <c r="M806" s="460">
        <f t="shared" si="82"/>
        <v>0.05</v>
      </c>
      <c r="N806" s="464">
        <f t="shared" si="83"/>
        <v>75576</v>
      </c>
    </row>
    <row r="807" spans="7:14" ht="11.25" customHeight="1" x14ac:dyDescent="0.25">
      <c r="G807" s="459">
        <f t="shared" si="86"/>
        <v>67</v>
      </c>
      <c r="H807" s="459">
        <v>800</v>
      </c>
      <c r="I807" s="444">
        <f t="shared" ca="1" si="81"/>
        <v>-18409925.721536573</v>
      </c>
      <c r="J807" s="444">
        <f t="array" ref="J807">IFERROR(INDEX('Retirement Calculator'!K:K,MATCH('Lorri 401b'!N807,'Retirement Calculator'!A:A,0),0),0)</f>
        <v>21655.303514578787</v>
      </c>
      <c r="K807" s="444">
        <f t="shared" ca="1" si="79"/>
        <v>-76798.254271046462</v>
      </c>
      <c r="L807" s="444">
        <f t="shared" ca="1" si="80"/>
        <v>-18508379.279322196</v>
      </c>
      <c r="M807" s="460">
        <f t="shared" si="82"/>
        <v>0.05</v>
      </c>
      <c r="N807" s="464">
        <f t="shared" si="83"/>
        <v>75607</v>
      </c>
    </row>
    <row r="808" spans="7:14" ht="11.25" customHeight="1" x14ac:dyDescent="0.25">
      <c r="G808" s="459">
        <f t="shared" si="86"/>
        <v>67</v>
      </c>
      <c r="H808" s="459">
        <v>801</v>
      </c>
      <c r="I808" s="444">
        <f t="shared" ca="1" si="81"/>
        <v>-18508379.279322196</v>
      </c>
      <c r="J808" s="444">
        <f t="array" ref="J808">IFERROR(INDEX('Retirement Calculator'!K:K,MATCH('Lorri 401b'!N808,'Retirement Calculator'!A:A,0),0),0)</f>
        <v>21655.303514578787</v>
      </c>
      <c r="K808" s="444">
        <f t="shared" ca="1" si="79"/>
        <v>-77208.477428486556</v>
      </c>
      <c r="L808" s="444">
        <f t="shared" ca="1" si="80"/>
        <v>-18607243.060265258</v>
      </c>
      <c r="M808" s="460">
        <f t="shared" si="82"/>
        <v>0.05</v>
      </c>
      <c r="N808" s="464">
        <f t="shared" si="83"/>
        <v>75638</v>
      </c>
    </row>
    <row r="809" spans="7:14" ht="11.25" customHeight="1" x14ac:dyDescent="0.25">
      <c r="G809" s="459">
        <f t="shared" si="86"/>
        <v>67</v>
      </c>
      <c r="H809" s="459">
        <v>802</v>
      </c>
      <c r="I809" s="444">
        <f t="shared" ca="1" si="81"/>
        <v>-18607243.060265258</v>
      </c>
      <c r="J809" s="444">
        <f t="array" ref="J809">IFERROR(INDEX('Retirement Calculator'!K:K,MATCH('Lorri 401b'!N809,'Retirement Calculator'!A:A,0),0),0)</f>
        <v>21655.303514578787</v>
      </c>
      <c r="K809" s="444">
        <f t="shared" ca="1" si="79"/>
        <v>-77620.409849082644</v>
      </c>
      <c r="L809" s="444">
        <f t="shared" ca="1" si="80"/>
        <v>-18706518.773628917</v>
      </c>
      <c r="M809" s="460">
        <f t="shared" si="82"/>
        <v>0.05</v>
      </c>
      <c r="N809" s="464">
        <f t="shared" si="83"/>
        <v>75666</v>
      </c>
    </row>
    <row r="810" spans="7:14" ht="11.25" customHeight="1" x14ac:dyDescent="0.25">
      <c r="G810" s="459">
        <f t="shared" si="86"/>
        <v>67</v>
      </c>
      <c r="H810" s="459">
        <v>803</v>
      </c>
      <c r="I810" s="444">
        <f t="shared" ca="1" si="81"/>
        <v>-18706518.773628917</v>
      </c>
      <c r="J810" s="444">
        <f t="array" ref="J810">IFERROR(INDEX('Retirement Calculator'!K:K,MATCH('Lorri 401b'!N810,'Retirement Calculator'!A:A,0),0),0)</f>
        <v>21655.303514578787</v>
      </c>
      <c r="K810" s="444">
        <f t="shared" ca="1" si="79"/>
        <v>-78034.058654764551</v>
      </c>
      <c r="L810" s="444">
        <f t="shared" ca="1" si="80"/>
        <v>-18806208.135798257</v>
      </c>
      <c r="M810" s="460">
        <f t="shared" si="82"/>
        <v>0.05</v>
      </c>
      <c r="N810" s="464">
        <f t="shared" si="83"/>
        <v>75697</v>
      </c>
    </row>
    <row r="811" spans="7:14" ht="11.25" customHeight="1" x14ac:dyDescent="0.25">
      <c r="G811" s="459">
        <f t="shared" si="86"/>
        <v>67</v>
      </c>
      <c r="H811" s="459">
        <v>804</v>
      </c>
      <c r="I811" s="444">
        <f t="shared" ca="1" si="81"/>
        <v>-18806208.135798257</v>
      </c>
      <c r="J811" s="444">
        <f t="array" ref="J811">IFERROR(INDEX('Retirement Calculator'!K:K,MATCH('Lorri 401b'!N811,'Retirement Calculator'!A:A,0),0),0)</f>
        <v>21655.303514578787</v>
      </c>
      <c r="K811" s="444">
        <f t="shared" ca="1" si="79"/>
        <v>-78449.430997136806</v>
      </c>
      <c r="L811" s="444">
        <f t="shared" ca="1" si="80"/>
        <v>-18906312.870309971</v>
      </c>
      <c r="M811" s="460">
        <f t="shared" si="82"/>
        <v>0.05</v>
      </c>
      <c r="N811" s="464">
        <f t="shared" si="83"/>
        <v>75727</v>
      </c>
    </row>
    <row r="812" spans="7:14" ht="11.25" customHeight="1" x14ac:dyDescent="0.25">
      <c r="G812" s="459">
        <f>G811+1</f>
        <v>68</v>
      </c>
      <c r="H812" s="459">
        <v>805</v>
      </c>
      <c r="I812" s="444">
        <f t="shared" ca="1" si="81"/>
        <v>-18906312.870309971</v>
      </c>
      <c r="J812" s="444">
        <f t="array" ref="J812">IFERROR(INDEX('Retirement Calculator'!K:K,MATCH('Lorri 401b'!N812,'Retirement Calculator'!A:A,0),0),0)</f>
        <v>21655.303514578787</v>
      </c>
      <c r="K812" s="444">
        <f t="shared" ca="1" si="79"/>
        <v>-78866.534057602286</v>
      </c>
      <c r="L812" s="444">
        <f t="shared" ca="1" si="80"/>
        <v>-19006834.707882151</v>
      </c>
      <c r="M812" s="460">
        <f t="shared" si="82"/>
        <v>0.05</v>
      </c>
      <c r="N812" s="464">
        <f t="shared" si="83"/>
        <v>75758</v>
      </c>
    </row>
    <row r="813" spans="7:14" ht="11.25" customHeight="1" x14ac:dyDescent="0.25">
      <c r="G813" s="459">
        <f t="shared" ref="G813:G823" si="87">G812</f>
        <v>68</v>
      </c>
      <c r="H813" s="459">
        <v>806</v>
      </c>
      <c r="I813" s="444">
        <f t="shared" ca="1" si="81"/>
        <v>-19006834.707882151</v>
      </c>
      <c r="J813" s="444">
        <f t="array" ref="J813">IFERROR(INDEX('Retirement Calculator'!K:K,MATCH('Lorri 401b'!N813,'Retirement Calculator'!A:A,0),0),0)</f>
        <v>21655.303514578787</v>
      </c>
      <c r="K813" s="444">
        <f t="shared" ca="1" si="79"/>
        <v>-79285.375047486363</v>
      </c>
      <c r="L813" s="444">
        <f t="shared" ca="1" si="80"/>
        <v>-19107775.386444215</v>
      </c>
      <c r="M813" s="460">
        <f t="shared" si="82"/>
        <v>0.05</v>
      </c>
      <c r="N813" s="464">
        <f t="shared" si="83"/>
        <v>75788</v>
      </c>
    </row>
    <row r="814" spans="7:14" ht="11.25" customHeight="1" x14ac:dyDescent="0.25">
      <c r="G814" s="459">
        <f t="shared" si="87"/>
        <v>68</v>
      </c>
      <c r="H814" s="459">
        <v>807</v>
      </c>
      <c r="I814" s="444">
        <f t="shared" ca="1" si="81"/>
        <v>-19107775.386444215</v>
      </c>
      <c r="J814" s="444">
        <f t="array" ref="J814">IFERROR(INDEX('Retirement Calculator'!K:K,MATCH('Lorri 401b'!N814,'Retirement Calculator'!A:A,0),0),0)</f>
        <v>21655.303514578787</v>
      </c>
      <c r="K814" s="444">
        <f t="shared" ca="1" si="79"/>
        <v>-79705.961208161636</v>
      </c>
      <c r="L814" s="444">
        <f t="shared" ca="1" si="80"/>
        <v>-19209136.651166953</v>
      </c>
      <c r="M814" s="460">
        <f t="shared" si="82"/>
        <v>0.05</v>
      </c>
      <c r="N814" s="464">
        <f t="shared" si="83"/>
        <v>75819</v>
      </c>
    </row>
    <row r="815" spans="7:14" ht="11.25" customHeight="1" x14ac:dyDescent="0.25">
      <c r="G815" s="459">
        <f t="shared" si="87"/>
        <v>68</v>
      </c>
      <c r="H815" s="459">
        <v>808</v>
      </c>
      <c r="I815" s="444">
        <f t="shared" ca="1" si="81"/>
        <v>-19209136.651166953</v>
      </c>
      <c r="J815" s="444">
        <f t="array" ref="J815">IFERROR(INDEX('Retirement Calculator'!K:K,MATCH('Lorri 401b'!N815,'Retirement Calculator'!A:A,0),0),0)</f>
        <v>21655.303514578787</v>
      </c>
      <c r="K815" s="444">
        <f t="shared" ca="1" si="79"/>
        <v>-80128.299811173041</v>
      </c>
      <c r="L815" s="444">
        <f t="shared" ca="1" si="80"/>
        <v>-19310920.254492704</v>
      </c>
      <c r="M815" s="460">
        <f t="shared" si="82"/>
        <v>0.05</v>
      </c>
      <c r="N815" s="464">
        <f t="shared" si="83"/>
        <v>75850</v>
      </c>
    </row>
    <row r="816" spans="7:14" ht="11.25" customHeight="1" x14ac:dyDescent="0.25">
      <c r="G816" s="459">
        <f t="shared" si="87"/>
        <v>68</v>
      </c>
      <c r="H816" s="459">
        <v>809</v>
      </c>
      <c r="I816" s="444">
        <f t="shared" ca="1" si="81"/>
        <v>-19310920.254492704</v>
      </c>
      <c r="J816" s="444">
        <f t="array" ref="J816">IFERROR(INDEX('Retirement Calculator'!K:K,MATCH('Lorri 401b'!N816,'Retirement Calculator'!A:A,0),0),0)</f>
        <v>21655.303514578787</v>
      </c>
      <c r="K816" s="444">
        <f t="shared" ca="1" si="79"/>
        <v>-80552.398158363678</v>
      </c>
      <c r="L816" s="444">
        <f t="shared" ca="1" si="80"/>
        <v>-19413127.956165645</v>
      </c>
      <c r="M816" s="460">
        <f t="shared" si="82"/>
        <v>0.05</v>
      </c>
      <c r="N816" s="464">
        <f t="shared" si="83"/>
        <v>75880</v>
      </c>
    </row>
    <row r="817" spans="7:14" ht="11.25" customHeight="1" x14ac:dyDescent="0.25">
      <c r="G817" s="459">
        <f t="shared" si="87"/>
        <v>68</v>
      </c>
      <c r="H817" s="459">
        <v>810</v>
      </c>
      <c r="I817" s="444">
        <f t="shared" ca="1" si="81"/>
        <v>-19413127.956165645</v>
      </c>
      <c r="J817" s="444">
        <f t="array" ref="J817">IFERROR(INDEX('Retirement Calculator'!K:K,MATCH('Lorri 401b'!N817,'Retirement Calculator'!A:A,0),0),0)</f>
        <v>21655.303514578787</v>
      </c>
      <c r="K817" s="444">
        <f t="shared" ca="1" si="79"/>
        <v>-80978.263582000931</v>
      </c>
      <c r="L817" s="444">
        <f t="shared" ca="1" si="80"/>
        <v>-19515761.523262225</v>
      </c>
      <c r="M817" s="460">
        <f t="shared" si="82"/>
        <v>0.05</v>
      </c>
      <c r="N817" s="464">
        <f t="shared" si="83"/>
        <v>75911</v>
      </c>
    </row>
    <row r="818" spans="7:14" ht="11.25" customHeight="1" x14ac:dyDescent="0.25">
      <c r="G818" s="459">
        <f t="shared" si="87"/>
        <v>68</v>
      </c>
      <c r="H818" s="459">
        <v>811</v>
      </c>
      <c r="I818" s="444">
        <f t="shared" ca="1" si="81"/>
        <v>-19515761.523262225</v>
      </c>
      <c r="J818" s="444">
        <f t="array" ref="J818">IFERROR(INDEX('Retirement Calculator'!K:K,MATCH('Lorri 401b'!N818,'Retirement Calculator'!A:A,0),0),0)</f>
        <v>21655.303514578787</v>
      </c>
      <c r="K818" s="444">
        <f t="shared" ca="1" si="79"/>
        <v>-81405.90344490335</v>
      </c>
      <c r="L818" s="444">
        <f t="shared" ca="1" si="80"/>
        <v>-19618822.730221707</v>
      </c>
      <c r="M818" s="460">
        <f t="shared" si="82"/>
        <v>0.05</v>
      </c>
      <c r="N818" s="464">
        <f t="shared" si="83"/>
        <v>75941</v>
      </c>
    </row>
    <row r="819" spans="7:14" ht="11.25" customHeight="1" x14ac:dyDescent="0.25">
      <c r="G819" s="459">
        <f t="shared" si="87"/>
        <v>68</v>
      </c>
      <c r="H819" s="459">
        <v>812</v>
      </c>
      <c r="I819" s="444">
        <f t="shared" ca="1" si="81"/>
        <v>-19618822.730221707</v>
      </c>
      <c r="J819" s="444">
        <f t="array" ref="J819">IFERROR(INDEX('Retirement Calculator'!K:K,MATCH('Lorri 401b'!N819,'Retirement Calculator'!A:A,0),0),0)</f>
        <v>21655.303514578787</v>
      </c>
      <c r="K819" s="444">
        <f t="shared" ca="1" si="79"/>
        <v>-81835.325140567846</v>
      </c>
      <c r="L819" s="444">
        <f t="shared" ca="1" si="80"/>
        <v>-19722313.358876854</v>
      </c>
      <c r="M819" s="460">
        <f t="shared" si="82"/>
        <v>0.05</v>
      </c>
      <c r="N819" s="464">
        <f t="shared" si="83"/>
        <v>75972</v>
      </c>
    </row>
    <row r="820" spans="7:14" ht="11.25" customHeight="1" x14ac:dyDescent="0.25">
      <c r="G820" s="459">
        <f t="shared" si="87"/>
        <v>68</v>
      </c>
      <c r="H820" s="459">
        <v>813</v>
      </c>
      <c r="I820" s="444">
        <f t="shared" ca="1" si="81"/>
        <v>-19722313.358876854</v>
      </c>
      <c r="J820" s="444">
        <f t="array" ref="J820">IFERROR(INDEX('Retirement Calculator'!K:K,MATCH('Lorri 401b'!N820,'Retirement Calculator'!A:A,0),0),0)</f>
        <v>21655.303514578787</v>
      </c>
      <c r="K820" s="444">
        <f t="shared" ca="1" si="79"/>
        <v>-82266.536093297633</v>
      </c>
      <c r="L820" s="444">
        <f t="shared" ca="1" si="80"/>
        <v>-19826235.19848473</v>
      </c>
      <c r="M820" s="460">
        <f t="shared" si="82"/>
        <v>0.05</v>
      </c>
      <c r="N820" s="464">
        <f t="shared" si="83"/>
        <v>76003</v>
      </c>
    </row>
    <row r="821" spans="7:14" ht="11.25" customHeight="1" x14ac:dyDescent="0.25">
      <c r="G821" s="459">
        <f t="shared" si="87"/>
        <v>68</v>
      </c>
      <c r="H821" s="459">
        <v>814</v>
      </c>
      <c r="I821" s="444">
        <f t="shared" ca="1" si="81"/>
        <v>-19826235.19848473</v>
      </c>
      <c r="J821" s="444">
        <f t="array" ref="J821">IFERROR(INDEX('Retirement Calculator'!K:K,MATCH('Lorri 401b'!N821,'Retirement Calculator'!A:A,0),0),0)</f>
        <v>21655.303514578787</v>
      </c>
      <c r="K821" s="444">
        <f t="shared" ca="1" si="79"/>
        <v>-82699.543758330445</v>
      </c>
      <c r="L821" s="444">
        <f t="shared" ca="1" si="80"/>
        <v>-19930590.045757636</v>
      </c>
      <c r="M821" s="460">
        <f t="shared" si="82"/>
        <v>0.05</v>
      </c>
      <c r="N821" s="464">
        <f t="shared" si="83"/>
        <v>76032</v>
      </c>
    </row>
    <row r="822" spans="7:14" ht="11.25" customHeight="1" x14ac:dyDescent="0.25">
      <c r="G822" s="459">
        <f t="shared" si="87"/>
        <v>68</v>
      </c>
      <c r="H822" s="459">
        <v>815</v>
      </c>
      <c r="I822" s="444">
        <f t="shared" ca="1" si="81"/>
        <v>-19930590.045757636</v>
      </c>
      <c r="J822" s="444">
        <f t="array" ref="J822">IFERROR(INDEX('Retirement Calculator'!K:K,MATCH('Lorri 401b'!N822,'Retirement Calculator'!A:A,0),0),0)</f>
        <v>21655.303514578787</v>
      </c>
      <c r="K822" s="444">
        <f t="shared" ca="1" si="79"/>
        <v>-83134.355621967552</v>
      </c>
      <c r="L822" s="444">
        <f t="shared" ca="1" si="80"/>
        <v>-20035379.704894181</v>
      </c>
      <c r="M822" s="460">
        <f t="shared" si="82"/>
        <v>0.05</v>
      </c>
      <c r="N822" s="464">
        <f t="shared" si="83"/>
        <v>76063</v>
      </c>
    </row>
    <row r="823" spans="7:14" ht="11.25" customHeight="1" x14ac:dyDescent="0.25">
      <c r="G823" s="459">
        <f t="shared" si="87"/>
        <v>68</v>
      </c>
      <c r="H823" s="459">
        <v>816</v>
      </c>
      <c r="I823" s="444">
        <f t="shared" ca="1" si="81"/>
        <v>-20035379.704894181</v>
      </c>
      <c r="J823" s="444">
        <f t="array" ref="J823">IFERROR(INDEX('Retirement Calculator'!K:K,MATCH('Lorri 401b'!N823,'Retirement Calculator'!A:A,0),0),0)</f>
        <v>21655.303514578787</v>
      </c>
      <c r="K823" s="444">
        <f t="shared" ca="1" si="79"/>
        <v>-83570.979201703158</v>
      </c>
      <c r="L823" s="444">
        <f t="shared" ca="1" si="80"/>
        <v>-20140605.987610463</v>
      </c>
      <c r="M823" s="460">
        <f t="shared" si="82"/>
        <v>0.05</v>
      </c>
      <c r="N823" s="464">
        <f t="shared" si="83"/>
        <v>76093</v>
      </c>
    </row>
    <row r="824" spans="7:14" ht="11.25" customHeight="1" x14ac:dyDescent="0.25">
      <c r="G824" s="459">
        <f>G823+1</f>
        <v>69</v>
      </c>
      <c r="H824" s="459">
        <v>817</v>
      </c>
      <c r="I824" s="444">
        <f t="shared" ca="1" si="81"/>
        <v>-20140605.987610463</v>
      </c>
      <c r="J824" s="444">
        <f t="array" ref="J824">IFERROR(INDEX('Retirement Calculator'!K:K,MATCH('Lorri 401b'!N824,'Retirement Calculator'!A:A,0),0),0)</f>
        <v>21655.303514578787</v>
      </c>
      <c r="K824" s="444">
        <f t="shared" ca="1" si="79"/>
        <v>-84009.422046354332</v>
      </c>
      <c r="L824" s="444">
        <f t="shared" ca="1" si="80"/>
        <v>-20246270.713171396</v>
      </c>
      <c r="M824" s="460">
        <f t="shared" si="82"/>
        <v>0.05</v>
      </c>
      <c r="N824" s="464">
        <f t="shared" si="83"/>
        <v>76124</v>
      </c>
    </row>
    <row r="825" spans="7:14" ht="11.25" customHeight="1" x14ac:dyDescent="0.25">
      <c r="G825" s="459">
        <f t="shared" ref="G825:G835" si="88">G824</f>
        <v>69</v>
      </c>
      <c r="H825" s="459">
        <v>818</v>
      </c>
      <c r="I825" s="444">
        <f t="shared" ca="1" si="81"/>
        <v>-20246270.713171396</v>
      </c>
      <c r="J825" s="444">
        <f t="array" ref="J825">IFERROR(INDEX('Retirement Calculator'!K:K,MATCH('Lorri 401b'!N825,'Retirement Calculator'!A:A,0),0),0)</f>
        <v>21655.303514578787</v>
      </c>
      <c r="K825" s="444">
        <f t="shared" ca="1" si="79"/>
        <v>-84449.691736191555</v>
      </c>
      <c r="L825" s="444">
        <f t="shared" ca="1" si="80"/>
        <v>-20352375.708422165</v>
      </c>
      <c r="M825" s="460">
        <f t="shared" si="82"/>
        <v>0.05</v>
      </c>
      <c r="N825" s="464">
        <f t="shared" si="83"/>
        <v>76154</v>
      </c>
    </row>
    <row r="826" spans="7:14" ht="11.25" customHeight="1" x14ac:dyDescent="0.25">
      <c r="G826" s="459">
        <f t="shared" si="88"/>
        <v>69</v>
      </c>
      <c r="H826" s="459">
        <v>819</v>
      </c>
      <c r="I826" s="444">
        <f t="shared" ca="1" si="81"/>
        <v>-20352375.708422165</v>
      </c>
      <c r="J826" s="444">
        <f t="array" ref="J826">IFERROR(INDEX('Retirement Calculator'!K:K,MATCH('Lorri 401b'!N826,'Retirement Calculator'!A:A,0),0),0)</f>
        <v>21655.303514578787</v>
      </c>
      <c r="K826" s="444">
        <f t="shared" ca="1" si="79"/>
        <v>-84891.795883069761</v>
      </c>
      <c r="L826" s="444">
        <f t="shared" ca="1" si="80"/>
        <v>-20458922.807819813</v>
      </c>
      <c r="M826" s="460">
        <f t="shared" si="82"/>
        <v>0.05</v>
      </c>
      <c r="N826" s="464">
        <f t="shared" si="83"/>
        <v>76185</v>
      </c>
    </row>
    <row r="827" spans="7:14" ht="11.25" customHeight="1" x14ac:dyDescent="0.25">
      <c r="G827" s="459">
        <f t="shared" si="88"/>
        <v>69</v>
      </c>
      <c r="H827" s="459">
        <v>820</v>
      </c>
      <c r="I827" s="444">
        <f t="shared" ca="1" si="81"/>
        <v>-20458922.807819813</v>
      </c>
      <c r="J827" s="444">
        <f t="array" ref="J827">IFERROR(INDEX('Retirement Calculator'!K:K,MATCH('Lorri 401b'!N827,'Retirement Calculator'!A:A,0),0),0)</f>
        <v>21655.303514578787</v>
      </c>
      <c r="K827" s="444">
        <f t="shared" ca="1" si="79"/>
        <v>-85335.742130559956</v>
      </c>
      <c r="L827" s="444">
        <f t="shared" ca="1" si="80"/>
        <v>-20565913.85346495</v>
      </c>
      <c r="M827" s="460">
        <f t="shared" si="82"/>
        <v>0.05</v>
      </c>
      <c r="N827" s="464">
        <f t="shared" si="83"/>
        <v>76216</v>
      </c>
    </row>
    <row r="828" spans="7:14" ht="11.25" customHeight="1" x14ac:dyDescent="0.25">
      <c r="G828" s="459">
        <f t="shared" si="88"/>
        <v>69</v>
      </c>
      <c r="H828" s="459">
        <v>821</v>
      </c>
      <c r="I828" s="444">
        <f t="shared" ca="1" si="81"/>
        <v>-20565913.85346495</v>
      </c>
      <c r="J828" s="444">
        <f t="array" ref="J828">IFERROR(INDEX('Retirement Calculator'!K:K,MATCH('Lorri 401b'!N828,'Retirement Calculator'!A:A,0),0),0)</f>
        <v>21655.303514578787</v>
      </c>
      <c r="K828" s="444">
        <f t="shared" ca="1" si="79"/>
        <v>-85781.538154081369</v>
      </c>
      <c r="L828" s="444">
        <f t="shared" ca="1" si="80"/>
        <v>-20673350.695133608</v>
      </c>
      <c r="M828" s="460">
        <f t="shared" si="82"/>
        <v>0.05</v>
      </c>
      <c r="N828" s="464">
        <f t="shared" si="83"/>
        <v>76246</v>
      </c>
    </row>
    <row r="829" spans="7:14" ht="11.25" customHeight="1" x14ac:dyDescent="0.25">
      <c r="G829" s="459">
        <f t="shared" si="88"/>
        <v>69</v>
      </c>
      <c r="H829" s="459">
        <v>822</v>
      </c>
      <c r="I829" s="444">
        <f t="shared" ca="1" si="81"/>
        <v>-20673350.695133608</v>
      </c>
      <c r="J829" s="444">
        <f t="array" ref="J829">IFERROR(INDEX('Retirement Calculator'!K:K,MATCH('Lorri 401b'!N829,'Retirement Calculator'!A:A,0),0),0)</f>
        <v>21655.303514578787</v>
      </c>
      <c r="K829" s="444">
        <f t="shared" ca="1" si="79"/>
        <v>-86229.1916610341</v>
      </c>
      <c r="L829" s="444">
        <f t="shared" ca="1" si="80"/>
        <v>-20781235.190309219</v>
      </c>
      <c r="M829" s="460">
        <f t="shared" si="82"/>
        <v>0.05</v>
      </c>
      <c r="N829" s="464">
        <f t="shared" si="83"/>
        <v>76277</v>
      </c>
    </row>
    <row r="830" spans="7:14" ht="11.25" customHeight="1" x14ac:dyDescent="0.25">
      <c r="G830" s="459">
        <f t="shared" si="88"/>
        <v>69</v>
      </c>
      <c r="H830" s="459">
        <v>823</v>
      </c>
      <c r="I830" s="444">
        <f t="shared" ca="1" si="81"/>
        <v>-20781235.190309219</v>
      </c>
      <c r="J830" s="444">
        <f t="array" ref="J830">IFERROR(INDEX('Retirement Calculator'!K:K,MATCH('Lorri 401b'!N830,'Retirement Calculator'!A:A,0),0),0)</f>
        <v>21655.303514578787</v>
      </c>
      <c r="K830" s="444">
        <f t="shared" ca="1" si="79"/>
        <v>-86678.71039093248</v>
      </c>
      <c r="L830" s="444">
        <f t="shared" ca="1" si="80"/>
        <v>-20889569.204214729</v>
      </c>
      <c r="M830" s="460">
        <f t="shared" si="82"/>
        <v>0.05</v>
      </c>
      <c r="N830" s="464">
        <f t="shared" si="83"/>
        <v>76307</v>
      </c>
    </row>
    <row r="831" spans="7:14" ht="11.25" customHeight="1" x14ac:dyDescent="0.25">
      <c r="G831" s="459">
        <f t="shared" si="88"/>
        <v>69</v>
      </c>
      <c r="H831" s="459">
        <v>824</v>
      </c>
      <c r="I831" s="444">
        <f t="shared" ca="1" si="81"/>
        <v>-20889569.204214729</v>
      </c>
      <c r="J831" s="444">
        <f t="array" ref="J831">IFERROR(INDEX('Retirement Calculator'!K:K,MATCH('Lorri 401b'!N831,'Retirement Calculator'!A:A,0),0),0)</f>
        <v>21655.303514578787</v>
      </c>
      <c r="K831" s="444">
        <f t="shared" ca="1" si="79"/>
        <v>-87130.102115538772</v>
      </c>
      <c r="L831" s="444">
        <f t="shared" ca="1" si="80"/>
        <v>-20998354.609844845</v>
      </c>
      <c r="M831" s="460">
        <f t="shared" si="82"/>
        <v>0.05</v>
      </c>
      <c r="N831" s="464">
        <f t="shared" si="83"/>
        <v>76338</v>
      </c>
    </row>
    <row r="832" spans="7:14" ht="11.25" customHeight="1" x14ac:dyDescent="0.25">
      <c r="G832" s="459">
        <f t="shared" si="88"/>
        <v>69</v>
      </c>
      <c r="H832" s="459">
        <v>825</v>
      </c>
      <c r="I832" s="444">
        <f t="shared" ca="1" si="81"/>
        <v>-20998354.609844845</v>
      </c>
      <c r="J832" s="444">
        <f t="array" ref="J832">IFERROR(INDEX('Retirement Calculator'!K:K,MATCH('Lorri 401b'!N832,'Retirement Calculator'!A:A,0),0),0)</f>
        <v>21655.303514578787</v>
      </c>
      <c r="K832" s="444">
        <f t="shared" ca="1" si="79"/>
        <v>-87583.374638997586</v>
      </c>
      <c r="L832" s="444">
        <f t="shared" ca="1" si="80"/>
        <v>-21107593.287998419</v>
      </c>
      <c r="M832" s="460">
        <f t="shared" si="82"/>
        <v>0.05</v>
      </c>
      <c r="N832" s="464">
        <f t="shared" si="83"/>
        <v>76369</v>
      </c>
    </row>
    <row r="833" spans="7:14" ht="11.25" customHeight="1" x14ac:dyDescent="0.25">
      <c r="G833" s="459">
        <f t="shared" si="88"/>
        <v>69</v>
      </c>
      <c r="H833" s="459">
        <v>826</v>
      </c>
      <c r="I833" s="444">
        <f t="shared" ca="1" si="81"/>
        <v>-21107593.287998419</v>
      </c>
      <c r="J833" s="444">
        <f t="array" ref="J833">IFERROR(INDEX('Retirement Calculator'!K:K,MATCH('Lorri 401b'!N833,'Retirement Calculator'!A:A,0),0),0)</f>
        <v>21655.303514578787</v>
      </c>
      <c r="K833" s="444">
        <f t="shared" ca="1" si="79"/>
        <v>-88038.535797970821</v>
      </c>
      <c r="L833" s="444">
        <f t="shared" ca="1" si="80"/>
        <v>-21217287.127310969</v>
      </c>
      <c r="M833" s="460">
        <f t="shared" si="82"/>
        <v>0.05</v>
      </c>
      <c r="N833" s="464">
        <f t="shared" si="83"/>
        <v>76397</v>
      </c>
    </row>
    <row r="834" spans="7:14" ht="11.25" customHeight="1" x14ac:dyDescent="0.25">
      <c r="G834" s="459">
        <f t="shared" si="88"/>
        <v>69</v>
      </c>
      <c r="H834" s="459">
        <v>827</v>
      </c>
      <c r="I834" s="444">
        <f t="shared" ca="1" si="81"/>
        <v>-21217287.127310969</v>
      </c>
      <c r="J834" s="444">
        <f t="array" ref="J834">IFERROR(INDEX('Retirement Calculator'!K:K,MATCH('Lorri 401b'!N834,'Retirement Calculator'!A:A,0),0),0)</f>
        <v>21655.303514578787</v>
      </c>
      <c r="K834" s="444">
        <f t="shared" ca="1" si="79"/>
        <v>-88495.593461773111</v>
      </c>
      <c r="L834" s="444">
        <f t="shared" ca="1" si="80"/>
        <v>-21327438.024287321</v>
      </c>
      <c r="M834" s="460">
        <f t="shared" si="82"/>
        <v>0.05</v>
      </c>
      <c r="N834" s="464">
        <f t="shared" si="83"/>
        <v>76428</v>
      </c>
    </row>
    <row r="835" spans="7:14" ht="11.25" customHeight="1" x14ac:dyDescent="0.25">
      <c r="G835" s="459">
        <f t="shared" si="88"/>
        <v>69</v>
      </c>
      <c r="H835" s="459">
        <v>828</v>
      </c>
      <c r="I835" s="444">
        <f t="shared" ca="1" si="81"/>
        <v>-21327438.024287321</v>
      </c>
      <c r="J835" s="444">
        <f t="array" ref="J835">IFERROR(INDEX('Retirement Calculator'!K:K,MATCH('Lorri 401b'!N835,'Retirement Calculator'!A:A,0),0),0)</f>
        <v>21655.303514578787</v>
      </c>
      <c r="K835" s="444">
        <f t="shared" ca="1" si="79"/>
        <v>-88954.555532507904</v>
      </c>
      <c r="L835" s="444">
        <f t="shared" ca="1" si="80"/>
        <v>-21438047.883334406</v>
      </c>
      <c r="M835" s="460">
        <f t="shared" si="82"/>
        <v>0.05</v>
      </c>
      <c r="N835" s="464">
        <f t="shared" si="83"/>
        <v>76458</v>
      </c>
    </row>
    <row r="836" spans="7:14" ht="11.25" customHeight="1" x14ac:dyDescent="0.25">
      <c r="G836" s="459">
        <f>G835+1</f>
        <v>70</v>
      </c>
      <c r="H836" s="459">
        <v>829</v>
      </c>
      <c r="I836" s="444">
        <f t="shared" ca="1" si="81"/>
        <v>-21438047.883334406</v>
      </c>
      <c r="J836" s="444">
        <f t="array" ref="J836">IFERROR(INDEX('Retirement Calculator'!K:K,MATCH('Lorri 401b'!N836,'Retirement Calculator'!A:A,0),0),0)</f>
        <v>21655.303514578787</v>
      </c>
      <c r="K836" s="444">
        <f t="shared" ca="1" si="79"/>
        <v>-89415.429945204101</v>
      </c>
      <c r="L836" s="444">
        <f t="shared" ca="1" si="80"/>
        <v>-21549118.616794188</v>
      </c>
      <c r="M836" s="460">
        <f t="shared" si="82"/>
        <v>0.05</v>
      </c>
      <c r="N836" s="464">
        <f t="shared" si="83"/>
        <v>76489</v>
      </c>
    </row>
    <row r="837" spans="7:14" ht="11.25" customHeight="1" x14ac:dyDescent="0.25">
      <c r="G837" s="459">
        <f t="shared" ref="G837:G847" si="89">G836</f>
        <v>70</v>
      </c>
      <c r="H837" s="459">
        <v>830</v>
      </c>
      <c r="I837" s="444">
        <f t="shared" ca="1" si="81"/>
        <v>-21549118.616794188</v>
      </c>
      <c r="J837" s="444">
        <f t="array" ref="J837">IFERROR(INDEX('Retirement Calculator'!K:K,MATCH('Lorri 401b'!N837,'Retirement Calculator'!A:A,0),0),0)</f>
        <v>21655.303514578787</v>
      </c>
      <c r="K837" s="444">
        <f t="shared" ca="1" si="79"/>
        <v>-89878.224667953182</v>
      </c>
      <c r="L837" s="444">
        <f t="shared" ca="1" si="80"/>
        <v>-21660652.144976716</v>
      </c>
      <c r="M837" s="460">
        <f t="shared" si="82"/>
        <v>0.05</v>
      </c>
      <c r="N837" s="464">
        <f t="shared" si="83"/>
        <v>76519</v>
      </c>
    </row>
    <row r="838" spans="7:14" ht="11.25" customHeight="1" x14ac:dyDescent="0.25">
      <c r="G838" s="459">
        <f t="shared" si="89"/>
        <v>70</v>
      </c>
      <c r="H838" s="459">
        <v>831</v>
      </c>
      <c r="I838" s="444">
        <f t="shared" ca="1" si="81"/>
        <v>-21660652.144976716</v>
      </c>
      <c r="J838" s="444">
        <f t="array" ref="J838">IFERROR(INDEX('Retirement Calculator'!K:K,MATCH('Lorri 401b'!N838,'Retirement Calculator'!A:A,0),0),0)</f>
        <v>21655.303514578787</v>
      </c>
      <c r="K838" s="444">
        <f t="shared" ca="1" si="79"/>
        <v>-90342.947702047051</v>
      </c>
      <c r="L838" s="444">
        <f t="shared" ca="1" si="80"/>
        <v>-21772650.39619334</v>
      </c>
      <c r="M838" s="460">
        <f t="shared" si="82"/>
        <v>0.05</v>
      </c>
      <c r="N838" s="464">
        <f t="shared" si="83"/>
        <v>76550</v>
      </c>
    </row>
    <row r="839" spans="7:14" ht="11.25" customHeight="1" x14ac:dyDescent="0.25">
      <c r="G839" s="459">
        <f t="shared" si="89"/>
        <v>70</v>
      </c>
      <c r="H839" s="459">
        <v>832</v>
      </c>
      <c r="I839" s="444">
        <f t="shared" ca="1" si="81"/>
        <v>-21772650.39619334</v>
      </c>
      <c r="J839" s="444">
        <f t="array" ref="J839">IFERROR(INDEX('Retirement Calculator'!K:K,MATCH('Lorri 401b'!N839,'Retirement Calculator'!A:A,0),0),0)</f>
        <v>21655.303514578787</v>
      </c>
      <c r="K839" s="444">
        <f t="shared" ca="1" si="79"/>
        <v>-90809.60708211633</v>
      </c>
      <c r="L839" s="444">
        <f t="shared" ca="1" si="80"/>
        <v>-21885115.306790035</v>
      </c>
      <c r="M839" s="460">
        <f t="shared" si="82"/>
        <v>0.05</v>
      </c>
      <c r="N839" s="464">
        <f t="shared" si="83"/>
        <v>76581</v>
      </c>
    </row>
    <row r="840" spans="7:14" ht="11.25" customHeight="1" x14ac:dyDescent="0.25">
      <c r="G840" s="459">
        <f t="shared" si="89"/>
        <v>70</v>
      </c>
      <c r="H840" s="459">
        <v>833</v>
      </c>
      <c r="I840" s="444">
        <f t="shared" ca="1" si="81"/>
        <v>-21885115.306790035</v>
      </c>
      <c r="J840" s="444">
        <f t="array" ref="J840">IFERROR(INDEX('Retirement Calculator'!K:K,MATCH('Lorri 401b'!N840,'Retirement Calculator'!A:A,0),0),0)</f>
        <v>21655.303514578787</v>
      </c>
      <c r="K840" s="444">
        <f t="shared" ca="1" si="79"/>
        <v>-91278.210876269222</v>
      </c>
      <c r="L840" s="444">
        <f t="shared" ca="1" si="80"/>
        <v>-21998048.82118088</v>
      </c>
      <c r="M840" s="460">
        <f t="shared" si="82"/>
        <v>0.05</v>
      </c>
      <c r="N840" s="464">
        <f t="shared" si="83"/>
        <v>76611</v>
      </c>
    </row>
    <row r="841" spans="7:14" ht="11.25" customHeight="1" x14ac:dyDescent="0.25">
      <c r="G841" s="459">
        <f t="shared" si="89"/>
        <v>70</v>
      </c>
      <c r="H841" s="459">
        <v>834</v>
      </c>
      <c r="I841" s="444">
        <f t="shared" ca="1" si="81"/>
        <v>-21998048.82118088</v>
      </c>
      <c r="J841" s="444">
        <f t="array" ref="J841">IFERROR(INDEX('Retirement Calculator'!K:K,MATCH('Lorri 401b'!N841,'Retirement Calculator'!A:A,0),0),0)</f>
        <v>21655.303514578787</v>
      </c>
      <c r="K841" s="444">
        <f t="shared" ca="1" si="79"/>
        <v>-91748.767186231067</v>
      </c>
      <c r="L841" s="444">
        <f t="shared" ca="1" si="80"/>
        <v>-22111452.891881689</v>
      </c>
      <c r="M841" s="460">
        <f t="shared" si="82"/>
        <v>0.05</v>
      </c>
      <c r="N841" s="464">
        <f t="shared" si="83"/>
        <v>76642</v>
      </c>
    </row>
    <row r="842" spans="7:14" ht="11.25" customHeight="1" x14ac:dyDescent="0.25">
      <c r="G842" s="459">
        <f t="shared" si="89"/>
        <v>70</v>
      </c>
      <c r="H842" s="459">
        <v>835</v>
      </c>
      <c r="I842" s="444">
        <f t="shared" ca="1" si="81"/>
        <v>-22111452.891881689</v>
      </c>
      <c r="J842" s="444">
        <f t="array" ref="J842">IFERROR(INDEX('Retirement Calculator'!K:K,MATCH('Lorri 401b'!N842,'Retirement Calculator'!A:A,0),0),0)</f>
        <v>21655.303514578787</v>
      </c>
      <c r="K842" s="444">
        <f t="shared" ca="1" si="79"/>
        <v>-92221.284147484446</v>
      </c>
      <c r="L842" s="444">
        <f t="shared" ca="1" si="80"/>
        <v>-22225329.479543753</v>
      </c>
      <c r="M842" s="460">
        <f t="shared" si="82"/>
        <v>0.05</v>
      </c>
      <c r="N842" s="464">
        <f t="shared" si="83"/>
        <v>76672</v>
      </c>
    </row>
    <row r="843" spans="7:14" ht="11.25" customHeight="1" x14ac:dyDescent="0.25">
      <c r="G843" s="459">
        <f t="shared" si="89"/>
        <v>70</v>
      </c>
      <c r="H843" s="459">
        <v>836</v>
      </c>
      <c r="I843" s="444">
        <f t="shared" ca="1" si="81"/>
        <v>-22225329.479543753</v>
      </c>
      <c r="J843" s="444">
        <f t="array" ref="J843">IFERROR(INDEX('Retirement Calculator'!K:K,MATCH('Lorri 401b'!N843,'Retirement Calculator'!A:A,0),0),0)</f>
        <v>21655.303514578787</v>
      </c>
      <c r="K843" s="444">
        <f t="shared" ca="1" si="79"/>
        <v>-92695.769929409711</v>
      </c>
      <c r="L843" s="444">
        <f t="shared" ca="1" si="80"/>
        <v>-22339680.552987739</v>
      </c>
      <c r="M843" s="460">
        <f t="shared" si="82"/>
        <v>0.05</v>
      </c>
      <c r="N843" s="464">
        <f t="shared" si="83"/>
        <v>76703</v>
      </c>
    </row>
    <row r="844" spans="7:14" ht="11.25" customHeight="1" x14ac:dyDescent="0.25">
      <c r="G844" s="459">
        <f t="shared" si="89"/>
        <v>70</v>
      </c>
      <c r="H844" s="459">
        <v>837</v>
      </c>
      <c r="I844" s="444">
        <f t="shared" ca="1" si="81"/>
        <v>-22339680.552987739</v>
      </c>
      <c r="J844" s="444">
        <f t="array" ref="J844">IFERROR(INDEX('Retirement Calculator'!K:K,MATCH('Lorri 401b'!N844,'Retirement Calculator'!A:A,0),0),0)</f>
        <v>21655.303514578787</v>
      </c>
      <c r="K844" s="444">
        <f t="shared" ca="1" si="79"/>
        <v>-93172.232735426325</v>
      </c>
      <c r="L844" s="444">
        <f t="shared" ca="1" si="80"/>
        <v>-22454508.089237742</v>
      </c>
      <c r="M844" s="460">
        <f t="shared" si="82"/>
        <v>0.05</v>
      </c>
      <c r="N844" s="464">
        <f t="shared" si="83"/>
        <v>76734</v>
      </c>
    </row>
    <row r="845" spans="7:14" ht="11.25" customHeight="1" x14ac:dyDescent="0.25">
      <c r="G845" s="459">
        <f t="shared" si="89"/>
        <v>70</v>
      </c>
      <c r="H845" s="459">
        <v>838</v>
      </c>
      <c r="I845" s="444">
        <f t="shared" ca="1" si="81"/>
        <v>-22454508.089237742</v>
      </c>
      <c r="J845" s="444">
        <f t="array" ref="J845">IFERROR(INDEX('Retirement Calculator'!K:K,MATCH('Lorri 401b'!N845,'Retirement Calculator'!A:A,0),0),0)</f>
        <v>21655.303514578787</v>
      </c>
      <c r="K845" s="444">
        <f t="shared" ca="1" si="79"/>
        <v>-93650.680803134659</v>
      </c>
      <c r="L845" s="444">
        <f t="shared" ca="1" si="80"/>
        <v>-22569814.073555455</v>
      </c>
      <c r="M845" s="460">
        <f t="shared" si="82"/>
        <v>0.05</v>
      </c>
      <c r="N845" s="464">
        <f t="shared" si="83"/>
        <v>76762</v>
      </c>
    </row>
    <row r="846" spans="7:14" ht="11.25" customHeight="1" x14ac:dyDescent="0.25">
      <c r="G846" s="459">
        <f t="shared" si="89"/>
        <v>70</v>
      </c>
      <c r="H846" s="459">
        <v>839</v>
      </c>
      <c r="I846" s="444">
        <f t="shared" ca="1" si="81"/>
        <v>-22569814.073555455</v>
      </c>
      <c r="J846" s="444">
        <f t="array" ref="J846">IFERROR(INDEX('Retirement Calculator'!K:K,MATCH('Lorri 401b'!N846,'Retirement Calculator'!A:A,0),0),0)</f>
        <v>21655.303514578787</v>
      </c>
      <c r="K846" s="444">
        <f t="shared" ca="1" si="79"/>
        <v>-94131.122404458467</v>
      </c>
      <c r="L846" s="444">
        <f t="shared" ca="1" si="80"/>
        <v>-22685600.499474492</v>
      </c>
      <c r="M846" s="460">
        <f t="shared" si="82"/>
        <v>0.05</v>
      </c>
      <c r="N846" s="464">
        <f t="shared" si="83"/>
        <v>76793</v>
      </c>
    </row>
    <row r="847" spans="7:14" ht="11.25" customHeight="1" x14ac:dyDescent="0.25">
      <c r="G847" s="459">
        <f t="shared" si="89"/>
        <v>70</v>
      </c>
      <c r="H847" s="459">
        <v>840</v>
      </c>
      <c r="I847" s="444">
        <f t="shared" ca="1" si="81"/>
        <v>-22685600.499474492</v>
      </c>
      <c r="J847" s="444">
        <f t="array" ref="J847">IFERROR(INDEX('Retirement Calculator'!K:K,MATCH('Lorri 401b'!N847,'Retirement Calculator'!A:A,0),0),0)</f>
        <v>21655.303514578787</v>
      </c>
      <c r="K847" s="444">
        <f t="shared" ca="1" si="79"/>
        <v>-94613.565845787787</v>
      </c>
      <c r="L847" s="444">
        <f t="shared" ca="1" si="80"/>
        <v>-22801869.368834857</v>
      </c>
      <c r="M847" s="460">
        <f t="shared" si="82"/>
        <v>0.05</v>
      </c>
      <c r="N847" s="464">
        <f t="shared" si="83"/>
        <v>76823</v>
      </c>
    </row>
    <row r="848" spans="7:14" ht="11.25" customHeight="1" x14ac:dyDescent="0.25">
      <c r="G848" s="459">
        <f>G847+1</f>
        <v>71</v>
      </c>
      <c r="H848" s="459">
        <v>841</v>
      </c>
      <c r="I848" s="444">
        <f t="shared" ca="1" si="81"/>
        <v>-22801869.368834857</v>
      </c>
      <c r="J848" s="444">
        <f t="array" ref="J848">IFERROR(INDEX('Retirement Calculator'!K:K,MATCH('Lorri 401b'!N848,'Retirement Calculator'!A:A,0),0),0)</f>
        <v>21655.303514578787</v>
      </c>
      <c r="K848" s="444">
        <f t="shared" ca="1" si="79"/>
        <v>-95098.019468122642</v>
      </c>
      <c r="L848" s="444">
        <f t="shared" ca="1" si="80"/>
        <v>-22918622.691817556</v>
      </c>
      <c r="M848" s="460">
        <f t="shared" si="82"/>
        <v>0.05</v>
      </c>
      <c r="N848" s="464">
        <f t="shared" si="83"/>
        <v>76854</v>
      </c>
    </row>
    <row r="849" spans="7:14" ht="11.25" customHeight="1" x14ac:dyDescent="0.25">
      <c r="G849" s="459">
        <f t="shared" ref="G849:G859" si="90">G848</f>
        <v>71</v>
      </c>
      <c r="H849" s="459">
        <v>842</v>
      </c>
      <c r="I849" s="444">
        <f t="shared" ca="1" si="81"/>
        <v>-22918622.691817556</v>
      </c>
      <c r="J849" s="444">
        <f t="array" ref="J849">IFERROR(INDEX('Retirement Calculator'!K:K,MATCH('Lorri 401b'!N849,'Retirement Calculator'!A:A,0),0),0)</f>
        <v>21655.303514578787</v>
      </c>
      <c r="K849" s="444">
        <f t="shared" ca="1" si="79"/>
        <v>-95584.491647217219</v>
      </c>
      <c r="L849" s="444">
        <f t="shared" ca="1" si="80"/>
        <v>-23035862.48697935</v>
      </c>
      <c r="M849" s="460">
        <f t="shared" si="82"/>
        <v>0.05</v>
      </c>
      <c r="N849" s="464">
        <f t="shared" si="83"/>
        <v>76884</v>
      </c>
    </row>
    <row r="850" spans="7:14" ht="11.25" customHeight="1" x14ac:dyDescent="0.25">
      <c r="G850" s="459">
        <f t="shared" si="90"/>
        <v>71</v>
      </c>
      <c r="H850" s="459">
        <v>843</v>
      </c>
      <c r="I850" s="444">
        <f t="shared" ca="1" si="81"/>
        <v>-23035862.48697935</v>
      </c>
      <c r="J850" s="444">
        <f t="array" ref="J850">IFERROR(INDEX('Retirement Calculator'!K:K,MATCH('Lorri 401b'!N850,'Retirement Calculator'!A:A,0),0),0)</f>
        <v>21655.303514578787</v>
      </c>
      <c r="K850" s="444">
        <f t="shared" ca="1" si="79"/>
        <v>-96072.990793724704</v>
      </c>
      <c r="L850" s="444">
        <f t="shared" ca="1" si="80"/>
        <v>-23153590.781287652</v>
      </c>
      <c r="M850" s="460">
        <f t="shared" si="82"/>
        <v>0.05</v>
      </c>
      <c r="N850" s="464">
        <f t="shared" si="83"/>
        <v>76915</v>
      </c>
    </row>
    <row r="851" spans="7:14" ht="11.25" customHeight="1" x14ac:dyDescent="0.25">
      <c r="G851" s="459">
        <f t="shared" si="90"/>
        <v>71</v>
      </c>
      <c r="H851" s="459">
        <v>844</v>
      </c>
      <c r="I851" s="444">
        <f t="shared" ca="1" si="81"/>
        <v>-23153590.781287652</v>
      </c>
      <c r="J851" s="444">
        <f t="array" ref="J851">IFERROR(INDEX('Retirement Calculator'!K:K,MATCH('Lorri 401b'!N851,'Retirement Calculator'!A:A,0),0),0)</f>
        <v>21655.303514578787</v>
      </c>
      <c r="K851" s="444">
        <f t="shared" ca="1" si="79"/>
        <v>-96563.525353342615</v>
      </c>
      <c r="L851" s="444">
        <f t="shared" ca="1" si="80"/>
        <v>-23271809.610155571</v>
      </c>
      <c r="M851" s="460">
        <f t="shared" si="82"/>
        <v>0.05</v>
      </c>
      <c r="N851" s="464">
        <f t="shared" si="83"/>
        <v>76946</v>
      </c>
    </row>
    <row r="852" spans="7:14" ht="11.25" customHeight="1" x14ac:dyDescent="0.25">
      <c r="G852" s="459">
        <f t="shared" si="90"/>
        <v>71</v>
      </c>
      <c r="H852" s="459">
        <v>845</v>
      </c>
      <c r="I852" s="444">
        <f t="shared" ca="1" si="81"/>
        <v>-23271809.610155571</v>
      </c>
      <c r="J852" s="444">
        <f t="array" ref="J852">IFERROR(INDEX('Retirement Calculator'!K:K,MATCH('Lorri 401b'!N852,'Retirement Calculator'!A:A,0),0),0)</f>
        <v>21655.303514578787</v>
      </c>
      <c r="K852" s="444">
        <f t="shared" ca="1" si="79"/>
        <v>-97056.103806958956</v>
      </c>
      <c r="L852" s="444">
        <f t="shared" ca="1" si="80"/>
        <v>-23390521.017477106</v>
      </c>
      <c r="M852" s="460">
        <f t="shared" si="82"/>
        <v>0.05</v>
      </c>
      <c r="N852" s="464">
        <f t="shared" si="83"/>
        <v>76976</v>
      </c>
    </row>
    <row r="853" spans="7:14" ht="11.25" customHeight="1" x14ac:dyDescent="0.25">
      <c r="G853" s="459">
        <f t="shared" si="90"/>
        <v>71</v>
      </c>
      <c r="H853" s="459">
        <v>846</v>
      </c>
      <c r="I853" s="444">
        <f t="shared" ca="1" si="81"/>
        <v>-23390521.017477106</v>
      </c>
      <c r="J853" s="444">
        <f t="array" ref="J853">IFERROR(INDEX('Retirement Calculator'!K:K,MATCH('Lorri 401b'!N853,'Retirement Calculator'!A:A,0),0),0)</f>
        <v>21655.303514578787</v>
      </c>
      <c r="K853" s="444">
        <f t="shared" ca="1" si="79"/>
        <v>-97550.734670798687</v>
      </c>
      <c r="L853" s="444">
        <f t="shared" ca="1" si="80"/>
        <v>-23509727.055662483</v>
      </c>
      <c r="M853" s="460">
        <f t="shared" si="82"/>
        <v>0.05</v>
      </c>
      <c r="N853" s="464">
        <f t="shared" si="83"/>
        <v>77007</v>
      </c>
    </row>
    <row r="854" spans="7:14" ht="11.25" customHeight="1" x14ac:dyDescent="0.25">
      <c r="G854" s="459">
        <f t="shared" si="90"/>
        <v>71</v>
      </c>
      <c r="H854" s="459">
        <v>847</v>
      </c>
      <c r="I854" s="444">
        <f t="shared" ca="1" si="81"/>
        <v>-23509727.055662483</v>
      </c>
      <c r="J854" s="444">
        <f t="array" ref="J854">IFERROR(INDEX('Retirement Calculator'!K:K,MATCH('Lorri 401b'!N854,'Retirement Calculator'!A:A,0),0),0)</f>
        <v>21655.303514578787</v>
      </c>
      <c r="K854" s="444">
        <f t="shared" ca="1" si="79"/>
        <v>-98047.42649657109</v>
      </c>
      <c r="L854" s="444">
        <f t="shared" ca="1" si="80"/>
        <v>-23629429.785673633</v>
      </c>
      <c r="M854" s="460">
        <f t="shared" si="82"/>
        <v>0.05</v>
      </c>
      <c r="N854" s="464">
        <f t="shared" si="83"/>
        <v>77037</v>
      </c>
    </row>
    <row r="855" spans="7:14" ht="11.25" customHeight="1" x14ac:dyDescent="0.25">
      <c r="G855" s="459">
        <f t="shared" si="90"/>
        <v>71</v>
      </c>
      <c r="H855" s="459">
        <v>848</v>
      </c>
      <c r="I855" s="444">
        <f t="shared" ca="1" si="81"/>
        <v>-23629429.785673633</v>
      </c>
      <c r="J855" s="444">
        <f t="array" ref="J855">IFERROR(INDEX('Retirement Calculator'!K:K,MATCH('Lorri 401b'!N855,'Retirement Calculator'!A:A,0),0),0)</f>
        <v>21655.303514578787</v>
      </c>
      <c r="K855" s="444">
        <f t="shared" ca="1" si="79"/>
        <v>-98546.187871617542</v>
      </c>
      <c r="L855" s="444">
        <f t="shared" ca="1" si="80"/>
        <v>-23749631.277059827</v>
      </c>
      <c r="M855" s="460">
        <f t="shared" si="82"/>
        <v>0.05</v>
      </c>
      <c r="N855" s="464">
        <f t="shared" si="83"/>
        <v>77068</v>
      </c>
    </row>
    <row r="856" spans="7:14" ht="11.25" customHeight="1" x14ac:dyDescent="0.25">
      <c r="G856" s="459">
        <f t="shared" si="90"/>
        <v>71</v>
      </c>
      <c r="H856" s="459">
        <v>849</v>
      </c>
      <c r="I856" s="444">
        <f t="shared" ca="1" si="81"/>
        <v>-23749631.277059827</v>
      </c>
      <c r="J856" s="444">
        <f t="array" ref="J856">IFERROR(INDEX('Retirement Calculator'!K:K,MATCH('Lorri 401b'!N856,'Retirement Calculator'!A:A,0),0),0)</f>
        <v>21655.303514578787</v>
      </c>
      <c r="K856" s="444">
        <f t="shared" ca="1" si="79"/>
        <v>-99047.027419060018</v>
      </c>
      <c r="L856" s="444">
        <f t="shared" ca="1" si="80"/>
        <v>-23870333.607993465</v>
      </c>
      <c r="M856" s="460">
        <f t="shared" si="82"/>
        <v>0.05</v>
      </c>
      <c r="N856" s="464">
        <f t="shared" si="83"/>
        <v>77099</v>
      </c>
    </row>
    <row r="857" spans="7:14" ht="11.25" customHeight="1" x14ac:dyDescent="0.25">
      <c r="G857" s="459">
        <f t="shared" si="90"/>
        <v>71</v>
      </c>
      <c r="H857" s="459">
        <v>850</v>
      </c>
      <c r="I857" s="444">
        <f t="shared" ca="1" si="81"/>
        <v>-23870333.607993465</v>
      </c>
      <c r="J857" s="444">
        <f t="array" ref="J857">IFERROR(INDEX('Retirement Calculator'!K:K,MATCH('Lorri 401b'!N857,'Retirement Calculator'!A:A,0),0),0)</f>
        <v>21655.303514578787</v>
      </c>
      <c r="K857" s="444">
        <f t="shared" ca="1" si="79"/>
        <v>-99549.953797950177</v>
      </c>
      <c r="L857" s="444">
        <f t="shared" ca="1" si="80"/>
        <v>-23991538.865305994</v>
      </c>
      <c r="M857" s="460">
        <f t="shared" si="82"/>
        <v>0.05</v>
      </c>
      <c r="N857" s="464">
        <f t="shared" si="83"/>
        <v>77127</v>
      </c>
    </row>
    <row r="858" spans="7:14" ht="11.25" customHeight="1" x14ac:dyDescent="0.25">
      <c r="G858" s="459">
        <f t="shared" si="90"/>
        <v>71</v>
      </c>
      <c r="H858" s="459">
        <v>851</v>
      </c>
      <c r="I858" s="444">
        <f t="shared" ca="1" si="81"/>
        <v>-23991538.865305994</v>
      </c>
      <c r="J858" s="444">
        <f t="array" ref="J858">IFERROR(INDEX('Retirement Calculator'!K:K,MATCH('Lorri 401b'!N858,'Retirement Calculator'!A:A,0),0),0)</f>
        <v>21655.303514578787</v>
      </c>
      <c r="K858" s="444">
        <f t="shared" ca="1" si="79"/>
        <v>-100054.97570341904</v>
      </c>
      <c r="L858" s="444">
        <f t="shared" ca="1" si="80"/>
        <v>-24113249.144523989</v>
      </c>
      <c r="M858" s="460">
        <f t="shared" si="82"/>
        <v>0.05</v>
      </c>
      <c r="N858" s="464">
        <f t="shared" si="83"/>
        <v>77158</v>
      </c>
    </row>
    <row r="859" spans="7:14" ht="11.25" customHeight="1" x14ac:dyDescent="0.25">
      <c r="G859" s="459">
        <f t="shared" si="90"/>
        <v>71</v>
      </c>
      <c r="H859" s="459">
        <v>852</v>
      </c>
      <c r="I859" s="444">
        <f t="shared" ca="1" si="81"/>
        <v>-24113249.144523989</v>
      </c>
      <c r="J859" s="444">
        <f t="array" ref="J859">IFERROR(INDEX('Retirement Calculator'!K:K,MATCH('Lorri 401b'!N859,'Retirement Calculator'!A:A,0),0),0)</f>
        <v>21655.303514578787</v>
      </c>
      <c r="K859" s="444">
        <f t="shared" ca="1" si="79"/>
        <v>-100562.10186682736</v>
      </c>
      <c r="L859" s="444">
        <f t="shared" ca="1" si="80"/>
        <v>-24235466.549905393</v>
      </c>
      <c r="M859" s="460">
        <f t="shared" si="82"/>
        <v>0.05</v>
      </c>
      <c r="N859" s="464">
        <f t="shared" si="83"/>
        <v>77188</v>
      </c>
    </row>
    <row r="860" spans="7:14" ht="11.25" customHeight="1" x14ac:dyDescent="0.25">
      <c r="G860" s="459">
        <f>G859+1</f>
        <v>72</v>
      </c>
      <c r="H860" s="459">
        <v>853</v>
      </c>
      <c r="I860" s="444">
        <f t="shared" ca="1" si="81"/>
        <v>-24235466.549905393</v>
      </c>
      <c r="J860" s="444">
        <f t="array" ref="J860">IFERROR(INDEX('Retirement Calculator'!K:K,MATCH('Lorri 401b'!N860,'Retirement Calculator'!A:A,0),0),0)</f>
        <v>21655.303514578787</v>
      </c>
      <c r="K860" s="444">
        <f t="shared" ca="1" si="79"/>
        <v>-101071.34105591655</v>
      </c>
      <c r="L860" s="444">
        <f t="shared" ca="1" si="80"/>
        <v>-24358193.194475885</v>
      </c>
      <c r="M860" s="460">
        <f t="shared" si="82"/>
        <v>0.05</v>
      </c>
      <c r="N860" s="464">
        <f t="shared" si="83"/>
        <v>77219</v>
      </c>
    </row>
    <row r="861" spans="7:14" ht="11.25" customHeight="1" x14ac:dyDescent="0.25">
      <c r="G861" s="459">
        <f t="shared" ref="G861:G871" si="91">G860</f>
        <v>72</v>
      </c>
      <c r="H861" s="459">
        <v>854</v>
      </c>
      <c r="I861" s="444">
        <f t="shared" ca="1" si="81"/>
        <v>-24358193.194475885</v>
      </c>
      <c r="J861" s="444">
        <f t="array" ref="J861">IFERROR(INDEX('Retirement Calculator'!K:K,MATCH('Lorri 401b'!N861,'Retirement Calculator'!A:A,0),0),0)</f>
        <v>21655.303514578787</v>
      </c>
      <c r="K861" s="444">
        <f t="shared" ca="1" si="79"/>
        <v>-101582.70207496027</v>
      </c>
      <c r="L861" s="444">
        <f t="shared" ca="1" si="80"/>
        <v>-24481431.200065423</v>
      </c>
      <c r="M861" s="460">
        <f t="shared" si="82"/>
        <v>0.05</v>
      </c>
      <c r="N861" s="464">
        <f t="shared" si="83"/>
        <v>77249</v>
      </c>
    </row>
    <row r="862" spans="7:14" ht="11.25" customHeight="1" x14ac:dyDescent="0.25">
      <c r="G862" s="459">
        <f t="shared" si="91"/>
        <v>72</v>
      </c>
      <c r="H862" s="459">
        <v>855</v>
      </c>
      <c r="I862" s="444">
        <f t="shared" ca="1" si="81"/>
        <v>-24481431.200065423</v>
      </c>
      <c r="J862" s="444">
        <f t="array" ref="J862">IFERROR(INDEX('Retirement Calculator'!K:K,MATCH('Lorri 401b'!N862,'Retirement Calculator'!A:A,0),0),0)</f>
        <v>21655.303514578787</v>
      </c>
      <c r="K862" s="444">
        <f t="shared" ca="1" si="79"/>
        <v>-102096.19376491666</v>
      </c>
      <c r="L862" s="444">
        <f t="shared" ca="1" si="80"/>
        <v>-24605182.697344918</v>
      </c>
      <c r="M862" s="460">
        <f t="shared" si="82"/>
        <v>0.05</v>
      </c>
      <c r="N862" s="464">
        <f t="shared" si="83"/>
        <v>77280</v>
      </c>
    </row>
    <row r="863" spans="7:14" ht="11.25" customHeight="1" x14ac:dyDescent="0.25">
      <c r="G863" s="459">
        <f t="shared" si="91"/>
        <v>72</v>
      </c>
      <c r="H863" s="459">
        <v>856</v>
      </c>
      <c r="I863" s="444">
        <f t="shared" ca="1" si="81"/>
        <v>-24605182.697344918</v>
      </c>
      <c r="J863" s="444">
        <f t="array" ref="J863">IFERROR(INDEX('Retirement Calculator'!K:K,MATCH('Lorri 401b'!N863,'Retirement Calculator'!A:A,0),0),0)</f>
        <v>21655.303514578787</v>
      </c>
      <c r="K863" s="444">
        <f t="shared" ca="1" si="79"/>
        <v>-102611.82500358122</v>
      </c>
      <c r="L863" s="444">
        <f t="shared" ca="1" si="80"/>
        <v>-24729449.825863078</v>
      </c>
      <c r="M863" s="460">
        <f t="shared" si="82"/>
        <v>0.05</v>
      </c>
      <c r="N863" s="464">
        <f t="shared" si="83"/>
        <v>77311</v>
      </c>
    </row>
    <row r="864" spans="7:14" ht="11.25" customHeight="1" x14ac:dyDescent="0.25">
      <c r="G864" s="459">
        <f t="shared" si="91"/>
        <v>72</v>
      </c>
      <c r="H864" s="459">
        <v>857</v>
      </c>
      <c r="I864" s="444">
        <f t="shared" ca="1" si="81"/>
        <v>-24729449.825863078</v>
      </c>
      <c r="J864" s="444">
        <f t="array" ref="J864">IFERROR(INDEX('Retirement Calculator'!K:K,MATCH('Lorri 401b'!N864,'Retirement Calculator'!A:A,0),0),0)</f>
        <v>21655.303514578787</v>
      </c>
      <c r="K864" s="444">
        <f t="shared" ca="1" si="79"/>
        <v>-103129.60470574023</v>
      </c>
      <c r="L864" s="444">
        <f t="shared" ca="1" si="80"/>
        <v>-24854234.734083395</v>
      </c>
      <c r="M864" s="460">
        <f t="shared" si="82"/>
        <v>0.05</v>
      </c>
      <c r="N864" s="464">
        <f t="shared" si="83"/>
        <v>77341</v>
      </c>
    </row>
    <row r="865" spans="7:14" ht="11.25" customHeight="1" x14ac:dyDescent="0.25">
      <c r="G865" s="459">
        <f t="shared" si="91"/>
        <v>72</v>
      </c>
      <c r="H865" s="459">
        <v>858</v>
      </c>
      <c r="I865" s="444">
        <f t="shared" ca="1" si="81"/>
        <v>-24854234.734083395</v>
      </c>
      <c r="J865" s="444">
        <f t="array" ref="J865">IFERROR(INDEX('Retirement Calculator'!K:K,MATCH('Lorri 401b'!N865,'Retirement Calculator'!A:A,0),0),0)</f>
        <v>21655.303514578787</v>
      </c>
      <c r="K865" s="444">
        <f t="shared" ca="1" si="79"/>
        <v>-103649.54182332489</v>
      </c>
      <c r="L865" s="444">
        <f t="shared" ca="1" si="80"/>
        <v>-24979539.579421297</v>
      </c>
      <c r="M865" s="460">
        <f t="shared" si="82"/>
        <v>0.05</v>
      </c>
      <c r="N865" s="464">
        <f t="shared" si="83"/>
        <v>77372</v>
      </c>
    </row>
    <row r="866" spans="7:14" ht="11.25" customHeight="1" x14ac:dyDescent="0.25">
      <c r="G866" s="459">
        <f t="shared" si="91"/>
        <v>72</v>
      </c>
      <c r="H866" s="459">
        <v>859</v>
      </c>
      <c r="I866" s="444">
        <f t="shared" ca="1" si="81"/>
        <v>-24979539.579421297</v>
      </c>
      <c r="J866" s="444">
        <f t="array" ref="J866">IFERROR(INDEX('Retirement Calculator'!K:K,MATCH('Lorri 401b'!N866,'Retirement Calculator'!A:A,0),0),0)</f>
        <v>21655.303514578787</v>
      </c>
      <c r="K866" s="444">
        <f t="shared" ca="1" si="79"/>
        <v>-104171.64534556614</v>
      </c>
      <c r="L866" s="444">
        <f t="shared" ca="1" si="80"/>
        <v>-25105366.528281439</v>
      </c>
      <c r="M866" s="460">
        <f t="shared" si="82"/>
        <v>0.05</v>
      </c>
      <c r="N866" s="464">
        <f t="shared" si="83"/>
        <v>77402</v>
      </c>
    </row>
    <row r="867" spans="7:14" ht="11.25" customHeight="1" x14ac:dyDescent="0.25">
      <c r="G867" s="459">
        <f t="shared" si="91"/>
        <v>72</v>
      </c>
      <c r="H867" s="459">
        <v>860</v>
      </c>
      <c r="I867" s="444">
        <f t="shared" ca="1" si="81"/>
        <v>-25105366.528281439</v>
      </c>
      <c r="J867" s="444">
        <f t="array" ref="J867">IFERROR(INDEX('Retirement Calculator'!K:K,MATCH('Lorri 401b'!N867,'Retirement Calculator'!A:A,0),0),0)</f>
        <v>21655.303514578787</v>
      </c>
      <c r="K867" s="444">
        <f t="shared" ca="1" si="79"/>
        <v>-104695.92429915007</v>
      </c>
      <c r="L867" s="444">
        <f t="shared" ca="1" si="80"/>
        <v>-25231717.756095167</v>
      </c>
      <c r="M867" s="460">
        <f t="shared" si="82"/>
        <v>0.05</v>
      </c>
      <c r="N867" s="464">
        <f t="shared" si="83"/>
        <v>77433</v>
      </c>
    </row>
    <row r="868" spans="7:14" ht="11.25" customHeight="1" x14ac:dyDescent="0.25">
      <c r="G868" s="459">
        <f t="shared" si="91"/>
        <v>72</v>
      </c>
      <c r="H868" s="459">
        <v>861</v>
      </c>
      <c r="I868" s="444">
        <f t="shared" ca="1" si="81"/>
        <v>-25231717.756095167</v>
      </c>
      <c r="J868" s="444">
        <f t="array" ref="J868">IFERROR(INDEX('Retirement Calculator'!K:K,MATCH('Lorri 401b'!N868,'Retirement Calculator'!A:A,0),0),0)</f>
        <v>21655.303514578787</v>
      </c>
      <c r="K868" s="444">
        <f t="shared" ca="1" si="79"/>
        <v>-105222.38774837393</v>
      </c>
      <c r="L868" s="444">
        <f t="shared" ca="1" si="80"/>
        <v>-25358595.44735812</v>
      </c>
      <c r="M868" s="460">
        <f t="shared" si="82"/>
        <v>0.05</v>
      </c>
      <c r="N868" s="464">
        <f t="shared" si="83"/>
        <v>77464</v>
      </c>
    </row>
    <row r="869" spans="7:14" ht="11.25" customHeight="1" x14ac:dyDescent="0.25">
      <c r="G869" s="459">
        <f t="shared" si="91"/>
        <v>72</v>
      </c>
      <c r="H869" s="459">
        <v>862</v>
      </c>
      <c r="I869" s="444">
        <f t="shared" ca="1" si="81"/>
        <v>-25358595.44735812</v>
      </c>
      <c r="J869" s="444">
        <f t="array" ref="J869">IFERROR(INDEX('Retirement Calculator'!K:K,MATCH('Lorri 401b'!N869,'Retirement Calculator'!A:A,0),0),0)</f>
        <v>21655.303514578787</v>
      </c>
      <c r="K869" s="444">
        <f t="shared" ca="1" si="79"/>
        <v>-105751.04479530291</v>
      </c>
      <c r="L869" s="444">
        <f t="shared" ca="1" si="80"/>
        <v>-25486001.795668002</v>
      </c>
      <c r="M869" s="460">
        <f t="shared" si="82"/>
        <v>0.05</v>
      </c>
      <c r="N869" s="464">
        <f t="shared" si="83"/>
        <v>77493</v>
      </c>
    </row>
    <row r="870" spans="7:14" ht="11.25" customHeight="1" x14ac:dyDescent="0.25">
      <c r="G870" s="459">
        <f t="shared" si="91"/>
        <v>72</v>
      </c>
      <c r="H870" s="459">
        <v>863</v>
      </c>
      <c r="I870" s="444">
        <f t="shared" ca="1" si="81"/>
        <v>-25486001.795668002</v>
      </c>
      <c r="J870" s="444">
        <f t="array" ref="J870">IFERROR(INDEX('Retirement Calculator'!K:K,MATCH('Lorri 401b'!N870,'Retirement Calculator'!A:A,0),0),0)</f>
        <v>21655.303514578787</v>
      </c>
      <c r="K870" s="444">
        <f t="shared" ca="1" si="79"/>
        <v>-106281.90457992742</v>
      </c>
      <c r="L870" s="444">
        <f t="shared" ca="1" si="80"/>
        <v>-25613939.003762506</v>
      </c>
      <c r="M870" s="460">
        <f t="shared" si="82"/>
        <v>0.05</v>
      </c>
      <c r="N870" s="464">
        <f t="shared" si="83"/>
        <v>77524</v>
      </c>
    </row>
    <row r="871" spans="7:14" ht="11.25" customHeight="1" x14ac:dyDescent="0.25">
      <c r="G871" s="459">
        <f t="shared" si="91"/>
        <v>72</v>
      </c>
      <c r="H871" s="459">
        <v>864</v>
      </c>
      <c r="I871" s="444">
        <f t="shared" ca="1" si="81"/>
        <v>-25613939.003762506</v>
      </c>
      <c r="J871" s="444">
        <f t="array" ref="J871">IFERROR(INDEX('Retirement Calculator'!K:K,MATCH('Lorri 401b'!N871,'Retirement Calculator'!A:A,0),0),0)</f>
        <v>21655.303514578787</v>
      </c>
      <c r="K871" s="444">
        <f t="shared" ca="1" si="79"/>
        <v>-106814.97628032118</v>
      </c>
      <c r="L871" s="444">
        <f t="shared" ca="1" si="80"/>
        <v>-25742409.283557404</v>
      </c>
      <c r="M871" s="460">
        <f t="shared" si="82"/>
        <v>0.05</v>
      </c>
      <c r="N871" s="464">
        <f t="shared" si="83"/>
        <v>77554</v>
      </c>
    </row>
    <row r="872" spans="7:14" ht="11.25" customHeight="1" x14ac:dyDescent="0.25">
      <c r="G872" s="459">
        <f>G871+1</f>
        <v>73</v>
      </c>
      <c r="H872" s="459">
        <v>865</v>
      </c>
      <c r="I872" s="444">
        <f t="shared" ca="1" si="81"/>
        <v>-25742409.283557404</v>
      </c>
      <c r="J872" s="444">
        <f t="array" ref="J872">IFERROR(INDEX('Retirement Calculator'!K:K,MATCH('Lorri 401b'!N872,'Retirement Calculator'!A:A,0),0),0)</f>
        <v>21655.303514578787</v>
      </c>
      <c r="K872" s="444">
        <f t="shared" ca="1" si="79"/>
        <v>-107350.26911279991</v>
      </c>
      <c r="L872" s="444">
        <f t="shared" ca="1" si="80"/>
        <v>-25871414.856184781</v>
      </c>
      <c r="M872" s="460">
        <f t="shared" si="82"/>
        <v>0.05</v>
      </c>
      <c r="N872" s="464">
        <f t="shared" si="83"/>
        <v>77585</v>
      </c>
    </row>
    <row r="873" spans="7:14" ht="11.25" customHeight="1" x14ac:dyDescent="0.25">
      <c r="G873" s="459">
        <f t="shared" ref="G873:G883" si="92">G872</f>
        <v>73</v>
      </c>
      <c r="H873" s="459">
        <v>866</v>
      </c>
      <c r="I873" s="444">
        <f t="shared" ca="1" si="81"/>
        <v>-25871414.856184781</v>
      </c>
      <c r="J873" s="444">
        <f t="array" ref="J873">IFERROR(INDEX('Retirement Calculator'!K:K,MATCH('Lorri 401b'!N873,'Retirement Calculator'!A:A,0),0),0)</f>
        <v>21655.303514578787</v>
      </c>
      <c r="K873" s="444">
        <f t="shared" ca="1" si="79"/>
        <v>-107887.79233208066</v>
      </c>
      <c r="L873" s="444">
        <f t="shared" ca="1" si="80"/>
        <v>-26000957.952031437</v>
      </c>
      <c r="M873" s="460">
        <f t="shared" si="82"/>
        <v>0.05</v>
      </c>
      <c r="N873" s="464">
        <f t="shared" si="83"/>
        <v>77615</v>
      </c>
    </row>
    <row r="874" spans="7:14" ht="11.25" customHeight="1" x14ac:dyDescent="0.25">
      <c r="G874" s="459">
        <f t="shared" si="92"/>
        <v>73</v>
      </c>
      <c r="H874" s="459">
        <v>867</v>
      </c>
      <c r="I874" s="444">
        <f t="shared" ca="1" si="81"/>
        <v>-26000957.952031437</v>
      </c>
      <c r="J874" s="444">
        <f t="array" ref="J874">IFERROR(INDEX('Retirement Calculator'!K:K,MATCH('Lorri 401b'!N874,'Retirement Calculator'!A:A,0),0),0)</f>
        <v>21655.303514578787</v>
      </c>
      <c r="K874" s="444">
        <f t="shared" ca="1" si="79"/>
        <v>-108427.55523144173</v>
      </c>
      <c r="L874" s="444">
        <f t="shared" ca="1" si="80"/>
        <v>-26131040.810777456</v>
      </c>
      <c r="M874" s="460">
        <f t="shared" si="82"/>
        <v>0.05</v>
      </c>
      <c r="N874" s="464">
        <f t="shared" si="83"/>
        <v>77646</v>
      </c>
    </row>
    <row r="875" spans="7:14" ht="11.25" customHeight="1" x14ac:dyDescent="0.25">
      <c r="G875" s="459">
        <f t="shared" si="92"/>
        <v>73</v>
      </c>
      <c r="H875" s="459">
        <v>868</v>
      </c>
      <c r="I875" s="444">
        <f t="shared" ca="1" si="81"/>
        <v>-26131040.810777456</v>
      </c>
      <c r="J875" s="444">
        <f t="array" ref="J875">IFERROR(INDEX('Retirement Calculator'!K:K,MATCH('Lorri 401b'!N875,'Retirement Calculator'!A:A,0),0),0)</f>
        <v>21655.303514578787</v>
      </c>
      <c r="K875" s="444">
        <f t="shared" ca="1" si="79"/>
        <v>-108969.56714288349</v>
      </c>
      <c r="L875" s="444">
        <f t="shared" ca="1" si="80"/>
        <v>-26261665.681434918</v>
      </c>
      <c r="M875" s="460">
        <f t="shared" si="82"/>
        <v>0.05</v>
      </c>
      <c r="N875" s="464">
        <f t="shared" si="83"/>
        <v>77677</v>
      </c>
    </row>
    <row r="876" spans="7:14" ht="11.25" customHeight="1" x14ac:dyDescent="0.25">
      <c r="G876" s="459">
        <f t="shared" si="92"/>
        <v>73</v>
      </c>
      <c r="H876" s="459">
        <v>869</v>
      </c>
      <c r="I876" s="444">
        <f t="shared" ca="1" si="81"/>
        <v>-26261665.681434918</v>
      </c>
      <c r="J876" s="444">
        <f t="array" ref="J876">IFERROR(INDEX('Retirement Calculator'!K:K,MATCH('Lorri 401b'!N876,'Retirement Calculator'!A:A,0),0),0)</f>
        <v>21655.303514578787</v>
      </c>
      <c r="K876" s="444">
        <f t="shared" ca="1" si="79"/>
        <v>-109513.83743728956</v>
      </c>
      <c r="L876" s="444">
        <f t="shared" ca="1" si="80"/>
        <v>-26392834.822386786</v>
      </c>
      <c r="M876" s="460">
        <f t="shared" si="82"/>
        <v>0.05</v>
      </c>
      <c r="N876" s="464">
        <f t="shared" si="83"/>
        <v>77707</v>
      </c>
    </row>
    <row r="877" spans="7:14" ht="11.25" customHeight="1" x14ac:dyDescent="0.25">
      <c r="G877" s="459">
        <f t="shared" si="92"/>
        <v>73</v>
      </c>
      <c r="H877" s="459">
        <v>870</v>
      </c>
      <c r="I877" s="444">
        <f t="shared" ca="1" si="81"/>
        <v>-26392834.822386786</v>
      </c>
      <c r="J877" s="444">
        <f t="array" ref="J877">IFERROR(INDEX('Retirement Calculator'!K:K,MATCH('Lorri 401b'!N877,'Retirement Calculator'!A:A,0),0),0)</f>
        <v>21655.303514578787</v>
      </c>
      <c r="K877" s="444">
        <f t="shared" ca="1" si="79"/>
        <v>-110060.37552458899</v>
      </c>
      <c r="L877" s="444">
        <f t="shared" ca="1" si="80"/>
        <v>-26524550.501425952</v>
      </c>
      <c r="M877" s="460">
        <f t="shared" si="82"/>
        <v>0.05</v>
      </c>
      <c r="N877" s="464">
        <f t="shared" si="83"/>
        <v>77738</v>
      </c>
    </row>
    <row r="878" spans="7:14" ht="11.25" customHeight="1" x14ac:dyDescent="0.25">
      <c r="G878" s="459">
        <f t="shared" si="92"/>
        <v>73</v>
      </c>
      <c r="H878" s="459">
        <v>871</v>
      </c>
      <c r="I878" s="444">
        <f t="shared" ca="1" si="81"/>
        <v>-26524550.501425952</v>
      </c>
      <c r="J878" s="444">
        <f t="array" ref="J878">IFERROR(INDEX('Retirement Calculator'!K:K,MATCH('Lorri 401b'!N878,'Retirement Calculator'!A:A,0),0),0)</f>
        <v>21655.303514578787</v>
      </c>
      <c r="K878" s="444">
        <f t="shared" ca="1" si="79"/>
        <v>-110609.19085391886</v>
      </c>
      <c r="L878" s="444">
        <f t="shared" ca="1" si="80"/>
        <v>-26656814.995794449</v>
      </c>
      <c r="M878" s="460">
        <f t="shared" si="82"/>
        <v>0.05</v>
      </c>
      <c r="N878" s="464">
        <f t="shared" si="83"/>
        <v>77768</v>
      </c>
    </row>
    <row r="879" spans="7:14" ht="11.25" customHeight="1" x14ac:dyDescent="0.25">
      <c r="G879" s="459">
        <f t="shared" si="92"/>
        <v>73</v>
      </c>
      <c r="H879" s="459">
        <v>872</v>
      </c>
      <c r="I879" s="444">
        <f t="shared" ca="1" si="81"/>
        <v>-26656814.995794449</v>
      </c>
      <c r="J879" s="444">
        <f t="array" ref="J879">IFERROR(INDEX('Retirement Calculator'!K:K,MATCH('Lorri 401b'!N879,'Retirement Calculator'!A:A,0),0),0)</f>
        <v>21655.303514578787</v>
      </c>
      <c r="K879" s="444">
        <f t="shared" ca="1" si="79"/>
        <v>-111160.29291378762</v>
      </c>
      <c r="L879" s="444">
        <f t="shared" ca="1" si="80"/>
        <v>-26789630.592222814</v>
      </c>
      <c r="M879" s="460">
        <f t="shared" si="82"/>
        <v>0.05</v>
      </c>
      <c r="N879" s="464">
        <f t="shared" si="83"/>
        <v>77799</v>
      </c>
    </row>
    <row r="880" spans="7:14" ht="11.25" customHeight="1" x14ac:dyDescent="0.25">
      <c r="G880" s="459">
        <f t="shared" si="92"/>
        <v>73</v>
      </c>
      <c r="H880" s="459">
        <v>873</v>
      </c>
      <c r="I880" s="444">
        <f t="shared" ca="1" si="81"/>
        <v>-26789630.592222814</v>
      </c>
      <c r="J880" s="444">
        <f t="array" ref="J880">IFERROR(INDEX('Retirement Calculator'!K:K,MATCH('Lorri 401b'!N880,'Retirement Calculator'!A:A,0),0),0)</f>
        <v>21655.303514578787</v>
      </c>
      <c r="K880" s="444">
        <f t="shared" ca="1" si="79"/>
        <v>-111713.69123223911</v>
      </c>
      <c r="L880" s="444">
        <f t="shared" ca="1" si="80"/>
        <v>-26922999.586969629</v>
      </c>
      <c r="M880" s="460">
        <f t="shared" si="82"/>
        <v>0.05</v>
      </c>
      <c r="N880" s="464">
        <f t="shared" si="83"/>
        <v>77830</v>
      </c>
    </row>
    <row r="881" spans="7:14" ht="11.25" customHeight="1" x14ac:dyDescent="0.25">
      <c r="G881" s="459">
        <f t="shared" si="92"/>
        <v>73</v>
      </c>
      <c r="H881" s="459">
        <v>874</v>
      </c>
      <c r="I881" s="444">
        <f t="shared" ca="1" si="81"/>
        <v>-26922999.586969629</v>
      </c>
      <c r="J881" s="444">
        <f t="array" ref="J881">IFERROR(INDEX('Retirement Calculator'!K:K,MATCH('Lorri 401b'!N881,'Retirement Calculator'!A:A,0),0),0)</f>
        <v>21655.303514578787</v>
      </c>
      <c r="K881" s="444">
        <f t="shared" ca="1" si="79"/>
        <v>-112269.39537701753</v>
      </c>
      <c r="L881" s="444">
        <f t="shared" ca="1" si="80"/>
        <v>-27056924.285861224</v>
      </c>
      <c r="M881" s="460">
        <f t="shared" si="82"/>
        <v>0.05</v>
      </c>
      <c r="N881" s="464">
        <f t="shared" si="83"/>
        <v>77858</v>
      </c>
    </row>
    <row r="882" spans="7:14" ht="11.25" customHeight="1" x14ac:dyDescent="0.25">
      <c r="G882" s="459">
        <f t="shared" si="92"/>
        <v>73</v>
      </c>
      <c r="H882" s="459">
        <v>875</v>
      </c>
      <c r="I882" s="444">
        <f t="shared" ca="1" si="81"/>
        <v>-27056924.285861224</v>
      </c>
      <c r="J882" s="444">
        <f t="array" ref="J882">IFERROR(INDEX('Retirement Calculator'!K:K,MATCH('Lorri 401b'!N882,'Retirement Calculator'!A:A,0),0),0)</f>
        <v>21655.303514578787</v>
      </c>
      <c r="K882" s="444">
        <f t="shared" ca="1" si="79"/>
        <v>-112827.4149557325</v>
      </c>
      <c r="L882" s="444">
        <f t="shared" ca="1" si="80"/>
        <v>-27191407.004331533</v>
      </c>
      <c r="M882" s="460">
        <f t="shared" si="82"/>
        <v>0.05</v>
      </c>
      <c r="N882" s="464">
        <f t="shared" si="83"/>
        <v>77889</v>
      </c>
    </row>
    <row r="883" spans="7:14" ht="11.25" customHeight="1" x14ac:dyDescent="0.25">
      <c r="G883" s="459">
        <f t="shared" si="92"/>
        <v>73</v>
      </c>
      <c r="H883" s="459">
        <v>876</v>
      </c>
      <c r="I883" s="444">
        <f t="shared" ca="1" si="81"/>
        <v>-27191407.004331533</v>
      </c>
      <c r="J883" s="444">
        <f t="array" ref="J883">IFERROR(INDEX('Retirement Calculator'!K:K,MATCH('Lorri 401b'!N883,'Retirement Calculator'!A:A,0),0),0)</f>
        <v>21655.303514578787</v>
      </c>
      <c r="K883" s="444">
        <f t="shared" ca="1" si="79"/>
        <v>-113387.75961602546</v>
      </c>
      <c r="L883" s="444">
        <f t="shared" ca="1" si="80"/>
        <v>-27326450.067462135</v>
      </c>
      <c r="M883" s="460">
        <f t="shared" si="82"/>
        <v>0.05</v>
      </c>
      <c r="N883" s="464">
        <f t="shared" si="83"/>
        <v>77919</v>
      </c>
    </row>
    <row r="884" spans="7:14" ht="11.25" customHeight="1" x14ac:dyDescent="0.25">
      <c r="G884" s="459">
        <f>G883+1</f>
        <v>74</v>
      </c>
      <c r="H884" s="459">
        <v>877</v>
      </c>
      <c r="I884" s="444">
        <f t="shared" ca="1" si="81"/>
        <v>-27326450.067462135</v>
      </c>
      <c r="J884" s="444">
        <f t="array" ref="J884">IFERROR(INDEX('Retirement Calculator'!K:K,MATCH('Lorri 401b'!N884,'Retirement Calculator'!A:A,0),0),0)</f>
        <v>21655.303514578787</v>
      </c>
      <c r="K884" s="444">
        <f t="shared" ca="1" si="79"/>
        <v>-113950.43904573632</v>
      </c>
      <c r="L884" s="444">
        <f t="shared" ca="1" si="80"/>
        <v>-27462055.810022447</v>
      </c>
      <c r="M884" s="460">
        <f t="shared" si="82"/>
        <v>0.05</v>
      </c>
      <c r="N884" s="464">
        <f t="shared" si="83"/>
        <v>77950</v>
      </c>
    </row>
    <row r="885" spans="7:14" ht="11.25" customHeight="1" x14ac:dyDescent="0.25">
      <c r="G885" s="459">
        <f t="shared" ref="G885:G895" si="93">G884</f>
        <v>74</v>
      </c>
      <c r="H885" s="459">
        <v>878</v>
      </c>
      <c r="I885" s="444">
        <f t="shared" ca="1" si="81"/>
        <v>-27462055.810022447</v>
      </c>
      <c r="J885" s="444">
        <f t="array" ref="J885">IFERROR(INDEX('Retirement Calculator'!K:K,MATCH('Lorri 401b'!N885,'Retirement Calculator'!A:A,0),0),0)</f>
        <v>21655.303514578787</v>
      </c>
      <c r="K885" s="444">
        <f t="shared" ca="1" si="79"/>
        <v>-114515.46297307093</v>
      </c>
      <c r="L885" s="444">
        <f t="shared" ca="1" si="80"/>
        <v>-27598226.576510094</v>
      </c>
      <c r="M885" s="460">
        <f t="shared" si="82"/>
        <v>0.05</v>
      </c>
      <c r="N885" s="464">
        <f t="shared" si="83"/>
        <v>77980</v>
      </c>
    </row>
    <row r="886" spans="7:14" ht="11.25" customHeight="1" x14ac:dyDescent="0.25">
      <c r="G886" s="459">
        <f t="shared" si="93"/>
        <v>74</v>
      </c>
      <c r="H886" s="459">
        <v>879</v>
      </c>
      <c r="I886" s="444">
        <f t="shared" ca="1" si="81"/>
        <v>-27598226.576510094</v>
      </c>
      <c r="J886" s="444">
        <f t="array" ref="J886">IFERROR(INDEX('Retirement Calculator'!K:K,MATCH('Lorri 401b'!N886,'Retirement Calculator'!A:A,0),0),0)</f>
        <v>21655.303514578787</v>
      </c>
      <c r="K886" s="444">
        <f t="shared" ca="1" si="79"/>
        <v>-115082.84116676946</v>
      </c>
      <c r="L886" s="444">
        <f t="shared" ca="1" si="80"/>
        <v>-27734964.72119144</v>
      </c>
      <c r="M886" s="460">
        <f t="shared" si="82"/>
        <v>0.05</v>
      </c>
      <c r="N886" s="464">
        <f t="shared" si="83"/>
        <v>78011</v>
      </c>
    </row>
    <row r="887" spans="7:14" ht="11.25" customHeight="1" x14ac:dyDescent="0.25">
      <c r="G887" s="459">
        <f t="shared" si="93"/>
        <v>74</v>
      </c>
      <c r="H887" s="459">
        <v>880</v>
      </c>
      <c r="I887" s="444">
        <f t="shared" ca="1" si="81"/>
        <v>-27734964.72119144</v>
      </c>
      <c r="J887" s="444">
        <f t="array" ref="J887">IFERROR(INDEX('Retirement Calculator'!K:K,MATCH('Lorri 401b'!N887,'Retirement Calculator'!A:A,0),0),0)</f>
        <v>21655.303514578787</v>
      </c>
      <c r="K887" s="444">
        <f t="shared" ca="1" si="79"/>
        <v>-115652.58343627508</v>
      </c>
      <c r="L887" s="444">
        <f t="shared" ca="1" si="80"/>
        <v>-27872272.608142294</v>
      </c>
      <c r="M887" s="460">
        <f t="shared" si="82"/>
        <v>0.05</v>
      </c>
      <c r="N887" s="464">
        <f t="shared" si="83"/>
        <v>78042</v>
      </c>
    </row>
    <row r="888" spans="7:14" ht="11.25" customHeight="1" x14ac:dyDescent="0.25">
      <c r="G888" s="459">
        <f t="shared" si="93"/>
        <v>74</v>
      </c>
      <c r="H888" s="459">
        <v>881</v>
      </c>
      <c r="I888" s="444">
        <f t="shared" ca="1" si="81"/>
        <v>-27872272.608142294</v>
      </c>
      <c r="J888" s="444">
        <f t="array" ref="J888">IFERROR(INDEX('Retirement Calculator'!K:K,MATCH('Lorri 401b'!N888,'Retirement Calculator'!A:A,0),0),0)</f>
        <v>21655.303514578787</v>
      </c>
      <c r="K888" s="444">
        <f t="shared" ca="1" si="79"/>
        <v>-116224.69963190364</v>
      </c>
      <c r="L888" s="444">
        <f t="shared" ca="1" si="80"/>
        <v>-28010152.611288775</v>
      </c>
      <c r="M888" s="460">
        <f t="shared" si="82"/>
        <v>0.05</v>
      </c>
      <c r="N888" s="464">
        <f t="shared" si="83"/>
        <v>78072</v>
      </c>
    </row>
    <row r="889" spans="7:14" ht="11.25" customHeight="1" x14ac:dyDescent="0.25">
      <c r="G889" s="459">
        <f t="shared" si="93"/>
        <v>74</v>
      </c>
      <c r="H889" s="459">
        <v>882</v>
      </c>
      <c r="I889" s="444">
        <f t="shared" ca="1" si="81"/>
        <v>-28010152.611288775</v>
      </c>
      <c r="J889" s="444">
        <f t="array" ref="J889">IFERROR(INDEX('Retirement Calculator'!K:K,MATCH('Lorri 401b'!N889,'Retirement Calculator'!A:A,0),0),0)</f>
        <v>21655.303514578787</v>
      </c>
      <c r="K889" s="444">
        <f t="shared" ca="1" si="79"/>
        <v>-116799.19964501397</v>
      </c>
      <c r="L889" s="444">
        <f t="shared" ca="1" si="80"/>
        <v>-28148607.114448365</v>
      </c>
      <c r="M889" s="460">
        <f t="shared" si="82"/>
        <v>0.05</v>
      </c>
      <c r="N889" s="464">
        <f t="shared" si="83"/>
        <v>78103</v>
      </c>
    </row>
    <row r="890" spans="7:14" ht="11.25" customHeight="1" x14ac:dyDescent="0.25">
      <c r="G890" s="459">
        <f t="shared" si="93"/>
        <v>74</v>
      </c>
      <c r="H890" s="459">
        <v>883</v>
      </c>
      <c r="I890" s="444">
        <f t="shared" ca="1" si="81"/>
        <v>-28148607.114448365</v>
      </c>
      <c r="J890" s="444">
        <f t="array" ref="J890">IFERROR(INDEX('Retirement Calculator'!K:K,MATCH('Lorri 401b'!N890,'Retirement Calculator'!A:A,0),0),0)</f>
        <v>21655.303514578787</v>
      </c>
      <c r="K890" s="444">
        <f t="shared" ca="1" si="79"/>
        <v>-117376.09340817895</v>
      </c>
      <c r="L890" s="444">
        <f t="shared" ca="1" si="80"/>
        <v>-28287638.511371121</v>
      </c>
      <c r="M890" s="460">
        <f t="shared" si="82"/>
        <v>0.05</v>
      </c>
      <c r="N890" s="464">
        <f t="shared" si="83"/>
        <v>78133</v>
      </c>
    </row>
    <row r="891" spans="7:14" ht="11.25" customHeight="1" x14ac:dyDescent="0.25">
      <c r="G891" s="459">
        <f t="shared" si="93"/>
        <v>74</v>
      </c>
      <c r="H891" s="459">
        <v>884</v>
      </c>
      <c r="I891" s="444">
        <f t="shared" ca="1" si="81"/>
        <v>-28287638.511371121</v>
      </c>
      <c r="J891" s="444">
        <f t="array" ref="J891">IFERROR(INDEX('Retirement Calculator'!K:K,MATCH('Lorri 401b'!N891,'Retirement Calculator'!A:A,0),0),0)</f>
        <v>21655.303514578787</v>
      </c>
      <c r="K891" s="444">
        <f t="shared" ca="1" si="79"/>
        <v>-117955.39089535708</v>
      </c>
      <c r="L891" s="444">
        <f t="shared" ca="1" si="80"/>
        <v>-28427249.205781054</v>
      </c>
      <c r="M891" s="460">
        <f t="shared" si="82"/>
        <v>0.05</v>
      </c>
      <c r="N891" s="464">
        <f t="shared" si="83"/>
        <v>78164</v>
      </c>
    </row>
    <row r="892" spans="7:14" ht="11.25" customHeight="1" x14ac:dyDescent="0.25">
      <c r="G892" s="459">
        <f t="shared" si="93"/>
        <v>74</v>
      </c>
      <c r="H892" s="459">
        <v>885</v>
      </c>
      <c r="I892" s="444">
        <f t="shared" ca="1" si="81"/>
        <v>-28427249.205781054</v>
      </c>
      <c r="J892" s="444">
        <f t="array" ref="J892">IFERROR(INDEX('Retirement Calculator'!K:K,MATCH('Lorri 401b'!N892,'Retirement Calculator'!A:A,0),0),0)</f>
        <v>21655.303514578787</v>
      </c>
      <c r="K892" s="444">
        <f t="shared" ca="1" si="79"/>
        <v>-118537.10212206513</v>
      </c>
      <c r="L892" s="444">
        <f t="shared" ca="1" si="80"/>
        <v>-28567441.611417696</v>
      </c>
      <c r="M892" s="460">
        <f t="shared" si="82"/>
        <v>0.05</v>
      </c>
      <c r="N892" s="464">
        <f t="shared" si="83"/>
        <v>78195</v>
      </c>
    </row>
    <row r="893" spans="7:14" ht="11.25" customHeight="1" x14ac:dyDescent="0.25">
      <c r="G893" s="459">
        <f t="shared" si="93"/>
        <v>74</v>
      </c>
      <c r="H893" s="459">
        <v>886</v>
      </c>
      <c r="I893" s="444">
        <f t="shared" ca="1" si="81"/>
        <v>-28567441.611417696</v>
      </c>
      <c r="J893" s="444">
        <f t="array" ref="J893">IFERROR(INDEX('Retirement Calculator'!K:K,MATCH('Lorri 401b'!N893,'Retirement Calculator'!A:A,0),0),0)</f>
        <v>21655.303514578787</v>
      </c>
      <c r="K893" s="444">
        <f t="shared" ca="1" si="79"/>
        <v>-119121.23714555113</v>
      </c>
      <c r="L893" s="444">
        <f t="shared" ca="1" si="80"/>
        <v>-28708218.152077824</v>
      </c>
      <c r="M893" s="460">
        <f t="shared" si="82"/>
        <v>0.05</v>
      </c>
      <c r="N893" s="464">
        <f t="shared" si="83"/>
        <v>78223</v>
      </c>
    </row>
    <row r="894" spans="7:14" ht="11.25" customHeight="1" x14ac:dyDescent="0.25">
      <c r="G894" s="459">
        <f t="shared" si="93"/>
        <v>74</v>
      </c>
      <c r="H894" s="459">
        <v>887</v>
      </c>
      <c r="I894" s="444">
        <f t="shared" ca="1" si="81"/>
        <v>-28708218.152077824</v>
      </c>
      <c r="J894" s="444">
        <f t="array" ref="J894">IFERROR(INDEX('Retirement Calculator'!K:K,MATCH('Lorri 401b'!N894,'Retirement Calculator'!A:A,0),0),0)</f>
        <v>21655.303514578787</v>
      </c>
      <c r="K894" s="444">
        <f t="shared" ca="1" si="79"/>
        <v>-119707.80606496832</v>
      </c>
      <c r="L894" s="444">
        <f t="shared" ca="1" si="80"/>
        <v>-28849581.261657368</v>
      </c>
      <c r="M894" s="460">
        <f t="shared" si="82"/>
        <v>0.05</v>
      </c>
      <c r="N894" s="464">
        <f t="shared" si="83"/>
        <v>78254</v>
      </c>
    </row>
    <row r="895" spans="7:14" ht="11.25" customHeight="1" x14ac:dyDescent="0.25">
      <c r="G895" s="459">
        <f t="shared" si="93"/>
        <v>74</v>
      </c>
      <c r="H895" s="459">
        <v>888</v>
      </c>
      <c r="I895" s="444">
        <f t="shared" ca="1" si="81"/>
        <v>-28849581.261657368</v>
      </c>
      <c r="J895" s="444">
        <f t="array" ref="J895">IFERROR(INDEX('Retirement Calculator'!K:K,MATCH('Lorri 401b'!N895,'Retirement Calculator'!A:A,0),0),0)</f>
        <v>21655.303514578787</v>
      </c>
      <c r="K895" s="444">
        <f t="shared" ca="1" si="79"/>
        <v>-120296.81902154977</v>
      </c>
      <c r="L895" s="444">
        <f t="shared" ca="1" si="80"/>
        <v>-28991533.384193495</v>
      </c>
      <c r="M895" s="460">
        <f t="shared" si="82"/>
        <v>0.05</v>
      </c>
      <c r="N895" s="464">
        <f t="shared" si="83"/>
        <v>78284</v>
      </c>
    </row>
    <row r="896" spans="7:14" ht="11.25" customHeight="1" x14ac:dyDescent="0.25">
      <c r="G896" s="459">
        <f>G895+1</f>
        <v>75</v>
      </c>
      <c r="H896" s="459">
        <v>889</v>
      </c>
      <c r="I896" s="444">
        <f t="shared" ca="1" si="81"/>
        <v>-28991533.384193495</v>
      </c>
      <c r="J896" s="444">
        <f t="array" ref="J896">IFERROR(INDEX('Retirement Calculator'!K:K,MATCH('Lorri 401b'!N896,'Retirement Calculator'!A:A,0),0),0)</f>
        <v>21655.303514578787</v>
      </c>
      <c r="K896" s="444">
        <f t="shared" ca="1" si="79"/>
        <v>-120888.28619878365</v>
      </c>
      <c r="L896" s="444">
        <f t="shared" ca="1" si="80"/>
        <v>-29134076.973906856</v>
      </c>
      <c r="M896" s="460">
        <f t="shared" si="82"/>
        <v>0.05</v>
      </c>
      <c r="N896" s="464">
        <f t="shared" si="83"/>
        <v>78315</v>
      </c>
    </row>
    <row r="897" spans="7:14" ht="11.25" customHeight="1" x14ac:dyDescent="0.25">
      <c r="G897" s="459">
        <f t="shared" ref="G897:G907" si="94">G896</f>
        <v>75</v>
      </c>
      <c r="H897" s="459">
        <v>890</v>
      </c>
      <c r="I897" s="444">
        <f t="shared" ca="1" si="81"/>
        <v>-29134076.973906856</v>
      </c>
      <c r="J897" s="444">
        <f t="array" ref="J897">IFERROR(INDEX('Retirement Calculator'!K:K,MATCH('Lorri 401b'!N897,'Retirement Calculator'!A:A,0),0),0)</f>
        <v>21655.303514578787</v>
      </c>
      <c r="K897" s="444">
        <f t="shared" ca="1" si="79"/>
        <v>-121482.21782258929</v>
      </c>
      <c r="L897" s="444">
        <f t="shared" ca="1" si="80"/>
        <v>-29277214.495244022</v>
      </c>
      <c r="M897" s="460">
        <f t="shared" si="82"/>
        <v>0.05</v>
      </c>
      <c r="N897" s="464">
        <f t="shared" si="83"/>
        <v>78345</v>
      </c>
    </row>
    <row r="898" spans="7:14" ht="11.25" customHeight="1" x14ac:dyDescent="0.25">
      <c r="G898" s="459">
        <f t="shared" si="94"/>
        <v>75</v>
      </c>
      <c r="H898" s="459">
        <v>891</v>
      </c>
      <c r="I898" s="444">
        <f t="shared" ca="1" si="81"/>
        <v>-29277214.495244022</v>
      </c>
      <c r="J898" s="444">
        <f t="array" ref="J898">IFERROR(INDEX('Retirement Calculator'!K:K,MATCH('Lorri 401b'!N898,'Retirement Calculator'!A:A,0),0),0)</f>
        <v>21655.303514578787</v>
      </c>
      <c r="K898" s="444">
        <f t="shared" ca="1" si="79"/>
        <v>-122078.62416149417</v>
      </c>
      <c r="L898" s="444">
        <f t="shared" ca="1" si="80"/>
        <v>-29420948.422920093</v>
      </c>
      <c r="M898" s="460">
        <f t="shared" si="82"/>
        <v>0.05</v>
      </c>
      <c r="N898" s="464">
        <f t="shared" si="83"/>
        <v>78376</v>
      </c>
    </row>
    <row r="899" spans="7:14" ht="11.25" customHeight="1" x14ac:dyDescent="0.25">
      <c r="G899" s="459">
        <f t="shared" si="94"/>
        <v>75</v>
      </c>
      <c r="H899" s="459">
        <v>892</v>
      </c>
      <c r="I899" s="444">
        <f t="shared" ca="1" si="81"/>
        <v>-29420948.422920093</v>
      </c>
      <c r="J899" s="444">
        <f t="array" ref="J899">IFERROR(INDEX('Retirement Calculator'!K:K,MATCH('Lorri 401b'!N899,'Retirement Calculator'!A:A,0),0),0)</f>
        <v>21655.303514578787</v>
      </c>
      <c r="K899" s="444">
        <f t="shared" ca="1" si="79"/>
        <v>-122677.51552681114</v>
      </c>
      <c r="L899" s="444">
        <f t="shared" ca="1" si="80"/>
        <v>-29565281.241961483</v>
      </c>
      <c r="M899" s="460">
        <f t="shared" si="82"/>
        <v>0.05</v>
      </c>
      <c r="N899" s="464">
        <f t="shared" si="83"/>
        <v>78407</v>
      </c>
    </row>
    <row r="900" spans="7:14" ht="11.25" customHeight="1" x14ac:dyDescent="0.25">
      <c r="G900" s="459">
        <f t="shared" si="94"/>
        <v>75</v>
      </c>
      <c r="H900" s="459">
        <v>893</v>
      </c>
      <c r="I900" s="444">
        <f t="shared" ca="1" si="81"/>
        <v>-29565281.241961483</v>
      </c>
      <c r="J900" s="444">
        <f t="array" ref="J900">IFERROR(INDEX('Retirement Calculator'!K:K,MATCH('Lorri 401b'!N900,'Retirement Calculator'!A:A,0),0),0)</f>
        <v>21655.303514578787</v>
      </c>
      <c r="K900" s="444">
        <f t="shared" ca="1" si="79"/>
        <v>-123278.90227281691</v>
      </c>
      <c r="L900" s="444">
        <f t="shared" ca="1" si="80"/>
        <v>-29710215.447748877</v>
      </c>
      <c r="M900" s="460">
        <f t="shared" si="82"/>
        <v>0.05</v>
      </c>
      <c r="N900" s="464">
        <f t="shared" si="83"/>
        <v>78437</v>
      </c>
    </row>
    <row r="901" spans="7:14" ht="11.25" customHeight="1" x14ac:dyDescent="0.25">
      <c r="G901" s="459">
        <f t="shared" si="94"/>
        <v>75</v>
      </c>
      <c r="H901" s="459">
        <v>894</v>
      </c>
      <c r="I901" s="444">
        <f t="shared" ca="1" si="81"/>
        <v>-29710215.447748877</v>
      </c>
      <c r="J901" s="444">
        <f t="array" ref="J901">IFERROR(INDEX('Retirement Calculator'!K:K,MATCH('Lorri 401b'!N901,'Retirement Calculator'!A:A,0),0),0)</f>
        <v>21655.303514578787</v>
      </c>
      <c r="K901" s="444">
        <f t="shared" ca="1" si="79"/>
        <v>-123882.79479693108</v>
      </c>
      <c r="L901" s="444">
        <f t="shared" ca="1" si="80"/>
        <v>-29855753.546060387</v>
      </c>
      <c r="M901" s="460">
        <f t="shared" si="82"/>
        <v>0.05</v>
      </c>
      <c r="N901" s="464">
        <f t="shared" si="83"/>
        <v>78468</v>
      </c>
    </row>
    <row r="902" spans="7:14" ht="11.25" customHeight="1" x14ac:dyDescent="0.25">
      <c r="G902" s="459">
        <f t="shared" si="94"/>
        <v>75</v>
      </c>
      <c r="H902" s="459">
        <v>895</v>
      </c>
      <c r="I902" s="444">
        <f t="shared" ca="1" si="81"/>
        <v>-29855753.546060387</v>
      </c>
      <c r="J902" s="444">
        <f t="array" ref="J902">IFERROR(INDEX('Retirement Calculator'!K:K,MATCH('Lorri 401b'!N902,'Retirement Calculator'!A:A,0),0),0)</f>
        <v>21655.303514578787</v>
      </c>
      <c r="K902" s="444">
        <f t="shared" ca="1" si="79"/>
        <v>-124489.20353989567</v>
      </c>
      <c r="L902" s="444">
        <f t="shared" ca="1" si="80"/>
        <v>-30001898.053114861</v>
      </c>
      <c r="M902" s="460">
        <f t="shared" si="82"/>
        <v>0.05</v>
      </c>
      <c r="N902" s="464">
        <f t="shared" si="83"/>
        <v>78498</v>
      </c>
    </row>
    <row r="903" spans="7:14" ht="11.25" customHeight="1" x14ac:dyDescent="0.25">
      <c r="G903" s="459">
        <f t="shared" si="94"/>
        <v>75</v>
      </c>
      <c r="H903" s="459">
        <v>896</v>
      </c>
      <c r="I903" s="444">
        <f t="shared" ca="1" si="81"/>
        <v>-30001898.053114861</v>
      </c>
      <c r="J903" s="444">
        <f t="array" ref="J903">IFERROR(INDEX('Retirement Calculator'!K:K,MATCH('Lorri 401b'!N903,'Retirement Calculator'!A:A,0),0),0)</f>
        <v>21655.303514578787</v>
      </c>
      <c r="K903" s="444">
        <f t="shared" ca="1" si="79"/>
        <v>-125098.13898595599</v>
      </c>
      <c r="L903" s="444">
        <f t="shared" ca="1" si="80"/>
        <v>-30148651.495615393</v>
      </c>
      <c r="M903" s="460">
        <f t="shared" si="82"/>
        <v>0.05</v>
      </c>
      <c r="N903" s="464">
        <f t="shared" si="83"/>
        <v>78529</v>
      </c>
    </row>
    <row r="904" spans="7:14" ht="11.25" customHeight="1" x14ac:dyDescent="0.25">
      <c r="G904" s="459">
        <f t="shared" si="94"/>
        <v>75</v>
      </c>
      <c r="H904" s="459">
        <v>897</v>
      </c>
      <c r="I904" s="444">
        <f t="shared" ca="1" si="81"/>
        <v>-30148651.495615393</v>
      </c>
      <c r="J904" s="444">
        <f t="array" ref="J904">IFERROR(INDEX('Retirement Calculator'!K:K,MATCH('Lorri 401b'!N904,'Retirement Calculator'!A:A,0),0),0)</f>
        <v>21655.303514578787</v>
      </c>
      <c r="K904" s="444">
        <f t="shared" ca="1" si="79"/>
        <v>-125709.61166304153</v>
      </c>
      <c r="L904" s="444">
        <f t="shared" ca="1" si="80"/>
        <v>-30296016.41079301</v>
      </c>
      <c r="M904" s="460">
        <f t="shared" si="82"/>
        <v>0.05</v>
      </c>
      <c r="N904" s="464">
        <f t="shared" si="83"/>
        <v>78560</v>
      </c>
    </row>
    <row r="905" spans="7:14" ht="11.25" customHeight="1" x14ac:dyDescent="0.25">
      <c r="G905" s="459">
        <f t="shared" si="94"/>
        <v>75</v>
      </c>
      <c r="H905" s="459">
        <v>898</v>
      </c>
      <c r="I905" s="444">
        <f t="shared" ca="1" si="81"/>
        <v>-30296016.41079301</v>
      </c>
      <c r="J905" s="444">
        <f t="array" ref="J905">IFERROR(INDEX('Retirement Calculator'!K:K,MATCH('Lorri 401b'!N905,'Retirement Calculator'!A:A,0),0),0)</f>
        <v>21655.303514578787</v>
      </c>
      <c r="K905" s="444">
        <f t="shared" ca="1" si="79"/>
        <v>-126323.63214294829</v>
      </c>
      <c r="L905" s="444">
        <f t="shared" ca="1" si="80"/>
        <v>-30443995.346450537</v>
      </c>
      <c r="M905" s="460">
        <f t="shared" si="82"/>
        <v>0.05</v>
      </c>
      <c r="N905" s="464">
        <f t="shared" si="83"/>
        <v>78588</v>
      </c>
    </row>
    <row r="906" spans="7:14" ht="11.25" customHeight="1" x14ac:dyDescent="0.25">
      <c r="G906" s="459">
        <f t="shared" si="94"/>
        <v>75</v>
      </c>
      <c r="H906" s="459">
        <v>899</v>
      </c>
      <c r="I906" s="444">
        <f t="shared" ca="1" si="81"/>
        <v>-30443995.346450537</v>
      </c>
      <c r="J906" s="444">
        <f t="array" ref="J906">IFERROR(INDEX('Retirement Calculator'!K:K,MATCH('Lorri 401b'!N906,'Retirement Calculator'!A:A,0),0),0)</f>
        <v>21655.303514578787</v>
      </c>
      <c r="K906" s="444">
        <f t="shared" ca="1" si="79"/>
        <v>-126940.21104152131</v>
      </c>
      <c r="L906" s="444">
        <f t="shared" ca="1" si="80"/>
        <v>-30592590.861006636</v>
      </c>
      <c r="M906" s="460">
        <f t="shared" si="82"/>
        <v>0.05</v>
      </c>
      <c r="N906" s="464">
        <f t="shared" si="83"/>
        <v>78619</v>
      </c>
    </row>
    <row r="907" spans="7:14" ht="11.25" customHeight="1" x14ac:dyDescent="0.25">
      <c r="G907" s="459">
        <f t="shared" si="94"/>
        <v>75</v>
      </c>
      <c r="H907" s="459">
        <v>900</v>
      </c>
      <c r="I907" s="444">
        <f t="shared" ca="1" si="81"/>
        <v>-30592590.861006636</v>
      </c>
      <c r="J907" s="444">
        <f t="array" ref="J907">IFERROR(INDEX('Retirement Calculator'!K:K,MATCH('Lorri 401b'!N907,'Retirement Calculator'!A:A,0),0),0)</f>
        <v>21655.303514578787</v>
      </c>
      <c r="K907" s="444">
        <f t="shared" ca="1" si="79"/>
        <v>-127559.35901883838</v>
      </c>
      <c r="L907" s="444">
        <f t="shared" ca="1" si="80"/>
        <v>-30741805.523540054</v>
      </c>
      <c r="M907" s="460">
        <f t="shared" si="82"/>
        <v>0.05</v>
      </c>
      <c r="N907" s="464">
        <f t="shared" si="83"/>
        <v>78649</v>
      </c>
    </row>
    <row r="908" spans="7:14" ht="11.25" customHeight="1" x14ac:dyDescent="0.25">
      <c r="G908" s="459">
        <f>G907+1</f>
        <v>76</v>
      </c>
      <c r="H908" s="459">
        <v>901</v>
      </c>
      <c r="I908" s="444">
        <f t="shared" ca="1" si="81"/>
        <v>-30741805.523540054</v>
      </c>
      <c r="J908" s="444">
        <f t="array" ref="J908">IFERROR(INDEX('Retirement Calculator'!K:K,MATCH('Lorri 401b'!N908,'Retirement Calculator'!A:A,0),0),0)</f>
        <v>21655.303514578787</v>
      </c>
      <c r="K908" s="444">
        <f t="shared" ca="1" si="79"/>
        <v>-128181.08677939429</v>
      </c>
      <c r="L908" s="444">
        <f t="shared" ca="1" si="80"/>
        <v>-30891641.913834024</v>
      </c>
      <c r="M908" s="460">
        <f t="shared" si="82"/>
        <v>0.05</v>
      </c>
      <c r="N908" s="464">
        <f t="shared" si="83"/>
        <v>78680</v>
      </c>
    </row>
    <row r="909" spans="7:14" ht="11.25" customHeight="1" x14ac:dyDescent="0.25">
      <c r="G909" s="459">
        <f t="shared" ref="G909:G919" si="95">G908</f>
        <v>76</v>
      </c>
      <c r="H909" s="459">
        <v>902</v>
      </c>
      <c r="I909" s="444">
        <f t="shared" ca="1" si="81"/>
        <v>-30891641.913834024</v>
      </c>
      <c r="J909" s="444">
        <f t="array" ref="J909">IFERROR(INDEX('Retirement Calculator'!K:K,MATCH('Lorri 401b'!N909,'Retirement Calculator'!A:A,0),0),0)</f>
        <v>21655.303514578787</v>
      </c>
      <c r="K909" s="444">
        <f t="shared" ca="1" si="79"/>
        <v>-128805.40507228584</v>
      </c>
      <c r="L909" s="444">
        <f t="shared" ca="1" si="80"/>
        <v>-31042102.622420888</v>
      </c>
      <c r="M909" s="460">
        <f t="shared" si="82"/>
        <v>0.05</v>
      </c>
      <c r="N909" s="464">
        <f t="shared" si="83"/>
        <v>78710</v>
      </c>
    </row>
    <row r="910" spans="7:14" ht="11.25" customHeight="1" x14ac:dyDescent="0.25">
      <c r="G910" s="459">
        <f t="shared" si="95"/>
        <v>76</v>
      </c>
      <c r="H910" s="459">
        <v>903</v>
      </c>
      <c r="I910" s="444">
        <f t="shared" ca="1" si="81"/>
        <v>-31042102.622420888</v>
      </c>
      <c r="J910" s="444">
        <f t="array" ref="J910">IFERROR(INDEX('Retirement Calculator'!K:K,MATCH('Lorri 401b'!N910,'Retirement Calculator'!A:A,0),0),0)</f>
        <v>21655.303514578787</v>
      </c>
      <c r="K910" s="444">
        <f t="shared" ca="1" si="79"/>
        <v>-129432.32469139778</v>
      </c>
      <c r="L910" s="444">
        <f t="shared" ca="1" si="80"/>
        <v>-31193190.250626862</v>
      </c>
      <c r="M910" s="460">
        <f t="shared" si="82"/>
        <v>0.05</v>
      </c>
      <c r="N910" s="464">
        <f t="shared" si="83"/>
        <v>78741</v>
      </c>
    </row>
    <row r="911" spans="7:14" ht="11.25" customHeight="1" x14ac:dyDescent="0.25">
      <c r="G911" s="459">
        <f t="shared" si="95"/>
        <v>76</v>
      </c>
      <c r="H911" s="459">
        <v>904</v>
      </c>
      <c r="I911" s="444">
        <f t="shared" ca="1" si="81"/>
        <v>-31193190.250626862</v>
      </c>
      <c r="J911" s="444">
        <f t="array" ref="J911">IFERROR(INDEX('Retirement Calculator'!K:K,MATCH('Lorri 401b'!N911,'Retirement Calculator'!A:A,0),0),0)</f>
        <v>21655.303514578787</v>
      </c>
      <c r="K911" s="444">
        <f t="shared" ca="1" si="79"/>
        <v>-130061.85647558933</v>
      </c>
      <c r="L911" s="444">
        <f t="shared" ca="1" si="80"/>
        <v>-31344907.410617027</v>
      </c>
      <c r="M911" s="460">
        <f t="shared" si="82"/>
        <v>0.05</v>
      </c>
      <c r="N911" s="464">
        <f t="shared" si="83"/>
        <v>78772</v>
      </c>
    </row>
    <row r="912" spans="7:14" ht="11.25" customHeight="1" x14ac:dyDescent="0.25">
      <c r="G912" s="459">
        <f t="shared" si="95"/>
        <v>76</v>
      </c>
      <c r="H912" s="459">
        <v>905</v>
      </c>
      <c r="I912" s="444">
        <f t="shared" ca="1" si="81"/>
        <v>-31344907.410617027</v>
      </c>
      <c r="J912" s="444">
        <f t="array" ref="J912">IFERROR(INDEX('Retirement Calculator'!K:K,MATCH('Lorri 401b'!N912,'Retirement Calculator'!A:A,0),0),0)</f>
        <v>21655.303514578787</v>
      </c>
      <c r="K912" s="444">
        <f t="shared" ca="1" si="79"/>
        <v>-130694.01130888167</v>
      </c>
      <c r="L912" s="444">
        <f t="shared" ca="1" si="80"/>
        <v>-31497256.725440487</v>
      </c>
      <c r="M912" s="460">
        <f t="shared" si="82"/>
        <v>0.05</v>
      </c>
      <c r="N912" s="464">
        <f t="shared" si="83"/>
        <v>78802</v>
      </c>
    </row>
    <row r="913" spans="7:14" ht="11.25" customHeight="1" x14ac:dyDescent="0.25">
      <c r="G913" s="459">
        <f t="shared" si="95"/>
        <v>76</v>
      </c>
      <c r="H913" s="459">
        <v>906</v>
      </c>
      <c r="I913" s="444">
        <f t="shared" ca="1" si="81"/>
        <v>-31497256.725440487</v>
      </c>
      <c r="J913" s="444">
        <f t="array" ref="J913">IFERROR(INDEX('Retirement Calculator'!K:K,MATCH('Lorri 401b'!N913,'Retirement Calculator'!A:A,0),0),0)</f>
        <v>21655.303514578787</v>
      </c>
      <c r="K913" s="444">
        <f t="shared" ca="1" si="79"/>
        <v>-131328.8001206461</v>
      </c>
      <c r="L913" s="444">
        <f t="shared" ca="1" si="80"/>
        <v>-31650240.829075709</v>
      </c>
      <c r="M913" s="460">
        <f t="shared" si="82"/>
        <v>0.05</v>
      </c>
      <c r="N913" s="464">
        <f t="shared" si="83"/>
        <v>78833</v>
      </c>
    </row>
    <row r="914" spans="7:14" ht="11.25" customHeight="1" x14ac:dyDescent="0.25">
      <c r="G914" s="459">
        <f t="shared" si="95"/>
        <v>76</v>
      </c>
      <c r="H914" s="459">
        <v>907</v>
      </c>
      <c r="I914" s="444">
        <f t="shared" ca="1" si="81"/>
        <v>-31650240.829075709</v>
      </c>
      <c r="J914" s="444">
        <f t="array" ref="J914">IFERROR(INDEX('Retirement Calculator'!K:K,MATCH('Lorri 401b'!N914,'Retirement Calculator'!A:A,0),0),0)</f>
        <v>21655.303514578787</v>
      </c>
      <c r="K914" s="444">
        <f t="shared" ca="1" si="79"/>
        <v>-131966.23388579287</v>
      </c>
      <c r="L914" s="444">
        <f t="shared" ca="1" si="80"/>
        <v>-31803862.366476078</v>
      </c>
      <c r="M914" s="460">
        <f t="shared" si="82"/>
        <v>0.05</v>
      </c>
      <c r="N914" s="464">
        <f t="shared" si="83"/>
        <v>78863</v>
      </c>
    </row>
    <row r="915" spans="7:14" ht="11.25" customHeight="1" x14ac:dyDescent="0.25">
      <c r="G915" s="459">
        <f t="shared" si="95"/>
        <v>76</v>
      </c>
      <c r="H915" s="459">
        <v>908</v>
      </c>
      <c r="I915" s="444">
        <f t="shared" ca="1" si="81"/>
        <v>-31803862.366476078</v>
      </c>
      <c r="J915" s="444">
        <f t="array" ref="J915">IFERROR(INDEX('Retirement Calculator'!K:K,MATCH('Lorri 401b'!N915,'Retirement Calculator'!A:A,0),0),0)</f>
        <v>21655.303514578787</v>
      </c>
      <c r="K915" s="444">
        <f t="shared" ca="1" si="79"/>
        <v>-132606.32362496105</v>
      </c>
      <c r="L915" s="444">
        <f t="shared" ca="1" si="80"/>
        <v>-31958123.993615616</v>
      </c>
      <c r="M915" s="460">
        <f t="shared" si="82"/>
        <v>0.05</v>
      </c>
      <c r="N915" s="464">
        <f t="shared" si="83"/>
        <v>78894</v>
      </c>
    </row>
    <row r="916" spans="7:14" ht="11.25" customHeight="1" x14ac:dyDescent="0.25">
      <c r="G916" s="459">
        <f t="shared" si="95"/>
        <v>76</v>
      </c>
      <c r="H916" s="459">
        <v>909</v>
      </c>
      <c r="I916" s="444">
        <f t="shared" ca="1" si="81"/>
        <v>-31958123.993615616</v>
      </c>
      <c r="J916" s="444">
        <f t="array" ref="J916">IFERROR(INDEX('Retirement Calculator'!K:K,MATCH('Lorri 401b'!N916,'Retirement Calculator'!A:A,0),0),0)</f>
        <v>21655.303514578787</v>
      </c>
      <c r="K916" s="444">
        <f t="shared" ca="1" si="79"/>
        <v>-133249.08040470915</v>
      </c>
      <c r="L916" s="444">
        <f t="shared" ca="1" si="80"/>
        <v>-32113028.377534904</v>
      </c>
      <c r="M916" s="460">
        <f t="shared" si="82"/>
        <v>0.05</v>
      </c>
      <c r="N916" s="464">
        <f t="shared" si="83"/>
        <v>78925</v>
      </c>
    </row>
    <row r="917" spans="7:14" ht="11.25" customHeight="1" x14ac:dyDescent="0.25">
      <c r="G917" s="459">
        <f t="shared" si="95"/>
        <v>76</v>
      </c>
      <c r="H917" s="459">
        <v>910</v>
      </c>
      <c r="I917" s="444">
        <f t="shared" ca="1" si="81"/>
        <v>-32113028.377534904</v>
      </c>
      <c r="J917" s="444">
        <f t="array" ref="J917">IFERROR(INDEX('Retirement Calculator'!K:K,MATCH('Lorri 401b'!N917,'Retirement Calculator'!A:A,0),0),0)</f>
        <v>21655.303514578787</v>
      </c>
      <c r="K917" s="444">
        <f t="shared" ca="1" si="79"/>
        <v>-133894.51533770617</v>
      </c>
      <c r="L917" s="444">
        <f t="shared" ca="1" si="80"/>
        <v>-32268578.196387187</v>
      </c>
      <c r="M917" s="460">
        <f t="shared" si="82"/>
        <v>0.05</v>
      </c>
      <c r="N917" s="464">
        <f t="shared" si="83"/>
        <v>78954</v>
      </c>
    </row>
    <row r="918" spans="7:14" ht="11.25" customHeight="1" x14ac:dyDescent="0.25">
      <c r="G918" s="459">
        <f t="shared" si="95"/>
        <v>76</v>
      </c>
      <c r="H918" s="459">
        <v>911</v>
      </c>
      <c r="I918" s="444">
        <f t="shared" ca="1" si="81"/>
        <v>-32268578.196387187</v>
      </c>
      <c r="J918" s="444">
        <f t="array" ref="J918">IFERROR(INDEX('Retirement Calculator'!K:K,MATCH('Lorri 401b'!N918,'Retirement Calculator'!A:A,0),0),0)</f>
        <v>21655.303514578787</v>
      </c>
      <c r="K918" s="444">
        <f t="shared" ca="1" si="79"/>
        <v>-134542.63958292402</v>
      </c>
      <c r="L918" s="444">
        <f t="shared" ca="1" si="80"/>
        <v>-32424776.139484689</v>
      </c>
      <c r="M918" s="460">
        <f t="shared" si="82"/>
        <v>0.05</v>
      </c>
      <c r="N918" s="464">
        <f t="shared" si="83"/>
        <v>78985</v>
      </c>
    </row>
    <row r="919" spans="7:14" ht="11.25" customHeight="1" x14ac:dyDescent="0.25">
      <c r="G919" s="459">
        <f t="shared" si="95"/>
        <v>76</v>
      </c>
      <c r="H919" s="459">
        <v>912</v>
      </c>
      <c r="I919" s="444">
        <f t="shared" ca="1" si="81"/>
        <v>-32424776.139484689</v>
      </c>
      <c r="J919" s="444">
        <f t="array" ref="J919">IFERROR(INDEX('Retirement Calculator'!K:K,MATCH('Lorri 401b'!N919,'Retirement Calculator'!A:A,0),0),0)</f>
        <v>21655.303514578787</v>
      </c>
      <c r="K919" s="444">
        <f t="shared" ca="1" si="79"/>
        <v>-135193.46434583026</v>
      </c>
      <c r="L919" s="444">
        <f t="shared" ca="1" si="80"/>
        <v>-32581624.907345098</v>
      </c>
      <c r="M919" s="460">
        <f t="shared" si="82"/>
        <v>0.05</v>
      </c>
      <c r="N919" s="464">
        <f t="shared" si="83"/>
        <v>79015</v>
      </c>
    </row>
    <row r="920" spans="7:14" ht="11.25" customHeight="1" x14ac:dyDescent="0.25">
      <c r="G920" s="459">
        <f>G919+1</f>
        <v>77</v>
      </c>
      <c r="H920" s="459">
        <v>913</v>
      </c>
      <c r="I920" s="444">
        <f t="shared" ca="1" si="81"/>
        <v>-32581624.907345098</v>
      </c>
      <c r="J920" s="444">
        <f t="array" ref="J920">IFERROR(INDEX('Retirement Calculator'!K:K,MATCH('Lorri 401b'!N920,'Retirement Calculator'!A:A,0),0),0)</f>
        <v>21655.303514578787</v>
      </c>
      <c r="K920" s="444">
        <f t="shared" ca="1" si="79"/>
        <v>-135847.00087858198</v>
      </c>
      <c r="L920" s="444">
        <f t="shared" ca="1" si="80"/>
        <v>-32739127.211738259</v>
      </c>
      <c r="M920" s="460">
        <f t="shared" si="82"/>
        <v>0.05</v>
      </c>
      <c r="N920" s="464">
        <f t="shared" si="83"/>
        <v>79046</v>
      </c>
    </row>
    <row r="921" spans="7:14" ht="11.25" customHeight="1" x14ac:dyDescent="0.25">
      <c r="G921" s="459">
        <f t="shared" ref="G921:G931" si="96">G920</f>
        <v>77</v>
      </c>
      <c r="H921" s="459">
        <v>914</v>
      </c>
      <c r="I921" s="444">
        <f t="shared" ca="1" si="81"/>
        <v>-32739127.211738259</v>
      </c>
      <c r="J921" s="444">
        <f t="array" ref="J921">IFERROR(INDEX('Retirement Calculator'!K:K,MATCH('Lorri 401b'!N921,'Retirement Calculator'!A:A,0),0),0)</f>
        <v>21655.303514578787</v>
      </c>
      <c r="K921" s="444">
        <f t="shared" ca="1" si="79"/>
        <v>-136503.26048022014</v>
      </c>
      <c r="L921" s="444">
        <f t="shared" ca="1" si="80"/>
        <v>-32897285.775733057</v>
      </c>
      <c r="M921" s="460">
        <f t="shared" si="82"/>
        <v>0.05</v>
      </c>
      <c r="N921" s="464">
        <f t="shared" si="83"/>
        <v>79076</v>
      </c>
    </row>
    <row r="922" spans="7:14" ht="11.25" customHeight="1" x14ac:dyDescent="0.25">
      <c r="G922" s="459">
        <f t="shared" si="96"/>
        <v>77</v>
      </c>
      <c r="H922" s="459">
        <v>915</v>
      </c>
      <c r="I922" s="444">
        <f t="shared" ca="1" si="81"/>
        <v>-32897285.775733057</v>
      </c>
      <c r="J922" s="444">
        <f t="array" ref="J922">IFERROR(INDEX('Retirement Calculator'!K:K,MATCH('Lorri 401b'!N922,'Retirement Calculator'!A:A,0),0),0)</f>
        <v>21655.303514578787</v>
      </c>
      <c r="K922" s="444">
        <f t="shared" ca="1" si="79"/>
        <v>-137162.25449686515</v>
      </c>
      <c r="L922" s="444">
        <f t="shared" ca="1" si="80"/>
        <v>-33056103.3337445</v>
      </c>
      <c r="M922" s="460">
        <f t="shared" si="82"/>
        <v>0.05</v>
      </c>
      <c r="N922" s="464">
        <f t="shared" si="83"/>
        <v>79107</v>
      </c>
    </row>
    <row r="923" spans="7:14" ht="11.25" customHeight="1" x14ac:dyDescent="0.25">
      <c r="G923" s="459">
        <f t="shared" si="96"/>
        <v>77</v>
      </c>
      <c r="H923" s="459">
        <v>916</v>
      </c>
      <c r="I923" s="444">
        <f t="shared" ca="1" si="81"/>
        <v>-33056103.3337445</v>
      </c>
      <c r="J923" s="444">
        <f t="array" ref="J923">IFERROR(INDEX('Retirement Calculator'!K:K,MATCH('Lorri 401b'!N923,'Retirement Calculator'!A:A,0),0),0)</f>
        <v>21655.303514578787</v>
      </c>
      <c r="K923" s="444">
        <f t="shared" ca="1" si="79"/>
        <v>-137823.99432191282</v>
      </c>
      <c r="L923" s="444">
        <f t="shared" ca="1" si="80"/>
        <v>-33215582.63158099</v>
      </c>
      <c r="M923" s="460">
        <f t="shared" si="82"/>
        <v>0.05</v>
      </c>
      <c r="N923" s="464">
        <f t="shared" si="83"/>
        <v>79138</v>
      </c>
    </row>
    <row r="924" spans="7:14" ht="11.25" customHeight="1" x14ac:dyDescent="0.25">
      <c r="G924" s="459">
        <f t="shared" si="96"/>
        <v>77</v>
      </c>
      <c r="H924" s="459">
        <v>917</v>
      </c>
      <c r="I924" s="444">
        <f t="shared" ca="1" si="81"/>
        <v>-33215582.63158099</v>
      </c>
      <c r="J924" s="444">
        <f t="array" ref="J924">IFERROR(INDEX('Retirement Calculator'!K:K,MATCH('Lorri 401b'!N924,'Retirement Calculator'!A:A,0),0),0)</f>
        <v>21655.303514578787</v>
      </c>
      <c r="K924" s="444">
        <f t="shared" ca="1" si="79"/>
        <v>-138488.49139623152</v>
      </c>
      <c r="L924" s="444">
        <f t="shared" ca="1" si="80"/>
        <v>-33375726.426491797</v>
      </c>
      <c r="M924" s="460">
        <f t="shared" si="82"/>
        <v>0.05</v>
      </c>
      <c r="N924" s="464">
        <f t="shared" si="83"/>
        <v>79168</v>
      </c>
    </row>
    <row r="925" spans="7:14" ht="11.25" customHeight="1" x14ac:dyDescent="0.25">
      <c r="G925" s="459">
        <f t="shared" si="96"/>
        <v>77</v>
      </c>
      <c r="H925" s="459">
        <v>918</v>
      </c>
      <c r="I925" s="444">
        <f t="shared" ca="1" si="81"/>
        <v>-33375726.426491797</v>
      </c>
      <c r="J925" s="444">
        <f t="array" ref="J925">IFERROR(INDEX('Retirement Calculator'!K:K,MATCH('Lorri 401b'!N925,'Retirement Calculator'!A:A,0),0),0)</f>
        <v>21655.303514578787</v>
      </c>
      <c r="K925" s="444">
        <f t="shared" ca="1" si="79"/>
        <v>-139155.75720835989</v>
      </c>
      <c r="L925" s="444">
        <f t="shared" ca="1" si="80"/>
        <v>-33536537.487214733</v>
      </c>
      <c r="M925" s="460">
        <f t="shared" si="82"/>
        <v>0.05</v>
      </c>
      <c r="N925" s="464">
        <f t="shared" si="83"/>
        <v>79199</v>
      </c>
    </row>
    <row r="926" spans="7:14" ht="11.25" customHeight="1" x14ac:dyDescent="0.25">
      <c r="G926" s="459">
        <f t="shared" si="96"/>
        <v>77</v>
      </c>
      <c r="H926" s="459">
        <v>919</v>
      </c>
      <c r="I926" s="444">
        <f t="shared" ca="1" si="81"/>
        <v>-33536537.487214733</v>
      </c>
      <c r="J926" s="444">
        <f t="array" ref="J926">IFERROR(INDEX('Retirement Calculator'!K:K,MATCH('Lorri 401b'!N926,'Retirement Calculator'!A:A,0),0),0)</f>
        <v>21655.303514578787</v>
      </c>
      <c r="K926" s="444">
        <f t="shared" ca="1" si="79"/>
        <v>-139825.80329470546</v>
      </c>
      <c r="L926" s="444">
        <f t="shared" ca="1" si="80"/>
        <v>-33698018.594024017</v>
      </c>
      <c r="M926" s="460">
        <f t="shared" si="82"/>
        <v>0.05</v>
      </c>
      <c r="N926" s="464">
        <f t="shared" si="83"/>
        <v>79229</v>
      </c>
    </row>
    <row r="927" spans="7:14" ht="11.25" customHeight="1" x14ac:dyDescent="0.25">
      <c r="G927" s="459">
        <f t="shared" si="96"/>
        <v>77</v>
      </c>
      <c r="H927" s="459">
        <v>920</v>
      </c>
      <c r="I927" s="444">
        <f t="shared" ca="1" si="81"/>
        <v>-33698018.594024017</v>
      </c>
      <c r="J927" s="444">
        <f t="array" ref="J927">IFERROR(INDEX('Retirement Calculator'!K:K,MATCH('Lorri 401b'!N927,'Retirement Calculator'!A:A,0),0),0)</f>
        <v>21655.303514578787</v>
      </c>
      <c r="K927" s="444">
        <f t="shared" ca="1" si="79"/>
        <v>-140498.64123974415</v>
      </c>
      <c r="L927" s="444">
        <f t="shared" ca="1" si="80"/>
        <v>-33860172.538778342</v>
      </c>
      <c r="M927" s="460">
        <f t="shared" si="82"/>
        <v>0.05</v>
      </c>
      <c r="N927" s="464">
        <f t="shared" si="83"/>
        <v>79260</v>
      </c>
    </row>
    <row r="928" spans="7:14" ht="11.25" customHeight="1" x14ac:dyDescent="0.25">
      <c r="G928" s="459">
        <f t="shared" si="96"/>
        <v>77</v>
      </c>
      <c r="H928" s="459">
        <v>921</v>
      </c>
      <c r="I928" s="444">
        <f t="shared" ca="1" si="81"/>
        <v>-33860172.538778342</v>
      </c>
      <c r="J928" s="444">
        <f t="array" ref="J928">IFERROR(INDEX('Retirement Calculator'!K:K,MATCH('Lorri 401b'!N928,'Retirement Calculator'!A:A,0),0),0)</f>
        <v>21655.303514578787</v>
      </c>
      <c r="K928" s="444">
        <f t="shared" ca="1" si="79"/>
        <v>-141174.28267622049</v>
      </c>
      <c r="L928" s="444">
        <f t="shared" ca="1" si="80"/>
        <v>-34023002.12496914</v>
      </c>
      <c r="M928" s="460">
        <f t="shared" si="82"/>
        <v>0.05</v>
      </c>
      <c r="N928" s="464">
        <f t="shared" si="83"/>
        <v>79291</v>
      </c>
    </row>
    <row r="929" spans="7:14" ht="11.25" customHeight="1" x14ac:dyDescent="0.25">
      <c r="G929" s="459">
        <f t="shared" si="96"/>
        <v>77</v>
      </c>
      <c r="H929" s="459">
        <v>922</v>
      </c>
      <c r="I929" s="444">
        <f t="shared" ca="1" si="81"/>
        <v>-34023002.12496914</v>
      </c>
      <c r="J929" s="444">
        <f t="array" ref="J929">IFERROR(INDEX('Retirement Calculator'!K:K,MATCH('Lorri 401b'!N929,'Retirement Calculator'!A:A,0),0),0)</f>
        <v>21655.303514578787</v>
      </c>
      <c r="K929" s="444">
        <f t="shared" ca="1" si="79"/>
        <v>-141852.73928534883</v>
      </c>
      <c r="L929" s="444">
        <f t="shared" ca="1" si="80"/>
        <v>-34186510.167769067</v>
      </c>
      <c r="M929" s="460">
        <f t="shared" si="82"/>
        <v>0.05</v>
      </c>
      <c r="N929" s="464">
        <f t="shared" si="83"/>
        <v>79319</v>
      </c>
    </row>
    <row r="930" spans="7:14" ht="11.25" customHeight="1" x14ac:dyDescent="0.25">
      <c r="G930" s="459">
        <f t="shared" si="96"/>
        <v>77</v>
      </c>
      <c r="H930" s="459">
        <v>923</v>
      </c>
      <c r="I930" s="444">
        <f t="shared" ca="1" si="81"/>
        <v>-34186510.167769067</v>
      </c>
      <c r="J930" s="444">
        <f t="array" ref="J930">IFERROR(INDEX('Retirement Calculator'!K:K,MATCH('Lorri 401b'!N930,'Retirement Calculator'!A:A,0),0),0)</f>
        <v>21655.303514578787</v>
      </c>
      <c r="K930" s="444">
        <f t="shared" ca="1" si="79"/>
        <v>-142534.02279701518</v>
      </c>
      <c r="L930" s="444">
        <f t="shared" ca="1" si="80"/>
        <v>-34350699.494080663</v>
      </c>
      <c r="M930" s="460">
        <f t="shared" si="82"/>
        <v>0.05</v>
      </c>
      <c r="N930" s="464">
        <f t="shared" si="83"/>
        <v>79350</v>
      </c>
    </row>
    <row r="931" spans="7:14" ht="11.25" customHeight="1" x14ac:dyDescent="0.25">
      <c r="G931" s="459">
        <f t="shared" si="96"/>
        <v>77</v>
      </c>
      <c r="H931" s="459">
        <v>924</v>
      </c>
      <c r="I931" s="444">
        <f t="shared" ca="1" si="81"/>
        <v>-34350699.494080663</v>
      </c>
      <c r="J931" s="444">
        <f t="array" ref="J931">IFERROR(INDEX('Retirement Calculator'!K:K,MATCH('Lorri 401b'!N931,'Retirement Calculator'!A:A,0),0),0)</f>
        <v>21655.303514578787</v>
      </c>
      <c r="K931" s="444">
        <f t="shared" ca="1" si="79"/>
        <v>-143218.14498998015</v>
      </c>
      <c r="L931" s="444">
        <f t="shared" ca="1" si="80"/>
        <v>-34515572.942585222</v>
      </c>
      <c r="M931" s="460">
        <f t="shared" si="82"/>
        <v>0.05</v>
      </c>
      <c r="N931" s="464">
        <f t="shared" si="83"/>
        <v>79380</v>
      </c>
    </row>
    <row r="932" spans="7:14" ht="11.25" customHeight="1" x14ac:dyDescent="0.25">
      <c r="G932" s="459">
        <f>G931+1</f>
        <v>78</v>
      </c>
      <c r="H932" s="459">
        <v>925</v>
      </c>
      <c r="I932" s="444">
        <f t="shared" ca="1" si="81"/>
        <v>-34515572.942585222</v>
      </c>
      <c r="J932" s="444">
        <f t="array" ref="J932">IFERROR(INDEX('Retirement Calculator'!K:K,MATCH('Lorri 401b'!N932,'Retirement Calculator'!A:A,0),0),0)</f>
        <v>21655.303514578787</v>
      </c>
      <c r="K932" s="444">
        <f t="shared" ca="1" si="79"/>
        <v>-143905.11769208251</v>
      </c>
      <c r="L932" s="444">
        <f t="shared" ca="1" si="80"/>
        <v>-34681133.363791883</v>
      </c>
      <c r="M932" s="460">
        <f t="shared" si="82"/>
        <v>0.05</v>
      </c>
      <c r="N932" s="464">
        <f t="shared" si="83"/>
        <v>79411</v>
      </c>
    </row>
    <row r="933" spans="7:14" ht="11.25" customHeight="1" x14ac:dyDescent="0.25">
      <c r="G933" s="459">
        <f t="shared" ref="G933:G943" si="97">G932</f>
        <v>78</v>
      </c>
      <c r="H933" s="459">
        <v>926</v>
      </c>
      <c r="I933" s="444">
        <f t="shared" ca="1" si="81"/>
        <v>-34681133.363791883</v>
      </c>
      <c r="J933" s="444">
        <f t="array" ref="J933">IFERROR(INDEX('Retirement Calculator'!K:K,MATCH('Lorri 401b'!N933,'Retirement Calculator'!A:A,0),0),0)</f>
        <v>21655.303514578787</v>
      </c>
      <c r="K933" s="444">
        <f t="shared" ca="1" si="79"/>
        <v>-144594.95278044359</v>
      </c>
      <c r="L933" s="444">
        <f t="shared" ca="1" si="80"/>
        <v>-34847383.620086901</v>
      </c>
      <c r="M933" s="460">
        <f t="shared" si="82"/>
        <v>0.05</v>
      </c>
      <c r="N933" s="464">
        <f t="shared" si="83"/>
        <v>79441</v>
      </c>
    </row>
    <row r="934" spans="7:14" ht="11.25" customHeight="1" x14ac:dyDescent="0.25">
      <c r="G934" s="459">
        <f t="shared" si="97"/>
        <v>78</v>
      </c>
      <c r="H934" s="459">
        <v>927</v>
      </c>
      <c r="I934" s="444">
        <f t="shared" ca="1" si="81"/>
        <v>-34847383.620086901</v>
      </c>
      <c r="J934" s="444">
        <f t="array" ref="J934">IFERROR(INDEX('Retirement Calculator'!K:K,MATCH('Lorri 401b'!N934,'Retirement Calculator'!A:A,0),0),0)</f>
        <v>21655.303514578787</v>
      </c>
      <c r="K934" s="444">
        <f t="shared" ca="1" si="79"/>
        <v>-145287.66218167281</v>
      </c>
      <c r="L934" s="444">
        <f t="shared" ca="1" si="80"/>
        <v>-35014326.585783154</v>
      </c>
      <c r="M934" s="460">
        <f t="shared" si="82"/>
        <v>0.05</v>
      </c>
      <c r="N934" s="464">
        <f t="shared" si="83"/>
        <v>79472</v>
      </c>
    </row>
    <row r="935" spans="7:14" ht="11.25" customHeight="1" x14ac:dyDescent="0.25">
      <c r="G935" s="459">
        <f t="shared" si="97"/>
        <v>78</v>
      </c>
      <c r="H935" s="459">
        <v>928</v>
      </c>
      <c r="I935" s="444">
        <f t="shared" ca="1" si="81"/>
        <v>-35014326.585783154</v>
      </c>
      <c r="J935" s="444">
        <f t="array" ref="J935">IFERROR(INDEX('Retirement Calculator'!K:K,MATCH('Lorri 401b'!N935,'Retirement Calculator'!A:A,0),0),0)</f>
        <v>21655.303514578787</v>
      </c>
      <c r="K935" s="444">
        <f t="shared" ca="1" si="79"/>
        <v>-145983.25787207388</v>
      </c>
      <c r="L935" s="444">
        <f t="shared" ca="1" si="80"/>
        <v>-35181965.147169806</v>
      </c>
      <c r="M935" s="460">
        <f t="shared" si="82"/>
        <v>0.05</v>
      </c>
      <c r="N935" s="464">
        <f t="shared" si="83"/>
        <v>79503</v>
      </c>
    </row>
    <row r="936" spans="7:14" ht="11.25" customHeight="1" x14ac:dyDescent="0.25">
      <c r="G936" s="459">
        <f t="shared" si="97"/>
        <v>78</v>
      </c>
      <c r="H936" s="459">
        <v>929</v>
      </c>
      <c r="I936" s="444">
        <f t="shared" ca="1" si="81"/>
        <v>-35181965.147169806</v>
      </c>
      <c r="J936" s="444">
        <f t="array" ref="J936">IFERROR(INDEX('Retirement Calculator'!K:K,MATCH('Lorri 401b'!N936,'Retirement Calculator'!A:A,0),0),0)</f>
        <v>21655.303514578787</v>
      </c>
      <c r="K936" s="444">
        <f t="shared" ca="1" si="79"/>
        <v>-146681.75187785161</v>
      </c>
      <c r="L936" s="444">
        <f t="shared" ca="1" si="80"/>
        <v>-35350302.202562235</v>
      </c>
      <c r="M936" s="460">
        <f t="shared" si="82"/>
        <v>0.05</v>
      </c>
      <c r="N936" s="464">
        <f t="shared" si="83"/>
        <v>79533</v>
      </c>
    </row>
    <row r="937" spans="7:14" ht="11.25" customHeight="1" x14ac:dyDescent="0.25">
      <c r="G937" s="459">
        <f t="shared" si="97"/>
        <v>78</v>
      </c>
      <c r="H937" s="459">
        <v>930</v>
      </c>
      <c r="I937" s="444">
        <f t="shared" ca="1" si="81"/>
        <v>-35350302.202562235</v>
      </c>
      <c r="J937" s="444">
        <f t="array" ref="J937">IFERROR(INDEX('Retirement Calculator'!K:K,MATCH('Lorri 401b'!N937,'Retirement Calculator'!A:A,0),0),0)</f>
        <v>21655.303514578787</v>
      </c>
      <c r="K937" s="444">
        <f t="shared" ca="1" si="79"/>
        <v>-147383.15627532004</v>
      </c>
      <c r="L937" s="444">
        <f t="shared" ca="1" si="80"/>
        <v>-35519340.66235213</v>
      </c>
      <c r="M937" s="460">
        <f t="shared" si="82"/>
        <v>0.05</v>
      </c>
      <c r="N937" s="464">
        <f t="shared" si="83"/>
        <v>79564</v>
      </c>
    </row>
    <row r="938" spans="7:14" ht="11.25" customHeight="1" x14ac:dyDescent="0.25">
      <c r="G938" s="459">
        <f t="shared" si="97"/>
        <v>78</v>
      </c>
      <c r="H938" s="459">
        <v>931</v>
      </c>
      <c r="I938" s="444">
        <f t="shared" ca="1" si="81"/>
        <v>-35519340.66235213</v>
      </c>
      <c r="J938" s="444">
        <f t="array" ref="J938">IFERROR(INDEX('Retirement Calculator'!K:K,MATCH('Lorri 401b'!N938,'Retirement Calculator'!A:A,0),0),0)</f>
        <v>21655.303514578787</v>
      </c>
      <c r="K938" s="444">
        <f t="shared" ca="1" si="79"/>
        <v>-148087.48319111127</v>
      </c>
      <c r="L938" s="444">
        <f t="shared" ca="1" si="80"/>
        <v>-35689083.449057817</v>
      </c>
      <c r="M938" s="460">
        <f t="shared" si="82"/>
        <v>0.05</v>
      </c>
      <c r="N938" s="464">
        <f t="shared" si="83"/>
        <v>79594</v>
      </c>
    </row>
    <row r="939" spans="7:14" ht="11.25" customHeight="1" x14ac:dyDescent="0.25">
      <c r="G939" s="459">
        <f t="shared" si="97"/>
        <v>78</v>
      </c>
      <c r="H939" s="459">
        <v>932</v>
      </c>
      <c r="I939" s="444">
        <f t="shared" ca="1" si="81"/>
        <v>-35689083.449057817</v>
      </c>
      <c r="J939" s="444">
        <f t="array" ref="J939">IFERROR(INDEX('Retirement Calculator'!K:K,MATCH('Lorri 401b'!N939,'Retirement Calculator'!A:A,0),0),0)</f>
        <v>21655.303514578787</v>
      </c>
      <c r="K939" s="444">
        <f t="shared" ca="1" si="79"/>
        <v>-148794.74480238499</v>
      </c>
      <c r="L939" s="444">
        <f t="shared" ca="1" si="80"/>
        <v>-35859533.49737478</v>
      </c>
      <c r="M939" s="460">
        <f t="shared" si="82"/>
        <v>0.05</v>
      </c>
      <c r="N939" s="464">
        <f t="shared" si="83"/>
        <v>79625</v>
      </c>
    </row>
    <row r="940" spans="7:14" ht="11.25" customHeight="1" x14ac:dyDescent="0.25">
      <c r="G940" s="459">
        <f t="shared" si="97"/>
        <v>78</v>
      </c>
      <c r="H940" s="459">
        <v>933</v>
      </c>
      <c r="I940" s="444">
        <f t="shared" ca="1" si="81"/>
        <v>-35859533.49737478</v>
      </c>
      <c r="J940" s="444">
        <f t="array" ref="J940">IFERROR(INDEX('Retirement Calculator'!K:K,MATCH('Lorri 401b'!N940,'Retirement Calculator'!A:A,0),0),0)</f>
        <v>21655.303514578787</v>
      </c>
      <c r="K940" s="444">
        <f t="shared" ca="1" si="79"/>
        <v>-149504.95333703898</v>
      </c>
      <c r="L940" s="444">
        <f t="shared" ca="1" si="80"/>
        <v>-36030693.754226394</v>
      </c>
      <c r="M940" s="460">
        <f t="shared" si="82"/>
        <v>0.05</v>
      </c>
      <c r="N940" s="464">
        <f t="shared" si="83"/>
        <v>79656</v>
      </c>
    </row>
    <row r="941" spans="7:14" ht="11.25" customHeight="1" x14ac:dyDescent="0.25">
      <c r="G941" s="459">
        <f t="shared" si="97"/>
        <v>78</v>
      </c>
      <c r="H941" s="459">
        <v>934</v>
      </c>
      <c r="I941" s="444">
        <f t="shared" ca="1" si="81"/>
        <v>-36030693.754226394</v>
      </c>
      <c r="J941" s="444">
        <f t="array" ref="J941">IFERROR(INDEX('Retirement Calculator'!K:K,MATCH('Lorri 401b'!N941,'Retirement Calculator'!A:A,0),0),0)</f>
        <v>21655.303514578787</v>
      </c>
      <c r="K941" s="444">
        <f t="shared" ca="1" si="79"/>
        <v>-150218.12107392072</v>
      </c>
      <c r="L941" s="444">
        <f t="shared" ca="1" si="80"/>
        <v>-36202567.178814895</v>
      </c>
      <c r="M941" s="460">
        <f t="shared" si="82"/>
        <v>0.05</v>
      </c>
      <c r="N941" s="464">
        <f t="shared" si="83"/>
        <v>79684</v>
      </c>
    </row>
    <row r="942" spans="7:14" ht="11.25" customHeight="1" x14ac:dyDescent="0.25">
      <c r="G942" s="459">
        <f t="shared" si="97"/>
        <v>78</v>
      </c>
      <c r="H942" s="459">
        <v>935</v>
      </c>
      <c r="I942" s="444">
        <f t="shared" ca="1" si="81"/>
        <v>-36202567.178814895</v>
      </c>
      <c r="J942" s="444">
        <f t="array" ref="J942">IFERROR(INDEX('Retirement Calculator'!K:K,MATCH('Lorri 401b'!N942,'Retirement Calculator'!A:A,0),0),0)</f>
        <v>21655.303514578787</v>
      </c>
      <c r="K942" s="444">
        <f t="shared" ca="1" si="79"/>
        <v>-150934.26034303947</v>
      </c>
      <c r="L942" s="444">
        <f t="shared" ca="1" si="80"/>
        <v>-36375156.74267251</v>
      </c>
      <c r="M942" s="460">
        <f t="shared" si="82"/>
        <v>0.05</v>
      </c>
      <c r="N942" s="464">
        <f t="shared" si="83"/>
        <v>79715</v>
      </c>
    </row>
    <row r="943" spans="7:14" ht="11.25" customHeight="1" x14ac:dyDescent="0.25">
      <c r="G943" s="459">
        <f t="shared" si="97"/>
        <v>78</v>
      </c>
      <c r="H943" s="459">
        <v>936</v>
      </c>
      <c r="I943" s="444">
        <f t="shared" ca="1" si="81"/>
        <v>-36375156.74267251</v>
      </c>
      <c r="J943" s="444">
        <f t="array" ref="J943">IFERROR(INDEX('Retirement Calculator'!K:K,MATCH('Lorri 401b'!N943,'Retirement Calculator'!A:A,0),0),0)</f>
        <v>21655.303514578787</v>
      </c>
      <c r="K943" s="444">
        <f t="shared" ca="1" si="79"/>
        <v>-151653.38352577953</v>
      </c>
      <c r="L943" s="444">
        <f t="shared" ca="1" si="80"/>
        <v>-36548465.429712869</v>
      </c>
      <c r="M943" s="460">
        <f t="shared" si="82"/>
        <v>0.05</v>
      </c>
      <c r="N943" s="464">
        <f t="shared" si="83"/>
        <v>79745</v>
      </c>
    </row>
    <row r="944" spans="7:14" ht="11.25" customHeight="1" x14ac:dyDescent="0.25">
      <c r="G944" s="459">
        <f>G943+1</f>
        <v>79</v>
      </c>
      <c r="H944" s="459">
        <v>937</v>
      </c>
      <c r="I944" s="444">
        <f t="shared" ca="1" si="81"/>
        <v>-36548465.429712869</v>
      </c>
      <c r="J944" s="444">
        <f t="array" ref="J944">IFERROR(INDEX('Retirement Calculator'!K:K,MATCH('Lorri 401b'!N944,'Retirement Calculator'!A:A,0),0),0)</f>
        <v>21655.303514578787</v>
      </c>
      <c r="K944" s="444">
        <f t="shared" ca="1" si="79"/>
        <v>-152375.50305511436</v>
      </c>
      <c r="L944" s="444">
        <f t="shared" ca="1" si="80"/>
        <v>-36722496.236282565</v>
      </c>
      <c r="M944" s="460">
        <f t="shared" si="82"/>
        <v>0.05</v>
      </c>
      <c r="N944" s="464">
        <f t="shared" si="83"/>
        <v>79776</v>
      </c>
    </row>
    <row r="945" spans="7:14" ht="11.25" customHeight="1" x14ac:dyDescent="0.25">
      <c r="G945" s="459">
        <f t="shared" ref="G945:G955" si="98">G944</f>
        <v>79</v>
      </c>
      <c r="H945" s="459">
        <v>938</v>
      </c>
      <c r="I945" s="444">
        <f t="shared" ca="1" si="81"/>
        <v>-36722496.236282565</v>
      </c>
      <c r="J945" s="444">
        <f t="array" ref="J945">IFERROR(INDEX('Retirement Calculator'!K:K,MATCH('Lorri 401b'!N945,'Retirement Calculator'!A:A,0),0),0)</f>
        <v>21655.303514578787</v>
      </c>
      <c r="K945" s="444">
        <f t="shared" ca="1" si="79"/>
        <v>-153100.63141582144</v>
      </c>
      <c r="L945" s="444">
        <f t="shared" ca="1" si="80"/>
        <v>-36897252.171212964</v>
      </c>
      <c r="M945" s="460">
        <f t="shared" si="82"/>
        <v>0.05</v>
      </c>
      <c r="N945" s="464">
        <f t="shared" si="83"/>
        <v>79806</v>
      </c>
    </row>
    <row r="946" spans="7:14" ht="11.25" customHeight="1" x14ac:dyDescent="0.25">
      <c r="G946" s="459">
        <f t="shared" si="98"/>
        <v>79</v>
      </c>
      <c r="H946" s="459">
        <v>939</v>
      </c>
      <c r="I946" s="444">
        <f t="shared" ca="1" si="81"/>
        <v>-36897252.171212964</v>
      </c>
      <c r="J946" s="444">
        <f t="array" ref="J946">IFERROR(INDEX('Retirement Calculator'!K:K,MATCH('Lorri 401b'!N946,'Retirement Calculator'!A:A,0),0),0)</f>
        <v>21655.303514578787</v>
      </c>
      <c r="K946" s="444">
        <f t="shared" ca="1" si="79"/>
        <v>-153828.78114469809</v>
      </c>
      <c r="L946" s="444">
        <f t="shared" ca="1" si="80"/>
        <v>-37072736.255872242</v>
      </c>
      <c r="M946" s="460">
        <f t="shared" si="82"/>
        <v>0.05</v>
      </c>
      <c r="N946" s="464">
        <f t="shared" si="83"/>
        <v>79837</v>
      </c>
    </row>
    <row r="947" spans="7:14" ht="11.25" customHeight="1" x14ac:dyDescent="0.25">
      <c r="G947" s="459">
        <f t="shared" si="98"/>
        <v>79</v>
      </c>
      <c r="H947" s="459">
        <v>940</v>
      </c>
      <c r="I947" s="444">
        <f t="shared" ca="1" si="81"/>
        <v>-37072736.255872242</v>
      </c>
      <c r="J947" s="444">
        <f t="array" ref="J947">IFERROR(INDEX('Retirement Calculator'!K:K,MATCH('Lorri 401b'!N947,'Retirement Calculator'!A:A,0),0),0)</f>
        <v>21655.303514578787</v>
      </c>
      <c r="K947" s="444">
        <f t="shared" ca="1" si="79"/>
        <v>-154559.96483077842</v>
      </c>
      <c r="L947" s="444">
        <f t="shared" ca="1" si="80"/>
        <v>-37248951.524217598</v>
      </c>
      <c r="M947" s="460">
        <f t="shared" si="82"/>
        <v>0.05</v>
      </c>
      <c r="N947" s="464">
        <f t="shared" si="83"/>
        <v>79868</v>
      </c>
    </row>
    <row r="948" spans="7:14" ht="11.25" customHeight="1" x14ac:dyDescent="0.25">
      <c r="G948" s="459">
        <f t="shared" si="98"/>
        <v>79</v>
      </c>
      <c r="H948" s="459">
        <v>941</v>
      </c>
      <c r="I948" s="444">
        <f t="shared" ca="1" si="81"/>
        <v>-37248951.524217598</v>
      </c>
      <c r="J948" s="444">
        <f t="array" ref="J948">IFERROR(INDEX('Retirement Calculator'!K:K,MATCH('Lorri 401b'!N948,'Retirement Calculator'!A:A,0),0),0)</f>
        <v>21655.303514578787</v>
      </c>
      <c r="K948" s="444">
        <f t="shared" ca="1" si="79"/>
        <v>-155294.19511555074</v>
      </c>
      <c r="L948" s="444">
        <f t="shared" ca="1" si="80"/>
        <v>-37425901.022847727</v>
      </c>
      <c r="M948" s="460">
        <f t="shared" si="82"/>
        <v>0.05</v>
      </c>
      <c r="N948" s="464">
        <f t="shared" si="83"/>
        <v>79898</v>
      </c>
    </row>
    <row r="949" spans="7:14" ht="11.25" customHeight="1" x14ac:dyDescent="0.25">
      <c r="G949" s="459">
        <f t="shared" si="98"/>
        <v>79</v>
      </c>
      <c r="H949" s="459">
        <v>942</v>
      </c>
      <c r="I949" s="444">
        <f t="shared" ca="1" si="81"/>
        <v>-37425901.022847727</v>
      </c>
      <c r="J949" s="444">
        <f t="array" ref="J949">IFERROR(INDEX('Retirement Calculator'!K:K,MATCH('Lorri 401b'!N949,'Retirement Calculator'!A:A,0),0),0)</f>
        <v>21655.303514578787</v>
      </c>
      <c r="K949" s="444">
        <f t="shared" ca="1" si="79"/>
        <v>-156031.48469317626</v>
      </c>
      <c r="L949" s="444">
        <f t="shared" ca="1" si="80"/>
        <v>-37603587.811055481</v>
      </c>
      <c r="M949" s="460">
        <f t="shared" si="82"/>
        <v>0.05</v>
      </c>
      <c r="N949" s="464">
        <f t="shared" si="83"/>
        <v>79929</v>
      </c>
    </row>
    <row r="950" spans="7:14" ht="11.25" customHeight="1" x14ac:dyDescent="0.25">
      <c r="G950" s="459">
        <f t="shared" si="98"/>
        <v>79</v>
      </c>
      <c r="H950" s="459">
        <v>943</v>
      </c>
      <c r="I950" s="444">
        <f t="shared" ca="1" si="81"/>
        <v>-37603587.811055481</v>
      </c>
      <c r="J950" s="444">
        <f t="array" ref="J950">IFERROR(INDEX('Retirement Calculator'!K:K,MATCH('Lorri 401b'!N950,'Retirement Calculator'!A:A,0),0),0)</f>
        <v>21655.303514578787</v>
      </c>
      <c r="K950" s="444">
        <f t="shared" ca="1" si="79"/>
        <v>-156771.84631070858</v>
      </c>
      <c r="L950" s="444">
        <f t="shared" ca="1" si="80"/>
        <v>-37782014.960880764</v>
      </c>
      <c r="M950" s="460">
        <f t="shared" si="82"/>
        <v>0.05</v>
      </c>
      <c r="N950" s="464">
        <f t="shared" si="83"/>
        <v>79959</v>
      </c>
    </row>
    <row r="951" spans="7:14" ht="11.25" customHeight="1" x14ac:dyDescent="0.25">
      <c r="G951" s="459">
        <f t="shared" si="98"/>
        <v>79</v>
      </c>
      <c r="H951" s="459">
        <v>944</v>
      </c>
      <c r="I951" s="444">
        <f t="shared" ca="1" si="81"/>
        <v>-37782014.960880764</v>
      </c>
      <c r="J951" s="444">
        <f t="array" ref="J951">IFERROR(INDEX('Retirement Calculator'!K:K,MATCH('Lorri 401b'!N951,'Retirement Calculator'!A:A,0),0),0)</f>
        <v>21655.303514578787</v>
      </c>
      <c r="K951" s="444">
        <f t="shared" ca="1" si="79"/>
        <v>-157515.29276831393</v>
      </c>
      <c r="L951" s="444">
        <f t="shared" ca="1" si="80"/>
        <v>-37961185.557163656</v>
      </c>
      <c r="M951" s="460">
        <f t="shared" si="82"/>
        <v>0.05</v>
      </c>
      <c r="N951" s="464">
        <f t="shared" si="83"/>
        <v>79990</v>
      </c>
    </row>
    <row r="952" spans="7:14" ht="11.25" customHeight="1" x14ac:dyDescent="0.25">
      <c r="G952" s="459">
        <f t="shared" si="98"/>
        <v>79</v>
      </c>
      <c r="H952" s="459">
        <v>945</v>
      </c>
      <c r="I952" s="444">
        <f t="shared" ca="1" si="81"/>
        <v>-37961185.557163656</v>
      </c>
      <c r="J952" s="444">
        <f t="array" ref="J952">IFERROR(INDEX('Retirement Calculator'!K:K,MATCH('Lorri 401b'!N952,'Retirement Calculator'!A:A,0),0),0)</f>
        <v>21655.303514578787</v>
      </c>
      <c r="K952" s="444">
        <f t="shared" ca="1" si="79"/>
        <v>-158261.83691949263</v>
      </c>
      <c r="L952" s="444">
        <f t="shared" ca="1" si="80"/>
        <v>-38141102.697597727</v>
      </c>
      <c r="M952" s="460">
        <f t="shared" si="82"/>
        <v>0.05</v>
      </c>
      <c r="N952" s="464">
        <f t="shared" si="83"/>
        <v>80021</v>
      </c>
    </row>
    <row r="953" spans="7:14" ht="11.25" customHeight="1" x14ac:dyDescent="0.25">
      <c r="G953" s="459">
        <f t="shared" si="98"/>
        <v>79</v>
      </c>
      <c r="H953" s="459">
        <v>946</v>
      </c>
      <c r="I953" s="444">
        <f t="shared" ca="1" si="81"/>
        <v>-38141102.697597727</v>
      </c>
      <c r="J953" s="444">
        <f t="array" ref="J953">IFERROR(INDEX('Retirement Calculator'!K:K,MATCH('Lorri 401b'!N953,'Retirement Calculator'!A:A,0),0),0)</f>
        <v>21655.303514578787</v>
      </c>
      <c r="K953" s="444">
        <f t="shared" ca="1" si="79"/>
        <v>-159011.49167130128</v>
      </c>
      <c r="L953" s="444">
        <f t="shared" ca="1" si="80"/>
        <v>-38321769.492783606</v>
      </c>
      <c r="M953" s="460">
        <f t="shared" si="82"/>
        <v>0.05</v>
      </c>
      <c r="N953" s="464">
        <f t="shared" si="83"/>
        <v>80049</v>
      </c>
    </row>
    <row r="954" spans="7:14" ht="11.25" customHeight="1" x14ac:dyDescent="0.25">
      <c r="G954" s="459">
        <f t="shared" si="98"/>
        <v>79</v>
      </c>
      <c r="H954" s="459">
        <v>947</v>
      </c>
      <c r="I954" s="444">
        <f t="shared" ca="1" si="81"/>
        <v>-38321769.492783606</v>
      </c>
      <c r="J954" s="444">
        <f t="array" ref="J954">IFERROR(INDEX('Retirement Calculator'!K:K,MATCH('Lorri 401b'!N954,'Retirement Calculator'!A:A,0),0),0)</f>
        <v>21655.303514578787</v>
      </c>
      <c r="K954" s="444">
        <f t="shared" ca="1" si="79"/>
        <v>-159764.26998457577</v>
      </c>
      <c r="L954" s="444">
        <f t="shared" ca="1" si="80"/>
        <v>-38503189.066282757</v>
      </c>
      <c r="M954" s="460">
        <f t="shared" si="82"/>
        <v>0.05</v>
      </c>
      <c r="N954" s="464">
        <f t="shared" si="83"/>
        <v>80080</v>
      </c>
    </row>
    <row r="955" spans="7:14" ht="11.25" customHeight="1" x14ac:dyDescent="0.25">
      <c r="G955" s="459">
        <f t="shared" si="98"/>
        <v>79</v>
      </c>
      <c r="H955" s="459">
        <v>948</v>
      </c>
      <c r="I955" s="444">
        <f t="shared" ca="1" si="81"/>
        <v>-38503189.066282757</v>
      </c>
      <c r="J955" s="444">
        <f t="array" ref="J955">IFERROR(INDEX('Retirement Calculator'!K:K,MATCH('Lorri 401b'!N955,'Retirement Calculator'!A:A,0),0),0)</f>
        <v>21655.303514578787</v>
      </c>
      <c r="K955" s="444">
        <f t="shared" ca="1" si="79"/>
        <v>-160520.18487415556</v>
      </c>
      <c r="L955" s="444">
        <f t="shared" ca="1" si="80"/>
        <v>-38685364.554671489</v>
      </c>
      <c r="M955" s="460">
        <f t="shared" si="82"/>
        <v>0.05</v>
      </c>
      <c r="N955" s="464">
        <f t="shared" si="83"/>
        <v>80110</v>
      </c>
    </row>
    <row r="956" spans="7:14" ht="11.25" customHeight="1" x14ac:dyDescent="0.25">
      <c r="G956" s="459">
        <f>G955+1</f>
        <v>80</v>
      </c>
      <c r="H956" s="459">
        <v>949</v>
      </c>
      <c r="I956" s="444">
        <f t="shared" ca="1" si="81"/>
        <v>-38685364.554671489</v>
      </c>
      <c r="J956" s="444">
        <f t="array" ref="J956">IFERROR(INDEX('Retirement Calculator'!K:K,MATCH('Lorri 401b'!N956,'Retirement Calculator'!A:A,0),0),0)</f>
        <v>21655.303514578787</v>
      </c>
      <c r="K956" s="444">
        <f t="shared" ca="1" si="79"/>
        <v>-161279.2494091086</v>
      </c>
      <c r="L956" s="444">
        <f t="shared" ca="1" si="80"/>
        <v>-38868299.107595176</v>
      </c>
      <c r="M956" s="460">
        <f t="shared" si="82"/>
        <v>0.05</v>
      </c>
      <c r="N956" s="464">
        <f t="shared" si="83"/>
        <v>80141</v>
      </c>
    </row>
    <row r="957" spans="7:14" ht="11.25" customHeight="1" x14ac:dyDescent="0.25">
      <c r="G957" s="459">
        <f t="shared" ref="G957:G967" si="99">G956</f>
        <v>80</v>
      </c>
      <c r="H957" s="459">
        <v>950</v>
      </c>
      <c r="I957" s="444">
        <f t="shared" ca="1" si="81"/>
        <v>-38868299.107595176</v>
      </c>
      <c r="J957" s="444">
        <f t="array" ref="J957">IFERROR(INDEX('Retirement Calculator'!K:K,MATCH('Lorri 401b'!N957,'Retirement Calculator'!A:A,0),0),0)</f>
        <v>21655.303514578787</v>
      </c>
      <c r="K957" s="444">
        <f t="shared" ca="1" si="79"/>
        <v>-162041.47671295732</v>
      </c>
      <c r="L957" s="444">
        <f t="shared" ca="1" si="80"/>
        <v>-39051995.88782271</v>
      </c>
      <c r="M957" s="460">
        <f t="shared" si="82"/>
        <v>0.05</v>
      </c>
      <c r="N957" s="464">
        <f t="shared" si="83"/>
        <v>80171</v>
      </c>
    </row>
    <row r="958" spans="7:14" ht="11.25" customHeight="1" x14ac:dyDescent="0.25">
      <c r="G958" s="459">
        <f t="shared" si="99"/>
        <v>80</v>
      </c>
      <c r="H958" s="459">
        <v>951</v>
      </c>
      <c r="I958" s="444">
        <f t="shared" ca="1" si="81"/>
        <v>-39051995.88782271</v>
      </c>
      <c r="J958" s="444">
        <f t="array" ref="J958">IFERROR(INDEX('Retirement Calculator'!K:K,MATCH('Lorri 401b'!N958,'Retirement Calculator'!A:A,0),0),0)</f>
        <v>21655.303514578787</v>
      </c>
      <c r="K958" s="444">
        <f t="shared" ca="1" si="79"/>
        <v>-162806.87996390538</v>
      </c>
      <c r="L958" s="444">
        <f t="shared" ca="1" si="80"/>
        <v>-39236458.071301192</v>
      </c>
      <c r="M958" s="460">
        <f t="shared" si="82"/>
        <v>0.05</v>
      </c>
      <c r="N958" s="464">
        <f t="shared" si="83"/>
        <v>80202</v>
      </c>
    </row>
    <row r="959" spans="7:14" ht="11.25" customHeight="1" x14ac:dyDescent="0.25">
      <c r="G959" s="459">
        <f t="shared" si="99"/>
        <v>80</v>
      </c>
      <c r="H959" s="459">
        <v>952</v>
      </c>
      <c r="I959" s="444">
        <f t="shared" ca="1" si="81"/>
        <v>-39236458.071301192</v>
      </c>
      <c r="J959" s="444">
        <f t="array" ref="J959">IFERROR(INDEX('Retirement Calculator'!K:K,MATCH('Lorri 401b'!N959,'Retirement Calculator'!A:A,0),0),0)</f>
        <v>21655.303514578787</v>
      </c>
      <c r="K959" s="444">
        <f t="shared" ca="1" si="79"/>
        <v>-163575.47239506571</v>
      </c>
      <c r="L959" s="444">
        <f t="shared" ca="1" si="80"/>
        <v>-39421688.847210832</v>
      </c>
      <c r="M959" s="460">
        <f t="shared" si="82"/>
        <v>0.05</v>
      </c>
      <c r="N959" s="464">
        <f t="shared" si="83"/>
        <v>80233</v>
      </c>
    </row>
    <row r="960" spans="7:14" ht="11.25" customHeight="1" x14ac:dyDescent="0.25">
      <c r="G960" s="459">
        <f t="shared" si="99"/>
        <v>80</v>
      </c>
      <c r="H960" s="459">
        <v>953</v>
      </c>
      <c r="I960" s="444">
        <f t="shared" ca="1" si="81"/>
        <v>-39421688.847210832</v>
      </c>
      <c r="J960" s="444">
        <f t="array" ref="J960">IFERROR(INDEX('Retirement Calculator'!K:K,MATCH('Lorri 401b'!N960,'Retirement Calculator'!A:A,0),0),0)</f>
        <v>21655.303514578787</v>
      </c>
      <c r="K960" s="444">
        <f t="shared" ca="1" si="79"/>
        <v>-164347.2672946892</v>
      </c>
      <c r="L960" s="444">
        <f t="shared" ca="1" si="80"/>
        <v>-39607691.418020099</v>
      </c>
      <c r="M960" s="460">
        <f t="shared" si="82"/>
        <v>0.05</v>
      </c>
      <c r="N960" s="464">
        <f t="shared" si="83"/>
        <v>80263</v>
      </c>
    </row>
    <row r="961" spans="7:14" ht="11.25" customHeight="1" x14ac:dyDescent="0.25">
      <c r="G961" s="459">
        <f t="shared" si="99"/>
        <v>80</v>
      </c>
      <c r="H961" s="459">
        <v>954</v>
      </c>
      <c r="I961" s="444">
        <f t="shared" ca="1" si="81"/>
        <v>-39607691.418020099</v>
      </c>
      <c r="J961" s="444">
        <f t="array" ref="J961">IFERROR(INDEX('Retirement Calculator'!K:K,MATCH('Lorri 401b'!N961,'Retirement Calculator'!A:A,0),0),0)</f>
        <v>21655.303514578787</v>
      </c>
      <c r="K961" s="444">
        <f t="shared" ca="1" si="79"/>
        <v>-165122.27800639448</v>
      </c>
      <c r="L961" s="444">
        <f t="shared" ca="1" si="80"/>
        <v>-39794468.999541074</v>
      </c>
      <c r="M961" s="460">
        <f t="shared" si="82"/>
        <v>0.05</v>
      </c>
      <c r="N961" s="464">
        <f t="shared" si="83"/>
        <v>80294</v>
      </c>
    </row>
    <row r="962" spans="7:14" ht="11.25" customHeight="1" x14ac:dyDescent="0.25">
      <c r="G962" s="459">
        <f t="shared" si="99"/>
        <v>80</v>
      </c>
      <c r="H962" s="459">
        <v>955</v>
      </c>
      <c r="I962" s="444">
        <f t="shared" ca="1" si="81"/>
        <v>-39794468.999541074</v>
      </c>
      <c r="J962" s="444">
        <f t="array" ref="J962">IFERROR(INDEX('Retirement Calculator'!K:K,MATCH('Lorri 401b'!N962,'Retirement Calculator'!A:A,0),0),0)</f>
        <v>21655.303514578787</v>
      </c>
      <c r="K962" s="444">
        <f t="shared" ca="1" si="79"/>
        <v>-165900.51792939854</v>
      </c>
      <c r="L962" s="444">
        <f t="shared" ca="1" si="80"/>
        <v>-39982024.820985049</v>
      </c>
      <c r="M962" s="460">
        <f t="shared" si="82"/>
        <v>0.05</v>
      </c>
      <c r="N962" s="464">
        <f t="shared" si="83"/>
        <v>80324</v>
      </c>
    </row>
    <row r="963" spans="7:14" ht="11.25" customHeight="1" x14ac:dyDescent="0.25">
      <c r="G963" s="459">
        <f t="shared" si="99"/>
        <v>80</v>
      </c>
      <c r="H963" s="459">
        <v>956</v>
      </c>
      <c r="I963" s="444">
        <f t="shared" ca="1" si="81"/>
        <v>-39982024.820985049</v>
      </c>
      <c r="J963" s="444">
        <f t="array" ref="J963">IFERROR(INDEX('Retirement Calculator'!K:K,MATCH('Lorri 401b'!N963,'Retirement Calculator'!A:A,0),0),0)</f>
        <v>21655.303514578787</v>
      </c>
      <c r="K963" s="444">
        <f t="shared" ca="1" si="79"/>
        <v>-166682.00051874845</v>
      </c>
      <c r="L963" s="444">
        <f t="shared" ca="1" si="80"/>
        <v>-40170362.125018373</v>
      </c>
      <c r="M963" s="460">
        <f t="shared" si="82"/>
        <v>0.05</v>
      </c>
      <c r="N963" s="464">
        <f t="shared" si="83"/>
        <v>80355</v>
      </c>
    </row>
    <row r="964" spans="7:14" ht="11.25" customHeight="1" x14ac:dyDescent="0.25">
      <c r="G964" s="459">
        <f t="shared" si="99"/>
        <v>80</v>
      </c>
      <c r="H964" s="459">
        <v>957</v>
      </c>
      <c r="I964" s="444">
        <f t="shared" ca="1" si="81"/>
        <v>-40170362.125018373</v>
      </c>
      <c r="J964" s="444">
        <f t="array" ref="J964">IFERROR(INDEX('Retirement Calculator'!K:K,MATCH('Lorri 401b'!N964,'Retirement Calculator'!A:A,0),0),0)</f>
        <v>21655.303514578787</v>
      </c>
      <c r="K964" s="444">
        <f t="shared" ca="1" si="79"/>
        <v>-167466.73928555395</v>
      </c>
      <c r="L964" s="444">
        <f t="shared" ca="1" si="80"/>
        <v>-40359484.167818502</v>
      </c>
      <c r="M964" s="460">
        <f t="shared" si="82"/>
        <v>0.05</v>
      </c>
      <c r="N964" s="464">
        <f t="shared" si="83"/>
        <v>80386</v>
      </c>
    </row>
    <row r="965" spans="7:14" ht="11.25" customHeight="1" x14ac:dyDescent="0.25">
      <c r="G965" s="459">
        <f t="shared" si="99"/>
        <v>80</v>
      </c>
      <c r="H965" s="459">
        <v>958</v>
      </c>
      <c r="I965" s="444">
        <f t="shared" ca="1" si="81"/>
        <v>-40359484.167818502</v>
      </c>
      <c r="J965" s="444">
        <f t="array" ref="J965">IFERROR(INDEX('Retirement Calculator'!K:K,MATCH('Lorri 401b'!N965,'Retirement Calculator'!A:A,0),0),0)</f>
        <v>21655.303514578787</v>
      </c>
      <c r="K965" s="444">
        <f t="shared" ca="1" si="79"/>
        <v>-168254.74779722115</v>
      </c>
      <c r="L965" s="444">
        <f t="shared" ca="1" si="80"/>
        <v>-40549394.2191303</v>
      </c>
      <c r="M965" s="460">
        <f t="shared" si="82"/>
        <v>0.05</v>
      </c>
      <c r="N965" s="464">
        <f t="shared" si="83"/>
        <v>80415</v>
      </c>
    </row>
    <row r="966" spans="7:14" ht="11.25" customHeight="1" x14ac:dyDescent="0.25">
      <c r="G966" s="459">
        <f t="shared" si="99"/>
        <v>80</v>
      </c>
      <c r="H966" s="459">
        <v>959</v>
      </c>
      <c r="I966" s="444">
        <f t="shared" ca="1" si="81"/>
        <v>-40549394.2191303</v>
      </c>
      <c r="J966" s="444">
        <f t="array" ref="J966">IFERROR(INDEX('Retirement Calculator'!K:K,MATCH('Lorri 401b'!N966,'Retirement Calculator'!A:A,0),0),0)</f>
        <v>21655.303514578787</v>
      </c>
      <c r="K966" s="444">
        <f t="shared" ca="1" si="79"/>
        <v>-169046.03967768699</v>
      </c>
      <c r="L966" s="444">
        <f t="shared" ca="1" si="80"/>
        <v>-40740095.562322564</v>
      </c>
      <c r="M966" s="460">
        <f t="shared" si="82"/>
        <v>0.05</v>
      </c>
      <c r="N966" s="464">
        <f t="shared" si="83"/>
        <v>80446</v>
      </c>
    </row>
    <row r="967" spans="7:14" ht="11.25" customHeight="1" x14ac:dyDescent="0.25">
      <c r="G967" s="459">
        <f t="shared" si="99"/>
        <v>80</v>
      </c>
      <c r="H967" s="459">
        <v>960</v>
      </c>
      <c r="I967" s="444">
        <f t="shared" ca="1" si="81"/>
        <v>-40740095.562322564</v>
      </c>
      <c r="J967" s="444">
        <f t="array" ref="J967">IFERROR(INDEX('Retirement Calculator'!K:K,MATCH('Lorri 401b'!N967,'Retirement Calculator'!A:A,0),0),0)</f>
        <v>21655.303514578787</v>
      </c>
      <c r="K967" s="444">
        <f t="shared" ca="1" si="79"/>
        <v>-169840.62860765477</v>
      </c>
      <c r="L967" s="444">
        <f t="shared" ca="1" si="80"/>
        <v>-40931591.494444795</v>
      </c>
      <c r="M967" s="460">
        <f t="shared" si="82"/>
        <v>0.05</v>
      </c>
      <c r="N967" s="464">
        <f t="shared" si="83"/>
        <v>80476</v>
      </c>
    </row>
    <row r="968" spans="7:14" ht="11.25" customHeight="1" x14ac:dyDescent="0.25">
      <c r="G968" s="459">
        <f>G967+1</f>
        <v>81</v>
      </c>
      <c r="H968" s="459">
        <v>961</v>
      </c>
      <c r="I968" s="444">
        <f t="shared" ca="1" si="81"/>
        <v>-40931591.494444795</v>
      </c>
      <c r="J968" s="444">
        <f t="array" ref="J968">IFERROR(INDEX('Retirement Calculator'!K:K,MATCH('Lorri 401b'!N968,'Retirement Calculator'!A:A,0),0),0)</f>
        <v>21655.303514578787</v>
      </c>
      <c r="K968" s="444">
        <f t="shared" ca="1" si="79"/>
        <v>-170638.52832483072</v>
      </c>
      <c r="L968" s="444">
        <f t="shared" ca="1" si="80"/>
        <v>-41123885.3262842</v>
      </c>
      <c r="M968" s="460">
        <f t="shared" si="82"/>
        <v>0.05</v>
      </c>
      <c r="N968" s="464">
        <f t="shared" si="83"/>
        <v>80507</v>
      </c>
    </row>
    <row r="969" spans="7:14" ht="11.25" customHeight="1" x14ac:dyDescent="0.25">
      <c r="G969" s="459">
        <f t="shared" ref="G969:G979" si="100">G968</f>
        <v>81</v>
      </c>
      <c r="H969" s="459">
        <v>962</v>
      </c>
      <c r="I969" s="444">
        <f t="shared" ca="1" si="81"/>
        <v>-41123885.3262842</v>
      </c>
      <c r="J969" s="444">
        <f t="array" ref="J969">IFERROR(INDEX('Retirement Calculator'!K:K,MATCH('Lorri 401b'!N969,'Retirement Calculator'!A:A,0),0),0)</f>
        <v>21655.303514578787</v>
      </c>
      <c r="K969" s="444">
        <f t="shared" ca="1" si="79"/>
        <v>-171439.75262416157</v>
      </c>
      <c r="L969" s="444">
        <f t="shared" ca="1" si="80"/>
        <v>-41316980.382422939</v>
      </c>
      <c r="M969" s="460">
        <f t="shared" si="82"/>
        <v>0.05</v>
      </c>
      <c r="N969" s="464">
        <f t="shared" si="83"/>
        <v>80537</v>
      </c>
    </row>
    <row r="970" spans="7:14" ht="11.25" customHeight="1" x14ac:dyDescent="0.25">
      <c r="G970" s="459">
        <f t="shared" si="100"/>
        <v>81</v>
      </c>
      <c r="H970" s="459">
        <v>963</v>
      </c>
      <c r="I970" s="444">
        <f t="shared" ca="1" si="81"/>
        <v>-41316980.382422939</v>
      </c>
      <c r="J970" s="444">
        <f t="array" ref="J970">IFERROR(INDEX('Retirement Calculator'!K:K,MATCH('Lorri 401b'!N970,'Retirement Calculator'!A:A,0),0),0)</f>
        <v>21655.303514578787</v>
      </c>
      <c r="K970" s="444">
        <f t="shared" ca="1" si="79"/>
        <v>-172244.31535807298</v>
      </c>
      <c r="L970" s="444">
        <f t="shared" ca="1" si="80"/>
        <v>-41510880.001295589</v>
      </c>
      <c r="M970" s="460">
        <f t="shared" si="82"/>
        <v>0.05</v>
      </c>
      <c r="N970" s="464">
        <f t="shared" si="83"/>
        <v>80568</v>
      </c>
    </row>
    <row r="971" spans="7:14" ht="11.25" customHeight="1" x14ac:dyDescent="0.25">
      <c r="G971" s="459">
        <f t="shared" si="100"/>
        <v>81</v>
      </c>
      <c r="H971" s="459">
        <v>964</v>
      </c>
      <c r="I971" s="444">
        <f t="shared" ca="1" si="81"/>
        <v>-41510880.001295589</v>
      </c>
      <c r="J971" s="444">
        <f t="array" ref="J971">IFERROR(INDEX('Retirement Calculator'!K:K,MATCH('Lorri 401b'!N971,'Retirement Calculator'!A:A,0),0),0)</f>
        <v>21655.303514578787</v>
      </c>
      <c r="K971" s="444">
        <f t="shared" ca="1" si="79"/>
        <v>-173052.23043670901</v>
      </c>
      <c r="L971" s="444">
        <f t="shared" ca="1" si="80"/>
        <v>-41705587.535246879</v>
      </c>
      <c r="M971" s="460">
        <f t="shared" si="82"/>
        <v>0.05</v>
      </c>
      <c r="N971" s="464">
        <f t="shared" si="83"/>
        <v>80599</v>
      </c>
    </row>
    <row r="972" spans="7:14" ht="11.25" customHeight="1" x14ac:dyDescent="0.25">
      <c r="G972" s="459">
        <f t="shared" si="100"/>
        <v>81</v>
      </c>
      <c r="H972" s="459">
        <v>965</v>
      </c>
      <c r="I972" s="444">
        <f t="shared" ca="1" si="81"/>
        <v>-41705587.535246879</v>
      </c>
      <c r="J972" s="444">
        <f t="array" ref="J972">IFERROR(INDEX('Retirement Calculator'!K:K,MATCH('Lorri 401b'!N972,'Retirement Calculator'!A:A,0),0),0)</f>
        <v>21655.303514578787</v>
      </c>
      <c r="K972" s="444">
        <f t="shared" ca="1" si="79"/>
        <v>-173863.51182817272</v>
      </c>
      <c r="L972" s="444">
        <f t="shared" ca="1" si="80"/>
        <v>-41901106.350589626</v>
      </c>
      <c r="M972" s="460">
        <f t="shared" si="82"/>
        <v>0.05</v>
      </c>
      <c r="N972" s="464">
        <f t="shared" si="83"/>
        <v>80629</v>
      </c>
    </row>
    <row r="973" spans="7:14" ht="11.25" customHeight="1" x14ac:dyDescent="0.25">
      <c r="G973" s="459">
        <f t="shared" si="100"/>
        <v>81</v>
      </c>
      <c r="H973" s="459">
        <v>966</v>
      </c>
      <c r="I973" s="444">
        <f t="shared" ca="1" si="81"/>
        <v>-41901106.350589626</v>
      </c>
      <c r="J973" s="444">
        <f t="array" ref="J973">IFERROR(INDEX('Retirement Calculator'!K:K,MATCH('Lorri 401b'!N973,'Retirement Calculator'!A:A,0),0),0)</f>
        <v>21655.303514578787</v>
      </c>
      <c r="K973" s="444">
        <f t="shared" ca="1" si="79"/>
        <v>-174678.17355876751</v>
      </c>
      <c r="L973" s="444">
        <f t="shared" ca="1" si="80"/>
        <v>-42097439.827662967</v>
      </c>
      <c r="M973" s="460">
        <f t="shared" si="82"/>
        <v>0.05</v>
      </c>
      <c r="N973" s="464">
        <f t="shared" si="83"/>
        <v>80660</v>
      </c>
    </row>
    <row r="974" spans="7:14" ht="11.25" customHeight="1" x14ac:dyDescent="0.25">
      <c r="G974" s="459">
        <f t="shared" si="100"/>
        <v>81</v>
      </c>
      <c r="H974" s="459">
        <v>967</v>
      </c>
      <c r="I974" s="444">
        <f t="shared" ca="1" si="81"/>
        <v>-42097439.827662967</v>
      </c>
      <c r="J974" s="444">
        <f t="array" ref="J974">IFERROR(INDEX('Retirement Calculator'!K:K,MATCH('Lorri 401b'!N974,'Retirement Calculator'!A:A,0),0),0)</f>
        <v>21655.303514578787</v>
      </c>
      <c r="K974" s="444">
        <f t="shared" ca="1" si="79"/>
        <v>-175496.22971323977</v>
      </c>
      <c r="L974" s="444">
        <f t="shared" ca="1" si="80"/>
        <v>-42294591.360890783</v>
      </c>
      <c r="M974" s="460">
        <f t="shared" si="82"/>
        <v>0.05</v>
      </c>
      <c r="N974" s="464">
        <f t="shared" si="83"/>
        <v>80690</v>
      </c>
    </row>
    <row r="975" spans="7:14" ht="11.25" customHeight="1" x14ac:dyDescent="0.25">
      <c r="G975" s="459">
        <f t="shared" si="100"/>
        <v>81</v>
      </c>
      <c r="H975" s="459">
        <v>968</v>
      </c>
      <c r="I975" s="444">
        <f t="shared" ca="1" si="81"/>
        <v>-42294591.360890783</v>
      </c>
      <c r="J975" s="444">
        <f t="array" ref="J975">IFERROR(INDEX('Retirement Calculator'!K:K,MATCH('Lorri 401b'!N975,'Retirement Calculator'!A:A,0),0),0)</f>
        <v>21655.303514578787</v>
      </c>
      <c r="K975" s="444">
        <f t="shared" ca="1" si="79"/>
        <v>-176317.69443502233</v>
      </c>
      <c r="L975" s="444">
        <f t="shared" ca="1" si="80"/>
        <v>-42492564.358840384</v>
      </c>
      <c r="M975" s="460">
        <f t="shared" si="82"/>
        <v>0.05</v>
      </c>
      <c r="N975" s="464">
        <f t="shared" si="83"/>
        <v>80721</v>
      </c>
    </row>
    <row r="976" spans="7:14" ht="11.25" customHeight="1" x14ac:dyDescent="0.25">
      <c r="G976" s="459">
        <f t="shared" si="100"/>
        <v>81</v>
      </c>
      <c r="H976" s="459">
        <v>969</v>
      </c>
      <c r="I976" s="444">
        <f t="shared" ca="1" si="81"/>
        <v>-42492564.358840384</v>
      </c>
      <c r="J976" s="444">
        <f t="array" ref="J976">IFERROR(INDEX('Retirement Calculator'!K:K,MATCH('Lorri 401b'!N976,'Retirement Calculator'!A:A,0),0),0)</f>
        <v>21655.303514578787</v>
      </c>
      <c r="K976" s="444">
        <f t="shared" ca="1" si="79"/>
        <v>-177142.581926479</v>
      </c>
      <c r="L976" s="444">
        <f t="shared" ca="1" si="80"/>
        <v>-42691362.244281441</v>
      </c>
      <c r="M976" s="460">
        <f t="shared" si="82"/>
        <v>0.05</v>
      </c>
      <c r="N976" s="464">
        <f t="shared" si="83"/>
        <v>80752</v>
      </c>
    </row>
    <row r="977" spans="7:14" ht="11.25" customHeight="1" x14ac:dyDescent="0.25">
      <c r="G977" s="459">
        <f t="shared" si="100"/>
        <v>81</v>
      </c>
      <c r="H977" s="459">
        <v>970</v>
      </c>
      <c r="I977" s="444">
        <f t="shared" ca="1" si="81"/>
        <v>-42691362.244281441</v>
      </c>
      <c r="J977" s="444">
        <f t="array" ref="J977">IFERROR(INDEX('Retirement Calculator'!K:K,MATCH('Lorri 401b'!N977,'Retirement Calculator'!A:A,0),0),0)</f>
        <v>21655.303514578787</v>
      </c>
      <c r="K977" s="444">
        <f t="shared" ca="1" si="79"/>
        <v>-177970.90644915006</v>
      </c>
      <c r="L977" s="444">
        <f t="shared" ca="1" si="80"/>
        <v>-42890988.454245165</v>
      </c>
      <c r="M977" s="460">
        <f t="shared" si="82"/>
        <v>0.05</v>
      </c>
      <c r="N977" s="464">
        <f t="shared" si="83"/>
        <v>80780</v>
      </c>
    </row>
    <row r="978" spans="7:14" ht="11.25" customHeight="1" x14ac:dyDescent="0.25">
      <c r="G978" s="459">
        <f t="shared" si="100"/>
        <v>81</v>
      </c>
      <c r="H978" s="459">
        <v>971</v>
      </c>
      <c r="I978" s="444">
        <f t="shared" ca="1" si="81"/>
        <v>-42890988.454245165</v>
      </c>
      <c r="J978" s="444">
        <f t="array" ref="J978">IFERROR(INDEX('Retirement Calculator'!K:K,MATCH('Lorri 401b'!N978,'Retirement Calculator'!A:A,0),0),0)</f>
        <v>21655.303514578787</v>
      </c>
      <c r="K978" s="444">
        <f t="shared" ca="1" si="79"/>
        <v>-178802.68232399892</v>
      </c>
      <c r="L978" s="444">
        <f t="shared" ca="1" si="80"/>
        <v>-43091446.440083742</v>
      </c>
      <c r="M978" s="460">
        <f t="shared" si="82"/>
        <v>0.05</v>
      </c>
      <c r="N978" s="464">
        <f t="shared" si="83"/>
        <v>80811</v>
      </c>
    </row>
    <row r="979" spans="7:14" ht="11.25" customHeight="1" x14ac:dyDescent="0.25">
      <c r="G979" s="459">
        <f t="shared" si="100"/>
        <v>81</v>
      </c>
      <c r="H979" s="459">
        <v>972</v>
      </c>
      <c r="I979" s="444">
        <f t="shared" ca="1" si="81"/>
        <v>-43091446.440083742</v>
      </c>
      <c r="J979" s="444">
        <f t="array" ref="J979">IFERROR(INDEX('Retirement Calculator'!K:K,MATCH('Lorri 401b'!N979,'Retirement Calculator'!A:A,0),0),0)</f>
        <v>21655.303514578787</v>
      </c>
      <c r="K979" s="444">
        <f t="shared" ca="1" si="79"/>
        <v>-179637.92393165966</v>
      </c>
      <c r="L979" s="444">
        <f t="shared" ca="1" si="80"/>
        <v>-43292739.667529978</v>
      </c>
      <c r="M979" s="460">
        <f t="shared" si="82"/>
        <v>0.05</v>
      </c>
      <c r="N979" s="464">
        <f t="shared" si="83"/>
        <v>80841</v>
      </c>
    </row>
    <row r="980" spans="7:14" ht="11.25" customHeight="1" x14ac:dyDescent="0.25">
      <c r="G980" s="459">
        <f>G979+1</f>
        <v>82</v>
      </c>
      <c r="H980" s="459">
        <v>973</v>
      </c>
      <c r="I980" s="444">
        <f t="shared" ca="1" si="81"/>
        <v>-43292739.667529978</v>
      </c>
      <c r="J980" s="444">
        <f t="array" ref="J980">IFERROR(INDEX('Retirement Calculator'!K:K,MATCH('Lorri 401b'!N980,'Retirement Calculator'!A:A,0),0),0)</f>
        <v>21655.303514578787</v>
      </c>
      <c r="K980" s="444">
        <f t="shared" ca="1" si="79"/>
        <v>-180476.64571268565</v>
      </c>
      <c r="L980" s="444">
        <f t="shared" ca="1" si="80"/>
        <v>-43494871.616757244</v>
      </c>
      <c r="M980" s="460">
        <f t="shared" si="82"/>
        <v>0.05</v>
      </c>
      <c r="N980" s="464">
        <f t="shared" si="83"/>
        <v>80872</v>
      </c>
    </row>
    <row r="981" spans="7:14" ht="11.25" customHeight="1" x14ac:dyDescent="0.25">
      <c r="G981" s="459">
        <f t="shared" ref="G981:G991" si="101">G980</f>
        <v>82</v>
      </c>
      <c r="H981" s="459">
        <v>974</v>
      </c>
      <c r="I981" s="444">
        <f t="shared" ca="1" si="81"/>
        <v>-43494871.616757244</v>
      </c>
      <c r="J981" s="444">
        <f t="array" ref="J981">IFERROR(INDEX('Retirement Calculator'!K:K,MATCH('Lorri 401b'!N981,'Retirement Calculator'!A:A,0),0),0)</f>
        <v>21655.303514578787</v>
      </c>
      <c r="K981" s="444">
        <f t="shared" ca="1" si="79"/>
        <v>-181318.86216779926</v>
      </c>
      <c r="L981" s="444">
        <f t="shared" ca="1" si="80"/>
        <v>-43697845.782439619</v>
      </c>
      <c r="M981" s="460">
        <f t="shared" si="82"/>
        <v>0.05</v>
      </c>
      <c r="N981" s="464">
        <f t="shared" si="83"/>
        <v>80902</v>
      </c>
    </row>
    <row r="982" spans="7:14" ht="11.25" customHeight="1" x14ac:dyDescent="0.25">
      <c r="G982" s="459">
        <f t="shared" si="101"/>
        <v>82</v>
      </c>
      <c r="H982" s="459">
        <v>975</v>
      </c>
      <c r="I982" s="444">
        <f t="shared" ca="1" si="81"/>
        <v>-43697845.782439619</v>
      </c>
      <c r="J982" s="444">
        <f t="array" ref="J982">IFERROR(INDEX('Retirement Calculator'!K:K,MATCH('Lorri 401b'!N982,'Retirement Calculator'!A:A,0),0),0)</f>
        <v>21655.303514578787</v>
      </c>
      <c r="K982" s="444">
        <f t="shared" ca="1" si="79"/>
        <v>-182164.58785814248</v>
      </c>
      <c r="L982" s="444">
        <f t="shared" ca="1" si="80"/>
        <v>-43901665.673812337</v>
      </c>
      <c r="M982" s="460">
        <f t="shared" si="82"/>
        <v>0.05</v>
      </c>
      <c r="N982" s="464">
        <f t="shared" si="83"/>
        <v>80933</v>
      </c>
    </row>
    <row r="983" spans="7:14" ht="11.25" customHeight="1" x14ac:dyDescent="0.25">
      <c r="G983" s="459">
        <f t="shared" si="101"/>
        <v>82</v>
      </c>
      <c r="H983" s="459">
        <v>976</v>
      </c>
      <c r="I983" s="444">
        <f t="shared" ca="1" si="81"/>
        <v>-43901665.673812337</v>
      </c>
      <c r="J983" s="444">
        <f t="array" ref="J983">IFERROR(INDEX('Retirement Calculator'!K:K,MATCH('Lorri 401b'!N983,'Retirement Calculator'!A:A,0),0),0)</f>
        <v>21655.303514578787</v>
      </c>
      <c r="K983" s="444">
        <f t="shared" ca="1" si="79"/>
        <v>-183013.83740552881</v>
      </c>
      <c r="L983" s="444">
        <f t="shared" ca="1" si="80"/>
        <v>-44106334.81473244</v>
      </c>
      <c r="M983" s="460">
        <f t="shared" si="82"/>
        <v>0.05</v>
      </c>
      <c r="N983" s="464">
        <f t="shared" si="83"/>
        <v>80964</v>
      </c>
    </row>
    <row r="984" spans="7:14" ht="11.25" customHeight="1" x14ac:dyDescent="0.25">
      <c r="G984" s="459">
        <f t="shared" si="101"/>
        <v>82</v>
      </c>
      <c r="H984" s="459">
        <v>977</v>
      </c>
      <c r="I984" s="444">
        <f t="shared" ca="1" si="81"/>
        <v>-44106334.81473244</v>
      </c>
      <c r="J984" s="444">
        <f t="array" ref="J984">IFERROR(INDEX('Retirement Calculator'!K:K,MATCH('Lorri 401b'!N984,'Retirement Calculator'!A:A,0),0),0)</f>
        <v>21655.303514578787</v>
      </c>
      <c r="K984" s="444">
        <f t="shared" ca="1" si="79"/>
        <v>-183866.62549269589</v>
      </c>
      <c r="L984" s="444">
        <f t="shared" ca="1" si="80"/>
        <v>-44311856.743739717</v>
      </c>
      <c r="M984" s="460">
        <f t="shared" si="82"/>
        <v>0.05</v>
      </c>
      <c r="N984" s="464">
        <f t="shared" si="83"/>
        <v>80994</v>
      </c>
    </row>
    <row r="985" spans="7:14" ht="11.25" customHeight="1" x14ac:dyDescent="0.25">
      <c r="G985" s="459">
        <f t="shared" si="101"/>
        <v>82</v>
      </c>
      <c r="H985" s="459">
        <v>978</v>
      </c>
      <c r="I985" s="444">
        <f t="shared" ca="1" si="81"/>
        <v>-44311856.743739717</v>
      </c>
      <c r="J985" s="444">
        <f t="array" ref="J985">IFERROR(INDEX('Retirement Calculator'!K:K,MATCH('Lorri 401b'!N985,'Retirement Calculator'!A:A,0),0),0)</f>
        <v>21655.303514578787</v>
      </c>
      <c r="K985" s="444">
        <f t="shared" ca="1" si="79"/>
        <v>-184722.96686355956</v>
      </c>
      <c r="L985" s="444">
        <f t="shared" ca="1" si="80"/>
        <v>-44518235.014117852</v>
      </c>
      <c r="M985" s="460">
        <f t="shared" si="82"/>
        <v>0.05</v>
      </c>
      <c r="N985" s="464">
        <f t="shared" si="83"/>
        <v>81025</v>
      </c>
    </row>
    <row r="986" spans="7:14" ht="11.25" customHeight="1" x14ac:dyDescent="0.25">
      <c r="G986" s="459">
        <f t="shared" si="101"/>
        <v>82</v>
      </c>
      <c r="H986" s="459">
        <v>979</v>
      </c>
      <c r="I986" s="444">
        <f t="shared" ca="1" si="81"/>
        <v>-44518235.014117852</v>
      </c>
      <c r="J986" s="444">
        <f t="array" ref="J986">IFERROR(INDEX('Retirement Calculator'!K:K,MATCH('Lorri 401b'!N986,'Retirement Calculator'!A:A,0),0),0)</f>
        <v>21655.303514578787</v>
      </c>
      <c r="K986" s="444">
        <f t="shared" ca="1" si="79"/>
        <v>-185582.87632346846</v>
      </c>
      <c r="L986" s="444">
        <f t="shared" ca="1" si="80"/>
        <v>-44725473.193955898</v>
      </c>
      <c r="M986" s="460">
        <f t="shared" si="82"/>
        <v>0.05</v>
      </c>
      <c r="N986" s="464">
        <f t="shared" si="83"/>
        <v>81055</v>
      </c>
    </row>
    <row r="987" spans="7:14" ht="11.25" customHeight="1" x14ac:dyDescent="0.25">
      <c r="G987" s="459">
        <f t="shared" si="101"/>
        <v>82</v>
      </c>
      <c r="H987" s="459">
        <v>980</v>
      </c>
      <c r="I987" s="444">
        <f t="shared" ca="1" si="81"/>
        <v>-44725473.193955898</v>
      </c>
      <c r="J987" s="444">
        <f t="array" ref="J987">IFERROR(INDEX('Retirement Calculator'!K:K,MATCH('Lorri 401b'!N987,'Retirement Calculator'!A:A,0),0),0)</f>
        <v>21655.303514578787</v>
      </c>
      <c r="K987" s="444">
        <f t="shared" ca="1" si="79"/>
        <v>-186446.3687394603</v>
      </c>
      <c r="L987" s="444">
        <f t="shared" ca="1" si="80"/>
        <v>-44933574.866209939</v>
      </c>
      <c r="M987" s="460">
        <f t="shared" si="82"/>
        <v>0.05</v>
      </c>
      <c r="N987" s="464">
        <f t="shared" si="83"/>
        <v>81086</v>
      </c>
    </row>
    <row r="988" spans="7:14" ht="11.25" customHeight="1" x14ac:dyDescent="0.25">
      <c r="G988" s="459">
        <f t="shared" si="101"/>
        <v>82</v>
      </c>
      <c r="H988" s="459">
        <v>981</v>
      </c>
      <c r="I988" s="444">
        <f t="shared" ca="1" si="81"/>
        <v>-44933574.866209939</v>
      </c>
      <c r="J988" s="444">
        <f t="array" ref="J988">IFERROR(INDEX('Retirement Calculator'!K:K,MATCH('Lorri 401b'!N988,'Retirement Calculator'!A:A,0),0),0)</f>
        <v>21655.303514578787</v>
      </c>
      <c r="K988" s="444">
        <f t="shared" ca="1" si="79"/>
        <v>-187313.45904051882</v>
      </c>
      <c r="L988" s="444">
        <f t="shared" ca="1" si="80"/>
        <v>-45142543.628765032</v>
      </c>
      <c r="M988" s="460">
        <f t="shared" si="82"/>
        <v>0.05</v>
      </c>
      <c r="N988" s="464">
        <f t="shared" si="83"/>
        <v>81117</v>
      </c>
    </row>
    <row r="989" spans="7:14" ht="11.25" customHeight="1" x14ac:dyDescent="0.25">
      <c r="G989" s="459">
        <f t="shared" si="101"/>
        <v>82</v>
      </c>
      <c r="H989" s="459">
        <v>982</v>
      </c>
      <c r="I989" s="444">
        <f t="shared" ca="1" si="81"/>
        <v>-45142543.628765032</v>
      </c>
      <c r="J989" s="444">
        <f t="array" ref="J989">IFERROR(INDEX('Retirement Calculator'!K:K,MATCH('Lorri 401b'!N989,'Retirement Calculator'!A:A,0),0),0)</f>
        <v>21655.303514578787</v>
      </c>
      <c r="K989" s="444">
        <f t="shared" ca="1" si="79"/>
        <v>-188184.1622178317</v>
      </c>
      <c r="L989" s="444">
        <f t="shared" ca="1" si="80"/>
        <v>-45352383.094497442</v>
      </c>
      <c r="M989" s="460">
        <f t="shared" si="82"/>
        <v>0.05</v>
      </c>
      <c r="N989" s="464">
        <f t="shared" si="83"/>
        <v>81145</v>
      </c>
    </row>
    <row r="990" spans="7:14" ht="11.25" customHeight="1" x14ac:dyDescent="0.25">
      <c r="G990" s="459">
        <f t="shared" si="101"/>
        <v>82</v>
      </c>
      <c r="H990" s="459">
        <v>983</v>
      </c>
      <c r="I990" s="444">
        <f t="shared" ca="1" si="81"/>
        <v>-45352383.094497442</v>
      </c>
      <c r="J990" s="444">
        <f t="array" ref="J990">IFERROR(INDEX('Retirement Calculator'!K:K,MATCH('Lorri 401b'!N990,'Retirement Calculator'!A:A,0),0),0)</f>
        <v>21655.303514578787</v>
      </c>
      <c r="K990" s="444">
        <f t="shared" ca="1" si="79"/>
        <v>-189058.49332505008</v>
      </c>
      <c r="L990" s="444">
        <f t="shared" ca="1" si="80"/>
        <v>-45563096.891337067</v>
      </c>
      <c r="M990" s="460">
        <f t="shared" si="82"/>
        <v>0.05</v>
      </c>
      <c r="N990" s="464">
        <f t="shared" si="83"/>
        <v>81176</v>
      </c>
    </row>
    <row r="991" spans="7:14" ht="11.25" customHeight="1" x14ac:dyDescent="0.25">
      <c r="G991" s="459">
        <f t="shared" si="101"/>
        <v>82</v>
      </c>
      <c r="H991" s="459">
        <v>984</v>
      </c>
      <c r="I991" s="444">
        <f t="shared" ca="1" si="81"/>
        <v>-45563096.891337067</v>
      </c>
      <c r="J991" s="444">
        <f t="array" ref="J991">IFERROR(INDEX('Retirement Calculator'!K:K,MATCH('Lorri 401b'!N991,'Retirement Calculator'!A:A,0),0),0)</f>
        <v>21655.303514578787</v>
      </c>
      <c r="K991" s="444">
        <f t="shared" ca="1" si="79"/>
        <v>-189936.46747854853</v>
      </c>
      <c r="L991" s="444">
        <f t="shared" ca="1" si="80"/>
        <v>-45774688.662330195</v>
      </c>
      <c r="M991" s="460">
        <f t="shared" si="82"/>
        <v>0.05</v>
      </c>
      <c r="N991" s="464">
        <f t="shared" si="83"/>
        <v>81206</v>
      </c>
    </row>
    <row r="992" spans="7:14" ht="11.25" customHeight="1" x14ac:dyDescent="0.25">
      <c r="G992" s="459">
        <f>G991+1</f>
        <v>83</v>
      </c>
      <c r="H992" s="459">
        <v>985</v>
      </c>
      <c r="I992" s="444">
        <f t="shared" ca="1" si="81"/>
        <v>-45774688.662330195</v>
      </c>
      <c r="J992" s="444">
        <f t="array" ref="J992">IFERROR(INDEX('Retirement Calculator'!K:K,MATCH('Lorri 401b'!N992,'Retirement Calculator'!A:A,0),0),0)</f>
        <v>21655.303514578787</v>
      </c>
      <c r="K992" s="444">
        <f t="shared" ca="1" si="79"/>
        <v>-190818.09985768655</v>
      </c>
      <c r="L992" s="444">
        <f t="shared" ca="1" si="80"/>
        <v>-45987162.065702461</v>
      </c>
      <c r="M992" s="460">
        <f t="shared" si="82"/>
        <v>0.05</v>
      </c>
      <c r="N992" s="464">
        <f t="shared" si="83"/>
        <v>81237</v>
      </c>
    </row>
    <row r="993" spans="7:14" ht="11.25" customHeight="1" x14ac:dyDescent="0.25">
      <c r="G993" s="459">
        <f t="shared" ref="G993:G1003" si="102">G992</f>
        <v>83</v>
      </c>
      <c r="H993" s="459">
        <v>986</v>
      </c>
      <c r="I993" s="444">
        <f t="shared" ca="1" si="81"/>
        <v>-45987162.065702461</v>
      </c>
      <c r="J993" s="444">
        <f t="array" ref="J993">IFERROR(INDEX('Retirement Calculator'!K:K,MATCH('Lorri 401b'!N993,'Retirement Calculator'!A:A,0),0),0)</f>
        <v>21655.303514578787</v>
      </c>
      <c r="K993" s="444">
        <f t="shared" ca="1" si="79"/>
        <v>-191703.405705071</v>
      </c>
      <c r="L993" s="444">
        <f t="shared" ca="1" si="80"/>
        <v>-46200520.77492211</v>
      </c>
      <c r="M993" s="460">
        <f t="shared" si="82"/>
        <v>0.05</v>
      </c>
      <c r="N993" s="464">
        <f t="shared" si="83"/>
        <v>81267</v>
      </c>
    </row>
    <row r="994" spans="7:14" ht="11.25" customHeight="1" x14ac:dyDescent="0.25">
      <c r="G994" s="459">
        <f t="shared" si="102"/>
        <v>83</v>
      </c>
      <c r="H994" s="459">
        <v>987</v>
      </c>
      <c r="I994" s="444">
        <f t="shared" ca="1" si="81"/>
        <v>-46200520.77492211</v>
      </c>
      <c r="J994" s="444">
        <f t="array" ref="J994">IFERROR(INDEX('Retirement Calculator'!K:K,MATCH('Lorri 401b'!N994,'Retirement Calculator'!A:A,0),0),0)</f>
        <v>21655.303514578787</v>
      </c>
      <c r="K994" s="444">
        <f t="shared" ca="1" si="79"/>
        <v>-192592.40032681954</v>
      </c>
      <c r="L994" s="444">
        <f t="shared" ca="1" si="80"/>
        <v>-46414768.478763506</v>
      </c>
      <c r="M994" s="460">
        <f t="shared" si="82"/>
        <v>0.05</v>
      </c>
      <c r="N994" s="464">
        <f t="shared" si="83"/>
        <v>81298</v>
      </c>
    </row>
    <row r="995" spans="7:14" ht="11.25" customHeight="1" x14ac:dyDescent="0.25">
      <c r="G995" s="459">
        <f t="shared" si="102"/>
        <v>83</v>
      </c>
      <c r="H995" s="459">
        <v>988</v>
      </c>
      <c r="I995" s="444">
        <f t="shared" ca="1" si="81"/>
        <v>-46414768.478763506</v>
      </c>
      <c r="J995" s="444">
        <f t="array" ref="J995">IFERROR(INDEX('Retirement Calculator'!K:K,MATCH('Lorri 401b'!N995,'Retirement Calculator'!A:A,0),0),0)</f>
        <v>21655.303514578787</v>
      </c>
      <c r="K995" s="444">
        <f t="shared" ca="1" si="79"/>
        <v>-193485.09909282534</v>
      </c>
      <c r="L995" s="444">
        <f t="shared" ca="1" si="80"/>
        <v>-46629908.88137091</v>
      </c>
      <c r="M995" s="460">
        <f t="shared" si="82"/>
        <v>0.05</v>
      </c>
      <c r="N995" s="464">
        <f t="shared" si="83"/>
        <v>81329</v>
      </c>
    </row>
    <row r="996" spans="7:14" ht="11.25" customHeight="1" x14ac:dyDescent="0.25">
      <c r="G996" s="459">
        <f t="shared" si="102"/>
        <v>83</v>
      </c>
      <c r="H996" s="459">
        <v>989</v>
      </c>
      <c r="I996" s="444">
        <f t="shared" ca="1" si="81"/>
        <v>-46629908.88137091</v>
      </c>
      <c r="J996" s="444">
        <f t="array" ref="J996">IFERROR(INDEX('Retirement Calculator'!K:K,MATCH('Lorri 401b'!N996,'Retirement Calculator'!A:A,0),0),0)</f>
        <v>21655.303514578787</v>
      </c>
      <c r="K996" s="444">
        <f t="shared" ca="1" si="79"/>
        <v>-194381.51743702285</v>
      </c>
      <c r="L996" s="444">
        <f t="shared" ca="1" si="80"/>
        <v>-46845945.702322513</v>
      </c>
      <c r="M996" s="460">
        <f t="shared" si="82"/>
        <v>0.05</v>
      </c>
      <c r="N996" s="464">
        <f t="shared" si="83"/>
        <v>81359</v>
      </c>
    </row>
    <row r="997" spans="7:14" ht="11.25" customHeight="1" x14ac:dyDescent="0.25">
      <c r="G997" s="459">
        <f t="shared" si="102"/>
        <v>83</v>
      </c>
      <c r="H997" s="459">
        <v>990</v>
      </c>
      <c r="I997" s="444">
        <f t="shared" ca="1" si="81"/>
        <v>-46845945.702322513</v>
      </c>
      <c r="J997" s="444">
        <f t="array" ref="J997">IFERROR(INDEX('Retirement Calculator'!K:K,MATCH('Lorri 401b'!N997,'Retirement Calculator'!A:A,0),0),0)</f>
        <v>21655.303514578787</v>
      </c>
      <c r="K997" s="444">
        <f t="shared" ca="1" si="79"/>
        <v>-195281.67085765454</v>
      </c>
      <c r="L997" s="444">
        <f t="shared" ca="1" si="80"/>
        <v>-47062882.676694743</v>
      </c>
      <c r="M997" s="460">
        <f t="shared" si="82"/>
        <v>0.05</v>
      </c>
      <c r="N997" s="464">
        <f t="shared" si="83"/>
        <v>81390</v>
      </c>
    </row>
    <row r="998" spans="7:14" ht="11.25" customHeight="1" x14ac:dyDescent="0.25">
      <c r="G998" s="459">
        <f t="shared" si="102"/>
        <v>83</v>
      </c>
      <c r="H998" s="459">
        <v>991</v>
      </c>
      <c r="I998" s="444">
        <f t="shared" ca="1" si="81"/>
        <v>-47062882.676694743</v>
      </c>
      <c r="J998" s="444">
        <f t="array" ref="J998">IFERROR(INDEX('Retirement Calculator'!K:K,MATCH('Lorri 401b'!N998,'Retirement Calculator'!A:A,0),0),0)</f>
        <v>21655.303514578787</v>
      </c>
      <c r="K998" s="444">
        <f t="shared" ca="1" si="79"/>
        <v>-196185.57491753885</v>
      </c>
      <c r="L998" s="444">
        <f t="shared" ca="1" si="80"/>
        <v>-47280723.555126861</v>
      </c>
      <c r="M998" s="460">
        <f t="shared" si="82"/>
        <v>0.05</v>
      </c>
      <c r="N998" s="464">
        <f t="shared" si="83"/>
        <v>81420</v>
      </c>
    </row>
    <row r="999" spans="7:14" ht="11.25" customHeight="1" x14ac:dyDescent="0.25">
      <c r="G999" s="459">
        <f t="shared" si="102"/>
        <v>83</v>
      </c>
      <c r="H999" s="459">
        <v>992</v>
      </c>
      <c r="I999" s="444">
        <f t="shared" ca="1" si="81"/>
        <v>-47280723.555126861</v>
      </c>
      <c r="J999" s="444">
        <f t="array" ref="J999">IFERROR(INDEX('Retirement Calculator'!K:K,MATCH('Lorri 401b'!N999,'Retirement Calculator'!A:A,0),0),0)</f>
        <v>21655.303514578787</v>
      </c>
      <c r="K999" s="444">
        <f t="shared" ca="1" si="79"/>
        <v>-197093.24524433931</v>
      </c>
      <c r="L999" s="444">
        <f t="shared" ca="1" si="80"/>
        <v>-47499472.103885777</v>
      </c>
      <c r="M999" s="460">
        <f t="shared" si="82"/>
        <v>0.05</v>
      </c>
      <c r="N999" s="464">
        <f t="shared" si="83"/>
        <v>81451</v>
      </c>
    </row>
    <row r="1000" spans="7:14" ht="11.25" customHeight="1" x14ac:dyDescent="0.25">
      <c r="G1000" s="459">
        <f t="shared" si="102"/>
        <v>83</v>
      </c>
      <c r="H1000" s="459">
        <v>993</v>
      </c>
      <c r="I1000" s="444">
        <f t="shared" ca="1" si="81"/>
        <v>-47499472.103885777</v>
      </c>
      <c r="J1000" s="444">
        <f t="array" ref="J1000">IFERROR(INDEX('Retirement Calculator'!K:K,MATCH('Lorri 401b'!N1000,'Retirement Calculator'!A:A,0),0),0)</f>
        <v>21655.303514578787</v>
      </c>
      <c r="K1000" s="444">
        <f t="shared" ca="1" si="79"/>
        <v>-198004.69753083482</v>
      </c>
      <c r="L1000" s="444">
        <f t="shared" ca="1" si="80"/>
        <v>-47719132.104931191</v>
      </c>
      <c r="M1000" s="460">
        <f t="shared" si="82"/>
        <v>0.05</v>
      </c>
      <c r="N1000" s="464">
        <f t="shared" si="83"/>
        <v>81482</v>
      </c>
    </row>
    <row r="1001" spans="7:14" ht="11.25" customHeight="1" x14ac:dyDescent="0.25">
      <c r="G1001" s="459">
        <f t="shared" si="102"/>
        <v>83</v>
      </c>
      <c r="H1001" s="459">
        <v>994</v>
      </c>
      <c r="I1001" s="444">
        <f t="shared" ca="1" si="81"/>
        <v>-47719132.104931191</v>
      </c>
      <c r="J1001" s="444">
        <f t="array" ref="J1001">IFERROR(INDEX('Retirement Calculator'!K:K,MATCH('Lorri 401b'!N1001,'Retirement Calculator'!A:A,0),0),0)</f>
        <v>21655.303514578787</v>
      </c>
      <c r="K1001" s="444">
        <f t="shared" ca="1" si="79"/>
        <v>-198919.9475351907</v>
      </c>
      <c r="L1001" s="444">
        <f t="shared" ca="1" si="80"/>
        <v>-47939707.355980955</v>
      </c>
      <c r="M1001" s="460">
        <f t="shared" si="82"/>
        <v>0.05</v>
      </c>
      <c r="N1001" s="464">
        <f t="shared" si="83"/>
        <v>81510</v>
      </c>
    </row>
    <row r="1002" spans="7:14" ht="11.25" customHeight="1" x14ac:dyDescent="0.25">
      <c r="G1002" s="459">
        <f t="shared" si="102"/>
        <v>83</v>
      </c>
      <c r="H1002" s="459">
        <v>995</v>
      </c>
      <c r="I1002" s="444">
        <f t="shared" ca="1" si="81"/>
        <v>-47939707.355980955</v>
      </c>
      <c r="J1002" s="444">
        <f t="array" ref="J1002">IFERROR(INDEX('Retirement Calculator'!K:K,MATCH('Lorri 401b'!N1002,'Retirement Calculator'!A:A,0),0),0)</f>
        <v>21655.303514578787</v>
      </c>
      <c r="K1002" s="444">
        <f t="shared" ca="1" si="79"/>
        <v>-199839.01108123138</v>
      </c>
      <c r="L1002" s="444">
        <f t="shared" ca="1" si="80"/>
        <v>-48161201.670576766</v>
      </c>
      <c r="M1002" s="460">
        <f t="shared" si="82"/>
        <v>0.05</v>
      </c>
      <c r="N1002" s="464">
        <f t="shared" si="83"/>
        <v>81541</v>
      </c>
    </row>
    <row r="1003" spans="7:14" ht="11.25" customHeight="1" x14ac:dyDescent="0.25">
      <c r="G1003" s="459">
        <f t="shared" si="102"/>
        <v>83</v>
      </c>
      <c r="H1003" s="459">
        <v>996</v>
      </c>
      <c r="I1003" s="444">
        <f t="shared" ca="1" si="81"/>
        <v>-48161201.670576766</v>
      </c>
      <c r="J1003" s="444">
        <f t="array" ref="J1003">IFERROR(INDEX('Retirement Calculator'!K:K,MATCH('Lorri 401b'!N1003,'Retirement Calculator'!A:A,0),0),0)</f>
        <v>21655.303514578787</v>
      </c>
      <c r="K1003" s="444">
        <f t="shared" ca="1" si="79"/>
        <v>-200761.90405871393</v>
      </c>
      <c r="L1003" s="444">
        <f t="shared" ca="1" si="80"/>
        <v>-48383618.878150061</v>
      </c>
      <c r="M1003" s="460">
        <f t="shared" si="82"/>
        <v>0.05</v>
      </c>
      <c r="N1003" s="464">
        <f t="shared" si="83"/>
        <v>81571</v>
      </c>
    </row>
    <row r="1004" spans="7:14" ht="11.25" customHeight="1" x14ac:dyDescent="0.25">
      <c r="G1004" s="459"/>
      <c r="H1004" s="459">
        <v>997</v>
      </c>
      <c r="I1004" s="444">
        <f t="shared" ca="1" si="81"/>
        <v>-48383618.878150061</v>
      </c>
      <c r="J1004" s="444">
        <f t="array" ref="J1004">IFERROR(INDEX('Retirement Calculator'!K:K,MATCH('Lorri 401b'!N1004,'Retirement Calculator'!A:A,0),0),0)</f>
        <v>21655.303514578787</v>
      </c>
      <c r="K1004" s="444">
        <f t="shared" ca="1" si="79"/>
        <v>-201688.64242360267</v>
      </c>
      <c r="L1004" s="444">
        <f t="shared" ca="1" si="80"/>
        <v>-48606962.824088238</v>
      </c>
      <c r="M1004" s="460">
        <f t="shared" si="82"/>
        <v>0.05</v>
      </c>
      <c r="N1004" s="464">
        <f t="shared" si="83"/>
        <v>81602</v>
      </c>
    </row>
    <row r="1005" spans="7:14" ht="11.25" customHeight="1" x14ac:dyDescent="0.25">
      <c r="G1005" s="459"/>
      <c r="H1005" s="459">
        <v>998</v>
      </c>
      <c r="I1005" s="444">
        <f t="shared" ca="1" si="81"/>
        <v>-48606962.824088238</v>
      </c>
      <c r="J1005" s="444">
        <f t="array" ref="J1005">IFERROR(INDEX('Retirement Calculator'!K:K,MATCH('Lorri 401b'!N1005,'Retirement Calculator'!A:A,0),0),0)</f>
        <v>21655.303514578787</v>
      </c>
      <c r="K1005" s="444">
        <f t="shared" ca="1" si="79"/>
        <v>-202619.24219834508</v>
      </c>
      <c r="L1005" s="444">
        <f t="shared" ca="1" si="80"/>
        <v>-48831237.369801164</v>
      </c>
      <c r="M1005" s="460">
        <f t="shared" si="82"/>
        <v>0.05</v>
      </c>
      <c r="N1005" s="464">
        <f t="shared" si="83"/>
        <v>81632</v>
      </c>
    </row>
    <row r="1006" spans="7:14" ht="11.25" customHeight="1" x14ac:dyDescent="0.25">
      <c r="G1006" s="459"/>
      <c r="H1006" s="459">
        <v>999</v>
      </c>
      <c r="I1006" s="444">
        <f t="shared" ca="1" si="81"/>
        <v>-48831237.369801164</v>
      </c>
      <c r="J1006" s="444">
        <f t="array" ref="J1006">IFERROR(INDEX('Retirement Calculator'!K:K,MATCH('Lorri 401b'!N1006,'Retirement Calculator'!A:A,0),0),0)</f>
        <v>21655.303514578787</v>
      </c>
      <c r="K1006" s="444">
        <f t="shared" ca="1" si="79"/>
        <v>-203553.71947214892</v>
      </c>
      <c r="L1006" s="444">
        <f t="shared" ca="1" si="80"/>
        <v>-49056446.392787889</v>
      </c>
      <c r="M1006" s="460">
        <f t="shared" si="82"/>
        <v>0.05</v>
      </c>
      <c r="N1006" s="464">
        <f t="shared" si="83"/>
        <v>81663</v>
      </c>
    </row>
    <row r="1007" spans="7:14" ht="11.25" customHeight="1" x14ac:dyDescent="0.25">
      <c r="G1007" s="459"/>
      <c r="H1007" s="459">
        <v>1000</v>
      </c>
      <c r="I1007" s="444">
        <f t="shared" ca="1" si="81"/>
        <v>-49056446.392787889</v>
      </c>
      <c r="J1007" s="444">
        <f t="array" ref="J1007">IFERROR(INDEX('Retirement Calculator'!K:K,MATCH('Lorri 401b'!N1007,'Retirement Calculator'!A:A,0),0),0)</f>
        <v>21655.303514578787</v>
      </c>
      <c r="K1007" s="444">
        <f t="shared" ca="1" si="79"/>
        <v>-204492.09040126027</v>
      </c>
      <c r="L1007" s="444">
        <f t="shared" ca="1" si="80"/>
        <v>-49282593.786703728</v>
      </c>
      <c r="M1007" s="460">
        <f t="shared" si="82"/>
        <v>0.05</v>
      </c>
      <c r="N1007" s="464">
        <f t="shared" si="83"/>
        <v>81694</v>
      </c>
    </row>
    <row r="1008" spans="7:14" ht="11.25" customHeight="1" x14ac:dyDescent="0.25">
      <c r="G1008" s="459"/>
      <c r="H1008" s="459">
        <v>1001</v>
      </c>
      <c r="I1008" s="444">
        <f t="shared" ca="1" si="81"/>
        <v>-49282593.786703728</v>
      </c>
      <c r="J1008" s="444">
        <f t="array" ref="J1008">IFERROR(INDEX('Retirement Calculator'!K:K,MATCH('Lorri 401b'!N1008,'Retirement Calculator'!A:A,0),0),0)</f>
        <v>21655.303514578787</v>
      </c>
      <c r="K1008" s="444">
        <f t="shared" ca="1" si="79"/>
        <v>-205434.37120924293</v>
      </c>
      <c r="L1008" s="444">
        <f t="shared" ca="1" si="80"/>
        <v>-49509683.461427547</v>
      </c>
      <c r="M1008" s="460">
        <f t="shared" si="82"/>
        <v>0.05</v>
      </c>
      <c r="N1008" s="464">
        <f t="shared" si="83"/>
        <v>81724</v>
      </c>
    </row>
    <row r="1009" spans="7:14" ht="11.25" customHeight="1" x14ac:dyDescent="0.25">
      <c r="G1009" s="459"/>
      <c r="H1009" s="459">
        <v>1002</v>
      </c>
      <c r="I1009" s="444">
        <f t="shared" ca="1" si="81"/>
        <v>-49509683.461427547</v>
      </c>
      <c r="J1009" s="444">
        <f t="array" ref="J1009">IFERROR(INDEX('Retirement Calculator'!K:K,MATCH('Lorri 401b'!N1009,'Retirement Calculator'!A:A,0),0),0)</f>
        <v>21655.303514578787</v>
      </c>
      <c r="K1009" s="444">
        <f t="shared" ca="1" si="79"/>
        <v>-206380.57818725886</v>
      </c>
      <c r="L1009" s="444">
        <f t="shared" ca="1" si="80"/>
        <v>-49737719.343129382</v>
      </c>
      <c r="M1009" s="460">
        <f t="shared" si="82"/>
        <v>0.05</v>
      </c>
      <c r="N1009" s="464">
        <f t="shared" si="83"/>
        <v>81755</v>
      </c>
    </row>
    <row r="1010" spans="7:14" ht="11.25" customHeight="1" x14ac:dyDescent="0.25">
      <c r="G1010" s="459"/>
      <c r="H1010" s="459">
        <v>1003</v>
      </c>
      <c r="I1010" s="444">
        <f t="shared" ca="1" si="81"/>
        <v>-49737719.343129382</v>
      </c>
      <c r="J1010" s="444">
        <f t="array" ref="J1010">IFERROR(INDEX('Retirement Calculator'!K:K,MATCH('Lorri 401b'!N1010,'Retirement Calculator'!A:A,0),0),0)</f>
        <v>21655.303514578787</v>
      </c>
      <c r="K1010" s="444">
        <f t="shared" ca="1" si="79"/>
        <v>-207330.72769434983</v>
      </c>
      <c r="L1010" s="444">
        <f t="shared" ca="1" si="80"/>
        <v>-49966705.374338306</v>
      </c>
      <c r="M1010" s="460">
        <f t="shared" si="82"/>
        <v>0.05</v>
      </c>
      <c r="N1010" s="464">
        <f t="shared" si="83"/>
        <v>81785</v>
      </c>
    </row>
    <row r="1011" spans="7:14" ht="11.25" customHeight="1" x14ac:dyDescent="0.25">
      <c r="G1011" s="459"/>
      <c r="H1011" s="459">
        <v>1004</v>
      </c>
      <c r="I1011" s="444">
        <f t="shared" ca="1" si="81"/>
        <v>-49966705.374338306</v>
      </c>
      <c r="J1011" s="444">
        <f t="array" ref="J1011">IFERROR(INDEX('Retirement Calculator'!K:K,MATCH('Lorri 401b'!N1011,'Retirement Calculator'!A:A,0),0),0)</f>
        <v>21655.303514578787</v>
      </c>
      <c r="K1011" s="444">
        <f t="shared" ca="1" si="79"/>
        <v>-208284.83615772036</v>
      </c>
      <c r="L1011" s="444">
        <f t="shared" ca="1" si="80"/>
        <v>-50196645.514010601</v>
      </c>
      <c r="M1011" s="460">
        <f t="shared" si="82"/>
        <v>0.05</v>
      </c>
      <c r="N1011" s="464">
        <f t="shared" si="83"/>
        <v>81816</v>
      </c>
    </row>
    <row r="1012" spans="7:14" ht="11.25" customHeight="1" x14ac:dyDescent="0.25">
      <c r="G1012" s="459"/>
      <c r="H1012" s="459">
        <v>1005</v>
      </c>
      <c r="I1012" s="444">
        <f t="shared" ca="1" si="81"/>
        <v>-50196645.514010601</v>
      </c>
      <c r="J1012" s="444">
        <f t="array" ref="J1012">IFERROR(INDEX('Retirement Calculator'!K:K,MATCH('Lorri 401b'!N1012,'Retirement Calculator'!A:A,0),0),0)</f>
        <v>21655.303514578787</v>
      </c>
      <c r="K1012" s="444">
        <f t="shared" ca="1" si="79"/>
        <v>-209242.92007302158</v>
      </c>
      <c r="L1012" s="444">
        <f t="shared" ca="1" si="80"/>
        <v>-50427543.737598203</v>
      </c>
      <c r="M1012" s="460">
        <f t="shared" si="82"/>
        <v>0.05</v>
      </c>
      <c r="N1012" s="464">
        <f t="shared" si="83"/>
        <v>81847</v>
      </c>
    </row>
    <row r="1013" spans="7:14" ht="11.25" customHeight="1" x14ac:dyDescent="0.25">
      <c r="G1013" s="459"/>
      <c r="H1013" s="459">
        <v>1006</v>
      </c>
      <c r="I1013" s="444">
        <f t="shared" ca="1" si="81"/>
        <v>-50427543.737598203</v>
      </c>
      <c r="J1013" s="444">
        <f t="array" ref="J1013">IFERROR(INDEX('Retirement Calculator'!K:K,MATCH('Lorri 401b'!N1013,'Retirement Calculator'!A:A,0),0),0)</f>
        <v>21655.303514578787</v>
      </c>
      <c r="K1013" s="444">
        <f t="shared" ca="1" si="79"/>
        <v>-210204.99600463657</v>
      </c>
      <c r="L1013" s="444">
        <f t="shared" ca="1" si="80"/>
        <v>-50659404.037117414</v>
      </c>
      <c r="M1013" s="460">
        <f t="shared" si="82"/>
        <v>0.05</v>
      </c>
      <c r="N1013" s="464">
        <f t="shared" si="83"/>
        <v>81876</v>
      </c>
    </row>
    <row r="1014" spans="7:14" ht="11.25" customHeight="1" x14ac:dyDescent="0.25">
      <c r="G1014" s="459"/>
      <c r="H1014" s="459">
        <v>1007</v>
      </c>
      <c r="I1014" s="444">
        <f t="shared" ca="1" si="81"/>
        <v>-50659404.037117414</v>
      </c>
      <c r="J1014" s="444">
        <f t="array" ref="J1014">IFERROR(INDEX('Retirement Calculator'!K:K,MATCH('Lorri 401b'!N1014,'Retirement Calculator'!A:A,0),0),0)</f>
        <v>21655.303514578787</v>
      </c>
      <c r="K1014" s="444">
        <f t="shared" ca="1" si="79"/>
        <v>-211171.08058596661</v>
      </c>
      <c r="L1014" s="444">
        <f t="shared" ca="1" si="80"/>
        <v>-50892230.421217956</v>
      </c>
      <c r="M1014" s="460">
        <f t="shared" si="82"/>
        <v>0.05</v>
      </c>
      <c r="N1014" s="464">
        <f t="shared" si="83"/>
        <v>81907</v>
      </c>
    </row>
    <row r="1015" spans="7:14" ht="11.25" customHeight="1" x14ac:dyDescent="0.25">
      <c r="G1015" s="459"/>
      <c r="H1015" s="459">
        <v>1008</v>
      </c>
      <c r="I1015" s="444">
        <f t="shared" ca="1" si="81"/>
        <v>-50892230.421217956</v>
      </c>
      <c r="J1015" s="444">
        <f t="array" ref="J1015">IFERROR(INDEX('Retirement Calculator'!K:K,MATCH('Lorri 401b'!N1015,'Retirement Calculator'!A:A,0),0),0)</f>
        <v>21655.303514578787</v>
      </c>
      <c r="K1015" s="444">
        <f t="shared" ca="1" si="79"/>
        <v>-212141.19051971889</v>
      </c>
      <c r="L1015" s="444">
        <f t="shared" ca="1" si="80"/>
        <v>-51126026.915252253</v>
      </c>
      <c r="M1015" s="460">
        <f t="shared" si="82"/>
        <v>0.05</v>
      </c>
      <c r="N1015" s="464">
        <f t="shared" si="83"/>
        <v>81937</v>
      </c>
    </row>
    <row r="1016" spans="7:14" ht="11.25" customHeight="1" x14ac:dyDescent="0.25">
      <c r="G1016" s="459"/>
      <c r="H1016" s="459">
        <v>1009</v>
      </c>
      <c r="I1016" s="444">
        <f t="shared" ca="1" si="81"/>
        <v>-51126026.915252253</v>
      </c>
      <c r="J1016" s="444">
        <f t="array" ref="J1016">IFERROR(INDEX('Retirement Calculator'!K:K,MATCH('Lorri 401b'!N1016,'Retirement Calculator'!A:A,0),0),0)</f>
        <v>21655.303514578787</v>
      </c>
      <c r="K1016" s="444">
        <f t="shared" ca="1" si="79"/>
        <v>-213115.34257819512</v>
      </c>
      <c r="L1016" s="444">
        <f t="shared" ca="1" si="80"/>
        <v>-51360797.561345026</v>
      </c>
      <c r="M1016" s="460">
        <f t="shared" si="82"/>
        <v>0.05</v>
      </c>
      <c r="N1016" s="464">
        <f t="shared" si="83"/>
        <v>81968</v>
      </c>
    </row>
    <row r="1017" spans="7:14" ht="11.25" customHeight="1" x14ac:dyDescent="0.25">
      <c r="G1017" s="459"/>
      <c r="H1017" s="459">
        <v>1010</v>
      </c>
      <c r="I1017" s="444">
        <f t="shared" ca="1" si="81"/>
        <v>-51360797.561345026</v>
      </c>
      <c r="J1017" s="444">
        <f t="array" ref="J1017">IFERROR(INDEX('Retirement Calculator'!K:K,MATCH('Lorri 401b'!N1017,'Retirement Calculator'!A:A,0),0),0)</f>
        <v>21655.303514578787</v>
      </c>
      <c r="K1017" s="444">
        <f t="shared" ca="1" si="79"/>
        <v>-214093.55360358168</v>
      </c>
      <c r="L1017" s="444">
        <f t="shared" ca="1" si="80"/>
        <v>-51596546.418463185</v>
      </c>
      <c r="M1017" s="460">
        <f t="shared" si="82"/>
        <v>0.05</v>
      </c>
      <c r="N1017" s="464">
        <f t="shared" si="83"/>
        <v>81998</v>
      </c>
    </row>
    <row r="1018" spans="7:14" ht="11.25" customHeight="1" x14ac:dyDescent="0.25">
      <c r="G1018" s="459"/>
      <c r="H1018" s="459">
        <v>1011</v>
      </c>
      <c r="I1018" s="444">
        <f t="shared" ca="1" si="81"/>
        <v>-51596546.418463185</v>
      </c>
      <c r="J1018" s="444">
        <f t="array" ref="J1018">IFERROR(INDEX('Retirement Calculator'!K:K,MATCH('Lorri 401b'!N1018,'Retirement Calculator'!A:A,0),0),0)</f>
        <v>21655.303514578787</v>
      </c>
      <c r="K1018" s="444">
        <f t="shared" ca="1" si="79"/>
        <v>-215075.84050824068</v>
      </c>
      <c r="L1018" s="444">
        <f t="shared" ca="1" si="80"/>
        <v>-51833277.562486</v>
      </c>
      <c r="M1018" s="460">
        <f t="shared" si="82"/>
        <v>0.05</v>
      </c>
      <c r="N1018" s="464">
        <f t="shared" si="83"/>
        <v>82029</v>
      </c>
    </row>
    <row r="1019" spans="7:14" ht="11.25" customHeight="1" x14ac:dyDescent="0.25">
      <c r="G1019" s="459"/>
      <c r="H1019" s="459">
        <v>1012</v>
      </c>
      <c r="I1019" s="444">
        <f t="shared" ca="1" si="81"/>
        <v>-51833277.562486</v>
      </c>
      <c r="J1019" s="444">
        <f t="array" ref="J1019">IFERROR(INDEX('Retirement Calculator'!K:K,MATCH('Lorri 401b'!N1019,'Retirement Calculator'!A:A,0),0),0)</f>
        <v>21655.303514578787</v>
      </c>
      <c r="K1019" s="444">
        <f t="shared" ca="1" si="79"/>
        <v>-216062.22027500242</v>
      </c>
      <c r="L1019" s="444">
        <f t="shared" ca="1" si="80"/>
        <v>-52070995.086275578</v>
      </c>
      <c r="M1019" s="460">
        <f t="shared" si="82"/>
        <v>0.05</v>
      </c>
      <c r="N1019" s="464">
        <f t="shared" si="83"/>
        <v>82060</v>
      </c>
    </row>
    <row r="1020" spans="7:14" ht="11.25" customHeight="1" x14ac:dyDescent="0.25">
      <c r="G1020" s="459"/>
      <c r="H1020" s="459">
        <v>1013</v>
      </c>
      <c r="I1020" s="444">
        <f t="shared" ca="1" si="81"/>
        <v>-52070995.086275578</v>
      </c>
      <c r="J1020" s="444">
        <f t="array" ref="J1020">IFERROR(INDEX('Retirement Calculator'!K:K,MATCH('Lorri 401b'!N1020,'Retirement Calculator'!A:A,0),0),0)</f>
        <v>21655.303514578787</v>
      </c>
      <c r="K1020" s="444">
        <f t="shared" ca="1" si="79"/>
        <v>-217052.70995745898</v>
      </c>
      <c r="L1020" s="444">
        <f t="shared" ca="1" si="80"/>
        <v>-52309703.099747613</v>
      </c>
      <c r="M1020" s="460">
        <f t="shared" si="82"/>
        <v>0.05</v>
      </c>
      <c r="N1020" s="464">
        <f t="shared" si="83"/>
        <v>82090</v>
      </c>
    </row>
    <row r="1021" spans="7:14" ht="11.25" customHeight="1" x14ac:dyDescent="0.25">
      <c r="G1021" s="459"/>
      <c r="H1021" s="459">
        <v>1014</v>
      </c>
      <c r="I1021" s="444">
        <f t="shared" ca="1" si="81"/>
        <v>-52309703.099747613</v>
      </c>
      <c r="J1021" s="444">
        <f t="array" ref="J1021">IFERROR(INDEX('Retirement Calculator'!K:K,MATCH('Lorri 401b'!N1021,'Retirement Calculator'!A:A,0),0),0)</f>
        <v>21655.303514578787</v>
      </c>
      <c r="K1021" s="444">
        <f t="shared" ca="1" si="79"/>
        <v>-218047.32668025911</v>
      </c>
      <c r="L1021" s="444">
        <f t="shared" ca="1" si="80"/>
        <v>-52549405.729942448</v>
      </c>
      <c r="M1021" s="460">
        <f t="shared" si="82"/>
        <v>0.05</v>
      </c>
      <c r="N1021" s="464">
        <f t="shared" si="83"/>
        <v>82121</v>
      </c>
    </row>
    <row r="1022" spans="7:14" ht="11.25" customHeight="1" x14ac:dyDescent="0.25">
      <c r="G1022" s="459"/>
      <c r="H1022" s="459">
        <v>1015</v>
      </c>
      <c r="I1022" s="444">
        <f t="shared" ca="1" si="81"/>
        <v>-52549405.729942448</v>
      </c>
      <c r="J1022" s="444">
        <f t="array" ref="J1022">IFERROR(INDEX('Retirement Calculator'!K:K,MATCH('Lorri 401b'!N1022,'Retirement Calculator'!A:A,0),0),0)</f>
        <v>21655.303514578787</v>
      </c>
      <c r="K1022" s="444">
        <f t="shared" ca="1" si="79"/>
        <v>-219046.08763940432</v>
      </c>
      <c r="L1022" s="444">
        <f t="shared" ca="1" si="80"/>
        <v>-52790107.121096432</v>
      </c>
      <c r="M1022" s="460">
        <f t="shared" si="82"/>
        <v>0.05</v>
      </c>
      <c r="N1022" s="464">
        <f t="shared" si="83"/>
        <v>82151</v>
      </c>
    </row>
    <row r="1023" spans="7:14" ht="11.25" customHeight="1" x14ac:dyDescent="0.25">
      <c r="G1023" s="459"/>
      <c r="H1023" s="459">
        <v>1016</v>
      </c>
      <c r="I1023" s="444">
        <f t="shared" ca="1" si="81"/>
        <v>-52790107.121096432</v>
      </c>
      <c r="J1023" s="444">
        <f t="array" ref="J1023">IFERROR(INDEX('Retirement Calculator'!K:K,MATCH('Lorri 401b'!N1023,'Retirement Calculator'!A:A,0),0),0)</f>
        <v>21655.303514578787</v>
      </c>
      <c r="K1023" s="444">
        <f t="shared" ca="1" si="79"/>
        <v>-220049.01010254587</v>
      </c>
      <c r="L1023" s="444">
        <f t="shared" ca="1" si="80"/>
        <v>-53031811.434713557</v>
      </c>
      <c r="M1023" s="460">
        <f t="shared" si="82"/>
        <v>0.05</v>
      </c>
      <c r="N1023" s="464">
        <f t="shared" si="83"/>
        <v>82182</v>
      </c>
    </row>
    <row r="1024" spans="7:14" ht="11.25" customHeight="1" x14ac:dyDescent="0.25">
      <c r="G1024" s="459"/>
      <c r="H1024" s="459">
        <v>1017</v>
      </c>
      <c r="I1024" s="444">
        <f t="shared" ca="1" si="81"/>
        <v>-53031811.434713557</v>
      </c>
      <c r="J1024" s="444">
        <f t="array" ref="J1024">IFERROR(INDEX('Retirement Calculator'!K:K,MATCH('Lorri 401b'!N1024,'Retirement Calculator'!A:A,0),0),0)</f>
        <v>21655.303514578787</v>
      </c>
      <c r="K1024" s="444">
        <f t="shared" ca="1" si="79"/>
        <v>-221056.11140928385</v>
      </c>
      <c r="L1024" s="444">
        <f t="shared" ca="1" si="80"/>
        <v>-53274522.849637419</v>
      </c>
      <c r="M1024" s="460">
        <f t="shared" si="82"/>
        <v>0.05</v>
      </c>
      <c r="N1024" s="464">
        <f t="shared" si="83"/>
        <v>82213</v>
      </c>
    </row>
    <row r="1025" spans="7:14" ht="11.25" customHeight="1" x14ac:dyDescent="0.25">
      <c r="G1025" s="459"/>
      <c r="H1025" s="459">
        <v>1018</v>
      </c>
      <c r="I1025" s="444">
        <f t="shared" ca="1" si="81"/>
        <v>-53274522.849637419</v>
      </c>
      <c r="J1025" s="444">
        <f t="array" ref="J1025">IFERROR(INDEX('Retirement Calculator'!K:K,MATCH('Lorri 401b'!N1025,'Retirement Calculator'!A:A,0),0),0)</f>
        <v>21655.303514578787</v>
      </c>
      <c r="K1025" s="444">
        <f t="shared" ca="1" si="79"/>
        <v>-222067.40897146665</v>
      </c>
      <c r="L1025" s="444">
        <f t="shared" ca="1" si="80"/>
        <v>-53518245.562123463</v>
      </c>
      <c r="M1025" s="460">
        <f t="shared" si="82"/>
        <v>0.05</v>
      </c>
      <c r="N1025" s="464">
        <f t="shared" si="83"/>
        <v>82241</v>
      </c>
    </row>
    <row r="1026" spans="7:14" ht="11.25" customHeight="1" x14ac:dyDescent="0.25">
      <c r="G1026" s="459"/>
      <c r="H1026" s="459">
        <v>1019</v>
      </c>
      <c r="I1026" s="444">
        <f t="shared" ca="1" si="81"/>
        <v>-53518245.562123463</v>
      </c>
      <c r="J1026" s="444">
        <f t="array" ref="J1026">IFERROR(INDEX('Retirement Calculator'!K:K,MATCH('Lorri 401b'!N1026,'Retirement Calculator'!A:A,0),0),0)</f>
        <v>21655.303514578787</v>
      </c>
      <c r="K1026" s="444">
        <f t="shared" ca="1" si="79"/>
        <v>-223082.92027349182</v>
      </c>
      <c r="L1026" s="444">
        <f t="shared" ca="1" si="80"/>
        <v>-53762983.78591153</v>
      </c>
      <c r="M1026" s="460">
        <f t="shared" si="82"/>
        <v>0.05</v>
      </c>
      <c r="N1026" s="464">
        <f t="shared" si="83"/>
        <v>82272</v>
      </c>
    </row>
    <row r="1027" spans="7:14" ht="11.25" customHeight="1" x14ac:dyDescent="0.25">
      <c r="G1027" s="459"/>
      <c r="H1027" s="459">
        <v>1020</v>
      </c>
      <c r="I1027" s="444">
        <f t="shared" ca="1" si="81"/>
        <v>-53762983.78591153</v>
      </c>
      <c r="J1027" s="444">
        <f t="array" ref="J1027">IFERROR(INDEX('Retirement Calculator'!K:K,MATCH('Lorri 401b'!N1027,'Retirement Calculator'!A:A,0),0),0)</f>
        <v>21655.303514578787</v>
      </c>
      <c r="K1027" s="444">
        <f t="shared" ca="1" si="79"/>
        <v>-224102.66287260878</v>
      </c>
      <c r="L1027" s="444">
        <f t="shared" ca="1" si="80"/>
        <v>-54008741.75229872</v>
      </c>
      <c r="M1027" s="460">
        <f t="shared" si="82"/>
        <v>0.05</v>
      </c>
      <c r="N1027" s="464">
        <f t="shared" si="83"/>
        <v>82302</v>
      </c>
    </row>
    <row r="1028" spans="7:14" ht="11.25" customHeight="1" x14ac:dyDescent="0.25">
      <c r="G1028" s="459"/>
      <c r="H1028" s="459">
        <v>1021</v>
      </c>
      <c r="I1028" s="444">
        <f t="shared" ca="1" si="81"/>
        <v>-54008741.75229872</v>
      </c>
      <c r="J1028" s="444">
        <f t="array" ref="J1028">IFERROR(INDEX('Retirement Calculator'!K:K,MATCH('Lorri 401b'!N1028,'Retirement Calculator'!A:A,0),0),0)</f>
        <v>21655.303514578787</v>
      </c>
      <c r="K1028" s="444">
        <f t="shared" ref="K1028:K1282" ca="1" si="103">IPMT(M1028/12,1,12,-I1028+J1028,,0)</f>
        <v>-225126.65439922211</v>
      </c>
      <c r="L1028" s="444">
        <f t="shared" ref="L1028:L1282" ca="1" si="104">I1028-J1028+K1028</f>
        <v>-54255523.710212521</v>
      </c>
      <c r="M1028" s="460">
        <f t="shared" si="82"/>
        <v>0.05</v>
      </c>
      <c r="N1028" s="464">
        <f t="shared" si="83"/>
        <v>82333</v>
      </c>
    </row>
    <row r="1029" spans="7:14" ht="11.25" customHeight="1" x14ac:dyDescent="0.25">
      <c r="G1029" s="459"/>
      <c r="H1029" s="459">
        <v>1022</v>
      </c>
      <c r="I1029" s="444">
        <f t="shared" ref="I1029:I1283" ca="1" si="105">L1028</f>
        <v>-54255523.710212521</v>
      </c>
      <c r="J1029" s="444">
        <f t="array" ref="J1029">IFERROR(INDEX('Retirement Calculator'!K:K,MATCH('Lorri 401b'!N1029,'Retirement Calculator'!A:A,0),0),0)</f>
        <v>21655.303514578787</v>
      </c>
      <c r="K1029" s="444">
        <f t="shared" ca="1" si="103"/>
        <v>-226154.91255719625</v>
      </c>
      <c r="L1029" s="444">
        <f t="shared" ca="1" si="104"/>
        <v>-54503333.926284298</v>
      </c>
      <c r="M1029" s="460">
        <f t="shared" ref="M1029:M1283" si="106">M1028</f>
        <v>0.05</v>
      </c>
      <c r="N1029" s="464">
        <f t="shared" ref="N1029:N1283" si="107">EDATE(N1028,1)</f>
        <v>82363</v>
      </c>
    </row>
    <row r="1030" spans="7:14" ht="11.25" customHeight="1" x14ac:dyDescent="0.25">
      <c r="G1030" s="459"/>
      <c r="H1030" s="459">
        <v>1023</v>
      </c>
      <c r="I1030" s="444">
        <f t="shared" ca="1" si="105"/>
        <v>-54503333.926284298</v>
      </c>
      <c r="J1030" s="444">
        <f t="array" ref="J1030">IFERROR(INDEX('Retirement Calculator'!K:K,MATCH('Lorri 401b'!N1030,'Retirement Calculator'!A:A,0),0),0)</f>
        <v>21655.303514578787</v>
      </c>
      <c r="K1030" s="444">
        <f t="shared" ca="1" si="103"/>
        <v>-227187.45512416202</v>
      </c>
      <c r="L1030" s="444">
        <f t="shared" ca="1" si="104"/>
        <v>-54752176.684923038</v>
      </c>
      <c r="M1030" s="460">
        <f t="shared" si="106"/>
        <v>0.05</v>
      </c>
      <c r="N1030" s="464">
        <f t="shared" si="107"/>
        <v>82394</v>
      </c>
    </row>
    <row r="1031" spans="7:14" ht="11.25" customHeight="1" x14ac:dyDescent="0.25">
      <c r="G1031" s="459"/>
      <c r="H1031" s="459">
        <v>1024</v>
      </c>
      <c r="I1031" s="444">
        <f t="shared" ca="1" si="105"/>
        <v>-54752176.684923038</v>
      </c>
      <c r="J1031" s="444">
        <f t="array" ref="J1031">IFERROR(INDEX('Retirement Calculator'!K:K,MATCH('Lorri 401b'!N1031,'Retirement Calculator'!A:A,0),0),0)</f>
        <v>21655.303514578787</v>
      </c>
      <c r="K1031" s="444">
        <f t="shared" ca="1" si="103"/>
        <v>-228224.2999518234</v>
      </c>
      <c r="L1031" s="444">
        <f t="shared" ca="1" si="104"/>
        <v>-55002056.288389437</v>
      </c>
      <c r="M1031" s="460">
        <f t="shared" si="106"/>
        <v>0.05</v>
      </c>
      <c r="N1031" s="464">
        <f t="shared" si="107"/>
        <v>82425</v>
      </c>
    </row>
    <row r="1032" spans="7:14" ht="11.25" customHeight="1" x14ac:dyDescent="0.25">
      <c r="G1032" s="459"/>
      <c r="H1032" s="459">
        <v>1025</v>
      </c>
      <c r="I1032" s="444">
        <f t="shared" ca="1" si="105"/>
        <v>-55002056.288389437</v>
      </c>
      <c r="J1032" s="444">
        <f t="array" ref="J1032">IFERROR(INDEX('Retirement Calculator'!K:K,MATCH('Lorri 401b'!N1032,'Retirement Calculator'!A:A,0),0),0)</f>
        <v>21655.303514578787</v>
      </c>
      <c r="K1032" s="444">
        <f t="shared" ca="1" si="103"/>
        <v>-229265.46496626674</v>
      </c>
      <c r="L1032" s="444">
        <f t="shared" ca="1" si="104"/>
        <v>-55252977.056870282</v>
      </c>
      <c r="M1032" s="460">
        <f t="shared" si="106"/>
        <v>0.05</v>
      </c>
      <c r="N1032" s="464">
        <f t="shared" si="107"/>
        <v>82455</v>
      </c>
    </row>
    <row r="1033" spans="7:14" ht="11.25" customHeight="1" x14ac:dyDescent="0.25">
      <c r="G1033" s="459"/>
      <c r="H1033" s="459">
        <v>1026</v>
      </c>
      <c r="I1033" s="444">
        <f t="shared" ca="1" si="105"/>
        <v>-55252977.056870282</v>
      </c>
      <c r="J1033" s="444">
        <f t="array" ref="J1033">IFERROR(INDEX('Retirement Calculator'!K:K,MATCH('Lorri 401b'!N1033,'Retirement Calculator'!A:A,0),0),0)</f>
        <v>21655.303514578787</v>
      </c>
      <c r="K1033" s="444">
        <f t="shared" ca="1" si="103"/>
        <v>-230310.96816827025</v>
      </c>
      <c r="L1033" s="444">
        <f t="shared" ca="1" si="104"/>
        <v>-55504943.328553133</v>
      </c>
      <c r="M1033" s="460">
        <f t="shared" si="106"/>
        <v>0.05</v>
      </c>
      <c r="N1033" s="464">
        <f t="shared" si="107"/>
        <v>82486</v>
      </c>
    </row>
    <row r="1034" spans="7:14" ht="11.25" customHeight="1" x14ac:dyDescent="0.25">
      <c r="G1034" s="459"/>
      <c r="H1034" s="459">
        <v>1027</v>
      </c>
      <c r="I1034" s="444">
        <f t="shared" ca="1" si="105"/>
        <v>-55504943.328553133</v>
      </c>
      <c r="J1034" s="444">
        <f t="array" ref="J1034">IFERROR(INDEX('Retirement Calculator'!K:K,MATCH('Lorri 401b'!N1034,'Retirement Calculator'!A:A,0),0),0)</f>
        <v>21655.303514578787</v>
      </c>
      <c r="K1034" s="444">
        <f t="shared" ca="1" si="103"/>
        <v>-231360.82763361544</v>
      </c>
      <c r="L1034" s="444">
        <f t="shared" ca="1" si="104"/>
        <v>-55757959.459701322</v>
      </c>
      <c r="M1034" s="460">
        <f t="shared" si="106"/>
        <v>0.05</v>
      </c>
      <c r="N1034" s="464">
        <f t="shared" si="107"/>
        <v>82516</v>
      </c>
    </row>
    <row r="1035" spans="7:14" ht="11.25" customHeight="1" x14ac:dyDescent="0.25">
      <c r="G1035" s="459"/>
      <c r="H1035" s="459">
        <v>1028</v>
      </c>
      <c r="I1035" s="444">
        <f t="shared" ca="1" si="105"/>
        <v>-55757959.459701322</v>
      </c>
      <c r="J1035" s="444">
        <f t="array" ref="J1035">IFERROR(INDEX('Retirement Calculator'!K:K,MATCH('Lorri 401b'!N1035,'Retirement Calculator'!A:A,0),0),0)</f>
        <v>21655.303514578787</v>
      </c>
      <c r="K1035" s="444">
        <f t="shared" ca="1" si="103"/>
        <v>-232415.06151339962</v>
      </c>
      <c r="L1035" s="444">
        <f t="shared" ca="1" si="104"/>
        <v>-56012029.824729301</v>
      </c>
      <c r="M1035" s="460">
        <f t="shared" si="106"/>
        <v>0.05</v>
      </c>
      <c r="N1035" s="464">
        <f t="shared" si="107"/>
        <v>82547</v>
      </c>
    </row>
    <row r="1036" spans="7:14" ht="11.25" customHeight="1" x14ac:dyDescent="0.25">
      <c r="G1036" s="459"/>
      <c r="H1036" s="459">
        <v>1029</v>
      </c>
      <c r="I1036" s="444">
        <f t="shared" ca="1" si="105"/>
        <v>-56012029.824729301</v>
      </c>
      <c r="J1036" s="444">
        <f t="array" ref="J1036">IFERROR(INDEX('Retirement Calculator'!K:K,MATCH('Lorri 401b'!N1036,'Retirement Calculator'!A:A,0),0),0)</f>
        <v>21655.303514578787</v>
      </c>
      <c r="K1036" s="444">
        <f t="shared" ca="1" si="103"/>
        <v>-233473.68803434947</v>
      </c>
      <c r="L1036" s="444">
        <f t="shared" ca="1" si="104"/>
        <v>-56267158.816278227</v>
      </c>
      <c r="M1036" s="460">
        <f t="shared" si="106"/>
        <v>0.05</v>
      </c>
      <c r="N1036" s="464">
        <f t="shared" si="107"/>
        <v>82578</v>
      </c>
    </row>
    <row r="1037" spans="7:14" ht="11.25" customHeight="1" x14ac:dyDescent="0.25">
      <c r="G1037" s="459"/>
      <c r="H1037" s="459">
        <v>1030</v>
      </c>
      <c r="I1037" s="444">
        <f t="shared" ca="1" si="105"/>
        <v>-56267158.816278227</v>
      </c>
      <c r="J1037" s="444">
        <f t="array" ref="J1037">IFERROR(INDEX('Retirement Calculator'!K:K,MATCH('Lorri 401b'!N1037,'Retirement Calculator'!A:A,0),0),0)</f>
        <v>21655.303514578787</v>
      </c>
      <c r="K1037" s="444">
        <f t="shared" ca="1" si="103"/>
        <v>-234536.72549913664</v>
      </c>
      <c r="L1037" s="444">
        <f t="shared" ca="1" si="104"/>
        <v>-56523350.845291942</v>
      </c>
      <c r="M1037" s="460">
        <f t="shared" si="106"/>
        <v>0.05</v>
      </c>
      <c r="N1037" s="464">
        <f t="shared" si="107"/>
        <v>82606</v>
      </c>
    </row>
    <row r="1038" spans="7:14" ht="11.25" customHeight="1" x14ac:dyDescent="0.25">
      <c r="G1038" s="459"/>
      <c r="H1038" s="459">
        <v>1031</v>
      </c>
      <c r="I1038" s="444">
        <f t="shared" ca="1" si="105"/>
        <v>-56523350.845291942</v>
      </c>
      <c r="J1038" s="444">
        <f t="array" ref="J1038">IFERROR(INDEX('Retirement Calculator'!K:K,MATCH('Lorri 401b'!N1038,'Retirement Calculator'!A:A,0),0),0)</f>
        <v>21655.303514578787</v>
      </c>
      <c r="K1038" s="444">
        <f t="shared" ca="1" si="103"/>
        <v>-235604.19228669384</v>
      </c>
      <c r="L1038" s="444">
        <f t="shared" ca="1" si="104"/>
        <v>-56780610.341093212</v>
      </c>
      <c r="M1038" s="460">
        <f t="shared" si="106"/>
        <v>0.05</v>
      </c>
      <c r="N1038" s="464">
        <f t="shared" si="107"/>
        <v>82637</v>
      </c>
    </row>
    <row r="1039" spans="7:14" ht="11.25" customHeight="1" x14ac:dyDescent="0.25">
      <c r="G1039" s="459"/>
      <c r="H1039" s="459">
        <v>1032</v>
      </c>
      <c r="I1039" s="444">
        <f t="shared" ca="1" si="105"/>
        <v>-56780610.341093212</v>
      </c>
      <c r="J1039" s="444">
        <f t="array" ref="J1039">IFERROR(INDEX('Retirement Calculator'!K:K,MATCH('Lorri 401b'!N1039,'Retirement Calculator'!A:A,0),0),0)</f>
        <v>21655.303514578787</v>
      </c>
      <c r="K1039" s="444">
        <f t="shared" ca="1" si="103"/>
        <v>-236676.10685253242</v>
      </c>
      <c r="L1039" s="444">
        <f t="shared" ca="1" si="104"/>
        <v>-57038941.751460321</v>
      </c>
      <c r="M1039" s="460">
        <f t="shared" si="106"/>
        <v>0.05</v>
      </c>
      <c r="N1039" s="464">
        <f t="shared" si="107"/>
        <v>82667</v>
      </c>
    </row>
    <row r="1040" spans="7:14" ht="11.25" customHeight="1" x14ac:dyDescent="0.25">
      <c r="G1040" s="459"/>
      <c r="H1040" s="459">
        <v>1033</v>
      </c>
      <c r="I1040" s="444">
        <f t="shared" ca="1" si="105"/>
        <v>-57038941.751460321</v>
      </c>
      <c r="J1040" s="444">
        <f t="array" ref="J1040">IFERROR(INDEX('Retirement Calculator'!K:K,MATCH('Lorri 401b'!N1040,'Retirement Calculator'!A:A,0),0),0)</f>
        <v>21655.303514578787</v>
      </c>
      <c r="K1040" s="444">
        <f t="shared" ca="1" si="103"/>
        <v>-237752.48772906206</v>
      </c>
      <c r="L1040" s="444">
        <f t="shared" ca="1" si="104"/>
        <v>-57298349.542703964</v>
      </c>
      <c r="M1040" s="460">
        <f t="shared" si="106"/>
        <v>0.05</v>
      </c>
      <c r="N1040" s="464">
        <f t="shared" si="107"/>
        <v>82698</v>
      </c>
    </row>
    <row r="1041" spans="7:14" ht="11.25" customHeight="1" x14ac:dyDescent="0.25">
      <c r="G1041" s="459"/>
      <c r="H1041" s="459">
        <v>1034</v>
      </c>
      <c r="I1041" s="444">
        <f t="shared" ca="1" si="105"/>
        <v>-57298349.542703964</v>
      </c>
      <c r="J1041" s="444">
        <f t="array" ref="J1041">IFERROR(INDEX('Retirement Calculator'!K:K,MATCH('Lorri 401b'!N1041,'Retirement Calculator'!A:A,0),0),0)</f>
        <v>21655.303514578787</v>
      </c>
      <c r="K1041" s="444">
        <f t="shared" ca="1" si="103"/>
        <v>-238833.35352591061</v>
      </c>
      <c r="L1041" s="444">
        <f t="shared" ca="1" si="104"/>
        <v>-57558838.199744456</v>
      </c>
      <c r="M1041" s="460">
        <f t="shared" si="106"/>
        <v>0.05</v>
      </c>
      <c r="N1041" s="464">
        <f t="shared" si="107"/>
        <v>82728</v>
      </c>
    </row>
    <row r="1042" spans="7:14" ht="11.25" customHeight="1" x14ac:dyDescent="0.25">
      <c r="G1042" s="459"/>
      <c r="H1042" s="459">
        <v>1035</v>
      </c>
      <c r="I1042" s="444">
        <f t="shared" ca="1" si="105"/>
        <v>-57558838.199744456</v>
      </c>
      <c r="J1042" s="444">
        <f t="array" ref="J1042">IFERROR(INDEX('Retirement Calculator'!K:K,MATCH('Lorri 401b'!N1042,'Retirement Calculator'!A:A,0),0),0)</f>
        <v>21655.303514578787</v>
      </c>
      <c r="K1042" s="444">
        <f t="shared" ca="1" si="103"/>
        <v>-239918.72293024597</v>
      </c>
      <c r="L1042" s="444">
        <f t="shared" ca="1" si="104"/>
        <v>-57820412.226189278</v>
      </c>
      <c r="M1042" s="460">
        <f t="shared" si="106"/>
        <v>0.05</v>
      </c>
      <c r="N1042" s="464">
        <f t="shared" si="107"/>
        <v>82759</v>
      </c>
    </row>
    <row r="1043" spans="7:14" ht="11.25" customHeight="1" x14ac:dyDescent="0.25">
      <c r="G1043" s="459"/>
      <c r="H1043" s="459">
        <v>1036</v>
      </c>
      <c r="I1043" s="444">
        <f t="shared" ca="1" si="105"/>
        <v>-57820412.226189278</v>
      </c>
      <c r="J1043" s="444">
        <f t="array" ref="J1043">IFERROR(INDEX('Retirement Calculator'!K:K,MATCH('Lorri 401b'!N1043,'Retirement Calculator'!A:A,0),0),0)</f>
        <v>21655.303514578787</v>
      </c>
      <c r="K1043" s="444">
        <f t="shared" ca="1" si="103"/>
        <v>-241008.61470709939</v>
      </c>
      <c r="L1043" s="444">
        <f t="shared" ca="1" si="104"/>
        <v>-58083076.144410953</v>
      </c>
      <c r="M1043" s="460">
        <f t="shared" si="106"/>
        <v>0.05</v>
      </c>
      <c r="N1043" s="464">
        <f t="shared" si="107"/>
        <v>82790</v>
      </c>
    </row>
    <row r="1044" spans="7:14" ht="11.25" customHeight="1" x14ac:dyDescent="0.25">
      <c r="G1044" s="459"/>
      <c r="H1044" s="459">
        <v>1037</v>
      </c>
      <c r="I1044" s="444">
        <f t="shared" ca="1" si="105"/>
        <v>-58083076.144410953</v>
      </c>
      <c r="J1044" s="444">
        <f t="array" ref="J1044">IFERROR(INDEX('Retirement Calculator'!K:K,MATCH('Lorri 401b'!N1044,'Retirement Calculator'!A:A,0),0),0)</f>
        <v>21655.303514578787</v>
      </c>
      <c r="K1044" s="444">
        <f t="shared" ca="1" si="103"/>
        <v>-242103.04769968966</v>
      </c>
      <c r="L1044" s="444">
        <f t="shared" ca="1" si="104"/>
        <v>-58346834.49562522</v>
      </c>
      <c r="M1044" s="460">
        <f t="shared" si="106"/>
        <v>0.05</v>
      </c>
      <c r="N1044" s="464">
        <f t="shared" si="107"/>
        <v>82820</v>
      </c>
    </row>
    <row r="1045" spans="7:14" ht="11.25" customHeight="1" x14ac:dyDescent="0.25">
      <c r="G1045" s="459"/>
      <c r="H1045" s="459">
        <v>1038</v>
      </c>
      <c r="I1045" s="444">
        <f t="shared" ca="1" si="105"/>
        <v>-58346834.49562522</v>
      </c>
      <c r="J1045" s="444">
        <f t="array" ref="J1045">IFERROR(INDEX('Retirement Calculator'!K:K,MATCH('Lorri 401b'!N1045,'Retirement Calculator'!A:A,0),0),0)</f>
        <v>21655.303514578787</v>
      </c>
      <c r="K1045" s="444">
        <f t="shared" ca="1" si="103"/>
        <v>-243202.04082974917</v>
      </c>
      <c r="L1045" s="444">
        <f t="shared" ca="1" si="104"/>
        <v>-58611691.839969546</v>
      </c>
      <c r="M1045" s="460">
        <f t="shared" si="106"/>
        <v>0.05</v>
      </c>
      <c r="N1045" s="464">
        <f t="shared" si="107"/>
        <v>82851</v>
      </c>
    </row>
    <row r="1046" spans="7:14" ht="11.25" customHeight="1" x14ac:dyDescent="0.25">
      <c r="G1046" s="459"/>
      <c r="H1046" s="459">
        <v>1039</v>
      </c>
      <c r="I1046" s="444">
        <f t="shared" ca="1" si="105"/>
        <v>-58611691.839969546</v>
      </c>
      <c r="J1046" s="444">
        <f t="array" ref="J1046">IFERROR(INDEX('Retirement Calculator'!K:K,MATCH('Lorri 401b'!N1046,'Retirement Calculator'!A:A,0),0),0)</f>
        <v>21655.303514578787</v>
      </c>
      <c r="K1046" s="444">
        <f t="shared" ca="1" si="103"/>
        <v>-244305.6130978505</v>
      </c>
      <c r="L1046" s="444">
        <f t="shared" ca="1" si="104"/>
        <v>-58877652.756581977</v>
      </c>
      <c r="M1046" s="460">
        <f t="shared" si="106"/>
        <v>0.05</v>
      </c>
      <c r="N1046" s="464">
        <f t="shared" si="107"/>
        <v>82881</v>
      </c>
    </row>
    <row r="1047" spans="7:14" ht="11.25" customHeight="1" x14ac:dyDescent="0.25">
      <c r="G1047" s="459"/>
      <c r="H1047" s="459">
        <v>1040</v>
      </c>
      <c r="I1047" s="444">
        <f t="shared" ca="1" si="105"/>
        <v>-58877652.756581977</v>
      </c>
      <c r="J1047" s="444">
        <f t="array" ref="J1047">IFERROR(INDEX('Retirement Calculator'!K:K,MATCH('Lorri 401b'!N1047,'Retirement Calculator'!A:A,0),0),0)</f>
        <v>21655.303514578787</v>
      </c>
      <c r="K1047" s="444">
        <f t="shared" ca="1" si="103"/>
        <v>-245413.78358373564</v>
      </c>
      <c r="L1047" s="444">
        <f t="shared" ca="1" si="104"/>
        <v>-59144721.843680292</v>
      </c>
      <c r="M1047" s="460">
        <f t="shared" si="106"/>
        <v>0.05</v>
      </c>
      <c r="N1047" s="464">
        <f t="shared" si="107"/>
        <v>82912</v>
      </c>
    </row>
    <row r="1048" spans="7:14" ht="11.25" customHeight="1" x14ac:dyDescent="0.25">
      <c r="G1048" s="459"/>
      <c r="H1048" s="459">
        <v>1041</v>
      </c>
      <c r="I1048" s="444">
        <f t="shared" ca="1" si="105"/>
        <v>-59144721.843680292</v>
      </c>
      <c r="J1048" s="444">
        <f t="array" ref="J1048">IFERROR(INDEX('Retirement Calculator'!K:K,MATCH('Lorri 401b'!N1048,'Retirement Calculator'!A:A,0),0),0)</f>
        <v>21655.303514578787</v>
      </c>
      <c r="K1048" s="444">
        <f t="shared" ca="1" si="103"/>
        <v>-246526.57144664531</v>
      </c>
      <c r="L1048" s="444">
        <f t="shared" ca="1" si="104"/>
        <v>-59412903.718641512</v>
      </c>
      <c r="M1048" s="460">
        <f t="shared" si="106"/>
        <v>0.05</v>
      </c>
      <c r="N1048" s="464">
        <f t="shared" si="107"/>
        <v>82943</v>
      </c>
    </row>
    <row r="1049" spans="7:14" ht="11.25" customHeight="1" x14ac:dyDescent="0.25">
      <c r="G1049" s="459"/>
      <c r="H1049" s="459">
        <v>1042</v>
      </c>
      <c r="I1049" s="444">
        <f t="shared" ca="1" si="105"/>
        <v>-59412903.718641512</v>
      </c>
      <c r="J1049" s="444">
        <f t="array" ref="J1049">IFERROR(INDEX('Retirement Calculator'!K:K,MATCH('Lorri 401b'!N1049,'Retirement Calculator'!A:A,0),0),0)</f>
        <v>21655.303514578787</v>
      </c>
      <c r="K1049" s="444">
        <f t="shared" ca="1" si="103"/>
        <v>-247643.99592565038</v>
      </c>
      <c r="L1049" s="444">
        <f t="shared" ca="1" si="104"/>
        <v>-59682203.01808174</v>
      </c>
      <c r="M1049" s="460">
        <f t="shared" si="106"/>
        <v>0.05</v>
      </c>
      <c r="N1049" s="464">
        <f t="shared" si="107"/>
        <v>82971</v>
      </c>
    </row>
    <row r="1050" spans="7:14" ht="11.25" customHeight="1" x14ac:dyDescent="0.25">
      <c r="G1050" s="459"/>
      <c r="H1050" s="459">
        <v>1043</v>
      </c>
      <c r="I1050" s="444">
        <f t="shared" ca="1" si="105"/>
        <v>-59682203.01808174</v>
      </c>
      <c r="J1050" s="444">
        <f t="array" ref="J1050">IFERROR(INDEX('Retirement Calculator'!K:K,MATCH('Lorri 401b'!N1050,'Retirement Calculator'!A:A,0),0),0)</f>
        <v>21655.303514578787</v>
      </c>
      <c r="K1050" s="444">
        <f t="shared" ca="1" si="103"/>
        <v>-248766.07633998466</v>
      </c>
      <c r="L1050" s="444">
        <f t="shared" ca="1" si="104"/>
        <v>-59952624.397936299</v>
      </c>
      <c r="M1050" s="460">
        <f t="shared" si="106"/>
        <v>0.05</v>
      </c>
      <c r="N1050" s="464">
        <f t="shared" si="107"/>
        <v>83002</v>
      </c>
    </row>
    <row r="1051" spans="7:14" ht="11.25" customHeight="1" x14ac:dyDescent="0.25">
      <c r="G1051" s="459"/>
      <c r="H1051" s="459">
        <v>1044</v>
      </c>
      <c r="I1051" s="444">
        <f t="shared" ca="1" si="105"/>
        <v>-59952624.397936299</v>
      </c>
      <c r="J1051" s="444">
        <f t="array" ref="J1051">IFERROR(INDEX('Retirement Calculator'!K:K,MATCH('Lorri 401b'!N1051,'Retirement Calculator'!A:A,0),0),0)</f>
        <v>21655.303514578787</v>
      </c>
      <c r="K1051" s="444">
        <f t="shared" ca="1" si="103"/>
        <v>-249892.83208937861</v>
      </c>
      <c r="L1051" s="444">
        <f t="shared" ca="1" si="104"/>
        <v>-60224172.533540256</v>
      </c>
      <c r="M1051" s="460">
        <f t="shared" si="106"/>
        <v>0.05</v>
      </c>
      <c r="N1051" s="464">
        <f t="shared" si="107"/>
        <v>83032</v>
      </c>
    </row>
    <row r="1052" spans="7:14" ht="11.25" customHeight="1" x14ac:dyDescent="0.25">
      <c r="G1052" s="459"/>
      <c r="H1052" s="459">
        <v>1045</v>
      </c>
      <c r="I1052" s="444">
        <f t="shared" ca="1" si="105"/>
        <v>-60224172.533540256</v>
      </c>
      <c r="J1052" s="444">
        <f t="array" ref="J1052">IFERROR(INDEX('Retirement Calculator'!K:K,MATCH('Lorri 401b'!N1052,'Retirement Calculator'!A:A,0),0),0)</f>
        <v>21655.303514578787</v>
      </c>
      <c r="K1052" s="444">
        <f t="shared" ca="1" si="103"/>
        <v>-251024.28265439512</v>
      </c>
      <c r="L1052" s="444">
        <f t="shared" ca="1" si="104"/>
        <v>-60496852.119709231</v>
      </c>
      <c r="M1052" s="460">
        <f t="shared" si="106"/>
        <v>0.05</v>
      </c>
      <c r="N1052" s="464">
        <f t="shared" si="107"/>
        <v>83063</v>
      </c>
    </row>
    <row r="1053" spans="7:14" ht="11.25" customHeight="1" x14ac:dyDescent="0.25">
      <c r="G1053" s="459"/>
      <c r="H1053" s="459">
        <v>1046</v>
      </c>
      <c r="I1053" s="444">
        <f t="shared" ca="1" si="105"/>
        <v>-60496852.119709231</v>
      </c>
      <c r="J1053" s="444">
        <f t="array" ref="J1053">IFERROR(INDEX('Retirement Calculator'!K:K,MATCH('Lorri 401b'!N1053,'Retirement Calculator'!A:A,0),0),0)</f>
        <v>21655.303514578787</v>
      </c>
      <c r="K1053" s="444">
        <f t="shared" ca="1" si="103"/>
        <v>-252160.44759676585</v>
      </c>
      <c r="L1053" s="444">
        <f t="shared" ca="1" si="104"/>
        <v>-60770667.870820574</v>
      </c>
      <c r="M1053" s="460">
        <f t="shared" si="106"/>
        <v>0.05</v>
      </c>
      <c r="N1053" s="464">
        <f t="shared" si="107"/>
        <v>83093</v>
      </c>
    </row>
    <row r="1054" spans="7:14" ht="11.25" customHeight="1" x14ac:dyDescent="0.25">
      <c r="G1054" s="459"/>
      <c r="H1054" s="459">
        <v>1047</v>
      </c>
      <c r="I1054" s="444">
        <f t="shared" ca="1" si="105"/>
        <v>-60770667.870820574</v>
      </c>
      <c r="J1054" s="444">
        <f t="array" ref="J1054">IFERROR(INDEX('Retirement Calculator'!K:K,MATCH('Lorri 401b'!N1054,'Retirement Calculator'!A:A,0),0),0)</f>
        <v>21655.303514578787</v>
      </c>
      <c r="K1054" s="444">
        <f t="shared" ca="1" si="103"/>
        <v>-253301.34655972981</v>
      </c>
      <c r="L1054" s="444">
        <f t="shared" ca="1" si="104"/>
        <v>-61045624.520894885</v>
      </c>
      <c r="M1054" s="460">
        <f t="shared" si="106"/>
        <v>0.05</v>
      </c>
      <c r="N1054" s="464">
        <f t="shared" si="107"/>
        <v>83124</v>
      </c>
    </row>
    <row r="1055" spans="7:14" ht="11.25" customHeight="1" x14ac:dyDescent="0.25">
      <c r="G1055" s="459"/>
      <c r="H1055" s="459">
        <v>1048</v>
      </c>
      <c r="I1055" s="444">
        <f t="shared" ca="1" si="105"/>
        <v>-61045624.520894885</v>
      </c>
      <c r="J1055" s="444">
        <f t="array" ref="J1055">IFERROR(INDEX('Retirement Calculator'!K:K,MATCH('Lorri 401b'!N1055,'Retirement Calculator'!A:A,0),0),0)</f>
        <v>21655.303514578787</v>
      </c>
      <c r="K1055" s="444">
        <f t="shared" ca="1" si="103"/>
        <v>-254446.99926837278</v>
      </c>
      <c r="L1055" s="444">
        <f t="shared" ca="1" si="104"/>
        <v>-61321726.823677838</v>
      </c>
      <c r="M1055" s="460">
        <f t="shared" si="106"/>
        <v>0.05</v>
      </c>
      <c r="N1055" s="464">
        <f t="shared" si="107"/>
        <v>83155</v>
      </c>
    </row>
    <row r="1056" spans="7:14" ht="11.25" customHeight="1" x14ac:dyDescent="0.25">
      <c r="G1056" s="459"/>
      <c r="H1056" s="459">
        <v>1049</v>
      </c>
      <c r="I1056" s="444">
        <f t="shared" ca="1" si="105"/>
        <v>-61321726.823677838</v>
      </c>
      <c r="J1056" s="444">
        <f t="array" ref="J1056">IFERROR(INDEX('Retirement Calculator'!K:K,MATCH('Lorri 401b'!N1056,'Retirement Calculator'!A:A,0),0),0)</f>
        <v>21655.303514578787</v>
      </c>
      <c r="K1056" s="444">
        <f t="shared" ca="1" si="103"/>
        <v>-255597.42552996837</v>
      </c>
      <c r="L1056" s="444">
        <f t="shared" ca="1" si="104"/>
        <v>-61598979.552722387</v>
      </c>
      <c r="M1056" s="460">
        <f t="shared" si="106"/>
        <v>0.05</v>
      </c>
      <c r="N1056" s="464">
        <f t="shared" si="107"/>
        <v>83185</v>
      </c>
    </row>
    <row r="1057" spans="7:14" ht="11.25" customHeight="1" x14ac:dyDescent="0.25">
      <c r="G1057" s="459"/>
      <c r="H1057" s="459">
        <v>1050</v>
      </c>
      <c r="I1057" s="444">
        <f t="shared" ca="1" si="105"/>
        <v>-61598979.552722387</v>
      </c>
      <c r="J1057" s="444">
        <f t="array" ref="J1057">IFERROR(INDEX('Retirement Calculator'!K:K,MATCH('Lorri 401b'!N1057,'Retirement Calculator'!A:A,0),0),0)</f>
        <v>21655.303514578787</v>
      </c>
      <c r="K1057" s="444">
        <f t="shared" ca="1" si="103"/>
        <v>-256752.64523432069</v>
      </c>
      <c r="L1057" s="444">
        <f t="shared" ca="1" si="104"/>
        <v>-61877387.501471289</v>
      </c>
      <c r="M1057" s="460">
        <f t="shared" si="106"/>
        <v>0.05</v>
      </c>
      <c r="N1057" s="464">
        <f t="shared" si="107"/>
        <v>83216</v>
      </c>
    </row>
    <row r="1058" spans="7:14" ht="11.25" customHeight="1" x14ac:dyDescent="0.25">
      <c r="G1058" s="459"/>
      <c r="H1058" s="459">
        <v>1051</v>
      </c>
      <c r="I1058" s="444">
        <f t="shared" ca="1" si="105"/>
        <v>-61877387.501471289</v>
      </c>
      <c r="J1058" s="444">
        <f t="array" ref="J1058">IFERROR(INDEX('Retirement Calculator'!K:K,MATCH('Lorri 401b'!N1058,'Retirement Calculator'!A:A,0),0),0)</f>
        <v>21655.303514578787</v>
      </c>
      <c r="K1058" s="444">
        <f t="shared" ca="1" si="103"/>
        <v>-257912.67835410777</v>
      </c>
      <c r="L1058" s="444">
        <f t="shared" ca="1" si="104"/>
        <v>-62156955.483339973</v>
      </c>
      <c r="M1058" s="460">
        <f t="shared" si="106"/>
        <v>0.05</v>
      </c>
      <c r="N1058" s="464">
        <f t="shared" si="107"/>
        <v>83246</v>
      </c>
    </row>
    <row r="1059" spans="7:14" ht="11.25" customHeight="1" x14ac:dyDescent="0.25">
      <c r="G1059" s="459"/>
      <c r="H1059" s="459">
        <v>1052</v>
      </c>
      <c r="I1059" s="444">
        <f t="shared" ca="1" si="105"/>
        <v>-62156955.483339973</v>
      </c>
      <c r="J1059" s="444">
        <f t="array" ref="J1059">IFERROR(INDEX('Retirement Calculator'!K:K,MATCH('Lorri 401b'!N1059,'Retirement Calculator'!A:A,0),0),0)</f>
        <v>21655.303514578787</v>
      </c>
      <c r="K1059" s="444">
        <f t="shared" ca="1" si="103"/>
        <v>-259077.54494522733</v>
      </c>
      <c r="L1059" s="444">
        <f t="shared" ca="1" si="104"/>
        <v>-62437688.331799775</v>
      </c>
      <c r="M1059" s="460">
        <f t="shared" si="106"/>
        <v>0.05</v>
      </c>
      <c r="N1059" s="464">
        <f t="shared" si="107"/>
        <v>83277</v>
      </c>
    </row>
    <row r="1060" spans="7:14" ht="11.25" customHeight="1" x14ac:dyDescent="0.25">
      <c r="G1060" s="459"/>
      <c r="H1060" s="459">
        <v>1053</v>
      </c>
      <c r="I1060" s="444">
        <f t="shared" ca="1" si="105"/>
        <v>-62437688.331799775</v>
      </c>
      <c r="J1060" s="444">
        <f t="array" ref="J1060">IFERROR(INDEX('Retirement Calculator'!K:K,MATCH('Lorri 401b'!N1060,'Retirement Calculator'!A:A,0),0),0)</f>
        <v>21655.303514578787</v>
      </c>
      <c r="K1060" s="444">
        <f t="shared" ca="1" si="103"/>
        <v>-260247.26514714313</v>
      </c>
      <c r="L1060" s="444">
        <f t="shared" ca="1" si="104"/>
        <v>-62719590.900461495</v>
      </c>
      <c r="M1060" s="460">
        <f t="shared" si="106"/>
        <v>0.05</v>
      </c>
      <c r="N1060" s="464">
        <f t="shared" si="107"/>
        <v>83308</v>
      </c>
    </row>
    <row r="1061" spans="7:14" ht="11.25" customHeight="1" x14ac:dyDescent="0.25">
      <c r="G1061" s="459"/>
      <c r="H1061" s="459">
        <v>1054</v>
      </c>
      <c r="I1061" s="444">
        <f t="shared" ca="1" si="105"/>
        <v>-62719590.900461495</v>
      </c>
      <c r="J1061" s="444">
        <f t="array" ref="J1061">IFERROR(INDEX('Retirement Calculator'!K:K,MATCH('Lorri 401b'!N1061,'Retirement Calculator'!A:A,0),0),0)</f>
        <v>21655.303514578787</v>
      </c>
      <c r="K1061" s="444">
        <f t="shared" ca="1" si="103"/>
        <v>-261421.85918323364</v>
      </c>
      <c r="L1061" s="444">
        <f t="shared" ca="1" si="104"/>
        <v>-63002668.063159309</v>
      </c>
      <c r="M1061" s="460">
        <f t="shared" si="106"/>
        <v>0.05</v>
      </c>
      <c r="N1061" s="464">
        <f t="shared" si="107"/>
        <v>83337</v>
      </c>
    </row>
    <row r="1062" spans="7:14" ht="11.25" customHeight="1" x14ac:dyDescent="0.25">
      <c r="G1062" s="459"/>
      <c r="H1062" s="459">
        <v>1055</v>
      </c>
      <c r="I1062" s="444">
        <f t="shared" ca="1" si="105"/>
        <v>-63002668.063159309</v>
      </c>
      <c r="J1062" s="444">
        <f t="array" ref="J1062">IFERROR(INDEX('Retirement Calculator'!K:K,MATCH('Lorri 401b'!N1062,'Retirement Calculator'!A:A,0),0),0)</f>
        <v>21655.303514578787</v>
      </c>
      <c r="K1062" s="444">
        <f t="shared" ca="1" si="103"/>
        <v>-262601.34736114118</v>
      </c>
      <c r="L1062" s="444">
        <f t="shared" ca="1" si="104"/>
        <v>-63286924.714035027</v>
      </c>
      <c r="M1062" s="460">
        <f t="shared" si="106"/>
        <v>0.05</v>
      </c>
      <c r="N1062" s="464">
        <f t="shared" si="107"/>
        <v>83368</v>
      </c>
    </row>
    <row r="1063" spans="7:14" ht="11.25" customHeight="1" x14ac:dyDescent="0.25">
      <c r="G1063" s="459"/>
      <c r="H1063" s="459">
        <v>1056</v>
      </c>
      <c r="I1063" s="444">
        <f t="shared" ca="1" si="105"/>
        <v>-63286924.714035027</v>
      </c>
      <c r="J1063" s="444">
        <f t="array" ref="J1063">IFERROR(INDEX('Retirement Calculator'!K:K,MATCH('Lorri 401b'!N1063,'Retirement Calculator'!A:A,0),0),0)</f>
        <v>21655.303514578787</v>
      </c>
      <c r="K1063" s="444">
        <f t="shared" ca="1" si="103"/>
        <v>-263785.75007312332</v>
      </c>
      <c r="L1063" s="444">
        <f t="shared" ca="1" si="104"/>
        <v>-63572365.767622724</v>
      </c>
      <c r="M1063" s="460">
        <f t="shared" si="106"/>
        <v>0.05</v>
      </c>
      <c r="N1063" s="464">
        <f t="shared" si="107"/>
        <v>83398</v>
      </c>
    </row>
    <row r="1064" spans="7:14" ht="11.25" customHeight="1" x14ac:dyDescent="0.25">
      <c r="G1064" s="459"/>
      <c r="H1064" s="459">
        <v>1057</v>
      </c>
      <c r="I1064" s="444">
        <f t="shared" ca="1" si="105"/>
        <v>-63572365.767622724</v>
      </c>
      <c r="J1064" s="444">
        <f t="array" ref="J1064">IFERROR(INDEX('Retirement Calculator'!K:K,MATCH('Lorri 401b'!N1064,'Retirement Calculator'!A:A,0),0),0)</f>
        <v>21655.303514578787</v>
      </c>
      <c r="K1064" s="444">
        <f t="shared" ca="1" si="103"/>
        <v>-264975.08779640542</v>
      </c>
      <c r="L1064" s="444">
        <f t="shared" ca="1" si="104"/>
        <v>-63858996.158933707</v>
      </c>
      <c r="M1064" s="460">
        <f t="shared" si="106"/>
        <v>0.05</v>
      </c>
      <c r="N1064" s="464">
        <f t="shared" si="107"/>
        <v>83429</v>
      </c>
    </row>
    <row r="1065" spans="7:14" ht="11.25" customHeight="1" x14ac:dyDescent="0.25">
      <c r="G1065" s="459"/>
      <c r="H1065" s="459">
        <v>1058</v>
      </c>
      <c r="I1065" s="444">
        <f t="shared" ca="1" si="105"/>
        <v>-63858996.158933707</v>
      </c>
      <c r="J1065" s="444">
        <f t="array" ref="J1065">IFERROR(INDEX('Retirement Calculator'!K:K,MATCH('Lorri 401b'!N1065,'Retirement Calculator'!A:A,0),0),0)</f>
        <v>21655.303514578787</v>
      </c>
      <c r="K1065" s="444">
        <f t="shared" ca="1" si="103"/>
        <v>-266169.38109353452</v>
      </c>
      <c r="L1065" s="444">
        <f t="shared" ca="1" si="104"/>
        <v>-64146820.843541816</v>
      </c>
      <c r="M1065" s="460">
        <f t="shared" si="106"/>
        <v>0.05</v>
      </c>
      <c r="N1065" s="464">
        <f t="shared" si="107"/>
        <v>83459</v>
      </c>
    </row>
    <row r="1066" spans="7:14" ht="11.25" customHeight="1" x14ac:dyDescent="0.25">
      <c r="G1066" s="459"/>
      <c r="H1066" s="459">
        <v>1059</v>
      </c>
      <c r="I1066" s="444">
        <f t="shared" ca="1" si="105"/>
        <v>-64146820.843541816</v>
      </c>
      <c r="J1066" s="444">
        <f t="array" ref="J1066">IFERROR(INDEX('Retirement Calculator'!K:K,MATCH('Lorri 401b'!N1066,'Retirement Calculator'!A:A,0),0),0)</f>
        <v>21655.303514578787</v>
      </c>
      <c r="K1066" s="444">
        <f t="shared" ca="1" si="103"/>
        <v>-267368.65061273496</v>
      </c>
      <c r="L1066" s="444">
        <f t="shared" ca="1" si="104"/>
        <v>-64435844.797669128</v>
      </c>
      <c r="M1066" s="460">
        <f t="shared" si="106"/>
        <v>0.05</v>
      </c>
      <c r="N1066" s="464">
        <f t="shared" si="107"/>
        <v>83490</v>
      </c>
    </row>
    <row r="1067" spans="7:14" ht="11.25" customHeight="1" x14ac:dyDescent="0.25">
      <c r="G1067" s="459"/>
      <c r="H1067" s="459">
        <v>1060</v>
      </c>
      <c r="I1067" s="444">
        <f t="shared" ca="1" si="105"/>
        <v>-64435844.797669128</v>
      </c>
      <c r="J1067" s="444">
        <f t="array" ref="J1067">IFERROR(INDEX('Retirement Calculator'!K:K,MATCH('Lorri 401b'!N1067,'Retirement Calculator'!A:A,0),0),0)</f>
        <v>21655.303514578787</v>
      </c>
      <c r="K1067" s="444">
        <f t="shared" ca="1" si="103"/>
        <v>-268572.91708826541</v>
      </c>
      <c r="L1067" s="444">
        <f t="shared" ca="1" si="104"/>
        <v>-64726073.018271968</v>
      </c>
      <c r="M1067" s="460">
        <f t="shared" si="106"/>
        <v>0.05</v>
      </c>
      <c r="N1067" s="464">
        <f t="shared" si="107"/>
        <v>83521</v>
      </c>
    </row>
    <row r="1068" spans="7:14" ht="11.25" customHeight="1" x14ac:dyDescent="0.25">
      <c r="G1068" s="459"/>
      <c r="H1068" s="459">
        <v>1061</v>
      </c>
      <c r="I1068" s="444">
        <f t="shared" ca="1" si="105"/>
        <v>-64726073.018271968</v>
      </c>
      <c r="J1068" s="444">
        <f t="array" ref="J1068">IFERROR(INDEX('Retirement Calculator'!K:K,MATCH('Lorri 401b'!N1068,'Retirement Calculator'!A:A,0),0),0)</f>
        <v>21655.303514578787</v>
      </c>
      <c r="K1068" s="444">
        <f t="shared" ca="1" si="103"/>
        <v>-269782.20134077728</v>
      </c>
      <c r="L1068" s="444">
        <f t="shared" ca="1" si="104"/>
        <v>-65017510.523127325</v>
      </c>
      <c r="M1068" s="460">
        <f t="shared" si="106"/>
        <v>0.05</v>
      </c>
      <c r="N1068" s="464">
        <f t="shared" si="107"/>
        <v>83551</v>
      </c>
    </row>
    <row r="1069" spans="7:14" ht="11.25" customHeight="1" x14ac:dyDescent="0.25">
      <c r="G1069" s="459"/>
      <c r="H1069" s="459">
        <v>1062</v>
      </c>
      <c r="I1069" s="444">
        <f t="shared" ca="1" si="105"/>
        <v>-65017510.523127325</v>
      </c>
      <c r="J1069" s="444">
        <f t="array" ref="J1069">IFERROR(INDEX('Retirement Calculator'!K:K,MATCH('Lorri 401b'!N1069,'Retirement Calculator'!A:A,0),0),0)</f>
        <v>21655.303514578787</v>
      </c>
      <c r="K1069" s="444">
        <f t="shared" ca="1" si="103"/>
        <v>-270996.52427767456</v>
      </c>
      <c r="L1069" s="444">
        <f t="shared" ca="1" si="104"/>
        <v>-65310162.350919574</v>
      </c>
      <c r="M1069" s="460">
        <f t="shared" si="106"/>
        <v>0.05</v>
      </c>
      <c r="N1069" s="464">
        <f t="shared" si="107"/>
        <v>83582</v>
      </c>
    </row>
    <row r="1070" spans="7:14" ht="11.25" customHeight="1" x14ac:dyDescent="0.25">
      <c r="G1070" s="459"/>
      <c r="H1070" s="459">
        <v>1063</v>
      </c>
      <c r="I1070" s="444">
        <f t="shared" ca="1" si="105"/>
        <v>-65310162.350919574</v>
      </c>
      <c r="J1070" s="444">
        <f t="array" ref="J1070">IFERROR(INDEX('Retirement Calculator'!K:K,MATCH('Lorri 401b'!N1070,'Retirement Calculator'!A:A,0),0),0)</f>
        <v>21655.303514578787</v>
      </c>
      <c r="K1070" s="444">
        <f t="shared" ca="1" si="103"/>
        <v>-272215.90689347568</v>
      </c>
      <c r="L1070" s="444">
        <f t="shared" ca="1" si="104"/>
        <v>-65604033.561327629</v>
      </c>
      <c r="M1070" s="460">
        <f t="shared" si="106"/>
        <v>0.05</v>
      </c>
      <c r="N1070" s="464">
        <f t="shared" si="107"/>
        <v>83612</v>
      </c>
    </row>
    <row r="1071" spans="7:14" ht="11.25" customHeight="1" x14ac:dyDescent="0.25">
      <c r="G1071" s="459"/>
      <c r="H1071" s="459">
        <v>1064</v>
      </c>
      <c r="I1071" s="444">
        <f t="shared" ca="1" si="105"/>
        <v>-65604033.561327629</v>
      </c>
      <c r="J1071" s="444">
        <f t="array" ref="J1071">IFERROR(INDEX('Retirement Calculator'!K:K,MATCH('Lorri 401b'!N1071,'Retirement Calculator'!A:A,0),0),0)</f>
        <v>21655.303514578787</v>
      </c>
      <c r="K1071" s="444">
        <f t="shared" ca="1" si="103"/>
        <v>-273440.3702701758</v>
      </c>
      <c r="L1071" s="444">
        <f t="shared" ca="1" si="104"/>
        <v>-65899129.235112384</v>
      </c>
      <c r="M1071" s="460">
        <f t="shared" si="106"/>
        <v>0.05</v>
      </c>
      <c r="N1071" s="464">
        <f t="shared" si="107"/>
        <v>83643</v>
      </c>
    </row>
    <row r="1072" spans="7:14" ht="11.25" customHeight="1" x14ac:dyDescent="0.25">
      <c r="G1072" s="459"/>
      <c r="H1072" s="459">
        <v>1065</v>
      </c>
      <c r="I1072" s="444">
        <f t="shared" ca="1" si="105"/>
        <v>-65899129.235112384</v>
      </c>
      <c r="J1072" s="444">
        <f t="array" ref="J1072">IFERROR(INDEX('Retirement Calculator'!K:K,MATCH('Lorri 401b'!N1072,'Retirement Calculator'!A:A,0),0),0)</f>
        <v>21655.303514578787</v>
      </c>
      <c r="K1072" s="444">
        <f t="shared" ca="1" si="103"/>
        <v>-274669.93557761231</v>
      </c>
      <c r="L1072" s="444">
        <f t="shared" ca="1" si="104"/>
        <v>-66195454.47420457</v>
      </c>
      <c r="M1072" s="460">
        <f t="shared" si="106"/>
        <v>0.05</v>
      </c>
      <c r="N1072" s="464">
        <f t="shared" si="107"/>
        <v>83674</v>
      </c>
    </row>
    <row r="1073" spans="7:14" ht="11.25" customHeight="1" x14ac:dyDescent="0.25">
      <c r="G1073" s="459"/>
      <c r="H1073" s="459">
        <v>1066</v>
      </c>
      <c r="I1073" s="444">
        <f t="shared" ca="1" si="105"/>
        <v>-66195454.47420457</v>
      </c>
      <c r="J1073" s="444">
        <f t="array" ref="J1073">IFERROR(INDEX('Retirement Calculator'!K:K,MATCH('Lorri 401b'!N1073,'Retirement Calculator'!A:A,0),0),0)</f>
        <v>21655.303514578787</v>
      </c>
      <c r="K1073" s="444">
        <f t="shared" ca="1" si="103"/>
        <v>-275904.62407382979</v>
      </c>
      <c r="L1073" s="444">
        <f t="shared" ca="1" si="104"/>
        <v>-66493014.401792981</v>
      </c>
      <c r="M1073" s="460">
        <f t="shared" si="106"/>
        <v>0.05</v>
      </c>
      <c r="N1073" s="464">
        <f t="shared" si="107"/>
        <v>83702</v>
      </c>
    </row>
    <row r="1074" spans="7:14" ht="11.25" customHeight="1" x14ac:dyDescent="0.25">
      <c r="G1074" s="459"/>
      <c r="H1074" s="459">
        <v>1067</v>
      </c>
      <c r="I1074" s="444">
        <f t="shared" ca="1" si="105"/>
        <v>-66493014.401792981</v>
      </c>
      <c r="J1074" s="444">
        <f t="array" ref="J1074">IFERROR(INDEX('Retirement Calculator'!K:K,MATCH('Lorri 401b'!N1074,'Retirement Calculator'!A:A,0),0),0)</f>
        <v>21655.303514578787</v>
      </c>
      <c r="K1074" s="444">
        <f t="shared" ca="1" si="103"/>
        <v>-277144.45710544818</v>
      </c>
      <c r="L1074" s="444">
        <f t="shared" ca="1" si="104"/>
        <v>-66791814.162413009</v>
      </c>
      <c r="M1074" s="460">
        <f t="shared" si="106"/>
        <v>0.05</v>
      </c>
      <c r="N1074" s="464">
        <f t="shared" si="107"/>
        <v>83733</v>
      </c>
    </row>
    <row r="1075" spans="7:14" ht="11.25" customHeight="1" x14ac:dyDescent="0.25">
      <c r="G1075" s="459"/>
      <c r="H1075" s="459">
        <v>1068</v>
      </c>
      <c r="I1075" s="444">
        <f t="shared" ca="1" si="105"/>
        <v>-66791814.162413009</v>
      </c>
      <c r="J1075" s="444">
        <f t="array" ref="J1075">IFERROR(INDEX('Retirement Calculator'!K:K,MATCH('Lorri 401b'!N1075,'Retirement Calculator'!A:A,0),0),0)</f>
        <v>21655.303514578787</v>
      </c>
      <c r="K1075" s="444">
        <f t="shared" ca="1" si="103"/>
        <v>-278389.45610803156</v>
      </c>
      <c r="L1075" s="444">
        <f t="shared" ca="1" si="104"/>
        <v>-67091858.92203562</v>
      </c>
      <c r="M1075" s="460">
        <f t="shared" si="106"/>
        <v>0.05</v>
      </c>
      <c r="N1075" s="464">
        <f t="shared" si="107"/>
        <v>83763</v>
      </c>
    </row>
    <row r="1076" spans="7:14" ht="11.25" customHeight="1" x14ac:dyDescent="0.25">
      <c r="G1076" s="459"/>
      <c r="H1076" s="459">
        <v>1069</v>
      </c>
      <c r="I1076" s="444">
        <f t="shared" ca="1" si="105"/>
        <v>-67091858.92203562</v>
      </c>
      <c r="J1076" s="444">
        <f t="array" ref="J1076">IFERROR(INDEX('Retirement Calculator'!K:K,MATCH('Lorri 401b'!N1076,'Retirement Calculator'!A:A,0),0),0)</f>
        <v>21655.303514578787</v>
      </c>
      <c r="K1076" s="444">
        <f t="shared" ca="1" si="103"/>
        <v>-279639.64260645921</v>
      </c>
      <c r="L1076" s="444">
        <f t="shared" ca="1" si="104"/>
        <v>-67393153.868156657</v>
      </c>
      <c r="M1076" s="460">
        <f t="shared" si="106"/>
        <v>0.05</v>
      </c>
      <c r="N1076" s="464">
        <f t="shared" si="107"/>
        <v>83794</v>
      </c>
    </row>
    <row r="1077" spans="7:14" ht="11.25" customHeight="1" x14ac:dyDescent="0.25">
      <c r="G1077" s="459"/>
      <c r="H1077" s="459">
        <v>1070</v>
      </c>
      <c r="I1077" s="444">
        <f t="shared" ca="1" si="105"/>
        <v>-67393153.868156657</v>
      </c>
      <c r="J1077" s="444">
        <f t="array" ref="J1077">IFERROR(INDEX('Retirement Calculator'!K:K,MATCH('Lorri 401b'!N1077,'Retirement Calculator'!A:A,0),0),0)</f>
        <v>21655.303514578787</v>
      </c>
      <c r="K1077" s="444">
        <f t="shared" ca="1" si="103"/>
        <v>-280895.03821529681</v>
      </c>
      <c r="L1077" s="444">
        <f t="shared" ca="1" si="104"/>
        <v>-67695704.209886536</v>
      </c>
      <c r="M1077" s="460">
        <f t="shared" si="106"/>
        <v>0.05</v>
      </c>
      <c r="N1077" s="464">
        <f t="shared" si="107"/>
        <v>83824</v>
      </c>
    </row>
    <row r="1078" spans="7:14" ht="11.25" customHeight="1" x14ac:dyDescent="0.25">
      <c r="G1078" s="459"/>
      <c r="H1078" s="459">
        <v>1071</v>
      </c>
      <c r="I1078" s="444">
        <f t="shared" ca="1" si="105"/>
        <v>-67695704.209886536</v>
      </c>
      <c r="J1078" s="444">
        <f t="array" ref="J1078">IFERROR(INDEX('Retirement Calculator'!K:K,MATCH('Lorri 401b'!N1078,'Retirement Calculator'!A:A,0),0),0)</f>
        <v>21655.303514578787</v>
      </c>
      <c r="K1078" s="444">
        <f t="shared" ca="1" si="103"/>
        <v>-282155.66463917133</v>
      </c>
      <c r="L1078" s="444">
        <f t="shared" ca="1" si="104"/>
        <v>-67999515.178040296</v>
      </c>
      <c r="M1078" s="460">
        <f t="shared" si="106"/>
        <v>0.05</v>
      </c>
      <c r="N1078" s="464">
        <f t="shared" si="107"/>
        <v>83855</v>
      </c>
    </row>
    <row r="1079" spans="7:14" ht="11.25" customHeight="1" x14ac:dyDescent="0.25">
      <c r="G1079" s="459"/>
      <c r="H1079" s="459">
        <v>1072</v>
      </c>
      <c r="I1079" s="444">
        <f t="shared" ca="1" si="105"/>
        <v>-67999515.178040296</v>
      </c>
      <c r="J1079" s="444">
        <f t="array" ref="J1079">IFERROR(INDEX('Retirement Calculator'!K:K,MATCH('Lorri 401b'!N1079,'Retirement Calculator'!A:A,0),0),0)</f>
        <v>21655.303514578787</v>
      </c>
      <c r="K1079" s="444">
        <f t="shared" ca="1" si="103"/>
        <v>-283421.54367314535</v>
      </c>
      <c r="L1079" s="444">
        <f t="shared" ca="1" si="104"/>
        <v>-68304592.025228024</v>
      </c>
      <c r="M1079" s="460">
        <f t="shared" si="106"/>
        <v>0.05</v>
      </c>
      <c r="N1079" s="464">
        <f t="shared" si="107"/>
        <v>83886</v>
      </c>
    </row>
    <row r="1080" spans="7:14" ht="11.25" customHeight="1" x14ac:dyDescent="0.25">
      <c r="G1080" s="459"/>
      <c r="H1080" s="459">
        <v>1073</v>
      </c>
      <c r="I1080" s="444">
        <f t="shared" ca="1" si="105"/>
        <v>-68304592.025228024</v>
      </c>
      <c r="J1080" s="444">
        <f t="array" ref="J1080">IFERROR(INDEX('Retirement Calculator'!K:K,MATCH('Lorri 401b'!N1080,'Retirement Calculator'!A:A,0),0),0)</f>
        <v>21655.303514578787</v>
      </c>
      <c r="K1080" s="444">
        <f t="shared" ca="1" si="103"/>
        <v>-284692.6972030942</v>
      </c>
      <c r="L1080" s="444">
        <f t="shared" ca="1" si="104"/>
        <v>-68610940.025945708</v>
      </c>
      <c r="M1080" s="460">
        <f t="shared" si="106"/>
        <v>0.05</v>
      </c>
      <c r="N1080" s="464">
        <f t="shared" si="107"/>
        <v>83916</v>
      </c>
    </row>
    <row r="1081" spans="7:14" ht="11.25" customHeight="1" x14ac:dyDescent="0.25">
      <c r="G1081" s="459"/>
      <c r="H1081" s="459">
        <v>1074</v>
      </c>
      <c r="I1081" s="444">
        <f t="shared" ca="1" si="105"/>
        <v>-68610940.025945708</v>
      </c>
      <c r="J1081" s="444">
        <f t="array" ref="J1081">IFERROR(INDEX('Retirement Calculator'!K:K,MATCH('Lorri 401b'!N1081,'Retirement Calculator'!A:A,0),0),0)</f>
        <v>21655.303514578787</v>
      </c>
      <c r="K1081" s="444">
        <f t="shared" ca="1" si="103"/>
        <v>-285969.14720608457</v>
      </c>
      <c r="L1081" s="444">
        <f t="shared" ca="1" si="104"/>
        <v>-68918564.476666376</v>
      </c>
      <c r="M1081" s="460">
        <f t="shared" si="106"/>
        <v>0.05</v>
      </c>
      <c r="N1081" s="464">
        <f t="shared" si="107"/>
        <v>83947</v>
      </c>
    </row>
    <row r="1082" spans="7:14" ht="11.25" customHeight="1" x14ac:dyDescent="0.25">
      <c r="G1082" s="459"/>
      <c r="H1082" s="459">
        <v>1075</v>
      </c>
      <c r="I1082" s="444">
        <f t="shared" ca="1" si="105"/>
        <v>-68918564.476666376</v>
      </c>
      <c r="J1082" s="444">
        <f t="array" ref="J1082">IFERROR(INDEX('Retirement Calculator'!K:K,MATCH('Lorri 401b'!N1082,'Retirement Calculator'!A:A,0),0),0)</f>
        <v>21655.303514578787</v>
      </c>
      <c r="K1082" s="444">
        <f t="shared" ca="1" si="103"/>
        <v>-287250.91575075401</v>
      </c>
      <c r="L1082" s="444">
        <f t="shared" ca="1" si="104"/>
        <v>-69227470.695931718</v>
      </c>
      <c r="M1082" s="460">
        <f t="shared" si="106"/>
        <v>0.05</v>
      </c>
      <c r="N1082" s="464">
        <f t="shared" si="107"/>
        <v>83977</v>
      </c>
    </row>
    <row r="1083" spans="7:14" ht="11.25" customHeight="1" x14ac:dyDescent="0.25">
      <c r="G1083" s="459"/>
      <c r="H1083" s="459">
        <v>1076</v>
      </c>
      <c r="I1083" s="444">
        <f t="shared" ca="1" si="105"/>
        <v>-69227470.695931718</v>
      </c>
      <c r="J1083" s="444">
        <f t="array" ref="J1083">IFERROR(INDEX('Retirement Calculator'!K:K,MATCH('Lorri 401b'!N1083,'Retirement Calculator'!A:A,0),0),0)</f>
        <v>21655.303514578787</v>
      </c>
      <c r="K1083" s="444">
        <f t="shared" ca="1" si="103"/>
        <v>-288538.0249976929</v>
      </c>
      <c r="L1083" s="444">
        <f t="shared" ca="1" si="104"/>
        <v>-69537664.024443999</v>
      </c>
      <c r="M1083" s="460">
        <f t="shared" si="106"/>
        <v>0.05</v>
      </c>
      <c r="N1083" s="464">
        <f t="shared" si="107"/>
        <v>84008</v>
      </c>
    </row>
    <row r="1084" spans="7:14" ht="11.25" customHeight="1" x14ac:dyDescent="0.25">
      <c r="G1084" s="459"/>
      <c r="H1084" s="459">
        <v>1077</v>
      </c>
      <c r="I1084" s="444">
        <f t="shared" ca="1" si="105"/>
        <v>-69537664.024443999</v>
      </c>
      <c r="J1084" s="444">
        <f t="array" ref="J1084">IFERROR(INDEX('Retirement Calculator'!K:K,MATCH('Lorri 401b'!N1084,'Retirement Calculator'!A:A,0),0),0)</f>
        <v>21655.303514578787</v>
      </c>
      <c r="K1084" s="444">
        <f t="shared" ca="1" si="103"/>
        <v>-289830.49719982746</v>
      </c>
      <c r="L1084" s="444">
        <f t="shared" ca="1" si="104"/>
        <v>-69849149.825158417</v>
      </c>
      <c r="M1084" s="460">
        <f t="shared" si="106"/>
        <v>0.05</v>
      </c>
      <c r="N1084" s="464">
        <f t="shared" si="107"/>
        <v>84039</v>
      </c>
    </row>
    <row r="1085" spans="7:14" ht="11.25" customHeight="1" x14ac:dyDescent="0.25">
      <c r="G1085" s="459"/>
      <c r="H1085" s="459">
        <v>1078</v>
      </c>
      <c r="I1085" s="444">
        <f t="shared" ca="1" si="105"/>
        <v>-69849149.825158417</v>
      </c>
      <c r="J1085" s="444">
        <f t="array" ref="J1085">IFERROR(INDEX('Retirement Calculator'!K:K,MATCH('Lorri 401b'!N1085,'Retirement Calculator'!A:A,0),0),0)</f>
        <v>21655.303514578787</v>
      </c>
      <c r="K1085" s="444">
        <f t="shared" ca="1" si="103"/>
        <v>-291128.35470280418</v>
      </c>
      <c r="L1085" s="444">
        <f t="shared" ca="1" si="104"/>
        <v>-70161933.483375803</v>
      </c>
      <c r="M1085" s="460">
        <f t="shared" si="106"/>
        <v>0.05</v>
      </c>
      <c r="N1085" s="464">
        <f t="shared" si="107"/>
        <v>84067</v>
      </c>
    </row>
    <row r="1086" spans="7:14" ht="11.25" customHeight="1" x14ac:dyDescent="0.25">
      <c r="G1086" s="459"/>
      <c r="H1086" s="459">
        <v>1079</v>
      </c>
      <c r="I1086" s="444">
        <f t="shared" ca="1" si="105"/>
        <v>-70161933.483375803</v>
      </c>
      <c r="J1086" s="444">
        <f t="array" ref="J1086">IFERROR(INDEX('Retirement Calculator'!K:K,MATCH('Lorri 401b'!N1086,'Retirement Calculator'!A:A,0),0),0)</f>
        <v>21655.303514578787</v>
      </c>
      <c r="K1086" s="444">
        <f t="shared" ca="1" si="103"/>
        <v>-292431.61994537659</v>
      </c>
      <c r="L1086" s="444">
        <f t="shared" ca="1" si="104"/>
        <v>-70476020.406835765</v>
      </c>
      <c r="M1086" s="460">
        <f t="shared" si="106"/>
        <v>0.05</v>
      </c>
      <c r="N1086" s="464">
        <f t="shared" si="107"/>
        <v>84098</v>
      </c>
    </row>
    <row r="1087" spans="7:14" ht="11.25" customHeight="1" x14ac:dyDescent="0.25">
      <c r="G1087" s="459"/>
      <c r="H1087" s="459">
        <v>1080</v>
      </c>
      <c r="I1087" s="444">
        <f t="shared" ca="1" si="105"/>
        <v>-70476020.406835765</v>
      </c>
      <c r="J1087" s="444">
        <f t="array" ref="J1087">IFERROR(INDEX('Retirement Calculator'!K:K,MATCH('Lorri 401b'!N1087,'Retirement Calculator'!A:A,0),0),0)</f>
        <v>21655.303514578787</v>
      </c>
      <c r="K1087" s="444">
        <f t="shared" ca="1" si="103"/>
        <v>-293740.31545979314</v>
      </c>
      <c r="L1087" s="444">
        <f t="shared" ca="1" si="104"/>
        <v>-70791416.025810137</v>
      </c>
      <c r="M1087" s="460">
        <f t="shared" si="106"/>
        <v>0.05</v>
      </c>
      <c r="N1087" s="464">
        <f t="shared" si="107"/>
        <v>84128</v>
      </c>
    </row>
    <row r="1088" spans="7:14" ht="11.25" customHeight="1" x14ac:dyDescent="0.25">
      <c r="G1088" s="459"/>
      <c r="H1088" s="459">
        <v>1081</v>
      </c>
      <c r="I1088" s="444">
        <f t="shared" ca="1" si="105"/>
        <v>-70791416.025810137</v>
      </c>
      <c r="J1088" s="444">
        <f t="array" ref="J1088">IFERROR(INDEX('Retirement Calculator'!K:K,MATCH('Lorri 401b'!N1088,'Retirement Calculator'!A:A,0),0),0)</f>
        <v>21655.303514578787</v>
      </c>
      <c r="K1088" s="444">
        <f t="shared" ca="1" si="103"/>
        <v>-295054.46387218632</v>
      </c>
      <c r="L1088" s="444">
        <f t="shared" ca="1" si="104"/>
        <v>-71108125.793196902</v>
      </c>
      <c r="M1088" s="460">
        <f t="shared" si="106"/>
        <v>0.05</v>
      </c>
      <c r="N1088" s="464">
        <f t="shared" si="107"/>
        <v>84159</v>
      </c>
    </row>
    <row r="1089" spans="7:14" ht="11.25" customHeight="1" x14ac:dyDescent="0.25">
      <c r="G1089" s="459"/>
      <c r="H1089" s="459">
        <v>1082</v>
      </c>
      <c r="I1089" s="444">
        <f t="shared" ca="1" si="105"/>
        <v>-71108125.793196902</v>
      </c>
      <c r="J1089" s="444">
        <f t="array" ref="J1089">IFERROR(INDEX('Retirement Calculator'!K:K,MATCH('Lorri 401b'!N1089,'Retirement Calculator'!A:A,0),0),0)</f>
        <v>21655.303514578787</v>
      </c>
      <c r="K1089" s="444">
        <f t="shared" ca="1" si="103"/>
        <v>-296374.0879029645</v>
      </c>
      <c r="L1089" s="444">
        <f t="shared" ca="1" si="104"/>
        <v>-71426155.18461445</v>
      </c>
      <c r="M1089" s="460">
        <f t="shared" si="106"/>
        <v>0.05</v>
      </c>
      <c r="N1089" s="464">
        <f t="shared" si="107"/>
        <v>84189</v>
      </c>
    </row>
    <row r="1090" spans="7:14" ht="11.25" customHeight="1" x14ac:dyDescent="0.25">
      <c r="G1090" s="459"/>
      <c r="H1090" s="459">
        <v>1083</v>
      </c>
      <c r="I1090" s="444">
        <f t="shared" ca="1" si="105"/>
        <v>-71426155.18461445</v>
      </c>
      <c r="J1090" s="444">
        <f t="array" ref="J1090">IFERROR(INDEX('Retirement Calculator'!K:K,MATCH('Lorri 401b'!N1090,'Retirement Calculator'!A:A,0),0),0)</f>
        <v>21655.303514578787</v>
      </c>
      <c r="K1090" s="444">
        <f t="shared" ca="1" si="103"/>
        <v>-297699.21036720433</v>
      </c>
      <c r="L1090" s="444">
        <f t="shared" ca="1" si="104"/>
        <v>-71745509.698496237</v>
      </c>
      <c r="M1090" s="460">
        <f t="shared" si="106"/>
        <v>0.05</v>
      </c>
      <c r="N1090" s="464">
        <f t="shared" si="107"/>
        <v>84220</v>
      </c>
    </row>
    <row r="1091" spans="7:14" ht="11.25" customHeight="1" x14ac:dyDescent="0.25">
      <c r="G1091" s="459"/>
      <c r="H1091" s="459">
        <v>1084</v>
      </c>
      <c r="I1091" s="444">
        <f t="shared" ca="1" si="105"/>
        <v>-71745509.698496237</v>
      </c>
      <c r="J1091" s="444">
        <f t="array" ref="J1091">IFERROR(INDEX('Retirement Calculator'!K:K,MATCH('Lorri 401b'!N1091,'Retirement Calculator'!A:A,0),0),0)</f>
        <v>21655.303514578787</v>
      </c>
      <c r="K1091" s="444">
        <f t="shared" ca="1" si="103"/>
        <v>-299029.8541750451</v>
      </c>
      <c r="L1091" s="444">
        <f t="shared" ca="1" si="104"/>
        <v>-72066194.856185868</v>
      </c>
      <c r="M1091" s="460">
        <f t="shared" si="106"/>
        <v>0.05</v>
      </c>
      <c r="N1091" s="464">
        <f t="shared" si="107"/>
        <v>84251</v>
      </c>
    </row>
    <row r="1092" spans="7:14" ht="11.25" customHeight="1" x14ac:dyDescent="0.25">
      <c r="G1092" s="459"/>
      <c r="H1092" s="459">
        <v>1085</v>
      </c>
      <c r="I1092" s="444">
        <f t="shared" ca="1" si="105"/>
        <v>-72066194.856185868</v>
      </c>
      <c r="J1092" s="444">
        <f t="array" ref="J1092">IFERROR(INDEX('Retirement Calculator'!K:K,MATCH('Lorri 401b'!N1092,'Retirement Calculator'!A:A,0),0),0)</f>
        <v>21655.303514578787</v>
      </c>
      <c r="K1092" s="444">
        <f t="shared" ca="1" si="103"/>
        <v>-300366.0423320852</v>
      </c>
      <c r="L1092" s="444">
        <f t="shared" ca="1" si="104"/>
        <v>-72388216.202032536</v>
      </c>
      <c r="M1092" s="460">
        <f t="shared" si="106"/>
        <v>0.05</v>
      </c>
      <c r="N1092" s="464">
        <f t="shared" si="107"/>
        <v>84281</v>
      </c>
    </row>
    <row r="1093" spans="7:14" ht="11.25" customHeight="1" x14ac:dyDescent="0.25">
      <c r="G1093" s="459"/>
      <c r="H1093" s="459">
        <v>1086</v>
      </c>
      <c r="I1093" s="444">
        <f t="shared" ca="1" si="105"/>
        <v>-72388216.202032536</v>
      </c>
      <c r="J1093" s="444">
        <f t="array" ref="J1093">IFERROR(INDEX('Retirement Calculator'!K:K,MATCH('Lorri 401b'!N1093,'Retirement Calculator'!A:A,0),0),0)</f>
        <v>21655.303514578787</v>
      </c>
      <c r="K1093" s="444">
        <f t="shared" ca="1" si="103"/>
        <v>-301707.79793977964</v>
      </c>
      <c r="L1093" s="444">
        <f t="shared" ca="1" si="104"/>
        <v>-72711579.303486899</v>
      </c>
      <c r="M1093" s="460">
        <f t="shared" si="106"/>
        <v>0.05</v>
      </c>
      <c r="N1093" s="464">
        <f t="shared" si="107"/>
        <v>84312</v>
      </c>
    </row>
    <row r="1094" spans="7:14" ht="11.25" customHeight="1" x14ac:dyDescent="0.25">
      <c r="G1094" s="459"/>
      <c r="H1094" s="459">
        <v>1087</v>
      </c>
      <c r="I1094" s="444">
        <f t="shared" ca="1" si="105"/>
        <v>-72711579.303486899</v>
      </c>
      <c r="J1094" s="444">
        <f t="array" ref="J1094">IFERROR(INDEX('Retirement Calculator'!K:K,MATCH('Lorri 401b'!N1094,'Retirement Calculator'!A:A,0),0),0)</f>
        <v>21655.303514578787</v>
      </c>
      <c r="K1094" s="444">
        <f t="shared" ca="1" si="103"/>
        <v>-303055.14419583953</v>
      </c>
      <c r="L1094" s="444">
        <f t="shared" ca="1" si="104"/>
        <v>-73036289.751197323</v>
      </c>
      <c r="M1094" s="460">
        <f t="shared" si="106"/>
        <v>0.05</v>
      </c>
      <c r="N1094" s="464">
        <f t="shared" si="107"/>
        <v>84342</v>
      </c>
    </row>
    <row r="1095" spans="7:14" ht="11.25" customHeight="1" x14ac:dyDescent="0.25">
      <c r="G1095" s="459"/>
      <c r="H1095" s="459">
        <v>1088</v>
      </c>
      <c r="I1095" s="444">
        <f t="shared" ca="1" si="105"/>
        <v>-73036289.751197323</v>
      </c>
      <c r="J1095" s="444">
        <f t="array" ref="J1095">IFERROR(INDEX('Retirement Calculator'!K:K,MATCH('Lorri 401b'!N1095,'Retirement Calculator'!A:A,0),0),0)</f>
        <v>21655.303514578787</v>
      </c>
      <c r="K1095" s="444">
        <f t="shared" ca="1" si="103"/>
        <v>-304408.10439463297</v>
      </c>
      <c r="L1095" s="444">
        <f t="shared" ca="1" si="104"/>
        <v>-73362353.159106538</v>
      </c>
      <c r="M1095" s="460">
        <f t="shared" si="106"/>
        <v>0.05</v>
      </c>
      <c r="N1095" s="464">
        <f t="shared" si="107"/>
        <v>84373</v>
      </c>
    </row>
    <row r="1096" spans="7:14" ht="11.25" customHeight="1" x14ac:dyDescent="0.25">
      <c r="G1096" s="459"/>
      <c r="H1096" s="459">
        <v>1089</v>
      </c>
      <c r="I1096" s="444">
        <f t="shared" ca="1" si="105"/>
        <v>-73362353.159106538</v>
      </c>
      <c r="J1096" s="444">
        <f t="array" ref="J1096">IFERROR(INDEX('Retirement Calculator'!K:K,MATCH('Lorri 401b'!N1096,'Retirement Calculator'!A:A,0),0),0)</f>
        <v>21655.303514578787</v>
      </c>
      <c r="K1096" s="444">
        <f t="shared" ca="1" si="103"/>
        <v>-305766.70192758803</v>
      </c>
      <c r="L1096" s="444">
        <f t="shared" ca="1" si="104"/>
        <v>-73689775.16454871</v>
      </c>
      <c r="M1096" s="460">
        <f t="shared" si="106"/>
        <v>0.05</v>
      </c>
      <c r="N1096" s="464">
        <f t="shared" si="107"/>
        <v>84404</v>
      </c>
    </row>
    <row r="1097" spans="7:14" ht="11.25" customHeight="1" x14ac:dyDescent="0.25">
      <c r="G1097" s="459"/>
      <c r="H1097" s="459">
        <v>1090</v>
      </c>
      <c r="I1097" s="444">
        <f t="shared" ca="1" si="105"/>
        <v>-73689775.16454871</v>
      </c>
      <c r="J1097" s="444">
        <f t="array" ref="J1097">IFERROR(INDEX('Retirement Calculator'!K:K,MATCH('Lorri 401b'!N1097,'Retirement Calculator'!A:A,0),0),0)</f>
        <v>21655.303514578787</v>
      </c>
      <c r="K1097" s="444">
        <f t="shared" ca="1" si="103"/>
        <v>-307130.96028359706</v>
      </c>
      <c r="L1097" s="444">
        <f t="shared" ca="1" si="104"/>
        <v>-74018561.428346887</v>
      </c>
      <c r="M1097" s="460">
        <f t="shared" si="106"/>
        <v>0.05</v>
      </c>
      <c r="N1097" s="464">
        <f t="shared" si="107"/>
        <v>84432</v>
      </c>
    </row>
    <row r="1098" spans="7:14" ht="11.25" customHeight="1" x14ac:dyDescent="0.25">
      <c r="G1098" s="459"/>
      <c r="H1098" s="459">
        <v>1091</v>
      </c>
      <c r="I1098" s="444">
        <f t="shared" ca="1" si="105"/>
        <v>-74018561.428346887</v>
      </c>
      <c r="J1098" s="444">
        <f t="array" ref="J1098">IFERROR(INDEX('Retirement Calculator'!K:K,MATCH('Lorri 401b'!N1098,'Retirement Calculator'!A:A,0),0),0)</f>
        <v>21655.303514578787</v>
      </c>
      <c r="K1098" s="444">
        <f t="shared" ca="1" si="103"/>
        <v>-308500.90304942278</v>
      </c>
      <c r="L1098" s="444">
        <f t="shared" ca="1" si="104"/>
        <v>-74348717.634910896</v>
      </c>
      <c r="M1098" s="460">
        <f t="shared" si="106"/>
        <v>0.05</v>
      </c>
      <c r="N1098" s="464">
        <f t="shared" si="107"/>
        <v>84463</v>
      </c>
    </row>
    <row r="1099" spans="7:14" ht="11.25" customHeight="1" x14ac:dyDescent="0.25">
      <c r="G1099" s="459"/>
      <c r="H1099" s="459">
        <v>1092</v>
      </c>
      <c r="I1099" s="444">
        <f t="shared" ca="1" si="105"/>
        <v>-74348717.634910896</v>
      </c>
      <c r="J1099" s="444">
        <f t="array" ref="J1099">IFERROR(INDEX('Retirement Calculator'!K:K,MATCH('Lorri 401b'!N1099,'Retirement Calculator'!A:A,0),0),0)</f>
        <v>21655.303514578787</v>
      </c>
      <c r="K1099" s="444">
        <f t="shared" ca="1" si="103"/>
        <v>-309876.55391010619</v>
      </c>
      <c r="L1099" s="444">
        <f t="shared" ca="1" si="104"/>
        <v>-74680249.492335588</v>
      </c>
      <c r="M1099" s="460">
        <f t="shared" si="106"/>
        <v>0.05</v>
      </c>
      <c r="N1099" s="464">
        <f t="shared" si="107"/>
        <v>84493</v>
      </c>
    </row>
    <row r="1100" spans="7:14" ht="11.25" customHeight="1" x14ac:dyDescent="0.25">
      <c r="G1100" s="459"/>
      <c r="H1100" s="459">
        <v>1093</v>
      </c>
      <c r="I1100" s="444">
        <f t="shared" ca="1" si="105"/>
        <v>-74680249.492335588</v>
      </c>
      <c r="J1100" s="444">
        <f t="array" ref="J1100">IFERROR(INDEX('Retirement Calculator'!K:K,MATCH('Lorri 401b'!N1100,'Retirement Calculator'!A:A,0),0),0)</f>
        <v>21655.303514578787</v>
      </c>
      <c r="K1100" s="444">
        <f t="shared" ca="1" si="103"/>
        <v>-311257.93664937571</v>
      </c>
      <c r="L1100" s="444">
        <f t="shared" ca="1" si="104"/>
        <v>-75013162.732499555</v>
      </c>
      <c r="M1100" s="460">
        <f t="shared" si="106"/>
        <v>0.05</v>
      </c>
      <c r="N1100" s="464">
        <f t="shared" si="107"/>
        <v>84524</v>
      </c>
    </row>
    <row r="1101" spans="7:14" ht="11.25" customHeight="1" x14ac:dyDescent="0.25">
      <c r="G1101" s="459"/>
      <c r="H1101" s="459">
        <v>1094</v>
      </c>
      <c r="I1101" s="444">
        <f t="shared" ca="1" si="105"/>
        <v>-75013162.732499555</v>
      </c>
      <c r="J1101" s="444">
        <f t="array" ref="J1101">IFERROR(INDEX('Retirement Calculator'!K:K,MATCH('Lorri 401b'!N1101,'Retirement Calculator'!A:A,0),0),0)</f>
        <v>21655.303514578787</v>
      </c>
      <c r="K1101" s="444">
        <f t="shared" ca="1" si="103"/>
        <v>-312645.0751500589</v>
      </c>
      <c r="L1101" s="444">
        <f t="shared" ca="1" si="104"/>
        <v>-75347463.111164197</v>
      </c>
      <c r="M1101" s="460">
        <f t="shared" si="106"/>
        <v>0.05</v>
      </c>
      <c r="N1101" s="464">
        <f t="shared" si="107"/>
        <v>84554</v>
      </c>
    </row>
    <row r="1102" spans="7:14" ht="11.25" customHeight="1" x14ac:dyDescent="0.25">
      <c r="G1102" s="459"/>
      <c r="H1102" s="459">
        <v>1095</v>
      </c>
      <c r="I1102" s="444">
        <f t="shared" ca="1" si="105"/>
        <v>-75347463.111164197</v>
      </c>
      <c r="J1102" s="444">
        <f t="array" ref="J1102">IFERROR(INDEX('Retirement Calculator'!K:K,MATCH('Lorri 401b'!N1102,'Retirement Calculator'!A:A,0),0),0)</f>
        <v>21655.303514578787</v>
      </c>
      <c r="K1102" s="444">
        <f t="shared" ca="1" si="103"/>
        <v>-314037.99339449493</v>
      </c>
      <c r="L1102" s="444">
        <f t="shared" ca="1" si="104"/>
        <v>-75683156.408073276</v>
      </c>
      <c r="M1102" s="460">
        <f t="shared" si="106"/>
        <v>0.05</v>
      </c>
      <c r="N1102" s="464">
        <f t="shared" si="107"/>
        <v>84585</v>
      </c>
    </row>
    <row r="1103" spans="7:14" ht="11.25" customHeight="1" x14ac:dyDescent="0.25">
      <c r="G1103" s="459"/>
      <c r="H1103" s="459">
        <v>1096</v>
      </c>
      <c r="I1103" s="444">
        <f t="shared" ca="1" si="105"/>
        <v>-75683156.408073276</v>
      </c>
      <c r="J1103" s="444">
        <f t="array" ref="J1103">IFERROR(INDEX('Retirement Calculator'!K:K,MATCH('Lorri 401b'!N1103,'Retirement Calculator'!A:A,0),0),0)</f>
        <v>21655.303514578787</v>
      </c>
      <c r="K1103" s="444">
        <f t="shared" ca="1" si="103"/>
        <v>-315436.71546494943</v>
      </c>
      <c r="L1103" s="444">
        <f t="shared" ca="1" si="104"/>
        <v>-76020248.427052811</v>
      </c>
      <c r="M1103" s="460">
        <f t="shared" si="106"/>
        <v>0.05</v>
      </c>
      <c r="N1103" s="464">
        <f t="shared" si="107"/>
        <v>84616</v>
      </c>
    </row>
    <row r="1104" spans="7:14" ht="11.25" customHeight="1" x14ac:dyDescent="0.25">
      <c r="G1104" s="459"/>
      <c r="H1104" s="459">
        <v>1097</v>
      </c>
      <c r="I1104" s="444">
        <f t="shared" ca="1" si="105"/>
        <v>-76020248.427052811</v>
      </c>
      <c r="J1104" s="444">
        <f t="array" ref="J1104">IFERROR(INDEX('Retirement Calculator'!K:K,MATCH('Lorri 401b'!N1104,'Retirement Calculator'!A:A,0),0),0)</f>
        <v>21655.303514578787</v>
      </c>
      <c r="K1104" s="444">
        <f t="shared" ca="1" si="103"/>
        <v>-316841.26554403082</v>
      </c>
      <c r="L1104" s="444">
        <f t="shared" ca="1" si="104"/>
        <v>-76358744.996111423</v>
      </c>
      <c r="M1104" s="460">
        <f t="shared" si="106"/>
        <v>0.05</v>
      </c>
      <c r="N1104" s="464">
        <f t="shared" si="107"/>
        <v>84646</v>
      </c>
    </row>
    <row r="1105" spans="7:14" ht="11.25" customHeight="1" x14ac:dyDescent="0.25">
      <c r="G1105" s="459"/>
      <c r="H1105" s="459">
        <v>1098</v>
      </c>
      <c r="I1105" s="444">
        <f t="shared" ca="1" si="105"/>
        <v>-76358744.996111423</v>
      </c>
      <c r="J1105" s="444">
        <f t="array" ref="J1105">IFERROR(INDEX('Retirement Calculator'!K:K,MATCH('Lorri 401b'!N1105,'Retirement Calculator'!A:A,0),0),0)</f>
        <v>21655.303514578787</v>
      </c>
      <c r="K1105" s="444">
        <f t="shared" ca="1" si="103"/>
        <v>-318251.66791510838</v>
      </c>
      <c r="L1105" s="444">
        <f t="shared" ca="1" si="104"/>
        <v>-76698651.967541113</v>
      </c>
      <c r="M1105" s="460">
        <f t="shared" si="106"/>
        <v>0.05</v>
      </c>
      <c r="N1105" s="464">
        <f t="shared" si="107"/>
        <v>84677</v>
      </c>
    </row>
    <row r="1106" spans="7:14" ht="11.25" customHeight="1" x14ac:dyDescent="0.25">
      <c r="G1106" s="459"/>
      <c r="H1106" s="459">
        <v>1099</v>
      </c>
      <c r="I1106" s="444">
        <f t="shared" ca="1" si="105"/>
        <v>-76698651.967541113</v>
      </c>
      <c r="J1106" s="444">
        <f t="array" ref="J1106">IFERROR(INDEX('Retirement Calculator'!K:K,MATCH('Lorri 401b'!N1106,'Retirement Calculator'!A:A,0),0),0)</f>
        <v>21655.303514578787</v>
      </c>
      <c r="K1106" s="444">
        <f t="shared" ca="1" si="103"/>
        <v>-319667.94696273207</v>
      </c>
      <c r="L1106" s="444">
        <f t="shared" ca="1" si="104"/>
        <v>-77039975.218018427</v>
      </c>
      <c r="M1106" s="460">
        <f t="shared" si="106"/>
        <v>0.05</v>
      </c>
      <c r="N1106" s="464">
        <f t="shared" si="107"/>
        <v>84707</v>
      </c>
    </row>
    <row r="1107" spans="7:14" ht="11.25" customHeight="1" x14ac:dyDescent="0.25">
      <c r="G1107" s="459"/>
      <c r="H1107" s="459">
        <v>1100</v>
      </c>
      <c r="I1107" s="444">
        <f t="shared" ca="1" si="105"/>
        <v>-77039975.218018427</v>
      </c>
      <c r="J1107" s="444">
        <f t="array" ref="J1107">IFERROR(INDEX('Retirement Calculator'!K:K,MATCH('Lorri 401b'!N1107,'Retirement Calculator'!A:A,0),0),0)</f>
        <v>21655.303514578787</v>
      </c>
      <c r="K1107" s="444">
        <f t="shared" ca="1" si="103"/>
        <v>-321090.12717305421</v>
      </c>
      <c r="L1107" s="444">
        <f t="shared" ca="1" si="104"/>
        <v>-77382720.648706064</v>
      </c>
      <c r="M1107" s="460">
        <f t="shared" si="106"/>
        <v>0.05</v>
      </c>
      <c r="N1107" s="464">
        <f t="shared" si="107"/>
        <v>84738</v>
      </c>
    </row>
    <row r="1108" spans="7:14" ht="11.25" customHeight="1" x14ac:dyDescent="0.25">
      <c r="G1108" s="459"/>
      <c r="H1108" s="459">
        <v>1101</v>
      </c>
      <c r="I1108" s="444">
        <f t="shared" ca="1" si="105"/>
        <v>-77382720.648706064</v>
      </c>
      <c r="J1108" s="444">
        <f t="array" ref="J1108">IFERROR(INDEX('Retirement Calculator'!K:K,MATCH('Lorri 401b'!N1108,'Retirement Calculator'!A:A,0),0),0)</f>
        <v>21655.303514578787</v>
      </c>
      <c r="K1108" s="444">
        <f t="shared" ca="1" si="103"/>
        <v>-322518.23313425272</v>
      </c>
      <c r="L1108" s="444">
        <f t="shared" ca="1" si="104"/>
        <v>-77726894.185354903</v>
      </c>
      <c r="M1108" s="460">
        <f t="shared" si="106"/>
        <v>0.05</v>
      </c>
      <c r="N1108" s="464">
        <f t="shared" si="107"/>
        <v>84769</v>
      </c>
    </row>
    <row r="1109" spans="7:14" ht="11.25" customHeight="1" x14ac:dyDescent="0.25">
      <c r="G1109" s="459"/>
      <c r="H1109" s="459">
        <v>1102</v>
      </c>
      <c r="I1109" s="444">
        <f t="shared" ca="1" si="105"/>
        <v>-77726894.185354903</v>
      </c>
      <c r="J1109" s="444">
        <f t="array" ref="J1109">IFERROR(INDEX('Retirement Calculator'!K:K,MATCH('Lorri 401b'!N1109,'Retirement Calculator'!A:A,0),0),0)</f>
        <v>21655.303514578787</v>
      </c>
      <c r="K1109" s="444">
        <f t="shared" ca="1" si="103"/>
        <v>-323952.28953695617</v>
      </c>
      <c r="L1109" s="444">
        <f t="shared" ca="1" si="104"/>
        <v>-78072501.778406441</v>
      </c>
      <c r="M1109" s="460">
        <f t="shared" si="106"/>
        <v>0.05</v>
      </c>
      <c r="N1109" s="464">
        <f t="shared" si="107"/>
        <v>84798</v>
      </c>
    </row>
    <row r="1110" spans="7:14" ht="11.25" customHeight="1" x14ac:dyDescent="0.25">
      <c r="G1110" s="459"/>
      <c r="H1110" s="459">
        <v>1103</v>
      </c>
      <c r="I1110" s="444">
        <f t="shared" ca="1" si="105"/>
        <v>-78072501.778406441</v>
      </c>
      <c r="J1110" s="444">
        <f t="array" ref="J1110">IFERROR(INDEX('Retirement Calculator'!K:K,MATCH('Lorri 401b'!N1110,'Retirement Calculator'!A:A,0),0),0)</f>
        <v>21655.303514578787</v>
      </c>
      <c r="K1110" s="444">
        <f t="shared" ca="1" si="103"/>
        <v>-325392.32117467094</v>
      </c>
      <c r="L1110" s="444">
        <f t="shared" ca="1" si="104"/>
        <v>-78419549.403095692</v>
      </c>
      <c r="M1110" s="460">
        <f t="shared" si="106"/>
        <v>0.05</v>
      </c>
      <c r="N1110" s="464">
        <f t="shared" si="107"/>
        <v>84829</v>
      </c>
    </row>
    <row r="1111" spans="7:14" ht="11.25" customHeight="1" x14ac:dyDescent="0.25">
      <c r="G1111" s="459"/>
      <c r="H1111" s="459">
        <v>1104</v>
      </c>
      <c r="I1111" s="444">
        <f t="shared" ca="1" si="105"/>
        <v>-78419549.403095692</v>
      </c>
      <c r="J1111" s="444">
        <f t="array" ref="J1111">IFERROR(INDEX('Retirement Calculator'!K:K,MATCH('Lorri 401b'!N1111,'Retirement Calculator'!A:A,0),0),0)</f>
        <v>21655.303514578787</v>
      </c>
      <c r="K1111" s="444">
        <f t="shared" ca="1" si="103"/>
        <v>-326838.35294420947</v>
      </c>
      <c r="L1111" s="444">
        <f t="shared" ca="1" si="104"/>
        <v>-78768043.059554487</v>
      </c>
      <c r="M1111" s="460">
        <f t="shared" si="106"/>
        <v>0.05</v>
      </c>
      <c r="N1111" s="464">
        <f t="shared" si="107"/>
        <v>84859</v>
      </c>
    </row>
    <row r="1112" spans="7:14" ht="11.25" customHeight="1" x14ac:dyDescent="0.25">
      <c r="G1112" s="459"/>
      <c r="H1112" s="459">
        <v>1105</v>
      </c>
      <c r="I1112" s="444">
        <f t="shared" ca="1" si="105"/>
        <v>-78768043.059554487</v>
      </c>
      <c r="J1112" s="444">
        <f t="array" ref="J1112">IFERROR(INDEX('Retirement Calculator'!K:K,MATCH('Lorri 401b'!N1112,'Retirement Calculator'!A:A,0),0),0)</f>
        <v>21655.303514578787</v>
      </c>
      <c r="K1112" s="444">
        <f t="shared" ca="1" si="103"/>
        <v>-328290.40984612115</v>
      </c>
      <c r="L1112" s="444">
        <f t="shared" ca="1" si="104"/>
        <v>-79117988.772915199</v>
      </c>
      <c r="M1112" s="460">
        <f t="shared" si="106"/>
        <v>0.05</v>
      </c>
      <c r="N1112" s="464">
        <f t="shared" si="107"/>
        <v>84890</v>
      </c>
    </row>
    <row r="1113" spans="7:14" ht="11.25" customHeight="1" x14ac:dyDescent="0.25">
      <c r="G1113" s="459"/>
      <c r="H1113" s="459">
        <v>1106</v>
      </c>
      <c r="I1113" s="444">
        <f t="shared" ca="1" si="105"/>
        <v>-79117988.772915199</v>
      </c>
      <c r="J1113" s="444">
        <f t="array" ref="J1113">IFERROR(INDEX('Retirement Calculator'!K:K,MATCH('Lorri 401b'!N1113,'Retirement Calculator'!A:A,0),0),0)</f>
        <v>21655.303514578787</v>
      </c>
      <c r="K1113" s="444">
        <f t="shared" ca="1" si="103"/>
        <v>-329748.51698512409</v>
      </c>
      <c r="L1113" s="444">
        <f t="shared" ca="1" si="104"/>
        <v>-79469392.593414903</v>
      </c>
      <c r="M1113" s="460">
        <f t="shared" si="106"/>
        <v>0.05</v>
      </c>
      <c r="N1113" s="464">
        <f t="shared" si="107"/>
        <v>84920</v>
      </c>
    </row>
    <row r="1114" spans="7:14" ht="11.25" customHeight="1" x14ac:dyDescent="0.25">
      <c r="G1114" s="459"/>
      <c r="H1114" s="459">
        <v>1107</v>
      </c>
      <c r="I1114" s="444">
        <f t="shared" ca="1" si="105"/>
        <v>-79469392.593414903</v>
      </c>
      <c r="J1114" s="444">
        <f t="array" ref="J1114">IFERROR(INDEX('Retirement Calculator'!K:K,MATCH('Lorri 401b'!N1114,'Retirement Calculator'!A:A,0),0),0)</f>
        <v>21655.303514578787</v>
      </c>
      <c r="K1114" s="444">
        <f t="shared" ca="1" si="103"/>
        <v>-331212.69957053952</v>
      </c>
      <c r="L1114" s="444">
        <f t="shared" ca="1" si="104"/>
        <v>-79822260.596500024</v>
      </c>
      <c r="M1114" s="460">
        <f t="shared" si="106"/>
        <v>0.05</v>
      </c>
      <c r="N1114" s="464">
        <f t="shared" si="107"/>
        <v>84951</v>
      </c>
    </row>
    <row r="1115" spans="7:14" ht="11.25" customHeight="1" x14ac:dyDescent="0.25">
      <c r="G1115" s="459"/>
      <c r="H1115" s="459">
        <v>1108</v>
      </c>
      <c r="I1115" s="444">
        <f t="shared" ca="1" si="105"/>
        <v>-79822260.596500024</v>
      </c>
      <c r="J1115" s="444">
        <f t="array" ref="J1115">IFERROR(INDEX('Retirement Calculator'!K:K,MATCH('Lorri 401b'!N1115,'Retirement Calculator'!A:A,0),0),0)</f>
        <v>21655.303514578787</v>
      </c>
      <c r="K1115" s="444">
        <f t="shared" ca="1" si="103"/>
        <v>-332682.98291672755</v>
      </c>
      <c r="L1115" s="444">
        <f t="shared" ca="1" si="104"/>
        <v>-80176598.882931337</v>
      </c>
      <c r="M1115" s="460">
        <f t="shared" si="106"/>
        <v>0.05</v>
      </c>
      <c r="N1115" s="464">
        <f t="shared" si="107"/>
        <v>84982</v>
      </c>
    </row>
    <row r="1116" spans="7:14" ht="11.25" customHeight="1" x14ac:dyDescent="0.25">
      <c r="G1116" s="459"/>
      <c r="H1116" s="459">
        <v>1109</v>
      </c>
      <c r="I1116" s="444">
        <f t="shared" ca="1" si="105"/>
        <v>-80176598.882931337</v>
      </c>
      <c r="J1116" s="444">
        <f t="array" ref="J1116">IFERROR(INDEX('Retirement Calculator'!K:K,MATCH('Lorri 401b'!N1116,'Retirement Calculator'!A:A,0),0),0)</f>
        <v>21655.303514578787</v>
      </c>
      <c r="K1116" s="444">
        <f t="shared" ca="1" si="103"/>
        <v>-334159.39244352467</v>
      </c>
      <c r="L1116" s="444">
        <f t="shared" ca="1" si="104"/>
        <v>-80532413.578889444</v>
      </c>
      <c r="M1116" s="460">
        <f t="shared" si="106"/>
        <v>0.05</v>
      </c>
      <c r="N1116" s="464">
        <f t="shared" si="107"/>
        <v>85012</v>
      </c>
    </row>
    <row r="1117" spans="7:14" ht="11.25" customHeight="1" x14ac:dyDescent="0.25">
      <c r="G1117" s="459"/>
      <c r="H1117" s="459">
        <v>1110</v>
      </c>
      <c r="I1117" s="444">
        <f t="shared" ca="1" si="105"/>
        <v>-80532413.578889444</v>
      </c>
      <c r="J1117" s="444">
        <f t="array" ref="J1117">IFERROR(INDEX('Retirement Calculator'!K:K,MATCH('Lorri 401b'!N1117,'Retirement Calculator'!A:A,0),0),0)</f>
        <v>21655.303514578787</v>
      </c>
      <c r="K1117" s="444">
        <f t="shared" ca="1" si="103"/>
        <v>-335641.95367668348</v>
      </c>
      <c r="L1117" s="444">
        <f t="shared" ca="1" si="104"/>
        <v>-80889710.836080715</v>
      </c>
      <c r="M1117" s="460">
        <f t="shared" si="106"/>
        <v>0.05</v>
      </c>
      <c r="N1117" s="464">
        <f t="shared" si="107"/>
        <v>85043</v>
      </c>
    </row>
    <row r="1118" spans="7:14" ht="11.25" customHeight="1" x14ac:dyDescent="0.25">
      <c r="G1118" s="459"/>
      <c r="H1118" s="459">
        <v>1111</v>
      </c>
      <c r="I1118" s="444">
        <f t="shared" ca="1" si="105"/>
        <v>-80889710.836080715</v>
      </c>
      <c r="J1118" s="444">
        <f t="array" ref="J1118">IFERROR(INDEX('Retirement Calculator'!K:K,MATCH('Lorri 401b'!N1118,'Retirement Calculator'!A:A,0),0),0)</f>
        <v>21655.303514578787</v>
      </c>
      <c r="K1118" s="444">
        <f t="shared" ca="1" si="103"/>
        <v>-337130.69224831375</v>
      </c>
      <c r="L1118" s="444">
        <f t="shared" ca="1" si="104"/>
        <v>-81248496.831843615</v>
      </c>
      <c r="M1118" s="460">
        <f t="shared" si="106"/>
        <v>0.05</v>
      </c>
      <c r="N1118" s="464">
        <f t="shared" si="107"/>
        <v>85073</v>
      </c>
    </row>
    <row r="1119" spans="7:14" ht="11.25" customHeight="1" x14ac:dyDescent="0.25">
      <c r="G1119" s="459"/>
      <c r="H1119" s="459">
        <v>1112</v>
      </c>
      <c r="I1119" s="444">
        <f t="shared" ca="1" si="105"/>
        <v>-81248496.831843615</v>
      </c>
      <c r="J1119" s="444">
        <f t="array" ref="J1119">IFERROR(INDEX('Retirement Calculator'!K:K,MATCH('Lorri 401b'!N1119,'Retirement Calculator'!A:A,0),0),0)</f>
        <v>21655.303514578787</v>
      </c>
      <c r="K1119" s="444">
        <f t="shared" ca="1" si="103"/>
        <v>-338625.63389732584</v>
      </c>
      <c r="L1119" s="444">
        <f t="shared" ca="1" si="104"/>
        <v>-81608777.769255519</v>
      </c>
      <c r="M1119" s="460">
        <f t="shared" si="106"/>
        <v>0.05</v>
      </c>
      <c r="N1119" s="464">
        <f t="shared" si="107"/>
        <v>85104</v>
      </c>
    </row>
    <row r="1120" spans="7:14" ht="11.25" customHeight="1" x14ac:dyDescent="0.25">
      <c r="G1120" s="459"/>
      <c r="H1120" s="459">
        <v>1113</v>
      </c>
      <c r="I1120" s="444">
        <f t="shared" ca="1" si="105"/>
        <v>-81608777.769255519</v>
      </c>
      <c r="J1120" s="444">
        <f t="array" ref="J1120">IFERROR(INDEX('Retirement Calculator'!K:K,MATCH('Lorri 401b'!N1120,'Retirement Calculator'!A:A,0),0),0)</f>
        <v>21655.303514578787</v>
      </c>
      <c r="K1120" s="444">
        <f t="shared" ca="1" si="103"/>
        <v>-340126.80446987541</v>
      </c>
      <c r="L1120" s="444">
        <f t="shared" ca="1" si="104"/>
        <v>-81970559.877239972</v>
      </c>
      <c r="M1120" s="460">
        <f t="shared" si="106"/>
        <v>0.05</v>
      </c>
      <c r="N1120" s="464">
        <f t="shared" si="107"/>
        <v>85135</v>
      </c>
    </row>
    <row r="1121" spans="7:14" ht="11.25" customHeight="1" x14ac:dyDescent="0.25">
      <c r="G1121" s="459"/>
      <c r="H1121" s="459">
        <v>1114</v>
      </c>
      <c r="I1121" s="444">
        <f t="shared" ca="1" si="105"/>
        <v>-81970559.877239972</v>
      </c>
      <c r="J1121" s="444">
        <f t="array" ref="J1121">IFERROR(INDEX('Retirement Calculator'!K:K,MATCH('Lorri 401b'!N1121,'Retirement Calculator'!A:A,0),0),0)</f>
        <v>21655.303514578787</v>
      </c>
      <c r="K1121" s="444">
        <f t="shared" ca="1" si="103"/>
        <v>-341634.22991981066</v>
      </c>
      <c r="L1121" s="444">
        <f t="shared" ca="1" si="104"/>
        <v>-82333849.410674363</v>
      </c>
      <c r="M1121" s="460">
        <f t="shared" si="106"/>
        <v>0.05</v>
      </c>
      <c r="N1121" s="464">
        <f t="shared" si="107"/>
        <v>85163</v>
      </c>
    </row>
    <row r="1122" spans="7:14" ht="11.25" customHeight="1" x14ac:dyDescent="0.25">
      <c r="G1122" s="459"/>
      <c r="H1122" s="459">
        <v>1115</v>
      </c>
      <c r="I1122" s="444">
        <f t="shared" ca="1" si="105"/>
        <v>-82333849.410674363</v>
      </c>
      <c r="J1122" s="444">
        <f t="array" ref="J1122">IFERROR(INDEX('Retirement Calculator'!K:K,MATCH('Lorri 401b'!N1122,'Retirement Calculator'!A:A,0),0),0)</f>
        <v>21655.303514578787</v>
      </c>
      <c r="K1122" s="444">
        <f t="shared" ca="1" si="103"/>
        <v>-343147.93630912062</v>
      </c>
      <c r="L1122" s="444">
        <f t="shared" ca="1" si="104"/>
        <v>-82698652.650498062</v>
      </c>
      <c r="M1122" s="460">
        <f t="shared" si="106"/>
        <v>0.05</v>
      </c>
      <c r="N1122" s="464">
        <f t="shared" si="107"/>
        <v>85194</v>
      </c>
    </row>
    <row r="1123" spans="7:14" ht="11.25" customHeight="1" x14ac:dyDescent="0.25">
      <c r="G1123" s="459"/>
      <c r="H1123" s="459">
        <v>1116</v>
      </c>
      <c r="I1123" s="444">
        <f t="shared" ca="1" si="105"/>
        <v>-82698652.650498062</v>
      </c>
      <c r="J1123" s="444">
        <f t="array" ref="J1123">IFERROR(INDEX('Retirement Calculator'!K:K,MATCH('Lorri 401b'!N1123,'Retirement Calculator'!A:A,0),0),0)</f>
        <v>21655.303514578787</v>
      </c>
      <c r="K1123" s="444">
        <f t="shared" ca="1" si="103"/>
        <v>-344667.94980838604</v>
      </c>
      <c r="L1123" s="444">
        <f t="shared" ca="1" si="104"/>
        <v>-83064975.903821036</v>
      </c>
      <c r="M1123" s="460">
        <f t="shared" si="106"/>
        <v>0.05</v>
      </c>
      <c r="N1123" s="464">
        <f t="shared" si="107"/>
        <v>85224</v>
      </c>
    </row>
    <row r="1124" spans="7:14" ht="11.25" customHeight="1" x14ac:dyDescent="0.25">
      <c r="G1124" s="459"/>
      <c r="H1124" s="459">
        <v>1117</v>
      </c>
      <c r="I1124" s="444">
        <f t="shared" ca="1" si="105"/>
        <v>-83064975.903821036</v>
      </c>
      <c r="J1124" s="444">
        <f t="array" ref="J1124">IFERROR(INDEX('Retirement Calculator'!K:K,MATCH('Lorri 401b'!N1124,'Retirement Calculator'!A:A,0),0),0)</f>
        <v>21655.303514578787</v>
      </c>
      <c r="K1124" s="444">
        <f t="shared" ca="1" si="103"/>
        <v>-346194.29669723177</v>
      </c>
      <c r="L1124" s="444">
        <f t="shared" ca="1" si="104"/>
        <v>-83432825.50403285</v>
      </c>
      <c r="M1124" s="460">
        <f t="shared" si="106"/>
        <v>0.05</v>
      </c>
      <c r="N1124" s="464">
        <f t="shared" si="107"/>
        <v>85255</v>
      </c>
    </row>
    <row r="1125" spans="7:14" ht="11.25" customHeight="1" x14ac:dyDescent="0.25">
      <c r="G1125" s="459"/>
      <c r="H1125" s="459">
        <v>1118</v>
      </c>
      <c r="I1125" s="444">
        <f t="shared" ca="1" si="105"/>
        <v>-83432825.50403285</v>
      </c>
      <c r="J1125" s="444">
        <f t="array" ref="J1125">IFERROR(INDEX('Retirement Calculator'!K:K,MATCH('Lorri 401b'!N1125,'Retirement Calculator'!A:A,0),0),0)</f>
        <v>21655.303514578787</v>
      </c>
      <c r="K1125" s="444">
        <f t="shared" ca="1" si="103"/>
        <v>-347727.00336478098</v>
      </c>
      <c r="L1125" s="444">
        <f t="shared" ca="1" si="104"/>
        <v>-83802207.810912222</v>
      </c>
      <c r="M1125" s="460">
        <f t="shared" si="106"/>
        <v>0.05</v>
      </c>
      <c r="N1125" s="464">
        <f t="shared" si="107"/>
        <v>85285</v>
      </c>
    </row>
    <row r="1126" spans="7:14" ht="11.25" customHeight="1" x14ac:dyDescent="0.25">
      <c r="G1126" s="459"/>
      <c r="H1126" s="459">
        <v>1119</v>
      </c>
      <c r="I1126" s="444">
        <f t="shared" ca="1" si="105"/>
        <v>-83802207.810912222</v>
      </c>
      <c r="J1126" s="444">
        <f t="array" ref="J1126">IFERROR(INDEX('Retirement Calculator'!K:K,MATCH('Lorri 401b'!N1126,'Retirement Calculator'!A:A,0),0),0)</f>
        <v>21655.303514578787</v>
      </c>
      <c r="K1126" s="444">
        <f t="shared" ca="1" si="103"/>
        <v>-349266.09631011169</v>
      </c>
      <c r="L1126" s="444">
        <f t="shared" ca="1" si="104"/>
        <v>-84173129.210736915</v>
      </c>
      <c r="M1126" s="460">
        <f t="shared" si="106"/>
        <v>0.05</v>
      </c>
      <c r="N1126" s="464">
        <f t="shared" si="107"/>
        <v>85316</v>
      </c>
    </row>
    <row r="1127" spans="7:14" ht="11.25" customHeight="1" x14ac:dyDescent="0.25">
      <c r="G1127" s="459"/>
      <c r="H1127" s="459">
        <v>1120</v>
      </c>
      <c r="I1127" s="444">
        <f t="shared" ca="1" si="105"/>
        <v>-84173129.210736915</v>
      </c>
      <c r="J1127" s="444">
        <f t="array" ref="J1127">IFERROR(INDEX('Retirement Calculator'!K:K,MATCH('Lorri 401b'!N1127,'Retirement Calculator'!A:A,0),0),0)</f>
        <v>21655.303514578787</v>
      </c>
      <c r="K1127" s="444">
        <f t="shared" ca="1" si="103"/>
        <v>-350811.6021427146</v>
      </c>
      <c r="L1127" s="444">
        <f t="shared" ca="1" si="104"/>
        <v>-84545596.116394222</v>
      </c>
      <c r="M1127" s="460">
        <f t="shared" si="106"/>
        <v>0.05</v>
      </c>
      <c r="N1127" s="464">
        <f t="shared" si="107"/>
        <v>85347</v>
      </c>
    </row>
    <row r="1128" spans="7:14" ht="11.25" customHeight="1" x14ac:dyDescent="0.25">
      <c r="G1128" s="459"/>
      <c r="H1128" s="459">
        <v>1121</v>
      </c>
      <c r="I1128" s="444">
        <f t="shared" ca="1" si="105"/>
        <v>-84545596.116394222</v>
      </c>
      <c r="J1128" s="444">
        <f t="array" ref="J1128">IFERROR(INDEX('Retirement Calculator'!K:K,MATCH('Lorri 401b'!N1128,'Retirement Calculator'!A:A,0),0),0)</f>
        <v>21655.303514578787</v>
      </c>
      <c r="K1128" s="444">
        <f t="shared" ca="1" si="103"/>
        <v>-352363.54758295335</v>
      </c>
      <c r="L1128" s="444">
        <f t="shared" ca="1" si="104"/>
        <v>-84919614.967491761</v>
      </c>
      <c r="M1128" s="460">
        <f t="shared" si="106"/>
        <v>0.05</v>
      </c>
      <c r="N1128" s="464">
        <f t="shared" si="107"/>
        <v>85377</v>
      </c>
    </row>
    <row r="1129" spans="7:14" ht="11.25" customHeight="1" x14ac:dyDescent="0.25">
      <c r="G1129" s="459"/>
      <c r="H1129" s="459">
        <v>1122</v>
      </c>
      <c r="I1129" s="444">
        <f t="shared" ca="1" si="105"/>
        <v>-84919614.967491761</v>
      </c>
      <c r="J1129" s="444">
        <f t="array" ref="J1129">IFERROR(INDEX('Retirement Calculator'!K:K,MATCH('Lorri 401b'!N1129,'Retirement Calculator'!A:A,0),0),0)</f>
        <v>21655.303514578787</v>
      </c>
      <c r="K1129" s="444">
        <f t="shared" ca="1" si="103"/>
        <v>-353921.95946252643</v>
      </c>
      <c r="L1129" s="444">
        <f t="shared" ca="1" si="104"/>
        <v>-85295192.230468869</v>
      </c>
      <c r="M1129" s="460">
        <f t="shared" si="106"/>
        <v>0.05</v>
      </c>
      <c r="N1129" s="464">
        <f t="shared" si="107"/>
        <v>85408</v>
      </c>
    </row>
    <row r="1130" spans="7:14" ht="11.25" customHeight="1" x14ac:dyDescent="0.25">
      <c r="G1130" s="459"/>
      <c r="H1130" s="459">
        <v>1123</v>
      </c>
      <c r="I1130" s="444">
        <f t="shared" ca="1" si="105"/>
        <v>-85295192.230468869</v>
      </c>
      <c r="J1130" s="444">
        <f t="array" ref="J1130">IFERROR(INDEX('Retirement Calculator'!K:K,MATCH('Lorri 401b'!N1130,'Retirement Calculator'!A:A,0),0),0)</f>
        <v>21655.303514578787</v>
      </c>
      <c r="K1130" s="444">
        <f t="shared" ca="1" si="103"/>
        <v>-355486.86472493107</v>
      </c>
      <c r="L1130" s="444">
        <f t="shared" ca="1" si="104"/>
        <v>-85672334.398708388</v>
      </c>
      <c r="M1130" s="460">
        <f t="shared" si="106"/>
        <v>0.05</v>
      </c>
      <c r="N1130" s="464">
        <f t="shared" si="107"/>
        <v>85438</v>
      </c>
    </row>
    <row r="1131" spans="7:14" ht="11.25" customHeight="1" x14ac:dyDescent="0.25">
      <c r="G1131" s="459"/>
      <c r="H1131" s="459">
        <v>1124</v>
      </c>
      <c r="I1131" s="444">
        <f t="shared" ca="1" si="105"/>
        <v>-85672334.398708388</v>
      </c>
      <c r="J1131" s="444">
        <f t="array" ref="J1131">IFERROR(INDEX('Retirement Calculator'!K:K,MATCH('Lorri 401b'!N1131,'Retirement Calculator'!A:A,0),0),0)</f>
        <v>21655.303514578787</v>
      </c>
      <c r="K1131" s="444">
        <f t="shared" ca="1" si="103"/>
        <v>-357058.29042592907</v>
      </c>
      <c r="L1131" s="444">
        <f t="shared" ca="1" si="104"/>
        <v>-86051047.9926489</v>
      </c>
      <c r="M1131" s="460">
        <f t="shared" si="106"/>
        <v>0.05</v>
      </c>
      <c r="N1131" s="464">
        <f t="shared" si="107"/>
        <v>85469</v>
      </c>
    </row>
    <row r="1132" spans="7:14" ht="11.25" customHeight="1" x14ac:dyDescent="0.25">
      <c r="G1132" s="459"/>
      <c r="H1132" s="459">
        <v>1125</v>
      </c>
      <c r="I1132" s="444">
        <f t="shared" ca="1" si="105"/>
        <v>-86051047.9926489</v>
      </c>
      <c r="J1132" s="444">
        <f t="array" ref="J1132">IFERROR(INDEX('Retirement Calculator'!K:K,MATCH('Lorri 401b'!N1132,'Retirement Calculator'!A:A,0),0),0)</f>
        <v>21655.303514578787</v>
      </c>
      <c r="K1132" s="444">
        <f t="shared" ca="1" si="103"/>
        <v>-358636.26373401453</v>
      </c>
      <c r="L1132" s="444">
        <f t="shared" ca="1" si="104"/>
        <v>-86431339.559897497</v>
      </c>
      <c r="M1132" s="460">
        <f t="shared" si="106"/>
        <v>0.05</v>
      </c>
      <c r="N1132" s="464">
        <f t="shared" si="107"/>
        <v>85500</v>
      </c>
    </row>
    <row r="1133" spans="7:14" ht="11.25" customHeight="1" x14ac:dyDescent="0.25">
      <c r="G1133" s="459"/>
      <c r="H1133" s="459">
        <v>1126</v>
      </c>
      <c r="I1133" s="444">
        <f t="shared" ca="1" si="105"/>
        <v>-86431339.559897497</v>
      </c>
      <c r="J1133" s="444">
        <f t="array" ref="J1133">IFERROR(INDEX('Retirement Calculator'!K:K,MATCH('Lorri 401b'!N1133,'Retirement Calculator'!A:A,0),0),0)</f>
        <v>21655.303514578787</v>
      </c>
      <c r="K1133" s="444">
        <f t="shared" ca="1" si="103"/>
        <v>-360220.81193088368</v>
      </c>
      <c r="L1133" s="444">
        <f t="shared" ca="1" si="104"/>
        <v>-86813215.675342962</v>
      </c>
      <c r="M1133" s="460">
        <f t="shared" si="106"/>
        <v>0.05</v>
      </c>
      <c r="N1133" s="464">
        <f t="shared" si="107"/>
        <v>85528</v>
      </c>
    </row>
    <row r="1134" spans="7:14" ht="11.25" customHeight="1" x14ac:dyDescent="0.25">
      <c r="G1134" s="459"/>
      <c r="H1134" s="459">
        <v>1127</v>
      </c>
      <c r="I1134" s="444">
        <f t="shared" ca="1" si="105"/>
        <v>-86813215.675342962</v>
      </c>
      <c r="J1134" s="444">
        <f t="array" ref="J1134">IFERROR(INDEX('Retirement Calculator'!K:K,MATCH('Lorri 401b'!N1134,'Retirement Calculator'!A:A,0),0),0)</f>
        <v>21655.303514578787</v>
      </c>
      <c r="K1134" s="444">
        <f t="shared" ca="1" si="103"/>
        <v>-361811.96241190645</v>
      </c>
      <c r="L1134" s="444">
        <f t="shared" ca="1" si="104"/>
        <v>-87196682.941269457</v>
      </c>
      <c r="M1134" s="460">
        <f t="shared" si="106"/>
        <v>0.05</v>
      </c>
      <c r="N1134" s="464">
        <f t="shared" si="107"/>
        <v>85559</v>
      </c>
    </row>
    <row r="1135" spans="7:14" ht="11.25" customHeight="1" x14ac:dyDescent="0.25">
      <c r="G1135" s="459"/>
      <c r="H1135" s="459">
        <v>1128</v>
      </c>
      <c r="I1135" s="444">
        <f t="shared" ca="1" si="105"/>
        <v>-87196682.941269457</v>
      </c>
      <c r="J1135" s="444">
        <f t="array" ref="J1135">IFERROR(INDEX('Retirement Calculator'!K:K,MATCH('Lorri 401b'!N1135,'Retirement Calculator'!A:A,0),0),0)</f>
        <v>21655.303514578787</v>
      </c>
      <c r="K1135" s="444">
        <f t="shared" ca="1" si="103"/>
        <v>-363409.74268660019</v>
      </c>
      <c r="L1135" s="444">
        <f t="shared" ca="1" si="104"/>
        <v>-87581747.987470642</v>
      </c>
      <c r="M1135" s="460">
        <f t="shared" si="106"/>
        <v>0.05</v>
      </c>
      <c r="N1135" s="464">
        <f t="shared" si="107"/>
        <v>85589</v>
      </c>
    </row>
    <row r="1136" spans="7:14" ht="11.25" customHeight="1" x14ac:dyDescent="0.25">
      <c r="G1136" s="459"/>
      <c r="H1136" s="459">
        <v>1129</v>
      </c>
      <c r="I1136" s="444">
        <f t="shared" ca="1" si="105"/>
        <v>-87581747.987470642</v>
      </c>
      <c r="J1136" s="444">
        <f t="array" ref="J1136">IFERROR(INDEX('Retirement Calculator'!K:K,MATCH('Lorri 401b'!N1136,'Retirement Calculator'!A:A,0),0),0)</f>
        <v>21655.303514578787</v>
      </c>
      <c r="K1136" s="444">
        <f t="shared" ca="1" si="103"/>
        <v>-365014.18037910509</v>
      </c>
      <c r="L1136" s="444">
        <f t="shared" ca="1" si="104"/>
        <v>-87968417.471364334</v>
      </c>
      <c r="M1136" s="460">
        <f t="shared" si="106"/>
        <v>0.05</v>
      </c>
      <c r="N1136" s="464">
        <f t="shared" si="107"/>
        <v>85620</v>
      </c>
    </row>
    <row r="1137" spans="7:14" ht="11.25" customHeight="1" x14ac:dyDescent="0.25">
      <c r="G1137" s="459"/>
      <c r="H1137" s="459">
        <v>1130</v>
      </c>
      <c r="I1137" s="444">
        <f t="shared" ca="1" si="105"/>
        <v>-87968417.471364334</v>
      </c>
      <c r="J1137" s="444">
        <f t="array" ref="J1137">IFERROR(INDEX('Retirement Calculator'!K:K,MATCH('Lorri 401b'!N1137,'Retirement Calculator'!A:A,0),0),0)</f>
        <v>21655.303514578787</v>
      </c>
      <c r="K1137" s="444">
        <f t="shared" ca="1" si="103"/>
        <v>-366625.30322866217</v>
      </c>
      <c r="L1137" s="444">
        <f t="shared" ca="1" si="104"/>
        <v>-88356698.078107581</v>
      </c>
      <c r="M1137" s="460">
        <f t="shared" si="106"/>
        <v>0.05</v>
      </c>
      <c r="N1137" s="464">
        <f t="shared" si="107"/>
        <v>85650</v>
      </c>
    </row>
    <row r="1138" spans="7:14" ht="11.25" customHeight="1" x14ac:dyDescent="0.25">
      <c r="G1138" s="459"/>
      <c r="H1138" s="459">
        <v>1131</v>
      </c>
      <c r="I1138" s="444">
        <f t="shared" ca="1" si="105"/>
        <v>-88356698.078107581</v>
      </c>
      <c r="J1138" s="444">
        <f t="array" ref="J1138">IFERROR(INDEX('Retirement Calculator'!K:K,MATCH('Lorri 401b'!N1138,'Retirement Calculator'!A:A,0),0),0)</f>
        <v>21655.303514578787</v>
      </c>
      <c r="K1138" s="444">
        <f t="shared" ca="1" si="103"/>
        <v>-368243.13909009233</v>
      </c>
      <c r="L1138" s="444">
        <f t="shared" ca="1" si="104"/>
        <v>-88746596.520712256</v>
      </c>
      <c r="M1138" s="460">
        <f t="shared" si="106"/>
        <v>0.05</v>
      </c>
      <c r="N1138" s="464">
        <f t="shared" si="107"/>
        <v>85681</v>
      </c>
    </row>
    <row r="1139" spans="7:14" ht="11.25" customHeight="1" x14ac:dyDescent="0.25">
      <c r="G1139" s="459"/>
      <c r="H1139" s="459">
        <v>1132</v>
      </c>
      <c r="I1139" s="444">
        <f t="shared" ca="1" si="105"/>
        <v>-88746596.520712256</v>
      </c>
      <c r="J1139" s="444">
        <f t="array" ref="J1139">IFERROR(INDEX('Retirement Calculator'!K:K,MATCH('Lorri 401b'!N1139,'Retirement Calculator'!A:A,0),0),0)</f>
        <v>21655.303514578787</v>
      </c>
      <c r="K1139" s="444">
        <f t="shared" ca="1" si="103"/>
        <v>-369867.7159342785</v>
      </c>
      <c r="L1139" s="444">
        <f t="shared" ca="1" si="104"/>
        <v>-89138119.540161118</v>
      </c>
      <c r="M1139" s="460">
        <f t="shared" si="106"/>
        <v>0.05</v>
      </c>
      <c r="N1139" s="464">
        <f t="shared" si="107"/>
        <v>85712</v>
      </c>
    </row>
    <row r="1140" spans="7:14" ht="11.25" customHeight="1" x14ac:dyDescent="0.25">
      <c r="G1140" s="459"/>
      <c r="H1140" s="459">
        <v>1133</v>
      </c>
      <c r="I1140" s="444">
        <f t="shared" ca="1" si="105"/>
        <v>-89138119.540161118</v>
      </c>
      <c r="J1140" s="444">
        <f t="array" ref="J1140">IFERROR(INDEX('Retirement Calculator'!K:K,MATCH('Lorri 401b'!N1140,'Retirement Calculator'!A:A,0),0),0)</f>
        <v>21655.303514578787</v>
      </c>
      <c r="K1140" s="444">
        <f t="shared" ca="1" si="103"/>
        <v>-371499.06184864877</v>
      </c>
      <c r="L1140" s="444">
        <f t="shared" ca="1" si="104"/>
        <v>-89531273.905524358</v>
      </c>
      <c r="M1140" s="460">
        <f t="shared" si="106"/>
        <v>0.05</v>
      </c>
      <c r="N1140" s="464">
        <f t="shared" si="107"/>
        <v>85742</v>
      </c>
    </row>
    <row r="1141" spans="7:14" ht="11.25" customHeight="1" x14ac:dyDescent="0.25">
      <c r="G1141" s="459"/>
      <c r="H1141" s="459">
        <v>1134</v>
      </c>
      <c r="I1141" s="444">
        <f t="shared" ca="1" si="105"/>
        <v>-89531273.905524358</v>
      </c>
      <c r="J1141" s="444">
        <f t="array" ref="J1141">IFERROR(INDEX('Retirement Calculator'!K:K,MATCH('Lorri 401b'!N1141,'Retirement Calculator'!A:A,0),0),0)</f>
        <v>21655.303514578787</v>
      </c>
      <c r="K1141" s="444">
        <f t="shared" ca="1" si="103"/>
        <v>-373137.20503766224</v>
      </c>
      <c r="L1141" s="444">
        <f t="shared" ca="1" si="104"/>
        <v>-89926066.414076611</v>
      </c>
      <c r="M1141" s="460">
        <f t="shared" si="106"/>
        <v>0.05</v>
      </c>
      <c r="N1141" s="464">
        <f t="shared" si="107"/>
        <v>85773</v>
      </c>
    </row>
    <row r="1142" spans="7:14" ht="11.25" customHeight="1" x14ac:dyDescent="0.25">
      <c r="G1142" s="459"/>
      <c r="H1142" s="459">
        <v>1135</v>
      </c>
      <c r="I1142" s="444">
        <f t="shared" ca="1" si="105"/>
        <v>-89926066.414076611</v>
      </c>
      <c r="J1142" s="444">
        <f t="array" ref="J1142">IFERROR(INDEX('Retirement Calculator'!K:K,MATCH('Lorri 401b'!N1142,'Retirement Calculator'!A:A,0),0),0)</f>
        <v>21655.303514578787</v>
      </c>
      <c r="K1142" s="444">
        <f t="shared" ca="1" si="103"/>
        <v>-374782.17382329667</v>
      </c>
      <c r="L1142" s="444">
        <f t="shared" ca="1" si="104"/>
        <v>-90322503.891414493</v>
      </c>
      <c r="M1142" s="460">
        <f t="shared" si="106"/>
        <v>0.05</v>
      </c>
      <c r="N1142" s="464">
        <f t="shared" si="107"/>
        <v>85803</v>
      </c>
    </row>
    <row r="1143" spans="7:14" ht="11.25" customHeight="1" x14ac:dyDescent="0.25">
      <c r="G1143" s="459"/>
      <c r="H1143" s="459">
        <v>1136</v>
      </c>
      <c r="I1143" s="444">
        <f t="shared" ca="1" si="105"/>
        <v>-90322503.891414493</v>
      </c>
      <c r="J1143" s="444">
        <f t="array" ref="J1143">IFERROR(INDEX('Retirement Calculator'!K:K,MATCH('Lorri 401b'!N1143,'Retirement Calculator'!A:A,0),0),0)</f>
        <v>21655.303514578787</v>
      </c>
      <c r="K1143" s="444">
        <f t="shared" ca="1" si="103"/>
        <v>-376433.99664553785</v>
      </c>
      <c r="L1143" s="444">
        <f t="shared" ca="1" si="104"/>
        <v>-90720593.191574618</v>
      </c>
      <c r="M1143" s="460">
        <f t="shared" si="106"/>
        <v>0.05</v>
      </c>
      <c r="N1143" s="464">
        <f t="shared" si="107"/>
        <v>85834</v>
      </c>
    </row>
    <row r="1144" spans="7:14" ht="11.25" customHeight="1" x14ac:dyDescent="0.25">
      <c r="G1144" s="459"/>
      <c r="H1144" s="459">
        <v>1137</v>
      </c>
      <c r="I1144" s="444">
        <f t="shared" ca="1" si="105"/>
        <v>-90720593.191574618</v>
      </c>
      <c r="J1144" s="444">
        <f t="array" ref="J1144">IFERROR(INDEX('Retirement Calculator'!K:K,MATCH('Lorri 401b'!N1144,'Retirement Calculator'!A:A,0),0),0)</f>
        <v>21655.303514578787</v>
      </c>
      <c r="K1144" s="444">
        <f t="shared" ca="1" si="103"/>
        <v>-378092.70206287166</v>
      </c>
      <c r="L1144" s="444">
        <f t="shared" ca="1" si="104"/>
        <v>-91120341.197152078</v>
      </c>
      <c r="M1144" s="460">
        <f t="shared" si="106"/>
        <v>0.05</v>
      </c>
      <c r="N1144" s="464">
        <f t="shared" si="107"/>
        <v>85865</v>
      </c>
    </row>
    <row r="1145" spans="7:14" ht="11.25" customHeight="1" x14ac:dyDescent="0.25">
      <c r="G1145" s="459"/>
      <c r="H1145" s="459">
        <v>1138</v>
      </c>
      <c r="I1145" s="444">
        <f t="shared" ca="1" si="105"/>
        <v>-91120341.197152078</v>
      </c>
      <c r="J1145" s="444">
        <f t="array" ref="J1145">IFERROR(INDEX('Retirement Calculator'!K:K,MATCH('Lorri 401b'!N1145,'Retirement Calculator'!A:A,0),0),0)</f>
        <v>21655.303514578787</v>
      </c>
      <c r="K1145" s="444">
        <f t="shared" ca="1" si="103"/>
        <v>-379758.31875277776</v>
      </c>
      <c r="L1145" s="444">
        <f t="shared" ca="1" si="104"/>
        <v>-91521754.819419444</v>
      </c>
      <c r="M1145" s="460">
        <f t="shared" si="106"/>
        <v>0.05</v>
      </c>
      <c r="N1145" s="464">
        <f t="shared" si="107"/>
        <v>85893</v>
      </c>
    </row>
    <row r="1146" spans="7:14" ht="11.25" customHeight="1" x14ac:dyDescent="0.25">
      <c r="G1146" s="459"/>
      <c r="H1146" s="459">
        <v>1139</v>
      </c>
      <c r="I1146" s="444">
        <f t="shared" ca="1" si="105"/>
        <v>-91521754.819419444</v>
      </c>
      <c r="J1146" s="444">
        <f t="array" ref="J1146">IFERROR(INDEX('Retirement Calculator'!K:K,MATCH('Lorri 401b'!N1146,'Retirement Calculator'!A:A,0),0),0)</f>
        <v>21655.303514578787</v>
      </c>
      <c r="K1146" s="444">
        <f t="shared" ca="1" si="103"/>
        <v>-381430.87551222509</v>
      </c>
      <c r="L1146" s="444">
        <f t="shared" ca="1" si="104"/>
        <v>-91924840.998446256</v>
      </c>
      <c r="M1146" s="460">
        <f t="shared" si="106"/>
        <v>0.05</v>
      </c>
      <c r="N1146" s="464">
        <f t="shared" si="107"/>
        <v>85924</v>
      </c>
    </row>
    <row r="1147" spans="7:14" ht="11.25" customHeight="1" x14ac:dyDescent="0.25">
      <c r="G1147" s="459"/>
      <c r="H1147" s="459">
        <v>1140</v>
      </c>
      <c r="I1147" s="444">
        <f t="shared" ca="1" si="105"/>
        <v>-91924840.998446256</v>
      </c>
      <c r="J1147" s="444">
        <f t="array" ref="J1147">IFERROR(INDEX('Retirement Calculator'!K:K,MATCH('Lorri 401b'!N1147,'Retirement Calculator'!A:A,0),0),0)</f>
        <v>21655.303514578787</v>
      </c>
      <c r="K1147" s="444">
        <f t="shared" ca="1" si="103"/>
        <v>-383110.40125817014</v>
      </c>
      <c r="L1147" s="444">
        <f t="shared" ca="1" si="104"/>
        <v>-92329606.703219011</v>
      </c>
      <c r="M1147" s="460">
        <f t="shared" si="106"/>
        <v>0.05</v>
      </c>
      <c r="N1147" s="464">
        <f t="shared" si="107"/>
        <v>85954</v>
      </c>
    </row>
    <row r="1148" spans="7:14" ht="11.25" customHeight="1" x14ac:dyDescent="0.25">
      <c r="G1148" s="459"/>
      <c r="H1148" s="459">
        <v>1141</v>
      </c>
      <c r="I1148" s="444">
        <f t="shared" ca="1" si="105"/>
        <v>-92329606.703219011</v>
      </c>
      <c r="J1148" s="444">
        <f t="array" ref="J1148">IFERROR(INDEX('Retirement Calculator'!K:K,MATCH('Lorri 401b'!N1148,'Retirement Calculator'!A:A,0),0),0)</f>
        <v>21655.303514578787</v>
      </c>
      <c r="K1148" s="444">
        <f t="shared" ca="1" si="103"/>
        <v>-384796.92502805666</v>
      </c>
      <c r="L1148" s="444">
        <f t="shared" ca="1" si="104"/>
        <v>-92736058.931761652</v>
      </c>
      <c r="M1148" s="460">
        <f t="shared" si="106"/>
        <v>0.05</v>
      </c>
      <c r="N1148" s="464">
        <f t="shared" si="107"/>
        <v>85985</v>
      </c>
    </row>
    <row r="1149" spans="7:14" ht="11.25" customHeight="1" x14ac:dyDescent="0.25">
      <c r="G1149" s="459"/>
      <c r="H1149" s="459">
        <v>1142</v>
      </c>
      <c r="I1149" s="444">
        <f t="shared" ca="1" si="105"/>
        <v>-92736058.931761652</v>
      </c>
      <c r="J1149" s="444">
        <f t="array" ref="J1149">IFERROR(INDEX('Retirement Calculator'!K:K,MATCH('Lorri 401b'!N1149,'Retirement Calculator'!A:A,0),0),0)</f>
        <v>21655.303514578787</v>
      </c>
      <c r="K1149" s="444">
        <f t="shared" ca="1" si="103"/>
        <v>-386490.47598031763</v>
      </c>
      <c r="L1149" s="444">
        <f t="shared" ca="1" si="104"/>
        <v>-93144204.711256549</v>
      </c>
      <c r="M1149" s="460">
        <f t="shared" si="106"/>
        <v>0.05</v>
      </c>
      <c r="N1149" s="464">
        <f t="shared" si="107"/>
        <v>86015</v>
      </c>
    </row>
    <row r="1150" spans="7:14" ht="11.25" customHeight="1" x14ac:dyDescent="0.25">
      <c r="G1150" s="459"/>
      <c r="H1150" s="459">
        <v>1143</v>
      </c>
      <c r="I1150" s="444">
        <f t="shared" ca="1" si="105"/>
        <v>-93144204.711256549</v>
      </c>
      <c r="J1150" s="444">
        <f t="array" ref="J1150">IFERROR(INDEX('Retirement Calculator'!K:K,MATCH('Lorri 401b'!N1150,'Retirement Calculator'!A:A,0),0),0)</f>
        <v>21655.303514578787</v>
      </c>
      <c r="K1150" s="444">
        <f t="shared" ca="1" si="103"/>
        <v>-388191.08339487971</v>
      </c>
      <c r="L1150" s="444">
        <f t="shared" ca="1" si="104"/>
        <v>-93554051.098166019</v>
      </c>
      <c r="M1150" s="460">
        <f t="shared" si="106"/>
        <v>0.05</v>
      </c>
      <c r="N1150" s="464">
        <f t="shared" si="107"/>
        <v>86046</v>
      </c>
    </row>
    <row r="1151" spans="7:14" ht="11.25" customHeight="1" x14ac:dyDescent="0.25">
      <c r="G1151" s="459"/>
      <c r="H1151" s="459">
        <v>1144</v>
      </c>
      <c r="I1151" s="444">
        <f t="shared" ca="1" si="105"/>
        <v>-93554051.098166019</v>
      </c>
      <c r="J1151" s="444">
        <f t="array" ref="J1151">IFERROR(INDEX('Retirement Calculator'!K:K,MATCH('Lorri 401b'!N1151,'Retirement Calculator'!A:A,0),0),0)</f>
        <v>21655.303514578787</v>
      </c>
      <c r="K1151" s="444">
        <f t="shared" ca="1" si="103"/>
        <v>-389898.77667366917</v>
      </c>
      <c r="L1151" s="444">
        <f t="shared" ca="1" si="104"/>
        <v>-93965605.178354278</v>
      </c>
      <c r="M1151" s="460">
        <f t="shared" si="106"/>
        <v>0.05</v>
      </c>
      <c r="N1151" s="464">
        <f t="shared" si="107"/>
        <v>86077</v>
      </c>
    </row>
    <row r="1152" spans="7:14" ht="11.25" customHeight="1" x14ac:dyDescent="0.25">
      <c r="G1152" s="459"/>
      <c r="H1152" s="459">
        <v>1145</v>
      </c>
      <c r="I1152" s="444">
        <f t="shared" ca="1" si="105"/>
        <v>-93965605.178354278</v>
      </c>
      <c r="J1152" s="444">
        <f t="array" ref="J1152">IFERROR(INDEX('Retirement Calculator'!K:K,MATCH('Lorri 401b'!N1152,'Retirement Calculator'!A:A,0),0),0)</f>
        <v>21655.303514578787</v>
      </c>
      <c r="K1152" s="444">
        <f t="shared" ca="1" si="103"/>
        <v>-391613.58534112026</v>
      </c>
      <c r="L1152" s="444">
        <f t="shared" ca="1" si="104"/>
        <v>-94378874.067209989</v>
      </c>
      <c r="M1152" s="460">
        <f t="shared" si="106"/>
        <v>0.05</v>
      </c>
      <c r="N1152" s="464">
        <f t="shared" si="107"/>
        <v>86107</v>
      </c>
    </row>
    <row r="1153" spans="7:14" ht="11.25" customHeight="1" x14ac:dyDescent="0.25">
      <c r="G1153" s="459"/>
      <c r="H1153" s="459">
        <v>1146</v>
      </c>
      <c r="I1153" s="444">
        <f t="shared" ca="1" si="105"/>
        <v>-94378874.067209989</v>
      </c>
      <c r="J1153" s="444">
        <f t="array" ref="J1153">IFERROR(INDEX('Retirement Calculator'!K:K,MATCH('Lorri 401b'!N1153,'Retirement Calculator'!A:A,0),0),0)</f>
        <v>21655.303514578787</v>
      </c>
      <c r="K1153" s="444">
        <f t="shared" ca="1" si="103"/>
        <v>-393335.53904468572</v>
      </c>
      <c r="L1153" s="444">
        <f t="shared" ca="1" si="104"/>
        <v>-94793864.909769267</v>
      </c>
      <c r="M1153" s="460">
        <f t="shared" si="106"/>
        <v>0.05</v>
      </c>
      <c r="N1153" s="464">
        <f t="shared" si="107"/>
        <v>86138</v>
      </c>
    </row>
    <row r="1154" spans="7:14" ht="11.25" customHeight="1" x14ac:dyDescent="0.25">
      <c r="G1154" s="459"/>
      <c r="H1154" s="459">
        <v>1147</v>
      </c>
      <c r="I1154" s="444">
        <f t="shared" ca="1" si="105"/>
        <v>-94793864.909769267</v>
      </c>
      <c r="J1154" s="444">
        <f t="array" ref="J1154">IFERROR(INDEX('Retirement Calculator'!K:K,MATCH('Lorri 401b'!N1154,'Retirement Calculator'!A:A,0),0),0)</f>
        <v>21655.303514578787</v>
      </c>
      <c r="K1154" s="444">
        <f t="shared" ca="1" si="103"/>
        <v>-395064.66755534936</v>
      </c>
      <c r="L1154" s="444">
        <f t="shared" ca="1" si="104"/>
        <v>-95210584.880839199</v>
      </c>
      <c r="M1154" s="460">
        <f t="shared" si="106"/>
        <v>0.05</v>
      </c>
      <c r="N1154" s="464">
        <f t="shared" si="107"/>
        <v>86168</v>
      </c>
    </row>
    <row r="1155" spans="7:14" ht="11.25" customHeight="1" x14ac:dyDescent="0.25">
      <c r="G1155" s="459"/>
      <c r="H1155" s="459">
        <v>1148</v>
      </c>
      <c r="I1155" s="444">
        <f t="shared" ca="1" si="105"/>
        <v>-95210584.880839199</v>
      </c>
      <c r="J1155" s="444">
        <f t="array" ref="J1155">IFERROR(INDEX('Retirement Calculator'!K:K,MATCH('Lorri 401b'!N1155,'Retirement Calculator'!A:A,0),0),0)</f>
        <v>21655.303514578787</v>
      </c>
      <c r="K1155" s="444">
        <f t="shared" ca="1" si="103"/>
        <v>-396801.00076814077</v>
      </c>
      <c r="L1155" s="444">
        <f t="shared" ca="1" si="104"/>
        <v>-95629041.185121924</v>
      </c>
      <c r="M1155" s="460">
        <f t="shared" si="106"/>
        <v>0.05</v>
      </c>
      <c r="N1155" s="464">
        <f t="shared" si="107"/>
        <v>86199</v>
      </c>
    </row>
    <row r="1156" spans="7:14" ht="11.25" customHeight="1" x14ac:dyDescent="0.25">
      <c r="G1156" s="459"/>
      <c r="H1156" s="459">
        <v>1149</v>
      </c>
      <c r="I1156" s="444">
        <f t="shared" ca="1" si="105"/>
        <v>-95629041.185121924</v>
      </c>
      <c r="J1156" s="444">
        <f t="array" ref="J1156">IFERROR(INDEX('Retirement Calculator'!K:K,MATCH('Lorri 401b'!N1156,'Retirement Calculator'!A:A,0),0),0)</f>
        <v>21655.303514578787</v>
      </c>
      <c r="K1156" s="444">
        <f t="shared" ca="1" si="103"/>
        <v>-398544.56870265212</v>
      </c>
      <c r="L1156" s="444">
        <f t="shared" ca="1" si="104"/>
        <v>-96049241.057339162</v>
      </c>
      <c r="M1156" s="460">
        <f t="shared" si="106"/>
        <v>0.05</v>
      </c>
      <c r="N1156" s="464">
        <f t="shared" si="107"/>
        <v>86230</v>
      </c>
    </row>
    <row r="1157" spans="7:14" ht="11.25" customHeight="1" x14ac:dyDescent="0.25">
      <c r="G1157" s="459"/>
      <c r="H1157" s="459">
        <v>1150</v>
      </c>
      <c r="I1157" s="444">
        <f t="shared" ca="1" si="105"/>
        <v>-96049241.057339162</v>
      </c>
      <c r="J1157" s="444">
        <f t="array" ref="J1157">IFERROR(INDEX('Retirement Calculator'!K:K,MATCH('Lorri 401b'!N1157,'Retirement Calculator'!A:A,0),0),0)</f>
        <v>21655.303514578787</v>
      </c>
      <c r="K1157" s="444">
        <f t="shared" ca="1" si="103"/>
        <v>-400295.40150355728</v>
      </c>
      <c r="L1157" s="444">
        <f t="shared" ca="1" si="104"/>
        <v>-96471191.762357309</v>
      </c>
      <c r="M1157" s="460">
        <f t="shared" si="106"/>
        <v>0.05</v>
      </c>
      <c r="N1157" s="464">
        <f t="shared" si="107"/>
        <v>86259</v>
      </c>
    </row>
    <row r="1158" spans="7:14" ht="11.25" customHeight="1" x14ac:dyDescent="0.25">
      <c r="G1158" s="459"/>
      <c r="H1158" s="459">
        <v>1151</v>
      </c>
      <c r="I1158" s="444">
        <f t="shared" ca="1" si="105"/>
        <v>-96471191.762357309</v>
      </c>
      <c r="J1158" s="444">
        <f t="array" ref="J1158">IFERROR(INDEX('Retirement Calculator'!K:K,MATCH('Lorri 401b'!N1158,'Retirement Calculator'!A:A,0),0),0)</f>
        <v>21655.303514578787</v>
      </c>
      <c r="K1158" s="444">
        <f t="shared" ca="1" si="103"/>
        <v>-402053.52944113291</v>
      </c>
      <c r="L1158" s="444">
        <f t="shared" ca="1" si="104"/>
        <v>-96894900.595313028</v>
      </c>
      <c r="M1158" s="460">
        <f t="shared" si="106"/>
        <v>0.05</v>
      </c>
      <c r="N1158" s="464">
        <f t="shared" si="107"/>
        <v>86290</v>
      </c>
    </row>
    <row r="1159" spans="7:14" ht="11.25" customHeight="1" x14ac:dyDescent="0.25">
      <c r="G1159" s="459"/>
      <c r="H1159" s="459">
        <v>1152</v>
      </c>
      <c r="I1159" s="444">
        <f t="shared" ca="1" si="105"/>
        <v>-96894900.595313028</v>
      </c>
      <c r="J1159" s="444">
        <f t="array" ref="J1159">IFERROR(INDEX('Retirement Calculator'!K:K,MATCH('Lorri 401b'!N1159,'Retirement Calculator'!A:A,0),0),0)</f>
        <v>21655.303514578787</v>
      </c>
      <c r="K1159" s="444">
        <f t="shared" ca="1" si="103"/>
        <v>-403818.9829117817</v>
      </c>
      <c r="L1159" s="444">
        <f t="shared" ca="1" si="104"/>
        <v>-97320374.881739393</v>
      </c>
      <c r="M1159" s="460">
        <f t="shared" si="106"/>
        <v>0.05</v>
      </c>
      <c r="N1159" s="464">
        <f t="shared" si="107"/>
        <v>86320</v>
      </c>
    </row>
    <row r="1160" spans="7:14" ht="11.25" customHeight="1" x14ac:dyDescent="0.25">
      <c r="G1160" s="459"/>
      <c r="H1160" s="459">
        <v>1153</v>
      </c>
      <c r="I1160" s="444">
        <f t="shared" ca="1" si="105"/>
        <v>-97320374.881739393</v>
      </c>
      <c r="J1160" s="444">
        <f t="array" ref="J1160">IFERROR(INDEX('Retirement Calculator'!K:K,MATCH('Lorri 401b'!N1160,'Retirement Calculator'!A:A,0),0),0)</f>
        <v>21655.303514578787</v>
      </c>
      <c r="K1160" s="444">
        <f t="shared" ca="1" si="103"/>
        <v>-405591.79243855824</v>
      </c>
      <c r="L1160" s="444">
        <f t="shared" ca="1" si="104"/>
        <v>-97747621.97769253</v>
      </c>
      <c r="M1160" s="460">
        <f t="shared" si="106"/>
        <v>0.05</v>
      </c>
      <c r="N1160" s="464">
        <f t="shared" si="107"/>
        <v>86351</v>
      </c>
    </row>
    <row r="1161" spans="7:14" ht="11.25" customHeight="1" x14ac:dyDescent="0.25">
      <c r="G1161" s="459"/>
      <c r="H1161" s="459">
        <v>1154</v>
      </c>
      <c r="I1161" s="444">
        <f t="shared" ca="1" si="105"/>
        <v>-97747621.97769253</v>
      </c>
      <c r="J1161" s="444">
        <f t="array" ref="J1161">IFERROR(INDEX('Retirement Calculator'!K:K,MATCH('Lorri 401b'!N1161,'Retirement Calculator'!A:A,0),0),0)</f>
        <v>21655.303514578787</v>
      </c>
      <c r="K1161" s="444">
        <f t="shared" ca="1" si="103"/>
        <v>-407371.98867169628</v>
      </c>
      <c r="L1161" s="444">
        <f t="shared" ca="1" si="104"/>
        <v>-98176649.269878805</v>
      </c>
      <c r="M1161" s="460">
        <f t="shared" si="106"/>
        <v>0.05</v>
      </c>
      <c r="N1161" s="464">
        <f t="shared" si="107"/>
        <v>86381</v>
      </c>
    </row>
    <row r="1162" spans="7:14" ht="11.25" customHeight="1" x14ac:dyDescent="0.25">
      <c r="G1162" s="459"/>
      <c r="H1162" s="459">
        <v>1155</v>
      </c>
      <c r="I1162" s="444">
        <f t="shared" ca="1" si="105"/>
        <v>-98176649.269878805</v>
      </c>
      <c r="J1162" s="444">
        <f t="array" ref="J1162">IFERROR(INDEX('Retirement Calculator'!K:K,MATCH('Lorri 401b'!N1162,'Retirement Calculator'!A:A,0),0),0)</f>
        <v>21655.303514578787</v>
      </c>
      <c r="K1162" s="444">
        <f t="shared" ca="1" si="103"/>
        <v>-409159.60238913912</v>
      </c>
      <c r="L1162" s="444">
        <f t="shared" ca="1" si="104"/>
        <v>-98607464.175782531</v>
      </c>
      <c r="M1162" s="460">
        <f t="shared" si="106"/>
        <v>0.05</v>
      </c>
      <c r="N1162" s="464">
        <f t="shared" si="107"/>
        <v>86412</v>
      </c>
    </row>
    <row r="1163" spans="7:14" ht="11.25" customHeight="1" x14ac:dyDescent="0.25">
      <c r="G1163" s="459"/>
      <c r="H1163" s="459">
        <v>1156</v>
      </c>
      <c r="I1163" s="444">
        <f t="shared" ca="1" si="105"/>
        <v>-98607464.175782531</v>
      </c>
      <c r="J1163" s="444">
        <f t="array" ref="J1163">IFERROR(INDEX('Retirement Calculator'!K:K,MATCH('Lorri 401b'!N1163,'Retirement Calculator'!A:A,0),0),0)</f>
        <v>21655.303514578787</v>
      </c>
      <c r="K1163" s="444">
        <f t="shared" ca="1" si="103"/>
        <v>-410954.6644970713</v>
      </c>
      <c r="L1163" s="444">
        <f t="shared" ca="1" si="104"/>
        <v>-99040074.143794194</v>
      </c>
      <c r="M1163" s="460">
        <f t="shared" si="106"/>
        <v>0.05</v>
      </c>
      <c r="N1163" s="464">
        <f t="shared" si="107"/>
        <v>86443</v>
      </c>
    </row>
    <row r="1164" spans="7:14" ht="11.25" customHeight="1" x14ac:dyDescent="0.25">
      <c r="G1164" s="459"/>
      <c r="H1164" s="459">
        <v>1157</v>
      </c>
      <c r="I1164" s="444">
        <f t="shared" ca="1" si="105"/>
        <v>-99040074.143794194</v>
      </c>
      <c r="J1164" s="444">
        <f t="array" ref="J1164">IFERROR(INDEX('Retirement Calculator'!K:K,MATCH('Lorri 401b'!N1164,'Retirement Calculator'!A:A,0),0),0)</f>
        <v>21655.303514578787</v>
      </c>
      <c r="K1164" s="444">
        <f t="shared" ca="1" si="103"/>
        <v>-412757.20603045326</v>
      </c>
      <c r="L1164" s="444">
        <f t="shared" ca="1" si="104"/>
        <v>-99474486.653339237</v>
      </c>
      <c r="M1164" s="460">
        <f t="shared" si="106"/>
        <v>0.05</v>
      </c>
      <c r="N1164" s="464">
        <f t="shared" si="107"/>
        <v>86473</v>
      </c>
    </row>
    <row r="1165" spans="7:14" ht="11.25" customHeight="1" x14ac:dyDescent="0.25">
      <c r="G1165" s="459"/>
      <c r="H1165" s="459">
        <v>1158</v>
      </c>
      <c r="I1165" s="444">
        <f t="shared" ca="1" si="105"/>
        <v>-99474486.653339237</v>
      </c>
      <c r="J1165" s="444">
        <f t="array" ref="J1165">IFERROR(INDEX('Retirement Calculator'!K:K,MATCH('Lorri 401b'!N1165,'Retirement Calculator'!A:A,0),0),0)</f>
        <v>21655.303514578787</v>
      </c>
      <c r="K1165" s="444">
        <f t="shared" ca="1" si="103"/>
        <v>-414567.2581535576</v>
      </c>
      <c r="L1165" s="444">
        <f t="shared" ca="1" si="104"/>
        <v>-99910709.21500738</v>
      </c>
      <c r="M1165" s="460">
        <f t="shared" si="106"/>
        <v>0.05</v>
      </c>
      <c r="N1165" s="464">
        <f t="shared" si="107"/>
        <v>86504</v>
      </c>
    </row>
    <row r="1166" spans="7:14" ht="11.25" customHeight="1" x14ac:dyDescent="0.25">
      <c r="G1166" s="459"/>
      <c r="H1166" s="459">
        <v>1159</v>
      </c>
      <c r="I1166" s="444">
        <f t="shared" ca="1" si="105"/>
        <v>-99910709.21500738</v>
      </c>
      <c r="J1166" s="444">
        <f t="array" ref="J1166">IFERROR(INDEX('Retirement Calculator'!K:K,MATCH('Lorri 401b'!N1166,'Retirement Calculator'!A:A,0),0),0)</f>
        <v>21655.303514578787</v>
      </c>
      <c r="K1166" s="444">
        <f t="shared" ca="1" si="103"/>
        <v>-416384.85216050816</v>
      </c>
      <c r="L1166" s="444">
        <f t="shared" ca="1" si="104"/>
        <v>-100348749.37068248</v>
      </c>
      <c r="M1166" s="460">
        <f t="shared" si="106"/>
        <v>0.05</v>
      </c>
      <c r="N1166" s="464">
        <f t="shared" si="107"/>
        <v>86534</v>
      </c>
    </row>
    <row r="1167" spans="7:14" ht="11.25" customHeight="1" x14ac:dyDescent="0.25">
      <c r="G1167" s="459"/>
      <c r="H1167" s="459">
        <v>1160</v>
      </c>
      <c r="I1167" s="444">
        <f t="shared" ca="1" si="105"/>
        <v>-100348749.37068248</v>
      </c>
      <c r="J1167" s="444">
        <f t="array" ref="J1167">IFERROR(INDEX('Retirement Calculator'!K:K,MATCH('Lorri 401b'!N1167,'Retirement Calculator'!A:A,0),0),0)</f>
        <v>21655.303514578787</v>
      </c>
      <c r="K1167" s="444">
        <f t="shared" ca="1" si="103"/>
        <v>-418210.01947582111</v>
      </c>
      <c r="L1167" s="444">
        <f t="shared" ca="1" si="104"/>
        <v>-100788614.69367288</v>
      </c>
      <c r="M1167" s="460">
        <f t="shared" si="106"/>
        <v>0.05</v>
      </c>
      <c r="N1167" s="464">
        <f t="shared" si="107"/>
        <v>86565</v>
      </c>
    </row>
    <row r="1168" spans="7:14" ht="11.25" customHeight="1" x14ac:dyDescent="0.25">
      <c r="G1168" s="459"/>
      <c r="H1168" s="459">
        <v>1161</v>
      </c>
      <c r="I1168" s="444">
        <f t="shared" ca="1" si="105"/>
        <v>-100788614.69367288</v>
      </c>
      <c r="J1168" s="444">
        <f t="array" ref="J1168">IFERROR(INDEX('Retirement Calculator'!K:K,MATCH('Lorri 401b'!N1168,'Retirement Calculator'!A:A,0),0),0)</f>
        <v>21655.303514578787</v>
      </c>
      <c r="K1168" s="444">
        <f t="shared" ca="1" si="103"/>
        <v>-420042.7916549478</v>
      </c>
      <c r="L1168" s="444">
        <f t="shared" ca="1" si="104"/>
        <v>-101230312.78884241</v>
      </c>
      <c r="M1168" s="460">
        <f t="shared" si="106"/>
        <v>0.05</v>
      </c>
      <c r="N1168" s="464">
        <f t="shared" si="107"/>
        <v>86596</v>
      </c>
    </row>
    <row r="1169" spans="7:14" ht="11.25" customHeight="1" x14ac:dyDescent="0.25">
      <c r="G1169" s="459"/>
      <c r="H1169" s="459">
        <v>1162</v>
      </c>
      <c r="I1169" s="444">
        <f t="shared" ca="1" si="105"/>
        <v>-101230312.78884241</v>
      </c>
      <c r="J1169" s="444">
        <f t="array" ref="J1169">IFERROR(INDEX('Retirement Calculator'!K:K,MATCH('Lorri 401b'!N1169,'Retirement Calculator'!A:A,0),0),0)</f>
        <v>0</v>
      </c>
      <c r="K1169" s="444">
        <f t="shared" ca="1" si="103"/>
        <v>-421792.96995351004</v>
      </c>
      <c r="L1169" s="444">
        <f t="shared" ca="1" si="104"/>
        <v>-101652105.75879592</v>
      </c>
      <c r="M1169" s="460">
        <f t="shared" si="106"/>
        <v>0.05</v>
      </c>
      <c r="N1169" s="464">
        <f t="shared" si="107"/>
        <v>86624</v>
      </c>
    </row>
    <row r="1170" spans="7:14" ht="11.25" customHeight="1" x14ac:dyDescent="0.25">
      <c r="G1170" s="459"/>
      <c r="H1170" s="459">
        <v>1163</v>
      </c>
      <c r="I1170" s="444">
        <f t="shared" ca="1" si="105"/>
        <v>-101652105.75879592</v>
      </c>
      <c r="J1170" s="444">
        <f t="array" ref="J1170">IFERROR(INDEX('Retirement Calculator'!K:K,MATCH('Lorri 401b'!N1170,'Retirement Calculator'!A:A,0),0),0)</f>
        <v>0</v>
      </c>
      <c r="K1170" s="444">
        <f t="shared" ca="1" si="103"/>
        <v>-423550.44066164963</v>
      </c>
      <c r="L1170" s="444">
        <f t="shared" ca="1" si="104"/>
        <v>-102075656.19945757</v>
      </c>
      <c r="M1170" s="460">
        <f t="shared" si="106"/>
        <v>0.05</v>
      </c>
      <c r="N1170" s="464">
        <f t="shared" si="107"/>
        <v>86655</v>
      </c>
    </row>
    <row r="1171" spans="7:14" ht="11.25" customHeight="1" x14ac:dyDescent="0.25">
      <c r="G1171" s="459"/>
      <c r="H1171" s="459">
        <v>1164</v>
      </c>
      <c r="I1171" s="444">
        <f t="shared" ca="1" si="105"/>
        <v>-102075656.19945757</v>
      </c>
      <c r="J1171" s="444">
        <f t="array" ref="J1171">IFERROR(INDEX('Retirement Calculator'!K:K,MATCH('Lorri 401b'!N1171,'Retirement Calculator'!A:A,0),0),0)</f>
        <v>0</v>
      </c>
      <c r="K1171" s="444">
        <f t="shared" ca="1" si="103"/>
        <v>-425315.23416440655</v>
      </c>
      <c r="L1171" s="444">
        <f t="shared" ca="1" si="104"/>
        <v>-102500971.43362197</v>
      </c>
      <c r="M1171" s="460">
        <f t="shared" si="106"/>
        <v>0.05</v>
      </c>
      <c r="N1171" s="464">
        <f t="shared" si="107"/>
        <v>86685</v>
      </c>
    </row>
    <row r="1172" spans="7:14" ht="11.25" customHeight="1" x14ac:dyDescent="0.25">
      <c r="G1172" s="459"/>
      <c r="H1172" s="459">
        <v>1165</v>
      </c>
      <c r="I1172" s="444">
        <f t="shared" ca="1" si="105"/>
        <v>-102500971.43362197</v>
      </c>
      <c r="J1172" s="444">
        <f t="array" ref="J1172">IFERROR(INDEX('Retirement Calculator'!K:K,MATCH('Lorri 401b'!N1172,'Retirement Calculator'!A:A,0),0),0)</f>
        <v>0</v>
      </c>
      <c r="K1172" s="444">
        <f t="shared" ca="1" si="103"/>
        <v>-427087.38097342488</v>
      </c>
      <c r="L1172" s="444">
        <f t="shared" ca="1" si="104"/>
        <v>-102928058.8145954</v>
      </c>
      <c r="M1172" s="460">
        <f t="shared" si="106"/>
        <v>0.05</v>
      </c>
      <c r="N1172" s="464">
        <f t="shared" si="107"/>
        <v>86716</v>
      </c>
    </row>
    <row r="1173" spans="7:14" ht="11.25" customHeight="1" x14ac:dyDescent="0.25">
      <c r="G1173" s="459"/>
      <c r="H1173" s="459">
        <v>1166</v>
      </c>
      <c r="I1173" s="444">
        <f t="shared" ca="1" si="105"/>
        <v>-102928058.8145954</v>
      </c>
      <c r="J1173" s="444">
        <f t="array" ref="J1173">IFERROR(INDEX('Retirement Calculator'!K:K,MATCH('Lorri 401b'!N1173,'Retirement Calculator'!A:A,0),0),0)</f>
        <v>0</v>
      </c>
      <c r="K1173" s="444">
        <f t="shared" ca="1" si="103"/>
        <v>-428866.91172748082</v>
      </c>
      <c r="L1173" s="444">
        <f t="shared" ca="1" si="104"/>
        <v>-103356925.72632289</v>
      </c>
      <c r="M1173" s="460">
        <f t="shared" si="106"/>
        <v>0.05</v>
      </c>
      <c r="N1173" s="464">
        <f t="shared" si="107"/>
        <v>86746</v>
      </c>
    </row>
    <row r="1174" spans="7:14" ht="11.25" customHeight="1" x14ac:dyDescent="0.25">
      <c r="G1174" s="459"/>
      <c r="H1174" s="459">
        <v>1167</v>
      </c>
      <c r="I1174" s="444">
        <f t="shared" ca="1" si="105"/>
        <v>-103356925.72632289</v>
      </c>
      <c r="J1174" s="444">
        <f t="array" ref="J1174">IFERROR(INDEX('Retirement Calculator'!K:K,MATCH('Lorri 401b'!N1174,'Retirement Calculator'!A:A,0),0),0)</f>
        <v>0</v>
      </c>
      <c r="K1174" s="444">
        <f t="shared" ca="1" si="103"/>
        <v>-430653.85719301202</v>
      </c>
      <c r="L1174" s="444">
        <f t="shared" ca="1" si="104"/>
        <v>-103787579.5835159</v>
      </c>
      <c r="M1174" s="460">
        <f t="shared" si="106"/>
        <v>0.05</v>
      </c>
      <c r="N1174" s="464">
        <f t="shared" si="107"/>
        <v>86777</v>
      </c>
    </row>
    <row r="1175" spans="7:14" ht="11.25" customHeight="1" x14ac:dyDescent="0.25">
      <c r="G1175" s="459"/>
      <c r="H1175" s="459">
        <v>1168</v>
      </c>
      <c r="I1175" s="444">
        <f t="shared" ca="1" si="105"/>
        <v>-103787579.5835159</v>
      </c>
      <c r="J1175" s="444">
        <f t="array" ref="J1175">IFERROR(INDEX('Retirement Calculator'!K:K,MATCH('Lorri 401b'!N1175,'Retirement Calculator'!A:A,0),0),0)</f>
        <v>0</v>
      </c>
      <c r="K1175" s="444">
        <f t="shared" ca="1" si="103"/>
        <v>-432448.24826464959</v>
      </c>
      <c r="L1175" s="444">
        <f t="shared" ca="1" si="104"/>
        <v>-104220027.83178055</v>
      </c>
      <c r="M1175" s="460">
        <f t="shared" si="106"/>
        <v>0.05</v>
      </c>
      <c r="N1175" s="464">
        <f t="shared" si="107"/>
        <v>86808</v>
      </c>
    </row>
    <row r="1176" spans="7:14" ht="11.25" customHeight="1" x14ac:dyDescent="0.25">
      <c r="G1176" s="459"/>
      <c r="H1176" s="459">
        <v>1169</v>
      </c>
      <c r="I1176" s="444">
        <f t="shared" ca="1" si="105"/>
        <v>-104220027.83178055</v>
      </c>
      <c r="J1176" s="444">
        <f t="array" ref="J1176">IFERROR(INDEX('Retirement Calculator'!K:K,MATCH('Lorri 401b'!N1176,'Retirement Calculator'!A:A,0),0),0)</f>
        <v>0</v>
      </c>
      <c r="K1176" s="444">
        <f t="shared" ca="1" si="103"/>
        <v>-434250.11596575228</v>
      </c>
      <c r="L1176" s="444">
        <f t="shared" ca="1" si="104"/>
        <v>-104654277.94774631</v>
      </c>
      <c r="M1176" s="460">
        <f t="shared" si="106"/>
        <v>0.05</v>
      </c>
      <c r="N1176" s="464">
        <f t="shared" si="107"/>
        <v>86838</v>
      </c>
    </row>
    <row r="1177" spans="7:14" ht="11.25" customHeight="1" x14ac:dyDescent="0.25">
      <c r="G1177" s="459"/>
      <c r="H1177" s="459">
        <v>1170</v>
      </c>
      <c r="I1177" s="444">
        <f t="shared" ca="1" si="105"/>
        <v>-104654277.94774631</v>
      </c>
      <c r="J1177" s="444">
        <f t="array" ref="J1177">IFERROR(INDEX('Retirement Calculator'!K:K,MATCH('Lorri 401b'!N1177,'Retirement Calculator'!A:A,0),0),0)</f>
        <v>0</v>
      </c>
      <c r="K1177" s="444">
        <f t="shared" ca="1" si="103"/>
        <v>-436059.49144894292</v>
      </c>
      <c r="L1177" s="444">
        <f t="shared" ca="1" si="104"/>
        <v>-105090337.43919525</v>
      </c>
      <c r="M1177" s="460">
        <f t="shared" si="106"/>
        <v>0.05</v>
      </c>
      <c r="N1177" s="464">
        <f t="shared" si="107"/>
        <v>86869</v>
      </c>
    </row>
    <row r="1178" spans="7:14" ht="11.25" customHeight="1" x14ac:dyDescent="0.25">
      <c r="G1178" s="459"/>
      <c r="H1178" s="459">
        <v>1171</v>
      </c>
      <c r="I1178" s="444">
        <f t="shared" ca="1" si="105"/>
        <v>-105090337.43919525</v>
      </c>
      <c r="J1178" s="444">
        <f t="array" ref="J1178">IFERROR(INDEX('Retirement Calculator'!K:K,MATCH('Lorri 401b'!N1178,'Retirement Calculator'!A:A,0),0),0)</f>
        <v>0</v>
      </c>
      <c r="K1178" s="444">
        <f t="shared" ca="1" si="103"/>
        <v>-437876.40599664685</v>
      </c>
      <c r="L1178" s="444">
        <f t="shared" ca="1" si="104"/>
        <v>-105528213.8451919</v>
      </c>
      <c r="M1178" s="460">
        <f t="shared" si="106"/>
        <v>0.05</v>
      </c>
      <c r="N1178" s="464">
        <f t="shared" si="107"/>
        <v>86899</v>
      </c>
    </row>
    <row r="1179" spans="7:14" ht="11.25" customHeight="1" x14ac:dyDescent="0.25">
      <c r="G1179" s="459"/>
      <c r="H1179" s="459">
        <v>1172</v>
      </c>
      <c r="I1179" s="444">
        <f t="shared" ca="1" si="105"/>
        <v>-105528213.8451919</v>
      </c>
      <c r="J1179" s="444">
        <f t="array" ref="J1179">IFERROR(INDEX('Retirement Calculator'!K:K,MATCH('Lorri 401b'!N1179,'Retirement Calculator'!A:A,0),0),0)</f>
        <v>0</v>
      </c>
      <c r="K1179" s="444">
        <f t="shared" ca="1" si="103"/>
        <v>-439700.89102163288</v>
      </c>
      <c r="L1179" s="444">
        <f t="shared" ca="1" si="104"/>
        <v>-105967914.73621354</v>
      </c>
      <c r="M1179" s="460">
        <f t="shared" si="106"/>
        <v>0.05</v>
      </c>
      <c r="N1179" s="464">
        <f t="shared" si="107"/>
        <v>86930</v>
      </c>
    </row>
    <row r="1180" spans="7:14" ht="11.25" customHeight="1" x14ac:dyDescent="0.25">
      <c r="G1180" s="459"/>
      <c r="H1180" s="459">
        <v>1173</v>
      </c>
      <c r="I1180" s="444">
        <f t="shared" ca="1" si="105"/>
        <v>-105967914.73621354</v>
      </c>
      <c r="J1180" s="444">
        <f t="array" ref="J1180">IFERROR(INDEX('Retirement Calculator'!K:K,MATCH('Lorri 401b'!N1180,'Retirement Calculator'!A:A,0),0),0)</f>
        <v>0</v>
      </c>
      <c r="K1180" s="444">
        <f t="shared" ca="1" si="103"/>
        <v>-441532.9780675564</v>
      </c>
      <c r="L1180" s="444">
        <f t="shared" ca="1" si="104"/>
        <v>-106409447.7142811</v>
      </c>
      <c r="M1180" s="460">
        <f t="shared" si="106"/>
        <v>0.05</v>
      </c>
      <c r="N1180" s="464">
        <f t="shared" si="107"/>
        <v>86961</v>
      </c>
    </row>
    <row r="1181" spans="7:14" ht="11.25" customHeight="1" x14ac:dyDescent="0.25">
      <c r="G1181" s="459"/>
      <c r="H1181" s="459">
        <v>1174</v>
      </c>
      <c r="I1181" s="444">
        <f t="shared" ca="1" si="105"/>
        <v>-106409447.7142811</v>
      </c>
      <c r="J1181" s="444">
        <f t="array" ref="J1181">IFERROR(INDEX('Retirement Calculator'!K:K,MATCH('Lorri 401b'!N1181,'Retirement Calculator'!A:A,0),0),0)</f>
        <v>0</v>
      </c>
      <c r="K1181" s="444">
        <f t="shared" ca="1" si="103"/>
        <v>-443372.69880950463</v>
      </c>
      <c r="L1181" s="444">
        <f t="shared" ca="1" si="104"/>
        <v>-106852820.4130906</v>
      </c>
      <c r="M1181" s="460">
        <f t="shared" si="106"/>
        <v>0.05</v>
      </c>
      <c r="N1181" s="464">
        <f t="shared" si="107"/>
        <v>86989</v>
      </c>
    </row>
    <row r="1182" spans="7:14" ht="11.25" customHeight="1" x14ac:dyDescent="0.25">
      <c r="G1182" s="459"/>
      <c r="H1182" s="459">
        <v>1175</v>
      </c>
      <c r="I1182" s="444">
        <f t="shared" ca="1" si="105"/>
        <v>-106852820.4130906</v>
      </c>
      <c r="J1182" s="444">
        <f t="array" ref="J1182">IFERROR(INDEX('Retirement Calculator'!K:K,MATCH('Lorri 401b'!N1182,'Retirement Calculator'!A:A,0),0),0)</f>
        <v>0</v>
      </c>
      <c r="K1182" s="444">
        <f t="shared" ca="1" si="103"/>
        <v>-445220.08505454409</v>
      </c>
      <c r="L1182" s="444">
        <f t="shared" ca="1" si="104"/>
        <v>-107298040.49814515</v>
      </c>
      <c r="M1182" s="460">
        <f t="shared" si="106"/>
        <v>0.05</v>
      </c>
      <c r="N1182" s="464">
        <f t="shared" si="107"/>
        <v>87020</v>
      </c>
    </row>
    <row r="1183" spans="7:14" ht="11.25" customHeight="1" x14ac:dyDescent="0.25">
      <c r="G1183" s="459"/>
      <c r="H1183" s="459">
        <v>1176</v>
      </c>
      <c r="I1183" s="444">
        <f t="shared" ca="1" si="105"/>
        <v>-107298040.49814515</v>
      </c>
      <c r="J1183" s="444">
        <f t="array" ref="J1183">IFERROR(INDEX('Retirement Calculator'!K:K,MATCH('Lorri 401b'!N1183,'Retirement Calculator'!A:A,0),0),0)</f>
        <v>0</v>
      </c>
      <c r="K1183" s="444">
        <f t="shared" ca="1" si="103"/>
        <v>-447075.16874227143</v>
      </c>
      <c r="L1183" s="444">
        <f t="shared" ca="1" si="104"/>
        <v>-107745115.66688742</v>
      </c>
      <c r="M1183" s="460">
        <f t="shared" si="106"/>
        <v>0.05</v>
      </c>
      <c r="N1183" s="464">
        <f t="shared" si="107"/>
        <v>87050</v>
      </c>
    </row>
    <row r="1184" spans="7:14" ht="11.25" customHeight="1" x14ac:dyDescent="0.25">
      <c r="G1184" s="459"/>
      <c r="H1184" s="459">
        <v>1177</v>
      </c>
      <c r="I1184" s="444">
        <f t="shared" ca="1" si="105"/>
        <v>-107745115.66688742</v>
      </c>
      <c r="J1184" s="444">
        <f t="array" ref="J1184">IFERROR(INDEX('Retirement Calculator'!K:K,MATCH('Lorri 401b'!N1184,'Retirement Calculator'!A:A,0),0),0)</f>
        <v>0</v>
      </c>
      <c r="K1184" s="444">
        <f t="shared" ca="1" si="103"/>
        <v>-448937.98194536415</v>
      </c>
      <c r="L1184" s="444">
        <f t="shared" ca="1" si="104"/>
        <v>-108194053.64883278</v>
      </c>
      <c r="M1184" s="460">
        <f t="shared" si="106"/>
        <v>0.05</v>
      </c>
      <c r="N1184" s="464">
        <f t="shared" si="107"/>
        <v>87081</v>
      </c>
    </row>
    <row r="1185" spans="7:14" ht="11.25" customHeight="1" x14ac:dyDescent="0.25">
      <c r="G1185" s="459"/>
      <c r="H1185" s="459">
        <v>1178</v>
      </c>
      <c r="I1185" s="444">
        <f t="shared" ca="1" si="105"/>
        <v>-108194053.64883278</v>
      </c>
      <c r="J1185" s="444">
        <f t="array" ref="J1185">IFERROR(INDEX('Retirement Calculator'!K:K,MATCH('Lorri 401b'!N1185,'Retirement Calculator'!A:A,0),0),0)</f>
        <v>0</v>
      </c>
      <c r="K1185" s="444">
        <f t="shared" ca="1" si="103"/>
        <v>-450808.55687013653</v>
      </c>
      <c r="L1185" s="444">
        <f t="shared" ca="1" si="104"/>
        <v>-108644862.20570292</v>
      </c>
      <c r="M1185" s="460">
        <f t="shared" si="106"/>
        <v>0.05</v>
      </c>
      <c r="N1185" s="464">
        <f t="shared" si="107"/>
        <v>87111</v>
      </c>
    </row>
    <row r="1186" spans="7:14" ht="11.25" customHeight="1" x14ac:dyDescent="0.25">
      <c r="G1186" s="459"/>
      <c r="H1186" s="459">
        <v>1179</v>
      </c>
      <c r="I1186" s="444">
        <f t="shared" ca="1" si="105"/>
        <v>-108644862.20570292</v>
      </c>
      <c r="J1186" s="444">
        <f t="array" ref="J1186">IFERROR(INDEX('Retirement Calculator'!K:K,MATCH('Lorri 401b'!N1186,'Retirement Calculator'!A:A,0),0),0)</f>
        <v>0</v>
      </c>
      <c r="K1186" s="444">
        <f t="shared" ca="1" si="103"/>
        <v>-452686.92585709546</v>
      </c>
      <c r="L1186" s="444">
        <f t="shared" ca="1" si="104"/>
        <v>-109097549.13156001</v>
      </c>
      <c r="M1186" s="460">
        <f t="shared" si="106"/>
        <v>0.05</v>
      </c>
      <c r="N1186" s="464">
        <f t="shared" si="107"/>
        <v>87142</v>
      </c>
    </row>
    <row r="1187" spans="7:14" ht="11.25" customHeight="1" x14ac:dyDescent="0.25">
      <c r="G1187" s="459"/>
      <c r="H1187" s="459">
        <v>1180</v>
      </c>
      <c r="I1187" s="444">
        <f t="shared" ca="1" si="105"/>
        <v>-109097549.13156001</v>
      </c>
      <c r="J1187" s="444">
        <f t="array" ref="J1187">IFERROR(INDEX('Retirement Calculator'!K:K,MATCH('Lorri 401b'!N1187,'Retirement Calculator'!A:A,0),0),0)</f>
        <v>0</v>
      </c>
      <c r="K1187" s="444">
        <f t="shared" ca="1" si="103"/>
        <v>-454573.12138149998</v>
      </c>
      <c r="L1187" s="444">
        <f t="shared" ca="1" si="104"/>
        <v>-109552122.25294152</v>
      </c>
      <c r="M1187" s="460">
        <f t="shared" si="106"/>
        <v>0.05</v>
      </c>
      <c r="N1187" s="464">
        <f t="shared" si="107"/>
        <v>87173</v>
      </c>
    </row>
    <row r="1188" spans="7:14" ht="11.25" customHeight="1" x14ac:dyDescent="0.25">
      <c r="G1188" s="459"/>
      <c r="H1188" s="459">
        <v>1181</v>
      </c>
      <c r="I1188" s="444">
        <f t="shared" ca="1" si="105"/>
        <v>-109552122.25294152</v>
      </c>
      <c r="J1188" s="444">
        <f t="array" ref="J1188">IFERROR(INDEX('Retirement Calculator'!K:K,MATCH('Lorri 401b'!N1188,'Retirement Calculator'!A:A,0),0),0)</f>
        <v>0</v>
      </c>
      <c r="K1188" s="444">
        <f t="shared" ca="1" si="103"/>
        <v>-456467.17605392297</v>
      </c>
      <c r="L1188" s="444">
        <f t="shared" ca="1" si="104"/>
        <v>-110008589.42899545</v>
      </c>
      <c r="M1188" s="460">
        <f t="shared" si="106"/>
        <v>0.05</v>
      </c>
      <c r="N1188" s="464">
        <f t="shared" si="107"/>
        <v>87203</v>
      </c>
    </row>
    <row r="1189" spans="7:14" ht="11.25" customHeight="1" x14ac:dyDescent="0.25">
      <c r="G1189" s="459"/>
      <c r="H1189" s="459">
        <v>1182</v>
      </c>
      <c r="I1189" s="444">
        <f t="shared" ca="1" si="105"/>
        <v>-110008589.42899545</v>
      </c>
      <c r="J1189" s="444">
        <f t="array" ref="J1189">IFERROR(INDEX('Retirement Calculator'!K:K,MATCH('Lorri 401b'!N1189,'Retirement Calculator'!A:A,0),0),0)</f>
        <v>0</v>
      </c>
      <c r="K1189" s="444">
        <f t="shared" ca="1" si="103"/>
        <v>-458369.12262081442</v>
      </c>
      <c r="L1189" s="444">
        <f t="shared" ca="1" si="104"/>
        <v>-110466958.55161627</v>
      </c>
      <c r="M1189" s="460">
        <f t="shared" si="106"/>
        <v>0.05</v>
      </c>
      <c r="N1189" s="464">
        <f t="shared" si="107"/>
        <v>87234</v>
      </c>
    </row>
    <row r="1190" spans="7:14" ht="11.25" customHeight="1" x14ac:dyDescent="0.25">
      <c r="G1190" s="459"/>
      <c r="H1190" s="459">
        <v>1183</v>
      </c>
      <c r="I1190" s="444">
        <f t="shared" ca="1" si="105"/>
        <v>-110466958.55161627</v>
      </c>
      <c r="J1190" s="444">
        <f t="array" ref="J1190">IFERROR(INDEX('Retirement Calculator'!K:K,MATCH('Lorri 401b'!N1190,'Retirement Calculator'!A:A,0),0),0)</f>
        <v>0</v>
      </c>
      <c r="K1190" s="444">
        <f t="shared" ca="1" si="103"/>
        <v>-460278.99396506778</v>
      </c>
      <c r="L1190" s="444">
        <f t="shared" ca="1" si="104"/>
        <v>-110927237.54558134</v>
      </c>
      <c r="M1190" s="460">
        <f t="shared" si="106"/>
        <v>0.05</v>
      </c>
      <c r="N1190" s="464">
        <f t="shared" si="107"/>
        <v>87264</v>
      </c>
    </row>
    <row r="1191" spans="7:14" ht="11.25" customHeight="1" x14ac:dyDescent="0.25">
      <c r="G1191" s="459"/>
      <c r="H1191" s="459">
        <v>1184</v>
      </c>
      <c r="I1191" s="444">
        <f t="shared" ca="1" si="105"/>
        <v>-110927237.54558134</v>
      </c>
      <c r="J1191" s="444">
        <f t="array" ref="J1191">IFERROR(INDEX('Retirement Calculator'!K:K,MATCH('Lorri 401b'!N1191,'Retirement Calculator'!A:A,0),0),0)</f>
        <v>0</v>
      </c>
      <c r="K1191" s="444">
        <f t="shared" ca="1" si="103"/>
        <v>-462196.82310658885</v>
      </c>
      <c r="L1191" s="444">
        <f t="shared" ca="1" si="104"/>
        <v>-111389434.36868793</v>
      </c>
      <c r="M1191" s="460">
        <f t="shared" si="106"/>
        <v>0.05</v>
      </c>
      <c r="N1191" s="464">
        <f t="shared" si="107"/>
        <v>87295</v>
      </c>
    </row>
    <row r="1192" spans="7:14" ht="11.25" customHeight="1" x14ac:dyDescent="0.25">
      <c r="G1192" s="459"/>
      <c r="H1192" s="459">
        <v>1185</v>
      </c>
      <c r="I1192" s="444">
        <f t="shared" ca="1" si="105"/>
        <v>-111389434.36868793</v>
      </c>
      <c r="J1192" s="444">
        <f t="array" ref="J1192">IFERROR(INDEX('Retirement Calculator'!K:K,MATCH('Lorri 401b'!N1192,'Retirement Calculator'!A:A,0),0),0)</f>
        <v>0</v>
      </c>
      <c r="K1192" s="444">
        <f t="shared" ca="1" si="103"/>
        <v>-464122.64320286637</v>
      </c>
      <c r="L1192" s="444">
        <f t="shared" ca="1" si="104"/>
        <v>-111853557.0118908</v>
      </c>
      <c r="M1192" s="460">
        <f t="shared" si="106"/>
        <v>0.05</v>
      </c>
      <c r="N1192" s="464">
        <f t="shared" si="107"/>
        <v>87326</v>
      </c>
    </row>
    <row r="1193" spans="7:14" ht="11.25" customHeight="1" x14ac:dyDescent="0.25">
      <c r="G1193" s="459"/>
      <c r="H1193" s="459">
        <v>1186</v>
      </c>
      <c r="I1193" s="444">
        <f t="shared" ca="1" si="105"/>
        <v>-111853557.0118908</v>
      </c>
      <c r="J1193" s="444">
        <f t="array" ref="J1193">IFERROR(INDEX('Retirement Calculator'!K:K,MATCH('Lorri 401b'!N1193,'Retirement Calculator'!A:A,0),0),0)</f>
        <v>0</v>
      </c>
      <c r="K1193" s="444">
        <f t="shared" ca="1" si="103"/>
        <v>-466056.48754954495</v>
      </c>
      <c r="L1193" s="444">
        <f t="shared" ca="1" si="104"/>
        <v>-112319613.49944034</v>
      </c>
      <c r="M1193" s="460">
        <f t="shared" si="106"/>
        <v>0.05</v>
      </c>
      <c r="N1193" s="464">
        <f t="shared" si="107"/>
        <v>87354</v>
      </c>
    </row>
    <row r="1194" spans="7:14" ht="11.25" customHeight="1" x14ac:dyDescent="0.25">
      <c r="G1194" s="459"/>
      <c r="H1194" s="459">
        <v>1187</v>
      </c>
      <c r="I1194" s="444">
        <f t="shared" ca="1" si="105"/>
        <v>-112319613.49944034</v>
      </c>
      <c r="J1194" s="444">
        <f t="array" ref="J1194">IFERROR(INDEX('Retirement Calculator'!K:K,MATCH('Lorri 401b'!N1194,'Retirement Calculator'!A:A,0),0),0)</f>
        <v>0</v>
      </c>
      <c r="K1194" s="444">
        <f t="shared" ca="1" si="103"/>
        <v>-467998.38958100142</v>
      </c>
      <c r="L1194" s="444">
        <f t="shared" ca="1" si="104"/>
        <v>-112787611.88902134</v>
      </c>
      <c r="M1194" s="460">
        <f t="shared" si="106"/>
        <v>0.05</v>
      </c>
      <c r="N1194" s="464">
        <f t="shared" si="107"/>
        <v>87385</v>
      </c>
    </row>
    <row r="1195" spans="7:14" ht="11.25" customHeight="1" x14ac:dyDescent="0.25">
      <c r="G1195" s="459"/>
      <c r="H1195" s="459">
        <v>1188</v>
      </c>
      <c r="I1195" s="444">
        <f t="shared" ca="1" si="105"/>
        <v>-112787611.88902134</v>
      </c>
      <c r="J1195" s="444">
        <f t="array" ref="J1195">IFERROR(INDEX('Retirement Calculator'!K:K,MATCH('Lorri 401b'!N1195,'Retirement Calculator'!A:A,0),0),0)</f>
        <v>0</v>
      </c>
      <c r="K1195" s="444">
        <f t="shared" ca="1" si="103"/>
        <v>-469948.38287092221</v>
      </c>
      <c r="L1195" s="444">
        <f t="shared" ca="1" si="104"/>
        <v>-113257560.27189226</v>
      </c>
      <c r="M1195" s="460">
        <f t="shared" si="106"/>
        <v>0.05</v>
      </c>
      <c r="N1195" s="464">
        <f t="shared" si="107"/>
        <v>87415</v>
      </c>
    </row>
    <row r="1196" spans="7:14" ht="11.25" customHeight="1" x14ac:dyDescent="0.25">
      <c r="G1196" s="459"/>
      <c r="H1196" s="459">
        <v>1189</v>
      </c>
      <c r="I1196" s="444">
        <f t="shared" ca="1" si="105"/>
        <v>-113257560.27189226</v>
      </c>
      <c r="J1196" s="444">
        <f t="array" ref="J1196">IFERROR(INDEX('Retirement Calculator'!K:K,MATCH('Lorri 401b'!N1196,'Retirement Calculator'!A:A,0),0),0)</f>
        <v>0</v>
      </c>
      <c r="K1196" s="444">
        <f t="shared" ca="1" si="103"/>
        <v>-471906.50113288441</v>
      </c>
      <c r="L1196" s="444">
        <f t="shared" ca="1" si="104"/>
        <v>-113729466.77302516</v>
      </c>
      <c r="M1196" s="460">
        <f t="shared" si="106"/>
        <v>0.05</v>
      </c>
      <c r="N1196" s="464">
        <f t="shared" si="107"/>
        <v>87446</v>
      </c>
    </row>
    <row r="1197" spans="7:14" ht="11.25" customHeight="1" x14ac:dyDescent="0.25">
      <c r="G1197" s="459"/>
      <c r="H1197" s="459">
        <v>1190</v>
      </c>
      <c r="I1197" s="444">
        <f t="shared" ca="1" si="105"/>
        <v>-113729466.77302516</v>
      </c>
      <c r="J1197" s="444">
        <f t="array" ref="J1197">IFERROR(INDEX('Retirement Calculator'!K:K,MATCH('Lorri 401b'!N1197,'Retirement Calculator'!A:A,0),0),0)</f>
        <v>0</v>
      </c>
      <c r="K1197" s="444">
        <f t="shared" ca="1" si="103"/>
        <v>-473872.77822093811</v>
      </c>
      <c r="L1197" s="444">
        <f t="shared" ca="1" si="104"/>
        <v>-114203339.55124609</v>
      </c>
      <c r="M1197" s="460">
        <f t="shared" si="106"/>
        <v>0.05</v>
      </c>
      <c r="N1197" s="464">
        <f t="shared" si="107"/>
        <v>87476</v>
      </c>
    </row>
    <row r="1198" spans="7:14" ht="11.25" customHeight="1" x14ac:dyDescent="0.25">
      <c r="G1198" s="459"/>
      <c r="H1198" s="459">
        <v>1191</v>
      </c>
      <c r="I1198" s="444">
        <f t="shared" ca="1" si="105"/>
        <v>-114203339.55124609</v>
      </c>
      <c r="J1198" s="444">
        <f t="array" ref="J1198">IFERROR(INDEX('Retirement Calculator'!K:K,MATCH('Lorri 401b'!N1198,'Retirement Calculator'!A:A,0),0),0)</f>
        <v>0</v>
      </c>
      <c r="K1198" s="444">
        <f t="shared" ca="1" si="103"/>
        <v>-475847.24813019205</v>
      </c>
      <c r="L1198" s="444">
        <f t="shared" ca="1" si="104"/>
        <v>-114679186.79937628</v>
      </c>
      <c r="M1198" s="460">
        <f t="shared" si="106"/>
        <v>0.05</v>
      </c>
      <c r="N1198" s="464">
        <f t="shared" si="107"/>
        <v>87507</v>
      </c>
    </row>
    <row r="1199" spans="7:14" ht="11.25" customHeight="1" x14ac:dyDescent="0.25">
      <c r="G1199" s="459"/>
      <c r="H1199" s="459">
        <v>1192</v>
      </c>
      <c r="I1199" s="444">
        <f t="shared" ca="1" si="105"/>
        <v>-114679186.79937628</v>
      </c>
      <c r="J1199" s="444">
        <f t="array" ref="J1199">IFERROR(INDEX('Retirement Calculator'!K:K,MATCH('Lorri 401b'!N1199,'Retirement Calculator'!A:A,0),0),0)</f>
        <v>0</v>
      </c>
      <c r="K1199" s="444">
        <f t="shared" ca="1" si="103"/>
        <v>-477829.94499740115</v>
      </c>
      <c r="L1199" s="444">
        <f t="shared" ca="1" si="104"/>
        <v>-115157016.74437368</v>
      </c>
      <c r="M1199" s="460">
        <f t="shared" si="106"/>
        <v>0.05</v>
      </c>
      <c r="N1199" s="464">
        <f t="shared" si="107"/>
        <v>87538</v>
      </c>
    </row>
    <row r="1200" spans="7:14" ht="11.25" customHeight="1" x14ac:dyDescent="0.25">
      <c r="G1200" s="459"/>
      <c r="H1200" s="459">
        <v>1193</v>
      </c>
      <c r="I1200" s="444">
        <f t="shared" ca="1" si="105"/>
        <v>-115157016.74437368</v>
      </c>
      <c r="J1200" s="444">
        <f t="array" ref="J1200">IFERROR(INDEX('Retirement Calculator'!K:K,MATCH('Lorri 401b'!N1200,'Retirement Calculator'!A:A,0),0),0)</f>
        <v>0</v>
      </c>
      <c r="K1200" s="444">
        <f t="shared" ca="1" si="103"/>
        <v>-479820.90310155699</v>
      </c>
      <c r="L1200" s="444">
        <f t="shared" ca="1" si="104"/>
        <v>-115636837.64747524</v>
      </c>
      <c r="M1200" s="460">
        <f t="shared" si="106"/>
        <v>0.05</v>
      </c>
      <c r="N1200" s="464">
        <f t="shared" si="107"/>
        <v>87568</v>
      </c>
    </row>
    <row r="1201" spans="7:14" ht="11.25" customHeight="1" x14ac:dyDescent="0.25">
      <c r="G1201" s="459"/>
      <c r="H1201" s="459">
        <v>1194</v>
      </c>
      <c r="I1201" s="444">
        <f t="shared" ca="1" si="105"/>
        <v>-115636837.64747524</v>
      </c>
      <c r="J1201" s="444">
        <f t="array" ref="J1201">IFERROR(INDEX('Retirement Calculator'!K:K,MATCH('Lorri 401b'!N1201,'Retirement Calculator'!A:A,0),0),0)</f>
        <v>0</v>
      </c>
      <c r="K1201" s="444">
        <f t="shared" ca="1" si="103"/>
        <v>-481820.15686448012</v>
      </c>
      <c r="L1201" s="444">
        <f t="shared" ca="1" si="104"/>
        <v>-116118657.80433972</v>
      </c>
      <c r="M1201" s="460">
        <f t="shared" si="106"/>
        <v>0.05</v>
      </c>
      <c r="N1201" s="464">
        <f t="shared" si="107"/>
        <v>87599</v>
      </c>
    </row>
    <row r="1202" spans="7:14" ht="11.25" customHeight="1" x14ac:dyDescent="0.25">
      <c r="G1202" s="459"/>
      <c r="H1202" s="459">
        <v>1195</v>
      </c>
      <c r="I1202" s="444">
        <f t="shared" ca="1" si="105"/>
        <v>-116118657.80433972</v>
      </c>
      <c r="J1202" s="444">
        <f t="array" ref="J1202">IFERROR(INDEX('Retirement Calculator'!K:K,MATCH('Lorri 401b'!N1202,'Retirement Calculator'!A:A,0),0),0)</f>
        <v>0</v>
      </c>
      <c r="K1202" s="444">
        <f t="shared" ca="1" si="103"/>
        <v>-483827.7408514155</v>
      </c>
      <c r="L1202" s="444">
        <f t="shared" ca="1" si="104"/>
        <v>-116602485.54519114</v>
      </c>
      <c r="M1202" s="460">
        <f t="shared" si="106"/>
        <v>0.05</v>
      </c>
      <c r="N1202" s="464">
        <f t="shared" si="107"/>
        <v>87629</v>
      </c>
    </row>
    <row r="1203" spans="7:14" ht="11.25" customHeight="1" x14ac:dyDescent="0.25">
      <c r="G1203" s="459"/>
      <c r="H1203" s="459">
        <v>1196</v>
      </c>
      <c r="I1203" s="444">
        <f t="shared" ca="1" si="105"/>
        <v>-116602485.54519114</v>
      </c>
      <c r="J1203" s="444">
        <f t="array" ref="J1203">IFERROR(INDEX('Retirement Calculator'!K:K,MATCH('Lorri 401b'!N1203,'Retirement Calculator'!A:A,0),0),0)</f>
        <v>0</v>
      </c>
      <c r="K1203" s="444">
        <f t="shared" ca="1" si="103"/>
        <v>-485843.6897716297</v>
      </c>
      <c r="L1203" s="444">
        <f t="shared" ca="1" si="104"/>
        <v>-117088329.23496276</v>
      </c>
      <c r="M1203" s="460">
        <f t="shared" si="106"/>
        <v>0.05</v>
      </c>
      <c r="N1203" s="464">
        <f t="shared" si="107"/>
        <v>87660</v>
      </c>
    </row>
    <row r="1204" spans="7:14" ht="11.25" customHeight="1" x14ac:dyDescent="0.25">
      <c r="G1204" s="459"/>
      <c r="H1204" s="459">
        <v>1197</v>
      </c>
      <c r="I1204" s="444">
        <f t="shared" ca="1" si="105"/>
        <v>-117088329.23496276</v>
      </c>
      <c r="J1204" s="444">
        <f t="array" ref="J1204">IFERROR(INDEX('Retirement Calculator'!K:K,MATCH('Lorri 401b'!N1204,'Retirement Calculator'!A:A,0),0),0)</f>
        <v>0</v>
      </c>
      <c r="K1204" s="444">
        <f t="shared" ca="1" si="103"/>
        <v>-487868.03847901156</v>
      </c>
      <c r="L1204" s="444">
        <f t="shared" ca="1" si="104"/>
        <v>-117576197.27344178</v>
      </c>
      <c r="M1204" s="460">
        <f t="shared" si="106"/>
        <v>0.05</v>
      </c>
      <c r="N1204" s="464">
        <f t="shared" si="107"/>
        <v>87691</v>
      </c>
    </row>
    <row r="1205" spans="7:14" ht="11.25" customHeight="1" x14ac:dyDescent="0.25">
      <c r="G1205" s="459"/>
      <c r="H1205" s="459">
        <v>1198</v>
      </c>
      <c r="I1205" s="444">
        <f t="shared" ca="1" si="105"/>
        <v>-117576197.27344178</v>
      </c>
      <c r="J1205" s="444">
        <f t="array" ref="J1205">IFERROR(INDEX('Retirement Calculator'!K:K,MATCH('Lorri 401b'!N1205,'Retirement Calculator'!A:A,0),0),0)</f>
        <v>0</v>
      </c>
      <c r="K1205" s="444">
        <f t="shared" ca="1" si="103"/>
        <v>-489900.82197267399</v>
      </c>
      <c r="L1205" s="444">
        <f t="shared" ca="1" si="104"/>
        <v>-118066098.09541444</v>
      </c>
      <c r="M1205" s="460">
        <f t="shared" si="106"/>
        <v>0.05</v>
      </c>
      <c r="N1205" s="464">
        <f t="shared" si="107"/>
        <v>87720</v>
      </c>
    </row>
    <row r="1206" spans="7:14" ht="11.25" customHeight="1" x14ac:dyDescent="0.25">
      <c r="G1206" s="459"/>
      <c r="H1206" s="459">
        <v>1199</v>
      </c>
      <c r="I1206" s="444">
        <f t="shared" ca="1" si="105"/>
        <v>-118066098.09541444</v>
      </c>
      <c r="J1206" s="444">
        <f t="array" ref="J1206">IFERROR(INDEX('Retirement Calculator'!K:K,MATCH('Lorri 401b'!N1206,'Retirement Calculator'!A:A,0),0),0)</f>
        <v>0</v>
      </c>
      <c r="K1206" s="444">
        <f t="shared" ca="1" si="103"/>
        <v>-491942.0753975602</v>
      </c>
      <c r="L1206" s="444">
        <f t="shared" ca="1" si="104"/>
        <v>-118558040.17081201</v>
      </c>
      <c r="M1206" s="460">
        <f t="shared" si="106"/>
        <v>0.05</v>
      </c>
      <c r="N1206" s="464">
        <f t="shared" si="107"/>
        <v>87751</v>
      </c>
    </row>
    <row r="1207" spans="7:14" ht="11.25" customHeight="1" x14ac:dyDescent="0.25">
      <c r="G1207" s="459"/>
      <c r="H1207" s="459">
        <v>1200</v>
      </c>
      <c r="I1207" s="444">
        <f t="shared" ca="1" si="105"/>
        <v>-118558040.17081201</v>
      </c>
      <c r="J1207" s="444">
        <f t="array" ref="J1207">IFERROR(INDEX('Retirement Calculator'!K:K,MATCH('Lorri 401b'!N1207,'Retirement Calculator'!A:A,0),0),0)</f>
        <v>0</v>
      </c>
      <c r="K1207" s="444">
        <f t="shared" ca="1" si="103"/>
        <v>-493991.83404505003</v>
      </c>
      <c r="L1207" s="444">
        <f t="shared" ca="1" si="104"/>
        <v>-119052032.00485706</v>
      </c>
      <c r="M1207" s="460">
        <f t="shared" si="106"/>
        <v>0.05</v>
      </c>
      <c r="N1207" s="464">
        <f t="shared" si="107"/>
        <v>87781</v>
      </c>
    </row>
    <row r="1208" spans="7:14" ht="11.25" customHeight="1" x14ac:dyDescent="0.25">
      <c r="G1208" s="459"/>
      <c r="H1208" s="459">
        <v>1201</v>
      </c>
      <c r="I1208" s="444">
        <f t="shared" ca="1" si="105"/>
        <v>-119052032.00485706</v>
      </c>
      <c r="J1208" s="444">
        <f t="array" ref="J1208">IFERROR(INDEX('Retirement Calculator'!K:K,MATCH('Lorri 401b'!N1208,'Retirement Calculator'!A:A,0),0),0)</f>
        <v>0</v>
      </c>
      <c r="K1208" s="444">
        <f t="shared" ca="1" si="103"/>
        <v>-496050.13335357112</v>
      </c>
      <c r="L1208" s="444">
        <f t="shared" ca="1" si="104"/>
        <v>-119548082.13821064</v>
      </c>
      <c r="M1208" s="460">
        <f t="shared" si="106"/>
        <v>0.05</v>
      </c>
      <c r="N1208" s="464">
        <f t="shared" si="107"/>
        <v>87812</v>
      </c>
    </row>
    <row r="1209" spans="7:14" ht="11.25" customHeight="1" x14ac:dyDescent="0.25">
      <c r="G1209" s="459"/>
      <c r="H1209" s="459">
        <v>1202</v>
      </c>
      <c r="I1209" s="444">
        <f t="shared" ca="1" si="105"/>
        <v>-119548082.13821064</v>
      </c>
      <c r="J1209" s="444">
        <f t="array" ref="J1209">IFERROR(INDEX('Retirement Calculator'!K:K,MATCH('Lorri 401b'!N1209,'Retirement Calculator'!A:A,0),0),0)</f>
        <v>0</v>
      </c>
      <c r="K1209" s="444">
        <f t="shared" ca="1" si="103"/>
        <v>-498117.00890921097</v>
      </c>
      <c r="L1209" s="444">
        <f t="shared" ca="1" si="104"/>
        <v>-120046199.14711985</v>
      </c>
      <c r="M1209" s="460">
        <f t="shared" si="106"/>
        <v>0.05</v>
      </c>
      <c r="N1209" s="464">
        <f t="shared" si="107"/>
        <v>87842</v>
      </c>
    </row>
    <row r="1210" spans="7:14" ht="11.25" customHeight="1" x14ac:dyDescent="0.25">
      <c r="G1210" s="459"/>
      <c r="H1210" s="459">
        <v>1203</v>
      </c>
      <c r="I1210" s="444">
        <f t="shared" ca="1" si="105"/>
        <v>-120046199.14711985</v>
      </c>
      <c r="J1210" s="444">
        <f t="array" ref="J1210">IFERROR(INDEX('Retirement Calculator'!K:K,MATCH('Lorri 401b'!N1210,'Retirement Calculator'!A:A,0),0),0)</f>
        <v>0</v>
      </c>
      <c r="K1210" s="444">
        <f t="shared" ca="1" si="103"/>
        <v>-500192.49644633272</v>
      </c>
      <c r="L1210" s="444">
        <f t="shared" ca="1" si="104"/>
        <v>-120546391.64356618</v>
      </c>
      <c r="M1210" s="460">
        <f t="shared" si="106"/>
        <v>0.05</v>
      </c>
      <c r="N1210" s="464">
        <f t="shared" si="107"/>
        <v>87873</v>
      </c>
    </row>
    <row r="1211" spans="7:14" ht="11.25" customHeight="1" x14ac:dyDescent="0.25">
      <c r="G1211" s="459"/>
      <c r="H1211" s="459">
        <v>1204</v>
      </c>
      <c r="I1211" s="444">
        <f t="shared" ca="1" si="105"/>
        <v>-120546391.64356618</v>
      </c>
      <c r="J1211" s="444">
        <f t="array" ref="J1211">IFERROR(INDEX('Retirement Calculator'!K:K,MATCH('Lorri 401b'!N1211,'Retirement Calculator'!A:A,0),0),0)</f>
        <v>0</v>
      </c>
      <c r="K1211" s="444">
        <f t="shared" ca="1" si="103"/>
        <v>-502276.63184819237</v>
      </c>
      <c r="L1211" s="444">
        <f t="shared" ca="1" si="104"/>
        <v>-121048668.27541436</v>
      </c>
      <c r="M1211" s="460">
        <f t="shared" si="106"/>
        <v>0.05</v>
      </c>
      <c r="N1211" s="464">
        <f t="shared" si="107"/>
        <v>87904</v>
      </c>
    </row>
    <row r="1212" spans="7:14" ht="11.25" customHeight="1" x14ac:dyDescent="0.25">
      <c r="G1212" s="459"/>
      <c r="H1212" s="459">
        <v>1205</v>
      </c>
      <c r="I1212" s="444">
        <f t="shared" ca="1" si="105"/>
        <v>-121048668.27541436</v>
      </c>
      <c r="J1212" s="444">
        <f t="array" ref="J1212">IFERROR(INDEX('Retirement Calculator'!K:K,MATCH('Lorri 401b'!N1212,'Retirement Calculator'!A:A,0),0),0)</f>
        <v>0</v>
      </c>
      <c r="K1212" s="444">
        <f t="shared" ca="1" si="103"/>
        <v>-504369.4511475598</v>
      </c>
      <c r="L1212" s="444">
        <f t="shared" ca="1" si="104"/>
        <v>-121553037.72656192</v>
      </c>
      <c r="M1212" s="460">
        <f t="shared" si="106"/>
        <v>0.05</v>
      </c>
      <c r="N1212" s="464">
        <f t="shared" si="107"/>
        <v>87934</v>
      </c>
    </row>
    <row r="1213" spans="7:14" ht="11.25" customHeight="1" x14ac:dyDescent="0.25">
      <c r="G1213" s="459"/>
      <c r="H1213" s="459">
        <v>1206</v>
      </c>
      <c r="I1213" s="444">
        <f t="shared" ca="1" si="105"/>
        <v>-121553037.72656192</v>
      </c>
      <c r="J1213" s="444">
        <f t="array" ref="J1213">IFERROR(INDEX('Retirement Calculator'!K:K,MATCH('Lorri 401b'!N1213,'Retirement Calculator'!A:A,0),0),0)</f>
        <v>0</v>
      </c>
      <c r="K1213" s="444">
        <f t="shared" ca="1" si="103"/>
        <v>-506470.99052734132</v>
      </c>
      <c r="L1213" s="444">
        <f t="shared" ca="1" si="104"/>
        <v>-122059508.71708927</v>
      </c>
      <c r="M1213" s="460">
        <f t="shared" si="106"/>
        <v>0.05</v>
      </c>
      <c r="N1213" s="464">
        <f t="shared" si="107"/>
        <v>87965</v>
      </c>
    </row>
    <row r="1214" spans="7:14" ht="11.25" customHeight="1" x14ac:dyDescent="0.25">
      <c r="G1214" s="459"/>
      <c r="H1214" s="459">
        <v>1207</v>
      </c>
      <c r="I1214" s="444">
        <f t="shared" ca="1" si="105"/>
        <v>-122059508.71708927</v>
      </c>
      <c r="J1214" s="444">
        <f t="array" ref="J1214">IFERROR(INDEX('Retirement Calculator'!K:K,MATCH('Lorri 401b'!N1214,'Retirement Calculator'!A:A,0),0),0)</f>
        <v>0</v>
      </c>
      <c r="K1214" s="444">
        <f t="shared" ca="1" si="103"/>
        <v>-508581.28632120526</v>
      </c>
      <c r="L1214" s="444">
        <f t="shared" ca="1" si="104"/>
        <v>-122568090.00341047</v>
      </c>
      <c r="M1214" s="460">
        <f t="shared" si="106"/>
        <v>0.05</v>
      </c>
      <c r="N1214" s="464">
        <f t="shared" si="107"/>
        <v>87995</v>
      </c>
    </row>
    <row r="1215" spans="7:14" ht="11.25" customHeight="1" x14ac:dyDescent="0.25">
      <c r="G1215" s="459"/>
      <c r="H1215" s="459">
        <v>1208</v>
      </c>
      <c r="I1215" s="444">
        <f t="shared" ca="1" si="105"/>
        <v>-122568090.00341047</v>
      </c>
      <c r="J1215" s="444">
        <f t="array" ref="J1215">IFERROR(INDEX('Retirement Calculator'!K:K,MATCH('Lorri 401b'!N1215,'Retirement Calculator'!A:A,0),0),0)</f>
        <v>0</v>
      </c>
      <c r="K1215" s="444">
        <f t="shared" ca="1" si="103"/>
        <v>-510700.37501421035</v>
      </c>
      <c r="L1215" s="444">
        <f t="shared" ca="1" si="104"/>
        <v>-123078790.37842469</v>
      </c>
      <c r="M1215" s="460">
        <f t="shared" si="106"/>
        <v>0.05</v>
      </c>
      <c r="N1215" s="464">
        <f t="shared" si="107"/>
        <v>88026</v>
      </c>
    </row>
    <row r="1216" spans="7:14" ht="11.25" customHeight="1" x14ac:dyDescent="0.25">
      <c r="G1216" s="459"/>
      <c r="H1216" s="459">
        <v>1209</v>
      </c>
      <c r="I1216" s="444">
        <f t="shared" ca="1" si="105"/>
        <v>-123078790.37842469</v>
      </c>
      <c r="J1216" s="444">
        <f t="array" ref="J1216">IFERROR(INDEX('Retirement Calculator'!K:K,MATCH('Lorri 401b'!N1216,'Retirement Calculator'!A:A,0),0),0)</f>
        <v>0</v>
      </c>
      <c r="K1216" s="444">
        <f t="shared" ca="1" si="103"/>
        <v>-512828.2932434362</v>
      </c>
      <c r="L1216" s="444">
        <f t="shared" ca="1" si="104"/>
        <v>-123591618.67166813</v>
      </c>
      <c r="M1216" s="460">
        <f t="shared" si="106"/>
        <v>0.05</v>
      </c>
      <c r="N1216" s="464">
        <f t="shared" si="107"/>
        <v>88057</v>
      </c>
    </row>
    <row r="1217" spans="7:14" ht="11.25" customHeight="1" x14ac:dyDescent="0.25">
      <c r="G1217" s="459"/>
      <c r="H1217" s="459">
        <v>1210</v>
      </c>
      <c r="I1217" s="444">
        <f t="shared" ca="1" si="105"/>
        <v>-123591618.67166813</v>
      </c>
      <c r="J1217" s="444">
        <f t="array" ref="J1217">IFERROR(INDEX('Retirement Calculator'!K:K,MATCH('Lorri 401b'!N1217,'Retirement Calculator'!A:A,0),0),0)</f>
        <v>0</v>
      </c>
      <c r="K1217" s="444">
        <f t="shared" ca="1" si="103"/>
        <v>-514965.07779861719</v>
      </c>
      <c r="L1217" s="444">
        <f t="shared" ca="1" si="104"/>
        <v>-124106583.74946675</v>
      </c>
      <c r="M1217" s="460">
        <f t="shared" si="106"/>
        <v>0.05</v>
      </c>
      <c r="N1217" s="464">
        <f t="shared" si="107"/>
        <v>88085</v>
      </c>
    </row>
    <row r="1218" spans="7:14" ht="11.25" customHeight="1" x14ac:dyDescent="0.25">
      <c r="G1218" s="459"/>
      <c r="H1218" s="459">
        <v>1211</v>
      </c>
      <c r="I1218" s="444">
        <f t="shared" ca="1" si="105"/>
        <v>-124106583.74946675</v>
      </c>
      <c r="J1218" s="444">
        <f t="array" ref="J1218">IFERROR(INDEX('Retirement Calculator'!K:K,MATCH('Lorri 401b'!N1218,'Retirement Calculator'!A:A,0),0),0)</f>
        <v>0</v>
      </c>
      <c r="K1218" s="444">
        <f t="shared" ca="1" si="103"/>
        <v>-517110.76562277816</v>
      </c>
      <c r="L1218" s="444">
        <f t="shared" ca="1" si="104"/>
        <v>-124623694.51508953</v>
      </c>
      <c r="M1218" s="460">
        <f t="shared" si="106"/>
        <v>0.05</v>
      </c>
      <c r="N1218" s="464">
        <f t="shared" si="107"/>
        <v>88116</v>
      </c>
    </row>
    <row r="1219" spans="7:14" ht="11.25" customHeight="1" x14ac:dyDescent="0.25">
      <c r="G1219" s="459"/>
      <c r="H1219" s="459">
        <v>1212</v>
      </c>
      <c r="I1219" s="444">
        <f t="shared" ca="1" si="105"/>
        <v>-124623694.51508953</v>
      </c>
      <c r="J1219" s="444">
        <f t="array" ref="J1219">IFERROR(INDEX('Retirement Calculator'!K:K,MATCH('Lorri 401b'!N1219,'Retirement Calculator'!A:A,0),0),0)</f>
        <v>0</v>
      </c>
      <c r="K1219" s="444">
        <f t="shared" ca="1" si="103"/>
        <v>-519265.39381287294</v>
      </c>
      <c r="L1219" s="444">
        <f t="shared" ca="1" si="104"/>
        <v>-125142959.90890241</v>
      </c>
      <c r="M1219" s="460">
        <f t="shared" si="106"/>
        <v>0.05</v>
      </c>
      <c r="N1219" s="464">
        <f t="shared" si="107"/>
        <v>88146</v>
      </c>
    </row>
    <row r="1220" spans="7:14" ht="11.25" customHeight="1" x14ac:dyDescent="0.25">
      <c r="G1220" s="459"/>
      <c r="H1220" s="459">
        <v>1213</v>
      </c>
      <c r="I1220" s="444">
        <f t="shared" ca="1" si="105"/>
        <v>-125142959.90890241</v>
      </c>
      <c r="J1220" s="444">
        <f t="array" ref="J1220">IFERROR(INDEX('Retirement Calculator'!K:K,MATCH('Lorri 401b'!N1220,'Retirement Calculator'!A:A,0),0),0)</f>
        <v>0</v>
      </c>
      <c r="K1220" s="444">
        <f t="shared" ca="1" si="103"/>
        <v>-521428.99962042668</v>
      </c>
      <c r="L1220" s="444">
        <f t="shared" ca="1" si="104"/>
        <v>-125664388.90852283</v>
      </c>
      <c r="M1220" s="460">
        <f t="shared" si="106"/>
        <v>0.05</v>
      </c>
      <c r="N1220" s="464">
        <f t="shared" si="107"/>
        <v>88177</v>
      </c>
    </row>
    <row r="1221" spans="7:14" ht="11.25" customHeight="1" x14ac:dyDescent="0.25">
      <c r="G1221" s="459"/>
      <c r="H1221" s="459">
        <v>1214</v>
      </c>
      <c r="I1221" s="444">
        <f t="shared" ca="1" si="105"/>
        <v>-125664388.90852283</v>
      </c>
      <c r="J1221" s="444">
        <f t="array" ref="J1221">IFERROR(INDEX('Retirement Calculator'!K:K,MATCH('Lorri 401b'!N1221,'Retirement Calculator'!A:A,0),0),0)</f>
        <v>0</v>
      </c>
      <c r="K1221" s="444">
        <f t="shared" ca="1" si="103"/>
        <v>-523601.62045217853</v>
      </c>
      <c r="L1221" s="444">
        <f t="shared" ca="1" si="104"/>
        <v>-126187990.52897501</v>
      </c>
      <c r="M1221" s="460">
        <f t="shared" si="106"/>
        <v>0.05</v>
      </c>
      <c r="N1221" s="464">
        <f t="shared" si="107"/>
        <v>88207</v>
      </c>
    </row>
    <row r="1222" spans="7:14" ht="11.25" customHeight="1" x14ac:dyDescent="0.25">
      <c r="G1222" s="459"/>
      <c r="H1222" s="459">
        <v>1215</v>
      </c>
      <c r="I1222" s="444">
        <f t="shared" ca="1" si="105"/>
        <v>-126187990.52897501</v>
      </c>
      <c r="J1222" s="444">
        <f t="array" ref="J1222">IFERROR(INDEX('Retirement Calculator'!K:K,MATCH('Lorri 401b'!N1222,'Retirement Calculator'!A:A,0),0),0)</f>
        <v>0</v>
      </c>
      <c r="K1222" s="444">
        <f t="shared" ca="1" si="103"/>
        <v>-525783.29387072916</v>
      </c>
      <c r="L1222" s="444">
        <f t="shared" ca="1" si="104"/>
        <v>-126713773.82284574</v>
      </c>
      <c r="M1222" s="460">
        <f t="shared" si="106"/>
        <v>0.05</v>
      </c>
      <c r="N1222" s="464">
        <f t="shared" si="107"/>
        <v>88238</v>
      </c>
    </row>
    <row r="1223" spans="7:14" ht="11.25" customHeight="1" x14ac:dyDescent="0.25">
      <c r="G1223" s="459"/>
      <c r="H1223" s="459">
        <v>1216</v>
      </c>
      <c r="I1223" s="444">
        <f t="shared" ca="1" si="105"/>
        <v>-126713773.82284574</v>
      </c>
      <c r="J1223" s="444">
        <f t="array" ref="J1223">IFERROR(INDEX('Retirement Calculator'!K:K,MATCH('Lorri 401b'!N1223,'Retirement Calculator'!A:A,0),0),0)</f>
        <v>0</v>
      </c>
      <c r="K1223" s="444">
        <f t="shared" ca="1" si="103"/>
        <v>-527974.05759519059</v>
      </c>
      <c r="L1223" s="444">
        <f t="shared" ca="1" si="104"/>
        <v>-127241747.88044094</v>
      </c>
      <c r="M1223" s="460">
        <f t="shared" si="106"/>
        <v>0.05</v>
      </c>
      <c r="N1223" s="464">
        <f t="shared" si="107"/>
        <v>88269</v>
      </c>
    </row>
    <row r="1224" spans="7:14" ht="11.25" customHeight="1" x14ac:dyDescent="0.25">
      <c r="G1224" s="459"/>
      <c r="H1224" s="459">
        <v>1217</v>
      </c>
      <c r="I1224" s="444">
        <f t="shared" ca="1" si="105"/>
        <v>-127241747.88044094</v>
      </c>
      <c r="J1224" s="444">
        <f t="array" ref="J1224">IFERROR(INDEX('Retirement Calculator'!K:K,MATCH('Lorri 401b'!N1224,'Retirement Calculator'!A:A,0),0),0)</f>
        <v>0</v>
      </c>
      <c r="K1224" s="444">
        <f t="shared" ca="1" si="103"/>
        <v>-530173.94950183725</v>
      </c>
      <c r="L1224" s="444">
        <f t="shared" ca="1" si="104"/>
        <v>-127771921.82994278</v>
      </c>
      <c r="M1224" s="460">
        <f t="shared" si="106"/>
        <v>0.05</v>
      </c>
      <c r="N1224" s="464">
        <f t="shared" si="107"/>
        <v>88299</v>
      </c>
    </row>
    <row r="1225" spans="7:14" ht="11.25" customHeight="1" x14ac:dyDescent="0.25">
      <c r="G1225" s="459"/>
      <c r="H1225" s="459">
        <v>1218</v>
      </c>
      <c r="I1225" s="444">
        <f t="shared" ca="1" si="105"/>
        <v>-127771921.82994278</v>
      </c>
      <c r="J1225" s="444">
        <f t="array" ref="J1225">IFERROR(INDEX('Retirement Calculator'!K:K,MATCH('Lorri 401b'!N1225,'Retirement Calculator'!A:A,0),0),0)</f>
        <v>0</v>
      </c>
      <c r="K1225" s="444">
        <f t="shared" ca="1" si="103"/>
        <v>-532383.00762476155</v>
      </c>
      <c r="L1225" s="444">
        <f t="shared" ca="1" si="104"/>
        <v>-128304304.83756754</v>
      </c>
      <c r="M1225" s="460">
        <f t="shared" si="106"/>
        <v>0.05</v>
      </c>
      <c r="N1225" s="464">
        <f t="shared" si="107"/>
        <v>88330</v>
      </c>
    </row>
    <row r="1226" spans="7:14" ht="11.25" customHeight="1" x14ac:dyDescent="0.25">
      <c r="G1226" s="459"/>
      <c r="H1226" s="459">
        <v>1219</v>
      </c>
      <c r="I1226" s="444">
        <f t="shared" ca="1" si="105"/>
        <v>-128304304.83756754</v>
      </c>
      <c r="J1226" s="444">
        <f t="array" ref="J1226">IFERROR(INDEX('Retirement Calculator'!K:K,MATCH('Lorri 401b'!N1226,'Retirement Calculator'!A:A,0),0),0)</f>
        <v>0</v>
      </c>
      <c r="K1226" s="444">
        <f t="shared" ca="1" si="103"/>
        <v>-534601.27015653148</v>
      </c>
      <c r="L1226" s="444">
        <f t="shared" ca="1" si="104"/>
        <v>-128838906.10772407</v>
      </c>
      <c r="M1226" s="460">
        <f t="shared" si="106"/>
        <v>0.05</v>
      </c>
      <c r="N1226" s="464">
        <f t="shared" si="107"/>
        <v>88360</v>
      </c>
    </row>
    <row r="1227" spans="7:14" ht="11.25" customHeight="1" x14ac:dyDescent="0.25">
      <c r="G1227" s="459"/>
      <c r="H1227" s="459">
        <v>1220</v>
      </c>
      <c r="I1227" s="444">
        <f t="shared" ca="1" si="105"/>
        <v>-128838906.10772407</v>
      </c>
      <c r="J1227" s="444">
        <f t="array" ref="J1227">IFERROR(INDEX('Retirement Calculator'!K:K,MATCH('Lorri 401b'!N1227,'Retirement Calculator'!A:A,0),0),0)</f>
        <v>0</v>
      </c>
      <c r="K1227" s="444">
        <f t="shared" ca="1" si="103"/>
        <v>-536828.77544885036</v>
      </c>
      <c r="L1227" s="444">
        <f t="shared" ca="1" si="104"/>
        <v>-129375734.88317291</v>
      </c>
      <c r="M1227" s="460">
        <f t="shared" si="106"/>
        <v>0.05</v>
      </c>
      <c r="N1227" s="464">
        <f t="shared" si="107"/>
        <v>88391</v>
      </c>
    </row>
    <row r="1228" spans="7:14" ht="11.25" customHeight="1" x14ac:dyDescent="0.25">
      <c r="G1228" s="459"/>
      <c r="H1228" s="459">
        <v>1221</v>
      </c>
      <c r="I1228" s="444">
        <f t="shared" ca="1" si="105"/>
        <v>-129375734.88317291</v>
      </c>
      <c r="J1228" s="444">
        <f t="array" ref="J1228">IFERROR(INDEX('Retirement Calculator'!K:K,MATCH('Lorri 401b'!N1228,'Retirement Calculator'!A:A,0),0),0)</f>
        <v>0</v>
      </c>
      <c r="K1228" s="444">
        <f t="shared" ca="1" si="103"/>
        <v>-539065.56201322051</v>
      </c>
      <c r="L1228" s="444">
        <f t="shared" ca="1" si="104"/>
        <v>-129914800.44518614</v>
      </c>
      <c r="M1228" s="460">
        <f t="shared" si="106"/>
        <v>0.05</v>
      </c>
      <c r="N1228" s="464">
        <f t="shared" si="107"/>
        <v>88422</v>
      </c>
    </row>
    <row r="1229" spans="7:14" ht="11.25" customHeight="1" x14ac:dyDescent="0.25">
      <c r="G1229" s="459"/>
      <c r="H1229" s="459">
        <v>1222</v>
      </c>
      <c r="I1229" s="444">
        <f t="shared" ca="1" si="105"/>
        <v>-129914800.44518614</v>
      </c>
      <c r="J1229" s="444">
        <f t="array" ref="J1229">IFERROR(INDEX('Retirement Calculator'!K:K,MATCH('Lorri 401b'!N1229,'Retirement Calculator'!A:A,0),0),0)</f>
        <v>0</v>
      </c>
      <c r="K1229" s="444">
        <f t="shared" ca="1" si="103"/>
        <v>-541311.66852160892</v>
      </c>
      <c r="L1229" s="444">
        <f t="shared" ca="1" si="104"/>
        <v>-130456112.11370775</v>
      </c>
      <c r="M1229" s="460">
        <f t="shared" si="106"/>
        <v>0.05</v>
      </c>
      <c r="N1229" s="464">
        <f t="shared" si="107"/>
        <v>88450</v>
      </c>
    </row>
    <row r="1230" spans="7:14" ht="11.25" customHeight="1" x14ac:dyDescent="0.25">
      <c r="G1230" s="459"/>
      <c r="H1230" s="459">
        <v>1223</v>
      </c>
      <c r="I1230" s="444">
        <f t="shared" ca="1" si="105"/>
        <v>-130456112.11370775</v>
      </c>
      <c r="J1230" s="444">
        <f t="array" ref="J1230">IFERROR(INDEX('Retirement Calculator'!K:K,MATCH('Lorri 401b'!N1230,'Retirement Calculator'!A:A,0),0),0)</f>
        <v>0</v>
      </c>
      <c r="K1230" s="444">
        <f t="shared" ca="1" si="103"/>
        <v>-543567.13380711561</v>
      </c>
      <c r="L1230" s="444">
        <f t="shared" ca="1" si="104"/>
        <v>-130999679.24751487</v>
      </c>
      <c r="M1230" s="460">
        <f t="shared" si="106"/>
        <v>0.05</v>
      </c>
      <c r="N1230" s="464">
        <f t="shared" si="107"/>
        <v>88481</v>
      </c>
    </row>
    <row r="1231" spans="7:14" ht="11.25" customHeight="1" x14ac:dyDescent="0.25">
      <c r="G1231" s="459"/>
      <c r="H1231" s="459">
        <v>1224</v>
      </c>
      <c r="I1231" s="444">
        <f t="shared" ca="1" si="105"/>
        <v>-130999679.24751487</v>
      </c>
      <c r="J1231" s="444">
        <f t="array" ref="J1231">IFERROR(INDEX('Retirement Calculator'!K:K,MATCH('Lorri 401b'!N1231,'Retirement Calculator'!A:A,0),0),0)</f>
        <v>0</v>
      </c>
      <c r="K1231" s="444">
        <f t="shared" ca="1" si="103"/>
        <v>-545831.99686464528</v>
      </c>
      <c r="L1231" s="444">
        <f t="shared" ca="1" si="104"/>
        <v>-131545511.24437952</v>
      </c>
      <c r="M1231" s="460">
        <f t="shared" si="106"/>
        <v>0.05</v>
      </c>
      <c r="N1231" s="464">
        <f t="shared" si="107"/>
        <v>88511</v>
      </c>
    </row>
    <row r="1232" spans="7:14" ht="11.25" customHeight="1" x14ac:dyDescent="0.25">
      <c r="G1232" s="459"/>
      <c r="H1232" s="459">
        <v>1225</v>
      </c>
      <c r="I1232" s="444">
        <f t="shared" ca="1" si="105"/>
        <v>-131545511.24437952</v>
      </c>
      <c r="J1232" s="444">
        <f t="array" ref="J1232">IFERROR(INDEX('Retirement Calculator'!K:K,MATCH('Lorri 401b'!N1232,'Retirement Calculator'!A:A,0),0),0)</f>
        <v>0</v>
      </c>
      <c r="K1232" s="444">
        <f t="shared" ca="1" si="103"/>
        <v>-548106.29685158131</v>
      </c>
      <c r="L1232" s="444">
        <f t="shared" ca="1" si="104"/>
        <v>-132093617.5412311</v>
      </c>
      <c r="M1232" s="460">
        <f t="shared" si="106"/>
        <v>0.05</v>
      </c>
      <c r="N1232" s="464">
        <f t="shared" si="107"/>
        <v>88542</v>
      </c>
    </row>
    <row r="1233" spans="7:14" ht="11.25" customHeight="1" x14ac:dyDescent="0.25">
      <c r="G1233" s="459"/>
      <c r="H1233" s="459">
        <v>1226</v>
      </c>
      <c r="I1233" s="444">
        <f t="shared" ca="1" si="105"/>
        <v>-132093617.5412311</v>
      </c>
      <c r="J1233" s="444">
        <f t="array" ref="J1233">IFERROR(INDEX('Retirement Calculator'!K:K,MATCH('Lorri 401b'!N1233,'Retirement Calculator'!A:A,0),0),0)</f>
        <v>0</v>
      </c>
      <c r="K1233" s="444">
        <f t="shared" ca="1" si="103"/>
        <v>-550390.07308846293</v>
      </c>
      <c r="L1233" s="444">
        <f t="shared" ca="1" si="104"/>
        <v>-132644007.61431956</v>
      </c>
      <c r="M1233" s="460">
        <f t="shared" si="106"/>
        <v>0.05</v>
      </c>
      <c r="N1233" s="464">
        <f t="shared" si="107"/>
        <v>88572</v>
      </c>
    </row>
    <row r="1234" spans="7:14" ht="11.25" customHeight="1" x14ac:dyDescent="0.25">
      <c r="G1234" s="459"/>
      <c r="H1234" s="459">
        <v>1227</v>
      </c>
      <c r="I1234" s="444">
        <f t="shared" ca="1" si="105"/>
        <v>-132644007.61431956</v>
      </c>
      <c r="J1234" s="444">
        <f t="array" ref="J1234">IFERROR(INDEX('Retirement Calculator'!K:K,MATCH('Lorri 401b'!N1234,'Retirement Calculator'!A:A,0),0),0)</f>
        <v>0</v>
      </c>
      <c r="K1234" s="444">
        <f t="shared" ca="1" si="103"/>
        <v>-552683.36505966494</v>
      </c>
      <c r="L1234" s="444">
        <f t="shared" ca="1" si="104"/>
        <v>-133196690.97937922</v>
      </c>
      <c r="M1234" s="460">
        <f t="shared" si="106"/>
        <v>0.05</v>
      </c>
      <c r="N1234" s="464">
        <f t="shared" si="107"/>
        <v>88603</v>
      </c>
    </row>
    <row r="1235" spans="7:14" ht="11.25" customHeight="1" x14ac:dyDescent="0.25">
      <c r="G1235" s="459"/>
      <c r="H1235" s="459">
        <v>1228</v>
      </c>
      <c r="I1235" s="444">
        <f t="shared" ca="1" si="105"/>
        <v>-133196690.97937922</v>
      </c>
      <c r="J1235" s="444">
        <f t="array" ref="J1235">IFERROR(INDEX('Retirement Calculator'!K:K,MATCH('Lorri 401b'!N1235,'Retirement Calculator'!A:A,0),0),0)</f>
        <v>0</v>
      </c>
      <c r="K1235" s="444">
        <f t="shared" ca="1" si="103"/>
        <v>-554986.21241408004</v>
      </c>
      <c r="L1235" s="444">
        <f t="shared" ca="1" si="104"/>
        <v>-133751677.19179331</v>
      </c>
      <c r="M1235" s="460">
        <f t="shared" si="106"/>
        <v>0.05</v>
      </c>
      <c r="N1235" s="464">
        <f t="shared" si="107"/>
        <v>88634</v>
      </c>
    </row>
    <row r="1236" spans="7:14" ht="11.25" customHeight="1" x14ac:dyDescent="0.25">
      <c r="G1236" s="459"/>
      <c r="H1236" s="459">
        <v>1229</v>
      </c>
      <c r="I1236" s="444">
        <f t="shared" ca="1" si="105"/>
        <v>-133751677.19179331</v>
      </c>
      <c r="J1236" s="444">
        <f t="array" ref="J1236">IFERROR(INDEX('Retirement Calculator'!K:K,MATCH('Lorri 401b'!N1236,'Retirement Calculator'!A:A,0),0),0)</f>
        <v>0</v>
      </c>
      <c r="K1236" s="444">
        <f t="shared" ca="1" si="103"/>
        <v>-557298.65496580536</v>
      </c>
      <c r="L1236" s="444">
        <f t="shared" ca="1" si="104"/>
        <v>-134308975.84675911</v>
      </c>
      <c r="M1236" s="460">
        <f t="shared" si="106"/>
        <v>0.05</v>
      </c>
      <c r="N1236" s="464">
        <f t="shared" si="107"/>
        <v>88664</v>
      </c>
    </row>
    <row r="1237" spans="7:14" ht="11.25" customHeight="1" x14ac:dyDescent="0.25">
      <c r="G1237" s="459"/>
      <c r="H1237" s="459">
        <v>1230</v>
      </c>
      <c r="I1237" s="444">
        <f t="shared" ca="1" si="105"/>
        <v>-134308975.84675911</v>
      </c>
      <c r="J1237" s="444">
        <f t="array" ref="J1237">IFERROR(INDEX('Retirement Calculator'!K:K,MATCH('Lorri 401b'!N1237,'Retirement Calculator'!A:A,0),0),0)</f>
        <v>0</v>
      </c>
      <c r="K1237" s="444">
        <f t="shared" ca="1" si="103"/>
        <v>-559620.73269482958</v>
      </c>
      <c r="L1237" s="444">
        <f t="shared" ca="1" si="104"/>
        <v>-134868596.57945395</v>
      </c>
      <c r="M1237" s="460">
        <f t="shared" si="106"/>
        <v>0.05</v>
      </c>
      <c r="N1237" s="464">
        <f t="shared" si="107"/>
        <v>88695</v>
      </c>
    </row>
    <row r="1238" spans="7:14" ht="11.25" customHeight="1" x14ac:dyDescent="0.25">
      <c r="G1238" s="459"/>
      <c r="H1238" s="459">
        <v>1231</v>
      </c>
      <c r="I1238" s="444">
        <f t="shared" ca="1" si="105"/>
        <v>-134868596.57945395</v>
      </c>
      <c r="J1238" s="444">
        <f t="array" ref="J1238">IFERROR(INDEX('Retirement Calculator'!K:K,MATCH('Lorri 401b'!N1238,'Retirement Calculator'!A:A,0),0),0)</f>
        <v>0</v>
      </c>
      <c r="K1238" s="444">
        <f t="shared" ca="1" si="103"/>
        <v>-561952.48574772477</v>
      </c>
      <c r="L1238" s="444">
        <f t="shared" ca="1" si="104"/>
        <v>-135430549.06520167</v>
      </c>
      <c r="M1238" s="460">
        <f t="shared" si="106"/>
        <v>0.05</v>
      </c>
      <c r="N1238" s="464">
        <f t="shared" si="107"/>
        <v>88725</v>
      </c>
    </row>
    <row r="1239" spans="7:14" ht="11.25" customHeight="1" x14ac:dyDescent="0.25">
      <c r="G1239" s="459"/>
      <c r="H1239" s="459">
        <v>1232</v>
      </c>
      <c r="I1239" s="444">
        <f t="shared" ca="1" si="105"/>
        <v>-135430549.06520167</v>
      </c>
      <c r="J1239" s="444">
        <f t="array" ref="J1239">IFERROR(INDEX('Retirement Calculator'!K:K,MATCH('Lorri 401b'!N1239,'Retirement Calculator'!A:A,0),0),0)</f>
        <v>0</v>
      </c>
      <c r="K1239" s="444">
        <f t="shared" ca="1" si="103"/>
        <v>-564293.95443834027</v>
      </c>
      <c r="L1239" s="444">
        <f t="shared" ca="1" si="104"/>
        <v>-135994843.01964</v>
      </c>
      <c r="M1239" s="460">
        <f t="shared" si="106"/>
        <v>0.05</v>
      </c>
      <c r="N1239" s="464">
        <f t="shared" si="107"/>
        <v>88756</v>
      </c>
    </row>
    <row r="1240" spans="7:14" ht="11.25" customHeight="1" x14ac:dyDescent="0.25">
      <c r="G1240" s="459"/>
      <c r="H1240" s="459">
        <v>1233</v>
      </c>
      <c r="I1240" s="444">
        <f t="shared" ca="1" si="105"/>
        <v>-135994843.01964</v>
      </c>
      <c r="J1240" s="444">
        <f t="array" ref="J1240">IFERROR(INDEX('Retirement Calculator'!K:K,MATCH('Lorri 401b'!N1240,'Retirement Calculator'!A:A,0),0),0)</f>
        <v>0</v>
      </c>
      <c r="K1240" s="444">
        <f t="shared" ca="1" si="103"/>
        <v>-566645.17924850003</v>
      </c>
      <c r="L1240" s="444">
        <f t="shared" ca="1" si="104"/>
        <v>-136561488.19888851</v>
      </c>
      <c r="M1240" s="460">
        <f t="shared" si="106"/>
        <v>0.05</v>
      </c>
      <c r="N1240" s="464">
        <f t="shared" si="107"/>
        <v>88787</v>
      </c>
    </row>
    <row r="1241" spans="7:14" ht="11.25" customHeight="1" x14ac:dyDescent="0.25">
      <c r="G1241" s="459"/>
      <c r="H1241" s="459">
        <v>1234</v>
      </c>
      <c r="I1241" s="444">
        <f t="shared" ca="1" si="105"/>
        <v>-136561488.19888851</v>
      </c>
      <c r="J1241" s="444">
        <f t="array" ref="J1241">IFERROR(INDEX('Retirement Calculator'!K:K,MATCH('Lorri 401b'!N1241,'Retirement Calculator'!A:A,0),0),0)</f>
        <v>0</v>
      </c>
      <c r="K1241" s="444">
        <f t="shared" ca="1" si="103"/>
        <v>-569006.20082870207</v>
      </c>
      <c r="L1241" s="444">
        <f t="shared" ca="1" si="104"/>
        <v>-137130494.39971721</v>
      </c>
      <c r="M1241" s="460">
        <f t="shared" si="106"/>
        <v>0.05</v>
      </c>
      <c r="N1241" s="464">
        <f t="shared" si="107"/>
        <v>88815</v>
      </c>
    </row>
    <row r="1242" spans="7:14" ht="11.25" customHeight="1" x14ac:dyDescent="0.25">
      <c r="G1242" s="459"/>
      <c r="H1242" s="459">
        <v>1235</v>
      </c>
      <c r="I1242" s="444">
        <f t="shared" ca="1" si="105"/>
        <v>-137130494.39971721</v>
      </c>
      <c r="J1242" s="444">
        <f t="array" ref="J1242">IFERROR(INDEX('Retirement Calculator'!K:K,MATCH('Lorri 401b'!N1242,'Retirement Calculator'!A:A,0),0),0)</f>
        <v>0</v>
      </c>
      <c r="K1242" s="444">
        <f t="shared" ca="1" si="103"/>
        <v>-571377.0599988217</v>
      </c>
      <c r="L1242" s="444">
        <f t="shared" ca="1" si="104"/>
        <v>-137701871.45971602</v>
      </c>
      <c r="M1242" s="460">
        <f t="shared" si="106"/>
        <v>0.05</v>
      </c>
      <c r="N1242" s="464">
        <f t="shared" si="107"/>
        <v>88846</v>
      </c>
    </row>
    <row r="1243" spans="7:14" ht="11.25" customHeight="1" x14ac:dyDescent="0.25">
      <c r="G1243" s="459"/>
      <c r="H1243" s="459">
        <v>1236</v>
      </c>
      <c r="I1243" s="444">
        <f t="shared" ca="1" si="105"/>
        <v>-137701871.45971602</v>
      </c>
      <c r="J1243" s="444">
        <f t="array" ref="J1243">IFERROR(INDEX('Retirement Calculator'!K:K,MATCH('Lorri 401b'!N1243,'Retirement Calculator'!A:A,0),0),0)</f>
        <v>0</v>
      </c>
      <c r="K1243" s="444">
        <f t="shared" ca="1" si="103"/>
        <v>-573757.79774881678</v>
      </c>
      <c r="L1243" s="444">
        <f t="shared" ca="1" si="104"/>
        <v>-138275629.25746483</v>
      </c>
      <c r="M1243" s="460">
        <f t="shared" si="106"/>
        <v>0.05</v>
      </c>
      <c r="N1243" s="464">
        <f t="shared" si="107"/>
        <v>88876</v>
      </c>
    </row>
    <row r="1244" spans="7:14" ht="11.25" customHeight="1" x14ac:dyDescent="0.25">
      <c r="G1244" s="459"/>
      <c r="H1244" s="459">
        <v>1237</v>
      </c>
      <c r="I1244" s="444">
        <f t="shared" ca="1" si="105"/>
        <v>-138275629.25746483</v>
      </c>
      <c r="J1244" s="444">
        <f t="array" ref="J1244">IFERROR(INDEX('Retirement Calculator'!K:K,MATCH('Lorri 401b'!N1244,'Retirement Calculator'!A:A,0),0),0)</f>
        <v>0</v>
      </c>
      <c r="K1244" s="444">
        <f t="shared" ca="1" si="103"/>
        <v>-576148.45523943682</v>
      </c>
      <c r="L1244" s="444">
        <f t="shared" ca="1" si="104"/>
        <v>-138851777.71270427</v>
      </c>
      <c r="M1244" s="460">
        <f t="shared" si="106"/>
        <v>0.05</v>
      </c>
      <c r="N1244" s="464">
        <f t="shared" si="107"/>
        <v>88907</v>
      </c>
    </row>
    <row r="1245" spans="7:14" ht="11.25" customHeight="1" x14ac:dyDescent="0.25">
      <c r="G1245" s="459"/>
      <c r="H1245" s="459">
        <v>1238</v>
      </c>
      <c r="I1245" s="444">
        <f t="shared" ca="1" si="105"/>
        <v>-138851777.71270427</v>
      </c>
      <c r="J1245" s="444">
        <f t="array" ref="J1245">IFERROR(INDEX('Retirement Calculator'!K:K,MATCH('Lorri 401b'!N1245,'Retirement Calculator'!A:A,0),0),0)</f>
        <v>0</v>
      </c>
      <c r="K1245" s="444">
        <f t="shared" ca="1" si="103"/>
        <v>-578549.07380293449</v>
      </c>
      <c r="L1245" s="444">
        <f t="shared" ca="1" si="104"/>
        <v>-139430326.78650722</v>
      </c>
      <c r="M1245" s="460">
        <f t="shared" si="106"/>
        <v>0.05</v>
      </c>
      <c r="N1245" s="464">
        <f t="shared" si="107"/>
        <v>88937</v>
      </c>
    </row>
    <row r="1246" spans="7:14" ht="11.25" customHeight="1" x14ac:dyDescent="0.25">
      <c r="G1246" s="459"/>
      <c r="H1246" s="459">
        <v>1239</v>
      </c>
      <c r="I1246" s="444">
        <f t="shared" ca="1" si="105"/>
        <v>-139430326.78650722</v>
      </c>
      <c r="J1246" s="444">
        <f t="array" ref="J1246">IFERROR(INDEX('Retirement Calculator'!K:K,MATCH('Lorri 401b'!N1246,'Retirement Calculator'!A:A,0),0),0)</f>
        <v>0</v>
      </c>
      <c r="K1246" s="444">
        <f t="shared" ca="1" si="103"/>
        <v>-580959.69494378008</v>
      </c>
      <c r="L1246" s="444">
        <f t="shared" ca="1" si="104"/>
        <v>-140011286.481451</v>
      </c>
      <c r="M1246" s="460">
        <f t="shared" si="106"/>
        <v>0.05</v>
      </c>
      <c r="N1246" s="464">
        <f t="shared" si="107"/>
        <v>88968</v>
      </c>
    </row>
    <row r="1247" spans="7:14" ht="11.25" customHeight="1" x14ac:dyDescent="0.25">
      <c r="G1247" s="459"/>
      <c r="H1247" s="459">
        <v>1240</v>
      </c>
      <c r="I1247" s="444">
        <f t="shared" ca="1" si="105"/>
        <v>-140011286.481451</v>
      </c>
      <c r="J1247" s="444">
        <f t="array" ref="J1247">IFERROR(INDEX('Retirement Calculator'!K:K,MATCH('Lorri 401b'!N1247,'Retirement Calculator'!A:A,0),0),0)</f>
        <v>0</v>
      </c>
      <c r="K1247" s="444">
        <f t="shared" ca="1" si="103"/>
        <v>-583380.36033937917</v>
      </c>
      <c r="L1247" s="444">
        <f t="shared" ca="1" si="104"/>
        <v>-140594666.84179038</v>
      </c>
      <c r="M1247" s="460">
        <f t="shared" si="106"/>
        <v>0.05</v>
      </c>
      <c r="N1247" s="464">
        <f t="shared" si="107"/>
        <v>88999</v>
      </c>
    </row>
    <row r="1248" spans="7:14" ht="11.25" customHeight="1" x14ac:dyDescent="0.25">
      <c r="G1248" s="459"/>
      <c r="H1248" s="459">
        <v>1241</v>
      </c>
      <c r="I1248" s="444">
        <f t="shared" ca="1" si="105"/>
        <v>-140594666.84179038</v>
      </c>
      <c r="J1248" s="444">
        <f t="array" ref="J1248">IFERROR(INDEX('Retirement Calculator'!K:K,MATCH('Lorri 401b'!N1248,'Retirement Calculator'!A:A,0),0),0)</f>
        <v>0</v>
      </c>
      <c r="K1248" s="444">
        <f t="shared" ca="1" si="103"/>
        <v>-585811.11184079328</v>
      </c>
      <c r="L1248" s="444">
        <f t="shared" ca="1" si="104"/>
        <v>-141180477.95363116</v>
      </c>
      <c r="M1248" s="460">
        <f t="shared" si="106"/>
        <v>0.05</v>
      </c>
      <c r="N1248" s="464">
        <f t="shared" si="107"/>
        <v>89029</v>
      </c>
    </row>
    <row r="1249" spans="7:14" ht="11.25" customHeight="1" x14ac:dyDescent="0.25">
      <c r="G1249" s="459"/>
      <c r="H1249" s="459">
        <v>1242</v>
      </c>
      <c r="I1249" s="444">
        <f t="shared" ca="1" si="105"/>
        <v>-141180477.95363116</v>
      </c>
      <c r="J1249" s="444">
        <f t="array" ref="J1249">IFERROR(INDEX('Retirement Calculator'!K:K,MATCH('Lorri 401b'!N1249,'Retirement Calculator'!A:A,0),0),0)</f>
        <v>0</v>
      </c>
      <c r="K1249" s="444">
        <f t="shared" ca="1" si="103"/>
        <v>-588251.99147346313</v>
      </c>
      <c r="L1249" s="444">
        <f t="shared" ca="1" si="104"/>
        <v>-141768729.94510463</v>
      </c>
      <c r="M1249" s="460">
        <f t="shared" si="106"/>
        <v>0.05</v>
      </c>
      <c r="N1249" s="464">
        <f t="shared" si="107"/>
        <v>89060</v>
      </c>
    </row>
    <row r="1250" spans="7:14" ht="11.25" customHeight="1" x14ac:dyDescent="0.25">
      <c r="G1250" s="459"/>
      <c r="H1250" s="459">
        <v>1243</v>
      </c>
      <c r="I1250" s="444">
        <f t="shared" ca="1" si="105"/>
        <v>-141768729.94510463</v>
      </c>
      <c r="J1250" s="444">
        <f t="array" ref="J1250">IFERROR(INDEX('Retirement Calculator'!K:K,MATCH('Lorri 401b'!N1250,'Retirement Calculator'!A:A,0),0),0)</f>
        <v>0</v>
      </c>
      <c r="K1250" s="444">
        <f t="shared" ca="1" si="103"/>
        <v>-590703.0414379359</v>
      </c>
      <c r="L1250" s="444">
        <f t="shared" ca="1" si="104"/>
        <v>-142359432.98654255</v>
      </c>
      <c r="M1250" s="460">
        <f t="shared" si="106"/>
        <v>0.05</v>
      </c>
      <c r="N1250" s="464">
        <f t="shared" si="107"/>
        <v>89090</v>
      </c>
    </row>
    <row r="1251" spans="7:14" ht="11.25" customHeight="1" x14ac:dyDescent="0.25">
      <c r="G1251" s="459"/>
      <c r="H1251" s="459">
        <v>1244</v>
      </c>
      <c r="I1251" s="444">
        <f t="shared" ca="1" si="105"/>
        <v>-142359432.98654255</v>
      </c>
      <c r="J1251" s="444">
        <f t="array" ref="J1251">IFERROR(INDEX('Retirement Calculator'!K:K,MATCH('Lorri 401b'!N1251,'Retirement Calculator'!A:A,0),0),0)</f>
        <v>0</v>
      </c>
      <c r="K1251" s="444">
        <f t="shared" ca="1" si="103"/>
        <v>-593164.30411059398</v>
      </c>
      <c r="L1251" s="444">
        <f t="shared" ca="1" si="104"/>
        <v>-142952597.29065314</v>
      </c>
      <c r="M1251" s="460">
        <f t="shared" si="106"/>
        <v>0.05</v>
      </c>
      <c r="N1251" s="464">
        <f t="shared" si="107"/>
        <v>89121</v>
      </c>
    </row>
    <row r="1252" spans="7:14" ht="11.25" customHeight="1" x14ac:dyDescent="0.25">
      <c r="G1252" s="459"/>
      <c r="H1252" s="459">
        <v>1245</v>
      </c>
      <c r="I1252" s="444">
        <f t="shared" ca="1" si="105"/>
        <v>-142952597.29065314</v>
      </c>
      <c r="J1252" s="444">
        <f t="array" ref="J1252">IFERROR(INDEX('Retirement Calculator'!K:K,MATCH('Lorri 401b'!N1252,'Retirement Calculator'!A:A,0),0),0)</f>
        <v>0</v>
      </c>
      <c r="K1252" s="444">
        <f t="shared" ca="1" si="103"/>
        <v>-595635.82204438804</v>
      </c>
      <c r="L1252" s="444">
        <f t="shared" ca="1" si="104"/>
        <v>-143548233.11269754</v>
      </c>
      <c r="M1252" s="460">
        <f t="shared" si="106"/>
        <v>0.05</v>
      </c>
      <c r="N1252" s="464">
        <f t="shared" si="107"/>
        <v>89152</v>
      </c>
    </row>
    <row r="1253" spans="7:14" ht="11.25" customHeight="1" x14ac:dyDescent="0.25">
      <c r="G1253" s="459"/>
      <c r="H1253" s="459">
        <v>1246</v>
      </c>
      <c r="I1253" s="444">
        <f t="shared" ca="1" si="105"/>
        <v>-143548233.11269754</v>
      </c>
      <c r="J1253" s="444">
        <f t="array" ref="J1253">IFERROR(INDEX('Retirement Calculator'!K:K,MATCH('Lorri 401b'!N1253,'Retirement Calculator'!A:A,0),0),0)</f>
        <v>0</v>
      </c>
      <c r="K1253" s="444">
        <f t="shared" ca="1" si="103"/>
        <v>-598117.63796957303</v>
      </c>
      <c r="L1253" s="444">
        <f t="shared" ca="1" si="104"/>
        <v>-144146350.75066712</v>
      </c>
      <c r="M1253" s="460">
        <f t="shared" si="106"/>
        <v>0.05</v>
      </c>
      <c r="N1253" s="464">
        <f t="shared" si="107"/>
        <v>89181</v>
      </c>
    </row>
    <row r="1254" spans="7:14" ht="11.25" customHeight="1" x14ac:dyDescent="0.25">
      <c r="G1254" s="459"/>
      <c r="H1254" s="459">
        <v>1247</v>
      </c>
      <c r="I1254" s="444">
        <f t="shared" ca="1" si="105"/>
        <v>-144146350.75066712</v>
      </c>
      <c r="J1254" s="444">
        <f t="array" ref="J1254">IFERROR(INDEX('Retirement Calculator'!K:K,MATCH('Lorri 401b'!N1254,'Retirement Calculator'!A:A,0),0),0)</f>
        <v>0</v>
      </c>
      <c r="K1254" s="444">
        <f t="shared" ca="1" si="103"/>
        <v>-600609.79479444632</v>
      </c>
      <c r="L1254" s="444">
        <f t="shared" ca="1" si="104"/>
        <v>-144746960.54546157</v>
      </c>
      <c r="M1254" s="460">
        <f t="shared" si="106"/>
        <v>0.05</v>
      </c>
      <c r="N1254" s="464">
        <f t="shared" si="107"/>
        <v>89212</v>
      </c>
    </row>
    <row r="1255" spans="7:14" ht="11.25" customHeight="1" x14ac:dyDescent="0.25">
      <c r="G1255" s="459"/>
      <c r="H1255" s="459">
        <v>1248</v>
      </c>
      <c r="I1255" s="444">
        <f t="shared" ca="1" si="105"/>
        <v>-144746960.54546157</v>
      </c>
      <c r="J1255" s="444">
        <f t="array" ref="J1255">IFERROR(INDEX('Retirement Calculator'!K:K,MATCH('Lorri 401b'!N1255,'Retirement Calculator'!A:A,0),0),0)</f>
        <v>0</v>
      </c>
      <c r="K1255" s="444">
        <f t="shared" ca="1" si="103"/>
        <v>-603112.33560608979</v>
      </c>
      <c r="L1255" s="444">
        <f t="shared" ca="1" si="104"/>
        <v>-145350072.88106766</v>
      </c>
      <c r="M1255" s="460">
        <f t="shared" si="106"/>
        <v>0.05</v>
      </c>
      <c r="N1255" s="464">
        <f t="shared" si="107"/>
        <v>89242</v>
      </c>
    </row>
    <row r="1256" spans="7:14" ht="11.25" customHeight="1" x14ac:dyDescent="0.25">
      <c r="G1256" s="459"/>
      <c r="H1256" s="459">
        <v>1249</v>
      </c>
      <c r="I1256" s="444">
        <f t="shared" ca="1" si="105"/>
        <v>-145350072.88106766</v>
      </c>
      <c r="J1256" s="444">
        <f t="array" ref="J1256">IFERROR(INDEX('Retirement Calculator'!K:K,MATCH('Lorri 401b'!N1256,'Retirement Calculator'!A:A,0),0),0)</f>
        <v>0</v>
      </c>
      <c r="K1256" s="444">
        <f t="shared" ca="1" si="103"/>
        <v>-605625.30367111531</v>
      </c>
      <c r="L1256" s="444">
        <f t="shared" ca="1" si="104"/>
        <v>-145955698.18473879</v>
      </c>
      <c r="M1256" s="460">
        <f t="shared" si="106"/>
        <v>0.05</v>
      </c>
      <c r="N1256" s="464">
        <f t="shared" si="107"/>
        <v>89273</v>
      </c>
    </row>
    <row r="1257" spans="7:14" ht="11.25" customHeight="1" x14ac:dyDescent="0.25">
      <c r="G1257" s="459"/>
      <c r="H1257" s="459">
        <v>1250</v>
      </c>
      <c r="I1257" s="444">
        <f t="shared" ca="1" si="105"/>
        <v>-145955698.18473879</v>
      </c>
      <c r="J1257" s="444">
        <f t="array" ref="J1257">IFERROR(INDEX('Retirement Calculator'!K:K,MATCH('Lorri 401b'!N1257,'Retirement Calculator'!A:A,0),0),0)</f>
        <v>0</v>
      </c>
      <c r="K1257" s="444">
        <f t="shared" ca="1" si="103"/>
        <v>-608148.74243641156</v>
      </c>
      <c r="L1257" s="444">
        <f t="shared" ca="1" si="104"/>
        <v>-146563846.92717519</v>
      </c>
      <c r="M1257" s="460">
        <f t="shared" si="106"/>
        <v>0.05</v>
      </c>
      <c r="N1257" s="464">
        <f t="shared" si="107"/>
        <v>89303</v>
      </c>
    </row>
    <row r="1258" spans="7:14" ht="11.25" customHeight="1" x14ac:dyDescent="0.25">
      <c r="G1258" s="459"/>
      <c r="H1258" s="459">
        <v>1251</v>
      </c>
      <c r="I1258" s="444">
        <f t="shared" ca="1" si="105"/>
        <v>-146563846.92717519</v>
      </c>
      <c r="J1258" s="444">
        <f t="array" ref="J1258">IFERROR(INDEX('Retirement Calculator'!K:K,MATCH('Lorri 401b'!N1258,'Retirement Calculator'!A:A,0),0),0)</f>
        <v>0</v>
      </c>
      <c r="K1258" s="444">
        <f t="shared" ca="1" si="103"/>
        <v>-610682.69552989665</v>
      </c>
      <c r="L1258" s="444">
        <f t="shared" ca="1" si="104"/>
        <v>-147174529.6227051</v>
      </c>
      <c r="M1258" s="460">
        <f t="shared" si="106"/>
        <v>0.05</v>
      </c>
      <c r="N1258" s="464">
        <f t="shared" si="107"/>
        <v>89334</v>
      </c>
    </row>
    <row r="1259" spans="7:14" ht="11.25" customHeight="1" x14ac:dyDescent="0.25">
      <c r="G1259" s="459"/>
      <c r="H1259" s="459">
        <v>1252</v>
      </c>
      <c r="I1259" s="444">
        <f t="shared" ca="1" si="105"/>
        <v>-147174529.6227051</v>
      </c>
      <c r="J1259" s="444">
        <f t="array" ref="J1259">IFERROR(INDEX('Retirement Calculator'!K:K,MATCH('Lorri 401b'!N1259,'Retirement Calculator'!A:A,0),0),0)</f>
        <v>0</v>
      </c>
      <c r="K1259" s="444">
        <f t="shared" ca="1" si="103"/>
        <v>-613227.20676127123</v>
      </c>
      <c r="L1259" s="444">
        <f t="shared" ca="1" si="104"/>
        <v>-147787756.82946637</v>
      </c>
      <c r="M1259" s="460">
        <f t="shared" si="106"/>
        <v>0.05</v>
      </c>
      <c r="N1259" s="464">
        <f t="shared" si="107"/>
        <v>89365</v>
      </c>
    </row>
    <row r="1260" spans="7:14" ht="11.25" customHeight="1" x14ac:dyDescent="0.25">
      <c r="G1260" s="459"/>
      <c r="H1260" s="459">
        <v>1253</v>
      </c>
      <c r="I1260" s="444">
        <f t="shared" ca="1" si="105"/>
        <v>-147787756.82946637</v>
      </c>
      <c r="J1260" s="444">
        <f t="array" ref="J1260">IFERROR(INDEX('Retirement Calculator'!K:K,MATCH('Lorri 401b'!N1260,'Retirement Calculator'!A:A,0),0),0)</f>
        <v>0</v>
      </c>
      <c r="K1260" s="444">
        <f t="shared" ca="1" si="103"/>
        <v>-615782.32012277655</v>
      </c>
      <c r="L1260" s="444">
        <f t="shared" ca="1" si="104"/>
        <v>-148403539.14958915</v>
      </c>
      <c r="M1260" s="460">
        <f t="shared" si="106"/>
        <v>0.05</v>
      </c>
      <c r="N1260" s="464">
        <f t="shared" si="107"/>
        <v>89395</v>
      </c>
    </row>
    <row r="1261" spans="7:14" ht="11.25" customHeight="1" x14ac:dyDescent="0.25">
      <c r="G1261" s="459"/>
      <c r="H1261" s="459">
        <v>1254</v>
      </c>
      <c r="I1261" s="444">
        <f t="shared" ca="1" si="105"/>
        <v>-148403539.14958915</v>
      </c>
      <c r="J1261" s="444">
        <f t="array" ref="J1261">IFERROR(INDEX('Retirement Calculator'!K:K,MATCH('Lorri 401b'!N1261,'Retirement Calculator'!A:A,0),0),0)</f>
        <v>0</v>
      </c>
      <c r="K1261" s="444">
        <f t="shared" ca="1" si="103"/>
        <v>-618348.07978995482</v>
      </c>
      <c r="L1261" s="444">
        <f t="shared" ca="1" si="104"/>
        <v>-149021887.22937912</v>
      </c>
      <c r="M1261" s="460">
        <f t="shared" si="106"/>
        <v>0.05</v>
      </c>
      <c r="N1261" s="464">
        <f t="shared" si="107"/>
        <v>89426</v>
      </c>
    </row>
    <row r="1262" spans="7:14" ht="11.25" customHeight="1" x14ac:dyDescent="0.25">
      <c r="G1262" s="459"/>
      <c r="H1262" s="459">
        <v>1255</v>
      </c>
      <c r="I1262" s="444">
        <f t="shared" ca="1" si="105"/>
        <v>-149021887.22937912</v>
      </c>
      <c r="J1262" s="444">
        <f t="array" ref="J1262">IFERROR(INDEX('Retirement Calculator'!K:K,MATCH('Lorri 401b'!N1262,'Retirement Calculator'!A:A,0),0),0)</f>
        <v>0</v>
      </c>
      <c r="K1262" s="444">
        <f t="shared" ca="1" si="103"/>
        <v>-620924.53012241295</v>
      </c>
      <c r="L1262" s="444">
        <f t="shared" ca="1" si="104"/>
        <v>-149642811.75950152</v>
      </c>
      <c r="M1262" s="460">
        <f t="shared" si="106"/>
        <v>0.05</v>
      </c>
      <c r="N1262" s="464">
        <f t="shared" si="107"/>
        <v>89456</v>
      </c>
    </row>
    <row r="1263" spans="7:14" ht="11.25" customHeight="1" x14ac:dyDescent="0.25">
      <c r="G1263" s="459"/>
      <c r="H1263" s="459">
        <v>1256</v>
      </c>
      <c r="I1263" s="444">
        <f t="shared" ca="1" si="105"/>
        <v>-149642811.75950152</v>
      </c>
      <c r="J1263" s="444">
        <f t="array" ref="J1263">IFERROR(INDEX('Retirement Calculator'!K:K,MATCH('Lorri 401b'!N1263,'Retirement Calculator'!A:A,0),0),0)</f>
        <v>0</v>
      </c>
      <c r="K1263" s="444">
        <f t="shared" ca="1" si="103"/>
        <v>-623511.71566458966</v>
      </c>
      <c r="L1263" s="444">
        <f t="shared" ca="1" si="104"/>
        <v>-150266323.47516611</v>
      </c>
      <c r="M1263" s="460">
        <f t="shared" si="106"/>
        <v>0.05</v>
      </c>
      <c r="N1263" s="464">
        <f t="shared" si="107"/>
        <v>89487</v>
      </c>
    </row>
    <row r="1264" spans="7:14" ht="11.25" customHeight="1" x14ac:dyDescent="0.25">
      <c r="G1264" s="459"/>
      <c r="H1264" s="459">
        <v>1257</v>
      </c>
      <c r="I1264" s="444">
        <f t="shared" ca="1" si="105"/>
        <v>-150266323.47516611</v>
      </c>
      <c r="J1264" s="444">
        <f t="array" ref="J1264">IFERROR(INDEX('Retirement Calculator'!K:K,MATCH('Lorri 401b'!N1264,'Retirement Calculator'!A:A,0),0),0)</f>
        <v>0</v>
      </c>
      <c r="K1264" s="444">
        <f t="shared" ca="1" si="103"/>
        <v>-626109.68114652543</v>
      </c>
      <c r="L1264" s="444">
        <f t="shared" ca="1" si="104"/>
        <v>-150892433.15631264</v>
      </c>
      <c r="M1264" s="460">
        <f t="shared" si="106"/>
        <v>0.05</v>
      </c>
      <c r="N1264" s="464">
        <f t="shared" si="107"/>
        <v>89518</v>
      </c>
    </row>
    <row r="1265" spans="7:14" ht="11.25" customHeight="1" x14ac:dyDescent="0.25">
      <c r="G1265" s="459"/>
      <c r="H1265" s="459">
        <v>1258</v>
      </c>
      <c r="I1265" s="444">
        <f t="shared" ca="1" si="105"/>
        <v>-150892433.15631264</v>
      </c>
      <c r="J1265" s="444">
        <f t="array" ref="J1265">IFERROR(INDEX('Retirement Calculator'!K:K,MATCH('Lorri 401b'!N1265,'Retirement Calculator'!A:A,0),0),0)</f>
        <v>0</v>
      </c>
      <c r="K1265" s="444">
        <f t="shared" ca="1" si="103"/>
        <v>-628718.47148463596</v>
      </c>
      <c r="L1265" s="444">
        <f t="shared" ca="1" si="104"/>
        <v>-151521151.62779728</v>
      </c>
      <c r="M1265" s="460">
        <f t="shared" si="106"/>
        <v>0.05</v>
      </c>
      <c r="N1265" s="464">
        <f t="shared" si="107"/>
        <v>89546</v>
      </c>
    </row>
    <row r="1266" spans="7:14" ht="11.25" customHeight="1" x14ac:dyDescent="0.25">
      <c r="G1266" s="459"/>
      <c r="H1266" s="459">
        <v>1259</v>
      </c>
      <c r="I1266" s="444">
        <f t="shared" ca="1" si="105"/>
        <v>-151521151.62779728</v>
      </c>
      <c r="J1266" s="444">
        <f t="array" ref="J1266">IFERROR(INDEX('Retirement Calculator'!K:K,MATCH('Lorri 401b'!N1266,'Retirement Calculator'!A:A,0),0),0)</f>
        <v>0</v>
      </c>
      <c r="K1266" s="444">
        <f t="shared" ca="1" si="103"/>
        <v>-631338.13178248866</v>
      </c>
      <c r="L1266" s="444">
        <f t="shared" ca="1" si="104"/>
        <v>-152152489.75957978</v>
      </c>
      <c r="M1266" s="460">
        <f t="shared" si="106"/>
        <v>0.05</v>
      </c>
      <c r="N1266" s="464">
        <f t="shared" si="107"/>
        <v>89577</v>
      </c>
    </row>
    <row r="1267" spans="7:14" ht="11.25" customHeight="1" x14ac:dyDescent="0.25">
      <c r="G1267" s="459"/>
      <c r="H1267" s="459">
        <v>1260</v>
      </c>
      <c r="I1267" s="444">
        <f t="shared" ca="1" si="105"/>
        <v>-152152489.75957978</v>
      </c>
      <c r="J1267" s="444">
        <f t="array" ref="J1267">IFERROR(INDEX('Retirement Calculator'!K:K,MATCH('Lorri 401b'!N1267,'Retirement Calculator'!A:A,0),0),0)</f>
        <v>0</v>
      </c>
      <c r="K1267" s="444">
        <f t="shared" ca="1" si="103"/>
        <v>-633968.70733158244</v>
      </c>
      <c r="L1267" s="444">
        <f t="shared" ca="1" si="104"/>
        <v>-152786458.46691135</v>
      </c>
      <c r="M1267" s="460">
        <f t="shared" si="106"/>
        <v>0.05</v>
      </c>
      <c r="N1267" s="464">
        <f t="shared" si="107"/>
        <v>89607</v>
      </c>
    </row>
    <row r="1268" spans="7:14" ht="11.25" customHeight="1" x14ac:dyDescent="0.25">
      <c r="G1268" s="459"/>
      <c r="H1268" s="459">
        <v>1261</v>
      </c>
      <c r="I1268" s="444">
        <f t="shared" ca="1" si="105"/>
        <v>-152786458.46691135</v>
      </c>
      <c r="J1268" s="444">
        <f t="array" ref="J1268">IFERROR(INDEX('Retirement Calculator'!K:K,MATCH('Lorri 401b'!N1268,'Retirement Calculator'!A:A,0),0),0)</f>
        <v>0</v>
      </c>
      <c r="K1268" s="444">
        <f t="shared" ca="1" si="103"/>
        <v>-636610.24361213064</v>
      </c>
      <c r="L1268" s="444">
        <f t="shared" ca="1" si="104"/>
        <v>-153423068.71052349</v>
      </c>
      <c r="M1268" s="460">
        <f t="shared" si="106"/>
        <v>0.05</v>
      </c>
      <c r="N1268" s="464">
        <f t="shared" si="107"/>
        <v>89638</v>
      </c>
    </row>
    <row r="1269" spans="7:14" ht="11.25" customHeight="1" x14ac:dyDescent="0.25">
      <c r="G1269" s="459"/>
      <c r="H1269" s="459">
        <v>1262</v>
      </c>
      <c r="I1269" s="444">
        <f t="shared" ca="1" si="105"/>
        <v>-153423068.71052349</v>
      </c>
      <c r="J1269" s="444">
        <f t="array" ref="J1269">IFERROR(INDEX('Retirement Calculator'!K:K,MATCH('Lorri 401b'!N1269,'Retirement Calculator'!A:A,0),0),0)</f>
        <v>0</v>
      </c>
      <c r="K1269" s="444">
        <f t="shared" ca="1" si="103"/>
        <v>-639262.78629384784</v>
      </c>
      <c r="L1269" s="444">
        <f t="shared" ca="1" si="104"/>
        <v>-154062331.49681732</v>
      </c>
      <c r="M1269" s="460">
        <f t="shared" si="106"/>
        <v>0.05</v>
      </c>
      <c r="N1269" s="464">
        <f t="shared" si="107"/>
        <v>89668</v>
      </c>
    </row>
    <row r="1270" spans="7:14" ht="11.25" customHeight="1" x14ac:dyDescent="0.25">
      <c r="G1270" s="459"/>
      <c r="H1270" s="459">
        <v>1263</v>
      </c>
      <c r="I1270" s="444">
        <f t="shared" ca="1" si="105"/>
        <v>-154062331.49681732</v>
      </c>
      <c r="J1270" s="444">
        <f t="array" ref="J1270">IFERROR(INDEX('Retirement Calculator'!K:K,MATCH('Lorri 401b'!N1270,'Retirement Calculator'!A:A,0),0),0)</f>
        <v>0</v>
      </c>
      <c r="K1270" s="444">
        <f t="shared" ca="1" si="103"/>
        <v>-641926.38123673887</v>
      </c>
      <c r="L1270" s="444">
        <f t="shared" ca="1" si="104"/>
        <v>-154704257.87805405</v>
      </c>
      <c r="M1270" s="460">
        <f t="shared" si="106"/>
        <v>0.05</v>
      </c>
      <c r="N1270" s="464">
        <f t="shared" si="107"/>
        <v>89699</v>
      </c>
    </row>
    <row r="1271" spans="7:14" ht="11.25" customHeight="1" x14ac:dyDescent="0.25">
      <c r="G1271" s="459"/>
      <c r="H1271" s="459">
        <v>1264</v>
      </c>
      <c r="I1271" s="444">
        <f t="shared" ca="1" si="105"/>
        <v>-154704257.87805405</v>
      </c>
      <c r="J1271" s="444">
        <f t="array" ref="J1271">IFERROR(INDEX('Retirement Calculator'!K:K,MATCH('Lorri 401b'!N1271,'Retirement Calculator'!A:A,0),0),0)</f>
        <v>0</v>
      </c>
      <c r="K1271" s="444">
        <f t="shared" ca="1" si="103"/>
        <v>-644601.07449189189</v>
      </c>
      <c r="L1271" s="444">
        <f t="shared" ca="1" si="104"/>
        <v>-155348858.95254594</v>
      </c>
      <c r="M1271" s="460">
        <f t="shared" si="106"/>
        <v>0.05</v>
      </c>
      <c r="N1271" s="464">
        <f t="shared" si="107"/>
        <v>89730</v>
      </c>
    </row>
    <row r="1272" spans="7:14" ht="11.25" customHeight="1" x14ac:dyDescent="0.25">
      <c r="G1272" s="459"/>
      <c r="H1272" s="459">
        <v>1265</v>
      </c>
      <c r="I1272" s="444">
        <f t="shared" ca="1" si="105"/>
        <v>-155348858.95254594</v>
      </c>
      <c r="J1272" s="444">
        <f t="array" ref="J1272">IFERROR(INDEX('Retirement Calculator'!K:K,MATCH('Lorri 401b'!N1272,'Retirement Calculator'!A:A,0),0),0)</f>
        <v>0</v>
      </c>
      <c r="K1272" s="444">
        <f t="shared" ca="1" si="103"/>
        <v>-647286.91230227472</v>
      </c>
      <c r="L1272" s="444">
        <f t="shared" ca="1" si="104"/>
        <v>-155996145.86484823</v>
      </c>
      <c r="M1272" s="460">
        <f t="shared" si="106"/>
        <v>0.05</v>
      </c>
      <c r="N1272" s="464">
        <f t="shared" si="107"/>
        <v>89760</v>
      </c>
    </row>
    <row r="1273" spans="7:14" ht="11.25" customHeight="1" x14ac:dyDescent="0.25">
      <c r="G1273" s="459"/>
      <c r="H1273" s="459">
        <v>1266</v>
      </c>
      <c r="I1273" s="444">
        <f t="shared" ca="1" si="105"/>
        <v>-155996145.86484823</v>
      </c>
      <c r="J1273" s="444">
        <f t="array" ref="J1273">IFERROR(INDEX('Retirement Calculator'!K:K,MATCH('Lorri 401b'!N1273,'Retirement Calculator'!A:A,0),0),0)</f>
        <v>0</v>
      </c>
      <c r="K1273" s="444">
        <f t="shared" ca="1" si="103"/>
        <v>-649983.94110353431</v>
      </c>
      <c r="L1273" s="444">
        <f t="shared" ca="1" si="104"/>
        <v>-156646129.80595177</v>
      </c>
      <c r="M1273" s="460">
        <f t="shared" si="106"/>
        <v>0.05</v>
      </c>
      <c r="N1273" s="464">
        <f t="shared" si="107"/>
        <v>89791</v>
      </c>
    </row>
    <row r="1274" spans="7:14" ht="11.25" customHeight="1" x14ac:dyDescent="0.25">
      <c r="G1274" s="459"/>
      <c r="H1274" s="459">
        <v>1267</v>
      </c>
      <c r="I1274" s="444">
        <f t="shared" ca="1" si="105"/>
        <v>-156646129.80595177</v>
      </c>
      <c r="J1274" s="444">
        <f t="array" ref="J1274">IFERROR(INDEX('Retirement Calculator'!K:K,MATCH('Lorri 401b'!N1274,'Retirement Calculator'!A:A,0),0),0)</f>
        <v>0</v>
      </c>
      <c r="K1274" s="444">
        <f t="shared" ca="1" si="103"/>
        <v>-652692.20752479904</v>
      </c>
      <c r="L1274" s="444">
        <f t="shared" ca="1" si="104"/>
        <v>-157298822.01347658</v>
      </c>
      <c r="M1274" s="460">
        <f t="shared" si="106"/>
        <v>0.05</v>
      </c>
      <c r="N1274" s="464">
        <f t="shared" si="107"/>
        <v>89821</v>
      </c>
    </row>
    <row r="1275" spans="7:14" ht="11.25" customHeight="1" x14ac:dyDescent="0.25">
      <c r="G1275" s="459"/>
      <c r="H1275" s="459">
        <v>1268</v>
      </c>
      <c r="I1275" s="444">
        <f t="shared" ca="1" si="105"/>
        <v>-157298822.01347658</v>
      </c>
      <c r="J1275" s="444">
        <f t="array" ref="J1275">IFERROR(INDEX('Retirement Calculator'!K:K,MATCH('Lorri 401b'!N1275,'Retirement Calculator'!A:A,0),0),0)</f>
        <v>0</v>
      </c>
      <c r="K1275" s="444">
        <f t="shared" ca="1" si="103"/>
        <v>-655411.75838948577</v>
      </c>
      <c r="L1275" s="444">
        <f t="shared" ca="1" si="104"/>
        <v>-157954233.77186605</v>
      </c>
      <c r="M1275" s="460">
        <f t="shared" si="106"/>
        <v>0.05</v>
      </c>
      <c r="N1275" s="464">
        <f t="shared" si="107"/>
        <v>89852</v>
      </c>
    </row>
    <row r="1276" spans="7:14" ht="11.25" customHeight="1" x14ac:dyDescent="0.25">
      <c r="G1276" s="459"/>
      <c r="H1276" s="459">
        <v>1269</v>
      </c>
      <c r="I1276" s="444">
        <f t="shared" ca="1" si="105"/>
        <v>-157954233.77186605</v>
      </c>
      <c r="J1276" s="444">
        <f t="array" ref="J1276">IFERROR(INDEX('Retirement Calculator'!K:K,MATCH('Lorri 401b'!N1276,'Retirement Calculator'!A:A,0),0),0)</f>
        <v>0</v>
      </c>
      <c r="K1276" s="444">
        <f t="shared" ca="1" si="103"/>
        <v>-658142.64071610849</v>
      </c>
      <c r="L1276" s="444">
        <f t="shared" ca="1" si="104"/>
        <v>-158612376.41258216</v>
      </c>
      <c r="M1276" s="460">
        <f t="shared" si="106"/>
        <v>0.05</v>
      </c>
      <c r="N1276" s="464">
        <f t="shared" si="107"/>
        <v>89883</v>
      </c>
    </row>
    <row r="1277" spans="7:14" ht="11.25" customHeight="1" x14ac:dyDescent="0.25">
      <c r="G1277" s="459"/>
      <c r="H1277" s="459">
        <v>1270</v>
      </c>
      <c r="I1277" s="444">
        <f t="shared" ca="1" si="105"/>
        <v>-158612376.41258216</v>
      </c>
      <c r="J1277" s="444">
        <f t="array" ref="J1277">IFERROR(INDEX('Retirement Calculator'!K:K,MATCH('Lorri 401b'!N1277,'Retirement Calculator'!A:A,0),0),0)</f>
        <v>0</v>
      </c>
      <c r="K1277" s="444">
        <f t="shared" ca="1" si="103"/>
        <v>-660884.90171909228</v>
      </c>
      <c r="L1277" s="444">
        <f t="shared" ca="1" si="104"/>
        <v>-159273261.31430125</v>
      </c>
      <c r="M1277" s="460">
        <f t="shared" si="106"/>
        <v>0.05</v>
      </c>
      <c r="N1277" s="464">
        <f t="shared" si="107"/>
        <v>89911</v>
      </c>
    </row>
    <row r="1278" spans="7:14" ht="11.25" customHeight="1" x14ac:dyDescent="0.25">
      <c r="G1278" s="459"/>
      <c r="H1278" s="459">
        <v>1271</v>
      </c>
      <c r="I1278" s="444">
        <f t="shared" ca="1" si="105"/>
        <v>-159273261.31430125</v>
      </c>
      <c r="J1278" s="444">
        <f t="array" ref="J1278">IFERROR(INDEX('Retirement Calculator'!K:K,MATCH('Lorri 401b'!N1278,'Retirement Calculator'!A:A,0),0),0)</f>
        <v>0</v>
      </c>
      <c r="K1278" s="444">
        <f t="shared" ca="1" si="103"/>
        <v>-663638.58880958857</v>
      </c>
      <c r="L1278" s="444">
        <f t="shared" ca="1" si="104"/>
        <v>-159936899.90311083</v>
      </c>
      <c r="M1278" s="460">
        <f t="shared" si="106"/>
        <v>0.05</v>
      </c>
      <c r="N1278" s="464">
        <f t="shared" si="107"/>
        <v>89942</v>
      </c>
    </row>
    <row r="1279" spans="7:14" ht="11.25" customHeight="1" x14ac:dyDescent="0.25">
      <c r="G1279" s="459"/>
      <c r="H1279" s="459">
        <v>1272</v>
      </c>
      <c r="I1279" s="444">
        <f t="shared" ca="1" si="105"/>
        <v>-159936899.90311083</v>
      </c>
      <c r="J1279" s="444">
        <f t="array" ref="J1279">IFERROR(INDEX('Retirement Calculator'!K:K,MATCH('Lorri 401b'!N1279,'Retirement Calculator'!A:A,0),0),0)</f>
        <v>0</v>
      </c>
      <c r="K1279" s="444">
        <f t="shared" ca="1" si="103"/>
        <v>-666403.74959629518</v>
      </c>
      <c r="L1279" s="444">
        <f t="shared" ca="1" si="104"/>
        <v>-160603303.65270713</v>
      </c>
      <c r="M1279" s="460">
        <f t="shared" si="106"/>
        <v>0.05</v>
      </c>
      <c r="N1279" s="464">
        <f t="shared" si="107"/>
        <v>89972</v>
      </c>
    </row>
    <row r="1280" spans="7:14" ht="11.25" customHeight="1" x14ac:dyDescent="0.25">
      <c r="G1280" s="459"/>
      <c r="H1280" s="459">
        <v>1273</v>
      </c>
      <c r="I1280" s="444">
        <f t="shared" ca="1" si="105"/>
        <v>-160603303.65270713</v>
      </c>
      <c r="J1280" s="444">
        <f t="array" ref="J1280">IFERROR(INDEX('Retirement Calculator'!K:K,MATCH('Lorri 401b'!N1280,'Retirement Calculator'!A:A,0),0),0)</f>
        <v>0</v>
      </c>
      <c r="K1280" s="444">
        <f t="shared" ca="1" si="103"/>
        <v>-669180.43188627972</v>
      </c>
      <c r="L1280" s="444">
        <f t="shared" ca="1" si="104"/>
        <v>-161272484.08459342</v>
      </c>
      <c r="M1280" s="460">
        <f t="shared" si="106"/>
        <v>0.05</v>
      </c>
      <c r="N1280" s="464">
        <f t="shared" si="107"/>
        <v>90003</v>
      </c>
    </row>
    <row r="1281" spans="7:14" ht="11.25" customHeight="1" x14ac:dyDescent="0.25">
      <c r="G1281" s="459"/>
      <c r="H1281" s="459">
        <v>1274</v>
      </c>
      <c r="I1281" s="444">
        <f t="shared" ca="1" si="105"/>
        <v>-161272484.08459342</v>
      </c>
      <c r="J1281" s="444">
        <f t="array" ref="J1281">IFERROR(INDEX('Retirement Calculator'!K:K,MATCH('Lorri 401b'!N1281,'Retirement Calculator'!A:A,0),0),0)</f>
        <v>0</v>
      </c>
      <c r="K1281" s="444">
        <f t="shared" ca="1" si="103"/>
        <v>-671968.68368580588</v>
      </c>
      <c r="L1281" s="444">
        <f t="shared" ca="1" si="104"/>
        <v>-161944452.76827922</v>
      </c>
      <c r="M1281" s="460">
        <f t="shared" si="106"/>
        <v>0.05</v>
      </c>
      <c r="N1281" s="464">
        <f t="shared" si="107"/>
        <v>90033</v>
      </c>
    </row>
    <row r="1282" spans="7:14" ht="11.25" customHeight="1" x14ac:dyDescent="0.25">
      <c r="G1282" s="459"/>
      <c r="H1282" s="459">
        <v>1275</v>
      </c>
      <c r="I1282" s="444">
        <f t="shared" ca="1" si="105"/>
        <v>-161944452.76827922</v>
      </c>
      <c r="J1282" s="444">
        <f t="array" ref="J1282">IFERROR(INDEX('Retirement Calculator'!K:K,MATCH('Lorri 401b'!N1282,'Retirement Calculator'!A:A,0),0),0)</f>
        <v>0</v>
      </c>
      <c r="K1282" s="444">
        <f t="shared" ca="1" si="103"/>
        <v>-674768.55320116342</v>
      </c>
      <c r="L1282" s="444">
        <f t="shared" ca="1" si="104"/>
        <v>-162619221.32148039</v>
      </c>
      <c r="M1282" s="460">
        <f t="shared" si="106"/>
        <v>0.05</v>
      </c>
      <c r="N1282" s="464">
        <f t="shared" si="107"/>
        <v>90064</v>
      </c>
    </row>
    <row r="1283" spans="7:14" ht="11.25" customHeight="1" x14ac:dyDescent="0.25">
      <c r="G1283" s="459"/>
      <c r="H1283" s="459">
        <v>1276</v>
      </c>
      <c r="I1283" s="444">
        <f t="shared" ca="1" si="105"/>
        <v>-162619221.32148039</v>
      </c>
      <c r="J1283" s="444">
        <f t="array" ref="J1283">IFERROR(INDEX('Retirement Calculator'!K:K,MATCH('Lorri 401b'!N1283,'Retirement Calculator'!A:A,0),0),0)</f>
        <v>0</v>
      </c>
      <c r="K1283" s="444">
        <f t="shared" ref="K1283:K1537" ca="1" si="108">IPMT(M1283/12,1,12,-I1283+J1283,,0)</f>
        <v>-677580.08883950161</v>
      </c>
      <c r="L1283" s="444">
        <f t="shared" ref="L1283:L1537" ca="1" si="109">I1283-J1283+K1283</f>
        <v>-163296801.41031989</v>
      </c>
      <c r="M1283" s="460">
        <f t="shared" si="106"/>
        <v>0.05</v>
      </c>
      <c r="N1283" s="464">
        <f t="shared" si="107"/>
        <v>90095</v>
      </c>
    </row>
    <row r="1284" spans="7:14" ht="11.25" customHeight="1" x14ac:dyDescent="0.25">
      <c r="G1284" s="459"/>
      <c r="H1284" s="459">
        <v>1277</v>
      </c>
      <c r="I1284" s="444">
        <f t="shared" ref="I1284:I1538" ca="1" si="110">L1283</f>
        <v>-163296801.41031989</v>
      </c>
      <c r="J1284" s="444">
        <f t="array" ref="J1284">IFERROR(INDEX('Retirement Calculator'!K:K,MATCH('Lorri 401b'!N1284,'Retirement Calculator'!A:A,0),0),0)</f>
        <v>0</v>
      </c>
      <c r="K1284" s="444">
        <f t="shared" ca="1" si="108"/>
        <v>-680403.33920966624</v>
      </c>
      <c r="L1284" s="444">
        <f t="shared" ca="1" si="109"/>
        <v>-163977204.74952957</v>
      </c>
      <c r="M1284" s="460">
        <f t="shared" ref="M1284:M1538" si="111">M1283</f>
        <v>0.05</v>
      </c>
      <c r="N1284" s="464">
        <f t="shared" ref="N1284:N1538" si="112">EDATE(N1283,1)</f>
        <v>90125</v>
      </c>
    </row>
    <row r="1285" spans="7:14" ht="11.25" customHeight="1" x14ac:dyDescent="0.25">
      <c r="G1285" s="459"/>
      <c r="H1285" s="459">
        <v>1278</v>
      </c>
      <c r="I1285" s="444">
        <f t="shared" ca="1" si="110"/>
        <v>-163977204.74952957</v>
      </c>
      <c r="J1285" s="444">
        <f t="array" ref="J1285">IFERROR(INDEX('Retirement Calculator'!K:K,MATCH('Lorri 401b'!N1285,'Retirement Calculator'!A:A,0),0),0)</f>
        <v>0</v>
      </c>
      <c r="K1285" s="444">
        <f t="shared" ca="1" si="108"/>
        <v>-683238.35312303982</v>
      </c>
      <c r="L1285" s="444">
        <f t="shared" ca="1" si="109"/>
        <v>-164660443.10265261</v>
      </c>
      <c r="M1285" s="460">
        <f t="shared" si="111"/>
        <v>0.05</v>
      </c>
      <c r="N1285" s="464">
        <f t="shared" si="112"/>
        <v>90156</v>
      </c>
    </row>
    <row r="1286" spans="7:14" ht="11.25" customHeight="1" x14ac:dyDescent="0.25">
      <c r="G1286" s="459"/>
      <c r="H1286" s="459">
        <v>1279</v>
      </c>
      <c r="I1286" s="444">
        <f t="shared" ca="1" si="110"/>
        <v>-164660443.10265261</v>
      </c>
      <c r="J1286" s="444">
        <f t="array" ref="J1286">IFERROR(INDEX('Retirement Calculator'!K:K,MATCH('Lorri 401b'!N1286,'Retirement Calculator'!A:A,0),0),0)</f>
        <v>0</v>
      </c>
      <c r="K1286" s="444">
        <f t="shared" ca="1" si="108"/>
        <v>-686085.1795943859</v>
      </c>
      <c r="L1286" s="444">
        <f t="shared" ca="1" si="109"/>
        <v>-165346528.28224701</v>
      </c>
      <c r="M1286" s="460">
        <f t="shared" si="111"/>
        <v>0.05</v>
      </c>
      <c r="N1286" s="464">
        <f t="shared" si="112"/>
        <v>90186</v>
      </c>
    </row>
    <row r="1287" spans="7:14" ht="11.25" customHeight="1" x14ac:dyDescent="0.25">
      <c r="G1287" s="459"/>
      <c r="H1287" s="459">
        <v>1280</v>
      </c>
      <c r="I1287" s="444">
        <f t="shared" ca="1" si="110"/>
        <v>-165346528.28224701</v>
      </c>
      <c r="J1287" s="444">
        <f t="array" ref="J1287">IFERROR(INDEX('Retirement Calculator'!K:K,MATCH('Lorri 401b'!N1287,'Retirement Calculator'!A:A,0),0),0)</f>
        <v>0</v>
      </c>
      <c r="K1287" s="444">
        <f t="shared" ca="1" si="108"/>
        <v>-688943.86784269591</v>
      </c>
      <c r="L1287" s="444">
        <f t="shared" ca="1" si="109"/>
        <v>-166035472.15008971</v>
      </c>
      <c r="M1287" s="460">
        <f t="shared" si="111"/>
        <v>0.05</v>
      </c>
      <c r="N1287" s="464">
        <f t="shared" si="112"/>
        <v>90217</v>
      </c>
    </row>
    <row r="1288" spans="7:14" ht="11.25" customHeight="1" x14ac:dyDescent="0.25">
      <c r="G1288" s="459"/>
      <c r="H1288" s="459">
        <v>1281</v>
      </c>
      <c r="I1288" s="444">
        <f t="shared" ca="1" si="110"/>
        <v>-166035472.15008971</v>
      </c>
      <c r="J1288" s="444">
        <f t="array" ref="J1288">IFERROR(INDEX('Retirement Calculator'!K:K,MATCH('Lorri 401b'!N1288,'Retirement Calculator'!A:A,0),0),0)</f>
        <v>0</v>
      </c>
      <c r="K1288" s="444">
        <f t="shared" ca="1" si="108"/>
        <v>-691814.46729204047</v>
      </c>
      <c r="L1288" s="444">
        <f t="shared" ca="1" si="109"/>
        <v>-166727286.61738175</v>
      </c>
      <c r="M1288" s="460">
        <f t="shared" si="111"/>
        <v>0.05</v>
      </c>
      <c r="N1288" s="464">
        <f t="shared" si="112"/>
        <v>90248</v>
      </c>
    </row>
    <row r="1289" spans="7:14" ht="11.25" customHeight="1" x14ac:dyDescent="0.25">
      <c r="G1289" s="459"/>
      <c r="H1289" s="459">
        <v>1282</v>
      </c>
      <c r="I1289" s="444">
        <f t="shared" ca="1" si="110"/>
        <v>-166727286.61738175</v>
      </c>
      <c r="J1289" s="444">
        <f t="array" ref="J1289">IFERROR(INDEX('Retirement Calculator'!K:K,MATCH('Lorri 401b'!N1289,'Retirement Calculator'!A:A,0),0),0)</f>
        <v>0</v>
      </c>
      <c r="K1289" s="444">
        <f t="shared" ca="1" si="108"/>
        <v>-694697.02757242392</v>
      </c>
      <c r="L1289" s="444">
        <f t="shared" ca="1" si="109"/>
        <v>-167421983.64495417</v>
      </c>
      <c r="M1289" s="460">
        <f t="shared" si="111"/>
        <v>0.05</v>
      </c>
      <c r="N1289" s="464">
        <f t="shared" si="112"/>
        <v>90276</v>
      </c>
    </row>
    <row r="1290" spans="7:14" ht="11.25" customHeight="1" x14ac:dyDescent="0.25">
      <c r="G1290" s="459"/>
      <c r="H1290" s="459">
        <v>1283</v>
      </c>
      <c r="I1290" s="444">
        <f t="shared" ca="1" si="110"/>
        <v>-167421983.64495417</v>
      </c>
      <c r="J1290" s="444">
        <f t="array" ref="J1290">IFERROR(INDEX('Retirement Calculator'!K:K,MATCH('Lorri 401b'!N1290,'Retirement Calculator'!A:A,0),0),0)</f>
        <v>0</v>
      </c>
      <c r="K1290" s="444">
        <f t="shared" ca="1" si="108"/>
        <v>-697591.59852064238</v>
      </c>
      <c r="L1290" s="444">
        <f t="shared" ca="1" si="109"/>
        <v>-168119575.24347481</v>
      </c>
      <c r="M1290" s="460">
        <f t="shared" si="111"/>
        <v>0.05</v>
      </c>
      <c r="N1290" s="464">
        <f t="shared" si="112"/>
        <v>90307</v>
      </c>
    </row>
    <row r="1291" spans="7:14" ht="11.25" customHeight="1" x14ac:dyDescent="0.25">
      <c r="G1291" s="459"/>
      <c r="H1291" s="459">
        <v>1284</v>
      </c>
      <c r="I1291" s="444">
        <f t="shared" ca="1" si="110"/>
        <v>-168119575.24347481</v>
      </c>
      <c r="J1291" s="444">
        <f t="array" ref="J1291">IFERROR(INDEX('Retirement Calculator'!K:K,MATCH('Lorri 401b'!N1291,'Retirement Calculator'!A:A,0),0),0)</f>
        <v>0</v>
      </c>
      <c r="K1291" s="444">
        <f t="shared" ca="1" si="108"/>
        <v>-700498.23018114502</v>
      </c>
      <c r="L1291" s="444">
        <f t="shared" ca="1" si="109"/>
        <v>-168820073.47365597</v>
      </c>
      <c r="M1291" s="460">
        <f t="shared" si="111"/>
        <v>0.05</v>
      </c>
      <c r="N1291" s="464">
        <f t="shared" si="112"/>
        <v>90337</v>
      </c>
    </row>
    <row r="1292" spans="7:14" ht="11.25" customHeight="1" x14ac:dyDescent="0.25">
      <c r="G1292" s="459"/>
      <c r="H1292" s="459">
        <v>1285</v>
      </c>
      <c r="I1292" s="444">
        <f t="shared" ca="1" si="110"/>
        <v>-168820073.47365597</v>
      </c>
      <c r="J1292" s="444">
        <f t="array" ref="J1292">IFERROR(INDEX('Retirement Calculator'!K:K,MATCH('Lorri 401b'!N1292,'Retirement Calculator'!A:A,0),0),0)</f>
        <v>0</v>
      </c>
      <c r="K1292" s="444">
        <f t="shared" ca="1" si="108"/>
        <v>-703416.97280689981</v>
      </c>
      <c r="L1292" s="444">
        <f t="shared" ca="1" si="109"/>
        <v>-169523490.44646287</v>
      </c>
      <c r="M1292" s="460">
        <f t="shared" si="111"/>
        <v>0.05</v>
      </c>
      <c r="N1292" s="464">
        <f t="shared" si="112"/>
        <v>90368</v>
      </c>
    </row>
    <row r="1293" spans="7:14" ht="11.25" customHeight="1" x14ac:dyDescent="0.25">
      <c r="G1293" s="459"/>
      <c r="H1293" s="459">
        <v>1286</v>
      </c>
      <c r="I1293" s="444">
        <f t="shared" ca="1" si="110"/>
        <v>-169523490.44646287</v>
      </c>
      <c r="J1293" s="444">
        <f t="array" ref="J1293">IFERROR(INDEX('Retirement Calculator'!K:K,MATCH('Lorri 401b'!N1293,'Retirement Calculator'!A:A,0),0),0)</f>
        <v>0</v>
      </c>
      <c r="K1293" s="444">
        <f t="shared" ca="1" si="108"/>
        <v>-706347.87686026189</v>
      </c>
      <c r="L1293" s="444">
        <f t="shared" ca="1" si="109"/>
        <v>-170229838.32332313</v>
      </c>
      <c r="M1293" s="460">
        <f t="shared" si="111"/>
        <v>0.05</v>
      </c>
      <c r="N1293" s="464">
        <f t="shared" si="112"/>
        <v>90398</v>
      </c>
    </row>
    <row r="1294" spans="7:14" ht="11.25" customHeight="1" x14ac:dyDescent="0.25">
      <c r="G1294" s="459"/>
      <c r="H1294" s="459">
        <v>1287</v>
      </c>
      <c r="I1294" s="444">
        <f t="shared" ca="1" si="110"/>
        <v>-170229838.32332313</v>
      </c>
      <c r="J1294" s="444">
        <f t="array" ref="J1294">IFERROR(INDEX('Retirement Calculator'!K:K,MATCH('Lorri 401b'!N1294,'Retirement Calculator'!A:A,0),0),0)</f>
        <v>0</v>
      </c>
      <c r="K1294" s="444">
        <f t="shared" ca="1" si="108"/>
        <v>-709290.99301384634</v>
      </c>
      <c r="L1294" s="444">
        <f t="shared" ca="1" si="109"/>
        <v>-170939129.31633699</v>
      </c>
      <c r="M1294" s="460">
        <f t="shared" si="111"/>
        <v>0.05</v>
      </c>
      <c r="N1294" s="464">
        <f t="shared" si="112"/>
        <v>90429</v>
      </c>
    </row>
    <row r="1295" spans="7:14" ht="11.25" customHeight="1" x14ac:dyDescent="0.25">
      <c r="G1295" s="459"/>
      <c r="H1295" s="459">
        <v>1288</v>
      </c>
      <c r="I1295" s="444">
        <f t="shared" ca="1" si="110"/>
        <v>-170939129.31633699</v>
      </c>
      <c r="J1295" s="444">
        <f t="array" ref="J1295">IFERROR(INDEX('Retirement Calculator'!K:K,MATCH('Lorri 401b'!N1295,'Retirement Calculator'!A:A,0),0),0)</f>
        <v>0</v>
      </c>
      <c r="K1295" s="444">
        <f t="shared" ca="1" si="108"/>
        <v>-712246.37215140415</v>
      </c>
      <c r="L1295" s="444">
        <f t="shared" ca="1" si="109"/>
        <v>-171651375.68848839</v>
      </c>
      <c r="M1295" s="460">
        <f t="shared" si="111"/>
        <v>0.05</v>
      </c>
      <c r="N1295" s="464">
        <f t="shared" si="112"/>
        <v>90460</v>
      </c>
    </row>
    <row r="1296" spans="7:14" ht="11.25" customHeight="1" x14ac:dyDescent="0.25">
      <c r="G1296" s="459"/>
      <c r="H1296" s="459">
        <v>1289</v>
      </c>
      <c r="I1296" s="444">
        <f t="shared" ca="1" si="110"/>
        <v>-171651375.68848839</v>
      </c>
      <c r="J1296" s="444">
        <f t="array" ref="J1296">IFERROR(INDEX('Retirement Calculator'!K:K,MATCH('Lorri 401b'!N1296,'Retirement Calculator'!A:A,0),0),0)</f>
        <v>0</v>
      </c>
      <c r="K1296" s="444">
        <f t="shared" ca="1" si="108"/>
        <v>-715214.06536870159</v>
      </c>
      <c r="L1296" s="444">
        <f t="shared" ca="1" si="109"/>
        <v>-172366589.75385711</v>
      </c>
      <c r="M1296" s="460">
        <f t="shared" si="111"/>
        <v>0.05</v>
      </c>
      <c r="N1296" s="464">
        <f t="shared" si="112"/>
        <v>90490</v>
      </c>
    </row>
    <row r="1297" spans="7:14" ht="11.25" customHeight="1" x14ac:dyDescent="0.25">
      <c r="G1297" s="459"/>
      <c r="H1297" s="459">
        <v>1290</v>
      </c>
      <c r="I1297" s="444">
        <f t="shared" ca="1" si="110"/>
        <v>-172366589.75385711</v>
      </c>
      <c r="J1297" s="444">
        <f t="array" ref="J1297">IFERROR(INDEX('Retirement Calculator'!K:K,MATCH('Lorri 401b'!N1297,'Retirement Calculator'!A:A,0),0),0)</f>
        <v>0</v>
      </c>
      <c r="K1297" s="444">
        <f t="shared" ca="1" si="108"/>
        <v>-718194.12397440465</v>
      </c>
      <c r="L1297" s="444">
        <f t="shared" ca="1" si="109"/>
        <v>-173084783.87783152</v>
      </c>
      <c r="M1297" s="460">
        <f t="shared" si="111"/>
        <v>0.05</v>
      </c>
      <c r="N1297" s="464">
        <f t="shared" si="112"/>
        <v>90521</v>
      </c>
    </row>
    <row r="1298" spans="7:14" ht="11.25" customHeight="1" x14ac:dyDescent="0.25">
      <c r="G1298" s="459"/>
      <c r="H1298" s="459">
        <v>1291</v>
      </c>
      <c r="I1298" s="444">
        <f t="shared" ca="1" si="110"/>
        <v>-173084783.87783152</v>
      </c>
      <c r="J1298" s="444">
        <f t="array" ref="J1298">IFERROR(INDEX('Retirement Calculator'!K:K,MATCH('Lorri 401b'!N1298,'Retirement Calculator'!A:A,0),0),0)</f>
        <v>0</v>
      </c>
      <c r="K1298" s="444">
        <f t="shared" ca="1" si="108"/>
        <v>-721186.59949096467</v>
      </c>
      <c r="L1298" s="444">
        <f t="shared" ca="1" si="109"/>
        <v>-173805970.47732249</v>
      </c>
      <c r="M1298" s="460">
        <f t="shared" si="111"/>
        <v>0.05</v>
      </c>
      <c r="N1298" s="464">
        <f t="shared" si="112"/>
        <v>90551</v>
      </c>
    </row>
    <row r="1299" spans="7:14" ht="11.25" customHeight="1" x14ac:dyDescent="0.25">
      <c r="G1299" s="459"/>
      <c r="H1299" s="459">
        <v>1292</v>
      </c>
      <c r="I1299" s="444">
        <f t="shared" ca="1" si="110"/>
        <v>-173805970.47732249</v>
      </c>
      <c r="J1299" s="444">
        <f t="array" ref="J1299">IFERROR(INDEX('Retirement Calculator'!K:K,MATCH('Lorri 401b'!N1299,'Retirement Calculator'!A:A,0),0),0)</f>
        <v>0</v>
      </c>
      <c r="K1299" s="444">
        <f t="shared" ca="1" si="108"/>
        <v>-724191.54365551041</v>
      </c>
      <c r="L1299" s="444">
        <f t="shared" ca="1" si="109"/>
        <v>-174530162.020978</v>
      </c>
      <c r="M1299" s="460">
        <f t="shared" si="111"/>
        <v>0.05</v>
      </c>
      <c r="N1299" s="464">
        <f t="shared" si="112"/>
        <v>90582</v>
      </c>
    </row>
    <row r="1300" spans="7:14" ht="11.25" customHeight="1" x14ac:dyDescent="0.25">
      <c r="G1300" s="459"/>
      <c r="H1300" s="459">
        <v>1293</v>
      </c>
      <c r="I1300" s="444">
        <f t="shared" ca="1" si="110"/>
        <v>-174530162.020978</v>
      </c>
      <c r="J1300" s="444">
        <f t="array" ref="J1300">IFERROR(INDEX('Retirement Calculator'!K:K,MATCH('Lorri 401b'!N1300,'Retirement Calculator'!A:A,0),0),0)</f>
        <v>0</v>
      </c>
      <c r="K1300" s="444">
        <f t="shared" ca="1" si="108"/>
        <v>-727209.00842074165</v>
      </c>
      <c r="L1300" s="444">
        <f t="shared" ca="1" si="109"/>
        <v>-175257371.02939874</v>
      </c>
      <c r="M1300" s="460">
        <f t="shared" si="111"/>
        <v>0.05</v>
      </c>
      <c r="N1300" s="464">
        <f t="shared" si="112"/>
        <v>90613</v>
      </c>
    </row>
    <row r="1301" spans="7:14" ht="11.25" customHeight="1" x14ac:dyDescent="0.25">
      <c r="G1301" s="459"/>
      <c r="H1301" s="459">
        <v>1294</v>
      </c>
      <c r="I1301" s="444">
        <f t="shared" ca="1" si="110"/>
        <v>-175257371.02939874</v>
      </c>
      <c r="J1301" s="444">
        <f t="array" ref="J1301">IFERROR(INDEX('Retirement Calculator'!K:K,MATCH('Lorri 401b'!N1301,'Retirement Calculator'!A:A,0),0),0)</f>
        <v>0</v>
      </c>
      <c r="K1301" s="444">
        <f t="shared" ca="1" si="108"/>
        <v>-730239.04595582804</v>
      </c>
      <c r="L1301" s="444">
        <f t="shared" ca="1" si="109"/>
        <v>-175987610.07535458</v>
      </c>
      <c r="M1301" s="460">
        <f t="shared" si="111"/>
        <v>0.05</v>
      </c>
      <c r="N1301" s="464">
        <f t="shared" si="112"/>
        <v>90642</v>
      </c>
    </row>
    <row r="1302" spans="7:14" ht="11.25" customHeight="1" x14ac:dyDescent="0.25">
      <c r="G1302" s="459"/>
      <c r="H1302" s="459">
        <v>1295</v>
      </c>
      <c r="I1302" s="444">
        <f t="shared" ca="1" si="110"/>
        <v>-175987610.07535458</v>
      </c>
      <c r="J1302" s="444">
        <f t="array" ref="J1302">IFERROR(INDEX('Retirement Calculator'!K:K,MATCH('Lorri 401b'!N1302,'Retirement Calculator'!A:A,0),0),0)</f>
        <v>0</v>
      </c>
      <c r="K1302" s="444">
        <f t="shared" ca="1" si="108"/>
        <v>-733281.70864731073</v>
      </c>
      <c r="L1302" s="444">
        <f t="shared" ca="1" si="109"/>
        <v>-176720891.78400189</v>
      </c>
      <c r="M1302" s="460">
        <f t="shared" si="111"/>
        <v>0.05</v>
      </c>
      <c r="N1302" s="464">
        <f t="shared" si="112"/>
        <v>90673</v>
      </c>
    </row>
    <row r="1303" spans="7:14" ht="11.25" customHeight="1" x14ac:dyDescent="0.25">
      <c r="G1303" s="459"/>
      <c r="H1303" s="459">
        <v>1296</v>
      </c>
      <c r="I1303" s="444">
        <f t="shared" ca="1" si="110"/>
        <v>-176720891.78400189</v>
      </c>
      <c r="J1303" s="444">
        <f t="array" ref="J1303">IFERROR(INDEX('Retirement Calculator'!K:K,MATCH('Lorri 401b'!N1303,'Retirement Calculator'!A:A,0),0),0)</f>
        <v>0</v>
      </c>
      <c r="K1303" s="444">
        <f t="shared" ca="1" si="108"/>
        <v>-736337.04910000786</v>
      </c>
      <c r="L1303" s="444">
        <f t="shared" ca="1" si="109"/>
        <v>-177457228.8331019</v>
      </c>
      <c r="M1303" s="460">
        <f t="shared" si="111"/>
        <v>0.05</v>
      </c>
      <c r="N1303" s="464">
        <f t="shared" si="112"/>
        <v>90703</v>
      </c>
    </row>
    <row r="1304" spans="7:14" ht="11.25" customHeight="1" x14ac:dyDescent="0.25">
      <c r="G1304" s="459"/>
      <c r="H1304" s="459">
        <v>1297</v>
      </c>
      <c r="I1304" s="444">
        <f t="shared" ca="1" si="110"/>
        <v>-177457228.8331019</v>
      </c>
      <c r="J1304" s="444">
        <f t="array" ref="J1304">IFERROR(INDEX('Retirement Calculator'!K:K,MATCH('Lorri 401b'!N1304,'Retirement Calculator'!A:A,0),0),0)</f>
        <v>0</v>
      </c>
      <c r="K1304" s="444">
        <f t="shared" ca="1" si="108"/>
        <v>-739405.12013792456</v>
      </c>
      <c r="L1304" s="444">
        <f t="shared" ca="1" si="109"/>
        <v>-178196633.95323983</v>
      </c>
      <c r="M1304" s="460">
        <f t="shared" si="111"/>
        <v>0.05</v>
      </c>
      <c r="N1304" s="464">
        <f t="shared" si="112"/>
        <v>90734</v>
      </c>
    </row>
    <row r="1305" spans="7:14" ht="11.25" customHeight="1" x14ac:dyDescent="0.25">
      <c r="G1305" s="459"/>
      <c r="H1305" s="459">
        <v>1298</v>
      </c>
      <c r="I1305" s="444">
        <f t="shared" ca="1" si="110"/>
        <v>-178196633.95323983</v>
      </c>
      <c r="J1305" s="444">
        <f t="array" ref="J1305">IFERROR(INDEX('Retirement Calculator'!K:K,MATCH('Lorri 401b'!N1305,'Retirement Calculator'!A:A,0),0),0)</f>
        <v>0</v>
      </c>
      <c r="K1305" s="444">
        <f t="shared" ca="1" si="108"/>
        <v>-742485.9748051659</v>
      </c>
      <c r="L1305" s="444">
        <f t="shared" ca="1" si="109"/>
        <v>-178939119.928045</v>
      </c>
      <c r="M1305" s="460">
        <f t="shared" si="111"/>
        <v>0.05</v>
      </c>
      <c r="N1305" s="464">
        <f t="shared" si="112"/>
        <v>90764</v>
      </c>
    </row>
    <row r="1306" spans="7:14" ht="11.25" customHeight="1" x14ac:dyDescent="0.25">
      <c r="G1306" s="459"/>
      <c r="H1306" s="459">
        <v>1299</v>
      </c>
      <c r="I1306" s="444">
        <f t="shared" ca="1" si="110"/>
        <v>-178939119.928045</v>
      </c>
      <c r="J1306" s="444">
        <f t="array" ref="J1306">IFERROR(INDEX('Retirement Calculator'!K:K,MATCH('Lorri 401b'!N1306,'Retirement Calculator'!A:A,0),0),0)</f>
        <v>0</v>
      </c>
      <c r="K1306" s="444">
        <f t="shared" ca="1" si="108"/>
        <v>-745579.66636685422</v>
      </c>
      <c r="L1306" s="444">
        <f t="shared" ca="1" si="109"/>
        <v>-179684699.59441185</v>
      </c>
      <c r="M1306" s="460">
        <f t="shared" si="111"/>
        <v>0.05</v>
      </c>
      <c r="N1306" s="464">
        <f t="shared" si="112"/>
        <v>90795</v>
      </c>
    </row>
    <row r="1307" spans="7:14" ht="11.25" customHeight="1" x14ac:dyDescent="0.25">
      <c r="G1307" s="459"/>
      <c r="H1307" s="459">
        <v>1300</v>
      </c>
      <c r="I1307" s="444">
        <f t="shared" ca="1" si="110"/>
        <v>-179684699.59441185</v>
      </c>
      <c r="J1307" s="444">
        <f t="array" ref="J1307">IFERROR(INDEX('Retirement Calculator'!K:K,MATCH('Lorri 401b'!N1307,'Retirement Calculator'!A:A,0),0),0)</f>
        <v>0</v>
      </c>
      <c r="K1307" s="444">
        <f t="shared" ca="1" si="108"/>
        <v>-748686.24831004941</v>
      </c>
      <c r="L1307" s="444">
        <f t="shared" ca="1" si="109"/>
        <v>-180433385.84272191</v>
      </c>
      <c r="M1307" s="460">
        <f t="shared" si="111"/>
        <v>0.05</v>
      </c>
      <c r="N1307" s="464">
        <f t="shared" si="112"/>
        <v>90826</v>
      </c>
    </row>
    <row r="1308" spans="7:14" ht="11.25" customHeight="1" x14ac:dyDescent="0.25">
      <c r="G1308" s="459"/>
      <c r="H1308" s="459">
        <v>1301</v>
      </c>
      <c r="I1308" s="444">
        <f t="shared" ca="1" si="110"/>
        <v>-180433385.84272191</v>
      </c>
      <c r="J1308" s="444">
        <f t="array" ref="J1308">IFERROR(INDEX('Retirement Calculator'!K:K,MATCH('Lorri 401b'!N1308,'Retirement Calculator'!A:A,0),0),0)</f>
        <v>0</v>
      </c>
      <c r="K1308" s="444">
        <f t="shared" ca="1" si="108"/>
        <v>-751805.77434467466</v>
      </c>
      <c r="L1308" s="444">
        <f t="shared" ca="1" si="109"/>
        <v>-181185191.61706659</v>
      </c>
      <c r="M1308" s="460">
        <f t="shared" si="111"/>
        <v>0.05</v>
      </c>
      <c r="N1308" s="464">
        <f t="shared" si="112"/>
        <v>90856</v>
      </c>
    </row>
    <row r="1309" spans="7:14" ht="11.25" customHeight="1" x14ac:dyDescent="0.25">
      <c r="G1309" s="459"/>
      <c r="H1309" s="459">
        <v>1302</v>
      </c>
      <c r="I1309" s="444">
        <f t="shared" ca="1" si="110"/>
        <v>-181185191.61706659</v>
      </c>
      <c r="J1309" s="444">
        <f t="array" ref="J1309">IFERROR(INDEX('Retirement Calculator'!K:K,MATCH('Lorri 401b'!N1309,'Retirement Calculator'!A:A,0),0),0)</f>
        <v>0</v>
      </c>
      <c r="K1309" s="444">
        <f t="shared" ca="1" si="108"/>
        <v>-754938.29840444413</v>
      </c>
      <c r="L1309" s="444">
        <f t="shared" ca="1" si="109"/>
        <v>-181940129.91547105</v>
      </c>
      <c r="M1309" s="460">
        <f t="shared" si="111"/>
        <v>0.05</v>
      </c>
      <c r="N1309" s="464">
        <f t="shared" si="112"/>
        <v>90887</v>
      </c>
    </row>
    <row r="1310" spans="7:14" ht="11.25" customHeight="1" x14ac:dyDescent="0.25">
      <c r="G1310" s="459"/>
      <c r="H1310" s="459">
        <v>1303</v>
      </c>
      <c r="I1310" s="444">
        <f t="shared" ca="1" si="110"/>
        <v>-181940129.91547105</v>
      </c>
      <c r="J1310" s="444">
        <f t="array" ref="J1310">IFERROR(INDEX('Retirement Calculator'!K:K,MATCH('Lorri 401b'!N1310,'Retirement Calculator'!A:A,0),0),0)</f>
        <v>0</v>
      </c>
      <c r="K1310" s="444">
        <f t="shared" ca="1" si="108"/>
        <v>-758083.87464779604</v>
      </c>
      <c r="L1310" s="444">
        <f t="shared" ca="1" si="109"/>
        <v>-182698213.79011884</v>
      </c>
      <c r="M1310" s="460">
        <f t="shared" si="111"/>
        <v>0.05</v>
      </c>
      <c r="N1310" s="464">
        <f t="shared" si="112"/>
        <v>90917</v>
      </c>
    </row>
    <row r="1311" spans="7:14" ht="11.25" customHeight="1" x14ac:dyDescent="0.25">
      <c r="G1311" s="459"/>
      <c r="H1311" s="459">
        <v>1304</v>
      </c>
      <c r="I1311" s="444">
        <f t="shared" ca="1" si="110"/>
        <v>-182698213.79011884</v>
      </c>
      <c r="J1311" s="444">
        <f t="array" ref="J1311">IFERROR(INDEX('Retirement Calculator'!K:K,MATCH('Lorri 401b'!N1311,'Retirement Calculator'!A:A,0),0),0)</f>
        <v>0</v>
      </c>
      <c r="K1311" s="444">
        <f t="shared" ca="1" si="108"/>
        <v>-761242.55745882855</v>
      </c>
      <c r="L1311" s="444">
        <f t="shared" ca="1" si="109"/>
        <v>-183459456.34757766</v>
      </c>
      <c r="M1311" s="460">
        <f t="shared" si="111"/>
        <v>0.05</v>
      </c>
      <c r="N1311" s="464">
        <f t="shared" si="112"/>
        <v>90948</v>
      </c>
    </row>
    <row r="1312" spans="7:14" ht="11.25" customHeight="1" x14ac:dyDescent="0.25">
      <c r="G1312" s="459"/>
      <c r="H1312" s="459">
        <v>1305</v>
      </c>
      <c r="I1312" s="444">
        <f t="shared" ca="1" si="110"/>
        <v>-183459456.34757766</v>
      </c>
      <c r="J1312" s="444">
        <f t="array" ref="J1312">IFERROR(INDEX('Retirement Calculator'!K:K,MATCH('Lorri 401b'!N1312,'Retirement Calculator'!A:A,0),0),0)</f>
        <v>0</v>
      </c>
      <c r="K1312" s="444">
        <f t="shared" ca="1" si="108"/>
        <v>-764414.40144824027</v>
      </c>
      <c r="L1312" s="444">
        <f t="shared" ca="1" si="109"/>
        <v>-184223870.74902591</v>
      </c>
      <c r="M1312" s="460">
        <f t="shared" si="111"/>
        <v>0.05</v>
      </c>
      <c r="N1312" s="464">
        <f t="shared" si="112"/>
        <v>90979</v>
      </c>
    </row>
    <row r="1313" spans="7:14" ht="11.25" customHeight="1" x14ac:dyDescent="0.25">
      <c r="G1313" s="459"/>
      <c r="H1313" s="459">
        <v>1306</v>
      </c>
      <c r="I1313" s="444">
        <f t="shared" ca="1" si="110"/>
        <v>-184223870.74902591</v>
      </c>
      <c r="J1313" s="444">
        <f t="array" ref="J1313">IFERROR(INDEX('Retirement Calculator'!K:K,MATCH('Lorri 401b'!N1313,'Retirement Calculator'!A:A,0),0),0)</f>
        <v>0</v>
      </c>
      <c r="K1313" s="444">
        <f t="shared" ca="1" si="108"/>
        <v>-767599.4614542746</v>
      </c>
      <c r="L1313" s="444">
        <f t="shared" ca="1" si="109"/>
        <v>-184991470.21048018</v>
      </c>
      <c r="M1313" s="460">
        <f t="shared" si="111"/>
        <v>0.05</v>
      </c>
      <c r="N1313" s="464">
        <f t="shared" si="112"/>
        <v>91007</v>
      </c>
    </row>
    <row r="1314" spans="7:14" ht="11.25" customHeight="1" x14ac:dyDescent="0.25">
      <c r="G1314" s="459"/>
      <c r="H1314" s="459">
        <v>1307</v>
      </c>
      <c r="I1314" s="444">
        <f t="shared" ca="1" si="110"/>
        <v>-184991470.21048018</v>
      </c>
      <c r="J1314" s="444">
        <f t="array" ref="J1314">IFERROR(INDEX('Retirement Calculator'!K:K,MATCH('Lorri 401b'!N1314,'Retirement Calculator'!A:A,0),0),0)</f>
        <v>0</v>
      </c>
      <c r="K1314" s="444">
        <f t="shared" ca="1" si="108"/>
        <v>-770797.79254366737</v>
      </c>
      <c r="L1314" s="444">
        <f t="shared" ca="1" si="109"/>
        <v>-185762268.00302386</v>
      </c>
      <c r="M1314" s="460">
        <f t="shared" si="111"/>
        <v>0.05</v>
      </c>
      <c r="N1314" s="464">
        <f t="shared" si="112"/>
        <v>91038</v>
      </c>
    </row>
    <row r="1315" spans="7:14" ht="11.25" customHeight="1" x14ac:dyDescent="0.25">
      <c r="G1315" s="459"/>
      <c r="H1315" s="459">
        <v>1308</v>
      </c>
      <c r="I1315" s="444">
        <f t="shared" ca="1" si="110"/>
        <v>-185762268.00302386</v>
      </c>
      <c r="J1315" s="444">
        <f t="array" ref="J1315">IFERROR(INDEX('Retirement Calculator'!K:K,MATCH('Lorri 401b'!N1315,'Retirement Calculator'!A:A,0),0),0)</f>
        <v>0</v>
      </c>
      <c r="K1315" s="444">
        <f t="shared" ca="1" si="108"/>
        <v>-774009.45001259947</v>
      </c>
      <c r="L1315" s="444">
        <f t="shared" ca="1" si="109"/>
        <v>-186536277.45303646</v>
      </c>
      <c r="M1315" s="460">
        <f t="shared" si="111"/>
        <v>0.05</v>
      </c>
      <c r="N1315" s="464">
        <f t="shared" si="112"/>
        <v>91068</v>
      </c>
    </row>
    <row r="1316" spans="7:14" ht="11.25" customHeight="1" x14ac:dyDescent="0.25">
      <c r="G1316" s="459"/>
      <c r="H1316" s="459">
        <v>1309</v>
      </c>
      <c r="I1316" s="444">
        <f t="shared" ca="1" si="110"/>
        <v>-186536277.45303646</v>
      </c>
      <c r="J1316" s="444">
        <f t="array" ref="J1316">IFERROR(INDEX('Retirement Calculator'!K:K,MATCH('Lorri 401b'!N1316,'Retirement Calculator'!A:A,0),0),0)</f>
        <v>0</v>
      </c>
      <c r="K1316" s="444">
        <f t="shared" ca="1" si="108"/>
        <v>-777234.48938765191</v>
      </c>
      <c r="L1316" s="444">
        <f t="shared" ca="1" si="109"/>
        <v>-187313511.94242412</v>
      </c>
      <c r="M1316" s="460">
        <f t="shared" si="111"/>
        <v>0.05</v>
      </c>
      <c r="N1316" s="464">
        <f t="shared" si="112"/>
        <v>91099</v>
      </c>
    </row>
    <row r="1317" spans="7:14" ht="11.25" customHeight="1" x14ac:dyDescent="0.25">
      <c r="G1317" s="459"/>
      <c r="H1317" s="459">
        <v>1310</v>
      </c>
      <c r="I1317" s="444">
        <f t="shared" ca="1" si="110"/>
        <v>-187313511.94242412</v>
      </c>
      <c r="J1317" s="444">
        <f t="array" ref="J1317">IFERROR(INDEX('Retirement Calculator'!K:K,MATCH('Lorri 401b'!N1317,'Retirement Calculator'!A:A,0),0),0)</f>
        <v>0</v>
      </c>
      <c r="K1317" s="444">
        <f t="shared" ca="1" si="108"/>
        <v>-780472.96642676718</v>
      </c>
      <c r="L1317" s="444">
        <f t="shared" ca="1" si="109"/>
        <v>-188093984.90885088</v>
      </c>
      <c r="M1317" s="460">
        <f t="shared" si="111"/>
        <v>0.05</v>
      </c>
      <c r="N1317" s="464">
        <f t="shared" si="112"/>
        <v>91129</v>
      </c>
    </row>
    <row r="1318" spans="7:14" ht="11.25" customHeight="1" x14ac:dyDescent="0.25">
      <c r="G1318" s="459"/>
      <c r="H1318" s="459">
        <v>1311</v>
      </c>
      <c r="I1318" s="444">
        <f t="shared" ca="1" si="110"/>
        <v>-188093984.90885088</v>
      </c>
      <c r="J1318" s="444">
        <f t="array" ref="J1318">IFERROR(INDEX('Retirement Calculator'!K:K,MATCH('Lorri 401b'!N1318,'Retirement Calculator'!A:A,0),0),0)</f>
        <v>0</v>
      </c>
      <c r="K1318" s="444">
        <f t="shared" ca="1" si="108"/>
        <v>-783724.93712021201</v>
      </c>
      <c r="L1318" s="444">
        <f t="shared" ca="1" si="109"/>
        <v>-188877709.84597108</v>
      </c>
      <c r="M1318" s="460">
        <f t="shared" si="111"/>
        <v>0.05</v>
      </c>
      <c r="N1318" s="464">
        <f t="shared" si="112"/>
        <v>91160</v>
      </c>
    </row>
    <row r="1319" spans="7:14" ht="11.25" customHeight="1" x14ac:dyDescent="0.25">
      <c r="G1319" s="459"/>
      <c r="H1319" s="459">
        <v>1312</v>
      </c>
      <c r="I1319" s="444">
        <f t="shared" ca="1" si="110"/>
        <v>-188877709.84597108</v>
      </c>
      <c r="J1319" s="444">
        <f t="array" ref="J1319">IFERROR(INDEX('Retirement Calculator'!K:K,MATCH('Lorri 401b'!N1319,'Retirement Calculator'!A:A,0),0),0)</f>
        <v>0</v>
      </c>
      <c r="K1319" s="444">
        <f t="shared" ca="1" si="108"/>
        <v>-786990.45769154618</v>
      </c>
      <c r="L1319" s="444">
        <f t="shared" ca="1" si="109"/>
        <v>-189664700.30366263</v>
      </c>
      <c r="M1319" s="460">
        <f t="shared" si="111"/>
        <v>0.05</v>
      </c>
      <c r="N1319" s="464">
        <f t="shared" si="112"/>
        <v>91191</v>
      </c>
    </row>
    <row r="1320" spans="7:14" ht="11.25" customHeight="1" x14ac:dyDescent="0.25">
      <c r="G1320" s="459"/>
      <c r="H1320" s="459">
        <v>1313</v>
      </c>
      <c r="I1320" s="444">
        <f t="shared" ca="1" si="110"/>
        <v>-189664700.30366263</v>
      </c>
      <c r="J1320" s="444">
        <f t="array" ref="J1320">IFERROR(INDEX('Retirement Calculator'!K:K,MATCH('Lorri 401b'!N1320,'Retirement Calculator'!A:A,0),0),0)</f>
        <v>0</v>
      </c>
      <c r="K1320" s="444">
        <f t="shared" ca="1" si="108"/>
        <v>-790269.58459859423</v>
      </c>
      <c r="L1320" s="444">
        <f t="shared" ca="1" si="109"/>
        <v>-190454969.88826123</v>
      </c>
      <c r="M1320" s="460">
        <f t="shared" si="111"/>
        <v>0.05</v>
      </c>
      <c r="N1320" s="464">
        <f t="shared" si="112"/>
        <v>91221</v>
      </c>
    </row>
    <row r="1321" spans="7:14" ht="11.25" customHeight="1" x14ac:dyDescent="0.25">
      <c r="G1321" s="459"/>
      <c r="H1321" s="459">
        <v>1314</v>
      </c>
      <c r="I1321" s="444">
        <f t="shared" ca="1" si="110"/>
        <v>-190454969.88826123</v>
      </c>
      <c r="J1321" s="444">
        <f t="array" ref="J1321">IFERROR(INDEX('Retirement Calculator'!K:K,MATCH('Lorri 401b'!N1321,'Retirement Calculator'!A:A,0),0),0)</f>
        <v>0</v>
      </c>
      <c r="K1321" s="444">
        <f t="shared" ca="1" si="108"/>
        <v>-793562.37453442183</v>
      </c>
      <c r="L1321" s="444">
        <f t="shared" ca="1" si="109"/>
        <v>-191248532.26279566</v>
      </c>
      <c r="M1321" s="460">
        <f t="shared" si="111"/>
        <v>0.05</v>
      </c>
      <c r="N1321" s="464">
        <f t="shared" si="112"/>
        <v>91252</v>
      </c>
    </row>
    <row r="1322" spans="7:14" ht="11.25" customHeight="1" x14ac:dyDescent="0.25">
      <c r="G1322" s="459"/>
      <c r="H1322" s="459">
        <v>1315</v>
      </c>
      <c r="I1322" s="444">
        <f t="shared" ca="1" si="110"/>
        <v>-191248532.26279566</v>
      </c>
      <c r="J1322" s="444">
        <f t="array" ref="J1322">IFERROR(INDEX('Retirement Calculator'!K:K,MATCH('Lorri 401b'!N1322,'Retirement Calculator'!A:A,0),0),0)</f>
        <v>0</v>
      </c>
      <c r="K1322" s="444">
        <f t="shared" ca="1" si="108"/>
        <v>-796868.88442831521</v>
      </c>
      <c r="L1322" s="444">
        <f t="shared" ca="1" si="109"/>
        <v>-192045401.14722398</v>
      </c>
      <c r="M1322" s="460">
        <f t="shared" si="111"/>
        <v>0.05</v>
      </c>
      <c r="N1322" s="464">
        <f t="shared" si="112"/>
        <v>91282</v>
      </c>
    </row>
    <row r="1323" spans="7:14" ht="11.25" customHeight="1" x14ac:dyDescent="0.25">
      <c r="G1323" s="459"/>
      <c r="H1323" s="459">
        <v>1316</v>
      </c>
      <c r="I1323" s="444">
        <f t="shared" ca="1" si="110"/>
        <v>-192045401.14722398</v>
      </c>
      <c r="J1323" s="444">
        <f t="array" ref="J1323">IFERROR(INDEX('Retirement Calculator'!K:K,MATCH('Lorri 401b'!N1323,'Retirement Calculator'!A:A,0),0),0)</f>
        <v>0</v>
      </c>
      <c r="K1323" s="444">
        <f t="shared" ca="1" si="108"/>
        <v>-800189.17144676659</v>
      </c>
      <c r="L1323" s="444">
        <f t="shared" ca="1" si="109"/>
        <v>-192845590.31867075</v>
      </c>
      <c r="M1323" s="460">
        <f t="shared" si="111"/>
        <v>0.05</v>
      </c>
      <c r="N1323" s="464">
        <f t="shared" si="112"/>
        <v>91313</v>
      </c>
    </row>
    <row r="1324" spans="7:14" ht="11.25" customHeight="1" x14ac:dyDescent="0.25">
      <c r="G1324" s="459"/>
      <c r="H1324" s="459">
        <v>1317</v>
      </c>
      <c r="I1324" s="444">
        <f t="shared" ca="1" si="110"/>
        <v>-192845590.31867075</v>
      </c>
      <c r="J1324" s="444">
        <f t="array" ref="J1324">IFERROR(INDEX('Retirement Calculator'!K:K,MATCH('Lorri 401b'!N1324,'Retirement Calculator'!A:A,0),0),0)</f>
        <v>0</v>
      </c>
      <c r="K1324" s="444">
        <f t="shared" ca="1" si="108"/>
        <v>-803523.29299446149</v>
      </c>
      <c r="L1324" s="444">
        <f t="shared" ca="1" si="109"/>
        <v>-193649113.61166522</v>
      </c>
      <c r="M1324" s="460">
        <f t="shared" si="111"/>
        <v>0.05</v>
      </c>
      <c r="N1324" s="464">
        <f t="shared" si="112"/>
        <v>91344</v>
      </c>
    </row>
    <row r="1325" spans="7:14" ht="11.25" customHeight="1" x14ac:dyDescent="0.25">
      <c r="G1325" s="459"/>
      <c r="H1325" s="459">
        <v>1318</v>
      </c>
      <c r="I1325" s="444">
        <f t="shared" ca="1" si="110"/>
        <v>-193649113.61166522</v>
      </c>
      <c r="J1325" s="444">
        <f t="array" ref="J1325">IFERROR(INDEX('Retirement Calculator'!K:K,MATCH('Lorri 401b'!N1325,'Retirement Calculator'!A:A,0),0),0)</f>
        <v>0</v>
      </c>
      <c r="K1325" s="444">
        <f t="shared" ca="1" si="108"/>
        <v>-806871.30671527178</v>
      </c>
      <c r="L1325" s="444">
        <f t="shared" ca="1" si="109"/>
        <v>-194455984.9183805</v>
      </c>
      <c r="M1325" s="460">
        <f t="shared" si="111"/>
        <v>0.05</v>
      </c>
      <c r="N1325" s="464">
        <f t="shared" si="112"/>
        <v>91372</v>
      </c>
    </row>
    <row r="1326" spans="7:14" ht="11.25" customHeight="1" x14ac:dyDescent="0.25">
      <c r="G1326" s="459"/>
      <c r="H1326" s="459">
        <v>1319</v>
      </c>
      <c r="I1326" s="444">
        <f t="shared" ca="1" si="110"/>
        <v>-194455984.9183805</v>
      </c>
      <c r="J1326" s="444">
        <f t="array" ref="J1326">IFERROR(INDEX('Retirement Calculator'!K:K,MATCH('Lorri 401b'!N1326,'Retirement Calculator'!A:A,0),0),0)</f>
        <v>0</v>
      </c>
      <c r="K1326" s="444">
        <f t="shared" ca="1" si="108"/>
        <v>-810233.27049325209</v>
      </c>
      <c r="L1326" s="444">
        <f t="shared" ca="1" si="109"/>
        <v>-195266218.18887374</v>
      </c>
      <c r="M1326" s="460">
        <f t="shared" si="111"/>
        <v>0.05</v>
      </c>
      <c r="N1326" s="464">
        <f t="shared" si="112"/>
        <v>91403</v>
      </c>
    </row>
    <row r="1327" spans="7:14" ht="11.25" customHeight="1" x14ac:dyDescent="0.25">
      <c r="G1327" s="459"/>
      <c r="H1327" s="459">
        <v>1320</v>
      </c>
      <c r="I1327" s="444">
        <f t="shared" ca="1" si="110"/>
        <v>-195266218.18887374</v>
      </c>
      <c r="J1327" s="444">
        <f t="array" ref="J1327">IFERROR(INDEX('Retirement Calculator'!K:K,MATCH('Lorri 401b'!N1327,'Retirement Calculator'!A:A,0),0),0)</f>
        <v>0</v>
      </c>
      <c r="K1327" s="444">
        <f t="shared" ca="1" si="108"/>
        <v>-813609.24245364056</v>
      </c>
      <c r="L1327" s="444">
        <f t="shared" ca="1" si="109"/>
        <v>-196079827.43132737</v>
      </c>
      <c r="M1327" s="460">
        <f t="shared" si="111"/>
        <v>0.05</v>
      </c>
      <c r="N1327" s="464">
        <f t="shared" si="112"/>
        <v>91433</v>
      </c>
    </row>
    <row r="1328" spans="7:14" ht="11.25" customHeight="1" x14ac:dyDescent="0.25">
      <c r="G1328" s="459"/>
      <c r="H1328" s="459">
        <v>1321</v>
      </c>
      <c r="I1328" s="444">
        <f t="shared" ca="1" si="110"/>
        <v>-196079827.43132737</v>
      </c>
      <c r="J1328" s="444">
        <f t="array" ref="J1328">IFERROR(INDEX('Retirement Calculator'!K:K,MATCH('Lorri 401b'!N1328,'Retirement Calculator'!A:A,0),0),0)</f>
        <v>0</v>
      </c>
      <c r="K1328" s="444">
        <f t="shared" ca="1" si="108"/>
        <v>-816999.28096386406</v>
      </c>
      <c r="L1328" s="444">
        <f t="shared" ca="1" si="109"/>
        <v>-196896826.71229124</v>
      </c>
      <c r="M1328" s="460">
        <f t="shared" si="111"/>
        <v>0.05</v>
      </c>
      <c r="N1328" s="464">
        <f t="shared" si="112"/>
        <v>91464</v>
      </c>
    </row>
    <row r="1329" spans="7:14" ht="11.25" customHeight="1" x14ac:dyDescent="0.25">
      <c r="G1329" s="459"/>
      <c r="H1329" s="459">
        <v>1322</v>
      </c>
      <c r="I1329" s="444">
        <f t="shared" ca="1" si="110"/>
        <v>-196896826.71229124</v>
      </c>
      <c r="J1329" s="444">
        <f t="array" ref="J1329">IFERROR(INDEX('Retirement Calculator'!K:K,MATCH('Lorri 401b'!N1329,'Retirement Calculator'!A:A,0),0),0)</f>
        <v>0</v>
      </c>
      <c r="K1329" s="444">
        <f t="shared" ca="1" si="108"/>
        <v>-820403.44463454688</v>
      </c>
      <c r="L1329" s="444">
        <f t="shared" ca="1" si="109"/>
        <v>-197717230.1569258</v>
      </c>
      <c r="M1329" s="460">
        <f t="shared" si="111"/>
        <v>0.05</v>
      </c>
      <c r="N1329" s="464">
        <f t="shared" si="112"/>
        <v>91494</v>
      </c>
    </row>
    <row r="1330" spans="7:14" ht="11.25" customHeight="1" x14ac:dyDescent="0.25">
      <c r="G1330" s="459"/>
      <c r="H1330" s="459">
        <v>1323</v>
      </c>
      <c r="I1330" s="444">
        <f t="shared" ca="1" si="110"/>
        <v>-197717230.1569258</v>
      </c>
      <c r="J1330" s="444">
        <f t="array" ref="J1330">IFERROR(INDEX('Retirement Calculator'!K:K,MATCH('Lorri 401b'!N1330,'Retirement Calculator'!A:A,0),0),0)</f>
        <v>0</v>
      </c>
      <c r="K1330" s="444">
        <f t="shared" ca="1" si="108"/>
        <v>-823821.79232052411</v>
      </c>
      <c r="L1330" s="444">
        <f t="shared" ca="1" si="109"/>
        <v>-198541051.94924632</v>
      </c>
      <c r="M1330" s="460">
        <f t="shared" si="111"/>
        <v>0.05</v>
      </c>
      <c r="N1330" s="464">
        <f t="shared" si="112"/>
        <v>91525</v>
      </c>
    </row>
    <row r="1331" spans="7:14" ht="11.25" customHeight="1" x14ac:dyDescent="0.25">
      <c r="G1331" s="459"/>
      <c r="H1331" s="459">
        <v>1324</v>
      </c>
      <c r="I1331" s="444">
        <f t="shared" ca="1" si="110"/>
        <v>-198541051.94924632</v>
      </c>
      <c r="J1331" s="444">
        <f t="array" ref="J1331">IFERROR(INDEX('Retirement Calculator'!K:K,MATCH('Lorri 401b'!N1331,'Retirement Calculator'!A:A,0),0),0)</f>
        <v>0</v>
      </c>
      <c r="K1331" s="444">
        <f t="shared" ca="1" si="108"/>
        <v>-827254.38312185963</v>
      </c>
      <c r="L1331" s="444">
        <f t="shared" ca="1" si="109"/>
        <v>-199368306.33236817</v>
      </c>
      <c r="M1331" s="460">
        <f t="shared" si="111"/>
        <v>0.05</v>
      </c>
      <c r="N1331" s="464">
        <f t="shared" si="112"/>
        <v>91556</v>
      </c>
    </row>
    <row r="1332" spans="7:14" ht="11.25" customHeight="1" x14ac:dyDescent="0.25">
      <c r="G1332" s="459"/>
      <c r="H1332" s="459">
        <v>1325</v>
      </c>
      <c r="I1332" s="444">
        <f t="shared" ca="1" si="110"/>
        <v>-199368306.33236817</v>
      </c>
      <c r="J1332" s="444">
        <f t="array" ref="J1332">IFERROR(INDEX('Retirement Calculator'!K:K,MATCH('Lorri 401b'!N1332,'Retirement Calculator'!A:A,0),0),0)</f>
        <v>0</v>
      </c>
      <c r="K1332" s="444">
        <f t="shared" ca="1" si="108"/>
        <v>-830701.27638486738</v>
      </c>
      <c r="L1332" s="444">
        <f t="shared" ca="1" si="109"/>
        <v>-200199007.60875303</v>
      </c>
      <c r="M1332" s="460">
        <f t="shared" si="111"/>
        <v>0.05</v>
      </c>
      <c r="N1332" s="464">
        <f t="shared" si="112"/>
        <v>91586</v>
      </c>
    </row>
    <row r="1333" spans="7:14" ht="11.25" customHeight="1" x14ac:dyDescent="0.25">
      <c r="G1333" s="459"/>
      <c r="H1333" s="459">
        <v>1326</v>
      </c>
      <c r="I1333" s="444">
        <f t="shared" ca="1" si="110"/>
        <v>-200199007.60875303</v>
      </c>
      <c r="J1333" s="444">
        <f t="array" ref="J1333">IFERROR(INDEX('Retirement Calculator'!K:K,MATCH('Lorri 401b'!N1333,'Retirement Calculator'!A:A,0),0),0)</f>
        <v>0</v>
      </c>
      <c r="K1333" s="444">
        <f t="shared" ca="1" si="108"/>
        <v>-834162.53170313756</v>
      </c>
      <c r="L1333" s="444">
        <f t="shared" ca="1" si="109"/>
        <v>-201033170.14045617</v>
      </c>
      <c r="M1333" s="460">
        <f t="shared" si="111"/>
        <v>0.05</v>
      </c>
      <c r="N1333" s="464">
        <f t="shared" si="112"/>
        <v>91617</v>
      </c>
    </row>
    <row r="1334" spans="7:14" ht="11.25" customHeight="1" x14ac:dyDescent="0.25">
      <c r="G1334" s="459"/>
      <c r="H1334" s="459">
        <v>1327</v>
      </c>
      <c r="I1334" s="444">
        <f t="shared" ca="1" si="110"/>
        <v>-201033170.14045617</v>
      </c>
      <c r="J1334" s="444">
        <f t="array" ref="J1334">IFERROR(INDEX('Retirement Calculator'!K:K,MATCH('Lorri 401b'!N1334,'Retirement Calculator'!A:A,0),0),0)</f>
        <v>0</v>
      </c>
      <c r="K1334" s="444">
        <f t="shared" ca="1" si="108"/>
        <v>-837638.2089185674</v>
      </c>
      <c r="L1334" s="444">
        <f t="shared" ca="1" si="109"/>
        <v>-201870808.34937474</v>
      </c>
      <c r="M1334" s="460">
        <f t="shared" si="111"/>
        <v>0.05</v>
      </c>
      <c r="N1334" s="464">
        <f t="shared" si="112"/>
        <v>91647</v>
      </c>
    </row>
    <row r="1335" spans="7:14" ht="11.25" customHeight="1" x14ac:dyDescent="0.25">
      <c r="G1335" s="459"/>
      <c r="H1335" s="459">
        <v>1328</v>
      </c>
      <c r="I1335" s="444">
        <f t="shared" ca="1" si="110"/>
        <v>-201870808.34937474</v>
      </c>
      <c r="J1335" s="444">
        <f t="array" ref="J1335">IFERROR(INDEX('Retirement Calculator'!K:K,MATCH('Lorri 401b'!N1335,'Retirement Calculator'!A:A,0),0),0)</f>
        <v>0</v>
      </c>
      <c r="K1335" s="444">
        <f t="shared" ca="1" si="108"/>
        <v>-841128.36812239478</v>
      </c>
      <c r="L1335" s="444">
        <f t="shared" ca="1" si="109"/>
        <v>-202711936.71749714</v>
      </c>
      <c r="M1335" s="460">
        <f t="shared" si="111"/>
        <v>0.05</v>
      </c>
      <c r="N1335" s="464">
        <f t="shared" si="112"/>
        <v>91678</v>
      </c>
    </row>
    <row r="1336" spans="7:14" ht="11.25" customHeight="1" x14ac:dyDescent="0.25">
      <c r="G1336" s="459"/>
      <c r="H1336" s="459">
        <v>1329</v>
      </c>
      <c r="I1336" s="444">
        <f t="shared" ca="1" si="110"/>
        <v>-202711936.71749714</v>
      </c>
      <c r="J1336" s="444">
        <f t="array" ref="J1336">IFERROR(INDEX('Retirement Calculator'!K:K,MATCH('Lorri 401b'!N1336,'Retirement Calculator'!A:A,0),0),0)</f>
        <v>0</v>
      </c>
      <c r="K1336" s="444">
        <f t="shared" ca="1" si="108"/>
        <v>-844633.06965623808</v>
      </c>
      <c r="L1336" s="444">
        <f t="shared" ca="1" si="109"/>
        <v>-203556569.78715339</v>
      </c>
      <c r="M1336" s="460">
        <f t="shared" si="111"/>
        <v>0.05</v>
      </c>
      <c r="N1336" s="464">
        <f t="shared" si="112"/>
        <v>91709</v>
      </c>
    </row>
    <row r="1337" spans="7:14" ht="11.25" customHeight="1" x14ac:dyDescent="0.25">
      <c r="G1337" s="459"/>
      <c r="H1337" s="459">
        <v>1330</v>
      </c>
      <c r="I1337" s="444">
        <f t="shared" ca="1" si="110"/>
        <v>-203556569.78715339</v>
      </c>
      <c r="J1337" s="444">
        <f t="array" ref="J1337">IFERROR(INDEX('Retirement Calculator'!K:K,MATCH('Lorri 401b'!N1337,'Retirement Calculator'!A:A,0),0),0)</f>
        <v>0</v>
      </c>
      <c r="K1337" s="444">
        <f t="shared" ca="1" si="108"/>
        <v>-848152.37411313911</v>
      </c>
      <c r="L1337" s="444">
        <f t="shared" ca="1" si="109"/>
        <v>-204404722.16126654</v>
      </c>
      <c r="M1337" s="460">
        <f t="shared" si="111"/>
        <v>0.05</v>
      </c>
      <c r="N1337" s="464">
        <f t="shared" si="112"/>
        <v>91737</v>
      </c>
    </row>
    <row r="1338" spans="7:14" ht="11.25" customHeight="1" x14ac:dyDescent="0.25">
      <c r="G1338" s="459"/>
      <c r="H1338" s="459">
        <v>1331</v>
      </c>
      <c r="I1338" s="444">
        <f t="shared" ca="1" si="110"/>
        <v>-204404722.16126654</v>
      </c>
      <c r="J1338" s="444">
        <f t="array" ref="J1338">IFERROR(INDEX('Retirement Calculator'!K:K,MATCH('Lorri 401b'!N1338,'Retirement Calculator'!A:A,0),0),0)</f>
        <v>0</v>
      </c>
      <c r="K1338" s="444">
        <f t="shared" ca="1" si="108"/>
        <v>-851686.34233861056</v>
      </c>
      <c r="L1338" s="444">
        <f t="shared" ca="1" si="109"/>
        <v>-205256408.50360516</v>
      </c>
      <c r="M1338" s="460">
        <f t="shared" si="111"/>
        <v>0.05</v>
      </c>
      <c r="N1338" s="464">
        <f t="shared" si="112"/>
        <v>91768</v>
      </c>
    </row>
    <row r="1339" spans="7:14" ht="11.25" customHeight="1" x14ac:dyDescent="0.25">
      <c r="G1339" s="459"/>
      <c r="H1339" s="459">
        <v>1332</v>
      </c>
      <c r="I1339" s="444">
        <f t="shared" ca="1" si="110"/>
        <v>-205256408.50360516</v>
      </c>
      <c r="J1339" s="444">
        <f t="array" ref="J1339">IFERROR(INDEX('Retirement Calculator'!K:K,MATCH('Lorri 401b'!N1339,'Retirement Calculator'!A:A,0),0),0)</f>
        <v>0</v>
      </c>
      <c r="K1339" s="444">
        <f t="shared" ca="1" si="108"/>
        <v>-855235.03543168819</v>
      </c>
      <c r="L1339" s="444">
        <f t="shared" ca="1" si="109"/>
        <v>-206111643.53903684</v>
      </c>
      <c r="M1339" s="460">
        <f t="shared" si="111"/>
        <v>0.05</v>
      </c>
      <c r="N1339" s="464">
        <f t="shared" si="112"/>
        <v>91798</v>
      </c>
    </row>
    <row r="1340" spans="7:14" ht="11.25" customHeight="1" x14ac:dyDescent="0.25">
      <c r="G1340" s="459"/>
      <c r="H1340" s="459">
        <v>1333</v>
      </c>
      <c r="I1340" s="444">
        <f t="shared" ca="1" si="110"/>
        <v>-206111643.53903684</v>
      </c>
      <c r="J1340" s="444">
        <f t="array" ref="J1340">IFERROR(INDEX('Retirement Calculator'!K:K,MATCH('Lorri 401b'!N1340,'Retirement Calculator'!A:A,0),0),0)</f>
        <v>0</v>
      </c>
      <c r="K1340" s="444">
        <f t="shared" ca="1" si="108"/>
        <v>-858798.51474598679</v>
      </c>
      <c r="L1340" s="444">
        <f t="shared" ca="1" si="109"/>
        <v>-206970442.05378282</v>
      </c>
      <c r="M1340" s="460">
        <f t="shared" si="111"/>
        <v>0.05</v>
      </c>
      <c r="N1340" s="464">
        <f t="shared" si="112"/>
        <v>91829</v>
      </c>
    </row>
    <row r="1341" spans="7:14" ht="11.25" customHeight="1" x14ac:dyDescent="0.25">
      <c r="G1341" s="459"/>
      <c r="H1341" s="459">
        <v>1334</v>
      </c>
      <c r="I1341" s="444">
        <f t="shared" ca="1" si="110"/>
        <v>-206970442.05378282</v>
      </c>
      <c r="J1341" s="444">
        <f t="array" ref="J1341">IFERROR(INDEX('Retirement Calculator'!K:K,MATCH('Lorri 401b'!N1341,'Retirement Calculator'!A:A,0),0),0)</f>
        <v>0</v>
      </c>
      <c r="K1341" s="444">
        <f t="shared" ca="1" si="108"/>
        <v>-862376.84189076175</v>
      </c>
      <c r="L1341" s="444">
        <f t="shared" ca="1" si="109"/>
        <v>-207832818.89567357</v>
      </c>
      <c r="M1341" s="460">
        <f t="shared" si="111"/>
        <v>0.05</v>
      </c>
      <c r="N1341" s="464">
        <f t="shared" si="112"/>
        <v>91859</v>
      </c>
    </row>
    <row r="1342" spans="7:14" ht="11.25" customHeight="1" x14ac:dyDescent="0.25">
      <c r="G1342" s="459"/>
      <c r="H1342" s="459">
        <v>1335</v>
      </c>
      <c r="I1342" s="444">
        <f t="shared" ca="1" si="110"/>
        <v>-207832818.89567357</v>
      </c>
      <c r="J1342" s="444">
        <f t="array" ref="J1342">IFERROR(INDEX('Retirement Calculator'!K:K,MATCH('Lorri 401b'!N1342,'Retirement Calculator'!A:A,0),0),0)</f>
        <v>0</v>
      </c>
      <c r="K1342" s="444">
        <f t="shared" ca="1" si="108"/>
        <v>-865970.07873197319</v>
      </c>
      <c r="L1342" s="444">
        <f t="shared" ca="1" si="109"/>
        <v>-208698788.97440556</v>
      </c>
      <c r="M1342" s="460">
        <f t="shared" si="111"/>
        <v>0.05</v>
      </c>
      <c r="N1342" s="464">
        <f t="shared" si="112"/>
        <v>91890</v>
      </c>
    </row>
    <row r="1343" spans="7:14" ht="11.25" customHeight="1" x14ac:dyDescent="0.25">
      <c r="G1343" s="459"/>
      <c r="H1343" s="459">
        <v>1336</v>
      </c>
      <c r="I1343" s="444">
        <f t="shared" ca="1" si="110"/>
        <v>-208698788.97440556</v>
      </c>
      <c r="J1343" s="444">
        <f t="array" ref="J1343">IFERROR(INDEX('Retirement Calculator'!K:K,MATCH('Lorri 401b'!N1343,'Retirement Calculator'!A:A,0),0),0)</f>
        <v>0</v>
      </c>
      <c r="K1343" s="444">
        <f t="shared" ca="1" si="108"/>
        <v>-869578.28739335644</v>
      </c>
      <c r="L1343" s="444">
        <f t="shared" ca="1" si="109"/>
        <v>-209568367.26179892</v>
      </c>
      <c r="M1343" s="460">
        <f t="shared" si="111"/>
        <v>0.05</v>
      </c>
      <c r="N1343" s="464">
        <f t="shared" si="112"/>
        <v>91921</v>
      </c>
    </row>
    <row r="1344" spans="7:14" ht="11.25" customHeight="1" x14ac:dyDescent="0.25">
      <c r="G1344" s="459"/>
      <c r="H1344" s="459">
        <v>1337</v>
      </c>
      <c r="I1344" s="444">
        <f t="shared" ca="1" si="110"/>
        <v>-209568367.26179892</v>
      </c>
      <c r="J1344" s="444">
        <f t="array" ref="J1344">IFERROR(INDEX('Retirement Calculator'!K:K,MATCH('Lorri 401b'!N1344,'Retirement Calculator'!A:A,0),0),0)</f>
        <v>0</v>
      </c>
      <c r="K1344" s="444">
        <f t="shared" ca="1" si="108"/>
        <v>-873201.53025749535</v>
      </c>
      <c r="L1344" s="444">
        <f t="shared" ca="1" si="109"/>
        <v>-210441568.79205641</v>
      </c>
      <c r="M1344" s="460">
        <f t="shared" si="111"/>
        <v>0.05</v>
      </c>
      <c r="N1344" s="464">
        <f t="shared" si="112"/>
        <v>91951</v>
      </c>
    </row>
    <row r="1345" spans="7:14" ht="11.25" customHeight="1" x14ac:dyDescent="0.25">
      <c r="G1345" s="459"/>
      <c r="H1345" s="459">
        <v>1338</v>
      </c>
      <c r="I1345" s="444">
        <f t="shared" ca="1" si="110"/>
        <v>-210441568.79205641</v>
      </c>
      <c r="J1345" s="444">
        <f t="array" ref="J1345">IFERROR(INDEX('Retirement Calculator'!K:K,MATCH('Lorri 401b'!N1345,'Retirement Calculator'!A:A,0),0),0)</f>
        <v>0</v>
      </c>
      <c r="K1345" s="444">
        <f t="shared" ca="1" si="108"/>
        <v>-876839.86996690172</v>
      </c>
      <c r="L1345" s="444">
        <f t="shared" ca="1" si="109"/>
        <v>-211318408.66202331</v>
      </c>
      <c r="M1345" s="460">
        <f t="shared" si="111"/>
        <v>0.05</v>
      </c>
      <c r="N1345" s="464">
        <f t="shared" si="112"/>
        <v>91982</v>
      </c>
    </row>
    <row r="1346" spans="7:14" ht="11.25" customHeight="1" x14ac:dyDescent="0.25">
      <c r="G1346" s="459"/>
      <c r="H1346" s="459">
        <v>1339</v>
      </c>
      <c r="I1346" s="444">
        <f t="shared" ca="1" si="110"/>
        <v>-211318408.66202331</v>
      </c>
      <c r="J1346" s="444">
        <f t="array" ref="J1346">IFERROR(INDEX('Retirement Calculator'!K:K,MATCH('Lorri 401b'!N1346,'Retirement Calculator'!A:A,0),0),0)</f>
        <v>0</v>
      </c>
      <c r="K1346" s="444">
        <f t="shared" ca="1" si="108"/>
        <v>-880493.36942509713</v>
      </c>
      <c r="L1346" s="444">
        <f t="shared" ca="1" si="109"/>
        <v>-212198902.03144839</v>
      </c>
      <c r="M1346" s="460">
        <f t="shared" si="111"/>
        <v>0.05</v>
      </c>
      <c r="N1346" s="464">
        <f t="shared" si="112"/>
        <v>92012</v>
      </c>
    </row>
    <row r="1347" spans="7:14" ht="11.25" customHeight="1" x14ac:dyDescent="0.25">
      <c r="G1347" s="459"/>
      <c r="H1347" s="459">
        <v>1340</v>
      </c>
      <c r="I1347" s="444">
        <f t="shared" ca="1" si="110"/>
        <v>-212198902.03144839</v>
      </c>
      <c r="J1347" s="444">
        <f t="array" ref="J1347">IFERROR(INDEX('Retirement Calculator'!K:K,MATCH('Lorri 401b'!N1347,'Retirement Calculator'!A:A,0),0),0)</f>
        <v>0</v>
      </c>
      <c r="K1347" s="444">
        <f t="shared" ca="1" si="108"/>
        <v>-884162.09179770178</v>
      </c>
      <c r="L1347" s="444">
        <f t="shared" ca="1" si="109"/>
        <v>-213083064.1232461</v>
      </c>
      <c r="M1347" s="460">
        <f t="shared" si="111"/>
        <v>0.05</v>
      </c>
      <c r="N1347" s="464">
        <f t="shared" si="112"/>
        <v>92043</v>
      </c>
    </row>
    <row r="1348" spans="7:14" ht="11.25" customHeight="1" x14ac:dyDescent="0.25">
      <c r="G1348" s="459"/>
      <c r="H1348" s="459">
        <v>1341</v>
      </c>
      <c r="I1348" s="444">
        <f t="shared" ca="1" si="110"/>
        <v>-213083064.1232461</v>
      </c>
      <c r="J1348" s="444">
        <f t="array" ref="J1348">IFERROR(INDEX('Retirement Calculator'!K:K,MATCH('Lorri 401b'!N1348,'Retirement Calculator'!A:A,0),0),0)</f>
        <v>0</v>
      </c>
      <c r="K1348" s="444">
        <f t="shared" ca="1" si="108"/>
        <v>-887846.10051352542</v>
      </c>
      <c r="L1348" s="444">
        <f t="shared" ca="1" si="109"/>
        <v>-213970910.22375962</v>
      </c>
      <c r="M1348" s="460">
        <f t="shared" si="111"/>
        <v>0.05</v>
      </c>
      <c r="N1348" s="464">
        <f t="shared" si="112"/>
        <v>92074</v>
      </c>
    </row>
    <row r="1349" spans="7:14" ht="11.25" customHeight="1" x14ac:dyDescent="0.25">
      <c r="G1349" s="459"/>
      <c r="H1349" s="459">
        <v>1342</v>
      </c>
      <c r="I1349" s="444">
        <f t="shared" ca="1" si="110"/>
        <v>-213970910.22375962</v>
      </c>
      <c r="J1349" s="444">
        <f t="array" ref="J1349">IFERROR(INDEX('Retirement Calculator'!K:K,MATCH('Lorri 401b'!N1349,'Retirement Calculator'!A:A,0),0),0)</f>
        <v>0</v>
      </c>
      <c r="K1349" s="444">
        <f t="shared" ca="1" si="108"/>
        <v>-891545.45926566503</v>
      </c>
      <c r="L1349" s="444">
        <f t="shared" ca="1" si="109"/>
        <v>-214862455.6830253</v>
      </c>
      <c r="M1349" s="460">
        <f t="shared" si="111"/>
        <v>0.05</v>
      </c>
      <c r="N1349" s="464">
        <f t="shared" si="112"/>
        <v>92103</v>
      </c>
    </row>
    <row r="1350" spans="7:14" ht="11.25" customHeight="1" x14ac:dyDescent="0.25">
      <c r="G1350" s="459"/>
      <c r="H1350" s="459">
        <v>1343</v>
      </c>
      <c r="I1350" s="444">
        <f t="shared" ca="1" si="110"/>
        <v>-214862455.6830253</v>
      </c>
      <c r="J1350" s="444">
        <f t="array" ref="J1350">IFERROR(INDEX('Retirement Calculator'!K:K,MATCH('Lorri 401b'!N1350,'Retirement Calculator'!A:A,0),0),0)</f>
        <v>0</v>
      </c>
      <c r="K1350" s="444">
        <f t="shared" ca="1" si="108"/>
        <v>-895260.23201260541</v>
      </c>
      <c r="L1350" s="444">
        <f t="shared" ca="1" si="109"/>
        <v>-215757715.9150379</v>
      </c>
      <c r="M1350" s="460">
        <f t="shared" si="111"/>
        <v>0.05</v>
      </c>
      <c r="N1350" s="464">
        <f t="shared" si="112"/>
        <v>92134</v>
      </c>
    </row>
    <row r="1351" spans="7:14" ht="11.25" customHeight="1" x14ac:dyDescent="0.25">
      <c r="G1351" s="459"/>
      <c r="H1351" s="459">
        <v>1344</v>
      </c>
      <c r="I1351" s="444">
        <f t="shared" ca="1" si="110"/>
        <v>-215757715.9150379</v>
      </c>
      <c r="J1351" s="444">
        <f t="array" ref="J1351">IFERROR(INDEX('Retirement Calculator'!K:K,MATCH('Lorri 401b'!N1351,'Retirement Calculator'!A:A,0),0),0)</f>
        <v>0</v>
      </c>
      <c r="K1351" s="444">
        <f t="shared" ca="1" si="108"/>
        <v>-898990.48297932441</v>
      </c>
      <c r="L1351" s="444">
        <f t="shared" ca="1" si="109"/>
        <v>-216656706.39801723</v>
      </c>
      <c r="M1351" s="460">
        <f t="shared" si="111"/>
        <v>0.05</v>
      </c>
      <c r="N1351" s="464">
        <f t="shared" si="112"/>
        <v>92164</v>
      </c>
    </row>
    <row r="1352" spans="7:14" ht="11.25" customHeight="1" x14ac:dyDescent="0.25">
      <c r="G1352" s="459"/>
      <c r="H1352" s="459">
        <v>1345</v>
      </c>
      <c r="I1352" s="444">
        <f t="shared" ca="1" si="110"/>
        <v>-216656706.39801723</v>
      </c>
      <c r="J1352" s="444">
        <f t="array" ref="J1352">IFERROR(INDEX('Retirement Calculator'!K:K,MATCH('Lorri 401b'!N1352,'Retirement Calculator'!A:A,0),0),0)</f>
        <v>0</v>
      </c>
      <c r="K1352" s="444">
        <f t="shared" ca="1" si="108"/>
        <v>-902736.27665840508</v>
      </c>
      <c r="L1352" s="444">
        <f t="shared" ca="1" si="109"/>
        <v>-217559442.67467564</v>
      </c>
      <c r="M1352" s="460">
        <f t="shared" si="111"/>
        <v>0.05</v>
      </c>
      <c r="N1352" s="464">
        <f t="shared" si="112"/>
        <v>92195</v>
      </c>
    </row>
    <row r="1353" spans="7:14" ht="11.25" customHeight="1" x14ac:dyDescent="0.25">
      <c r="G1353" s="459"/>
      <c r="H1353" s="459">
        <v>1346</v>
      </c>
      <c r="I1353" s="444">
        <f t="shared" ca="1" si="110"/>
        <v>-217559442.67467564</v>
      </c>
      <c r="J1353" s="444">
        <f t="array" ref="J1353">IFERROR(INDEX('Retirement Calculator'!K:K,MATCH('Lorri 401b'!N1353,'Retirement Calculator'!A:A,0),0),0)</f>
        <v>0</v>
      </c>
      <c r="K1353" s="444">
        <f t="shared" ca="1" si="108"/>
        <v>-906497.67781114834</v>
      </c>
      <c r="L1353" s="444">
        <f t="shared" ca="1" si="109"/>
        <v>-218465940.35248679</v>
      </c>
      <c r="M1353" s="460">
        <f t="shared" si="111"/>
        <v>0.05</v>
      </c>
      <c r="N1353" s="464">
        <f t="shared" si="112"/>
        <v>92225</v>
      </c>
    </row>
    <row r="1354" spans="7:14" ht="11.25" customHeight="1" x14ac:dyDescent="0.25">
      <c r="G1354" s="459"/>
      <c r="H1354" s="459">
        <v>1347</v>
      </c>
      <c r="I1354" s="444">
        <f t="shared" ca="1" si="110"/>
        <v>-218465940.35248679</v>
      </c>
      <c r="J1354" s="444">
        <f t="array" ref="J1354">IFERROR(INDEX('Retirement Calculator'!K:K,MATCH('Lorri 401b'!N1354,'Retirement Calculator'!A:A,0),0),0)</f>
        <v>0</v>
      </c>
      <c r="K1354" s="444">
        <f t="shared" ca="1" si="108"/>
        <v>-910274.75146869489</v>
      </c>
      <c r="L1354" s="444">
        <f t="shared" ca="1" si="109"/>
        <v>-219376215.10395548</v>
      </c>
      <c r="M1354" s="460">
        <f t="shared" si="111"/>
        <v>0.05</v>
      </c>
      <c r="N1354" s="464">
        <f t="shared" si="112"/>
        <v>92256</v>
      </c>
    </row>
    <row r="1355" spans="7:14" ht="11.25" customHeight="1" x14ac:dyDescent="0.25">
      <c r="G1355" s="459"/>
      <c r="H1355" s="459">
        <v>1348</v>
      </c>
      <c r="I1355" s="444">
        <f t="shared" ca="1" si="110"/>
        <v>-219376215.10395548</v>
      </c>
      <c r="J1355" s="444">
        <f t="array" ref="J1355">IFERROR(INDEX('Retirement Calculator'!K:K,MATCH('Lorri 401b'!N1355,'Retirement Calculator'!A:A,0),0),0)</f>
        <v>0</v>
      </c>
      <c r="K1355" s="444">
        <f t="shared" ca="1" si="108"/>
        <v>-914067.56293314765</v>
      </c>
      <c r="L1355" s="444">
        <f t="shared" ca="1" si="109"/>
        <v>-220290282.66688862</v>
      </c>
      <c r="M1355" s="460">
        <f t="shared" si="111"/>
        <v>0.05</v>
      </c>
      <c r="N1355" s="464">
        <f t="shared" si="112"/>
        <v>92287</v>
      </c>
    </row>
    <row r="1356" spans="7:14" ht="11.25" customHeight="1" x14ac:dyDescent="0.25">
      <c r="G1356" s="459"/>
      <c r="H1356" s="459">
        <v>1349</v>
      </c>
      <c r="I1356" s="444">
        <f t="shared" ca="1" si="110"/>
        <v>-220290282.66688862</v>
      </c>
      <c r="J1356" s="444">
        <f t="array" ref="J1356">IFERROR(INDEX('Retirement Calculator'!K:K,MATCH('Lorri 401b'!N1356,'Retirement Calculator'!A:A,0),0),0)</f>
        <v>0</v>
      </c>
      <c r="K1356" s="444">
        <f t="shared" ca="1" si="108"/>
        <v>-917876.17777870269</v>
      </c>
      <c r="L1356" s="444">
        <f t="shared" ca="1" si="109"/>
        <v>-221208158.84466732</v>
      </c>
      <c r="M1356" s="460">
        <f t="shared" si="111"/>
        <v>0.05</v>
      </c>
      <c r="N1356" s="464">
        <f t="shared" si="112"/>
        <v>92317</v>
      </c>
    </row>
    <row r="1357" spans="7:14" ht="11.25" customHeight="1" x14ac:dyDescent="0.25">
      <c r="G1357" s="459"/>
      <c r="H1357" s="459">
        <v>1350</v>
      </c>
      <c r="I1357" s="444">
        <f t="shared" ca="1" si="110"/>
        <v>-221208158.84466732</v>
      </c>
      <c r="J1357" s="444">
        <f t="array" ref="J1357">IFERROR(INDEX('Retirement Calculator'!K:K,MATCH('Lorri 401b'!N1357,'Retirement Calculator'!A:A,0),0),0)</f>
        <v>0</v>
      </c>
      <c r="K1357" s="444">
        <f t="shared" ca="1" si="108"/>
        <v>-921700.66185278061</v>
      </c>
      <c r="L1357" s="444">
        <f t="shared" ca="1" si="109"/>
        <v>-222129859.50652009</v>
      </c>
      <c r="M1357" s="460">
        <f t="shared" si="111"/>
        <v>0.05</v>
      </c>
      <c r="N1357" s="464">
        <f t="shared" si="112"/>
        <v>92348</v>
      </c>
    </row>
    <row r="1358" spans="7:14" ht="11.25" customHeight="1" x14ac:dyDescent="0.25">
      <c r="G1358" s="459"/>
      <c r="H1358" s="459">
        <v>1351</v>
      </c>
      <c r="I1358" s="444">
        <f t="shared" ca="1" si="110"/>
        <v>-222129859.50652009</v>
      </c>
      <c r="J1358" s="444">
        <f t="array" ref="J1358">IFERROR(INDEX('Retirement Calculator'!K:K,MATCH('Lorri 401b'!N1358,'Retirement Calculator'!A:A,0),0),0)</f>
        <v>0</v>
      </c>
      <c r="K1358" s="444">
        <f t="shared" ca="1" si="108"/>
        <v>-925541.08127716696</v>
      </c>
      <c r="L1358" s="444">
        <f t="shared" ca="1" si="109"/>
        <v>-223055400.58779725</v>
      </c>
      <c r="M1358" s="460">
        <f t="shared" si="111"/>
        <v>0.05</v>
      </c>
      <c r="N1358" s="464">
        <f t="shared" si="112"/>
        <v>92378</v>
      </c>
    </row>
    <row r="1359" spans="7:14" ht="11.25" customHeight="1" x14ac:dyDescent="0.25">
      <c r="G1359" s="459"/>
      <c r="H1359" s="459">
        <v>1352</v>
      </c>
      <c r="I1359" s="444">
        <f t="shared" ca="1" si="110"/>
        <v>-223055400.58779725</v>
      </c>
      <c r="J1359" s="444">
        <f t="array" ref="J1359">IFERROR(INDEX('Retirement Calculator'!K:K,MATCH('Lorri 401b'!N1359,'Retirement Calculator'!A:A,0),0),0)</f>
        <v>0</v>
      </c>
      <c r="K1359" s="444">
        <f t="shared" ca="1" si="108"/>
        <v>-929397.50244915532</v>
      </c>
      <c r="L1359" s="444">
        <f t="shared" ca="1" si="109"/>
        <v>-223984798.09024641</v>
      </c>
      <c r="M1359" s="460">
        <f t="shared" si="111"/>
        <v>0.05</v>
      </c>
      <c r="N1359" s="464">
        <f t="shared" si="112"/>
        <v>92409</v>
      </c>
    </row>
    <row r="1360" spans="7:14" ht="11.25" customHeight="1" x14ac:dyDescent="0.25">
      <c r="G1360" s="459"/>
      <c r="H1360" s="459">
        <v>1353</v>
      </c>
      <c r="I1360" s="444">
        <f t="shared" ca="1" si="110"/>
        <v>-223984798.09024641</v>
      </c>
      <c r="J1360" s="444">
        <f t="array" ref="J1360">IFERROR(INDEX('Retirement Calculator'!K:K,MATCH('Lorri 401b'!N1360,'Retirement Calculator'!A:A,0),0),0)</f>
        <v>0</v>
      </c>
      <c r="K1360" s="444">
        <f t="shared" ca="1" si="108"/>
        <v>-933269.99204269331</v>
      </c>
      <c r="L1360" s="444">
        <f t="shared" ca="1" si="109"/>
        <v>-224918068.0822891</v>
      </c>
      <c r="M1360" s="460">
        <f t="shared" si="111"/>
        <v>0.05</v>
      </c>
      <c r="N1360" s="464">
        <f t="shared" si="112"/>
        <v>92440</v>
      </c>
    </row>
    <row r="1361" spans="7:14" ht="11.25" customHeight="1" x14ac:dyDescent="0.25">
      <c r="G1361" s="459"/>
      <c r="H1361" s="459">
        <v>1354</v>
      </c>
      <c r="I1361" s="444">
        <f t="shared" ca="1" si="110"/>
        <v>-224918068.0822891</v>
      </c>
      <c r="J1361" s="444">
        <f t="array" ref="J1361">IFERROR(INDEX('Retirement Calculator'!K:K,MATCH('Lorri 401b'!N1361,'Retirement Calculator'!A:A,0),0),0)</f>
        <v>0</v>
      </c>
      <c r="K1361" s="444">
        <f t="shared" ca="1" si="108"/>
        <v>-937158.61700953788</v>
      </c>
      <c r="L1361" s="444">
        <f t="shared" ca="1" si="109"/>
        <v>-225855226.69929865</v>
      </c>
      <c r="M1361" s="460">
        <f t="shared" si="111"/>
        <v>0.05</v>
      </c>
      <c r="N1361" s="464">
        <f t="shared" si="112"/>
        <v>92468</v>
      </c>
    </row>
    <row r="1362" spans="7:14" ht="11.25" customHeight="1" x14ac:dyDescent="0.25">
      <c r="G1362" s="459"/>
      <c r="H1362" s="459">
        <v>1355</v>
      </c>
      <c r="I1362" s="444">
        <f t="shared" ca="1" si="110"/>
        <v>-225855226.69929865</v>
      </c>
      <c r="J1362" s="444">
        <f t="array" ref="J1362">IFERROR(INDEX('Retirement Calculator'!K:K,MATCH('Lorri 401b'!N1362,'Retirement Calculator'!A:A,0),0),0)</f>
        <v>0</v>
      </c>
      <c r="K1362" s="444">
        <f t="shared" ca="1" si="108"/>
        <v>-941063.44458041119</v>
      </c>
      <c r="L1362" s="444">
        <f t="shared" ca="1" si="109"/>
        <v>-226796290.14387906</v>
      </c>
      <c r="M1362" s="460">
        <f t="shared" si="111"/>
        <v>0.05</v>
      </c>
      <c r="N1362" s="464">
        <f t="shared" si="112"/>
        <v>92499</v>
      </c>
    </row>
    <row r="1363" spans="7:14" ht="11.25" customHeight="1" x14ac:dyDescent="0.25">
      <c r="G1363" s="459"/>
      <c r="H1363" s="459">
        <v>1356</v>
      </c>
      <c r="I1363" s="444">
        <f t="shared" ca="1" si="110"/>
        <v>-226796290.14387906</v>
      </c>
      <c r="J1363" s="444">
        <f t="array" ref="J1363">IFERROR(INDEX('Retirement Calculator'!K:K,MATCH('Lorri 401b'!N1363,'Retirement Calculator'!A:A,0),0),0)</f>
        <v>0</v>
      </c>
      <c r="K1363" s="444">
        <f t="shared" ca="1" si="108"/>
        <v>-944984.54226616269</v>
      </c>
      <c r="L1363" s="444">
        <f t="shared" ca="1" si="109"/>
        <v>-227741274.68614522</v>
      </c>
      <c r="M1363" s="460">
        <f t="shared" si="111"/>
        <v>0.05</v>
      </c>
      <c r="N1363" s="464">
        <f t="shared" si="112"/>
        <v>92529</v>
      </c>
    </row>
    <row r="1364" spans="7:14" ht="11.25" customHeight="1" x14ac:dyDescent="0.25">
      <c r="G1364" s="459"/>
      <c r="H1364" s="459">
        <v>1357</v>
      </c>
      <c r="I1364" s="444">
        <f t="shared" ca="1" si="110"/>
        <v>-227741274.68614522</v>
      </c>
      <c r="J1364" s="444">
        <f t="array" ref="J1364">IFERROR(INDEX('Retirement Calculator'!K:K,MATCH('Lorri 401b'!N1364,'Retirement Calculator'!A:A,0),0),0)</f>
        <v>0</v>
      </c>
      <c r="K1364" s="444">
        <f t="shared" ca="1" si="108"/>
        <v>-948921.97785893839</v>
      </c>
      <c r="L1364" s="444">
        <f t="shared" ca="1" si="109"/>
        <v>-228690196.66400415</v>
      </c>
      <c r="M1364" s="460">
        <f t="shared" si="111"/>
        <v>0.05</v>
      </c>
      <c r="N1364" s="464">
        <f t="shared" si="112"/>
        <v>92560</v>
      </c>
    </row>
    <row r="1365" spans="7:14" ht="11.25" customHeight="1" x14ac:dyDescent="0.25">
      <c r="G1365" s="459"/>
      <c r="H1365" s="459">
        <v>1358</v>
      </c>
      <c r="I1365" s="444">
        <f t="shared" ca="1" si="110"/>
        <v>-228690196.66400415</v>
      </c>
      <c r="J1365" s="444">
        <f t="array" ref="J1365">IFERROR(INDEX('Retirement Calculator'!K:K,MATCH('Lorri 401b'!N1365,'Retirement Calculator'!A:A,0),0),0)</f>
        <v>0</v>
      </c>
      <c r="K1365" s="444">
        <f t="shared" ca="1" si="108"/>
        <v>-952875.8194333507</v>
      </c>
      <c r="L1365" s="444">
        <f t="shared" ca="1" si="109"/>
        <v>-229643072.48343751</v>
      </c>
      <c r="M1365" s="460">
        <f t="shared" si="111"/>
        <v>0.05</v>
      </c>
      <c r="N1365" s="464">
        <f t="shared" si="112"/>
        <v>92590</v>
      </c>
    </row>
    <row r="1366" spans="7:14" ht="11.25" customHeight="1" x14ac:dyDescent="0.25">
      <c r="G1366" s="459"/>
      <c r="H1366" s="459">
        <v>1359</v>
      </c>
      <c r="I1366" s="444">
        <f t="shared" ca="1" si="110"/>
        <v>-229643072.48343751</v>
      </c>
      <c r="J1366" s="444">
        <f t="array" ref="J1366">IFERROR(INDEX('Retirement Calculator'!K:K,MATCH('Lorri 401b'!N1366,'Retirement Calculator'!A:A,0),0),0)</f>
        <v>0</v>
      </c>
      <c r="K1366" s="444">
        <f t="shared" ca="1" si="108"/>
        <v>-956846.13534765609</v>
      </c>
      <c r="L1366" s="444">
        <f t="shared" ca="1" si="109"/>
        <v>-230599918.61878517</v>
      </c>
      <c r="M1366" s="460">
        <f t="shared" si="111"/>
        <v>0.05</v>
      </c>
      <c r="N1366" s="464">
        <f t="shared" si="112"/>
        <v>92621</v>
      </c>
    </row>
    <row r="1367" spans="7:14" ht="11.25" customHeight="1" x14ac:dyDescent="0.25">
      <c r="G1367" s="459"/>
      <c r="H1367" s="459">
        <v>1360</v>
      </c>
      <c r="I1367" s="444">
        <f t="shared" ca="1" si="110"/>
        <v>-230599918.61878517</v>
      </c>
      <c r="J1367" s="444">
        <f t="array" ref="J1367">IFERROR(INDEX('Retirement Calculator'!K:K,MATCH('Lorri 401b'!N1367,'Retirement Calculator'!A:A,0),0),0)</f>
        <v>0</v>
      </c>
      <c r="K1367" s="444">
        <f t="shared" ca="1" si="108"/>
        <v>-960832.99424493837</v>
      </c>
      <c r="L1367" s="444">
        <f t="shared" ca="1" si="109"/>
        <v>-231560751.61303011</v>
      </c>
      <c r="M1367" s="460">
        <f t="shared" si="111"/>
        <v>0.05</v>
      </c>
      <c r="N1367" s="464">
        <f t="shared" si="112"/>
        <v>92652</v>
      </c>
    </row>
    <row r="1368" spans="7:14" ht="11.25" customHeight="1" x14ac:dyDescent="0.25">
      <c r="G1368" s="459"/>
      <c r="H1368" s="459">
        <v>1361</v>
      </c>
      <c r="I1368" s="444">
        <f t="shared" ca="1" si="110"/>
        <v>-231560751.61303011</v>
      </c>
      <c r="J1368" s="444">
        <f t="array" ref="J1368">IFERROR(INDEX('Retirement Calculator'!K:K,MATCH('Lorri 401b'!N1368,'Retirement Calculator'!A:A,0),0),0)</f>
        <v>0</v>
      </c>
      <c r="K1368" s="444">
        <f t="shared" ca="1" si="108"/>
        <v>-964836.46505429212</v>
      </c>
      <c r="L1368" s="444">
        <f t="shared" ca="1" si="109"/>
        <v>-232525588.07808441</v>
      </c>
      <c r="M1368" s="460">
        <f t="shared" si="111"/>
        <v>0.05</v>
      </c>
      <c r="N1368" s="464">
        <f t="shared" si="112"/>
        <v>92682</v>
      </c>
    </row>
    <row r="1369" spans="7:14" ht="11.25" customHeight="1" x14ac:dyDescent="0.25">
      <c r="G1369" s="459"/>
      <c r="H1369" s="459">
        <v>1362</v>
      </c>
      <c r="I1369" s="444">
        <f t="shared" ca="1" si="110"/>
        <v>-232525588.07808441</v>
      </c>
      <c r="J1369" s="444">
        <f t="array" ref="J1369">IFERROR(INDEX('Retirement Calculator'!K:K,MATCH('Lorri 401b'!N1369,'Retirement Calculator'!A:A,0),0),0)</f>
        <v>0</v>
      </c>
      <c r="K1369" s="444">
        <f t="shared" ca="1" si="108"/>
        <v>-968856.6169920183</v>
      </c>
      <c r="L1369" s="444">
        <f t="shared" ca="1" si="109"/>
        <v>-233494444.69507644</v>
      </c>
      <c r="M1369" s="460">
        <f t="shared" si="111"/>
        <v>0.05</v>
      </c>
      <c r="N1369" s="464">
        <f t="shared" si="112"/>
        <v>92713</v>
      </c>
    </row>
    <row r="1370" spans="7:14" ht="11.25" customHeight="1" x14ac:dyDescent="0.25">
      <c r="G1370" s="459"/>
      <c r="H1370" s="459">
        <v>1363</v>
      </c>
      <c r="I1370" s="444">
        <f t="shared" ca="1" si="110"/>
        <v>-233494444.69507644</v>
      </c>
      <c r="J1370" s="444">
        <f t="array" ref="J1370">IFERROR(INDEX('Retirement Calculator'!K:K,MATCH('Lorri 401b'!N1370,'Retirement Calculator'!A:A,0),0),0)</f>
        <v>0</v>
      </c>
      <c r="K1370" s="444">
        <f t="shared" ca="1" si="108"/>
        <v>-972893.51956281834</v>
      </c>
      <c r="L1370" s="444">
        <f t="shared" ca="1" si="109"/>
        <v>-234467338.21463925</v>
      </c>
      <c r="M1370" s="460">
        <f t="shared" si="111"/>
        <v>0.05</v>
      </c>
      <c r="N1370" s="464">
        <f t="shared" si="112"/>
        <v>92743</v>
      </c>
    </row>
    <row r="1371" spans="7:14" ht="11.25" customHeight="1" x14ac:dyDescent="0.25">
      <c r="G1371" s="459"/>
      <c r="H1371" s="459">
        <v>1364</v>
      </c>
      <c r="I1371" s="444">
        <f t="shared" ca="1" si="110"/>
        <v>-234467338.21463925</v>
      </c>
      <c r="J1371" s="444">
        <f t="array" ref="J1371">IFERROR(INDEX('Retirement Calculator'!K:K,MATCH('Lorri 401b'!N1371,'Retirement Calculator'!A:A,0),0),0)</f>
        <v>0</v>
      </c>
      <c r="K1371" s="444">
        <f t="shared" ca="1" si="108"/>
        <v>-976947.24256099702</v>
      </c>
      <c r="L1371" s="444">
        <f t="shared" ca="1" si="109"/>
        <v>-235444285.45720023</v>
      </c>
      <c r="M1371" s="460">
        <f t="shared" si="111"/>
        <v>0.05</v>
      </c>
      <c r="N1371" s="464">
        <f t="shared" si="112"/>
        <v>92774</v>
      </c>
    </row>
    <row r="1372" spans="7:14" ht="11.25" customHeight="1" x14ac:dyDescent="0.25">
      <c r="G1372" s="459"/>
      <c r="H1372" s="459">
        <v>1365</v>
      </c>
      <c r="I1372" s="444">
        <f t="shared" ca="1" si="110"/>
        <v>-235444285.45720023</v>
      </c>
      <c r="J1372" s="444">
        <f t="array" ref="J1372">IFERROR(INDEX('Retirement Calculator'!K:K,MATCH('Lorri 401b'!N1372,'Retirement Calculator'!A:A,0),0),0)</f>
        <v>0</v>
      </c>
      <c r="K1372" s="444">
        <f t="shared" ca="1" si="108"/>
        <v>-981017.85607166751</v>
      </c>
      <c r="L1372" s="444">
        <f t="shared" ca="1" si="109"/>
        <v>-236425303.31327191</v>
      </c>
      <c r="M1372" s="460">
        <f t="shared" si="111"/>
        <v>0.05</v>
      </c>
      <c r="N1372" s="464">
        <f t="shared" si="112"/>
        <v>92805</v>
      </c>
    </row>
    <row r="1373" spans="7:14" ht="11.25" customHeight="1" x14ac:dyDescent="0.25">
      <c r="G1373" s="459"/>
      <c r="H1373" s="459">
        <v>1366</v>
      </c>
      <c r="I1373" s="444">
        <f t="shared" ca="1" si="110"/>
        <v>-236425303.31327191</v>
      </c>
      <c r="J1373" s="444">
        <f t="array" ref="J1373">IFERROR(INDEX('Retirement Calculator'!K:K,MATCH('Lorri 401b'!N1373,'Retirement Calculator'!A:A,0),0),0)</f>
        <v>0</v>
      </c>
      <c r="K1373" s="444">
        <f t="shared" ca="1" si="108"/>
        <v>-985105.43047196628</v>
      </c>
      <c r="L1373" s="444">
        <f t="shared" ca="1" si="109"/>
        <v>-237410408.74374387</v>
      </c>
      <c r="M1373" s="460">
        <f t="shared" si="111"/>
        <v>0.05</v>
      </c>
      <c r="N1373" s="464">
        <f t="shared" si="112"/>
        <v>92833</v>
      </c>
    </row>
    <row r="1374" spans="7:14" ht="11.25" customHeight="1" x14ac:dyDescent="0.25">
      <c r="G1374" s="459"/>
      <c r="H1374" s="459">
        <v>1367</v>
      </c>
      <c r="I1374" s="444">
        <f t="shared" ca="1" si="110"/>
        <v>-237410408.74374387</v>
      </c>
      <c r="J1374" s="444">
        <f t="array" ref="J1374">IFERROR(INDEX('Retirement Calculator'!K:K,MATCH('Lorri 401b'!N1374,'Retirement Calculator'!A:A,0),0),0)</f>
        <v>0</v>
      </c>
      <c r="K1374" s="444">
        <f t="shared" ca="1" si="108"/>
        <v>-989210.03643226624</v>
      </c>
      <c r="L1374" s="444">
        <f t="shared" ca="1" si="109"/>
        <v>-238399618.78017613</v>
      </c>
      <c r="M1374" s="460">
        <f t="shared" si="111"/>
        <v>0.05</v>
      </c>
      <c r="N1374" s="464">
        <f t="shared" si="112"/>
        <v>92864</v>
      </c>
    </row>
    <row r="1375" spans="7:14" ht="11.25" customHeight="1" x14ac:dyDescent="0.25">
      <c r="G1375" s="459"/>
      <c r="H1375" s="459">
        <v>1368</v>
      </c>
      <c r="I1375" s="444">
        <f t="shared" ca="1" si="110"/>
        <v>-238399618.78017613</v>
      </c>
      <c r="J1375" s="444">
        <f t="array" ref="J1375">IFERROR(INDEX('Retirement Calculator'!K:K,MATCH('Lorri 401b'!N1375,'Retirement Calculator'!A:A,0),0),0)</f>
        <v>0</v>
      </c>
      <c r="K1375" s="444">
        <f t="shared" ca="1" si="108"/>
        <v>-993331.74491740041</v>
      </c>
      <c r="L1375" s="444">
        <f t="shared" ca="1" si="109"/>
        <v>-239392950.52509353</v>
      </c>
      <c r="M1375" s="460">
        <f t="shared" si="111"/>
        <v>0.05</v>
      </c>
      <c r="N1375" s="464">
        <f t="shared" si="112"/>
        <v>92894</v>
      </c>
    </row>
    <row r="1376" spans="7:14" ht="11.25" customHeight="1" x14ac:dyDescent="0.25">
      <c r="G1376" s="459"/>
      <c r="H1376" s="459">
        <v>1369</v>
      </c>
      <c r="I1376" s="444">
        <f t="shared" ca="1" si="110"/>
        <v>-239392950.52509353</v>
      </c>
      <c r="J1376" s="444">
        <f t="array" ref="J1376">IFERROR(INDEX('Retirement Calculator'!K:K,MATCH('Lorri 401b'!N1376,'Retirement Calculator'!A:A,0),0),0)</f>
        <v>0</v>
      </c>
      <c r="K1376" s="444">
        <f t="shared" ca="1" si="108"/>
        <v>-997470.62718788965</v>
      </c>
      <c r="L1376" s="444">
        <f t="shared" ca="1" si="109"/>
        <v>-240390421.1522814</v>
      </c>
      <c r="M1376" s="460">
        <f t="shared" si="111"/>
        <v>0.05</v>
      </c>
      <c r="N1376" s="464">
        <f t="shared" si="112"/>
        <v>92925</v>
      </c>
    </row>
    <row r="1377" spans="7:14" ht="11.25" customHeight="1" x14ac:dyDescent="0.25">
      <c r="G1377" s="459"/>
      <c r="H1377" s="459">
        <v>1370</v>
      </c>
      <c r="I1377" s="444">
        <f t="shared" ca="1" si="110"/>
        <v>-240390421.1522814</v>
      </c>
      <c r="J1377" s="444">
        <f t="array" ref="J1377">IFERROR(INDEX('Retirement Calculator'!K:K,MATCH('Lorri 401b'!N1377,'Retirement Calculator'!A:A,0),0),0)</f>
        <v>0</v>
      </c>
      <c r="K1377" s="444">
        <f t="shared" ca="1" si="108"/>
        <v>-1001626.7548011725</v>
      </c>
      <c r="L1377" s="444">
        <f t="shared" ca="1" si="109"/>
        <v>-241392047.90708259</v>
      </c>
      <c r="M1377" s="460">
        <f t="shared" si="111"/>
        <v>0.05</v>
      </c>
      <c r="N1377" s="464">
        <f t="shared" si="112"/>
        <v>92955</v>
      </c>
    </row>
    <row r="1378" spans="7:14" ht="11.25" customHeight="1" x14ac:dyDescent="0.25">
      <c r="G1378" s="459"/>
      <c r="H1378" s="459">
        <v>1371</v>
      </c>
      <c r="I1378" s="444">
        <f t="shared" ca="1" si="110"/>
        <v>-241392047.90708259</v>
      </c>
      <c r="J1378" s="444">
        <f t="array" ref="J1378">IFERROR(INDEX('Retirement Calculator'!K:K,MATCH('Lorri 401b'!N1378,'Retirement Calculator'!A:A,0),0),0)</f>
        <v>0</v>
      </c>
      <c r="K1378" s="444">
        <f t="shared" ca="1" si="108"/>
        <v>-1005800.1996128439</v>
      </c>
      <c r="L1378" s="444">
        <f t="shared" ca="1" si="109"/>
        <v>-242397848.10669544</v>
      </c>
      <c r="M1378" s="460">
        <f t="shared" si="111"/>
        <v>0.05</v>
      </c>
      <c r="N1378" s="464">
        <f t="shared" si="112"/>
        <v>92986</v>
      </c>
    </row>
    <row r="1379" spans="7:14" ht="11.25" customHeight="1" x14ac:dyDescent="0.25">
      <c r="G1379" s="459"/>
      <c r="H1379" s="459">
        <v>1372</v>
      </c>
      <c r="I1379" s="444">
        <f t="shared" ca="1" si="110"/>
        <v>-242397848.10669544</v>
      </c>
      <c r="J1379" s="444">
        <f t="array" ref="J1379">IFERROR(INDEX('Retirement Calculator'!K:K,MATCH('Lorri 401b'!N1379,'Retirement Calculator'!A:A,0),0),0)</f>
        <v>0</v>
      </c>
      <c r="K1379" s="444">
        <f t="shared" ca="1" si="108"/>
        <v>-1009991.0337778977</v>
      </c>
      <c r="L1379" s="444">
        <f t="shared" ca="1" si="109"/>
        <v>-243407839.14047334</v>
      </c>
      <c r="M1379" s="460">
        <f t="shared" si="111"/>
        <v>0.05</v>
      </c>
      <c r="N1379" s="464">
        <f t="shared" si="112"/>
        <v>93017</v>
      </c>
    </row>
    <row r="1380" spans="7:14" ht="11.25" customHeight="1" x14ac:dyDescent="0.25">
      <c r="G1380" s="459"/>
      <c r="H1380" s="459">
        <v>1373</v>
      </c>
      <c r="I1380" s="444">
        <f t="shared" ca="1" si="110"/>
        <v>-243407839.14047334</v>
      </c>
      <c r="J1380" s="444">
        <f t="array" ref="J1380">IFERROR(INDEX('Retirement Calculator'!K:K,MATCH('Lorri 401b'!N1380,'Retirement Calculator'!A:A,0),0),0)</f>
        <v>0</v>
      </c>
      <c r="K1380" s="444">
        <f t="shared" ca="1" si="108"/>
        <v>-1014199.3297519722</v>
      </c>
      <c r="L1380" s="444">
        <f t="shared" ca="1" si="109"/>
        <v>-244422038.4702253</v>
      </c>
      <c r="M1380" s="460">
        <f t="shared" si="111"/>
        <v>0.05</v>
      </c>
      <c r="N1380" s="464">
        <f t="shared" si="112"/>
        <v>93047</v>
      </c>
    </row>
    <row r="1381" spans="7:14" ht="11.25" customHeight="1" x14ac:dyDescent="0.25">
      <c r="G1381" s="459"/>
      <c r="H1381" s="459">
        <v>1374</v>
      </c>
      <c r="I1381" s="444">
        <f t="shared" ca="1" si="110"/>
        <v>-244422038.4702253</v>
      </c>
      <c r="J1381" s="444">
        <f t="array" ref="J1381">IFERROR(INDEX('Retirement Calculator'!K:K,MATCH('Lorri 401b'!N1381,'Retirement Calculator'!A:A,0),0),0)</f>
        <v>0</v>
      </c>
      <c r="K1381" s="444">
        <f t="shared" ca="1" si="108"/>
        <v>-1018425.1602926054</v>
      </c>
      <c r="L1381" s="444">
        <f t="shared" ca="1" si="109"/>
        <v>-245440463.6305179</v>
      </c>
      <c r="M1381" s="460">
        <f t="shared" si="111"/>
        <v>0.05</v>
      </c>
      <c r="N1381" s="464">
        <f t="shared" si="112"/>
        <v>93078</v>
      </c>
    </row>
    <row r="1382" spans="7:14" ht="11.25" customHeight="1" x14ac:dyDescent="0.25">
      <c r="G1382" s="459"/>
      <c r="H1382" s="459">
        <v>1375</v>
      </c>
      <c r="I1382" s="444">
        <f t="shared" ca="1" si="110"/>
        <v>-245440463.6305179</v>
      </c>
      <c r="J1382" s="444">
        <f t="array" ref="J1382">IFERROR(INDEX('Retirement Calculator'!K:K,MATCH('Lorri 401b'!N1382,'Retirement Calculator'!A:A,0),0),0)</f>
        <v>0</v>
      </c>
      <c r="K1382" s="444">
        <f t="shared" ca="1" si="108"/>
        <v>-1022668.5984604913</v>
      </c>
      <c r="L1382" s="444">
        <f t="shared" ca="1" si="109"/>
        <v>-246463132.2289784</v>
      </c>
      <c r="M1382" s="460">
        <f t="shared" si="111"/>
        <v>0.05</v>
      </c>
      <c r="N1382" s="464">
        <f t="shared" si="112"/>
        <v>93108</v>
      </c>
    </row>
    <row r="1383" spans="7:14" ht="11.25" customHeight="1" x14ac:dyDescent="0.25">
      <c r="G1383" s="459"/>
      <c r="H1383" s="459">
        <v>1376</v>
      </c>
      <c r="I1383" s="444">
        <f t="shared" ca="1" si="110"/>
        <v>-246463132.2289784</v>
      </c>
      <c r="J1383" s="444">
        <f t="array" ref="J1383">IFERROR(INDEX('Retirement Calculator'!K:K,MATCH('Lorri 401b'!N1383,'Retirement Calculator'!A:A,0),0),0)</f>
        <v>0</v>
      </c>
      <c r="K1383" s="444">
        <f t="shared" ca="1" si="108"/>
        <v>-1026929.7176207432</v>
      </c>
      <c r="L1383" s="444">
        <f t="shared" ca="1" si="109"/>
        <v>-247490061.94659913</v>
      </c>
      <c r="M1383" s="460">
        <f t="shared" si="111"/>
        <v>0.05</v>
      </c>
      <c r="N1383" s="464">
        <f t="shared" si="112"/>
        <v>93139</v>
      </c>
    </row>
    <row r="1384" spans="7:14" ht="11.25" customHeight="1" x14ac:dyDescent="0.25">
      <c r="G1384" s="459"/>
      <c r="H1384" s="459">
        <v>1377</v>
      </c>
      <c r="I1384" s="444">
        <f t="shared" ca="1" si="110"/>
        <v>-247490061.94659913</v>
      </c>
      <c r="J1384" s="444">
        <f t="array" ref="J1384">IFERROR(INDEX('Retirement Calculator'!K:K,MATCH('Lorri 401b'!N1384,'Retirement Calculator'!A:A,0),0),0)</f>
        <v>0</v>
      </c>
      <c r="K1384" s="444">
        <f t="shared" ca="1" si="108"/>
        <v>-1031208.591444163</v>
      </c>
      <c r="L1384" s="444">
        <f t="shared" ca="1" si="109"/>
        <v>-248521270.53804329</v>
      </c>
      <c r="M1384" s="460">
        <f t="shared" si="111"/>
        <v>0.05</v>
      </c>
      <c r="N1384" s="464">
        <f t="shared" si="112"/>
        <v>93170</v>
      </c>
    </row>
    <row r="1385" spans="7:14" ht="11.25" customHeight="1" x14ac:dyDescent="0.25">
      <c r="G1385" s="459"/>
      <c r="H1385" s="459">
        <v>1378</v>
      </c>
      <c r="I1385" s="444">
        <f t="shared" ca="1" si="110"/>
        <v>-248521270.53804329</v>
      </c>
      <c r="J1385" s="444">
        <f t="array" ref="J1385">IFERROR(INDEX('Retirement Calculator'!K:K,MATCH('Lorri 401b'!N1385,'Retirement Calculator'!A:A,0),0),0)</f>
        <v>0</v>
      </c>
      <c r="K1385" s="444">
        <f t="shared" ca="1" si="108"/>
        <v>-1035505.2939085138</v>
      </c>
      <c r="L1385" s="444">
        <f t="shared" ca="1" si="109"/>
        <v>-249556775.8319518</v>
      </c>
      <c r="M1385" s="460">
        <f t="shared" si="111"/>
        <v>0.05</v>
      </c>
      <c r="N1385" s="464">
        <f t="shared" si="112"/>
        <v>93198</v>
      </c>
    </row>
    <row r="1386" spans="7:14" ht="11.25" customHeight="1" x14ac:dyDescent="0.25">
      <c r="G1386" s="459"/>
      <c r="H1386" s="459">
        <v>1379</v>
      </c>
      <c r="I1386" s="444">
        <f t="shared" ca="1" si="110"/>
        <v>-249556775.8319518</v>
      </c>
      <c r="J1386" s="444">
        <f t="array" ref="J1386">IFERROR(INDEX('Retirement Calculator'!K:K,MATCH('Lorri 401b'!N1386,'Retirement Calculator'!A:A,0),0),0)</f>
        <v>0</v>
      </c>
      <c r="K1386" s="444">
        <f t="shared" ca="1" si="108"/>
        <v>-1039819.8992997991</v>
      </c>
      <c r="L1386" s="444">
        <f t="shared" ca="1" si="109"/>
        <v>-250596595.7312516</v>
      </c>
      <c r="M1386" s="460">
        <f t="shared" si="111"/>
        <v>0.05</v>
      </c>
      <c r="N1386" s="464">
        <f t="shared" si="112"/>
        <v>93229</v>
      </c>
    </row>
    <row r="1387" spans="7:14" ht="11.25" customHeight="1" x14ac:dyDescent="0.25">
      <c r="G1387" s="459"/>
      <c r="H1387" s="459">
        <v>1380</v>
      </c>
      <c r="I1387" s="444">
        <f t="shared" ca="1" si="110"/>
        <v>-250596595.7312516</v>
      </c>
      <c r="J1387" s="444">
        <f t="array" ref="J1387">IFERROR(INDEX('Retirement Calculator'!K:K,MATCH('Lorri 401b'!N1387,'Retirement Calculator'!A:A,0),0),0)</f>
        <v>0</v>
      </c>
      <c r="K1387" s="444">
        <f t="shared" ca="1" si="108"/>
        <v>-1044152.4822135483</v>
      </c>
      <c r="L1387" s="444">
        <f t="shared" ca="1" si="109"/>
        <v>-251640748.21346515</v>
      </c>
      <c r="M1387" s="460">
        <f t="shared" si="111"/>
        <v>0.05</v>
      </c>
      <c r="N1387" s="464">
        <f t="shared" si="112"/>
        <v>93259</v>
      </c>
    </row>
    <row r="1388" spans="7:14" ht="11.25" customHeight="1" x14ac:dyDescent="0.25">
      <c r="G1388" s="459"/>
      <c r="H1388" s="459">
        <v>1381</v>
      </c>
      <c r="I1388" s="444">
        <f t="shared" ca="1" si="110"/>
        <v>-251640748.21346515</v>
      </c>
      <c r="J1388" s="444">
        <f t="array" ref="J1388">IFERROR(INDEX('Retirement Calculator'!K:K,MATCH('Lorri 401b'!N1388,'Retirement Calculator'!A:A,0),0),0)</f>
        <v>0</v>
      </c>
      <c r="K1388" s="444">
        <f t="shared" ca="1" si="108"/>
        <v>-1048503.1175561048</v>
      </c>
      <c r="L1388" s="444">
        <f t="shared" ca="1" si="109"/>
        <v>-252689251.33102125</v>
      </c>
      <c r="M1388" s="460">
        <f t="shared" si="111"/>
        <v>0.05</v>
      </c>
      <c r="N1388" s="464">
        <f t="shared" si="112"/>
        <v>93290</v>
      </c>
    </row>
    <row r="1389" spans="7:14" ht="11.25" customHeight="1" x14ac:dyDescent="0.25">
      <c r="G1389" s="459"/>
      <c r="H1389" s="459">
        <v>1382</v>
      </c>
      <c r="I1389" s="444">
        <f t="shared" ca="1" si="110"/>
        <v>-252689251.33102125</v>
      </c>
      <c r="J1389" s="444">
        <f t="array" ref="J1389">IFERROR(INDEX('Retirement Calculator'!K:K,MATCH('Lorri 401b'!N1389,'Retirement Calculator'!A:A,0),0),0)</f>
        <v>0</v>
      </c>
      <c r="K1389" s="444">
        <f t="shared" ca="1" si="108"/>
        <v>-1052871.8805459219</v>
      </c>
      <c r="L1389" s="444">
        <f t="shared" ca="1" si="109"/>
        <v>-253742123.21156716</v>
      </c>
      <c r="M1389" s="460">
        <f t="shared" si="111"/>
        <v>0.05</v>
      </c>
      <c r="N1389" s="464">
        <f t="shared" si="112"/>
        <v>93320</v>
      </c>
    </row>
    <row r="1390" spans="7:14" ht="11.25" customHeight="1" x14ac:dyDescent="0.25">
      <c r="G1390" s="459"/>
      <c r="H1390" s="459">
        <v>1383</v>
      </c>
      <c r="I1390" s="444">
        <f t="shared" ca="1" si="110"/>
        <v>-253742123.21156716</v>
      </c>
      <c r="J1390" s="444">
        <f t="array" ref="J1390">IFERROR(INDEX('Retirement Calculator'!K:K,MATCH('Lorri 401b'!N1390,'Retirement Calculator'!A:A,0),0),0)</f>
        <v>0</v>
      </c>
      <c r="K1390" s="444">
        <f t="shared" ca="1" si="108"/>
        <v>-1057258.8467148631</v>
      </c>
      <c r="L1390" s="444">
        <f t="shared" ca="1" si="109"/>
        <v>-254799382.05828202</v>
      </c>
      <c r="M1390" s="460">
        <f t="shared" si="111"/>
        <v>0.05</v>
      </c>
      <c r="N1390" s="464">
        <f t="shared" si="112"/>
        <v>93351</v>
      </c>
    </row>
    <row r="1391" spans="7:14" ht="11.25" customHeight="1" x14ac:dyDescent="0.25">
      <c r="G1391" s="459"/>
      <c r="H1391" s="459">
        <v>1384</v>
      </c>
      <c r="I1391" s="444">
        <f t="shared" ca="1" si="110"/>
        <v>-254799382.05828202</v>
      </c>
      <c r="J1391" s="444">
        <f t="array" ref="J1391">IFERROR(INDEX('Retirement Calculator'!K:K,MATCH('Lorri 401b'!N1391,'Retirement Calculator'!A:A,0),0),0)</f>
        <v>0</v>
      </c>
      <c r="K1391" s="444">
        <f t="shared" ca="1" si="108"/>
        <v>-1061664.0919095085</v>
      </c>
      <c r="L1391" s="444">
        <f t="shared" ca="1" si="109"/>
        <v>-255861046.15019152</v>
      </c>
      <c r="M1391" s="460">
        <f t="shared" si="111"/>
        <v>0.05</v>
      </c>
      <c r="N1391" s="464">
        <f t="shared" si="112"/>
        <v>93382</v>
      </c>
    </row>
    <row r="1392" spans="7:14" ht="11.25" customHeight="1" x14ac:dyDescent="0.25">
      <c r="G1392" s="459"/>
      <c r="H1392" s="459">
        <v>1385</v>
      </c>
      <c r="I1392" s="444">
        <f t="shared" ca="1" si="110"/>
        <v>-255861046.15019152</v>
      </c>
      <c r="J1392" s="444">
        <f t="array" ref="J1392">IFERROR(INDEX('Retirement Calculator'!K:K,MATCH('Lorri 401b'!N1392,'Retirement Calculator'!A:A,0),0),0)</f>
        <v>0</v>
      </c>
      <c r="K1392" s="444">
        <f t="shared" ca="1" si="108"/>
        <v>-1066087.6922924647</v>
      </c>
      <c r="L1392" s="444">
        <f t="shared" ca="1" si="109"/>
        <v>-256927133.84248397</v>
      </c>
      <c r="M1392" s="460">
        <f t="shared" si="111"/>
        <v>0.05</v>
      </c>
      <c r="N1392" s="464">
        <f t="shared" si="112"/>
        <v>93412</v>
      </c>
    </row>
    <row r="1393" spans="7:14" ht="11.25" customHeight="1" x14ac:dyDescent="0.25">
      <c r="G1393" s="459"/>
      <c r="H1393" s="459">
        <v>1386</v>
      </c>
      <c r="I1393" s="444">
        <f t="shared" ca="1" si="110"/>
        <v>-256927133.84248397</v>
      </c>
      <c r="J1393" s="444">
        <f t="array" ref="J1393">IFERROR(INDEX('Retirement Calculator'!K:K,MATCH('Lorri 401b'!N1393,'Retirement Calculator'!A:A,0),0),0)</f>
        <v>0</v>
      </c>
      <c r="K1393" s="444">
        <f t="shared" ca="1" si="108"/>
        <v>-1070529.7243436831</v>
      </c>
      <c r="L1393" s="444">
        <f t="shared" ca="1" si="109"/>
        <v>-257997663.56682765</v>
      </c>
      <c r="M1393" s="460">
        <f t="shared" si="111"/>
        <v>0.05</v>
      </c>
      <c r="N1393" s="464">
        <f t="shared" si="112"/>
        <v>93443</v>
      </c>
    </row>
    <row r="1394" spans="7:14" ht="11.25" customHeight="1" x14ac:dyDescent="0.25">
      <c r="G1394" s="459"/>
      <c r="H1394" s="459">
        <v>1387</v>
      </c>
      <c r="I1394" s="444">
        <f t="shared" ca="1" si="110"/>
        <v>-257997663.56682765</v>
      </c>
      <c r="J1394" s="444">
        <f t="array" ref="J1394">IFERROR(INDEX('Retirement Calculator'!K:K,MATCH('Lorri 401b'!N1394,'Retirement Calculator'!A:A,0),0),0)</f>
        <v>0</v>
      </c>
      <c r="K1394" s="444">
        <f t="shared" ca="1" si="108"/>
        <v>-1074990.2648617821</v>
      </c>
      <c r="L1394" s="444">
        <f t="shared" ca="1" si="109"/>
        <v>-259072653.83168945</v>
      </c>
      <c r="M1394" s="460">
        <f t="shared" si="111"/>
        <v>0.05</v>
      </c>
      <c r="N1394" s="464">
        <f t="shared" si="112"/>
        <v>93473</v>
      </c>
    </row>
    <row r="1395" spans="7:14" ht="11.25" customHeight="1" x14ac:dyDescent="0.25">
      <c r="G1395" s="459"/>
      <c r="H1395" s="459">
        <v>1388</v>
      </c>
      <c r="I1395" s="444">
        <f t="shared" ca="1" si="110"/>
        <v>-259072653.83168945</v>
      </c>
      <c r="J1395" s="444">
        <f t="array" ref="J1395">IFERROR(INDEX('Retirement Calculator'!K:K,MATCH('Lorri 401b'!N1395,'Retirement Calculator'!A:A,0),0),0)</f>
        <v>0</v>
      </c>
      <c r="K1395" s="444">
        <f t="shared" ca="1" si="108"/>
        <v>-1079469.3909653728</v>
      </c>
      <c r="L1395" s="444">
        <f t="shared" ca="1" si="109"/>
        <v>-260152123.22265482</v>
      </c>
      <c r="M1395" s="460">
        <f t="shared" si="111"/>
        <v>0.05</v>
      </c>
      <c r="N1395" s="464">
        <f t="shared" si="112"/>
        <v>93504</v>
      </c>
    </row>
    <row r="1396" spans="7:14" ht="11.25" customHeight="1" x14ac:dyDescent="0.25">
      <c r="G1396" s="459"/>
      <c r="H1396" s="459">
        <v>1389</v>
      </c>
      <c r="I1396" s="444">
        <f t="shared" ca="1" si="110"/>
        <v>-260152123.22265482</v>
      </c>
      <c r="J1396" s="444">
        <f t="array" ref="J1396">IFERROR(INDEX('Retirement Calculator'!K:K,MATCH('Lorri 401b'!N1396,'Retirement Calculator'!A:A,0),0),0)</f>
        <v>0</v>
      </c>
      <c r="K1396" s="444">
        <f t="shared" ca="1" si="108"/>
        <v>-1083967.1800943951</v>
      </c>
      <c r="L1396" s="444">
        <f t="shared" ca="1" si="109"/>
        <v>-261236090.40274921</v>
      </c>
      <c r="M1396" s="460">
        <f t="shared" si="111"/>
        <v>0.05</v>
      </c>
      <c r="N1396" s="464">
        <f t="shared" si="112"/>
        <v>93535</v>
      </c>
    </row>
    <row r="1397" spans="7:14" ht="11.25" customHeight="1" x14ac:dyDescent="0.25">
      <c r="G1397" s="459"/>
      <c r="H1397" s="459">
        <v>1390</v>
      </c>
      <c r="I1397" s="444">
        <f t="shared" ca="1" si="110"/>
        <v>-261236090.40274921</v>
      </c>
      <c r="J1397" s="444">
        <f t="array" ref="J1397">IFERROR(INDEX('Retirement Calculator'!K:K,MATCH('Lorri 401b'!N1397,'Retirement Calculator'!A:A,0),0),0)</f>
        <v>0</v>
      </c>
      <c r="K1397" s="444">
        <f t="shared" ca="1" si="108"/>
        <v>-1088483.710011455</v>
      </c>
      <c r="L1397" s="444">
        <f t="shared" ca="1" si="109"/>
        <v>-262324574.11276066</v>
      </c>
      <c r="M1397" s="460">
        <f t="shared" si="111"/>
        <v>0.05</v>
      </c>
      <c r="N1397" s="464">
        <f t="shared" si="112"/>
        <v>93564</v>
      </c>
    </row>
    <row r="1398" spans="7:14" ht="11.25" customHeight="1" x14ac:dyDescent="0.25">
      <c r="G1398" s="459"/>
      <c r="H1398" s="459">
        <v>1391</v>
      </c>
      <c r="I1398" s="444">
        <f t="shared" ca="1" si="110"/>
        <v>-262324574.11276066</v>
      </c>
      <c r="J1398" s="444">
        <f t="array" ref="J1398">IFERROR(INDEX('Retirement Calculator'!K:K,MATCH('Lorri 401b'!N1398,'Retirement Calculator'!A:A,0),0),0)</f>
        <v>0</v>
      </c>
      <c r="K1398" s="444">
        <f t="shared" ca="1" si="108"/>
        <v>-1093019.0588031695</v>
      </c>
      <c r="L1398" s="444">
        <f t="shared" ca="1" si="109"/>
        <v>-263417593.17156383</v>
      </c>
      <c r="M1398" s="460">
        <f t="shared" si="111"/>
        <v>0.05</v>
      </c>
      <c r="N1398" s="464">
        <f t="shared" si="112"/>
        <v>93595</v>
      </c>
    </row>
    <row r="1399" spans="7:14" ht="11.25" customHeight="1" x14ac:dyDescent="0.25">
      <c r="G1399" s="459"/>
      <c r="H1399" s="459">
        <v>1392</v>
      </c>
      <c r="I1399" s="444">
        <f t="shared" ca="1" si="110"/>
        <v>-263417593.17156383</v>
      </c>
      <c r="J1399" s="444">
        <f t="array" ref="J1399">IFERROR(INDEX('Retirement Calculator'!K:K,MATCH('Lorri 401b'!N1399,'Retirement Calculator'!A:A,0),0),0)</f>
        <v>0</v>
      </c>
      <c r="K1399" s="444">
        <f t="shared" ca="1" si="108"/>
        <v>-1097573.3048815159</v>
      </c>
      <c r="L1399" s="444">
        <f t="shared" ca="1" si="109"/>
        <v>-264515166.47644535</v>
      </c>
      <c r="M1399" s="460">
        <f t="shared" si="111"/>
        <v>0.05</v>
      </c>
      <c r="N1399" s="464">
        <f t="shared" si="112"/>
        <v>93625</v>
      </c>
    </row>
    <row r="1400" spans="7:14" ht="11.25" customHeight="1" x14ac:dyDescent="0.25">
      <c r="G1400" s="459"/>
      <c r="H1400" s="459">
        <v>1393</v>
      </c>
      <c r="I1400" s="444">
        <f t="shared" ca="1" si="110"/>
        <v>-264515166.47644535</v>
      </c>
      <c r="J1400" s="444">
        <f t="array" ref="J1400">IFERROR(INDEX('Retirement Calculator'!K:K,MATCH('Lorri 401b'!N1400,'Retirement Calculator'!A:A,0),0),0)</f>
        <v>0</v>
      </c>
      <c r="K1400" s="444">
        <f t="shared" ca="1" si="108"/>
        <v>-1102146.5269851889</v>
      </c>
      <c r="L1400" s="444">
        <f t="shared" ca="1" si="109"/>
        <v>-265617313.00343055</v>
      </c>
      <c r="M1400" s="460">
        <f t="shared" si="111"/>
        <v>0.05</v>
      </c>
      <c r="N1400" s="464">
        <f t="shared" si="112"/>
        <v>93656</v>
      </c>
    </row>
    <row r="1401" spans="7:14" ht="11.25" customHeight="1" x14ac:dyDescent="0.25">
      <c r="G1401" s="459"/>
      <c r="H1401" s="459">
        <v>1394</v>
      </c>
      <c r="I1401" s="444">
        <f t="shared" ca="1" si="110"/>
        <v>-265617313.00343055</v>
      </c>
      <c r="J1401" s="444">
        <f t="array" ref="J1401">IFERROR(INDEX('Retirement Calculator'!K:K,MATCH('Lorri 401b'!N1401,'Retirement Calculator'!A:A,0),0),0)</f>
        <v>0</v>
      </c>
      <c r="K1401" s="444">
        <f t="shared" ca="1" si="108"/>
        <v>-1106738.8041809606</v>
      </c>
      <c r="L1401" s="444">
        <f t="shared" ca="1" si="109"/>
        <v>-266724051.8076115</v>
      </c>
      <c r="M1401" s="460">
        <f t="shared" si="111"/>
        <v>0.05</v>
      </c>
      <c r="N1401" s="464">
        <f t="shared" si="112"/>
        <v>93686</v>
      </c>
    </row>
    <row r="1402" spans="7:14" ht="11.25" customHeight="1" x14ac:dyDescent="0.25">
      <c r="G1402" s="459"/>
      <c r="H1402" s="459">
        <v>1395</v>
      </c>
      <c r="I1402" s="444">
        <f t="shared" ca="1" si="110"/>
        <v>-266724051.8076115</v>
      </c>
      <c r="J1402" s="444">
        <f t="array" ref="J1402">IFERROR(INDEX('Retirement Calculator'!K:K,MATCH('Lorri 401b'!N1402,'Retirement Calculator'!A:A,0),0),0)</f>
        <v>0</v>
      </c>
      <c r="K1402" s="444">
        <f t="shared" ca="1" si="108"/>
        <v>-1111350.2158650481</v>
      </c>
      <c r="L1402" s="444">
        <f t="shared" ca="1" si="109"/>
        <v>-267835402.02347654</v>
      </c>
      <c r="M1402" s="460">
        <f t="shared" si="111"/>
        <v>0.05</v>
      </c>
      <c r="N1402" s="464">
        <f t="shared" si="112"/>
        <v>93717</v>
      </c>
    </row>
    <row r="1403" spans="7:14" ht="11.25" customHeight="1" x14ac:dyDescent="0.25">
      <c r="G1403" s="459"/>
      <c r="H1403" s="459">
        <v>1396</v>
      </c>
      <c r="I1403" s="444">
        <f t="shared" ca="1" si="110"/>
        <v>-267835402.02347654</v>
      </c>
      <c r="J1403" s="444">
        <f t="array" ref="J1403">IFERROR(INDEX('Retirement Calculator'!K:K,MATCH('Lorri 401b'!N1403,'Retirement Calculator'!A:A,0),0),0)</f>
        <v>0</v>
      </c>
      <c r="K1403" s="444">
        <f t="shared" ca="1" si="108"/>
        <v>-1115980.8417644857</v>
      </c>
      <c r="L1403" s="444">
        <f t="shared" ca="1" si="109"/>
        <v>-268951382.86524105</v>
      </c>
      <c r="M1403" s="460">
        <f t="shared" si="111"/>
        <v>0.05</v>
      </c>
      <c r="N1403" s="464">
        <f t="shared" si="112"/>
        <v>93748</v>
      </c>
    </row>
    <row r="1404" spans="7:14" ht="11.25" customHeight="1" x14ac:dyDescent="0.25">
      <c r="G1404" s="459"/>
      <c r="H1404" s="459">
        <v>1397</v>
      </c>
      <c r="I1404" s="444">
        <f t="shared" ca="1" si="110"/>
        <v>-268951382.86524105</v>
      </c>
      <c r="J1404" s="444">
        <f t="array" ref="J1404">IFERROR(INDEX('Retirement Calculator'!K:K,MATCH('Lorri 401b'!N1404,'Retirement Calculator'!A:A,0),0),0)</f>
        <v>0</v>
      </c>
      <c r="K1404" s="444">
        <f t="shared" ca="1" si="108"/>
        <v>-1120630.7619385044</v>
      </c>
      <c r="L1404" s="444">
        <f t="shared" ca="1" si="109"/>
        <v>-270072013.62717956</v>
      </c>
      <c r="M1404" s="460">
        <f t="shared" si="111"/>
        <v>0.05</v>
      </c>
      <c r="N1404" s="464">
        <f t="shared" si="112"/>
        <v>93778</v>
      </c>
    </row>
    <row r="1405" spans="7:14" ht="11.25" customHeight="1" x14ac:dyDescent="0.25">
      <c r="G1405" s="459"/>
      <c r="H1405" s="459">
        <v>1398</v>
      </c>
      <c r="I1405" s="444">
        <f t="shared" ca="1" si="110"/>
        <v>-270072013.62717956</v>
      </c>
      <c r="J1405" s="444">
        <f t="array" ref="J1405">IFERROR(INDEX('Retirement Calculator'!K:K,MATCH('Lorri 401b'!N1405,'Retirement Calculator'!A:A,0),0),0)</f>
        <v>0</v>
      </c>
      <c r="K1405" s="444">
        <f t="shared" ca="1" si="108"/>
        <v>-1125300.0567799148</v>
      </c>
      <c r="L1405" s="444">
        <f t="shared" ca="1" si="109"/>
        <v>-271197313.68395948</v>
      </c>
      <c r="M1405" s="460">
        <f t="shared" si="111"/>
        <v>0.05</v>
      </c>
      <c r="N1405" s="464">
        <f t="shared" si="112"/>
        <v>93809</v>
      </c>
    </row>
    <row r="1406" spans="7:14" ht="11.25" customHeight="1" x14ac:dyDescent="0.25">
      <c r="G1406" s="459"/>
      <c r="H1406" s="459">
        <v>1399</v>
      </c>
      <c r="I1406" s="444">
        <f t="shared" ca="1" si="110"/>
        <v>-271197313.68395948</v>
      </c>
      <c r="J1406" s="444">
        <f t="array" ref="J1406">IFERROR(INDEX('Retirement Calculator'!K:K,MATCH('Lorri 401b'!N1406,'Retirement Calculator'!A:A,0),0),0)</f>
        <v>0</v>
      </c>
      <c r="K1406" s="444">
        <f t="shared" ca="1" si="108"/>
        <v>-1129988.8070164979</v>
      </c>
      <c r="L1406" s="444">
        <f t="shared" ca="1" si="109"/>
        <v>-272327302.49097598</v>
      </c>
      <c r="M1406" s="460">
        <f t="shared" si="111"/>
        <v>0.05</v>
      </c>
      <c r="N1406" s="464">
        <f t="shared" si="112"/>
        <v>93839</v>
      </c>
    </row>
    <row r="1407" spans="7:14" ht="11.25" customHeight="1" x14ac:dyDescent="0.25">
      <c r="G1407" s="459"/>
      <c r="H1407" s="459">
        <v>1400</v>
      </c>
      <c r="I1407" s="444">
        <f t="shared" ca="1" si="110"/>
        <v>-272327302.49097598</v>
      </c>
      <c r="J1407" s="444">
        <f t="array" ref="J1407">IFERROR(INDEX('Retirement Calculator'!K:K,MATCH('Lorri 401b'!N1407,'Retirement Calculator'!A:A,0),0),0)</f>
        <v>0</v>
      </c>
      <c r="K1407" s="444">
        <f t="shared" ca="1" si="108"/>
        <v>-1134697.0937123999</v>
      </c>
      <c r="L1407" s="444">
        <f t="shared" ca="1" si="109"/>
        <v>-273461999.58468837</v>
      </c>
      <c r="M1407" s="460">
        <f t="shared" si="111"/>
        <v>0.05</v>
      </c>
      <c r="N1407" s="464">
        <f t="shared" si="112"/>
        <v>93870</v>
      </c>
    </row>
    <row r="1408" spans="7:14" ht="11.25" customHeight="1" x14ac:dyDescent="0.25">
      <c r="G1408" s="459"/>
      <c r="H1408" s="459">
        <v>1401</v>
      </c>
      <c r="I1408" s="444">
        <f t="shared" ca="1" si="110"/>
        <v>-273461999.58468837</v>
      </c>
      <c r="J1408" s="444">
        <f t="array" ref="J1408">IFERROR(INDEX('Retirement Calculator'!K:K,MATCH('Lorri 401b'!N1408,'Retirement Calculator'!A:A,0),0),0)</f>
        <v>0</v>
      </c>
      <c r="K1408" s="444">
        <f t="shared" ca="1" si="108"/>
        <v>-1139424.9982695349</v>
      </c>
      <c r="L1408" s="444">
        <f t="shared" ca="1" si="109"/>
        <v>-274601424.58295792</v>
      </c>
      <c r="M1408" s="460">
        <f t="shared" si="111"/>
        <v>0.05</v>
      </c>
      <c r="N1408" s="464">
        <f t="shared" si="112"/>
        <v>93901</v>
      </c>
    </row>
    <row r="1409" spans="7:14" ht="11.25" customHeight="1" x14ac:dyDescent="0.25">
      <c r="G1409" s="459"/>
      <c r="H1409" s="459">
        <v>1402</v>
      </c>
      <c r="I1409" s="444">
        <f t="shared" ca="1" si="110"/>
        <v>-274601424.58295792</v>
      </c>
      <c r="J1409" s="444">
        <f t="array" ref="J1409">IFERROR(INDEX('Retirement Calculator'!K:K,MATCH('Lorri 401b'!N1409,'Retirement Calculator'!A:A,0),0),0)</f>
        <v>0</v>
      </c>
      <c r="K1409" s="444">
        <f t="shared" ca="1" si="108"/>
        <v>-1144172.6024289913</v>
      </c>
      <c r="L1409" s="444">
        <f t="shared" ca="1" si="109"/>
        <v>-275745597.1853869</v>
      </c>
      <c r="M1409" s="460">
        <f t="shared" si="111"/>
        <v>0.05</v>
      </c>
      <c r="N1409" s="464">
        <f t="shared" si="112"/>
        <v>93929</v>
      </c>
    </row>
    <row r="1410" spans="7:14" ht="11.25" customHeight="1" x14ac:dyDescent="0.25">
      <c r="G1410" s="459"/>
      <c r="H1410" s="459">
        <v>1403</v>
      </c>
      <c r="I1410" s="444">
        <f t="shared" ca="1" si="110"/>
        <v>-275745597.1853869</v>
      </c>
      <c r="J1410" s="444">
        <f t="array" ref="J1410">IFERROR(INDEX('Retirement Calculator'!K:K,MATCH('Lorri 401b'!N1410,'Retirement Calculator'!A:A,0),0),0)</f>
        <v>0</v>
      </c>
      <c r="K1410" s="444">
        <f t="shared" ca="1" si="108"/>
        <v>-1148939.9882724453</v>
      </c>
      <c r="L1410" s="444">
        <f t="shared" ca="1" si="109"/>
        <v>-276894537.17365932</v>
      </c>
      <c r="M1410" s="460">
        <f t="shared" si="111"/>
        <v>0.05</v>
      </c>
      <c r="N1410" s="464">
        <f t="shared" si="112"/>
        <v>93960</v>
      </c>
    </row>
    <row r="1411" spans="7:14" ht="11.25" customHeight="1" x14ac:dyDescent="0.25">
      <c r="G1411" s="459"/>
      <c r="H1411" s="459">
        <v>1404</v>
      </c>
      <c r="I1411" s="444">
        <f t="shared" ca="1" si="110"/>
        <v>-276894537.17365932</v>
      </c>
      <c r="J1411" s="444">
        <f t="array" ref="J1411">IFERROR(INDEX('Retirement Calculator'!K:K,MATCH('Lorri 401b'!N1411,'Retirement Calculator'!A:A,0),0),0)</f>
        <v>0</v>
      </c>
      <c r="K1411" s="444">
        <f t="shared" ca="1" si="108"/>
        <v>-1153727.2382235804</v>
      </c>
      <c r="L1411" s="444">
        <f t="shared" ca="1" si="109"/>
        <v>-278048264.41188288</v>
      </c>
      <c r="M1411" s="460">
        <f t="shared" si="111"/>
        <v>0.05</v>
      </c>
      <c r="N1411" s="464">
        <f t="shared" si="112"/>
        <v>93990</v>
      </c>
    </row>
    <row r="1412" spans="7:14" ht="11.25" customHeight="1" x14ac:dyDescent="0.25">
      <c r="G1412" s="459"/>
      <c r="H1412" s="459">
        <v>1405</v>
      </c>
      <c r="I1412" s="444">
        <f t="shared" ca="1" si="110"/>
        <v>-278048264.41188288</v>
      </c>
      <c r="J1412" s="444">
        <f t="array" ref="J1412">IFERROR(INDEX('Retirement Calculator'!K:K,MATCH('Lorri 401b'!N1412,'Retirement Calculator'!A:A,0),0),0)</f>
        <v>0</v>
      </c>
      <c r="K1412" s="444">
        <f t="shared" ca="1" si="108"/>
        <v>-1158534.435049512</v>
      </c>
      <c r="L1412" s="444">
        <f t="shared" ca="1" si="109"/>
        <v>-279206798.84693241</v>
      </c>
      <c r="M1412" s="460">
        <f t="shared" si="111"/>
        <v>0.05</v>
      </c>
      <c r="N1412" s="464">
        <f t="shared" si="112"/>
        <v>94021</v>
      </c>
    </row>
    <row r="1413" spans="7:14" ht="11.25" customHeight="1" x14ac:dyDescent="0.25">
      <c r="G1413" s="459"/>
      <c r="H1413" s="459">
        <v>1406</v>
      </c>
      <c r="I1413" s="444">
        <f t="shared" ca="1" si="110"/>
        <v>-279206798.84693241</v>
      </c>
      <c r="J1413" s="444">
        <f t="array" ref="J1413">IFERROR(INDEX('Retirement Calculator'!K:K,MATCH('Lorri 401b'!N1413,'Retirement Calculator'!A:A,0),0),0)</f>
        <v>0</v>
      </c>
      <c r="K1413" s="444">
        <f t="shared" ca="1" si="108"/>
        <v>-1163361.6618622183</v>
      </c>
      <c r="L1413" s="444">
        <f t="shared" ca="1" si="109"/>
        <v>-280370160.50879461</v>
      </c>
      <c r="M1413" s="460">
        <f t="shared" si="111"/>
        <v>0.05</v>
      </c>
      <c r="N1413" s="464">
        <f t="shared" si="112"/>
        <v>94051</v>
      </c>
    </row>
    <row r="1414" spans="7:14" ht="11.25" customHeight="1" x14ac:dyDescent="0.25">
      <c r="G1414" s="459"/>
      <c r="H1414" s="459">
        <v>1407</v>
      </c>
      <c r="I1414" s="444">
        <f t="shared" ca="1" si="110"/>
        <v>-280370160.50879461</v>
      </c>
      <c r="J1414" s="444">
        <f t="array" ref="J1414">IFERROR(INDEX('Retirement Calculator'!K:K,MATCH('Lorri 401b'!N1414,'Retirement Calculator'!A:A,0),0),0)</f>
        <v>0</v>
      </c>
      <c r="K1414" s="444">
        <f t="shared" ca="1" si="108"/>
        <v>-1168209.0021199775</v>
      </c>
      <c r="L1414" s="444">
        <f t="shared" ca="1" si="109"/>
        <v>-281538369.51091456</v>
      </c>
      <c r="M1414" s="460">
        <f t="shared" si="111"/>
        <v>0.05</v>
      </c>
      <c r="N1414" s="464">
        <f t="shared" si="112"/>
        <v>94082</v>
      </c>
    </row>
    <row r="1415" spans="7:14" ht="11.25" customHeight="1" x14ac:dyDescent="0.25">
      <c r="G1415" s="459"/>
      <c r="H1415" s="459">
        <v>1408</v>
      </c>
      <c r="I1415" s="444">
        <f t="shared" ca="1" si="110"/>
        <v>-281538369.51091456</v>
      </c>
      <c r="J1415" s="444">
        <f t="array" ref="J1415">IFERROR(INDEX('Retirement Calculator'!K:K,MATCH('Lorri 401b'!N1415,'Retirement Calculator'!A:A,0),0),0)</f>
        <v>0</v>
      </c>
      <c r="K1415" s="444">
        <f t="shared" ca="1" si="108"/>
        <v>-1173076.5396288107</v>
      </c>
      <c r="L1415" s="444">
        <f t="shared" ca="1" si="109"/>
        <v>-282711446.05054337</v>
      </c>
      <c r="M1415" s="460">
        <f t="shared" si="111"/>
        <v>0.05</v>
      </c>
      <c r="N1415" s="464">
        <f t="shared" si="112"/>
        <v>94113</v>
      </c>
    </row>
    <row r="1416" spans="7:14" ht="11.25" customHeight="1" x14ac:dyDescent="0.25">
      <c r="G1416" s="459"/>
      <c r="H1416" s="459">
        <v>1409</v>
      </c>
      <c r="I1416" s="444">
        <f t="shared" ca="1" si="110"/>
        <v>-282711446.05054337</v>
      </c>
      <c r="J1416" s="444">
        <f t="array" ref="J1416">IFERROR(INDEX('Retirement Calculator'!K:K,MATCH('Lorri 401b'!N1416,'Retirement Calculator'!A:A,0),0),0)</f>
        <v>0</v>
      </c>
      <c r="K1416" s="444">
        <f t="shared" ca="1" si="108"/>
        <v>-1177964.3585439306</v>
      </c>
      <c r="L1416" s="444">
        <f t="shared" ca="1" si="109"/>
        <v>-283889410.4090873</v>
      </c>
      <c r="M1416" s="460">
        <f t="shared" si="111"/>
        <v>0.05</v>
      </c>
      <c r="N1416" s="464">
        <f t="shared" si="112"/>
        <v>94143</v>
      </c>
    </row>
    <row r="1417" spans="7:14" ht="11.25" customHeight="1" x14ac:dyDescent="0.25">
      <c r="G1417" s="459"/>
      <c r="H1417" s="459">
        <v>1410</v>
      </c>
      <c r="I1417" s="444">
        <f t="shared" ca="1" si="110"/>
        <v>-283889410.4090873</v>
      </c>
      <c r="J1417" s="444">
        <f t="array" ref="J1417">IFERROR(INDEX('Retirement Calculator'!K:K,MATCH('Lorri 401b'!N1417,'Retirement Calculator'!A:A,0),0),0)</f>
        <v>0</v>
      </c>
      <c r="K1417" s="444">
        <f t="shared" ca="1" si="108"/>
        <v>-1182872.5433711971</v>
      </c>
      <c r="L1417" s="444">
        <f t="shared" ca="1" si="109"/>
        <v>-285072282.9524585</v>
      </c>
      <c r="M1417" s="460">
        <f t="shared" si="111"/>
        <v>0.05</v>
      </c>
      <c r="N1417" s="464">
        <f t="shared" si="112"/>
        <v>94174</v>
      </c>
    </row>
    <row r="1418" spans="7:14" ht="11.25" customHeight="1" x14ac:dyDescent="0.25">
      <c r="G1418" s="459"/>
      <c r="H1418" s="459">
        <v>1411</v>
      </c>
      <c r="I1418" s="444">
        <f t="shared" ca="1" si="110"/>
        <v>-285072282.9524585</v>
      </c>
      <c r="J1418" s="444">
        <f t="array" ref="J1418">IFERROR(INDEX('Retirement Calculator'!K:K,MATCH('Lorri 401b'!N1418,'Retirement Calculator'!A:A,0),0),0)</f>
        <v>0</v>
      </c>
      <c r="K1418" s="444">
        <f t="shared" ca="1" si="108"/>
        <v>-1187801.1789685772</v>
      </c>
      <c r="L1418" s="444">
        <f t="shared" ca="1" si="109"/>
        <v>-286260084.13142705</v>
      </c>
      <c r="M1418" s="460">
        <f t="shared" si="111"/>
        <v>0.05</v>
      </c>
      <c r="N1418" s="464">
        <f t="shared" si="112"/>
        <v>94204</v>
      </c>
    </row>
    <row r="1419" spans="7:14" ht="11.25" customHeight="1" x14ac:dyDescent="0.25">
      <c r="G1419" s="459"/>
      <c r="H1419" s="459">
        <v>1412</v>
      </c>
      <c r="I1419" s="444">
        <f t="shared" ca="1" si="110"/>
        <v>-286260084.13142705</v>
      </c>
      <c r="J1419" s="444">
        <f t="array" ref="J1419">IFERROR(INDEX('Retirement Calculator'!K:K,MATCH('Lorri 401b'!N1419,'Retirement Calculator'!A:A,0),0),0)</f>
        <v>0</v>
      </c>
      <c r="K1419" s="444">
        <f t="shared" ca="1" si="108"/>
        <v>-1192750.3505476126</v>
      </c>
      <c r="L1419" s="444">
        <f t="shared" ca="1" si="109"/>
        <v>-287452834.48197466</v>
      </c>
      <c r="M1419" s="460">
        <f t="shared" si="111"/>
        <v>0.05</v>
      </c>
      <c r="N1419" s="464">
        <f t="shared" si="112"/>
        <v>94235</v>
      </c>
    </row>
    <row r="1420" spans="7:14" ht="11.25" customHeight="1" x14ac:dyDescent="0.25">
      <c r="G1420" s="459"/>
      <c r="H1420" s="459">
        <v>1413</v>
      </c>
      <c r="I1420" s="444">
        <f t="shared" ca="1" si="110"/>
        <v>-287452834.48197466</v>
      </c>
      <c r="J1420" s="444">
        <f t="array" ref="J1420">IFERROR(INDEX('Retirement Calculator'!K:K,MATCH('Lorri 401b'!N1420,'Retirement Calculator'!A:A,0),0),0)</f>
        <v>0</v>
      </c>
      <c r="K1420" s="444">
        <f t="shared" ca="1" si="108"/>
        <v>-1197720.1436748945</v>
      </c>
      <c r="L1420" s="444">
        <f t="shared" ca="1" si="109"/>
        <v>-288650554.62564957</v>
      </c>
      <c r="M1420" s="460">
        <f t="shared" si="111"/>
        <v>0.05</v>
      </c>
      <c r="N1420" s="464">
        <f t="shared" si="112"/>
        <v>94266</v>
      </c>
    </row>
    <row r="1421" spans="7:14" ht="11.25" customHeight="1" x14ac:dyDescent="0.25">
      <c r="G1421" s="459"/>
      <c r="H1421" s="459">
        <v>1414</v>
      </c>
      <c r="I1421" s="444">
        <f t="shared" ca="1" si="110"/>
        <v>-288650554.62564957</v>
      </c>
      <c r="J1421" s="444">
        <f t="array" ref="J1421">IFERROR(INDEX('Retirement Calculator'!K:K,MATCH('Lorri 401b'!N1421,'Retirement Calculator'!A:A,0),0),0)</f>
        <v>0</v>
      </c>
      <c r="K1421" s="444">
        <f t="shared" ca="1" si="108"/>
        <v>-1202710.6442735398</v>
      </c>
      <c r="L1421" s="444">
        <f t="shared" ca="1" si="109"/>
        <v>-289853265.26992309</v>
      </c>
      <c r="M1421" s="460">
        <f t="shared" si="111"/>
        <v>0.05</v>
      </c>
      <c r="N1421" s="464">
        <f t="shared" si="112"/>
        <v>94294</v>
      </c>
    </row>
    <row r="1422" spans="7:14" ht="11.25" customHeight="1" x14ac:dyDescent="0.25">
      <c r="G1422" s="459"/>
      <c r="H1422" s="459">
        <v>1415</v>
      </c>
      <c r="I1422" s="444">
        <f t="shared" ca="1" si="110"/>
        <v>-289853265.26992309</v>
      </c>
      <c r="J1422" s="444">
        <f t="array" ref="J1422">IFERROR(INDEX('Retirement Calculator'!K:K,MATCH('Lorri 401b'!N1422,'Retirement Calculator'!A:A,0),0),0)</f>
        <v>0</v>
      </c>
      <c r="K1422" s="444">
        <f t="shared" ca="1" si="108"/>
        <v>-1207721.9386246796</v>
      </c>
      <c r="L1422" s="444">
        <f t="shared" ca="1" si="109"/>
        <v>-291060987.20854777</v>
      </c>
      <c r="M1422" s="460">
        <f t="shared" si="111"/>
        <v>0.05</v>
      </c>
      <c r="N1422" s="464">
        <f t="shared" si="112"/>
        <v>94325</v>
      </c>
    </row>
    <row r="1423" spans="7:14" ht="11.25" customHeight="1" x14ac:dyDescent="0.25">
      <c r="G1423" s="459"/>
      <c r="H1423" s="459">
        <v>1416</v>
      </c>
      <c r="I1423" s="444">
        <f t="shared" ca="1" si="110"/>
        <v>-291060987.20854777</v>
      </c>
      <c r="J1423" s="444">
        <f t="array" ref="J1423">IFERROR(INDEX('Retirement Calculator'!K:K,MATCH('Lorri 401b'!N1423,'Retirement Calculator'!A:A,0),0),0)</f>
        <v>0</v>
      </c>
      <c r="K1423" s="444">
        <f t="shared" ca="1" si="108"/>
        <v>-1212754.1133689489</v>
      </c>
      <c r="L1423" s="444">
        <f t="shared" ca="1" si="109"/>
        <v>-292273741.3219167</v>
      </c>
      <c r="M1423" s="460">
        <f t="shared" si="111"/>
        <v>0.05</v>
      </c>
      <c r="N1423" s="464">
        <f t="shared" si="112"/>
        <v>94355</v>
      </c>
    </row>
    <row r="1424" spans="7:14" ht="11.25" customHeight="1" x14ac:dyDescent="0.25">
      <c r="G1424" s="459"/>
      <c r="H1424" s="459">
        <v>1417</v>
      </c>
      <c r="I1424" s="444">
        <f t="shared" ca="1" si="110"/>
        <v>-292273741.3219167</v>
      </c>
      <c r="J1424" s="444">
        <f t="array" ref="J1424">IFERROR(INDEX('Retirement Calculator'!K:K,MATCH('Lorri 401b'!N1424,'Retirement Calculator'!A:A,0),0),0)</f>
        <v>0</v>
      </c>
      <c r="K1424" s="444">
        <f t="shared" ca="1" si="108"/>
        <v>-1217807.2555079863</v>
      </c>
      <c r="L1424" s="444">
        <f t="shared" ca="1" si="109"/>
        <v>-293491548.57742471</v>
      </c>
      <c r="M1424" s="460">
        <f t="shared" si="111"/>
        <v>0.05</v>
      </c>
      <c r="N1424" s="464">
        <f t="shared" si="112"/>
        <v>94386</v>
      </c>
    </row>
    <row r="1425" spans="7:14" ht="11.25" customHeight="1" x14ac:dyDescent="0.25">
      <c r="G1425" s="459"/>
      <c r="H1425" s="459">
        <v>1418</v>
      </c>
      <c r="I1425" s="444">
        <f t="shared" ca="1" si="110"/>
        <v>-293491548.57742471</v>
      </c>
      <c r="J1425" s="444">
        <f t="array" ref="J1425">IFERROR(INDEX('Retirement Calculator'!K:K,MATCH('Lorri 401b'!N1425,'Retirement Calculator'!A:A,0),0),0)</f>
        <v>0</v>
      </c>
      <c r="K1425" s="444">
        <f t="shared" ca="1" si="108"/>
        <v>-1222881.4524059363</v>
      </c>
      <c r="L1425" s="444">
        <f t="shared" ca="1" si="109"/>
        <v>-294714430.02983063</v>
      </c>
      <c r="M1425" s="460">
        <f t="shared" si="111"/>
        <v>0.05</v>
      </c>
      <c r="N1425" s="464">
        <f t="shared" si="112"/>
        <v>94416</v>
      </c>
    </row>
    <row r="1426" spans="7:14" ht="11.25" customHeight="1" x14ac:dyDescent="0.25">
      <c r="G1426" s="459"/>
      <c r="H1426" s="459">
        <v>1419</v>
      </c>
      <c r="I1426" s="444">
        <f t="shared" ca="1" si="110"/>
        <v>-294714430.02983063</v>
      </c>
      <c r="J1426" s="444">
        <f t="array" ref="J1426">IFERROR(INDEX('Retirement Calculator'!K:K,MATCH('Lorri 401b'!N1426,'Retirement Calculator'!A:A,0),0),0)</f>
        <v>0</v>
      </c>
      <c r="K1426" s="444">
        <f t="shared" ca="1" si="108"/>
        <v>-1227976.7917909611</v>
      </c>
      <c r="L1426" s="444">
        <f t="shared" ca="1" si="109"/>
        <v>-295942406.8216216</v>
      </c>
      <c r="M1426" s="460">
        <f t="shared" si="111"/>
        <v>0.05</v>
      </c>
      <c r="N1426" s="464">
        <f t="shared" si="112"/>
        <v>94447</v>
      </c>
    </row>
    <row r="1427" spans="7:14" ht="11.25" customHeight="1" x14ac:dyDescent="0.25">
      <c r="G1427" s="459"/>
      <c r="H1427" s="459">
        <v>1420</v>
      </c>
      <c r="I1427" s="444">
        <f t="shared" ca="1" si="110"/>
        <v>-295942406.8216216</v>
      </c>
      <c r="J1427" s="444">
        <f t="array" ref="J1427">IFERROR(INDEX('Retirement Calculator'!K:K,MATCH('Lorri 401b'!N1427,'Retirement Calculator'!A:A,0),0),0)</f>
        <v>0</v>
      </c>
      <c r="K1427" s="444">
        <f t="shared" ca="1" si="108"/>
        <v>-1233093.3617567567</v>
      </c>
      <c r="L1427" s="444">
        <f t="shared" ca="1" si="109"/>
        <v>-297175500.18337834</v>
      </c>
      <c r="M1427" s="460">
        <f t="shared" si="111"/>
        <v>0.05</v>
      </c>
      <c r="N1427" s="464">
        <f t="shared" si="112"/>
        <v>94478</v>
      </c>
    </row>
    <row r="1428" spans="7:14" ht="11.25" customHeight="1" x14ac:dyDescent="0.25">
      <c r="G1428" s="459"/>
      <c r="H1428" s="459">
        <v>1421</v>
      </c>
      <c r="I1428" s="444">
        <f t="shared" ca="1" si="110"/>
        <v>-297175500.18337834</v>
      </c>
      <c r="J1428" s="444">
        <f t="array" ref="J1428">IFERROR(INDEX('Retirement Calculator'!K:K,MATCH('Lorri 401b'!N1428,'Retirement Calculator'!A:A,0),0),0)</f>
        <v>0</v>
      </c>
      <c r="K1428" s="444">
        <f t="shared" ca="1" si="108"/>
        <v>-1238231.2507640764</v>
      </c>
      <c r="L1428" s="444">
        <f t="shared" ca="1" si="109"/>
        <v>-298413731.43414241</v>
      </c>
      <c r="M1428" s="460">
        <f t="shared" si="111"/>
        <v>0.05</v>
      </c>
      <c r="N1428" s="464">
        <f t="shared" si="112"/>
        <v>94508</v>
      </c>
    </row>
    <row r="1429" spans="7:14" ht="11.25" customHeight="1" x14ac:dyDescent="0.25">
      <c r="G1429" s="459"/>
      <c r="H1429" s="459">
        <v>1422</v>
      </c>
      <c r="I1429" s="444">
        <f t="shared" ca="1" si="110"/>
        <v>-298413731.43414241</v>
      </c>
      <c r="J1429" s="444">
        <f t="array" ref="J1429">IFERROR(INDEX('Retirement Calculator'!K:K,MATCH('Lorri 401b'!N1429,'Retirement Calculator'!A:A,0),0),0)</f>
        <v>0</v>
      </c>
      <c r="K1429" s="444">
        <f t="shared" ca="1" si="108"/>
        <v>-1243390.5476422601</v>
      </c>
      <c r="L1429" s="444">
        <f t="shared" ca="1" si="109"/>
        <v>-299657121.98178464</v>
      </c>
      <c r="M1429" s="460">
        <f t="shared" si="111"/>
        <v>0.05</v>
      </c>
      <c r="N1429" s="464">
        <f t="shared" si="112"/>
        <v>94539</v>
      </c>
    </row>
    <row r="1430" spans="7:14" ht="11.25" customHeight="1" x14ac:dyDescent="0.25">
      <c r="G1430" s="459"/>
      <c r="H1430" s="459">
        <v>1423</v>
      </c>
      <c r="I1430" s="444">
        <f t="shared" ca="1" si="110"/>
        <v>-299657121.98178464</v>
      </c>
      <c r="J1430" s="444">
        <f t="array" ref="J1430">IFERROR(INDEX('Retirement Calculator'!K:K,MATCH('Lorri 401b'!N1430,'Retirement Calculator'!A:A,0),0),0)</f>
        <v>0</v>
      </c>
      <c r="K1430" s="444">
        <f t="shared" ca="1" si="108"/>
        <v>-1248571.3415907694</v>
      </c>
      <c r="L1430" s="444">
        <f t="shared" ca="1" si="109"/>
        <v>-300905693.3233754</v>
      </c>
      <c r="M1430" s="460">
        <f t="shared" si="111"/>
        <v>0.05</v>
      </c>
      <c r="N1430" s="464">
        <f t="shared" si="112"/>
        <v>94569</v>
      </c>
    </row>
    <row r="1431" spans="7:14" ht="11.25" customHeight="1" x14ac:dyDescent="0.25">
      <c r="G1431" s="459"/>
      <c r="H1431" s="459">
        <v>1424</v>
      </c>
      <c r="I1431" s="444">
        <f t="shared" ca="1" si="110"/>
        <v>-300905693.3233754</v>
      </c>
      <c r="J1431" s="444">
        <f t="array" ref="J1431">IFERROR(INDEX('Retirement Calculator'!K:K,MATCH('Lorri 401b'!N1431,'Retirement Calculator'!A:A,0),0),0)</f>
        <v>0</v>
      </c>
      <c r="K1431" s="444">
        <f t="shared" ca="1" si="108"/>
        <v>-1253773.7221807309</v>
      </c>
      <c r="L1431" s="444">
        <f t="shared" ca="1" si="109"/>
        <v>-302159467.04555613</v>
      </c>
      <c r="M1431" s="460">
        <f t="shared" si="111"/>
        <v>0.05</v>
      </c>
      <c r="N1431" s="464">
        <f t="shared" si="112"/>
        <v>94600</v>
      </c>
    </row>
    <row r="1432" spans="7:14" ht="11.25" customHeight="1" x14ac:dyDescent="0.25">
      <c r="G1432" s="459"/>
      <c r="H1432" s="459">
        <v>1425</v>
      </c>
      <c r="I1432" s="444">
        <f t="shared" ca="1" si="110"/>
        <v>-302159467.04555613</v>
      </c>
      <c r="J1432" s="444">
        <f t="array" ref="J1432">IFERROR(INDEX('Retirement Calculator'!K:K,MATCH('Lorri 401b'!N1432,'Retirement Calculator'!A:A,0),0),0)</f>
        <v>0</v>
      </c>
      <c r="K1432" s="444">
        <f t="shared" ca="1" si="108"/>
        <v>-1258997.7793564838</v>
      </c>
      <c r="L1432" s="444">
        <f t="shared" ca="1" si="109"/>
        <v>-303418464.82491261</v>
      </c>
      <c r="M1432" s="460">
        <f t="shared" si="111"/>
        <v>0.05</v>
      </c>
      <c r="N1432" s="464">
        <f t="shared" si="112"/>
        <v>94631</v>
      </c>
    </row>
    <row r="1433" spans="7:14" ht="11.25" customHeight="1" x14ac:dyDescent="0.25">
      <c r="G1433" s="459"/>
      <c r="H1433" s="459">
        <v>1426</v>
      </c>
      <c r="I1433" s="444">
        <f t="shared" ca="1" si="110"/>
        <v>-303418464.82491261</v>
      </c>
      <c r="J1433" s="444">
        <f t="array" ref="J1433">IFERROR(INDEX('Retirement Calculator'!K:K,MATCH('Lorri 401b'!N1433,'Retirement Calculator'!A:A,0),0),0)</f>
        <v>0</v>
      </c>
      <c r="K1433" s="444">
        <f t="shared" ca="1" si="108"/>
        <v>-1264243.6034371359</v>
      </c>
      <c r="L1433" s="444">
        <f t="shared" ca="1" si="109"/>
        <v>-304682708.42834973</v>
      </c>
      <c r="M1433" s="460">
        <f t="shared" si="111"/>
        <v>0.05</v>
      </c>
      <c r="N1433" s="464">
        <f t="shared" si="112"/>
        <v>94659</v>
      </c>
    </row>
    <row r="1434" spans="7:14" ht="11.25" customHeight="1" x14ac:dyDescent="0.25">
      <c r="G1434" s="459"/>
      <c r="H1434" s="459">
        <v>1427</v>
      </c>
      <c r="I1434" s="444">
        <f t="shared" ca="1" si="110"/>
        <v>-304682708.42834973</v>
      </c>
      <c r="J1434" s="444">
        <f t="array" ref="J1434">IFERROR(INDEX('Retirement Calculator'!K:K,MATCH('Lorri 401b'!N1434,'Retirement Calculator'!A:A,0),0),0)</f>
        <v>0</v>
      </c>
      <c r="K1434" s="444">
        <f t="shared" ca="1" si="108"/>
        <v>-1269511.285118124</v>
      </c>
      <c r="L1434" s="444">
        <f t="shared" ca="1" si="109"/>
        <v>-305952219.71346784</v>
      </c>
      <c r="M1434" s="460">
        <f t="shared" si="111"/>
        <v>0.05</v>
      </c>
      <c r="N1434" s="464">
        <f t="shared" si="112"/>
        <v>94690</v>
      </c>
    </row>
    <row r="1435" spans="7:14" ht="11.25" customHeight="1" x14ac:dyDescent="0.25">
      <c r="G1435" s="459"/>
      <c r="H1435" s="459">
        <v>1428</v>
      </c>
      <c r="I1435" s="444">
        <f t="shared" ca="1" si="110"/>
        <v>-305952219.71346784</v>
      </c>
      <c r="J1435" s="444">
        <f t="array" ref="J1435">IFERROR(INDEX('Retirement Calculator'!K:K,MATCH('Lorri 401b'!N1435,'Retirement Calculator'!A:A,0),0),0)</f>
        <v>0</v>
      </c>
      <c r="K1435" s="444">
        <f t="shared" ca="1" si="108"/>
        <v>-1274800.9154727827</v>
      </c>
      <c r="L1435" s="444">
        <f t="shared" ca="1" si="109"/>
        <v>-307227020.62894064</v>
      </c>
      <c r="M1435" s="460">
        <f t="shared" si="111"/>
        <v>0.05</v>
      </c>
      <c r="N1435" s="464">
        <f t="shared" si="112"/>
        <v>94720</v>
      </c>
    </row>
    <row r="1436" spans="7:14" ht="11.25" customHeight="1" x14ac:dyDescent="0.25">
      <c r="G1436" s="459"/>
      <c r="H1436" s="459">
        <v>1429</v>
      </c>
      <c r="I1436" s="444">
        <f t="shared" ca="1" si="110"/>
        <v>-307227020.62894064</v>
      </c>
      <c r="J1436" s="444">
        <f t="array" ref="J1436">IFERROR(INDEX('Retirement Calculator'!K:K,MATCH('Lorri 401b'!N1436,'Retirement Calculator'!A:A,0),0),0)</f>
        <v>0</v>
      </c>
      <c r="K1436" s="444">
        <f t="shared" ca="1" si="108"/>
        <v>-1280112.5859539192</v>
      </c>
      <c r="L1436" s="444">
        <f t="shared" ca="1" si="109"/>
        <v>-308507133.21489453</v>
      </c>
      <c r="M1436" s="460">
        <f t="shared" si="111"/>
        <v>0.05</v>
      </c>
      <c r="N1436" s="464">
        <f t="shared" si="112"/>
        <v>94751</v>
      </c>
    </row>
    <row r="1437" spans="7:14" ht="11.25" customHeight="1" x14ac:dyDescent="0.25">
      <c r="G1437" s="459"/>
      <c r="H1437" s="459">
        <v>1430</v>
      </c>
      <c r="I1437" s="444">
        <f t="shared" ca="1" si="110"/>
        <v>-308507133.21489453</v>
      </c>
      <c r="J1437" s="444">
        <f t="array" ref="J1437">IFERROR(INDEX('Retirement Calculator'!K:K,MATCH('Lorri 401b'!N1437,'Retirement Calculator'!A:A,0),0),0)</f>
        <v>0</v>
      </c>
      <c r="K1437" s="444">
        <f t="shared" ca="1" si="108"/>
        <v>-1285446.388395394</v>
      </c>
      <c r="L1437" s="444">
        <f t="shared" ca="1" si="109"/>
        <v>-309792579.6032899</v>
      </c>
      <c r="M1437" s="460">
        <f t="shared" si="111"/>
        <v>0.05</v>
      </c>
      <c r="N1437" s="464">
        <f t="shared" si="112"/>
        <v>94781</v>
      </c>
    </row>
    <row r="1438" spans="7:14" ht="11.25" customHeight="1" x14ac:dyDescent="0.25">
      <c r="G1438" s="459"/>
      <c r="H1438" s="459">
        <v>1431</v>
      </c>
      <c r="I1438" s="444">
        <f t="shared" ca="1" si="110"/>
        <v>-309792579.6032899</v>
      </c>
      <c r="J1438" s="444">
        <f t="array" ref="J1438">IFERROR(INDEX('Retirement Calculator'!K:K,MATCH('Lorri 401b'!N1438,'Retirement Calculator'!A:A,0),0),0)</f>
        <v>0</v>
      </c>
      <c r="K1438" s="444">
        <f t="shared" ca="1" si="108"/>
        <v>-1290802.4150137079</v>
      </c>
      <c r="L1438" s="444">
        <f t="shared" ca="1" si="109"/>
        <v>-311083382.01830363</v>
      </c>
      <c r="M1438" s="460">
        <f t="shared" si="111"/>
        <v>0.05</v>
      </c>
      <c r="N1438" s="464">
        <f t="shared" si="112"/>
        <v>94812</v>
      </c>
    </row>
    <row r="1439" spans="7:14" ht="11.25" customHeight="1" x14ac:dyDescent="0.25">
      <c r="G1439" s="459"/>
      <c r="H1439" s="459">
        <v>1432</v>
      </c>
      <c r="I1439" s="444">
        <f t="shared" ca="1" si="110"/>
        <v>-311083382.01830363</v>
      </c>
      <c r="J1439" s="444">
        <f t="array" ref="J1439">IFERROR(INDEX('Retirement Calculator'!K:K,MATCH('Lorri 401b'!N1439,'Retirement Calculator'!A:A,0),0),0)</f>
        <v>0</v>
      </c>
      <c r="K1439" s="444">
        <f t="shared" ca="1" si="108"/>
        <v>-1296180.7584095984</v>
      </c>
      <c r="L1439" s="444">
        <f t="shared" ca="1" si="109"/>
        <v>-312379562.77671325</v>
      </c>
      <c r="M1439" s="460">
        <f t="shared" si="111"/>
        <v>0.05</v>
      </c>
      <c r="N1439" s="464">
        <f t="shared" si="112"/>
        <v>94843</v>
      </c>
    </row>
    <row r="1440" spans="7:14" ht="11.25" customHeight="1" x14ac:dyDescent="0.25">
      <c r="G1440" s="459"/>
      <c r="H1440" s="459">
        <v>1433</v>
      </c>
      <c r="I1440" s="444">
        <f t="shared" ca="1" si="110"/>
        <v>-312379562.77671325</v>
      </c>
      <c r="J1440" s="444">
        <f t="array" ref="J1440">IFERROR(INDEX('Retirement Calculator'!K:K,MATCH('Lorri 401b'!N1440,'Retirement Calculator'!A:A,0),0),0)</f>
        <v>0</v>
      </c>
      <c r="K1440" s="444">
        <f t="shared" ca="1" si="108"/>
        <v>-1301581.5115696385</v>
      </c>
      <c r="L1440" s="444">
        <f t="shared" ca="1" si="109"/>
        <v>-313681144.28828287</v>
      </c>
      <c r="M1440" s="460">
        <f t="shared" si="111"/>
        <v>0.05</v>
      </c>
      <c r="N1440" s="464">
        <f t="shared" si="112"/>
        <v>94873</v>
      </c>
    </row>
    <row r="1441" spans="7:14" ht="11.25" customHeight="1" x14ac:dyDescent="0.25">
      <c r="G1441" s="459"/>
      <c r="H1441" s="459">
        <v>1434</v>
      </c>
      <c r="I1441" s="444">
        <f t="shared" ca="1" si="110"/>
        <v>-313681144.28828287</v>
      </c>
      <c r="J1441" s="444">
        <f t="array" ref="J1441">IFERROR(INDEX('Retirement Calculator'!K:K,MATCH('Lorri 401b'!N1441,'Retirement Calculator'!A:A,0),0),0)</f>
        <v>0</v>
      </c>
      <c r="K1441" s="444">
        <f t="shared" ca="1" si="108"/>
        <v>-1307004.7678678453</v>
      </c>
      <c r="L1441" s="444">
        <f t="shared" ca="1" si="109"/>
        <v>-314988149.05615073</v>
      </c>
      <c r="M1441" s="460">
        <f t="shared" si="111"/>
        <v>0.05</v>
      </c>
      <c r="N1441" s="464">
        <f t="shared" si="112"/>
        <v>94904</v>
      </c>
    </row>
    <row r="1442" spans="7:14" ht="11.25" customHeight="1" x14ac:dyDescent="0.25">
      <c r="G1442" s="459"/>
      <c r="H1442" s="459">
        <v>1435</v>
      </c>
      <c r="I1442" s="444">
        <f t="shared" ca="1" si="110"/>
        <v>-314988149.05615073</v>
      </c>
      <c r="J1442" s="444">
        <f t="array" ref="J1442">IFERROR(INDEX('Retirement Calculator'!K:K,MATCH('Lorri 401b'!N1442,'Retirement Calculator'!A:A,0),0),0)</f>
        <v>0</v>
      </c>
      <c r="K1442" s="444">
        <f t="shared" ca="1" si="108"/>
        <v>-1312450.6210672946</v>
      </c>
      <c r="L1442" s="444">
        <f t="shared" ca="1" si="109"/>
        <v>-316300599.67721802</v>
      </c>
      <c r="M1442" s="460">
        <f t="shared" si="111"/>
        <v>0.05</v>
      </c>
      <c r="N1442" s="464">
        <f t="shared" si="112"/>
        <v>94934</v>
      </c>
    </row>
    <row r="1443" spans="7:14" ht="11.25" customHeight="1" x14ac:dyDescent="0.25">
      <c r="G1443" s="459"/>
      <c r="H1443" s="459">
        <v>1436</v>
      </c>
      <c r="I1443" s="444">
        <f t="shared" ca="1" si="110"/>
        <v>-316300599.67721802</v>
      </c>
      <c r="J1443" s="444">
        <f t="array" ref="J1443">IFERROR(INDEX('Retirement Calculator'!K:K,MATCH('Lorri 401b'!N1443,'Retirement Calculator'!A:A,0),0),0)</f>
        <v>0</v>
      </c>
      <c r="K1443" s="444">
        <f t="shared" ca="1" si="108"/>
        <v>-1317919.1653217417</v>
      </c>
      <c r="L1443" s="444">
        <f t="shared" ca="1" si="109"/>
        <v>-317618518.84253979</v>
      </c>
      <c r="M1443" s="460">
        <f t="shared" si="111"/>
        <v>0.05</v>
      </c>
      <c r="N1443" s="464">
        <f t="shared" si="112"/>
        <v>94965</v>
      </c>
    </row>
    <row r="1444" spans="7:14" ht="11.25" customHeight="1" x14ac:dyDescent="0.25">
      <c r="G1444" s="459"/>
      <c r="H1444" s="459">
        <v>1437</v>
      </c>
      <c r="I1444" s="444">
        <f t="shared" ca="1" si="110"/>
        <v>-317618518.84253979</v>
      </c>
      <c r="J1444" s="444">
        <f t="array" ref="J1444">IFERROR(INDEX('Retirement Calculator'!K:K,MATCH('Lorri 401b'!N1444,'Retirement Calculator'!A:A,0),0),0)</f>
        <v>0</v>
      </c>
      <c r="K1444" s="444">
        <f t="shared" ca="1" si="108"/>
        <v>-1323410.4951772492</v>
      </c>
      <c r="L1444" s="444">
        <f t="shared" ca="1" si="109"/>
        <v>-318941929.33771706</v>
      </c>
      <c r="M1444" s="460">
        <f t="shared" si="111"/>
        <v>0.05</v>
      </c>
      <c r="N1444" s="464">
        <f t="shared" si="112"/>
        <v>94996</v>
      </c>
    </row>
    <row r="1445" spans="7:14" ht="11.25" customHeight="1" x14ac:dyDescent="0.25">
      <c r="G1445" s="459"/>
      <c r="H1445" s="459">
        <v>1438</v>
      </c>
      <c r="I1445" s="444">
        <f t="shared" ca="1" si="110"/>
        <v>-318941929.33771706</v>
      </c>
      <c r="J1445" s="444">
        <f t="array" ref="J1445">IFERROR(INDEX('Retirement Calculator'!K:K,MATCH('Lorri 401b'!N1445,'Retirement Calculator'!A:A,0),0),0)</f>
        <v>0</v>
      </c>
      <c r="K1445" s="444">
        <f t="shared" ca="1" si="108"/>
        <v>-1328924.705573821</v>
      </c>
      <c r="L1445" s="444">
        <f t="shared" ca="1" si="109"/>
        <v>-320270854.04329085</v>
      </c>
      <c r="M1445" s="460">
        <f t="shared" si="111"/>
        <v>0.05</v>
      </c>
      <c r="N1445" s="464">
        <f t="shared" si="112"/>
        <v>95025</v>
      </c>
    </row>
    <row r="1446" spans="7:14" ht="11.25" customHeight="1" x14ac:dyDescent="0.25">
      <c r="G1446" s="459"/>
      <c r="H1446" s="459">
        <v>1439</v>
      </c>
      <c r="I1446" s="444">
        <f t="shared" ca="1" si="110"/>
        <v>-320270854.04329085</v>
      </c>
      <c r="J1446" s="444">
        <f t="array" ref="J1446">IFERROR(INDEX('Retirement Calculator'!K:K,MATCH('Lorri 401b'!N1446,'Retirement Calculator'!A:A,0),0),0)</f>
        <v>0</v>
      </c>
      <c r="K1446" s="444">
        <f t="shared" ca="1" si="108"/>
        <v>-1334461.8918470452</v>
      </c>
      <c r="L1446" s="444">
        <f t="shared" ca="1" si="109"/>
        <v>-321605315.93513793</v>
      </c>
      <c r="M1446" s="460">
        <f t="shared" si="111"/>
        <v>0.05</v>
      </c>
      <c r="N1446" s="464">
        <f t="shared" si="112"/>
        <v>95056</v>
      </c>
    </row>
    <row r="1447" spans="7:14" ht="11.25" customHeight="1" x14ac:dyDescent="0.25">
      <c r="G1447" s="459"/>
      <c r="H1447" s="459">
        <v>1440</v>
      </c>
      <c r="I1447" s="444">
        <f t="shared" ca="1" si="110"/>
        <v>-321605315.93513793</v>
      </c>
      <c r="J1447" s="444">
        <f t="array" ref="J1447">IFERROR(INDEX('Retirement Calculator'!K:K,MATCH('Lorri 401b'!N1447,'Retirement Calculator'!A:A,0),0),0)</f>
        <v>0</v>
      </c>
      <c r="K1447" s="444">
        <f t="shared" ca="1" si="108"/>
        <v>-1340022.1497297413</v>
      </c>
      <c r="L1447" s="444">
        <f t="shared" ca="1" si="109"/>
        <v>-322945338.08486766</v>
      </c>
      <c r="M1447" s="460">
        <f t="shared" si="111"/>
        <v>0.05</v>
      </c>
      <c r="N1447" s="464">
        <f t="shared" si="112"/>
        <v>95086</v>
      </c>
    </row>
    <row r="1448" spans="7:14" ht="11.25" customHeight="1" x14ac:dyDescent="0.25">
      <c r="G1448" s="459"/>
      <c r="H1448" s="459">
        <v>1441</v>
      </c>
      <c r="I1448" s="444">
        <f t="shared" ca="1" si="110"/>
        <v>-322945338.08486766</v>
      </c>
      <c r="J1448" s="444">
        <f t="array" ref="J1448">IFERROR(INDEX('Retirement Calculator'!K:K,MATCH('Lorri 401b'!N1448,'Retirement Calculator'!A:A,0),0),0)</f>
        <v>0</v>
      </c>
      <c r="K1448" s="444">
        <f t="shared" ca="1" si="108"/>
        <v>-1345605.5753536152</v>
      </c>
      <c r="L1448" s="444">
        <f t="shared" ca="1" si="109"/>
        <v>-324290943.66022128</v>
      </c>
      <c r="M1448" s="460">
        <f t="shared" si="111"/>
        <v>0.05</v>
      </c>
      <c r="N1448" s="464">
        <f t="shared" si="112"/>
        <v>95117</v>
      </c>
    </row>
    <row r="1449" spans="7:14" ht="11.25" customHeight="1" x14ac:dyDescent="0.25">
      <c r="G1449" s="459"/>
      <c r="H1449" s="459">
        <v>1442</v>
      </c>
      <c r="I1449" s="444">
        <f t="shared" ca="1" si="110"/>
        <v>-324290943.66022128</v>
      </c>
      <c r="J1449" s="444">
        <f t="array" ref="J1449">IFERROR(INDEX('Retirement Calculator'!K:K,MATCH('Lorri 401b'!N1449,'Retirement Calculator'!A:A,0),0),0)</f>
        <v>0</v>
      </c>
      <c r="K1449" s="444">
        <f t="shared" ca="1" si="108"/>
        <v>-1351212.2652509219</v>
      </c>
      <c r="L1449" s="444">
        <f t="shared" ca="1" si="109"/>
        <v>-325642155.9254722</v>
      </c>
      <c r="M1449" s="460">
        <f t="shared" si="111"/>
        <v>0.05</v>
      </c>
      <c r="N1449" s="464">
        <f t="shared" si="112"/>
        <v>95147</v>
      </c>
    </row>
    <row r="1450" spans="7:14" ht="11.25" customHeight="1" x14ac:dyDescent="0.25">
      <c r="G1450" s="459"/>
      <c r="H1450" s="459">
        <v>1443</v>
      </c>
      <c r="I1450" s="444">
        <f t="shared" ca="1" si="110"/>
        <v>-325642155.9254722</v>
      </c>
      <c r="J1450" s="444">
        <f t="array" ref="J1450">IFERROR(INDEX('Retirement Calculator'!K:K,MATCH('Lorri 401b'!N1450,'Retirement Calculator'!A:A,0),0),0)</f>
        <v>0</v>
      </c>
      <c r="K1450" s="444">
        <f t="shared" ca="1" si="108"/>
        <v>-1356842.3163561341</v>
      </c>
      <c r="L1450" s="444">
        <f t="shared" ca="1" si="109"/>
        <v>-326998998.24182832</v>
      </c>
      <c r="M1450" s="460">
        <f t="shared" si="111"/>
        <v>0.05</v>
      </c>
      <c r="N1450" s="464">
        <f t="shared" si="112"/>
        <v>95178</v>
      </c>
    </row>
    <row r="1451" spans="7:14" ht="11.25" customHeight="1" x14ac:dyDescent="0.25">
      <c r="G1451" s="459"/>
      <c r="H1451" s="459">
        <v>1444</v>
      </c>
      <c r="I1451" s="444">
        <f t="shared" ca="1" si="110"/>
        <v>-326998998.24182832</v>
      </c>
      <c r="J1451" s="444">
        <f t="array" ref="J1451">IFERROR(INDEX('Retirement Calculator'!K:K,MATCH('Lorri 401b'!N1451,'Retirement Calculator'!A:A,0),0),0)</f>
        <v>0</v>
      </c>
      <c r="K1451" s="444">
        <f t="shared" ca="1" si="108"/>
        <v>-1362495.8260076181</v>
      </c>
      <c r="L1451" s="444">
        <f t="shared" ca="1" si="109"/>
        <v>-328361494.06783593</v>
      </c>
      <c r="M1451" s="460">
        <f t="shared" si="111"/>
        <v>0.05</v>
      </c>
      <c r="N1451" s="464">
        <f t="shared" si="112"/>
        <v>95209</v>
      </c>
    </row>
    <row r="1452" spans="7:14" ht="11.25" customHeight="1" x14ac:dyDescent="0.25">
      <c r="G1452" s="459"/>
      <c r="H1452" s="459">
        <v>1445</v>
      </c>
      <c r="I1452" s="444">
        <f t="shared" ca="1" si="110"/>
        <v>-328361494.06783593</v>
      </c>
      <c r="J1452" s="444">
        <f t="array" ref="J1452">IFERROR(INDEX('Retirement Calculator'!K:K,MATCH('Lorri 401b'!N1452,'Retirement Calculator'!A:A,0),0),0)</f>
        <v>0</v>
      </c>
      <c r="K1452" s="444">
        <f t="shared" ca="1" si="108"/>
        <v>-1368172.8919493163</v>
      </c>
      <c r="L1452" s="444">
        <f t="shared" ca="1" si="109"/>
        <v>-329729666.95978522</v>
      </c>
      <c r="M1452" s="460">
        <f t="shared" si="111"/>
        <v>0.05</v>
      </c>
      <c r="N1452" s="464">
        <f t="shared" si="112"/>
        <v>95239</v>
      </c>
    </row>
    <row r="1453" spans="7:14" ht="11.25" customHeight="1" x14ac:dyDescent="0.25">
      <c r="G1453" s="459"/>
      <c r="H1453" s="459">
        <v>1446</v>
      </c>
      <c r="I1453" s="444">
        <f t="shared" ca="1" si="110"/>
        <v>-329729666.95978522</v>
      </c>
      <c r="J1453" s="444">
        <f t="array" ref="J1453">IFERROR(INDEX('Retirement Calculator'!K:K,MATCH('Lorri 401b'!N1453,'Retirement Calculator'!A:A,0),0),0)</f>
        <v>0</v>
      </c>
      <c r="K1453" s="444">
        <f t="shared" ca="1" si="108"/>
        <v>-1373873.6123324384</v>
      </c>
      <c r="L1453" s="444">
        <f t="shared" ca="1" si="109"/>
        <v>-331103540.57211769</v>
      </c>
      <c r="M1453" s="460">
        <f t="shared" si="111"/>
        <v>0.05</v>
      </c>
      <c r="N1453" s="464">
        <f t="shared" si="112"/>
        <v>95270</v>
      </c>
    </row>
    <row r="1454" spans="7:14" ht="11.25" customHeight="1" x14ac:dyDescent="0.25">
      <c r="G1454" s="459"/>
      <c r="H1454" s="459">
        <v>1447</v>
      </c>
      <c r="I1454" s="444">
        <f t="shared" ca="1" si="110"/>
        <v>-331103540.57211769</v>
      </c>
      <c r="J1454" s="444">
        <f t="array" ref="J1454">IFERROR(INDEX('Retirement Calculator'!K:K,MATCH('Lorri 401b'!N1454,'Retirement Calculator'!A:A,0),0),0)</f>
        <v>0</v>
      </c>
      <c r="K1454" s="444">
        <f t="shared" ca="1" si="108"/>
        <v>-1379598.085717157</v>
      </c>
      <c r="L1454" s="444">
        <f t="shared" ca="1" si="109"/>
        <v>-332483138.65783483</v>
      </c>
      <c r="M1454" s="460">
        <f t="shared" si="111"/>
        <v>0.05</v>
      </c>
      <c r="N1454" s="464">
        <f t="shared" si="112"/>
        <v>95300</v>
      </c>
    </row>
    <row r="1455" spans="7:14" ht="11.25" customHeight="1" x14ac:dyDescent="0.25">
      <c r="G1455" s="459"/>
      <c r="H1455" s="459">
        <v>1448</v>
      </c>
      <c r="I1455" s="444">
        <f t="shared" ca="1" si="110"/>
        <v>-332483138.65783483</v>
      </c>
      <c r="J1455" s="444">
        <f t="array" ref="J1455">IFERROR(INDEX('Retirement Calculator'!K:K,MATCH('Lorri 401b'!N1455,'Retirement Calculator'!A:A,0),0),0)</f>
        <v>0</v>
      </c>
      <c r="K1455" s="444">
        <f t="shared" ca="1" si="108"/>
        <v>-1385346.4110743117</v>
      </c>
      <c r="L1455" s="444">
        <f t="shared" ca="1" si="109"/>
        <v>-333868485.06890917</v>
      </c>
      <c r="M1455" s="460">
        <f t="shared" si="111"/>
        <v>0.05</v>
      </c>
      <c r="N1455" s="464">
        <f t="shared" si="112"/>
        <v>95331</v>
      </c>
    </row>
    <row r="1456" spans="7:14" ht="11.25" customHeight="1" x14ac:dyDescent="0.25">
      <c r="G1456" s="459"/>
      <c r="H1456" s="459">
        <v>1449</v>
      </c>
      <c r="I1456" s="444">
        <f t="shared" ca="1" si="110"/>
        <v>-333868485.06890917</v>
      </c>
      <c r="J1456" s="444">
        <f t="array" ref="J1456">IFERROR(INDEX('Retirement Calculator'!K:K,MATCH('Lorri 401b'!N1456,'Retirement Calculator'!A:A,0),0),0)</f>
        <v>0</v>
      </c>
      <c r="K1456" s="444">
        <f t="shared" ca="1" si="108"/>
        <v>-1391118.6877871216</v>
      </c>
      <c r="L1456" s="444">
        <f t="shared" ca="1" si="109"/>
        <v>-335259603.75669628</v>
      </c>
      <c r="M1456" s="460">
        <f t="shared" si="111"/>
        <v>0.05</v>
      </c>
      <c r="N1456" s="464">
        <f t="shared" si="112"/>
        <v>95362</v>
      </c>
    </row>
    <row r="1457" spans="7:14" ht="11.25" customHeight="1" x14ac:dyDescent="0.25">
      <c r="G1457" s="459"/>
      <c r="H1457" s="459">
        <v>1450</v>
      </c>
      <c r="I1457" s="444">
        <f t="shared" ca="1" si="110"/>
        <v>-335259603.75669628</v>
      </c>
      <c r="J1457" s="444">
        <f t="array" ref="J1457">IFERROR(INDEX('Retirement Calculator'!K:K,MATCH('Lorri 401b'!N1457,'Retirement Calculator'!A:A,0),0),0)</f>
        <v>0</v>
      </c>
      <c r="K1457" s="444">
        <f t="shared" ca="1" si="108"/>
        <v>-1396915.0156529013</v>
      </c>
      <c r="L1457" s="444">
        <f t="shared" ca="1" si="109"/>
        <v>-336656518.77234918</v>
      </c>
      <c r="M1457" s="460">
        <f t="shared" si="111"/>
        <v>0.05</v>
      </c>
      <c r="N1457" s="464">
        <f t="shared" si="112"/>
        <v>95390</v>
      </c>
    </row>
    <row r="1458" spans="7:14" ht="11.25" customHeight="1" x14ac:dyDescent="0.25">
      <c r="G1458" s="459"/>
      <c r="H1458" s="459">
        <v>1451</v>
      </c>
      <c r="I1458" s="444">
        <f t="shared" ca="1" si="110"/>
        <v>-336656518.77234918</v>
      </c>
      <c r="J1458" s="444">
        <f t="array" ref="J1458">IFERROR(INDEX('Retirement Calculator'!K:K,MATCH('Lorri 401b'!N1458,'Retirement Calculator'!A:A,0),0),0)</f>
        <v>0</v>
      </c>
      <c r="K1458" s="444">
        <f t="shared" ca="1" si="108"/>
        <v>-1402735.4948847883</v>
      </c>
      <c r="L1458" s="444">
        <f t="shared" ca="1" si="109"/>
        <v>-338059254.26723397</v>
      </c>
      <c r="M1458" s="460">
        <f t="shared" si="111"/>
        <v>0.05</v>
      </c>
      <c r="N1458" s="464">
        <f t="shared" si="112"/>
        <v>95421</v>
      </c>
    </row>
    <row r="1459" spans="7:14" ht="11.25" customHeight="1" x14ac:dyDescent="0.25">
      <c r="G1459" s="459"/>
      <c r="H1459" s="459">
        <v>1452</v>
      </c>
      <c r="I1459" s="444">
        <f t="shared" ca="1" si="110"/>
        <v>-338059254.26723397</v>
      </c>
      <c r="J1459" s="444">
        <f t="array" ref="J1459">IFERROR(INDEX('Retirement Calculator'!K:K,MATCH('Lorri 401b'!N1459,'Retirement Calculator'!A:A,0),0),0)</f>
        <v>0</v>
      </c>
      <c r="K1459" s="444">
        <f t="shared" ca="1" si="108"/>
        <v>-1408580.2261134749</v>
      </c>
      <c r="L1459" s="444">
        <f t="shared" ca="1" si="109"/>
        <v>-339467834.49334747</v>
      </c>
      <c r="M1459" s="460">
        <f t="shared" si="111"/>
        <v>0.05</v>
      </c>
      <c r="N1459" s="464">
        <f t="shared" si="112"/>
        <v>95451</v>
      </c>
    </row>
    <row r="1460" spans="7:14" ht="11.25" customHeight="1" x14ac:dyDescent="0.25">
      <c r="G1460" s="459"/>
      <c r="H1460" s="459">
        <v>1453</v>
      </c>
      <c r="I1460" s="444">
        <f t="shared" ca="1" si="110"/>
        <v>-339467834.49334747</v>
      </c>
      <c r="J1460" s="444">
        <f t="array" ref="J1460">IFERROR(INDEX('Retirement Calculator'!K:K,MATCH('Lorri 401b'!N1460,'Retirement Calculator'!A:A,0),0),0)</f>
        <v>0</v>
      </c>
      <c r="K1460" s="444">
        <f t="shared" ca="1" si="108"/>
        <v>-1414449.3103889478</v>
      </c>
      <c r="L1460" s="444">
        <f t="shared" ca="1" si="109"/>
        <v>-340882283.80373639</v>
      </c>
      <c r="M1460" s="460">
        <f t="shared" si="111"/>
        <v>0.05</v>
      </c>
      <c r="N1460" s="464">
        <f t="shared" si="112"/>
        <v>95482</v>
      </c>
    </row>
    <row r="1461" spans="7:14" ht="11.25" customHeight="1" x14ac:dyDescent="0.25">
      <c r="G1461" s="459"/>
      <c r="H1461" s="459">
        <v>1454</v>
      </c>
      <c r="I1461" s="444">
        <f t="shared" ca="1" si="110"/>
        <v>-340882283.80373639</v>
      </c>
      <c r="J1461" s="444">
        <f t="array" ref="J1461">IFERROR(INDEX('Retirement Calculator'!K:K,MATCH('Lorri 401b'!N1461,'Retirement Calculator'!A:A,0),0),0)</f>
        <v>0</v>
      </c>
      <c r="K1461" s="444">
        <f t="shared" ca="1" si="108"/>
        <v>-1420342.8491822348</v>
      </c>
      <c r="L1461" s="444">
        <f t="shared" ca="1" si="109"/>
        <v>-342302626.65291864</v>
      </c>
      <c r="M1461" s="460">
        <f t="shared" si="111"/>
        <v>0.05</v>
      </c>
      <c r="N1461" s="464">
        <f t="shared" si="112"/>
        <v>95512</v>
      </c>
    </row>
    <row r="1462" spans="7:14" ht="11.25" customHeight="1" x14ac:dyDescent="0.25">
      <c r="G1462" s="459"/>
      <c r="H1462" s="459">
        <v>1455</v>
      </c>
      <c r="I1462" s="444">
        <f t="shared" ca="1" si="110"/>
        <v>-342302626.65291864</v>
      </c>
      <c r="J1462" s="444">
        <f t="array" ref="J1462">IFERROR(INDEX('Retirement Calculator'!K:K,MATCH('Lorri 401b'!N1462,'Retirement Calculator'!A:A,0),0),0)</f>
        <v>0</v>
      </c>
      <c r="K1462" s="444">
        <f t="shared" ca="1" si="108"/>
        <v>-1426260.9443871609</v>
      </c>
      <c r="L1462" s="444">
        <f t="shared" ca="1" si="109"/>
        <v>-343728887.59730577</v>
      </c>
      <c r="M1462" s="460">
        <f t="shared" si="111"/>
        <v>0.05</v>
      </c>
      <c r="N1462" s="464">
        <f t="shared" si="112"/>
        <v>95543</v>
      </c>
    </row>
    <row r="1463" spans="7:14" ht="11.25" customHeight="1" x14ac:dyDescent="0.25">
      <c r="G1463" s="459"/>
      <c r="H1463" s="459">
        <v>1456</v>
      </c>
      <c r="I1463" s="444">
        <f t="shared" ca="1" si="110"/>
        <v>-343728887.59730577</v>
      </c>
      <c r="J1463" s="444">
        <f t="array" ref="J1463">IFERROR(INDEX('Retirement Calculator'!K:K,MATCH('Lorri 401b'!N1463,'Retirement Calculator'!A:A,0),0),0)</f>
        <v>0</v>
      </c>
      <c r="K1463" s="444">
        <f t="shared" ca="1" si="108"/>
        <v>-1432203.6983221073</v>
      </c>
      <c r="L1463" s="444">
        <f t="shared" ca="1" si="109"/>
        <v>-345161091.29562789</v>
      </c>
      <c r="M1463" s="460">
        <f t="shared" si="111"/>
        <v>0.05</v>
      </c>
      <c r="N1463" s="464">
        <f t="shared" si="112"/>
        <v>95574</v>
      </c>
    </row>
    <row r="1464" spans="7:14" ht="11.25" customHeight="1" x14ac:dyDescent="0.25">
      <c r="G1464" s="459"/>
      <c r="H1464" s="459">
        <v>1457</v>
      </c>
      <c r="I1464" s="444">
        <f t="shared" ca="1" si="110"/>
        <v>-345161091.29562789</v>
      </c>
      <c r="J1464" s="444">
        <f t="array" ref="J1464">IFERROR(INDEX('Retirement Calculator'!K:K,MATCH('Lorri 401b'!N1464,'Retirement Calculator'!A:A,0),0),0)</f>
        <v>0</v>
      </c>
      <c r="K1464" s="444">
        <f t="shared" ca="1" si="108"/>
        <v>-1438171.213731783</v>
      </c>
      <c r="L1464" s="444">
        <f t="shared" ca="1" si="109"/>
        <v>-346599262.50935966</v>
      </c>
      <c r="M1464" s="460">
        <f t="shared" si="111"/>
        <v>0.05</v>
      </c>
      <c r="N1464" s="464">
        <f t="shared" si="112"/>
        <v>95604</v>
      </c>
    </row>
    <row r="1465" spans="7:14" ht="11.25" customHeight="1" x14ac:dyDescent="0.25">
      <c r="G1465" s="459"/>
      <c r="H1465" s="459">
        <v>1458</v>
      </c>
      <c r="I1465" s="444">
        <f t="shared" ca="1" si="110"/>
        <v>-346599262.50935966</v>
      </c>
      <c r="J1465" s="444">
        <f t="array" ref="J1465">IFERROR(INDEX('Retirement Calculator'!K:K,MATCH('Lorri 401b'!N1465,'Retirement Calculator'!A:A,0),0),0)</f>
        <v>0</v>
      </c>
      <c r="K1465" s="444">
        <f t="shared" ca="1" si="108"/>
        <v>-1444163.5937889987</v>
      </c>
      <c r="L1465" s="444">
        <f t="shared" ca="1" si="109"/>
        <v>-348043426.10314864</v>
      </c>
      <c r="M1465" s="460">
        <f t="shared" si="111"/>
        <v>0.05</v>
      </c>
      <c r="N1465" s="464">
        <f t="shared" si="112"/>
        <v>95635</v>
      </c>
    </row>
    <row r="1466" spans="7:14" ht="11.25" customHeight="1" x14ac:dyDescent="0.25">
      <c r="G1466" s="459"/>
      <c r="H1466" s="459">
        <v>1459</v>
      </c>
      <c r="I1466" s="444">
        <f t="shared" ca="1" si="110"/>
        <v>-348043426.10314864</v>
      </c>
      <c r="J1466" s="444">
        <f t="array" ref="J1466">IFERROR(INDEX('Retirement Calculator'!K:K,MATCH('Lorri 401b'!N1466,'Retirement Calculator'!A:A,0),0),0)</f>
        <v>0</v>
      </c>
      <c r="K1466" s="444">
        <f t="shared" ca="1" si="108"/>
        <v>-1450180.9420964527</v>
      </c>
      <c r="L1466" s="444">
        <f t="shared" ca="1" si="109"/>
        <v>-349493607.04524511</v>
      </c>
      <c r="M1466" s="460">
        <f t="shared" si="111"/>
        <v>0.05</v>
      </c>
      <c r="N1466" s="464">
        <f t="shared" si="112"/>
        <v>95665</v>
      </c>
    </row>
    <row r="1467" spans="7:14" ht="11.25" customHeight="1" x14ac:dyDescent="0.25">
      <c r="G1467" s="459"/>
      <c r="H1467" s="459">
        <v>1460</v>
      </c>
      <c r="I1467" s="444">
        <f t="shared" ca="1" si="110"/>
        <v>-349493607.04524511</v>
      </c>
      <c r="J1467" s="444">
        <f t="array" ref="J1467">IFERROR(INDEX('Retirement Calculator'!K:K,MATCH('Lorri 401b'!N1467,'Retirement Calculator'!A:A,0),0),0)</f>
        <v>0</v>
      </c>
      <c r="K1467" s="444">
        <f t="shared" ca="1" si="108"/>
        <v>-1456223.3626885214</v>
      </c>
      <c r="L1467" s="444">
        <f t="shared" ca="1" si="109"/>
        <v>-350949830.40793365</v>
      </c>
      <c r="M1467" s="460">
        <f t="shared" si="111"/>
        <v>0.05</v>
      </c>
      <c r="N1467" s="464">
        <f t="shared" si="112"/>
        <v>95696</v>
      </c>
    </row>
    <row r="1468" spans="7:14" ht="11.25" customHeight="1" x14ac:dyDescent="0.25">
      <c r="G1468" s="459"/>
      <c r="H1468" s="459">
        <v>1461</v>
      </c>
      <c r="I1468" s="444">
        <f t="shared" ca="1" si="110"/>
        <v>-350949830.40793365</v>
      </c>
      <c r="J1468" s="444">
        <f t="array" ref="J1468">IFERROR(INDEX('Retirement Calculator'!K:K,MATCH('Lorri 401b'!N1468,'Retirement Calculator'!A:A,0),0),0)</f>
        <v>0</v>
      </c>
      <c r="K1468" s="444">
        <f t="shared" ca="1" si="108"/>
        <v>-1462290.9600330568</v>
      </c>
      <c r="L1468" s="444">
        <f t="shared" ca="1" si="109"/>
        <v>-352412121.36796671</v>
      </c>
      <c r="M1468" s="460">
        <f t="shared" si="111"/>
        <v>0.05</v>
      </c>
      <c r="N1468" s="464">
        <f t="shared" si="112"/>
        <v>95727</v>
      </c>
    </row>
    <row r="1469" spans="7:14" ht="11.25" customHeight="1" x14ac:dyDescent="0.25">
      <c r="G1469" s="459"/>
      <c r="H1469" s="459">
        <v>1462</v>
      </c>
      <c r="I1469" s="444">
        <f t="shared" ca="1" si="110"/>
        <v>-352412121.36796671</v>
      </c>
      <c r="J1469" s="444">
        <f t="array" ref="J1469">IFERROR(INDEX('Retirement Calculator'!K:K,MATCH('Lorri 401b'!N1469,'Retirement Calculator'!A:A,0),0),0)</f>
        <v>0</v>
      </c>
      <c r="K1469" s="444">
        <f t="shared" ca="1" si="108"/>
        <v>-1468383.8390331946</v>
      </c>
      <c r="L1469" s="444">
        <f t="shared" ca="1" si="109"/>
        <v>-353880505.2069999</v>
      </c>
      <c r="M1469" s="460">
        <f t="shared" si="111"/>
        <v>0.05</v>
      </c>
      <c r="N1469" s="464">
        <f t="shared" si="112"/>
        <v>95755</v>
      </c>
    </row>
    <row r="1470" spans="7:14" ht="11.25" customHeight="1" x14ac:dyDescent="0.25">
      <c r="G1470" s="459"/>
      <c r="H1470" s="459">
        <v>1463</v>
      </c>
      <c r="I1470" s="444">
        <f t="shared" ca="1" si="110"/>
        <v>-353880505.2069999</v>
      </c>
      <c r="J1470" s="444">
        <f t="array" ref="J1470">IFERROR(INDEX('Retirement Calculator'!K:K,MATCH('Lorri 401b'!N1470,'Retirement Calculator'!A:A,0),0),0)</f>
        <v>0</v>
      </c>
      <c r="K1470" s="444">
        <f t="shared" ca="1" si="108"/>
        <v>-1474502.1050291662</v>
      </c>
      <c r="L1470" s="444">
        <f t="shared" ca="1" si="109"/>
        <v>-355355007.31202906</v>
      </c>
      <c r="M1470" s="460">
        <f t="shared" si="111"/>
        <v>0.05</v>
      </c>
      <c r="N1470" s="464">
        <f t="shared" si="112"/>
        <v>95786</v>
      </c>
    </row>
    <row r="1471" spans="7:14" ht="11.25" customHeight="1" x14ac:dyDescent="0.25">
      <c r="G1471" s="459"/>
      <c r="H1471" s="459">
        <v>1464</v>
      </c>
      <c r="I1471" s="444">
        <f t="shared" ca="1" si="110"/>
        <v>-355355007.31202906</v>
      </c>
      <c r="J1471" s="444">
        <f t="array" ref="J1471">IFERROR(INDEX('Retirement Calculator'!K:K,MATCH('Lorri 401b'!N1471,'Retirement Calculator'!A:A,0),0),0)</f>
        <v>0</v>
      </c>
      <c r="K1471" s="444">
        <f t="shared" ca="1" si="108"/>
        <v>-1480645.863800121</v>
      </c>
      <c r="L1471" s="444">
        <f t="shared" ca="1" si="109"/>
        <v>-356835653.17582917</v>
      </c>
      <c r="M1471" s="460">
        <f t="shared" si="111"/>
        <v>0.05</v>
      </c>
      <c r="N1471" s="464">
        <f t="shared" si="112"/>
        <v>95816</v>
      </c>
    </row>
    <row r="1472" spans="7:14" ht="11.25" customHeight="1" x14ac:dyDescent="0.25">
      <c r="G1472" s="459"/>
      <c r="H1472" s="459">
        <v>1465</v>
      </c>
      <c r="I1472" s="444">
        <f t="shared" ca="1" si="110"/>
        <v>-356835653.17582917</v>
      </c>
      <c r="J1472" s="444">
        <f t="array" ref="J1472">IFERROR(INDEX('Retirement Calculator'!K:K,MATCH('Lorri 401b'!N1472,'Retirement Calculator'!A:A,0),0),0)</f>
        <v>0</v>
      </c>
      <c r="K1472" s="444">
        <f t="shared" ca="1" si="108"/>
        <v>-1486815.2215659549</v>
      </c>
      <c r="L1472" s="444">
        <f t="shared" ca="1" si="109"/>
        <v>-358322468.39739513</v>
      </c>
      <c r="M1472" s="460">
        <f t="shared" si="111"/>
        <v>0.05</v>
      </c>
      <c r="N1472" s="464">
        <f t="shared" si="112"/>
        <v>95847</v>
      </c>
    </row>
    <row r="1473" spans="7:14" ht="11.25" customHeight="1" x14ac:dyDescent="0.25">
      <c r="G1473" s="459"/>
      <c r="H1473" s="459">
        <v>1466</v>
      </c>
      <c r="I1473" s="444">
        <f t="shared" ca="1" si="110"/>
        <v>-358322468.39739513</v>
      </c>
      <c r="J1473" s="444">
        <f t="array" ref="J1473">IFERROR(INDEX('Retirement Calculator'!K:K,MATCH('Lorri 401b'!N1473,'Retirement Calculator'!A:A,0),0),0)</f>
        <v>0</v>
      </c>
      <c r="K1473" s="444">
        <f t="shared" ca="1" si="108"/>
        <v>-1493010.2849891463</v>
      </c>
      <c r="L1473" s="444">
        <f t="shared" ca="1" si="109"/>
        <v>-359815478.68238425</v>
      </c>
      <c r="M1473" s="460">
        <f t="shared" si="111"/>
        <v>0.05</v>
      </c>
      <c r="N1473" s="464">
        <f t="shared" si="112"/>
        <v>95877</v>
      </c>
    </row>
    <row r="1474" spans="7:14" ht="11.25" customHeight="1" x14ac:dyDescent="0.25">
      <c r="G1474" s="459"/>
      <c r="H1474" s="459">
        <v>1467</v>
      </c>
      <c r="I1474" s="444">
        <f t="shared" ca="1" si="110"/>
        <v>-359815478.68238425</v>
      </c>
      <c r="J1474" s="444">
        <f t="array" ref="J1474">IFERROR(INDEX('Retirement Calculator'!K:K,MATCH('Lorri 401b'!N1474,'Retirement Calculator'!A:A,0),0),0)</f>
        <v>0</v>
      </c>
      <c r="K1474" s="444">
        <f t="shared" ca="1" si="108"/>
        <v>-1499231.161176601</v>
      </c>
      <c r="L1474" s="444">
        <f t="shared" ca="1" si="109"/>
        <v>-361314709.84356087</v>
      </c>
      <c r="M1474" s="460">
        <f t="shared" si="111"/>
        <v>0.05</v>
      </c>
      <c r="N1474" s="464">
        <f t="shared" si="112"/>
        <v>95908</v>
      </c>
    </row>
    <row r="1475" spans="7:14" ht="11.25" customHeight="1" x14ac:dyDescent="0.25">
      <c r="G1475" s="459"/>
      <c r="H1475" s="459">
        <v>1468</v>
      </c>
      <c r="I1475" s="444">
        <f t="shared" ca="1" si="110"/>
        <v>-361314709.84356087</v>
      </c>
      <c r="J1475" s="444">
        <f t="array" ref="J1475">IFERROR(INDEX('Retirement Calculator'!K:K,MATCH('Lorri 401b'!N1475,'Retirement Calculator'!A:A,0),0),0)</f>
        <v>0</v>
      </c>
      <c r="K1475" s="444">
        <f t="shared" ca="1" si="108"/>
        <v>-1505477.9576815036</v>
      </c>
      <c r="L1475" s="444">
        <f t="shared" ca="1" si="109"/>
        <v>-362820187.80124235</v>
      </c>
      <c r="M1475" s="460">
        <f t="shared" si="111"/>
        <v>0.05</v>
      </c>
      <c r="N1475" s="464">
        <f t="shared" si="112"/>
        <v>95939</v>
      </c>
    </row>
    <row r="1476" spans="7:14" ht="11.25" customHeight="1" x14ac:dyDescent="0.25">
      <c r="G1476" s="459"/>
      <c r="H1476" s="459">
        <v>1469</v>
      </c>
      <c r="I1476" s="444">
        <f t="shared" ca="1" si="110"/>
        <v>-362820187.80124235</v>
      </c>
      <c r="J1476" s="444">
        <f t="array" ref="J1476">IFERROR(INDEX('Retirement Calculator'!K:K,MATCH('Lorri 401b'!N1476,'Retirement Calculator'!A:A,0),0),0)</f>
        <v>0</v>
      </c>
      <c r="K1476" s="444">
        <f t="shared" ca="1" si="108"/>
        <v>-1511750.7825051765</v>
      </c>
      <c r="L1476" s="444">
        <f t="shared" ca="1" si="109"/>
        <v>-364331938.58374751</v>
      </c>
      <c r="M1476" s="460">
        <f t="shared" si="111"/>
        <v>0.05</v>
      </c>
      <c r="N1476" s="464">
        <f t="shared" si="112"/>
        <v>95969</v>
      </c>
    </row>
    <row r="1477" spans="7:14" ht="11.25" customHeight="1" x14ac:dyDescent="0.25">
      <c r="G1477" s="459"/>
      <c r="H1477" s="459">
        <v>1470</v>
      </c>
      <c r="I1477" s="444">
        <f t="shared" ca="1" si="110"/>
        <v>-364331938.58374751</v>
      </c>
      <c r="J1477" s="444">
        <f t="array" ref="J1477">IFERROR(INDEX('Retirement Calculator'!K:K,MATCH('Lorri 401b'!N1477,'Retirement Calculator'!A:A,0),0),0)</f>
        <v>0</v>
      </c>
      <c r="K1477" s="444">
        <f t="shared" ca="1" si="108"/>
        <v>-1518049.7440989478</v>
      </c>
      <c r="L1477" s="444">
        <f t="shared" ca="1" si="109"/>
        <v>-365849988.32784647</v>
      </c>
      <c r="M1477" s="460">
        <f t="shared" si="111"/>
        <v>0.05</v>
      </c>
      <c r="N1477" s="464">
        <f t="shared" si="112"/>
        <v>96000</v>
      </c>
    </row>
    <row r="1478" spans="7:14" ht="11.25" customHeight="1" x14ac:dyDescent="0.25">
      <c r="G1478" s="459"/>
      <c r="H1478" s="459">
        <v>1471</v>
      </c>
      <c r="I1478" s="444">
        <f t="shared" ca="1" si="110"/>
        <v>-365849988.32784647</v>
      </c>
      <c r="J1478" s="444">
        <f t="array" ref="J1478">IFERROR(INDEX('Retirement Calculator'!K:K,MATCH('Lorri 401b'!N1478,'Retirement Calculator'!A:A,0),0),0)</f>
        <v>0</v>
      </c>
      <c r="K1478" s="444">
        <f t="shared" ca="1" si="108"/>
        <v>-1524374.9513660269</v>
      </c>
      <c r="L1478" s="444">
        <f t="shared" ca="1" si="109"/>
        <v>-367374363.27921247</v>
      </c>
      <c r="M1478" s="460">
        <f t="shared" si="111"/>
        <v>0.05</v>
      </c>
      <c r="N1478" s="464">
        <f t="shared" si="112"/>
        <v>96030</v>
      </c>
    </row>
    <row r="1479" spans="7:14" ht="11.25" customHeight="1" x14ac:dyDescent="0.25">
      <c r="G1479" s="459"/>
      <c r="H1479" s="459">
        <v>1472</v>
      </c>
      <c r="I1479" s="444">
        <f t="shared" ca="1" si="110"/>
        <v>-367374363.27921247</v>
      </c>
      <c r="J1479" s="444">
        <f t="array" ref="J1479">IFERROR(INDEX('Retirement Calculator'!K:K,MATCH('Lorri 401b'!N1479,'Retirement Calculator'!A:A,0),0),0)</f>
        <v>0</v>
      </c>
      <c r="K1479" s="444">
        <f t="shared" ca="1" si="108"/>
        <v>-1530726.5136633853</v>
      </c>
      <c r="L1479" s="444">
        <f t="shared" ca="1" si="109"/>
        <v>-368905089.79287589</v>
      </c>
      <c r="M1479" s="460">
        <f t="shared" si="111"/>
        <v>0.05</v>
      </c>
      <c r="N1479" s="464">
        <f t="shared" si="112"/>
        <v>96061</v>
      </c>
    </row>
    <row r="1480" spans="7:14" ht="11.25" customHeight="1" x14ac:dyDescent="0.25">
      <c r="G1480" s="459"/>
      <c r="H1480" s="459">
        <v>1473</v>
      </c>
      <c r="I1480" s="444">
        <f t="shared" ca="1" si="110"/>
        <v>-368905089.79287589</v>
      </c>
      <c r="J1480" s="444">
        <f t="array" ref="J1480">IFERROR(INDEX('Retirement Calculator'!K:K,MATCH('Lorri 401b'!N1480,'Retirement Calculator'!A:A,0),0),0)</f>
        <v>0</v>
      </c>
      <c r="K1480" s="444">
        <f t="shared" ca="1" si="108"/>
        <v>-1537104.5408036495</v>
      </c>
      <c r="L1480" s="444">
        <f t="shared" ca="1" si="109"/>
        <v>-370442194.33367956</v>
      </c>
      <c r="M1480" s="460">
        <f t="shared" si="111"/>
        <v>0.05</v>
      </c>
      <c r="N1480" s="464">
        <f t="shared" si="112"/>
        <v>96092</v>
      </c>
    </row>
    <row r="1481" spans="7:14" ht="11.25" customHeight="1" x14ac:dyDescent="0.25">
      <c r="G1481" s="459"/>
      <c r="H1481" s="459">
        <v>1474</v>
      </c>
      <c r="I1481" s="444">
        <f t="shared" ca="1" si="110"/>
        <v>-370442194.33367956</v>
      </c>
      <c r="J1481" s="444">
        <f t="array" ref="J1481">IFERROR(INDEX('Retirement Calculator'!K:K,MATCH('Lorri 401b'!N1481,'Retirement Calculator'!A:A,0),0),0)</f>
        <v>0</v>
      </c>
      <c r="K1481" s="444">
        <f t="shared" ca="1" si="108"/>
        <v>-1543509.143056998</v>
      </c>
      <c r="L1481" s="444">
        <f t="shared" ca="1" si="109"/>
        <v>-371985703.47673655</v>
      </c>
      <c r="M1481" s="460">
        <f t="shared" si="111"/>
        <v>0.05</v>
      </c>
      <c r="N1481" s="464">
        <f t="shared" si="112"/>
        <v>96120</v>
      </c>
    </row>
    <row r="1482" spans="7:14" ht="11.25" customHeight="1" x14ac:dyDescent="0.25">
      <c r="G1482" s="459"/>
      <c r="H1482" s="459">
        <v>1475</v>
      </c>
      <c r="I1482" s="444">
        <f t="shared" ca="1" si="110"/>
        <v>-371985703.47673655</v>
      </c>
      <c r="J1482" s="444">
        <f t="array" ref="J1482">IFERROR(INDEX('Retirement Calculator'!K:K,MATCH('Lorri 401b'!N1482,'Retirement Calculator'!A:A,0),0),0)</f>
        <v>0</v>
      </c>
      <c r="K1482" s="444">
        <f t="shared" ca="1" si="108"/>
        <v>-1549940.431153069</v>
      </c>
      <c r="L1482" s="444">
        <f t="shared" ca="1" si="109"/>
        <v>-373535643.9078896</v>
      </c>
      <c r="M1482" s="460">
        <f t="shared" si="111"/>
        <v>0.05</v>
      </c>
      <c r="N1482" s="464">
        <f t="shared" si="112"/>
        <v>96151</v>
      </c>
    </row>
    <row r="1483" spans="7:14" ht="11.25" customHeight="1" x14ac:dyDescent="0.25">
      <c r="G1483" s="459"/>
      <c r="H1483" s="459">
        <v>1476</v>
      </c>
      <c r="I1483" s="444">
        <f t="shared" ca="1" si="110"/>
        <v>-373535643.9078896</v>
      </c>
      <c r="J1483" s="444">
        <f t="array" ref="J1483">IFERROR(INDEX('Retirement Calculator'!K:K,MATCH('Lorri 401b'!N1483,'Retirement Calculator'!A:A,0),0),0)</f>
        <v>0</v>
      </c>
      <c r="K1483" s="444">
        <f t="shared" ca="1" si="108"/>
        <v>-1556398.5162828732</v>
      </c>
      <c r="L1483" s="444">
        <f t="shared" ca="1" si="109"/>
        <v>-375092042.42417246</v>
      </c>
      <c r="M1483" s="460">
        <f t="shared" si="111"/>
        <v>0.05</v>
      </c>
      <c r="N1483" s="464">
        <f t="shared" si="112"/>
        <v>96181</v>
      </c>
    </row>
    <row r="1484" spans="7:14" ht="11.25" customHeight="1" x14ac:dyDescent="0.25">
      <c r="G1484" s="459"/>
      <c r="H1484" s="459">
        <v>1477</v>
      </c>
      <c r="I1484" s="444">
        <f t="shared" ca="1" si="110"/>
        <v>-375092042.42417246</v>
      </c>
      <c r="J1484" s="444">
        <f t="array" ref="J1484">IFERROR(INDEX('Retirement Calculator'!K:K,MATCH('Lorri 401b'!N1484,'Retirement Calculator'!A:A,0),0),0)</f>
        <v>0</v>
      </c>
      <c r="K1484" s="444">
        <f t="shared" ca="1" si="108"/>
        <v>-1562883.5101007186</v>
      </c>
      <c r="L1484" s="444">
        <f t="shared" ca="1" si="109"/>
        <v>-376654925.93427318</v>
      </c>
      <c r="M1484" s="460">
        <f t="shared" si="111"/>
        <v>0.05</v>
      </c>
      <c r="N1484" s="464">
        <f t="shared" si="112"/>
        <v>96212</v>
      </c>
    </row>
    <row r="1485" spans="7:14" ht="11.25" customHeight="1" x14ac:dyDescent="0.25">
      <c r="G1485" s="459"/>
      <c r="H1485" s="459">
        <v>1478</v>
      </c>
      <c r="I1485" s="444">
        <f t="shared" ca="1" si="110"/>
        <v>-376654925.93427318</v>
      </c>
      <c r="J1485" s="444">
        <f t="array" ref="J1485">IFERROR(INDEX('Retirement Calculator'!K:K,MATCH('Lorri 401b'!N1485,'Retirement Calculator'!A:A,0),0),0)</f>
        <v>0</v>
      </c>
      <c r="K1485" s="444">
        <f t="shared" ca="1" si="108"/>
        <v>-1569395.5247261382</v>
      </c>
      <c r="L1485" s="444">
        <f t="shared" ca="1" si="109"/>
        <v>-378224321.45899934</v>
      </c>
      <c r="M1485" s="460">
        <f t="shared" si="111"/>
        <v>0.05</v>
      </c>
      <c r="N1485" s="464">
        <f t="shared" si="112"/>
        <v>96242</v>
      </c>
    </row>
    <row r="1486" spans="7:14" ht="11.25" customHeight="1" x14ac:dyDescent="0.25">
      <c r="G1486" s="459"/>
      <c r="H1486" s="459">
        <v>1479</v>
      </c>
      <c r="I1486" s="444">
        <f t="shared" ca="1" si="110"/>
        <v>-378224321.45899934</v>
      </c>
      <c r="J1486" s="444">
        <f t="array" ref="J1486">IFERROR(INDEX('Retirement Calculator'!K:K,MATCH('Lorri 401b'!N1486,'Retirement Calculator'!A:A,0),0),0)</f>
        <v>0</v>
      </c>
      <c r="K1486" s="444">
        <f t="shared" ca="1" si="108"/>
        <v>-1575934.6727458306</v>
      </c>
      <c r="L1486" s="444">
        <f t="shared" ca="1" si="109"/>
        <v>-379800256.13174516</v>
      </c>
      <c r="M1486" s="460">
        <f t="shared" si="111"/>
        <v>0.05</v>
      </c>
      <c r="N1486" s="464">
        <f t="shared" si="112"/>
        <v>96273</v>
      </c>
    </row>
    <row r="1487" spans="7:14" ht="11.25" customHeight="1" x14ac:dyDescent="0.25">
      <c r="G1487" s="459"/>
      <c r="H1487" s="459">
        <v>1480</v>
      </c>
      <c r="I1487" s="444">
        <f t="shared" ca="1" si="110"/>
        <v>-379800256.13174516</v>
      </c>
      <c r="J1487" s="444">
        <f t="array" ref="J1487">IFERROR(INDEX('Retirement Calculator'!K:K,MATCH('Lorri 401b'!N1487,'Retirement Calculator'!A:A,0),0),0)</f>
        <v>0</v>
      </c>
      <c r="K1487" s="444">
        <f t="shared" ca="1" si="108"/>
        <v>-1582501.0672156047</v>
      </c>
      <c r="L1487" s="444">
        <f t="shared" ca="1" si="109"/>
        <v>-381382757.19896078</v>
      </c>
      <c r="M1487" s="460">
        <f t="shared" si="111"/>
        <v>0.05</v>
      </c>
      <c r="N1487" s="464">
        <f t="shared" si="112"/>
        <v>96304</v>
      </c>
    </row>
    <row r="1488" spans="7:14" ht="11.25" customHeight="1" x14ac:dyDescent="0.25">
      <c r="G1488" s="459"/>
      <c r="H1488" s="459">
        <v>1481</v>
      </c>
      <c r="I1488" s="444">
        <f t="shared" ca="1" si="110"/>
        <v>-381382757.19896078</v>
      </c>
      <c r="J1488" s="444">
        <f t="array" ref="J1488">IFERROR(INDEX('Retirement Calculator'!K:K,MATCH('Lorri 401b'!N1488,'Retirement Calculator'!A:A,0),0),0)</f>
        <v>0</v>
      </c>
      <c r="K1488" s="444">
        <f t="shared" ca="1" si="108"/>
        <v>-1589094.8216623366</v>
      </c>
      <c r="L1488" s="444">
        <f t="shared" ca="1" si="109"/>
        <v>-382971852.02062309</v>
      </c>
      <c r="M1488" s="460">
        <f t="shared" si="111"/>
        <v>0.05</v>
      </c>
      <c r="N1488" s="464">
        <f t="shared" si="112"/>
        <v>96334</v>
      </c>
    </row>
    <row r="1489" spans="7:14" ht="11.25" customHeight="1" x14ac:dyDescent="0.25">
      <c r="G1489" s="459"/>
      <c r="H1489" s="459">
        <v>1482</v>
      </c>
      <c r="I1489" s="444">
        <f t="shared" ca="1" si="110"/>
        <v>-382971852.02062309</v>
      </c>
      <c r="J1489" s="444">
        <f t="array" ref="J1489">IFERROR(INDEX('Retirement Calculator'!K:K,MATCH('Lorri 401b'!N1489,'Retirement Calculator'!A:A,0),0),0)</f>
        <v>0</v>
      </c>
      <c r="K1489" s="444">
        <f t="shared" ca="1" si="108"/>
        <v>-1595716.0500859295</v>
      </c>
      <c r="L1489" s="444">
        <f t="shared" ca="1" si="109"/>
        <v>-384567568.07070899</v>
      </c>
      <c r="M1489" s="460">
        <f t="shared" si="111"/>
        <v>0.05</v>
      </c>
      <c r="N1489" s="464">
        <f t="shared" si="112"/>
        <v>96365</v>
      </c>
    </row>
    <row r="1490" spans="7:14" ht="11.25" customHeight="1" x14ac:dyDescent="0.25">
      <c r="G1490" s="459"/>
      <c r="H1490" s="459">
        <v>1483</v>
      </c>
      <c r="I1490" s="444">
        <f t="shared" ca="1" si="110"/>
        <v>-384567568.07070899</v>
      </c>
      <c r="J1490" s="444">
        <f t="array" ref="J1490">IFERROR(INDEX('Retirement Calculator'!K:K,MATCH('Lorri 401b'!N1490,'Retirement Calculator'!A:A,0),0),0)</f>
        <v>0</v>
      </c>
      <c r="K1490" s="444">
        <f t="shared" ca="1" si="108"/>
        <v>-1602364.8669612873</v>
      </c>
      <c r="L1490" s="444">
        <f t="shared" ca="1" si="109"/>
        <v>-386169932.93767029</v>
      </c>
      <c r="M1490" s="460">
        <f t="shared" si="111"/>
        <v>0.05</v>
      </c>
      <c r="N1490" s="464">
        <f t="shared" si="112"/>
        <v>96395</v>
      </c>
    </row>
    <row r="1491" spans="7:14" ht="11.25" customHeight="1" x14ac:dyDescent="0.25">
      <c r="G1491" s="459"/>
      <c r="H1491" s="459">
        <v>1484</v>
      </c>
      <c r="I1491" s="444">
        <f t="shared" ca="1" si="110"/>
        <v>-386169932.93767029</v>
      </c>
      <c r="J1491" s="444">
        <f t="array" ref="J1491">IFERROR(INDEX('Retirement Calculator'!K:K,MATCH('Lorri 401b'!N1491,'Retirement Calculator'!A:A,0),0),0)</f>
        <v>0</v>
      </c>
      <c r="K1491" s="444">
        <f t="shared" ca="1" si="108"/>
        <v>-1609041.387240293</v>
      </c>
      <c r="L1491" s="444">
        <f t="shared" ca="1" si="109"/>
        <v>-387778974.32491058</v>
      </c>
      <c r="M1491" s="460">
        <f t="shared" si="111"/>
        <v>0.05</v>
      </c>
      <c r="N1491" s="464">
        <f t="shared" si="112"/>
        <v>96426</v>
      </c>
    </row>
    <row r="1492" spans="7:14" ht="11.25" customHeight="1" x14ac:dyDescent="0.25">
      <c r="G1492" s="459"/>
      <c r="H1492" s="459">
        <v>1485</v>
      </c>
      <c r="I1492" s="444">
        <f t="shared" ca="1" si="110"/>
        <v>-387778974.32491058</v>
      </c>
      <c r="J1492" s="444">
        <f t="array" ref="J1492">IFERROR(INDEX('Retirement Calculator'!K:K,MATCH('Lorri 401b'!N1492,'Retirement Calculator'!A:A,0),0),0)</f>
        <v>0</v>
      </c>
      <c r="K1492" s="444">
        <f t="shared" ca="1" si="108"/>
        <v>-1615745.7263537941</v>
      </c>
      <c r="L1492" s="444">
        <f t="shared" ca="1" si="109"/>
        <v>-389394720.05126435</v>
      </c>
      <c r="M1492" s="460">
        <f t="shared" si="111"/>
        <v>0.05</v>
      </c>
      <c r="N1492" s="464">
        <f t="shared" si="112"/>
        <v>96457</v>
      </c>
    </row>
    <row r="1493" spans="7:14" ht="11.25" customHeight="1" x14ac:dyDescent="0.25">
      <c r="G1493" s="459"/>
      <c r="H1493" s="459">
        <v>1486</v>
      </c>
      <c r="I1493" s="444">
        <f t="shared" ca="1" si="110"/>
        <v>-389394720.05126435</v>
      </c>
      <c r="J1493" s="444">
        <f t="array" ref="J1493">IFERROR(INDEX('Retirement Calculator'!K:K,MATCH('Lorri 401b'!N1493,'Retirement Calculator'!A:A,0),0),0)</f>
        <v>0</v>
      </c>
      <c r="K1493" s="444">
        <f t="shared" ca="1" si="108"/>
        <v>-1622478.0002136014</v>
      </c>
      <c r="L1493" s="444">
        <f t="shared" ca="1" si="109"/>
        <v>-391017198.05147797</v>
      </c>
      <c r="M1493" s="460">
        <f t="shared" si="111"/>
        <v>0.05</v>
      </c>
      <c r="N1493" s="464">
        <f t="shared" si="112"/>
        <v>96486</v>
      </c>
    </row>
    <row r="1494" spans="7:14" ht="11.25" customHeight="1" x14ac:dyDescent="0.25">
      <c r="G1494" s="459"/>
      <c r="H1494" s="459">
        <v>1487</v>
      </c>
      <c r="I1494" s="444">
        <f t="shared" ca="1" si="110"/>
        <v>-391017198.05147797</v>
      </c>
      <c r="J1494" s="444">
        <f t="array" ref="J1494">IFERROR(INDEX('Retirement Calculator'!K:K,MATCH('Lorri 401b'!N1494,'Retirement Calculator'!A:A,0),0),0)</f>
        <v>0</v>
      </c>
      <c r="K1494" s="444">
        <f t="shared" ca="1" si="108"/>
        <v>-1629238.3252144915</v>
      </c>
      <c r="L1494" s="444">
        <f t="shared" ca="1" si="109"/>
        <v>-392646436.37669247</v>
      </c>
      <c r="M1494" s="460">
        <f t="shared" si="111"/>
        <v>0.05</v>
      </c>
      <c r="N1494" s="464">
        <f t="shared" si="112"/>
        <v>96517</v>
      </c>
    </row>
    <row r="1495" spans="7:14" ht="11.25" customHeight="1" x14ac:dyDescent="0.25">
      <c r="G1495" s="459"/>
      <c r="H1495" s="459">
        <v>1488</v>
      </c>
      <c r="I1495" s="444">
        <f t="shared" ca="1" si="110"/>
        <v>-392646436.37669247</v>
      </c>
      <c r="J1495" s="444">
        <f t="array" ref="J1495">IFERROR(INDEX('Retirement Calculator'!K:K,MATCH('Lorri 401b'!N1495,'Retirement Calculator'!A:A,0),0),0)</f>
        <v>0</v>
      </c>
      <c r="K1495" s="444">
        <f t="shared" ca="1" si="108"/>
        <v>-1636026.8182362185</v>
      </c>
      <c r="L1495" s="444">
        <f t="shared" ca="1" si="109"/>
        <v>-394282463.19492871</v>
      </c>
      <c r="M1495" s="460">
        <f t="shared" si="111"/>
        <v>0.05</v>
      </c>
      <c r="N1495" s="464">
        <f t="shared" si="112"/>
        <v>96547</v>
      </c>
    </row>
    <row r="1496" spans="7:14" ht="11.25" customHeight="1" x14ac:dyDescent="0.25">
      <c r="G1496" s="459"/>
      <c r="H1496" s="459">
        <v>1489</v>
      </c>
      <c r="I1496" s="444">
        <f t="shared" ca="1" si="110"/>
        <v>-394282463.19492871</v>
      </c>
      <c r="J1496" s="444">
        <f t="array" ref="J1496">IFERROR(INDEX('Retirement Calculator'!K:K,MATCH('Lorri 401b'!N1496,'Retirement Calculator'!A:A,0),0),0)</f>
        <v>0</v>
      </c>
      <c r="K1496" s="444">
        <f t="shared" ca="1" si="108"/>
        <v>-1642843.5966455364</v>
      </c>
      <c r="L1496" s="444">
        <f t="shared" ca="1" si="109"/>
        <v>-395925306.79157424</v>
      </c>
      <c r="M1496" s="460">
        <f t="shared" si="111"/>
        <v>0.05</v>
      </c>
      <c r="N1496" s="464">
        <f t="shared" si="112"/>
        <v>96578</v>
      </c>
    </row>
    <row r="1497" spans="7:14" ht="11.25" customHeight="1" x14ac:dyDescent="0.25">
      <c r="G1497" s="459"/>
      <c r="H1497" s="459">
        <v>1490</v>
      </c>
      <c r="I1497" s="444">
        <f t="shared" ca="1" si="110"/>
        <v>-395925306.79157424</v>
      </c>
      <c r="J1497" s="444">
        <f t="array" ref="J1497">IFERROR(INDEX('Retirement Calculator'!K:K,MATCH('Lorri 401b'!N1497,'Retirement Calculator'!A:A,0),0),0)</f>
        <v>0</v>
      </c>
      <c r="K1497" s="444">
        <f t="shared" ca="1" si="108"/>
        <v>-1649688.778298226</v>
      </c>
      <c r="L1497" s="444">
        <f t="shared" ca="1" si="109"/>
        <v>-397574995.56987244</v>
      </c>
      <c r="M1497" s="460">
        <f t="shared" si="111"/>
        <v>0.05</v>
      </c>
      <c r="N1497" s="464">
        <f t="shared" si="112"/>
        <v>96608</v>
      </c>
    </row>
    <row r="1498" spans="7:14" ht="11.25" customHeight="1" x14ac:dyDescent="0.25">
      <c r="G1498" s="459"/>
      <c r="H1498" s="459">
        <v>1491</v>
      </c>
      <c r="I1498" s="444">
        <f t="shared" ca="1" si="110"/>
        <v>-397574995.56987244</v>
      </c>
      <c r="J1498" s="444">
        <f t="array" ref="J1498">IFERROR(INDEX('Retirement Calculator'!K:K,MATCH('Lorri 401b'!N1498,'Retirement Calculator'!A:A,0),0),0)</f>
        <v>0</v>
      </c>
      <c r="K1498" s="444">
        <f t="shared" ca="1" si="108"/>
        <v>-1656562.4815411351</v>
      </c>
      <c r="L1498" s="444">
        <f t="shared" ca="1" si="109"/>
        <v>-399231558.0514136</v>
      </c>
      <c r="M1498" s="460">
        <f t="shared" si="111"/>
        <v>0.05</v>
      </c>
      <c r="N1498" s="464">
        <f t="shared" si="112"/>
        <v>96639</v>
      </c>
    </row>
    <row r="1499" spans="7:14" ht="11.25" customHeight="1" x14ac:dyDescent="0.25">
      <c r="G1499" s="459"/>
      <c r="H1499" s="459">
        <v>1492</v>
      </c>
      <c r="I1499" s="444">
        <f t="shared" ca="1" si="110"/>
        <v>-399231558.0514136</v>
      </c>
      <c r="J1499" s="444">
        <f t="array" ref="J1499">IFERROR(INDEX('Retirement Calculator'!K:K,MATCH('Lorri 401b'!N1499,'Retirement Calculator'!A:A,0),0),0)</f>
        <v>0</v>
      </c>
      <c r="K1499" s="444">
        <f t="shared" ca="1" si="108"/>
        <v>-1663464.8252142232</v>
      </c>
      <c r="L1499" s="444">
        <f t="shared" ca="1" si="109"/>
        <v>-400895022.8766278</v>
      </c>
      <c r="M1499" s="460">
        <f t="shared" si="111"/>
        <v>0.05</v>
      </c>
      <c r="N1499" s="464">
        <f t="shared" si="112"/>
        <v>96670</v>
      </c>
    </row>
    <row r="1500" spans="7:14" ht="11.25" customHeight="1" x14ac:dyDescent="0.25">
      <c r="G1500" s="459"/>
      <c r="H1500" s="459">
        <v>1493</v>
      </c>
      <c r="I1500" s="444">
        <f t="shared" ca="1" si="110"/>
        <v>-400895022.8766278</v>
      </c>
      <c r="J1500" s="444">
        <f t="array" ref="J1500">IFERROR(INDEX('Retirement Calculator'!K:K,MATCH('Lorri 401b'!N1500,'Retirement Calculator'!A:A,0),0),0)</f>
        <v>0</v>
      </c>
      <c r="K1500" s="444">
        <f t="shared" ca="1" si="108"/>
        <v>-1670395.9286526158</v>
      </c>
      <c r="L1500" s="444">
        <f t="shared" ca="1" si="109"/>
        <v>-402565418.80528045</v>
      </c>
      <c r="M1500" s="460">
        <f t="shared" si="111"/>
        <v>0.05</v>
      </c>
      <c r="N1500" s="464">
        <f t="shared" si="112"/>
        <v>96700</v>
      </c>
    </row>
    <row r="1501" spans="7:14" ht="11.25" customHeight="1" x14ac:dyDescent="0.25">
      <c r="G1501" s="459"/>
      <c r="H1501" s="459">
        <v>1494</v>
      </c>
      <c r="I1501" s="444">
        <f t="shared" ca="1" si="110"/>
        <v>-402565418.80528045</v>
      </c>
      <c r="J1501" s="444">
        <f t="array" ref="J1501">IFERROR(INDEX('Retirement Calculator'!K:K,MATCH('Lorri 401b'!N1501,'Retirement Calculator'!A:A,0),0),0)</f>
        <v>0</v>
      </c>
      <c r="K1501" s="444">
        <f t="shared" ca="1" si="108"/>
        <v>-1677355.9116886684</v>
      </c>
      <c r="L1501" s="444">
        <f t="shared" ca="1" si="109"/>
        <v>-404242774.71696913</v>
      </c>
      <c r="M1501" s="460">
        <f t="shared" si="111"/>
        <v>0.05</v>
      </c>
      <c r="N1501" s="464">
        <f t="shared" si="112"/>
        <v>96731</v>
      </c>
    </row>
    <row r="1502" spans="7:14" ht="11.25" customHeight="1" x14ac:dyDescent="0.25">
      <c r="G1502" s="459"/>
      <c r="H1502" s="459">
        <v>1495</v>
      </c>
      <c r="I1502" s="444">
        <f t="shared" ca="1" si="110"/>
        <v>-404242774.71696913</v>
      </c>
      <c r="J1502" s="444">
        <f t="array" ref="J1502">IFERROR(INDEX('Retirement Calculator'!K:K,MATCH('Lorri 401b'!N1502,'Retirement Calculator'!A:A,0),0),0)</f>
        <v>0</v>
      </c>
      <c r="K1502" s="444">
        <f t="shared" ca="1" si="108"/>
        <v>-1684344.8946540381</v>
      </c>
      <c r="L1502" s="444">
        <f t="shared" ca="1" si="109"/>
        <v>-405927119.61162317</v>
      </c>
      <c r="M1502" s="460">
        <f t="shared" si="111"/>
        <v>0.05</v>
      </c>
      <c r="N1502" s="464">
        <f t="shared" si="112"/>
        <v>96761</v>
      </c>
    </row>
    <row r="1503" spans="7:14" ht="11.25" customHeight="1" x14ac:dyDescent="0.25">
      <c r="G1503" s="459"/>
      <c r="H1503" s="459">
        <v>1496</v>
      </c>
      <c r="I1503" s="444">
        <f t="shared" ca="1" si="110"/>
        <v>-405927119.61162317</v>
      </c>
      <c r="J1503" s="444">
        <f t="array" ref="J1503">IFERROR(INDEX('Retirement Calculator'!K:K,MATCH('Lorri 401b'!N1503,'Retirement Calculator'!A:A,0),0),0)</f>
        <v>0</v>
      </c>
      <c r="K1503" s="444">
        <f t="shared" ca="1" si="108"/>
        <v>-1691362.9983817632</v>
      </c>
      <c r="L1503" s="444">
        <f t="shared" ca="1" si="109"/>
        <v>-407618482.6100049</v>
      </c>
      <c r="M1503" s="460">
        <f t="shared" si="111"/>
        <v>0.05</v>
      </c>
      <c r="N1503" s="464">
        <f t="shared" si="112"/>
        <v>96792</v>
      </c>
    </row>
    <row r="1504" spans="7:14" ht="11.25" customHeight="1" x14ac:dyDescent="0.25">
      <c r="G1504" s="459"/>
      <c r="H1504" s="459">
        <v>1497</v>
      </c>
      <c r="I1504" s="444">
        <f t="shared" ca="1" si="110"/>
        <v>-407618482.6100049</v>
      </c>
      <c r="J1504" s="444">
        <f t="array" ref="J1504">IFERROR(INDEX('Retirement Calculator'!K:K,MATCH('Lorri 401b'!N1504,'Retirement Calculator'!A:A,0),0),0)</f>
        <v>0</v>
      </c>
      <c r="K1504" s="444">
        <f t="shared" ca="1" si="108"/>
        <v>-1698410.3442083537</v>
      </c>
      <c r="L1504" s="444">
        <f t="shared" ca="1" si="109"/>
        <v>-409316892.95421326</v>
      </c>
      <c r="M1504" s="460">
        <f t="shared" si="111"/>
        <v>0.05</v>
      </c>
      <c r="N1504" s="464">
        <f t="shared" si="112"/>
        <v>96823</v>
      </c>
    </row>
    <row r="1505" spans="7:14" ht="11.25" customHeight="1" x14ac:dyDescent="0.25">
      <c r="G1505" s="459"/>
      <c r="H1505" s="459">
        <v>1498</v>
      </c>
      <c r="I1505" s="444">
        <f t="shared" ca="1" si="110"/>
        <v>-409316892.95421326</v>
      </c>
      <c r="J1505" s="444">
        <f t="array" ref="J1505">IFERROR(INDEX('Retirement Calculator'!K:K,MATCH('Lorri 401b'!N1505,'Retirement Calculator'!A:A,0),0),0)</f>
        <v>0</v>
      </c>
      <c r="K1505" s="444">
        <f t="shared" ca="1" si="108"/>
        <v>-1705487.0539758885</v>
      </c>
      <c r="L1505" s="444">
        <f t="shared" ca="1" si="109"/>
        <v>-411022380.00818914</v>
      </c>
      <c r="M1505" s="460">
        <f t="shared" si="111"/>
        <v>0.05</v>
      </c>
      <c r="N1505" s="464">
        <f t="shared" si="112"/>
        <v>96851</v>
      </c>
    </row>
    <row r="1506" spans="7:14" ht="11.25" customHeight="1" x14ac:dyDescent="0.25">
      <c r="G1506" s="459"/>
      <c r="H1506" s="459">
        <v>1499</v>
      </c>
      <c r="I1506" s="444">
        <f t="shared" ca="1" si="110"/>
        <v>-411022380.00818914</v>
      </c>
      <c r="J1506" s="444">
        <f t="array" ref="J1506">IFERROR(INDEX('Retirement Calculator'!K:K,MATCH('Lorri 401b'!N1506,'Retirement Calculator'!A:A,0),0),0)</f>
        <v>0</v>
      </c>
      <c r="K1506" s="444">
        <f t="shared" ca="1" si="108"/>
        <v>-1712593.2500341213</v>
      </c>
      <c r="L1506" s="444">
        <f t="shared" ca="1" si="109"/>
        <v>-412734973.25822324</v>
      </c>
      <c r="M1506" s="460">
        <f t="shared" si="111"/>
        <v>0.05</v>
      </c>
      <c r="N1506" s="464">
        <f t="shared" si="112"/>
        <v>96882</v>
      </c>
    </row>
    <row r="1507" spans="7:14" ht="11.25" customHeight="1" x14ac:dyDescent="0.25">
      <c r="G1507" s="459"/>
      <c r="H1507" s="459">
        <v>1500</v>
      </c>
      <c r="I1507" s="444">
        <f t="shared" ca="1" si="110"/>
        <v>-412734973.25822324</v>
      </c>
      <c r="J1507" s="444">
        <f t="array" ref="J1507">IFERROR(INDEX('Retirement Calculator'!K:K,MATCH('Lorri 401b'!N1507,'Retirement Calculator'!A:A,0),0),0)</f>
        <v>0</v>
      </c>
      <c r="K1507" s="444">
        <f t="shared" ca="1" si="108"/>
        <v>-1719729.0552425969</v>
      </c>
      <c r="L1507" s="444">
        <f t="shared" ca="1" si="109"/>
        <v>-414454702.31346583</v>
      </c>
      <c r="M1507" s="460">
        <f t="shared" si="111"/>
        <v>0.05</v>
      </c>
      <c r="N1507" s="464">
        <f t="shared" si="112"/>
        <v>96912</v>
      </c>
    </row>
    <row r="1508" spans="7:14" ht="11.25" customHeight="1" x14ac:dyDescent="0.25">
      <c r="G1508" s="459"/>
      <c r="H1508" s="459">
        <v>1501</v>
      </c>
      <c r="I1508" s="444">
        <f t="shared" ca="1" si="110"/>
        <v>-414454702.31346583</v>
      </c>
      <c r="J1508" s="444">
        <f t="array" ref="J1508">IFERROR(INDEX('Retirement Calculator'!K:K,MATCH('Lorri 401b'!N1508,'Retirement Calculator'!A:A,0),0),0)</f>
        <v>0</v>
      </c>
      <c r="K1508" s="444">
        <f t="shared" ca="1" si="108"/>
        <v>-1726894.5929727743</v>
      </c>
      <c r="L1508" s="444">
        <f t="shared" ca="1" si="109"/>
        <v>-416181596.90643859</v>
      </c>
      <c r="M1508" s="460">
        <f t="shared" si="111"/>
        <v>0.05</v>
      </c>
      <c r="N1508" s="464">
        <f t="shared" si="112"/>
        <v>96943</v>
      </c>
    </row>
    <row r="1509" spans="7:14" ht="11.25" customHeight="1" x14ac:dyDescent="0.25">
      <c r="G1509" s="459"/>
      <c r="H1509" s="459">
        <v>1502</v>
      </c>
      <c r="I1509" s="444">
        <f t="shared" ca="1" si="110"/>
        <v>-416181596.90643859</v>
      </c>
      <c r="J1509" s="444">
        <f t="array" ref="J1509">IFERROR(INDEX('Retirement Calculator'!K:K,MATCH('Lorri 401b'!N1509,'Retirement Calculator'!A:A,0),0),0)</f>
        <v>0</v>
      </c>
      <c r="K1509" s="444">
        <f t="shared" ca="1" si="108"/>
        <v>-1734089.9871101608</v>
      </c>
      <c r="L1509" s="444">
        <f t="shared" ca="1" si="109"/>
        <v>-417915686.89354873</v>
      </c>
      <c r="M1509" s="460">
        <f t="shared" si="111"/>
        <v>0.05</v>
      </c>
      <c r="N1509" s="464">
        <f t="shared" si="112"/>
        <v>96973</v>
      </c>
    </row>
    <row r="1510" spans="7:14" ht="11.25" customHeight="1" x14ac:dyDescent="0.25">
      <c r="G1510" s="459"/>
      <c r="H1510" s="459">
        <v>1503</v>
      </c>
      <c r="I1510" s="444">
        <f t="shared" ca="1" si="110"/>
        <v>-417915686.89354873</v>
      </c>
      <c r="J1510" s="444">
        <f t="array" ref="J1510">IFERROR(INDEX('Retirement Calculator'!K:K,MATCH('Lorri 401b'!N1510,'Retirement Calculator'!A:A,0),0),0)</f>
        <v>0</v>
      </c>
      <c r="K1510" s="444">
        <f t="shared" ca="1" si="108"/>
        <v>-1741315.362056453</v>
      </c>
      <c r="L1510" s="444">
        <f t="shared" ca="1" si="109"/>
        <v>-419657002.25560516</v>
      </c>
      <c r="M1510" s="460">
        <f t="shared" si="111"/>
        <v>0.05</v>
      </c>
      <c r="N1510" s="464">
        <f t="shared" si="112"/>
        <v>97004</v>
      </c>
    </row>
    <row r="1511" spans="7:14" ht="11.25" customHeight="1" x14ac:dyDescent="0.25">
      <c r="G1511" s="459"/>
      <c r="H1511" s="459">
        <v>1504</v>
      </c>
      <c r="I1511" s="444">
        <f t="shared" ca="1" si="110"/>
        <v>-419657002.25560516</v>
      </c>
      <c r="J1511" s="444">
        <f t="array" ref="J1511">IFERROR(INDEX('Retirement Calculator'!K:K,MATCH('Lorri 401b'!N1511,'Retirement Calculator'!A:A,0),0),0)</f>
        <v>0</v>
      </c>
      <c r="K1511" s="444">
        <f t="shared" ca="1" si="108"/>
        <v>-1748570.8427316879</v>
      </c>
      <c r="L1511" s="444">
        <f t="shared" ca="1" si="109"/>
        <v>-421405573.09833688</v>
      </c>
      <c r="M1511" s="460">
        <f t="shared" si="111"/>
        <v>0.05</v>
      </c>
      <c r="N1511" s="464">
        <f t="shared" si="112"/>
        <v>97035</v>
      </c>
    </row>
    <row r="1512" spans="7:14" ht="11.25" customHeight="1" x14ac:dyDescent="0.25">
      <c r="G1512" s="459"/>
      <c r="H1512" s="459">
        <v>1505</v>
      </c>
      <c r="I1512" s="444">
        <f t="shared" ca="1" si="110"/>
        <v>-421405573.09833688</v>
      </c>
      <c r="J1512" s="444">
        <f t="array" ref="J1512">IFERROR(INDEX('Retirement Calculator'!K:K,MATCH('Lorri 401b'!N1512,'Retirement Calculator'!A:A,0),0),0)</f>
        <v>0</v>
      </c>
      <c r="K1512" s="444">
        <f t="shared" ca="1" si="108"/>
        <v>-1755856.5545764039</v>
      </c>
      <c r="L1512" s="444">
        <f t="shared" ca="1" si="109"/>
        <v>-423161429.65291327</v>
      </c>
      <c r="M1512" s="460">
        <f t="shared" si="111"/>
        <v>0.05</v>
      </c>
      <c r="N1512" s="464">
        <f t="shared" si="112"/>
        <v>97065</v>
      </c>
    </row>
    <row r="1513" spans="7:14" ht="11.25" customHeight="1" x14ac:dyDescent="0.25">
      <c r="G1513" s="459"/>
      <c r="H1513" s="459">
        <v>1506</v>
      </c>
      <c r="I1513" s="444">
        <f t="shared" ca="1" si="110"/>
        <v>-423161429.65291327</v>
      </c>
      <c r="J1513" s="444">
        <f t="array" ref="J1513">IFERROR(INDEX('Retirement Calculator'!K:K,MATCH('Lorri 401b'!N1513,'Retirement Calculator'!A:A,0),0),0)</f>
        <v>0</v>
      </c>
      <c r="K1513" s="444">
        <f t="shared" ca="1" si="108"/>
        <v>-1763172.6235538053</v>
      </c>
      <c r="L1513" s="444">
        <f t="shared" ca="1" si="109"/>
        <v>-424924602.27646708</v>
      </c>
      <c r="M1513" s="460">
        <f t="shared" si="111"/>
        <v>0.05</v>
      </c>
      <c r="N1513" s="464">
        <f t="shared" si="112"/>
        <v>97096</v>
      </c>
    </row>
    <row r="1514" spans="7:14" ht="11.25" customHeight="1" x14ac:dyDescent="0.25">
      <c r="G1514" s="459"/>
      <c r="H1514" s="459">
        <v>1507</v>
      </c>
      <c r="I1514" s="444">
        <f t="shared" ca="1" si="110"/>
        <v>-424924602.27646708</v>
      </c>
      <c r="J1514" s="444">
        <f t="array" ref="J1514">IFERROR(INDEX('Retirement Calculator'!K:K,MATCH('Lorri 401b'!N1514,'Retirement Calculator'!A:A,0),0),0)</f>
        <v>0</v>
      </c>
      <c r="K1514" s="444">
        <f t="shared" ca="1" si="108"/>
        <v>-1770519.1761519462</v>
      </c>
      <c r="L1514" s="444">
        <f t="shared" ca="1" si="109"/>
        <v>-426695121.45261902</v>
      </c>
      <c r="M1514" s="460">
        <f t="shared" si="111"/>
        <v>0.05</v>
      </c>
      <c r="N1514" s="464">
        <f t="shared" si="112"/>
        <v>97126</v>
      </c>
    </row>
    <row r="1515" spans="7:14" ht="11.25" customHeight="1" x14ac:dyDescent="0.25">
      <c r="G1515" s="459"/>
      <c r="H1515" s="459">
        <v>1508</v>
      </c>
      <c r="I1515" s="444">
        <f t="shared" ca="1" si="110"/>
        <v>-426695121.45261902</v>
      </c>
      <c r="J1515" s="444">
        <f t="array" ref="J1515">IFERROR(INDEX('Retirement Calculator'!K:K,MATCH('Lorri 401b'!N1515,'Retirement Calculator'!A:A,0),0),0)</f>
        <v>0</v>
      </c>
      <c r="K1515" s="444">
        <f t="shared" ca="1" si="108"/>
        <v>-1777896.3393859125</v>
      </c>
      <c r="L1515" s="444">
        <f t="shared" ca="1" si="109"/>
        <v>-428473017.79200494</v>
      </c>
      <c r="M1515" s="460">
        <f t="shared" si="111"/>
        <v>0.05</v>
      </c>
      <c r="N1515" s="464">
        <f t="shared" si="112"/>
        <v>97157</v>
      </c>
    </row>
    <row r="1516" spans="7:14" ht="11.25" customHeight="1" x14ac:dyDescent="0.25">
      <c r="G1516" s="459"/>
      <c r="H1516" s="459">
        <v>1509</v>
      </c>
      <c r="I1516" s="444">
        <f t="shared" ca="1" si="110"/>
        <v>-428473017.79200494</v>
      </c>
      <c r="J1516" s="444">
        <f t="array" ref="J1516">IFERROR(INDEX('Retirement Calculator'!K:K,MATCH('Lorri 401b'!N1516,'Retirement Calculator'!A:A,0),0),0)</f>
        <v>0</v>
      </c>
      <c r="K1516" s="444">
        <f t="shared" ca="1" si="108"/>
        <v>-1785304.2408000205</v>
      </c>
      <c r="L1516" s="444">
        <f t="shared" ca="1" si="109"/>
        <v>-430258322.03280497</v>
      </c>
      <c r="M1516" s="460">
        <f t="shared" si="111"/>
        <v>0.05</v>
      </c>
      <c r="N1516" s="464">
        <f t="shared" si="112"/>
        <v>97188</v>
      </c>
    </row>
    <row r="1517" spans="7:14" ht="11.25" customHeight="1" x14ac:dyDescent="0.25">
      <c r="G1517" s="459"/>
      <c r="H1517" s="459">
        <v>1510</v>
      </c>
      <c r="I1517" s="444">
        <f t="shared" ca="1" si="110"/>
        <v>-430258322.03280497</v>
      </c>
      <c r="J1517" s="444">
        <f t="array" ref="J1517">IFERROR(INDEX('Retirement Calculator'!K:K,MATCH('Lorri 401b'!N1517,'Retirement Calculator'!A:A,0),0),0)</f>
        <v>0</v>
      </c>
      <c r="K1517" s="444">
        <f t="shared" ca="1" si="108"/>
        <v>-1792743.0084700207</v>
      </c>
      <c r="L1517" s="444">
        <f t="shared" ca="1" si="109"/>
        <v>-432051065.04127496</v>
      </c>
      <c r="M1517" s="460">
        <f t="shared" si="111"/>
        <v>0.05</v>
      </c>
      <c r="N1517" s="464">
        <f t="shared" si="112"/>
        <v>97216</v>
      </c>
    </row>
    <row r="1518" spans="7:14" ht="11.25" customHeight="1" x14ac:dyDescent="0.25">
      <c r="G1518" s="459"/>
      <c r="H1518" s="459">
        <v>1511</v>
      </c>
      <c r="I1518" s="444">
        <f t="shared" ca="1" si="110"/>
        <v>-432051065.04127496</v>
      </c>
      <c r="J1518" s="444">
        <f t="array" ref="J1518">IFERROR(INDEX('Retirement Calculator'!K:K,MATCH('Lorri 401b'!N1518,'Retirement Calculator'!A:A,0),0),0)</f>
        <v>0</v>
      </c>
      <c r="K1518" s="444">
        <f t="shared" ca="1" si="108"/>
        <v>-1800212.7710053127</v>
      </c>
      <c r="L1518" s="444">
        <f t="shared" ca="1" si="109"/>
        <v>-433851277.8122803</v>
      </c>
      <c r="M1518" s="460">
        <f t="shared" si="111"/>
        <v>0.05</v>
      </c>
      <c r="N1518" s="464">
        <f t="shared" si="112"/>
        <v>97247</v>
      </c>
    </row>
    <row r="1519" spans="7:14" ht="11.25" customHeight="1" x14ac:dyDescent="0.25">
      <c r="G1519" s="459"/>
      <c r="H1519" s="459">
        <v>1512</v>
      </c>
      <c r="I1519" s="444">
        <f t="shared" ca="1" si="110"/>
        <v>-433851277.8122803</v>
      </c>
      <c r="J1519" s="444">
        <f t="array" ref="J1519">IFERROR(INDEX('Retirement Calculator'!K:K,MATCH('Lorri 401b'!N1519,'Retirement Calculator'!A:A,0),0),0)</f>
        <v>0</v>
      </c>
      <c r="K1519" s="444">
        <f t="shared" ca="1" si="108"/>
        <v>-1807713.6575511678</v>
      </c>
      <c r="L1519" s="444">
        <f t="shared" ca="1" si="109"/>
        <v>-435658991.46983147</v>
      </c>
      <c r="M1519" s="460">
        <f t="shared" si="111"/>
        <v>0.05</v>
      </c>
      <c r="N1519" s="464">
        <f t="shared" si="112"/>
        <v>97277</v>
      </c>
    </row>
    <row r="1520" spans="7:14" ht="11.25" customHeight="1" x14ac:dyDescent="0.25">
      <c r="G1520" s="459"/>
      <c r="H1520" s="459">
        <v>1513</v>
      </c>
      <c r="I1520" s="444">
        <f t="shared" ca="1" si="110"/>
        <v>-435658991.46983147</v>
      </c>
      <c r="J1520" s="444">
        <f t="array" ref="J1520">IFERROR(INDEX('Retirement Calculator'!K:K,MATCH('Lorri 401b'!N1520,'Retirement Calculator'!A:A,0),0),0)</f>
        <v>0</v>
      </c>
      <c r="K1520" s="444">
        <f t="shared" ca="1" si="108"/>
        <v>-1815245.7977909644</v>
      </c>
      <c r="L1520" s="444">
        <f t="shared" ca="1" si="109"/>
        <v>-437474237.26762241</v>
      </c>
      <c r="M1520" s="460">
        <f t="shared" si="111"/>
        <v>0.05</v>
      </c>
      <c r="N1520" s="464">
        <f t="shared" si="112"/>
        <v>97308</v>
      </c>
    </row>
    <row r="1521" spans="7:14" ht="11.25" customHeight="1" x14ac:dyDescent="0.25">
      <c r="G1521" s="459"/>
      <c r="H1521" s="459">
        <v>1514</v>
      </c>
      <c r="I1521" s="444">
        <f t="shared" ca="1" si="110"/>
        <v>-437474237.26762241</v>
      </c>
      <c r="J1521" s="444">
        <f t="array" ref="J1521">IFERROR(INDEX('Retirement Calculator'!K:K,MATCH('Lorri 401b'!N1521,'Retirement Calculator'!A:A,0),0),0)</f>
        <v>0</v>
      </c>
      <c r="K1521" s="444">
        <f t="shared" ca="1" si="108"/>
        <v>-1822809.3219484265</v>
      </c>
      <c r="L1521" s="444">
        <f t="shared" ca="1" si="109"/>
        <v>-439297046.58957082</v>
      </c>
      <c r="M1521" s="460">
        <f t="shared" si="111"/>
        <v>0.05</v>
      </c>
      <c r="N1521" s="464">
        <f t="shared" si="112"/>
        <v>97338</v>
      </c>
    </row>
    <row r="1522" spans="7:14" ht="11.25" customHeight="1" x14ac:dyDescent="0.25">
      <c r="G1522" s="459"/>
      <c r="H1522" s="459">
        <v>1515</v>
      </c>
      <c r="I1522" s="444">
        <f t="shared" ca="1" si="110"/>
        <v>-439297046.58957082</v>
      </c>
      <c r="J1522" s="444">
        <f t="array" ref="J1522">IFERROR(INDEX('Retirement Calculator'!K:K,MATCH('Lorri 401b'!N1522,'Retirement Calculator'!A:A,0),0),0)</f>
        <v>0</v>
      </c>
      <c r="K1522" s="444">
        <f t="shared" ca="1" si="108"/>
        <v>-1830404.3607898783</v>
      </c>
      <c r="L1522" s="444">
        <f t="shared" ca="1" si="109"/>
        <v>-441127450.95036072</v>
      </c>
      <c r="M1522" s="460">
        <f t="shared" si="111"/>
        <v>0.05</v>
      </c>
      <c r="N1522" s="464">
        <f t="shared" si="112"/>
        <v>97369</v>
      </c>
    </row>
    <row r="1523" spans="7:14" ht="11.25" customHeight="1" x14ac:dyDescent="0.25">
      <c r="G1523" s="459"/>
      <c r="H1523" s="459">
        <v>1516</v>
      </c>
      <c r="I1523" s="444">
        <f t="shared" ca="1" si="110"/>
        <v>-441127450.95036072</v>
      </c>
      <c r="J1523" s="444">
        <f t="array" ref="J1523">IFERROR(INDEX('Retirement Calculator'!K:K,MATCH('Lorri 401b'!N1523,'Retirement Calculator'!A:A,0),0),0)</f>
        <v>0</v>
      </c>
      <c r="K1523" s="444">
        <f t="shared" ca="1" si="108"/>
        <v>-1838031.0456265029</v>
      </c>
      <c r="L1523" s="444">
        <f t="shared" ca="1" si="109"/>
        <v>-442965481.99598724</v>
      </c>
      <c r="M1523" s="460">
        <f t="shared" si="111"/>
        <v>0.05</v>
      </c>
      <c r="N1523" s="464">
        <f t="shared" si="112"/>
        <v>97400</v>
      </c>
    </row>
    <row r="1524" spans="7:14" ht="11.25" customHeight="1" x14ac:dyDescent="0.25">
      <c r="G1524" s="459"/>
      <c r="H1524" s="459">
        <v>1517</v>
      </c>
      <c r="I1524" s="444">
        <f t="shared" ca="1" si="110"/>
        <v>-442965481.99598724</v>
      </c>
      <c r="J1524" s="444">
        <f t="array" ref="J1524">IFERROR(INDEX('Retirement Calculator'!K:K,MATCH('Lorri 401b'!N1524,'Retirement Calculator'!A:A,0),0),0)</f>
        <v>0</v>
      </c>
      <c r="K1524" s="444">
        <f t="shared" ca="1" si="108"/>
        <v>-1845689.5083166135</v>
      </c>
      <c r="L1524" s="444">
        <f t="shared" ca="1" si="109"/>
        <v>-444811171.50430387</v>
      </c>
      <c r="M1524" s="460">
        <f t="shared" si="111"/>
        <v>0.05</v>
      </c>
      <c r="N1524" s="464">
        <f t="shared" si="112"/>
        <v>97430</v>
      </c>
    </row>
    <row r="1525" spans="7:14" ht="11.25" customHeight="1" x14ac:dyDescent="0.25">
      <c r="G1525" s="459"/>
      <c r="H1525" s="459">
        <v>1518</v>
      </c>
      <c r="I1525" s="444">
        <f t="shared" ca="1" si="110"/>
        <v>-444811171.50430387</v>
      </c>
      <c r="J1525" s="444">
        <f t="array" ref="J1525">IFERROR(INDEX('Retirement Calculator'!K:K,MATCH('Lorri 401b'!N1525,'Retirement Calculator'!A:A,0),0),0)</f>
        <v>0</v>
      </c>
      <c r="K1525" s="444">
        <f t="shared" ca="1" si="108"/>
        <v>-1853379.8812679329</v>
      </c>
      <c r="L1525" s="444">
        <f t="shared" ca="1" si="109"/>
        <v>-446664551.38557178</v>
      </c>
      <c r="M1525" s="460">
        <f t="shared" si="111"/>
        <v>0.05</v>
      </c>
      <c r="N1525" s="464">
        <f t="shared" si="112"/>
        <v>97461</v>
      </c>
    </row>
    <row r="1526" spans="7:14" ht="11.25" customHeight="1" x14ac:dyDescent="0.25">
      <c r="G1526" s="459"/>
      <c r="H1526" s="459">
        <v>1519</v>
      </c>
      <c r="I1526" s="444">
        <f t="shared" ca="1" si="110"/>
        <v>-446664551.38557178</v>
      </c>
      <c r="J1526" s="444">
        <f t="array" ref="J1526">IFERROR(INDEX('Retirement Calculator'!K:K,MATCH('Lorri 401b'!N1526,'Retirement Calculator'!A:A,0),0),0)</f>
        <v>0</v>
      </c>
      <c r="K1526" s="444">
        <f t="shared" ca="1" si="108"/>
        <v>-1861102.2974398823</v>
      </c>
      <c r="L1526" s="444">
        <f t="shared" ca="1" si="109"/>
        <v>-448525653.68301165</v>
      </c>
      <c r="M1526" s="460">
        <f t="shared" si="111"/>
        <v>0.05</v>
      </c>
      <c r="N1526" s="464">
        <f t="shared" si="112"/>
        <v>97491</v>
      </c>
    </row>
    <row r="1527" spans="7:14" ht="11.25" customHeight="1" x14ac:dyDescent="0.25">
      <c r="G1527" s="459"/>
      <c r="H1527" s="459">
        <v>1520</v>
      </c>
      <c r="I1527" s="444">
        <f t="shared" ca="1" si="110"/>
        <v>-448525653.68301165</v>
      </c>
      <c r="J1527" s="444">
        <f t="array" ref="J1527">IFERROR(INDEX('Retirement Calculator'!K:K,MATCH('Lorri 401b'!N1527,'Retirement Calculator'!A:A,0),0),0)</f>
        <v>0</v>
      </c>
      <c r="K1527" s="444">
        <f t="shared" ca="1" si="108"/>
        <v>-1868856.8903458819</v>
      </c>
      <c r="L1527" s="444">
        <f t="shared" ca="1" si="109"/>
        <v>-450394510.57335752</v>
      </c>
      <c r="M1527" s="460">
        <f t="shared" si="111"/>
        <v>0.05</v>
      </c>
      <c r="N1527" s="464">
        <f t="shared" si="112"/>
        <v>97522</v>
      </c>
    </row>
    <row r="1528" spans="7:14" ht="11.25" customHeight="1" x14ac:dyDescent="0.25">
      <c r="G1528" s="459"/>
      <c r="H1528" s="459">
        <v>1521</v>
      </c>
      <c r="I1528" s="444">
        <f t="shared" ca="1" si="110"/>
        <v>-450394510.57335752</v>
      </c>
      <c r="J1528" s="444">
        <f t="array" ref="J1528">IFERROR(INDEX('Retirement Calculator'!K:K,MATCH('Lorri 401b'!N1528,'Retirement Calculator'!A:A,0),0),0)</f>
        <v>0</v>
      </c>
      <c r="K1528" s="444">
        <f t="shared" ca="1" si="108"/>
        <v>-1876643.7940556563</v>
      </c>
      <c r="L1528" s="444">
        <f t="shared" ca="1" si="109"/>
        <v>-452271154.36741316</v>
      </c>
      <c r="M1528" s="460">
        <f t="shared" si="111"/>
        <v>0.05</v>
      </c>
      <c r="N1528" s="464">
        <f t="shared" si="112"/>
        <v>97553</v>
      </c>
    </row>
    <row r="1529" spans="7:14" ht="11.25" customHeight="1" x14ac:dyDescent="0.25">
      <c r="G1529" s="459"/>
      <c r="H1529" s="459">
        <v>1522</v>
      </c>
      <c r="I1529" s="444">
        <f t="shared" ca="1" si="110"/>
        <v>-452271154.36741316</v>
      </c>
      <c r="J1529" s="444">
        <f t="array" ref="J1529">IFERROR(INDEX('Retirement Calculator'!K:K,MATCH('Lorri 401b'!N1529,'Retirement Calculator'!A:A,0),0),0)</f>
        <v>0</v>
      </c>
      <c r="K1529" s="444">
        <f t="shared" ca="1" si="108"/>
        <v>-1884463.1431975549</v>
      </c>
      <c r="L1529" s="444">
        <f t="shared" ca="1" si="109"/>
        <v>-454155617.5106107</v>
      </c>
      <c r="M1529" s="460">
        <f t="shared" si="111"/>
        <v>0.05</v>
      </c>
      <c r="N1529" s="464">
        <f t="shared" si="112"/>
        <v>97581</v>
      </c>
    </row>
    <row r="1530" spans="7:14" ht="11.25" customHeight="1" x14ac:dyDescent="0.25">
      <c r="G1530" s="459"/>
      <c r="H1530" s="459">
        <v>1523</v>
      </c>
      <c r="I1530" s="444">
        <f t="shared" ca="1" si="110"/>
        <v>-454155617.5106107</v>
      </c>
      <c r="J1530" s="444">
        <f t="array" ref="J1530">IFERROR(INDEX('Retirement Calculator'!K:K,MATCH('Lorri 401b'!N1530,'Retirement Calculator'!A:A,0),0),0)</f>
        <v>0</v>
      </c>
      <c r="K1530" s="444">
        <f t="shared" ca="1" si="108"/>
        <v>-1892315.0729608776</v>
      </c>
      <c r="L1530" s="444">
        <f t="shared" ca="1" si="109"/>
        <v>-456047932.58357155</v>
      </c>
      <c r="M1530" s="460">
        <f t="shared" si="111"/>
        <v>0.05</v>
      </c>
      <c r="N1530" s="464">
        <f t="shared" si="112"/>
        <v>97612</v>
      </c>
    </row>
    <row r="1531" spans="7:14" ht="11.25" customHeight="1" x14ac:dyDescent="0.25">
      <c r="G1531" s="459"/>
      <c r="H1531" s="459">
        <v>1524</v>
      </c>
      <c r="I1531" s="444">
        <f t="shared" ca="1" si="110"/>
        <v>-456047932.58357155</v>
      </c>
      <c r="J1531" s="444">
        <f t="array" ref="J1531">IFERROR(INDEX('Retirement Calculator'!K:K,MATCH('Lorri 401b'!N1531,'Retirement Calculator'!A:A,0),0),0)</f>
        <v>0</v>
      </c>
      <c r="K1531" s="444">
        <f t="shared" ca="1" si="108"/>
        <v>-1900199.7190982145</v>
      </c>
      <c r="L1531" s="444">
        <f t="shared" ca="1" si="109"/>
        <v>-457948132.30266976</v>
      </c>
      <c r="M1531" s="460">
        <f t="shared" si="111"/>
        <v>0.05</v>
      </c>
      <c r="N1531" s="464">
        <f t="shared" si="112"/>
        <v>97642</v>
      </c>
    </row>
    <row r="1532" spans="7:14" ht="11.25" customHeight="1" x14ac:dyDescent="0.25">
      <c r="G1532" s="459"/>
      <c r="H1532" s="459">
        <v>1525</v>
      </c>
      <c r="I1532" s="444">
        <f t="shared" ca="1" si="110"/>
        <v>-457948132.30266976</v>
      </c>
      <c r="J1532" s="444">
        <f t="array" ref="J1532">IFERROR(INDEX('Retirement Calculator'!K:K,MATCH('Lorri 401b'!N1532,'Retirement Calculator'!A:A,0),0),0)</f>
        <v>0</v>
      </c>
      <c r="K1532" s="444">
        <f t="shared" ca="1" si="108"/>
        <v>-1908117.2179277907</v>
      </c>
      <c r="L1532" s="444">
        <f t="shared" ca="1" si="109"/>
        <v>-459856249.52059758</v>
      </c>
      <c r="M1532" s="460">
        <f t="shared" si="111"/>
        <v>0.05</v>
      </c>
      <c r="N1532" s="464">
        <f t="shared" si="112"/>
        <v>97673</v>
      </c>
    </row>
    <row r="1533" spans="7:14" ht="11.25" customHeight="1" x14ac:dyDescent="0.25">
      <c r="G1533" s="459"/>
      <c r="H1533" s="459">
        <v>1526</v>
      </c>
      <c r="I1533" s="444">
        <f t="shared" ca="1" si="110"/>
        <v>-459856249.52059758</v>
      </c>
      <c r="J1533" s="444">
        <f t="array" ref="J1533">IFERROR(INDEX('Retirement Calculator'!K:K,MATCH('Lorri 401b'!N1533,'Retirement Calculator'!A:A,0),0),0)</f>
        <v>0</v>
      </c>
      <c r="K1533" s="444">
        <f t="shared" ca="1" si="108"/>
        <v>-1916067.7063358233</v>
      </c>
      <c r="L1533" s="444">
        <f t="shared" ca="1" si="109"/>
        <v>-461772317.22693342</v>
      </c>
      <c r="M1533" s="460">
        <f t="shared" si="111"/>
        <v>0.05</v>
      </c>
      <c r="N1533" s="464">
        <f t="shared" si="112"/>
        <v>97703</v>
      </c>
    </row>
    <row r="1534" spans="7:14" ht="11.25" customHeight="1" x14ac:dyDescent="0.25">
      <c r="G1534" s="459"/>
      <c r="H1534" s="459">
        <v>1527</v>
      </c>
      <c r="I1534" s="444">
        <f t="shared" ca="1" si="110"/>
        <v>-461772317.22693342</v>
      </c>
      <c r="J1534" s="444">
        <f t="array" ref="J1534">IFERROR(INDEX('Retirement Calculator'!K:K,MATCH('Lorri 401b'!N1534,'Retirement Calculator'!A:A,0),0),0)</f>
        <v>0</v>
      </c>
      <c r="K1534" s="444">
        <f t="shared" ca="1" si="108"/>
        <v>-1924051.3217788893</v>
      </c>
      <c r="L1534" s="444">
        <f t="shared" ca="1" si="109"/>
        <v>-463696368.54871231</v>
      </c>
      <c r="M1534" s="460">
        <f t="shared" si="111"/>
        <v>0.05</v>
      </c>
      <c r="N1534" s="464">
        <f t="shared" si="112"/>
        <v>97734</v>
      </c>
    </row>
    <row r="1535" spans="7:14" ht="11.25" customHeight="1" x14ac:dyDescent="0.25">
      <c r="G1535" s="459"/>
      <c r="H1535" s="459">
        <v>1528</v>
      </c>
      <c r="I1535" s="444">
        <f t="shared" ca="1" si="110"/>
        <v>-463696368.54871231</v>
      </c>
      <c r="J1535" s="444">
        <f t="array" ref="J1535">IFERROR(INDEX('Retirement Calculator'!K:K,MATCH('Lorri 401b'!N1535,'Retirement Calculator'!A:A,0),0),0)</f>
        <v>0</v>
      </c>
      <c r="K1535" s="444">
        <f t="shared" ca="1" si="108"/>
        <v>-1932068.2022863012</v>
      </c>
      <c r="L1535" s="444">
        <f t="shared" ca="1" si="109"/>
        <v>-465628436.75099862</v>
      </c>
      <c r="M1535" s="460">
        <f t="shared" si="111"/>
        <v>0.05</v>
      </c>
      <c r="N1535" s="464">
        <f t="shared" si="112"/>
        <v>97765</v>
      </c>
    </row>
    <row r="1536" spans="7:14" ht="11.25" customHeight="1" x14ac:dyDescent="0.25">
      <c r="G1536" s="459"/>
      <c r="H1536" s="459">
        <v>1529</v>
      </c>
      <c r="I1536" s="444">
        <f t="shared" ca="1" si="110"/>
        <v>-465628436.75099862</v>
      </c>
      <c r="J1536" s="444">
        <f t="array" ref="J1536">IFERROR(INDEX('Retirement Calculator'!K:K,MATCH('Lorri 401b'!N1536,'Retirement Calculator'!A:A,0),0),0)</f>
        <v>0</v>
      </c>
      <c r="K1536" s="444">
        <f t="shared" ca="1" si="108"/>
        <v>-1940118.4864624941</v>
      </c>
      <c r="L1536" s="444">
        <f t="shared" ca="1" si="109"/>
        <v>-467568555.23746109</v>
      </c>
      <c r="M1536" s="460">
        <f t="shared" si="111"/>
        <v>0.05</v>
      </c>
      <c r="N1536" s="464">
        <f t="shared" si="112"/>
        <v>97795</v>
      </c>
    </row>
    <row r="1537" spans="7:14" ht="11.25" customHeight="1" x14ac:dyDescent="0.25">
      <c r="G1537" s="459"/>
      <c r="H1537" s="459">
        <v>1530</v>
      </c>
      <c r="I1537" s="444">
        <f t="shared" ca="1" si="110"/>
        <v>-467568555.23746109</v>
      </c>
      <c r="J1537" s="444">
        <f t="array" ref="J1537">IFERROR(INDEX('Retirement Calculator'!K:K,MATCH('Lorri 401b'!N1537,'Retirement Calculator'!A:A,0),0),0)</f>
        <v>0</v>
      </c>
      <c r="K1537" s="444">
        <f t="shared" ca="1" si="108"/>
        <v>-1948202.3134894213</v>
      </c>
      <c r="L1537" s="444">
        <f t="shared" ca="1" si="109"/>
        <v>-469516757.55095053</v>
      </c>
      <c r="M1537" s="460">
        <f t="shared" si="111"/>
        <v>0.05</v>
      </c>
      <c r="N1537" s="464">
        <f t="shared" si="112"/>
        <v>97826</v>
      </c>
    </row>
    <row r="1538" spans="7:14" ht="11.25" customHeight="1" x14ac:dyDescent="0.25">
      <c r="G1538" s="459"/>
      <c r="H1538" s="459">
        <v>1531</v>
      </c>
      <c r="I1538" s="444">
        <f t="shared" ca="1" si="110"/>
        <v>-469516757.55095053</v>
      </c>
      <c r="J1538" s="444">
        <f t="array" ref="J1538">IFERROR(INDEX('Retirement Calculator'!K:K,MATCH('Lorri 401b'!N1538,'Retirement Calculator'!A:A,0),0),0)</f>
        <v>0</v>
      </c>
      <c r="K1538" s="444">
        <f t="shared" ref="K1538:K1792" ca="1" si="113">IPMT(M1538/12,1,12,-I1538+J1538,,0)</f>
        <v>-1956319.8231289606</v>
      </c>
      <c r="L1538" s="444">
        <f t="shared" ref="L1538:L1792" ca="1" si="114">I1538-J1538+K1538</f>
        <v>-471473077.37407947</v>
      </c>
      <c r="M1538" s="460">
        <f t="shared" si="111"/>
        <v>0.05</v>
      </c>
      <c r="N1538" s="464">
        <f t="shared" si="112"/>
        <v>97856</v>
      </c>
    </row>
    <row r="1539" spans="7:14" ht="11.25" customHeight="1" x14ac:dyDescent="0.25">
      <c r="G1539" s="459"/>
      <c r="H1539" s="459">
        <v>1532</v>
      </c>
      <c r="I1539" s="444">
        <f t="shared" ref="I1539:I1793" ca="1" si="115">L1538</f>
        <v>-471473077.37407947</v>
      </c>
      <c r="J1539" s="444">
        <f t="array" ref="J1539">IFERROR(INDEX('Retirement Calculator'!K:K,MATCH('Lorri 401b'!N1539,'Retirement Calculator'!A:A,0),0),0)</f>
        <v>0</v>
      </c>
      <c r="K1539" s="444">
        <f t="shared" ca="1" si="113"/>
        <v>-1964471.155725331</v>
      </c>
      <c r="L1539" s="444">
        <f t="shared" ca="1" si="114"/>
        <v>-473437548.52980483</v>
      </c>
      <c r="M1539" s="460">
        <f t="shared" ref="M1539:M1793" si="116">M1538</f>
        <v>0.05</v>
      </c>
      <c r="N1539" s="464">
        <f t="shared" ref="N1539:N1793" si="117">EDATE(N1538,1)</f>
        <v>97887</v>
      </c>
    </row>
    <row r="1540" spans="7:14" ht="11.25" customHeight="1" x14ac:dyDescent="0.25">
      <c r="G1540" s="459"/>
      <c r="H1540" s="459">
        <v>1533</v>
      </c>
      <c r="I1540" s="444">
        <f t="shared" ca="1" si="115"/>
        <v>-473437548.52980483</v>
      </c>
      <c r="J1540" s="444">
        <f t="array" ref="J1540">IFERROR(INDEX('Retirement Calculator'!K:K,MATCH('Lorri 401b'!N1540,'Retirement Calculator'!A:A,0),0),0)</f>
        <v>0</v>
      </c>
      <c r="K1540" s="444">
        <f t="shared" ca="1" si="113"/>
        <v>-1972656.4522075201</v>
      </c>
      <c r="L1540" s="444">
        <f t="shared" ca="1" si="114"/>
        <v>-475410204.98201233</v>
      </c>
      <c r="M1540" s="460">
        <f t="shared" si="116"/>
        <v>0.05</v>
      </c>
      <c r="N1540" s="464">
        <f t="shared" si="117"/>
        <v>97918</v>
      </c>
    </row>
    <row r="1541" spans="7:14" ht="11.25" customHeight="1" x14ac:dyDescent="0.25">
      <c r="G1541" s="459"/>
      <c r="H1541" s="459">
        <v>1534</v>
      </c>
      <c r="I1541" s="444">
        <f t="shared" ca="1" si="115"/>
        <v>-475410204.98201233</v>
      </c>
      <c r="J1541" s="444">
        <f t="array" ref="J1541">IFERROR(INDEX('Retirement Calculator'!K:K,MATCH('Lorri 401b'!N1541,'Retirement Calculator'!A:A,0),0),0)</f>
        <v>0</v>
      </c>
      <c r="K1541" s="444">
        <f t="shared" ca="1" si="113"/>
        <v>-1980875.8540917181</v>
      </c>
      <c r="L1541" s="444">
        <f t="shared" ca="1" si="114"/>
        <v>-477391080.83610404</v>
      </c>
      <c r="M1541" s="460">
        <f t="shared" si="116"/>
        <v>0.05</v>
      </c>
      <c r="N1541" s="464">
        <f t="shared" si="117"/>
        <v>97947</v>
      </c>
    </row>
    <row r="1542" spans="7:14" ht="11.25" customHeight="1" x14ac:dyDescent="0.25">
      <c r="G1542" s="459"/>
      <c r="H1542" s="459">
        <v>1535</v>
      </c>
      <c r="I1542" s="444">
        <f t="shared" ca="1" si="115"/>
        <v>-477391080.83610404</v>
      </c>
      <c r="J1542" s="444">
        <f t="array" ref="J1542">IFERROR(INDEX('Retirement Calculator'!K:K,MATCH('Lorri 401b'!N1542,'Retirement Calculator'!A:A,0),0),0)</f>
        <v>0</v>
      </c>
      <c r="K1542" s="444">
        <f t="shared" ca="1" si="113"/>
        <v>-1989129.5034837669</v>
      </c>
      <c r="L1542" s="444">
        <f t="shared" ca="1" si="114"/>
        <v>-479380210.33958781</v>
      </c>
      <c r="M1542" s="460">
        <f t="shared" si="116"/>
        <v>0.05</v>
      </c>
      <c r="N1542" s="464">
        <f t="shared" si="117"/>
        <v>97978</v>
      </c>
    </row>
    <row r="1543" spans="7:14" ht="11.25" customHeight="1" x14ac:dyDescent="0.25">
      <c r="G1543" s="459"/>
      <c r="H1543" s="459">
        <v>1536</v>
      </c>
      <c r="I1543" s="444">
        <f t="shared" ca="1" si="115"/>
        <v>-479380210.33958781</v>
      </c>
      <c r="J1543" s="444">
        <f t="array" ref="J1543">IFERROR(INDEX('Retirement Calculator'!K:K,MATCH('Lorri 401b'!N1543,'Retirement Calculator'!A:A,0),0),0)</f>
        <v>0</v>
      </c>
      <c r="K1543" s="444">
        <f t="shared" ca="1" si="113"/>
        <v>-1997417.5430816161</v>
      </c>
      <c r="L1543" s="444">
        <f t="shared" ca="1" si="114"/>
        <v>-481377627.88266945</v>
      </c>
      <c r="M1543" s="460">
        <f t="shared" si="116"/>
        <v>0.05</v>
      </c>
      <c r="N1543" s="464">
        <f t="shared" si="117"/>
        <v>98008</v>
      </c>
    </row>
    <row r="1544" spans="7:14" ht="11.25" customHeight="1" x14ac:dyDescent="0.25">
      <c r="G1544" s="459"/>
      <c r="H1544" s="459">
        <v>1537</v>
      </c>
      <c r="I1544" s="444">
        <f t="shared" ca="1" si="115"/>
        <v>-481377627.88266945</v>
      </c>
      <c r="J1544" s="444">
        <f t="array" ref="J1544">IFERROR(INDEX('Retirement Calculator'!K:K,MATCH('Lorri 401b'!N1544,'Retirement Calculator'!A:A,0),0),0)</f>
        <v>0</v>
      </c>
      <c r="K1544" s="444">
        <f t="shared" ca="1" si="113"/>
        <v>-2005740.1161777894</v>
      </c>
      <c r="L1544" s="444">
        <f t="shared" ca="1" si="114"/>
        <v>-483383367.99884725</v>
      </c>
      <c r="M1544" s="460">
        <f t="shared" si="116"/>
        <v>0.05</v>
      </c>
      <c r="N1544" s="464">
        <f t="shared" si="117"/>
        <v>98039</v>
      </c>
    </row>
    <row r="1545" spans="7:14" ht="11.25" customHeight="1" x14ac:dyDescent="0.25">
      <c r="G1545" s="459"/>
      <c r="H1545" s="459">
        <v>1538</v>
      </c>
      <c r="I1545" s="444">
        <f t="shared" ca="1" si="115"/>
        <v>-483383367.99884725</v>
      </c>
      <c r="J1545" s="444">
        <f t="array" ref="J1545">IFERROR(INDEX('Retirement Calculator'!K:K,MATCH('Lorri 401b'!N1545,'Retirement Calculator'!A:A,0),0),0)</f>
        <v>0</v>
      </c>
      <c r="K1545" s="444">
        <f t="shared" ca="1" si="113"/>
        <v>-2014097.3666618634</v>
      </c>
      <c r="L1545" s="444">
        <f t="shared" ca="1" si="114"/>
        <v>-485397465.36550909</v>
      </c>
      <c r="M1545" s="460">
        <f t="shared" si="116"/>
        <v>0.05</v>
      </c>
      <c r="N1545" s="464">
        <f t="shared" si="117"/>
        <v>98069</v>
      </c>
    </row>
    <row r="1546" spans="7:14" ht="11.25" customHeight="1" x14ac:dyDescent="0.25">
      <c r="G1546" s="459"/>
      <c r="H1546" s="459">
        <v>1539</v>
      </c>
      <c r="I1546" s="444">
        <f t="shared" ca="1" si="115"/>
        <v>-485397465.36550909</v>
      </c>
      <c r="J1546" s="444">
        <f t="array" ref="J1546">IFERROR(INDEX('Retirement Calculator'!K:K,MATCH('Lorri 401b'!N1546,'Retirement Calculator'!A:A,0),0),0)</f>
        <v>0</v>
      </c>
      <c r="K1546" s="444">
        <f t="shared" ca="1" si="113"/>
        <v>-2022489.4390229543</v>
      </c>
      <c r="L1546" s="444">
        <f t="shared" ca="1" si="114"/>
        <v>-487419954.80453205</v>
      </c>
      <c r="M1546" s="460">
        <f t="shared" si="116"/>
        <v>0.05</v>
      </c>
      <c r="N1546" s="464">
        <f t="shared" si="117"/>
        <v>98100</v>
      </c>
    </row>
    <row r="1547" spans="7:14" ht="11.25" customHeight="1" x14ac:dyDescent="0.25">
      <c r="G1547" s="459"/>
      <c r="H1547" s="459">
        <v>1540</v>
      </c>
      <c r="I1547" s="444">
        <f t="shared" ca="1" si="115"/>
        <v>-487419954.80453205</v>
      </c>
      <c r="J1547" s="444">
        <f t="array" ref="J1547">IFERROR(INDEX('Retirement Calculator'!K:K,MATCH('Lorri 401b'!N1547,'Retirement Calculator'!A:A,0),0),0)</f>
        <v>0</v>
      </c>
      <c r="K1547" s="444">
        <f t="shared" ca="1" si="113"/>
        <v>-2030916.4783522168</v>
      </c>
      <c r="L1547" s="444">
        <f t="shared" ca="1" si="114"/>
        <v>-489450871.28288424</v>
      </c>
      <c r="M1547" s="460">
        <f t="shared" si="116"/>
        <v>0.05</v>
      </c>
      <c r="N1547" s="464">
        <f t="shared" si="117"/>
        <v>98131</v>
      </c>
    </row>
    <row r="1548" spans="7:14" ht="11.25" customHeight="1" x14ac:dyDescent="0.25">
      <c r="G1548" s="459"/>
      <c r="H1548" s="459">
        <v>1541</v>
      </c>
      <c r="I1548" s="444">
        <f t="shared" ca="1" si="115"/>
        <v>-489450871.28288424</v>
      </c>
      <c r="J1548" s="444">
        <f t="array" ref="J1548">IFERROR(INDEX('Retirement Calculator'!K:K,MATCH('Lorri 401b'!N1548,'Retirement Calculator'!A:A,0),0),0)</f>
        <v>0</v>
      </c>
      <c r="K1548" s="444">
        <f t="shared" ca="1" si="113"/>
        <v>-2039378.6303453513</v>
      </c>
      <c r="L1548" s="444">
        <f t="shared" ca="1" si="114"/>
        <v>-491490249.91322958</v>
      </c>
      <c r="M1548" s="460">
        <f t="shared" si="116"/>
        <v>0.05</v>
      </c>
      <c r="N1548" s="464">
        <f t="shared" si="117"/>
        <v>98161</v>
      </c>
    </row>
    <row r="1549" spans="7:14" ht="11.25" customHeight="1" x14ac:dyDescent="0.25">
      <c r="G1549" s="459"/>
      <c r="H1549" s="459">
        <v>1542</v>
      </c>
      <c r="I1549" s="444">
        <f t="shared" ca="1" si="115"/>
        <v>-491490249.91322958</v>
      </c>
      <c r="J1549" s="444">
        <f t="array" ref="J1549">IFERROR(INDEX('Retirement Calculator'!K:K,MATCH('Lorri 401b'!N1549,'Retirement Calculator'!A:A,0),0),0)</f>
        <v>0</v>
      </c>
      <c r="K1549" s="444">
        <f t="shared" ca="1" si="113"/>
        <v>-2047876.0413051231</v>
      </c>
      <c r="L1549" s="444">
        <f t="shared" ca="1" si="114"/>
        <v>-493538125.95453471</v>
      </c>
      <c r="M1549" s="460">
        <f t="shared" si="116"/>
        <v>0.05</v>
      </c>
      <c r="N1549" s="464">
        <f t="shared" si="117"/>
        <v>98192</v>
      </c>
    </row>
    <row r="1550" spans="7:14" ht="11.25" customHeight="1" x14ac:dyDescent="0.25">
      <c r="G1550" s="459"/>
      <c r="H1550" s="459">
        <v>1543</v>
      </c>
      <c r="I1550" s="444">
        <f t="shared" ca="1" si="115"/>
        <v>-493538125.95453471</v>
      </c>
      <c r="J1550" s="444">
        <f t="array" ref="J1550">IFERROR(INDEX('Retirement Calculator'!K:K,MATCH('Lorri 401b'!N1550,'Retirement Calculator'!A:A,0),0),0)</f>
        <v>0</v>
      </c>
      <c r="K1550" s="444">
        <f t="shared" ca="1" si="113"/>
        <v>-2056408.8581438947</v>
      </c>
      <c r="L1550" s="444">
        <f t="shared" ca="1" si="114"/>
        <v>-495594534.81267858</v>
      </c>
      <c r="M1550" s="460">
        <f t="shared" si="116"/>
        <v>0.05</v>
      </c>
      <c r="N1550" s="464">
        <f t="shared" si="117"/>
        <v>98222</v>
      </c>
    </row>
    <row r="1551" spans="7:14" ht="11.25" customHeight="1" x14ac:dyDescent="0.25">
      <c r="G1551" s="459"/>
      <c r="H1551" s="459">
        <v>1544</v>
      </c>
      <c r="I1551" s="444">
        <f t="shared" ca="1" si="115"/>
        <v>-495594534.81267858</v>
      </c>
      <c r="J1551" s="444">
        <f t="array" ref="J1551">IFERROR(INDEX('Retirement Calculator'!K:K,MATCH('Lorri 401b'!N1551,'Retirement Calculator'!A:A,0),0),0)</f>
        <v>0</v>
      </c>
      <c r="K1551" s="444">
        <f t="shared" ca="1" si="113"/>
        <v>-2064977.2283861607</v>
      </c>
      <c r="L1551" s="444">
        <f t="shared" ca="1" si="114"/>
        <v>-497659512.04106474</v>
      </c>
      <c r="M1551" s="460">
        <f t="shared" si="116"/>
        <v>0.05</v>
      </c>
      <c r="N1551" s="464">
        <f t="shared" si="117"/>
        <v>98253</v>
      </c>
    </row>
    <row r="1552" spans="7:14" ht="11.25" customHeight="1" x14ac:dyDescent="0.25">
      <c r="G1552" s="459"/>
      <c r="H1552" s="459">
        <v>1545</v>
      </c>
      <c r="I1552" s="444">
        <f t="shared" ca="1" si="115"/>
        <v>-497659512.04106474</v>
      </c>
      <c r="J1552" s="444">
        <f t="array" ref="J1552">IFERROR(INDEX('Retirement Calculator'!K:K,MATCH('Lorri 401b'!N1552,'Retirement Calculator'!A:A,0),0),0)</f>
        <v>0</v>
      </c>
      <c r="K1552" s="444">
        <f t="shared" ca="1" si="113"/>
        <v>-2073581.3001711029</v>
      </c>
      <c r="L1552" s="444">
        <f t="shared" ca="1" si="114"/>
        <v>-499733093.34123582</v>
      </c>
      <c r="M1552" s="460">
        <f t="shared" si="116"/>
        <v>0.05</v>
      </c>
      <c r="N1552" s="464">
        <f t="shared" si="117"/>
        <v>98284</v>
      </c>
    </row>
    <row r="1553" spans="7:14" ht="11.25" customHeight="1" x14ac:dyDescent="0.25">
      <c r="G1553" s="459"/>
      <c r="H1553" s="459">
        <v>1546</v>
      </c>
      <c r="I1553" s="444">
        <f t="shared" ca="1" si="115"/>
        <v>-499733093.34123582</v>
      </c>
      <c r="J1553" s="444">
        <f t="array" ref="J1553">IFERROR(INDEX('Retirement Calculator'!K:K,MATCH('Lorri 401b'!N1553,'Retirement Calculator'!A:A,0),0),0)</f>
        <v>0</v>
      </c>
      <c r="K1553" s="444">
        <f t="shared" ca="1" si="113"/>
        <v>-2082221.2222551492</v>
      </c>
      <c r="L1553" s="444">
        <f t="shared" ca="1" si="114"/>
        <v>-501815314.56349099</v>
      </c>
      <c r="M1553" s="460">
        <f t="shared" si="116"/>
        <v>0.05</v>
      </c>
      <c r="N1553" s="464">
        <f t="shared" si="117"/>
        <v>98312</v>
      </c>
    </row>
    <row r="1554" spans="7:14" ht="11.25" customHeight="1" x14ac:dyDescent="0.25">
      <c r="G1554" s="459"/>
      <c r="H1554" s="459">
        <v>1547</v>
      </c>
      <c r="I1554" s="444">
        <f t="shared" ca="1" si="115"/>
        <v>-501815314.56349099</v>
      </c>
      <c r="J1554" s="444">
        <f t="array" ref="J1554">IFERROR(INDEX('Retirement Calculator'!K:K,MATCH('Lorri 401b'!N1554,'Retirement Calculator'!A:A,0),0),0)</f>
        <v>0</v>
      </c>
      <c r="K1554" s="444">
        <f t="shared" ca="1" si="113"/>
        <v>-2090897.1440145457</v>
      </c>
      <c r="L1554" s="444">
        <f t="shared" ca="1" si="114"/>
        <v>-503906211.70750552</v>
      </c>
      <c r="M1554" s="460">
        <f t="shared" si="116"/>
        <v>0.05</v>
      </c>
      <c r="N1554" s="464">
        <f t="shared" si="117"/>
        <v>98343</v>
      </c>
    </row>
    <row r="1555" spans="7:14" ht="11.25" customHeight="1" x14ac:dyDescent="0.25">
      <c r="G1555" s="459"/>
      <c r="H1555" s="459">
        <v>1548</v>
      </c>
      <c r="I1555" s="444">
        <f t="shared" ca="1" si="115"/>
        <v>-503906211.70750552</v>
      </c>
      <c r="J1555" s="444">
        <f t="array" ref="J1555">IFERROR(INDEX('Retirement Calculator'!K:K,MATCH('Lorri 401b'!N1555,'Retirement Calculator'!A:A,0),0),0)</f>
        <v>0</v>
      </c>
      <c r="K1555" s="444">
        <f t="shared" ca="1" si="113"/>
        <v>-2099609.2154479395</v>
      </c>
      <c r="L1555" s="444">
        <f t="shared" ca="1" si="114"/>
        <v>-506005820.92295349</v>
      </c>
      <c r="M1555" s="460">
        <f t="shared" si="116"/>
        <v>0.05</v>
      </c>
      <c r="N1555" s="464">
        <f t="shared" si="117"/>
        <v>98373</v>
      </c>
    </row>
    <row r="1556" spans="7:14" ht="11.25" customHeight="1" x14ac:dyDescent="0.25">
      <c r="G1556" s="459"/>
      <c r="H1556" s="459">
        <v>1549</v>
      </c>
      <c r="I1556" s="444">
        <f t="shared" ca="1" si="115"/>
        <v>-506005820.92295349</v>
      </c>
      <c r="J1556" s="444">
        <f t="array" ref="J1556">IFERROR(INDEX('Retirement Calculator'!K:K,MATCH('Lorri 401b'!N1556,'Retirement Calculator'!A:A,0),0),0)</f>
        <v>0</v>
      </c>
      <c r="K1556" s="444">
        <f t="shared" ca="1" si="113"/>
        <v>-2108357.587178973</v>
      </c>
      <c r="L1556" s="444">
        <f t="shared" ca="1" si="114"/>
        <v>-508114178.51013243</v>
      </c>
      <c r="M1556" s="460">
        <f t="shared" si="116"/>
        <v>0.05</v>
      </c>
      <c r="N1556" s="464">
        <f t="shared" si="117"/>
        <v>98404</v>
      </c>
    </row>
    <row r="1557" spans="7:14" ht="11.25" customHeight="1" x14ac:dyDescent="0.25">
      <c r="G1557" s="459"/>
      <c r="H1557" s="459">
        <v>1550</v>
      </c>
      <c r="I1557" s="444">
        <f t="shared" ca="1" si="115"/>
        <v>-508114178.51013243</v>
      </c>
      <c r="J1557" s="444">
        <f t="array" ref="J1557">IFERROR(INDEX('Retirement Calculator'!K:K,MATCH('Lorri 401b'!N1557,'Retirement Calculator'!A:A,0),0),0)</f>
        <v>0</v>
      </c>
      <c r="K1557" s="444">
        <f t="shared" ca="1" si="113"/>
        <v>-2117142.4104588851</v>
      </c>
      <c r="L1557" s="444">
        <f t="shared" ca="1" si="114"/>
        <v>-510231320.92059129</v>
      </c>
      <c r="M1557" s="460">
        <f t="shared" si="116"/>
        <v>0.05</v>
      </c>
      <c r="N1557" s="464">
        <f t="shared" si="117"/>
        <v>98434</v>
      </c>
    </row>
    <row r="1558" spans="7:14" ht="11.25" customHeight="1" x14ac:dyDescent="0.25">
      <c r="G1558" s="459"/>
      <c r="H1558" s="459">
        <v>1551</v>
      </c>
      <c r="I1558" s="444">
        <f t="shared" ca="1" si="115"/>
        <v>-510231320.92059129</v>
      </c>
      <c r="J1558" s="444">
        <f t="array" ref="J1558">IFERROR(INDEX('Retirement Calculator'!K:K,MATCH('Lorri 401b'!N1558,'Retirement Calculator'!A:A,0),0),0)</f>
        <v>0</v>
      </c>
      <c r="K1558" s="444">
        <f t="shared" ca="1" si="113"/>
        <v>-2125963.8371691303</v>
      </c>
      <c r="L1558" s="444">
        <f t="shared" ca="1" si="114"/>
        <v>-512357284.75776041</v>
      </c>
      <c r="M1558" s="460">
        <f t="shared" si="116"/>
        <v>0.05</v>
      </c>
      <c r="N1558" s="464">
        <f t="shared" si="117"/>
        <v>98465</v>
      </c>
    </row>
    <row r="1559" spans="7:14" ht="11.25" customHeight="1" x14ac:dyDescent="0.25">
      <c r="G1559" s="459"/>
      <c r="H1559" s="459">
        <v>1552</v>
      </c>
      <c r="I1559" s="444">
        <f t="shared" ca="1" si="115"/>
        <v>-512357284.75776041</v>
      </c>
      <c r="J1559" s="444">
        <f t="array" ref="J1559">IFERROR(INDEX('Retirement Calculator'!K:K,MATCH('Lorri 401b'!N1559,'Retirement Calculator'!A:A,0),0),0)</f>
        <v>0</v>
      </c>
      <c r="K1559" s="444">
        <f t="shared" ca="1" si="113"/>
        <v>-2134822.0198240015</v>
      </c>
      <c r="L1559" s="444">
        <f t="shared" ca="1" si="114"/>
        <v>-514492106.77758443</v>
      </c>
      <c r="M1559" s="460">
        <f t="shared" si="116"/>
        <v>0.05</v>
      </c>
      <c r="N1559" s="464">
        <f t="shared" si="117"/>
        <v>98496</v>
      </c>
    </row>
    <row r="1560" spans="7:14" ht="11.25" customHeight="1" x14ac:dyDescent="0.25">
      <c r="G1560" s="459"/>
      <c r="H1560" s="459">
        <v>1553</v>
      </c>
      <c r="I1560" s="444">
        <f t="shared" ca="1" si="115"/>
        <v>-514492106.77758443</v>
      </c>
      <c r="J1560" s="444">
        <f t="array" ref="J1560">IFERROR(INDEX('Retirement Calculator'!K:K,MATCH('Lorri 401b'!N1560,'Retirement Calculator'!A:A,0),0),0)</f>
        <v>0</v>
      </c>
      <c r="K1560" s="444">
        <f t="shared" ca="1" si="113"/>
        <v>-2143717.1115732687</v>
      </c>
      <c r="L1560" s="444">
        <f t="shared" ca="1" si="114"/>
        <v>-516635823.88915771</v>
      </c>
      <c r="M1560" s="460">
        <f t="shared" si="116"/>
        <v>0.05</v>
      </c>
      <c r="N1560" s="464">
        <f t="shared" si="117"/>
        <v>98526</v>
      </c>
    </row>
    <row r="1561" spans="7:14" ht="11.25" customHeight="1" x14ac:dyDescent="0.25">
      <c r="G1561" s="459"/>
      <c r="H1561" s="459">
        <v>1554</v>
      </c>
      <c r="I1561" s="444">
        <f t="shared" ca="1" si="115"/>
        <v>-516635823.88915771</v>
      </c>
      <c r="J1561" s="444">
        <f t="array" ref="J1561">IFERROR(INDEX('Retirement Calculator'!K:K,MATCH('Lorri 401b'!N1561,'Retirement Calculator'!A:A,0),0),0)</f>
        <v>0</v>
      </c>
      <c r="K1561" s="444">
        <f t="shared" ca="1" si="113"/>
        <v>-2152649.2662048237</v>
      </c>
      <c r="L1561" s="444">
        <f t="shared" ca="1" si="114"/>
        <v>-518788473.15536255</v>
      </c>
      <c r="M1561" s="460">
        <f t="shared" si="116"/>
        <v>0.05</v>
      </c>
      <c r="N1561" s="464">
        <f t="shared" si="117"/>
        <v>98557</v>
      </c>
    </row>
    <row r="1562" spans="7:14" ht="11.25" customHeight="1" x14ac:dyDescent="0.25">
      <c r="G1562" s="459"/>
      <c r="H1562" s="459">
        <v>1555</v>
      </c>
      <c r="I1562" s="444">
        <f t="shared" ca="1" si="115"/>
        <v>-518788473.15536255</v>
      </c>
      <c r="J1562" s="444">
        <f t="array" ref="J1562">IFERROR(INDEX('Retirement Calculator'!K:K,MATCH('Lorri 401b'!N1562,'Retirement Calculator'!A:A,0),0),0)</f>
        <v>0</v>
      </c>
      <c r="K1562" s="444">
        <f t="shared" ca="1" si="113"/>
        <v>-2161618.6381473439</v>
      </c>
      <c r="L1562" s="444">
        <f t="shared" ca="1" si="114"/>
        <v>-520950091.7935099</v>
      </c>
      <c r="M1562" s="460">
        <f t="shared" si="116"/>
        <v>0.05</v>
      </c>
      <c r="N1562" s="464">
        <f t="shared" si="117"/>
        <v>98587</v>
      </c>
    </row>
    <row r="1563" spans="7:14" ht="11.25" customHeight="1" x14ac:dyDescent="0.25">
      <c r="G1563" s="459"/>
      <c r="H1563" s="459">
        <v>1556</v>
      </c>
      <c r="I1563" s="444">
        <f t="shared" ca="1" si="115"/>
        <v>-520950091.7935099</v>
      </c>
      <c r="J1563" s="444">
        <f t="array" ref="J1563">IFERROR(INDEX('Retirement Calculator'!K:K,MATCH('Lorri 401b'!N1563,'Retirement Calculator'!A:A,0),0),0)</f>
        <v>0</v>
      </c>
      <c r="K1563" s="444">
        <f t="shared" ca="1" si="113"/>
        <v>-2170625.382472958</v>
      </c>
      <c r="L1563" s="444">
        <f t="shared" ca="1" si="114"/>
        <v>-523120717.17598283</v>
      </c>
      <c r="M1563" s="460">
        <f t="shared" si="116"/>
        <v>0.05</v>
      </c>
      <c r="N1563" s="464">
        <f t="shared" si="117"/>
        <v>98618</v>
      </c>
    </row>
    <row r="1564" spans="7:14" ht="11.25" customHeight="1" x14ac:dyDescent="0.25">
      <c r="G1564" s="459"/>
      <c r="H1564" s="459">
        <v>1557</v>
      </c>
      <c r="I1564" s="444">
        <f t="shared" ca="1" si="115"/>
        <v>-523120717.17598283</v>
      </c>
      <c r="J1564" s="444">
        <f t="array" ref="J1564">IFERROR(INDEX('Retirement Calculator'!K:K,MATCH('Lorri 401b'!N1564,'Retirement Calculator'!A:A,0),0),0)</f>
        <v>0</v>
      </c>
      <c r="K1564" s="444">
        <f t="shared" ca="1" si="113"/>
        <v>-2179669.6548999283</v>
      </c>
      <c r="L1564" s="444">
        <f t="shared" ca="1" si="114"/>
        <v>-525300386.83088279</v>
      </c>
      <c r="M1564" s="460">
        <f t="shared" si="116"/>
        <v>0.05</v>
      </c>
      <c r="N1564" s="464">
        <f t="shared" si="117"/>
        <v>98649</v>
      </c>
    </row>
    <row r="1565" spans="7:14" ht="11.25" customHeight="1" x14ac:dyDescent="0.25">
      <c r="G1565" s="459"/>
      <c r="H1565" s="459">
        <v>1558</v>
      </c>
      <c r="I1565" s="444">
        <f t="shared" ca="1" si="115"/>
        <v>-525300386.83088279</v>
      </c>
      <c r="J1565" s="444">
        <f t="array" ref="J1565">IFERROR(INDEX('Retirement Calculator'!K:K,MATCH('Lorri 401b'!N1565,'Retirement Calculator'!A:A,0),0),0)</f>
        <v>0</v>
      </c>
      <c r="K1565" s="444">
        <f t="shared" ca="1" si="113"/>
        <v>-2188751.6117953449</v>
      </c>
      <c r="L1565" s="444">
        <f t="shared" ca="1" si="114"/>
        <v>-527489138.44267815</v>
      </c>
      <c r="M1565" s="460">
        <f t="shared" si="116"/>
        <v>0.05</v>
      </c>
      <c r="N1565" s="464">
        <f t="shared" si="117"/>
        <v>98677</v>
      </c>
    </row>
    <row r="1566" spans="7:14" ht="11.25" customHeight="1" x14ac:dyDescent="0.25">
      <c r="G1566" s="459"/>
      <c r="H1566" s="459">
        <v>1559</v>
      </c>
      <c r="I1566" s="444">
        <f t="shared" ca="1" si="115"/>
        <v>-527489138.44267815</v>
      </c>
      <c r="J1566" s="444">
        <f t="array" ref="J1566">IFERROR(INDEX('Retirement Calculator'!K:K,MATCH('Lorri 401b'!N1566,'Retirement Calculator'!A:A,0),0),0)</f>
        <v>0</v>
      </c>
      <c r="K1566" s="444">
        <f t="shared" ca="1" si="113"/>
        <v>-2197871.4101778255</v>
      </c>
      <c r="L1566" s="444">
        <f t="shared" ca="1" si="114"/>
        <v>-529687009.85285598</v>
      </c>
      <c r="M1566" s="460">
        <f t="shared" si="116"/>
        <v>0.05</v>
      </c>
      <c r="N1566" s="464">
        <f t="shared" si="117"/>
        <v>98708</v>
      </c>
    </row>
    <row r="1567" spans="7:14" ht="11.25" customHeight="1" x14ac:dyDescent="0.25">
      <c r="G1567" s="459"/>
      <c r="H1567" s="459">
        <v>1560</v>
      </c>
      <c r="I1567" s="444">
        <f t="shared" ca="1" si="115"/>
        <v>-529687009.85285598</v>
      </c>
      <c r="J1567" s="444">
        <f t="array" ref="J1567">IFERROR(INDEX('Retirement Calculator'!K:K,MATCH('Lorri 401b'!N1567,'Retirement Calculator'!A:A,0),0),0)</f>
        <v>0</v>
      </c>
      <c r="K1567" s="444">
        <f t="shared" ca="1" si="113"/>
        <v>-2207029.2077202331</v>
      </c>
      <c r="L1567" s="444">
        <f t="shared" ca="1" si="114"/>
        <v>-531894039.0605762</v>
      </c>
      <c r="M1567" s="460">
        <f t="shared" si="116"/>
        <v>0.05</v>
      </c>
      <c r="N1567" s="464">
        <f t="shared" si="117"/>
        <v>98738</v>
      </c>
    </row>
    <row r="1568" spans="7:14" ht="11.25" customHeight="1" x14ac:dyDescent="0.25">
      <c r="G1568" s="459"/>
      <c r="H1568" s="459">
        <v>1561</v>
      </c>
      <c r="I1568" s="444">
        <f t="shared" ca="1" si="115"/>
        <v>-531894039.0605762</v>
      </c>
      <c r="J1568" s="444">
        <f t="array" ref="J1568">IFERROR(INDEX('Retirement Calculator'!K:K,MATCH('Lorri 401b'!N1568,'Retirement Calculator'!A:A,0),0),0)</f>
        <v>0</v>
      </c>
      <c r="K1568" s="444">
        <f t="shared" ca="1" si="113"/>
        <v>-2216225.1627524006</v>
      </c>
      <c r="L1568" s="444">
        <f t="shared" ca="1" si="114"/>
        <v>-534110264.22332859</v>
      </c>
      <c r="M1568" s="460">
        <f t="shared" si="116"/>
        <v>0.05</v>
      </c>
      <c r="N1568" s="464">
        <f t="shared" si="117"/>
        <v>98769</v>
      </c>
    </row>
    <row r="1569" spans="7:14" ht="11.25" customHeight="1" x14ac:dyDescent="0.25">
      <c r="G1569" s="459"/>
      <c r="H1569" s="459">
        <v>1562</v>
      </c>
      <c r="I1569" s="444">
        <f t="shared" ca="1" si="115"/>
        <v>-534110264.22332859</v>
      </c>
      <c r="J1569" s="444">
        <f t="array" ref="J1569">IFERROR(INDEX('Retirement Calculator'!K:K,MATCH('Lorri 401b'!N1569,'Retirement Calculator'!A:A,0),0),0)</f>
        <v>0</v>
      </c>
      <c r="K1569" s="444">
        <f t="shared" ca="1" si="113"/>
        <v>-2225459.4342638692</v>
      </c>
      <c r="L1569" s="444">
        <f t="shared" ca="1" si="114"/>
        <v>-536335723.65759248</v>
      </c>
      <c r="M1569" s="460">
        <f t="shared" si="116"/>
        <v>0.05</v>
      </c>
      <c r="N1569" s="464">
        <f t="shared" si="117"/>
        <v>98799</v>
      </c>
    </row>
    <row r="1570" spans="7:14" ht="11.25" customHeight="1" x14ac:dyDescent="0.25">
      <c r="G1570" s="459"/>
      <c r="H1570" s="459">
        <v>1563</v>
      </c>
      <c r="I1570" s="444">
        <f t="shared" ca="1" si="115"/>
        <v>-536335723.65759248</v>
      </c>
      <c r="J1570" s="444">
        <f t="array" ref="J1570">IFERROR(INDEX('Retirement Calculator'!K:K,MATCH('Lorri 401b'!N1570,'Retirement Calculator'!A:A,0),0),0)</f>
        <v>0</v>
      </c>
      <c r="K1570" s="444">
        <f t="shared" ca="1" si="113"/>
        <v>-2234732.1819066354</v>
      </c>
      <c r="L1570" s="444">
        <f t="shared" ca="1" si="114"/>
        <v>-538570455.83949912</v>
      </c>
      <c r="M1570" s="460">
        <f t="shared" si="116"/>
        <v>0.05</v>
      </c>
      <c r="N1570" s="464">
        <f t="shared" si="117"/>
        <v>98830</v>
      </c>
    </row>
    <row r="1571" spans="7:14" ht="11.25" customHeight="1" x14ac:dyDescent="0.25">
      <c r="G1571" s="459"/>
      <c r="H1571" s="459">
        <v>1564</v>
      </c>
      <c r="I1571" s="444">
        <f t="shared" ca="1" si="115"/>
        <v>-538570455.83949912</v>
      </c>
      <c r="J1571" s="444">
        <f t="array" ref="J1571">IFERROR(INDEX('Retirement Calculator'!K:K,MATCH('Lorri 401b'!N1571,'Retirement Calculator'!A:A,0),0),0)</f>
        <v>0</v>
      </c>
      <c r="K1571" s="444">
        <f t="shared" ca="1" si="113"/>
        <v>-2244043.565997913</v>
      </c>
      <c r="L1571" s="444">
        <f t="shared" ca="1" si="114"/>
        <v>-540814499.40549707</v>
      </c>
      <c r="M1571" s="460">
        <f t="shared" si="116"/>
        <v>0.05</v>
      </c>
      <c r="N1571" s="464">
        <f t="shared" si="117"/>
        <v>98861</v>
      </c>
    </row>
    <row r="1572" spans="7:14" ht="11.25" customHeight="1" x14ac:dyDescent="0.25">
      <c r="G1572" s="459"/>
      <c r="H1572" s="459">
        <v>1565</v>
      </c>
      <c r="I1572" s="444">
        <f t="shared" ca="1" si="115"/>
        <v>-540814499.40549707</v>
      </c>
      <c r="J1572" s="444">
        <f t="array" ref="J1572">IFERROR(INDEX('Retirement Calculator'!K:K,MATCH('Lorri 401b'!N1572,'Retirement Calculator'!A:A,0),0),0)</f>
        <v>0</v>
      </c>
      <c r="K1572" s="444">
        <f t="shared" ca="1" si="113"/>
        <v>-2253393.7475229045</v>
      </c>
      <c r="L1572" s="444">
        <f t="shared" ca="1" si="114"/>
        <v>-543067893.15302002</v>
      </c>
      <c r="M1572" s="460">
        <f t="shared" si="116"/>
        <v>0.05</v>
      </c>
      <c r="N1572" s="464">
        <f t="shared" si="117"/>
        <v>98891</v>
      </c>
    </row>
    <row r="1573" spans="7:14" ht="11.25" customHeight="1" x14ac:dyDescent="0.25">
      <c r="G1573" s="459"/>
      <c r="H1573" s="459">
        <v>1566</v>
      </c>
      <c r="I1573" s="444">
        <f t="shared" ca="1" si="115"/>
        <v>-543067893.15302002</v>
      </c>
      <c r="J1573" s="444">
        <f t="array" ref="J1573">IFERROR(INDEX('Retirement Calculator'!K:K,MATCH('Lorri 401b'!N1573,'Retirement Calculator'!A:A,0),0),0)</f>
        <v>0</v>
      </c>
      <c r="K1573" s="444">
        <f t="shared" ca="1" si="113"/>
        <v>-2262782.8881375836</v>
      </c>
      <c r="L1573" s="444">
        <f t="shared" ca="1" si="114"/>
        <v>-545330676.0411576</v>
      </c>
      <c r="M1573" s="460">
        <f t="shared" si="116"/>
        <v>0.05</v>
      </c>
      <c r="N1573" s="464">
        <f t="shared" si="117"/>
        <v>98922</v>
      </c>
    </row>
    <row r="1574" spans="7:14" ht="11.25" customHeight="1" x14ac:dyDescent="0.25">
      <c r="G1574" s="459"/>
      <c r="H1574" s="459">
        <v>1567</v>
      </c>
      <c r="I1574" s="444">
        <f t="shared" ca="1" si="115"/>
        <v>-545330676.0411576</v>
      </c>
      <c r="J1574" s="444">
        <f t="array" ref="J1574">IFERROR(INDEX('Retirement Calculator'!K:K,MATCH('Lorri 401b'!N1574,'Retirement Calculator'!A:A,0),0),0)</f>
        <v>0</v>
      </c>
      <c r="K1574" s="444">
        <f t="shared" ca="1" si="113"/>
        <v>-2272211.1501714899</v>
      </c>
      <c r="L1574" s="444">
        <f t="shared" ca="1" si="114"/>
        <v>-547602887.19132912</v>
      </c>
      <c r="M1574" s="460">
        <f t="shared" si="116"/>
        <v>0.05</v>
      </c>
      <c r="N1574" s="464">
        <f t="shared" si="117"/>
        <v>98952</v>
      </c>
    </row>
    <row r="1575" spans="7:14" ht="11.25" customHeight="1" x14ac:dyDescent="0.25">
      <c r="G1575" s="459"/>
      <c r="H1575" s="459">
        <v>1568</v>
      </c>
      <c r="I1575" s="444">
        <f t="shared" ca="1" si="115"/>
        <v>-547602887.19132912</v>
      </c>
      <c r="J1575" s="444">
        <f t="array" ref="J1575">IFERROR(INDEX('Retirement Calculator'!K:K,MATCH('Lorri 401b'!N1575,'Retirement Calculator'!A:A,0),0),0)</f>
        <v>0</v>
      </c>
      <c r="K1575" s="444">
        <f t="shared" ca="1" si="113"/>
        <v>-2281678.696630538</v>
      </c>
      <c r="L1575" s="444">
        <f t="shared" ca="1" si="114"/>
        <v>-549884565.88795972</v>
      </c>
      <c r="M1575" s="460">
        <f t="shared" si="116"/>
        <v>0.05</v>
      </c>
      <c r="N1575" s="464">
        <f t="shared" si="117"/>
        <v>98983</v>
      </c>
    </row>
    <row r="1576" spans="7:14" ht="11.25" customHeight="1" x14ac:dyDescent="0.25">
      <c r="G1576" s="459"/>
      <c r="H1576" s="459">
        <v>1569</v>
      </c>
      <c r="I1576" s="444">
        <f t="shared" ca="1" si="115"/>
        <v>-549884565.88795972</v>
      </c>
      <c r="J1576" s="444">
        <f t="array" ref="J1576">IFERROR(INDEX('Retirement Calculator'!K:K,MATCH('Lorri 401b'!N1576,'Retirement Calculator'!A:A,0),0),0)</f>
        <v>0</v>
      </c>
      <c r="K1576" s="444">
        <f t="shared" ca="1" si="113"/>
        <v>-2291185.6911998321</v>
      </c>
      <c r="L1576" s="444">
        <f t="shared" ca="1" si="114"/>
        <v>-552175751.5791595</v>
      </c>
      <c r="M1576" s="460">
        <f t="shared" si="116"/>
        <v>0.05</v>
      </c>
      <c r="N1576" s="464">
        <f t="shared" si="117"/>
        <v>99014</v>
      </c>
    </row>
    <row r="1577" spans="7:14" ht="11.25" customHeight="1" x14ac:dyDescent="0.25">
      <c r="G1577" s="459"/>
      <c r="H1577" s="459">
        <v>1570</v>
      </c>
      <c r="I1577" s="444">
        <f t="shared" ca="1" si="115"/>
        <v>-552175751.5791595</v>
      </c>
      <c r="J1577" s="444">
        <f t="array" ref="J1577">IFERROR(INDEX('Retirement Calculator'!K:K,MATCH('Lorri 401b'!N1577,'Retirement Calculator'!A:A,0),0),0)</f>
        <v>0</v>
      </c>
      <c r="K1577" s="444">
        <f t="shared" ca="1" si="113"/>
        <v>-2300732.2982464978</v>
      </c>
      <c r="L1577" s="444">
        <f t="shared" ca="1" si="114"/>
        <v>-554476483.877406</v>
      </c>
      <c r="M1577" s="460">
        <f t="shared" si="116"/>
        <v>0.05</v>
      </c>
      <c r="N1577" s="464">
        <f t="shared" si="117"/>
        <v>99042</v>
      </c>
    </row>
    <row r="1578" spans="7:14" ht="11.25" customHeight="1" x14ac:dyDescent="0.25">
      <c r="G1578" s="459"/>
      <c r="H1578" s="459">
        <v>1571</v>
      </c>
      <c r="I1578" s="444">
        <f t="shared" ca="1" si="115"/>
        <v>-554476483.877406</v>
      </c>
      <c r="J1578" s="444">
        <f t="array" ref="J1578">IFERROR(INDEX('Retirement Calculator'!K:K,MATCH('Lorri 401b'!N1578,'Retirement Calculator'!A:A,0),0),0)</f>
        <v>0</v>
      </c>
      <c r="K1578" s="444">
        <f t="shared" ca="1" si="113"/>
        <v>-2310318.682822525</v>
      </c>
      <c r="L1578" s="444">
        <f t="shared" ca="1" si="114"/>
        <v>-556786802.56022847</v>
      </c>
      <c r="M1578" s="460">
        <f t="shared" si="116"/>
        <v>0.05</v>
      </c>
      <c r="N1578" s="464">
        <f t="shared" si="117"/>
        <v>99073</v>
      </c>
    </row>
    <row r="1579" spans="7:14" ht="11.25" customHeight="1" x14ac:dyDescent="0.25">
      <c r="G1579" s="459"/>
      <c r="H1579" s="459">
        <v>1572</v>
      </c>
      <c r="I1579" s="444">
        <f t="shared" ca="1" si="115"/>
        <v>-556786802.56022847</v>
      </c>
      <c r="J1579" s="444">
        <f t="array" ref="J1579">IFERROR(INDEX('Retirement Calculator'!K:K,MATCH('Lorri 401b'!N1579,'Retirement Calculator'!A:A,0),0),0)</f>
        <v>0</v>
      </c>
      <c r="K1579" s="444">
        <f t="shared" ca="1" si="113"/>
        <v>-2319945.0106676184</v>
      </c>
      <c r="L1579" s="444">
        <f t="shared" ca="1" si="114"/>
        <v>-559106747.57089603</v>
      </c>
      <c r="M1579" s="460">
        <f t="shared" si="116"/>
        <v>0.05</v>
      </c>
      <c r="N1579" s="464">
        <f t="shared" si="117"/>
        <v>99103</v>
      </c>
    </row>
    <row r="1580" spans="7:14" ht="11.25" customHeight="1" x14ac:dyDescent="0.25">
      <c r="G1580" s="459"/>
      <c r="H1580" s="459">
        <v>1573</v>
      </c>
      <c r="I1580" s="444">
        <f t="shared" ca="1" si="115"/>
        <v>-559106747.57089603</v>
      </c>
      <c r="J1580" s="444">
        <f t="array" ref="J1580">IFERROR(INDEX('Retirement Calculator'!K:K,MATCH('Lorri 401b'!N1580,'Retirement Calculator'!A:A,0),0),0)</f>
        <v>0</v>
      </c>
      <c r="K1580" s="444">
        <f t="shared" ca="1" si="113"/>
        <v>-2329611.4482120667</v>
      </c>
      <c r="L1580" s="444">
        <f t="shared" ca="1" si="114"/>
        <v>-561436359.01910806</v>
      </c>
      <c r="M1580" s="460">
        <f t="shared" si="116"/>
        <v>0.05</v>
      </c>
      <c r="N1580" s="464">
        <f t="shared" si="117"/>
        <v>99134</v>
      </c>
    </row>
    <row r="1581" spans="7:14" ht="11.25" customHeight="1" x14ac:dyDescent="0.25">
      <c r="G1581" s="459"/>
      <c r="H1581" s="459">
        <v>1574</v>
      </c>
      <c r="I1581" s="444">
        <f t="shared" ca="1" si="115"/>
        <v>-561436359.01910806</v>
      </c>
      <c r="J1581" s="444">
        <f t="array" ref="J1581">IFERROR(INDEX('Retirement Calculator'!K:K,MATCH('Lorri 401b'!N1581,'Retirement Calculator'!A:A,0),0),0)</f>
        <v>0</v>
      </c>
      <c r="K1581" s="444">
        <f t="shared" ca="1" si="113"/>
        <v>-2339318.162579617</v>
      </c>
      <c r="L1581" s="444">
        <f t="shared" ca="1" si="114"/>
        <v>-563775677.18168771</v>
      </c>
      <c r="M1581" s="460">
        <f t="shared" si="116"/>
        <v>0.05</v>
      </c>
      <c r="N1581" s="464">
        <f t="shared" si="117"/>
        <v>99164</v>
      </c>
    </row>
    <row r="1582" spans="7:14" ht="11.25" customHeight="1" x14ac:dyDescent="0.25">
      <c r="G1582" s="459"/>
      <c r="H1582" s="459">
        <v>1575</v>
      </c>
      <c r="I1582" s="444">
        <f t="shared" ca="1" si="115"/>
        <v>-563775677.18168771</v>
      </c>
      <c r="J1582" s="444">
        <f t="array" ref="J1582">IFERROR(INDEX('Retirement Calculator'!K:K,MATCH('Lorri 401b'!N1582,'Retirement Calculator'!A:A,0),0),0)</f>
        <v>0</v>
      </c>
      <c r="K1582" s="444">
        <f t="shared" ca="1" si="113"/>
        <v>-2349065.3215903654</v>
      </c>
      <c r="L1582" s="444">
        <f t="shared" ca="1" si="114"/>
        <v>-566124742.50327814</v>
      </c>
      <c r="M1582" s="460">
        <f t="shared" si="116"/>
        <v>0.05</v>
      </c>
      <c r="N1582" s="464">
        <f t="shared" si="117"/>
        <v>99195</v>
      </c>
    </row>
    <row r="1583" spans="7:14" ht="11.25" customHeight="1" x14ac:dyDescent="0.25">
      <c r="G1583" s="459"/>
      <c r="H1583" s="459">
        <v>1576</v>
      </c>
      <c r="I1583" s="444">
        <f t="shared" ca="1" si="115"/>
        <v>-566124742.50327814</v>
      </c>
      <c r="J1583" s="444">
        <f t="array" ref="J1583">IFERROR(INDEX('Retirement Calculator'!K:K,MATCH('Lorri 401b'!N1583,'Retirement Calculator'!A:A,0),0),0)</f>
        <v>0</v>
      </c>
      <c r="K1583" s="444">
        <f t="shared" ca="1" si="113"/>
        <v>-2358853.0937636588</v>
      </c>
      <c r="L1583" s="444">
        <f t="shared" ca="1" si="114"/>
        <v>-568483595.59704185</v>
      </c>
      <c r="M1583" s="460">
        <f t="shared" si="116"/>
        <v>0.05</v>
      </c>
      <c r="N1583" s="464">
        <f t="shared" si="117"/>
        <v>99226</v>
      </c>
    </row>
    <row r="1584" spans="7:14" ht="11.25" customHeight="1" x14ac:dyDescent="0.25">
      <c r="G1584" s="459"/>
      <c r="H1584" s="459">
        <v>1577</v>
      </c>
      <c r="I1584" s="444">
        <f t="shared" ca="1" si="115"/>
        <v>-568483595.59704185</v>
      </c>
      <c r="J1584" s="444">
        <f t="array" ref="J1584">IFERROR(INDEX('Retirement Calculator'!K:K,MATCH('Lorri 401b'!N1584,'Retirement Calculator'!A:A,0),0),0)</f>
        <v>0</v>
      </c>
      <c r="K1584" s="444">
        <f t="shared" ca="1" si="113"/>
        <v>-2368681.6483210078</v>
      </c>
      <c r="L1584" s="444">
        <f t="shared" ca="1" si="114"/>
        <v>-570852277.24536288</v>
      </c>
      <c r="M1584" s="460">
        <f t="shared" si="116"/>
        <v>0.05</v>
      </c>
      <c r="N1584" s="464">
        <f t="shared" si="117"/>
        <v>99256</v>
      </c>
    </row>
    <row r="1585" spans="7:14" ht="11.25" customHeight="1" x14ac:dyDescent="0.25">
      <c r="G1585" s="459"/>
      <c r="H1585" s="459">
        <v>1578</v>
      </c>
      <c r="I1585" s="444">
        <f t="shared" ca="1" si="115"/>
        <v>-570852277.24536288</v>
      </c>
      <c r="J1585" s="444">
        <f t="array" ref="J1585">IFERROR(INDEX('Retirement Calculator'!K:K,MATCH('Lorri 401b'!N1585,'Retirement Calculator'!A:A,0),0),0)</f>
        <v>0</v>
      </c>
      <c r="K1585" s="444">
        <f t="shared" ca="1" si="113"/>
        <v>-2378551.1551890122</v>
      </c>
      <c r="L1585" s="444">
        <f t="shared" ca="1" si="114"/>
        <v>-573230828.40055192</v>
      </c>
      <c r="M1585" s="460">
        <f t="shared" si="116"/>
        <v>0.05</v>
      </c>
      <c r="N1585" s="464">
        <f t="shared" si="117"/>
        <v>99287</v>
      </c>
    </row>
    <row r="1586" spans="7:14" ht="11.25" customHeight="1" x14ac:dyDescent="0.25">
      <c r="G1586" s="459"/>
      <c r="H1586" s="459">
        <v>1579</v>
      </c>
      <c r="I1586" s="444">
        <f t="shared" ca="1" si="115"/>
        <v>-573230828.40055192</v>
      </c>
      <c r="J1586" s="444">
        <f t="array" ref="J1586">IFERROR(INDEX('Retirement Calculator'!K:K,MATCH('Lorri 401b'!N1586,'Retirement Calculator'!A:A,0),0),0)</f>
        <v>0</v>
      </c>
      <c r="K1586" s="444">
        <f t="shared" ca="1" si="113"/>
        <v>-2388461.7850022996</v>
      </c>
      <c r="L1586" s="444">
        <f t="shared" ca="1" si="114"/>
        <v>-575619290.18555427</v>
      </c>
      <c r="M1586" s="460">
        <f t="shared" si="116"/>
        <v>0.05</v>
      </c>
      <c r="N1586" s="464">
        <f t="shared" si="117"/>
        <v>99317</v>
      </c>
    </row>
    <row r="1587" spans="7:14" ht="11.25" customHeight="1" x14ac:dyDescent="0.25">
      <c r="G1587" s="459"/>
      <c r="H1587" s="459">
        <v>1580</v>
      </c>
      <c r="I1587" s="444">
        <f t="shared" ca="1" si="115"/>
        <v>-575619290.18555427</v>
      </c>
      <c r="J1587" s="444">
        <f t="array" ref="J1587">IFERROR(INDEX('Retirement Calculator'!K:K,MATCH('Lorri 401b'!N1587,'Retirement Calculator'!A:A,0),0),0)</f>
        <v>0</v>
      </c>
      <c r="K1587" s="444">
        <f t="shared" ca="1" si="113"/>
        <v>-2398413.709106476</v>
      </c>
      <c r="L1587" s="444">
        <f t="shared" ca="1" si="114"/>
        <v>-578017703.89466071</v>
      </c>
      <c r="M1587" s="460">
        <f t="shared" si="116"/>
        <v>0.05</v>
      </c>
      <c r="N1587" s="464">
        <f t="shared" si="117"/>
        <v>99348</v>
      </c>
    </row>
    <row r="1588" spans="7:14" ht="11.25" customHeight="1" x14ac:dyDescent="0.25">
      <c r="G1588" s="459"/>
      <c r="H1588" s="459">
        <v>1581</v>
      </c>
      <c r="I1588" s="444">
        <f t="shared" ca="1" si="115"/>
        <v>-578017703.89466071</v>
      </c>
      <c r="J1588" s="444">
        <f t="array" ref="J1588">IFERROR(INDEX('Retirement Calculator'!K:K,MATCH('Lorri 401b'!N1588,'Retirement Calculator'!A:A,0),0),0)</f>
        <v>0</v>
      </c>
      <c r="K1588" s="444">
        <f t="shared" ca="1" si="113"/>
        <v>-2408407.0995610864</v>
      </c>
      <c r="L1588" s="444">
        <f t="shared" ca="1" si="114"/>
        <v>-580426110.99422181</v>
      </c>
      <c r="M1588" s="460">
        <f t="shared" si="116"/>
        <v>0.05</v>
      </c>
      <c r="N1588" s="464">
        <f t="shared" si="117"/>
        <v>99379</v>
      </c>
    </row>
    <row r="1589" spans="7:14" ht="11.25" customHeight="1" x14ac:dyDescent="0.25">
      <c r="G1589" s="459"/>
      <c r="H1589" s="459">
        <v>1582</v>
      </c>
      <c r="I1589" s="444">
        <f t="shared" ca="1" si="115"/>
        <v>-580426110.99422181</v>
      </c>
      <c r="J1589" s="444">
        <f t="array" ref="J1589">IFERROR(INDEX('Retirement Calculator'!K:K,MATCH('Lorri 401b'!N1589,'Retirement Calculator'!A:A,0),0),0)</f>
        <v>0</v>
      </c>
      <c r="K1589" s="444">
        <f t="shared" ca="1" si="113"/>
        <v>-2418442.1291425908</v>
      </c>
      <c r="L1589" s="444">
        <f t="shared" ca="1" si="114"/>
        <v>-582844553.12336445</v>
      </c>
      <c r="M1589" s="460">
        <f t="shared" si="116"/>
        <v>0.05</v>
      </c>
      <c r="N1589" s="464">
        <f t="shared" si="117"/>
        <v>99408</v>
      </c>
    </row>
    <row r="1590" spans="7:14" ht="11.25" customHeight="1" x14ac:dyDescent="0.25">
      <c r="G1590" s="459"/>
      <c r="H1590" s="459">
        <v>1583</v>
      </c>
      <c r="I1590" s="444">
        <f t="shared" ca="1" si="115"/>
        <v>-582844553.12336445</v>
      </c>
      <c r="J1590" s="444">
        <f t="array" ref="J1590">IFERROR(INDEX('Retirement Calculator'!K:K,MATCH('Lorri 401b'!N1590,'Retirement Calculator'!A:A,0),0),0)</f>
        <v>0</v>
      </c>
      <c r="K1590" s="444">
        <f t="shared" ca="1" si="113"/>
        <v>-2428518.971347352</v>
      </c>
      <c r="L1590" s="444">
        <f t="shared" ca="1" si="114"/>
        <v>-585273072.09471178</v>
      </c>
      <c r="M1590" s="460">
        <f t="shared" si="116"/>
        <v>0.05</v>
      </c>
      <c r="N1590" s="464">
        <f t="shared" si="117"/>
        <v>99439</v>
      </c>
    </row>
    <row r="1591" spans="7:14" ht="11.25" customHeight="1" x14ac:dyDescent="0.25">
      <c r="G1591" s="459"/>
      <c r="H1591" s="459">
        <v>1584</v>
      </c>
      <c r="I1591" s="444">
        <f t="shared" ca="1" si="115"/>
        <v>-585273072.09471178</v>
      </c>
      <c r="J1591" s="444">
        <f t="array" ref="J1591">IFERROR(INDEX('Retirement Calculator'!K:K,MATCH('Lorri 401b'!N1591,'Retirement Calculator'!A:A,0),0),0)</f>
        <v>0</v>
      </c>
      <c r="K1591" s="444">
        <f t="shared" ca="1" si="113"/>
        <v>-2438637.8003946324</v>
      </c>
      <c r="L1591" s="444">
        <f t="shared" ca="1" si="114"/>
        <v>-587711709.89510643</v>
      </c>
      <c r="M1591" s="460">
        <f t="shared" si="116"/>
        <v>0.05</v>
      </c>
      <c r="N1591" s="464">
        <f t="shared" si="117"/>
        <v>99469</v>
      </c>
    </row>
    <row r="1592" spans="7:14" ht="11.25" customHeight="1" x14ac:dyDescent="0.25">
      <c r="G1592" s="459"/>
      <c r="H1592" s="459">
        <v>1585</v>
      </c>
      <c r="I1592" s="444">
        <f t="shared" ca="1" si="115"/>
        <v>-587711709.89510643</v>
      </c>
      <c r="J1592" s="444">
        <f t="array" ref="J1592">IFERROR(INDEX('Retirement Calculator'!K:K,MATCH('Lorri 401b'!N1592,'Retirement Calculator'!A:A,0),0),0)</f>
        <v>0</v>
      </c>
      <c r="K1592" s="444">
        <f t="shared" ca="1" si="113"/>
        <v>-2448798.7912296103</v>
      </c>
      <c r="L1592" s="444">
        <f t="shared" ca="1" si="114"/>
        <v>-590160508.68633604</v>
      </c>
      <c r="M1592" s="460">
        <f t="shared" si="116"/>
        <v>0.05</v>
      </c>
      <c r="N1592" s="464">
        <f t="shared" si="117"/>
        <v>99500</v>
      </c>
    </row>
    <row r="1593" spans="7:14" ht="11.25" customHeight="1" x14ac:dyDescent="0.25">
      <c r="G1593" s="459"/>
      <c r="H1593" s="459">
        <v>1586</v>
      </c>
      <c r="I1593" s="444">
        <f t="shared" ca="1" si="115"/>
        <v>-590160508.68633604</v>
      </c>
      <c r="J1593" s="444">
        <f t="array" ref="J1593">IFERROR(INDEX('Retirement Calculator'!K:K,MATCH('Lorri 401b'!N1593,'Retirement Calculator'!A:A,0),0),0)</f>
        <v>0</v>
      </c>
      <c r="K1593" s="444">
        <f t="shared" ca="1" si="113"/>
        <v>-2459002.1195264002</v>
      </c>
      <c r="L1593" s="444">
        <f t="shared" ca="1" si="114"/>
        <v>-592619510.80586243</v>
      </c>
      <c r="M1593" s="460">
        <f t="shared" si="116"/>
        <v>0.05</v>
      </c>
      <c r="N1593" s="464">
        <f t="shared" si="117"/>
        <v>99530</v>
      </c>
    </row>
    <row r="1594" spans="7:14" ht="11.25" customHeight="1" x14ac:dyDescent="0.25">
      <c r="G1594" s="459"/>
      <c r="H1594" s="459">
        <v>1587</v>
      </c>
      <c r="I1594" s="444">
        <f t="shared" ca="1" si="115"/>
        <v>-592619510.80586243</v>
      </c>
      <c r="J1594" s="444">
        <f t="array" ref="J1594">IFERROR(INDEX('Retirement Calculator'!K:K,MATCH('Lorri 401b'!N1594,'Retirement Calculator'!A:A,0),0),0)</f>
        <v>0</v>
      </c>
      <c r="K1594" s="444">
        <f t="shared" ca="1" si="113"/>
        <v>-2469247.9616910936</v>
      </c>
      <c r="L1594" s="444">
        <f t="shared" ca="1" si="114"/>
        <v>-595088758.76755357</v>
      </c>
      <c r="M1594" s="460">
        <f t="shared" si="116"/>
        <v>0.05</v>
      </c>
      <c r="N1594" s="464">
        <f t="shared" si="117"/>
        <v>99561</v>
      </c>
    </row>
    <row r="1595" spans="7:14" ht="11.25" customHeight="1" x14ac:dyDescent="0.25">
      <c r="G1595" s="459"/>
      <c r="H1595" s="459">
        <v>1588</v>
      </c>
      <c r="I1595" s="444">
        <f t="shared" ca="1" si="115"/>
        <v>-595088758.76755357</v>
      </c>
      <c r="J1595" s="444">
        <f t="array" ref="J1595">IFERROR(INDEX('Retirement Calculator'!K:K,MATCH('Lorri 401b'!N1595,'Retirement Calculator'!A:A,0),0),0)</f>
        <v>0</v>
      </c>
      <c r="K1595" s="444">
        <f t="shared" ca="1" si="113"/>
        <v>-2479536.4948648065</v>
      </c>
      <c r="L1595" s="444">
        <f t="shared" ca="1" si="114"/>
        <v>-597568295.26241839</v>
      </c>
      <c r="M1595" s="460">
        <f t="shared" si="116"/>
        <v>0.05</v>
      </c>
      <c r="N1595" s="464">
        <f t="shared" si="117"/>
        <v>99592</v>
      </c>
    </row>
    <row r="1596" spans="7:14" ht="11.25" customHeight="1" x14ac:dyDescent="0.25">
      <c r="G1596" s="459"/>
      <c r="H1596" s="459">
        <v>1589</v>
      </c>
      <c r="I1596" s="444">
        <f t="shared" ca="1" si="115"/>
        <v>-597568295.26241839</v>
      </c>
      <c r="J1596" s="444">
        <f t="array" ref="J1596">IFERROR(INDEX('Retirement Calculator'!K:K,MATCH('Lorri 401b'!N1596,'Retirement Calculator'!A:A,0),0),0)</f>
        <v>0</v>
      </c>
      <c r="K1596" s="444">
        <f t="shared" ca="1" si="113"/>
        <v>-2489867.8969267434</v>
      </c>
      <c r="L1596" s="444">
        <f t="shared" ca="1" si="114"/>
        <v>-600058163.15934515</v>
      </c>
      <c r="M1596" s="460">
        <f t="shared" si="116"/>
        <v>0.05</v>
      </c>
      <c r="N1596" s="464">
        <f t="shared" si="117"/>
        <v>99622</v>
      </c>
    </row>
    <row r="1597" spans="7:14" ht="11.25" customHeight="1" x14ac:dyDescent="0.25">
      <c r="G1597" s="459"/>
      <c r="H1597" s="459">
        <v>1590</v>
      </c>
      <c r="I1597" s="444">
        <f t="shared" ca="1" si="115"/>
        <v>-600058163.15934515</v>
      </c>
      <c r="J1597" s="444">
        <f t="array" ref="J1597">IFERROR(INDEX('Retirement Calculator'!K:K,MATCH('Lorri 401b'!N1597,'Retirement Calculator'!A:A,0),0),0)</f>
        <v>0</v>
      </c>
      <c r="K1597" s="444">
        <f t="shared" ca="1" si="113"/>
        <v>-2500242.3464972712</v>
      </c>
      <c r="L1597" s="444">
        <f t="shared" ca="1" si="114"/>
        <v>-602558405.50584245</v>
      </c>
      <c r="M1597" s="460">
        <f t="shared" si="116"/>
        <v>0.05</v>
      </c>
      <c r="N1597" s="464">
        <f t="shared" si="117"/>
        <v>99653</v>
      </c>
    </row>
    <row r="1598" spans="7:14" ht="11.25" customHeight="1" x14ac:dyDescent="0.25">
      <c r="G1598" s="459"/>
      <c r="H1598" s="459">
        <v>1591</v>
      </c>
      <c r="I1598" s="444">
        <f t="shared" ca="1" si="115"/>
        <v>-602558405.50584245</v>
      </c>
      <c r="J1598" s="444">
        <f t="array" ref="J1598">IFERROR(INDEX('Retirement Calculator'!K:K,MATCH('Lorri 401b'!N1598,'Retirement Calculator'!A:A,0),0),0)</f>
        <v>0</v>
      </c>
      <c r="K1598" s="444">
        <f t="shared" ca="1" si="113"/>
        <v>-2510660.0229410101</v>
      </c>
      <c r="L1598" s="444">
        <f t="shared" ca="1" si="114"/>
        <v>-605069065.52878344</v>
      </c>
      <c r="M1598" s="460">
        <f t="shared" si="116"/>
        <v>0.05</v>
      </c>
      <c r="N1598" s="464">
        <f t="shared" si="117"/>
        <v>99683</v>
      </c>
    </row>
    <row r="1599" spans="7:14" ht="11.25" customHeight="1" x14ac:dyDescent="0.25">
      <c r="G1599" s="459"/>
      <c r="H1599" s="459">
        <v>1592</v>
      </c>
      <c r="I1599" s="444">
        <f t="shared" ca="1" si="115"/>
        <v>-605069065.52878344</v>
      </c>
      <c r="J1599" s="444">
        <f t="array" ref="J1599">IFERROR(INDEX('Retirement Calculator'!K:K,MATCH('Lorri 401b'!N1599,'Retirement Calculator'!A:A,0),0),0)</f>
        <v>0</v>
      </c>
      <c r="K1599" s="444">
        <f t="shared" ca="1" si="113"/>
        <v>-2521121.1063699308</v>
      </c>
      <c r="L1599" s="444">
        <f t="shared" ca="1" si="114"/>
        <v>-607590186.63515341</v>
      </c>
      <c r="M1599" s="460">
        <f t="shared" si="116"/>
        <v>0.05</v>
      </c>
      <c r="N1599" s="464">
        <f t="shared" si="117"/>
        <v>99714</v>
      </c>
    </row>
    <row r="1600" spans="7:14" ht="11.25" customHeight="1" x14ac:dyDescent="0.25">
      <c r="G1600" s="459"/>
      <c r="H1600" s="459">
        <v>1593</v>
      </c>
      <c r="I1600" s="444">
        <f t="shared" ca="1" si="115"/>
        <v>-607590186.63515341</v>
      </c>
      <c r="J1600" s="444">
        <f t="array" ref="J1600">IFERROR(INDEX('Retirement Calculator'!K:K,MATCH('Lorri 401b'!N1600,'Retirement Calculator'!A:A,0),0),0)</f>
        <v>0</v>
      </c>
      <c r="K1600" s="444">
        <f t="shared" ca="1" si="113"/>
        <v>-2531625.7776464727</v>
      </c>
      <c r="L1600" s="444">
        <f t="shared" ca="1" si="114"/>
        <v>-610121812.41279984</v>
      </c>
      <c r="M1600" s="460">
        <f t="shared" si="116"/>
        <v>0.05</v>
      </c>
      <c r="N1600" s="464">
        <f t="shared" si="117"/>
        <v>99745</v>
      </c>
    </row>
    <row r="1601" spans="7:14" ht="11.25" customHeight="1" x14ac:dyDescent="0.25">
      <c r="G1601" s="459"/>
      <c r="H1601" s="459">
        <v>1594</v>
      </c>
      <c r="I1601" s="444">
        <f t="shared" ca="1" si="115"/>
        <v>-610121812.41279984</v>
      </c>
      <c r="J1601" s="444">
        <f t="array" ref="J1601">IFERROR(INDEX('Retirement Calculator'!K:K,MATCH('Lorri 401b'!N1601,'Retirement Calculator'!A:A,0),0),0)</f>
        <v>0</v>
      </c>
      <c r="K1601" s="444">
        <f t="shared" ca="1" si="113"/>
        <v>-2542174.2183866659</v>
      </c>
      <c r="L1601" s="444">
        <f t="shared" ca="1" si="114"/>
        <v>-612663986.63118649</v>
      </c>
      <c r="M1601" s="460">
        <f t="shared" si="116"/>
        <v>0.05</v>
      </c>
      <c r="N1601" s="464">
        <f t="shared" si="117"/>
        <v>99773</v>
      </c>
    </row>
    <row r="1602" spans="7:14" ht="11.25" customHeight="1" x14ac:dyDescent="0.25">
      <c r="G1602" s="459"/>
      <c r="H1602" s="459">
        <v>1595</v>
      </c>
      <c r="I1602" s="444">
        <f t="shared" ca="1" si="115"/>
        <v>-612663986.63118649</v>
      </c>
      <c r="J1602" s="444">
        <f t="array" ref="J1602">IFERROR(INDEX('Retirement Calculator'!K:K,MATCH('Lorri 401b'!N1602,'Retirement Calculator'!A:A,0),0),0)</f>
        <v>0</v>
      </c>
      <c r="K1602" s="444">
        <f t="shared" ca="1" si="113"/>
        <v>-2552766.6109632771</v>
      </c>
      <c r="L1602" s="444">
        <f t="shared" ca="1" si="114"/>
        <v>-615216753.24214971</v>
      </c>
      <c r="M1602" s="460">
        <f t="shared" si="116"/>
        <v>0.05</v>
      </c>
      <c r="N1602" s="464">
        <f t="shared" si="117"/>
        <v>99804</v>
      </c>
    </row>
    <row r="1603" spans="7:14" ht="11.25" customHeight="1" x14ac:dyDescent="0.25">
      <c r="G1603" s="459"/>
      <c r="H1603" s="459">
        <v>1596</v>
      </c>
      <c r="I1603" s="444">
        <f t="shared" ca="1" si="115"/>
        <v>-615216753.24214971</v>
      </c>
      <c r="J1603" s="444">
        <f t="array" ref="J1603">IFERROR(INDEX('Retirement Calculator'!K:K,MATCH('Lorri 401b'!N1603,'Retirement Calculator'!A:A,0),0),0)</f>
        <v>0</v>
      </c>
      <c r="K1603" s="444">
        <f t="shared" ca="1" si="113"/>
        <v>-2563403.1385089569</v>
      </c>
      <c r="L1603" s="444">
        <f t="shared" ca="1" si="114"/>
        <v>-617780156.38065863</v>
      </c>
      <c r="M1603" s="460">
        <f t="shared" si="116"/>
        <v>0.05</v>
      </c>
      <c r="N1603" s="464">
        <f t="shared" si="117"/>
        <v>99834</v>
      </c>
    </row>
    <row r="1604" spans="7:14" ht="11.25" customHeight="1" x14ac:dyDescent="0.25">
      <c r="G1604" s="459"/>
      <c r="H1604" s="459">
        <v>1597</v>
      </c>
      <c r="I1604" s="444">
        <f t="shared" ca="1" si="115"/>
        <v>-617780156.38065863</v>
      </c>
      <c r="J1604" s="444">
        <f t="array" ref="J1604">IFERROR(INDEX('Retirement Calculator'!K:K,MATCH('Lorri 401b'!N1604,'Retirement Calculator'!A:A,0),0),0)</f>
        <v>0</v>
      </c>
      <c r="K1604" s="444">
        <f t="shared" ca="1" si="113"/>
        <v>-2574083.9849194111</v>
      </c>
      <c r="L1604" s="444">
        <f t="shared" ca="1" si="114"/>
        <v>-620354240.36557806</v>
      </c>
      <c r="M1604" s="460">
        <f t="shared" si="116"/>
        <v>0.05</v>
      </c>
      <c r="N1604" s="464">
        <f t="shared" si="117"/>
        <v>99865</v>
      </c>
    </row>
    <row r="1605" spans="7:14" ht="11.25" customHeight="1" x14ac:dyDescent="0.25">
      <c r="G1605" s="459"/>
      <c r="H1605" s="459">
        <v>1598</v>
      </c>
      <c r="I1605" s="444">
        <f t="shared" ca="1" si="115"/>
        <v>-620354240.36557806</v>
      </c>
      <c r="J1605" s="444">
        <f t="array" ref="J1605">IFERROR(INDEX('Retirement Calculator'!K:K,MATCH('Lorri 401b'!N1605,'Retirement Calculator'!A:A,0),0),0)</f>
        <v>0</v>
      </c>
      <c r="K1605" s="444">
        <f t="shared" ca="1" si="113"/>
        <v>-2584809.3348565754</v>
      </c>
      <c r="L1605" s="444">
        <f t="shared" ca="1" si="114"/>
        <v>-622939049.70043468</v>
      </c>
      <c r="M1605" s="460">
        <f t="shared" si="116"/>
        <v>0.05</v>
      </c>
      <c r="N1605" s="464">
        <f t="shared" si="117"/>
        <v>99895</v>
      </c>
    </row>
    <row r="1606" spans="7:14" ht="11.25" customHeight="1" x14ac:dyDescent="0.25">
      <c r="G1606" s="459"/>
      <c r="H1606" s="459">
        <v>1599</v>
      </c>
      <c r="I1606" s="444">
        <f t="shared" ca="1" si="115"/>
        <v>-622939049.70043468</v>
      </c>
      <c r="J1606" s="444">
        <f t="array" ref="J1606">IFERROR(INDEX('Retirement Calculator'!K:K,MATCH('Lorri 401b'!N1606,'Retirement Calculator'!A:A,0),0),0)</f>
        <v>0</v>
      </c>
      <c r="K1606" s="444">
        <f t="shared" ca="1" si="113"/>
        <v>-2595579.3737518112</v>
      </c>
      <c r="L1606" s="444">
        <f t="shared" ca="1" si="114"/>
        <v>-625534629.07418644</v>
      </c>
      <c r="M1606" s="460">
        <f t="shared" si="116"/>
        <v>0.05</v>
      </c>
      <c r="N1606" s="464">
        <f t="shared" si="117"/>
        <v>99926</v>
      </c>
    </row>
    <row r="1607" spans="7:14" ht="11.25" customHeight="1" x14ac:dyDescent="0.25">
      <c r="G1607" s="459"/>
      <c r="H1607" s="459">
        <v>1600</v>
      </c>
      <c r="I1607" s="444">
        <f t="shared" ca="1" si="115"/>
        <v>-625534629.07418644</v>
      </c>
      <c r="J1607" s="444">
        <f t="array" ref="J1607">IFERROR(INDEX('Retirement Calculator'!K:K,MATCH('Lorri 401b'!N1607,'Retirement Calculator'!A:A,0),0),0)</f>
        <v>0</v>
      </c>
      <c r="K1607" s="444">
        <f t="shared" ca="1" si="113"/>
        <v>-2606394.2878091102</v>
      </c>
      <c r="L1607" s="444">
        <f t="shared" ca="1" si="114"/>
        <v>-628141023.36199558</v>
      </c>
      <c r="M1607" s="460">
        <f t="shared" si="116"/>
        <v>0.05</v>
      </c>
      <c r="N1607" s="464">
        <f t="shared" si="117"/>
        <v>99957</v>
      </c>
    </row>
    <row r="1608" spans="7:14" ht="11.25" customHeight="1" x14ac:dyDescent="0.25">
      <c r="G1608" s="459"/>
      <c r="H1608" s="459">
        <v>1601</v>
      </c>
      <c r="I1608" s="444">
        <f t="shared" ca="1" si="115"/>
        <v>-628141023.36199558</v>
      </c>
      <c r="J1608" s="444">
        <f t="array" ref="J1608">IFERROR(INDEX('Retirement Calculator'!K:K,MATCH('Lorri 401b'!N1608,'Retirement Calculator'!A:A,0),0),0)</f>
        <v>0</v>
      </c>
      <c r="K1608" s="444">
        <f t="shared" ca="1" si="113"/>
        <v>-2617254.2640083148</v>
      </c>
      <c r="L1608" s="444">
        <f t="shared" ca="1" si="114"/>
        <v>-630758277.62600386</v>
      </c>
      <c r="M1608" s="460">
        <f t="shared" si="116"/>
        <v>0.05</v>
      </c>
      <c r="N1608" s="464">
        <f t="shared" si="117"/>
        <v>99987</v>
      </c>
    </row>
    <row r="1609" spans="7:14" ht="11.25" customHeight="1" x14ac:dyDescent="0.25">
      <c r="G1609" s="459"/>
      <c r="H1609" s="459">
        <v>1602</v>
      </c>
      <c r="I1609" s="444">
        <f t="shared" ca="1" si="115"/>
        <v>-630758277.62600386</v>
      </c>
      <c r="J1609" s="444">
        <f t="array" ref="J1609">IFERROR(INDEX('Retirement Calculator'!K:K,MATCH('Lorri 401b'!N1609,'Retirement Calculator'!A:A,0),0),0)</f>
        <v>0</v>
      </c>
      <c r="K1609" s="444">
        <f t="shared" ca="1" si="113"/>
        <v>-2628159.4901083494</v>
      </c>
      <c r="L1609" s="444">
        <f t="shared" ca="1" si="114"/>
        <v>-633386437.11611223</v>
      </c>
      <c r="M1609" s="460">
        <f t="shared" si="116"/>
        <v>0.05</v>
      </c>
      <c r="N1609" s="464">
        <f t="shared" si="117"/>
        <v>100018</v>
      </c>
    </row>
    <row r="1610" spans="7:14" ht="11.25" customHeight="1" x14ac:dyDescent="0.25">
      <c r="G1610" s="459"/>
      <c r="H1610" s="459">
        <v>1603</v>
      </c>
      <c r="I1610" s="444">
        <f t="shared" ca="1" si="115"/>
        <v>-633386437.11611223</v>
      </c>
      <c r="J1610" s="444">
        <f t="array" ref="J1610">IFERROR(INDEX('Retirement Calculator'!K:K,MATCH('Lorri 401b'!N1610,'Retirement Calculator'!A:A,0),0),0)</f>
        <v>0</v>
      </c>
      <c r="K1610" s="444">
        <f t="shared" ca="1" si="113"/>
        <v>-2639110.1546504674</v>
      </c>
      <c r="L1610" s="444">
        <f t="shared" ca="1" si="114"/>
        <v>-636025547.27076268</v>
      </c>
      <c r="M1610" s="460">
        <f t="shared" si="116"/>
        <v>0.05</v>
      </c>
      <c r="N1610" s="464">
        <f t="shared" si="117"/>
        <v>100048</v>
      </c>
    </row>
    <row r="1611" spans="7:14" ht="11.25" customHeight="1" x14ac:dyDescent="0.25">
      <c r="G1611" s="459"/>
      <c r="H1611" s="459">
        <v>1604</v>
      </c>
      <c r="I1611" s="444">
        <f t="shared" ca="1" si="115"/>
        <v>-636025547.27076268</v>
      </c>
      <c r="J1611" s="444">
        <f t="array" ref="J1611">IFERROR(INDEX('Retirement Calculator'!K:K,MATCH('Lorri 401b'!N1611,'Retirement Calculator'!A:A,0),0),0)</f>
        <v>0</v>
      </c>
      <c r="K1611" s="444">
        <f t="shared" ca="1" si="113"/>
        <v>-2650106.4469615109</v>
      </c>
      <c r="L1611" s="444">
        <f t="shared" ca="1" si="114"/>
        <v>-638675653.7177242</v>
      </c>
      <c r="M1611" s="460">
        <f t="shared" si="116"/>
        <v>0.05</v>
      </c>
      <c r="N1611" s="464">
        <f t="shared" si="117"/>
        <v>100079</v>
      </c>
    </row>
    <row r="1612" spans="7:14" ht="11.25" customHeight="1" x14ac:dyDescent="0.25">
      <c r="G1612" s="459"/>
      <c r="H1612" s="459">
        <v>1605</v>
      </c>
      <c r="I1612" s="444">
        <f t="shared" ca="1" si="115"/>
        <v>-638675653.7177242</v>
      </c>
      <c r="J1612" s="444">
        <f t="array" ref="J1612">IFERROR(INDEX('Retirement Calculator'!K:K,MATCH('Lorri 401b'!N1612,'Retirement Calculator'!A:A,0),0),0)</f>
        <v>0</v>
      </c>
      <c r="K1612" s="444">
        <f t="shared" ca="1" si="113"/>
        <v>-2661148.557157184</v>
      </c>
      <c r="L1612" s="444">
        <f t="shared" ca="1" si="114"/>
        <v>-641336802.27488136</v>
      </c>
      <c r="M1612" s="460">
        <f t="shared" si="116"/>
        <v>0.05</v>
      </c>
      <c r="N1612" s="464">
        <f t="shared" si="117"/>
        <v>100110</v>
      </c>
    </row>
    <row r="1613" spans="7:14" ht="11.25" customHeight="1" x14ac:dyDescent="0.25">
      <c r="G1613" s="459"/>
      <c r="H1613" s="459">
        <v>1606</v>
      </c>
      <c r="I1613" s="444">
        <f t="shared" ca="1" si="115"/>
        <v>-641336802.27488136</v>
      </c>
      <c r="J1613" s="444">
        <f t="array" ref="J1613">IFERROR(INDEX('Retirement Calculator'!K:K,MATCH('Lorri 401b'!N1613,'Retirement Calculator'!A:A,0),0),0)</f>
        <v>0</v>
      </c>
      <c r="K1613" s="444">
        <f t="shared" ca="1" si="113"/>
        <v>-2672236.6761453389</v>
      </c>
      <c r="L1613" s="444">
        <f t="shared" ca="1" si="114"/>
        <v>-644009038.95102668</v>
      </c>
      <c r="M1613" s="460">
        <f t="shared" si="116"/>
        <v>0.05</v>
      </c>
      <c r="N1613" s="464">
        <f t="shared" si="117"/>
        <v>100138</v>
      </c>
    </row>
    <row r="1614" spans="7:14" ht="11.25" customHeight="1" x14ac:dyDescent="0.25">
      <c r="G1614" s="459"/>
      <c r="H1614" s="459">
        <v>1607</v>
      </c>
      <c r="I1614" s="444">
        <f t="shared" ca="1" si="115"/>
        <v>-644009038.95102668</v>
      </c>
      <c r="J1614" s="444">
        <f t="array" ref="J1614">IFERROR(INDEX('Retirement Calculator'!K:K,MATCH('Lorri 401b'!N1614,'Retirement Calculator'!A:A,0),0),0)</f>
        <v>0</v>
      </c>
      <c r="K1614" s="444">
        <f t="shared" ca="1" si="113"/>
        <v>-2683370.995629278</v>
      </c>
      <c r="L1614" s="444">
        <f t="shared" ca="1" si="114"/>
        <v>-646692409.94665599</v>
      </c>
      <c r="M1614" s="460">
        <f t="shared" si="116"/>
        <v>0.05</v>
      </c>
      <c r="N1614" s="464">
        <f t="shared" si="117"/>
        <v>100169</v>
      </c>
    </row>
    <row r="1615" spans="7:14" ht="11.25" customHeight="1" x14ac:dyDescent="0.25">
      <c r="G1615" s="459"/>
      <c r="H1615" s="459">
        <v>1608</v>
      </c>
      <c r="I1615" s="444">
        <f t="shared" ca="1" si="115"/>
        <v>-646692409.94665599</v>
      </c>
      <c r="J1615" s="444">
        <f t="array" ref="J1615">IFERROR(INDEX('Retirement Calculator'!K:K,MATCH('Lorri 401b'!N1615,'Retirement Calculator'!A:A,0),0),0)</f>
        <v>0</v>
      </c>
      <c r="K1615" s="444">
        <f t="shared" ca="1" si="113"/>
        <v>-2694551.7081110664</v>
      </c>
      <c r="L1615" s="444">
        <f t="shared" ca="1" si="114"/>
        <v>-649386961.65476704</v>
      </c>
      <c r="M1615" s="460">
        <f t="shared" si="116"/>
        <v>0.05</v>
      </c>
      <c r="N1615" s="464">
        <f t="shared" si="117"/>
        <v>100199</v>
      </c>
    </row>
    <row r="1616" spans="7:14" ht="11.25" customHeight="1" x14ac:dyDescent="0.25">
      <c r="G1616" s="459"/>
      <c r="H1616" s="459">
        <v>1609</v>
      </c>
      <c r="I1616" s="444">
        <f t="shared" ca="1" si="115"/>
        <v>-649386961.65476704</v>
      </c>
      <c r="J1616" s="444">
        <f t="array" ref="J1616">IFERROR(INDEX('Retirement Calculator'!K:K,MATCH('Lorri 401b'!N1616,'Retirement Calculator'!A:A,0),0),0)</f>
        <v>0</v>
      </c>
      <c r="K1616" s="444">
        <f t="shared" ca="1" si="113"/>
        <v>-2705779.0068948627</v>
      </c>
      <c r="L1616" s="444">
        <f t="shared" ca="1" si="114"/>
        <v>-652092740.66166186</v>
      </c>
      <c r="M1616" s="460">
        <f t="shared" si="116"/>
        <v>0.05</v>
      </c>
      <c r="N1616" s="464">
        <f t="shared" si="117"/>
        <v>100230</v>
      </c>
    </row>
    <row r="1617" spans="7:14" ht="11.25" customHeight="1" x14ac:dyDescent="0.25">
      <c r="G1617" s="459"/>
      <c r="H1617" s="459">
        <v>1610</v>
      </c>
      <c r="I1617" s="444">
        <f t="shared" ca="1" si="115"/>
        <v>-652092740.66166186</v>
      </c>
      <c r="J1617" s="444">
        <f t="array" ref="J1617">IFERROR(INDEX('Retirement Calculator'!K:K,MATCH('Lorri 401b'!N1617,'Retirement Calculator'!A:A,0),0),0)</f>
        <v>0</v>
      </c>
      <c r="K1617" s="444">
        <f t="shared" ca="1" si="113"/>
        <v>-2717053.0860902579</v>
      </c>
      <c r="L1617" s="444">
        <f t="shared" ca="1" si="114"/>
        <v>-654809793.74775207</v>
      </c>
      <c r="M1617" s="460">
        <f t="shared" si="116"/>
        <v>0.05</v>
      </c>
      <c r="N1617" s="464">
        <f t="shared" si="117"/>
        <v>100260</v>
      </c>
    </row>
    <row r="1618" spans="7:14" ht="11.25" customHeight="1" x14ac:dyDescent="0.25">
      <c r="G1618" s="459"/>
      <c r="H1618" s="459">
        <v>1611</v>
      </c>
      <c r="I1618" s="444">
        <f t="shared" ca="1" si="115"/>
        <v>-654809793.74775207</v>
      </c>
      <c r="J1618" s="444">
        <f t="array" ref="J1618">IFERROR(INDEX('Retirement Calculator'!K:K,MATCH('Lorri 401b'!N1618,'Retirement Calculator'!A:A,0),0),0)</f>
        <v>0</v>
      </c>
      <c r="K1618" s="444">
        <f t="shared" ca="1" si="113"/>
        <v>-2728374.1406156337</v>
      </c>
      <c r="L1618" s="444">
        <f t="shared" ca="1" si="114"/>
        <v>-657538167.88836765</v>
      </c>
      <c r="M1618" s="460">
        <f t="shared" si="116"/>
        <v>0.05</v>
      </c>
      <c r="N1618" s="464">
        <f t="shared" si="117"/>
        <v>100291</v>
      </c>
    </row>
    <row r="1619" spans="7:14" ht="11.25" customHeight="1" x14ac:dyDescent="0.25">
      <c r="G1619" s="459"/>
      <c r="H1619" s="459">
        <v>1612</v>
      </c>
      <c r="I1619" s="444">
        <f t="shared" ca="1" si="115"/>
        <v>-657538167.88836765</v>
      </c>
      <c r="J1619" s="444">
        <f t="array" ref="J1619">IFERROR(INDEX('Retirement Calculator'!K:K,MATCH('Lorri 401b'!N1619,'Retirement Calculator'!A:A,0),0),0)</f>
        <v>0</v>
      </c>
      <c r="K1619" s="444">
        <f t="shared" ca="1" si="113"/>
        <v>-2739742.3662015321</v>
      </c>
      <c r="L1619" s="444">
        <f t="shared" ca="1" si="114"/>
        <v>-660277910.25456917</v>
      </c>
      <c r="M1619" s="460">
        <f t="shared" si="116"/>
        <v>0.05</v>
      </c>
      <c r="N1619" s="464">
        <f t="shared" si="117"/>
        <v>100322</v>
      </c>
    </row>
    <row r="1620" spans="7:14" ht="11.25" customHeight="1" x14ac:dyDescent="0.25">
      <c r="G1620" s="459"/>
      <c r="H1620" s="459">
        <v>1613</v>
      </c>
      <c r="I1620" s="444">
        <f t="shared" ca="1" si="115"/>
        <v>-660277910.25456917</v>
      </c>
      <c r="J1620" s="444">
        <f t="array" ref="J1620">IFERROR(INDEX('Retirement Calculator'!K:K,MATCH('Lorri 401b'!N1620,'Retirement Calculator'!A:A,0),0),0)</f>
        <v>0</v>
      </c>
      <c r="K1620" s="444">
        <f t="shared" ca="1" si="113"/>
        <v>-2751157.9593940382</v>
      </c>
      <c r="L1620" s="444">
        <f t="shared" ca="1" si="114"/>
        <v>-663029068.21396327</v>
      </c>
      <c r="M1620" s="460">
        <f t="shared" si="116"/>
        <v>0.05</v>
      </c>
      <c r="N1620" s="464">
        <f t="shared" si="117"/>
        <v>100352</v>
      </c>
    </row>
    <row r="1621" spans="7:14" ht="11.25" customHeight="1" x14ac:dyDescent="0.25">
      <c r="G1621" s="459"/>
      <c r="H1621" s="459">
        <v>1614</v>
      </c>
      <c r="I1621" s="444">
        <f t="shared" ca="1" si="115"/>
        <v>-663029068.21396327</v>
      </c>
      <c r="J1621" s="444">
        <f t="array" ref="J1621">IFERROR(INDEX('Retirement Calculator'!K:K,MATCH('Lorri 401b'!N1621,'Retirement Calculator'!A:A,0),0),0)</f>
        <v>0</v>
      </c>
      <c r="K1621" s="444">
        <f t="shared" ca="1" si="113"/>
        <v>-2762621.1175581804</v>
      </c>
      <c r="L1621" s="444">
        <f t="shared" ca="1" si="114"/>
        <v>-665791689.33152139</v>
      </c>
      <c r="M1621" s="460">
        <f t="shared" si="116"/>
        <v>0.05</v>
      </c>
      <c r="N1621" s="464">
        <f t="shared" si="117"/>
        <v>100383</v>
      </c>
    </row>
    <row r="1622" spans="7:14" ht="11.25" customHeight="1" x14ac:dyDescent="0.25">
      <c r="G1622" s="459"/>
      <c r="H1622" s="459">
        <v>1615</v>
      </c>
      <c r="I1622" s="444">
        <f t="shared" ca="1" si="115"/>
        <v>-665791689.33152139</v>
      </c>
      <c r="J1622" s="444">
        <f t="array" ref="J1622">IFERROR(INDEX('Retirement Calculator'!K:K,MATCH('Lorri 401b'!N1622,'Retirement Calculator'!A:A,0),0),0)</f>
        <v>0</v>
      </c>
      <c r="K1622" s="444">
        <f t="shared" ca="1" si="113"/>
        <v>-2774132.0388813391</v>
      </c>
      <c r="L1622" s="444">
        <f t="shared" ca="1" si="114"/>
        <v>-668565821.37040269</v>
      </c>
      <c r="M1622" s="460">
        <f t="shared" si="116"/>
        <v>0.05</v>
      </c>
      <c r="N1622" s="464">
        <f t="shared" si="117"/>
        <v>100413</v>
      </c>
    </row>
    <row r="1623" spans="7:14" ht="11.25" customHeight="1" x14ac:dyDescent="0.25">
      <c r="G1623" s="459"/>
      <c r="H1623" s="459">
        <v>1616</v>
      </c>
      <c r="I1623" s="444">
        <f t="shared" ca="1" si="115"/>
        <v>-668565821.37040269</v>
      </c>
      <c r="J1623" s="444">
        <f t="array" ref="J1623">IFERROR(INDEX('Retirement Calculator'!K:K,MATCH('Lorri 401b'!N1623,'Retirement Calculator'!A:A,0),0),0)</f>
        <v>0</v>
      </c>
      <c r="K1623" s="444">
        <f t="shared" ca="1" si="113"/>
        <v>-2785690.9223766779</v>
      </c>
      <c r="L1623" s="444">
        <f t="shared" ca="1" si="114"/>
        <v>-671351512.29277933</v>
      </c>
      <c r="M1623" s="460">
        <f t="shared" si="116"/>
        <v>0.05</v>
      </c>
      <c r="N1623" s="464">
        <f t="shared" si="117"/>
        <v>100444</v>
      </c>
    </row>
    <row r="1624" spans="7:14" ht="11.25" customHeight="1" x14ac:dyDescent="0.25">
      <c r="G1624" s="459"/>
      <c r="H1624" s="459">
        <v>1617</v>
      </c>
      <c r="I1624" s="444">
        <f t="shared" ca="1" si="115"/>
        <v>-671351512.29277933</v>
      </c>
      <c r="J1624" s="444">
        <f t="array" ref="J1624">IFERROR(INDEX('Retirement Calculator'!K:K,MATCH('Lorri 401b'!N1624,'Retirement Calculator'!A:A,0),0),0)</f>
        <v>0</v>
      </c>
      <c r="K1624" s="444">
        <f t="shared" ca="1" si="113"/>
        <v>-2797297.9678865806</v>
      </c>
      <c r="L1624" s="444">
        <f t="shared" ca="1" si="114"/>
        <v>-674148810.26066589</v>
      </c>
      <c r="M1624" s="460">
        <f t="shared" si="116"/>
        <v>0.05</v>
      </c>
      <c r="N1624" s="464">
        <f t="shared" si="117"/>
        <v>100475</v>
      </c>
    </row>
    <row r="1625" spans="7:14" ht="11.25" customHeight="1" x14ac:dyDescent="0.25">
      <c r="G1625" s="459"/>
      <c r="H1625" s="459">
        <v>1618</v>
      </c>
      <c r="I1625" s="444">
        <f t="shared" ca="1" si="115"/>
        <v>-674148810.26066589</v>
      </c>
      <c r="J1625" s="444">
        <f t="array" ref="J1625">IFERROR(INDEX('Retirement Calculator'!K:K,MATCH('Lorri 401b'!N1625,'Retirement Calculator'!A:A,0),0),0)</f>
        <v>0</v>
      </c>
      <c r="K1625" s="444">
        <f t="shared" ca="1" si="113"/>
        <v>-2808953.3760861079</v>
      </c>
      <c r="L1625" s="444">
        <f t="shared" ca="1" si="114"/>
        <v>-676957763.63675201</v>
      </c>
      <c r="M1625" s="460">
        <f t="shared" si="116"/>
        <v>0.05</v>
      </c>
      <c r="N1625" s="464">
        <f t="shared" si="117"/>
        <v>100503</v>
      </c>
    </row>
    <row r="1626" spans="7:14" ht="11.25" customHeight="1" x14ac:dyDescent="0.25">
      <c r="G1626" s="459"/>
      <c r="H1626" s="459">
        <v>1619</v>
      </c>
      <c r="I1626" s="444">
        <f t="shared" ca="1" si="115"/>
        <v>-676957763.63675201</v>
      </c>
      <c r="J1626" s="444">
        <f t="array" ref="J1626">IFERROR(INDEX('Retirement Calculator'!K:K,MATCH('Lorri 401b'!N1626,'Retirement Calculator'!A:A,0),0),0)</f>
        <v>0</v>
      </c>
      <c r="K1626" s="444">
        <f t="shared" ca="1" si="113"/>
        <v>-2820657.3484864668</v>
      </c>
      <c r="L1626" s="444">
        <f t="shared" ca="1" si="114"/>
        <v>-679778420.98523843</v>
      </c>
      <c r="M1626" s="460">
        <f t="shared" si="116"/>
        <v>0.05</v>
      </c>
      <c r="N1626" s="464">
        <f t="shared" si="117"/>
        <v>100534</v>
      </c>
    </row>
    <row r="1627" spans="7:14" ht="11.25" customHeight="1" x14ac:dyDescent="0.25">
      <c r="G1627" s="459"/>
      <c r="H1627" s="459">
        <v>1620</v>
      </c>
      <c r="I1627" s="444">
        <f t="shared" ca="1" si="115"/>
        <v>-679778420.98523843</v>
      </c>
      <c r="J1627" s="444">
        <f t="array" ref="J1627">IFERROR(INDEX('Retirement Calculator'!K:K,MATCH('Lorri 401b'!N1627,'Retirement Calculator'!A:A,0),0),0)</f>
        <v>0</v>
      </c>
      <c r="K1627" s="444">
        <f t="shared" ca="1" si="113"/>
        <v>-2832410.0874384935</v>
      </c>
      <c r="L1627" s="444">
        <f t="shared" ca="1" si="114"/>
        <v>-682610831.0726769</v>
      </c>
      <c r="M1627" s="460">
        <f t="shared" si="116"/>
        <v>0.05</v>
      </c>
      <c r="N1627" s="464">
        <f t="shared" si="117"/>
        <v>100564</v>
      </c>
    </row>
    <row r="1628" spans="7:14" ht="11.25" customHeight="1" x14ac:dyDescent="0.25">
      <c r="G1628" s="459"/>
      <c r="H1628" s="459">
        <v>1621</v>
      </c>
      <c r="I1628" s="444">
        <f t="shared" ca="1" si="115"/>
        <v>-682610831.0726769</v>
      </c>
      <c r="J1628" s="444">
        <f t="array" ref="J1628">IFERROR(INDEX('Retirement Calculator'!K:K,MATCH('Lorri 401b'!N1628,'Retirement Calculator'!A:A,0),0),0)</f>
        <v>0</v>
      </c>
      <c r="K1628" s="444">
        <f t="shared" ca="1" si="113"/>
        <v>-2844211.7961361539</v>
      </c>
      <c r="L1628" s="444">
        <f t="shared" ca="1" si="114"/>
        <v>-685455042.86881304</v>
      </c>
      <c r="M1628" s="460">
        <f t="shared" si="116"/>
        <v>0.05</v>
      </c>
      <c r="N1628" s="464">
        <f t="shared" si="117"/>
        <v>100595</v>
      </c>
    </row>
    <row r="1629" spans="7:14" ht="11.25" customHeight="1" x14ac:dyDescent="0.25">
      <c r="G1629" s="459"/>
      <c r="H1629" s="459">
        <v>1622</v>
      </c>
      <c r="I1629" s="444">
        <f t="shared" ca="1" si="115"/>
        <v>-685455042.86881304</v>
      </c>
      <c r="J1629" s="444">
        <f t="array" ref="J1629">IFERROR(INDEX('Retirement Calculator'!K:K,MATCH('Lorri 401b'!N1629,'Retirement Calculator'!A:A,0),0),0)</f>
        <v>0</v>
      </c>
      <c r="K1629" s="444">
        <f t="shared" ca="1" si="113"/>
        <v>-2856062.6786200544</v>
      </c>
      <c r="L1629" s="444">
        <f t="shared" ca="1" si="114"/>
        <v>-688311105.54743314</v>
      </c>
      <c r="M1629" s="460">
        <f t="shared" si="116"/>
        <v>0.05</v>
      </c>
      <c r="N1629" s="464">
        <f t="shared" si="117"/>
        <v>100625</v>
      </c>
    </row>
    <row r="1630" spans="7:14" ht="11.25" customHeight="1" x14ac:dyDescent="0.25">
      <c r="G1630" s="459"/>
      <c r="H1630" s="459">
        <v>1623</v>
      </c>
      <c r="I1630" s="444">
        <f t="shared" ca="1" si="115"/>
        <v>-688311105.54743314</v>
      </c>
      <c r="J1630" s="444">
        <f t="array" ref="J1630">IFERROR(INDEX('Retirement Calculator'!K:K,MATCH('Lorri 401b'!N1630,'Retirement Calculator'!A:A,0),0),0)</f>
        <v>0</v>
      </c>
      <c r="K1630" s="444">
        <f t="shared" ca="1" si="113"/>
        <v>-2867962.9397809715</v>
      </c>
      <c r="L1630" s="444">
        <f t="shared" ca="1" si="114"/>
        <v>-691179068.48721409</v>
      </c>
      <c r="M1630" s="460">
        <f t="shared" si="116"/>
        <v>0.05</v>
      </c>
      <c r="N1630" s="464">
        <f t="shared" si="117"/>
        <v>100656</v>
      </c>
    </row>
    <row r="1631" spans="7:14" ht="11.25" customHeight="1" x14ac:dyDescent="0.25">
      <c r="G1631" s="459"/>
      <c r="H1631" s="459">
        <v>1624</v>
      </c>
      <c r="I1631" s="444">
        <f t="shared" ca="1" si="115"/>
        <v>-691179068.48721409</v>
      </c>
      <c r="J1631" s="444">
        <f t="array" ref="J1631">IFERROR(INDEX('Retirement Calculator'!K:K,MATCH('Lorri 401b'!N1631,'Retirement Calculator'!A:A,0),0),0)</f>
        <v>0</v>
      </c>
      <c r="K1631" s="444">
        <f t="shared" ca="1" si="113"/>
        <v>-2879912.785363392</v>
      </c>
      <c r="L1631" s="444">
        <f t="shared" ca="1" si="114"/>
        <v>-694058981.27257752</v>
      </c>
      <c r="M1631" s="460">
        <f t="shared" si="116"/>
        <v>0.05</v>
      </c>
      <c r="N1631" s="464">
        <f t="shared" si="117"/>
        <v>100687</v>
      </c>
    </row>
    <row r="1632" spans="7:14" ht="11.25" customHeight="1" x14ac:dyDescent="0.25">
      <c r="G1632" s="459"/>
      <c r="H1632" s="459">
        <v>1625</v>
      </c>
      <c r="I1632" s="444">
        <f t="shared" ca="1" si="115"/>
        <v>-694058981.27257752</v>
      </c>
      <c r="J1632" s="444">
        <f t="array" ref="J1632">IFERROR(INDEX('Retirement Calculator'!K:K,MATCH('Lorri 401b'!N1632,'Retirement Calculator'!A:A,0),0),0)</f>
        <v>0</v>
      </c>
      <c r="K1632" s="444">
        <f t="shared" ca="1" si="113"/>
        <v>-2891912.4219690729</v>
      </c>
      <c r="L1632" s="444">
        <f t="shared" ca="1" si="114"/>
        <v>-696950893.69454658</v>
      </c>
      <c r="M1632" s="460">
        <f t="shared" si="116"/>
        <v>0.05</v>
      </c>
      <c r="N1632" s="464">
        <f t="shared" si="117"/>
        <v>100717</v>
      </c>
    </row>
    <row r="1633" spans="7:14" ht="11.25" customHeight="1" x14ac:dyDescent="0.25">
      <c r="G1633" s="459"/>
      <c r="H1633" s="459">
        <v>1626</v>
      </c>
      <c r="I1633" s="444">
        <f t="shared" ca="1" si="115"/>
        <v>-696950893.69454658</v>
      </c>
      <c r="J1633" s="444">
        <f t="array" ref="J1633">IFERROR(INDEX('Retirement Calculator'!K:K,MATCH('Lorri 401b'!N1633,'Retirement Calculator'!A:A,0),0),0)</f>
        <v>0</v>
      </c>
      <c r="K1633" s="444">
        <f t="shared" ca="1" si="113"/>
        <v>-2903962.0570606105</v>
      </c>
      <c r="L1633" s="444">
        <f t="shared" ca="1" si="114"/>
        <v>-699854855.75160718</v>
      </c>
      <c r="M1633" s="460">
        <f t="shared" si="116"/>
        <v>0.05</v>
      </c>
      <c r="N1633" s="464">
        <f t="shared" si="117"/>
        <v>100748</v>
      </c>
    </row>
    <row r="1634" spans="7:14" ht="11.25" customHeight="1" x14ac:dyDescent="0.25">
      <c r="G1634" s="459"/>
      <c r="H1634" s="459">
        <v>1627</v>
      </c>
      <c r="I1634" s="444">
        <f t="shared" ca="1" si="115"/>
        <v>-699854855.75160718</v>
      </c>
      <c r="J1634" s="444">
        <f t="array" ref="J1634">IFERROR(INDEX('Retirement Calculator'!K:K,MATCH('Lorri 401b'!N1634,'Retirement Calculator'!A:A,0),0),0)</f>
        <v>0</v>
      </c>
      <c r="K1634" s="444">
        <f t="shared" ca="1" si="113"/>
        <v>-2916061.89896503</v>
      </c>
      <c r="L1634" s="444">
        <f t="shared" ca="1" si="114"/>
        <v>-702770917.65057218</v>
      </c>
      <c r="M1634" s="460">
        <f t="shared" si="116"/>
        <v>0.05</v>
      </c>
      <c r="N1634" s="464">
        <f t="shared" si="117"/>
        <v>100778</v>
      </c>
    </row>
    <row r="1635" spans="7:14" ht="11.25" customHeight="1" x14ac:dyDescent="0.25">
      <c r="G1635" s="459"/>
      <c r="H1635" s="459">
        <v>1628</v>
      </c>
      <c r="I1635" s="444">
        <f t="shared" ca="1" si="115"/>
        <v>-702770917.65057218</v>
      </c>
      <c r="J1635" s="444">
        <f t="array" ref="J1635">IFERROR(INDEX('Retirement Calculator'!K:K,MATCH('Lorri 401b'!N1635,'Retirement Calculator'!A:A,0),0),0)</f>
        <v>0</v>
      </c>
      <c r="K1635" s="444">
        <f t="shared" ca="1" si="113"/>
        <v>-2928212.1568773841</v>
      </c>
      <c r="L1635" s="444">
        <f t="shared" ca="1" si="114"/>
        <v>-705699129.80744958</v>
      </c>
      <c r="M1635" s="460">
        <f t="shared" si="116"/>
        <v>0.05</v>
      </c>
      <c r="N1635" s="464">
        <f t="shared" si="117"/>
        <v>100809</v>
      </c>
    </row>
    <row r="1636" spans="7:14" ht="11.25" customHeight="1" x14ac:dyDescent="0.25">
      <c r="G1636" s="459"/>
      <c r="H1636" s="459">
        <v>1629</v>
      </c>
      <c r="I1636" s="444">
        <f t="shared" ca="1" si="115"/>
        <v>-705699129.80744958</v>
      </c>
      <c r="J1636" s="444">
        <f t="array" ref="J1636">IFERROR(INDEX('Retirement Calculator'!K:K,MATCH('Lorri 401b'!N1636,'Retirement Calculator'!A:A,0),0),0)</f>
        <v>0</v>
      </c>
      <c r="K1636" s="444">
        <f t="shared" ca="1" si="113"/>
        <v>-2940413.0408643731</v>
      </c>
      <c r="L1636" s="444">
        <f t="shared" ca="1" si="114"/>
        <v>-708639542.84831393</v>
      </c>
      <c r="M1636" s="460">
        <f t="shared" si="116"/>
        <v>0.05</v>
      </c>
      <c r="N1636" s="464">
        <f t="shared" si="117"/>
        <v>100840</v>
      </c>
    </row>
    <row r="1637" spans="7:14" ht="11.25" customHeight="1" x14ac:dyDescent="0.25">
      <c r="G1637" s="459"/>
      <c r="H1637" s="459">
        <v>1630</v>
      </c>
      <c r="I1637" s="444">
        <f t="shared" ca="1" si="115"/>
        <v>-708639542.84831393</v>
      </c>
      <c r="J1637" s="444">
        <f t="array" ref="J1637">IFERROR(INDEX('Retirement Calculator'!K:K,MATCH('Lorri 401b'!N1637,'Retirement Calculator'!A:A,0),0),0)</f>
        <v>0</v>
      </c>
      <c r="K1637" s="444">
        <f t="shared" ca="1" si="113"/>
        <v>-2952664.7618679749</v>
      </c>
      <c r="L1637" s="444">
        <f t="shared" ca="1" si="114"/>
        <v>-711592207.61018193</v>
      </c>
      <c r="M1637" s="460">
        <f t="shared" si="116"/>
        <v>0.05</v>
      </c>
      <c r="N1637" s="464">
        <f t="shared" si="117"/>
        <v>100869</v>
      </c>
    </row>
    <row r="1638" spans="7:14" ht="11.25" customHeight="1" x14ac:dyDescent="0.25">
      <c r="G1638" s="459"/>
      <c r="H1638" s="459">
        <v>1631</v>
      </c>
      <c r="I1638" s="444">
        <f t="shared" ca="1" si="115"/>
        <v>-711592207.61018193</v>
      </c>
      <c r="J1638" s="444">
        <f t="array" ref="J1638">IFERROR(INDEX('Retirement Calculator'!K:K,MATCH('Lorri 401b'!N1638,'Retirement Calculator'!A:A,0),0),0)</f>
        <v>0</v>
      </c>
      <c r="K1638" s="444">
        <f t="shared" ca="1" si="113"/>
        <v>-2964967.5317090913</v>
      </c>
      <c r="L1638" s="444">
        <f t="shared" ca="1" si="114"/>
        <v>-714557175.141891</v>
      </c>
      <c r="M1638" s="460">
        <f t="shared" si="116"/>
        <v>0.05</v>
      </c>
      <c r="N1638" s="464">
        <f t="shared" si="117"/>
        <v>100900</v>
      </c>
    </row>
    <row r="1639" spans="7:14" ht="11.25" customHeight="1" x14ac:dyDescent="0.25">
      <c r="G1639" s="459"/>
      <c r="H1639" s="459">
        <v>1632</v>
      </c>
      <c r="I1639" s="444">
        <f t="shared" ca="1" si="115"/>
        <v>-714557175.141891</v>
      </c>
      <c r="J1639" s="444">
        <f t="array" ref="J1639">IFERROR(INDEX('Retirement Calculator'!K:K,MATCH('Lorri 401b'!N1639,'Retirement Calculator'!A:A,0),0),0)</f>
        <v>0</v>
      </c>
      <c r="K1639" s="444">
        <f t="shared" ca="1" si="113"/>
        <v>-2977321.5630912124</v>
      </c>
      <c r="L1639" s="444">
        <f t="shared" ca="1" si="114"/>
        <v>-717534496.70498216</v>
      </c>
      <c r="M1639" s="460">
        <f t="shared" si="116"/>
        <v>0.05</v>
      </c>
      <c r="N1639" s="464">
        <f t="shared" si="117"/>
        <v>100930</v>
      </c>
    </row>
    <row r="1640" spans="7:14" ht="11.25" customHeight="1" x14ac:dyDescent="0.25">
      <c r="G1640" s="459"/>
      <c r="H1640" s="459">
        <v>1633</v>
      </c>
      <c r="I1640" s="444">
        <f t="shared" ca="1" si="115"/>
        <v>-717534496.70498216</v>
      </c>
      <c r="J1640" s="444">
        <f t="array" ref="J1640">IFERROR(INDEX('Retirement Calculator'!K:K,MATCH('Lorri 401b'!N1640,'Retirement Calculator'!A:A,0),0),0)</f>
        <v>0</v>
      </c>
      <c r="K1640" s="444">
        <f t="shared" ca="1" si="113"/>
        <v>-2989727.0696040923</v>
      </c>
      <c r="L1640" s="444">
        <f t="shared" ca="1" si="114"/>
        <v>-720524223.7745862</v>
      </c>
      <c r="M1640" s="460">
        <f t="shared" si="116"/>
        <v>0.05</v>
      </c>
      <c r="N1640" s="464">
        <f t="shared" si="117"/>
        <v>100961</v>
      </c>
    </row>
    <row r="1641" spans="7:14" ht="11.25" customHeight="1" x14ac:dyDescent="0.25">
      <c r="G1641" s="459"/>
      <c r="H1641" s="459">
        <v>1634</v>
      </c>
      <c r="I1641" s="444">
        <f t="shared" ca="1" si="115"/>
        <v>-720524223.7745862</v>
      </c>
      <c r="J1641" s="444">
        <f t="array" ref="J1641">IFERROR(INDEX('Retirement Calculator'!K:K,MATCH('Lorri 401b'!N1641,'Retirement Calculator'!A:A,0),0),0)</f>
        <v>0</v>
      </c>
      <c r="K1641" s="444">
        <f t="shared" ca="1" si="113"/>
        <v>-3002184.2657274427</v>
      </c>
      <c r="L1641" s="444">
        <f t="shared" ca="1" si="114"/>
        <v>-723526408.0403136</v>
      </c>
      <c r="M1641" s="460">
        <f t="shared" si="116"/>
        <v>0.05</v>
      </c>
      <c r="N1641" s="464">
        <f t="shared" si="117"/>
        <v>100991</v>
      </c>
    </row>
    <row r="1642" spans="7:14" ht="11.25" customHeight="1" x14ac:dyDescent="0.25">
      <c r="G1642" s="459"/>
      <c r="H1642" s="459">
        <v>1635</v>
      </c>
      <c r="I1642" s="444">
        <f t="shared" ca="1" si="115"/>
        <v>-723526408.0403136</v>
      </c>
      <c r="J1642" s="444">
        <f t="array" ref="J1642">IFERROR(INDEX('Retirement Calculator'!K:K,MATCH('Lorri 401b'!N1642,'Retirement Calculator'!A:A,0),0),0)</f>
        <v>0</v>
      </c>
      <c r="K1642" s="444">
        <f t="shared" ca="1" si="113"/>
        <v>-3014693.36683464</v>
      </c>
      <c r="L1642" s="444">
        <f t="shared" ca="1" si="114"/>
        <v>-726541101.40714824</v>
      </c>
      <c r="M1642" s="460">
        <f t="shared" si="116"/>
        <v>0.05</v>
      </c>
      <c r="N1642" s="464">
        <f t="shared" si="117"/>
        <v>101022</v>
      </c>
    </row>
    <row r="1643" spans="7:14" ht="11.25" customHeight="1" x14ac:dyDescent="0.25">
      <c r="G1643" s="459"/>
      <c r="H1643" s="459">
        <v>1636</v>
      </c>
      <c r="I1643" s="444">
        <f t="shared" ca="1" si="115"/>
        <v>-726541101.40714824</v>
      </c>
      <c r="J1643" s="444">
        <f t="array" ref="J1643">IFERROR(INDEX('Retirement Calculator'!K:K,MATCH('Lorri 401b'!N1643,'Retirement Calculator'!A:A,0),0),0)</f>
        <v>0</v>
      </c>
      <c r="K1643" s="444">
        <f t="shared" ca="1" si="113"/>
        <v>-3027254.589196451</v>
      </c>
      <c r="L1643" s="444">
        <f t="shared" ca="1" si="114"/>
        <v>-729568355.99634469</v>
      </c>
      <c r="M1643" s="460">
        <f t="shared" si="116"/>
        <v>0.05</v>
      </c>
      <c r="N1643" s="464">
        <f t="shared" si="117"/>
        <v>101053</v>
      </c>
    </row>
    <row r="1644" spans="7:14" ht="11.25" customHeight="1" x14ac:dyDescent="0.25">
      <c r="G1644" s="459"/>
      <c r="H1644" s="459">
        <v>1637</v>
      </c>
      <c r="I1644" s="444">
        <f t="shared" ca="1" si="115"/>
        <v>-729568355.99634469</v>
      </c>
      <c r="J1644" s="444">
        <f t="array" ref="J1644">IFERROR(INDEX('Retirement Calculator'!K:K,MATCH('Lorri 401b'!N1644,'Retirement Calculator'!A:A,0),0),0)</f>
        <v>0</v>
      </c>
      <c r="K1644" s="444">
        <f t="shared" ca="1" si="113"/>
        <v>-3039868.1499847695</v>
      </c>
      <c r="L1644" s="444">
        <f t="shared" ca="1" si="114"/>
        <v>-732608224.1463294</v>
      </c>
      <c r="M1644" s="460">
        <f t="shared" si="116"/>
        <v>0.05</v>
      </c>
      <c r="N1644" s="464">
        <f t="shared" si="117"/>
        <v>101083</v>
      </c>
    </row>
    <row r="1645" spans="7:14" ht="11.25" customHeight="1" x14ac:dyDescent="0.25">
      <c r="G1645" s="459"/>
      <c r="H1645" s="459">
        <v>1638</v>
      </c>
      <c r="I1645" s="444">
        <f t="shared" ca="1" si="115"/>
        <v>-732608224.1463294</v>
      </c>
      <c r="J1645" s="444">
        <f t="array" ref="J1645">IFERROR(INDEX('Retirement Calculator'!K:K,MATCH('Lorri 401b'!N1645,'Retirement Calculator'!A:A,0),0),0)</f>
        <v>0</v>
      </c>
      <c r="K1645" s="444">
        <f t="shared" ca="1" si="113"/>
        <v>-3052534.2672763723</v>
      </c>
      <c r="L1645" s="444">
        <f t="shared" ca="1" si="114"/>
        <v>-735660758.41360581</v>
      </c>
      <c r="M1645" s="460">
        <f t="shared" si="116"/>
        <v>0.05</v>
      </c>
      <c r="N1645" s="464">
        <f t="shared" si="117"/>
        <v>101114</v>
      </c>
    </row>
    <row r="1646" spans="7:14" ht="11.25" customHeight="1" x14ac:dyDescent="0.25">
      <c r="G1646" s="459"/>
      <c r="H1646" s="459">
        <v>1639</v>
      </c>
      <c r="I1646" s="444">
        <f t="shared" ca="1" si="115"/>
        <v>-735660758.41360581</v>
      </c>
      <c r="J1646" s="444">
        <f t="array" ref="J1646">IFERROR(INDEX('Retirement Calculator'!K:K,MATCH('Lorri 401b'!N1646,'Retirement Calculator'!A:A,0),0),0)</f>
        <v>0</v>
      </c>
      <c r="K1646" s="444">
        <f t="shared" ca="1" si="113"/>
        <v>-3065253.1600566907</v>
      </c>
      <c r="L1646" s="444">
        <f t="shared" ca="1" si="114"/>
        <v>-738726011.57366252</v>
      </c>
      <c r="M1646" s="460">
        <f t="shared" si="116"/>
        <v>0.05</v>
      </c>
      <c r="N1646" s="464">
        <f t="shared" si="117"/>
        <v>101144</v>
      </c>
    </row>
    <row r="1647" spans="7:14" ht="11.25" customHeight="1" x14ac:dyDescent="0.25">
      <c r="G1647" s="459"/>
      <c r="H1647" s="459">
        <v>1640</v>
      </c>
      <c r="I1647" s="444">
        <f t="shared" ca="1" si="115"/>
        <v>-738726011.57366252</v>
      </c>
      <c r="J1647" s="444">
        <f t="array" ref="J1647">IFERROR(INDEX('Retirement Calculator'!K:K,MATCH('Lorri 401b'!N1647,'Retirement Calculator'!A:A,0),0),0)</f>
        <v>0</v>
      </c>
      <c r="K1647" s="444">
        <f t="shared" ca="1" si="113"/>
        <v>-3078025.0482235937</v>
      </c>
      <c r="L1647" s="444">
        <f t="shared" ca="1" si="114"/>
        <v>-741804036.62188613</v>
      </c>
      <c r="M1647" s="460">
        <f t="shared" si="116"/>
        <v>0.05</v>
      </c>
      <c r="N1647" s="464">
        <f t="shared" si="117"/>
        <v>101175</v>
      </c>
    </row>
    <row r="1648" spans="7:14" ht="11.25" customHeight="1" x14ac:dyDescent="0.25">
      <c r="G1648" s="459"/>
      <c r="H1648" s="459">
        <v>1641</v>
      </c>
      <c r="I1648" s="444">
        <f t="shared" ca="1" si="115"/>
        <v>-741804036.62188613</v>
      </c>
      <c r="J1648" s="444">
        <f t="array" ref="J1648">IFERROR(INDEX('Retirement Calculator'!K:K,MATCH('Lorri 401b'!N1648,'Retirement Calculator'!A:A,0),0),0)</f>
        <v>0</v>
      </c>
      <c r="K1648" s="444">
        <f t="shared" ca="1" si="113"/>
        <v>-3090850.1525911922</v>
      </c>
      <c r="L1648" s="444">
        <f t="shared" ca="1" si="114"/>
        <v>-744894886.77447736</v>
      </c>
      <c r="M1648" s="460">
        <f t="shared" si="116"/>
        <v>0.05</v>
      </c>
      <c r="N1648" s="464">
        <f t="shared" si="117"/>
        <v>101206</v>
      </c>
    </row>
    <row r="1649" spans="7:14" ht="11.25" customHeight="1" x14ac:dyDescent="0.25">
      <c r="G1649" s="459"/>
      <c r="H1649" s="459">
        <v>1642</v>
      </c>
      <c r="I1649" s="444">
        <f t="shared" ca="1" si="115"/>
        <v>-744894886.77447736</v>
      </c>
      <c r="J1649" s="444">
        <f t="array" ref="J1649">IFERROR(INDEX('Retirement Calculator'!K:K,MATCH('Lorri 401b'!N1649,'Retirement Calculator'!A:A,0),0),0)</f>
        <v>0</v>
      </c>
      <c r="K1649" s="444">
        <f t="shared" ca="1" si="113"/>
        <v>-3103728.6948936558</v>
      </c>
      <c r="L1649" s="444">
        <f t="shared" ca="1" si="114"/>
        <v>-747998615.46937096</v>
      </c>
      <c r="M1649" s="460">
        <f t="shared" si="116"/>
        <v>0.05</v>
      </c>
      <c r="N1649" s="464">
        <f t="shared" si="117"/>
        <v>101234</v>
      </c>
    </row>
    <row r="1650" spans="7:14" ht="11.25" customHeight="1" x14ac:dyDescent="0.25">
      <c r="G1650" s="459"/>
      <c r="H1650" s="459">
        <v>1643</v>
      </c>
      <c r="I1650" s="444">
        <f t="shared" ca="1" si="115"/>
        <v>-747998615.46937096</v>
      </c>
      <c r="J1650" s="444">
        <f t="array" ref="J1650">IFERROR(INDEX('Retirement Calculator'!K:K,MATCH('Lorri 401b'!N1650,'Retirement Calculator'!A:A,0),0),0)</f>
        <v>0</v>
      </c>
      <c r="K1650" s="444">
        <f t="shared" ca="1" si="113"/>
        <v>-3116660.8977890457</v>
      </c>
      <c r="L1650" s="444">
        <f t="shared" ca="1" si="114"/>
        <v>-751115276.36715996</v>
      </c>
      <c r="M1650" s="460">
        <f t="shared" si="116"/>
        <v>0.05</v>
      </c>
      <c r="N1650" s="464">
        <f t="shared" si="117"/>
        <v>101265</v>
      </c>
    </row>
    <row r="1651" spans="7:14" ht="11.25" customHeight="1" x14ac:dyDescent="0.25">
      <c r="G1651" s="459"/>
      <c r="H1651" s="459">
        <v>1644</v>
      </c>
      <c r="I1651" s="444">
        <f t="shared" ca="1" si="115"/>
        <v>-751115276.36715996</v>
      </c>
      <c r="J1651" s="444">
        <f t="array" ref="J1651">IFERROR(INDEX('Retirement Calculator'!K:K,MATCH('Lorri 401b'!N1651,'Retirement Calculator'!A:A,0),0),0)</f>
        <v>0</v>
      </c>
      <c r="K1651" s="444">
        <f t="shared" ca="1" si="113"/>
        <v>-3129646.9848631667</v>
      </c>
      <c r="L1651" s="444">
        <f t="shared" ca="1" si="114"/>
        <v>-754244923.35202312</v>
      </c>
      <c r="M1651" s="460">
        <f t="shared" si="116"/>
        <v>0.05</v>
      </c>
      <c r="N1651" s="464">
        <f t="shared" si="117"/>
        <v>101295</v>
      </c>
    </row>
    <row r="1652" spans="7:14" ht="11.25" customHeight="1" x14ac:dyDescent="0.25">
      <c r="G1652" s="459"/>
      <c r="H1652" s="459">
        <v>1645</v>
      </c>
      <c r="I1652" s="444">
        <f t="shared" ca="1" si="115"/>
        <v>-754244923.35202312</v>
      </c>
      <c r="J1652" s="444">
        <f t="array" ref="J1652">IFERROR(INDEX('Retirement Calculator'!K:K,MATCH('Lorri 401b'!N1652,'Retirement Calculator'!A:A,0),0),0)</f>
        <v>0</v>
      </c>
      <c r="K1652" s="444">
        <f t="shared" ca="1" si="113"/>
        <v>-3142687.1806334294</v>
      </c>
      <c r="L1652" s="444">
        <f t="shared" ca="1" si="114"/>
        <v>-757387610.53265655</v>
      </c>
      <c r="M1652" s="460">
        <f t="shared" si="116"/>
        <v>0.05</v>
      </c>
      <c r="N1652" s="464">
        <f t="shared" si="117"/>
        <v>101326</v>
      </c>
    </row>
    <row r="1653" spans="7:14" ht="11.25" customHeight="1" x14ac:dyDescent="0.25">
      <c r="G1653" s="459"/>
      <c r="H1653" s="459">
        <v>1646</v>
      </c>
      <c r="I1653" s="444">
        <f t="shared" ca="1" si="115"/>
        <v>-757387610.53265655</v>
      </c>
      <c r="J1653" s="444">
        <f t="array" ref="J1653">IFERROR(INDEX('Retirement Calculator'!K:K,MATCH('Lorri 401b'!N1653,'Retirement Calculator'!A:A,0),0),0)</f>
        <v>0</v>
      </c>
      <c r="K1653" s="444">
        <f t="shared" ca="1" si="113"/>
        <v>-3155781.7105527357</v>
      </c>
      <c r="L1653" s="444">
        <f t="shared" ca="1" si="114"/>
        <v>-760543392.24320924</v>
      </c>
      <c r="M1653" s="460">
        <f t="shared" si="116"/>
        <v>0.05</v>
      </c>
      <c r="N1653" s="464">
        <f t="shared" si="117"/>
        <v>101356</v>
      </c>
    </row>
    <row r="1654" spans="7:14" ht="11.25" customHeight="1" x14ac:dyDescent="0.25">
      <c r="G1654" s="459"/>
      <c r="H1654" s="459">
        <v>1647</v>
      </c>
      <c r="I1654" s="444">
        <f t="shared" ca="1" si="115"/>
        <v>-760543392.24320924</v>
      </c>
      <c r="J1654" s="444">
        <f t="array" ref="J1654">IFERROR(INDEX('Retirement Calculator'!K:K,MATCH('Lorri 401b'!N1654,'Retirement Calculator'!A:A,0),0),0)</f>
        <v>0</v>
      </c>
      <c r="K1654" s="444">
        <f t="shared" ca="1" si="113"/>
        <v>-3168930.8010133719</v>
      </c>
      <c r="L1654" s="444">
        <f t="shared" ca="1" si="114"/>
        <v>-763712323.04422259</v>
      </c>
      <c r="M1654" s="460">
        <f t="shared" si="116"/>
        <v>0.05</v>
      </c>
      <c r="N1654" s="464">
        <f t="shared" si="117"/>
        <v>101387</v>
      </c>
    </row>
    <row r="1655" spans="7:14" ht="11.25" customHeight="1" x14ac:dyDescent="0.25">
      <c r="G1655" s="459"/>
      <c r="H1655" s="459">
        <v>1648</v>
      </c>
      <c r="I1655" s="444">
        <f t="shared" ca="1" si="115"/>
        <v>-763712323.04422259</v>
      </c>
      <c r="J1655" s="444">
        <f t="array" ref="J1655">IFERROR(INDEX('Retirement Calculator'!K:K,MATCH('Lorri 401b'!N1655,'Retirement Calculator'!A:A,0),0),0)</f>
        <v>0</v>
      </c>
      <c r="K1655" s="444">
        <f t="shared" ca="1" si="113"/>
        <v>-3182134.6793509275</v>
      </c>
      <c r="L1655" s="444">
        <f t="shared" ca="1" si="114"/>
        <v>-766894457.72357357</v>
      </c>
      <c r="M1655" s="460">
        <f t="shared" si="116"/>
        <v>0.05</v>
      </c>
      <c r="N1655" s="464">
        <f t="shared" si="117"/>
        <v>101418</v>
      </c>
    </row>
    <row r="1656" spans="7:14" ht="11.25" customHeight="1" x14ac:dyDescent="0.25">
      <c r="G1656" s="459"/>
      <c r="H1656" s="459">
        <v>1649</v>
      </c>
      <c r="I1656" s="444">
        <f t="shared" ca="1" si="115"/>
        <v>-766894457.72357357</v>
      </c>
      <c r="J1656" s="444">
        <f t="array" ref="J1656">IFERROR(INDEX('Retirement Calculator'!K:K,MATCH('Lorri 401b'!N1656,'Retirement Calculator'!A:A,0),0),0)</f>
        <v>0</v>
      </c>
      <c r="K1656" s="444">
        <f t="shared" ca="1" si="113"/>
        <v>-3195393.5738482233</v>
      </c>
      <c r="L1656" s="444">
        <f t="shared" ca="1" si="114"/>
        <v>-770089851.29742181</v>
      </c>
      <c r="M1656" s="460">
        <f t="shared" si="116"/>
        <v>0.05</v>
      </c>
      <c r="N1656" s="464">
        <f t="shared" si="117"/>
        <v>101448</v>
      </c>
    </row>
    <row r="1657" spans="7:14" ht="11.25" customHeight="1" x14ac:dyDescent="0.25">
      <c r="G1657" s="459"/>
      <c r="H1657" s="459">
        <v>1650</v>
      </c>
      <c r="I1657" s="444">
        <f t="shared" ca="1" si="115"/>
        <v>-770089851.29742181</v>
      </c>
      <c r="J1657" s="444">
        <f t="array" ref="J1657">IFERROR(INDEX('Retirement Calculator'!K:K,MATCH('Lorri 401b'!N1657,'Retirement Calculator'!A:A,0),0),0)</f>
        <v>0</v>
      </c>
      <c r="K1657" s="444">
        <f t="shared" ca="1" si="113"/>
        <v>-3208707.7137392573</v>
      </c>
      <c r="L1657" s="444">
        <f t="shared" ca="1" si="114"/>
        <v>-773298559.01116109</v>
      </c>
      <c r="M1657" s="460">
        <f t="shared" si="116"/>
        <v>0.05</v>
      </c>
      <c r="N1657" s="464">
        <f t="shared" si="117"/>
        <v>101479</v>
      </c>
    </row>
    <row r="1658" spans="7:14" ht="11.25" customHeight="1" x14ac:dyDescent="0.25">
      <c r="G1658" s="459"/>
      <c r="H1658" s="459">
        <v>1651</v>
      </c>
      <c r="I1658" s="444">
        <f t="shared" ca="1" si="115"/>
        <v>-773298559.01116109</v>
      </c>
      <c r="J1658" s="444">
        <f t="array" ref="J1658">IFERROR(INDEX('Retirement Calculator'!K:K,MATCH('Lorri 401b'!N1658,'Retirement Calculator'!A:A,0),0),0)</f>
        <v>0</v>
      </c>
      <c r="K1658" s="444">
        <f t="shared" ca="1" si="113"/>
        <v>-3222077.3292131713</v>
      </c>
      <c r="L1658" s="444">
        <f t="shared" ca="1" si="114"/>
        <v>-776520636.34037423</v>
      </c>
      <c r="M1658" s="460">
        <f t="shared" si="116"/>
        <v>0.05</v>
      </c>
      <c r="N1658" s="464">
        <f t="shared" si="117"/>
        <v>101509</v>
      </c>
    </row>
    <row r="1659" spans="7:14" ht="11.25" customHeight="1" x14ac:dyDescent="0.25">
      <c r="G1659" s="459"/>
      <c r="H1659" s="459">
        <v>1652</v>
      </c>
      <c r="I1659" s="444">
        <f t="shared" ca="1" si="115"/>
        <v>-776520636.34037423</v>
      </c>
      <c r="J1659" s="444">
        <f t="array" ref="J1659">IFERROR(INDEX('Retirement Calculator'!K:K,MATCH('Lorri 401b'!N1659,'Retirement Calculator'!A:A,0),0),0)</f>
        <v>0</v>
      </c>
      <c r="K1659" s="444">
        <f t="shared" ca="1" si="113"/>
        <v>-3235502.6514182258</v>
      </c>
      <c r="L1659" s="444">
        <f t="shared" ca="1" si="114"/>
        <v>-779756138.99179244</v>
      </c>
      <c r="M1659" s="460">
        <f t="shared" si="116"/>
        <v>0.05</v>
      </c>
      <c r="N1659" s="464">
        <f t="shared" si="117"/>
        <v>101540</v>
      </c>
    </row>
    <row r="1660" spans="7:14" ht="11.25" customHeight="1" x14ac:dyDescent="0.25">
      <c r="G1660" s="459"/>
      <c r="H1660" s="459">
        <v>1653</v>
      </c>
      <c r="I1660" s="444">
        <f t="shared" ca="1" si="115"/>
        <v>-779756138.99179244</v>
      </c>
      <c r="J1660" s="444">
        <f t="array" ref="J1660">IFERROR(INDEX('Retirement Calculator'!K:K,MATCH('Lorri 401b'!N1660,'Retirement Calculator'!A:A,0),0),0)</f>
        <v>0</v>
      </c>
      <c r="K1660" s="444">
        <f t="shared" ca="1" si="113"/>
        <v>-3248983.9124658019</v>
      </c>
      <c r="L1660" s="444">
        <f t="shared" ca="1" si="114"/>
        <v>-783005122.90425825</v>
      </c>
      <c r="M1660" s="460">
        <f t="shared" si="116"/>
        <v>0.05</v>
      </c>
      <c r="N1660" s="464">
        <f t="shared" si="117"/>
        <v>101571</v>
      </c>
    </row>
    <row r="1661" spans="7:14" ht="11.25" customHeight="1" x14ac:dyDescent="0.25">
      <c r="G1661" s="459"/>
      <c r="H1661" s="459">
        <v>1654</v>
      </c>
      <c r="I1661" s="444">
        <f t="shared" ca="1" si="115"/>
        <v>-783005122.90425825</v>
      </c>
      <c r="J1661" s="444">
        <f t="array" ref="J1661">IFERROR(INDEX('Retirement Calculator'!K:K,MATCH('Lorri 401b'!N1661,'Retirement Calculator'!A:A,0),0),0)</f>
        <v>0</v>
      </c>
      <c r="K1661" s="444">
        <f t="shared" ca="1" si="113"/>
        <v>-3262521.3454344096</v>
      </c>
      <c r="L1661" s="444">
        <f t="shared" ca="1" si="114"/>
        <v>-786267644.24969268</v>
      </c>
      <c r="M1661" s="460">
        <f t="shared" si="116"/>
        <v>0.05</v>
      </c>
      <c r="N1661" s="464">
        <f t="shared" si="117"/>
        <v>101599</v>
      </c>
    </row>
    <row r="1662" spans="7:14" ht="11.25" customHeight="1" x14ac:dyDescent="0.25">
      <c r="G1662" s="459"/>
      <c r="H1662" s="459">
        <v>1655</v>
      </c>
      <c r="I1662" s="444">
        <f t="shared" ca="1" si="115"/>
        <v>-786267644.24969268</v>
      </c>
      <c r="J1662" s="444">
        <f t="array" ref="J1662">IFERROR(INDEX('Retirement Calculator'!K:K,MATCH('Lorri 401b'!N1662,'Retirement Calculator'!A:A,0),0),0)</f>
        <v>0</v>
      </c>
      <c r="K1662" s="444">
        <f t="shared" ca="1" si="113"/>
        <v>-3276115.1843737196</v>
      </c>
      <c r="L1662" s="444">
        <f t="shared" ca="1" si="114"/>
        <v>-789543759.43406641</v>
      </c>
      <c r="M1662" s="460">
        <f t="shared" si="116"/>
        <v>0.05</v>
      </c>
      <c r="N1662" s="464">
        <f t="shared" si="117"/>
        <v>101630</v>
      </c>
    </row>
    <row r="1663" spans="7:14" ht="11.25" customHeight="1" x14ac:dyDescent="0.25">
      <c r="G1663" s="459"/>
      <c r="H1663" s="459">
        <v>1656</v>
      </c>
      <c r="I1663" s="444">
        <f t="shared" ca="1" si="115"/>
        <v>-789543759.43406641</v>
      </c>
      <c r="J1663" s="444">
        <f t="array" ref="J1663">IFERROR(INDEX('Retirement Calculator'!K:K,MATCH('Lorri 401b'!N1663,'Retirement Calculator'!A:A,0),0),0)</f>
        <v>0</v>
      </c>
      <c r="K1663" s="444">
        <f t="shared" ca="1" si="113"/>
        <v>-3289765.6643086099</v>
      </c>
      <c r="L1663" s="444">
        <f t="shared" ca="1" si="114"/>
        <v>-792833525.09837508</v>
      </c>
      <c r="M1663" s="460">
        <f t="shared" si="116"/>
        <v>0.05</v>
      </c>
      <c r="N1663" s="464">
        <f t="shared" si="117"/>
        <v>101660</v>
      </c>
    </row>
    <row r="1664" spans="7:14" ht="11.25" customHeight="1" x14ac:dyDescent="0.25">
      <c r="G1664" s="459"/>
      <c r="H1664" s="459">
        <v>1657</v>
      </c>
      <c r="I1664" s="444">
        <f t="shared" ca="1" si="115"/>
        <v>-792833525.09837508</v>
      </c>
      <c r="J1664" s="444">
        <f t="array" ref="J1664">IFERROR(INDEX('Retirement Calculator'!K:K,MATCH('Lorri 401b'!N1664,'Retirement Calculator'!A:A,0),0),0)</f>
        <v>0</v>
      </c>
      <c r="K1664" s="444">
        <f t="shared" ca="1" si="113"/>
        <v>-3303473.0212432295</v>
      </c>
      <c r="L1664" s="444">
        <f t="shared" ca="1" si="114"/>
        <v>-796136998.1196183</v>
      </c>
      <c r="M1664" s="460">
        <f t="shared" si="116"/>
        <v>0.05</v>
      </c>
      <c r="N1664" s="464">
        <f t="shared" si="117"/>
        <v>101691</v>
      </c>
    </row>
    <row r="1665" spans="7:14" ht="11.25" customHeight="1" x14ac:dyDescent="0.25">
      <c r="G1665" s="459"/>
      <c r="H1665" s="459">
        <v>1658</v>
      </c>
      <c r="I1665" s="444">
        <f t="shared" ca="1" si="115"/>
        <v>-796136998.1196183</v>
      </c>
      <c r="J1665" s="444">
        <f t="array" ref="J1665">IFERROR(INDEX('Retirement Calculator'!K:K,MATCH('Lorri 401b'!N1665,'Retirement Calculator'!A:A,0),0),0)</f>
        <v>0</v>
      </c>
      <c r="K1665" s="444">
        <f t="shared" ca="1" si="113"/>
        <v>-3317237.4921650761</v>
      </c>
      <c r="L1665" s="444">
        <f t="shared" ca="1" si="114"/>
        <v>-799454235.61178339</v>
      </c>
      <c r="M1665" s="460">
        <f t="shared" si="116"/>
        <v>0.05</v>
      </c>
      <c r="N1665" s="464">
        <f t="shared" si="117"/>
        <v>101721</v>
      </c>
    </row>
    <row r="1666" spans="7:14" ht="11.25" customHeight="1" x14ac:dyDescent="0.25">
      <c r="G1666" s="459"/>
      <c r="H1666" s="459">
        <v>1659</v>
      </c>
      <c r="I1666" s="444">
        <f t="shared" ca="1" si="115"/>
        <v>-799454235.61178339</v>
      </c>
      <c r="J1666" s="444">
        <f t="array" ref="J1666">IFERROR(INDEX('Retirement Calculator'!K:K,MATCH('Lorri 401b'!N1666,'Retirement Calculator'!A:A,0),0),0)</f>
        <v>0</v>
      </c>
      <c r="K1666" s="444">
        <f t="shared" ca="1" si="113"/>
        <v>-3331059.3150490974</v>
      </c>
      <c r="L1666" s="444">
        <f t="shared" ca="1" si="114"/>
        <v>-802785294.92683244</v>
      </c>
      <c r="M1666" s="460">
        <f t="shared" si="116"/>
        <v>0.05</v>
      </c>
      <c r="N1666" s="464">
        <f t="shared" si="117"/>
        <v>101752</v>
      </c>
    </row>
    <row r="1667" spans="7:14" ht="11.25" customHeight="1" x14ac:dyDescent="0.25">
      <c r="G1667" s="459"/>
      <c r="H1667" s="459">
        <v>1660</v>
      </c>
      <c r="I1667" s="444">
        <f t="shared" ca="1" si="115"/>
        <v>-802785294.92683244</v>
      </c>
      <c r="J1667" s="444">
        <f t="array" ref="J1667">IFERROR(INDEX('Retirement Calculator'!K:K,MATCH('Lorri 401b'!N1667,'Retirement Calculator'!A:A,0),0),0)</f>
        <v>0</v>
      </c>
      <c r="K1667" s="444">
        <f t="shared" ca="1" si="113"/>
        <v>-3344938.7288618018</v>
      </c>
      <c r="L1667" s="444">
        <f t="shared" ca="1" si="114"/>
        <v>-806130233.65569425</v>
      </c>
      <c r="M1667" s="460">
        <f t="shared" si="116"/>
        <v>0.05</v>
      </c>
      <c r="N1667" s="464">
        <f t="shared" si="117"/>
        <v>101783</v>
      </c>
    </row>
    <row r="1668" spans="7:14" ht="11.25" customHeight="1" x14ac:dyDescent="0.25">
      <c r="G1668" s="459"/>
      <c r="H1668" s="459">
        <v>1661</v>
      </c>
      <c r="I1668" s="444">
        <f t="shared" ca="1" si="115"/>
        <v>-806130233.65569425</v>
      </c>
      <c r="J1668" s="444">
        <f t="array" ref="J1668">IFERROR(INDEX('Retirement Calculator'!K:K,MATCH('Lorri 401b'!N1668,'Retirement Calculator'!A:A,0),0),0)</f>
        <v>0</v>
      </c>
      <c r="K1668" s="444">
        <f t="shared" ca="1" si="113"/>
        <v>-3358875.9735653927</v>
      </c>
      <c r="L1668" s="444">
        <f t="shared" ca="1" si="114"/>
        <v>-809489109.62925959</v>
      </c>
      <c r="M1668" s="460">
        <f t="shared" si="116"/>
        <v>0.05</v>
      </c>
      <c r="N1668" s="464">
        <f t="shared" si="117"/>
        <v>101813</v>
      </c>
    </row>
    <row r="1669" spans="7:14" ht="11.25" customHeight="1" x14ac:dyDescent="0.25">
      <c r="G1669" s="459"/>
      <c r="H1669" s="459">
        <v>1662</v>
      </c>
      <c r="I1669" s="444">
        <f t="shared" ca="1" si="115"/>
        <v>-809489109.62925959</v>
      </c>
      <c r="J1669" s="444">
        <f t="array" ref="J1669">IFERROR(INDEX('Retirement Calculator'!K:K,MATCH('Lorri 401b'!N1669,'Retirement Calculator'!A:A,0),0),0)</f>
        <v>0</v>
      </c>
      <c r="K1669" s="444">
        <f t="shared" ca="1" si="113"/>
        <v>-3372871.2901219148</v>
      </c>
      <c r="L1669" s="444">
        <f t="shared" ca="1" si="114"/>
        <v>-812861980.9193815</v>
      </c>
      <c r="M1669" s="460">
        <f t="shared" si="116"/>
        <v>0.05</v>
      </c>
      <c r="N1669" s="464">
        <f t="shared" si="117"/>
        <v>101844</v>
      </c>
    </row>
    <row r="1670" spans="7:14" ht="11.25" customHeight="1" x14ac:dyDescent="0.25">
      <c r="G1670" s="459"/>
      <c r="H1670" s="459">
        <v>1663</v>
      </c>
      <c r="I1670" s="444">
        <f t="shared" ca="1" si="115"/>
        <v>-812861980.9193815</v>
      </c>
      <c r="J1670" s="444">
        <f t="array" ref="J1670">IFERROR(INDEX('Retirement Calculator'!K:K,MATCH('Lorri 401b'!N1670,'Retirement Calculator'!A:A,0),0),0)</f>
        <v>0</v>
      </c>
      <c r="K1670" s="444">
        <f t="shared" ca="1" si="113"/>
        <v>-3386924.920497423</v>
      </c>
      <c r="L1670" s="444">
        <f t="shared" ca="1" si="114"/>
        <v>-816248905.83987892</v>
      </c>
      <c r="M1670" s="460">
        <f t="shared" si="116"/>
        <v>0.05</v>
      </c>
      <c r="N1670" s="464">
        <f t="shared" si="117"/>
        <v>101874</v>
      </c>
    </row>
    <row r="1671" spans="7:14" ht="11.25" customHeight="1" x14ac:dyDescent="0.25">
      <c r="G1671" s="459"/>
      <c r="H1671" s="459">
        <v>1664</v>
      </c>
      <c r="I1671" s="444">
        <f t="shared" ca="1" si="115"/>
        <v>-816248905.83987892</v>
      </c>
      <c r="J1671" s="444">
        <f t="array" ref="J1671">IFERROR(INDEX('Retirement Calculator'!K:K,MATCH('Lorri 401b'!N1671,'Retirement Calculator'!A:A,0),0),0)</f>
        <v>0</v>
      </c>
      <c r="K1671" s="444">
        <f t="shared" ca="1" si="113"/>
        <v>-3401037.1076661623</v>
      </c>
      <c r="L1671" s="444">
        <f t="shared" ca="1" si="114"/>
        <v>-819649942.94754505</v>
      </c>
      <c r="M1671" s="460">
        <f t="shared" si="116"/>
        <v>0.05</v>
      </c>
      <c r="N1671" s="464">
        <f t="shared" si="117"/>
        <v>101905</v>
      </c>
    </row>
    <row r="1672" spans="7:14" ht="11.25" customHeight="1" x14ac:dyDescent="0.25">
      <c r="G1672" s="459"/>
      <c r="H1672" s="459">
        <v>1665</v>
      </c>
      <c r="I1672" s="444">
        <f t="shared" ca="1" si="115"/>
        <v>-819649942.94754505</v>
      </c>
      <c r="J1672" s="444">
        <f t="array" ref="J1672">IFERROR(INDEX('Retirement Calculator'!K:K,MATCH('Lorri 401b'!N1672,'Retirement Calculator'!A:A,0),0),0)</f>
        <v>0</v>
      </c>
      <c r="K1672" s="444">
        <f t="shared" ca="1" si="113"/>
        <v>-3415208.0956147709</v>
      </c>
      <c r="L1672" s="444">
        <f t="shared" ca="1" si="114"/>
        <v>-823065151.04315984</v>
      </c>
      <c r="M1672" s="460">
        <f t="shared" si="116"/>
        <v>0.05</v>
      </c>
      <c r="N1672" s="464">
        <f t="shared" si="117"/>
        <v>101936</v>
      </c>
    </row>
    <row r="1673" spans="7:14" ht="11.25" customHeight="1" x14ac:dyDescent="0.25">
      <c r="G1673" s="459"/>
      <c r="H1673" s="459">
        <v>1666</v>
      </c>
      <c r="I1673" s="444">
        <f t="shared" ca="1" si="115"/>
        <v>-823065151.04315984</v>
      </c>
      <c r="J1673" s="444">
        <f t="array" ref="J1673">IFERROR(INDEX('Retirement Calculator'!K:K,MATCH('Lorri 401b'!N1673,'Retirement Calculator'!A:A,0),0),0)</f>
        <v>0</v>
      </c>
      <c r="K1673" s="444">
        <f t="shared" ca="1" si="113"/>
        <v>-3429438.1293464992</v>
      </c>
      <c r="L1673" s="444">
        <f t="shared" ca="1" si="114"/>
        <v>-826494589.17250633</v>
      </c>
      <c r="M1673" s="460">
        <f t="shared" si="116"/>
        <v>0.05</v>
      </c>
      <c r="N1673" s="464">
        <f t="shared" si="117"/>
        <v>101964</v>
      </c>
    </row>
    <row r="1674" spans="7:14" ht="11.25" customHeight="1" x14ac:dyDescent="0.25">
      <c r="G1674" s="459"/>
      <c r="H1674" s="459">
        <v>1667</v>
      </c>
      <c r="I1674" s="444">
        <f t="shared" ca="1" si="115"/>
        <v>-826494589.17250633</v>
      </c>
      <c r="J1674" s="444">
        <f t="array" ref="J1674">IFERROR(INDEX('Retirement Calculator'!K:K,MATCH('Lorri 401b'!N1674,'Retirement Calculator'!A:A,0),0),0)</f>
        <v>0</v>
      </c>
      <c r="K1674" s="444">
        <f t="shared" ca="1" si="113"/>
        <v>-3443727.4548854432</v>
      </c>
      <c r="L1674" s="444">
        <f t="shared" ca="1" si="114"/>
        <v>-829938316.62739182</v>
      </c>
      <c r="M1674" s="460">
        <f t="shared" si="116"/>
        <v>0.05</v>
      </c>
      <c r="N1674" s="464">
        <f t="shared" si="117"/>
        <v>101995</v>
      </c>
    </row>
    <row r="1675" spans="7:14" ht="11.25" customHeight="1" x14ac:dyDescent="0.25">
      <c r="G1675" s="459"/>
      <c r="H1675" s="459">
        <v>1668</v>
      </c>
      <c r="I1675" s="444">
        <f t="shared" ca="1" si="115"/>
        <v>-829938316.62739182</v>
      </c>
      <c r="J1675" s="444">
        <f t="array" ref="J1675">IFERROR(INDEX('Retirement Calculator'!K:K,MATCH('Lorri 401b'!N1675,'Retirement Calculator'!A:A,0),0),0)</f>
        <v>0</v>
      </c>
      <c r="K1675" s="444">
        <f t="shared" ca="1" si="113"/>
        <v>-3458076.319280799</v>
      </c>
      <c r="L1675" s="444">
        <f t="shared" ca="1" si="114"/>
        <v>-833396392.94667256</v>
      </c>
      <c r="M1675" s="460">
        <f t="shared" si="116"/>
        <v>0.05</v>
      </c>
      <c r="N1675" s="464">
        <f t="shared" si="117"/>
        <v>102025</v>
      </c>
    </row>
    <row r="1676" spans="7:14" ht="11.25" customHeight="1" x14ac:dyDescent="0.25">
      <c r="G1676" s="459"/>
      <c r="H1676" s="459">
        <v>1669</v>
      </c>
      <c r="I1676" s="444">
        <f t="shared" ca="1" si="115"/>
        <v>-833396392.94667256</v>
      </c>
      <c r="J1676" s="444">
        <f t="array" ref="J1676">IFERROR(INDEX('Retirement Calculator'!K:K,MATCH('Lorri 401b'!N1676,'Retirement Calculator'!A:A,0),0),0)</f>
        <v>0</v>
      </c>
      <c r="K1676" s="444">
        <f t="shared" ca="1" si="113"/>
        <v>-3472484.9706111355</v>
      </c>
      <c r="L1676" s="444">
        <f t="shared" ca="1" si="114"/>
        <v>-836868877.91728365</v>
      </c>
      <c r="M1676" s="460">
        <f t="shared" si="116"/>
        <v>0.05</v>
      </c>
      <c r="N1676" s="464">
        <f t="shared" si="117"/>
        <v>102056</v>
      </c>
    </row>
    <row r="1677" spans="7:14" ht="11.25" customHeight="1" x14ac:dyDescent="0.25">
      <c r="G1677" s="459"/>
      <c r="H1677" s="459">
        <v>1670</v>
      </c>
      <c r="I1677" s="444">
        <f t="shared" ca="1" si="115"/>
        <v>-836868877.91728365</v>
      </c>
      <c r="J1677" s="444">
        <f t="array" ref="J1677">IFERROR(INDEX('Retirement Calculator'!K:K,MATCH('Lorri 401b'!N1677,'Retirement Calculator'!A:A,0),0),0)</f>
        <v>0</v>
      </c>
      <c r="K1677" s="444">
        <f t="shared" ca="1" si="113"/>
        <v>-3486953.6579886819</v>
      </c>
      <c r="L1677" s="444">
        <f t="shared" ca="1" si="114"/>
        <v>-840355831.57527232</v>
      </c>
      <c r="M1677" s="460">
        <f t="shared" si="116"/>
        <v>0.05</v>
      </c>
      <c r="N1677" s="464">
        <f t="shared" si="117"/>
        <v>102086</v>
      </c>
    </row>
    <row r="1678" spans="7:14" ht="11.25" customHeight="1" x14ac:dyDescent="0.25">
      <c r="G1678" s="459"/>
      <c r="H1678" s="459">
        <v>1671</v>
      </c>
      <c r="I1678" s="444">
        <f t="shared" ca="1" si="115"/>
        <v>-840355831.57527232</v>
      </c>
      <c r="J1678" s="444">
        <f t="array" ref="J1678">IFERROR(INDEX('Retirement Calculator'!K:K,MATCH('Lorri 401b'!N1678,'Retirement Calculator'!A:A,0),0),0)</f>
        <v>0</v>
      </c>
      <c r="K1678" s="444">
        <f t="shared" ca="1" si="113"/>
        <v>-3501482.6315636341</v>
      </c>
      <c r="L1678" s="444">
        <f t="shared" ca="1" si="114"/>
        <v>-843857314.20683599</v>
      </c>
      <c r="M1678" s="460">
        <f t="shared" si="116"/>
        <v>0.05</v>
      </c>
      <c r="N1678" s="464">
        <f t="shared" si="117"/>
        <v>102117</v>
      </c>
    </row>
    <row r="1679" spans="7:14" ht="11.25" customHeight="1" x14ac:dyDescent="0.25">
      <c r="G1679" s="459"/>
      <c r="H1679" s="459">
        <v>1672</v>
      </c>
      <c r="I1679" s="444">
        <f t="shared" ca="1" si="115"/>
        <v>-843857314.20683599</v>
      </c>
      <c r="J1679" s="444">
        <f t="array" ref="J1679">IFERROR(INDEX('Retirement Calculator'!K:K,MATCH('Lorri 401b'!N1679,'Retirement Calculator'!A:A,0),0),0)</f>
        <v>0</v>
      </c>
      <c r="K1679" s="444">
        <f t="shared" ca="1" si="113"/>
        <v>-3516072.1425284827</v>
      </c>
      <c r="L1679" s="444">
        <f t="shared" ca="1" si="114"/>
        <v>-847373386.34936452</v>
      </c>
      <c r="M1679" s="460">
        <f t="shared" si="116"/>
        <v>0.05</v>
      </c>
      <c r="N1679" s="464">
        <f t="shared" si="117"/>
        <v>102148</v>
      </c>
    </row>
    <row r="1680" spans="7:14" ht="11.25" customHeight="1" x14ac:dyDescent="0.25">
      <c r="G1680" s="459"/>
      <c r="H1680" s="459">
        <v>1673</v>
      </c>
      <c r="I1680" s="444">
        <f t="shared" ca="1" si="115"/>
        <v>-847373386.34936452</v>
      </c>
      <c r="J1680" s="444">
        <f t="array" ref="J1680">IFERROR(INDEX('Retirement Calculator'!K:K,MATCH('Lorri 401b'!N1680,'Retirement Calculator'!A:A,0),0),0)</f>
        <v>0</v>
      </c>
      <c r="K1680" s="444">
        <f t="shared" ca="1" si="113"/>
        <v>-3530722.4431223515</v>
      </c>
      <c r="L1680" s="444">
        <f t="shared" ca="1" si="114"/>
        <v>-850904108.79248691</v>
      </c>
      <c r="M1680" s="460">
        <f t="shared" si="116"/>
        <v>0.05</v>
      </c>
      <c r="N1680" s="464">
        <f t="shared" si="117"/>
        <v>102178</v>
      </c>
    </row>
    <row r="1681" spans="7:14" ht="11.25" customHeight="1" x14ac:dyDescent="0.25">
      <c r="G1681" s="459"/>
      <c r="H1681" s="459">
        <v>1674</v>
      </c>
      <c r="I1681" s="444">
        <f t="shared" ca="1" si="115"/>
        <v>-850904108.79248691</v>
      </c>
      <c r="J1681" s="444">
        <f t="array" ref="J1681">IFERROR(INDEX('Retirement Calculator'!K:K,MATCH('Lorri 401b'!N1681,'Retirement Calculator'!A:A,0),0),0)</f>
        <v>0</v>
      </c>
      <c r="K1681" s="444">
        <f t="shared" ca="1" si="113"/>
        <v>-3545433.7866353621</v>
      </c>
      <c r="L1681" s="444">
        <f t="shared" ca="1" si="114"/>
        <v>-854449542.5791223</v>
      </c>
      <c r="M1681" s="460">
        <f t="shared" si="116"/>
        <v>0.05</v>
      </c>
      <c r="N1681" s="464">
        <f t="shared" si="117"/>
        <v>102209</v>
      </c>
    </row>
    <row r="1682" spans="7:14" ht="11.25" customHeight="1" x14ac:dyDescent="0.25">
      <c r="G1682" s="459"/>
      <c r="H1682" s="459">
        <v>1675</v>
      </c>
      <c r="I1682" s="444">
        <f t="shared" ca="1" si="115"/>
        <v>-854449542.5791223</v>
      </c>
      <c r="J1682" s="444">
        <f t="array" ref="J1682">IFERROR(INDEX('Retirement Calculator'!K:K,MATCH('Lorri 401b'!N1682,'Retirement Calculator'!A:A,0),0),0)</f>
        <v>0</v>
      </c>
      <c r="K1682" s="444">
        <f t="shared" ca="1" si="113"/>
        <v>-3560206.4274130096</v>
      </c>
      <c r="L1682" s="444">
        <f t="shared" ca="1" si="114"/>
        <v>-858009749.00653529</v>
      </c>
      <c r="M1682" s="460">
        <f t="shared" si="116"/>
        <v>0.05</v>
      </c>
      <c r="N1682" s="464">
        <f t="shared" si="117"/>
        <v>102239</v>
      </c>
    </row>
    <row r="1683" spans="7:14" ht="11.25" customHeight="1" x14ac:dyDescent="0.25">
      <c r="G1683" s="459"/>
      <c r="H1683" s="459">
        <v>1676</v>
      </c>
      <c r="I1683" s="444">
        <f t="shared" ca="1" si="115"/>
        <v>-858009749.00653529</v>
      </c>
      <c r="J1683" s="444">
        <f t="array" ref="J1683">IFERROR(INDEX('Retirement Calculator'!K:K,MATCH('Lorri 401b'!N1683,'Retirement Calculator'!A:A,0),0),0)</f>
        <v>0</v>
      </c>
      <c r="K1683" s="444">
        <f t="shared" ca="1" si="113"/>
        <v>-3575040.6208605636</v>
      </c>
      <c r="L1683" s="444">
        <f t="shared" ca="1" si="114"/>
        <v>-861584789.62739587</v>
      </c>
      <c r="M1683" s="460">
        <f t="shared" si="116"/>
        <v>0.05</v>
      </c>
      <c r="N1683" s="464">
        <f t="shared" si="117"/>
        <v>102270</v>
      </c>
    </row>
    <row r="1684" spans="7:14" ht="11.25" customHeight="1" x14ac:dyDescent="0.25">
      <c r="G1684" s="459"/>
      <c r="H1684" s="459">
        <v>1677</v>
      </c>
      <c r="I1684" s="444">
        <f t="shared" ca="1" si="115"/>
        <v>-861584789.62739587</v>
      </c>
      <c r="J1684" s="444">
        <f t="array" ref="J1684">IFERROR(INDEX('Retirement Calculator'!K:K,MATCH('Lorri 401b'!N1684,'Retirement Calculator'!A:A,0),0),0)</f>
        <v>0</v>
      </c>
      <c r="K1684" s="444">
        <f t="shared" ca="1" si="113"/>
        <v>-3589936.6234474829</v>
      </c>
      <c r="L1684" s="444">
        <f t="shared" ca="1" si="114"/>
        <v>-865174726.25084341</v>
      </c>
      <c r="M1684" s="460">
        <f t="shared" si="116"/>
        <v>0.05</v>
      </c>
      <c r="N1684" s="464">
        <f t="shared" si="117"/>
        <v>102301</v>
      </c>
    </row>
    <row r="1685" spans="7:14" ht="11.25" customHeight="1" x14ac:dyDescent="0.25">
      <c r="G1685" s="459"/>
      <c r="H1685" s="459">
        <v>1678</v>
      </c>
      <c r="I1685" s="444">
        <f t="shared" ca="1" si="115"/>
        <v>-865174726.25084341</v>
      </c>
      <c r="J1685" s="444">
        <f t="array" ref="J1685">IFERROR(INDEX('Retirement Calculator'!K:K,MATCH('Lorri 401b'!N1685,'Retirement Calculator'!A:A,0),0),0)</f>
        <v>0</v>
      </c>
      <c r="K1685" s="444">
        <f t="shared" ca="1" si="113"/>
        <v>-3604894.6927118474</v>
      </c>
      <c r="L1685" s="444">
        <f t="shared" ca="1" si="114"/>
        <v>-868779620.94355524</v>
      </c>
      <c r="M1685" s="460">
        <f t="shared" si="116"/>
        <v>0.05</v>
      </c>
      <c r="N1685" s="464">
        <f t="shared" si="117"/>
        <v>102330</v>
      </c>
    </row>
    <row r="1686" spans="7:14" ht="11.25" customHeight="1" x14ac:dyDescent="0.25">
      <c r="G1686" s="459"/>
      <c r="H1686" s="459">
        <v>1679</v>
      </c>
      <c r="I1686" s="444">
        <f t="shared" ca="1" si="115"/>
        <v>-868779620.94355524</v>
      </c>
      <c r="J1686" s="444">
        <f t="array" ref="J1686">IFERROR(INDEX('Retirement Calculator'!K:K,MATCH('Lorri 401b'!N1686,'Retirement Calculator'!A:A,0),0),0)</f>
        <v>0</v>
      </c>
      <c r="K1686" s="444">
        <f t="shared" ca="1" si="113"/>
        <v>-3619915.0872648135</v>
      </c>
      <c r="L1686" s="444">
        <f t="shared" ca="1" si="114"/>
        <v>-872399536.03082001</v>
      </c>
      <c r="M1686" s="460">
        <f t="shared" si="116"/>
        <v>0.05</v>
      </c>
      <c r="N1686" s="464">
        <f t="shared" si="117"/>
        <v>102361</v>
      </c>
    </row>
    <row r="1687" spans="7:14" ht="11.25" customHeight="1" x14ac:dyDescent="0.25">
      <c r="G1687" s="459"/>
      <c r="H1687" s="459">
        <v>1680</v>
      </c>
      <c r="I1687" s="444">
        <f t="shared" ca="1" si="115"/>
        <v>-872399536.03082001</v>
      </c>
      <c r="J1687" s="444">
        <f t="array" ref="J1687">IFERROR(INDEX('Retirement Calculator'!K:K,MATCH('Lorri 401b'!N1687,'Retirement Calculator'!A:A,0),0),0)</f>
        <v>0</v>
      </c>
      <c r="K1687" s="444">
        <f t="shared" ca="1" si="113"/>
        <v>-3634998.0667950837</v>
      </c>
      <c r="L1687" s="444">
        <f t="shared" ca="1" si="114"/>
        <v>-876034534.09761512</v>
      </c>
      <c r="M1687" s="460">
        <f t="shared" si="116"/>
        <v>0.05</v>
      </c>
      <c r="N1687" s="464">
        <f t="shared" si="117"/>
        <v>102391</v>
      </c>
    </row>
    <row r="1688" spans="7:14" ht="11.25" customHeight="1" x14ac:dyDescent="0.25">
      <c r="G1688" s="459"/>
      <c r="H1688" s="459">
        <v>1681</v>
      </c>
      <c r="I1688" s="444">
        <f t="shared" ca="1" si="115"/>
        <v>-876034534.09761512</v>
      </c>
      <c r="J1688" s="444">
        <f t="array" ref="J1688">IFERROR(INDEX('Retirement Calculator'!K:K,MATCH('Lorri 401b'!N1688,'Retirement Calculator'!A:A,0),0),0)</f>
        <v>0</v>
      </c>
      <c r="K1688" s="444">
        <f t="shared" ca="1" si="113"/>
        <v>-3650143.8920733961</v>
      </c>
      <c r="L1688" s="444">
        <f t="shared" ca="1" si="114"/>
        <v>-879684677.98968852</v>
      </c>
      <c r="M1688" s="460">
        <f t="shared" si="116"/>
        <v>0.05</v>
      </c>
      <c r="N1688" s="464">
        <f t="shared" si="117"/>
        <v>102422</v>
      </c>
    </row>
    <row r="1689" spans="7:14" ht="11.25" customHeight="1" x14ac:dyDescent="0.25">
      <c r="G1689" s="459"/>
      <c r="H1689" s="459">
        <v>1682</v>
      </c>
      <c r="I1689" s="444">
        <f t="shared" ca="1" si="115"/>
        <v>-879684677.98968852</v>
      </c>
      <c r="J1689" s="444">
        <f t="array" ref="J1689">IFERROR(INDEX('Retirement Calculator'!K:K,MATCH('Lorri 401b'!N1689,'Retirement Calculator'!A:A,0),0),0)</f>
        <v>0</v>
      </c>
      <c r="K1689" s="444">
        <f t="shared" ca="1" si="113"/>
        <v>-3665352.824957035</v>
      </c>
      <c r="L1689" s="444">
        <f t="shared" ca="1" si="114"/>
        <v>-883350030.81464553</v>
      </c>
      <c r="M1689" s="460">
        <f t="shared" si="116"/>
        <v>0.05</v>
      </c>
      <c r="N1689" s="464">
        <f t="shared" si="117"/>
        <v>102452</v>
      </c>
    </row>
    <row r="1690" spans="7:14" ht="11.25" customHeight="1" x14ac:dyDescent="0.25">
      <c r="G1690" s="459"/>
      <c r="H1690" s="459">
        <v>1683</v>
      </c>
      <c r="I1690" s="444">
        <f t="shared" ca="1" si="115"/>
        <v>-883350030.81464553</v>
      </c>
      <c r="J1690" s="444">
        <f t="array" ref="J1690">IFERROR(INDEX('Retirement Calculator'!K:K,MATCH('Lorri 401b'!N1690,'Retirement Calculator'!A:A,0),0),0)</f>
        <v>0</v>
      </c>
      <c r="K1690" s="444">
        <f t="shared" ca="1" si="113"/>
        <v>-3680625.1283943565</v>
      </c>
      <c r="L1690" s="444">
        <f t="shared" ca="1" si="114"/>
        <v>-887030655.94303989</v>
      </c>
      <c r="M1690" s="460">
        <f t="shared" si="116"/>
        <v>0.05</v>
      </c>
      <c r="N1690" s="464">
        <f t="shared" si="117"/>
        <v>102483</v>
      </c>
    </row>
    <row r="1691" spans="7:14" ht="11.25" customHeight="1" x14ac:dyDescent="0.25">
      <c r="G1691" s="459"/>
      <c r="H1691" s="459">
        <v>1684</v>
      </c>
      <c r="I1691" s="444">
        <f t="shared" ca="1" si="115"/>
        <v>-887030655.94303989</v>
      </c>
      <c r="J1691" s="444">
        <f t="array" ref="J1691">IFERROR(INDEX('Retirement Calculator'!K:K,MATCH('Lorri 401b'!N1691,'Retirement Calculator'!A:A,0),0),0)</f>
        <v>0</v>
      </c>
      <c r="K1691" s="444">
        <f t="shared" ca="1" si="113"/>
        <v>-3695961.0664293324</v>
      </c>
      <c r="L1691" s="444">
        <f t="shared" ca="1" si="114"/>
        <v>-890726617.00946927</v>
      </c>
      <c r="M1691" s="460">
        <f t="shared" si="116"/>
        <v>0.05</v>
      </c>
      <c r="N1691" s="464">
        <f t="shared" si="117"/>
        <v>102514</v>
      </c>
    </row>
    <row r="1692" spans="7:14" ht="11.25" customHeight="1" x14ac:dyDescent="0.25">
      <c r="G1692" s="459"/>
      <c r="H1692" s="459">
        <v>1685</v>
      </c>
      <c r="I1692" s="444">
        <f t="shared" ca="1" si="115"/>
        <v>-890726617.00946927</v>
      </c>
      <c r="J1692" s="444">
        <f t="array" ref="J1692">IFERROR(INDEX('Retirement Calculator'!K:K,MATCH('Lorri 401b'!N1692,'Retirement Calculator'!A:A,0),0),0)</f>
        <v>0</v>
      </c>
      <c r="K1692" s="444">
        <f t="shared" ca="1" si="113"/>
        <v>-3711360.9042061213</v>
      </c>
      <c r="L1692" s="444">
        <f t="shared" ca="1" si="114"/>
        <v>-894437977.91367543</v>
      </c>
      <c r="M1692" s="460">
        <f t="shared" si="116"/>
        <v>0.05</v>
      </c>
      <c r="N1692" s="464">
        <f t="shared" si="117"/>
        <v>102544</v>
      </c>
    </row>
    <row r="1693" spans="7:14" ht="11.25" customHeight="1" x14ac:dyDescent="0.25">
      <c r="G1693" s="459"/>
      <c r="H1693" s="459">
        <v>1686</v>
      </c>
      <c r="I1693" s="444">
        <f t="shared" ca="1" si="115"/>
        <v>-894437977.91367543</v>
      </c>
      <c r="J1693" s="444">
        <f t="array" ref="J1693">IFERROR(INDEX('Retirement Calculator'!K:K,MATCH('Lorri 401b'!N1693,'Retirement Calculator'!A:A,0),0),0)</f>
        <v>0</v>
      </c>
      <c r="K1693" s="444">
        <f t="shared" ca="1" si="113"/>
        <v>-3726824.9079736476</v>
      </c>
      <c r="L1693" s="444">
        <f t="shared" ca="1" si="114"/>
        <v>-898164802.82164907</v>
      </c>
      <c r="M1693" s="460">
        <f t="shared" si="116"/>
        <v>0.05</v>
      </c>
      <c r="N1693" s="464">
        <f t="shared" si="117"/>
        <v>102575</v>
      </c>
    </row>
    <row r="1694" spans="7:14" ht="11.25" customHeight="1" x14ac:dyDescent="0.25">
      <c r="G1694" s="459"/>
      <c r="H1694" s="459">
        <v>1687</v>
      </c>
      <c r="I1694" s="444">
        <f t="shared" ca="1" si="115"/>
        <v>-898164802.82164907</v>
      </c>
      <c r="J1694" s="444">
        <f t="array" ref="J1694">IFERROR(INDEX('Retirement Calculator'!K:K,MATCH('Lorri 401b'!N1694,'Retirement Calculator'!A:A,0),0),0)</f>
        <v>0</v>
      </c>
      <c r="K1694" s="444">
        <f t="shared" ca="1" si="113"/>
        <v>-3742353.3450902044</v>
      </c>
      <c r="L1694" s="444">
        <f t="shared" ca="1" si="114"/>
        <v>-901907156.16673923</v>
      </c>
      <c r="M1694" s="460">
        <f t="shared" si="116"/>
        <v>0.05</v>
      </c>
      <c r="N1694" s="464">
        <f t="shared" si="117"/>
        <v>102605</v>
      </c>
    </row>
    <row r="1695" spans="7:14" ht="11.25" customHeight="1" x14ac:dyDescent="0.25">
      <c r="G1695" s="459"/>
      <c r="H1695" s="459">
        <v>1688</v>
      </c>
      <c r="I1695" s="444">
        <f t="shared" ca="1" si="115"/>
        <v>-901907156.16673923</v>
      </c>
      <c r="J1695" s="444">
        <f t="array" ref="J1695">IFERROR(INDEX('Retirement Calculator'!K:K,MATCH('Lorri 401b'!N1695,'Retirement Calculator'!A:A,0),0),0)</f>
        <v>0</v>
      </c>
      <c r="K1695" s="444">
        <f t="shared" ca="1" si="113"/>
        <v>-3757946.48402808</v>
      </c>
      <c r="L1695" s="444">
        <f t="shared" ca="1" si="114"/>
        <v>-905665102.65076733</v>
      </c>
      <c r="M1695" s="460">
        <f t="shared" si="116"/>
        <v>0.05</v>
      </c>
      <c r="N1695" s="464">
        <f t="shared" si="117"/>
        <v>102636</v>
      </c>
    </row>
    <row r="1696" spans="7:14" ht="11.25" customHeight="1" x14ac:dyDescent="0.25">
      <c r="G1696" s="459"/>
      <c r="H1696" s="459">
        <v>1689</v>
      </c>
      <c r="I1696" s="444">
        <f t="shared" ca="1" si="115"/>
        <v>-905665102.65076733</v>
      </c>
      <c r="J1696" s="444">
        <f t="array" ref="J1696">IFERROR(INDEX('Retirement Calculator'!K:K,MATCH('Lorri 401b'!N1696,'Retirement Calculator'!A:A,0),0),0)</f>
        <v>0</v>
      </c>
      <c r="K1696" s="444">
        <f t="shared" ca="1" si="113"/>
        <v>-3773604.5943781971</v>
      </c>
      <c r="L1696" s="444">
        <f t="shared" ca="1" si="114"/>
        <v>-909438707.24514556</v>
      </c>
      <c r="M1696" s="460">
        <f t="shared" si="116"/>
        <v>0.05</v>
      </c>
      <c r="N1696" s="464">
        <f t="shared" si="117"/>
        <v>102667</v>
      </c>
    </row>
    <row r="1697" spans="7:14" ht="11.25" customHeight="1" x14ac:dyDescent="0.25">
      <c r="G1697" s="459"/>
      <c r="H1697" s="459">
        <v>1690</v>
      </c>
      <c r="I1697" s="444">
        <f t="shared" ca="1" si="115"/>
        <v>-909438707.24514556</v>
      </c>
      <c r="J1697" s="444">
        <f t="array" ref="J1697">IFERROR(INDEX('Retirement Calculator'!K:K,MATCH('Lorri 401b'!N1697,'Retirement Calculator'!A:A,0),0),0)</f>
        <v>0</v>
      </c>
      <c r="K1697" s="444">
        <f t="shared" ca="1" si="113"/>
        <v>-3789327.9468547734</v>
      </c>
      <c r="L1697" s="444">
        <f t="shared" ca="1" si="114"/>
        <v>-913228035.19200039</v>
      </c>
      <c r="M1697" s="460">
        <f t="shared" si="116"/>
        <v>0.05</v>
      </c>
      <c r="N1697" s="464">
        <f t="shared" si="117"/>
        <v>102695</v>
      </c>
    </row>
    <row r="1698" spans="7:14" ht="11.25" customHeight="1" x14ac:dyDescent="0.25">
      <c r="G1698" s="459"/>
      <c r="H1698" s="459">
        <v>1691</v>
      </c>
      <c r="I1698" s="444">
        <f t="shared" ca="1" si="115"/>
        <v>-913228035.19200039</v>
      </c>
      <c r="J1698" s="444">
        <f t="array" ref="J1698">IFERROR(INDEX('Retirement Calculator'!K:K,MATCH('Lorri 401b'!N1698,'Retirement Calculator'!A:A,0),0),0)</f>
        <v>0</v>
      </c>
      <c r="K1698" s="444">
        <f t="shared" ca="1" si="113"/>
        <v>-3805116.8133000014</v>
      </c>
      <c r="L1698" s="444">
        <f t="shared" ca="1" si="114"/>
        <v>-917033152.0053004</v>
      </c>
      <c r="M1698" s="460">
        <f t="shared" si="116"/>
        <v>0.05</v>
      </c>
      <c r="N1698" s="464">
        <f t="shared" si="117"/>
        <v>102726</v>
      </c>
    </row>
    <row r="1699" spans="7:14" ht="11.25" customHeight="1" x14ac:dyDescent="0.25">
      <c r="G1699" s="459"/>
      <c r="H1699" s="459">
        <v>1692</v>
      </c>
      <c r="I1699" s="444">
        <f t="shared" ca="1" si="115"/>
        <v>-917033152.0053004</v>
      </c>
      <c r="J1699" s="444">
        <f t="array" ref="J1699">IFERROR(INDEX('Retirement Calculator'!K:K,MATCH('Lorri 401b'!N1699,'Retirement Calculator'!A:A,0),0),0)</f>
        <v>0</v>
      </c>
      <c r="K1699" s="444">
        <f t="shared" ca="1" si="113"/>
        <v>-3820971.4666887517</v>
      </c>
      <c r="L1699" s="444">
        <f t="shared" ca="1" si="114"/>
        <v>-920854123.47198915</v>
      </c>
      <c r="M1699" s="460">
        <f t="shared" si="116"/>
        <v>0.05</v>
      </c>
      <c r="N1699" s="464">
        <f t="shared" si="117"/>
        <v>102756</v>
      </c>
    </row>
    <row r="1700" spans="7:14" ht="11.25" customHeight="1" x14ac:dyDescent="0.25">
      <c r="G1700" s="459"/>
      <c r="H1700" s="459">
        <v>1693</v>
      </c>
      <c r="I1700" s="444">
        <f t="shared" ca="1" si="115"/>
        <v>-920854123.47198915</v>
      </c>
      <c r="J1700" s="444">
        <f t="array" ref="J1700">IFERROR(INDEX('Retirement Calculator'!K:K,MATCH('Lorri 401b'!N1700,'Retirement Calculator'!A:A,0),0),0)</f>
        <v>0</v>
      </c>
      <c r="K1700" s="444">
        <f t="shared" ca="1" si="113"/>
        <v>-3836892.181133288</v>
      </c>
      <c r="L1700" s="444">
        <f t="shared" ca="1" si="114"/>
        <v>-924691015.65312243</v>
      </c>
      <c r="M1700" s="460">
        <f t="shared" si="116"/>
        <v>0.05</v>
      </c>
      <c r="N1700" s="464">
        <f t="shared" si="117"/>
        <v>102787</v>
      </c>
    </row>
    <row r="1701" spans="7:14" ht="11.25" customHeight="1" x14ac:dyDescent="0.25">
      <c r="G1701" s="459"/>
      <c r="H1701" s="459">
        <v>1694</v>
      </c>
      <c r="I1701" s="444">
        <f t="shared" ca="1" si="115"/>
        <v>-924691015.65312243</v>
      </c>
      <c r="J1701" s="444">
        <f t="array" ref="J1701">IFERROR(INDEX('Retirement Calculator'!K:K,MATCH('Lorri 401b'!N1701,'Retirement Calculator'!A:A,0),0),0)</f>
        <v>0</v>
      </c>
      <c r="K1701" s="444">
        <f t="shared" ca="1" si="113"/>
        <v>-3852879.2318880102</v>
      </c>
      <c r="L1701" s="444">
        <f t="shared" ca="1" si="114"/>
        <v>-928543894.88501048</v>
      </c>
      <c r="M1701" s="460">
        <f t="shared" si="116"/>
        <v>0.05</v>
      </c>
      <c r="N1701" s="464">
        <f t="shared" si="117"/>
        <v>102817</v>
      </c>
    </row>
    <row r="1702" spans="7:14" ht="11.25" customHeight="1" x14ac:dyDescent="0.25">
      <c r="G1702" s="459"/>
      <c r="H1702" s="459">
        <v>1695</v>
      </c>
      <c r="I1702" s="444">
        <f t="shared" ca="1" si="115"/>
        <v>-928543894.88501048</v>
      </c>
      <c r="J1702" s="444">
        <f t="array" ref="J1702">IFERROR(INDEX('Retirement Calculator'!K:K,MATCH('Lorri 401b'!N1702,'Retirement Calculator'!A:A,0),0),0)</f>
        <v>0</v>
      </c>
      <c r="K1702" s="444">
        <f t="shared" ca="1" si="113"/>
        <v>-3868932.8953542104</v>
      </c>
      <c r="L1702" s="444">
        <f t="shared" ca="1" si="114"/>
        <v>-932412827.78036463</v>
      </c>
      <c r="M1702" s="460">
        <f t="shared" si="116"/>
        <v>0.05</v>
      </c>
      <c r="N1702" s="464">
        <f t="shared" si="117"/>
        <v>102848</v>
      </c>
    </row>
    <row r="1703" spans="7:14" ht="11.25" customHeight="1" x14ac:dyDescent="0.25">
      <c r="G1703" s="459"/>
      <c r="H1703" s="459">
        <v>1696</v>
      </c>
      <c r="I1703" s="444">
        <f t="shared" ca="1" si="115"/>
        <v>-932412827.78036463</v>
      </c>
      <c r="J1703" s="444">
        <f t="array" ref="J1703">IFERROR(INDEX('Retirement Calculator'!K:K,MATCH('Lorri 401b'!N1703,'Retirement Calculator'!A:A,0),0),0)</f>
        <v>0</v>
      </c>
      <c r="K1703" s="444">
        <f t="shared" ca="1" si="113"/>
        <v>-3885053.4490848524</v>
      </c>
      <c r="L1703" s="444">
        <f t="shared" ca="1" si="114"/>
        <v>-936297881.22944951</v>
      </c>
      <c r="M1703" s="460">
        <f t="shared" si="116"/>
        <v>0.05</v>
      </c>
      <c r="N1703" s="464">
        <f t="shared" si="117"/>
        <v>102879</v>
      </c>
    </row>
    <row r="1704" spans="7:14" ht="11.25" customHeight="1" x14ac:dyDescent="0.25">
      <c r="G1704" s="459"/>
      <c r="H1704" s="459">
        <v>1697</v>
      </c>
      <c r="I1704" s="444">
        <f t="shared" ca="1" si="115"/>
        <v>-936297881.22944951</v>
      </c>
      <c r="J1704" s="444">
        <f t="array" ref="J1704">IFERROR(INDEX('Retirement Calculator'!K:K,MATCH('Lorri 401b'!N1704,'Retirement Calculator'!A:A,0),0),0)</f>
        <v>0</v>
      </c>
      <c r="K1704" s="444">
        <f t="shared" ca="1" si="113"/>
        <v>-3901241.1717893728</v>
      </c>
      <c r="L1704" s="444">
        <f t="shared" ca="1" si="114"/>
        <v>-940199122.40123892</v>
      </c>
      <c r="M1704" s="460">
        <f t="shared" si="116"/>
        <v>0.05</v>
      </c>
      <c r="N1704" s="464">
        <f t="shared" si="117"/>
        <v>102909</v>
      </c>
    </row>
    <row r="1705" spans="7:14" ht="11.25" customHeight="1" x14ac:dyDescent="0.25">
      <c r="G1705" s="459"/>
      <c r="H1705" s="459">
        <v>1698</v>
      </c>
      <c r="I1705" s="444">
        <f t="shared" ca="1" si="115"/>
        <v>-940199122.40123892</v>
      </c>
      <c r="J1705" s="444">
        <f t="array" ref="J1705">IFERROR(INDEX('Retirement Calculator'!K:K,MATCH('Lorri 401b'!N1705,'Retirement Calculator'!A:A,0),0),0)</f>
        <v>0</v>
      </c>
      <c r="K1705" s="444">
        <f t="shared" ca="1" si="113"/>
        <v>-3917496.3433384956</v>
      </c>
      <c r="L1705" s="444">
        <f t="shared" ca="1" si="114"/>
        <v>-944116618.74457741</v>
      </c>
      <c r="M1705" s="460">
        <f t="shared" si="116"/>
        <v>0.05</v>
      </c>
      <c r="N1705" s="464">
        <f t="shared" si="117"/>
        <v>102940</v>
      </c>
    </row>
    <row r="1706" spans="7:14" ht="11.25" customHeight="1" x14ac:dyDescent="0.25">
      <c r="G1706" s="459"/>
      <c r="H1706" s="459">
        <v>1699</v>
      </c>
      <c r="I1706" s="444">
        <f t="shared" ca="1" si="115"/>
        <v>-944116618.74457741</v>
      </c>
      <c r="J1706" s="444">
        <f t="array" ref="J1706">IFERROR(INDEX('Retirement Calculator'!K:K,MATCH('Lorri 401b'!N1706,'Retirement Calculator'!A:A,0),0),0)</f>
        <v>0</v>
      </c>
      <c r="K1706" s="444">
        <f t="shared" ca="1" si="113"/>
        <v>-3933819.2447690726</v>
      </c>
      <c r="L1706" s="444">
        <f t="shared" ca="1" si="114"/>
        <v>-948050437.9893465</v>
      </c>
      <c r="M1706" s="460">
        <f t="shared" si="116"/>
        <v>0.05</v>
      </c>
      <c r="N1706" s="464">
        <f t="shared" si="117"/>
        <v>102970</v>
      </c>
    </row>
    <row r="1707" spans="7:14" ht="11.25" customHeight="1" x14ac:dyDescent="0.25">
      <c r="G1707" s="459"/>
      <c r="H1707" s="459">
        <v>1700</v>
      </c>
      <c r="I1707" s="444">
        <f t="shared" ca="1" si="115"/>
        <v>-948050437.9893465</v>
      </c>
      <c r="J1707" s="444">
        <f t="array" ref="J1707">IFERROR(INDEX('Retirement Calculator'!K:K,MATCH('Lorri 401b'!N1707,'Retirement Calculator'!A:A,0),0),0)</f>
        <v>0</v>
      </c>
      <c r="K1707" s="444">
        <f t="shared" ca="1" si="113"/>
        <v>-3950210.1582889431</v>
      </c>
      <c r="L1707" s="444">
        <f t="shared" ca="1" si="114"/>
        <v>-952000648.14763546</v>
      </c>
      <c r="M1707" s="460">
        <f t="shared" si="116"/>
        <v>0.05</v>
      </c>
      <c r="N1707" s="464">
        <f t="shared" si="117"/>
        <v>103001</v>
      </c>
    </row>
    <row r="1708" spans="7:14" ht="11.25" customHeight="1" x14ac:dyDescent="0.25">
      <c r="G1708" s="459"/>
      <c r="H1708" s="459">
        <v>1701</v>
      </c>
      <c r="I1708" s="444">
        <f t="shared" ca="1" si="115"/>
        <v>-952000648.14763546</v>
      </c>
      <c r="J1708" s="444">
        <f t="array" ref="J1708">IFERROR(INDEX('Retirement Calculator'!K:K,MATCH('Lorri 401b'!N1708,'Retirement Calculator'!A:A,0),0),0)</f>
        <v>0</v>
      </c>
      <c r="K1708" s="444">
        <f t="shared" ca="1" si="113"/>
        <v>-3966669.367281815</v>
      </c>
      <c r="L1708" s="444">
        <f t="shared" ca="1" si="114"/>
        <v>-955967317.51491725</v>
      </c>
      <c r="M1708" s="460">
        <f t="shared" si="116"/>
        <v>0.05</v>
      </c>
      <c r="N1708" s="464">
        <f t="shared" si="117"/>
        <v>103032</v>
      </c>
    </row>
    <row r="1709" spans="7:14" ht="11.25" customHeight="1" x14ac:dyDescent="0.25">
      <c r="G1709" s="459"/>
      <c r="H1709" s="459">
        <v>1702</v>
      </c>
      <c r="I1709" s="444">
        <f t="shared" ca="1" si="115"/>
        <v>-955967317.51491725</v>
      </c>
      <c r="J1709" s="444">
        <f t="array" ref="J1709">IFERROR(INDEX('Retirement Calculator'!K:K,MATCH('Lorri 401b'!N1709,'Retirement Calculator'!A:A,0),0),0)</f>
        <v>0</v>
      </c>
      <c r="K1709" s="444">
        <f t="shared" ca="1" si="113"/>
        <v>-3983197.1563121555</v>
      </c>
      <c r="L1709" s="444">
        <f t="shared" ca="1" si="114"/>
        <v>-959950514.67122936</v>
      </c>
      <c r="M1709" s="460">
        <f t="shared" si="116"/>
        <v>0.05</v>
      </c>
      <c r="N1709" s="464">
        <f t="shared" si="117"/>
        <v>103060</v>
      </c>
    </row>
    <row r="1710" spans="7:14" ht="11.25" customHeight="1" x14ac:dyDescent="0.25">
      <c r="G1710" s="459"/>
      <c r="H1710" s="459">
        <v>1703</v>
      </c>
      <c r="I1710" s="444">
        <f t="shared" ca="1" si="115"/>
        <v>-959950514.67122936</v>
      </c>
      <c r="J1710" s="444">
        <f t="array" ref="J1710">IFERROR(INDEX('Retirement Calculator'!K:K,MATCH('Lorri 401b'!N1710,'Retirement Calculator'!A:A,0),0),0)</f>
        <v>0</v>
      </c>
      <c r="K1710" s="444">
        <f t="shared" ca="1" si="113"/>
        <v>-3999793.8111301223</v>
      </c>
      <c r="L1710" s="444">
        <f t="shared" ca="1" si="114"/>
        <v>-963950308.48235953</v>
      </c>
      <c r="M1710" s="460">
        <f t="shared" si="116"/>
        <v>0.05</v>
      </c>
      <c r="N1710" s="464">
        <f t="shared" si="117"/>
        <v>103091</v>
      </c>
    </row>
    <row r="1711" spans="7:14" ht="11.25" customHeight="1" x14ac:dyDescent="0.25">
      <c r="G1711" s="459"/>
      <c r="H1711" s="459">
        <v>1704</v>
      </c>
      <c r="I1711" s="444">
        <f t="shared" ca="1" si="115"/>
        <v>-963950308.48235953</v>
      </c>
      <c r="J1711" s="444">
        <f t="array" ref="J1711">IFERROR(INDEX('Retirement Calculator'!K:K,MATCH('Lorri 401b'!N1711,'Retirement Calculator'!A:A,0),0),0)</f>
        <v>0</v>
      </c>
      <c r="K1711" s="444">
        <f t="shared" ca="1" si="113"/>
        <v>-4016459.6186764981</v>
      </c>
      <c r="L1711" s="444">
        <f t="shared" ca="1" si="114"/>
        <v>-967966768.10103607</v>
      </c>
      <c r="M1711" s="460">
        <f t="shared" si="116"/>
        <v>0.05</v>
      </c>
      <c r="N1711" s="464">
        <f t="shared" si="117"/>
        <v>103121</v>
      </c>
    </row>
    <row r="1712" spans="7:14" ht="11.25" customHeight="1" x14ac:dyDescent="0.25">
      <c r="G1712" s="459"/>
      <c r="H1712" s="459">
        <v>1705</v>
      </c>
      <c r="I1712" s="444">
        <f t="shared" ca="1" si="115"/>
        <v>-967966768.10103607</v>
      </c>
      <c r="J1712" s="444">
        <f t="array" ref="J1712">IFERROR(INDEX('Retirement Calculator'!K:K,MATCH('Lorri 401b'!N1712,'Retirement Calculator'!A:A,0),0),0)</f>
        <v>0</v>
      </c>
      <c r="K1712" s="444">
        <f t="shared" ca="1" si="113"/>
        <v>-4033194.8670876501</v>
      </c>
      <c r="L1712" s="444">
        <f t="shared" ca="1" si="114"/>
        <v>-971999962.96812367</v>
      </c>
      <c r="M1712" s="460">
        <f t="shared" si="116"/>
        <v>0.05</v>
      </c>
      <c r="N1712" s="464">
        <f t="shared" si="117"/>
        <v>103152</v>
      </c>
    </row>
    <row r="1713" spans="7:14" ht="11.25" customHeight="1" x14ac:dyDescent="0.25">
      <c r="G1713" s="459"/>
      <c r="H1713" s="459">
        <v>1706</v>
      </c>
      <c r="I1713" s="444">
        <f t="shared" ca="1" si="115"/>
        <v>-971999962.96812367</v>
      </c>
      <c r="J1713" s="444">
        <f t="array" ref="J1713">IFERROR(INDEX('Retirement Calculator'!K:K,MATCH('Lorri 401b'!N1713,'Retirement Calculator'!A:A,0),0),0)</f>
        <v>0</v>
      </c>
      <c r="K1713" s="444">
        <f t="shared" ca="1" si="113"/>
        <v>-4049999.845700515</v>
      </c>
      <c r="L1713" s="444">
        <f t="shared" ca="1" si="114"/>
        <v>-976049962.81382418</v>
      </c>
      <c r="M1713" s="460">
        <f t="shared" si="116"/>
        <v>0.05</v>
      </c>
      <c r="N1713" s="464">
        <f t="shared" si="117"/>
        <v>103182</v>
      </c>
    </row>
    <row r="1714" spans="7:14" ht="11.25" customHeight="1" x14ac:dyDescent="0.25">
      <c r="G1714" s="459"/>
      <c r="H1714" s="459">
        <v>1707</v>
      </c>
      <c r="I1714" s="444">
        <f t="shared" ca="1" si="115"/>
        <v>-976049962.81382418</v>
      </c>
      <c r="J1714" s="444">
        <f t="array" ref="J1714">IFERROR(INDEX('Retirement Calculator'!K:K,MATCH('Lorri 401b'!N1714,'Retirement Calculator'!A:A,0),0),0)</f>
        <v>0</v>
      </c>
      <c r="K1714" s="444">
        <f t="shared" ca="1" si="113"/>
        <v>-4066874.8450576006</v>
      </c>
      <c r="L1714" s="444">
        <f t="shared" ca="1" si="114"/>
        <v>-980116837.65888178</v>
      </c>
      <c r="M1714" s="460">
        <f t="shared" si="116"/>
        <v>0.05</v>
      </c>
      <c r="N1714" s="464">
        <f t="shared" si="117"/>
        <v>103213</v>
      </c>
    </row>
    <row r="1715" spans="7:14" ht="11.25" customHeight="1" x14ac:dyDescent="0.25">
      <c r="G1715" s="459"/>
      <c r="H1715" s="459">
        <v>1708</v>
      </c>
      <c r="I1715" s="444">
        <f t="shared" ca="1" si="115"/>
        <v>-980116837.65888178</v>
      </c>
      <c r="J1715" s="444">
        <f t="array" ref="J1715">IFERROR(INDEX('Retirement Calculator'!K:K,MATCH('Lorri 401b'!N1715,'Retirement Calculator'!A:A,0),0),0)</f>
        <v>0</v>
      </c>
      <c r="K1715" s="444">
        <f t="shared" ca="1" si="113"/>
        <v>-4083820.1569120074</v>
      </c>
      <c r="L1715" s="444">
        <f t="shared" ca="1" si="114"/>
        <v>-984200657.81579375</v>
      </c>
      <c r="M1715" s="460">
        <f t="shared" si="116"/>
        <v>0.05</v>
      </c>
      <c r="N1715" s="464">
        <f t="shared" si="117"/>
        <v>103244</v>
      </c>
    </row>
    <row r="1716" spans="7:14" ht="11.25" customHeight="1" x14ac:dyDescent="0.25">
      <c r="G1716" s="459"/>
      <c r="H1716" s="459">
        <v>1709</v>
      </c>
      <c r="I1716" s="444">
        <f t="shared" ca="1" si="115"/>
        <v>-984200657.81579375</v>
      </c>
      <c r="J1716" s="444">
        <f t="array" ref="J1716">IFERROR(INDEX('Retirement Calculator'!K:K,MATCH('Lorri 401b'!N1716,'Retirement Calculator'!A:A,0),0),0)</f>
        <v>0</v>
      </c>
      <c r="K1716" s="444">
        <f t="shared" ca="1" si="113"/>
        <v>-4100836.074232474</v>
      </c>
      <c r="L1716" s="444">
        <f t="shared" ca="1" si="114"/>
        <v>-988301493.89002621</v>
      </c>
      <c r="M1716" s="460">
        <f t="shared" si="116"/>
        <v>0.05</v>
      </c>
      <c r="N1716" s="464">
        <f t="shared" si="117"/>
        <v>103274</v>
      </c>
    </row>
    <row r="1717" spans="7:14" ht="11.25" customHeight="1" x14ac:dyDescent="0.25">
      <c r="G1717" s="459"/>
      <c r="H1717" s="459">
        <v>1710</v>
      </c>
      <c r="I1717" s="444">
        <f t="shared" ca="1" si="115"/>
        <v>-988301493.89002621</v>
      </c>
      <c r="J1717" s="444">
        <f t="array" ref="J1717">IFERROR(INDEX('Retirement Calculator'!K:K,MATCH('Lorri 401b'!N1717,'Retirement Calculator'!A:A,0),0),0)</f>
        <v>0</v>
      </c>
      <c r="K1717" s="444">
        <f t="shared" ca="1" si="113"/>
        <v>-4117922.8912084424</v>
      </c>
      <c r="L1717" s="444">
        <f t="shared" ca="1" si="114"/>
        <v>-992419416.78123462</v>
      </c>
      <c r="M1717" s="460">
        <f t="shared" si="116"/>
        <v>0.05</v>
      </c>
      <c r="N1717" s="464">
        <f t="shared" si="117"/>
        <v>103305</v>
      </c>
    </row>
    <row r="1718" spans="7:14" ht="11.25" customHeight="1" x14ac:dyDescent="0.25">
      <c r="G1718" s="459"/>
      <c r="H1718" s="459">
        <v>1711</v>
      </c>
      <c r="I1718" s="444">
        <f t="shared" ca="1" si="115"/>
        <v>-992419416.78123462</v>
      </c>
      <c r="J1718" s="444">
        <f t="array" ref="J1718">IFERROR(INDEX('Retirement Calculator'!K:K,MATCH('Lorri 401b'!N1718,'Retirement Calculator'!A:A,0),0),0)</f>
        <v>0</v>
      </c>
      <c r="K1718" s="444">
        <f t="shared" ca="1" si="113"/>
        <v>-4135080.9032551441</v>
      </c>
      <c r="L1718" s="444">
        <f t="shared" ca="1" si="114"/>
        <v>-996554497.68448973</v>
      </c>
      <c r="M1718" s="460">
        <f t="shared" si="116"/>
        <v>0.05</v>
      </c>
      <c r="N1718" s="464">
        <f t="shared" si="117"/>
        <v>103335</v>
      </c>
    </row>
    <row r="1719" spans="7:14" ht="11.25" customHeight="1" x14ac:dyDescent="0.25">
      <c r="G1719" s="459"/>
      <c r="H1719" s="459">
        <v>1712</v>
      </c>
      <c r="I1719" s="444">
        <f t="shared" ca="1" si="115"/>
        <v>-996554497.68448973</v>
      </c>
      <c r="J1719" s="444">
        <f t="array" ref="J1719">IFERROR(INDEX('Retirement Calculator'!K:K,MATCH('Lorri 401b'!N1719,'Retirement Calculator'!A:A,0),0),0)</f>
        <v>0</v>
      </c>
      <c r="K1719" s="444">
        <f t="shared" ca="1" si="113"/>
        <v>-4152310.4070187076</v>
      </c>
      <c r="L1719" s="444">
        <f t="shared" ca="1" si="114"/>
        <v>-1000706808.0915084</v>
      </c>
      <c r="M1719" s="460">
        <f t="shared" si="116"/>
        <v>0.05</v>
      </c>
      <c r="N1719" s="464">
        <f t="shared" si="117"/>
        <v>103366</v>
      </c>
    </row>
    <row r="1720" spans="7:14" ht="11.25" customHeight="1" x14ac:dyDescent="0.25">
      <c r="G1720" s="459"/>
      <c r="H1720" s="459">
        <v>1713</v>
      </c>
      <c r="I1720" s="444">
        <f t="shared" ca="1" si="115"/>
        <v>-1000706808.0915084</v>
      </c>
      <c r="J1720" s="444">
        <f t="array" ref="J1720">IFERROR(INDEX('Retirement Calculator'!K:K,MATCH('Lorri 401b'!N1720,'Retirement Calculator'!A:A,0),0),0)</f>
        <v>0</v>
      </c>
      <c r="K1720" s="444">
        <f t="shared" ca="1" si="113"/>
        <v>-4169611.700381285</v>
      </c>
      <c r="L1720" s="444">
        <f t="shared" ca="1" si="114"/>
        <v>-1004876419.7918897</v>
      </c>
      <c r="M1720" s="460">
        <f t="shared" si="116"/>
        <v>0.05</v>
      </c>
      <c r="N1720" s="464">
        <f t="shared" si="117"/>
        <v>103397</v>
      </c>
    </row>
    <row r="1721" spans="7:14" ht="11.25" customHeight="1" x14ac:dyDescent="0.25">
      <c r="G1721" s="459"/>
      <c r="H1721" s="459">
        <v>1714</v>
      </c>
      <c r="I1721" s="444">
        <f t="shared" ca="1" si="115"/>
        <v>-1004876419.7918897</v>
      </c>
      <c r="J1721" s="444">
        <f t="array" ref="J1721">IFERROR(INDEX('Retirement Calculator'!K:K,MATCH('Lorri 401b'!N1721,'Retirement Calculator'!A:A,0),0),0)</f>
        <v>0</v>
      </c>
      <c r="K1721" s="444">
        <f t="shared" ca="1" si="113"/>
        <v>-4186985.082466207</v>
      </c>
      <c r="L1721" s="444">
        <f t="shared" ca="1" si="114"/>
        <v>-1009063404.8743559</v>
      </c>
      <c r="M1721" s="460">
        <f t="shared" si="116"/>
        <v>0.05</v>
      </c>
      <c r="N1721" s="464">
        <f t="shared" si="117"/>
        <v>103425</v>
      </c>
    </row>
    <row r="1722" spans="7:14" ht="11.25" customHeight="1" x14ac:dyDescent="0.25">
      <c r="G1722" s="459"/>
      <c r="H1722" s="459">
        <v>1715</v>
      </c>
      <c r="I1722" s="444">
        <f t="shared" ca="1" si="115"/>
        <v>-1009063404.8743559</v>
      </c>
      <c r="J1722" s="444">
        <f t="array" ref="J1722">IFERROR(INDEX('Retirement Calculator'!K:K,MATCH('Lorri 401b'!N1722,'Retirement Calculator'!A:A,0),0),0)</f>
        <v>0</v>
      </c>
      <c r="K1722" s="444">
        <f t="shared" ca="1" si="113"/>
        <v>-4204430.8536431491</v>
      </c>
      <c r="L1722" s="444">
        <f t="shared" ca="1" si="114"/>
        <v>-1013267835.7279991</v>
      </c>
      <c r="M1722" s="460">
        <f t="shared" si="116"/>
        <v>0.05</v>
      </c>
      <c r="N1722" s="464">
        <f t="shared" si="117"/>
        <v>103456</v>
      </c>
    </row>
    <row r="1723" spans="7:14" ht="11.25" customHeight="1" x14ac:dyDescent="0.25">
      <c r="G1723" s="459"/>
      <c r="H1723" s="459">
        <v>1716</v>
      </c>
      <c r="I1723" s="444">
        <f t="shared" ca="1" si="115"/>
        <v>-1013267835.7279991</v>
      </c>
      <c r="J1723" s="444">
        <f t="array" ref="J1723">IFERROR(INDEX('Retirement Calculator'!K:K,MATCH('Lorri 401b'!N1723,'Retirement Calculator'!A:A,0),0),0)</f>
        <v>0</v>
      </c>
      <c r="K1723" s="444">
        <f t="shared" ca="1" si="113"/>
        <v>-4221949.3155333297</v>
      </c>
      <c r="L1723" s="444">
        <f t="shared" ca="1" si="114"/>
        <v>-1017489785.0435324</v>
      </c>
      <c r="M1723" s="460">
        <f t="shared" si="116"/>
        <v>0.05</v>
      </c>
      <c r="N1723" s="464">
        <f t="shared" si="117"/>
        <v>103486</v>
      </c>
    </row>
    <row r="1724" spans="7:14" ht="11.25" customHeight="1" x14ac:dyDescent="0.25">
      <c r="G1724" s="459"/>
      <c r="H1724" s="459">
        <v>1717</v>
      </c>
      <c r="I1724" s="444">
        <f t="shared" ca="1" si="115"/>
        <v>-1017489785.0435324</v>
      </c>
      <c r="J1724" s="444">
        <f t="array" ref="J1724">IFERROR(INDEX('Retirement Calculator'!K:K,MATCH('Lorri 401b'!N1724,'Retirement Calculator'!A:A,0),0),0)</f>
        <v>0</v>
      </c>
      <c r="K1724" s="444">
        <f t="shared" ca="1" si="113"/>
        <v>-4239540.7710147183</v>
      </c>
      <c r="L1724" s="444">
        <f t="shared" ca="1" si="114"/>
        <v>-1021729325.8145471</v>
      </c>
      <c r="M1724" s="460">
        <f t="shared" si="116"/>
        <v>0.05</v>
      </c>
      <c r="N1724" s="464">
        <f t="shared" si="117"/>
        <v>103517</v>
      </c>
    </row>
    <row r="1725" spans="7:14" ht="11.25" customHeight="1" x14ac:dyDescent="0.25">
      <c r="G1725" s="459"/>
      <c r="H1725" s="459">
        <v>1718</v>
      </c>
      <c r="I1725" s="444">
        <f t="shared" ca="1" si="115"/>
        <v>-1021729325.8145471</v>
      </c>
      <c r="J1725" s="444">
        <f t="array" ref="J1725">IFERROR(INDEX('Retirement Calculator'!K:K,MATCH('Lorri 401b'!N1725,'Retirement Calculator'!A:A,0),0),0)</f>
        <v>0</v>
      </c>
      <c r="K1725" s="444">
        <f t="shared" ca="1" si="113"/>
        <v>-4257205.5242272792</v>
      </c>
      <c r="L1725" s="444">
        <f t="shared" ca="1" si="114"/>
        <v>-1025986531.3387743</v>
      </c>
      <c r="M1725" s="460">
        <f t="shared" si="116"/>
        <v>0.05</v>
      </c>
      <c r="N1725" s="464">
        <f t="shared" si="117"/>
        <v>103547</v>
      </c>
    </row>
    <row r="1726" spans="7:14" ht="11.25" customHeight="1" x14ac:dyDescent="0.25">
      <c r="G1726" s="459"/>
      <c r="H1726" s="459">
        <v>1719</v>
      </c>
      <c r="I1726" s="444">
        <f t="shared" ca="1" si="115"/>
        <v>-1025986531.3387743</v>
      </c>
      <c r="J1726" s="444">
        <f t="array" ref="J1726">IFERROR(INDEX('Retirement Calculator'!K:K,MATCH('Lorri 401b'!N1726,'Retirement Calculator'!A:A,0),0),0)</f>
        <v>0</v>
      </c>
      <c r="K1726" s="444">
        <f t="shared" ca="1" si="113"/>
        <v>-4274943.8805782264</v>
      </c>
      <c r="L1726" s="444">
        <f t="shared" ca="1" si="114"/>
        <v>-1030261475.2193526</v>
      </c>
      <c r="M1726" s="460">
        <f t="shared" si="116"/>
        <v>0.05</v>
      </c>
      <c r="N1726" s="464">
        <f t="shared" si="117"/>
        <v>103578</v>
      </c>
    </row>
    <row r="1727" spans="7:14" ht="11.25" customHeight="1" x14ac:dyDescent="0.25">
      <c r="G1727" s="459"/>
      <c r="H1727" s="459">
        <v>1720</v>
      </c>
      <c r="I1727" s="444">
        <f t="shared" ca="1" si="115"/>
        <v>-1030261475.2193526</v>
      </c>
      <c r="J1727" s="444">
        <f t="array" ref="J1727">IFERROR(INDEX('Retirement Calculator'!K:K,MATCH('Lorri 401b'!N1727,'Retirement Calculator'!A:A,0),0),0)</f>
        <v>0</v>
      </c>
      <c r="K1727" s="444">
        <f t="shared" ca="1" si="113"/>
        <v>-4292756.1467473023</v>
      </c>
      <c r="L1727" s="444">
        <f t="shared" ca="1" si="114"/>
        <v>-1034554231.3661</v>
      </c>
      <c r="M1727" s="460">
        <f t="shared" si="116"/>
        <v>0.05</v>
      </c>
      <c r="N1727" s="464">
        <f t="shared" si="117"/>
        <v>103609</v>
      </c>
    </row>
    <row r="1728" spans="7:14" ht="11.25" customHeight="1" x14ac:dyDescent="0.25">
      <c r="G1728" s="459"/>
      <c r="H1728" s="459">
        <v>1721</v>
      </c>
      <c r="I1728" s="444">
        <f t="shared" ca="1" si="115"/>
        <v>-1034554231.3661</v>
      </c>
      <c r="J1728" s="444">
        <f t="array" ref="J1728">IFERROR(INDEX('Retirement Calculator'!K:K,MATCH('Lorri 401b'!N1728,'Retirement Calculator'!A:A,0),0),0)</f>
        <v>0</v>
      </c>
      <c r="K1728" s="444">
        <f t="shared" ca="1" si="113"/>
        <v>-4310642.6306920834</v>
      </c>
      <c r="L1728" s="444">
        <f t="shared" ca="1" si="114"/>
        <v>-1038864873.9967921</v>
      </c>
      <c r="M1728" s="460">
        <f t="shared" si="116"/>
        <v>0.05</v>
      </c>
      <c r="N1728" s="464">
        <f t="shared" si="117"/>
        <v>103639</v>
      </c>
    </row>
    <row r="1729" spans="7:14" ht="11.25" customHeight="1" x14ac:dyDescent="0.25">
      <c r="G1729" s="459"/>
      <c r="H1729" s="459">
        <v>1722</v>
      </c>
      <c r="I1729" s="444">
        <f t="shared" ca="1" si="115"/>
        <v>-1038864873.9967921</v>
      </c>
      <c r="J1729" s="444">
        <f t="array" ref="J1729">IFERROR(INDEX('Retirement Calculator'!K:K,MATCH('Lorri 401b'!N1729,'Retirement Calculator'!A:A,0),0),0)</f>
        <v>0</v>
      </c>
      <c r="K1729" s="444">
        <f t="shared" ca="1" si="113"/>
        <v>-4328603.6416533003</v>
      </c>
      <c r="L1729" s="444">
        <f t="shared" ca="1" si="114"/>
        <v>-1043193477.6384454</v>
      </c>
      <c r="M1729" s="460">
        <f t="shared" si="116"/>
        <v>0.05</v>
      </c>
      <c r="N1729" s="464">
        <f t="shared" si="117"/>
        <v>103670</v>
      </c>
    </row>
    <row r="1730" spans="7:14" ht="11.25" customHeight="1" x14ac:dyDescent="0.25">
      <c r="G1730" s="459"/>
      <c r="H1730" s="459">
        <v>1723</v>
      </c>
      <c r="I1730" s="444">
        <f t="shared" ca="1" si="115"/>
        <v>-1043193477.6384454</v>
      </c>
      <c r="J1730" s="444">
        <f t="array" ref="J1730">IFERROR(INDEX('Retirement Calculator'!K:K,MATCH('Lorri 401b'!N1730,'Retirement Calculator'!A:A,0),0),0)</f>
        <v>0</v>
      </c>
      <c r="K1730" s="444">
        <f t="shared" ca="1" si="113"/>
        <v>-4346639.4901601896</v>
      </c>
      <c r="L1730" s="444">
        <f t="shared" ca="1" si="114"/>
        <v>-1047540117.1286056</v>
      </c>
      <c r="M1730" s="460">
        <f t="shared" si="116"/>
        <v>0.05</v>
      </c>
      <c r="N1730" s="464">
        <f t="shared" si="117"/>
        <v>103700</v>
      </c>
    </row>
    <row r="1731" spans="7:14" ht="11.25" customHeight="1" x14ac:dyDescent="0.25">
      <c r="G1731" s="459"/>
      <c r="H1731" s="459">
        <v>1724</v>
      </c>
      <c r="I1731" s="444">
        <f t="shared" ca="1" si="115"/>
        <v>-1047540117.1286056</v>
      </c>
      <c r="J1731" s="444">
        <f t="array" ref="J1731">IFERROR(INDEX('Retirement Calculator'!K:K,MATCH('Lorri 401b'!N1731,'Retirement Calculator'!A:A,0),0),0)</f>
        <v>0</v>
      </c>
      <c r="K1731" s="444">
        <f t="shared" ca="1" si="113"/>
        <v>-4364750.4880358567</v>
      </c>
      <c r="L1731" s="444">
        <f t="shared" ca="1" si="114"/>
        <v>-1051904867.6166414</v>
      </c>
      <c r="M1731" s="460">
        <f t="shared" si="116"/>
        <v>0.05</v>
      </c>
      <c r="N1731" s="464">
        <f t="shared" si="117"/>
        <v>103731</v>
      </c>
    </row>
    <row r="1732" spans="7:14" ht="11.25" customHeight="1" x14ac:dyDescent="0.25">
      <c r="G1732" s="459"/>
      <c r="H1732" s="459">
        <v>1725</v>
      </c>
      <c r="I1732" s="444">
        <f t="shared" ca="1" si="115"/>
        <v>-1051904867.6166414</v>
      </c>
      <c r="J1732" s="444">
        <f t="array" ref="J1732">IFERROR(INDEX('Retirement Calculator'!K:K,MATCH('Lorri 401b'!N1732,'Retirement Calculator'!A:A,0),0),0)</f>
        <v>0</v>
      </c>
      <c r="K1732" s="444">
        <f t="shared" ca="1" si="113"/>
        <v>-4382936.9484026721</v>
      </c>
      <c r="L1732" s="444">
        <f t="shared" ca="1" si="114"/>
        <v>-1056287804.565044</v>
      </c>
      <c r="M1732" s="460">
        <f t="shared" si="116"/>
        <v>0.05</v>
      </c>
      <c r="N1732" s="464">
        <f t="shared" si="117"/>
        <v>103762</v>
      </c>
    </row>
    <row r="1733" spans="7:14" ht="11.25" customHeight="1" x14ac:dyDescent="0.25">
      <c r="G1733" s="459"/>
      <c r="H1733" s="459">
        <v>1726</v>
      </c>
      <c r="I1733" s="444">
        <f t="shared" ca="1" si="115"/>
        <v>-1056287804.565044</v>
      </c>
      <c r="J1733" s="444">
        <f t="array" ref="J1733">IFERROR(INDEX('Retirement Calculator'!K:K,MATCH('Lorri 401b'!N1733,'Retirement Calculator'!A:A,0),0),0)</f>
        <v>0</v>
      </c>
      <c r="K1733" s="444">
        <f t="shared" ca="1" si="113"/>
        <v>-4401199.1856876835</v>
      </c>
      <c r="L1733" s="444">
        <f t="shared" ca="1" si="114"/>
        <v>-1060689003.7507317</v>
      </c>
      <c r="M1733" s="460">
        <f t="shared" si="116"/>
        <v>0.05</v>
      </c>
      <c r="N1733" s="464">
        <f t="shared" si="117"/>
        <v>103791</v>
      </c>
    </row>
    <row r="1734" spans="7:14" ht="11.25" customHeight="1" x14ac:dyDescent="0.25">
      <c r="G1734" s="459"/>
      <c r="H1734" s="459">
        <v>1727</v>
      </c>
      <c r="I1734" s="444">
        <f t="shared" ca="1" si="115"/>
        <v>-1060689003.7507317</v>
      </c>
      <c r="J1734" s="444">
        <f t="array" ref="J1734">IFERROR(INDEX('Retirement Calculator'!K:K,MATCH('Lorri 401b'!N1734,'Retirement Calculator'!A:A,0),0),0)</f>
        <v>0</v>
      </c>
      <c r="K1734" s="444">
        <f t="shared" ca="1" si="113"/>
        <v>-4419537.5156280492</v>
      </c>
      <c r="L1734" s="444">
        <f t="shared" ca="1" si="114"/>
        <v>-1065108541.2663598</v>
      </c>
      <c r="M1734" s="460">
        <f t="shared" si="116"/>
        <v>0.05</v>
      </c>
      <c r="N1734" s="464">
        <f t="shared" si="117"/>
        <v>103822</v>
      </c>
    </row>
    <row r="1735" spans="7:14" ht="11.25" customHeight="1" x14ac:dyDescent="0.25">
      <c r="G1735" s="459"/>
      <c r="H1735" s="459">
        <v>1728</v>
      </c>
      <c r="I1735" s="444">
        <f t="shared" ca="1" si="115"/>
        <v>-1065108541.2663598</v>
      </c>
      <c r="J1735" s="444">
        <f t="array" ref="J1735">IFERROR(INDEX('Retirement Calculator'!K:K,MATCH('Lorri 401b'!N1735,'Retirement Calculator'!A:A,0),0),0)</f>
        <v>0</v>
      </c>
      <c r="K1735" s="444">
        <f t="shared" ca="1" si="113"/>
        <v>-4437952.2552764993</v>
      </c>
      <c r="L1735" s="444">
        <f t="shared" ca="1" si="114"/>
        <v>-1069546493.5216362</v>
      </c>
      <c r="M1735" s="460">
        <f t="shared" si="116"/>
        <v>0.05</v>
      </c>
      <c r="N1735" s="464">
        <f t="shared" si="117"/>
        <v>103852</v>
      </c>
    </row>
    <row r="1736" spans="7:14" ht="11.25" customHeight="1" x14ac:dyDescent="0.25">
      <c r="G1736" s="459"/>
      <c r="H1736" s="459">
        <v>1729</v>
      </c>
      <c r="I1736" s="444">
        <f t="shared" ca="1" si="115"/>
        <v>-1069546493.5216362</v>
      </c>
      <c r="J1736" s="444">
        <f t="array" ref="J1736">IFERROR(INDEX('Retirement Calculator'!K:K,MATCH('Lorri 401b'!N1736,'Retirement Calculator'!A:A,0),0),0)</f>
        <v>0</v>
      </c>
      <c r="K1736" s="444">
        <f t="shared" ca="1" si="113"/>
        <v>-4456443.7230068175</v>
      </c>
      <c r="L1736" s="444">
        <f t="shared" ca="1" si="114"/>
        <v>-1074002937.244643</v>
      </c>
      <c r="M1736" s="460">
        <f t="shared" si="116"/>
        <v>0.05</v>
      </c>
      <c r="N1736" s="464">
        <f t="shared" si="117"/>
        <v>103883</v>
      </c>
    </row>
    <row r="1737" spans="7:14" ht="11.25" customHeight="1" x14ac:dyDescent="0.25">
      <c r="G1737" s="459"/>
      <c r="H1737" s="459">
        <v>1730</v>
      </c>
      <c r="I1737" s="444">
        <f t="shared" ca="1" si="115"/>
        <v>-1074002937.244643</v>
      </c>
      <c r="J1737" s="444">
        <f t="array" ref="J1737">IFERROR(INDEX('Retirement Calculator'!K:K,MATCH('Lorri 401b'!N1737,'Retirement Calculator'!A:A,0),0),0)</f>
        <v>0</v>
      </c>
      <c r="K1737" s="444">
        <f t="shared" ca="1" si="113"/>
        <v>-4475012.2385193454</v>
      </c>
      <c r="L1737" s="444">
        <f t="shared" ca="1" si="114"/>
        <v>-1078477949.4831624</v>
      </c>
      <c r="M1737" s="460">
        <f t="shared" si="116"/>
        <v>0.05</v>
      </c>
      <c r="N1737" s="464">
        <f t="shared" si="117"/>
        <v>103913</v>
      </c>
    </row>
    <row r="1738" spans="7:14" ht="11.25" customHeight="1" x14ac:dyDescent="0.25">
      <c r="G1738" s="459"/>
      <c r="H1738" s="459">
        <v>1731</v>
      </c>
      <c r="I1738" s="444">
        <f t="shared" ca="1" si="115"/>
        <v>-1078477949.4831624</v>
      </c>
      <c r="J1738" s="444">
        <f t="array" ref="J1738">IFERROR(INDEX('Retirement Calculator'!K:K,MATCH('Lorri 401b'!N1738,'Retirement Calculator'!A:A,0),0),0)</f>
        <v>0</v>
      </c>
      <c r="K1738" s="444">
        <f t="shared" ca="1" si="113"/>
        <v>-4493658.1228465103</v>
      </c>
      <c r="L1738" s="444">
        <f t="shared" ca="1" si="114"/>
        <v>-1082971607.606009</v>
      </c>
      <c r="M1738" s="460">
        <f t="shared" si="116"/>
        <v>0.05</v>
      </c>
      <c r="N1738" s="464">
        <f t="shared" si="117"/>
        <v>103944</v>
      </c>
    </row>
    <row r="1739" spans="7:14" ht="11.25" customHeight="1" x14ac:dyDescent="0.25">
      <c r="G1739" s="459"/>
      <c r="H1739" s="459">
        <v>1732</v>
      </c>
      <c r="I1739" s="444">
        <f t="shared" ca="1" si="115"/>
        <v>-1082971607.606009</v>
      </c>
      <c r="J1739" s="444">
        <f t="array" ref="J1739">IFERROR(INDEX('Retirement Calculator'!K:K,MATCH('Lorri 401b'!N1739,'Retirement Calculator'!A:A,0),0),0)</f>
        <v>0</v>
      </c>
      <c r="K1739" s="444">
        <f t="shared" ca="1" si="113"/>
        <v>-4512381.6983583709</v>
      </c>
      <c r="L1739" s="444">
        <f t="shared" ca="1" si="114"/>
        <v>-1087483989.3043673</v>
      </c>
      <c r="M1739" s="460">
        <f t="shared" si="116"/>
        <v>0.05</v>
      </c>
      <c r="N1739" s="464">
        <f t="shared" si="117"/>
        <v>103975</v>
      </c>
    </row>
    <row r="1740" spans="7:14" ht="11.25" customHeight="1" x14ac:dyDescent="0.25">
      <c r="G1740" s="459"/>
      <c r="H1740" s="459">
        <v>1733</v>
      </c>
      <c r="I1740" s="444">
        <f t="shared" ca="1" si="115"/>
        <v>-1087483989.3043673</v>
      </c>
      <c r="J1740" s="444">
        <f t="array" ref="J1740">IFERROR(INDEX('Retirement Calculator'!K:K,MATCH('Lorri 401b'!N1740,'Retirement Calculator'!A:A,0),0),0)</f>
        <v>0</v>
      </c>
      <c r="K1740" s="444">
        <f t="shared" ca="1" si="113"/>
        <v>-4531183.2887681974</v>
      </c>
      <c r="L1740" s="444">
        <f t="shared" ca="1" si="114"/>
        <v>-1092015172.5931356</v>
      </c>
      <c r="M1740" s="460">
        <f t="shared" si="116"/>
        <v>0.05</v>
      </c>
      <c r="N1740" s="464">
        <f t="shared" si="117"/>
        <v>104005</v>
      </c>
    </row>
    <row r="1741" spans="7:14" ht="11.25" customHeight="1" x14ac:dyDescent="0.25">
      <c r="G1741" s="459"/>
      <c r="H1741" s="459">
        <v>1734</v>
      </c>
      <c r="I1741" s="444">
        <f t="shared" ca="1" si="115"/>
        <v>-1092015172.5931356</v>
      </c>
      <c r="J1741" s="444">
        <f t="array" ref="J1741">IFERROR(INDEX('Retirement Calculator'!K:K,MATCH('Lorri 401b'!N1741,'Retirement Calculator'!A:A,0),0),0)</f>
        <v>0</v>
      </c>
      <c r="K1741" s="444">
        <f t="shared" ca="1" si="113"/>
        <v>-4550063.2191380654</v>
      </c>
      <c r="L1741" s="444">
        <f t="shared" ca="1" si="114"/>
        <v>-1096565235.8122737</v>
      </c>
      <c r="M1741" s="460">
        <f t="shared" si="116"/>
        <v>0.05</v>
      </c>
      <c r="N1741" s="464">
        <f t="shared" si="117"/>
        <v>104036</v>
      </c>
    </row>
    <row r="1742" spans="7:14" ht="11.25" customHeight="1" x14ac:dyDescent="0.25">
      <c r="G1742" s="459"/>
      <c r="H1742" s="459">
        <v>1735</v>
      </c>
      <c r="I1742" s="444">
        <f t="shared" ca="1" si="115"/>
        <v>-1096565235.8122737</v>
      </c>
      <c r="J1742" s="444">
        <f t="array" ref="J1742">IFERROR(INDEX('Retirement Calculator'!K:K,MATCH('Lorri 401b'!N1742,'Retirement Calculator'!A:A,0),0),0)</f>
        <v>0</v>
      </c>
      <c r="K1742" s="444">
        <f t="shared" ca="1" si="113"/>
        <v>-4569021.8158844737</v>
      </c>
      <c r="L1742" s="444">
        <f t="shared" ca="1" si="114"/>
        <v>-1101134257.6281583</v>
      </c>
      <c r="M1742" s="460">
        <f t="shared" si="116"/>
        <v>0.05</v>
      </c>
      <c r="N1742" s="464">
        <f t="shared" si="117"/>
        <v>104066</v>
      </c>
    </row>
    <row r="1743" spans="7:14" ht="11.25" customHeight="1" x14ac:dyDescent="0.25">
      <c r="G1743" s="459"/>
      <c r="H1743" s="459">
        <v>1736</v>
      </c>
      <c r="I1743" s="444">
        <f t="shared" ca="1" si="115"/>
        <v>-1101134257.6281583</v>
      </c>
      <c r="J1743" s="444">
        <f t="array" ref="J1743">IFERROR(INDEX('Retirement Calculator'!K:K,MATCH('Lorri 401b'!N1743,'Retirement Calculator'!A:A,0),0),0)</f>
        <v>0</v>
      </c>
      <c r="K1743" s="444">
        <f t="shared" ca="1" si="113"/>
        <v>-4588059.4067839934</v>
      </c>
      <c r="L1743" s="444">
        <f t="shared" ca="1" si="114"/>
        <v>-1105722317.0349424</v>
      </c>
      <c r="M1743" s="460">
        <f t="shared" si="116"/>
        <v>0.05</v>
      </c>
      <c r="N1743" s="464">
        <f t="shared" si="117"/>
        <v>104097</v>
      </c>
    </row>
    <row r="1744" spans="7:14" ht="11.25" customHeight="1" x14ac:dyDescent="0.25">
      <c r="G1744" s="459"/>
      <c r="H1744" s="459">
        <v>1737</v>
      </c>
      <c r="I1744" s="444">
        <f t="shared" ca="1" si="115"/>
        <v>-1105722317.0349424</v>
      </c>
      <c r="J1744" s="444">
        <f t="array" ref="J1744">IFERROR(INDEX('Retirement Calculator'!K:K,MATCH('Lorri 401b'!N1744,'Retirement Calculator'!A:A,0),0),0)</f>
        <v>0</v>
      </c>
      <c r="K1744" s="444">
        <f t="shared" ca="1" si="113"/>
        <v>-4607176.3209789265</v>
      </c>
      <c r="L1744" s="444">
        <f t="shared" ca="1" si="114"/>
        <v>-1110329493.3559213</v>
      </c>
      <c r="M1744" s="460">
        <f t="shared" si="116"/>
        <v>0.05</v>
      </c>
      <c r="N1744" s="464">
        <f t="shared" si="117"/>
        <v>104128</v>
      </c>
    </row>
    <row r="1745" spans="7:14" ht="11.25" customHeight="1" x14ac:dyDescent="0.25">
      <c r="G1745" s="459"/>
      <c r="H1745" s="459">
        <v>1738</v>
      </c>
      <c r="I1745" s="444">
        <f t="shared" ca="1" si="115"/>
        <v>-1110329493.3559213</v>
      </c>
      <c r="J1745" s="444">
        <f t="array" ref="J1745">IFERROR(INDEX('Retirement Calculator'!K:K,MATCH('Lorri 401b'!N1745,'Retirement Calculator'!A:A,0),0),0)</f>
        <v>0</v>
      </c>
      <c r="K1745" s="444">
        <f t="shared" ca="1" si="113"/>
        <v>-4626372.8889830057</v>
      </c>
      <c r="L1745" s="444">
        <f t="shared" ca="1" si="114"/>
        <v>-1114955866.2449043</v>
      </c>
      <c r="M1745" s="460">
        <f t="shared" si="116"/>
        <v>0.05</v>
      </c>
      <c r="N1745" s="464">
        <f t="shared" si="117"/>
        <v>104156</v>
      </c>
    </row>
    <row r="1746" spans="7:14" ht="11.25" customHeight="1" x14ac:dyDescent="0.25">
      <c r="G1746" s="459"/>
      <c r="H1746" s="459">
        <v>1739</v>
      </c>
      <c r="I1746" s="444">
        <f t="shared" ca="1" si="115"/>
        <v>-1114955866.2449043</v>
      </c>
      <c r="J1746" s="444">
        <f t="array" ref="J1746">IFERROR(INDEX('Retirement Calculator'!K:K,MATCH('Lorri 401b'!N1746,'Retirement Calculator'!A:A,0),0),0)</f>
        <v>0</v>
      </c>
      <c r="K1746" s="444">
        <f t="shared" ca="1" si="113"/>
        <v>-4645649.4426871007</v>
      </c>
      <c r="L1746" s="444">
        <f t="shared" ca="1" si="114"/>
        <v>-1119601515.6875913</v>
      </c>
      <c r="M1746" s="460">
        <f t="shared" si="116"/>
        <v>0.05</v>
      </c>
      <c r="N1746" s="464">
        <f t="shared" si="117"/>
        <v>104187</v>
      </c>
    </row>
    <row r="1747" spans="7:14" ht="11.25" customHeight="1" x14ac:dyDescent="0.25">
      <c r="G1747" s="459"/>
      <c r="H1747" s="459">
        <v>1740</v>
      </c>
      <c r="I1747" s="444">
        <f t="shared" ca="1" si="115"/>
        <v>-1119601515.6875913</v>
      </c>
      <c r="J1747" s="444">
        <f t="array" ref="J1747">IFERROR(INDEX('Retirement Calculator'!K:K,MATCH('Lorri 401b'!N1747,'Retirement Calculator'!A:A,0),0),0)</f>
        <v>0</v>
      </c>
      <c r="K1747" s="444">
        <f t="shared" ca="1" si="113"/>
        <v>-4665006.3153649634</v>
      </c>
      <c r="L1747" s="444">
        <f t="shared" ca="1" si="114"/>
        <v>-1124266522.0029564</v>
      </c>
      <c r="M1747" s="460">
        <f t="shared" si="116"/>
        <v>0.05</v>
      </c>
      <c r="N1747" s="464">
        <f t="shared" si="117"/>
        <v>104217</v>
      </c>
    </row>
    <row r="1748" spans="7:14" ht="11.25" customHeight="1" x14ac:dyDescent="0.25">
      <c r="G1748" s="459"/>
      <c r="H1748" s="459">
        <v>1741</v>
      </c>
      <c r="I1748" s="444">
        <f t="shared" ca="1" si="115"/>
        <v>-1124266522.0029564</v>
      </c>
      <c r="J1748" s="444">
        <f t="array" ref="J1748">IFERROR(INDEX('Retirement Calculator'!K:K,MATCH('Lorri 401b'!N1748,'Retirement Calculator'!A:A,0),0),0)</f>
        <v>0</v>
      </c>
      <c r="K1748" s="444">
        <f t="shared" ca="1" si="113"/>
        <v>-4684443.8416789845</v>
      </c>
      <c r="L1748" s="444">
        <f t="shared" ca="1" si="114"/>
        <v>-1128950965.8446355</v>
      </c>
      <c r="M1748" s="460">
        <f t="shared" si="116"/>
        <v>0.05</v>
      </c>
      <c r="N1748" s="464">
        <f t="shared" si="117"/>
        <v>104248</v>
      </c>
    </row>
    <row r="1749" spans="7:14" ht="11.25" customHeight="1" x14ac:dyDescent="0.25">
      <c r="G1749" s="459"/>
      <c r="H1749" s="459">
        <v>1742</v>
      </c>
      <c r="I1749" s="444">
        <f t="shared" ca="1" si="115"/>
        <v>-1128950965.8446355</v>
      </c>
      <c r="J1749" s="444">
        <f t="array" ref="J1749">IFERROR(INDEX('Retirement Calculator'!K:K,MATCH('Lorri 401b'!N1749,'Retirement Calculator'!A:A,0),0),0)</f>
        <v>0</v>
      </c>
      <c r="K1749" s="444">
        <f t="shared" ca="1" si="113"/>
        <v>-4703962.3576859813</v>
      </c>
      <c r="L1749" s="444">
        <f t="shared" ca="1" si="114"/>
        <v>-1133654928.2023215</v>
      </c>
      <c r="M1749" s="460">
        <f t="shared" si="116"/>
        <v>0.05</v>
      </c>
      <c r="N1749" s="464">
        <f t="shared" si="117"/>
        <v>104278</v>
      </c>
    </row>
    <row r="1750" spans="7:14" ht="11.25" customHeight="1" x14ac:dyDescent="0.25">
      <c r="G1750" s="459"/>
      <c r="H1750" s="459">
        <v>1743</v>
      </c>
      <c r="I1750" s="444">
        <f t="shared" ca="1" si="115"/>
        <v>-1133654928.2023215</v>
      </c>
      <c r="J1750" s="444">
        <f t="array" ref="J1750">IFERROR(INDEX('Retirement Calculator'!K:K,MATCH('Lorri 401b'!N1750,'Retirement Calculator'!A:A,0),0),0)</f>
        <v>0</v>
      </c>
      <c r="K1750" s="444">
        <f t="shared" ca="1" si="113"/>
        <v>-4723562.2008430064</v>
      </c>
      <c r="L1750" s="444">
        <f t="shared" ca="1" si="114"/>
        <v>-1138378490.4031646</v>
      </c>
      <c r="M1750" s="460">
        <f t="shared" si="116"/>
        <v>0.05</v>
      </c>
      <c r="N1750" s="464">
        <f t="shared" si="117"/>
        <v>104309</v>
      </c>
    </row>
    <row r="1751" spans="7:14" ht="11.25" customHeight="1" x14ac:dyDescent="0.25">
      <c r="G1751" s="459"/>
      <c r="H1751" s="459">
        <v>1744</v>
      </c>
      <c r="I1751" s="444">
        <f t="shared" ca="1" si="115"/>
        <v>-1138378490.4031646</v>
      </c>
      <c r="J1751" s="444">
        <f t="array" ref="J1751">IFERROR(INDEX('Retirement Calculator'!K:K,MATCH('Lorri 401b'!N1751,'Retirement Calculator'!A:A,0),0),0)</f>
        <v>0</v>
      </c>
      <c r="K1751" s="444">
        <f t="shared" ca="1" si="113"/>
        <v>-4743243.7100131856</v>
      </c>
      <c r="L1751" s="444">
        <f t="shared" ca="1" si="114"/>
        <v>-1143121734.1131778</v>
      </c>
      <c r="M1751" s="460">
        <f t="shared" si="116"/>
        <v>0.05</v>
      </c>
      <c r="N1751" s="464">
        <f t="shared" si="117"/>
        <v>104340</v>
      </c>
    </row>
    <row r="1752" spans="7:14" ht="11.25" customHeight="1" x14ac:dyDescent="0.25">
      <c r="G1752" s="459"/>
      <c r="H1752" s="459">
        <v>1745</v>
      </c>
      <c r="I1752" s="444">
        <f t="shared" ca="1" si="115"/>
        <v>-1143121734.1131778</v>
      </c>
      <c r="J1752" s="444">
        <f t="array" ref="J1752">IFERROR(INDEX('Retirement Calculator'!K:K,MATCH('Lorri 401b'!N1752,'Retirement Calculator'!A:A,0),0),0)</f>
        <v>0</v>
      </c>
      <c r="K1752" s="444">
        <f t="shared" ca="1" si="113"/>
        <v>-4763007.2254715739</v>
      </c>
      <c r="L1752" s="444">
        <f t="shared" ca="1" si="114"/>
        <v>-1147884741.3386493</v>
      </c>
      <c r="M1752" s="460">
        <f t="shared" si="116"/>
        <v>0.05</v>
      </c>
      <c r="N1752" s="464">
        <f t="shared" si="117"/>
        <v>104370</v>
      </c>
    </row>
    <row r="1753" spans="7:14" ht="11.25" customHeight="1" x14ac:dyDescent="0.25">
      <c r="G1753" s="459"/>
      <c r="H1753" s="459">
        <v>1746</v>
      </c>
      <c r="I1753" s="444">
        <f t="shared" ca="1" si="115"/>
        <v>-1147884741.3386493</v>
      </c>
      <c r="J1753" s="444">
        <f t="array" ref="J1753">IFERROR(INDEX('Retirement Calculator'!K:K,MATCH('Lorri 401b'!N1753,'Retirement Calculator'!A:A,0),0),0)</f>
        <v>0</v>
      </c>
      <c r="K1753" s="444">
        <f t="shared" ca="1" si="113"/>
        <v>-4782853.0889110388</v>
      </c>
      <c r="L1753" s="444">
        <f t="shared" ca="1" si="114"/>
        <v>-1152667594.4275603</v>
      </c>
      <c r="M1753" s="460">
        <f t="shared" si="116"/>
        <v>0.05</v>
      </c>
      <c r="N1753" s="464">
        <f t="shared" si="117"/>
        <v>104401</v>
      </c>
    </row>
    <row r="1754" spans="7:14" ht="11.25" customHeight="1" x14ac:dyDescent="0.25">
      <c r="G1754" s="459"/>
      <c r="H1754" s="459">
        <v>1747</v>
      </c>
      <c r="I1754" s="444">
        <f t="shared" ca="1" si="115"/>
        <v>-1152667594.4275603</v>
      </c>
      <c r="J1754" s="444">
        <f t="array" ref="J1754">IFERROR(INDEX('Retirement Calculator'!K:K,MATCH('Lorri 401b'!N1754,'Retirement Calculator'!A:A,0),0),0)</f>
        <v>0</v>
      </c>
      <c r="K1754" s="444">
        <f t="shared" ca="1" si="113"/>
        <v>-4802781.6434481684</v>
      </c>
      <c r="L1754" s="444">
        <f t="shared" ca="1" si="114"/>
        <v>-1157470376.0710084</v>
      </c>
      <c r="M1754" s="460">
        <f t="shared" si="116"/>
        <v>0.05</v>
      </c>
      <c r="N1754" s="464">
        <f t="shared" si="117"/>
        <v>104431</v>
      </c>
    </row>
    <row r="1755" spans="7:14" ht="11.25" customHeight="1" x14ac:dyDescent="0.25">
      <c r="G1755" s="459"/>
      <c r="H1755" s="459">
        <v>1748</v>
      </c>
      <c r="I1755" s="444">
        <f t="shared" ca="1" si="115"/>
        <v>-1157470376.0710084</v>
      </c>
      <c r="J1755" s="444">
        <f t="array" ref="J1755">IFERROR(INDEX('Retirement Calculator'!K:K,MATCH('Lorri 401b'!N1755,'Retirement Calculator'!A:A,0),0),0)</f>
        <v>0</v>
      </c>
      <c r="K1755" s="444">
        <f t="shared" ca="1" si="113"/>
        <v>-4822793.2336292015</v>
      </c>
      <c r="L1755" s="444">
        <f t="shared" ca="1" si="114"/>
        <v>-1162293169.3046377</v>
      </c>
      <c r="M1755" s="460">
        <f t="shared" si="116"/>
        <v>0.05</v>
      </c>
      <c r="N1755" s="464">
        <f t="shared" si="117"/>
        <v>104462</v>
      </c>
    </row>
    <row r="1756" spans="7:14" ht="11.25" customHeight="1" x14ac:dyDescent="0.25">
      <c r="G1756" s="459"/>
      <c r="H1756" s="459">
        <v>1749</v>
      </c>
      <c r="I1756" s="444">
        <f t="shared" ca="1" si="115"/>
        <v>-1162293169.3046377</v>
      </c>
      <c r="J1756" s="444">
        <f t="array" ref="J1756">IFERROR(INDEX('Retirement Calculator'!K:K,MATCH('Lorri 401b'!N1756,'Retirement Calculator'!A:A,0),0),0)</f>
        <v>0</v>
      </c>
      <c r="K1756" s="444">
        <f t="shared" ca="1" si="113"/>
        <v>-4842888.2054359904</v>
      </c>
      <c r="L1756" s="444">
        <f t="shared" ca="1" si="114"/>
        <v>-1167136057.5100737</v>
      </c>
      <c r="M1756" s="460">
        <f t="shared" si="116"/>
        <v>0.05</v>
      </c>
      <c r="N1756" s="464">
        <f t="shared" si="117"/>
        <v>104493</v>
      </c>
    </row>
    <row r="1757" spans="7:14" ht="11.25" customHeight="1" x14ac:dyDescent="0.25">
      <c r="G1757" s="459"/>
      <c r="H1757" s="459">
        <v>1750</v>
      </c>
      <c r="I1757" s="444">
        <f t="shared" ca="1" si="115"/>
        <v>-1167136057.5100737</v>
      </c>
      <c r="J1757" s="444">
        <f t="array" ref="J1757">IFERROR(INDEX('Retirement Calculator'!K:K,MATCH('Lorri 401b'!N1757,'Retirement Calculator'!A:A,0),0),0)</f>
        <v>0</v>
      </c>
      <c r="K1757" s="444">
        <f t="shared" ca="1" si="113"/>
        <v>-4863066.9062919738</v>
      </c>
      <c r="L1757" s="444">
        <f t="shared" ca="1" si="114"/>
        <v>-1171999124.4163656</v>
      </c>
      <c r="M1757" s="460">
        <f t="shared" si="116"/>
        <v>0.05</v>
      </c>
      <c r="N1757" s="464">
        <f t="shared" si="117"/>
        <v>104521</v>
      </c>
    </row>
    <row r="1758" spans="7:14" ht="11.25" customHeight="1" x14ac:dyDescent="0.25">
      <c r="G1758" s="459"/>
      <c r="H1758" s="459">
        <v>1751</v>
      </c>
      <c r="I1758" s="444">
        <f t="shared" ca="1" si="115"/>
        <v>-1171999124.4163656</v>
      </c>
      <c r="J1758" s="444">
        <f t="array" ref="J1758">IFERROR(INDEX('Retirement Calculator'!K:K,MATCH('Lorri 401b'!N1758,'Retirement Calculator'!A:A,0),0),0)</f>
        <v>0</v>
      </c>
      <c r="K1758" s="444">
        <f t="shared" ca="1" si="113"/>
        <v>-4883329.6850681901</v>
      </c>
      <c r="L1758" s="444">
        <f t="shared" ca="1" si="114"/>
        <v>-1176882454.1014338</v>
      </c>
      <c r="M1758" s="460">
        <f t="shared" si="116"/>
        <v>0.05</v>
      </c>
      <c r="N1758" s="464">
        <f t="shared" si="117"/>
        <v>104552</v>
      </c>
    </row>
    <row r="1759" spans="7:14" ht="11.25" customHeight="1" x14ac:dyDescent="0.25">
      <c r="G1759" s="459"/>
      <c r="H1759" s="459">
        <v>1752</v>
      </c>
      <c r="I1759" s="444">
        <f t="shared" ca="1" si="115"/>
        <v>-1176882454.1014338</v>
      </c>
      <c r="J1759" s="444">
        <f t="array" ref="J1759">IFERROR(INDEX('Retirement Calculator'!K:K,MATCH('Lorri 401b'!N1759,'Retirement Calculator'!A:A,0),0),0)</f>
        <v>0</v>
      </c>
      <c r="K1759" s="444">
        <f t="shared" ca="1" si="113"/>
        <v>-4903676.8920893073</v>
      </c>
      <c r="L1759" s="444">
        <f t="shared" ca="1" si="114"/>
        <v>-1181786130.9935231</v>
      </c>
      <c r="M1759" s="460">
        <f t="shared" si="116"/>
        <v>0.05</v>
      </c>
      <c r="N1759" s="464">
        <f t="shared" si="117"/>
        <v>104582</v>
      </c>
    </row>
    <row r="1760" spans="7:14" ht="11.25" customHeight="1" x14ac:dyDescent="0.25">
      <c r="G1760" s="459"/>
      <c r="H1760" s="459">
        <v>1753</v>
      </c>
      <c r="I1760" s="444">
        <f t="shared" ca="1" si="115"/>
        <v>-1181786130.9935231</v>
      </c>
      <c r="J1760" s="444">
        <f t="array" ref="J1760">IFERROR(INDEX('Retirement Calculator'!K:K,MATCH('Lorri 401b'!N1760,'Retirement Calculator'!A:A,0),0),0)</f>
        <v>0</v>
      </c>
      <c r="K1760" s="444">
        <f t="shared" ca="1" si="113"/>
        <v>-4924108.8791396795</v>
      </c>
      <c r="L1760" s="444">
        <f t="shared" ca="1" si="114"/>
        <v>-1186710239.8726628</v>
      </c>
      <c r="M1760" s="460">
        <f t="shared" si="116"/>
        <v>0.05</v>
      </c>
      <c r="N1760" s="464">
        <f t="shared" si="117"/>
        <v>104613</v>
      </c>
    </row>
    <row r="1761" spans="7:14" ht="11.25" customHeight="1" x14ac:dyDescent="0.25">
      <c r="G1761" s="459"/>
      <c r="H1761" s="459">
        <v>1754</v>
      </c>
      <c r="I1761" s="444">
        <f t="shared" ca="1" si="115"/>
        <v>-1186710239.8726628</v>
      </c>
      <c r="J1761" s="444">
        <f t="array" ref="J1761">IFERROR(INDEX('Retirement Calculator'!K:K,MATCH('Lorri 401b'!N1761,'Retirement Calculator'!A:A,0),0),0)</f>
        <v>0</v>
      </c>
      <c r="K1761" s="444">
        <f t="shared" ca="1" si="113"/>
        <v>-4944625.9994694283</v>
      </c>
      <c r="L1761" s="444">
        <f t="shared" ca="1" si="114"/>
        <v>-1191654865.8721323</v>
      </c>
      <c r="M1761" s="460">
        <f t="shared" si="116"/>
        <v>0.05</v>
      </c>
      <c r="N1761" s="464">
        <f t="shared" si="117"/>
        <v>104643</v>
      </c>
    </row>
    <row r="1762" spans="7:14" ht="11.25" customHeight="1" x14ac:dyDescent="0.25">
      <c r="G1762" s="459"/>
      <c r="H1762" s="459">
        <v>1755</v>
      </c>
      <c r="I1762" s="444">
        <f t="shared" ca="1" si="115"/>
        <v>-1191654865.8721323</v>
      </c>
      <c r="J1762" s="444">
        <f t="array" ref="J1762">IFERROR(INDEX('Retirement Calculator'!K:K,MATCH('Lorri 401b'!N1762,'Retirement Calculator'!A:A,0),0),0)</f>
        <v>0</v>
      </c>
      <c r="K1762" s="444">
        <f t="shared" ca="1" si="113"/>
        <v>-4965228.6078005508</v>
      </c>
      <c r="L1762" s="444">
        <f t="shared" ca="1" si="114"/>
        <v>-1196620094.4799328</v>
      </c>
      <c r="M1762" s="460">
        <f t="shared" si="116"/>
        <v>0.05</v>
      </c>
      <c r="N1762" s="464">
        <f t="shared" si="117"/>
        <v>104674</v>
      </c>
    </row>
    <row r="1763" spans="7:14" ht="11.25" customHeight="1" x14ac:dyDescent="0.25">
      <c r="G1763" s="459"/>
      <c r="H1763" s="459">
        <v>1756</v>
      </c>
      <c r="I1763" s="444">
        <f t="shared" ca="1" si="115"/>
        <v>-1196620094.4799328</v>
      </c>
      <c r="J1763" s="444">
        <f t="array" ref="J1763">IFERROR(INDEX('Retirement Calculator'!K:K,MATCH('Lorri 401b'!N1763,'Retirement Calculator'!A:A,0),0),0)</f>
        <v>0</v>
      </c>
      <c r="K1763" s="444">
        <f t="shared" ca="1" si="113"/>
        <v>-4985917.0603330536</v>
      </c>
      <c r="L1763" s="444">
        <f t="shared" ca="1" si="114"/>
        <v>-1201606011.5402658</v>
      </c>
      <c r="M1763" s="460">
        <f t="shared" si="116"/>
        <v>0.05</v>
      </c>
      <c r="N1763" s="464">
        <f t="shared" si="117"/>
        <v>104705</v>
      </c>
    </row>
    <row r="1764" spans="7:14" ht="11.25" customHeight="1" x14ac:dyDescent="0.25">
      <c r="G1764" s="459"/>
      <c r="H1764" s="459">
        <v>1757</v>
      </c>
      <c r="I1764" s="444">
        <f t="shared" ca="1" si="115"/>
        <v>-1201606011.5402658</v>
      </c>
      <c r="J1764" s="444">
        <f t="array" ref="J1764">IFERROR(INDEX('Retirement Calculator'!K:K,MATCH('Lorri 401b'!N1764,'Retirement Calculator'!A:A,0),0),0)</f>
        <v>0</v>
      </c>
      <c r="K1764" s="444">
        <f t="shared" ca="1" si="113"/>
        <v>-5006691.7147511076</v>
      </c>
      <c r="L1764" s="444">
        <f t="shared" ca="1" si="114"/>
        <v>-1206612703.2550168</v>
      </c>
      <c r="M1764" s="460">
        <f t="shared" si="116"/>
        <v>0.05</v>
      </c>
      <c r="N1764" s="464">
        <f t="shared" si="117"/>
        <v>104735</v>
      </c>
    </row>
    <row r="1765" spans="7:14" ht="11.25" customHeight="1" x14ac:dyDescent="0.25">
      <c r="G1765" s="459"/>
      <c r="H1765" s="459">
        <v>1758</v>
      </c>
      <c r="I1765" s="444">
        <f t="shared" ca="1" si="115"/>
        <v>-1206612703.2550168</v>
      </c>
      <c r="J1765" s="444">
        <f t="array" ref="J1765">IFERROR(INDEX('Retirement Calculator'!K:K,MATCH('Lorri 401b'!N1765,'Retirement Calculator'!A:A,0),0),0)</f>
        <v>0</v>
      </c>
      <c r="K1765" s="444">
        <f t="shared" ca="1" si="113"/>
        <v>-5027552.9302292364</v>
      </c>
      <c r="L1765" s="444">
        <f t="shared" ca="1" si="114"/>
        <v>-1211640256.185246</v>
      </c>
      <c r="M1765" s="460">
        <f t="shared" si="116"/>
        <v>0.05</v>
      </c>
      <c r="N1765" s="464">
        <f t="shared" si="117"/>
        <v>104766</v>
      </c>
    </row>
    <row r="1766" spans="7:14" ht="11.25" customHeight="1" x14ac:dyDescent="0.25">
      <c r="G1766" s="459"/>
      <c r="H1766" s="459">
        <v>1759</v>
      </c>
      <c r="I1766" s="444">
        <f t="shared" ca="1" si="115"/>
        <v>-1211640256.185246</v>
      </c>
      <c r="J1766" s="444">
        <f t="array" ref="J1766">IFERROR(INDEX('Retirement Calculator'!K:K,MATCH('Lorri 401b'!N1766,'Retirement Calculator'!A:A,0),0),0)</f>
        <v>0</v>
      </c>
      <c r="K1766" s="444">
        <f t="shared" ca="1" si="113"/>
        <v>-5048501.0674385251</v>
      </c>
      <c r="L1766" s="444">
        <f t="shared" ca="1" si="114"/>
        <v>-1216688757.2526846</v>
      </c>
      <c r="M1766" s="460">
        <f t="shared" si="116"/>
        <v>0.05</v>
      </c>
      <c r="N1766" s="464">
        <f t="shared" si="117"/>
        <v>104796</v>
      </c>
    </row>
    <row r="1767" spans="7:14" ht="11.25" customHeight="1" x14ac:dyDescent="0.25">
      <c r="G1767" s="459"/>
      <c r="H1767" s="459">
        <v>1760</v>
      </c>
      <c r="I1767" s="444">
        <f t="shared" ca="1" si="115"/>
        <v>-1216688757.2526846</v>
      </c>
      <c r="J1767" s="444">
        <f t="array" ref="J1767">IFERROR(INDEX('Retirement Calculator'!K:K,MATCH('Lorri 401b'!N1767,'Retirement Calculator'!A:A,0),0),0)</f>
        <v>0</v>
      </c>
      <c r="K1767" s="444">
        <f t="shared" ca="1" si="113"/>
        <v>-5069536.4885528525</v>
      </c>
      <c r="L1767" s="444">
        <f t="shared" ca="1" si="114"/>
        <v>-1221758293.7412374</v>
      </c>
      <c r="M1767" s="460">
        <f t="shared" si="116"/>
        <v>0.05</v>
      </c>
      <c r="N1767" s="464">
        <f t="shared" si="117"/>
        <v>104827</v>
      </c>
    </row>
    <row r="1768" spans="7:14" ht="11.25" customHeight="1" x14ac:dyDescent="0.25">
      <c r="G1768" s="459"/>
      <c r="H1768" s="459">
        <v>1761</v>
      </c>
      <c r="I1768" s="444">
        <f t="shared" ca="1" si="115"/>
        <v>-1221758293.7412374</v>
      </c>
      <c r="J1768" s="444">
        <f t="array" ref="J1768">IFERROR(INDEX('Retirement Calculator'!K:K,MATCH('Lorri 401b'!N1768,'Retirement Calculator'!A:A,0),0),0)</f>
        <v>0</v>
      </c>
      <c r="K1768" s="444">
        <f t="shared" ca="1" si="113"/>
        <v>-5090659.5572551554</v>
      </c>
      <c r="L1768" s="444">
        <f t="shared" ca="1" si="114"/>
        <v>-1226848953.2984927</v>
      </c>
      <c r="M1768" s="460">
        <f t="shared" si="116"/>
        <v>0.05</v>
      </c>
      <c r="N1768" s="464">
        <f t="shared" si="117"/>
        <v>104858</v>
      </c>
    </row>
    <row r="1769" spans="7:14" ht="11.25" customHeight="1" x14ac:dyDescent="0.25">
      <c r="G1769" s="459"/>
      <c r="H1769" s="459">
        <v>1762</v>
      </c>
      <c r="I1769" s="444">
        <f t="shared" ca="1" si="115"/>
        <v>-1226848953.2984927</v>
      </c>
      <c r="J1769" s="444">
        <f t="array" ref="J1769">IFERROR(INDEX('Retirement Calculator'!K:K,MATCH('Lorri 401b'!N1769,'Retirement Calculator'!A:A,0),0),0)</f>
        <v>0</v>
      </c>
      <c r="K1769" s="444">
        <f t="shared" ca="1" si="113"/>
        <v>-5111870.6387437191</v>
      </c>
      <c r="L1769" s="444">
        <f t="shared" ca="1" si="114"/>
        <v>-1231960823.9372363</v>
      </c>
      <c r="M1769" s="460">
        <f t="shared" si="116"/>
        <v>0.05</v>
      </c>
      <c r="N1769" s="464">
        <f t="shared" si="117"/>
        <v>104886</v>
      </c>
    </row>
    <row r="1770" spans="7:14" ht="11.25" customHeight="1" x14ac:dyDescent="0.25">
      <c r="G1770" s="459"/>
      <c r="H1770" s="459">
        <v>1763</v>
      </c>
      <c r="I1770" s="444">
        <f t="shared" ca="1" si="115"/>
        <v>-1231960823.9372363</v>
      </c>
      <c r="J1770" s="444">
        <f t="array" ref="J1770">IFERROR(INDEX('Retirement Calculator'!K:K,MATCH('Lorri 401b'!N1770,'Retirement Calculator'!A:A,0),0),0)</f>
        <v>0</v>
      </c>
      <c r="K1770" s="444">
        <f t="shared" ca="1" si="113"/>
        <v>-5133170.0997384842</v>
      </c>
      <c r="L1770" s="444">
        <f t="shared" ca="1" si="114"/>
        <v>-1237093994.0369749</v>
      </c>
      <c r="M1770" s="460">
        <f t="shared" si="116"/>
        <v>0.05</v>
      </c>
      <c r="N1770" s="464">
        <f t="shared" si="117"/>
        <v>104917</v>
      </c>
    </row>
    <row r="1771" spans="7:14" ht="11.25" customHeight="1" x14ac:dyDescent="0.25">
      <c r="G1771" s="459"/>
      <c r="H1771" s="459">
        <v>1764</v>
      </c>
      <c r="I1771" s="444">
        <f t="shared" ca="1" si="115"/>
        <v>-1237093994.0369749</v>
      </c>
      <c r="J1771" s="444">
        <f t="array" ref="J1771">IFERROR(INDEX('Retirement Calculator'!K:K,MATCH('Lorri 401b'!N1771,'Retirement Calculator'!A:A,0),0),0)</f>
        <v>0</v>
      </c>
      <c r="K1771" s="444">
        <f t="shared" ca="1" si="113"/>
        <v>-5154558.3084873958</v>
      </c>
      <c r="L1771" s="444">
        <f t="shared" ca="1" si="114"/>
        <v>-1242248552.3454623</v>
      </c>
      <c r="M1771" s="460">
        <f t="shared" si="116"/>
        <v>0.05</v>
      </c>
      <c r="N1771" s="464">
        <f t="shared" si="117"/>
        <v>104947</v>
      </c>
    </row>
    <row r="1772" spans="7:14" ht="11.25" customHeight="1" x14ac:dyDescent="0.25">
      <c r="G1772" s="459"/>
      <c r="H1772" s="459">
        <v>1765</v>
      </c>
      <c r="I1772" s="444">
        <f t="shared" ca="1" si="115"/>
        <v>-1242248552.3454623</v>
      </c>
      <c r="J1772" s="444">
        <f t="array" ref="J1772">IFERROR(INDEX('Retirement Calculator'!K:K,MATCH('Lorri 401b'!N1772,'Retirement Calculator'!A:A,0),0),0)</f>
        <v>0</v>
      </c>
      <c r="K1772" s="444">
        <f t="shared" ca="1" si="113"/>
        <v>-5176035.6347727599</v>
      </c>
      <c r="L1772" s="444">
        <f t="shared" ca="1" si="114"/>
        <v>-1247424587.9802351</v>
      </c>
      <c r="M1772" s="460">
        <f t="shared" si="116"/>
        <v>0.05</v>
      </c>
      <c r="N1772" s="464">
        <f t="shared" si="117"/>
        <v>104978</v>
      </c>
    </row>
    <row r="1773" spans="7:14" ht="11.25" customHeight="1" x14ac:dyDescent="0.25">
      <c r="G1773" s="459"/>
      <c r="H1773" s="459">
        <v>1766</v>
      </c>
      <c r="I1773" s="444">
        <f t="shared" ca="1" si="115"/>
        <v>-1247424587.9802351</v>
      </c>
      <c r="J1773" s="444">
        <f t="array" ref="J1773">IFERROR(INDEX('Retirement Calculator'!K:K,MATCH('Lorri 401b'!N1773,'Retirement Calculator'!A:A,0),0),0)</f>
        <v>0</v>
      </c>
      <c r="K1773" s="444">
        <f t="shared" ca="1" si="113"/>
        <v>-5197602.4499176461</v>
      </c>
      <c r="L1773" s="444">
        <f t="shared" ca="1" si="114"/>
        <v>-1252622190.4301527</v>
      </c>
      <c r="M1773" s="460">
        <f t="shared" si="116"/>
        <v>0.05</v>
      </c>
      <c r="N1773" s="464">
        <f t="shared" si="117"/>
        <v>105008</v>
      </c>
    </row>
    <row r="1774" spans="7:14" ht="11.25" customHeight="1" x14ac:dyDescent="0.25">
      <c r="G1774" s="459"/>
      <c r="H1774" s="459">
        <v>1767</v>
      </c>
      <c r="I1774" s="444">
        <f t="shared" ca="1" si="115"/>
        <v>-1252622190.4301527</v>
      </c>
      <c r="J1774" s="444">
        <f t="array" ref="J1774">IFERROR(INDEX('Retirement Calculator'!K:K,MATCH('Lorri 401b'!N1774,'Retirement Calculator'!A:A,0),0),0)</f>
        <v>0</v>
      </c>
      <c r="K1774" s="444">
        <f t="shared" ca="1" si="113"/>
        <v>-5219259.1267923024</v>
      </c>
      <c r="L1774" s="444">
        <f t="shared" ca="1" si="114"/>
        <v>-1257841449.5569448</v>
      </c>
      <c r="M1774" s="460">
        <f t="shared" si="116"/>
        <v>0.05</v>
      </c>
      <c r="N1774" s="464">
        <f t="shared" si="117"/>
        <v>105039</v>
      </c>
    </row>
    <row r="1775" spans="7:14" ht="11.25" customHeight="1" x14ac:dyDescent="0.25">
      <c r="G1775" s="459"/>
      <c r="H1775" s="459">
        <v>1768</v>
      </c>
      <c r="I1775" s="444">
        <f t="shared" ca="1" si="115"/>
        <v>-1257841449.5569448</v>
      </c>
      <c r="J1775" s="444">
        <f t="array" ref="J1775">IFERROR(INDEX('Retirement Calculator'!K:K,MATCH('Lorri 401b'!N1775,'Retirement Calculator'!A:A,0),0),0)</f>
        <v>0</v>
      </c>
      <c r="K1775" s="444">
        <f t="shared" ca="1" si="113"/>
        <v>-5241006.0398206031</v>
      </c>
      <c r="L1775" s="444">
        <f t="shared" ca="1" si="114"/>
        <v>-1263082455.5967655</v>
      </c>
      <c r="M1775" s="460">
        <f t="shared" si="116"/>
        <v>0.05</v>
      </c>
      <c r="N1775" s="464">
        <f t="shared" si="117"/>
        <v>105070</v>
      </c>
    </row>
    <row r="1776" spans="7:14" ht="11.25" customHeight="1" x14ac:dyDescent="0.25">
      <c r="G1776" s="459"/>
      <c r="H1776" s="459">
        <v>1769</v>
      </c>
      <c r="I1776" s="444">
        <f t="shared" ca="1" si="115"/>
        <v>-1263082455.5967655</v>
      </c>
      <c r="J1776" s="444">
        <f t="array" ref="J1776">IFERROR(INDEX('Retirement Calculator'!K:K,MATCH('Lorri 401b'!N1776,'Retirement Calculator'!A:A,0),0),0)</f>
        <v>0</v>
      </c>
      <c r="K1776" s="444">
        <f t="shared" ca="1" si="113"/>
        <v>-5262843.5649865232</v>
      </c>
      <c r="L1776" s="444">
        <f t="shared" ca="1" si="114"/>
        <v>-1268345299.161752</v>
      </c>
      <c r="M1776" s="460">
        <f t="shared" si="116"/>
        <v>0.05</v>
      </c>
      <c r="N1776" s="464">
        <f t="shared" si="117"/>
        <v>105100</v>
      </c>
    </row>
    <row r="1777" spans="7:14" ht="11.25" customHeight="1" x14ac:dyDescent="0.25">
      <c r="G1777" s="459"/>
      <c r="H1777" s="459">
        <v>1770</v>
      </c>
      <c r="I1777" s="444">
        <f t="shared" ca="1" si="115"/>
        <v>-1268345299.161752</v>
      </c>
      <c r="J1777" s="444">
        <f t="array" ref="J1777">IFERROR(INDEX('Retirement Calculator'!K:K,MATCH('Lorri 401b'!N1777,'Retirement Calculator'!A:A,0),0),0)</f>
        <v>0</v>
      </c>
      <c r="K1777" s="444">
        <f t="shared" ca="1" si="113"/>
        <v>-5284772.0798406331</v>
      </c>
      <c r="L1777" s="444">
        <f t="shared" ca="1" si="114"/>
        <v>-1273630071.2415926</v>
      </c>
      <c r="M1777" s="460">
        <f t="shared" si="116"/>
        <v>0.05</v>
      </c>
      <c r="N1777" s="464">
        <f t="shared" si="117"/>
        <v>105131</v>
      </c>
    </row>
    <row r="1778" spans="7:14" ht="11.25" customHeight="1" x14ac:dyDescent="0.25">
      <c r="G1778" s="459"/>
      <c r="H1778" s="459">
        <v>1771</v>
      </c>
      <c r="I1778" s="444">
        <f t="shared" ca="1" si="115"/>
        <v>-1273630071.2415926</v>
      </c>
      <c r="J1778" s="444">
        <f t="array" ref="J1778">IFERROR(INDEX('Retirement Calculator'!K:K,MATCH('Lorri 401b'!N1778,'Retirement Calculator'!A:A,0),0),0)</f>
        <v>0</v>
      </c>
      <c r="K1778" s="444">
        <f t="shared" ca="1" si="113"/>
        <v>-5306791.9635066362</v>
      </c>
      <c r="L1778" s="444">
        <f t="shared" ca="1" si="114"/>
        <v>-1278936863.2050993</v>
      </c>
      <c r="M1778" s="460">
        <f t="shared" si="116"/>
        <v>0.05</v>
      </c>
      <c r="N1778" s="464">
        <f t="shared" si="117"/>
        <v>105161</v>
      </c>
    </row>
    <row r="1779" spans="7:14" ht="11.25" customHeight="1" x14ac:dyDescent="0.25">
      <c r="G1779" s="459"/>
      <c r="H1779" s="459">
        <v>1772</v>
      </c>
      <c r="I1779" s="444">
        <f t="shared" ca="1" si="115"/>
        <v>-1278936863.2050993</v>
      </c>
      <c r="J1779" s="444">
        <f t="array" ref="J1779">IFERROR(INDEX('Retirement Calculator'!K:K,MATCH('Lorri 401b'!N1779,'Retirement Calculator'!A:A,0),0),0)</f>
        <v>0</v>
      </c>
      <c r="K1779" s="444">
        <f t="shared" ca="1" si="113"/>
        <v>-5328903.5966879139</v>
      </c>
      <c r="L1779" s="444">
        <f t="shared" ca="1" si="114"/>
        <v>-1284265766.8017874</v>
      </c>
      <c r="M1779" s="460">
        <f t="shared" si="116"/>
        <v>0.05</v>
      </c>
      <c r="N1779" s="464">
        <f t="shared" si="117"/>
        <v>105192</v>
      </c>
    </row>
    <row r="1780" spans="7:14" ht="11.25" customHeight="1" x14ac:dyDescent="0.25">
      <c r="G1780" s="459"/>
      <c r="H1780" s="459">
        <v>1773</v>
      </c>
      <c r="I1780" s="444">
        <f t="shared" ca="1" si="115"/>
        <v>-1284265766.8017874</v>
      </c>
      <c r="J1780" s="444">
        <f t="array" ref="J1780">IFERROR(INDEX('Retirement Calculator'!K:K,MATCH('Lorri 401b'!N1780,'Retirement Calculator'!A:A,0),0),0)</f>
        <v>0</v>
      </c>
      <c r="K1780" s="444">
        <f t="shared" ca="1" si="113"/>
        <v>-5351107.3616741141</v>
      </c>
      <c r="L1780" s="444">
        <f t="shared" ca="1" si="114"/>
        <v>-1289616874.1634614</v>
      </c>
      <c r="M1780" s="460">
        <f t="shared" si="116"/>
        <v>0.05</v>
      </c>
      <c r="N1780" s="464">
        <f t="shared" si="117"/>
        <v>105223</v>
      </c>
    </row>
    <row r="1781" spans="7:14" ht="11.25" customHeight="1" x14ac:dyDescent="0.25">
      <c r="G1781" s="459"/>
      <c r="H1781" s="459">
        <v>1774</v>
      </c>
      <c r="I1781" s="444">
        <f t="shared" ca="1" si="115"/>
        <v>-1289616874.1634614</v>
      </c>
      <c r="J1781" s="444">
        <f t="array" ref="J1781">IFERROR(INDEX('Retirement Calculator'!K:K,MATCH('Lorri 401b'!N1781,'Retirement Calculator'!A:A,0),0),0)</f>
        <v>0</v>
      </c>
      <c r="K1781" s="444">
        <f t="shared" ca="1" si="113"/>
        <v>-5373403.6423477558</v>
      </c>
      <c r="L1781" s="444">
        <f t="shared" ca="1" si="114"/>
        <v>-1294990277.8058093</v>
      </c>
      <c r="M1781" s="460">
        <f t="shared" si="116"/>
        <v>0.05</v>
      </c>
      <c r="N1781" s="464">
        <f t="shared" si="117"/>
        <v>105252</v>
      </c>
    </row>
    <row r="1782" spans="7:14" ht="11.25" customHeight="1" x14ac:dyDescent="0.25">
      <c r="G1782" s="459"/>
      <c r="H1782" s="459">
        <v>1775</v>
      </c>
      <c r="I1782" s="444">
        <f t="shared" ca="1" si="115"/>
        <v>-1294990277.8058093</v>
      </c>
      <c r="J1782" s="444">
        <f t="array" ref="J1782">IFERROR(INDEX('Retirement Calculator'!K:K,MATCH('Lorri 401b'!N1782,'Retirement Calculator'!A:A,0),0),0)</f>
        <v>0</v>
      </c>
      <c r="K1782" s="444">
        <f t="shared" ca="1" si="113"/>
        <v>-5395792.8241908718</v>
      </c>
      <c r="L1782" s="444">
        <f t="shared" ca="1" si="114"/>
        <v>-1300386070.6300001</v>
      </c>
      <c r="M1782" s="460">
        <f t="shared" si="116"/>
        <v>0.05</v>
      </c>
      <c r="N1782" s="464">
        <f t="shared" si="117"/>
        <v>105283</v>
      </c>
    </row>
    <row r="1783" spans="7:14" ht="11.25" customHeight="1" x14ac:dyDescent="0.25">
      <c r="G1783" s="459"/>
      <c r="H1783" s="459">
        <v>1776</v>
      </c>
      <c r="I1783" s="444">
        <f t="shared" ca="1" si="115"/>
        <v>-1300386070.6300001</v>
      </c>
      <c r="J1783" s="444">
        <f t="array" ref="J1783">IFERROR(INDEX('Retirement Calculator'!K:K,MATCH('Lorri 401b'!N1783,'Retirement Calculator'!A:A,0),0),0)</f>
        <v>0</v>
      </c>
      <c r="K1783" s="444">
        <f t="shared" ca="1" si="113"/>
        <v>-5418275.2942916667</v>
      </c>
      <c r="L1783" s="444">
        <f t="shared" ca="1" si="114"/>
        <v>-1305804345.9242918</v>
      </c>
      <c r="M1783" s="460">
        <f t="shared" si="116"/>
        <v>0.05</v>
      </c>
      <c r="N1783" s="464">
        <f t="shared" si="117"/>
        <v>105313</v>
      </c>
    </row>
    <row r="1784" spans="7:14" ht="11.25" customHeight="1" x14ac:dyDescent="0.25">
      <c r="G1784" s="459"/>
      <c r="H1784" s="459">
        <v>1777</v>
      </c>
      <c r="I1784" s="444">
        <f t="shared" ca="1" si="115"/>
        <v>-1305804345.9242918</v>
      </c>
      <c r="J1784" s="444">
        <f t="array" ref="J1784">IFERROR(INDEX('Retirement Calculator'!K:K,MATCH('Lorri 401b'!N1784,'Retirement Calculator'!A:A,0),0),0)</f>
        <v>0</v>
      </c>
      <c r="K1784" s="444">
        <f t="shared" ca="1" si="113"/>
        <v>-5440851.4413512163</v>
      </c>
      <c r="L1784" s="444">
        <f t="shared" ca="1" si="114"/>
        <v>-1311245197.365643</v>
      </c>
      <c r="M1784" s="460">
        <f t="shared" si="116"/>
        <v>0.05</v>
      </c>
      <c r="N1784" s="464">
        <f t="shared" si="117"/>
        <v>105344</v>
      </c>
    </row>
    <row r="1785" spans="7:14" ht="11.25" customHeight="1" x14ac:dyDescent="0.25">
      <c r="G1785" s="459"/>
      <c r="H1785" s="459">
        <v>1778</v>
      </c>
      <c r="I1785" s="444">
        <f t="shared" ca="1" si="115"/>
        <v>-1311245197.365643</v>
      </c>
      <c r="J1785" s="444">
        <f t="array" ref="J1785">IFERROR(INDEX('Retirement Calculator'!K:K,MATCH('Lorri 401b'!N1785,'Retirement Calculator'!A:A,0),0),0)</f>
        <v>0</v>
      </c>
      <c r="K1785" s="444">
        <f t="shared" ca="1" si="113"/>
        <v>-5463521.6556901792</v>
      </c>
      <c r="L1785" s="444">
        <f t="shared" ca="1" si="114"/>
        <v>-1316708719.0213332</v>
      </c>
      <c r="M1785" s="460">
        <f t="shared" si="116"/>
        <v>0.05</v>
      </c>
      <c r="N1785" s="464">
        <f t="shared" si="117"/>
        <v>105374</v>
      </c>
    </row>
    <row r="1786" spans="7:14" ht="11.25" customHeight="1" x14ac:dyDescent="0.25">
      <c r="G1786" s="459"/>
      <c r="H1786" s="459">
        <v>1779</v>
      </c>
      <c r="I1786" s="444">
        <f t="shared" ca="1" si="115"/>
        <v>-1316708719.0213332</v>
      </c>
      <c r="J1786" s="444">
        <f t="array" ref="J1786">IFERROR(INDEX('Retirement Calculator'!K:K,MATCH('Lorri 401b'!N1786,'Retirement Calculator'!A:A,0),0),0)</f>
        <v>0</v>
      </c>
      <c r="K1786" s="444">
        <f t="shared" ca="1" si="113"/>
        <v>-5486286.3292555548</v>
      </c>
      <c r="L1786" s="444">
        <f t="shared" ca="1" si="114"/>
        <v>-1322195005.3505888</v>
      </c>
      <c r="M1786" s="460">
        <f t="shared" si="116"/>
        <v>0.05</v>
      </c>
      <c r="N1786" s="464">
        <f t="shared" si="117"/>
        <v>105405</v>
      </c>
    </row>
    <row r="1787" spans="7:14" ht="11.25" customHeight="1" x14ac:dyDescent="0.25">
      <c r="G1787" s="459"/>
      <c r="H1787" s="459">
        <v>1780</v>
      </c>
      <c r="I1787" s="444">
        <f t="shared" ca="1" si="115"/>
        <v>-1322195005.3505888</v>
      </c>
      <c r="J1787" s="444">
        <f t="array" ref="J1787">IFERROR(INDEX('Retirement Calculator'!K:K,MATCH('Lorri 401b'!N1787,'Retirement Calculator'!A:A,0),0),0)</f>
        <v>0</v>
      </c>
      <c r="K1787" s="444">
        <f t="shared" ca="1" si="113"/>
        <v>-5509145.855627453</v>
      </c>
      <c r="L1787" s="444">
        <f t="shared" ca="1" si="114"/>
        <v>-1327704151.2062163</v>
      </c>
      <c r="M1787" s="460">
        <f t="shared" si="116"/>
        <v>0.05</v>
      </c>
      <c r="N1787" s="464">
        <f t="shared" si="117"/>
        <v>105436</v>
      </c>
    </row>
    <row r="1788" spans="7:14" ht="11.25" customHeight="1" x14ac:dyDescent="0.25">
      <c r="G1788" s="459"/>
      <c r="H1788" s="459">
        <v>1781</v>
      </c>
      <c r="I1788" s="444">
        <f t="shared" ca="1" si="115"/>
        <v>-1327704151.2062163</v>
      </c>
      <c r="J1788" s="444">
        <f t="array" ref="J1788">IFERROR(INDEX('Retirement Calculator'!K:K,MATCH('Lorri 401b'!N1788,'Retirement Calculator'!A:A,0),0),0)</f>
        <v>0</v>
      </c>
      <c r="K1788" s="444">
        <f t="shared" ca="1" si="113"/>
        <v>-5532100.6300259009</v>
      </c>
      <c r="L1788" s="444">
        <f t="shared" ca="1" si="114"/>
        <v>-1333236251.8362422</v>
      </c>
      <c r="M1788" s="460">
        <f t="shared" si="116"/>
        <v>0.05</v>
      </c>
      <c r="N1788" s="464">
        <f t="shared" si="117"/>
        <v>105466</v>
      </c>
    </row>
    <row r="1789" spans="7:14" ht="11.25" customHeight="1" x14ac:dyDescent="0.25">
      <c r="G1789" s="459"/>
      <c r="H1789" s="459">
        <v>1782</v>
      </c>
      <c r="I1789" s="444">
        <f t="shared" ca="1" si="115"/>
        <v>-1333236251.8362422</v>
      </c>
      <c r="J1789" s="444">
        <f t="array" ref="J1789">IFERROR(INDEX('Retirement Calculator'!K:K,MATCH('Lorri 401b'!N1789,'Retirement Calculator'!A:A,0),0),0)</f>
        <v>0</v>
      </c>
      <c r="K1789" s="444">
        <f t="shared" ca="1" si="113"/>
        <v>-5555151.0493176756</v>
      </c>
      <c r="L1789" s="444">
        <f t="shared" ca="1" si="114"/>
        <v>-1338791402.8855598</v>
      </c>
      <c r="M1789" s="460">
        <f t="shared" si="116"/>
        <v>0.05</v>
      </c>
      <c r="N1789" s="464">
        <f t="shared" si="117"/>
        <v>105497</v>
      </c>
    </row>
    <row r="1790" spans="7:14" ht="11.25" customHeight="1" x14ac:dyDescent="0.25">
      <c r="G1790" s="459"/>
      <c r="H1790" s="459">
        <v>1783</v>
      </c>
      <c r="I1790" s="444">
        <f t="shared" ca="1" si="115"/>
        <v>-1338791402.8855598</v>
      </c>
      <c r="J1790" s="444">
        <f t="array" ref="J1790">IFERROR(INDEX('Retirement Calculator'!K:K,MATCH('Lorri 401b'!N1790,'Retirement Calculator'!A:A,0),0),0)</f>
        <v>0</v>
      </c>
      <c r="K1790" s="444">
        <f t="shared" ca="1" si="113"/>
        <v>-5578297.5120231658</v>
      </c>
      <c r="L1790" s="444">
        <f t="shared" ca="1" si="114"/>
        <v>-1344369700.397583</v>
      </c>
      <c r="M1790" s="460">
        <f t="shared" si="116"/>
        <v>0.05</v>
      </c>
      <c r="N1790" s="464">
        <f t="shared" si="117"/>
        <v>105527</v>
      </c>
    </row>
    <row r="1791" spans="7:14" ht="11.25" customHeight="1" x14ac:dyDescent="0.25">
      <c r="G1791" s="459"/>
      <c r="H1791" s="459">
        <v>1784</v>
      </c>
      <c r="I1791" s="444">
        <f t="shared" ca="1" si="115"/>
        <v>-1344369700.397583</v>
      </c>
      <c r="J1791" s="444">
        <f t="array" ref="J1791">IFERROR(INDEX('Retirement Calculator'!K:K,MATCH('Lorri 401b'!N1791,'Retirement Calculator'!A:A,0),0),0)</f>
        <v>0</v>
      </c>
      <c r="K1791" s="444">
        <f t="shared" ca="1" si="113"/>
        <v>-5601540.4183232626</v>
      </c>
      <c r="L1791" s="444">
        <f t="shared" ca="1" si="114"/>
        <v>-1349971240.8159063</v>
      </c>
      <c r="M1791" s="460">
        <f t="shared" si="116"/>
        <v>0.05</v>
      </c>
      <c r="N1791" s="464">
        <f t="shared" si="117"/>
        <v>105558</v>
      </c>
    </row>
    <row r="1792" spans="7:14" ht="11.25" customHeight="1" x14ac:dyDescent="0.25">
      <c r="G1792" s="459"/>
      <c r="H1792" s="459">
        <v>1785</v>
      </c>
      <c r="I1792" s="444">
        <f t="shared" ca="1" si="115"/>
        <v>-1349971240.8159063</v>
      </c>
      <c r="J1792" s="444">
        <f t="array" ref="J1792">IFERROR(INDEX('Retirement Calculator'!K:K,MATCH('Lorri 401b'!N1792,'Retirement Calculator'!A:A,0),0),0)</f>
        <v>0</v>
      </c>
      <c r="K1792" s="444">
        <f t="shared" ca="1" si="113"/>
        <v>-5624880.1700662766</v>
      </c>
      <c r="L1792" s="444">
        <f t="shared" ca="1" si="114"/>
        <v>-1355596120.9859726</v>
      </c>
      <c r="M1792" s="460">
        <f t="shared" si="116"/>
        <v>0.05</v>
      </c>
      <c r="N1792" s="464">
        <f t="shared" si="117"/>
        <v>105589</v>
      </c>
    </row>
    <row r="1793" spans="7:14" ht="11.25" customHeight="1" x14ac:dyDescent="0.25">
      <c r="G1793" s="459"/>
      <c r="H1793" s="459">
        <v>1786</v>
      </c>
      <c r="I1793" s="444">
        <f t="shared" ca="1" si="115"/>
        <v>-1355596120.9859726</v>
      </c>
      <c r="J1793" s="444">
        <f t="array" ref="J1793">IFERROR(INDEX('Retirement Calculator'!K:K,MATCH('Lorri 401b'!N1793,'Retirement Calculator'!A:A,0),0),0)</f>
        <v>0</v>
      </c>
      <c r="K1793" s="444">
        <f t="shared" ref="K1793:K2047" ca="1" si="118">IPMT(M1793/12,1,12,-I1793+J1793,,0)</f>
        <v>-5648317.1707748864</v>
      </c>
      <c r="L1793" s="444">
        <f t="shared" ref="L1793:L2047" ca="1" si="119">I1793-J1793+K1793</f>
        <v>-1361244438.1567476</v>
      </c>
      <c r="M1793" s="460">
        <f t="shared" si="116"/>
        <v>0.05</v>
      </c>
      <c r="N1793" s="464">
        <f t="shared" si="117"/>
        <v>105617</v>
      </c>
    </row>
    <row r="1794" spans="7:14" ht="11.25" customHeight="1" x14ac:dyDescent="0.25">
      <c r="G1794" s="459"/>
      <c r="H1794" s="459">
        <v>1787</v>
      </c>
      <c r="I1794" s="444">
        <f t="shared" ref="I1794:I2048" ca="1" si="120">L1793</f>
        <v>-1361244438.1567476</v>
      </c>
      <c r="J1794" s="444">
        <f t="array" ref="J1794">IFERROR(INDEX('Retirement Calculator'!K:K,MATCH('Lorri 401b'!N1794,'Retirement Calculator'!A:A,0),0),0)</f>
        <v>0</v>
      </c>
      <c r="K1794" s="444">
        <f t="shared" ca="1" si="118"/>
        <v>-5671851.8256531153</v>
      </c>
      <c r="L1794" s="444">
        <f t="shared" ca="1" si="119"/>
        <v>-1366916289.9824007</v>
      </c>
      <c r="M1794" s="460">
        <f t="shared" ref="M1794:M2048" si="121">M1793</f>
        <v>0.05</v>
      </c>
      <c r="N1794" s="464">
        <f t="shared" ref="N1794:N2048" si="122">EDATE(N1793,1)</f>
        <v>105648</v>
      </c>
    </row>
    <row r="1795" spans="7:14" ht="11.25" customHeight="1" x14ac:dyDescent="0.25">
      <c r="G1795" s="459"/>
      <c r="H1795" s="459">
        <v>1788</v>
      </c>
      <c r="I1795" s="444">
        <f t="shared" ca="1" si="120"/>
        <v>-1366916289.9824007</v>
      </c>
      <c r="J1795" s="444">
        <f t="array" ref="J1795">IFERROR(INDEX('Retirement Calculator'!K:K,MATCH('Lorri 401b'!N1795,'Retirement Calculator'!A:A,0),0),0)</f>
        <v>0</v>
      </c>
      <c r="K1795" s="444">
        <f t="shared" ca="1" si="118"/>
        <v>-5695484.5415933356</v>
      </c>
      <c r="L1795" s="444">
        <f t="shared" ca="1" si="119"/>
        <v>-1372611774.523994</v>
      </c>
      <c r="M1795" s="460">
        <f t="shared" si="121"/>
        <v>0.05</v>
      </c>
      <c r="N1795" s="464">
        <f t="shared" si="122"/>
        <v>105678</v>
      </c>
    </row>
    <row r="1796" spans="7:14" ht="11.25" customHeight="1" x14ac:dyDescent="0.25">
      <c r="G1796" s="459"/>
      <c r="H1796" s="459">
        <v>1789</v>
      </c>
      <c r="I1796" s="444">
        <f t="shared" ca="1" si="120"/>
        <v>-1372611774.523994</v>
      </c>
      <c r="J1796" s="444">
        <f t="array" ref="J1796">IFERROR(INDEX('Retirement Calculator'!K:K,MATCH('Lorri 401b'!N1796,'Retirement Calculator'!A:A,0),0),0)</f>
        <v>0</v>
      </c>
      <c r="K1796" s="444">
        <f t="shared" ca="1" si="118"/>
        <v>-5719215.7271833085</v>
      </c>
      <c r="L1796" s="444">
        <f t="shared" ca="1" si="119"/>
        <v>-1378330990.2511773</v>
      </c>
      <c r="M1796" s="460">
        <f t="shared" si="121"/>
        <v>0.05</v>
      </c>
      <c r="N1796" s="464">
        <f t="shared" si="122"/>
        <v>105709</v>
      </c>
    </row>
    <row r="1797" spans="7:14" ht="11.25" customHeight="1" x14ac:dyDescent="0.25">
      <c r="G1797" s="459"/>
      <c r="H1797" s="459">
        <v>1790</v>
      </c>
      <c r="I1797" s="444">
        <f t="shared" ca="1" si="120"/>
        <v>-1378330990.2511773</v>
      </c>
      <c r="J1797" s="444">
        <f t="array" ref="J1797">IFERROR(INDEX('Retirement Calculator'!K:K,MATCH('Lorri 401b'!N1797,'Retirement Calculator'!A:A,0),0),0)</f>
        <v>0</v>
      </c>
      <c r="K1797" s="444">
        <f t="shared" ca="1" si="118"/>
        <v>-5743045.7927132389</v>
      </c>
      <c r="L1797" s="444">
        <f t="shared" ca="1" si="119"/>
        <v>-1384074036.0438905</v>
      </c>
      <c r="M1797" s="460">
        <f t="shared" si="121"/>
        <v>0.05</v>
      </c>
      <c r="N1797" s="464">
        <f t="shared" si="122"/>
        <v>105739</v>
      </c>
    </row>
    <row r="1798" spans="7:14" ht="11.25" customHeight="1" x14ac:dyDescent="0.25">
      <c r="G1798" s="459"/>
      <c r="H1798" s="459">
        <v>1791</v>
      </c>
      <c r="I1798" s="444">
        <f t="shared" ca="1" si="120"/>
        <v>-1384074036.0438905</v>
      </c>
      <c r="J1798" s="444">
        <f t="array" ref="J1798">IFERROR(INDEX('Retirement Calculator'!K:K,MATCH('Lorri 401b'!N1798,'Retirement Calculator'!A:A,0),0),0)</f>
        <v>0</v>
      </c>
      <c r="K1798" s="444">
        <f t="shared" ca="1" si="118"/>
        <v>-5766975.1501828767</v>
      </c>
      <c r="L1798" s="444">
        <f t="shared" ca="1" si="119"/>
        <v>-1389841011.1940734</v>
      </c>
      <c r="M1798" s="460">
        <f t="shared" si="121"/>
        <v>0.05</v>
      </c>
      <c r="N1798" s="464">
        <f t="shared" si="122"/>
        <v>105770</v>
      </c>
    </row>
    <row r="1799" spans="7:14" ht="11.25" customHeight="1" x14ac:dyDescent="0.25">
      <c r="G1799" s="459"/>
      <c r="H1799" s="459">
        <v>1792</v>
      </c>
      <c r="I1799" s="444">
        <f t="shared" ca="1" si="120"/>
        <v>-1389841011.1940734</v>
      </c>
      <c r="J1799" s="444">
        <f t="array" ref="J1799">IFERROR(INDEX('Retirement Calculator'!K:K,MATCH('Lorri 401b'!N1799,'Retirement Calculator'!A:A,0),0),0)</f>
        <v>0</v>
      </c>
      <c r="K1799" s="444">
        <f t="shared" ca="1" si="118"/>
        <v>-5791004.2133086389</v>
      </c>
      <c r="L1799" s="444">
        <f t="shared" ca="1" si="119"/>
        <v>-1395632015.407382</v>
      </c>
      <c r="M1799" s="460">
        <f t="shared" si="121"/>
        <v>0.05</v>
      </c>
      <c r="N1799" s="464">
        <f t="shared" si="122"/>
        <v>105801</v>
      </c>
    </row>
    <row r="1800" spans="7:14" ht="11.25" customHeight="1" x14ac:dyDescent="0.25">
      <c r="G1800" s="459"/>
      <c r="H1800" s="459">
        <v>1793</v>
      </c>
      <c r="I1800" s="444">
        <f t="shared" ca="1" si="120"/>
        <v>-1395632015.407382</v>
      </c>
      <c r="J1800" s="444">
        <f t="array" ref="J1800">IFERROR(INDEX('Retirement Calculator'!K:K,MATCH('Lorri 401b'!N1800,'Retirement Calculator'!A:A,0),0),0)</f>
        <v>0</v>
      </c>
      <c r="K1800" s="444">
        <f t="shared" ca="1" si="118"/>
        <v>-5815133.3975307588</v>
      </c>
      <c r="L1800" s="444">
        <f t="shared" ca="1" si="119"/>
        <v>-1401447148.8049128</v>
      </c>
      <c r="M1800" s="460">
        <f t="shared" si="121"/>
        <v>0.05</v>
      </c>
      <c r="N1800" s="464">
        <f t="shared" si="122"/>
        <v>105831</v>
      </c>
    </row>
    <row r="1801" spans="7:14" ht="11.25" customHeight="1" x14ac:dyDescent="0.25">
      <c r="G1801" s="459"/>
      <c r="H1801" s="459">
        <v>1794</v>
      </c>
      <c r="I1801" s="444">
        <f t="shared" ca="1" si="120"/>
        <v>-1401447148.8049128</v>
      </c>
      <c r="J1801" s="444">
        <f t="array" ref="J1801">IFERROR(INDEX('Retirement Calculator'!K:K,MATCH('Lorri 401b'!N1801,'Retirement Calculator'!A:A,0),0),0)</f>
        <v>0</v>
      </c>
      <c r="K1801" s="444">
        <f t="shared" ca="1" si="118"/>
        <v>-5839363.1200204697</v>
      </c>
      <c r="L1801" s="444">
        <f t="shared" ca="1" si="119"/>
        <v>-1407286511.9249332</v>
      </c>
      <c r="M1801" s="460">
        <f t="shared" si="121"/>
        <v>0.05</v>
      </c>
      <c r="N1801" s="464">
        <f t="shared" si="122"/>
        <v>105862</v>
      </c>
    </row>
    <row r="1802" spans="7:14" ht="11.25" customHeight="1" x14ac:dyDescent="0.25">
      <c r="G1802" s="459"/>
      <c r="H1802" s="459">
        <v>1795</v>
      </c>
      <c r="I1802" s="444">
        <f t="shared" ca="1" si="120"/>
        <v>-1407286511.9249332</v>
      </c>
      <c r="J1802" s="444">
        <f t="array" ref="J1802">IFERROR(INDEX('Retirement Calculator'!K:K,MATCH('Lorri 401b'!N1802,'Retirement Calculator'!A:A,0),0),0)</f>
        <v>0</v>
      </c>
      <c r="K1802" s="444">
        <f t="shared" ca="1" si="118"/>
        <v>-5863693.7996872216</v>
      </c>
      <c r="L1802" s="444">
        <f t="shared" ca="1" si="119"/>
        <v>-1413150205.7246203</v>
      </c>
      <c r="M1802" s="460">
        <f t="shared" si="121"/>
        <v>0.05</v>
      </c>
      <c r="N1802" s="464">
        <f t="shared" si="122"/>
        <v>105892</v>
      </c>
    </row>
    <row r="1803" spans="7:14" ht="11.25" customHeight="1" x14ac:dyDescent="0.25">
      <c r="G1803" s="459"/>
      <c r="H1803" s="459">
        <v>1796</v>
      </c>
      <c r="I1803" s="444">
        <f t="shared" ca="1" si="120"/>
        <v>-1413150205.7246203</v>
      </c>
      <c r="J1803" s="444">
        <f t="array" ref="J1803">IFERROR(INDEX('Retirement Calculator'!K:K,MATCH('Lorri 401b'!N1803,'Retirement Calculator'!A:A,0),0),0)</f>
        <v>0</v>
      </c>
      <c r="K1803" s="444">
        <f t="shared" ca="1" si="118"/>
        <v>-5888125.8571859179</v>
      </c>
      <c r="L1803" s="444">
        <f t="shared" ca="1" si="119"/>
        <v>-1419038331.5818062</v>
      </c>
      <c r="M1803" s="460">
        <f t="shared" si="121"/>
        <v>0.05</v>
      </c>
      <c r="N1803" s="464">
        <f t="shared" si="122"/>
        <v>105923</v>
      </c>
    </row>
    <row r="1804" spans="7:14" ht="11.25" customHeight="1" x14ac:dyDescent="0.25">
      <c r="G1804" s="459"/>
      <c r="H1804" s="459">
        <v>1797</v>
      </c>
      <c r="I1804" s="444">
        <f t="shared" ca="1" si="120"/>
        <v>-1419038331.5818062</v>
      </c>
      <c r="J1804" s="444">
        <f t="array" ref="J1804">IFERROR(INDEX('Retirement Calculator'!K:K,MATCH('Lorri 401b'!N1804,'Retirement Calculator'!A:A,0),0),0)</f>
        <v>0</v>
      </c>
      <c r="K1804" s="444">
        <f t="shared" ca="1" si="118"/>
        <v>-5912659.7149241921</v>
      </c>
      <c r="L1804" s="444">
        <f t="shared" ca="1" si="119"/>
        <v>-1424950991.2967303</v>
      </c>
      <c r="M1804" s="460">
        <f t="shared" si="121"/>
        <v>0.05</v>
      </c>
      <c r="N1804" s="464">
        <f t="shared" si="122"/>
        <v>105954</v>
      </c>
    </row>
    <row r="1805" spans="7:14" ht="11.25" customHeight="1" x14ac:dyDescent="0.25">
      <c r="G1805" s="459"/>
      <c r="H1805" s="459">
        <v>1798</v>
      </c>
      <c r="I1805" s="444">
        <f t="shared" ca="1" si="120"/>
        <v>-1424950991.2967303</v>
      </c>
      <c r="J1805" s="444">
        <f t="array" ref="J1805">IFERROR(INDEX('Retirement Calculator'!K:K,MATCH('Lorri 401b'!N1805,'Retirement Calculator'!A:A,0),0),0)</f>
        <v>0</v>
      </c>
      <c r="K1805" s="444">
        <f t="shared" ca="1" si="118"/>
        <v>-5937295.7970697097</v>
      </c>
      <c r="L1805" s="444">
        <f t="shared" ca="1" si="119"/>
        <v>-1430888287.0938001</v>
      </c>
      <c r="M1805" s="460">
        <f t="shared" si="121"/>
        <v>0.05</v>
      </c>
      <c r="N1805" s="464">
        <f t="shared" si="122"/>
        <v>105982</v>
      </c>
    </row>
    <row r="1806" spans="7:14" ht="11.25" customHeight="1" x14ac:dyDescent="0.25">
      <c r="G1806" s="459"/>
      <c r="H1806" s="459">
        <v>1799</v>
      </c>
      <c r="I1806" s="444">
        <f t="shared" ca="1" si="120"/>
        <v>-1430888287.0938001</v>
      </c>
      <c r="J1806" s="444">
        <f t="array" ref="J1806">IFERROR(INDEX('Retirement Calculator'!K:K,MATCH('Lorri 401b'!N1806,'Retirement Calculator'!A:A,0),0),0)</f>
        <v>0</v>
      </c>
      <c r="K1806" s="444">
        <f t="shared" ca="1" si="118"/>
        <v>-5962034.5295575</v>
      </c>
      <c r="L1806" s="444">
        <f t="shared" ca="1" si="119"/>
        <v>-1436850321.6233575</v>
      </c>
      <c r="M1806" s="460">
        <f t="shared" si="121"/>
        <v>0.05</v>
      </c>
      <c r="N1806" s="464">
        <f t="shared" si="122"/>
        <v>106013</v>
      </c>
    </row>
    <row r="1807" spans="7:14" ht="11.25" customHeight="1" x14ac:dyDescent="0.25">
      <c r="G1807" s="459"/>
      <c r="H1807" s="459">
        <v>1800</v>
      </c>
      <c r="I1807" s="444">
        <f t="shared" ca="1" si="120"/>
        <v>-1436850321.6233575</v>
      </c>
      <c r="J1807" s="444">
        <f t="array" ref="J1807">IFERROR(INDEX('Retirement Calculator'!K:K,MATCH('Lorri 401b'!N1807,'Retirement Calculator'!A:A,0),0),0)</f>
        <v>0</v>
      </c>
      <c r="K1807" s="444">
        <f t="shared" ca="1" si="118"/>
        <v>-5986876.3400973231</v>
      </c>
      <c r="L1807" s="444">
        <f t="shared" ca="1" si="119"/>
        <v>-1442837197.963455</v>
      </c>
      <c r="M1807" s="460">
        <f t="shared" si="121"/>
        <v>0.05</v>
      </c>
      <c r="N1807" s="464">
        <f t="shared" si="122"/>
        <v>106043</v>
      </c>
    </row>
    <row r="1808" spans="7:14" ht="11.25" customHeight="1" x14ac:dyDescent="0.25">
      <c r="G1808" s="459"/>
      <c r="H1808" s="459">
        <v>1801</v>
      </c>
      <c r="I1808" s="444">
        <f t="shared" ca="1" si="120"/>
        <v>-1442837197.963455</v>
      </c>
      <c r="J1808" s="444">
        <f t="array" ref="J1808">IFERROR(INDEX('Retirement Calculator'!K:K,MATCH('Lorri 401b'!N1808,'Retirement Calculator'!A:A,0),0),0)</f>
        <v>0</v>
      </c>
      <c r="K1808" s="444">
        <f t="shared" ca="1" si="118"/>
        <v>-6011821.658181062</v>
      </c>
      <c r="L1808" s="444">
        <f t="shared" ca="1" si="119"/>
        <v>-1448849019.6216359</v>
      </c>
      <c r="M1808" s="460">
        <f t="shared" si="121"/>
        <v>0.05</v>
      </c>
      <c r="N1808" s="464">
        <f t="shared" si="122"/>
        <v>106074</v>
      </c>
    </row>
    <row r="1809" spans="7:14" ht="11.25" customHeight="1" x14ac:dyDescent="0.25">
      <c r="G1809" s="459"/>
      <c r="H1809" s="459">
        <v>1802</v>
      </c>
      <c r="I1809" s="444">
        <f t="shared" ca="1" si="120"/>
        <v>-1448849019.6216359</v>
      </c>
      <c r="J1809" s="444">
        <f t="array" ref="J1809">IFERROR(INDEX('Retirement Calculator'!K:K,MATCH('Lorri 401b'!N1809,'Retirement Calculator'!A:A,0),0),0)</f>
        <v>0</v>
      </c>
      <c r="K1809" s="444">
        <f t="shared" ca="1" si="118"/>
        <v>-6036870.9150901493</v>
      </c>
      <c r="L1809" s="444">
        <f t="shared" ca="1" si="119"/>
        <v>-1454885890.536726</v>
      </c>
      <c r="M1809" s="460">
        <f t="shared" si="121"/>
        <v>0.05</v>
      </c>
      <c r="N1809" s="464">
        <f t="shared" si="122"/>
        <v>106104</v>
      </c>
    </row>
    <row r="1810" spans="7:14" ht="11.25" customHeight="1" x14ac:dyDescent="0.25">
      <c r="G1810" s="459"/>
      <c r="H1810" s="459">
        <v>1803</v>
      </c>
      <c r="I1810" s="444">
        <f t="shared" ca="1" si="120"/>
        <v>-1454885890.536726</v>
      </c>
      <c r="J1810" s="444">
        <f t="array" ref="J1810">IFERROR(INDEX('Retirement Calculator'!K:K,MATCH('Lorri 401b'!N1810,'Retirement Calculator'!A:A,0),0),0)</f>
        <v>0</v>
      </c>
      <c r="K1810" s="444">
        <f t="shared" ca="1" si="118"/>
        <v>-6062024.5439030249</v>
      </c>
      <c r="L1810" s="444">
        <f t="shared" ca="1" si="119"/>
        <v>-1460947915.0806291</v>
      </c>
      <c r="M1810" s="460">
        <f t="shared" si="121"/>
        <v>0.05</v>
      </c>
      <c r="N1810" s="464">
        <f t="shared" si="122"/>
        <v>106135</v>
      </c>
    </row>
    <row r="1811" spans="7:14" ht="11.25" customHeight="1" x14ac:dyDescent="0.25">
      <c r="G1811" s="459"/>
      <c r="H1811" s="459">
        <v>1804</v>
      </c>
      <c r="I1811" s="444">
        <f t="shared" ca="1" si="120"/>
        <v>-1460947915.0806291</v>
      </c>
      <c r="J1811" s="444">
        <f t="array" ref="J1811">IFERROR(INDEX('Retirement Calculator'!K:K,MATCH('Lorri 401b'!N1811,'Retirement Calculator'!A:A,0),0),0)</f>
        <v>0</v>
      </c>
      <c r="K1811" s="444">
        <f t="shared" ca="1" si="118"/>
        <v>-6087282.9795026211</v>
      </c>
      <c r="L1811" s="444">
        <f t="shared" ca="1" si="119"/>
        <v>-1467035198.0601318</v>
      </c>
      <c r="M1811" s="460">
        <f t="shared" si="121"/>
        <v>0.05</v>
      </c>
      <c r="N1811" s="464">
        <f t="shared" si="122"/>
        <v>106166</v>
      </c>
    </row>
    <row r="1812" spans="7:14" ht="11.25" customHeight="1" x14ac:dyDescent="0.25">
      <c r="G1812" s="459"/>
      <c r="H1812" s="459">
        <v>1805</v>
      </c>
      <c r="I1812" s="444">
        <f t="shared" ca="1" si="120"/>
        <v>-1467035198.0601318</v>
      </c>
      <c r="J1812" s="444">
        <f t="array" ref="J1812">IFERROR(INDEX('Retirement Calculator'!K:K,MATCH('Lorri 401b'!N1812,'Retirement Calculator'!A:A,0),0),0)</f>
        <v>0</v>
      </c>
      <c r="K1812" s="444">
        <f t="shared" ca="1" si="118"/>
        <v>-6112646.6585838823</v>
      </c>
      <c r="L1812" s="444">
        <f t="shared" ca="1" si="119"/>
        <v>-1473147844.7187157</v>
      </c>
      <c r="M1812" s="460">
        <f t="shared" si="121"/>
        <v>0.05</v>
      </c>
      <c r="N1812" s="464">
        <f t="shared" si="122"/>
        <v>106196</v>
      </c>
    </row>
    <row r="1813" spans="7:14" ht="11.25" customHeight="1" x14ac:dyDescent="0.25">
      <c r="G1813" s="459"/>
      <c r="H1813" s="459">
        <v>1806</v>
      </c>
      <c r="I1813" s="444">
        <f t="shared" ca="1" si="120"/>
        <v>-1473147844.7187157</v>
      </c>
      <c r="J1813" s="444">
        <f t="array" ref="J1813">IFERROR(INDEX('Retirement Calculator'!K:K,MATCH('Lorri 401b'!N1813,'Retirement Calculator'!A:A,0),0),0)</f>
        <v>0</v>
      </c>
      <c r="K1813" s="444">
        <f t="shared" ca="1" si="118"/>
        <v>-6138116.0196613148</v>
      </c>
      <c r="L1813" s="444">
        <f t="shared" ca="1" si="119"/>
        <v>-1479285960.7383771</v>
      </c>
      <c r="M1813" s="460">
        <f t="shared" si="121"/>
        <v>0.05</v>
      </c>
      <c r="N1813" s="464">
        <f t="shared" si="122"/>
        <v>106227</v>
      </c>
    </row>
    <row r="1814" spans="7:14" ht="11.25" customHeight="1" x14ac:dyDescent="0.25">
      <c r="G1814" s="459"/>
      <c r="H1814" s="459">
        <v>1807</v>
      </c>
      <c r="I1814" s="444">
        <f t="shared" ca="1" si="120"/>
        <v>-1479285960.7383771</v>
      </c>
      <c r="J1814" s="444">
        <f t="array" ref="J1814">IFERROR(INDEX('Retirement Calculator'!K:K,MATCH('Lorri 401b'!N1814,'Retirement Calculator'!A:A,0),0),0)</f>
        <v>0</v>
      </c>
      <c r="K1814" s="444">
        <f t="shared" ca="1" si="118"/>
        <v>-6163691.503076571</v>
      </c>
      <c r="L1814" s="444">
        <f t="shared" ca="1" si="119"/>
        <v>-1485449652.2414536</v>
      </c>
      <c r="M1814" s="460">
        <f t="shared" si="121"/>
        <v>0.05</v>
      </c>
      <c r="N1814" s="464">
        <f t="shared" si="122"/>
        <v>106257</v>
      </c>
    </row>
    <row r="1815" spans="7:14" ht="11.25" customHeight="1" x14ac:dyDescent="0.25">
      <c r="G1815" s="459"/>
      <c r="H1815" s="459">
        <v>1808</v>
      </c>
      <c r="I1815" s="444">
        <f t="shared" ca="1" si="120"/>
        <v>-1485449652.2414536</v>
      </c>
      <c r="J1815" s="444">
        <f t="array" ref="J1815">IFERROR(INDEX('Retirement Calculator'!K:K,MATCH('Lorri 401b'!N1815,'Retirement Calculator'!A:A,0),0),0)</f>
        <v>0</v>
      </c>
      <c r="K1815" s="444">
        <f t="shared" ca="1" si="118"/>
        <v>-6189373.5510060564</v>
      </c>
      <c r="L1815" s="444">
        <f t="shared" ca="1" si="119"/>
        <v>-1491639025.7924597</v>
      </c>
      <c r="M1815" s="460">
        <f t="shared" si="121"/>
        <v>0.05</v>
      </c>
      <c r="N1815" s="464">
        <f t="shared" si="122"/>
        <v>106288</v>
      </c>
    </row>
    <row r="1816" spans="7:14" ht="11.25" customHeight="1" x14ac:dyDescent="0.25">
      <c r="G1816" s="459"/>
      <c r="H1816" s="459">
        <v>1809</v>
      </c>
      <c r="I1816" s="444">
        <f t="shared" ca="1" si="120"/>
        <v>-1491639025.7924597</v>
      </c>
      <c r="J1816" s="444">
        <f t="array" ref="J1816">IFERROR(INDEX('Retirement Calculator'!K:K,MATCH('Lorri 401b'!N1816,'Retirement Calculator'!A:A,0),0),0)</f>
        <v>0</v>
      </c>
      <c r="K1816" s="444">
        <f t="shared" ca="1" si="118"/>
        <v>-6215162.6074685818</v>
      </c>
      <c r="L1816" s="444">
        <f t="shared" ca="1" si="119"/>
        <v>-1497854188.3999283</v>
      </c>
      <c r="M1816" s="460">
        <f t="shared" si="121"/>
        <v>0.05</v>
      </c>
      <c r="N1816" s="464">
        <f t="shared" si="122"/>
        <v>106319</v>
      </c>
    </row>
    <row r="1817" spans="7:14" ht="11.25" customHeight="1" x14ac:dyDescent="0.25">
      <c r="G1817" s="459"/>
      <c r="H1817" s="459">
        <v>1810</v>
      </c>
      <c r="I1817" s="444">
        <f t="shared" ca="1" si="120"/>
        <v>-1497854188.3999283</v>
      </c>
      <c r="J1817" s="444">
        <f t="array" ref="J1817">IFERROR(INDEX('Retirement Calculator'!K:K,MATCH('Lorri 401b'!N1817,'Retirement Calculator'!A:A,0),0),0)</f>
        <v>0</v>
      </c>
      <c r="K1817" s="444">
        <f t="shared" ca="1" si="118"/>
        <v>-6241059.1183330342</v>
      </c>
      <c r="L1817" s="444">
        <f t="shared" ca="1" si="119"/>
        <v>-1504095247.5182614</v>
      </c>
      <c r="M1817" s="460">
        <f t="shared" si="121"/>
        <v>0.05</v>
      </c>
      <c r="N1817" s="464">
        <f t="shared" si="122"/>
        <v>106347</v>
      </c>
    </row>
    <row r="1818" spans="7:14" ht="11.25" customHeight="1" x14ac:dyDescent="0.25">
      <c r="G1818" s="459"/>
      <c r="H1818" s="459">
        <v>1811</v>
      </c>
      <c r="I1818" s="444">
        <f t="shared" ca="1" si="120"/>
        <v>-1504095247.5182614</v>
      </c>
      <c r="J1818" s="444">
        <f t="array" ref="J1818">IFERROR(INDEX('Retirement Calculator'!K:K,MATCH('Lorri 401b'!N1818,'Retirement Calculator'!A:A,0),0),0)</f>
        <v>0</v>
      </c>
      <c r="K1818" s="444">
        <f t="shared" ca="1" si="118"/>
        <v>-6267063.5313260891</v>
      </c>
      <c r="L1818" s="444">
        <f t="shared" ca="1" si="119"/>
        <v>-1510362311.0495875</v>
      </c>
      <c r="M1818" s="460">
        <f t="shared" si="121"/>
        <v>0.05</v>
      </c>
      <c r="N1818" s="464">
        <f t="shared" si="122"/>
        <v>106378</v>
      </c>
    </row>
    <row r="1819" spans="7:14" ht="11.25" customHeight="1" x14ac:dyDescent="0.25">
      <c r="G1819" s="459"/>
      <c r="H1819" s="459">
        <v>1812</v>
      </c>
      <c r="I1819" s="444">
        <f t="shared" ca="1" si="120"/>
        <v>-1510362311.0495875</v>
      </c>
      <c r="J1819" s="444">
        <f t="array" ref="J1819">IFERROR(INDEX('Retirement Calculator'!K:K,MATCH('Lorri 401b'!N1819,'Retirement Calculator'!A:A,0),0),0)</f>
        <v>0</v>
      </c>
      <c r="K1819" s="444">
        <f t="shared" ca="1" si="118"/>
        <v>-6293176.2960399482</v>
      </c>
      <c r="L1819" s="444">
        <f t="shared" ca="1" si="119"/>
        <v>-1516655487.3456275</v>
      </c>
      <c r="M1819" s="460">
        <f t="shared" si="121"/>
        <v>0.05</v>
      </c>
      <c r="N1819" s="464">
        <f t="shared" si="122"/>
        <v>106408</v>
      </c>
    </row>
    <row r="1820" spans="7:14" ht="11.25" customHeight="1" x14ac:dyDescent="0.25">
      <c r="G1820" s="459"/>
      <c r="H1820" s="459">
        <v>1813</v>
      </c>
      <c r="I1820" s="444">
        <f t="shared" ca="1" si="120"/>
        <v>-1516655487.3456275</v>
      </c>
      <c r="J1820" s="444">
        <f t="array" ref="J1820">IFERROR(INDEX('Retirement Calculator'!K:K,MATCH('Lorri 401b'!N1820,'Retirement Calculator'!A:A,0),0),0)</f>
        <v>0</v>
      </c>
      <c r="K1820" s="444">
        <f t="shared" ca="1" si="118"/>
        <v>-6319397.8639401151</v>
      </c>
      <c r="L1820" s="444">
        <f t="shared" ca="1" si="119"/>
        <v>-1522974885.2095675</v>
      </c>
      <c r="M1820" s="460">
        <f t="shared" si="121"/>
        <v>0.05</v>
      </c>
      <c r="N1820" s="464">
        <f t="shared" si="122"/>
        <v>106439</v>
      </c>
    </row>
    <row r="1821" spans="7:14" ht="11.25" customHeight="1" x14ac:dyDescent="0.25">
      <c r="G1821" s="459"/>
      <c r="H1821" s="459">
        <v>1814</v>
      </c>
      <c r="I1821" s="444">
        <f t="shared" ca="1" si="120"/>
        <v>-1522974885.2095675</v>
      </c>
      <c r="J1821" s="444">
        <f t="array" ref="J1821">IFERROR(INDEX('Retirement Calculator'!K:K,MATCH('Lorri 401b'!N1821,'Retirement Calculator'!A:A,0),0),0)</f>
        <v>0</v>
      </c>
      <c r="K1821" s="444">
        <f t="shared" ca="1" si="118"/>
        <v>-6345728.6883731978</v>
      </c>
      <c r="L1821" s="444">
        <f t="shared" ca="1" si="119"/>
        <v>-1529320613.8979406</v>
      </c>
      <c r="M1821" s="460">
        <f t="shared" si="121"/>
        <v>0.05</v>
      </c>
      <c r="N1821" s="464">
        <f t="shared" si="122"/>
        <v>106469</v>
      </c>
    </row>
    <row r="1822" spans="7:14" ht="11.25" customHeight="1" x14ac:dyDescent="0.25">
      <c r="G1822" s="459"/>
      <c r="H1822" s="459">
        <v>1815</v>
      </c>
      <c r="I1822" s="444">
        <f t="shared" ca="1" si="120"/>
        <v>-1529320613.8979406</v>
      </c>
      <c r="J1822" s="444">
        <f t="array" ref="J1822">IFERROR(INDEX('Retirement Calculator'!K:K,MATCH('Lorri 401b'!N1822,'Retirement Calculator'!A:A,0),0),0)</f>
        <v>0</v>
      </c>
      <c r="K1822" s="444">
        <f t="shared" ca="1" si="118"/>
        <v>-6372169.2245747522</v>
      </c>
      <c r="L1822" s="444">
        <f t="shared" ca="1" si="119"/>
        <v>-1535692783.1225154</v>
      </c>
      <c r="M1822" s="460">
        <f t="shared" si="121"/>
        <v>0.05</v>
      </c>
      <c r="N1822" s="464">
        <f t="shared" si="122"/>
        <v>106500</v>
      </c>
    </row>
    <row r="1823" spans="7:14" ht="11.25" customHeight="1" x14ac:dyDescent="0.25">
      <c r="G1823" s="459"/>
      <c r="H1823" s="459">
        <v>1816</v>
      </c>
      <c r="I1823" s="444">
        <f t="shared" ca="1" si="120"/>
        <v>-1535692783.1225154</v>
      </c>
      <c r="J1823" s="444">
        <f t="array" ref="J1823">IFERROR(INDEX('Retirement Calculator'!K:K,MATCH('Lorri 401b'!N1823,'Retirement Calculator'!A:A,0),0),0)</f>
        <v>0</v>
      </c>
      <c r="K1823" s="444">
        <f t="shared" ca="1" si="118"/>
        <v>-6398719.9296771474</v>
      </c>
      <c r="L1823" s="444">
        <f t="shared" ca="1" si="119"/>
        <v>-1542091503.0521927</v>
      </c>
      <c r="M1823" s="460">
        <f t="shared" si="121"/>
        <v>0.05</v>
      </c>
      <c r="N1823" s="464">
        <f t="shared" si="122"/>
        <v>106531</v>
      </c>
    </row>
    <row r="1824" spans="7:14" ht="11.25" customHeight="1" x14ac:dyDescent="0.25">
      <c r="G1824" s="459"/>
      <c r="H1824" s="459">
        <v>1817</v>
      </c>
      <c r="I1824" s="444">
        <f t="shared" ca="1" si="120"/>
        <v>-1542091503.0521927</v>
      </c>
      <c r="J1824" s="444">
        <f t="array" ref="J1824">IFERROR(INDEX('Retirement Calculator'!K:K,MATCH('Lorri 401b'!N1824,'Retirement Calculator'!A:A,0),0),0)</f>
        <v>0</v>
      </c>
      <c r="K1824" s="444">
        <f t="shared" ca="1" si="118"/>
        <v>-6425381.2627174696</v>
      </c>
      <c r="L1824" s="444">
        <f t="shared" ca="1" si="119"/>
        <v>-1548516884.3149102</v>
      </c>
      <c r="M1824" s="460">
        <f t="shared" si="121"/>
        <v>0.05</v>
      </c>
      <c r="N1824" s="464">
        <f t="shared" si="122"/>
        <v>106561</v>
      </c>
    </row>
    <row r="1825" spans="7:14" ht="11.25" customHeight="1" x14ac:dyDescent="0.25">
      <c r="G1825" s="459"/>
      <c r="H1825" s="459">
        <v>1818</v>
      </c>
      <c r="I1825" s="444">
        <f t="shared" ca="1" si="120"/>
        <v>-1548516884.3149102</v>
      </c>
      <c r="J1825" s="444">
        <f t="array" ref="J1825">IFERROR(INDEX('Retirement Calculator'!K:K,MATCH('Lorri 401b'!N1825,'Retirement Calculator'!A:A,0),0),0)</f>
        <v>0</v>
      </c>
      <c r="K1825" s="444">
        <f t="shared" ca="1" si="118"/>
        <v>-6452153.6846454591</v>
      </c>
      <c r="L1825" s="444">
        <f t="shared" ca="1" si="119"/>
        <v>-1554969037.9995556</v>
      </c>
      <c r="M1825" s="460">
        <f t="shared" si="121"/>
        <v>0.05</v>
      </c>
      <c r="N1825" s="464">
        <f t="shared" si="122"/>
        <v>106592</v>
      </c>
    </row>
    <row r="1826" spans="7:14" ht="11.25" customHeight="1" x14ac:dyDescent="0.25">
      <c r="G1826" s="459"/>
      <c r="H1826" s="459">
        <v>1819</v>
      </c>
      <c r="I1826" s="444">
        <f t="shared" ca="1" si="120"/>
        <v>-1554969037.9995556</v>
      </c>
      <c r="J1826" s="444">
        <f t="array" ref="J1826">IFERROR(INDEX('Retirement Calculator'!K:K,MATCH('Lorri 401b'!N1826,'Retirement Calculator'!A:A,0),0),0)</f>
        <v>0</v>
      </c>
      <c r="K1826" s="444">
        <f t="shared" ca="1" si="118"/>
        <v>-6479037.6583314817</v>
      </c>
      <c r="L1826" s="444">
        <f t="shared" ca="1" si="119"/>
        <v>-1561448075.657887</v>
      </c>
      <c r="M1826" s="460">
        <f t="shared" si="121"/>
        <v>0.05</v>
      </c>
      <c r="N1826" s="464">
        <f t="shared" si="122"/>
        <v>106622</v>
      </c>
    </row>
    <row r="1827" spans="7:14" ht="11.25" customHeight="1" x14ac:dyDescent="0.25">
      <c r="G1827" s="459"/>
      <c r="H1827" s="459">
        <v>1820</v>
      </c>
      <c r="I1827" s="444">
        <f t="shared" ca="1" si="120"/>
        <v>-1561448075.657887</v>
      </c>
      <c r="J1827" s="444">
        <f t="array" ref="J1827">IFERROR(INDEX('Retirement Calculator'!K:K,MATCH('Lorri 401b'!N1827,'Retirement Calculator'!A:A,0),0),0)</f>
        <v>0</v>
      </c>
      <c r="K1827" s="444">
        <f t="shared" ca="1" si="118"/>
        <v>-6506033.6485745292</v>
      </c>
      <c r="L1827" s="444">
        <f t="shared" ca="1" si="119"/>
        <v>-1567954109.3064616</v>
      </c>
      <c r="M1827" s="460">
        <f t="shared" si="121"/>
        <v>0.05</v>
      </c>
      <c r="N1827" s="464">
        <f t="shared" si="122"/>
        <v>106653</v>
      </c>
    </row>
    <row r="1828" spans="7:14" ht="11.25" customHeight="1" x14ac:dyDescent="0.25">
      <c r="G1828" s="459"/>
      <c r="H1828" s="459">
        <v>1821</v>
      </c>
      <c r="I1828" s="444">
        <f t="shared" ca="1" si="120"/>
        <v>-1567954109.3064616</v>
      </c>
      <c r="J1828" s="444">
        <f t="array" ref="J1828">IFERROR(INDEX('Retirement Calculator'!K:K,MATCH('Lorri 401b'!N1828,'Retirement Calculator'!A:A,0),0),0)</f>
        <v>0</v>
      </c>
      <c r="K1828" s="444">
        <f t="shared" ca="1" si="118"/>
        <v>-6533142.1221102569</v>
      </c>
      <c r="L1828" s="444">
        <f t="shared" ca="1" si="119"/>
        <v>-1574487251.4285719</v>
      </c>
      <c r="M1828" s="460">
        <f t="shared" si="121"/>
        <v>0.05</v>
      </c>
      <c r="N1828" s="464">
        <f t="shared" si="122"/>
        <v>106684</v>
      </c>
    </row>
    <row r="1829" spans="7:14" ht="11.25" customHeight="1" x14ac:dyDescent="0.25">
      <c r="G1829" s="459"/>
      <c r="H1829" s="459">
        <v>1822</v>
      </c>
      <c r="I1829" s="444">
        <f t="shared" ca="1" si="120"/>
        <v>-1574487251.4285719</v>
      </c>
      <c r="J1829" s="444">
        <f t="array" ref="J1829">IFERROR(INDEX('Retirement Calculator'!K:K,MATCH('Lorri 401b'!N1829,'Retirement Calculator'!A:A,0),0),0)</f>
        <v>0</v>
      </c>
      <c r="K1829" s="444">
        <f t="shared" ca="1" si="118"/>
        <v>-6560363.5476190494</v>
      </c>
      <c r="L1829" s="444">
        <f t="shared" ca="1" si="119"/>
        <v>-1581047614.976191</v>
      </c>
      <c r="M1829" s="460">
        <f t="shared" si="121"/>
        <v>0.05</v>
      </c>
      <c r="N1829" s="464">
        <f t="shared" si="122"/>
        <v>106713</v>
      </c>
    </row>
    <row r="1830" spans="7:14" ht="11.25" customHeight="1" x14ac:dyDescent="0.25">
      <c r="G1830" s="459"/>
      <c r="H1830" s="459">
        <v>1823</v>
      </c>
      <c r="I1830" s="444">
        <f t="shared" ca="1" si="120"/>
        <v>-1581047614.976191</v>
      </c>
      <c r="J1830" s="444">
        <f t="array" ref="J1830">IFERROR(INDEX('Retirement Calculator'!K:K,MATCH('Lorri 401b'!N1830,'Retirement Calculator'!A:A,0),0),0)</f>
        <v>0</v>
      </c>
      <c r="K1830" s="444">
        <f t="shared" ca="1" si="118"/>
        <v>-6587698.3957341295</v>
      </c>
      <c r="L1830" s="444">
        <f t="shared" ca="1" si="119"/>
        <v>-1587635313.3719251</v>
      </c>
      <c r="M1830" s="460">
        <f t="shared" si="121"/>
        <v>0.05</v>
      </c>
      <c r="N1830" s="464">
        <f t="shared" si="122"/>
        <v>106744</v>
      </c>
    </row>
    <row r="1831" spans="7:14" ht="11.25" customHeight="1" x14ac:dyDescent="0.25">
      <c r="G1831" s="459"/>
      <c r="H1831" s="459">
        <v>1824</v>
      </c>
      <c r="I1831" s="444">
        <f t="shared" ca="1" si="120"/>
        <v>-1587635313.3719251</v>
      </c>
      <c r="J1831" s="444">
        <f t="array" ref="J1831">IFERROR(INDEX('Retirement Calculator'!K:K,MATCH('Lorri 401b'!N1831,'Retirement Calculator'!A:A,0),0),0)</f>
        <v>0</v>
      </c>
      <c r="K1831" s="444">
        <f t="shared" ca="1" si="118"/>
        <v>-6615147.1390496884</v>
      </c>
      <c r="L1831" s="444">
        <f t="shared" ca="1" si="119"/>
        <v>-1594250460.5109749</v>
      </c>
      <c r="M1831" s="460">
        <f t="shared" si="121"/>
        <v>0.05</v>
      </c>
      <c r="N1831" s="464">
        <f t="shared" si="122"/>
        <v>106774</v>
      </c>
    </row>
    <row r="1832" spans="7:14" ht="11.25" customHeight="1" x14ac:dyDescent="0.25">
      <c r="G1832" s="459"/>
      <c r="H1832" s="459">
        <v>1825</v>
      </c>
      <c r="I1832" s="444">
        <f t="shared" ca="1" si="120"/>
        <v>-1594250460.5109749</v>
      </c>
      <c r="J1832" s="444">
        <f t="array" ref="J1832">IFERROR(INDEX('Retirement Calculator'!K:K,MATCH('Lorri 401b'!N1832,'Retirement Calculator'!A:A,0),0),0)</f>
        <v>0</v>
      </c>
      <c r="K1832" s="444">
        <f t="shared" ca="1" si="118"/>
        <v>-6642710.2521290621</v>
      </c>
      <c r="L1832" s="444">
        <f t="shared" ca="1" si="119"/>
        <v>-1600893170.763104</v>
      </c>
      <c r="M1832" s="460">
        <f t="shared" si="121"/>
        <v>0.05</v>
      </c>
      <c r="N1832" s="464">
        <f t="shared" si="122"/>
        <v>106805</v>
      </c>
    </row>
    <row r="1833" spans="7:14" ht="11.25" customHeight="1" x14ac:dyDescent="0.25">
      <c r="G1833" s="459"/>
      <c r="H1833" s="459">
        <v>1826</v>
      </c>
      <c r="I1833" s="444">
        <f t="shared" ca="1" si="120"/>
        <v>-1600893170.763104</v>
      </c>
      <c r="J1833" s="444">
        <f t="array" ref="J1833">IFERROR(INDEX('Retirement Calculator'!K:K,MATCH('Lorri 401b'!N1833,'Retirement Calculator'!A:A,0),0),0)</f>
        <v>0</v>
      </c>
      <c r="K1833" s="444">
        <f t="shared" ca="1" si="118"/>
        <v>-6670388.2115129335</v>
      </c>
      <c r="L1833" s="444">
        <f t="shared" ca="1" si="119"/>
        <v>-1607563558.974617</v>
      </c>
      <c r="M1833" s="460">
        <f t="shared" si="121"/>
        <v>0.05</v>
      </c>
      <c r="N1833" s="464">
        <f t="shared" si="122"/>
        <v>106835</v>
      </c>
    </row>
    <row r="1834" spans="7:14" ht="11.25" customHeight="1" x14ac:dyDescent="0.25">
      <c r="G1834" s="459"/>
      <c r="H1834" s="459">
        <v>1827</v>
      </c>
      <c r="I1834" s="444">
        <f t="shared" ca="1" si="120"/>
        <v>-1607563558.974617</v>
      </c>
      <c r="J1834" s="444">
        <f t="array" ref="J1834">IFERROR(INDEX('Retirement Calculator'!K:K,MATCH('Lorri 401b'!N1834,'Retirement Calculator'!A:A,0),0),0)</f>
        <v>0</v>
      </c>
      <c r="K1834" s="444">
        <f t="shared" ca="1" si="118"/>
        <v>-6698181.4957275707</v>
      </c>
      <c r="L1834" s="444">
        <f t="shared" ca="1" si="119"/>
        <v>-1614261740.4703445</v>
      </c>
      <c r="M1834" s="460">
        <f t="shared" si="121"/>
        <v>0.05</v>
      </c>
      <c r="N1834" s="464">
        <f t="shared" si="122"/>
        <v>106866</v>
      </c>
    </row>
    <row r="1835" spans="7:14" ht="11.25" customHeight="1" x14ac:dyDescent="0.25">
      <c r="G1835" s="459"/>
      <c r="H1835" s="459">
        <v>1828</v>
      </c>
      <c r="I1835" s="444">
        <f t="shared" ca="1" si="120"/>
        <v>-1614261740.4703445</v>
      </c>
      <c r="J1835" s="444">
        <f t="array" ref="J1835">IFERROR(INDEX('Retirement Calculator'!K:K,MATCH('Lorri 401b'!N1835,'Retirement Calculator'!A:A,0),0),0)</f>
        <v>0</v>
      </c>
      <c r="K1835" s="444">
        <f t="shared" ca="1" si="118"/>
        <v>-6726090.5852931021</v>
      </c>
      <c r="L1835" s="444">
        <f t="shared" ca="1" si="119"/>
        <v>-1620987831.0556376</v>
      </c>
      <c r="M1835" s="460">
        <f t="shared" si="121"/>
        <v>0.05</v>
      </c>
      <c r="N1835" s="464">
        <f t="shared" si="122"/>
        <v>106897</v>
      </c>
    </row>
    <row r="1836" spans="7:14" ht="11.25" customHeight="1" x14ac:dyDescent="0.25">
      <c r="G1836" s="459"/>
      <c r="H1836" s="459">
        <v>1829</v>
      </c>
      <c r="I1836" s="444">
        <f t="shared" ca="1" si="120"/>
        <v>-1620987831.0556376</v>
      </c>
      <c r="J1836" s="444">
        <f t="array" ref="J1836">IFERROR(INDEX('Retirement Calculator'!K:K,MATCH('Lorri 401b'!N1836,'Retirement Calculator'!A:A,0),0),0)</f>
        <v>0</v>
      </c>
      <c r="K1836" s="444">
        <f t="shared" ca="1" si="118"/>
        <v>-6754115.9627318233</v>
      </c>
      <c r="L1836" s="444">
        <f t="shared" ca="1" si="119"/>
        <v>-1627741947.0183694</v>
      </c>
      <c r="M1836" s="460">
        <f t="shared" si="121"/>
        <v>0.05</v>
      </c>
      <c r="N1836" s="464">
        <f t="shared" si="122"/>
        <v>106927</v>
      </c>
    </row>
    <row r="1837" spans="7:14" ht="11.25" customHeight="1" x14ac:dyDescent="0.25">
      <c r="G1837" s="459"/>
      <c r="H1837" s="459">
        <v>1830</v>
      </c>
      <c r="I1837" s="444">
        <f t="shared" ca="1" si="120"/>
        <v>-1627741947.0183694</v>
      </c>
      <c r="J1837" s="444">
        <f t="array" ref="J1837">IFERROR(INDEX('Retirement Calculator'!K:K,MATCH('Lorri 401b'!N1837,'Retirement Calculator'!A:A,0),0),0)</f>
        <v>0</v>
      </c>
      <c r="K1837" s="444">
        <f t="shared" ca="1" si="118"/>
        <v>-6782258.1125765396</v>
      </c>
      <c r="L1837" s="444">
        <f t="shared" ca="1" si="119"/>
        <v>-1634524205.1309459</v>
      </c>
      <c r="M1837" s="460">
        <f t="shared" si="121"/>
        <v>0.05</v>
      </c>
      <c r="N1837" s="464">
        <f t="shared" si="122"/>
        <v>106958</v>
      </c>
    </row>
    <row r="1838" spans="7:14" ht="11.25" customHeight="1" x14ac:dyDescent="0.25">
      <c r="G1838" s="459"/>
      <c r="H1838" s="459">
        <v>1831</v>
      </c>
      <c r="I1838" s="444">
        <f t="shared" ca="1" si="120"/>
        <v>-1634524205.1309459</v>
      </c>
      <c r="J1838" s="444">
        <f t="array" ref="J1838">IFERROR(INDEX('Retirement Calculator'!K:K,MATCH('Lorri 401b'!N1838,'Retirement Calculator'!A:A,0),0),0)</f>
        <v>0</v>
      </c>
      <c r="K1838" s="444">
        <f t="shared" ca="1" si="118"/>
        <v>-6810517.5213789409</v>
      </c>
      <c r="L1838" s="444">
        <f t="shared" ca="1" si="119"/>
        <v>-1641334722.6523249</v>
      </c>
      <c r="M1838" s="460">
        <f t="shared" si="121"/>
        <v>0.05</v>
      </c>
      <c r="N1838" s="464">
        <f t="shared" si="122"/>
        <v>106988</v>
      </c>
    </row>
    <row r="1839" spans="7:14" ht="11.25" customHeight="1" x14ac:dyDescent="0.25">
      <c r="G1839" s="459"/>
      <c r="H1839" s="459">
        <v>1832</v>
      </c>
      <c r="I1839" s="444">
        <f t="shared" ca="1" si="120"/>
        <v>-1641334722.6523249</v>
      </c>
      <c r="J1839" s="444">
        <f t="array" ref="J1839">IFERROR(INDEX('Retirement Calculator'!K:K,MATCH('Lorri 401b'!N1839,'Retirement Calculator'!A:A,0),0),0)</f>
        <v>0</v>
      </c>
      <c r="K1839" s="444">
        <f t="shared" ca="1" si="118"/>
        <v>-6838894.67771802</v>
      </c>
      <c r="L1839" s="444">
        <f t="shared" ca="1" si="119"/>
        <v>-1648173617.3300428</v>
      </c>
      <c r="M1839" s="460">
        <f t="shared" si="121"/>
        <v>0.05</v>
      </c>
      <c r="N1839" s="464">
        <f t="shared" si="122"/>
        <v>107019</v>
      </c>
    </row>
    <row r="1840" spans="7:14" ht="11.25" customHeight="1" x14ac:dyDescent="0.25">
      <c r="G1840" s="459"/>
      <c r="H1840" s="459">
        <v>1833</v>
      </c>
      <c r="I1840" s="444">
        <f t="shared" ca="1" si="120"/>
        <v>-1648173617.3300428</v>
      </c>
      <c r="J1840" s="444">
        <f t="array" ref="J1840">IFERROR(INDEX('Retirement Calculator'!K:K,MATCH('Lorri 401b'!N1840,'Retirement Calculator'!A:A,0),0),0)</f>
        <v>0</v>
      </c>
      <c r="K1840" s="444">
        <f t="shared" ca="1" si="118"/>
        <v>-6867390.0722085116</v>
      </c>
      <c r="L1840" s="444">
        <f t="shared" ca="1" si="119"/>
        <v>-1655041007.4022512</v>
      </c>
      <c r="M1840" s="460">
        <f t="shared" si="121"/>
        <v>0.05</v>
      </c>
      <c r="N1840" s="464">
        <f t="shared" si="122"/>
        <v>107050</v>
      </c>
    </row>
    <row r="1841" spans="7:14" ht="11.25" customHeight="1" x14ac:dyDescent="0.25">
      <c r="G1841" s="459"/>
      <c r="H1841" s="459">
        <v>1834</v>
      </c>
      <c r="I1841" s="444">
        <f t="shared" ca="1" si="120"/>
        <v>-1655041007.4022512</v>
      </c>
      <c r="J1841" s="444">
        <f t="array" ref="J1841">IFERROR(INDEX('Retirement Calculator'!K:K,MATCH('Lorri 401b'!N1841,'Retirement Calculator'!A:A,0),0),0)</f>
        <v>0</v>
      </c>
      <c r="K1841" s="444">
        <f t="shared" ca="1" si="118"/>
        <v>-6896004.1975093801</v>
      </c>
      <c r="L1841" s="444">
        <f t="shared" ca="1" si="119"/>
        <v>-1661937011.5997605</v>
      </c>
      <c r="M1841" s="460">
        <f t="shared" si="121"/>
        <v>0.05</v>
      </c>
      <c r="N1841" s="464">
        <f t="shared" si="122"/>
        <v>107078</v>
      </c>
    </row>
    <row r="1842" spans="7:14" ht="11.25" customHeight="1" x14ac:dyDescent="0.25">
      <c r="G1842" s="459"/>
      <c r="H1842" s="459">
        <v>1835</v>
      </c>
      <c r="I1842" s="444">
        <f t="shared" ca="1" si="120"/>
        <v>-1661937011.5997605</v>
      </c>
      <c r="J1842" s="444">
        <f t="array" ref="J1842">IFERROR(INDEX('Retirement Calculator'!K:K,MATCH('Lorri 401b'!N1842,'Retirement Calculator'!A:A,0),0),0)</f>
        <v>0</v>
      </c>
      <c r="K1842" s="444">
        <f t="shared" ca="1" si="118"/>
        <v>-6924737.5483323354</v>
      </c>
      <c r="L1842" s="444">
        <f t="shared" ca="1" si="119"/>
        <v>-1668861749.148093</v>
      </c>
      <c r="M1842" s="460">
        <f t="shared" si="121"/>
        <v>0.05</v>
      </c>
      <c r="N1842" s="464">
        <f t="shared" si="122"/>
        <v>107109</v>
      </c>
    </row>
    <row r="1843" spans="7:14" ht="11.25" customHeight="1" x14ac:dyDescent="0.25">
      <c r="G1843" s="459"/>
      <c r="H1843" s="459">
        <v>1836</v>
      </c>
      <c r="I1843" s="444">
        <f t="shared" ca="1" si="120"/>
        <v>-1668861749.148093</v>
      </c>
      <c r="J1843" s="444">
        <f t="array" ref="J1843">IFERROR(INDEX('Retirement Calculator'!K:K,MATCH('Lorri 401b'!N1843,'Retirement Calculator'!A:A,0),0),0)</f>
        <v>0</v>
      </c>
      <c r="K1843" s="444">
        <f t="shared" ca="1" si="118"/>
        <v>-6953590.6214503869</v>
      </c>
      <c r="L1843" s="444">
        <f t="shared" ca="1" si="119"/>
        <v>-1675815339.7695434</v>
      </c>
      <c r="M1843" s="460">
        <f t="shared" si="121"/>
        <v>0.05</v>
      </c>
      <c r="N1843" s="464">
        <f t="shared" si="122"/>
        <v>107139</v>
      </c>
    </row>
    <row r="1844" spans="7:14" ht="11.25" customHeight="1" x14ac:dyDescent="0.25">
      <c r="G1844" s="459"/>
      <c r="H1844" s="459">
        <v>1837</v>
      </c>
      <c r="I1844" s="444">
        <f t="shared" ca="1" si="120"/>
        <v>-1675815339.7695434</v>
      </c>
      <c r="J1844" s="444">
        <f t="array" ref="J1844">IFERROR(INDEX('Retirement Calculator'!K:K,MATCH('Lorri 401b'!N1844,'Retirement Calculator'!A:A,0),0),0)</f>
        <v>0</v>
      </c>
      <c r="K1844" s="444">
        <f t="shared" ca="1" si="118"/>
        <v>-6982563.9157064315</v>
      </c>
      <c r="L1844" s="444">
        <f t="shared" ca="1" si="119"/>
        <v>-1682797903.6852498</v>
      </c>
      <c r="M1844" s="460">
        <f t="shared" si="121"/>
        <v>0.05</v>
      </c>
      <c r="N1844" s="464">
        <f t="shared" si="122"/>
        <v>107170</v>
      </c>
    </row>
    <row r="1845" spans="7:14" ht="11.25" customHeight="1" x14ac:dyDescent="0.25">
      <c r="G1845" s="459"/>
      <c r="H1845" s="459">
        <v>1838</v>
      </c>
      <c r="I1845" s="444">
        <f t="shared" ca="1" si="120"/>
        <v>-1682797903.6852498</v>
      </c>
      <c r="J1845" s="444">
        <f t="array" ref="J1845">IFERROR(INDEX('Retirement Calculator'!K:K,MATCH('Lorri 401b'!N1845,'Retirement Calculator'!A:A,0),0),0)</f>
        <v>0</v>
      </c>
      <c r="K1845" s="444">
        <f t="shared" ca="1" si="118"/>
        <v>-7011657.932021874</v>
      </c>
      <c r="L1845" s="444">
        <f t="shared" ca="1" si="119"/>
        <v>-1689809561.6172717</v>
      </c>
      <c r="M1845" s="460">
        <f t="shared" si="121"/>
        <v>0.05</v>
      </c>
      <c r="N1845" s="464">
        <f t="shared" si="122"/>
        <v>107200</v>
      </c>
    </row>
    <row r="1846" spans="7:14" ht="11.25" customHeight="1" x14ac:dyDescent="0.25">
      <c r="G1846" s="459"/>
      <c r="H1846" s="459">
        <v>1839</v>
      </c>
      <c r="I1846" s="444">
        <f t="shared" ca="1" si="120"/>
        <v>-1689809561.6172717</v>
      </c>
      <c r="J1846" s="444">
        <f t="array" ref="J1846">IFERROR(INDEX('Retirement Calculator'!K:K,MATCH('Lorri 401b'!N1846,'Retirement Calculator'!A:A,0),0),0)</f>
        <v>0</v>
      </c>
      <c r="K1846" s="444">
        <f t="shared" ca="1" si="118"/>
        <v>-7040873.173405298</v>
      </c>
      <c r="L1846" s="444">
        <f t="shared" ca="1" si="119"/>
        <v>-1696850434.7906771</v>
      </c>
      <c r="M1846" s="460">
        <f t="shared" si="121"/>
        <v>0.05</v>
      </c>
      <c r="N1846" s="464">
        <f t="shared" si="122"/>
        <v>107231</v>
      </c>
    </row>
    <row r="1847" spans="7:14" ht="11.25" customHeight="1" x14ac:dyDescent="0.25">
      <c r="G1847" s="459"/>
      <c r="H1847" s="459">
        <v>1840</v>
      </c>
      <c r="I1847" s="444">
        <f t="shared" ca="1" si="120"/>
        <v>-1696850434.7906771</v>
      </c>
      <c r="J1847" s="444">
        <f t="array" ref="J1847">IFERROR(INDEX('Retirement Calculator'!K:K,MATCH('Lorri 401b'!N1847,'Retirement Calculator'!A:A,0),0),0)</f>
        <v>0</v>
      </c>
      <c r="K1847" s="444">
        <f t="shared" ca="1" si="118"/>
        <v>-7070210.1449611541</v>
      </c>
      <c r="L1847" s="444">
        <f t="shared" ca="1" si="119"/>
        <v>-1703920644.9356382</v>
      </c>
      <c r="M1847" s="460">
        <f t="shared" si="121"/>
        <v>0.05</v>
      </c>
      <c r="N1847" s="464">
        <f t="shared" si="122"/>
        <v>107262</v>
      </c>
    </row>
    <row r="1848" spans="7:14" ht="11.25" customHeight="1" x14ac:dyDescent="0.25">
      <c r="G1848" s="459"/>
      <c r="H1848" s="459">
        <v>1841</v>
      </c>
      <c r="I1848" s="444">
        <f t="shared" ca="1" si="120"/>
        <v>-1703920644.9356382</v>
      </c>
      <c r="J1848" s="444">
        <f t="array" ref="J1848">IFERROR(INDEX('Retirement Calculator'!K:K,MATCH('Lorri 401b'!N1848,'Retirement Calculator'!A:A,0),0),0)</f>
        <v>0</v>
      </c>
      <c r="K1848" s="444">
        <f t="shared" ca="1" si="118"/>
        <v>-7099669.3538984926</v>
      </c>
      <c r="L1848" s="444">
        <f t="shared" ca="1" si="119"/>
        <v>-1711020314.2895367</v>
      </c>
      <c r="M1848" s="460">
        <f t="shared" si="121"/>
        <v>0.05</v>
      </c>
      <c r="N1848" s="464">
        <f t="shared" si="122"/>
        <v>107292</v>
      </c>
    </row>
    <row r="1849" spans="7:14" ht="11.25" customHeight="1" x14ac:dyDescent="0.25">
      <c r="G1849" s="459"/>
      <c r="H1849" s="459">
        <v>1842</v>
      </c>
      <c r="I1849" s="444">
        <f t="shared" ca="1" si="120"/>
        <v>-1711020314.2895367</v>
      </c>
      <c r="J1849" s="444">
        <f t="array" ref="J1849">IFERROR(INDEX('Retirement Calculator'!K:K,MATCH('Lorri 401b'!N1849,'Retirement Calculator'!A:A,0),0),0)</f>
        <v>0</v>
      </c>
      <c r="K1849" s="444">
        <f t="shared" ca="1" si="118"/>
        <v>-7129251.3095397362</v>
      </c>
      <c r="L1849" s="444">
        <f t="shared" ca="1" si="119"/>
        <v>-1718149565.5990765</v>
      </c>
      <c r="M1849" s="460">
        <f t="shared" si="121"/>
        <v>0.05</v>
      </c>
      <c r="N1849" s="464">
        <f t="shared" si="122"/>
        <v>107323</v>
      </c>
    </row>
    <row r="1850" spans="7:14" ht="11.25" customHeight="1" x14ac:dyDescent="0.25">
      <c r="G1850" s="459"/>
      <c r="H1850" s="459">
        <v>1843</v>
      </c>
      <c r="I1850" s="444">
        <f t="shared" ca="1" si="120"/>
        <v>-1718149565.5990765</v>
      </c>
      <c r="J1850" s="444">
        <f t="array" ref="J1850">IFERROR(INDEX('Retirement Calculator'!K:K,MATCH('Lorri 401b'!N1850,'Retirement Calculator'!A:A,0),0),0)</f>
        <v>0</v>
      </c>
      <c r="K1850" s="444">
        <f t="shared" ca="1" si="118"/>
        <v>-7158956.5233294852</v>
      </c>
      <c r="L1850" s="444">
        <f t="shared" ca="1" si="119"/>
        <v>-1725308522.122406</v>
      </c>
      <c r="M1850" s="460">
        <f t="shared" si="121"/>
        <v>0.05</v>
      </c>
      <c r="N1850" s="464">
        <f t="shared" si="122"/>
        <v>107353</v>
      </c>
    </row>
    <row r="1851" spans="7:14" ht="11.25" customHeight="1" x14ac:dyDescent="0.25">
      <c r="G1851" s="459"/>
      <c r="H1851" s="459">
        <v>1844</v>
      </c>
      <c r="I1851" s="444">
        <f t="shared" ca="1" si="120"/>
        <v>-1725308522.122406</v>
      </c>
      <c r="J1851" s="444">
        <f t="array" ref="J1851">IFERROR(INDEX('Retirement Calculator'!K:K,MATCH('Lorri 401b'!N1851,'Retirement Calculator'!A:A,0),0),0)</f>
        <v>0</v>
      </c>
      <c r="K1851" s="444">
        <f t="shared" ca="1" si="118"/>
        <v>-7188785.5088433586</v>
      </c>
      <c r="L1851" s="444">
        <f t="shared" ca="1" si="119"/>
        <v>-1732497307.6312494</v>
      </c>
      <c r="M1851" s="460">
        <f t="shared" si="121"/>
        <v>0.05</v>
      </c>
      <c r="N1851" s="464">
        <f t="shared" si="122"/>
        <v>107384</v>
      </c>
    </row>
    <row r="1852" spans="7:14" ht="11.25" customHeight="1" x14ac:dyDescent="0.25">
      <c r="G1852" s="459"/>
      <c r="H1852" s="459">
        <v>1845</v>
      </c>
      <c r="I1852" s="444">
        <f t="shared" ca="1" si="120"/>
        <v>-1732497307.6312494</v>
      </c>
      <c r="J1852" s="444">
        <f t="array" ref="J1852">IFERROR(INDEX('Retirement Calculator'!K:K,MATCH('Lorri 401b'!N1852,'Retirement Calculator'!A:A,0),0),0)</f>
        <v>0</v>
      </c>
      <c r="K1852" s="444">
        <f t="shared" ca="1" si="118"/>
        <v>-7218738.7817968717</v>
      </c>
      <c r="L1852" s="444">
        <f t="shared" ca="1" si="119"/>
        <v>-1739716046.4130464</v>
      </c>
      <c r="M1852" s="460">
        <f t="shared" si="121"/>
        <v>0.05</v>
      </c>
      <c r="N1852" s="464">
        <f t="shared" si="122"/>
        <v>107415</v>
      </c>
    </row>
    <row r="1853" spans="7:14" ht="11.25" customHeight="1" x14ac:dyDescent="0.25">
      <c r="G1853" s="459"/>
      <c r="H1853" s="459">
        <v>1846</v>
      </c>
      <c r="I1853" s="444">
        <f t="shared" ca="1" si="120"/>
        <v>-1739716046.4130464</v>
      </c>
      <c r="J1853" s="444">
        <f t="array" ref="J1853">IFERROR(INDEX('Retirement Calculator'!K:K,MATCH('Lorri 401b'!N1853,'Retirement Calculator'!A:A,0),0),0)</f>
        <v>0</v>
      </c>
      <c r="K1853" s="444">
        <f t="shared" ca="1" si="118"/>
        <v>-7248816.8600543598</v>
      </c>
      <c r="L1853" s="444">
        <f t="shared" ca="1" si="119"/>
        <v>-1746964863.2731006</v>
      </c>
      <c r="M1853" s="460">
        <f t="shared" si="121"/>
        <v>0.05</v>
      </c>
      <c r="N1853" s="464">
        <f t="shared" si="122"/>
        <v>107443</v>
      </c>
    </row>
    <row r="1854" spans="7:14" ht="11.25" customHeight="1" x14ac:dyDescent="0.25">
      <c r="G1854" s="459"/>
      <c r="H1854" s="459">
        <v>1847</v>
      </c>
      <c r="I1854" s="444">
        <f t="shared" ca="1" si="120"/>
        <v>-1746964863.2731006</v>
      </c>
      <c r="J1854" s="444">
        <f t="array" ref="J1854">IFERROR(INDEX('Retirement Calculator'!K:K,MATCH('Lorri 401b'!N1854,'Retirement Calculator'!A:A,0),0),0)</f>
        <v>0</v>
      </c>
      <c r="K1854" s="444">
        <f t="shared" ca="1" si="118"/>
        <v>-7279020.263637919</v>
      </c>
      <c r="L1854" s="444">
        <f t="shared" ca="1" si="119"/>
        <v>-1754243883.5367386</v>
      </c>
      <c r="M1854" s="460">
        <f t="shared" si="121"/>
        <v>0.05</v>
      </c>
      <c r="N1854" s="464">
        <f t="shared" si="122"/>
        <v>107474</v>
      </c>
    </row>
    <row r="1855" spans="7:14" ht="11.25" customHeight="1" x14ac:dyDescent="0.25">
      <c r="G1855" s="459"/>
      <c r="H1855" s="459">
        <v>1848</v>
      </c>
      <c r="I1855" s="444">
        <f t="shared" ca="1" si="120"/>
        <v>-1754243883.5367386</v>
      </c>
      <c r="J1855" s="444">
        <f t="array" ref="J1855">IFERROR(INDEX('Retirement Calculator'!K:K,MATCH('Lorri 401b'!N1855,'Retirement Calculator'!A:A,0),0),0)</f>
        <v>0</v>
      </c>
      <c r="K1855" s="444">
        <f t="shared" ca="1" si="118"/>
        <v>-7309349.5147364112</v>
      </c>
      <c r="L1855" s="444">
        <f t="shared" ca="1" si="119"/>
        <v>-1761553233.051475</v>
      </c>
      <c r="M1855" s="460">
        <f t="shared" si="121"/>
        <v>0.05</v>
      </c>
      <c r="N1855" s="464">
        <f t="shared" si="122"/>
        <v>107504</v>
      </c>
    </row>
    <row r="1856" spans="7:14" ht="11.25" customHeight="1" x14ac:dyDescent="0.25">
      <c r="G1856" s="459"/>
      <c r="H1856" s="459">
        <v>1849</v>
      </c>
      <c r="I1856" s="444">
        <f t="shared" ca="1" si="120"/>
        <v>-1761553233.051475</v>
      </c>
      <c r="J1856" s="444">
        <f t="array" ref="J1856">IFERROR(INDEX('Retirement Calculator'!K:K,MATCH('Lorri 401b'!N1856,'Retirement Calculator'!A:A,0),0),0)</f>
        <v>0</v>
      </c>
      <c r="K1856" s="444">
        <f t="shared" ca="1" si="118"/>
        <v>-7339805.1377144791</v>
      </c>
      <c r="L1856" s="444">
        <f t="shared" ca="1" si="119"/>
        <v>-1768893038.1891894</v>
      </c>
      <c r="M1856" s="460">
        <f t="shared" si="121"/>
        <v>0.05</v>
      </c>
      <c r="N1856" s="464">
        <f t="shared" si="122"/>
        <v>107535</v>
      </c>
    </row>
    <row r="1857" spans="7:14" ht="11.25" customHeight="1" x14ac:dyDescent="0.25">
      <c r="G1857" s="459"/>
      <c r="H1857" s="459">
        <v>1850</v>
      </c>
      <c r="I1857" s="444">
        <f t="shared" ca="1" si="120"/>
        <v>-1768893038.1891894</v>
      </c>
      <c r="J1857" s="444">
        <f t="array" ref="J1857">IFERROR(INDEX('Retirement Calculator'!K:K,MATCH('Lorri 401b'!N1857,'Retirement Calculator'!A:A,0),0),0)</f>
        <v>0</v>
      </c>
      <c r="K1857" s="444">
        <f t="shared" ca="1" si="118"/>
        <v>-7370387.6591216223</v>
      </c>
      <c r="L1857" s="444">
        <f t="shared" ca="1" si="119"/>
        <v>-1776263425.8483109</v>
      </c>
      <c r="M1857" s="460">
        <f t="shared" si="121"/>
        <v>0.05</v>
      </c>
      <c r="N1857" s="464">
        <f t="shared" si="122"/>
        <v>107565</v>
      </c>
    </row>
    <row r="1858" spans="7:14" ht="11.25" customHeight="1" x14ac:dyDescent="0.25">
      <c r="G1858" s="459"/>
      <c r="H1858" s="459">
        <v>1851</v>
      </c>
      <c r="I1858" s="444">
        <f t="shared" ca="1" si="120"/>
        <v>-1776263425.8483109</v>
      </c>
      <c r="J1858" s="444">
        <f t="array" ref="J1858">IFERROR(INDEX('Retirement Calculator'!K:K,MATCH('Lorri 401b'!N1858,'Retirement Calculator'!A:A,0),0),0)</f>
        <v>0</v>
      </c>
      <c r="K1858" s="444">
        <f t="shared" ca="1" si="118"/>
        <v>-7401097.6077012941</v>
      </c>
      <c r="L1858" s="444">
        <f t="shared" ca="1" si="119"/>
        <v>-1783664523.4560122</v>
      </c>
      <c r="M1858" s="460">
        <f t="shared" si="121"/>
        <v>0.05</v>
      </c>
      <c r="N1858" s="464">
        <f t="shared" si="122"/>
        <v>107596</v>
      </c>
    </row>
    <row r="1859" spans="7:14" ht="11.25" customHeight="1" x14ac:dyDescent="0.25">
      <c r="G1859" s="459"/>
      <c r="H1859" s="459">
        <v>1852</v>
      </c>
      <c r="I1859" s="444">
        <f t="shared" ca="1" si="120"/>
        <v>-1783664523.4560122</v>
      </c>
      <c r="J1859" s="444">
        <f t="array" ref="J1859">IFERROR(INDEX('Retirement Calculator'!K:K,MATCH('Lorri 401b'!N1859,'Retirement Calculator'!A:A,0),0),0)</f>
        <v>0</v>
      </c>
      <c r="K1859" s="444">
        <f t="shared" ca="1" si="118"/>
        <v>-7431935.51440005</v>
      </c>
      <c r="L1859" s="444">
        <f t="shared" ca="1" si="119"/>
        <v>-1791096458.9704123</v>
      </c>
      <c r="M1859" s="460">
        <f t="shared" si="121"/>
        <v>0.05</v>
      </c>
      <c r="N1859" s="464">
        <f t="shared" si="122"/>
        <v>107627</v>
      </c>
    </row>
    <row r="1860" spans="7:14" ht="11.25" customHeight="1" x14ac:dyDescent="0.25">
      <c r="G1860" s="459"/>
      <c r="H1860" s="459">
        <v>1853</v>
      </c>
      <c r="I1860" s="444">
        <f t="shared" ca="1" si="120"/>
        <v>-1791096458.9704123</v>
      </c>
      <c r="J1860" s="444">
        <f t="array" ref="J1860">IFERROR(INDEX('Retirement Calculator'!K:K,MATCH('Lorri 401b'!N1860,'Retirement Calculator'!A:A,0),0),0)</f>
        <v>0</v>
      </c>
      <c r="K1860" s="444">
        <f t="shared" ca="1" si="118"/>
        <v>-7462901.9123767177</v>
      </c>
      <c r="L1860" s="444">
        <f t="shared" ca="1" si="119"/>
        <v>-1798559360.8827889</v>
      </c>
      <c r="M1860" s="460">
        <f t="shared" si="121"/>
        <v>0.05</v>
      </c>
      <c r="N1860" s="464">
        <f t="shared" si="122"/>
        <v>107657</v>
      </c>
    </row>
    <row r="1861" spans="7:14" ht="11.25" customHeight="1" x14ac:dyDescent="0.25">
      <c r="G1861" s="459"/>
      <c r="H1861" s="459">
        <v>1854</v>
      </c>
      <c r="I1861" s="444">
        <f t="shared" ca="1" si="120"/>
        <v>-1798559360.8827889</v>
      </c>
      <c r="J1861" s="444">
        <f t="array" ref="J1861">IFERROR(INDEX('Retirement Calculator'!K:K,MATCH('Lorri 401b'!N1861,'Retirement Calculator'!A:A,0),0),0)</f>
        <v>0</v>
      </c>
      <c r="K1861" s="444">
        <f t="shared" ca="1" si="118"/>
        <v>-7493997.3370116204</v>
      </c>
      <c r="L1861" s="444">
        <f t="shared" ca="1" si="119"/>
        <v>-1806053358.2198005</v>
      </c>
      <c r="M1861" s="460">
        <f t="shared" si="121"/>
        <v>0.05</v>
      </c>
      <c r="N1861" s="464">
        <f t="shared" si="122"/>
        <v>107688</v>
      </c>
    </row>
    <row r="1862" spans="7:14" ht="11.25" customHeight="1" x14ac:dyDescent="0.25">
      <c r="G1862" s="459"/>
      <c r="H1862" s="459">
        <v>1855</v>
      </c>
      <c r="I1862" s="444">
        <f t="shared" ca="1" si="120"/>
        <v>-1806053358.2198005</v>
      </c>
      <c r="J1862" s="444">
        <f t="array" ref="J1862">IFERROR(INDEX('Retirement Calculator'!K:K,MATCH('Lorri 401b'!N1862,'Retirement Calculator'!A:A,0),0),0)</f>
        <v>0</v>
      </c>
      <c r="K1862" s="444">
        <f t="shared" ca="1" si="118"/>
        <v>-7525222.3259158349</v>
      </c>
      <c r="L1862" s="444">
        <f t="shared" ca="1" si="119"/>
        <v>-1813578580.5457163</v>
      </c>
      <c r="M1862" s="460">
        <f t="shared" si="121"/>
        <v>0.05</v>
      </c>
      <c r="N1862" s="464">
        <f t="shared" si="122"/>
        <v>107718</v>
      </c>
    </row>
    <row r="1863" spans="7:14" ht="11.25" customHeight="1" x14ac:dyDescent="0.25">
      <c r="G1863" s="459"/>
      <c r="H1863" s="459">
        <v>1856</v>
      </c>
      <c r="I1863" s="444">
        <f t="shared" ca="1" si="120"/>
        <v>-1813578580.5457163</v>
      </c>
      <c r="J1863" s="444">
        <f t="array" ref="J1863">IFERROR(INDEX('Retirement Calculator'!K:K,MATCH('Lorri 401b'!N1863,'Retirement Calculator'!A:A,0),0),0)</f>
        <v>0</v>
      </c>
      <c r="K1863" s="444">
        <f t="shared" ca="1" si="118"/>
        <v>-7556577.4189404845</v>
      </c>
      <c r="L1863" s="444">
        <f t="shared" ca="1" si="119"/>
        <v>-1821135157.9646568</v>
      </c>
      <c r="M1863" s="460">
        <f t="shared" si="121"/>
        <v>0.05</v>
      </c>
      <c r="N1863" s="464">
        <f t="shared" si="122"/>
        <v>107749</v>
      </c>
    </row>
    <row r="1864" spans="7:14" ht="11.25" customHeight="1" x14ac:dyDescent="0.25">
      <c r="G1864" s="459"/>
      <c r="H1864" s="459">
        <v>1857</v>
      </c>
      <c r="I1864" s="444">
        <f t="shared" ca="1" si="120"/>
        <v>-1821135157.9646568</v>
      </c>
      <c r="J1864" s="444">
        <f t="array" ref="J1864">IFERROR(INDEX('Retirement Calculator'!K:K,MATCH('Lorri 401b'!N1864,'Retirement Calculator'!A:A,0),0),0)</f>
        <v>0</v>
      </c>
      <c r="K1864" s="444">
        <f t="shared" ca="1" si="118"/>
        <v>-7588063.1581860697</v>
      </c>
      <c r="L1864" s="444">
        <f t="shared" ca="1" si="119"/>
        <v>-1828723221.1228428</v>
      </c>
      <c r="M1864" s="460">
        <f t="shared" si="121"/>
        <v>0.05</v>
      </c>
      <c r="N1864" s="464">
        <f t="shared" si="122"/>
        <v>107780</v>
      </c>
    </row>
    <row r="1865" spans="7:14" ht="11.25" customHeight="1" x14ac:dyDescent="0.25">
      <c r="G1865" s="459"/>
      <c r="H1865" s="459">
        <v>1858</v>
      </c>
      <c r="I1865" s="444">
        <f t="shared" ca="1" si="120"/>
        <v>-1828723221.1228428</v>
      </c>
      <c r="J1865" s="444">
        <f t="array" ref="J1865">IFERROR(INDEX('Retirement Calculator'!K:K,MATCH('Lorri 401b'!N1865,'Retirement Calculator'!A:A,0),0),0)</f>
        <v>0</v>
      </c>
      <c r="K1865" s="444">
        <f t="shared" ca="1" si="118"/>
        <v>-7619680.088011845</v>
      </c>
      <c r="L1865" s="444">
        <f t="shared" ca="1" si="119"/>
        <v>-1836342901.2108545</v>
      </c>
      <c r="M1865" s="460">
        <f t="shared" si="121"/>
        <v>0.05</v>
      </c>
      <c r="N1865" s="464">
        <f t="shared" si="122"/>
        <v>107808</v>
      </c>
    </row>
    <row r="1866" spans="7:14" ht="11.25" customHeight="1" x14ac:dyDescent="0.25">
      <c r="G1866" s="459"/>
      <c r="H1866" s="459">
        <v>1859</v>
      </c>
      <c r="I1866" s="444">
        <f t="shared" ca="1" si="120"/>
        <v>-1836342901.2108545</v>
      </c>
      <c r="J1866" s="444">
        <f t="array" ref="J1866">IFERROR(INDEX('Retirement Calculator'!K:K,MATCH('Lorri 401b'!N1866,'Retirement Calculator'!A:A,0),0),0)</f>
        <v>0</v>
      </c>
      <c r="K1866" s="444">
        <f t="shared" ca="1" si="118"/>
        <v>-7651428.7550452268</v>
      </c>
      <c r="L1866" s="444">
        <f t="shared" ca="1" si="119"/>
        <v>-1843994329.9658997</v>
      </c>
      <c r="M1866" s="460">
        <f t="shared" si="121"/>
        <v>0.05</v>
      </c>
      <c r="N1866" s="464">
        <f t="shared" si="122"/>
        <v>107839</v>
      </c>
    </row>
    <row r="1867" spans="7:14" ht="11.25" customHeight="1" x14ac:dyDescent="0.25">
      <c r="G1867" s="459"/>
      <c r="H1867" s="459">
        <v>1860</v>
      </c>
      <c r="I1867" s="444">
        <f t="shared" ca="1" si="120"/>
        <v>-1843994329.9658997</v>
      </c>
      <c r="J1867" s="444">
        <f t="array" ref="J1867">IFERROR(INDEX('Retirement Calculator'!K:K,MATCH('Lorri 401b'!N1867,'Retirement Calculator'!A:A,0),0),0)</f>
        <v>0</v>
      </c>
      <c r="K1867" s="444">
        <f t="shared" ca="1" si="118"/>
        <v>-7683309.7081912486</v>
      </c>
      <c r="L1867" s="444">
        <f t="shared" ca="1" si="119"/>
        <v>-1851677639.6740909</v>
      </c>
      <c r="M1867" s="460">
        <f t="shared" si="121"/>
        <v>0.05</v>
      </c>
      <c r="N1867" s="464">
        <f t="shared" si="122"/>
        <v>107869</v>
      </c>
    </row>
    <row r="1868" spans="7:14" ht="11.25" customHeight="1" x14ac:dyDescent="0.25">
      <c r="G1868" s="459"/>
      <c r="H1868" s="459">
        <v>1861</v>
      </c>
      <c r="I1868" s="444">
        <f t="shared" ca="1" si="120"/>
        <v>-1851677639.6740909</v>
      </c>
      <c r="J1868" s="444">
        <f t="array" ref="J1868">IFERROR(INDEX('Retirement Calculator'!K:K,MATCH('Lorri 401b'!N1868,'Retirement Calculator'!A:A,0),0),0)</f>
        <v>0</v>
      </c>
      <c r="K1868" s="444">
        <f t="shared" ca="1" si="118"/>
        <v>-7715323.4986420451</v>
      </c>
      <c r="L1868" s="444">
        <f t="shared" ca="1" si="119"/>
        <v>-1859392963.1727328</v>
      </c>
      <c r="M1868" s="460">
        <f t="shared" si="121"/>
        <v>0.05</v>
      </c>
      <c r="N1868" s="464">
        <f t="shared" si="122"/>
        <v>107900</v>
      </c>
    </row>
    <row r="1869" spans="7:14" ht="11.25" customHeight="1" x14ac:dyDescent="0.25">
      <c r="G1869" s="459"/>
      <c r="H1869" s="459">
        <v>1862</v>
      </c>
      <c r="I1869" s="444">
        <f t="shared" ca="1" si="120"/>
        <v>-1859392963.1727328</v>
      </c>
      <c r="J1869" s="444">
        <f t="array" ref="J1869">IFERROR(INDEX('Retirement Calculator'!K:K,MATCH('Lorri 401b'!N1869,'Retirement Calculator'!A:A,0),0),0)</f>
        <v>0</v>
      </c>
      <c r="K1869" s="444">
        <f t="shared" ca="1" si="118"/>
        <v>-7747470.6798863877</v>
      </c>
      <c r="L1869" s="444">
        <f t="shared" ca="1" si="119"/>
        <v>-1867140433.8526192</v>
      </c>
      <c r="M1869" s="460">
        <f t="shared" si="121"/>
        <v>0.05</v>
      </c>
      <c r="N1869" s="464">
        <f t="shared" si="122"/>
        <v>107930</v>
      </c>
    </row>
    <row r="1870" spans="7:14" ht="11.25" customHeight="1" x14ac:dyDescent="0.25">
      <c r="G1870" s="459"/>
      <c r="H1870" s="459">
        <v>1863</v>
      </c>
      <c r="I1870" s="444">
        <f t="shared" ca="1" si="120"/>
        <v>-1867140433.8526192</v>
      </c>
      <c r="J1870" s="444">
        <f t="array" ref="J1870">IFERROR(INDEX('Retirement Calculator'!K:K,MATCH('Lorri 401b'!N1870,'Retirement Calculator'!A:A,0),0),0)</f>
        <v>0</v>
      </c>
      <c r="K1870" s="444">
        <f t="shared" ca="1" si="118"/>
        <v>-7779751.8077192465</v>
      </c>
      <c r="L1870" s="444">
        <f t="shared" ca="1" si="119"/>
        <v>-1874920185.6603384</v>
      </c>
      <c r="M1870" s="460">
        <f t="shared" si="121"/>
        <v>0.05</v>
      </c>
      <c r="N1870" s="464">
        <f t="shared" si="122"/>
        <v>107961</v>
      </c>
    </row>
    <row r="1871" spans="7:14" ht="11.25" customHeight="1" x14ac:dyDescent="0.25">
      <c r="G1871" s="459"/>
      <c r="H1871" s="459">
        <v>1864</v>
      </c>
      <c r="I1871" s="444">
        <f t="shared" ca="1" si="120"/>
        <v>-1874920185.6603384</v>
      </c>
      <c r="J1871" s="444">
        <f t="array" ref="J1871">IFERROR(INDEX('Retirement Calculator'!K:K,MATCH('Lorri 401b'!N1871,'Retirement Calculator'!A:A,0),0),0)</f>
        <v>0</v>
      </c>
      <c r="K1871" s="444">
        <f t="shared" ca="1" si="118"/>
        <v>-7812167.4402514109</v>
      </c>
      <c r="L1871" s="444">
        <f t="shared" ca="1" si="119"/>
        <v>-1882732353.1005898</v>
      </c>
      <c r="M1871" s="460">
        <f t="shared" si="121"/>
        <v>0.05</v>
      </c>
      <c r="N1871" s="464">
        <f t="shared" si="122"/>
        <v>107992</v>
      </c>
    </row>
    <row r="1872" spans="7:14" ht="11.25" customHeight="1" x14ac:dyDescent="0.25">
      <c r="G1872" s="459"/>
      <c r="H1872" s="459">
        <v>1865</v>
      </c>
      <c r="I1872" s="444">
        <f t="shared" ca="1" si="120"/>
        <v>-1882732353.1005898</v>
      </c>
      <c r="J1872" s="444">
        <f t="array" ref="J1872">IFERROR(INDEX('Retirement Calculator'!K:K,MATCH('Lorri 401b'!N1872,'Retirement Calculator'!A:A,0),0),0)</f>
        <v>0</v>
      </c>
      <c r="K1872" s="444">
        <f t="shared" ca="1" si="118"/>
        <v>-7844718.1379191242</v>
      </c>
      <c r="L1872" s="444">
        <f t="shared" ca="1" si="119"/>
        <v>-1890577071.2385089</v>
      </c>
      <c r="M1872" s="460">
        <f t="shared" si="121"/>
        <v>0.05</v>
      </c>
      <c r="N1872" s="464">
        <f t="shared" si="122"/>
        <v>108022</v>
      </c>
    </row>
    <row r="1873" spans="7:14" ht="11.25" customHeight="1" x14ac:dyDescent="0.25">
      <c r="G1873" s="459"/>
      <c r="H1873" s="459">
        <v>1866</v>
      </c>
      <c r="I1873" s="444">
        <f t="shared" ca="1" si="120"/>
        <v>-1890577071.2385089</v>
      </c>
      <c r="J1873" s="444">
        <f t="array" ref="J1873">IFERROR(INDEX('Retirement Calculator'!K:K,MATCH('Lorri 401b'!N1873,'Retirement Calculator'!A:A,0),0),0)</f>
        <v>0</v>
      </c>
      <c r="K1873" s="444">
        <f t="shared" ca="1" si="118"/>
        <v>-7877404.4634937858</v>
      </c>
      <c r="L1873" s="444">
        <f t="shared" ca="1" si="119"/>
        <v>-1898454475.7020028</v>
      </c>
      <c r="M1873" s="460">
        <f t="shared" si="121"/>
        <v>0.05</v>
      </c>
      <c r="N1873" s="464">
        <f t="shared" si="122"/>
        <v>108053</v>
      </c>
    </row>
    <row r="1874" spans="7:14" ht="11.25" customHeight="1" x14ac:dyDescent="0.25">
      <c r="G1874" s="459"/>
      <c r="H1874" s="459">
        <v>1867</v>
      </c>
      <c r="I1874" s="444">
        <f t="shared" ca="1" si="120"/>
        <v>-1898454475.7020028</v>
      </c>
      <c r="J1874" s="444">
        <f t="array" ref="J1874">IFERROR(INDEX('Retirement Calculator'!K:K,MATCH('Lorri 401b'!N1874,'Retirement Calculator'!A:A,0),0),0)</f>
        <v>0</v>
      </c>
      <c r="K1874" s="444">
        <f t="shared" ca="1" si="118"/>
        <v>-7910226.9820916783</v>
      </c>
      <c r="L1874" s="444">
        <f t="shared" ca="1" si="119"/>
        <v>-1906364702.6840944</v>
      </c>
      <c r="M1874" s="460">
        <f t="shared" si="121"/>
        <v>0.05</v>
      </c>
      <c r="N1874" s="464">
        <f t="shared" si="122"/>
        <v>108083</v>
      </c>
    </row>
    <row r="1875" spans="7:14" ht="11.25" customHeight="1" x14ac:dyDescent="0.25">
      <c r="G1875" s="459"/>
      <c r="H1875" s="459">
        <v>1868</v>
      </c>
      <c r="I1875" s="444">
        <f t="shared" ca="1" si="120"/>
        <v>-1906364702.6840944</v>
      </c>
      <c r="J1875" s="444">
        <f t="array" ref="J1875">IFERROR(INDEX('Retirement Calculator'!K:K,MATCH('Lorri 401b'!N1875,'Retirement Calculator'!A:A,0),0),0)</f>
        <v>0</v>
      </c>
      <c r="K1875" s="444">
        <f t="shared" ca="1" si="118"/>
        <v>-7943186.2611837266</v>
      </c>
      <c r="L1875" s="444">
        <f t="shared" ca="1" si="119"/>
        <v>-1914307888.9452782</v>
      </c>
      <c r="M1875" s="460">
        <f t="shared" si="121"/>
        <v>0.05</v>
      </c>
      <c r="N1875" s="464">
        <f t="shared" si="122"/>
        <v>108114</v>
      </c>
    </row>
    <row r="1876" spans="7:14" ht="11.25" customHeight="1" x14ac:dyDescent="0.25">
      <c r="G1876" s="459"/>
      <c r="H1876" s="459">
        <v>1869</v>
      </c>
      <c r="I1876" s="444">
        <f t="shared" ca="1" si="120"/>
        <v>-1914307888.9452782</v>
      </c>
      <c r="J1876" s="444">
        <f t="array" ref="J1876">IFERROR(INDEX('Retirement Calculator'!K:K,MATCH('Lorri 401b'!N1876,'Retirement Calculator'!A:A,0),0),0)</f>
        <v>0</v>
      </c>
      <c r="K1876" s="444">
        <f t="shared" ca="1" si="118"/>
        <v>-7976282.8706053263</v>
      </c>
      <c r="L1876" s="444">
        <f t="shared" ca="1" si="119"/>
        <v>-1922284171.8158834</v>
      </c>
      <c r="M1876" s="460">
        <f t="shared" si="121"/>
        <v>0.05</v>
      </c>
      <c r="N1876" s="464">
        <f t="shared" si="122"/>
        <v>108145</v>
      </c>
    </row>
    <row r="1877" spans="7:14" ht="11.25" customHeight="1" x14ac:dyDescent="0.25">
      <c r="G1877" s="459"/>
      <c r="H1877" s="459">
        <v>1870</v>
      </c>
      <c r="I1877" s="444">
        <f t="shared" ca="1" si="120"/>
        <v>-1922284171.8158834</v>
      </c>
      <c r="J1877" s="444">
        <f t="array" ref="J1877">IFERROR(INDEX('Retirement Calculator'!K:K,MATCH('Lorri 401b'!N1877,'Retirement Calculator'!A:A,0),0),0)</f>
        <v>0</v>
      </c>
      <c r="K1877" s="444">
        <f t="shared" ca="1" si="118"/>
        <v>-8009517.382566181</v>
      </c>
      <c r="L1877" s="444">
        <f t="shared" ca="1" si="119"/>
        <v>-1930293689.1984496</v>
      </c>
      <c r="M1877" s="460">
        <f t="shared" si="121"/>
        <v>0.05</v>
      </c>
      <c r="N1877" s="464">
        <f t="shared" si="122"/>
        <v>108174</v>
      </c>
    </row>
    <row r="1878" spans="7:14" ht="11.25" customHeight="1" x14ac:dyDescent="0.25">
      <c r="G1878" s="459"/>
      <c r="H1878" s="459">
        <v>1871</v>
      </c>
      <c r="I1878" s="444">
        <f t="shared" ca="1" si="120"/>
        <v>-1930293689.1984496</v>
      </c>
      <c r="J1878" s="444">
        <f t="array" ref="J1878">IFERROR(INDEX('Retirement Calculator'!K:K,MATCH('Lorri 401b'!N1878,'Retirement Calculator'!A:A,0),0),0)</f>
        <v>0</v>
      </c>
      <c r="K1878" s="444">
        <f t="shared" ca="1" si="118"/>
        <v>-8042890.3716602065</v>
      </c>
      <c r="L1878" s="444">
        <f t="shared" ca="1" si="119"/>
        <v>-1938336579.5701098</v>
      </c>
      <c r="M1878" s="460">
        <f t="shared" si="121"/>
        <v>0.05</v>
      </c>
      <c r="N1878" s="464">
        <f t="shared" si="122"/>
        <v>108205</v>
      </c>
    </row>
    <row r="1879" spans="7:14" ht="11.25" customHeight="1" x14ac:dyDescent="0.25">
      <c r="G1879" s="459"/>
      <c r="H1879" s="459">
        <v>1872</v>
      </c>
      <c r="I1879" s="444">
        <f t="shared" ca="1" si="120"/>
        <v>-1938336579.5701098</v>
      </c>
      <c r="J1879" s="444">
        <f t="array" ref="J1879">IFERROR(INDEX('Retirement Calculator'!K:K,MATCH('Lorri 401b'!N1879,'Retirement Calculator'!A:A,0),0),0)</f>
        <v>0</v>
      </c>
      <c r="K1879" s="444">
        <f t="shared" ca="1" si="118"/>
        <v>-8076402.414875458</v>
      </c>
      <c r="L1879" s="444">
        <f t="shared" ca="1" si="119"/>
        <v>-1946412981.9849854</v>
      </c>
      <c r="M1879" s="460">
        <f t="shared" si="121"/>
        <v>0.05</v>
      </c>
      <c r="N1879" s="464">
        <f t="shared" si="122"/>
        <v>108235</v>
      </c>
    </row>
    <row r="1880" spans="7:14" ht="11.25" customHeight="1" x14ac:dyDescent="0.25">
      <c r="G1880" s="459"/>
      <c r="H1880" s="459">
        <v>1873</v>
      </c>
      <c r="I1880" s="444">
        <f t="shared" ca="1" si="120"/>
        <v>-1946412981.9849854</v>
      </c>
      <c r="J1880" s="444">
        <f t="array" ref="J1880">IFERROR(INDEX('Retirement Calculator'!K:K,MATCH('Lorri 401b'!N1880,'Retirement Calculator'!A:A,0),0),0)</f>
        <v>0</v>
      </c>
      <c r="K1880" s="444">
        <f t="shared" ca="1" si="118"/>
        <v>-8110054.0916041052</v>
      </c>
      <c r="L1880" s="444">
        <f t="shared" ca="1" si="119"/>
        <v>-1954523036.0765893</v>
      </c>
      <c r="M1880" s="460">
        <f t="shared" si="121"/>
        <v>0.05</v>
      </c>
      <c r="N1880" s="464">
        <f t="shared" si="122"/>
        <v>108266</v>
      </c>
    </row>
    <row r="1881" spans="7:14" ht="11.25" customHeight="1" x14ac:dyDescent="0.25">
      <c r="G1881" s="459"/>
      <c r="H1881" s="459">
        <v>1874</v>
      </c>
      <c r="I1881" s="444">
        <f t="shared" ca="1" si="120"/>
        <v>-1954523036.0765893</v>
      </c>
      <c r="J1881" s="444">
        <f t="array" ref="J1881">IFERROR(INDEX('Retirement Calculator'!K:K,MATCH('Lorri 401b'!N1881,'Retirement Calculator'!A:A,0),0),0)</f>
        <v>0</v>
      </c>
      <c r="K1881" s="444">
        <f t="shared" ca="1" si="118"/>
        <v>-8143845.9836524557</v>
      </c>
      <c r="L1881" s="444">
        <f t="shared" ca="1" si="119"/>
        <v>-1962666882.0602417</v>
      </c>
      <c r="M1881" s="460">
        <f t="shared" si="121"/>
        <v>0.05</v>
      </c>
      <c r="N1881" s="464">
        <f t="shared" si="122"/>
        <v>108296</v>
      </c>
    </row>
    <row r="1882" spans="7:14" ht="11.25" customHeight="1" x14ac:dyDescent="0.25">
      <c r="G1882" s="459"/>
      <c r="H1882" s="459">
        <v>1875</v>
      </c>
      <c r="I1882" s="444">
        <f t="shared" ca="1" si="120"/>
        <v>-1962666882.0602417</v>
      </c>
      <c r="J1882" s="444">
        <f t="array" ref="J1882">IFERROR(INDEX('Retirement Calculator'!K:K,MATCH('Lorri 401b'!N1882,'Retirement Calculator'!A:A,0),0),0)</f>
        <v>0</v>
      </c>
      <c r="K1882" s="444">
        <f t="shared" ca="1" si="118"/>
        <v>-8177778.6752510071</v>
      </c>
      <c r="L1882" s="444">
        <f t="shared" ca="1" si="119"/>
        <v>-1970844660.7354927</v>
      </c>
      <c r="M1882" s="460">
        <f t="shared" si="121"/>
        <v>0.05</v>
      </c>
      <c r="N1882" s="464">
        <f t="shared" si="122"/>
        <v>108327</v>
      </c>
    </row>
    <row r="1883" spans="7:14" ht="11.25" customHeight="1" x14ac:dyDescent="0.25">
      <c r="G1883" s="459"/>
      <c r="H1883" s="459">
        <v>1876</v>
      </c>
      <c r="I1883" s="444">
        <f t="shared" ca="1" si="120"/>
        <v>-1970844660.7354927</v>
      </c>
      <c r="J1883" s="444">
        <f t="array" ref="J1883">IFERROR(INDEX('Retirement Calculator'!K:K,MATCH('Lorri 401b'!N1883,'Retirement Calculator'!A:A,0),0),0)</f>
        <v>0</v>
      </c>
      <c r="K1883" s="444">
        <f t="shared" ca="1" si="118"/>
        <v>-8211852.7530645533</v>
      </c>
      <c r="L1883" s="444">
        <f t="shared" ca="1" si="119"/>
        <v>-1979056513.4885573</v>
      </c>
      <c r="M1883" s="460">
        <f t="shared" si="121"/>
        <v>0.05</v>
      </c>
      <c r="N1883" s="464">
        <f t="shared" si="122"/>
        <v>108358</v>
      </c>
    </row>
    <row r="1884" spans="7:14" ht="11.25" customHeight="1" x14ac:dyDescent="0.25">
      <c r="G1884" s="459"/>
      <c r="H1884" s="459">
        <v>1877</v>
      </c>
      <c r="I1884" s="444">
        <f t="shared" ca="1" si="120"/>
        <v>-1979056513.4885573</v>
      </c>
      <c r="J1884" s="444">
        <f t="array" ref="J1884">IFERROR(INDEX('Retirement Calculator'!K:K,MATCH('Lorri 401b'!N1884,'Retirement Calculator'!A:A,0),0),0)</f>
        <v>0</v>
      </c>
      <c r="K1884" s="444">
        <f t="shared" ca="1" si="118"/>
        <v>-8246068.8062023222</v>
      </c>
      <c r="L1884" s="444">
        <f t="shared" ca="1" si="119"/>
        <v>-1987302582.2947598</v>
      </c>
      <c r="M1884" s="460">
        <f t="shared" si="121"/>
        <v>0.05</v>
      </c>
      <c r="N1884" s="464">
        <f t="shared" si="122"/>
        <v>108388</v>
      </c>
    </row>
    <row r="1885" spans="7:14" ht="11.25" customHeight="1" x14ac:dyDescent="0.25">
      <c r="G1885" s="459"/>
      <c r="H1885" s="459">
        <v>1878</v>
      </c>
      <c r="I1885" s="444">
        <f t="shared" ca="1" si="120"/>
        <v>-1987302582.2947598</v>
      </c>
      <c r="J1885" s="444">
        <f t="array" ref="J1885">IFERROR(INDEX('Retirement Calculator'!K:K,MATCH('Lorri 401b'!N1885,'Retirement Calculator'!A:A,0),0),0)</f>
        <v>0</v>
      </c>
      <c r="K1885" s="444">
        <f t="shared" ca="1" si="118"/>
        <v>-8280427.4262281656</v>
      </c>
      <c r="L1885" s="444">
        <f t="shared" ca="1" si="119"/>
        <v>-1995583009.7209878</v>
      </c>
      <c r="M1885" s="460">
        <f t="shared" si="121"/>
        <v>0.05</v>
      </c>
      <c r="N1885" s="464">
        <f t="shared" si="122"/>
        <v>108419</v>
      </c>
    </row>
    <row r="1886" spans="7:14" ht="11.25" customHeight="1" x14ac:dyDescent="0.25">
      <c r="G1886" s="459"/>
      <c r="H1886" s="459">
        <v>1879</v>
      </c>
      <c r="I1886" s="444">
        <f t="shared" ca="1" si="120"/>
        <v>-1995583009.7209878</v>
      </c>
      <c r="J1886" s="444">
        <f t="array" ref="J1886">IFERROR(INDEX('Retirement Calculator'!K:K,MATCH('Lorri 401b'!N1886,'Retirement Calculator'!A:A,0),0),0)</f>
        <v>0</v>
      </c>
      <c r="K1886" s="444">
        <f t="shared" ca="1" si="118"/>
        <v>-8314929.2071707826</v>
      </c>
      <c r="L1886" s="444">
        <f t="shared" ca="1" si="119"/>
        <v>-2003897938.9281585</v>
      </c>
      <c r="M1886" s="460">
        <f t="shared" si="121"/>
        <v>0.05</v>
      </c>
      <c r="N1886" s="464">
        <f t="shared" si="122"/>
        <v>108449</v>
      </c>
    </row>
    <row r="1887" spans="7:14" ht="11.25" customHeight="1" x14ac:dyDescent="0.25">
      <c r="G1887" s="459"/>
      <c r="H1887" s="459">
        <v>1880</v>
      </c>
      <c r="I1887" s="444">
        <f t="shared" ca="1" si="120"/>
        <v>-2003897938.9281585</v>
      </c>
      <c r="J1887" s="444">
        <f t="array" ref="J1887">IFERROR(INDEX('Retirement Calculator'!K:K,MATCH('Lorri 401b'!N1887,'Retirement Calculator'!A:A,0),0),0)</f>
        <v>0</v>
      </c>
      <c r="K1887" s="444">
        <f t="shared" ca="1" si="118"/>
        <v>-8349574.7455339935</v>
      </c>
      <c r="L1887" s="444">
        <f t="shared" ca="1" si="119"/>
        <v>-2012247513.6736925</v>
      </c>
      <c r="M1887" s="460">
        <f t="shared" si="121"/>
        <v>0.05</v>
      </c>
      <c r="N1887" s="464">
        <f t="shared" si="122"/>
        <v>108480</v>
      </c>
    </row>
    <row r="1888" spans="7:14" ht="11.25" customHeight="1" x14ac:dyDescent="0.25">
      <c r="G1888" s="459"/>
      <c r="H1888" s="459">
        <v>1881</v>
      </c>
      <c r="I1888" s="444">
        <f t="shared" ca="1" si="120"/>
        <v>-2012247513.6736925</v>
      </c>
      <c r="J1888" s="444">
        <f t="array" ref="J1888">IFERROR(INDEX('Retirement Calculator'!K:K,MATCH('Lorri 401b'!N1888,'Retirement Calculator'!A:A,0),0),0)</f>
        <v>0</v>
      </c>
      <c r="K1888" s="444">
        <f t="shared" ca="1" si="118"/>
        <v>-8384364.6403070521</v>
      </c>
      <c r="L1888" s="444">
        <f t="shared" ca="1" si="119"/>
        <v>-2020631878.3139994</v>
      </c>
      <c r="M1888" s="460">
        <f t="shared" si="121"/>
        <v>0.05</v>
      </c>
      <c r="N1888" s="464">
        <f t="shared" si="122"/>
        <v>108511</v>
      </c>
    </row>
    <row r="1889" spans="7:14" ht="11.25" customHeight="1" x14ac:dyDescent="0.25">
      <c r="G1889" s="459"/>
      <c r="H1889" s="459">
        <v>1882</v>
      </c>
      <c r="I1889" s="444">
        <f t="shared" ca="1" si="120"/>
        <v>-2020631878.3139994</v>
      </c>
      <c r="J1889" s="444">
        <f t="array" ref="J1889">IFERROR(INDEX('Retirement Calculator'!K:K,MATCH('Lorri 401b'!N1889,'Retirement Calculator'!A:A,0),0),0)</f>
        <v>0</v>
      </c>
      <c r="K1889" s="444">
        <f t="shared" ca="1" si="118"/>
        <v>-8419299.4929749966</v>
      </c>
      <c r="L1889" s="444">
        <f t="shared" ca="1" si="119"/>
        <v>-2029051177.8069744</v>
      </c>
      <c r="M1889" s="460">
        <f t="shared" si="121"/>
        <v>0.05</v>
      </c>
      <c r="N1889" s="464">
        <f t="shared" si="122"/>
        <v>108539</v>
      </c>
    </row>
    <row r="1890" spans="7:14" ht="11.25" customHeight="1" x14ac:dyDescent="0.25">
      <c r="G1890" s="459"/>
      <c r="H1890" s="459">
        <v>1883</v>
      </c>
      <c r="I1890" s="444">
        <f t="shared" ca="1" si="120"/>
        <v>-2029051177.8069744</v>
      </c>
      <c r="J1890" s="444">
        <f t="array" ref="J1890">IFERROR(INDEX('Retirement Calculator'!K:K,MATCH('Lorri 401b'!N1890,'Retirement Calculator'!A:A,0),0),0)</f>
        <v>0</v>
      </c>
      <c r="K1890" s="444">
        <f t="shared" ca="1" si="118"/>
        <v>-8454379.9075290598</v>
      </c>
      <c r="L1890" s="444">
        <f t="shared" ca="1" si="119"/>
        <v>-2037505557.7145035</v>
      </c>
      <c r="M1890" s="460">
        <f t="shared" si="121"/>
        <v>0.05</v>
      </c>
      <c r="N1890" s="464">
        <f t="shared" si="122"/>
        <v>108570</v>
      </c>
    </row>
    <row r="1891" spans="7:14" ht="11.25" customHeight="1" x14ac:dyDescent="0.25">
      <c r="G1891" s="459"/>
      <c r="H1891" s="459">
        <v>1884</v>
      </c>
      <c r="I1891" s="444">
        <f t="shared" ca="1" si="120"/>
        <v>-2037505557.7145035</v>
      </c>
      <c r="J1891" s="444">
        <f t="array" ref="J1891">IFERROR(INDEX('Retirement Calculator'!K:K,MATCH('Lorri 401b'!N1891,'Retirement Calculator'!A:A,0),0),0)</f>
        <v>0</v>
      </c>
      <c r="K1891" s="444">
        <f t="shared" ca="1" si="118"/>
        <v>-8489606.4904770982</v>
      </c>
      <c r="L1891" s="444">
        <f t="shared" ca="1" si="119"/>
        <v>-2045995164.2049806</v>
      </c>
      <c r="M1891" s="460">
        <f t="shared" si="121"/>
        <v>0.05</v>
      </c>
      <c r="N1891" s="464">
        <f t="shared" si="122"/>
        <v>108600</v>
      </c>
    </row>
    <row r="1892" spans="7:14" ht="11.25" customHeight="1" x14ac:dyDescent="0.25">
      <c r="G1892" s="459"/>
      <c r="H1892" s="459">
        <v>1885</v>
      </c>
      <c r="I1892" s="444">
        <f t="shared" ca="1" si="120"/>
        <v>-2045995164.2049806</v>
      </c>
      <c r="J1892" s="444">
        <f t="array" ref="J1892">IFERROR(INDEX('Retirement Calculator'!K:K,MATCH('Lorri 401b'!N1892,'Retirement Calculator'!A:A,0),0),0)</f>
        <v>0</v>
      </c>
      <c r="K1892" s="444">
        <f t="shared" ca="1" si="118"/>
        <v>-8524979.8508540858</v>
      </c>
      <c r="L1892" s="444">
        <f t="shared" ca="1" si="119"/>
        <v>-2054520144.0558348</v>
      </c>
      <c r="M1892" s="460">
        <f t="shared" si="121"/>
        <v>0.05</v>
      </c>
      <c r="N1892" s="464">
        <f t="shared" si="122"/>
        <v>108631</v>
      </c>
    </row>
    <row r="1893" spans="7:14" ht="11.25" customHeight="1" x14ac:dyDescent="0.25">
      <c r="G1893" s="459"/>
      <c r="H1893" s="459">
        <v>1886</v>
      </c>
      <c r="I1893" s="444">
        <f t="shared" ca="1" si="120"/>
        <v>-2054520144.0558348</v>
      </c>
      <c r="J1893" s="444">
        <f t="array" ref="J1893">IFERROR(INDEX('Retirement Calculator'!K:K,MATCH('Lorri 401b'!N1893,'Retirement Calculator'!A:A,0),0),0)</f>
        <v>0</v>
      </c>
      <c r="K1893" s="444">
        <f t="shared" ca="1" si="118"/>
        <v>-8560500.600232644</v>
      </c>
      <c r="L1893" s="444">
        <f t="shared" ca="1" si="119"/>
        <v>-2063080644.6560674</v>
      </c>
      <c r="M1893" s="460">
        <f t="shared" si="121"/>
        <v>0.05</v>
      </c>
      <c r="N1893" s="464">
        <f t="shared" si="122"/>
        <v>108661</v>
      </c>
    </row>
    <row r="1894" spans="7:14" ht="11.25" customHeight="1" x14ac:dyDescent="0.25">
      <c r="G1894" s="459"/>
      <c r="H1894" s="459">
        <v>1887</v>
      </c>
      <c r="I1894" s="444">
        <f t="shared" ca="1" si="120"/>
        <v>-2063080644.6560674</v>
      </c>
      <c r="J1894" s="444">
        <f t="array" ref="J1894">IFERROR(INDEX('Retirement Calculator'!K:K,MATCH('Lorri 401b'!N1894,'Retirement Calculator'!A:A,0),0),0)</f>
        <v>0</v>
      </c>
      <c r="K1894" s="444">
        <f t="shared" ca="1" si="118"/>
        <v>-8596169.3527336139</v>
      </c>
      <c r="L1894" s="444">
        <f t="shared" ca="1" si="119"/>
        <v>-2071676814.008801</v>
      </c>
      <c r="M1894" s="460">
        <f t="shared" si="121"/>
        <v>0.05</v>
      </c>
      <c r="N1894" s="464">
        <f t="shared" si="122"/>
        <v>108692</v>
      </c>
    </row>
    <row r="1895" spans="7:14" ht="11.25" customHeight="1" x14ac:dyDescent="0.25">
      <c r="G1895" s="459"/>
      <c r="H1895" s="459">
        <v>1888</v>
      </c>
      <c r="I1895" s="444">
        <f t="shared" ca="1" si="120"/>
        <v>-2071676814.008801</v>
      </c>
      <c r="J1895" s="444">
        <f t="array" ref="J1895">IFERROR(INDEX('Retirement Calculator'!K:K,MATCH('Lorri 401b'!N1895,'Retirement Calculator'!A:A,0),0),0)</f>
        <v>0</v>
      </c>
      <c r="K1895" s="444">
        <f t="shared" ca="1" si="118"/>
        <v>-8631986.7250366714</v>
      </c>
      <c r="L1895" s="444">
        <f t="shared" ca="1" si="119"/>
        <v>-2080308800.7338376</v>
      </c>
      <c r="M1895" s="460">
        <f t="shared" si="121"/>
        <v>0.05</v>
      </c>
      <c r="N1895" s="464">
        <f t="shared" si="122"/>
        <v>108723</v>
      </c>
    </row>
    <row r="1896" spans="7:14" ht="11.25" customHeight="1" x14ac:dyDescent="0.25">
      <c r="G1896" s="459"/>
      <c r="H1896" s="459">
        <v>1889</v>
      </c>
      <c r="I1896" s="444">
        <f t="shared" ca="1" si="120"/>
        <v>-2080308800.7338376</v>
      </c>
      <c r="J1896" s="444">
        <f t="array" ref="J1896">IFERROR(INDEX('Retirement Calculator'!K:K,MATCH('Lorri 401b'!N1896,'Retirement Calculator'!A:A,0),0),0)</f>
        <v>0</v>
      </c>
      <c r="K1896" s="444">
        <f t="shared" ca="1" si="118"/>
        <v>-8667953.3363909908</v>
      </c>
      <c r="L1896" s="444">
        <f t="shared" ca="1" si="119"/>
        <v>-2088976754.0702286</v>
      </c>
      <c r="M1896" s="460">
        <f t="shared" si="121"/>
        <v>0.05</v>
      </c>
      <c r="N1896" s="464">
        <f t="shared" si="122"/>
        <v>108753</v>
      </c>
    </row>
    <row r="1897" spans="7:14" ht="11.25" customHeight="1" x14ac:dyDescent="0.25">
      <c r="G1897" s="459"/>
      <c r="H1897" s="459">
        <v>1890</v>
      </c>
      <c r="I1897" s="444">
        <f t="shared" ca="1" si="120"/>
        <v>-2088976754.0702286</v>
      </c>
      <c r="J1897" s="444">
        <f t="array" ref="J1897">IFERROR(INDEX('Retirement Calculator'!K:K,MATCH('Lorri 401b'!N1897,'Retirement Calculator'!A:A,0),0),0)</f>
        <v>0</v>
      </c>
      <c r="K1897" s="444">
        <f t="shared" ca="1" si="118"/>
        <v>-8704069.8086259514</v>
      </c>
      <c r="L1897" s="444">
        <f t="shared" ca="1" si="119"/>
        <v>-2097680823.8788545</v>
      </c>
      <c r="M1897" s="460">
        <f t="shared" si="121"/>
        <v>0.05</v>
      </c>
      <c r="N1897" s="464">
        <f t="shared" si="122"/>
        <v>108784</v>
      </c>
    </row>
    <row r="1898" spans="7:14" ht="11.25" customHeight="1" x14ac:dyDescent="0.25">
      <c r="G1898" s="459"/>
      <c r="H1898" s="459">
        <v>1891</v>
      </c>
      <c r="I1898" s="444">
        <f t="shared" ca="1" si="120"/>
        <v>-2097680823.8788545</v>
      </c>
      <c r="J1898" s="444">
        <f t="array" ref="J1898">IFERROR(INDEX('Retirement Calculator'!K:K,MATCH('Lorri 401b'!N1898,'Retirement Calculator'!A:A,0),0),0)</f>
        <v>0</v>
      </c>
      <c r="K1898" s="444">
        <f t="shared" ca="1" si="118"/>
        <v>-8740336.7661618944</v>
      </c>
      <c r="L1898" s="444">
        <f t="shared" ca="1" si="119"/>
        <v>-2106421160.6450164</v>
      </c>
      <c r="M1898" s="460">
        <f t="shared" si="121"/>
        <v>0.05</v>
      </c>
      <c r="N1898" s="464">
        <f t="shared" si="122"/>
        <v>108814</v>
      </c>
    </row>
    <row r="1899" spans="7:14" ht="11.25" customHeight="1" x14ac:dyDescent="0.25">
      <c r="G1899" s="459"/>
      <c r="H1899" s="459">
        <v>1892</v>
      </c>
      <c r="I1899" s="444">
        <f t="shared" ca="1" si="120"/>
        <v>-2106421160.6450164</v>
      </c>
      <c r="J1899" s="444">
        <f t="array" ref="J1899">IFERROR(INDEX('Retirement Calculator'!K:K,MATCH('Lorri 401b'!N1899,'Retirement Calculator'!A:A,0),0),0)</f>
        <v>0</v>
      </c>
      <c r="K1899" s="444">
        <f t="shared" ca="1" si="118"/>
        <v>-8776754.8360209018</v>
      </c>
      <c r="L1899" s="444">
        <f t="shared" ca="1" si="119"/>
        <v>-2115197915.4810374</v>
      </c>
      <c r="M1899" s="460">
        <f t="shared" si="121"/>
        <v>0.05</v>
      </c>
      <c r="N1899" s="464">
        <f t="shared" si="122"/>
        <v>108845</v>
      </c>
    </row>
    <row r="1900" spans="7:14" ht="11.25" customHeight="1" x14ac:dyDescent="0.25">
      <c r="G1900" s="459"/>
      <c r="H1900" s="459">
        <v>1893</v>
      </c>
      <c r="I1900" s="444">
        <f t="shared" ca="1" si="120"/>
        <v>-2115197915.4810374</v>
      </c>
      <c r="J1900" s="444">
        <f t="array" ref="J1900">IFERROR(INDEX('Retirement Calculator'!K:K,MATCH('Lorri 401b'!N1900,'Retirement Calculator'!A:A,0),0),0)</f>
        <v>0</v>
      </c>
      <c r="K1900" s="444">
        <f t="shared" ca="1" si="118"/>
        <v>-8813324.6478376575</v>
      </c>
      <c r="L1900" s="444">
        <f t="shared" ca="1" si="119"/>
        <v>-2124011240.128875</v>
      </c>
      <c r="M1900" s="460">
        <f t="shared" si="121"/>
        <v>0.05</v>
      </c>
      <c r="N1900" s="464">
        <f t="shared" si="122"/>
        <v>108876</v>
      </c>
    </row>
    <row r="1901" spans="7:14" ht="11.25" customHeight="1" x14ac:dyDescent="0.25">
      <c r="G1901" s="459"/>
      <c r="H1901" s="459">
        <v>1894</v>
      </c>
      <c r="I1901" s="444">
        <f t="shared" ca="1" si="120"/>
        <v>-2124011240.128875</v>
      </c>
      <c r="J1901" s="444">
        <f t="array" ref="J1901">IFERROR(INDEX('Retirement Calculator'!K:K,MATCH('Lorri 401b'!N1901,'Retirement Calculator'!A:A,0),0),0)</f>
        <v>0</v>
      </c>
      <c r="K1901" s="444">
        <f t="shared" ca="1" si="118"/>
        <v>-8850046.8338703122</v>
      </c>
      <c r="L1901" s="444">
        <f t="shared" ca="1" si="119"/>
        <v>-2132861286.9627454</v>
      </c>
      <c r="M1901" s="460">
        <f t="shared" si="121"/>
        <v>0.05</v>
      </c>
      <c r="N1901" s="464">
        <f t="shared" si="122"/>
        <v>108904</v>
      </c>
    </row>
    <row r="1902" spans="7:14" ht="11.25" customHeight="1" x14ac:dyDescent="0.25">
      <c r="G1902" s="459"/>
      <c r="H1902" s="459">
        <v>1895</v>
      </c>
      <c r="I1902" s="444">
        <f t="shared" ca="1" si="120"/>
        <v>-2132861286.9627454</v>
      </c>
      <c r="J1902" s="444">
        <f t="array" ref="J1902">IFERROR(INDEX('Retirement Calculator'!K:K,MATCH('Lorri 401b'!N1902,'Retirement Calculator'!A:A,0),0),0)</f>
        <v>0</v>
      </c>
      <c r="K1902" s="444">
        <f t="shared" ca="1" si="118"/>
        <v>-8886922.0290114395</v>
      </c>
      <c r="L1902" s="444">
        <f t="shared" ca="1" si="119"/>
        <v>-2141748208.9917569</v>
      </c>
      <c r="M1902" s="460">
        <f t="shared" si="121"/>
        <v>0.05</v>
      </c>
      <c r="N1902" s="464">
        <f t="shared" si="122"/>
        <v>108935</v>
      </c>
    </row>
    <row r="1903" spans="7:14" ht="11.25" customHeight="1" x14ac:dyDescent="0.25">
      <c r="G1903" s="459"/>
      <c r="H1903" s="459">
        <v>1896</v>
      </c>
      <c r="I1903" s="444">
        <f t="shared" ca="1" si="120"/>
        <v>-2141748208.9917569</v>
      </c>
      <c r="J1903" s="444">
        <f t="array" ref="J1903">IFERROR(INDEX('Retirement Calculator'!K:K,MATCH('Lorri 401b'!N1903,'Retirement Calculator'!A:A,0),0),0)</f>
        <v>0</v>
      </c>
      <c r="K1903" s="444">
        <f t="shared" ca="1" si="118"/>
        <v>-8923950.8707989883</v>
      </c>
      <c r="L1903" s="444">
        <f t="shared" ca="1" si="119"/>
        <v>-2150672159.862556</v>
      </c>
      <c r="M1903" s="460">
        <f t="shared" si="121"/>
        <v>0.05</v>
      </c>
      <c r="N1903" s="464">
        <f t="shared" si="122"/>
        <v>108965</v>
      </c>
    </row>
    <row r="1904" spans="7:14" ht="11.25" customHeight="1" x14ac:dyDescent="0.25">
      <c r="G1904" s="459"/>
      <c r="H1904" s="459">
        <v>1897</v>
      </c>
      <c r="I1904" s="444">
        <f t="shared" ca="1" si="120"/>
        <v>-2150672159.862556</v>
      </c>
      <c r="J1904" s="444">
        <f t="array" ref="J1904">IFERROR(INDEX('Retirement Calculator'!K:K,MATCH('Lorri 401b'!N1904,'Retirement Calculator'!A:A,0),0),0)</f>
        <v>0</v>
      </c>
      <c r="K1904" s="444">
        <f t="shared" ca="1" si="118"/>
        <v>-8961133.9994273167</v>
      </c>
      <c r="L1904" s="444">
        <f t="shared" ca="1" si="119"/>
        <v>-2159633293.8619833</v>
      </c>
      <c r="M1904" s="460">
        <f t="shared" si="121"/>
        <v>0.05</v>
      </c>
      <c r="N1904" s="464">
        <f t="shared" si="122"/>
        <v>108996</v>
      </c>
    </row>
    <row r="1905" spans="7:14" ht="11.25" customHeight="1" x14ac:dyDescent="0.25">
      <c r="G1905" s="459"/>
      <c r="H1905" s="459">
        <v>1898</v>
      </c>
      <c r="I1905" s="444">
        <f t="shared" ca="1" si="120"/>
        <v>-2159633293.8619833</v>
      </c>
      <c r="J1905" s="444">
        <f t="array" ref="J1905">IFERROR(INDEX('Retirement Calculator'!K:K,MATCH('Lorri 401b'!N1905,'Retirement Calculator'!A:A,0),0),0)</f>
        <v>0</v>
      </c>
      <c r="K1905" s="444">
        <f t="shared" ca="1" si="118"/>
        <v>-8998472.0577582642</v>
      </c>
      <c r="L1905" s="444">
        <f t="shared" ca="1" si="119"/>
        <v>-2168631765.9197416</v>
      </c>
      <c r="M1905" s="460">
        <f t="shared" si="121"/>
        <v>0.05</v>
      </c>
      <c r="N1905" s="464">
        <f t="shared" si="122"/>
        <v>109026</v>
      </c>
    </row>
    <row r="1906" spans="7:14" ht="11.25" customHeight="1" x14ac:dyDescent="0.25">
      <c r="G1906" s="459"/>
      <c r="H1906" s="459">
        <v>1899</v>
      </c>
      <c r="I1906" s="444">
        <f t="shared" ca="1" si="120"/>
        <v>-2168631765.9197416</v>
      </c>
      <c r="J1906" s="444">
        <f t="array" ref="J1906">IFERROR(INDEX('Retirement Calculator'!K:K,MATCH('Lorri 401b'!N1906,'Retirement Calculator'!A:A,0),0),0)</f>
        <v>0</v>
      </c>
      <c r="K1906" s="444">
        <f t="shared" ca="1" si="118"/>
        <v>-9035965.6913322564</v>
      </c>
      <c r="L1906" s="444">
        <f t="shared" ca="1" si="119"/>
        <v>-2177667731.611074</v>
      </c>
      <c r="M1906" s="460">
        <f t="shared" si="121"/>
        <v>0.05</v>
      </c>
      <c r="N1906" s="464">
        <f t="shared" si="122"/>
        <v>109057</v>
      </c>
    </row>
    <row r="1907" spans="7:14" ht="11.25" customHeight="1" x14ac:dyDescent="0.25">
      <c r="G1907" s="459"/>
      <c r="H1907" s="459">
        <v>1900</v>
      </c>
      <c r="I1907" s="444">
        <f t="shared" ca="1" si="120"/>
        <v>-2177667731.611074</v>
      </c>
      <c r="J1907" s="444">
        <f t="array" ref="J1907">IFERROR(INDEX('Retirement Calculator'!K:K,MATCH('Lorri 401b'!N1907,'Retirement Calculator'!A:A,0),0),0)</f>
        <v>0</v>
      </c>
      <c r="K1907" s="444">
        <f t="shared" ca="1" si="118"/>
        <v>-9073615.5483794753</v>
      </c>
      <c r="L1907" s="444">
        <f t="shared" ca="1" si="119"/>
        <v>-2186741347.1594534</v>
      </c>
      <c r="M1907" s="460">
        <f t="shared" si="121"/>
        <v>0.05</v>
      </c>
      <c r="N1907" s="464">
        <f t="shared" si="122"/>
        <v>109088</v>
      </c>
    </row>
    <row r="1908" spans="7:14" ht="11.25" customHeight="1" x14ac:dyDescent="0.25">
      <c r="G1908" s="459"/>
      <c r="H1908" s="459">
        <v>1901</v>
      </c>
      <c r="I1908" s="444">
        <f t="shared" ca="1" si="120"/>
        <v>-2186741347.1594534</v>
      </c>
      <c r="J1908" s="444">
        <f t="array" ref="J1908">IFERROR(INDEX('Retirement Calculator'!K:K,MATCH('Lorri 401b'!N1908,'Retirement Calculator'!A:A,0),0),0)</f>
        <v>0</v>
      </c>
      <c r="K1908" s="444">
        <f t="shared" ca="1" si="118"/>
        <v>-9111422.2798310556</v>
      </c>
      <c r="L1908" s="444">
        <f t="shared" ca="1" si="119"/>
        <v>-2195852769.4392843</v>
      </c>
      <c r="M1908" s="460">
        <f t="shared" si="121"/>
        <v>0.05</v>
      </c>
      <c r="N1908" s="464">
        <f t="shared" si="122"/>
        <v>109118</v>
      </c>
    </row>
    <row r="1909" spans="7:14" ht="11.25" customHeight="1" x14ac:dyDescent="0.25">
      <c r="G1909" s="459"/>
      <c r="H1909" s="459">
        <v>1902</v>
      </c>
      <c r="I1909" s="444">
        <f t="shared" ca="1" si="120"/>
        <v>-2195852769.4392843</v>
      </c>
      <c r="J1909" s="444">
        <f t="array" ref="J1909">IFERROR(INDEX('Retirement Calculator'!K:K,MATCH('Lorri 401b'!N1909,'Retirement Calculator'!A:A,0),0),0)</f>
        <v>0</v>
      </c>
      <c r="K1909" s="444">
        <f t="shared" ca="1" si="118"/>
        <v>-9149386.5393303521</v>
      </c>
      <c r="L1909" s="444">
        <f t="shared" ca="1" si="119"/>
        <v>-2205002155.9786148</v>
      </c>
      <c r="M1909" s="460">
        <f t="shared" si="121"/>
        <v>0.05</v>
      </c>
      <c r="N1909" s="464">
        <f t="shared" si="122"/>
        <v>109149</v>
      </c>
    </row>
    <row r="1910" spans="7:14" ht="11.25" customHeight="1" x14ac:dyDescent="0.25">
      <c r="G1910" s="459"/>
      <c r="H1910" s="459">
        <v>1903</v>
      </c>
      <c r="I1910" s="444">
        <f t="shared" ca="1" si="120"/>
        <v>-2205002155.9786148</v>
      </c>
      <c r="J1910" s="444">
        <f t="array" ref="J1910">IFERROR(INDEX('Retirement Calculator'!K:K,MATCH('Lorri 401b'!N1910,'Retirement Calculator'!A:A,0),0),0)</f>
        <v>0</v>
      </c>
      <c r="K1910" s="444">
        <f t="shared" ca="1" si="118"/>
        <v>-9187508.9832442291</v>
      </c>
      <c r="L1910" s="444">
        <f t="shared" ca="1" si="119"/>
        <v>-2214189664.9618592</v>
      </c>
      <c r="M1910" s="460">
        <f t="shared" si="121"/>
        <v>0.05</v>
      </c>
      <c r="N1910" s="464">
        <f t="shared" si="122"/>
        <v>109179</v>
      </c>
    </row>
    <row r="1911" spans="7:14" ht="11.25" customHeight="1" x14ac:dyDescent="0.25">
      <c r="G1911" s="459"/>
      <c r="H1911" s="459">
        <v>1904</v>
      </c>
      <c r="I1911" s="444">
        <f t="shared" ca="1" si="120"/>
        <v>-2214189664.9618592</v>
      </c>
      <c r="J1911" s="444">
        <f t="array" ref="J1911">IFERROR(INDEX('Retirement Calculator'!K:K,MATCH('Lorri 401b'!N1911,'Retirement Calculator'!A:A,0),0),0)</f>
        <v>0</v>
      </c>
      <c r="K1911" s="444">
        <f t="shared" ca="1" si="118"/>
        <v>-9225790.2706744131</v>
      </c>
      <c r="L1911" s="444">
        <f t="shared" ca="1" si="119"/>
        <v>-2223415455.2325335</v>
      </c>
      <c r="M1911" s="460">
        <f t="shared" si="121"/>
        <v>0.05</v>
      </c>
      <c r="N1911" s="464">
        <f t="shared" si="122"/>
        <v>109210</v>
      </c>
    </row>
    <row r="1912" spans="7:14" ht="11.25" customHeight="1" x14ac:dyDescent="0.25">
      <c r="G1912" s="459"/>
      <c r="H1912" s="459">
        <v>1905</v>
      </c>
      <c r="I1912" s="444">
        <f t="shared" ca="1" si="120"/>
        <v>-2223415455.2325335</v>
      </c>
      <c r="J1912" s="444">
        <f t="array" ref="J1912">IFERROR(INDEX('Retirement Calculator'!K:K,MATCH('Lorri 401b'!N1912,'Retirement Calculator'!A:A,0),0),0)</f>
        <v>0</v>
      </c>
      <c r="K1912" s="444">
        <f t="shared" ca="1" si="118"/>
        <v>-9264231.0634688884</v>
      </c>
      <c r="L1912" s="444">
        <f t="shared" ca="1" si="119"/>
        <v>-2232679686.2960024</v>
      </c>
      <c r="M1912" s="460">
        <f t="shared" si="121"/>
        <v>0.05</v>
      </c>
      <c r="N1912" s="464">
        <f t="shared" si="122"/>
        <v>109241</v>
      </c>
    </row>
    <row r="1913" spans="7:14" ht="11.25" customHeight="1" x14ac:dyDescent="0.25">
      <c r="G1913" s="459"/>
      <c r="H1913" s="459">
        <v>1906</v>
      </c>
      <c r="I1913" s="444">
        <f t="shared" ca="1" si="120"/>
        <v>-2232679686.2960024</v>
      </c>
      <c r="J1913" s="444">
        <f t="array" ref="J1913">IFERROR(INDEX('Retirement Calculator'!K:K,MATCH('Lorri 401b'!N1913,'Retirement Calculator'!A:A,0),0),0)</f>
        <v>0</v>
      </c>
      <c r="K1913" s="444">
        <f t="shared" ca="1" si="118"/>
        <v>-9302832.0262333434</v>
      </c>
      <c r="L1913" s="444">
        <f t="shared" ca="1" si="119"/>
        <v>-2241982518.3222356</v>
      </c>
      <c r="M1913" s="460">
        <f t="shared" si="121"/>
        <v>0.05</v>
      </c>
      <c r="N1913" s="464">
        <f t="shared" si="122"/>
        <v>109269</v>
      </c>
    </row>
    <row r="1914" spans="7:14" ht="11.25" customHeight="1" x14ac:dyDescent="0.25">
      <c r="G1914" s="459"/>
      <c r="H1914" s="459">
        <v>1907</v>
      </c>
      <c r="I1914" s="444">
        <f t="shared" ca="1" si="120"/>
        <v>-2241982518.3222356</v>
      </c>
      <c r="J1914" s="444">
        <f t="array" ref="J1914">IFERROR(INDEX('Retirement Calculator'!K:K,MATCH('Lorri 401b'!N1914,'Retirement Calculator'!A:A,0),0),0)</f>
        <v>0</v>
      </c>
      <c r="K1914" s="444">
        <f t="shared" ca="1" si="118"/>
        <v>-9341593.8263426479</v>
      </c>
      <c r="L1914" s="444">
        <f t="shared" ca="1" si="119"/>
        <v>-2251324112.1485782</v>
      </c>
      <c r="M1914" s="460">
        <f t="shared" si="121"/>
        <v>0.05</v>
      </c>
      <c r="N1914" s="464">
        <f t="shared" si="122"/>
        <v>109300</v>
      </c>
    </row>
    <row r="1915" spans="7:14" ht="11.25" customHeight="1" x14ac:dyDescent="0.25">
      <c r="G1915" s="459"/>
      <c r="H1915" s="459">
        <v>1908</v>
      </c>
      <c r="I1915" s="444">
        <f t="shared" ca="1" si="120"/>
        <v>-2251324112.1485782</v>
      </c>
      <c r="J1915" s="444">
        <f t="array" ref="J1915">IFERROR(INDEX('Retirement Calculator'!K:K,MATCH('Lorri 401b'!N1915,'Retirement Calculator'!A:A,0),0),0)</f>
        <v>0</v>
      </c>
      <c r="K1915" s="444">
        <f t="shared" ca="1" si="118"/>
        <v>-9380517.133952409</v>
      </c>
      <c r="L1915" s="444">
        <f t="shared" ca="1" si="119"/>
        <v>-2260704629.2825308</v>
      </c>
      <c r="M1915" s="460">
        <f t="shared" si="121"/>
        <v>0.05</v>
      </c>
      <c r="N1915" s="464">
        <f t="shared" si="122"/>
        <v>109330</v>
      </c>
    </row>
    <row r="1916" spans="7:14" ht="11.25" customHeight="1" x14ac:dyDescent="0.25">
      <c r="G1916" s="459"/>
      <c r="H1916" s="459">
        <v>1909</v>
      </c>
      <c r="I1916" s="444">
        <f t="shared" ca="1" si="120"/>
        <v>-2260704629.2825308</v>
      </c>
      <c r="J1916" s="444">
        <f t="array" ref="J1916">IFERROR(INDEX('Retirement Calculator'!K:K,MATCH('Lorri 401b'!N1916,'Retirement Calculator'!A:A,0),0),0)</f>
        <v>0</v>
      </c>
      <c r="K1916" s="444">
        <f t="shared" ca="1" si="118"/>
        <v>-9419602.6220105439</v>
      </c>
      <c r="L1916" s="444">
        <f t="shared" ca="1" si="119"/>
        <v>-2270124231.9045415</v>
      </c>
      <c r="M1916" s="460">
        <f t="shared" si="121"/>
        <v>0.05</v>
      </c>
      <c r="N1916" s="464">
        <f t="shared" si="122"/>
        <v>109361</v>
      </c>
    </row>
    <row r="1917" spans="7:14" ht="11.25" customHeight="1" x14ac:dyDescent="0.25">
      <c r="G1917" s="459"/>
      <c r="H1917" s="459">
        <v>1910</v>
      </c>
      <c r="I1917" s="444">
        <f t="shared" ca="1" si="120"/>
        <v>-2270124231.9045415</v>
      </c>
      <c r="J1917" s="444">
        <f t="array" ref="J1917">IFERROR(INDEX('Retirement Calculator'!K:K,MATCH('Lorri 401b'!N1917,'Retirement Calculator'!A:A,0),0),0)</f>
        <v>0</v>
      </c>
      <c r="K1917" s="444">
        <f t="shared" ca="1" si="118"/>
        <v>-9458850.9662689231</v>
      </c>
      <c r="L1917" s="444">
        <f t="shared" ca="1" si="119"/>
        <v>-2279583082.8708105</v>
      </c>
      <c r="M1917" s="460">
        <f t="shared" si="121"/>
        <v>0.05</v>
      </c>
      <c r="N1917" s="464">
        <f t="shared" si="122"/>
        <v>109391</v>
      </c>
    </row>
    <row r="1918" spans="7:14" ht="11.25" customHeight="1" x14ac:dyDescent="0.25">
      <c r="G1918" s="459"/>
      <c r="H1918" s="459">
        <v>1911</v>
      </c>
      <c r="I1918" s="444">
        <f t="shared" ca="1" si="120"/>
        <v>-2279583082.8708105</v>
      </c>
      <c r="J1918" s="444">
        <f t="array" ref="J1918">IFERROR(INDEX('Retirement Calculator'!K:K,MATCH('Lorri 401b'!N1918,'Retirement Calculator'!A:A,0),0),0)</f>
        <v>0</v>
      </c>
      <c r="K1918" s="444">
        <f t="shared" ca="1" si="118"/>
        <v>-9498262.8452950437</v>
      </c>
      <c r="L1918" s="444">
        <f t="shared" ca="1" si="119"/>
        <v>-2289081345.7161055</v>
      </c>
      <c r="M1918" s="460">
        <f t="shared" si="121"/>
        <v>0.05</v>
      </c>
      <c r="N1918" s="464">
        <f t="shared" si="122"/>
        <v>109422</v>
      </c>
    </row>
    <row r="1919" spans="7:14" ht="11.25" customHeight="1" x14ac:dyDescent="0.25">
      <c r="G1919" s="459"/>
      <c r="H1919" s="459">
        <v>1912</v>
      </c>
      <c r="I1919" s="444">
        <f t="shared" ca="1" si="120"/>
        <v>-2289081345.7161055</v>
      </c>
      <c r="J1919" s="444">
        <f t="array" ref="J1919">IFERROR(INDEX('Retirement Calculator'!K:K,MATCH('Lorri 401b'!N1919,'Retirement Calculator'!A:A,0),0),0)</f>
        <v>0</v>
      </c>
      <c r="K1919" s="444">
        <f t="shared" ca="1" si="118"/>
        <v>-9537838.9404837731</v>
      </c>
      <c r="L1919" s="444">
        <f t="shared" ca="1" si="119"/>
        <v>-2298619184.656589</v>
      </c>
      <c r="M1919" s="460">
        <f t="shared" si="121"/>
        <v>0.05</v>
      </c>
      <c r="N1919" s="464">
        <f t="shared" si="122"/>
        <v>109453</v>
      </c>
    </row>
    <row r="1920" spans="7:14" ht="11.25" customHeight="1" x14ac:dyDescent="0.25">
      <c r="G1920" s="459"/>
      <c r="H1920" s="459">
        <v>1913</v>
      </c>
      <c r="I1920" s="444">
        <f t="shared" ca="1" si="120"/>
        <v>-2298619184.656589</v>
      </c>
      <c r="J1920" s="444">
        <f t="array" ref="J1920">IFERROR(INDEX('Retirement Calculator'!K:K,MATCH('Lorri 401b'!N1920,'Retirement Calculator'!A:A,0),0),0)</f>
        <v>0</v>
      </c>
      <c r="K1920" s="444">
        <f t="shared" ca="1" si="118"/>
        <v>-9577579.9360691216</v>
      </c>
      <c r="L1920" s="444">
        <f t="shared" ca="1" si="119"/>
        <v>-2308196764.592658</v>
      </c>
      <c r="M1920" s="460">
        <f t="shared" si="121"/>
        <v>0.05</v>
      </c>
      <c r="N1920" s="464">
        <f t="shared" si="122"/>
        <v>109483</v>
      </c>
    </row>
    <row r="1921" spans="7:14" ht="11.25" customHeight="1" x14ac:dyDescent="0.25">
      <c r="G1921" s="459"/>
      <c r="H1921" s="459">
        <v>1914</v>
      </c>
      <c r="I1921" s="444">
        <f t="shared" ca="1" si="120"/>
        <v>-2308196764.592658</v>
      </c>
      <c r="J1921" s="444">
        <f t="array" ref="J1921">IFERROR(INDEX('Retirement Calculator'!K:K,MATCH('Lorri 401b'!N1921,'Retirement Calculator'!A:A,0),0),0)</f>
        <v>0</v>
      </c>
      <c r="K1921" s="444">
        <f t="shared" ca="1" si="118"/>
        <v>-9617486.5191360749</v>
      </c>
      <c r="L1921" s="444">
        <f t="shared" ca="1" si="119"/>
        <v>-2317814251.111794</v>
      </c>
      <c r="M1921" s="460">
        <f t="shared" si="121"/>
        <v>0.05</v>
      </c>
      <c r="N1921" s="464">
        <f t="shared" si="122"/>
        <v>109514</v>
      </c>
    </row>
    <row r="1922" spans="7:14" ht="11.25" customHeight="1" x14ac:dyDescent="0.25">
      <c r="G1922" s="459"/>
      <c r="H1922" s="459">
        <v>1915</v>
      </c>
      <c r="I1922" s="444">
        <f t="shared" ca="1" si="120"/>
        <v>-2317814251.111794</v>
      </c>
      <c r="J1922" s="444">
        <f t="array" ref="J1922">IFERROR(INDEX('Retirement Calculator'!K:K,MATCH('Lorri 401b'!N1922,'Retirement Calculator'!A:A,0),0),0)</f>
        <v>0</v>
      </c>
      <c r="K1922" s="444">
        <f t="shared" ca="1" si="118"/>
        <v>-9657559.3796324749</v>
      </c>
      <c r="L1922" s="444">
        <f t="shared" ca="1" si="119"/>
        <v>-2327471810.4914265</v>
      </c>
      <c r="M1922" s="460">
        <f t="shared" si="121"/>
        <v>0.05</v>
      </c>
      <c r="N1922" s="464">
        <f t="shared" si="122"/>
        <v>109544</v>
      </c>
    </row>
    <row r="1923" spans="7:14" ht="11.25" customHeight="1" x14ac:dyDescent="0.25">
      <c r="G1923" s="459"/>
      <c r="H1923" s="459">
        <v>1916</v>
      </c>
      <c r="I1923" s="444">
        <f t="shared" ca="1" si="120"/>
        <v>-2327471810.4914265</v>
      </c>
      <c r="J1923" s="444">
        <f t="array" ref="J1923">IFERROR(INDEX('Retirement Calculator'!K:K,MATCH('Lorri 401b'!N1923,'Retirement Calculator'!A:A,0),0),0)</f>
        <v>0</v>
      </c>
      <c r="K1923" s="444">
        <f t="shared" ca="1" si="118"/>
        <v>-9697799.2103809435</v>
      </c>
      <c r="L1923" s="444">
        <f t="shared" ca="1" si="119"/>
        <v>-2337169609.7018075</v>
      </c>
      <c r="M1923" s="460">
        <f t="shared" si="121"/>
        <v>0.05</v>
      </c>
      <c r="N1923" s="464">
        <f t="shared" si="122"/>
        <v>109575</v>
      </c>
    </row>
    <row r="1924" spans="7:14" ht="11.25" customHeight="1" x14ac:dyDescent="0.25">
      <c r="G1924" s="459"/>
      <c r="H1924" s="459">
        <v>1917</v>
      </c>
      <c r="I1924" s="444">
        <f t="shared" ca="1" si="120"/>
        <v>-2337169609.7018075</v>
      </c>
      <c r="J1924" s="444">
        <f t="array" ref="J1924">IFERROR(INDEX('Retirement Calculator'!K:K,MATCH('Lorri 401b'!N1924,'Retirement Calculator'!A:A,0),0),0)</f>
        <v>0</v>
      </c>
      <c r="K1924" s="444">
        <f t="shared" ca="1" si="118"/>
        <v>-9738206.707090864</v>
      </c>
      <c r="L1924" s="444">
        <f t="shared" ca="1" si="119"/>
        <v>-2346907816.4088984</v>
      </c>
      <c r="M1924" s="460">
        <f t="shared" si="121"/>
        <v>0.05</v>
      </c>
      <c r="N1924" s="464">
        <f t="shared" si="122"/>
        <v>109606</v>
      </c>
    </row>
    <row r="1925" spans="7:14" ht="11.25" customHeight="1" x14ac:dyDescent="0.25">
      <c r="G1925" s="459"/>
      <c r="H1925" s="459">
        <v>1918</v>
      </c>
      <c r="I1925" s="444">
        <f t="shared" ca="1" si="120"/>
        <v>-2346907816.4088984</v>
      </c>
      <c r="J1925" s="444">
        <f t="array" ref="J1925">IFERROR(INDEX('Retirement Calculator'!K:K,MATCH('Lorri 401b'!N1925,'Retirement Calculator'!A:A,0),0),0)</f>
        <v>0</v>
      </c>
      <c r="K1925" s="444">
        <f t="shared" ca="1" si="118"/>
        <v>-9778782.5683704093</v>
      </c>
      <c r="L1925" s="444">
        <f t="shared" ca="1" si="119"/>
        <v>-2356686598.9772687</v>
      </c>
      <c r="M1925" s="460">
        <f t="shared" si="121"/>
        <v>0.05</v>
      </c>
      <c r="N1925" s="464">
        <f t="shared" si="122"/>
        <v>109634</v>
      </c>
    </row>
    <row r="1926" spans="7:14" ht="11.25" customHeight="1" x14ac:dyDescent="0.25">
      <c r="G1926" s="459"/>
      <c r="H1926" s="459">
        <v>1919</v>
      </c>
      <c r="I1926" s="444">
        <f t="shared" ca="1" si="120"/>
        <v>-2356686598.9772687</v>
      </c>
      <c r="J1926" s="444">
        <f t="array" ref="J1926">IFERROR(INDEX('Retirement Calculator'!K:K,MATCH('Lorri 401b'!N1926,'Retirement Calculator'!A:A,0),0),0)</f>
        <v>0</v>
      </c>
      <c r="K1926" s="444">
        <f t="shared" ca="1" si="118"/>
        <v>-9819527.4957386199</v>
      </c>
      <c r="L1926" s="444">
        <f t="shared" ca="1" si="119"/>
        <v>-2366506126.4730072</v>
      </c>
      <c r="M1926" s="460">
        <f t="shared" si="121"/>
        <v>0.05</v>
      </c>
      <c r="N1926" s="464">
        <f t="shared" si="122"/>
        <v>109665</v>
      </c>
    </row>
    <row r="1927" spans="7:14" ht="11.25" customHeight="1" x14ac:dyDescent="0.25">
      <c r="G1927" s="459"/>
      <c r="H1927" s="459">
        <v>1920</v>
      </c>
      <c r="I1927" s="444">
        <f t="shared" ca="1" si="120"/>
        <v>-2366506126.4730072</v>
      </c>
      <c r="J1927" s="444">
        <f t="array" ref="J1927">IFERROR(INDEX('Retirement Calculator'!K:K,MATCH('Lorri 401b'!N1927,'Retirement Calculator'!A:A,0),0),0)</f>
        <v>0</v>
      </c>
      <c r="K1927" s="444">
        <f t="shared" ca="1" si="118"/>
        <v>-9860442.1936375294</v>
      </c>
      <c r="L1927" s="444">
        <f t="shared" ca="1" si="119"/>
        <v>-2376366568.6666446</v>
      </c>
      <c r="M1927" s="460">
        <f t="shared" si="121"/>
        <v>0.05</v>
      </c>
      <c r="N1927" s="464">
        <f t="shared" si="122"/>
        <v>109695</v>
      </c>
    </row>
    <row r="1928" spans="7:14" ht="11.25" customHeight="1" x14ac:dyDescent="0.25">
      <c r="G1928" s="459"/>
      <c r="H1928" s="459">
        <v>1921</v>
      </c>
      <c r="I1928" s="444">
        <f t="shared" ca="1" si="120"/>
        <v>-2376366568.6666446</v>
      </c>
      <c r="J1928" s="444">
        <f t="array" ref="J1928">IFERROR(INDEX('Retirement Calculator'!K:K,MATCH('Lorri 401b'!N1928,'Retirement Calculator'!A:A,0),0),0)</f>
        <v>0</v>
      </c>
      <c r="K1928" s="444">
        <f t="shared" ca="1" si="118"/>
        <v>-9901527.3694443516</v>
      </c>
      <c r="L1928" s="444">
        <f t="shared" ca="1" si="119"/>
        <v>-2386268096.0360889</v>
      </c>
      <c r="M1928" s="460">
        <f t="shared" si="121"/>
        <v>0.05</v>
      </c>
      <c r="N1928" s="464">
        <f t="shared" si="122"/>
        <v>109726</v>
      </c>
    </row>
    <row r="1929" spans="7:14" ht="11.25" customHeight="1" x14ac:dyDescent="0.25">
      <c r="G1929" s="459"/>
      <c r="H1929" s="459">
        <v>1922</v>
      </c>
      <c r="I1929" s="444">
        <f t="shared" ca="1" si="120"/>
        <v>-2386268096.0360889</v>
      </c>
      <c r="J1929" s="444">
        <f t="array" ref="J1929">IFERROR(INDEX('Retirement Calculator'!K:K,MATCH('Lorri 401b'!N1929,'Retirement Calculator'!A:A,0),0),0)</f>
        <v>0</v>
      </c>
      <c r="K1929" s="444">
        <f t="shared" ca="1" si="118"/>
        <v>-9942783.7334837038</v>
      </c>
      <c r="L1929" s="444">
        <f t="shared" ca="1" si="119"/>
        <v>-2396210879.7695727</v>
      </c>
      <c r="M1929" s="460">
        <f t="shared" si="121"/>
        <v>0.05</v>
      </c>
      <c r="N1929" s="464">
        <f t="shared" si="122"/>
        <v>109756</v>
      </c>
    </row>
    <row r="1930" spans="7:14" ht="11.25" customHeight="1" x14ac:dyDescent="0.25">
      <c r="G1930" s="459"/>
      <c r="H1930" s="459">
        <v>1923</v>
      </c>
      <c r="I1930" s="444">
        <f t="shared" ca="1" si="120"/>
        <v>-2396210879.7695727</v>
      </c>
      <c r="J1930" s="444">
        <f t="array" ref="J1930">IFERROR(INDEX('Retirement Calculator'!K:K,MATCH('Lorri 401b'!N1930,'Retirement Calculator'!A:A,0),0),0)</f>
        <v>0</v>
      </c>
      <c r="K1930" s="444">
        <f t="shared" ca="1" si="118"/>
        <v>-9984211.9990398865</v>
      </c>
      <c r="L1930" s="444">
        <f t="shared" ca="1" si="119"/>
        <v>-2406195091.7686124</v>
      </c>
      <c r="M1930" s="460">
        <f t="shared" si="121"/>
        <v>0.05</v>
      </c>
      <c r="N1930" s="464">
        <f t="shared" si="122"/>
        <v>109787</v>
      </c>
    </row>
    <row r="1931" spans="7:14" ht="11.25" customHeight="1" x14ac:dyDescent="0.25">
      <c r="G1931" s="459"/>
      <c r="H1931" s="459">
        <v>1924</v>
      </c>
      <c r="I1931" s="444">
        <f t="shared" ca="1" si="120"/>
        <v>-2406195091.7686124</v>
      </c>
      <c r="J1931" s="444">
        <f t="array" ref="J1931">IFERROR(INDEX('Retirement Calculator'!K:K,MATCH('Lorri 401b'!N1931,'Retirement Calculator'!A:A,0),0),0)</f>
        <v>0</v>
      </c>
      <c r="K1931" s="444">
        <f t="shared" ca="1" si="118"/>
        <v>-10025812.882369218</v>
      </c>
      <c r="L1931" s="444">
        <f t="shared" ca="1" si="119"/>
        <v>-2416220904.6509814</v>
      </c>
      <c r="M1931" s="460">
        <f t="shared" si="121"/>
        <v>0.05</v>
      </c>
      <c r="N1931" s="464">
        <f t="shared" si="122"/>
        <v>109818</v>
      </c>
    </row>
    <row r="1932" spans="7:14" ht="11.25" customHeight="1" x14ac:dyDescent="0.25">
      <c r="G1932" s="459"/>
      <c r="H1932" s="459">
        <v>1925</v>
      </c>
      <c r="I1932" s="444">
        <f t="shared" ca="1" si="120"/>
        <v>-2416220904.6509814</v>
      </c>
      <c r="J1932" s="444">
        <f t="array" ref="J1932">IFERROR(INDEX('Retirement Calculator'!K:K,MATCH('Lorri 401b'!N1932,'Retirement Calculator'!A:A,0),0),0)</f>
        <v>0</v>
      </c>
      <c r="K1932" s="444">
        <f t="shared" ca="1" si="118"/>
        <v>-10067587.102712423</v>
      </c>
      <c r="L1932" s="444">
        <f t="shared" ca="1" si="119"/>
        <v>-2426288491.7536941</v>
      </c>
      <c r="M1932" s="460">
        <f t="shared" si="121"/>
        <v>0.05</v>
      </c>
      <c r="N1932" s="464">
        <f t="shared" si="122"/>
        <v>109848</v>
      </c>
    </row>
    <row r="1933" spans="7:14" ht="11.25" customHeight="1" x14ac:dyDescent="0.25">
      <c r="G1933" s="459"/>
      <c r="H1933" s="459">
        <v>1926</v>
      </c>
      <c r="I1933" s="444">
        <f t="shared" ca="1" si="120"/>
        <v>-2426288491.7536941</v>
      </c>
      <c r="J1933" s="444">
        <f t="array" ref="J1933">IFERROR(INDEX('Retirement Calculator'!K:K,MATCH('Lorri 401b'!N1933,'Retirement Calculator'!A:A,0),0),0)</f>
        <v>0</v>
      </c>
      <c r="K1933" s="444">
        <f t="shared" ca="1" si="118"/>
        <v>-10109535.382307058</v>
      </c>
      <c r="L1933" s="444">
        <f t="shared" ca="1" si="119"/>
        <v>-2436398027.1360011</v>
      </c>
      <c r="M1933" s="460">
        <f t="shared" si="121"/>
        <v>0.05</v>
      </c>
      <c r="N1933" s="464">
        <f t="shared" si="122"/>
        <v>109879</v>
      </c>
    </row>
    <row r="1934" spans="7:14" ht="11.25" customHeight="1" x14ac:dyDescent="0.25">
      <c r="G1934" s="459"/>
      <c r="H1934" s="459">
        <v>1927</v>
      </c>
      <c r="I1934" s="444">
        <f t="shared" ca="1" si="120"/>
        <v>-2436398027.1360011</v>
      </c>
      <c r="J1934" s="444">
        <f t="array" ref="J1934">IFERROR(INDEX('Retirement Calculator'!K:K,MATCH('Lorri 401b'!N1934,'Retirement Calculator'!A:A,0),0),0)</f>
        <v>0</v>
      </c>
      <c r="K1934" s="444">
        <f t="shared" ca="1" si="118"/>
        <v>-10151658.446400005</v>
      </c>
      <c r="L1934" s="444">
        <f t="shared" ca="1" si="119"/>
        <v>-2446549685.5824013</v>
      </c>
      <c r="M1934" s="460">
        <f t="shared" si="121"/>
        <v>0.05</v>
      </c>
      <c r="N1934" s="464">
        <f t="shared" si="122"/>
        <v>109909</v>
      </c>
    </row>
    <row r="1935" spans="7:14" ht="11.25" customHeight="1" x14ac:dyDescent="0.25">
      <c r="G1935" s="459"/>
      <c r="H1935" s="459">
        <v>1928</v>
      </c>
      <c r="I1935" s="444">
        <f t="shared" ca="1" si="120"/>
        <v>-2446549685.5824013</v>
      </c>
      <c r="J1935" s="444">
        <f t="array" ref="J1935">IFERROR(INDEX('Retirement Calculator'!K:K,MATCH('Lorri 401b'!N1935,'Retirement Calculator'!A:A,0),0),0)</f>
        <v>0</v>
      </c>
      <c r="K1935" s="444">
        <f t="shared" ca="1" si="118"/>
        <v>-10193957.023260005</v>
      </c>
      <c r="L1935" s="444">
        <f t="shared" ca="1" si="119"/>
        <v>-2456743642.6056614</v>
      </c>
      <c r="M1935" s="460">
        <f t="shared" si="121"/>
        <v>0.05</v>
      </c>
      <c r="N1935" s="464">
        <f t="shared" si="122"/>
        <v>109940</v>
      </c>
    </row>
    <row r="1936" spans="7:14" ht="11.25" customHeight="1" x14ac:dyDescent="0.25">
      <c r="G1936" s="459"/>
      <c r="H1936" s="459">
        <v>1929</v>
      </c>
      <c r="I1936" s="444">
        <f t="shared" ca="1" si="120"/>
        <v>-2456743642.6056614</v>
      </c>
      <c r="J1936" s="444">
        <f t="array" ref="J1936">IFERROR(INDEX('Retirement Calculator'!K:K,MATCH('Lorri 401b'!N1936,'Retirement Calculator'!A:A,0),0),0)</f>
        <v>0</v>
      </c>
      <c r="K1936" s="444">
        <f t="shared" ca="1" si="118"/>
        <v>-10236431.844190255</v>
      </c>
      <c r="L1936" s="444">
        <f t="shared" ca="1" si="119"/>
        <v>-2466980074.4498515</v>
      </c>
      <c r="M1936" s="460">
        <f t="shared" si="121"/>
        <v>0.05</v>
      </c>
      <c r="N1936" s="464">
        <f t="shared" si="122"/>
        <v>109971</v>
      </c>
    </row>
    <row r="1937" spans="7:14" ht="11.25" customHeight="1" x14ac:dyDescent="0.25">
      <c r="G1937" s="459"/>
      <c r="H1937" s="459">
        <v>1930</v>
      </c>
      <c r="I1937" s="444">
        <f t="shared" ca="1" si="120"/>
        <v>-2466980074.4498515</v>
      </c>
      <c r="J1937" s="444">
        <f t="array" ref="J1937">IFERROR(INDEX('Retirement Calculator'!K:K,MATCH('Lorri 401b'!N1937,'Retirement Calculator'!A:A,0),0),0)</f>
        <v>0</v>
      </c>
      <c r="K1937" s="444">
        <f t="shared" ca="1" si="118"/>
        <v>-10279083.643541047</v>
      </c>
      <c r="L1937" s="444">
        <f t="shared" ca="1" si="119"/>
        <v>-2477259158.0933924</v>
      </c>
      <c r="M1937" s="460">
        <f t="shared" si="121"/>
        <v>0.05</v>
      </c>
      <c r="N1937" s="464">
        <f t="shared" si="122"/>
        <v>109999</v>
      </c>
    </row>
    <row r="1938" spans="7:14" ht="11.25" customHeight="1" x14ac:dyDescent="0.25">
      <c r="G1938" s="459"/>
      <c r="H1938" s="459">
        <v>1931</v>
      </c>
      <c r="I1938" s="444">
        <f t="shared" ca="1" si="120"/>
        <v>-2477259158.0933924</v>
      </c>
      <c r="J1938" s="444">
        <f t="array" ref="J1938">IFERROR(INDEX('Retirement Calculator'!K:K,MATCH('Lorri 401b'!N1938,'Retirement Calculator'!A:A,0),0),0)</f>
        <v>0</v>
      </c>
      <c r="K1938" s="444">
        <f t="shared" ca="1" si="118"/>
        <v>-10321913.158722468</v>
      </c>
      <c r="L1938" s="444">
        <f t="shared" ca="1" si="119"/>
        <v>-2487581071.2521148</v>
      </c>
      <c r="M1938" s="460">
        <f t="shared" si="121"/>
        <v>0.05</v>
      </c>
      <c r="N1938" s="464">
        <f t="shared" si="122"/>
        <v>110030</v>
      </c>
    </row>
    <row r="1939" spans="7:14" ht="11.25" customHeight="1" x14ac:dyDescent="0.25">
      <c r="G1939" s="459"/>
      <c r="H1939" s="459">
        <v>1932</v>
      </c>
      <c r="I1939" s="444">
        <f t="shared" ca="1" si="120"/>
        <v>-2487581071.2521148</v>
      </c>
      <c r="J1939" s="444">
        <f t="array" ref="J1939">IFERROR(INDEX('Retirement Calculator'!K:K,MATCH('Lorri 401b'!N1939,'Retirement Calculator'!A:A,0),0),0)</f>
        <v>0</v>
      </c>
      <c r="K1939" s="444">
        <f t="shared" ca="1" si="118"/>
        <v>-10364921.130217144</v>
      </c>
      <c r="L1939" s="444">
        <f t="shared" ca="1" si="119"/>
        <v>-2497945992.3823318</v>
      </c>
      <c r="M1939" s="460">
        <f t="shared" si="121"/>
        <v>0.05</v>
      </c>
      <c r="N1939" s="464">
        <f t="shared" si="122"/>
        <v>110060</v>
      </c>
    </row>
    <row r="1940" spans="7:14" ht="11.25" customHeight="1" x14ac:dyDescent="0.25">
      <c r="G1940" s="459"/>
      <c r="H1940" s="459">
        <v>1933</v>
      </c>
      <c r="I1940" s="444">
        <f t="shared" ca="1" si="120"/>
        <v>-2497945992.3823318</v>
      </c>
      <c r="J1940" s="444">
        <f t="array" ref="J1940">IFERROR(INDEX('Retirement Calculator'!K:K,MATCH('Lorri 401b'!N1940,'Retirement Calculator'!A:A,0),0),0)</f>
        <v>0</v>
      </c>
      <c r="K1940" s="444">
        <f t="shared" ca="1" si="118"/>
        <v>-10408108.301593048</v>
      </c>
      <c r="L1940" s="444">
        <f t="shared" ca="1" si="119"/>
        <v>-2508354100.6839247</v>
      </c>
      <c r="M1940" s="460">
        <f t="shared" si="121"/>
        <v>0.05</v>
      </c>
      <c r="N1940" s="464">
        <f t="shared" si="122"/>
        <v>110091</v>
      </c>
    </row>
    <row r="1941" spans="7:14" ht="11.25" customHeight="1" x14ac:dyDescent="0.25">
      <c r="G1941" s="459"/>
      <c r="H1941" s="459">
        <v>1934</v>
      </c>
      <c r="I1941" s="444">
        <f t="shared" ca="1" si="120"/>
        <v>-2508354100.6839247</v>
      </c>
      <c r="J1941" s="444">
        <f t="array" ref="J1941">IFERROR(INDEX('Retirement Calculator'!K:K,MATCH('Lorri 401b'!N1941,'Retirement Calculator'!A:A,0),0),0)</f>
        <v>0</v>
      </c>
      <c r="K1941" s="444">
        <f t="shared" ca="1" si="118"/>
        <v>-10451475.419516353</v>
      </c>
      <c r="L1941" s="444">
        <f t="shared" ca="1" si="119"/>
        <v>-2518805576.1034412</v>
      </c>
      <c r="M1941" s="460">
        <f t="shared" si="121"/>
        <v>0.05</v>
      </c>
      <c r="N1941" s="464">
        <f t="shared" si="122"/>
        <v>110121</v>
      </c>
    </row>
    <row r="1942" spans="7:14" ht="11.25" customHeight="1" x14ac:dyDescent="0.25">
      <c r="G1942" s="459"/>
      <c r="H1942" s="459">
        <v>1935</v>
      </c>
      <c r="I1942" s="444">
        <f t="shared" ca="1" si="120"/>
        <v>-2518805576.1034412</v>
      </c>
      <c r="J1942" s="444">
        <f t="array" ref="J1942">IFERROR(INDEX('Retirement Calculator'!K:K,MATCH('Lorri 401b'!N1942,'Retirement Calculator'!A:A,0),0),0)</f>
        <v>0</v>
      </c>
      <c r="K1942" s="444">
        <f t="shared" ca="1" si="118"/>
        <v>-10495023.233764339</v>
      </c>
      <c r="L1942" s="444">
        <f t="shared" ca="1" si="119"/>
        <v>-2529300599.3372054</v>
      </c>
      <c r="M1942" s="460">
        <f t="shared" si="121"/>
        <v>0.05</v>
      </c>
      <c r="N1942" s="464">
        <f t="shared" si="122"/>
        <v>110152</v>
      </c>
    </row>
    <row r="1943" spans="7:14" ht="11.25" customHeight="1" x14ac:dyDescent="0.25">
      <c r="G1943" s="459"/>
      <c r="H1943" s="459">
        <v>1936</v>
      </c>
      <c r="I1943" s="444">
        <f t="shared" ca="1" si="120"/>
        <v>-2529300599.3372054</v>
      </c>
      <c r="J1943" s="444">
        <f t="array" ref="J1943">IFERROR(INDEX('Retirement Calculator'!K:K,MATCH('Lorri 401b'!N1943,'Retirement Calculator'!A:A,0),0),0)</f>
        <v>0</v>
      </c>
      <c r="K1943" s="444">
        <f t="shared" ca="1" si="118"/>
        <v>-10538752.497238357</v>
      </c>
      <c r="L1943" s="444">
        <f t="shared" ca="1" si="119"/>
        <v>-2539839351.8344436</v>
      </c>
      <c r="M1943" s="460">
        <f t="shared" si="121"/>
        <v>0.05</v>
      </c>
      <c r="N1943" s="464">
        <f t="shared" si="122"/>
        <v>110183</v>
      </c>
    </row>
    <row r="1944" spans="7:14" ht="11.25" customHeight="1" x14ac:dyDescent="0.25">
      <c r="G1944" s="459"/>
      <c r="H1944" s="459">
        <v>1937</v>
      </c>
      <c r="I1944" s="444">
        <f t="shared" ca="1" si="120"/>
        <v>-2539839351.8344436</v>
      </c>
      <c r="J1944" s="444">
        <f t="array" ref="J1944">IFERROR(INDEX('Retirement Calculator'!K:K,MATCH('Lorri 401b'!N1944,'Retirement Calculator'!A:A,0),0),0)</f>
        <v>0</v>
      </c>
      <c r="K1944" s="444">
        <f t="shared" ca="1" si="118"/>
        <v>-10582663.965976847</v>
      </c>
      <c r="L1944" s="444">
        <f t="shared" ca="1" si="119"/>
        <v>-2550422015.8004203</v>
      </c>
      <c r="M1944" s="460">
        <f t="shared" si="121"/>
        <v>0.05</v>
      </c>
      <c r="N1944" s="464">
        <f t="shared" si="122"/>
        <v>110213</v>
      </c>
    </row>
    <row r="1945" spans="7:14" ht="11.25" customHeight="1" x14ac:dyDescent="0.25">
      <c r="G1945" s="459"/>
      <c r="H1945" s="459">
        <v>1938</v>
      </c>
      <c r="I1945" s="444">
        <f t="shared" ca="1" si="120"/>
        <v>-2550422015.8004203</v>
      </c>
      <c r="J1945" s="444">
        <f t="array" ref="J1945">IFERROR(INDEX('Retirement Calculator'!K:K,MATCH('Lorri 401b'!N1945,'Retirement Calculator'!A:A,0),0),0)</f>
        <v>0</v>
      </c>
      <c r="K1945" s="444">
        <f t="shared" ca="1" si="118"/>
        <v>-10626758.399168417</v>
      </c>
      <c r="L1945" s="444">
        <f t="shared" ca="1" si="119"/>
        <v>-2561048774.1995888</v>
      </c>
      <c r="M1945" s="460">
        <f t="shared" si="121"/>
        <v>0.05</v>
      </c>
      <c r="N1945" s="464">
        <f t="shared" si="122"/>
        <v>110244</v>
      </c>
    </row>
    <row r="1946" spans="7:14" ht="11.25" customHeight="1" x14ac:dyDescent="0.25">
      <c r="G1946" s="459"/>
      <c r="H1946" s="459">
        <v>1939</v>
      </c>
      <c r="I1946" s="444">
        <f t="shared" ca="1" si="120"/>
        <v>-2561048774.1995888</v>
      </c>
      <c r="J1946" s="444">
        <f t="array" ref="J1946">IFERROR(INDEX('Retirement Calculator'!K:K,MATCH('Lorri 401b'!N1946,'Retirement Calculator'!A:A,0),0),0)</f>
        <v>0</v>
      </c>
      <c r="K1946" s="444">
        <f t="shared" ca="1" si="118"/>
        <v>-10671036.559164952</v>
      </c>
      <c r="L1946" s="444">
        <f t="shared" ca="1" si="119"/>
        <v>-2571719810.7587538</v>
      </c>
      <c r="M1946" s="460">
        <f t="shared" si="121"/>
        <v>0.05</v>
      </c>
      <c r="N1946" s="464">
        <f t="shared" si="122"/>
        <v>110274</v>
      </c>
    </row>
    <row r="1947" spans="7:14" ht="11.25" customHeight="1" x14ac:dyDescent="0.25">
      <c r="G1947" s="459"/>
      <c r="H1947" s="459">
        <v>1940</v>
      </c>
      <c r="I1947" s="444">
        <f t="shared" ca="1" si="120"/>
        <v>-2571719810.7587538</v>
      </c>
      <c r="J1947" s="444">
        <f t="array" ref="J1947">IFERROR(INDEX('Retirement Calculator'!K:K,MATCH('Lorri 401b'!N1947,'Retirement Calculator'!A:A,0),0),0)</f>
        <v>0</v>
      </c>
      <c r="K1947" s="444">
        <f t="shared" ca="1" si="118"/>
        <v>-10715499.211494807</v>
      </c>
      <c r="L1947" s="444">
        <f t="shared" ca="1" si="119"/>
        <v>-2582435309.9702487</v>
      </c>
      <c r="M1947" s="460">
        <f t="shared" si="121"/>
        <v>0.05</v>
      </c>
      <c r="N1947" s="464">
        <f t="shared" si="122"/>
        <v>110305</v>
      </c>
    </row>
    <row r="1948" spans="7:14" ht="11.25" customHeight="1" x14ac:dyDescent="0.25">
      <c r="G1948" s="459"/>
      <c r="H1948" s="459">
        <v>1941</v>
      </c>
      <c r="I1948" s="444">
        <f t="shared" ca="1" si="120"/>
        <v>-2582435309.9702487</v>
      </c>
      <c r="J1948" s="444">
        <f t="array" ref="J1948">IFERROR(INDEX('Retirement Calculator'!K:K,MATCH('Lorri 401b'!N1948,'Retirement Calculator'!A:A,0),0),0)</f>
        <v>0</v>
      </c>
      <c r="K1948" s="444">
        <f t="shared" ca="1" si="118"/>
        <v>-10760147.124876035</v>
      </c>
      <c r="L1948" s="444">
        <f t="shared" ca="1" si="119"/>
        <v>-2593195457.0951247</v>
      </c>
      <c r="M1948" s="460">
        <f t="shared" si="121"/>
        <v>0.05</v>
      </c>
      <c r="N1948" s="464">
        <f t="shared" si="122"/>
        <v>110336</v>
      </c>
    </row>
    <row r="1949" spans="7:14" ht="11.25" customHeight="1" x14ac:dyDescent="0.25">
      <c r="G1949" s="459"/>
      <c r="H1949" s="459">
        <v>1942</v>
      </c>
      <c r="I1949" s="444">
        <f t="shared" ca="1" si="120"/>
        <v>-2593195457.0951247</v>
      </c>
      <c r="J1949" s="444">
        <f t="array" ref="J1949">IFERROR(INDEX('Retirement Calculator'!K:K,MATCH('Lorri 401b'!N1949,'Retirement Calculator'!A:A,0),0),0)</f>
        <v>0</v>
      </c>
      <c r="K1949" s="444">
        <f t="shared" ca="1" si="118"/>
        <v>-10804981.071229687</v>
      </c>
      <c r="L1949" s="444">
        <f t="shared" ca="1" si="119"/>
        <v>-2604000438.1663542</v>
      </c>
      <c r="M1949" s="460">
        <f t="shared" si="121"/>
        <v>0.05</v>
      </c>
      <c r="N1949" s="464">
        <f t="shared" si="122"/>
        <v>110364</v>
      </c>
    </row>
    <row r="1950" spans="7:14" ht="11.25" customHeight="1" x14ac:dyDescent="0.25">
      <c r="G1950" s="459"/>
      <c r="H1950" s="459">
        <v>1943</v>
      </c>
      <c r="I1950" s="444">
        <f t="shared" ca="1" si="120"/>
        <v>-2604000438.1663542</v>
      </c>
      <c r="J1950" s="444">
        <f t="array" ref="J1950">IFERROR(INDEX('Retirement Calculator'!K:K,MATCH('Lorri 401b'!N1950,'Retirement Calculator'!A:A,0),0),0)</f>
        <v>0</v>
      </c>
      <c r="K1950" s="444">
        <f t="shared" ca="1" si="118"/>
        <v>-10850001.825693142</v>
      </c>
      <c r="L1950" s="444">
        <f t="shared" ca="1" si="119"/>
        <v>-2614850439.9920473</v>
      </c>
      <c r="M1950" s="460">
        <f t="shared" si="121"/>
        <v>0.05</v>
      </c>
      <c r="N1950" s="464">
        <f t="shared" si="122"/>
        <v>110395</v>
      </c>
    </row>
    <row r="1951" spans="7:14" ht="11.25" customHeight="1" x14ac:dyDescent="0.25">
      <c r="G1951" s="459"/>
      <c r="H1951" s="459">
        <v>1944</v>
      </c>
      <c r="I1951" s="444">
        <f t="shared" ca="1" si="120"/>
        <v>-2614850439.9920473</v>
      </c>
      <c r="J1951" s="444">
        <f t="array" ref="J1951">IFERROR(INDEX('Retirement Calculator'!K:K,MATCH('Lorri 401b'!N1951,'Retirement Calculator'!A:A,0),0),0)</f>
        <v>0</v>
      </c>
      <c r="K1951" s="444">
        <f t="shared" ca="1" si="118"/>
        <v>-10895210.16663353</v>
      </c>
      <c r="L1951" s="444">
        <f t="shared" ca="1" si="119"/>
        <v>-2625745650.1586809</v>
      </c>
      <c r="M1951" s="460">
        <f t="shared" si="121"/>
        <v>0.05</v>
      </c>
      <c r="N1951" s="464">
        <f t="shared" si="122"/>
        <v>110425</v>
      </c>
    </row>
    <row r="1952" spans="7:14" ht="11.25" customHeight="1" x14ac:dyDescent="0.25">
      <c r="G1952" s="459"/>
      <c r="H1952" s="459">
        <v>1945</v>
      </c>
      <c r="I1952" s="444">
        <f t="shared" ca="1" si="120"/>
        <v>-2625745650.1586809</v>
      </c>
      <c r="J1952" s="444">
        <f t="array" ref="J1952">IFERROR(INDEX('Retirement Calculator'!K:K,MATCH('Lorri 401b'!N1952,'Retirement Calculator'!A:A,0),0),0)</f>
        <v>0</v>
      </c>
      <c r="K1952" s="444">
        <f t="shared" ca="1" si="118"/>
        <v>-10940606.87566117</v>
      </c>
      <c r="L1952" s="444">
        <f t="shared" ca="1" si="119"/>
        <v>-2636686257.0343423</v>
      </c>
      <c r="M1952" s="460">
        <f t="shared" si="121"/>
        <v>0.05</v>
      </c>
      <c r="N1952" s="464">
        <f t="shared" si="122"/>
        <v>110456</v>
      </c>
    </row>
    <row r="1953" spans="7:14" ht="11.25" customHeight="1" x14ac:dyDescent="0.25">
      <c r="G1953" s="459"/>
      <c r="H1953" s="459">
        <v>1946</v>
      </c>
      <c r="I1953" s="444">
        <f t="shared" ca="1" si="120"/>
        <v>-2636686257.0343423</v>
      </c>
      <c r="J1953" s="444">
        <f t="array" ref="J1953">IFERROR(INDEX('Retirement Calculator'!K:K,MATCH('Lorri 401b'!N1953,'Retirement Calculator'!A:A,0),0),0)</f>
        <v>0</v>
      </c>
      <c r="K1953" s="444">
        <f t="shared" ca="1" si="118"/>
        <v>-10986192.737643093</v>
      </c>
      <c r="L1953" s="444">
        <f t="shared" ca="1" si="119"/>
        <v>-2647672449.7719855</v>
      </c>
      <c r="M1953" s="460">
        <f t="shared" si="121"/>
        <v>0.05</v>
      </c>
      <c r="N1953" s="464">
        <f t="shared" si="122"/>
        <v>110486</v>
      </c>
    </row>
    <row r="1954" spans="7:14" ht="11.25" customHeight="1" x14ac:dyDescent="0.25">
      <c r="G1954" s="459"/>
      <c r="H1954" s="459">
        <v>1947</v>
      </c>
      <c r="I1954" s="444">
        <f t="shared" ca="1" si="120"/>
        <v>-2647672449.7719855</v>
      </c>
      <c r="J1954" s="444">
        <f t="array" ref="J1954">IFERROR(INDEX('Retirement Calculator'!K:K,MATCH('Lorri 401b'!N1954,'Retirement Calculator'!A:A,0),0),0)</f>
        <v>0</v>
      </c>
      <c r="K1954" s="444">
        <f t="shared" ca="1" si="118"/>
        <v>-11031968.540716607</v>
      </c>
      <c r="L1954" s="444">
        <f t="shared" ca="1" si="119"/>
        <v>-2658704418.3127022</v>
      </c>
      <c r="M1954" s="460">
        <f t="shared" si="121"/>
        <v>0.05</v>
      </c>
      <c r="N1954" s="464">
        <f t="shared" si="122"/>
        <v>110517</v>
      </c>
    </row>
    <row r="1955" spans="7:14" ht="11.25" customHeight="1" x14ac:dyDescent="0.25">
      <c r="G1955" s="459"/>
      <c r="H1955" s="459">
        <v>1948</v>
      </c>
      <c r="I1955" s="444">
        <f t="shared" ca="1" si="120"/>
        <v>-2658704418.3127022</v>
      </c>
      <c r="J1955" s="444">
        <f t="array" ref="J1955">IFERROR(INDEX('Retirement Calculator'!K:K,MATCH('Lorri 401b'!N1955,'Retirement Calculator'!A:A,0),0),0)</f>
        <v>0</v>
      </c>
      <c r="K1955" s="444">
        <f t="shared" ca="1" si="118"/>
        <v>-11077935.076302925</v>
      </c>
      <c r="L1955" s="444">
        <f t="shared" ca="1" si="119"/>
        <v>-2669782353.3890052</v>
      </c>
      <c r="M1955" s="460">
        <f t="shared" si="121"/>
        <v>0.05</v>
      </c>
      <c r="N1955" s="464">
        <f t="shared" si="122"/>
        <v>110548</v>
      </c>
    </row>
    <row r="1956" spans="7:14" ht="11.25" customHeight="1" x14ac:dyDescent="0.25">
      <c r="G1956" s="459"/>
      <c r="H1956" s="459">
        <v>1949</v>
      </c>
      <c r="I1956" s="444">
        <f t="shared" ca="1" si="120"/>
        <v>-2669782353.3890052</v>
      </c>
      <c r="J1956" s="444">
        <f t="array" ref="J1956">IFERROR(INDEX('Retirement Calculator'!K:K,MATCH('Lorri 401b'!N1956,'Retirement Calculator'!A:A,0),0),0)</f>
        <v>0</v>
      </c>
      <c r="K1956" s="444">
        <f t="shared" ca="1" si="118"/>
        <v>-11124093.139120854</v>
      </c>
      <c r="L1956" s="444">
        <f t="shared" ca="1" si="119"/>
        <v>-2680906446.5281262</v>
      </c>
      <c r="M1956" s="460">
        <f t="shared" si="121"/>
        <v>0.05</v>
      </c>
      <c r="N1956" s="464">
        <f t="shared" si="122"/>
        <v>110578</v>
      </c>
    </row>
    <row r="1957" spans="7:14" ht="11.25" customHeight="1" x14ac:dyDescent="0.25">
      <c r="G1957" s="459"/>
      <c r="H1957" s="459">
        <v>1950</v>
      </c>
      <c r="I1957" s="444">
        <f t="shared" ca="1" si="120"/>
        <v>-2680906446.5281262</v>
      </c>
      <c r="J1957" s="444">
        <f t="array" ref="J1957">IFERROR(INDEX('Retirement Calculator'!K:K,MATCH('Lorri 401b'!N1957,'Retirement Calculator'!A:A,0),0),0)</f>
        <v>0</v>
      </c>
      <c r="K1957" s="444">
        <f t="shared" ca="1" si="118"/>
        <v>-11170443.527200526</v>
      </c>
      <c r="L1957" s="444">
        <f t="shared" ca="1" si="119"/>
        <v>-2692076890.0553269</v>
      </c>
      <c r="M1957" s="460">
        <f t="shared" si="121"/>
        <v>0.05</v>
      </c>
      <c r="N1957" s="464">
        <f t="shared" si="122"/>
        <v>110609</v>
      </c>
    </row>
    <row r="1958" spans="7:14" ht="11.25" customHeight="1" x14ac:dyDescent="0.25">
      <c r="G1958" s="459"/>
      <c r="H1958" s="459">
        <v>1951</v>
      </c>
      <c r="I1958" s="444">
        <f t="shared" ca="1" si="120"/>
        <v>-2692076890.0553269</v>
      </c>
      <c r="J1958" s="444">
        <f t="array" ref="J1958">IFERROR(INDEX('Retirement Calculator'!K:K,MATCH('Lorri 401b'!N1958,'Retirement Calculator'!A:A,0),0),0)</f>
        <v>0</v>
      </c>
      <c r="K1958" s="444">
        <f t="shared" ca="1" si="118"/>
        <v>-11216987.041897196</v>
      </c>
      <c r="L1958" s="444">
        <f t="shared" ca="1" si="119"/>
        <v>-2703293877.0972242</v>
      </c>
      <c r="M1958" s="460">
        <f t="shared" si="121"/>
        <v>0.05</v>
      </c>
      <c r="N1958" s="464">
        <f t="shared" si="122"/>
        <v>110639</v>
      </c>
    </row>
    <row r="1959" spans="7:14" ht="11.25" customHeight="1" x14ac:dyDescent="0.25">
      <c r="G1959" s="459"/>
      <c r="H1959" s="459">
        <v>1952</v>
      </c>
      <c r="I1959" s="444">
        <f t="shared" ca="1" si="120"/>
        <v>-2703293877.0972242</v>
      </c>
      <c r="J1959" s="444">
        <f t="array" ref="J1959">IFERROR(INDEX('Retirement Calculator'!K:K,MATCH('Lorri 401b'!N1959,'Retirement Calculator'!A:A,0),0),0)</f>
        <v>0</v>
      </c>
      <c r="K1959" s="444">
        <f t="shared" ca="1" si="118"/>
        <v>-11263724.4879051</v>
      </c>
      <c r="L1959" s="444">
        <f t="shared" ca="1" si="119"/>
        <v>-2714557601.5851293</v>
      </c>
      <c r="M1959" s="460">
        <f t="shared" si="121"/>
        <v>0.05</v>
      </c>
      <c r="N1959" s="464">
        <f t="shared" si="122"/>
        <v>110670</v>
      </c>
    </row>
    <row r="1960" spans="7:14" ht="11.25" customHeight="1" x14ac:dyDescent="0.25">
      <c r="G1960" s="459"/>
      <c r="H1960" s="459">
        <v>1953</v>
      </c>
      <c r="I1960" s="444">
        <f t="shared" ca="1" si="120"/>
        <v>-2714557601.5851293</v>
      </c>
      <c r="J1960" s="444">
        <f t="array" ref="J1960">IFERROR(INDEX('Retirement Calculator'!K:K,MATCH('Lorri 401b'!N1960,'Retirement Calculator'!A:A,0),0),0)</f>
        <v>0</v>
      </c>
      <c r="K1960" s="444">
        <f t="shared" ca="1" si="118"/>
        <v>-11310656.673271371</v>
      </c>
      <c r="L1960" s="444">
        <f t="shared" ca="1" si="119"/>
        <v>-2725868258.2584004</v>
      </c>
      <c r="M1960" s="460">
        <f t="shared" si="121"/>
        <v>0.05</v>
      </c>
      <c r="N1960" s="464">
        <f t="shared" si="122"/>
        <v>110701</v>
      </c>
    </row>
    <row r="1961" spans="7:14" ht="11.25" customHeight="1" x14ac:dyDescent="0.25">
      <c r="G1961" s="459"/>
      <c r="H1961" s="459">
        <v>1954</v>
      </c>
      <c r="I1961" s="444">
        <f t="shared" ca="1" si="120"/>
        <v>-2725868258.2584004</v>
      </c>
      <c r="J1961" s="444">
        <f t="array" ref="J1961">IFERROR(INDEX('Retirement Calculator'!K:K,MATCH('Lorri 401b'!N1961,'Retirement Calculator'!A:A,0),0),0)</f>
        <v>0</v>
      </c>
      <c r="K1961" s="444">
        <f t="shared" ca="1" si="118"/>
        <v>-11357784.409410002</v>
      </c>
      <c r="L1961" s="444">
        <f t="shared" ca="1" si="119"/>
        <v>-2737226042.6678104</v>
      </c>
      <c r="M1961" s="460">
        <f t="shared" si="121"/>
        <v>0.05</v>
      </c>
      <c r="N1961" s="464">
        <f t="shared" si="122"/>
        <v>110729</v>
      </c>
    </row>
    <row r="1962" spans="7:14" ht="11.25" customHeight="1" x14ac:dyDescent="0.25">
      <c r="G1962" s="459"/>
      <c r="H1962" s="459">
        <v>1955</v>
      </c>
      <c r="I1962" s="444">
        <f t="shared" ca="1" si="120"/>
        <v>-2737226042.6678104</v>
      </c>
      <c r="J1962" s="444">
        <f t="array" ref="J1962">IFERROR(INDEX('Retirement Calculator'!K:K,MATCH('Lorri 401b'!N1962,'Retirement Calculator'!A:A,0),0),0)</f>
        <v>0</v>
      </c>
      <c r="K1962" s="444">
        <f t="shared" ca="1" si="118"/>
        <v>-11405108.511115877</v>
      </c>
      <c r="L1962" s="444">
        <f t="shared" ca="1" si="119"/>
        <v>-2748631151.1789265</v>
      </c>
      <c r="M1962" s="460">
        <f t="shared" si="121"/>
        <v>0.05</v>
      </c>
      <c r="N1962" s="464">
        <f t="shared" si="122"/>
        <v>110760</v>
      </c>
    </row>
    <row r="1963" spans="7:14" ht="11.25" customHeight="1" x14ac:dyDescent="0.25">
      <c r="G1963" s="459"/>
      <c r="H1963" s="459">
        <v>1956</v>
      </c>
      <c r="I1963" s="444">
        <f t="shared" ca="1" si="120"/>
        <v>-2748631151.1789265</v>
      </c>
      <c r="J1963" s="444">
        <f t="array" ref="J1963">IFERROR(INDEX('Retirement Calculator'!K:K,MATCH('Lorri 401b'!N1963,'Retirement Calculator'!A:A,0),0),0)</f>
        <v>0</v>
      </c>
      <c r="K1963" s="444">
        <f t="shared" ca="1" si="118"/>
        <v>-11452629.79657886</v>
      </c>
      <c r="L1963" s="444">
        <f t="shared" ca="1" si="119"/>
        <v>-2760083780.9755054</v>
      </c>
      <c r="M1963" s="460">
        <f t="shared" si="121"/>
        <v>0.05</v>
      </c>
      <c r="N1963" s="464">
        <f t="shared" si="122"/>
        <v>110790</v>
      </c>
    </row>
    <row r="1964" spans="7:14" ht="11.25" customHeight="1" x14ac:dyDescent="0.25">
      <c r="G1964" s="459"/>
      <c r="H1964" s="459">
        <v>1957</v>
      </c>
      <c r="I1964" s="444">
        <f t="shared" ca="1" si="120"/>
        <v>-2760083780.9755054</v>
      </c>
      <c r="J1964" s="444">
        <f t="array" ref="J1964">IFERROR(INDEX('Retirement Calculator'!K:K,MATCH('Lorri 401b'!N1964,'Retirement Calculator'!A:A,0),0),0)</f>
        <v>0</v>
      </c>
      <c r="K1964" s="444">
        <f t="shared" ca="1" si="118"/>
        <v>-11500349.087397939</v>
      </c>
      <c r="L1964" s="444">
        <f t="shared" ca="1" si="119"/>
        <v>-2771584130.0629034</v>
      </c>
      <c r="M1964" s="460">
        <f t="shared" si="121"/>
        <v>0.05</v>
      </c>
      <c r="N1964" s="464">
        <f t="shared" si="122"/>
        <v>110821</v>
      </c>
    </row>
    <row r="1965" spans="7:14" ht="11.25" customHeight="1" x14ac:dyDescent="0.25">
      <c r="G1965" s="459"/>
      <c r="H1965" s="459">
        <v>1958</v>
      </c>
      <c r="I1965" s="444">
        <f t="shared" ca="1" si="120"/>
        <v>-2771584130.0629034</v>
      </c>
      <c r="J1965" s="444">
        <f t="array" ref="J1965">IFERROR(INDEX('Retirement Calculator'!K:K,MATCH('Lorri 401b'!N1965,'Retirement Calculator'!A:A,0),0),0)</f>
        <v>0</v>
      </c>
      <c r="K1965" s="444">
        <f t="shared" ca="1" si="118"/>
        <v>-11548267.20859543</v>
      </c>
      <c r="L1965" s="444">
        <f t="shared" ca="1" si="119"/>
        <v>-2783132397.2714987</v>
      </c>
      <c r="M1965" s="460">
        <f t="shared" si="121"/>
        <v>0.05</v>
      </c>
      <c r="N1965" s="464">
        <f t="shared" si="122"/>
        <v>110851</v>
      </c>
    </row>
    <row r="1966" spans="7:14" ht="11.25" customHeight="1" x14ac:dyDescent="0.25">
      <c r="G1966" s="459"/>
      <c r="H1966" s="459">
        <v>1959</v>
      </c>
      <c r="I1966" s="444">
        <f t="shared" ca="1" si="120"/>
        <v>-2783132397.2714987</v>
      </c>
      <c r="J1966" s="444">
        <f t="array" ref="J1966">IFERROR(INDEX('Retirement Calculator'!K:K,MATCH('Lorri 401b'!N1966,'Retirement Calculator'!A:A,0),0),0)</f>
        <v>0</v>
      </c>
      <c r="K1966" s="444">
        <f t="shared" ca="1" si="118"/>
        <v>-11596384.988631245</v>
      </c>
      <c r="L1966" s="444">
        <f t="shared" ca="1" si="119"/>
        <v>-2794728782.2601299</v>
      </c>
      <c r="M1966" s="460">
        <f t="shared" si="121"/>
        <v>0.05</v>
      </c>
      <c r="N1966" s="464">
        <f t="shared" si="122"/>
        <v>110882</v>
      </c>
    </row>
    <row r="1967" spans="7:14" ht="11.25" customHeight="1" x14ac:dyDescent="0.25">
      <c r="G1967" s="459"/>
      <c r="H1967" s="459">
        <v>1960</v>
      </c>
      <c r="I1967" s="444">
        <f t="shared" ca="1" si="120"/>
        <v>-2794728782.2601299</v>
      </c>
      <c r="J1967" s="444">
        <f t="array" ref="J1967">IFERROR(INDEX('Retirement Calculator'!K:K,MATCH('Lorri 401b'!N1967,'Retirement Calculator'!A:A,0),0),0)</f>
        <v>0</v>
      </c>
      <c r="K1967" s="444">
        <f t="shared" ca="1" si="118"/>
        <v>-11644703.259417208</v>
      </c>
      <c r="L1967" s="444">
        <f t="shared" ca="1" si="119"/>
        <v>-2806373485.519547</v>
      </c>
      <c r="M1967" s="460">
        <f t="shared" si="121"/>
        <v>0.05</v>
      </c>
      <c r="N1967" s="464">
        <f t="shared" si="122"/>
        <v>110913</v>
      </c>
    </row>
    <row r="1968" spans="7:14" ht="11.25" customHeight="1" x14ac:dyDescent="0.25">
      <c r="G1968" s="459"/>
      <c r="H1968" s="459">
        <v>1961</v>
      </c>
      <c r="I1968" s="444">
        <f t="shared" ca="1" si="120"/>
        <v>-2806373485.519547</v>
      </c>
      <c r="J1968" s="444">
        <f t="array" ref="J1968">IFERROR(INDEX('Retirement Calculator'!K:K,MATCH('Lorri 401b'!N1968,'Retirement Calculator'!A:A,0),0),0)</f>
        <v>0</v>
      </c>
      <c r="K1968" s="444">
        <f t="shared" ca="1" si="118"/>
        <v>-11693222.856331445</v>
      </c>
      <c r="L1968" s="444">
        <f t="shared" ca="1" si="119"/>
        <v>-2818066708.3758783</v>
      </c>
      <c r="M1968" s="460">
        <f t="shared" si="121"/>
        <v>0.05</v>
      </c>
      <c r="N1968" s="464">
        <f t="shared" si="122"/>
        <v>110943</v>
      </c>
    </row>
    <row r="1969" spans="7:14" ht="11.25" customHeight="1" x14ac:dyDescent="0.25">
      <c r="G1969" s="459"/>
      <c r="H1969" s="459">
        <v>1962</v>
      </c>
      <c r="I1969" s="444">
        <f t="shared" ca="1" si="120"/>
        <v>-2818066708.3758783</v>
      </c>
      <c r="J1969" s="444">
        <f t="array" ref="J1969">IFERROR(INDEX('Retirement Calculator'!K:K,MATCH('Lorri 401b'!N1969,'Retirement Calculator'!A:A,0),0),0)</f>
        <v>0</v>
      </c>
      <c r="K1969" s="444">
        <f t="shared" ca="1" si="118"/>
        <v>-11741944.618232826</v>
      </c>
      <c r="L1969" s="444">
        <f t="shared" ca="1" si="119"/>
        <v>-2829808652.9941111</v>
      </c>
      <c r="M1969" s="460">
        <f t="shared" si="121"/>
        <v>0.05</v>
      </c>
      <c r="N1969" s="464">
        <f t="shared" si="122"/>
        <v>110974</v>
      </c>
    </row>
    <row r="1970" spans="7:14" ht="11.25" customHeight="1" x14ac:dyDescent="0.25">
      <c r="G1970" s="459"/>
      <c r="H1970" s="459">
        <v>1963</v>
      </c>
      <c r="I1970" s="444">
        <f t="shared" ca="1" si="120"/>
        <v>-2829808652.9941111</v>
      </c>
      <c r="J1970" s="444">
        <f t="array" ref="J1970">IFERROR(INDEX('Retirement Calculator'!K:K,MATCH('Lorri 401b'!N1970,'Retirement Calculator'!A:A,0),0),0)</f>
        <v>0</v>
      </c>
      <c r="K1970" s="444">
        <f t="shared" ca="1" si="118"/>
        <v>-11790869.387475463</v>
      </c>
      <c r="L1970" s="444">
        <f t="shared" ca="1" si="119"/>
        <v>-2841599522.3815866</v>
      </c>
      <c r="M1970" s="460">
        <f t="shared" si="121"/>
        <v>0.05</v>
      </c>
      <c r="N1970" s="464">
        <f t="shared" si="122"/>
        <v>111004</v>
      </c>
    </row>
    <row r="1971" spans="7:14" ht="11.25" customHeight="1" x14ac:dyDescent="0.25">
      <c r="G1971" s="459"/>
      <c r="H1971" s="459">
        <v>1964</v>
      </c>
      <c r="I1971" s="444">
        <f t="shared" ca="1" si="120"/>
        <v>-2841599522.3815866</v>
      </c>
      <c r="J1971" s="444">
        <f t="array" ref="J1971">IFERROR(INDEX('Retirement Calculator'!K:K,MATCH('Lorri 401b'!N1971,'Retirement Calculator'!A:A,0),0),0)</f>
        <v>0</v>
      </c>
      <c r="K1971" s="444">
        <f t="shared" ca="1" si="118"/>
        <v>-11839998.009923277</v>
      </c>
      <c r="L1971" s="444">
        <f t="shared" ca="1" si="119"/>
        <v>-2853439520.39151</v>
      </c>
      <c r="M1971" s="460">
        <f t="shared" si="121"/>
        <v>0.05</v>
      </c>
      <c r="N1971" s="464">
        <f t="shared" si="122"/>
        <v>111035</v>
      </c>
    </row>
    <row r="1972" spans="7:14" ht="11.25" customHeight="1" x14ac:dyDescent="0.25">
      <c r="G1972" s="459"/>
      <c r="H1972" s="459">
        <v>1965</v>
      </c>
      <c r="I1972" s="444">
        <f t="shared" ca="1" si="120"/>
        <v>-2853439520.39151</v>
      </c>
      <c r="J1972" s="444">
        <f t="array" ref="J1972">IFERROR(INDEX('Retirement Calculator'!K:K,MATCH('Lorri 401b'!N1972,'Retirement Calculator'!A:A,0),0),0)</f>
        <v>0</v>
      </c>
      <c r="K1972" s="444">
        <f t="shared" ca="1" si="118"/>
        <v>-11889331.334964626</v>
      </c>
      <c r="L1972" s="444">
        <f t="shared" ca="1" si="119"/>
        <v>-2865328851.7264748</v>
      </c>
      <c r="M1972" s="460">
        <f t="shared" si="121"/>
        <v>0.05</v>
      </c>
      <c r="N1972" s="464">
        <f t="shared" si="122"/>
        <v>111066</v>
      </c>
    </row>
    <row r="1973" spans="7:14" ht="11.25" customHeight="1" x14ac:dyDescent="0.25">
      <c r="G1973" s="459"/>
      <c r="H1973" s="459">
        <v>1966</v>
      </c>
      <c r="I1973" s="444">
        <f t="shared" ca="1" si="120"/>
        <v>-2865328851.7264748</v>
      </c>
      <c r="J1973" s="444">
        <f t="array" ref="J1973">IFERROR(INDEX('Retirement Calculator'!K:K,MATCH('Lorri 401b'!N1973,'Retirement Calculator'!A:A,0),0),0)</f>
        <v>0</v>
      </c>
      <c r="K1973" s="444">
        <f t="shared" ca="1" si="118"/>
        <v>-11938870.215526978</v>
      </c>
      <c r="L1973" s="444">
        <f t="shared" ca="1" si="119"/>
        <v>-2877267721.9420018</v>
      </c>
      <c r="M1973" s="460">
        <f t="shared" si="121"/>
        <v>0.05</v>
      </c>
      <c r="N1973" s="464">
        <f t="shared" si="122"/>
        <v>111095</v>
      </c>
    </row>
    <row r="1974" spans="7:14" ht="11.25" customHeight="1" x14ac:dyDescent="0.25">
      <c r="G1974" s="459"/>
      <c r="H1974" s="459">
        <v>1967</v>
      </c>
      <c r="I1974" s="444">
        <f t="shared" ca="1" si="120"/>
        <v>-2877267721.9420018</v>
      </c>
      <c r="J1974" s="444">
        <f t="array" ref="J1974">IFERROR(INDEX('Retirement Calculator'!K:K,MATCH('Lorri 401b'!N1974,'Retirement Calculator'!A:A,0),0),0)</f>
        <v>0</v>
      </c>
      <c r="K1974" s="444">
        <f t="shared" ca="1" si="118"/>
        <v>-11988615.508091673</v>
      </c>
      <c r="L1974" s="444">
        <f t="shared" ca="1" si="119"/>
        <v>-2889256337.4500933</v>
      </c>
      <c r="M1974" s="460">
        <f t="shared" si="121"/>
        <v>0.05</v>
      </c>
      <c r="N1974" s="464">
        <f t="shared" si="122"/>
        <v>111126</v>
      </c>
    </row>
    <row r="1975" spans="7:14" ht="11.25" customHeight="1" x14ac:dyDescent="0.25">
      <c r="G1975" s="459"/>
      <c r="H1975" s="459">
        <v>1968</v>
      </c>
      <c r="I1975" s="444">
        <f t="shared" ca="1" si="120"/>
        <v>-2889256337.4500933</v>
      </c>
      <c r="J1975" s="444">
        <f t="array" ref="J1975">IFERROR(INDEX('Retirement Calculator'!K:K,MATCH('Lorri 401b'!N1975,'Retirement Calculator'!A:A,0),0),0)</f>
        <v>0</v>
      </c>
      <c r="K1975" s="444">
        <f t="shared" ca="1" si="118"/>
        <v>-12038568.072708722</v>
      </c>
      <c r="L1975" s="444">
        <f t="shared" ca="1" si="119"/>
        <v>-2901294905.5228019</v>
      </c>
      <c r="M1975" s="460">
        <f t="shared" si="121"/>
        <v>0.05</v>
      </c>
      <c r="N1975" s="464">
        <f t="shared" si="122"/>
        <v>111156</v>
      </c>
    </row>
    <row r="1976" spans="7:14" ht="11.25" customHeight="1" x14ac:dyDescent="0.25">
      <c r="G1976" s="459"/>
      <c r="H1976" s="459">
        <v>1969</v>
      </c>
      <c r="I1976" s="444">
        <f t="shared" ca="1" si="120"/>
        <v>-2901294905.5228019</v>
      </c>
      <c r="J1976" s="444">
        <f t="array" ref="J1976">IFERROR(INDEX('Retirement Calculator'!K:K,MATCH('Lorri 401b'!N1976,'Retirement Calculator'!A:A,0),0),0)</f>
        <v>0</v>
      </c>
      <c r="K1976" s="444">
        <f t="shared" ca="1" si="118"/>
        <v>-12088728.773011675</v>
      </c>
      <c r="L1976" s="444">
        <f t="shared" ca="1" si="119"/>
        <v>-2913383634.2958136</v>
      </c>
      <c r="M1976" s="460">
        <f t="shared" si="121"/>
        <v>0.05</v>
      </c>
      <c r="N1976" s="464">
        <f t="shared" si="122"/>
        <v>111187</v>
      </c>
    </row>
    <row r="1977" spans="7:14" ht="11.25" customHeight="1" x14ac:dyDescent="0.25">
      <c r="G1977" s="459"/>
      <c r="H1977" s="459">
        <v>1970</v>
      </c>
      <c r="I1977" s="444">
        <f t="shared" ca="1" si="120"/>
        <v>-2913383634.2958136</v>
      </c>
      <c r="J1977" s="444">
        <f t="array" ref="J1977">IFERROR(INDEX('Retirement Calculator'!K:K,MATCH('Lorri 401b'!N1977,'Retirement Calculator'!A:A,0),0),0)</f>
        <v>0</v>
      </c>
      <c r="K1977" s="444">
        <f t="shared" ca="1" si="118"/>
        <v>-12139098.476232557</v>
      </c>
      <c r="L1977" s="444">
        <f t="shared" ca="1" si="119"/>
        <v>-2925522732.7720461</v>
      </c>
      <c r="M1977" s="460">
        <f t="shared" si="121"/>
        <v>0.05</v>
      </c>
      <c r="N1977" s="464">
        <f t="shared" si="122"/>
        <v>111217</v>
      </c>
    </row>
    <row r="1978" spans="7:14" ht="11.25" customHeight="1" x14ac:dyDescent="0.25">
      <c r="G1978" s="459"/>
      <c r="H1978" s="459">
        <v>1971</v>
      </c>
      <c r="I1978" s="444">
        <f t="shared" ca="1" si="120"/>
        <v>-2925522732.7720461</v>
      </c>
      <c r="J1978" s="444">
        <f t="array" ref="J1978">IFERROR(INDEX('Retirement Calculator'!K:K,MATCH('Lorri 401b'!N1978,'Retirement Calculator'!A:A,0),0),0)</f>
        <v>0</v>
      </c>
      <c r="K1978" s="444">
        <f t="shared" ca="1" si="118"/>
        <v>-12189678.053216858</v>
      </c>
      <c r="L1978" s="444">
        <f t="shared" ca="1" si="119"/>
        <v>-2937712410.825263</v>
      </c>
      <c r="M1978" s="460">
        <f t="shared" si="121"/>
        <v>0.05</v>
      </c>
      <c r="N1978" s="464">
        <f t="shared" si="122"/>
        <v>111248</v>
      </c>
    </row>
    <row r="1979" spans="7:14" ht="11.25" customHeight="1" x14ac:dyDescent="0.25">
      <c r="G1979" s="459"/>
      <c r="H1979" s="459">
        <v>1972</v>
      </c>
      <c r="I1979" s="444">
        <f t="shared" ca="1" si="120"/>
        <v>-2937712410.825263</v>
      </c>
      <c r="J1979" s="444">
        <f t="array" ref="J1979">IFERROR(INDEX('Retirement Calculator'!K:K,MATCH('Lorri 401b'!N1979,'Retirement Calculator'!A:A,0),0),0)</f>
        <v>0</v>
      </c>
      <c r="K1979" s="444">
        <f t="shared" ca="1" si="118"/>
        <v>-12240468.378438596</v>
      </c>
      <c r="L1979" s="444">
        <f t="shared" ca="1" si="119"/>
        <v>-2949952879.2037015</v>
      </c>
      <c r="M1979" s="460">
        <f t="shared" si="121"/>
        <v>0.05</v>
      </c>
      <c r="N1979" s="464">
        <f t="shared" si="122"/>
        <v>111279</v>
      </c>
    </row>
    <row r="1980" spans="7:14" ht="11.25" customHeight="1" x14ac:dyDescent="0.25">
      <c r="G1980" s="459"/>
      <c r="H1980" s="459">
        <v>1973</v>
      </c>
      <c r="I1980" s="444">
        <f t="shared" ca="1" si="120"/>
        <v>-2949952879.2037015</v>
      </c>
      <c r="J1980" s="444">
        <f t="array" ref="J1980">IFERROR(INDEX('Retirement Calculator'!K:K,MATCH('Lorri 401b'!N1980,'Retirement Calculator'!A:A,0),0),0)</f>
        <v>0</v>
      </c>
      <c r="K1980" s="444">
        <f t="shared" ca="1" si="118"/>
        <v>-12291470.330015423</v>
      </c>
      <c r="L1980" s="444">
        <f t="shared" ca="1" si="119"/>
        <v>-2962244349.5337172</v>
      </c>
      <c r="M1980" s="460">
        <f t="shared" si="121"/>
        <v>0.05</v>
      </c>
      <c r="N1980" s="464">
        <f t="shared" si="122"/>
        <v>111309</v>
      </c>
    </row>
    <row r="1981" spans="7:14" ht="11.25" customHeight="1" x14ac:dyDescent="0.25">
      <c r="G1981" s="459"/>
      <c r="H1981" s="459">
        <v>1974</v>
      </c>
      <c r="I1981" s="444">
        <f t="shared" ca="1" si="120"/>
        <v>-2962244349.5337172</v>
      </c>
      <c r="J1981" s="444">
        <f t="array" ref="J1981">IFERROR(INDEX('Retirement Calculator'!K:K,MATCH('Lorri 401b'!N1981,'Retirement Calculator'!A:A,0),0),0)</f>
        <v>0</v>
      </c>
      <c r="K1981" s="444">
        <f t="shared" ca="1" si="118"/>
        <v>-12342684.789723821</v>
      </c>
      <c r="L1981" s="444">
        <f t="shared" ca="1" si="119"/>
        <v>-2974587034.323441</v>
      </c>
      <c r="M1981" s="460">
        <f t="shared" si="121"/>
        <v>0.05</v>
      </c>
      <c r="N1981" s="464">
        <f t="shared" si="122"/>
        <v>111340</v>
      </c>
    </row>
    <row r="1982" spans="7:14" ht="11.25" customHeight="1" x14ac:dyDescent="0.25">
      <c r="G1982" s="459"/>
      <c r="H1982" s="459">
        <v>1975</v>
      </c>
      <c r="I1982" s="444">
        <f t="shared" ca="1" si="120"/>
        <v>-2974587034.323441</v>
      </c>
      <c r="J1982" s="444">
        <f t="array" ref="J1982">IFERROR(INDEX('Retirement Calculator'!K:K,MATCH('Lorri 401b'!N1982,'Retirement Calculator'!A:A,0),0),0)</f>
        <v>0</v>
      </c>
      <c r="K1982" s="444">
        <f t="shared" ca="1" si="118"/>
        <v>-12394112.643014338</v>
      </c>
      <c r="L1982" s="444">
        <f t="shared" ca="1" si="119"/>
        <v>-2986981146.9664555</v>
      </c>
      <c r="M1982" s="460">
        <f t="shared" si="121"/>
        <v>0.05</v>
      </c>
      <c r="N1982" s="464">
        <f t="shared" si="122"/>
        <v>111370</v>
      </c>
    </row>
    <row r="1983" spans="7:14" ht="11.25" customHeight="1" x14ac:dyDescent="0.25">
      <c r="G1983" s="459"/>
      <c r="H1983" s="459">
        <v>1976</v>
      </c>
      <c r="I1983" s="444">
        <f t="shared" ca="1" si="120"/>
        <v>-2986981146.9664555</v>
      </c>
      <c r="J1983" s="444">
        <f t="array" ref="J1983">IFERROR(INDEX('Retirement Calculator'!K:K,MATCH('Lorri 401b'!N1983,'Retirement Calculator'!A:A,0),0),0)</f>
        <v>0</v>
      </c>
      <c r="K1983" s="444">
        <f t="shared" ca="1" si="118"/>
        <v>-12445754.779026898</v>
      </c>
      <c r="L1983" s="444">
        <f t="shared" ca="1" si="119"/>
        <v>-2999426901.7454824</v>
      </c>
      <c r="M1983" s="460">
        <f t="shared" si="121"/>
        <v>0.05</v>
      </c>
      <c r="N1983" s="464">
        <f t="shared" si="122"/>
        <v>111401</v>
      </c>
    </row>
    <row r="1984" spans="7:14" ht="11.25" customHeight="1" x14ac:dyDescent="0.25">
      <c r="G1984" s="459"/>
      <c r="H1984" s="459">
        <v>1977</v>
      </c>
      <c r="I1984" s="444">
        <f t="shared" ca="1" si="120"/>
        <v>-2999426901.7454824</v>
      </c>
      <c r="J1984" s="444">
        <f t="array" ref="J1984">IFERROR(INDEX('Retirement Calculator'!K:K,MATCH('Lorri 401b'!N1984,'Retirement Calculator'!A:A,0),0),0)</f>
        <v>0</v>
      </c>
      <c r="K1984" s="444">
        <f t="shared" ca="1" si="118"/>
        <v>-12497612.090606177</v>
      </c>
      <c r="L1984" s="444">
        <f t="shared" ca="1" si="119"/>
        <v>-3011924513.8360887</v>
      </c>
      <c r="M1984" s="460">
        <f t="shared" si="121"/>
        <v>0.05</v>
      </c>
      <c r="N1984" s="464">
        <f t="shared" si="122"/>
        <v>111432</v>
      </c>
    </row>
    <row r="1985" spans="7:14" ht="11.25" customHeight="1" x14ac:dyDescent="0.25">
      <c r="G1985" s="459"/>
      <c r="H1985" s="459">
        <v>1978</v>
      </c>
      <c r="I1985" s="444">
        <f t="shared" ca="1" si="120"/>
        <v>-3011924513.8360887</v>
      </c>
      <c r="J1985" s="444">
        <f t="array" ref="J1985">IFERROR(INDEX('Retirement Calculator'!K:K,MATCH('Lorri 401b'!N1985,'Retirement Calculator'!A:A,0),0),0)</f>
        <v>0</v>
      </c>
      <c r="K1985" s="444">
        <f t="shared" ca="1" si="118"/>
        <v>-12549685.474317037</v>
      </c>
      <c r="L1985" s="444">
        <f t="shared" ca="1" si="119"/>
        <v>-3024474199.3104057</v>
      </c>
      <c r="M1985" s="460">
        <f t="shared" si="121"/>
        <v>0.05</v>
      </c>
      <c r="N1985" s="464">
        <f t="shared" si="122"/>
        <v>111460</v>
      </c>
    </row>
    <row r="1986" spans="7:14" ht="11.25" customHeight="1" x14ac:dyDescent="0.25">
      <c r="G1986" s="459"/>
      <c r="H1986" s="459">
        <v>1979</v>
      </c>
      <c r="I1986" s="444">
        <f t="shared" ca="1" si="120"/>
        <v>-3024474199.3104057</v>
      </c>
      <c r="J1986" s="444">
        <f t="array" ref="J1986">IFERROR(INDEX('Retirement Calculator'!K:K,MATCH('Lorri 401b'!N1986,'Retirement Calculator'!A:A,0),0),0)</f>
        <v>0</v>
      </c>
      <c r="K1986" s="444">
        <f t="shared" ca="1" si="118"/>
        <v>-12601975.830460023</v>
      </c>
      <c r="L1986" s="444">
        <f t="shared" ca="1" si="119"/>
        <v>-3037076175.1408658</v>
      </c>
      <c r="M1986" s="460">
        <f t="shared" si="121"/>
        <v>0.05</v>
      </c>
      <c r="N1986" s="464">
        <f t="shared" si="122"/>
        <v>111491</v>
      </c>
    </row>
    <row r="1987" spans="7:14" ht="11.25" customHeight="1" x14ac:dyDescent="0.25">
      <c r="G1987" s="459"/>
      <c r="H1987" s="459">
        <v>1980</v>
      </c>
      <c r="I1987" s="444">
        <f t="shared" ca="1" si="120"/>
        <v>-3037076175.1408658</v>
      </c>
      <c r="J1987" s="444">
        <f t="array" ref="J1987">IFERROR(INDEX('Retirement Calculator'!K:K,MATCH('Lorri 401b'!N1987,'Retirement Calculator'!A:A,0),0),0)</f>
        <v>0</v>
      </c>
      <c r="K1987" s="444">
        <f t="shared" ca="1" si="118"/>
        <v>-12654484.06308694</v>
      </c>
      <c r="L1987" s="444">
        <f t="shared" ca="1" si="119"/>
        <v>-3049730659.2039528</v>
      </c>
      <c r="M1987" s="460">
        <f t="shared" si="121"/>
        <v>0.05</v>
      </c>
      <c r="N1987" s="464">
        <f t="shared" si="122"/>
        <v>111521</v>
      </c>
    </row>
    <row r="1988" spans="7:14" ht="11.25" customHeight="1" x14ac:dyDescent="0.25">
      <c r="G1988" s="459"/>
      <c r="H1988" s="459">
        <v>1981</v>
      </c>
      <c r="I1988" s="444">
        <f t="shared" ca="1" si="120"/>
        <v>-3049730659.2039528</v>
      </c>
      <c r="J1988" s="444">
        <f t="array" ref="J1988">IFERROR(INDEX('Retirement Calculator'!K:K,MATCH('Lorri 401b'!N1988,'Retirement Calculator'!A:A,0),0),0)</f>
        <v>0</v>
      </c>
      <c r="K1988" s="444">
        <f t="shared" ca="1" si="118"/>
        <v>-12707211.08001647</v>
      </c>
      <c r="L1988" s="444">
        <f t="shared" ca="1" si="119"/>
        <v>-3062437870.2839694</v>
      </c>
      <c r="M1988" s="460">
        <f t="shared" si="121"/>
        <v>0.05</v>
      </c>
      <c r="N1988" s="464">
        <f t="shared" si="122"/>
        <v>111552</v>
      </c>
    </row>
    <row r="1989" spans="7:14" ht="11.25" customHeight="1" x14ac:dyDescent="0.25">
      <c r="G1989" s="459"/>
      <c r="H1989" s="459">
        <v>1982</v>
      </c>
      <c r="I1989" s="444">
        <f t="shared" ca="1" si="120"/>
        <v>-3062437870.2839694</v>
      </c>
      <c r="J1989" s="444">
        <f t="array" ref="J1989">IFERROR(INDEX('Retirement Calculator'!K:K,MATCH('Lorri 401b'!N1989,'Retirement Calculator'!A:A,0),0),0)</f>
        <v>0</v>
      </c>
      <c r="K1989" s="444">
        <f t="shared" ca="1" si="118"/>
        <v>-12760157.792849872</v>
      </c>
      <c r="L1989" s="444">
        <f t="shared" ca="1" si="119"/>
        <v>-3075198028.0768194</v>
      </c>
      <c r="M1989" s="460">
        <f t="shared" si="121"/>
        <v>0.05</v>
      </c>
      <c r="N1989" s="464">
        <f t="shared" si="122"/>
        <v>111582</v>
      </c>
    </row>
    <row r="1990" spans="7:14" ht="11.25" customHeight="1" x14ac:dyDescent="0.25">
      <c r="G1990" s="459"/>
      <c r="H1990" s="459">
        <v>1983</v>
      </c>
      <c r="I1990" s="444">
        <f t="shared" ca="1" si="120"/>
        <v>-3075198028.0768194</v>
      </c>
      <c r="J1990" s="444">
        <f t="array" ref="J1990">IFERROR(INDEX('Retirement Calculator'!K:K,MATCH('Lorri 401b'!N1990,'Retirement Calculator'!A:A,0),0),0)</f>
        <v>0</v>
      </c>
      <c r="K1990" s="444">
        <f t="shared" ca="1" si="118"/>
        <v>-12813325.116986748</v>
      </c>
      <c r="L1990" s="444">
        <f t="shared" ca="1" si="119"/>
        <v>-3088011353.1938062</v>
      </c>
      <c r="M1990" s="460">
        <f t="shared" si="121"/>
        <v>0.05</v>
      </c>
      <c r="N1990" s="464">
        <f t="shared" si="122"/>
        <v>111613</v>
      </c>
    </row>
    <row r="1991" spans="7:14" ht="11.25" customHeight="1" x14ac:dyDescent="0.25">
      <c r="G1991" s="459"/>
      <c r="H1991" s="459">
        <v>1984</v>
      </c>
      <c r="I1991" s="444">
        <f t="shared" ca="1" si="120"/>
        <v>-3088011353.1938062</v>
      </c>
      <c r="J1991" s="444">
        <f t="array" ref="J1991">IFERROR(INDEX('Retirement Calculator'!K:K,MATCH('Lorri 401b'!N1991,'Retirement Calculator'!A:A,0),0),0)</f>
        <v>0</v>
      </c>
      <c r="K1991" s="444">
        <f t="shared" ca="1" si="118"/>
        <v>-12866713.971640859</v>
      </c>
      <c r="L1991" s="444">
        <f t="shared" ca="1" si="119"/>
        <v>-3100878067.1654472</v>
      </c>
      <c r="M1991" s="460">
        <f t="shared" si="121"/>
        <v>0.05</v>
      </c>
      <c r="N1991" s="464">
        <f t="shared" si="122"/>
        <v>111644</v>
      </c>
    </row>
    <row r="1992" spans="7:14" ht="11.25" customHeight="1" x14ac:dyDescent="0.25">
      <c r="G1992" s="459"/>
      <c r="H1992" s="459">
        <v>1985</v>
      </c>
      <c r="I1992" s="444">
        <f t="shared" ca="1" si="120"/>
        <v>-3100878067.1654472</v>
      </c>
      <c r="J1992" s="444">
        <f t="array" ref="J1992">IFERROR(INDEX('Retirement Calculator'!K:K,MATCH('Lorri 401b'!N1992,'Retirement Calculator'!A:A,0),0),0)</f>
        <v>0</v>
      </c>
      <c r="K1992" s="444">
        <f t="shared" ca="1" si="118"/>
        <v>-12920325.27985603</v>
      </c>
      <c r="L1992" s="444">
        <f t="shared" ca="1" si="119"/>
        <v>-3113798392.4453034</v>
      </c>
      <c r="M1992" s="460">
        <f t="shared" si="121"/>
        <v>0.05</v>
      </c>
      <c r="N1992" s="464">
        <f t="shared" si="122"/>
        <v>111674</v>
      </c>
    </row>
    <row r="1993" spans="7:14" ht="11.25" customHeight="1" x14ac:dyDescent="0.25">
      <c r="G1993" s="459"/>
      <c r="H1993" s="459">
        <v>1986</v>
      </c>
      <c r="I1993" s="444">
        <f t="shared" ca="1" si="120"/>
        <v>-3113798392.4453034</v>
      </c>
      <c r="J1993" s="444">
        <f t="array" ref="J1993">IFERROR(INDEX('Retirement Calculator'!K:K,MATCH('Lorri 401b'!N1993,'Retirement Calculator'!A:A,0),0),0)</f>
        <v>0</v>
      </c>
      <c r="K1993" s="444">
        <f t="shared" ca="1" si="118"/>
        <v>-12974159.968522098</v>
      </c>
      <c r="L1993" s="444">
        <f t="shared" ca="1" si="119"/>
        <v>-3126772552.4138255</v>
      </c>
      <c r="M1993" s="460">
        <f t="shared" si="121"/>
        <v>0.05</v>
      </c>
      <c r="N1993" s="464">
        <f t="shared" si="122"/>
        <v>111705</v>
      </c>
    </row>
    <row r="1994" spans="7:14" ht="11.25" customHeight="1" x14ac:dyDescent="0.25">
      <c r="G1994" s="459"/>
      <c r="H1994" s="459">
        <v>1987</v>
      </c>
      <c r="I1994" s="444">
        <f t="shared" ca="1" si="120"/>
        <v>-3126772552.4138255</v>
      </c>
      <c r="J1994" s="444">
        <f t="array" ref="J1994">IFERROR(INDEX('Retirement Calculator'!K:K,MATCH('Lorri 401b'!N1994,'Retirement Calculator'!A:A,0),0),0)</f>
        <v>0</v>
      </c>
      <c r="K1994" s="444">
        <f t="shared" ca="1" si="118"/>
        <v>-13028218.96839094</v>
      </c>
      <c r="L1994" s="444">
        <f t="shared" ca="1" si="119"/>
        <v>-3139800771.3822165</v>
      </c>
      <c r="M1994" s="460">
        <f t="shared" si="121"/>
        <v>0.05</v>
      </c>
      <c r="N1994" s="464">
        <f t="shared" si="122"/>
        <v>111735</v>
      </c>
    </row>
    <row r="1995" spans="7:14" ht="11.25" customHeight="1" x14ac:dyDescent="0.25">
      <c r="G1995" s="459"/>
      <c r="H1995" s="459">
        <v>1988</v>
      </c>
      <c r="I1995" s="444">
        <f t="shared" ca="1" si="120"/>
        <v>-3139800771.3822165</v>
      </c>
      <c r="J1995" s="444">
        <f t="array" ref="J1995">IFERROR(INDEX('Retirement Calculator'!K:K,MATCH('Lorri 401b'!N1995,'Retirement Calculator'!A:A,0),0),0)</f>
        <v>0</v>
      </c>
      <c r="K1995" s="444">
        <f t="shared" ca="1" si="118"/>
        <v>-13082503.214092568</v>
      </c>
      <c r="L1995" s="444">
        <f t="shared" ca="1" si="119"/>
        <v>-3152883274.5963092</v>
      </c>
      <c r="M1995" s="460">
        <f t="shared" si="121"/>
        <v>0.05</v>
      </c>
      <c r="N1995" s="464">
        <f t="shared" si="122"/>
        <v>111766</v>
      </c>
    </row>
    <row r="1996" spans="7:14" ht="11.25" customHeight="1" x14ac:dyDescent="0.25">
      <c r="G1996" s="459"/>
      <c r="H1996" s="459">
        <v>1989</v>
      </c>
      <c r="I1996" s="444">
        <f t="shared" ca="1" si="120"/>
        <v>-3152883274.5963092</v>
      </c>
      <c r="J1996" s="444">
        <f t="array" ref="J1996">IFERROR(INDEX('Retirement Calculator'!K:K,MATCH('Lorri 401b'!N1996,'Retirement Calculator'!A:A,0),0),0)</f>
        <v>0</v>
      </c>
      <c r="K1996" s="444">
        <f t="shared" ca="1" si="118"/>
        <v>-13137013.644151289</v>
      </c>
      <c r="L1996" s="444">
        <f t="shared" ca="1" si="119"/>
        <v>-3166020288.2404604</v>
      </c>
      <c r="M1996" s="460">
        <f t="shared" si="121"/>
        <v>0.05</v>
      </c>
      <c r="N1996" s="464">
        <f t="shared" si="122"/>
        <v>111797</v>
      </c>
    </row>
    <row r="1997" spans="7:14" ht="11.25" customHeight="1" x14ac:dyDescent="0.25">
      <c r="G1997" s="459"/>
      <c r="H1997" s="459">
        <v>1990</v>
      </c>
      <c r="I1997" s="444">
        <f t="shared" ca="1" si="120"/>
        <v>-3166020288.2404604</v>
      </c>
      <c r="J1997" s="444">
        <f t="array" ref="J1997">IFERROR(INDEX('Retirement Calculator'!K:K,MATCH('Lorri 401b'!N1997,'Retirement Calculator'!A:A,0),0),0)</f>
        <v>0</v>
      </c>
      <c r="K1997" s="444">
        <f t="shared" ca="1" si="118"/>
        <v>-13191751.201001918</v>
      </c>
      <c r="L1997" s="444">
        <f t="shared" ca="1" si="119"/>
        <v>-3179212039.4414625</v>
      </c>
      <c r="M1997" s="460">
        <f t="shared" si="121"/>
        <v>0.05</v>
      </c>
      <c r="N1997" s="464">
        <f t="shared" si="122"/>
        <v>111825</v>
      </c>
    </row>
    <row r="1998" spans="7:14" ht="11.25" customHeight="1" x14ac:dyDescent="0.25">
      <c r="G1998" s="459"/>
      <c r="H1998" s="459">
        <v>1991</v>
      </c>
      <c r="I1998" s="444">
        <f t="shared" ca="1" si="120"/>
        <v>-3179212039.4414625</v>
      </c>
      <c r="J1998" s="444">
        <f t="array" ref="J1998">IFERROR(INDEX('Retirement Calculator'!K:K,MATCH('Lorri 401b'!N1998,'Retirement Calculator'!A:A,0),0),0)</f>
        <v>0</v>
      </c>
      <c r="K1998" s="444">
        <f t="shared" ca="1" si="118"/>
        <v>-13246716.831006093</v>
      </c>
      <c r="L1998" s="444">
        <f t="shared" ca="1" si="119"/>
        <v>-3192458756.2724686</v>
      </c>
      <c r="M1998" s="460">
        <f t="shared" si="121"/>
        <v>0.05</v>
      </c>
      <c r="N1998" s="464">
        <f t="shared" si="122"/>
        <v>111856</v>
      </c>
    </row>
    <row r="1999" spans="7:14" ht="11.25" customHeight="1" x14ac:dyDescent="0.25">
      <c r="G1999" s="459"/>
      <c r="H1999" s="459">
        <v>1992</v>
      </c>
      <c r="I1999" s="444">
        <f t="shared" ca="1" si="120"/>
        <v>-3192458756.2724686</v>
      </c>
      <c r="J1999" s="444">
        <f t="array" ref="J1999">IFERROR(INDEX('Retirement Calculator'!K:K,MATCH('Lorri 401b'!N1999,'Retirement Calculator'!A:A,0),0),0)</f>
        <v>0</v>
      </c>
      <c r="K1999" s="444">
        <f t="shared" ca="1" si="118"/>
        <v>-13301911.484468618</v>
      </c>
      <c r="L1999" s="444">
        <f t="shared" ca="1" si="119"/>
        <v>-3205760667.756937</v>
      </c>
      <c r="M1999" s="460">
        <f t="shared" si="121"/>
        <v>0.05</v>
      </c>
      <c r="N1999" s="464">
        <f t="shared" si="122"/>
        <v>111886</v>
      </c>
    </row>
    <row r="2000" spans="7:14" ht="11.25" customHeight="1" x14ac:dyDescent="0.25">
      <c r="G2000" s="459"/>
      <c r="H2000" s="459">
        <v>1993</v>
      </c>
      <c r="I2000" s="444">
        <f t="shared" ca="1" si="120"/>
        <v>-3205760667.756937</v>
      </c>
      <c r="J2000" s="444">
        <f t="array" ref="J2000">IFERROR(INDEX('Retirement Calculator'!K:K,MATCH('Lorri 401b'!N2000,'Retirement Calculator'!A:A,0),0),0)</f>
        <v>0</v>
      </c>
      <c r="K2000" s="444">
        <f t="shared" ca="1" si="118"/>
        <v>-13357336.115653904</v>
      </c>
      <c r="L2000" s="444">
        <f t="shared" ca="1" si="119"/>
        <v>-3219118003.872591</v>
      </c>
      <c r="M2000" s="460">
        <f t="shared" si="121"/>
        <v>0.05</v>
      </c>
      <c r="N2000" s="464">
        <f t="shared" si="122"/>
        <v>111917</v>
      </c>
    </row>
    <row r="2001" spans="7:14" ht="11.25" customHeight="1" x14ac:dyDescent="0.25">
      <c r="G2001" s="459"/>
      <c r="H2001" s="459">
        <v>1994</v>
      </c>
      <c r="I2001" s="444">
        <f t="shared" ca="1" si="120"/>
        <v>-3219118003.872591</v>
      </c>
      <c r="J2001" s="444">
        <f t="array" ref="J2001">IFERROR(INDEX('Retirement Calculator'!K:K,MATCH('Lorri 401b'!N2001,'Retirement Calculator'!A:A,0),0),0)</f>
        <v>0</v>
      </c>
      <c r="K2001" s="444">
        <f t="shared" ca="1" si="118"/>
        <v>-13412991.682802463</v>
      </c>
      <c r="L2001" s="444">
        <f t="shared" ca="1" si="119"/>
        <v>-3232530995.5553937</v>
      </c>
      <c r="M2001" s="460">
        <f t="shared" si="121"/>
        <v>0.05</v>
      </c>
      <c r="N2001" s="464">
        <f t="shared" si="122"/>
        <v>111947</v>
      </c>
    </row>
    <row r="2002" spans="7:14" ht="11.25" customHeight="1" x14ac:dyDescent="0.25">
      <c r="G2002" s="459"/>
      <c r="H2002" s="459">
        <v>1995</v>
      </c>
      <c r="I2002" s="444">
        <f t="shared" ca="1" si="120"/>
        <v>-3232530995.5553937</v>
      </c>
      <c r="J2002" s="444">
        <f t="array" ref="J2002">IFERROR(INDEX('Retirement Calculator'!K:K,MATCH('Lorri 401b'!N2002,'Retirement Calculator'!A:A,0),0),0)</f>
        <v>0</v>
      </c>
      <c r="K2002" s="444">
        <f t="shared" ca="1" si="118"/>
        <v>-13468879.148147473</v>
      </c>
      <c r="L2002" s="444">
        <f t="shared" ca="1" si="119"/>
        <v>-3245999874.7035413</v>
      </c>
      <c r="M2002" s="460">
        <f t="shared" si="121"/>
        <v>0.05</v>
      </c>
      <c r="N2002" s="464">
        <f t="shared" si="122"/>
        <v>111978</v>
      </c>
    </row>
    <row r="2003" spans="7:14" ht="11.25" customHeight="1" x14ac:dyDescent="0.25">
      <c r="G2003" s="459"/>
      <c r="H2003" s="459">
        <v>1996</v>
      </c>
      <c r="I2003" s="444">
        <f t="shared" ca="1" si="120"/>
        <v>-3245999874.7035413</v>
      </c>
      <c r="J2003" s="444">
        <f t="array" ref="J2003">IFERROR(INDEX('Retirement Calculator'!K:K,MATCH('Lorri 401b'!N2003,'Retirement Calculator'!A:A,0),0),0)</f>
        <v>0</v>
      </c>
      <c r="K2003" s="444">
        <f t="shared" ca="1" si="118"/>
        <v>-13524999.477931421</v>
      </c>
      <c r="L2003" s="444">
        <f t="shared" ca="1" si="119"/>
        <v>-3259524874.1814728</v>
      </c>
      <c r="M2003" s="460">
        <f t="shared" si="121"/>
        <v>0.05</v>
      </c>
      <c r="N2003" s="464">
        <f t="shared" si="122"/>
        <v>112009</v>
      </c>
    </row>
    <row r="2004" spans="7:14" ht="11.25" customHeight="1" x14ac:dyDescent="0.25">
      <c r="G2004" s="459"/>
      <c r="H2004" s="459">
        <v>1997</v>
      </c>
      <c r="I2004" s="444">
        <f t="shared" ca="1" si="120"/>
        <v>-3259524874.1814728</v>
      </c>
      <c r="J2004" s="444">
        <f t="array" ref="J2004">IFERROR(INDEX('Retirement Calculator'!K:K,MATCH('Lorri 401b'!N2004,'Retirement Calculator'!A:A,0),0),0)</f>
        <v>0</v>
      </c>
      <c r="K2004" s="444">
        <f t="shared" ca="1" si="118"/>
        <v>-13581353.642422803</v>
      </c>
      <c r="L2004" s="444">
        <f t="shared" ca="1" si="119"/>
        <v>-3273106227.8238955</v>
      </c>
      <c r="M2004" s="460">
        <f t="shared" si="121"/>
        <v>0.05</v>
      </c>
      <c r="N2004" s="464">
        <f t="shared" si="122"/>
        <v>112039</v>
      </c>
    </row>
    <row r="2005" spans="7:14" ht="11.25" customHeight="1" x14ac:dyDescent="0.25">
      <c r="G2005" s="459"/>
      <c r="H2005" s="459">
        <v>1998</v>
      </c>
      <c r="I2005" s="444">
        <f t="shared" ca="1" si="120"/>
        <v>-3273106227.8238955</v>
      </c>
      <c r="J2005" s="444">
        <f t="array" ref="J2005">IFERROR(INDEX('Retirement Calculator'!K:K,MATCH('Lorri 401b'!N2005,'Retirement Calculator'!A:A,0),0),0)</f>
        <v>0</v>
      </c>
      <c r="K2005" s="444">
        <f t="shared" ca="1" si="118"/>
        <v>-13637942.615932897</v>
      </c>
      <c r="L2005" s="444">
        <f t="shared" ca="1" si="119"/>
        <v>-3286744170.4398284</v>
      </c>
      <c r="M2005" s="460">
        <f t="shared" si="121"/>
        <v>0.05</v>
      </c>
      <c r="N2005" s="464">
        <f t="shared" si="122"/>
        <v>112070</v>
      </c>
    </row>
    <row r="2006" spans="7:14" ht="11.25" customHeight="1" x14ac:dyDescent="0.25">
      <c r="G2006" s="459"/>
      <c r="H2006" s="459">
        <v>1999</v>
      </c>
      <c r="I2006" s="444">
        <f t="shared" ca="1" si="120"/>
        <v>-3286744170.4398284</v>
      </c>
      <c r="J2006" s="444">
        <f t="array" ref="J2006">IFERROR(INDEX('Retirement Calculator'!K:K,MATCH('Lorri 401b'!N2006,'Retirement Calculator'!A:A,0),0),0)</f>
        <v>0</v>
      </c>
      <c r="K2006" s="444">
        <f t="shared" ca="1" si="118"/>
        <v>-13694767.376832617</v>
      </c>
      <c r="L2006" s="444">
        <f t="shared" ca="1" si="119"/>
        <v>-3300438937.8166609</v>
      </c>
      <c r="M2006" s="460">
        <f t="shared" si="121"/>
        <v>0.05</v>
      </c>
      <c r="N2006" s="464">
        <f t="shared" si="122"/>
        <v>112100</v>
      </c>
    </row>
    <row r="2007" spans="7:14" ht="11.25" customHeight="1" x14ac:dyDescent="0.25">
      <c r="G2007" s="459"/>
      <c r="H2007" s="459">
        <v>2000</v>
      </c>
      <c r="I2007" s="444">
        <f t="shared" ca="1" si="120"/>
        <v>-3300438937.8166609</v>
      </c>
      <c r="J2007" s="444">
        <f t="array" ref="J2007">IFERROR(INDEX('Retirement Calculator'!K:K,MATCH('Lorri 401b'!N2007,'Retirement Calculator'!A:A,0),0),0)</f>
        <v>0</v>
      </c>
      <c r="K2007" s="444">
        <f t="shared" ca="1" si="118"/>
        <v>-13751828.90756942</v>
      </c>
      <c r="L2007" s="444">
        <f t="shared" ca="1" si="119"/>
        <v>-3314190766.7242303</v>
      </c>
      <c r="M2007" s="460">
        <f t="shared" si="121"/>
        <v>0.05</v>
      </c>
      <c r="N2007" s="464">
        <f t="shared" si="122"/>
        <v>112131</v>
      </c>
    </row>
    <row r="2008" spans="7:14" ht="11.25" customHeight="1" x14ac:dyDescent="0.25">
      <c r="G2008" s="459"/>
      <c r="H2008" s="459">
        <v>2001</v>
      </c>
      <c r="I2008" s="444">
        <f t="shared" ca="1" si="120"/>
        <v>-3314190766.7242303</v>
      </c>
      <c r="J2008" s="444">
        <f t="array" ref="J2008">IFERROR(INDEX('Retirement Calculator'!K:K,MATCH('Lorri 401b'!N2008,'Retirement Calculator'!A:A,0),0),0)</f>
        <v>0</v>
      </c>
      <c r="K2008" s="444">
        <f t="shared" ca="1" si="118"/>
        <v>-13809128.194684293</v>
      </c>
      <c r="L2008" s="444">
        <f t="shared" ca="1" si="119"/>
        <v>-3327999894.9189148</v>
      </c>
      <c r="M2008" s="460">
        <f t="shared" si="121"/>
        <v>0.05</v>
      </c>
      <c r="N2008" s="464">
        <f t="shared" si="122"/>
        <v>112162</v>
      </c>
    </row>
    <row r="2009" spans="7:14" ht="11.25" customHeight="1" x14ac:dyDescent="0.25">
      <c r="G2009" s="459"/>
      <c r="H2009" s="459">
        <v>2002</v>
      </c>
      <c r="I2009" s="444">
        <f t="shared" ca="1" si="120"/>
        <v>-3327999894.9189148</v>
      </c>
      <c r="J2009" s="444">
        <f t="array" ref="J2009">IFERROR(INDEX('Retirement Calculator'!K:K,MATCH('Lorri 401b'!N2009,'Retirement Calculator'!A:A,0),0),0)</f>
        <v>0</v>
      </c>
      <c r="K2009" s="444">
        <f t="shared" ca="1" si="118"/>
        <v>-13866666.228828812</v>
      </c>
      <c r="L2009" s="444">
        <f t="shared" ca="1" si="119"/>
        <v>-3341866561.1477437</v>
      </c>
      <c r="M2009" s="460">
        <f t="shared" si="121"/>
        <v>0.05</v>
      </c>
      <c r="N2009" s="464">
        <f t="shared" si="122"/>
        <v>112190</v>
      </c>
    </row>
    <row r="2010" spans="7:14" ht="11.25" customHeight="1" x14ac:dyDescent="0.25">
      <c r="G2010" s="459"/>
      <c r="H2010" s="459">
        <v>2003</v>
      </c>
      <c r="I2010" s="444">
        <f t="shared" ca="1" si="120"/>
        <v>-3341866561.1477437</v>
      </c>
      <c r="J2010" s="444">
        <f t="array" ref="J2010">IFERROR(INDEX('Retirement Calculator'!K:K,MATCH('Lorri 401b'!N2010,'Retirement Calculator'!A:A,0),0),0)</f>
        <v>0</v>
      </c>
      <c r="K2010" s="444">
        <f t="shared" ca="1" si="118"/>
        <v>-13924444.004782265</v>
      </c>
      <c r="L2010" s="444">
        <f t="shared" ca="1" si="119"/>
        <v>-3355791005.1525259</v>
      </c>
      <c r="M2010" s="460">
        <f t="shared" si="121"/>
        <v>0.05</v>
      </c>
      <c r="N2010" s="464">
        <f t="shared" si="122"/>
        <v>112221</v>
      </c>
    </row>
    <row r="2011" spans="7:14" ht="11.25" customHeight="1" x14ac:dyDescent="0.25">
      <c r="G2011" s="459"/>
      <c r="H2011" s="459">
        <v>2004</v>
      </c>
      <c r="I2011" s="444">
        <f t="shared" ca="1" si="120"/>
        <v>-3355791005.1525259</v>
      </c>
      <c r="J2011" s="444">
        <f t="array" ref="J2011">IFERROR(INDEX('Retirement Calculator'!K:K,MATCH('Lorri 401b'!N2011,'Retirement Calculator'!A:A,0),0),0)</f>
        <v>0</v>
      </c>
      <c r="K2011" s="444">
        <f t="shared" ca="1" si="118"/>
        <v>-13982462.521468859</v>
      </c>
      <c r="L2011" s="444">
        <f t="shared" ca="1" si="119"/>
        <v>-3369773467.6739945</v>
      </c>
      <c r="M2011" s="460">
        <f t="shared" si="121"/>
        <v>0.05</v>
      </c>
      <c r="N2011" s="464">
        <f t="shared" si="122"/>
        <v>112251</v>
      </c>
    </row>
    <row r="2012" spans="7:14" ht="11.25" customHeight="1" x14ac:dyDescent="0.25">
      <c r="G2012" s="459"/>
      <c r="H2012" s="459">
        <v>2005</v>
      </c>
      <c r="I2012" s="444">
        <f t="shared" ca="1" si="120"/>
        <v>-3369773467.6739945</v>
      </c>
      <c r="J2012" s="444">
        <f t="array" ref="J2012">IFERROR(INDEX('Retirement Calculator'!K:K,MATCH('Lorri 401b'!N2012,'Retirement Calculator'!A:A,0),0),0)</f>
        <v>0</v>
      </c>
      <c r="K2012" s="444">
        <f t="shared" ca="1" si="118"/>
        <v>-14040722.781974977</v>
      </c>
      <c r="L2012" s="444">
        <f t="shared" ca="1" si="119"/>
        <v>-3383814190.4559693</v>
      </c>
      <c r="M2012" s="460">
        <f t="shared" si="121"/>
        <v>0.05</v>
      </c>
      <c r="N2012" s="464">
        <f t="shared" si="122"/>
        <v>112282</v>
      </c>
    </row>
    <row r="2013" spans="7:14" ht="11.25" customHeight="1" x14ac:dyDescent="0.25">
      <c r="G2013" s="459"/>
      <c r="H2013" s="459">
        <v>2006</v>
      </c>
      <c r="I2013" s="444">
        <f t="shared" ca="1" si="120"/>
        <v>-3383814190.4559693</v>
      </c>
      <c r="J2013" s="444">
        <f t="array" ref="J2013">IFERROR(INDEX('Retirement Calculator'!K:K,MATCH('Lorri 401b'!N2013,'Retirement Calculator'!A:A,0),0),0)</f>
        <v>0</v>
      </c>
      <c r="K2013" s="444">
        <f t="shared" ca="1" si="118"/>
        <v>-14099225.79356654</v>
      </c>
      <c r="L2013" s="444">
        <f t="shared" ca="1" si="119"/>
        <v>-3397913416.249536</v>
      </c>
      <c r="M2013" s="460">
        <f t="shared" si="121"/>
        <v>0.05</v>
      </c>
      <c r="N2013" s="464">
        <f t="shared" si="122"/>
        <v>112312</v>
      </c>
    </row>
    <row r="2014" spans="7:14" ht="11.25" customHeight="1" x14ac:dyDescent="0.25">
      <c r="G2014" s="459"/>
      <c r="H2014" s="459">
        <v>2007</v>
      </c>
      <c r="I2014" s="444">
        <f t="shared" ca="1" si="120"/>
        <v>-3397913416.249536</v>
      </c>
      <c r="J2014" s="444">
        <f t="array" ref="J2014">IFERROR(INDEX('Retirement Calculator'!K:K,MATCH('Lorri 401b'!N2014,'Retirement Calculator'!A:A,0),0),0)</f>
        <v>0</v>
      </c>
      <c r="K2014" s="444">
        <f t="shared" ca="1" si="118"/>
        <v>-14157972.567706401</v>
      </c>
      <c r="L2014" s="444">
        <f t="shared" ca="1" si="119"/>
        <v>-3412071388.8172426</v>
      </c>
      <c r="M2014" s="460">
        <f t="shared" si="121"/>
        <v>0.05</v>
      </c>
      <c r="N2014" s="464">
        <f t="shared" si="122"/>
        <v>112343</v>
      </c>
    </row>
    <row r="2015" spans="7:14" ht="11.25" customHeight="1" x14ac:dyDescent="0.25">
      <c r="G2015" s="459"/>
      <c r="H2015" s="459">
        <v>2008</v>
      </c>
      <c r="I2015" s="444">
        <f t="shared" ca="1" si="120"/>
        <v>-3412071388.8172426</v>
      </c>
      <c r="J2015" s="444">
        <f t="array" ref="J2015">IFERROR(INDEX('Retirement Calculator'!K:K,MATCH('Lorri 401b'!N2015,'Retirement Calculator'!A:A,0),0),0)</f>
        <v>0</v>
      </c>
      <c r="K2015" s="444">
        <f t="shared" ca="1" si="118"/>
        <v>-14216964.120071843</v>
      </c>
      <c r="L2015" s="444">
        <f t="shared" ca="1" si="119"/>
        <v>-3426288352.9373145</v>
      </c>
      <c r="M2015" s="460">
        <f t="shared" si="121"/>
        <v>0.05</v>
      </c>
      <c r="N2015" s="464">
        <f t="shared" si="122"/>
        <v>112374</v>
      </c>
    </row>
    <row r="2016" spans="7:14" ht="11.25" customHeight="1" x14ac:dyDescent="0.25">
      <c r="G2016" s="459"/>
      <c r="H2016" s="459">
        <v>2009</v>
      </c>
      <c r="I2016" s="444">
        <f t="shared" ca="1" si="120"/>
        <v>-3426288352.9373145</v>
      </c>
      <c r="J2016" s="444">
        <f t="array" ref="J2016">IFERROR(INDEX('Retirement Calculator'!K:K,MATCH('Lorri 401b'!N2016,'Retirement Calculator'!A:A,0),0),0)</f>
        <v>0</v>
      </c>
      <c r="K2016" s="444">
        <f t="shared" ca="1" si="118"/>
        <v>-14276201.470572146</v>
      </c>
      <c r="L2016" s="444">
        <f t="shared" ca="1" si="119"/>
        <v>-3440564554.4078865</v>
      </c>
      <c r="M2016" s="460">
        <f t="shared" si="121"/>
        <v>0.05</v>
      </c>
      <c r="N2016" s="464">
        <f t="shared" si="122"/>
        <v>112404</v>
      </c>
    </row>
    <row r="2017" spans="7:14" ht="11.25" customHeight="1" x14ac:dyDescent="0.25">
      <c r="G2017" s="459"/>
      <c r="H2017" s="459">
        <v>2010</v>
      </c>
      <c r="I2017" s="444">
        <f t="shared" ca="1" si="120"/>
        <v>-3440564554.4078865</v>
      </c>
      <c r="J2017" s="444">
        <f t="array" ref="J2017">IFERROR(INDEX('Retirement Calculator'!K:K,MATCH('Lorri 401b'!N2017,'Retirement Calculator'!A:A,0),0),0)</f>
        <v>0</v>
      </c>
      <c r="K2017" s="444">
        <f t="shared" ca="1" si="118"/>
        <v>-14335685.643366193</v>
      </c>
      <c r="L2017" s="444">
        <f t="shared" ca="1" si="119"/>
        <v>-3454900240.0512528</v>
      </c>
      <c r="M2017" s="460">
        <f t="shared" si="121"/>
        <v>0.05</v>
      </c>
      <c r="N2017" s="464">
        <f t="shared" si="122"/>
        <v>112435</v>
      </c>
    </row>
    <row r="2018" spans="7:14" ht="11.25" customHeight="1" x14ac:dyDescent="0.25">
      <c r="G2018" s="459"/>
      <c r="H2018" s="459">
        <v>2011</v>
      </c>
      <c r="I2018" s="444">
        <f t="shared" ca="1" si="120"/>
        <v>-3454900240.0512528</v>
      </c>
      <c r="J2018" s="444">
        <f t="array" ref="J2018">IFERROR(INDEX('Retirement Calculator'!K:K,MATCH('Lorri 401b'!N2018,'Retirement Calculator'!A:A,0),0),0)</f>
        <v>0</v>
      </c>
      <c r="K2018" s="444">
        <f t="shared" ca="1" si="118"/>
        <v>-14395417.666880218</v>
      </c>
      <c r="L2018" s="444">
        <f t="shared" ca="1" si="119"/>
        <v>-3469295657.718133</v>
      </c>
      <c r="M2018" s="460">
        <f t="shared" si="121"/>
        <v>0.05</v>
      </c>
      <c r="N2018" s="464">
        <f t="shared" si="122"/>
        <v>112465</v>
      </c>
    </row>
    <row r="2019" spans="7:14" ht="11.25" customHeight="1" x14ac:dyDescent="0.25">
      <c r="G2019" s="459"/>
      <c r="H2019" s="459">
        <v>2012</v>
      </c>
      <c r="I2019" s="444">
        <f t="shared" ca="1" si="120"/>
        <v>-3469295657.718133</v>
      </c>
      <c r="J2019" s="444">
        <f t="array" ref="J2019">IFERROR(INDEX('Retirement Calculator'!K:K,MATCH('Lorri 401b'!N2019,'Retirement Calculator'!A:A,0),0),0)</f>
        <v>0</v>
      </c>
      <c r="K2019" s="444">
        <f t="shared" ca="1" si="118"/>
        <v>-14455398.573825553</v>
      </c>
      <c r="L2019" s="444">
        <f t="shared" ca="1" si="119"/>
        <v>-3483751056.2919583</v>
      </c>
      <c r="M2019" s="460">
        <f t="shared" si="121"/>
        <v>0.05</v>
      </c>
      <c r="N2019" s="464">
        <f t="shared" si="122"/>
        <v>112496</v>
      </c>
    </row>
    <row r="2020" spans="7:14" ht="11.25" customHeight="1" x14ac:dyDescent="0.25">
      <c r="G2020" s="459"/>
      <c r="H2020" s="459">
        <v>2013</v>
      </c>
      <c r="I2020" s="444">
        <f t="shared" ca="1" si="120"/>
        <v>-3483751056.2919583</v>
      </c>
      <c r="J2020" s="444">
        <f t="array" ref="J2020">IFERROR(INDEX('Retirement Calculator'!K:K,MATCH('Lorri 401b'!N2020,'Retirement Calculator'!A:A,0),0),0)</f>
        <v>0</v>
      </c>
      <c r="K2020" s="444">
        <f t="shared" ca="1" si="118"/>
        <v>-14515629.40121649</v>
      </c>
      <c r="L2020" s="444">
        <f t="shared" ca="1" si="119"/>
        <v>-3498266685.6931748</v>
      </c>
      <c r="M2020" s="460">
        <f t="shared" si="121"/>
        <v>0.05</v>
      </c>
      <c r="N2020" s="464">
        <f t="shared" si="122"/>
        <v>112527</v>
      </c>
    </row>
    <row r="2021" spans="7:14" ht="11.25" customHeight="1" x14ac:dyDescent="0.25">
      <c r="G2021" s="459"/>
      <c r="H2021" s="459">
        <v>2014</v>
      </c>
      <c r="I2021" s="444">
        <f t="shared" ca="1" si="120"/>
        <v>-3498266685.6931748</v>
      </c>
      <c r="J2021" s="444">
        <f t="array" ref="J2021">IFERROR(INDEX('Retirement Calculator'!K:K,MATCH('Lorri 401b'!N2021,'Retirement Calculator'!A:A,0),0),0)</f>
        <v>0</v>
      </c>
      <c r="K2021" s="444">
        <f t="shared" ca="1" si="118"/>
        <v>-14576111.190388229</v>
      </c>
      <c r="L2021" s="444">
        <f t="shared" ca="1" si="119"/>
        <v>-3512842796.883563</v>
      </c>
      <c r="M2021" s="460">
        <f t="shared" si="121"/>
        <v>0.05</v>
      </c>
      <c r="N2021" s="464">
        <f t="shared" si="122"/>
        <v>112556</v>
      </c>
    </row>
    <row r="2022" spans="7:14" ht="11.25" customHeight="1" x14ac:dyDescent="0.25">
      <c r="G2022" s="459"/>
      <c r="H2022" s="459">
        <v>2015</v>
      </c>
      <c r="I2022" s="444">
        <f t="shared" ca="1" si="120"/>
        <v>-3512842796.883563</v>
      </c>
      <c r="J2022" s="444">
        <f t="array" ref="J2022">IFERROR(INDEX('Retirement Calculator'!K:K,MATCH('Lorri 401b'!N2022,'Retirement Calculator'!A:A,0),0),0)</f>
        <v>0</v>
      </c>
      <c r="K2022" s="444">
        <f t="shared" ca="1" si="118"/>
        <v>-14636844.987014845</v>
      </c>
      <c r="L2022" s="444">
        <f t="shared" ca="1" si="119"/>
        <v>-3527479641.8705778</v>
      </c>
      <c r="M2022" s="460">
        <f t="shared" si="121"/>
        <v>0.05</v>
      </c>
      <c r="N2022" s="464">
        <f t="shared" si="122"/>
        <v>112587</v>
      </c>
    </row>
    <row r="2023" spans="7:14" ht="11.25" customHeight="1" x14ac:dyDescent="0.25">
      <c r="G2023" s="459"/>
      <c r="H2023" s="459">
        <v>2016</v>
      </c>
      <c r="I2023" s="444">
        <f t="shared" ca="1" si="120"/>
        <v>-3527479641.8705778</v>
      </c>
      <c r="J2023" s="444">
        <f t="array" ref="J2023">IFERROR(INDEX('Retirement Calculator'!K:K,MATCH('Lorri 401b'!N2023,'Retirement Calculator'!A:A,0),0),0)</f>
        <v>0</v>
      </c>
      <c r="K2023" s="444">
        <f t="shared" ca="1" si="118"/>
        <v>-14697831.841127405</v>
      </c>
      <c r="L2023" s="444">
        <f t="shared" ca="1" si="119"/>
        <v>-3542177473.7117052</v>
      </c>
      <c r="M2023" s="460">
        <f t="shared" si="121"/>
        <v>0.05</v>
      </c>
      <c r="N2023" s="464">
        <f t="shared" si="122"/>
        <v>112617</v>
      </c>
    </row>
    <row r="2024" spans="7:14" ht="11.25" customHeight="1" x14ac:dyDescent="0.25">
      <c r="G2024" s="459"/>
      <c r="H2024" s="459">
        <v>2017</v>
      </c>
      <c r="I2024" s="444">
        <f t="shared" ca="1" si="120"/>
        <v>-3542177473.7117052</v>
      </c>
      <c r="J2024" s="444">
        <f t="array" ref="J2024">IFERROR(INDEX('Retirement Calculator'!K:K,MATCH('Lorri 401b'!N2024,'Retirement Calculator'!A:A,0),0),0)</f>
        <v>0</v>
      </c>
      <c r="K2024" s="444">
        <f t="shared" ca="1" si="118"/>
        <v>-14759072.807132103</v>
      </c>
      <c r="L2024" s="444">
        <f t="shared" ca="1" si="119"/>
        <v>-3556936546.5188375</v>
      </c>
      <c r="M2024" s="460">
        <f t="shared" si="121"/>
        <v>0.05</v>
      </c>
      <c r="N2024" s="464">
        <f t="shared" si="122"/>
        <v>112648</v>
      </c>
    </row>
    <row r="2025" spans="7:14" ht="11.25" customHeight="1" x14ac:dyDescent="0.25">
      <c r="G2025" s="459"/>
      <c r="H2025" s="459">
        <v>2018</v>
      </c>
      <c r="I2025" s="444">
        <f t="shared" ca="1" si="120"/>
        <v>-3556936546.5188375</v>
      </c>
      <c r="J2025" s="444">
        <f t="array" ref="J2025">IFERROR(INDEX('Retirement Calculator'!K:K,MATCH('Lorri 401b'!N2025,'Retirement Calculator'!A:A,0),0),0)</f>
        <v>0</v>
      </c>
      <c r="K2025" s="444">
        <f t="shared" ca="1" si="118"/>
        <v>-14820568.943828488</v>
      </c>
      <c r="L2025" s="444">
        <f t="shared" ca="1" si="119"/>
        <v>-3571757115.462666</v>
      </c>
      <c r="M2025" s="460">
        <f t="shared" si="121"/>
        <v>0.05</v>
      </c>
      <c r="N2025" s="464">
        <f t="shared" si="122"/>
        <v>112678</v>
      </c>
    </row>
    <row r="2026" spans="7:14" ht="11.25" customHeight="1" x14ac:dyDescent="0.25">
      <c r="G2026" s="459"/>
      <c r="H2026" s="459">
        <v>2019</v>
      </c>
      <c r="I2026" s="444">
        <f t="shared" ca="1" si="120"/>
        <v>-3571757115.462666</v>
      </c>
      <c r="J2026" s="444">
        <f t="array" ref="J2026">IFERROR(INDEX('Retirement Calculator'!K:K,MATCH('Lorri 401b'!N2026,'Retirement Calculator'!A:A,0),0),0)</f>
        <v>0</v>
      </c>
      <c r="K2026" s="444">
        <f t="shared" ca="1" si="118"/>
        <v>-14882321.314427773</v>
      </c>
      <c r="L2026" s="444">
        <f t="shared" ca="1" si="119"/>
        <v>-3586639436.7770939</v>
      </c>
      <c r="M2026" s="460">
        <f t="shared" si="121"/>
        <v>0.05</v>
      </c>
      <c r="N2026" s="464">
        <f t="shared" si="122"/>
        <v>112709</v>
      </c>
    </row>
    <row r="2027" spans="7:14" ht="11.25" customHeight="1" x14ac:dyDescent="0.25">
      <c r="G2027" s="459"/>
      <c r="H2027" s="459">
        <v>2020</v>
      </c>
      <c r="I2027" s="444">
        <f t="shared" ca="1" si="120"/>
        <v>-3586639436.7770939</v>
      </c>
      <c r="J2027" s="444">
        <f t="array" ref="J2027">IFERROR(INDEX('Retirement Calculator'!K:K,MATCH('Lorri 401b'!N2027,'Retirement Calculator'!A:A,0),0),0)</f>
        <v>0</v>
      </c>
      <c r="K2027" s="444">
        <f t="shared" ca="1" si="118"/>
        <v>-14944330.986571226</v>
      </c>
      <c r="L2027" s="444">
        <f t="shared" ca="1" si="119"/>
        <v>-3601583767.7636652</v>
      </c>
      <c r="M2027" s="460">
        <f t="shared" si="121"/>
        <v>0.05</v>
      </c>
      <c r="N2027" s="464">
        <f t="shared" si="122"/>
        <v>112740</v>
      </c>
    </row>
    <row r="2028" spans="7:14" ht="11.25" customHeight="1" x14ac:dyDescent="0.25">
      <c r="G2028" s="459"/>
      <c r="H2028" s="459">
        <v>2021</v>
      </c>
      <c r="I2028" s="444">
        <f t="shared" ca="1" si="120"/>
        <v>-3601583767.7636652</v>
      </c>
      <c r="J2028" s="444">
        <f t="array" ref="J2028">IFERROR(INDEX('Retirement Calculator'!K:K,MATCH('Lorri 401b'!N2028,'Retirement Calculator'!A:A,0),0),0)</f>
        <v>0</v>
      </c>
      <c r="K2028" s="444">
        <f t="shared" ca="1" si="118"/>
        <v>-15006599.032348605</v>
      </c>
      <c r="L2028" s="444">
        <f t="shared" ca="1" si="119"/>
        <v>-3616590366.7960138</v>
      </c>
      <c r="M2028" s="460">
        <f t="shared" si="121"/>
        <v>0.05</v>
      </c>
      <c r="N2028" s="464">
        <f t="shared" si="122"/>
        <v>112770</v>
      </c>
    </row>
    <row r="2029" spans="7:14" ht="11.25" customHeight="1" x14ac:dyDescent="0.25">
      <c r="G2029" s="459"/>
      <c r="H2029" s="459">
        <v>2022</v>
      </c>
      <c r="I2029" s="444">
        <f t="shared" ca="1" si="120"/>
        <v>-3616590366.7960138</v>
      </c>
      <c r="J2029" s="444">
        <f t="array" ref="J2029">IFERROR(INDEX('Retirement Calculator'!K:K,MATCH('Lorri 401b'!N2029,'Retirement Calculator'!A:A,0),0),0)</f>
        <v>0</v>
      </c>
      <c r="K2029" s="444">
        <f t="shared" ca="1" si="118"/>
        <v>-15069126.528316723</v>
      </c>
      <c r="L2029" s="444">
        <f t="shared" ca="1" si="119"/>
        <v>-3631659493.3243303</v>
      </c>
      <c r="M2029" s="460">
        <f t="shared" si="121"/>
        <v>0.05</v>
      </c>
      <c r="N2029" s="464">
        <f t="shared" si="122"/>
        <v>112801</v>
      </c>
    </row>
    <row r="2030" spans="7:14" ht="11.25" customHeight="1" x14ac:dyDescent="0.25">
      <c r="G2030" s="459"/>
      <c r="H2030" s="459">
        <v>2023</v>
      </c>
      <c r="I2030" s="444">
        <f t="shared" ca="1" si="120"/>
        <v>-3631659493.3243303</v>
      </c>
      <c r="J2030" s="444">
        <f t="array" ref="J2030">IFERROR(INDEX('Retirement Calculator'!K:K,MATCH('Lorri 401b'!N2030,'Retirement Calculator'!A:A,0),0),0)</f>
        <v>0</v>
      </c>
      <c r="K2030" s="444">
        <f t="shared" ca="1" si="118"/>
        <v>-15131914.55551804</v>
      </c>
      <c r="L2030" s="444">
        <f t="shared" ca="1" si="119"/>
        <v>-3646791407.8798485</v>
      </c>
      <c r="M2030" s="460">
        <f t="shared" si="121"/>
        <v>0.05</v>
      </c>
      <c r="N2030" s="464">
        <f t="shared" si="122"/>
        <v>112831</v>
      </c>
    </row>
    <row r="2031" spans="7:14" ht="11.25" customHeight="1" x14ac:dyDescent="0.25">
      <c r="G2031" s="459"/>
      <c r="H2031" s="459">
        <v>2024</v>
      </c>
      <c r="I2031" s="444">
        <f t="shared" ca="1" si="120"/>
        <v>-3646791407.8798485</v>
      </c>
      <c r="J2031" s="444">
        <f t="array" ref="J2031">IFERROR(INDEX('Retirement Calculator'!K:K,MATCH('Lorri 401b'!N2031,'Retirement Calculator'!A:A,0),0),0)</f>
        <v>0</v>
      </c>
      <c r="K2031" s="444">
        <f t="shared" ca="1" si="118"/>
        <v>-15194964.199499371</v>
      </c>
      <c r="L2031" s="444">
        <f t="shared" ca="1" si="119"/>
        <v>-3661986372.0793481</v>
      </c>
      <c r="M2031" s="460">
        <f t="shared" si="121"/>
        <v>0.05</v>
      </c>
      <c r="N2031" s="464">
        <f t="shared" si="122"/>
        <v>112862</v>
      </c>
    </row>
    <row r="2032" spans="7:14" ht="11.25" customHeight="1" x14ac:dyDescent="0.25">
      <c r="G2032" s="459"/>
      <c r="H2032" s="459">
        <v>2025</v>
      </c>
      <c r="I2032" s="444">
        <f t="shared" ca="1" si="120"/>
        <v>-3661986372.0793481</v>
      </c>
      <c r="J2032" s="444">
        <f t="array" ref="J2032">IFERROR(INDEX('Retirement Calculator'!K:K,MATCH('Lorri 401b'!N2032,'Retirement Calculator'!A:A,0),0),0)</f>
        <v>0</v>
      </c>
      <c r="K2032" s="444">
        <f t="shared" ca="1" si="118"/>
        <v>-15258276.550330617</v>
      </c>
      <c r="L2032" s="444">
        <f t="shared" ca="1" si="119"/>
        <v>-3677244648.6296787</v>
      </c>
      <c r="M2032" s="460">
        <f t="shared" si="121"/>
        <v>0.05</v>
      </c>
      <c r="N2032" s="464">
        <f t="shared" si="122"/>
        <v>112893</v>
      </c>
    </row>
    <row r="2033" spans="7:14" ht="11.25" customHeight="1" x14ac:dyDescent="0.25">
      <c r="G2033" s="459"/>
      <c r="H2033" s="459">
        <v>2026</v>
      </c>
      <c r="I2033" s="444">
        <f t="shared" ca="1" si="120"/>
        <v>-3677244648.6296787</v>
      </c>
      <c r="J2033" s="444">
        <f t="array" ref="J2033">IFERROR(INDEX('Retirement Calculator'!K:K,MATCH('Lorri 401b'!N2033,'Retirement Calculator'!A:A,0),0),0)</f>
        <v>0</v>
      </c>
      <c r="K2033" s="444">
        <f t="shared" ca="1" si="118"/>
        <v>-15321852.70262366</v>
      </c>
      <c r="L2033" s="444">
        <f t="shared" ca="1" si="119"/>
        <v>-3692566501.3323026</v>
      </c>
      <c r="M2033" s="460">
        <f t="shared" si="121"/>
        <v>0.05</v>
      </c>
      <c r="N2033" s="464">
        <f t="shared" si="122"/>
        <v>112921</v>
      </c>
    </row>
    <row r="2034" spans="7:14" ht="11.25" customHeight="1" x14ac:dyDescent="0.25">
      <c r="G2034" s="459"/>
      <c r="H2034" s="459">
        <v>2027</v>
      </c>
      <c r="I2034" s="444">
        <f t="shared" ca="1" si="120"/>
        <v>-3692566501.3323026</v>
      </c>
      <c r="J2034" s="444">
        <f t="array" ref="J2034">IFERROR(INDEX('Retirement Calculator'!K:K,MATCH('Lorri 401b'!N2034,'Retirement Calculator'!A:A,0),0),0)</f>
        <v>0</v>
      </c>
      <c r="K2034" s="444">
        <f t="shared" ca="1" si="118"/>
        <v>-15385693.755551262</v>
      </c>
      <c r="L2034" s="444">
        <f t="shared" ca="1" si="119"/>
        <v>-3707952195.0878539</v>
      </c>
      <c r="M2034" s="460">
        <f t="shared" si="121"/>
        <v>0.05</v>
      </c>
      <c r="N2034" s="464">
        <f t="shared" si="122"/>
        <v>112952</v>
      </c>
    </row>
    <row r="2035" spans="7:14" ht="11.25" customHeight="1" x14ac:dyDescent="0.25">
      <c r="G2035" s="459"/>
      <c r="H2035" s="459">
        <v>2028</v>
      </c>
      <c r="I2035" s="444">
        <f t="shared" ca="1" si="120"/>
        <v>-3707952195.0878539</v>
      </c>
      <c r="J2035" s="444">
        <f t="array" ref="J2035">IFERROR(INDEX('Retirement Calculator'!K:K,MATCH('Lorri 401b'!N2035,'Retirement Calculator'!A:A,0),0),0)</f>
        <v>0</v>
      </c>
      <c r="K2035" s="444">
        <f t="shared" ca="1" si="118"/>
        <v>-15449800.812866058</v>
      </c>
      <c r="L2035" s="444">
        <f t="shared" ca="1" si="119"/>
        <v>-3723401995.9007201</v>
      </c>
      <c r="M2035" s="460">
        <f t="shared" si="121"/>
        <v>0.05</v>
      </c>
      <c r="N2035" s="464">
        <f t="shared" si="122"/>
        <v>112982</v>
      </c>
    </row>
    <row r="2036" spans="7:14" ht="11.25" customHeight="1" x14ac:dyDescent="0.25">
      <c r="G2036" s="459"/>
      <c r="H2036" s="459">
        <v>2029</v>
      </c>
      <c r="I2036" s="444">
        <f t="shared" ca="1" si="120"/>
        <v>-3723401995.9007201</v>
      </c>
      <c r="J2036" s="444">
        <f t="array" ref="J2036">IFERROR(INDEX('Retirement Calculator'!K:K,MATCH('Lorri 401b'!N2036,'Retirement Calculator'!A:A,0),0),0)</f>
        <v>0</v>
      </c>
      <c r="K2036" s="444">
        <f t="shared" ca="1" si="118"/>
        <v>-15514174.982919665</v>
      </c>
      <c r="L2036" s="444">
        <f t="shared" ca="1" si="119"/>
        <v>-3738916170.8836398</v>
      </c>
      <c r="M2036" s="460">
        <f t="shared" si="121"/>
        <v>0.05</v>
      </c>
      <c r="N2036" s="464">
        <f t="shared" si="122"/>
        <v>113013</v>
      </c>
    </row>
    <row r="2037" spans="7:14" ht="11.25" customHeight="1" x14ac:dyDescent="0.25">
      <c r="G2037" s="459"/>
      <c r="H2037" s="459">
        <v>2030</v>
      </c>
      <c r="I2037" s="444">
        <f t="shared" ca="1" si="120"/>
        <v>-3738916170.8836398</v>
      </c>
      <c r="J2037" s="444">
        <f t="array" ref="J2037">IFERROR(INDEX('Retirement Calculator'!K:K,MATCH('Lorri 401b'!N2037,'Retirement Calculator'!A:A,0),0),0)</f>
        <v>0</v>
      </c>
      <c r="K2037" s="444">
        <f t="shared" ca="1" si="118"/>
        <v>-15578817.378681833</v>
      </c>
      <c r="L2037" s="444">
        <f t="shared" ca="1" si="119"/>
        <v>-3754494988.2623215</v>
      </c>
      <c r="M2037" s="460">
        <f t="shared" si="121"/>
        <v>0.05</v>
      </c>
      <c r="N2037" s="464">
        <f t="shared" si="122"/>
        <v>113043</v>
      </c>
    </row>
    <row r="2038" spans="7:14" ht="11.25" customHeight="1" x14ac:dyDescent="0.25">
      <c r="G2038" s="459"/>
      <c r="H2038" s="459">
        <v>2031</v>
      </c>
      <c r="I2038" s="444">
        <f t="shared" ca="1" si="120"/>
        <v>-3754494988.2623215</v>
      </c>
      <c r="J2038" s="444">
        <f t="array" ref="J2038">IFERROR(INDEX('Retirement Calculator'!K:K,MATCH('Lorri 401b'!N2038,'Retirement Calculator'!A:A,0),0),0)</f>
        <v>0</v>
      </c>
      <c r="K2038" s="444">
        <f t="shared" ca="1" si="118"/>
        <v>-15643729.117759673</v>
      </c>
      <c r="L2038" s="444">
        <f t="shared" ca="1" si="119"/>
        <v>-3770138717.3800812</v>
      </c>
      <c r="M2038" s="460">
        <f t="shared" si="121"/>
        <v>0.05</v>
      </c>
      <c r="N2038" s="464">
        <f t="shared" si="122"/>
        <v>113074</v>
      </c>
    </row>
    <row r="2039" spans="7:14" ht="11.25" customHeight="1" x14ac:dyDescent="0.25">
      <c r="G2039" s="459"/>
      <c r="H2039" s="459">
        <v>2032</v>
      </c>
      <c r="I2039" s="444">
        <f t="shared" ca="1" si="120"/>
        <v>-3770138717.3800812</v>
      </c>
      <c r="J2039" s="444">
        <f t="array" ref="J2039">IFERROR(INDEX('Retirement Calculator'!K:K,MATCH('Lorri 401b'!N2039,'Retirement Calculator'!A:A,0),0),0)</f>
        <v>0</v>
      </c>
      <c r="K2039" s="444">
        <f t="shared" ca="1" si="118"/>
        <v>-15708911.322417002</v>
      </c>
      <c r="L2039" s="444">
        <f t="shared" ca="1" si="119"/>
        <v>-3785847628.702498</v>
      </c>
      <c r="M2039" s="460">
        <f t="shared" si="121"/>
        <v>0.05</v>
      </c>
      <c r="N2039" s="464">
        <f t="shared" si="122"/>
        <v>113105</v>
      </c>
    </row>
    <row r="2040" spans="7:14" ht="11.25" customHeight="1" x14ac:dyDescent="0.25">
      <c r="G2040" s="459"/>
      <c r="H2040" s="459">
        <v>2033</v>
      </c>
      <c r="I2040" s="444">
        <f t="shared" ca="1" si="120"/>
        <v>-3785847628.702498</v>
      </c>
      <c r="J2040" s="444">
        <f t="array" ref="J2040">IFERROR(INDEX('Retirement Calculator'!K:K,MATCH('Lorri 401b'!N2040,'Retirement Calculator'!A:A,0),0),0)</f>
        <v>0</v>
      </c>
      <c r="K2040" s="444">
        <f t="shared" ca="1" si="118"/>
        <v>-15774365.11959374</v>
      </c>
      <c r="L2040" s="444">
        <f t="shared" ca="1" si="119"/>
        <v>-3801621993.8220916</v>
      </c>
      <c r="M2040" s="460">
        <f t="shared" si="121"/>
        <v>0.05</v>
      </c>
      <c r="N2040" s="464">
        <f t="shared" si="122"/>
        <v>113135</v>
      </c>
    </row>
    <row r="2041" spans="7:14" ht="11.25" customHeight="1" x14ac:dyDescent="0.25">
      <c r="G2041" s="459"/>
      <c r="H2041" s="459">
        <v>2034</v>
      </c>
      <c r="I2041" s="444">
        <f t="shared" ca="1" si="120"/>
        <v>-3801621993.8220916</v>
      </c>
      <c r="J2041" s="444">
        <f t="array" ref="J2041">IFERROR(INDEX('Retirement Calculator'!K:K,MATCH('Lorri 401b'!N2041,'Retirement Calculator'!A:A,0),0),0)</f>
        <v>0</v>
      </c>
      <c r="K2041" s="444">
        <f t="shared" ca="1" si="118"/>
        <v>-15840091.640925383</v>
      </c>
      <c r="L2041" s="444">
        <f t="shared" ca="1" si="119"/>
        <v>-3817462085.463017</v>
      </c>
      <c r="M2041" s="460">
        <f t="shared" si="121"/>
        <v>0.05</v>
      </c>
      <c r="N2041" s="464">
        <f t="shared" si="122"/>
        <v>113166</v>
      </c>
    </row>
    <row r="2042" spans="7:14" ht="11.25" customHeight="1" x14ac:dyDescent="0.25">
      <c r="G2042" s="459"/>
      <c r="H2042" s="459">
        <v>2035</v>
      </c>
      <c r="I2042" s="444">
        <f t="shared" ca="1" si="120"/>
        <v>-3817462085.463017</v>
      </c>
      <c r="J2042" s="444">
        <f t="array" ref="J2042">IFERROR(INDEX('Retirement Calculator'!K:K,MATCH('Lorri 401b'!N2042,'Retirement Calculator'!A:A,0),0),0)</f>
        <v>0</v>
      </c>
      <c r="K2042" s="444">
        <f t="shared" ca="1" si="118"/>
        <v>-15906092.022762571</v>
      </c>
      <c r="L2042" s="444">
        <f t="shared" ca="1" si="119"/>
        <v>-3833368177.4857798</v>
      </c>
      <c r="M2042" s="460">
        <f t="shared" si="121"/>
        <v>0.05</v>
      </c>
      <c r="N2042" s="464">
        <f t="shared" si="122"/>
        <v>113196</v>
      </c>
    </row>
    <row r="2043" spans="7:14" ht="11.25" customHeight="1" x14ac:dyDescent="0.25">
      <c r="G2043" s="459"/>
      <c r="H2043" s="459">
        <v>2036</v>
      </c>
      <c r="I2043" s="444">
        <f t="shared" ca="1" si="120"/>
        <v>-3833368177.4857798</v>
      </c>
      <c r="J2043" s="444">
        <f t="array" ref="J2043">IFERROR(INDEX('Retirement Calculator'!K:K,MATCH('Lorri 401b'!N2043,'Retirement Calculator'!A:A,0),0),0)</f>
        <v>0</v>
      </c>
      <c r="K2043" s="444">
        <f t="shared" ca="1" si="118"/>
        <v>-15972367.406190749</v>
      </c>
      <c r="L2043" s="444">
        <f t="shared" ca="1" si="119"/>
        <v>-3849340544.8919706</v>
      </c>
      <c r="M2043" s="460">
        <f t="shared" si="121"/>
        <v>0.05</v>
      </c>
      <c r="N2043" s="464">
        <f t="shared" si="122"/>
        <v>113227</v>
      </c>
    </row>
    <row r="2044" spans="7:14" ht="11.25" customHeight="1" x14ac:dyDescent="0.25">
      <c r="G2044" s="459"/>
      <c r="H2044" s="459">
        <v>2037</v>
      </c>
      <c r="I2044" s="444">
        <f t="shared" ca="1" si="120"/>
        <v>-3849340544.8919706</v>
      </c>
      <c r="J2044" s="444">
        <f t="array" ref="J2044">IFERROR(INDEX('Retirement Calculator'!K:K,MATCH('Lorri 401b'!N2044,'Retirement Calculator'!A:A,0),0),0)</f>
        <v>0</v>
      </c>
      <c r="K2044" s="444">
        <f t="shared" ca="1" si="118"/>
        <v>-16038918.937049877</v>
      </c>
      <c r="L2044" s="444">
        <f t="shared" ca="1" si="119"/>
        <v>-3865379463.8290205</v>
      </c>
      <c r="M2044" s="460">
        <f t="shared" si="121"/>
        <v>0.05</v>
      </c>
      <c r="N2044" s="464">
        <f t="shared" si="122"/>
        <v>113258</v>
      </c>
    </row>
    <row r="2045" spans="7:14" ht="11.25" customHeight="1" x14ac:dyDescent="0.25">
      <c r="G2045" s="459"/>
      <c r="H2045" s="459">
        <v>2038</v>
      </c>
      <c r="I2045" s="444">
        <f t="shared" ca="1" si="120"/>
        <v>-3865379463.8290205</v>
      </c>
      <c r="J2045" s="444">
        <f t="array" ref="J2045">IFERROR(INDEX('Retirement Calculator'!K:K,MATCH('Lorri 401b'!N2045,'Retirement Calculator'!A:A,0),0),0)</f>
        <v>0</v>
      </c>
      <c r="K2045" s="444">
        <f t="shared" ca="1" si="118"/>
        <v>-16105747.765954254</v>
      </c>
      <c r="L2045" s="444">
        <f t="shared" ca="1" si="119"/>
        <v>-3881485211.5949745</v>
      </c>
      <c r="M2045" s="460">
        <f t="shared" si="121"/>
        <v>0.05</v>
      </c>
      <c r="N2045" s="464">
        <f t="shared" si="122"/>
        <v>113286</v>
      </c>
    </row>
    <row r="2046" spans="7:14" ht="11.25" customHeight="1" x14ac:dyDescent="0.25">
      <c r="G2046" s="459"/>
      <c r="H2046" s="459">
        <v>2039</v>
      </c>
      <c r="I2046" s="444">
        <f t="shared" ca="1" si="120"/>
        <v>-3881485211.5949745</v>
      </c>
      <c r="J2046" s="444">
        <f t="array" ref="J2046">IFERROR(INDEX('Retirement Calculator'!K:K,MATCH('Lorri 401b'!N2046,'Retirement Calculator'!A:A,0),0),0)</f>
        <v>0</v>
      </c>
      <c r="K2046" s="444">
        <f t="shared" ca="1" si="118"/>
        <v>-16172855.048312396</v>
      </c>
      <c r="L2046" s="444">
        <f t="shared" ca="1" si="119"/>
        <v>-3897658066.6432867</v>
      </c>
      <c r="M2046" s="460">
        <f t="shared" si="121"/>
        <v>0.05</v>
      </c>
      <c r="N2046" s="464">
        <f t="shared" si="122"/>
        <v>113317</v>
      </c>
    </row>
    <row r="2047" spans="7:14" ht="11.25" customHeight="1" x14ac:dyDescent="0.25">
      <c r="G2047" s="459"/>
      <c r="H2047" s="459">
        <v>2040</v>
      </c>
      <c r="I2047" s="444">
        <f t="shared" ca="1" si="120"/>
        <v>-3897658066.6432867</v>
      </c>
      <c r="J2047" s="444">
        <f t="array" ref="J2047">IFERROR(INDEX('Retirement Calculator'!K:K,MATCH('Lorri 401b'!N2047,'Retirement Calculator'!A:A,0),0),0)</f>
        <v>0</v>
      </c>
      <c r="K2047" s="444">
        <f t="shared" ca="1" si="118"/>
        <v>-16240241.944347028</v>
      </c>
      <c r="L2047" s="444">
        <f t="shared" ca="1" si="119"/>
        <v>-3913898308.5876336</v>
      </c>
      <c r="M2047" s="460">
        <f t="shared" si="121"/>
        <v>0.05</v>
      </c>
      <c r="N2047" s="464">
        <f t="shared" si="122"/>
        <v>113347</v>
      </c>
    </row>
    <row r="2048" spans="7:14" ht="11.25" customHeight="1" x14ac:dyDescent="0.25">
      <c r="G2048" s="459"/>
      <c r="H2048" s="459">
        <v>2041</v>
      </c>
      <c r="I2048" s="444">
        <f t="shared" ca="1" si="120"/>
        <v>-3913898308.5876336</v>
      </c>
      <c r="J2048" s="444">
        <f t="array" ref="J2048">IFERROR(INDEX('Retirement Calculator'!K:K,MATCH('Lorri 401b'!N2048,'Retirement Calculator'!A:A,0),0),0)</f>
        <v>0</v>
      </c>
      <c r="K2048" s="444">
        <f t="shared" ref="K2048:K2302" ca="1" si="123">IPMT(M2048/12,1,12,-I2048+J2048,,0)</f>
        <v>-16307909.619115142</v>
      </c>
      <c r="L2048" s="444">
        <f t="shared" ref="L2048:L2302" ca="1" si="124">I2048-J2048+K2048</f>
        <v>-3930206218.206749</v>
      </c>
      <c r="M2048" s="460">
        <f t="shared" si="121"/>
        <v>0.05</v>
      </c>
      <c r="N2048" s="464">
        <f t="shared" si="122"/>
        <v>113378</v>
      </c>
    </row>
    <row r="2049" spans="7:14" ht="11.25" customHeight="1" x14ac:dyDescent="0.25">
      <c r="G2049" s="459"/>
      <c r="H2049" s="459">
        <v>2042</v>
      </c>
      <c r="I2049" s="444">
        <f t="shared" ref="I2049:I2303" ca="1" si="125">L2048</f>
        <v>-3930206218.206749</v>
      </c>
      <c r="J2049" s="444">
        <f t="array" ref="J2049">IFERROR(INDEX('Retirement Calculator'!K:K,MATCH('Lorri 401b'!N2049,'Retirement Calculator'!A:A,0),0),0)</f>
        <v>0</v>
      </c>
      <c r="K2049" s="444">
        <f t="shared" ca="1" si="123"/>
        <v>-16375859.24252812</v>
      </c>
      <c r="L2049" s="444">
        <f t="shared" ca="1" si="124"/>
        <v>-3946582077.4492769</v>
      </c>
      <c r="M2049" s="460">
        <f t="shared" ref="M2049:M2303" si="126">M2048</f>
        <v>0.05</v>
      </c>
      <c r="N2049" s="464">
        <f t="shared" ref="N2049:N2303" si="127">EDATE(N2048,1)</f>
        <v>113408</v>
      </c>
    </row>
    <row r="2050" spans="7:14" ht="11.25" customHeight="1" x14ac:dyDescent="0.25">
      <c r="G2050" s="459"/>
      <c r="H2050" s="459">
        <v>2043</v>
      </c>
      <c r="I2050" s="444">
        <f t="shared" ca="1" si="125"/>
        <v>-3946582077.4492769</v>
      </c>
      <c r="J2050" s="444">
        <f t="array" ref="J2050">IFERROR(INDEX('Retirement Calculator'!K:K,MATCH('Lorri 401b'!N2050,'Retirement Calculator'!A:A,0),0),0)</f>
        <v>0</v>
      </c>
      <c r="K2050" s="444">
        <f t="shared" ca="1" si="123"/>
        <v>-16444091.989371987</v>
      </c>
      <c r="L2050" s="444">
        <f t="shared" ca="1" si="124"/>
        <v>-3963026169.4386487</v>
      </c>
      <c r="M2050" s="460">
        <f t="shared" si="126"/>
        <v>0.05</v>
      </c>
      <c r="N2050" s="464">
        <f t="shared" si="127"/>
        <v>113439</v>
      </c>
    </row>
    <row r="2051" spans="7:14" ht="11.25" customHeight="1" x14ac:dyDescent="0.25">
      <c r="G2051" s="459"/>
      <c r="H2051" s="459">
        <v>2044</v>
      </c>
      <c r="I2051" s="444">
        <f t="shared" ca="1" si="125"/>
        <v>-3963026169.4386487</v>
      </c>
      <c r="J2051" s="444">
        <f t="array" ref="J2051">IFERROR(INDEX('Retirement Calculator'!K:K,MATCH('Lorri 401b'!N2051,'Retirement Calculator'!A:A,0),0),0)</f>
        <v>0</v>
      </c>
      <c r="K2051" s="444">
        <f t="shared" ca="1" si="123"/>
        <v>-16512609.039327703</v>
      </c>
      <c r="L2051" s="444">
        <f t="shared" ca="1" si="124"/>
        <v>-3979538778.4779763</v>
      </c>
      <c r="M2051" s="460">
        <f t="shared" si="126"/>
        <v>0.05</v>
      </c>
      <c r="N2051" s="464">
        <f t="shared" si="127"/>
        <v>113470</v>
      </c>
    </row>
    <row r="2052" spans="7:14" ht="11.25" customHeight="1" x14ac:dyDescent="0.25">
      <c r="G2052" s="459"/>
      <c r="H2052" s="459">
        <v>2045</v>
      </c>
      <c r="I2052" s="444">
        <f t="shared" ca="1" si="125"/>
        <v>-3979538778.4779763</v>
      </c>
      <c r="J2052" s="444">
        <f t="array" ref="J2052">IFERROR(INDEX('Retirement Calculator'!K:K,MATCH('Lorri 401b'!N2052,'Retirement Calculator'!A:A,0),0),0)</f>
        <v>0</v>
      </c>
      <c r="K2052" s="444">
        <f t="shared" ca="1" si="123"/>
        <v>-16581411.576991566</v>
      </c>
      <c r="L2052" s="444">
        <f t="shared" ca="1" si="124"/>
        <v>-3996120190.0549679</v>
      </c>
      <c r="M2052" s="460">
        <f t="shared" si="126"/>
        <v>0.05</v>
      </c>
      <c r="N2052" s="464">
        <f t="shared" si="127"/>
        <v>113500</v>
      </c>
    </row>
    <row r="2053" spans="7:14" ht="11.25" customHeight="1" x14ac:dyDescent="0.25">
      <c r="G2053" s="459"/>
      <c r="H2053" s="459">
        <v>2046</v>
      </c>
      <c r="I2053" s="444">
        <f t="shared" ca="1" si="125"/>
        <v>-3996120190.0549679</v>
      </c>
      <c r="J2053" s="444">
        <f t="array" ref="J2053">IFERROR(INDEX('Retirement Calculator'!K:K,MATCH('Lorri 401b'!N2053,'Retirement Calculator'!A:A,0),0),0)</f>
        <v>0</v>
      </c>
      <c r="K2053" s="444">
        <f t="shared" ca="1" si="123"/>
        <v>-16650500.791895697</v>
      </c>
      <c r="L2053" s="444">
        <f t="shared" ca="1" si="124"/>
        <v>-4012770690.8468637</v>
      </c>
      <c r="M2053" s="460">
        <f t="shared" si="126"/>
        <v>0.05</v>
      </c>
      <c r="N2053" s="464">
        <f t="shared" si="127"/>
        <v>113531</v>
      </c>
    </row>
    <row r="2054" spans="7:14" ht="11.25" customHeight="1" x14ac:dyDescent="0.25">
      <c r="G2054" s="459"/>
      <c r="H2054" s="459">
        <v>2047</v>
      </c>
      <c r="I2054" s="444">
        <f t="shared" ca="1" si="125"/>
        <v>-4012770690.8468637</v>
      </c>
      <c r="J2054" s="444">
        <f t="array" ref="J2054">IFERROR(INDEX('Retirement Calculator'!K:K,MATCH('Lorri 401b'!N2054,'Retirement Calculator'!A:A,0),0),0)</f>
        <v>0</v>
      </c>
      <c r="K2054" s="444">
        <f t="shared" ca="1" si="123"/>
        <v>-16719877.878528599</v>
      </c>
      <c r="L2054" s="444">
        <f t="shared" ca="1" si="124"/>
        <v>-4029490568.7253923</v>
      </c>
      <c r="M2054" s="460">
        <f t="shared" si="126"/>
        <v>0.05</v>
      </c>
      <c r="N2054" s="464">
        <f t="shared" si="127"/>
        <v>113561</v>
      </c>
    </row>
    <row r="2055" spans="7:14" ht="11.25" customHeight="1" x14ac:dyDescent="0.25">
      <c r="G2055" s="459"/>
      <c r="H2055" s="459">
        <v>2048</v>
      </c>
      <c r="I2055" s="444">
        <f t="shared" ca="1" si="125"/>
        <v>-4029490568.7253923</v>
      </c>
      <c r="J2055" s="444">
        <f t="array" ref="J2055">IFERROR(INDEX('Retirement Calculator'!K:K,MATCH('Lorri 401b'!N2055,'Retirement Calculator'!A:A,0),0),0)</f>
        <v>0</v>
      </c>
      <c r="K2055" s="444">
        <f t="shared" ca="1" si="123"/>
        <v>-16789544.036355801</v>
      </c>
      <c r="L2055" s="444">
        <f t="shared" ca="1" si="124"/>
        <v>-4046280112.7617483</v>
      </c>
      <c r="M2055" s="460">
        <f t="shared" si="126"/>
        <v>0.05</v>
      </c>
      <c r="N2055" s="464">
        <f t="shared" si="127"/>
        <v>113592</v>
      </c>
    </row>
    <row r="2056" spans="7:14" ht="11.25" customHeight="1" x14ac:dyDescent="0.25">
      <c r="G2056" s="459"/>
      <c r="H2056" s="459">
        <v>2049</v>
      </c>
      <c r="I2056" s="444">
        <f t="shared" ca="1" si="125"/>
        <v>-4046280112.7617483</v>
      </c>
      <c r="J2056" s="444">
        <f t="array" ref="J2056">IFERROR(INDEX('Retirement Calculator'!K:K,MATCH('Lorri 401b'!N2056,'Retirement Calculator'!A:A,0),0),0)</f>
        <v>0</v>
      </c>
      <c r="K2056" s="444">
        <f t="shared" ca="1" si="123"/>
        <v>-16859500.469840616</v>
      </c>
      <c r="L2056" s="444">
        <f t="shared" ca="1" si="124"/>
        <v>-4063139613.2315888</v>
      </c>
      <c r="M2056" s="460">
        <f t="shared" si="126"/>
        <v>0.05</v>
      </c>
      <c r="N2056" s="464">
        <f t="shared" si="127"/>
        <v>113623</v>
      </c>
    </row>
    <row r="2057" spans="7:14" ht="11.25" customHeight="1" x14ac:dyDescent="0.25">
      <c r="G2057" s="459"/>
      <c r="H2057" s="459">
        <v>2050</v>
      </c>
      <c r="I2057" s="444">
        <f t="shared" ca="1" si="125"/>
        <v>-4063139613.2315888</v>
      </c>
      <c r="J2057" s="444">
        <f t="array" ref="J2057">IFERROR(INDEX('Retirement Calculator'!K:K,MATCH('Lorri 401b'!N2057,'Retirement Calculator'!A:A,0),0),0)</f>
        <v>0</v>
      </c>
      <c r="K2057" s="444">
        <f t="shared" ca="1" si="123"/>
        <v>-16929748.388464954</v>
      </c>
      <c r="L2057" s="444">
        <f t="shared" ca="1" si="124"/>
        <v>-4080069361.6200538</v>
      </c>
      <c r="M2057" s="460">
        <f t="shared" si="126"/>
        <v>0.05</v>
      </c>
      <c r="N2057" s="464">
        <f t="shared" si="127"/>
        <v>113651</v>
      </c>
    </row>
    <row r="2058" spans="7:14" ht="11.25" customHeight="1" x14ac:dyDescent="0.25">
      <c r="G2058" s="459"/>
      <c r="H2058" s="459">
        <v>2051</v>
      </c>
      <c r="I2058" s="444">
        <f t="shared" ca="1" si="125"/>
        <v>-4080069361.6200538</v>
      </c>
      <c r="J2058" s="444">
        <f t="array" ref="J2058">IFERROR(INDEX('Retirement Calculator'!K:K,MATCH('Lorri 401b'!N2058,'Retirement Calculator'!A:A,0),0),0)</f>
        <v>0</v>
      </c>
      <c r="K2058" s="444">
        <f t="shared" ca="1" si="123"/>
        <v>-17000289.006750222</v>
      </c>
      <c r="L2058" s="444">
        <f t="shared" ca="1" si="124"/>
        <v>-4097069650.6268039</v>
      </c>
      <c r="M2058" s="460">
        <f t="shared" si="126"/>
        <v>0.05</v>
      </c>
      <c r="N2058" s="464">
        <f t="shared" si="127"/>
        <v>113682</v>
      </c>
    </row>
    <row r="2059" spans="7:14" ht="11.25" customHeight="1" x14ac:dyDescent="0.25">
      <c r="G2059" s="459"/>
      <c r="H2059" s="459">
        <v>2052</v>
      </c>
      <c r="I2059" s="444">
        <f t="shared" ca="1" si="125"/>
        <v>-4097069650.6268039</v>
      </c>
      <c r="J2059" s="444">
        <f t="array" ref="J2059">IFERROR(INDEX('Retirement Calculator'!K:K,MATCH('Lorri 401b'!N2059,'Retirement Calculator'!A:A,0),0),0)</f>
        <v>0</v>
      </c>
      <c r="K2059" s="444">
        <f t="shared" ca="1" si="123"/>
        <v>-17071123.54427835</v>
      </c>
      <c r="L2059" s="444">
        <f t="shared" ca="1" si="124"/>
        <v>-4114140774.171082</v>
      </c>
      <c r="M2059" s="460">
        <f t="shared" si="126"/>
        <v>0.05</v>
      </c>
      <c r="N2059" s="464">
        <f t="shared" si="127"/>
        <v>113712</v>
      </c>
    </row>
    <row r="2060" spans="7:14" ht="11.25" customHeight="1" x14ac:dyDescent="0.25">
      <c r="G2060" s="459"/>
      <c r="H2060" s="459">
        <v>2053</v>
      </c>
      <c r="I2060" s="444">
        <f t="shared" ca="1" si="125"/>
        <v>-4114140774.171082</v>
      </c>
      <c r="J2060" s="444">
        <f t="array" ref="J2060">IFERROR(INDEX('Retirement Calculator'!K:K,MATCH('Lorri 401b'!N2060,'Retirement Calculator'!A:A,0),0),0)</f>
        <v>0</v>
      </c>
      <c r="K2060" s="444">
        <f t="shared" ca="1" si="123"/>
        <v>-17142253.225712843</v>
      </c>
      <c r="L2060" s="444">
        <f t="shared" ca="1" si="124"/>
        <v>-4131283027.3967948</v>
      </c>
      <c r="M2060" s="460">
        <f t="shared" si="126"/>
        <v>0.05</v>
      </c>
      <c r="N2060" s="464">
        <f t="shared" si="127"/>
        <v>113743</v>
      </c>
    </row>
    <row r="2061" spans="7:14" ht="11.25" customHeight="1" x14ac:dyDescent="0.25">
      <c r="G2061" s="459"/>
      <c r="H2061" s="459">
        <v>2054</v>
      </c>
      <c r="I2061" s="444">
        <f t="shared" ca="1" si="125"/>
        <v>-4131283027.3967948</v>
      </c>
      <c r="J2061" s="444">
        <f t="array" ref="J2061">IFERROR(INDEX('Retirement Calculator'!K:K,MATCH('Lorri 401b'!N2061,'Retirement Calculator'!A:A,0),0),0)</f>
        <v>0</v>
      </c>
      <c r="K2061" s="444">
        <f t="shared" ca="1" si="123"/>
        <v>-17213679.280819979</v>
      </c>
      <c r="L2061" s="444">
        <f t="shared" ca="1" si="124"/>
        <v>-4148496706.6776147</v>
      </c>
      <c r="M2061" s="460">
        <f t="shared" si="126"/>
        <v>0.05</v>
      </c>
      <c r="N2061" s="464">
        <f t="shared" si="127"/>
        <v>113773</v>
      </c>
    </row>
    <row r="2062" spans="7:14" ht="11.25" customHeight="1" x14ac:dyDescent="0.25">
      <c r="G2062" s="459"/>
      <c r="H2062" s="459">
        <v>2055</v>
      </c>
      <c r="I2062" s="444">
        <f t="shared" ca="1" si="125"/>
        <v>-4148496706.6776147</v>
      </c>
      <c r="J2062" s="444">
        <f t="array" ref="J2062">IFERROR(INDEX('Retirement Calculator'!K:K,MATCH('Lorri 401b'!N2062,'Retirement Calculator'!A:A,0),0),0)</f>
        <v>0</v>
      </c>
      <c r="K2062" s="444">
        <f t="shared" ca="1" si="123"/>
        <v>-17285402.944490064</v>
      </c>
      <c r="L2062" s="444">
        <f t="shared" ca="1" si="124"/>
        <v>-4165782109.6221046</v>
      </c>
      <c r="M2062" s="460">
        <f t="shared" si="126"/>
        <v>0.05</v>
      </c>
      <c r="N2062" s="464">
        <f t="shared" si="127"/>
        <v>113804</v>
      </c>
    </row>
    <row r="2063" spans="7:14" ht="11.25" customHeight="1" x14ac:dyDescent="0.25">
      <c r="G2063" s="459"/>
      <c r="H2063" s="459">
        <v>2056</v>
      </c>
      <c r="I2063" s="444">
        <f t="shared" ca="1" si="125"/>
        <v>-4165782109.6221046</v>
      </c>
      <c r="J2063" s="444">
        <f t="array" ref="J2063">IFERROR(INDEX('Retirement Calculator'!K:K,MATCH('Lorri 401b'!N2063,'Retirement Calculator'!A:A,0),0),0)</f>
        <v>0</v>
      </c>
      <c r="K2063" s="444">
        <f t="shared" ca="1" si="123"/>
        <v>-17357425.456758767</v>
      </c>
      <c r="L2063" s="444">
        <f t="shared" ca="1" si="124"/>
        <v>-4183139535.0788636</v>
      </c>
      <c r="M2063" s="460">
        <f t="shared" si="126"/>
        <v>0.05</v>
      </c>
      <c r="N2063" s="464">
        <f t="shared" si="127"/>
        <v>113835</v>
      </c>
    </row>
    <row r="2064" spans="7:14" ht="11.25" customHeight="1" x14ac:dyDescent="0.25">
      <c r="G2064" s="459"/>
      <c r="H2064" s="459">
        <v>2057</v>
      </c>
      <c r="I2064" s="444">
        <f t="shared" ca="1" si="125"/>
        <v>-4183139535.0788636</v>
      </c>
      <c r="J2064" s="444">
        <f t="array" ref="J2064">IFERROR(INDEX('Retirement Calculator'!K:K,MATCH('Lorri 401b'!N2064,'Retirement Calculator'!A:A,0),0),0)</f>
        <v>0</v>
      </c>
      <c r="K2064" s="444">
        <f t="shared" ca="1" si="123"/>
        <v>-17429748.0628286</v>
      </c>
      <c r="L2064" s="444">
        <f t="shared" ca="1" si="124"/>
        <v>-4200569283.1416922</v>
      </c>
      <c r="M2064" s="460">
        <f t="shared" si="126"/>
        <v>0.05</v>
      </c>
      <c r="N2064" s="464">
        <f t="shared" si="127"/>
        <v>113865</v>
      </c>
    </row>
    <row r="2065" spans="7:14" ht="11.25" customHeight="1" x14ac:dyDescent="0.25">
      <c r="G2065" s="459"/>
      <c r="H2065" s="459">
        <v>2058</v>
      </c>
      <c r="I2065" s="444">
        <f t="shared" ca="1" si="125"/>
        <v>-4200569283.1416922</v>
      </c>
      <c r="J2065" s="444">
        <f t="array" ref="J2065">IFERROR(INDEX('Retirement Calculator'!K:K,MATCH('Lorri 401b'!N2065,'Retirement Calculator'!A:A,0),0),0)</f>
        <v>0</v>
      </c>
      <c r="K2065" s="444">
        <f t="shared" ca="1" si="123"/>
        <v>-17502372.013090383</v>
      </c>
      <c r="L2065" s="444">
        <f t="shared" ca="1" si="124"/>
        <v>-4218071655.1547828</v>
      </c>
      <c r="M2065" s="460">
        <f t="shared" si="126"/>
        <v>0.05</v>
      </c>
      <c r="N2065" s="464">
        <f t="shared" si="127"/>
        <v>113896</v>
      </c>
    </row>
    <row r="2066" spans="7:14" ht="11.25" customHeight="1" x14ac:dyDescent="0.25">
      <c r="G2066" s="459"/>
      <c r="H2066" s="459">
        <v>2059</v>
      </c>
      <c r="I2066" s="444">
        <f t="shared" ca="1" si="125"/>
        <v>-4218071655.1547828</v>
      </c>
      <c r="J2066" s="444">
        <f t="array" ref="J2066">IFERROR(INDEX('Retirement Calculator'!K:K,MATCH('Lorri 401b'!N2066,'Retirement Calculator'!A:A,0),0),0)</f>
        <v>0</v>
      </c>
      <c r="K2066" s="444">
        <f t="shared" ca="1" si="123"/>
        <v>-17575298.56314493</v>
      </c>
      <c r="L2066" s="444">
        <f t="shared" ca="1" si="124"/>
        <v>-4235646953.7179279</v>
      </c>
      <c r="M2066" s="460">
        <f t="shared" si="126"/>
        <v>0.05</v>
      </c>
      <c r="N2066" s="464">
        <f t="shared" si="127"/>
        <v>113926</v>
      </c>
    </row>
    <row r="2067" spans="7:14" ht="11.25" customHeight="1" x14ac:dyDescent="0.25">
      <c r="G2067" s="459"/>
      <c r="H2067" s="459">
        <v>2060</v>
      </c>
      <c r="I2067" s="444">
        <f t="shared" ca="1" si="125"/>
        <v>-4235646953.7179279</v>
      </c>
      <c r="J2067" s="444">
        <f t="array" ref="J2067">IFERROR(INDEX('Retirement Calculator'!K:K,MATCH('Lorri 401b'!N2067,'Retirement Calculator'!A:A,0),0),0)</f>
        <v>0</v>
      </c>
      <c r="K2067" s="444">
        <f t="shared" ca="1" si="123"/>
        <v>-17648528.973824698</v>
      </c>
      <c r="L2067" s="444">
        <f t="shared" ca="1" si="124"/>
        <v>-4253295482.6917524</v>
      </c>
      <c r="M2067" s="460">
        <f t="shared" si="126"/>
        <v>0.05</v>
      </c>
      <c r="N2067" s="464">
        <f t="shared" si="127"/>
        <v>113957</v>
      </c>
    </row>
    <row r="2068" spans="7:14" ht="11.25" customHeight="1" x14ac:dyDescent="0.25">
      <c r="G2068" s="459"/>
      <c r="H2068" s="459">
        <v>2061</v>
      </c>
      <c r="I2068" s="444">
        <f t="shared" ca="1" si="125"/>
        <v>-4253295482.6917524</v>
      </c>
      <c r="J2068" s="444">
        <f t="array" ref="J2068">IFERROR(INDEX('Retirement Calculator'!K:K,MATCH('Lorri 401b'!N2068,'Retirement Calculator'!A:A,0),0),0)</f>
        <v>0</v>
      </c>
      <c r="K2068" s="444">
        <f t="shared" ca="1" si="123"/>
        <v>-17722064.511215638</v>
      </c>
      <c r="L2068" s="444">
        <f t="shared" ca="1" si="124"/>
        <v>-4271017547.2029681</v>
      </c>
      <c r="M2068" s="460">
        <f t="shared" si="126"/>
        <v>0.05</v>
      </c>
      <c r="N2068" s="464">
        <f t="shared" si="127"/>
        <v>113988</v>
      </c>
    </row>
    <row r="2069" spans="7:14" ht="11.25" customHeight="1" x14ac:dyDescent="0.25">
      <c r="G2069" s="459"/>
      <c r="H2069" s="459">
        <v>2062</v>
      </c>
      <c r="I2069" s="444">
        <f t="shared" ca="1" si="125"/>
        <v>-4271017547.2029681</v>
      </c>
      <c r="J2069" s="444">
        <f t="array" ref="J2069">IFERROR(INDEX('Retirement Calculator'!K:K,MATCH('Lorri 401b'!N2069,'Retirement Calculator'!A:A,0),0),0)</f>
        <v>0</v>
      </c>
      <c r="K2069" s="444">
        <f t="shared" ca="1" si="123"/>
        <v>-17795906.446679033</v>
      </c>
      <c r="L2069" s="444">
        <f t="shared" ca="1" si="124"/>
        <v>-4288813453.6496472</v>
      </c>
      <c r="M2069" s="460">
        <f t="shared" si="126"/>
        <v>0.05</v>
      </c>
      <c r="N2069" s="464">
        <f t="shared" si="127"/>
        <v>114017</v>
      </c>
    </row>
    <row r="2070" spans="7:14" ht="11.25" customHeight="1" x14ac:dyDescent="0.25">
      <c r="G2070" s="459"/>
      <c r="H2070" s="459">
        <v>2063</v>
      </c>
      <c r="I2070" s="444">
        <f t="shared" ca="1" si="125"/>
        <v>-4288813453.6496472</v>
      </c>
      <c r="J2070" s="444">
        <f t="array" ref="J2070">IFERROR(INDEX('Retirement Calculator'!K:K,MATCH('Lorri 401b'!N2070,'Retirement Calculator'!A:A,0),0),0)</f>
        <v>0</v>
      </c>
      <c r="K2070" s="444">
        <f t="shared" ca="1" si="123"/>
        <v>-17870056.056873526</v>
      </c>
      <c r="L2070" s="444">
        <f t="shared" ca="1" si="124"/>
        <v>-4306683509.706521</v>
      </c>
      <c r="M2070" s="460">
        <f t="shared" si="126"/>
        <v>0.05</v>
      </c>
      <c r="N2070" s="464">
        <f t="shared" si="127"/>
        <v>114048</v>
      </c>
    </row>
    <row r="2071" spans="7:14" ht="11.25" customHeight="1" x14ac:dyDescent="0.25">
      <c r="G2071" s="459"/>
      <c r="H2071" s="459">
        <v>2064</v>
      </c>
      <c r="I2071" s="444">
        <f t="shared" ca="1" si="125"/>
        <v>-4306683509.706521</v>
      </c>
      <c r="J2071" s="444">
        <f t="array" ref="J2071">IFERROR(INDEX('Retirement Calculator'!K:K,MATCH('Lorri 401b'!N2071,'Retirement Calculator'!A:A,0),0),0)</f>
        <v>0</v>
      </c>
      <c r="K2071" s="444">
        <f t="shared" ca="1" si="123"/>
        <v>-17944514.62377717</v>
      </c>
      <c r="L2071" s="444">
        <f t="shared" ca="1" si="124"/>
        <v>-4324628024.3302984</v>
      </c>
      <c r="M2071" s="460">
        <f t="shared" si="126"/>
        <v>0.05</v>
      </c>
      <c r="N2071" s="464">
        <f t="shared" si="127"/>
        <v>114078</v>
      </c>
    </row>
    <row r="2072" spans="7:14" ht="11.25" customHeight="1" x14ac:dyDescent="0.25">
      <c r="G2072" s="459"/>
      <c r="H2072" s="459">
        <v>2065</v>
      </c>
      <c r="I2072" s="444">
        <f t="shared" ca="1" si="125"/>
        <v>-4324628024.3302984</v>
      </c>
      <c r="J2072" s="444">
        <f t="array" ref="J2072">IFERROR(INDEX('Retirement Calculator'!K:K,MATCH('Lorri 401b'!N2072,'Retirement Calculator'!A:A,0),0),0)</f>
        <v>0</v>
      </c>
      <c r="K2072" s="444">
        <f t="shared" ca="1" si="123"/>
        <v>-18019283.434709575</v>
      </c>
      <c r="L2072" s="444">
        <f t="shared" ca="1" si="124"/>
        <v>-4342647307.765008</v>
      </c>
      <c r="M2072" s="460">
        <f t="shared" si="126"/>
        <v>0.05</v>
      </c>
      <c r="N2072" s="464">
        <f t="shared" si="127"/>
        <v>114109</v>
      </c>
    </row>
    <row r="2073" spans="7:14" ht="11.25" customHeight="1" x14ac:dyDescent="0.25">
      <c r="G2073" s="459"/>
      <c r="H2073" s="459">
        <v>2066</v>
      </c>
      <c r="I2073" s="444">
        <f t="shared" ca="1" si="125"/>
        <v>-4342647307.765008</v>
      </c>
      <c r="J2073" s="444">
        <f t="array" ref="J2073">IFERROR(INDEX('Retirement Calculator'!K:K,MATCH('Lorri 401b'!N2073,'Retirement Calculator'!A:A,0),0),0)</f>
        <v>0</v>
      </c>
      <c r="K2073" s="444">
        <f t="shared" ca="1" si="123"/>
        <v>-18094363.782354198</v>
      </c>
      <c r="L2073" s="444">
        <f t="shared" ca="1" si="124"/>
        <v>-4360741671.5473623</v>
      </c>
      <c r="M2073" s="460">
        <f t="shared" si="126"/>
        <v>0.05</v>
      </c>
      <c r="N2073" s="464">
        <f t="shared" si="127"/>
        <v>114139</v>
      </c>
    </row>
    <row r="2074" spans="7:14" ht="11.25" customHeight="1" x14ac:dyDescent="0.25">
      <c r="G2074" s="459"/>
      <c r="H2074" s="459">
        <v>2067</v>
      </c>
      <c r="I2074" s="444">
        <f t="shared" ca="1" si="125"/>
        <v>-4360741671.5473623</v>
      </c>
      <c r="J2074" s="444">
        <f t="array" ref="J2074">IFERROR(INDEX('Retirement Calculator'!K:K,MATCH('Lorri 401b'!N2074,'Retirement Calculator'!A:A,0),0),0)</f>
        <v>0</v>
      </c>
      <c r="K2074" s="444">
        <f t="shared" ca="1" si="123"/>
        <v>-18169756.964780677</v>
      </c>
      <c r="L2074" s="444">
        <f t="shared" ca="1" si="124"/>
        <v>-4378911428.5121431</v>
      </c>
      <c r="M2074" s="460">
        <f t="shared" si="126"/>
        <v>0.05</v>
      </c>
      <c r="N2074" s="464">
        <f t="shared" si="127"/>
        <v>114170</v>
      </c>
    </row>
    <row r="2075" spans="7:14" ht="11.25" customHeight="1" x14ac:dyDescent="0.25">
      <c r="G2075" s="459"/>
      <c r="H2075" s="459">
        <v>2068</v>
      </c>
      <c r="I2075" s="444">
        <f t="shared" ca="1" si="125"/>
        <v>-4378911428.5121431</v>
      </c>
      <c r="J2075" s="444">
        <f t="array" ref="J2075">IFERROR(INDEX('Retirement Calculator'!K:K,MATCH('Lorri 401b'!N2075,'Retirement Calculator'!A:A,0),0),0)</f>
        <v>0</v>
      </c>
      <c r="K2075" s="444">
        <f t="shared" ca="1" si="123"/>
        <v>-18245464.285467263</v>
      </c>
      <c r="L2075" s="444">
        <f t="shared" ca="1" si="124"/>
        <v>-4397156892.7976103</v>
      </c>
      <c r="M2075" s="460">
        <f t="shared" si="126"/>
        <v>0.05</v>
      </c>
      <c r="N2075" s="464">
        <f t="shared" si="127"/>
        <v>114201</v>
      </c>
    </row>
    <row r="2076" spans="7:14" ht="11.25" customHeight="1" x14ac:dyDescent="0.25">
      <c r="G2076" s="459"/>
      <c r="H2076" s="459">
        <v>2069</v>
      </c>
      <c r="I2076" s="444">
        <f t="shared" ca="1" si="125"/>
        <v>-4397156892.7976103</v>
      </c>
      <c r="J2076" s="444">
        <f t="array" ref="J2076">IFERROR(INDEX('Retirement Calculator'!K:K,MATCH('Lorri 401b'!N2076,'Retirement Calculator'!A:A,0),0),0)</f>
        <v>0</v>
      </c>
      <c r="K2076" s="444">
        <f t="shared" ca="1" si="123"/>
        <v>-18321487.053323377</v>
      </c>
      <c r="L2076" s="444">
        <f t="shared" ca="1" si="124"/>
        <v>-4415478379.850934</v>
      </c>
      <c r="M2076" s="460">
        <f t="shared" si="126"/>
        <v>0.05</v>
      </c>
      <c r="N2076" s="464">
        <f t="shared" si="127"/>
        <v>114231</v>
      </c>
    </row>
    <row r="2077" spans="7:14" ht="11.25" customHeight="1" x14ac:dyDescent="0.25">
      <c r="G2077" s="459"/>
      <c r="H2077" s="459">
        <v>2070</v>
      </c>
      <c r="I2077" s="444">
        <f t="shared" ca="1" si="125"/>
        <v>-4415478379.850934</v>
      </c>
      <c r="J2077" s="444">
        <f t="array" ref="J2077">IFERROR(INDEX('Retirement Calculator'!K:K,MATCH('Lorri 401b'!N2077,'Retirement Calculator'!A:A,0),0),0)</f>
        <v>0</v>
      </c>
      <c r="K2077" s="444">
        <f t="shared" ca="1" si="123"/>
        <v>-18397826.582712226</v>
      </c>
      <c r="L2077" s="444">
        <f t="shared" ca="1" si="124"/>
        <v>-4433876206.4336462</v>
      </c>
      <c r="M2077" s="460">
        <f t="shared" si="126"/>
        <v>0.05</v>
      </c>
      <c r="N2077" s="464">
        <f t="shared" si="127"/>
        <v>114262</v>
      </c>
    </row>
    <row r="2078" spans="7:14" ht="11.25" customHeight="1" x14ac:dyDescent="0.25">
      <c r="G2078" s="459"/>
      <c r="H2078" s="459">
        <v>2071</v>
      </c>
      <c r="I2078" s="444">
        <f t="shared" ca="1" si="125"/>
        <v>-4433876206.4336462</v>
      </c>
      <c r="J2078" s="444">
        <f t="array" ref="J2078">IFERROR(INDEX('Retirement Calculator'!K:K,MATCH('Lorri 401b'!N2078,'Retirement Calculator'!A:A,0),0),0)</f>
        <v>0</v>
      </c>
      <c r="K2078" s="444">
        <f t="shared" ca="1" si="123"/>
        <v>-18474484.193473525</v>
      </c>
      <c r="L2078" s="444">
        <f t="shared" ca="1" si="124"/>
        <v>-4452350690.62712</v>
      </c>
      <c r="M2078" s="460">
        <f t="shared" si="126"/>
        <v>0.05</v>
      </c>
      <c r="N2078" s="464">
        <f t="shared" si="127"/>
        <v>114292</v>
      </c>
    </row>
    <row r="2079" spans="7:14" ht="11.25" customHeight="1" x14ac:dyDescent="0.25">
      <c r="G2079" s="459"/>
      <c r="H2079" s="459">
        <v>2072</v>
      </c>
      <c r="I2079" s="444">
        <f t="shared" ca="1" si="125"/>
        <v>-4452350690.62712</v>
      </c>
      <c r="J2079" s="444">
        <f t="array" ref="J2079">IFERROR(INDEX('Retirement Calculator'!K:K,MATCH('Lorri 401b'!N2079,'Retirement Calculator'!A:A,0),0),0)</f>
        <v>0</v>
      </c>
      <c r="K2079" s="444">
        <f t="shared" ca="1" si="123"/>
        <v>-18551461.210946333</v>
      </c>
      <c r="L2079" s="444">
        <f t="shared" ca="1" si="124"/>
        <v>-4470902151.8380661</v>
      </c>
      <c r="M2079" s="460">
        <f t="shared" si="126"/>
        <v>0.05</v>
      </c>
      <c r="N2079" s="464">
        <f t="shared" si="127"/>
        <v>114323</v>
      </c>
    </row>
    <row r="2080" spans="7:14" ht="11.25" customHeight="1" x14ac:dyDescent="0.25">
      <c r="G2080" s="459"/>
      <c r="H2080" s="459">
        <v>2073</v>
      </c>
      <c r="I2080" s="444">
        <f t="shared" ca="1" si="125"/>
        <v>-4470902151.8380661</v>
      </c>
      <c r="J2080" s="444">
        <f t="array" ref="J2080">IFERROR(INDEX('Retirement Calculator'!K:K,MATCH('Lorri 401b'!N2080,'Retirement Calculator'!A:A,0),0),0)</f>
        <v>0</v>
      </c>
      <c r="K2080" s="444">
        <f t="shared" ca="1" si="123"/>
        <v>-18628758.96599194</v>
      </c>
      <c r="L2080" s="444">
        <f t="shared" ca="1" si="124"/>
        <v>-4489530910.8040581</v>
      </c>
      <c r="M2080" s="460">
        <f t="shared" si="126"/>
        <v>0.05</v>
      </c>
      <c r="N2080" s="464">
        <f t="shared" si="127"/>
        <v>114354</v>
      </c>
    </row>
    <row r="2081" spans="7:14" ht="11.25" customHeight="1" x14ac:dyDescent="0.25">
      <c r="G2081" s="459"/>
      <c r="H2081" s="459">
        <v>2074</v>
      </c>
      <c r="I2081" s="444">
        <f t="shared" ca="1" si="125"/>
        <v>-4489530910.8040581</v>
      </c>
      <c r="J2081" s="444">
        <f t="array" ref="J2081">IFERROR(INDEX('Retirement Calculator'!K:K,MATCH('Lorri 401b'!N2081,'Retirement Calculator'!A:A,0),0),0)</f>
        <v>0</v>
      </c>
      <c r="K2081" s="444">
        <f t="shared" ca="1" si="123"/>
        <v>-18706378.795016907</v>
      </c>
      <c r="L2081" s="444">
        <f t="shared" ca="1" si="124"/>
        <v>-4508237289.5990753</v>
      </c>
      <c r="M2081" s="460">
        <f t="shared" si="126"/>
        <v>0.05</v>
      </c>
      <c r="N2081" s="464">
        <f t="shared" si="127"/>
        <v>114382</v>
      </c>
    </row>
    <row r="2082" spans="7:14" ht="11.25" customHeight="1" x14ac:dyDescent="0.25">
      <c r="G2082" s="459"/>
      <c r="H2082" s="459">
        <v>2075</v>
      </c>
      <c r="I2082" s="444">
        <f t="shared" ca="1" si="125"/>
        <v>-4508237289.5990753</v>
      </c>
      <c r="J2082" s="444">
        <f t="array" ref="J2082">IFERROR(INDEX('Retirement Calculator'!K:K,MATCH('Lorri 401b'!N2082,'Retirement Calculator'!A:A,0),0),0)</f>
        <v>0</v>
      </c>
      <c r="K2082" s="444">
        <f t="shared" ca="1" si="123"/>
        <v>-18784322.039996147</v>
      </c>
      <c r="L2082" s="444">
        <f t="shared" ca="1" si="124"/>
        <v>-4527021611.6390715</v>
      </c>
      <c r="M2082" s="460">
        <f t="shared" si="126"/>
        <v>0.05</v>
      </c>
      <c r="N2082" s="464">
        <f t="shared" si="127"/>
        <v>114413</v>
      </c>
    </row>
    <row r="2083" spans="7:14" ht="11.25" customHeight="1" x14ac:dyDescent="0.25">
      <c r="G2083" s="459"/>
      <c r="H2083" s="459">
        <v>2076</v>
      </c>
      <c r="I2083" s="444">
        <f t="shared" ca="1" si="125"/>
        <v>-4527021611.6390715</v>
      </c>
      <c r="J2083" s="444">
        <f t="array" ref="J2083">IFERROR(INDEX('Retirement Calculator'!K:K,MATCH('Lorri 401b'!N2083,'Retirement Calculator'!A:A,0),0),0)</f>
        <v>0</v>
      </c>
      <c r="K2083" s="444">
        <f t="shared" ca="1" si="123"/>
        <v>-18862590.048496131</v>
      </c>
      <c r="L2083" s="444">
        <f t="shared" ca="1" si="124"/>
        <v>-4545884201.6875677</v>
      </c>
      <c r="M2083" s="460">
        <f t="shared" si="126"/>
        <v>0.05</v>
      </c>
      <c r="N2083" s="464">
        <f t="shared" si="127"/>
        <v>114443</v>
      </c>
    </row>
    <row r="2084" spans="7:14" ht="11.25" customHeight="1" x14ac:dyDescent="0.25">
      <c r="G2084" s="459"/>
      <c r="H2084" s="459">
        <v>2077</v>
      </c>
      <c r="I2084" s="444">
        <f t="shared" ca="1" si="125"/>
        <v>-4545884201.6875677</v>
      </c>
      <c r="J2084" s="444">
        <f t="array" ref="J2084">IFERROR(INDEX('Retirement Calculator'!K:K,MATCH('Lorri 401b'!N2084,'Retirement Calculator'!A:A,0),0),0)</f>
        <v>0</v>
      </c>
      <c r="K2084" s="444">
        <f t="shared" ca="1" si="123"/>
        <v>-18941184.173698198</v>
      </c>
      <c r="L2084" s="444">
        <f t="shared" ca="1" si="124"/>
        <v>-4564825385.8612661</v>
      </c>
      <c r="M2084" s="460">
        <f t="shared" si="126"/>
        <v>0.05</v>
      </c>
      <c r="N2084" s="464">
        <f t="shared" si="127"/>
        <v>114474</v>
      </c>
    </row>
    <row r="2085" spans="7:14" ht="11.25" customHeight="1" x14ac:dyDescent="0.25">
      <c r="G2085" s="459"/>
      <c r="H2085" s="459">
        <v>2078</v>
      </c>
      <c r="I2085" s="444">
        <f t="shared" ca="1" si="125"/>
        <v>-4564825385.8612661</v>
      </c>
      <c r="J2085" s="444">
        <f t="array" ref="J2085">IFERROR(INDEX('Retirement Calculator'!K:K,MATCH('Lorri 401b'!N2085,'Retirement Calculator'!A:A,0),0),0)</f>
        <v>0</v>
      </c>
      <c r="K2085" s="444">
        <f t="shared" ca="1" si="123"/>
        <v>-19020105.774421941</v>
      </c>
      <c r="L2085" s="444">
        <f t="shared" ca="1" si="124"/>
        <v>-4583845491.6356878</v>
      </c>
      <c r="M2085" s="460">
        <f t="shared" si="126"/>
        <v>0.05</v>
      </c>
      <c r="N2085" s="464">
        <f t="shared" si="127"/>
        <v>114504</v>
      </c>
    </row>
    <row r="2086" spans="7:14" ht="11.25" customHeight="1" x14ac:dyDescent="0.25">
      <c r="G2086" s="459"/>
      <c r="H2086" s="459">
        <v>2079</v>
      </c>
      <c r="I2086" s="444">
        <f t="shared" ca="1" si="125"/>
        <v>-4583845491.6356878</v>
      </c>
      <c r="J2086" s="444">
        <f t="array" ref="J2086">IFERROR(INDEX('Retirement Calculator'!K:K,MATCH('Lorri 401b'!N2086,'Retirement Calculator'!A:A,0),0),0)</f>
        <v>0</v>
      </c>
      <c r="K2086" s="444">
        <f t="shared" ca="1" si="123"/>
        <v>-19099356.215148699</v>
      </c>
      <c r="L2086" s="444">
        <f t="shared" ca="1" si="124"/>
        <v>-4602944847.8508368</v>
      </c>
      <c r="M2086" s="460">
        <f t="shared" si="126"/>
        <v>0.05</v>
      </c>
      <c r="N2086" s="464">
        <f t="shared" si="127"/>
        <v>114535</v>
      </c>
    </row>
    <row r="2087" spans="7:14" ht="11.25" customHeight="1" x14ac:dyDescent="0.25">
      <c r="G2087" s="459"/>
      <c r="H2087" s="459">
        <v>2080</v>
      </c>
      <c r="I2087" s="444">
        <f t="shared" ca="1" si="125"/>
        <v>-4602944847.8508368</v>
      </c>
      <c r="J2087" s="444">
        <f t="array" ref="J2087">IFERROR(INDEX('Retirement Calculator'!K:K,MATCH('Lorri 401b'!N2087,'Retirement Calculator'!A:A,0),0),0)</f>
        <v>0</v>
      </c>
      <c r="K2087" s="444">
        <f t="shared" ca="1" si="123"/>
        <v>-19178936.866045155</v>
      </c>
      <c r="L2087" s="444">
        <f t="shared" ca="1" si="124"/>
        <v>-4622123784.7168818</v>
      </c>
      <c r="M2087" s="460">
        <f t="shared" si="126"/>
        <v>0.05</v>
      </c>
      <c r="N2087" s="464">
        <f t="shared" si="127"/>
        <v>114566</v>
      </c>
    </row>
    <row r="2088" spans="7:14" ht="11.25" customHeight="1" x14ac:dyDescent="0.25">
      <c r="G2088" s="459"/>
      <c r="H2088" s="459">
        <v>2081</v>
      </c>
      <c r="I2088" s="444">
        <f t="shared" ca="1" si="125"/>
        <v>-4622123784.7168818</v>
      </c>
      <c r="J2088" s="444">
        <f t="array" ref="J2088">IFERROR(INDEX('Retirement Calculator'!K:K,MATCH('Lorri 401b'!N2088,'Retirement Calculator'!A:A,0),0),0)</f>
        <v>0</v>
      </c>
      <c r="K2088" s="444">
        <f t="shared" ca="1" si="123"/>
        <v>-19258849.102987006</v>
      </c>
      <c r="L2088" s="444">
        <f t="shared" ca="1" si="124"/>
        <v>-4641382633.819869</v>
      </c>
      <c r="M2088" s="460">
        <f t="shared" si="126"/>
        <v>0.05</v>
      </c>
      <c r="N2088" s="464">
        <f t="shared" si="127"/>
        <v>114596</v>
      </c>
    </row>
    <row r="2089" spans="7:14" ht="11.25" customHeight="1" x14ac:dyDescent="0.25">
      <c r="G2089" s="459"/>
      <c r="H2089" s="459">
        <v>2082</v>
      </c>
      <c r="I2089" s="444">
        <f t="shared" ca="1" si="125"/>
        <v>-4641382633.819869</v>
      </c>
      <c r="J2089" s="444">
        <f t="array" ref="J2089">IFERROR(INDEX('Retirement Calculator'!K:K,MATCH('Lorri 401b'!N2089,'Retirement Calculator'!A:A,0),0),0)</f>
        <v>0</v>
      </c>
      <c r="K2089" s="444">
        <f t="shared" ca="1" si="123"/>
        <v>-19339094.307582788</v>
      </c>
      <c r="L2089" s="444">
        <f t="shared" ca="1" si="124"/>
        <v>-4660721728.1274519</v>
      </c>
      <c r="M2089" s="460">
        <f t="shared" si="126"/>
        <v>0.05</v>
      </c>
      <c r="N2089" s="464">
        <f t="shared" si="127"/>
        <v>114627</v>
      </c>
    </row>
    <row r="2090" spans="7:14" ht="11.25" customHeight="1" x14ac:dyDescent="0.25">
      <c r="G2090" s="459"/>
      <c r="H2090" s="459">
        <v>2083</v>
      </c>
      <c r="I2090" s="444">
        <f t="shared" ca="1" si="125"/>
        <v>-4660721728.1274519</v>
      </c>
      <c r="J2090" s="444">
        <f t="array" ref="J2090">IFERROR(INDEX('Retirement Calculator'!K:K,MATCH('Lorri 401b'!N2090,'Retirement Calculator'!A:A,0),0),0)</f>
        <v>0</v>
      </c>
      <c r="K2090" s="444">
        <f t="shared" ca="1" si="123"/>
        <v>-19419673.867197715</v>
      </c>
      <c r="L2090" s="444">
        <f t="shared" ca="1" si="124"/>
        <v>-4680141401.9946499</v>
      </c>
      <c r="M2090" s="460">
        <f t="shared" si="126"/>
        <v>0.05</v>
      </c>
      <c r="N2090" s="464">
        <f t="shared" si="127"/>
        <v>114657</v>
      </c>
    </row>
    <row r="2091" spans="7:14" ht="11.25" customHeight="1" x14ac:dyDescent="0.25">
      <c r="G2091" s="459"/>
      <c r="H2091" s="459">
        <v>2084</v>
      </c>
      <c r="I2091" s="444">
        <f t="shared" ca="1" si="125"/>
        <v>-4680141401.9946499</v>
      </c>
      <c r="J2091" s="444">
        <f t="array" ref="J2091">IFERROR(INDEX('Retirement Calculator'!K:K,MATCH('Lorri 401b'!N2091,'Retirement Calculator'!A:A,0),0),0)</f>
        <v>0</v>
      </c>
      <c r="K2091" s="444">
        <f t="shared" ca="1" si="123"/>
        <v>-19500589.174977709</v>
      </c>
      <c r="L2091" s="444">
        <f t="shared" ca="1" si="124"/>
        <v>-4699641991.1696272</v>
      </c>
      <c r="M2091" s="460">
        <f t="shared" si="126"/>
        <v>0.05</v>
      </c>
      <c r="N2091" s="464">
        <f t="shared" si="127"/>
        <v>114688</v>
      </c>
    </row>
    <row r="2092" spans="7:14" ht="11.25" customHeight="1" x14ac:dyDescent="0.25">
      <c r="G2092" s="459"/>
      <c r="H2092" s="459">
        <v>2085</v>
      </c>
      <c r="I2092" s="444">
        <f t="shared" ca="1" si="125"/>
        <v>-4699641991.1696272</v>
      </c>
      <c r="J2092" s="444">
        <f t="array" ref="J2092">IFERROR(INDEX('Retirement Calculator'!K:K,MATCH('Lorri 401b'!N2092,'Retirement Calculator'!A:A,0),0),0)</f>
        <v>0</v>
      </c>
      <c r="K2092" s="444">
        <f t="shared" ca="1" si="123"/>
        <v>-19581841.629873447</v>
      </c>
      <c r="L2092" s="444">
        <f t="shared" ca="1" si="124"/>
        <v>-4719223832.7995005</v>
      </c>
      <c r="M2092" s="460">
        <f t="shared" si="126"/>
        <v>0.05</v>
      </c>
      <c r="N2092" s="464">
        <f t="shared" si="127"/>
        <v>114719</v>
      </c>
    </row>
    <row r="2093" spans="7:14" ht="11.25" customHeight="1" x14ac:dyDescent="0.25">
      <c r="G2093" s="459"/>
      <c r="H2093" s="459">
        <v>2086</v>
      </c>
      <c r="I2093" s="444">
        <f t="shared" ca="1" si="125"/>
        <v>-4719223832.7995005</v>
      </c>
      <c r="J2093" s="444">
        <f t="array" ref="J2093">IFERROR(INDEX('Retirement Calculator'!K:K,MATCH('Lorri 401b'!N2093,'Retirement Calculator'!A:A,0),0),0)</f>
        <v>0</v>
      </c>
      <c r="K2093" s="444">
        <f t="shared" ca="1" si="123"/>
        <v>-19663432.636664584</v>
      </c>
      <c r="L2093" s="444">
        <f t="shared" ca="1" si="124"/>
        <v>-4738887265.4361649</v>
      </c>
      <c r="M2093" s="460">
        <f t="shared" si="126"/>
        <v>0.05</v>
      </c>
      <c r="N2093" s="464">
        <f t="shared" si="127"/>
        <v>114747</v>
      </c>
    </row>
    <row r="2094" spans="7:14" ht="11.25" customHeight="1" x14ac:dyDescent="0.25">
      <c r="G2094" s="459"/>
      <c r="H2094" s="459">
        <v>2087</v>
      </c>
      <c r="I2094" s="444">
        <f t="shared" ca="1" si="125"/>
        <v>-4738887265.4361649</v>
      </c>
      <c r="J2094" s="444">
        <f t="array" ref="J2094">IFERROR(INDEX('Retirement Calculator'!K:K,MATCH('Lorri 401b'!N2094,'Retirement Calculator'!A:A,0),0),0)</f>
        <v>0</v>
      </c>
      <c r="K2094" s="444">
        <f t="shared" ca="1" si="123"/>
        <v>-19745363.605984021</v>
      </c>
      <c r="L2094" s="444">
        <f t="shared" ca="1" si="124"/>
        <v>-4758632629.0421486</v>
      </c>
      <c r="M2094" s="460">
        <f t="shared" si="126"/>
        <v>0.05</v>
      </c>
      <c r="N2094" s="464">
        <f t="shared" si="127"/>
        <v>114778</v>
      </c>
    </row>
    <row r="2095" spans="7:14" ht="11.25" customHeight="1" x14ac:dyDescent="0.25">
      <c r="G2095" s="459"/>
      <c r="H2095" s="459">
        <v>2088</v>
      </c>
      <c r="I2095" s="444">
        <f t="shared" ca="1" si="125"/>
        <v>-4758632629.0421486</v>
      </c>
      <c r="J2095" s="444">
        <f t="array" ref="J2095">IFERROR(INDEX('Retirement Calculator'!K:K,MATCH('Lorri 401b'!N2095,'Retirement Calculator'!A:A,0),0),0)</f>
        <v>0</v>
      </c>
      <c r="K2095" s="444">
        <f t="shared" ca="1" si="123"/>
        <v>-19827635.954342287</v>
      </c>
      <c r="L2095" s="444">
        <f t="shared" ca="1" si="124"/>
        <v>-4778460264.9964905</v>
      </c>
      <c r="M2095" s="460">
        <f t="shared" si="126"/>
        <v>0.05</v>
      </c>
      <c r="N2095" s="464">
        <f t="shared" si="127"/>
        <v>114808</v>
      </c>
    </row>
    <row r="2096" spans="7:14" ht="11.25" customHeight="1" x14ac:dyDescent="0.25">
      <c r="G2096" s="459"/>
      <c r="H2096" s="459">
        <v>2089</v>
      </c>
      <c r="I2096" s="444">
        <f t="shared" ca="1" si="125"/>
        <v>-4778460264.9964905</v>
      </c>
      <c r="J2096" s="444">
        <f t="array" ref="J2096">IFERROR(INDEX('Retirement Calculator'!K:K,MATCH('Lorri 401b'!N2096,'Retirement Calculator'!A:A,0),0),0)</f>
        <v>0</v>
      </c>
      <c r="K2096" s="444">
        <f t="shared" ca="1" si="123"/>
        <v>-19910251.104152042</v>
      </c>
      <c r="L2096" s="444">
        <f t="shared" ca="1" si="124"/>
        <v>-4798370516.1006422</v>
      </c>
      <c r="M2096" s="460">
        <f t="shared" si="126"/>
        <v>0.05</v>
      </c>
      <c r="N2096" s="464">
        <f t="shared" si="127"/>
        <v>114839</v>
      </c>
    </row>
    <row r="2097" spans="7:14" ht="11.25" customHeight="1" x14ac:dyDescent="0.25">
      <c r="G2097" s="459"/>
      <c r="H2097" s="459">
        <v>2090</v>
      </c>
      <c r="I2097" s="444">
        <f t="shared" ca="1" si="125"/>
        <v>-4798370516.1006422</v>
      </c>
      <c r="J2097" s="444">
        <f t="array" ref="J2097">IFERROR(INDEX('Retirement Calculator'!K:K,MATCH('Lorri 401b'!N2097,'Retirement Calculator'!A:A,0),0),0)</f>
        <v>0</v>
      </c>
      <c r="K2097" s="444">
        <f t="shared" ca="1" si="123"/>
        <v>-19993210.483752675</v>
      </c>
      <c r="L2097" s="444">
        <f t="shared" ca="1" si="124"/>
        <v>-4818363726.5843945</v>
      </c>
      <c r="M2097" s="460">
        <f t="shared" si="126"/>
        <v>0.05</v>
      </c>
      <c r="N2097" s="464">
        <f t="shared" si="127"/>
        <v>114869</v>
      </c>
    </row>
    <row r="2098" spans="7:14" ht="11.25" customHeight="1" x14ac:dyDescent="0.25">
      <c r="G2098" s="459"/>
      <c r="H2098" s="459">
        <v>2091</v>
      </c>
      <c r="I2098" s="444">
        <f t="shared" ca="1" si="125"/>
        <v>-4818363726.5843945</v>
      </c>
      <c r="J2098" s="444">
        <f t="array" ref="J2098">IFERROR(INDEX('Retirement Calculator'!K:K,MATCH('Lorri 401b'!N2098,'Retirement Calculator'!A:A,0),0),0)</f>
        <v>0</v>
      </c>
      <c r="K2098" s="444">
        <f t="shared" ca="1" si="123"/>
        <v>-20076515.527434975</v>
      </c>
      <c r="L2098" s="444">
        <f t="shared" ca="1" si="124"/>
        <v>-4838440242.1118298</v>
      </c>
      <c r="M2098" s="460">
        <f t="shared" si="126"/>
        <v>0.05</v>
      </c>
      <c r="N2098" s="464">
        <f t="shared" si="127"/>
        <v>114900</v>
      </c>
    </row>
    <row r="2099" spans="7:14" ht="11.25" customHeight="1" x14ac:dyDescent="0.25">
      <c r="G2099" s="459"/>
      <c r="H2099" s="459">
        <v>2092</v>
      </c>
      <c r="I2099" s="444">
        <f t="shared" ca="1" si="125"/>
        <v>-4838440242.1118298</v>
      </c>
      <c r="J2099" s="444">
        <f t="array" ref="J2099">IFERROR(INDEX('Retirement Calculator'!K:K,MATCH('Lorri 401b'!N2099,'Retirement Calculator'!A:A,0),0),0)</f>
        <v>0</v>
      </c>
      <c r="K2099" s="444">
        <f t="shared" ca="1" si="123"/>
        <v>-20160167.675465956</v>
      </c>
      <c r="L2099" s="444">
        <f t="shared" ca="1" si="124"/>
        <v>-4858600409.7872953</v>
      </c>
      <c r="M2099" s="460">
        <f t="shared" si="126"/>
        <v>0.05</v>
      </c>
      <c r="N2099" s="464">
        <f t="shared" si="127"/>
        <v>114931</v>
      </c>
    </row>
    <row r="2100" spans="7:14" ht="11.25" customHeight="1" x14ac:dyDescent="0.25">
      <c r="G2100" s="459"/>
      <c r="H2100" s="459">
        <v>2093</v>
      </c>
      <c r="I2100" s="444">
        <f t="shared" ca="1" si="125"/>
        <v>-4858600409.7872953</v>
      </c>
      <c r="J2100" s="444">
        <f t="array" ref="J2100">IFERROR(INDEX('Retirement Calculator'!K:K,MATCH('Lorri 401b'!N2100,'Retirement Calculator'!A:A,0),0),0)</f>
        <v>0</v>
      </c>
      <c r="K2100" s="444">
        <f t="shared" ca="1" si="123"/>
        <v>-20244168.374113731</v>
      </c>
      <c r="L2100" s="444">
        <f t="shared" ca="1" si="124"/>
        <v>-4878844578.1614094</v>
      </c>
      <c r="M2100" s="460">
        <f t="shared" si="126"/>
        <v>0.05</v>
      </c>
      <c r="N2100" s="464">
        <f t="shared" si="127"/>
        <v>114961</v>
      </c>
    </row>
    <row r="2101" spans="7:14" ht="11.25" customHeight="1" x14ac:dyDescent="0.25">
      <c r="G2101" s="459"/>
      <c r="H2101" s="459">
        <v>2094</v>
      </c>
      <c r="I2101" s="444">
        <f t="shared" ca="1" si="125"/>
        <v>-4878844578.1614094</v>
      </c>
      <c r="J2101" s="444">
        <f t="array" ref="J2101">IFERROR(INDEX('Retirement Calculator'!K:K,MATCH('Lorri 401b'!N2101,'Retirement Calculator'!A:A,0),0),0)</f>
        <v>0</v>
      </c>
      <c r="K2101" s="444">
        <f t="shared" ca="1" si="123"/>
        <v>-20328519.075672537</v>
      </c>
      <c r="L2101" s="444">
        <f t="shared" ca="1" si="124"/>
        <v>-4899173097.2370815</v>
      </c>
      <c r="M2101" s="460">
        <f t="shared" si="126"/>
        <v>0.05</v>
      </c>
      <c r="N2101" s="464">
        <f t="shared" si="127"/>
        <v>114992</v>
      </c>
    </row>
    <row r="2102" spans="7:14" ht="11.25" customHeight="1" x14ac:dyDescent="0.25">
      <c r="G2102" s="459"/>
      <c r="H2102" s="459">
        <v>2095</v>
      </c>
      <c r="I2102" s="444">
        <f t="shared" ca="1" si="125"/>
        <v>-4899173097.2370815</v>
      </c>
      <c r="J2102" s="444">
        <f t="array" ref="J2102">IFERROR(INDEX('Retirement Calculator'!K:K,MATCH('Lorri 401b'!N2102,'Retirement Calculator'!A:A,0),0),0)</f>
        <v>0</v>
      </c>
      <c r="K2102" s="444">
        <f t="shared" ca="1" si="123"/>
        <v>-20413221.23848784</v>
      </c>
      <c r="L2102" s="444">
        <f t="shared" ca="1" si="124"/>
        <v>-4919586318.4755697</v>
      </c>
      <c r="M2102" s="460">
        <f t="shared" si="126"/>
        <v>0.05</v>
      </c>
      <c r="N2102" s="464">
        <f t="shared" si="127"/>
        <v>115022</v>
      </c>
    </row>
    <row r="2103" spans="7:14" ht="11.25" customHeight="1" x14ac:dyDescent="0.25">
      <c r="G2103" s="459"/>
      <c r="H2103" s="459">
        <v>2096</v>
      </c>
      <c r="I2103" s="444">
        <f t="shared" ca="1" si="125"/>
        <v>-4919586318.4755697</v>
      </c>
      <c r="J2103" s="444">
        <f t="array" ref="J2103">IFERROR(INDEX('Retirement Calculator'!K:K,MATCH('Lorri 401b'!N2103,'Retirement Calculator'!A:A,0),0),0)</f>
        <v>0</v>
      </c>
      <c r="K2103" s="444">
        <f t="shared" ca="1" si="123"/>
        <v>-20498276.326981541</v>
      </c>
      <c r="L2103" s="444">
        <f t="shared" ca="1" si="124"/>
        <v>-4940084594.8025513</v>
      </c>
      <c r="M2103" s="460">
        <f t="shared" si="126"/>
        <v>0.05</v>
      </c>
      <c r="N2103" s="464">
        <f t="shared" si="127"/>
        <v>115053</v>
      </c>
    </row>
    <row r="2104" spans="7:14" ht="11.25" customHeight="1" x14ac:dyDescent="0.25">
      <c r="G2104" s="459"/>
      <c r="H2104" s="459">
        <v>2097</v>
      </c>
      <c r="I2104" s="444">
        <f t="shared" ca="1" si="125"/>
        <v>-4940084594.8025513</v>
      </c>
      <c r="J2104" s="444">
        <f t="array" ref="J2104">IFERROR(INDEX('Retirement Calculator'!K:K,MATCH('Lorri 401b'!N2104,'Retirement Calculator'!A:A,0),0),0)</f>
        <v>0</v>
      </c>
      <c r="K2104" s="444">
        <f t="shared" ca="1" si="123"/>
        <v>-20583685.811677296</v>
      </c>
      <c r="L2104" s="444">
        <f t="shared" ca="1" si="124"/>
        <v>-4960668280.6142282</v>
      </c>
      <c r="M2104" s="460">
        <f t="shared" si="126"/>
        <v>0.05</v>
      </c>
      <c r="N2104" s="464">
        <f t="shared" si="127"/>
        <v>115084</v>
      </c>
    </row>
    <row r="2105" spans="7:14" ht="11.25" customHeight="1" x14ac:dyDescent="0.25">
      <c r="G2105" s="459"/>
      <c r="H2105" s="459">
        <v>2098</v>
      </c>
      <c r="I2105" s="444">
        <f t="shared" ca="1" si="125"/>
        <v>-4960668280.6142282</v>
      </c>
      <c r="J2105" s="444">
        <f t="array" ref="J2105">IFERROR(INDEX('Retirement Calculator'!K:K,MATCH('Lorri 401b'!N2105,'Retirement Calculator'!A:A,0),0),0)</f>
        <v>0</v>
      </c>
      <c r="K2105" s="444">
        <f t="shared" ca="1" si="123"/>
        <v>-20669451.16922595</v>
      </c>
      <c r="L2105" s="444">
        <f t="shared" ca="1" si="124"/>
        <v>-4981337731.7834539</v>
      </c>
      <c r="M2105" s="460">
        <f t="shared" si="126"/>
        <v>0.05</v>
      </c>
      <c r="N2105" s="464">
        <f t="shared" si="127"/>
        <v>115112</v>
      </c>
    </row>
    <row r="2106" spans="7:14" ht="11.25" customHeight="1" x14ac:dyDescent="0.25">
      <c r="G2106" s="459"/>
      <c r="H2106" s="459">
        <v>2099</v>
      </c>
      <c r="I2106" s="444">
        <f t="shared" ca="1" si="125"/>
        <v>-4981337731.7834539</v>
      </c>
      <c r="J2106" s="444">
        <f t="array" ref="J2106">IFERROR(INDEX('Retirement Calculator'!K:K,MATCH('Lorri 401b'!N2106,'Retirement Calculator'!A:A,0),0),0)</f>
        <v>0</v>
      </c>
      <c r="K2106" s="444">
        <f t="shared" ca="1" si="123"/>
        <v>-20755573.882431056</v>
      </c>
      <c r="L2106" s="444">
        <f t="shared" ca="1" si="124"/>
        <v>-5002093305.665885</v>
      </c>
      <c r="M2106" s="460">
        <f t="shared" si="126"/>
        <v>0.05</v>
      </c>
      <c r="N2106" s="464">
        <f t="shared" si="127"/>
        <v>115143</v>
      </c>
    </row>
    <row r="2107" spans="7:14" ht="11.25" customHeight="1" x14ac:dyDescent="0.25">
      <c r="G2107" s="459"/>
      <c r="H2107" s="459">
        <v>2100</v>
      </c>
      <c r="I2107" s="444">
        <f t="shared" ca="1" si="125"/>
        <v>-5002093305.665885</v>
      </c>
      <c r="J2107" s="444">
        <f t="array" ref="J2107">IFERROR(INDEX('Retirement Calculator'!K:K,MATCH('Lorri 401b'!N2107,'Retirement Calculator'!A:A,0),0),0)</f>
        <v>0</v>
      </c>
      <c r="K2107" s="444">
        <f t="shared" ca="1" si="123"/>
        <v>-20842055.440274522</v>
      </c>
      <c r="L2107" s="444">
        <f t="shared" ca="1" si="124"/>
        <v>-5022935361.1061592</v>
      </c>
      <c r="M2107" s="460">
        <f t="shared" si="126"/>
        <v>0.05</v>
      </c>
      <c r="N2107" s="464">
        <f t="shared" si="127"/>
        <v>115173</v>
      </c>
    </row>
    <row r="2108" spans="7:14" ht="11.25" customHeight="1" x14ac:dyDescent="0.25">
      <c r="G2108" s="459"/>
      <c r="H2108" s="459">
        <v>2101</v>
      </c>
      <c r="I2108" s="444">
        <f t="shared" ca="1" si="125"/>
        <v>-5022935361.1061592</v>
      </c>
      <c r="J2108" s="444">
        <f t="array" ref="J2108">IFERROR(INDEX('Retirement Calculator'!K:K,MATCH('Lorri 401b'!N2108,'Retirement Calculator'!A:A,0),0),0)</f>
        <v>0</v>
      </c>
      <c r="K2108" s="444">
        <f t="shared" ca="1" si="123"/>
        <v>-20928897.337942328</v>
      </c>
      <c r="L2108" s="444">
        <f t="shared" ca="1" si="124"/>
        <v>-5043864258.4441013</v>
      </c>
      <c r="M2108" s="460">
        <f t="shared" si="126"/>
        <v>0.05</v>
      </c>
      <c r="N2108" s="464">
        <f t="shared" si="127"/>
        <v>115204</v>
      </c>
    </row>
    <row r="2109" spans="7:14" ht="11.25" customHeight="1" x14ac:dyDescent="0.25">
      <c r="G2109" s="459"/>
      <c r="H2109" s="459">
        <v>2102</v>
      </c>
      <c r="I2109" s="444">
        <f t="shared" ca="1" si="125"/>
        <v>-5043864258.4441013</v>
      </c>
      <c r="J2109" s="444">
        <f t="array" ref="J2109">IFERROR(INDEX('Retirement Calculator'!K:K,MATCH('Lorri 401b'!N2109,'Retirement Calculator'!A:A,0),0),0)</f>
        <v>0</v>
      </c>
      <c r="K2109" s="444">
        <f t="shared" ca="1" si="123"/>
        <v>-21016101.076850422</v>
      </c>
      <c r="L2109" s="444">
        <f t="shared" ca="1" si="124"/>
        <v>-5064880359.5209522</v>
      </c>
      <c r="M2109" s="460">
        <f t="shared" si="126"/>
        <v>0.05</v>
      </c>
      <c r="N2109" s="464">
        <f t="shared" si="127"/>
        <v>115234</v>
      </c>
    </row>
    <row r="2110" spans="7:14" ht="11.25" customHeight="1" x14ac:dyDescent="0.25">
      <c r="G2110" s="459"/>
      <c r="H2110" s="459">
        <v>2103</v>
      </c>
      <c r="I2110" s="444">
        <f t="shared" ca="1" si="125"/>
        <v>-5064880359.5209522</v>
      </c>
      <c r="J2110" s="444">
        <f t="array" ref="J2110">IFERROR(INDEX('Retirement Calculator'!K:K,MATCH('Lorri 401b'!N2110,'Retirement Calculator'!A:A,0),0),0)</f>
        <v>0</v>
      </c>
      <c r="K2110" s="444">
        <f t="shared" ca="1" si="123"/>
        <v>-21103668.164670635</v>
      </c>
      <c r="L2110" s="444">
        <f t="shared" ca="1" si="124"/>
        <v>-5085984027.6856232</v>
      </c>
      <c r="M2110" s="460">
        <f t="shared" si="126"/>
        <v>0.05</v>
      </c>
      <c r="N2110" s="464">
        <f t="shared" si="127"/>
        <v>115265</v>
      </c>
    </row>
    <row r="2111" spans="7:14" ht="11.25" customHeight="1" x14ac:dyDescent="0.25">
      <c r="G2111" s="459"/>
      <c r="H2111" s="459">
        <v>2104</v>
      </c>
      <c r="I2111" s="444">
        <f t="shared" ca="1" si="125"/>
        <v>-5085984027.6856232</v>
      </c>
      <c r="J2111" s="444">
        <f t="array" ref="J2111">IFERROR(INDEX('Retirement Calculator'!K:K,MATCH('Lorri 401b'!N2111,'Retirement Calculator'!A:A,0),0),0)</f>
        <v>0</v>
      </c>
      <c r="K2111" s="444">
        <f t="shared" ca="1" si="123"/>
        <v>-21191600.115356762</v>
      </c>
      <c r="L2111" s="444">
        <f t="shared" ca="1" si="124"/>
        <v>-5107175627.8009796</v>
      </c>
      <c r="M2111" s="460">
        <f t="shared" si="126"/>
        <v>0.05</v>
      </c>
      <c r="N2111" s="464">
        <f t="shared" si="127"/>
        <v>115296</v>
      </c>
    </row>
    <row r="2112" spans="7:14" ht="11.25" customHeight="1" x14ac:dyDescent="0.25">
      <c r="G2112" s="459"/>
      <c r="H2112" s="459">
        <v>2105</v>
      </c>
      <c r="I2112" s="444">
        <f t="shared" ca="1" si="125"/>
        <v>-5107175627.8009796</v>
      </c>
      <c r="J2112" s="444">
        <f t="array" ref="J2112">IFERROR(INDEX('Retirement Calculator'!K:K,MATCH('Lorri 401b'!N2112,'Retirement Calculator'!A:A,0),0),0)</f>
        <v>0</v>
      </c>
      <c r="K2112" s="444">
        <f t="shared" ca="1" si="123"/>
        <v>-21279898.44917075</v>
      </c>
      <c r="L2112" s="444">
        <f t="shared" ca="1" si="124"/>
        <v>-5128455526.2501507</v>
      </c>
      <c r="M2112" s="460">
        <f t="shared" si="126"/>
        <v>0.05</v>
      </c>
      <c r="N2112" s="464">
        <f t="shared" si="127"/>
        <v>115326</v>
      </c>
    </row>
    <row r="2113" spans="7:14" ht="11.25" customHeight="1" x14ac:dyDescent="0.25">
      <c r="G2113" s="459"/>
      <c r="H2113" s="459">
        <v>2106</v>
      </c>
      <c r="I2113" s="444">
        <f t="shared" ca="1" si="125"/>
        <v>-5128455526.2501507</v>
      </c>
      <c r="J2113" s="444">
        <f t="array" ref="J2113">IFERROR(INDEX('Retirement Calculator'!K:K,MATCH('Lorri 401b'!N2113,'Retirement Calculator'!A:A,0),0),0)</f>
        <v>0</v>
      </c>
      <c r="K2113" s="444">
        <f t="shared" ca="1" si="123"/>
        <v>-21368564.692708962</v>
      </c>
      <c r="L2113" s="444">
        <f t="shared" ca="1" si="124"/>
        <v>-5149824090.9428596</v>
      </c>
      <c r="M2113" s="460">
        <f t="shared" si="126"/>
        <v>0.05</v>
      </c>
      <c r="N2113" s="464">
        <f t="shared" si="127"/>
        <v>115357</v>
      </c>
    </row>
    <row r="2114" spans="7:14" ht="11.25" customHeight="1" x14ac:dyDescent="0.25">
      <c r="G2114" s="459"/>
      <c r="H2114" s="459">
        <v>2107</v>
      </c>
      <c r="I2114" s="444">
        <f t="shared" ca="1" si="125"/>
        <v>-5149824090.9428596</v>
      </c>
      <c r="J2114" s="444">
        <f t="array" ref="J2114">IFERROR(INDEX('Retirement Calculator'!K:K,MATCH('Lorri 401b'!N2114,'Retirement Calculator'!A:A,0),0),0)</f>
        <v>0</v>
      </c>
      <c r="K2114" s="444">
        <f t="shared" ca="1" si="123"/>
        <v>-21457600.378928583</v>
      </c>
      <c r="L2114" s="444">
        <f t="shared" ca="1" si="124"/>
        <v>-5171281691.3217878</v>
      </c>
      <c r="M2114" s="460">
        <f t="shared" si="126"/>
        <v>0.05</v>
      </c>
      <c r="N2114" s="464">
        <f t="shared" si="127"/>
        <v>115387</v>
      </c>
    </row>
    <row r="2115" spans="7:14" ht="11.25" customHeight="1" x14ac:dyDescent="0.25">
      <c r="G2115" s="459"/>
      <c r="H2115" s="459">
        <v>2108</v>
      </c>
      <c r="I2115" s="444">
        <f t="shared" ca="1" si="125"/>
        <v>-5171281691.3217878</v>
      </c>
      <c r="J2115" s="444">
        <f t="array" ref="J2115">IFERROR(INDEX('Retirement Calculator'!K:K,MATCH('Lorri 401b'!N2115,'Retirement Calculator'!A:A,0),0),0)</f>
        <v>0</v>
      </c>
      <c r="K2115" s="444">
        <f t="shared" ca="1" si="123"/>
        <v>-21547007.047174115</v>
      </c>
      <c r="L2115" s="444">
        <f t="shared" ca="1" si="124"/>
        <v>-5192828698.3689623</v>
      </c>
      <c r="M2115" s="460">
        <f t="shared" si="126"/>
        <v>0.05</v>
      </c>
      <c r="N2115" s="464">
        <f t="shared" si="127"/>
        <v>115418</v>
      </c>
    </row>
    <row r="2116" spans="7:14" ht="11.25" customHeight="1" x14ac:dyDescent="0.25">
      <c r="G2116" s="459"/>
      <c r="H2116" s="459">
        <v>2109</v>
      </c>
      <c r="I2116" s="444">
        <f t="shared" ca="1" si="125"/>
        <v>-5192828698.3689623</v>
      </c>
      <c r="J2116" s="444">
        <f t="array" ref="J2116">IFERROR(INDEX('Retirement Calculator'!K:K,MATCH('Lorri 401b'!N2116,'Retirement Calculator'!A:A,0),0),0)</f>
        <v>0</v>
      </c>
      <c r="K2116" s="444">
        <f t="shared" ca="1" si="123"/>
        <v>-21636786.243204009</v>
      </c>
      <c r="L2116" s="444">
        <f t="shared" ca="1" si="124"/>
        <v>-5214465484.6121664</v>
      </c>
      <c r="M2116" s="460">
        <f t="shared" si="126"/>
        <v>0.05</v>
      </c>
      <c r="N2116" s="464">
        <f t="shared" si="127"/>
        <v>115449</v>
      </c>
    </row>
    <row r="2117" spans="7:14" ht="11.25" customHeight="1" x14ac:dyDescent="0.25">
      <c r="G2117" s="459"/>
      <c r="H2117" s="459">
        <v>2110</v>
      </c>
      <c r="I2117" s="444">
        <f t="shared" ca="1" si="125"/>
        <v>-5214465484.6121664</v>
      </c>
      <c r="J2117" s="444">
        <f t="array" ref="J2117">IFERROR(INDEX('Retirement Calculator'!K:K,MATCH('Lorri 401b'!N2117,'Retirement Calculator'!A:A,0),0),0)</f>
        <v>0</v>
      </c>
      <c r="K2117" s="444">
        <f t="shared" ca="1" si="123"/>
        <v>-21726939.519217361</v>
      </c>
      <c r="L2117" s="444">
        <f t="shared" ca="1" si="124"/>
        <v>-5236192424.1313839</v>
      </c>
      <c r="M2117" s="460">
        <f t="shared" si="126"/>
        <v>0.05</v>
      </c>
      <c r="N2117" s="464">
        <f t="shared" si="127"/>
        <v>115478</v>
      </c>
    </row>
    <row r="2118" spans="7:14" ht="11.25" customHeight="1" x14ac:dyDescent="0.25">
      <c r="G2118" s="459"/>
      <c r="H2118" s="459">
        <v>2111</v>
      </c>
      <c r="I2118" s="444">
        <f t="shared" ca="1" si="125"/>
        <v>-5236192424.1313839</v>
      </c>
      <c r="J2118" s="444">
        <f t="array" ref="J2118">IFERROR(INDEX('Retirement Calculator'!K:K,MATCH('Lorri 401b'!N2118,'Retirement Calculator'!A:A,0),0),0)</f>
        <v>0</v>
      </c>
      <c r="K2118" s="444">
        <f t="shared" ca="1" si="123"/>
        <v>-21817468.433880765</v>
      </c>
      <c r="L2118" s="444">
        <f t="shared" ca="1" si="124"/>
        <v>-5258009892.5652647</v>
      </c>
      <c r="M2118" s="460">
        <f t="shared" si="126"/>
        <v>0.05</v>
      </c>
      <c r="N2118" s="464">
        <f t="shared" si="127"/>
        <v>115509</v>
      </c>
    </row>
    <row r="2119" spans="7:14" ht="11.25" customHeight="1" x14ac:dyDescent="0.25">
      <c r="G2119" s="459"/>
      <c r="H2119" s="459">
        <v>2112</v>
      </c>
      <c r="I2119" s="444">
        <f t="shared" ca="1" si="125"/>
        <v>-5258009892.5652647</v>
      </c>
      <c r="J2119" s="444">
        <f t="array" ref="J2119">IFERROR(INDEX('Retirement Calculator'!K:K,MATCH('Lorri 401b'!N2119,'Retirement Calculator'!A:A,0),0),0)</f>
        <v>0</v>
      </c>
      <c r="K2119" s="444">
        <f t="shared" ca="1" si="123"/>
        <v>-21908374.552355271</v>
      </c>
      <c r="L2119" s="444">
        <f t="shared" ca="1" si="124"/>
        <v>-5279918267.1176195</v>
      </c>
      <c r="M2119" s="460">
        <f t="shared" si="126"/>
        <v>0.05</v>
      </c>
      <c r="N2119" s="464">
        <f t="shared" si="127"/>
        <v>115539</v>
      </c>
    </row>
    <row r="2120" spans="7:14" ht="11.25" customHeight="1" x14ac:dyDescent="0.25">
      <c r="G2120" s="459"/>
      <c r="H2120" s="459">
        <v>2113</v>
      </c>
      <c r="I2120" s="444">
        <f t="shared" ca="1" si="125"/>
        <v>-5279918267.1176195</v>
      </c>
      <c r="J2120" s="444">
        <f t="array" ref="J2120">IFERROR(INDEX('Retirement Calculator'!K:K,MATCH('Lorri 401b'!N2120,'Retirement Calculator'!A:A,0),0),0)</f>
        <v>0</v>
      </c>
      <c r="K2120" s="444">
        <f t="shared" ca="1" si="123"/>
        <v>-21999659.446323413</v>
      </c>
      <c r="L2120" s="444">
        <f t="shared" ca="1" si="124"/>
        <v>-5301917926.5639429</v>
      </c>
      <c r="M2120" s="460">
        <f t="shared" si="126"/>
        <v>0.05</v>
      </c>
      <c r="N2120" s="464">
        <f t="shared" si="127"/>
        <v>115570</v>
      </c>
    </row>
    <row r="2121" spans="7:14" ht="11.25" customHeight="1" x14ac:dyDescent="0.25">
      <c r="G2121" s="459"/>
      <c r="H2121" s="459">
        <v>2114</v>
      </c>
      <c r="I2121" s="444">
        <f t="shared" ca="1" si="125"/>
        <v>-5301917926.5639429</v>
      </c>
      <c r="J2121" s="444">
        <f t="array" ref="J2121">IFERROR(INDEX('Retirement Calculator'!K:K,MATCH('Lorri 401b'!N2121,'Retirement Calculator'!A:A,0),0),0)</f>
        <v>0</v>
      </c>
      <c r="K2121" s="444">
        <f t="shared" ca="1" si="123"/>
        <v>-22091324.694016427</v>
      </c>
      <c r="L2121" s="444">
        <f t="shared" ca="1" si="124"/>
        <v>-5324009251.2579594</v>
      </c>
      <c r="M2121" s="460">
        <f t="shared" si="126"/>
        <v>0.05</v>
      </c>
      <c r="N2121" s="464">
        <f t="shared" si="127"/>
        <v>115600</v>
      </c>
    </row>
    <row r="2122" spans="7:14" ht="11.25" customHeight="1" x14ac:dyDescent="0.25">
      <c r="G2122" s="459"/>
      <c r="H2122" s="459">
        <v>2115</v>
      </c>
      <c r="I2122" s="444">
        <f t="shared" ca="1" si="125"/>
        <v>-5324009251.2579594</v>
      </c>
      <c r="J2122" s="444">
        <f t="array" ref="J2122">IFERROR(INDEX('Retirement Calculator'!K:K,MATCH('Lorri 401b'!N2122,'Retirement Calculator'!A:A,0),0),0)</f>
        <v>0</v>
      </c>
      <c r="K2122" s="444">
        <f t="shared" ca="1" si="123"/>
        <v>-22183371.880241498</v>
      </c>
      <c r="L2122" s="444">
        <f t="shared" ca="1" si="124"/>
        <v>-5346192623.1382008</v>
      </c>
      <c r="M2122" s="460">
        <f t="shared" si="126"/>
        <v>0.05</v>
      </c>
      <c r="N2122" s="464">
        <f t="shared" si="127"/>
        <v>115631</v>
      </c>
    </row>
    <row r="2123" spans="7:14" ht="11.25" customHeight="1" x14ac:dyDescent="0.25">
      <c r="G2123" s="459"/>
      <c r="H2123" s="459">
        <v>2116</v>
      </c>
      <c r="I2123" s="444">
        <f t="shared" ca="1" si="125"/>
        <v>-5346192623.1382008</v>
      </c>
      <c r="J2123" s="444">
        <f t="array" ref="J2123">IFERROR(INDEX('Retirement Calculator'!K:K,MATCH('Lorri 401b'!N2123,'Retirement Calculator'!A:A,0),0),0)</f>
        <v>0</v>
      </c>
      <c r="K2123" s="444">
        <f t="shared" ca="1" si="123"/>
        <v>-22275802.596409168</v>
      </c>
      <c r="L2123" s="444">
        <f t="shared" ca="1" si="124"/>
        <v>-5368468425.7346096</v>
      </c>
      <c r="M2123" s="460">
        <f t="shared" si="126"/>
        <v>0.05</v>
      </c>
      <c r="N2123" s="464">
        <f t="shared" si="127"/>
        <v>115662</v>
      </c>
    </row>
    <row r="2124" spans="7:14" ht="11.25" customHeight="1" x14ac:dyDescent="0.25">
      <c r="G2124" s="459"/>
      <c r="H2124" s="459">
        <v>2117</v>
      </c>
      <c r="I2124" s="444">
        <f t="shared" ca="1" si="125"/>
        <v>-5368468425.7346096</v>
      </c>
      <c r="J2124" s="444">
        <f t="array" ref="J2124">IFERROR(INDEX('Retirement Calculator'!K:K,MATCH('Lorri 401b'!N2124,'Retirement Calculator'!A:A,0),0),0)</f>
        <v>0</v>
      </c>
      <c r="K2124" s="444">
        <f t="shared" ca="1" si="123"/>
        <v>-22368618.440560874</v>
      </c>
      <c r="L2124" s="444">
        <f t="shared" ca="1" si="124"/>
        <v>-5390837044.1751709</v>
      </c>
      <c r="M2124" s="460">
        <f t="shared" si="126"/>
        <v>0.05</v>
      </c>
      <c r="N2124" s="464">
        <f t="shared" si="127"/>
        <v>115692</v>
      </c>
    </row>
    <row r="2125" spans="7:14" ht="11.25" customHeight="1" x14ac:dyDescent="0.25">
      <c r="G2125" s="459"/>
      <c r="H2125" s="459">
        <v>2118</v>
      </c>
      <c r="I2125" s="444">
        <f t="shared" ca="1" si="125"/>
        <v>-5390837044.1751709</v>
      </c>
      <c r="J2125" s="444">
        <f t="array" ref="J2125">IFERROR(INDEX('Retirement Calculator'!K:K,MATCH('Lorri 401b'!N2125,'Retirement Calculator'!A:A,0),0),0)</f>
        <v>0</v>
      </c>
      <c r="K2125" s="444">
        <f t="shared" ca="1" si="123"/>
        <v>-22461821.017396547</v>
      </c>
      <c r="L2125" s="444">
        <f t="shared" ca="1" si="124"/>
        <v>-5413298865.1925678</v>
      </c>
      <c r="M2125" s="460">
        <f t="shared" si="126"/>
        <v>0.05</v>
      </c>
      <c r="N2125" s="464">
        <f t="shared" si="127"/>
        <v>115723</v>
      </c>
    </row>
    <row r="2126" spans="7:14" ht="11.25" customHeight="1" x14ac:dyDescent="0.25">
      <c r="G2126" s="459"/>
      <c r="H2126" s="459">
        <v>2119</v>
      </c>
      <c r="I2126" s="444">
        <f t="shared" ca="1" si="125"/>
        <v>-5413298865.1925678</v>
      </c>
      <c r="J2126" s="444">
        <f t="array" ref="J2126">IFERROR(INDEX('Retirement Calculator'!K:K,MATCH('Lorri 401b'!N2126,'Retirement Calculator'!A:A,0),0),0)</f>
        <v>0</v>
      </c>
      <c r="K2126" s="444">
        <f t="shared" ca="1" si="123"/>
        <v>-22555411.938302364</v>
      </c>
      <c r="L2126" s="444">
        <f t="shared" ca="1" si="124"/>
        <v>-5435854277.1308699</v>
      </c>
      <c r="M2126" s="460">
        <f t="shared" si="126"/>
        <v>0.05</v>
      </c>
      <c r="N2126" s="464">
        <f t="shared" si="127"/>
        <v>115753</v>
      </c>
    </row>
    <row r="2127" spans="7:14" ht="11.25" customHeight="1" x14ac:dyDescent="0.25">
      <c r="G2127" s="459"/>
      <c r="H2127" s="459">
        <v>2120</v>
      </c>
      <c r="I2127" s="444">
        <f t="shared" ca="1" si="125"/>
        <v>-5435854277.1308699</v>
      </c>
      <c r="J2127" s="444">
        <f t="array" ref="J2127">IFERROR(INDEX('Retirement Calculator'!K:K,MATCH('Lorri 401b'!N2127,'Retirement Calculator'!A:A,0),0),0)</f>
        <v>0</v>
      </c>
      <c r="K2127" s="444">
        <f t="shared" ca="1" si="123"/>
        <v>-22649392.821378626</v>
      </c>
      <c r="L2127" s="444">
        <f t="shared" ca="1" si="124"/>
        <v>-5458503669.9522486</v>
      </c>
      <c r="M2127" s="460">
        <f t="shared" si="126"/>
        <v>0.05</v>
      </c>
      <c r="N2127" s="464">
        <f t="shared" si="127"/>
        <v>115784</v>
      </c>
    </row>
    <row r="2128" spans="7:14" ht="11.25" customHeight="1" x14ac:dyDescent="0.25">
      <c r="G2128" s="459"/>
      <c r="H2128" s="459">
        <v>2121</v>
      </c>
      <c r="I2128" s="444">
        <f t="shared" ca="1" si="125"/>
        <v>-5458503669.9522486</v>
      </c>
      <c r="J2128" s="444">
        <f t="array" ref="J2128">IFERROR(INDEX('Retirement Calculator'!K:K,MATCH('Lorri 401b'!N2128,'Retirement Calculator'!A:A,0),0),0)</f>
        <v>0</v>
      </c>
      <c r="K2128" s="444">
        <f t="shared" ca="1" si="123"/>
        <v>-22743765.291467704</v>
      </c>
      <c r="L2128" s="444">
        <f t="shared" ca="1" si="124"/>
        <v>-5481247435.2437162</v>
      </c>
      <c r="M2128" s="460">
        <f t="shared" si="126"/>
        <v>0.05</v>
      </c>
      <c r="N2128" s="464">
        <f t="shared" si="127"/>
        <v>115815</v>
      </c>
    </row>
    <row r="2129" spans="7:14" ht="11.25" customHeight="1" x14ac:dyDescent="0.25">
      <c r="G2129" s="459"/>
      <c r="H2129" s="459">
        <v>2122</v>
      </c>
      <c r="I2129" s="444">
        <f t="shared" ca="1" si="125"/>
        <v>-5481247435.2437162</v>
      </c>
      <c r="J2129" s="444">
        <f t="array" ref="J2129">IFERROR(INDEX('Retirement Calculator'!K:K,MATCH('Lorri 401b'!N2129,'Retirement Calculator'!A:A,0),0),0)</f>
        <v>0</v>
      </c>
      <c r="K2129" s="444">
        <f t="shared" ca="1" si="123"/>
        <v>-22838530.980182152</v>
      </c>
      <c r="L2129" s="444">
        <f t="shared" ca="1" si="124"/>
        <v>-5504085966.2238979</v>
      </c>
      <c r="M2129" s="460">
        <f t="shared" si="126"/>
        <v>0.05</v>
      </c>
      <c r="N2129" s="464">
        <f t="shared" si="127"/>
        <v>115843</v>
      </c>
    </row>
    <row r="2130" spans="7:14" ht="11.25" customHeight="1" x14ac:dyDescent="0.25">
      <c r="G2130" s="459"/>
      <c r="H2130" s="459">
        <v>2123</v>
      </c>
      <c r="I2130" s="444">
        <f t="shared" ca="1" si="125"/>
        <v>-5504085966.2238979</v>
      </c>
      <c r="J2130" s="444">
        <f t="array" ref="J2130">IFERROR(INDEX('Retirement Calculator'!K:K,MATCH('Lorri 401b'!N2130,'Retirement Calculator'!A:A,0),0),0)</f>
        <v>0</v>
      </c>
      <c r="K2130" s="444">
        <f t="shared" ca="1" si="123"/>
        <v>-22933691.525932908</v>
      </c>
      <c r="L2130" s="444">
        <f t="shared" ca="1" si="124"/>
        <v>-5527019657.7498312</v>
      </c>
      <c r="M2130" s="460">
        <f t="shared" si="126"/>
        <v>0.05</v>
      </c>
      <c r="N2130" s="464">
        <f t="shared" si="127"/>
        <v>115874</v>
      </c>
    </row>
    <row r="2131" spans="7:14" ht="11.25" customHeight="1" x14ac:dyDescent="0.25">
      <c r="G2131" s="459"/>
      <c r="H2131" s="459">
        <v>2124</v>
      </c>
      <c r="I2131" s="444">
        <f t="shared" ca="1" si="125"/>
        <v>-5527019657.7498312</v>
      </c>
      <c r="J2131" s="444">
        <f t="array" ref="J2131">IFERROR(INDEX('Retirement Calculator'!K:K,MATCH('Lorri 401b'!N2131,'Retirement Calculator'!A:A,0),0),0)</f>
        <v>0</v>
      </c>
      <c r="K2131" s="444">
        <f t="shared" ca="1" si="123"/>
        <v>-23029248.57395763</v>
      </c>
      <c r="L2131" s="444">
        <f t="shared" ca="1" si="124"/>
        <v>-5550048906.3237886</v>
      </c>
      <c r="M2131" s="460">
        <f t="shared" si="126"/>
        <v>0.05</v>
      </c>
      <c r="N2131" s="464">
        <f t="shared" si="127"/>
        <v>115904</v>
      </c>
    </row>
    <row r="2132" spans="7:14" ht="11.25" customHeight="1" x14ac:dyDescent="0.25">
      <c r="G2132" s="459"/>
      <c r="H2132" s="459">
        <v>2125</v>
      </c>
      <c r="I2132" s="444">
        <f t="shared" ca="1" si="125"/>
        <v>-5550048906.3237886</v>
      </c>
      <c r="J2132" s="444">
        <f t="array" ref="J2132">IFERROR(INDEX('Retirement Calculator'!K:K,MATCH('Lorri 401b'!N2132,'Retirement Calculator'!A:A,0),0),0)</f>
        <v>0</v>
      </c>
      <c r="K2132" s="444">
        <f t="shared" ca="1" si="123"/>
        <v>-23125203.77634912</v>
      </c>
      <c r="L2132" s="444">
        <f t="shared" ca="1" si="124"/>
        <v>-5573174110.1001377</v>
      </c>
      <c r="M2132" s="460">
        <f t="shared" si="126"/>
        <v>0.05</v>
      </c>
      <c r="N2132" s="464">
        <f t="shared" si="127"/>
        <v>115935</v>
      </c>
    </row>
    <row r="2133" spans="7:14" ht="11.25" customHeight="1" x14ac:dyDescent="0.25">
      <c r="G2133" s="459"/>
      <c r="H2133" s="459">
        <v>2126</v>
      </c>
      <c r="I2133" s="444">
        <f t="shared" ca="1" si="125"/>
        <v>-5573174110.1001377</v>
      </c>
      <c r="J2133" s="444">
        <f t="array" ref="J2133">IFERROR(INDEX('Retirement Calculator'!K:K,MATCH('Lorri 401b'!N2133,'Retirement Calculator'!A:A,0),0),0)</f>
        <v>0</v>
      </c>
      <c r="K2133" s="444">
        <f t="shared" ca="1" si="123"/>
        <v>-23221558.792083908</v>
      </c>
      <c r="L2133" s="444">
        <f t="shared" ca="1" si="124"/>
        <v>-5596395668.8922215</v>
      </c>
      <c r="M2133" s="460">
        <f t="shared" si="126"/>
        <v>0.05</v>
      </c>
      <c r="N2133" s="464">
        <f t="shared" si="127"/>
        <v>115965</v>
      </c>
    </row>
    <row r="2134" spans="7:14" ht="11.25" customHeight="1" x14ac:dyDescent="0.25">
      <c r="G2134" s="459"/>
      <c r="H2134" s="459">
        <v>2127</v>
      </c>
      <c r="I2134" s="444">
        <f t="shared" ca="1" si="125"/>
        <v>-5596395668.8922215</v>
      </c>
      <c r="J2134" s="444">
        <f t="array" ref="J2134">IFERROR(INDEX('Retirement Calculator'!K:K,MATCH('Lorri 401b'!N2134,'Retirement Calculator'!A:A,0),0),0)</f>
        <v>0</v>
      </c>
      <c r="K2134" s="444">
        <f t="shared" ca="1" si="123"/>
        <v>-23318315.287050921</v>
      </c>
      <c r="L2134" s="444">
        <f t="shared" ca="1" si="124"/>
        <v>-5619713984.1792727</v>
      </c>
      <c r="M2134" s="460">
        <f t="shared" si="126"/>
        <v>0.05</v>
      </c>
      <c r="N2134" s="464">
        <f t="shared" si="127"/>
        <v>115996</v>
      </c>
    </row>
    <row r="2135" spans="7:14" ht="11.25" customHeight="1" x14ac:dyDescent="0.25">
      <c r="G2135" s="459"/>
      <c r="H2135" s="459">
        <v>2128</v>
      </c>
      <c r="I2135" s="444">
        <f t="shared" ca="1" si="125"/>
        <v>-5619713984.1792727</v>
      </c>
      <c r="J2135" s="444">
        <f t="array" ref="J2135">IFERROR(INDEX('Retirement Calculator'!K:K,MATCH('Lorri 401b'!N2135,'Retirement Calculator'!A:A,0),0),0)</f>
        <v>0</v>
      </c>
      <c r="K2135" s="444">
        <f t="shared" ca="1" si="123"/>
        <v>-23415474.934080303</v>
      </c>
      <c r="L2135" s="444">
        <f t="shared" ca="1" si="124"/>
        <v>-5643129459.1133528</v>
      </c>
      <c r="M2135" s="460">
        <f t="shared" si="126"/>
        <v>0.05</v>
      </c>
      <c r="N2135" s="464">
        <f t="shared" si="127"/>
        <v>116027</v>
      </c>
    </row>
    <row r="2136" spans="7:14" ht="11.25" customHeight="1" x14ac:dyDescent="0.25">
      <c r="G2136" s="459"/>
      <c r="H2136" s="459">
        <v>2129</v>
      </c>
      <c r="I2136" s="444">
        <f t="shared" ca="1" si="125"/>
        <v>-5643129459.1133528</v>
      </c>
      <c r="J2136" s="444">
        <f t="array" ref="J2136">IFERROR(INDEX('Retirement Calculator'!K:K,MATCH('Lorri 401b'!N2136,'Retirement Calculator'!A:A,0),0),0)</f>
        <v>0</v>
      </c>
      <c r="K2136" s="444">
        <f t="shared" ca="1" si="123"/>
        <v>-23513039.412972301</v>
      </c>
      <c r="L2136" s="444">
        <f t="shared" ca="1" si="124"/>
        <v>-5666642498.5263252</v>
      </c>
      <c r="M2136" s="460">
        <f t="shared" si="126"/>
        <v>0.05</v>
      </c>
      <c r="N2136" s="464">
        <f t="shared" si="127"/>
        <v>116057</v>
      </c>
    </row>
    <row r="2137" spans="7:14" ht="11.25" customHeight="1" x14ac:dyDescent="0.25">
      <c r="G2137" s="459"/>
      <c r="H2137" s="459">
        <v>2130</v>
      </c>
      <c r="I2137" s="444">
        <f t="shared" ca="1" si="125"/>
        <v>-5666642498.5263252</v>
      </c>
      <c r="J2137" s="444">
        <f t="array" ref="J2137">IFERROR(INDEX('Retirement Calculator'!K:K,MATCH('Lorri 401b'!N2137,'Retirement Calculator'!A:A,0),0),0)</f>
        <v>0</v>
      </c>
      <c r="K2137" s="444">
        <f t="shared" ca="1" si="123"/>
        <v>-23611010.410526354</v>
      </c>
      <c r="L2137" s="444">
        <f t="shared" ca="1" si="124"/>
        <v>-5690253508.9368515</v>
      </c>
      <c r="M2137" s="460">
        <f t="shared" si="126"/>
        <v>0.05</v>
      </c>
      <c r="N2137" s="464">
        <f t="shared" si="127"/>
        <v>116088</v>
      </c>
    </row>
    <row r="2138" spans="7:14" ht="11.25" customHeight="1" x14ac:dyDescent="0.25">
      <c r="G2138" s="459"/>
      <c r="H2138" s="459">
        <v>2131</v>
      </c>
      <c r="I2138" s="444">
        <f t="shared" ca="1" si="125"/>
        <v>-5690253508.9368515</v>
      </c>
      <c r="J2138" s="444">
        <f t="array" ref="J2138">IFERROR(INDEX('Retirement Calculator'!K:K,MATCH('Lorri 401b'!N2138,'Retirement Calculator'!A:A,0),0),0)</f>
        <v>0</v>
      </c>
      <c r="K2138" s="444">
        <f t="shared" ca="1" si="123"/>
        <v>-23709389.620570213</v>
      </c>
      <c r="L2138" s="444">
        <f t="shared" ca="1" si="124"/>
        <v>-5713962898.5574217</v>
      </c>
      <c r="M2138" s="460">
        <f t="shared" si="126"/>
        <v>0.05</v>
      </c>
      <c r="N2138" s="464">
        <f t="shared" si="127"/>
        <v>116118</v>
      </c>
    </row>
    <row r="2139" spans="7:14" ht="11.25" customHeight="1" x14ac:dyDescent="0.25">
      <c r="G2139" s="459"/>
      <c r="H2139" s="459">
        <v>2132</v>
      </c>
      <c r="I2139" s="444">
        <f t="shared" ca="1" si="125"/>
        <v>-5713962898.5574217</v>
      </c>
      <c r="J2139" s="444">
        <f t="array" ref="J2139">IFERROR(INDEX('Retirement Calculator'!K:K,MATCH('Lorri 401b'!N2139,'Retirement Calculator'!A:A,0),0),0)</f>
        <v>0</v>
      </c>
      <c r="K2139" s="444">
        <f t="shared" ca="1" si="123"/>
        <v>-23808178.743989255</v>
      </c>
      <c r="L2139" s="444">
        <f t="shared" ca="1" si="124"/>
        <v>-5737771077.3014107</v>
      </c>
      <c r="M2139" s="460">
        <f t="shared" si="126"/>
        <v>0.05</v>
      </c>
      <c r="N2139" s="464">
        <f t="shared" si="127"/>
        <v>116149</v>
      </c>
    </row>
    <row r="2140" spans="7:14" ht="11.25" customHeight="1" x14ac:dyDescent="0.25">
      <c r="G2140" s="459"/>
      <c r="H2140" s="459">
        <v>2133</v>
      </c>
      <c r="I2140" s="444">
        <f t="shared" ca="1" si="125"/>
        <v>-5737771077.3014107</v>
      </c>
      <c r="J2140" s="444">
        <f t="array" ref="J2140">IFERROR(INDEX('Retirement Calculator'!K:K,MATCH('Lorri 401b'!N2140,'Retirement Calculator'!A:A,0),0),0)</f>
        <v>0</v>
      </c>
      <c r="K2140" s="444">
        <f t="shared" ca="1" si="123"/>
        <v>-23907379.488755878</v>
      </c>
      <c r="L2140" s="444">
        <f t="shared" ca="1" si="124"/>
        <v>-5761678456.7901669</v>
      </c>
      <c r="M2140" s="460">
        <f t="shared" si="126"/>
        <v>0.05</v>
      </c>
      <c r="N2140" s="464">
        <f t="shared" si="127"/>
        <v>116180</v>
      </c>
    </row>
    <row r="2141" spans="7:14" ht="11.25" customHeight="1" x14ac:dyDescent="0.25">
      <c r="G2141" s="459"/>
      <c r="H2141" s="459">
        <v>2134</v>
      </c>
      <c r="I2141" s="444">
        <f t="shared" ca="1" si="125"/>
        <v>-5761678456.7901669</v>
      </c>
      <c r="J2141" s="444">
        <f t="array" ref="J2141">IFERROR(INDEX('Retirement Calculator'!K:K,MATCH('Lorri 401b'!N2141,'Retirement Calculator'!A:A,0),0),0)</f>
        <v>0</v>
      </c>
      <c r="K2141" s="444">
        <f t="shared" ca="1" si="123"/>
        <v>-24006993.56995903</v>
      </c>
      <c r="L2141" s="444">
        <f t="shared" ca="1" si="124"/>
        <v>-5785685450.3601255</v>
      </c>
      <c r="M2141" s="460">
        <f t="shared" si="126"/>
        <v>0.05</v>
      </c>
      <c r="N2141" s="464">
        <f t="shared" si="127"/>
        <v>116208</v>
      </c>
    </row>
    <row r="2142" spans="7:14" ht="11.25" customHeight="1" x14ac:dyDescent="0.25">
      <c r="G2142" s="459"/>
      <c r="H2142" s="459">
        <v>2135</v>
      </c>
      <c r="I2142" s="444">
        <f t="shared" ca="1" si="125"/>
        <v>-5785685450.3601255</v>
      </c>
      <c r="J2142" s="444">
        <f t="array" ref="J2142">IFERROR(INDEX('Retirement Calculator'!K:K,MATCH('Lorri 401b'!N2142,'Retirement Calculator'!A:A,0),0),0)</f>
        <v>0</v>
      </c>
      <c r="K2142" s="444">
        <f t="shared" ca="1" si="123"/>
        <v>-24107022.709833857</v>
      </c>
      <c r="L2142" s="444">
        <f t="shared" ca="1" si="124"/>
        <v>-5809792473.0699596</v>
      </c>
      <c r="M2142" s="460">
        <f t="shared" si="126"/>
        <v>0.05</v>
      </c>
      <c r="N2142" s="464">
        <f t="shared" si="127"/>
        <v>116239</v>
      </c>
    </row>
    <row r="2143" spans="7:14" ht="11.25" customHeight="1" x14ac:dyDescent="0.25">
      <c r="G2143" s="459"/>
      <c r="H2143" s="459">
        <v>2136</v>
      </c>
      <c r="I2143" s="444">
        <f t="shared" ca="1" si="125"/>
        <v>-5809792473.0699596</v>
      </c>
      <c r="J2143" s="444">
        <f t="array" ref="J2143">IFERROR(INDEX('Retirement Calculator'!K:K,MATCH('Lorri 401b'!N2143,'Retirement Calculator'!A:A,0),0),0)</f>
        <v>0</v>
      </c>
      <c r="K2143" s="444">
        <f t="shared" ca="1" si="123"/>
        <v>-24207468.637791499</v>
      </c>
      <c r="L2143" s="444">
        <f t="shared" ca="1" si="124"/>
        <v>-5833999941.7077513</v>
      </c>
      <c r="M2143" s="460">
        <f t="shared" si="126"/>
        <v>0.05</v>
      </c>
      <c r="N2143" s="464">
        <f t="shared" si="127"/>
        <v>116269</v>
      </c>
    </row>
    <row r="2144" spans="7:14" ht="11.25" customHeight="1" x14ac:dyDescent="0.25">
      <c r="G2144" s="459"/>
      <c r="H2144" s="459">
        <v>2137</v>
      </c>
      <c r="I2144" s="444">
        <f t="shared" ca="1" si="125"/>
        <v>-5833999941.7077513</v>
      </c>
      <c r="J2144" s="444">
        <f t="array" ref="J2144">IFERROR(INDEX('Retirement Calculator'!K:K,MATCH('Lorri 401b'!N2144,'Retirement Calculator'!A:A,0),0),0)</f>
        <v>0</v>
      </c>
      <c r="K2144" s="444">
        <f t="shared" ca="1" si="123"/>
        <v>-24308333.090448964</v>
      </c>
      <c r="L2144" s="444">
        <f t="shared" ca="1" si="124"/>
        <v>-5858308274.7982006</v>
      </c>
      <c r="M2144" s="460">
        <f t="shared" si="126"/>
        <v>0.05</v>
      </c>
      <c r="N2144" s="464">
        <f t="shared" si="127"/>
        <v>116300</v>
      </c>
    </row>
    <row r="2145" spans="7:14" ht="11.25" customHeight="1" x14ac:dyDescent="0.25">
      <c r="G2145" s="459"/>
      <c r="H2145" s="459">
        <v>2138</v>
      </c>
      <c r="I2145" s="444">
        <f t="shared" ca="1" si="125"/>
        <v>-5858308274.7982006</v>
      </c>
      <c r="J2145" s="444">
        <f t="array" ref="J2145">IFERROR(INDEX('Retirement Calculator'!K:K,MATCH('Lorri 401b'!N2145,'Retirement Calculator'!A:A,0),0),0)</f>
        <v>0</v>
      </c>
      <c r="K2145" s="444">
        <f t="shared" ca="1" si="123"/>
        <v>-24409617.811659168</v>
      </c>
      <c r="L2145" s="444">
        <f t="shared" ca="1" si="124"/>
        <v>-5882717892.6098595</v>
      </c>
      <c r="M2145" s="460">
        <f t="shared" si="126"/>
        <v>0.05</v>
      </c>
      <c r="N2145" s="464">
        <f t="shared" si="127"/>
        <v>116330</v>
      </c>
    </row>
    <row r="2146" spans="7:14" ht="11.25" customHeight="1" x14ac:dyDescent="0.25">
      <c r="G2146" s="459"/>
      <c r="H2146" s="459">
        <v>2139</v>
      </c>
      <c r="I2146" s="444">
        <f t="shared" ca="1" si="125"/>
        <v>-5882717892.6098595</v>
      </c>
      <c r="J2146" s="444">
        <f t="array" ref="J2146">IFERROR(INDEX('Retirement Calculator'!K:K,MATCH('Lorri 401b'!N2146,'Retirement Calculator'!A:A,0),0),0)</f>
        <v>0</v>
      </c>
      <c r="K2146" s="444">
        <f t="shared" ca="1" si="123"/>
        <v>-24511324.552541081</v>
      </c>
      <c r="L2146" s="444">
        <f t="shared" ca="1" si="124"/>
        <v>-5907229217.1624002</v>
      </c>
      <c r="M2146" s="460">
        <f t="shared" si="126"/>
        <v>0.05</v>
      </c>
      <c r="N2146" s="464">
        <f t="shared" si="127"/>
        <v>116361</v>
      </c>
    </row>
    <row r="2147" spans="7:14" ht="11.25" customHeight="1" x14ac:dyDescent="0.25">
      <c r="G2147" s="459"/>
      <c r="H2147" s="459">
        <v>2140</v>
      </c>
      <c r="I2147" s="444">
        <f t="shared" ca="1" si="125"/>
        <v>-5907229217.1624002</v>
      </c>
      <c r="J2147" s="444">
        <f t="array" ref="J2147">IFERROR(INDEX('Retirement Calculator'!K:K,MATCH('Lorri 401b'!N2147,'Retirement Calculator'!A:A,0),0),0)</f>
        <v>0</v>
      </c>
      <c r="K2147" s="444">
        <f t="shared" ca="1" si="123"/>
        <v>-24613455.071510002</v>
      </c>
      <c r="L2147" s="444">
        <f t="shared" ca="1" si="124"/>
        <v>-5931842672.2339106</v>
      </c>
      <c r="M2147" s="460">
        <f t="shared" si="126"/>
        <v>0.05</v>
      </c>
      <c r="N2147" s="464">
        <f t="shared" si="127"/>
        <v>116392</v>
      </c>
    </row>
    <row r="2148" spans="7:14" ht="11.25" customHeight="1" x14ac:dyDescent="0.25">
      <c r="G2148" s="459"/>
      <c r="H2148" s="459">
        <v>2141</v>
      </c>
      <c r="I2148" s="444">
        <f t="shared" ca="1" si="125"/>
        <v>-5931842672.2339106</v>
      </c>
      <c r="J2148" s="444">
        <f t="array" ref="J2148">IFERROR(INDEX('Retirement Calculator'!K:K,MATCH('Lorri 401b'!N2148,'Retirement Calculator'!A:A,0),0),0)</f>
        <v>0</v>
      </c>
      <c r="K2148" s="444">
        <f t="shared" ca="1" si="123"/>
        <v>-24716011.134307962</v>
      </c>
      <c r="L2148" s="444">
        <f t="shared" ca="1" si="124"/>
        <v>-5956558683.3682184</v>
      </c>
      <c r="M2148" s="460">
        <f t="shared" si="126"/>
        <v>0.05</v>
      </c>
      <c r="N2148" s="464">
        <f t="shared" si="127"/>
        <v>116422</v>
      </c>
    </row>
    <row r="2149" spans="7:14" ht="11.25" customHeight="1" x14ac:dyDescent="0.25">
      <c r="G2149" s="459"/>
      <c r="H2149" s="459">
        <v>2142</v>
      </c>
      <c r="I2149" s="444">
        <f t="shared" ca="1" si="125"/>
        <v>-5956558683.3682184</v>
      </c>
      <c r="J2149" s="444">
        <f t="array" ref="J2149">IFERROR(INDEX('Retirement Calculator'!K:K,MATCH('Lorri 401b'!N2149,'Retirement Calculator'!A:A,0),0),0)</f>
        <v>0</v>
      </c>
      <c r="K2149" s="444">
        <f t="shared" ca="1" si="123"/>
        <v>-24818994.514034241</v>
      </c>
      <c r="L2149" s="444">
        <f t="shared" ca="1" si="124"/>
        <v>-5981377677.8822527</v>
      </c>
      <c r="M2149" s="460">
        <f t="shared" si="126"/>
        <v>0.05</v>
      </c>
      <c r="N2149" s="464">
        <f t="shared" si="127"/>
        <v>116453</v>
      </c>
    </row>
    <row r="2150" spans="7:14" ht="11.25" customHeight="1" x14ac:dyDescent="0.25">
      <c r="G2150" s="459"/>
      <c r="H2150" s="459">
        <v>2143</v>
      </c>
      <c r="I2150" s="444">
        <f t="shared" ca="1" si="125"/>
        <v>-5981377677.8822527</v>
      </c>
      <c r="J2150" s="444">
        <f t="array" ref="J2150">IFERROR(INDEX('Retirement Calculator'!K:K,MATCH('Lorri 401b'!N2150,'Retirement Calculator'!A:A,0),0),0)</f>
        <v>0</v>
      </c>
      <c r="K2150" s="444">
        <f t="shared" ca="1" si="123"/>
        <v>-24922406.991176054</v>
      </c>
      <c r="L2150" s="444">
        <f t="shared" ca="1" si="124"/>
        <v>-6006300084.8734283</v>
      </c>
      <c r="M2150" s="460">
        <f t="shared" si="126"/>
        <v>0.05</v>
      </c>
      <c r="N2150" s="464">
        <f t="shared" si="127"/>
        <v>116483</v>
      </c>
    </row>
    <row r="2151" spans="7:14" ht="11.25" customHeight="1" x14ac:dyDescent="0.25">
      <c r="G2151" s="459"/>
      <c r="H2151" s="459">
        <v>2144</v>
      </c>
      <c r="I2151" s="444">
        <f t="shared" ca="1" si="125"/>
        <v>-6006300084.8734283</v>
      </c>
      <c r="J2151" s="444">
        <f t="array" ref="J2151">IFERROR(INDEX('Retirement Calculator'!K:K,MATCH('Lorri 401b'!N2151,'Retirement Calculator'!A:A,0),0),0)</f>
        <v>0</v>
      </c>
      <c r="K2151" s="444">
        <f t="shared" ca="1" si="123"/>
        <v>-25026250.353639286</v>
      </c>
      <c r="L2151" s="444">
        <f t="shared" ca="1" si="124"/>
        <v>-6031326335.2270679</v>
      </c>
      <c r="M2151" s="460">
        <f t="shared" si="126"/>
        <v>0.05</v>
      </c>
      <c r="N2151" s="464">
        <f t="shared" si="127"/>
        <v>116514</v>
      </c>
    </row>
    <row r="2152" spans="7:14" ht="11.25" customHeight="1" x14ac:dyDescent="0.25">
      <c r="G2152" s="459"/>
      <c r="H2152" s="459">
        <v>2145</v>
      </c>
      <c r="I2152" s="444">
        <f t="shared" ca="1" si="125"/>
        <v>-6031326335.2270679</v>
      </c>
      <c r="J2152" s="444">
        <f t="array" ref="J2152">IFERROR(INDEX('Retirement Calculator'!K:K,MATCH('Lorri 401b'!N2152,'Retirement Calculator'!A:A,0),0),0)</f>
        <v>0</v>
      </c>
      <c r="K2152" s="444">
        <f t="shared" ca="1" si="123"/>
        <v>-25130526.396779448</v>
      </c>
      <c r="L2152" s="444">
        <f t="shared" ca="1" si="124"/>
        <v>-6056456861.623847</v>
      </c>
      <c r="M2152" s="460">
        <f t="shared" si="126"/>
        <v>0.05</v>
      </c>
      <c r="N2152" s="464">
        <f t="shared" si="127"/>
        <v>116545</v>
      </c>
    </row>
    <row r="2153" spans="7:14" ht="11.25" customHeight="1" x14ac:dyDescent="0.25">
      <c r="G2153" s="459"/>
      <c r="H2153" s="459">
        <v>2146</v>
      </c>
      <c r="I2153" s="444">
        <f t="shared" ca="1" si="125"/>
        <v>-6056456861.623847</v>
      </c>
      <c r="J2153" s="444">
        <f t="array" ref="J2153">IFERROR(INDEX('Retirement Calculator'!K:K,MATCH('Lorri 401b'!N2153,'Retirement Calculator'!A:A,0),0),0)</f>
        <v>0</v>
      </c>
      <c r="K2153" s="444">
        <f t="shared" ca="1" si="123"/>
        <v>-25235236.923432697</v>
      </c>
      <c r="L2153" s="444">
        <f t="shared" ca="1" si="124"/>
        <v>-6081692098.5472794</v>
      </c>
      <c r="M2153" s="460">
        <f t="shared" si="126"/>
        <v>0.05</v>
      </c>
      <c r="N2153" s="464">
        <f t="shared" si="127"/>
        <v>116573</v>
      </c>
    </row>
    <row r="2154" spans="7:14" ht="11.25" customHeight="1" x14ac:dyDescent="0.25">
      <c r="G2154" s="459"/>
      <c r="H2154" s="459">
        <v>2147</v>
      </c>
      <c r="I2154" s="444">
        <f t="shared" ca="1" si="125"/>
        <v>-6081692098.5472794</v>
      </c>
      <c r="J2154" s="444">
        <f t="array" ref="J2154">IFERROR(INDEX('Retirement Calculator'!K:K,MATCH('Lorri 401b'!N2154,'Retirement Calculator'!A:A,0),0),0)</f>
        <v>0</v>
      </c>
      <c r="K2154" s="444">
        <f t="shared" ca="1" si="123"/>
        <v>-25340383.743946996</v>
      </c>
      <c r="L2154" s="444">
        <f t="shared" ca="1" si="124"/>
        <v>-6107032482.2912264</v>
      </c>
      <c r="M2154" s="460">
        <f t="shared" si="126"/>
        <v>0.05</v>
      </c>
      <c r="N2154" s="464">
        <f t="shared" si="127"/>
        <v>116604</v>
      </c>
    </row>
    <row r="2155" spans="7:14" ht="11.25" customHeight="1" x14ac:dyDescent="0.25">
      <c r="G2155" s="459"/>
      <c r="H2155" s="459">
        <v>2148</v>
      </c>
      <c r="I2155" s="444">
        <f t="shared" ca="1" si="125"/>
        <v>-6107032482.2912264</v>
      </c>
      <c r="J2155" s="444">
        <f t="array" ref="J2155">IFERROR(INDEX('Retirement Calculator'!K:K,MATCH('Lorri 401b'!N2155,'Retirement Calculator'!A:A,0),0),0)</f>
        <v>0</v>
      </c>
      <c r="K2155" s="444">
        <f t="shared" ca="1" si="123"/>
        <v>-25445968.676213443</v>
      </c>
      <c r="L2155" s="444">
        <f t="shared" ca="1" si="124"/>
        <v>-6132478450.9674397</v>
      </c>
      <c r="M2155" s="460">
        <f t="shared" si="126"/>
        <v>0.05</v>
      </c>
      <c r="N2155" s="464">
        <f t="shared" si="127"/>
        <v>116634</v>
      </c>
    </row>
    <row r="2156" spans="7:14" ht="11.25" customHeight="1" x14ac:dyDescent="0.25">
      <c r="G2156" s="459"/>
      <c r="H2156" s="459">
        <v>2149</v>
      </c>
      <c r="I2156" s="444">
        <f t="shared" ca="1" si="125"/>
        <v>-6132478450.9674397</v>
      </c>
      <c r="J2156" s="444">
        <f t="array" ref="J2156">IFERROR(INDEX('Retirement Calculator'!K:K,MATCH('Lorri 401b'!N2156,'Retirement Calculator'!A:A,0),0),0)</f>
        <v>0</v>
      </c>
      <c r="K2156" s="444">
        <f t="shared" ca="1" si="123"/>
        <v>-25551993.545697667</v>
      </c>
      <c r="L2156" s="444">
        <f t="shared" ca="1" si="124"/>
        <v>-6158030444.5131369</v>
      </c>
      <c r="M2156" s="460">
        <f t="shared" si="126"/>
        <v>0.05</v>
      </c>
      <c r="N2156" s="464">
        <f t="shared" si="127"/>
        <v>116665</v>
      </c>
    </row>
    <row r="2157" spans="7:14" ht="11.25" customHeight="1" x14ac:dyDescent="0.25">
      <c r="G2157" s="459"/>
      <c r="H2157" s="459">
        <v>2150</v>
      </c>
      <c r="I2157" s="444">
        <f t="shared" ca="1" si="125"/>
        <v>-6158030444.5131369</v>
      </c>
      <c r="J2157" s="444">
        <f t="array" ref="J2157">IFERROR(INDEX('Retirement Calculator'!K:K,MATCH('Lorri 401b'!N2157,'Retirement Calculator'!A:A,0),0),0)</f>
        <v>0</v>
      </c>
      <c r="K2157" s="444">
        <f t="shared" ca="1" si="123"/>
        <v>-25658460.185471404</v>
      </c>
      <c r="L2157" s="444">
        <f t="shared" ca="1" si="124"/>
        <v>-6183688904.6986084</v>
      </c>
      <c r="M2157" s="460">
        <f t="shared" si="126"/>
        <v>0.05</v>
      </c>
      <c r="N2157" s="464">
        <f t="shared" si="127"/>
        <v>116695</v>
      </c>
    </row>
    <row r="2158" spans="7:14" ht="11.25" customHeight="1" x14ac:dyDescent="0.25">
      <c r="G2158" s="459"/>
      <c r="H2158" s="459">
        <v>2151</v>
      </c>
      <c r="I2158" s="444">
        <f t="shared" ca="1" si="125"/>
        <v>-6183688904.6986084</v>
      </c>
      <c r="J2158" s="444">
        <f t="array" ref="J2158">IFERROR(INDEX('Retirement Calculator'!K:K,MATCH('Lorri 401b'!N2158,'Retirement Calculator'!A:A,0),0),0)</f>
        <v>0</v>
      </c>
      <c r="K2158" s="444">
        <f t="shared" ca="1" si="123"/>
        <v>-25765370.436244201</v>
      </c>
      <c r="L2158" s="444">
        <f t="shared" ca="1" si="124"/>
        <v>-6209454275.1348524</v>
      </c>
      <c r="M2158" s="460">
        <f t="shared" si="126"/>
        <v>0.05</v>
      </c>
      <c r="N2158" s="464">
        <f t="shared" si="127"/>
        <v>116726</v>
      </c>
    </row>
    <row r="2159" spans="7:14" ht="11.25" customHeight="1" x14ac:dyDescent="0.25">
      <c r="G2159" s="459"/>
      <c r="H2159" s="459">
        <v>2152</v>
      </c>
      <c r="I2159" s="444">
        <f t="shared" ca="1" si="125"/>
        <v>-6209454275.1348524</v>
      </c>
      <c r="J2159" s="444">
        <f t="array" ref="J2159">IFERROR(INDEX('Retirement Calculator'!K:K,MATCH('Lorri 401b'!N2159,'Retirement Calculator'!A:A,0),0),0)</f>
        <v>0</v>
      </c>
      <c r="K2159" s="444">
        <f t="shared" ca="1" si="123"/>
        <v>-25872726.146395218</v>
      </c>
      <c r="L2159" s="444">
        <f t="shared" ca="1" si="124"/>
        <v>-6235327001.2812481</v>
      </c>
      <c r="M2159" s="460">
        <f t="shared" si="126"/>
        <v>0.05</v>
      </c>
      <c r="N2159" s="464">
        <f t="shared" si="127"/>
        <v>116757</v>
      </c>
    </row>
    <row r="2160" spans="7:14" ht="11.25" customHeight="1" x14ac:dyDescent="0.25">
      <c r="G2160" s="459"/>
      <c r="H2160" s="459">
        <v>2153</v>
      </c>
      <c r="I2160" s="444">
        <f t="shared" ca="1" si="125"/>
        <v>-6235327001.2812481</v>
      </c>
      <c r="J2160" s="444">
        <f t="array" ref="J2160">IFERROR(INDEX('Retirement Calculator'!K:K,MATCH('Lorri 401b'!N2160,'Retirement Calculator'!A:A,0),0),0)</f>
        <v>0</v>
      </c>
      <c r="K2160" s="444">
        <f t="shared" ca="1" si="123"/>
        <v>-25980529.172005199</v>
      </c>
      <c r="L2160" s="444">
        <f t="shared" ca="1" si="124"/>
        <v>-6261307530.4532537</v>
      </c>
      <c r="M2160" s="460">
        <f t="shared" si="126"/>
        <v>0.05</v>
      </c>
      <c r="N2160" s="464">
        <f t="shared" si="127"/>
        <v>116787</v>
      </c>
    </row>
    <row r="2161" spans="7:14" ht="11.25" customHeight="1" x14ac:dyDescent="0.25">
      <c r="G2161" s="459"/>
      <c r="H2161" s="459">
        <v>2154</v>
      </c>
      <c r="I2161" s="444">
        <f t="shared" ca="1" si="125"/>
        <v>-6261307530.4532537</v>
      </c>
      <c r="J2161" s="444">
        <f t="array" ref="J2161">IFERROR(INDEX('Retirement Calculator'!K:K,MATCH('Lorri 401b'!N2161,'Retirement Calculator'!A:A,0),0),0)</f>
        <v>0</v>
      </c>
      <c r="K2161" s="444">
        <f t="shared" ca="1" si="123"/>
        <v>-26088781.376888558</v>
      </c>
      <c r="L2161" s="444">
        <f t="shared" ca="1" si="124"/>
        <v>-6287396311.830142</v>
      </c>
      <c r="M2161" s="460">
        <f t="shared" si="126"/>
        <v>0.05</v>
      </c>
      <c r="N2161" s="464">
        <f t="shared" si="127"/>
        <v>116818</v>
      </c>
    </row>
    <row r="2162" spans="7:14" ht="11.25" customHeight="1" x14ac:dyDescent="0.25">
      <c r="G2162" s="459"/>
      <c r="H2162" s="459">
        <v>2155</v>
      </c>
      <c r="I2162" s="444">
        <f t="shared" ca="1" si="125"/>
        <v>-6287396311.830142</v>
      </c>
      <c r="J2162" s="444">
        <f t="array" ref="J2162">IFERROR(INDEX('Retirement Calculator'!K:K,MATCH('Lorri 401b'!N2162,'Retirement Calculator'!A:A,0),0),0)</f>
        <v>0</v>
      </c>
      <c r="K2162" s="444">
        <f t="shared" ca="1" si="123"/>
        <v>-26197484.632625591</v>
      </c>
      <c r="L2162" s="444">
        <f t="shared" ca="1" si="124"/>
        <v>-6313593796.4627676</v>
      </c>
      <c r="M2162" s="460">
        <f t="shared" si="126"/>
        <v>0.05</v>
      </c>
      <c r="N2162" s="464">
        <f t="shared" si="127"/>
        <v>116848</v>
      </c>
    </row>
    <row r="2163" spans="7:14" ht="11.25" customHeight="1" x14ac:dyDescent="0.25">
      <c r="G2163" s="459"/>
      <c r="H2163" s="459">
        <v>2156</v>
      </c>
      <c r="I2163" s="444">
        <f t="shared" ca="1" si="125"/>
        <v>-6313593796.4627676</v>
      </c>
      <c r="J2163" s="444">
        <f t="array" ref="J2163">IFERROR(INDEX('Retirement Calculator'!K:K,MATCH('Lorri 401b'!N2163,'Retirement Calculator'!A:A,0),0),0)</f>
        <v>0</v>
      </c>
      <c r="K2163" s="444">
        <f t="shared" ca="1" si="123"/>
        <v>-26306640.818594866</v>
      </c>
      <c r="L2163" s="444">
        <f t="shared" ca="1" si="124"/>
        <v>-6339900437.2813625</v>
      </c>
      <c r="M2163" s="460">
        <f t="shared" si="126"/>
        <v>0.05</v>
      </c>
      <c r="N2163" s="464">
        <f t="shared" si="127"/>
        <v>116879</v>
      </c>
    </row>
    <row r="2164" spans="7:14" ht="11.25" customHeight="1" x14ac:dyDescent="0.25">
      <c r="G2164" s="459"/>
      <c r="H2164" s="459">
        <v>2157</v>
      </c>
      <c r="I2164" s="444">
        <f t="shared" ca="1" si="125"/>
        <v>-6339900437.2813625</v>
      </c>
      <c r="J2164" s="444">
        <f t="array" ref="J2164">IFERROR(INDEX('Retirement Calculator'!K:K,MATCH('Lorri 401b'!N2164,'Retirement Calculator'!A:A,0),0),0)</f>
        <v>0</v>
      </c>
      <c r="K2164" s="444">
        <f t="shared" ca="1" si="123"/>
        <v>-26416251.822005678</v>
      </c>
      <c r="L2164" s="444">
        <f t="shared" ca="1" si="124"/>
        <v>-6366316689.1033678</v>
      </c>
      <c r="M2164" s="460">
        <f t="shared" si="126"/>
        <v>0.05</v>
      </c>
      <c r="N2164" s="464">
        <f t="shared" si="127"/>
        <v>116910</v>
      </c>
    </row>
    <row r="2165" spans="7:14" ht="11.25" customHeight="1" x14ac:dyDescent="0.25">
      <c r="G2165" s="459"/>
      <c r="H2165" s="459">
        <v>2158</v>
      </c>
      <c r="I2165" s="444">
        <f t="shared" ca="1" si="125"/>
        <v>-6366316689.1033678</v>
      </c>
      <c r="J2165" s="444">
        <f t="array" ref="J2165">IFERROR(INDEX('Retirement Calculator'!K:K,MATCH('Lorri 401b'!N2165,'Retirement Calculator'!A:A,0),0),0)</f>
        <v>0</v>
      </c>
      <c r="K2165" s="444">
        <f t="shared" ca="1" si="123"/>
        <v>-26526319.537930697</v>
      </c>
      <c r="L2165" s="444">
        <f t="shared" ca="1" si="124"/>
        <v>-6392843008.6412983</v>
      </c>
      <c r="M2165" s="460">
        <f t="shared" si="126"/>
        <v>0.05</v>
      </c>
      <c r="N2165" s="464">
        <f t="shared" si="127"/>
        <v>116939</v>
      </c>
    </row>
    <row r="2166" spans="7:14" ht="11.25" customHeight="1" x14ac:dyDescent="0.25">
      <c r="G2166" s="459"/>
      <c r="H2166" s="459">
        <v>2159</v>
      </c>
      <c r="I2166" s="444">
        <f t="shared" ca="1" si="125"/>
        <v>-6392843008.6412983</v>
      </c>
      <c r="J2166" s="444">
        <f t="array" ref="J2166">IFERROR(INDEX('Retirement Calculator'!K:K,MATCH('Lorri 401b'!N2166,'Retirement Calculator'!A:A,0),0),0)</f>
        <v>0</v>
      </c>
      <c r="K2166" s="444">
        <f t="shared" ca="1" si="123"/>
        <v>-26636845.869338743</v>
      </c>
      <c r="L2166" s="444">
        <f t="shared" ca="1" si="124"/>
        <v>-6419479854.5106373</v>
      </c>
      <c r="M2166" s="460">
        <f t="shared" si="126"/>
        <v>0.05</v>
      </c>
      <c r="N2166" s="464">
        <f t="shared" si="127"/>
        <v>116970</v>
      </c>
    </row>
    <row r="2167" spans="7:14" ht="11.25" customHeight="1" x14ac:dyDescent="0.25">
      <c r="G2167" s="459"/>
      <c r="H2167" s="459">
        <v>2160</v>
      </c>
      <c r="I2167" s="444">
        <f t="shared" ca="1" si="125"/>
        <v>-6419479854.5106373</v>
      </c>
      <c r="J2167" s="444">
        <f t="array" ref="J2167">IFERROR(INDEX('Retirement Calculator'!K:K,MATCH('Lorri 401b'!N2167,'Retirement Calculator'!A:A,0),0),0)</f>
        <v>0</v>
      </c>
      <c r="K2167" s="444">
        <f t="shared" ca="1" si="123"/>
        <v>-26747832.727127656</v>
      </c>
      <c r="L2167" s="444">
        <f t="shared" ca="1" si="124"/>
        <v>-6446227687.2377653</v>
      </c>
      <c r="M2167" s="460">
        <f t="shared" si="126"/>
        <v>0.05</v>
      </c>
      <c r="N2167" s="464">
        <f t="shared" si="127"/>
        <v>117000</v>
      </c>
    </row>
    <row r="2168" spans="7:14" ht="11.25" customHeight="1" x14ac:dyDescent="0.25">
      <c r="G2168" s="459"/>
      <c r="H2168" s="459">
        <v>2161</v>
      </c>
      <c r="I2168" s="444">
        <f t="shared" ca="1" si="125"/>
        <v>-6446227687.2377653</v>
      </c>
      <c r="J2168" s="444">
        <f t="array" ref="J2168">IFERROR(INDEX('Retirement Calculator'!K:K,MATCH('Lorri 401b'!N2168,'Retirement Calculator'!A:A,0),0),0)</f>
        <v>0</v>
      </c>
      <c r="K2168" s="444">
        <f t="shared" ca="1" si="123"/>
        <v>-26859282.030157354</v>
      </c>
      <c r="L2168" s="444">
        <f t="shared" ca="1" si="124"/>
        <v>-6473086969.2679224</v>
      </c>
      <c r="M2168" s="460">
        <f t="shared" si="126"/>
        <v>0.05</v>
      </c>
      <c r="N2168" s="464">
        <f t="shared" si="127"/>
        <v>117031</v>
      </c>
    </row>
    <row r="2169" spans="7:14" ht="11.25" customHeight="1" x14ac:dyDescent="0.25">
      <c r="G2169" s="459"/>
      <c r="H2169" s="459">
        <v>2162</v>
      </c>
      <c r="I2169" s="444">
        <f t="shared" ca="1" si="125"/>
        <v>-6473086969.2679224</v>
      </c>
      <c r="J2169" s="444">
        <f t="array" ref="J2169">IFERROR(INDEX('Retirement Calculator'!K:K,MATCH('Lorri 401b'!N2169,'Retirement Calculator'!A:A,0),0),0)</f>
        <v>0</v>
      </c>
      <c r="K2169" s="444">
        <f t="shared" ca="1" si="123"/>
        <v>-26971195.705283009</v>
      </c>
      <c r="L2169" s="444">
        <f t="shared" ca="1" si="124"/>
        <v>-6500058164.9732056</v>
      </c>
      <c r="M2169" s="460">
        <f t="shared" si="126"/>
        <v>0.05</v>
      </c>
      <c r="N2169" s="464">
        <f t="shared" si="127"/>
        <v>117061</v>
      </c>
    </row>
    <row r="2170" spans="7:14" ht="11.25" customHeight="1" x14ac:dyDescent="0.25">
      <c r="G2170" s="459"/>
      <c r="H2170" s="459">
        <v>2163</v>
      </c>
      <c r="I2170" s="444">
        <f t="shared" ca="1" si="125"/>
        <v>-6500058164.9732056</v>
      </c>
      <c r="J2170" s="444">
        <f t="array" ref="J2170">IFERROR(INDEX('Retirement Calculator'!K:K,MATCH('Lorri 401b'!N2170,'Retirement Calculator'!A:A,0),0),0)</f>
        <v>0</v>
      </c>
      <c r="K2170" s="444">
        <f t="shared" ca="1" si="123"/>
        <v>-27083575.687388357</v>
      </c>
      <c r="L2170" s="444">
        <f t="shared" ca="1" si="124"/>
        <v>-6527141740.660594</v>
      </c>
      <c r="M2170" s="460">
        <f t="shared" si="126"/>
        <v>0.05</v>
      </c>
      <c r="N2170" s="464">
        <f t="shared" si="127"/>
        <v>117092</v>
      </c>
    </row>
    <row r="2171" spans="7:14" ht="11.25" customHeight="1" x14ac:dyDescent="0.25">
      <c r="G2171" s="459"/>
      <c r="H2171" s="459">
        <v>2164</v>
      </c>
      <c r="I2171" s="444">
        <f t="shared" ca="1" si="125"/>
        <v>-6527141740.660594</v>
      </c>
      <c r="J2171" s="444">
        <f t="array" ref="J2171">IFERROR(INDEX('Retirement Calculator'!K:K,MATCH('Lorri 401b'!N2171,'Retirement Calculator'!A:A,0),0),0)</f>
        <v>0</v>
      </c>
      <c r="K2171" s="444">
        <f t="shared" ca="1" si="123"/>
        <v>-27196423.91941914</v>
      </c>
      <c r="L2171" s="444">
        <f t="shared" ca="1" si="124"/>
        <v>-6554338164.5800133</v>
      </c>
      <c r="M2171" s="460">
        <f t="shared" si="126"/>
        <v>0.05</v>
      </c>
      <c r="N2171" s="464">
        <f t="shared" si="127"/>
        <v>117123</v>
      </c>
    </row>
    <row r="2172" spans="7:14" ht="11.25" customHeight="1" x14ac:dyDescent="0.25">
      <c r="G2172" s="459"/>
      <c r="H2172" s="459">
        <v>2165</v>
      </c>
      <c r="I2172" s="444">
        <f t="shared" ca="1" si="125"/>
        <v>-6554338164.5800133</v>
      </c>
      <c r="J2172" s="444">
        <f t="array" ref="J2172">IFERROR(INDEX('Retirement Calculator'!K:K,MATCH('Lorri 401b'!N2172,'Retirement Calculator'!A:A,0),0),0)</f>
        <v>0</v>
      </c>
      <c r="K2172" s="444">
        <f t="shared" ca="1" si="123"/>
        <v>-27309742.35241672</v>
      </c>
      <c r="L2172" s="444">
        <f t="shared" ca="1" si="124"/>
        <v>-6581647906.9324303</v>
      </c>
      <c r="M2172" s="460">
        <f t="shared" si="126"/>
        <v>0.05</v>
      </c>
      <c r="N2172" s="464">
        <f t="shared" si="127"/>
        <v>117153</v>
      </c>
    </row>
    <row r="2173" spans="7:14" ht="11.25" customHeight="1" x14ac:dyDescent="0.25">
      <c r="G2173" s="459"/>
      <c r="H2173" s="459">
        <v>2166</v>
      </c>
      <c r="I2173" s="444">
        <f t="shared" ca="1" si="125"/>
        <v>-6581647906.9324303</v>
      </c>
      <c r="J2173" s="444">
        <f t="array" ref="J2173">IFERROR(INDEX('Retirement Calculator'!K:K,MATCH('Lorri 401b'!N2173,'Retirement Calculator'!A:A,0),0),0)</f>
        <v>0</v>
      </c>
      <c r="K2173" s="444">
        <f t="shared" ca="1" si="123"/>
        <v>-27423532.945551794</v>
      </c>
      <c r="L2173" s="444">
        <f t="shared" ca="1" si="124"/>
        <v>-6609071439.8779821</v>
      </c>
      <c r="M2173" s="460">
        <f t="shared" si="126"/>
        <v>0.05</v>
      </c>
      <c r="N2173" s="464">
        <f t="shared" si="127"/>
        <v>117184</v>
      </c>
    </row>
    <row r="2174" spans="7:14" ht="11.25" customHeight="1" x14ac:dyDescent="0.25">
      <c r="G2174" s="459"/>
      <c r="H2174" s="459">
        <v>2167</v>
      </c>
      <c r="I2174" s="444">
        <f t="shared" ca="1" si="125"/>
        <v>-6609071439.8779821</v>
      </c>
      <c r="J2174" s="444">
        <f t="array" ref="J2174">IFERROR(INDEX('Retirement Calculator'!K:K,MATCH('Lorri 401b'!N2174,'Retirement Calculator'!A:A,0),0),0)</f>
        <v>0</v>
      </c>
      <c r="K2174" s="444">
        <f t="shared" ca="1" si="123"/>
        <v>-27537797.666158259</v>
      </c>
      <c r="L2174" s="444">
        <f t="shared" ca="1" si="124"/>
        <v>-6636609237.5441408</v>
      </c>
      <c r="M2174" s="460">
        <f t="shared" si="126"/>
        <v>0.05</v>
      </c>
      <c r="N2174" s="464">
        <f t="shared" si="127"/>
        <v>117214</v>
      </c>
    </row>
    <row r="2175" spans="7:14" ht="11.25" customHeight="1" x14ac:dyDescent="0.25">
      <c r="G2175" s="459"/>
      <c r="H2175" s="459">
        <v>2168</v>
      </c>
      <c r="I2175" s="444">
        <f t="shared" ca="1" si="125"/>
        <v>-6636609237.5441408</v>
      </c>
      <c r="J2175" s="444">
        <f t="array" ref="J2175">IFERROR(INDEX('Retirement Calculator'!K:K,MATCH('Lorri 401b'!N2175,'Retirement Calculator'!A:A,0),0),0)</f>
        <v>0</v>
      </c>
      <c r="K2175" s="444">
        <f t="shared" ca="1" si="123"/>
        <v>-27652538.489767253</v>
      </c>
      <c r="L2175" s="444">
        <f t="shared" ca="1" si="124"/>
        <v>-6664261776.0339079</v>
      </c>
      <c r="M2175" s="460">
        <f t="shared" si="126"/>
        <v>0.05</v>
      </c>
      <c r="N2175" s="464">
        <f t="shared" si="127"/>
        <v>117245</v>
      </c>
    </row>
    <row r="2176" spans="7:14" ht="11.25" customHeight="1" x14ac:dyDescent="0.25">
      <c r="G2176" s="459"/>
      <c r="H2176" s="459">
        <v>2169</v>
      </c>
      <c r="I2176" s="444">
        <f t="shared" ca="1" si="125"/>
        <v>-6664261776.0339079</v>
      </c>
      <c r="J2176" s="444">
        <f t="array" ref="J2176">IFERROR(INDEX('Retirement Calculator'!K:K,MATCH('Lorri 401b'!N2176,'Retirement Calculator'!A:A,0),0),0)</f>
        <v>0</v>
      </c>
      <c r="K2176" s="444">
        <f t="shared" ca="1" si="123"/>
        <v>-27767757.400141284</v>
      </c>
      <c r="L2176" s="444">
        <f t="shared" ca="1" si="124"/>
        <v>-6692029533.4340496</v>
      </c>
      <c r="M2176" s="460">
        <f t="shared" si="126"/>
        <v>0.05</v>
      </c>
      <c r="N2176" s="464">
        <f t="shared" si="127"/>
        <v>117276</v>
      </c>
    </row>
    <row r="2177" spans="7:14" ht="11.25" customHeight="1" x14ac:dyDescent="0.25">
      <c r="G2177" s="459"/>
      <c r="H2177" s="459">
        <v>2170</v>
      </c>
      <c r="I2177" s="444">
        <f t="shared" ca="1" si="125"/>
        <v>-6692029533.4340496</v>
      </c>
      <c r="J2177" s="444">
        <f t="array" ref="J2177">IFERROR(INDEX('Retirement Calculator'!K:K,MATCH('Lorri 401b'!N2177,'Retirement Calculator'!A:A,0),0),0)</f>
        <v>0</v>
      </c>
      <c r="K2177" s="444">
        <f t="shared" ca="1" si="123"/>
        <v>-27883456.389308538</v>
      </c>
      <c r="L2177" s="444">
        <f t="shared" ca="1" si="124"/>
        <v>-6719912989.8233585</v>
      </c>
      <c r="M2177" s="460">
        <f t="shared" si="126"/>
        <v>0.05</v>
      </c>
      <c r="N2177" s="464">
        <f t="shared" si="127"/>
        <v>117304</v>
      </c>
    </row>
    <row r="2178" spans="7:14" ht="11.25" customHeight="1" x14ac:dyDescent="0.25">
      <c r="G2178" s="459"/>
      <c r="H2178" s="459">
        <v>2171</v>
      </c>
      <c r="I2178" s="444">
        <f t="shared" ca="1" si="125"/>
        <v>-6719912989.8233585</v>
      </c>
      <c r="J2178" s="444">
        <f t="array" ref="J2178">IFERROR(INDEX('Retirement Calculator'!K:K,MATCH('Lorri 401b'!N2178,'Retirement Calculator'!A:A,0),0),0)</f>
        <v>0</v>
      </c>
      <c r="K2178" s="444">
        <f t="shared" ca="1" si="123"/>
        <v>-27999637.457597326</v>
      </c>
      <c r="L2178" s="444">
        <f t="shared" ca="1" si="124"/>
        <v>-6747912627.2809563</v>
      </c>
      <c r="M2178" s="460">
        <f t="shared" si="126"/>
        <v>0.05</v>
      </c>
      <c r="N2178" s="464">
        <f t="shared" si="127"/>
        <v>117335</v>
      </c>
    </row>
    <row r="2179" spans="7:14" ht="11.25" customHeight="1" x14ac:dyDescent="0.25">
      <c r="G2179" s="459"/>
      <c r="H2179" s="459">
        <v>2172</v>
      </c>
      <c r="I2179" s="444">
        <f t="shared" ca="1" si="125"/>
        <v>-6747912627.2809563</v>
      </c>
      <c r="J2179" s="444">
        <f t="array" ref="J2179">IFERROR(INDEX('Retirement Calculator'!K:K,MATCH('Lorri 401b'!N2179,'Retirement Calculator'!A:A,0),0),0)</f>
        <v>0</v>
      </c>
      <c r="K2179" s="444">
        <f t="shared" ca="1" si="123"/>
        <v>-28116302.613670651</v>
      </c>
      <c r="L2179" s="444">
        <f t="shared" ca="1" si="124"/>
        <v>-6776028929.8946266</v>
      </c>
      <c r="M2179" s="460">
        <f t="shared" si="126"/>
        <v>0.05</v>
      </c>
      <c r="N2179" s="464">
        <f t="shared" si="127"/>
        <v>117365</v>
      </c>
    </row>
    <row r="2180" spans="7:14" ht="11.25" customHeight="1" x14ac:dyDescent="0.25">
      <c r="G2180" s="459"/>
      <c r="H2180" s="459">
        <v>2173</v>
      </c>
      <c r="I2180" s="444">
        <f t="shared" ca="1" si="125"/>
        <v>-6776028929.8946266</v>
      </c>
      <c r="J2180" s="444">
        <f t="array" ref="J2180">IFERROR(INDEX('Retirement Calculator'!K:K,MATCH('Lorri 401b'!N2180,'Retirement Calculator'!A:A,0),0),0)</f>
        <v>0</v>
      </c>
      <c r="K2180" s="444">
        <f t="shared" ca="1" si="123"/>
        <v>-28233453.874560945</v>
      </c>
      <c r="L2180" s="444">
        <f t="shared" ca="1" si="124"/>
        <v>-6804262383.7691879</v>
      </c>
      <c r="M2180" s="460">
        <f t="shared" si="126"/>
        <v>0.05</v>
      </c>
      <c r="N2180" s="464">
        <f t="shared" si="127"/>
        <v>117396</v>
      </c>
    </row>
    <row r="2181" spans="7:14" ht="11.25" customHeight="1" x14ac:dyDescent="0.25">
      <c r="G2181" s="459"/>
      <c r="H2181" s="459">
        <v>2174</v>
      </c>
      <c r="I2181" s="444">
        <f t="shared" ca="1" si="125"/>
        <v>-6804262383.7691879</v>
      </c>
      <c r="J2181" s="444">
        <f t="array" ref="J2181">IFERROR(INDEX('Retirement Calculator'!K:K,MATCH('Lorri 401b'!N2181,'Retirement Calculator'!A:A,0),0),0)</f>
        <v>0</v>
      </c>
      <c r="K2181" s="444">
        <f t="shared" ca="1" si="123"/>
        <v>-28351093.265704948</v>
      </c>
      <c r="L2181" s="444">
        <f t="shared" ca="1" si="124"/>
        <v>-6832613477.034893</v>
      </c>
      <c r="M2181" s="460">
        <f t="shared" si="126"/>
        <v>0.05</v>
      </c>
      <c r="N2181" s="464">
        <f t="shared" si="127"/>
        <v>117426</v>
      </c>
    </row>
    <row r="2182" spans="7:14" ht="11.25" customHeight="1" x14ac:dyDescent="0.25">
      <c r="G2182" s="459"/>
      <c r="H2182" s="459">
        <v>2175</v>
      </c>
      <c r="I2182" s="444">
        <f t="shared" ca="1" si="125"/>
        <v>-6832613477.034893</v>
      </c>
      <c r="J2182" s="444">
        <f t="array" ref="J2182">IFERROR(INDEX('Retirement Calculator'!K:K,MATCH('Lorri 401b'!N2182,'Retirement Calculator'!A:A,0),0),0)</f>
        <v>0</v>
      </c>
      <c r="K2182" s="444">
        <f t="shared" ca="1" si="123"/>
        <v>-28469222.82097872</v>
      </c>
      <c r="L2182" s="444">
        <f t="shared" ca="1" si="124"/>
        <v>-6861082699.8558722</v>
      </c>
      <c r="M2182" s="460">
        <f t="shared" si="126"/>
        <v>0.05</v>
      </c>
      <c r="N2182" s="464">
        <f t="shared" si="127"/>
        <v>117457</v>
      </c>
    </row>
    <row r="2183" spans="7:14" ht="11.25" customHeight="1" x14ac:dyDescent="0.25">
      <c r="G2183" s="459"/>
      <c r="H2183" s="459">
        <v>2176</v>
      </c>
      <c r="I2183" s="444">
        <f t="shared" ca="1" si="125"/>
        <v>-6861082699.8558722</v>
      </c>
      <c r="J2183" s="444">
        <f t="array" ref="J2183">IFERROR(INDEX('Retirement Calculator'!K:K,MATCH('Lorri 401b'!N2183,'Retirement Calculator'!A:A,0),0),0)</f>
        <v>0</v>
      </c>
      <c r="K2183" s="444">
        <f t="shared" ca="1" si="123"/>
        <v>-28587844.582732804</v>
      </c>
      <c r="L2183" s="444">
        <f t="shared" ca="1" si="124"/>
        <v>-6889670544.4386053</v>
      </c>
      <c r="M2183" s="460">
        <f t="shared" si="126"/>
        <v>0.05</v>
      </c>
      <c r="N2183" s="464">
        <f t="shared" si="127"/>
        <v>117488</v>
      </c>
    </row>
    <row r="2184" spans="7:14" ht="11.25" customHeight="1" x14ac:dyDescent="0.25">
      <c r="G2184" s="459"/>
      <c r="H2184" s="459">
        <v>2177</v>
      </c>
      <c r="I2184" s="444">
        <f t="shared" ca="1" si="125"/>
        <v>-6889670544.4386053</v>
      </c>
      <c r="J2184" s="444">
        <f t="array" ref="J2184">IFERROR(INDEX('Retirement Calculator'!K:K,MATCH('Lorri 401b'!N2184,'Retirement Calculator'!A:A,0),0),0)</f>
        <v>0</v>
      </c>
      <c r="K2184" s="444">
        <f t="shared" ca="1" si="123"/>
        <v>-28706960.601827521</v>
      </c>
      <c r="L2184" s="444">
        <f t="shared" ca="1" si="124"/>
        <v>-6918377505.0404329</v>
      </c>
      <c r="M2184" s="460">
        <f t="shared" si="126"/>
        <v>0.05</v>
      </c>
      <c r="N2184" s="464">
        <f t="shared" si="127"/>
        <v>117518</v>
      </c>
    </row>
    <row r="2185" spans="7:14" ht="11.25" customHeight="1" x14ac:dyDescent="0.25">
      <c r="G2185" s="459"/>
      <c r="H2185" s="459">
        <v>2178</v>
      </c>
      <c r="I2185" s="444">
        <f t="shared" ca="1" si="125"/>
        <v>-6918377505.0404329</v>
      </c>
      <c r="J2185" s="444">
        <f t="array" ref="J2185">IFERROR(INDEX('Retirement Calculator'!K:K,MATCH('Lorri 401b'!N2185,'Retirement Calculator'!A:A,0),0),0)</f>
        <v>0</v>
      </c>
      <c r="K2185" s="444">
        <f t="shared" ca="1" si="123"/>
        <v>-28826572.937668465</v>
      </c>
      <c r="L2185" s="444">
        <f t="shared" ca="1" si="124"/>
        <v>-6947204077.9781017</v>
      </c>
      <c r="M2185" s="460">
        <f t="shared" si="126"/>
        <v>0.05</v>
      </c>
      <c r="N2185" s="464">
        <f t="shared" si="127"/>
        <v>117549</v>
      </c>
    </row>
    <row r="2186" spans="7:14" ht="11.25" customHeight="1" x14ac:dyDescent="0.25">
      <c r="G2186" s="459"/>
      <c r="H2186" s="459">
        <v>2179</v>
      </c>
      <c r="I2186" s="444">
        <f t="shared" ca="1" si="125"/>
        <v>-6947204077.9781017</v>
      </c>
      <c r="J2186" s="444">
        <f t="array" ref="J2186">IFERROR(INDEX('Retirement Calculator'!K:K,MATCH('Lorri 401b'!N2186,'Retirement Calculator'!A:A,0),0),0)</f>
        <v>0</v>
      </c>
      <c r="K2186" s="444">
        <f t="shared" ca="1" si="123"/>
        <v>-28946683.658242095</v>
      </c>
      <c r="L2186" s="444">
        <f t="shared" ca="1" si="124"/>
        <v>-6976150761.636344</v>
      </c>
      <c r="M2186" s="460">
        <f t="shared" si="126"/>
        <v>0.05</v>
      </c>
      <c r="N2186" s="464">
        <f t="shared" si="127"/>
        <v>117579</v>
      </c>
    </row>
    <row r="2187" spans="7:14" ht="11.25" customHeight="1" x14ac:dyDescent="0.25">
      <c r="G2187" s="459"/>
      <c r="H2187" s="459">
        <v>2180</v>
      </c>
      <c r="I2187" s="444">
        <f t="shared" ca="1" si="125"/>
        <v>-6976150761.636344</v>
      </c>
      <c r="J2187" s="444">
        <f t="array" ref="J2187">IFERROR(INDEX('Retirement Calculator'!K:K,MATCH('Lorri 401b'!N2187,'Retirement Calculator'!A:A,0),0),0)</f>
        <v>0</v>
      </c>
      <c r="K2187" s="444">
        <f t="shared" ca="1" si="123"/>
        <v>-29067294.840151433</v>
      </c>
      <c r="L2187" s="444">
        <f t="shared" ca="1" si="124"/>
        <v>-7005218056.4764957</v>
      </c>
      <c r="M2187" s="460">
        <f t="shared" si="126"/>
        <v>0.05</v>
      </c>
      <c r="N2187" s="464">
        <f t="shared" si="127"/>
        <v>117610</v>
      </c>
    </row>
    <row r="2188" spans="7:14" ht="11.25" customHeight="1" x14ac:dyDescent="0.25">
      <c r="G2188" s="459"/>
      <c r="H2188" s="459">
        <v>2181</v>
      </c>
      <c r="I2188" s="444">
        <f t="shared" ca="1" si="125"/>
        <v>-7005218056.4764957</v>
      </c>
      <c r="J2188" s="444">
        <f t="array" ref="J2188">IFERROR(INDEX('Retirement Calculator'!K:K,MATCH('Lorri 401b'!N2188,'Retirement Calculator'!A:A,0),0),0)</f>
        <v>0</v>
      </c>
      <c r="K2188" s="444">
        <f t="shared" ca="1" si="123"/>
        <v>-29188408.568652067</v>
      </c>
      <c r="L2188" s="444">
        <f t="shared" ca="1" si="124"/>
        <v>-7034406465.0451479</v>
      </c>
      <c r="M2188" s="460">
        <f t="shared" si="126"/>
        <v>0.05</v>
      </c>
      <c r="N2188" s="464">
        <f t="shared" si="127"/>
        <v>117641</v>
      </c>
    </row>
    <row r="2189" spans="7:14" ht="11.25" customHeight="1" x14ac:dyDescent="0.25">
      <c r="G2189" s="459"/>
      <c r="H2189" s="459">
        <v>2182</v>
      </c>
      <c r="I2189" s="444">
        <f t="shared" ca="1" si="125"/>
        <v>-7034406465.0451479</v>
      </c>
      <c r="J2189" s="444">
        <f t="array" ref="J2189">IFERROR(INDEX('Retirement Calculator'!K:K,MATCH('Lorri 401b'!N2189,'Retirement Calculator'!A:A,0),0),0)</f>
        <v>0</v>
      </c>
      <c r="K2189" s="444">
        <f t="shared" ca="1" si="123"/>
        <v>-29310026.937688112</v>
      </c>
      <c r="L2189" s="444">
        <f t="shared" ca="1" si="124"/>
        <v>-7063716491.9828358</v>
      </c>
      <c r="M2189" s="460">
        <f t="shared" si="126"/>
        <v>0.05</v>
      </c>
      <c r="N2189" s="464">
        <f t="shared" si="127"/>
        <v>117669</v>
      </c>
    </row>
    <row r="2190" spans="7:14" ht="11.25" customHeight="1" x14ac:dyDescent="0.25">
      <c r="G2190" s="459"/>
      <c r="H2190" s="459">
        <v>2183</v>
      </c>
      <c r="I2190" s="444">
        <f t="shared" ca="1" si="125"/>
        <v>-7063716491.9828358</v>
      </c>
      <c r="J2190" s="444">
        <f t="array" ref="J2190">IFERROR(INDEX('Retirement Calculator'!K:K,MATCH('Lorri 401b'!N2190,'Retirement Calculator'!A:A,0),0),0)</f>
        <v>0</v>
      </c>
      <c r="K2190" s="444">
        <f t="shared" ca="1" si="123"/>
        <v>-29432152.049928483</v>
      </c>
      <c r="L2190" s="444">
        <f t="shared" ca="1" si="124"/>
        <v>-7093148644.0327644</v>
      </c>
      <c r="M2190" s="460">
        <f t="shared" si="126"/>
        <v>0.05</v>
      </c>
      <c r="N2190" s="464">
        <f t="shared" si="127"/>
        <v>117700</v>
      </c>
    </row>
    <row r="2191" spans="7:14" ht="11.25" customHeight="1" x14ac:dyDescent="0.25">
      <c r="G2191" s="459"/>
      <c r="H2191" s="459">
        <v>2184</v>
      </c>
      <c r="I2191" s="444">
        <f t="shared" ca="1" si="125"/>
        <v>-7093148644.0327644</v>
      </c>
      <c r="J2191" s="444">
        <f t="array" ref="J2191">IFERROR(INDEX('Retirement Calculator'!K:K,MATCH('Lorri 401b'!N2191,'Retirement Calculator'!A:A,0),0),0)</f>
        <v>0</v>
      </c>
      <c r="K2191" s="444">
        <f t="shared" ca="1" si="123"/>
        <v>-29554786.016803186</v>
      </c>
      <c r="L2191" s="444">
        <f t="shared" ca="1" si="124"/>
        <v>-7122703430.0495672</v>
      </c>
      <c r="M2191" s="460">
        <f t="shared" si="126"/>
        <v>0.05</v>
      </c>
      <c r="N2191" s="464">
        <f t="shared" si="127"/>
        <v>117730</v>
      </c>
    </row>
    <row r="2192" spans="7:14" ht="11.25" customHeight="1" x14ac:dyDescent="0.25">
      <c r="G2192" s="459"/>
      <c r="H2192" s="459">
        <v>2185</v>
      </c>
      <c r="I2192" s="444">
        <f t="shared" ca="1" si="125"/>
        <v>-7122703430.0495672</v>
      </c>
      <c r="J2192" s="444">
        <f t="array" ref="J2192">IFERROR(INDEX('Retirement Calculator'!K:K,MATCH('Lorri 401b'!N2192,'Retirement Calculator'!A:A,0),0),0)</f>
        <v>0</v>
      </c>
      <c r="K2192" s="444">
        <f t="shared" ca="1" si="123"/>
        <v>-29677930.958539862</v>
      </c>
      <c r="L2192" s="444">
        <f t="shared" ca="1" si="124"/>
        <v>-7152381361.0081072</v>
      </c>
      <c r="M2192" s="460">
        <f t="shared" si="126"/>
        <v>0.05</v>
      </c>
      <c r="N2192" s="464">
        <f t="shared" si="127"/>
        <v>117761</v>
      </c>
    </row>
    <row r="2193" spans="7:14" ht="11.25" customHeight="1" x14ac:dyDescent="0.25">
      <c r="G2193" s="459"/>
      <c r="H2193" s="459">
        <v>2186</v>
      </c>
      <c r="I2193" s="444">
        <f t="shared" ca="1" si="125"/>
        <v>-7152381361.0081072</v>
      </c>
      <c r="J2193" s="444">
        <f t="array" ref="J2193">IFERROR(INDEX('Retirement Calculator'!K:K,MATCH('Lorri 401b'!N2193,'Retirement Calculator'!A:A,0),0),0)</f>
        <v>0</v>
      </c>
      <c r="K2193" s="444">
        <f t="shared" ca="1" si="123"/>
        <v>-29801589.004200447</v>
      </c>
      <c r="L2193" s="444">
        <f t="shared" ca="1" si="124"/>
        <v>-7182182950.0123072</v>
      </c>
      <c r="M2193" s="460">
        <f t="shared" si="126"/>
        <v>0.05</v>
      </c>
      <c r="N2193" s="464">
        <f t="shared" si="127"/>
        <v>117791</v>
      </c>
    </row>
    <row r="2194" spans="7:14" ht="11.25" customHeight="1" x14ac:dyDescent="0.25">
      <c r="G2194" s="459"/>
      <c r="H2194" s="459">
        <v>2187</v>
      </c>
      <c r="I2194" s="444">
        <f t="shared" ca="1" si="125"/>
        <v>-7182182950.0123072</v>
      </c>
      <c r="J2194" s="444">
        <f t="array" ref="J2194">IFERROR(INDEX('Retirement Calculator'!K:K,MATCH('Lorri 401b'!N2194,'Retirement Calculator'!A:A,0),0),0)</f>
        <v>0</v>
      </c>
      <c r="K2194" s="444">
        <f t="shared" ca="1" si="123"/>
        <v>-29925762.291717947</v>
      </c>
      <c r="L2194" s="444">
        <f t="shared" ca="1" si="124"/>
        <v>-7212108712.3040247</v>
      </c>
      <c r="M2194" s="460">
        <f t="shared" si="126"/>
        <v>0.05</v>
      </c>
      <c r="N2194" s="464">
        <f t="shared" si="127"/>
        <v>117822</v>
      </c>
    </row>
    <row r="2195" spans="7:14" ht="11.25" customHeight="1" x14ac:dyDescent="0.25">
      <c r="G2195" s="459"/>
      <c r="H2195" s="459">
        <v>2188</v>
      </c>
      <c r="I2195" s="444">
        <f t="shared" ca="1" si="125"/>
        <v>-7212108712.3040247</v>
      </c>
      <c r="J2195" s="444">
        <f t="array" ref="J2195">IFERROR(INDEX('Retirement Calculator'!K:K,MATCH('Lorri 401b'!N2195,'Retirement Calculator'!A:A,0),0),0)</f>
        <v>0</v>
      </c>
      <c r="K2195" s="444">
        <f t="shared" ca="1" si="123"/>
        <v>-30050452.967933435</v>
      </c>
      <c r="L2195" s="444">
        <f t="shared" ca="1" si="124"/>
        <v>-7242159165.2719584</v>
      </c>
      <c r="M2195" s="460">
        <f t="shared" si="126"/>
        <v>0.05</v>
      </c>
      <c r="N2195" s="464">
        <f t="shared" si="127"/>
        <v>117853</v>
      </c>
    </row>
    <row r="2196" spans="7:14" ht="11.25" customHeight="1" x14ac:dyDescent="0.25">
      <c r="G2196" s="459"/>
      <c r="H2196" s="459">
        <v>2189</v>
      </c>
      <c r="I2196" s="444">
        <f t="shared" ca="1" si="125"/>
        <v>-7242159165.2719584</v>
      </c>
      <c r="J2196" s="444">
        <f t="array" ref="J2196">IFERROR(INDEX('Retirement Calculator'!K:K,MATCH('Lorri 401b'!N2196,'Retirement Calculator'!A:A,0),0),0)</f>
        <v>0</v>
      </c>
      <c r="K2196" s="444">
        <f t="shared" ca="1" si="123"/>
        <v>-30175663.188633159</v>
      </c>
      <c r="L2196" s="444">
        <f t="shared" ca="1" si="124"/>
        <v>-7272334828.4605913</v>
      </c>
      <c r="M2196" s="460">
        <f t="shared" si="126"/>
        <v>0.05</v>
      </c>
      <c r="N2196" s="464">
        <f t="shared" si="127"/>
        <v>117883</v>
      </c>
    </row>
    <row r="2197" spans="7:14" ht="11.25" customHeight="1" x14ac:dyDescent="0.25">
      <c r="G2197" s="459"/>
      <c r="H2197" s="459">
        <v>2190</v>
      </c>
      <c r="I2197" s="444">
        <f t="shared" ca="1" si="125"/>
        <v>-7272334828.4605913</v>
      </c>
      <c r="J2197" s="444">
        <f t="array" ref="J2197">IFERROR(INDEX('Retirement Calculator'!K:K,MATCH('Lorri 401b'!N2197,'Retirement Calculator'!A:A,0),0),0)</f>
        <v>0</v>
      </c>
      <c r="K2197" s="444">
        <f t="shared" ca="1" si="123"/>
        <v>-30301395.118585795</v>
      </c>
      <c r="L2197" s="444">
        <f t="shared" ca="1" si="124"/>
        <v>-7302636223.5791769</v>
      </c>
      <c r="M2197" s="460">
        <f t="shared" si="126"/>
        <v>0.05</v>
      </c>
      <c r="N2197" s="464">
        <f t="shared" si="127"/>
        <v>117914</v>
      </c>
    </row>
    <row r="2198" spans="7:14" ht="11.25" customHeight="1" x14ac:dyDescent="0.25">
      <c r="G2198" s="459"/>
      <c r="H2198" s="459">
        <v>2191</v>
      </c>
      <c r="I2198" s="444">
        <f t="shared" ca="1" si="125"/>
        <v>-7302636223.5791769</v>
      </c>
      <c r="J2198" s="444">
        <f t="array" ref="J2198">IFERROR(INDEX('Retirement Calculator'!K:K,MATCH('Lorri 401b'!N2198,'Retirement Calculator'!A:A,0),0),0)</f>
        <v>0</v>
      </c>
      <c r="K2198" s="444">
        <f t="shared" ca="1" si="123"/>
        <v>-30427650.931579906</v>
      </c>
      <c r="L2198" s="444">
        <f t="shared" ca="1" si="124"/>
        <v>-7333063874.5107565</v>
      </c>
      <c r="M2198" s="460">
        <f t="shared" si="126"/>
        <v>0.05</v>
      </c>
      <c r="N2198" s="464">
        <f t="shared" si="127"/>
        <v>117944</v>
      </c>
    </row>
    <row r="2199" spans="7:14" ht="11.25" customHeight="1" x14ac:dyDescent="0.25">
      <c r="G2199" s="459"/>
      <c r="H2199" s="459">
        <v>2192</v>
      </c>
      <c r="I2199" s="444">
        <f t="shared" ca="1" si="125"/>
        <v>-7333063874.5107565</v>
      </c>
      <c r="J2199" s="444">
        <f t="array" ref="J2199">IFERROR(INDEX('Retirement Calculator'!K:K,MATCH('Lorri 401b'!N2199,'Retirement Calculator'!A:A,0),0),0)</f>
        <v>0</v>
      </c>
      <c r="K2199" s="444">
        <f t="shared" ca="1" si="123"/>
        <v>-30554432.81046148</v>
      </c>
      <c r="L2199" s="444">
        <f t="shared" ca="1" si="124"/>
        <v>-7363618307.3212175</v>
      </c>
      <c r="M2199" s="460">
        <f t="shared" si="126"/>
        <v>0.05</v>
      </c>
      <c r="N2199" s="464">
        <f t="shared" si="127"/>
        <v>117975</v>
      </c>
    </row>
    <row r="2200" spans="7:14" ht="11.25" customHeight="1" x14ac:dyDescent="0.25">
      <c r="G2200" s="459"/>
      <c r="H2200" s="459">
        <v>2193</v>
      </c>
      <c r="I2200" s="444">
        <f t="shared" ca="1" si="125"/>
        <v>-7363618307.3212175</v>
      </c>
      <c r="J2200" s="444">
        <f t="array" ref="J2200">IFERROR(INDEX('Retirement Calculator'!K:K,MATCH('Lorri 401b'!N2200,'Retirement Calculator'!A:A,0),0),0)</f>
        <v>0</v>
      </c>
      <c r="K2200" s="444">
        <f t="shared" ca="1" si="123"/>
        <v>-30681742.94717174</v>
      </c>
      <c r="L2200" s="444">
        <f t="shared" ca="1" si="124"/>
        <v>-7394300050.2683897</v>
      </c>
      <c r="M2200" s="460">
        <f t="shared" si="126"/>
        <v>0.05</v>
      </c>
      <c r="N2200" s="464">
        <f t="shared" si="127"/>
        <v>118006</v>
      </c>
    </row>
    <row r="2201" spans="7:14" ht="11.25" customHeight="1" x14ac:dyDescent="0.25">
      <c r="G2201" s="459"/>
      <c r="H2201" s="459">
        <v>2194</v>
      </c>
      <c r="I2201" s="444">
        <f t="shared" ca="1" si="125"/>
        <v>-7394300050.2683897</v>
      </c>
      <c r="J2201" s="444">
        <f t="array" ref="J2201">IFERROR(INDEX('Retirement Calculator'!K:K,MATCH('Lorri 401b'!N2201,'Retirement Calculator'!A:A,0),0),0)</f>
        <v>0</v>
      </c>
      <c r="K2201" s="444">
        <f t="shared" ca="1" si="123"/>
        <v>-30809583.542784955</v>
      </c>
      <c r="L2201" s="444">
        <f t="shared" ca="1" si="124"/>
        <v>-7425109633.8111744</v>
      </c>
      <c r="M2201" s="460">
        <f t="shared" si="126"/>
        <v>0.05</v>
      </c>
      <c r="N2201" s="464">
        <f t="shared" si="127"/>
        <v>118034</v>
      </c>
    </row>
    <row r="2202" spans="7:14" ht="11.25" customHeight="1" x14ac:dyDescent="0.25">
      <c r="G2202" s="459"/>
      <c r="H2202" s="459">
        <v>2195</v>
      </c>
      <c r="I2202" s="444">
        <f t="shared" ca="1" si="125"/>
        <v>-7425109633.8111744</v>
      </c>
      <c r="J2202" s="444">
        <f t="array" ref="J2202">IFERROR(INDEX('Retirement Calculator'!K:K,MATCH('Lorri 401b'!N2202,'Retirement Calculator'!A:A,0),0),0)</f>
        <v>0</v>
      </c>
      <c r="K2202" s="444">
        <f t="shared" ca="1" si="123"/>
        <v>-30937956.807546563</v>
      </c>
      <c r="L2202" s="444">
        <f t="shared" ca="1" si="124"/>
        <v>-7456047590.618721</v>
      </c>
      <c r="M2202" s="460">
        <f t="shared" si="126"/>
        <v>0.05</v>
      </c>
      <c r="N2202" s="464">
        <f t="shared" si="127"/>
        <v>118065</v>
      </c>
    </row>
    <row r="2203" spans="7:14" ht="11.25" customHeight="1" x14ac:dyDescent="0.25">
      <c r="G2203" s="459"/>
      <c r="H2203" s="459">
        <v>2196</v>
      </c>
      <c r="I2203" s="444">
        <f t="shared" ca="1" si="125"/>
        <v>-7456047590.618721</v>
      </c>
      <c r="J2203" s="444">
        <f t="array" ref="J2203">IFERROR(INDEX('Retirement Calculator'!K:K,MATCH('Lorri 401b'!N2203,'Retirement Calculator'!A:A,0),0),0)</f>
        <v>0</v>
      </c>
      <c r="K2203" s="444">
        <f t="shared" ca="1" si="123"/>
        <v>-31066864.960911337</v>
      </c>
      <c r="L2203" s="444">
        <f t="shared" ca="1" si="124"/>
        <v>-7487114455.5796328</v>
      </c>
      <c r="M2203" s="460">
        <f t="shared" si="126"/>
        <v>0.05</v>
      </c>
      <c r="N2203" s="464">
        <f t="shared" si="127"/>
        <v>118095</v>
      </c>
    </row>
    <row r="2204" spans="7:14" ht="11.25" customHeight="1" x14ac:dyDescent="0.25">
      <c r="G2204" s="459"/>
      <c r="H2204" s="459">
        <v>2197</v>
      </c>
      <c r="I2204" s="444">
        <f t="shared" ca="1" si="125"/>
        <v>-7487114455.5796328</v>
      </c>
      <c r="J2204" s="444">
        <f t="array" ref="J2204">IFERROR(INDEX('Retirement Calculator'!K:K,MATCH('Lorri 401b'!N2204,'Retirement Calculator'!A:A,0),0),0)</f>
        <v>0</v>
      </c>
      <c r="K2204" s="444">
        <f t="shared" ca="1" si="123"/>
        <v>-31196310.231581803</v>
      </c>
      <c r="L2204" s="444">
        <f t="shared" ca="1" si="124"/>
        <v>-7518310765.8112144</v>
      </c>
      <c r="M2204" s="460">
        <f t="shared" si="126"/>
        <v>0.05</v>
      </c>
      <c r="N2204" s="464">
        <f t="shared" si="127"/>
        <v>118126</v>
      </c>
    </row>
    <row r="2205" spans="7:14" ht="11.25" customHeight="1" x14ac:dyDescent="0.25">
      <c r="G2205" s="459"/>
      <c r="H2205" s="459">
        <v>2198</v>
      </c>
      <c r="I2205" s="444">
        <f t="shared" ca="1" si="125"/>
        <v>-7518310765.8112144</v>
      </c>
      <c r="J2205" s="444">
        <f t="array" ref="J2205">IFERROR(INDEX('Retirement Calculator'!K:K,MATCH('Lorri 401b'!N2205,'Retirement Calculator'!A:A,0),0),0)</f>
        <v>0</v>
      </c>
      <c r="K2205" s="444">
        <f t="shared" ca="1" si="123"/>
        <v>-31326294.857546728</v>
      </c>
      <c r="L2205" s="444">
        <f t="shared" ca="1" si="124"/>
        <v>-7549637060.6687613</v>
      </c>
      <c r="M2205" s="460">
        <f t="shared" si="126"/>
        <v>0.05</v>
      </c>
      <c r="N2205" s="464">
        <f t="shared" si="127"/>
        <v>118156</v>
      </c>
    </row>
    <row r="2206" spans="7:14" ht="11.25" customHeight="1" x14ac:dyDescent="0.25">
      <c r="G2206" s="459"/>
      <c r="H2206" s="459">
        <v>2199</v>
      </c>
      <c r="I2206" s="444">
        <f t="shared" ca="1" si="125"/>
        <v>-7549637060.6687613</v>
      </c>
      <c r="J2206" s="444">
        <f t="array" ref="J2206">IFERROR(INDEX('Retirement Calculator'!K:K,MATCH('Lorri 401b'!N2206,'Retirement Calculator'!A:A,0),0),0)</f>
        <v>0</v>
      </c>
      <c r="K2206" s="444">
        <f t="shared" ca="1" si="123"/>
        <v>-31456821.086119834</v>
      </c>
      <c r="L2206" s="444">
        <f t="shared" ca="1" si="124"/>
        <v>-7581093881.7548809</v>
      </c>
      <c r="M2206" s="460">
        <f t="shared" si="126"/>
        <v>0.05</v>
      </c>
      <c r="N2206" s="464">
        <f t="shared" si="127"/>
        <v>118187</v>
      </c>
    </row>
    <row r="2207" spans="7:14" ht="11.25" customHeight="1" x14ac:dyDescent="0.25">
      <c r="G2207" s="459"/>
      <c r="H2207" s="459">
        <v>2200</v>
      </c>
      <c r="I2207" s="444">
        <f t="shared" ca="1" si="125"/>
        <v>-7581093881.7548809</v>
      </c>
      <c r="J2207" s="444">
        <f t="array" ref="J2207">IFERROR(INDEX('Retirement Calculator'!K:K,MATCH('Lorri 401b'!N2207,'Retirement Calculator'!A:A,0),0),0)</f>
        <v>0</v>
      </c>
      <c r="K2207" s="444">
        <f t="shared" ca="1" si="123"/>
        <v>-31587891.173978671</v>
      </c>
      <c r="L2207" s="444">
        <f t="shared" ca="1" si="124"/>
        <v>-7612681772.9288597</v>
      </c>
      <c r="M2207" s="460">
        <f t="shared" si="126"/>
        <v>0.05</v>
      </c>
      <c r="N2207" s="464">
        <f t="shared" si="127"/>
        <v>118218</v>
      </c>
    </row>
    <row r="2208" spans="7:14" ht="11.25" customHeight="1" x14ac:dyDescent="0.25">
      <c r="G2208" s="459"/>
      <c r="H2208" s="459">
        <v>2201</v>
      </c>
      <c r="I2208" s="444">
        <f t="shared" ca="1" si="125"/>
        <v>-7612681772.9288597</v>
      </c>
      <c r="J2208" s="444">
        <f t="array" ref="J2208">IFERROR(INDEX('Retirement Calculator'!K:K,MATCH('Lorri 401b'!N2208,'Retirement Calculator'!A:A,0),0),0)</f>
        <v>0</v>
      </c>
      <c r="K2208" s="444">
        <f t="shared" ca="1" si="123"/>
        <v>-31719507.387203582</v>
      </c>
      <c r="L2208" s="444">
        <f t="shared" ca="1" si="124"/>
        <v>-7644401280.3160629</v>
      </c>
      <c r="M2208" s="460">
        <f t="shared" si="126"/>
        <v>0.05</v>
      </c>
      <c r="N2208" s="464">
        <f t="shared" si="127"/>
        <v>118248</v>
      </c>
    </row>
    <row r="2209" spans="7:14" ht="11.25" customHeight="1" x14ac:dyDescent="0.25">
      <c r="G2209" s="459"/>
      <c r="H2209" s="459">
        <v>2202</v>
      </c>
      <c r="I2209" s="444">
        <f t="shared" ca="1" si="125"/>
        <v>-7644401280.3160629</v>
      </c>
      <c r="J2209" s="444">
        <f t="array" ref="J2209">IFERROR(INDEX('Retirement Calculator'!K:K,MATCH('Lorri 401b'!N2209,'Retirement Calculator'!A:A,0),0),0)</f>
        <v>0</v>
      </c>
      <c r="K2209" s="444">
        <f t="shared" ca="1" si="123"/>
        <v>-31851672.001316927</v>
      </c>
      <c r="L2209" s="444">
        <f t="shared" ca="1" si="124"/>
        <v>-7676252952.31738</v>
      </c>
      <c r="M2209" s="460">
        <f t="shared" si="126"/>
        <v>0.05</v>
      </c>
      <c r="N2209" s="464">
        <f t="shared" si="127"/>
        <v>118279</v>
      </c>
    </row>
    <row r="2210" spans="7:14" ht="11.25" customHeight="1" x14ac:dyDescent="0.25">
      <c r="G2210" s="459"/>
      <c r="H2210" s="459">
        <v>2203</v>
      </c>
      <c r="I2210" s="444">
        <f t="shared" ca="1" si="125"/>
        <v>-7676252952.31738</v>
      </c>
      <c r="J2210" s="444">
        <f t="array" ref="J2210">IFERROR(INDEX('Retirement Calculator'!K:K,MATCH('Lorri 401b'!N2210,'Retirement Calculator'!A:A,0),0),0)</f>
        <v>0</v>
      </c>
      <c r="K2210" s="444">
        <f t="shared" ca="1" si="123"/>
        <v>-31984387.301322415</v>
      </c>
      <c r="L2210" s="444">
        <f t="shared" ca="1" si="124"/>
        <v>-7708237339.6187019</v>
      </c>
      <c r="M2210" s="460">
        <f t="shared" si="126"/>
        <v>0.05</v>
      </c>
      <c r="N2210" s="464">
        <f t="shared" si="127"/>
        <v>118309</v>
      </c>
    </row>
    <row r="2211" spans="7:14" ht="11.25" customHeight="1" x14ac:dyDescent="0.25">
      <c r="G2211" s="459"/>
      <c r="H2211" s="459">
        <v>2204</v>
      </c>
      <c r="I2211" s="444">
        <f t="shared" ca="1" si="125"/>
        <v>-7708237339.6187019</v>
      </c>
      <c r="J2211" s="444">
        <f t="array" ref="J2211">IFERROR(INDEX('Retirement Calculator'!K:K,MATCH('Lorri 401b'!N2211,'Retirement Calculator'!A:A,0),0),0)</f>
        <v>0</v>
      </c>
      <c r="K2211" s="444">
        <f t="shared" ca="1" si="123"/>
        <v>-32117655.581744596</v>
      </c>
      <c r="L2211" s="444">
        <f t="shared" ca="1" si="124"/>
        <v>-7740354995.2004461</v>
      </c>
      <c r="M2211" s="460">
        <f t="shared" si="126"/>
        <v>0.05</v>
      </c>
      <c r="N2211" s="464">
        <f t="shared" si="127"/>
        <v>118340</v>
      </c>
    </row>
    <row r="2212" spans="7:14" ht="11.25" customHeight="1" x14ac:dyDescent="0.25">
      <c r="G2212" s="459"/>
      <c r="H2212" s="459">
        <v>2205</v>
      </c>
      <c r="I2212" s="444">
        <f t="shared" ca="1" si="125"/>
        <v>-7740354995.2004461</v>
      </c>
      <c r="J2212" s="444">
        <f t="array" ref="J2212">IFERROR(INDEX('Retirement Calculator'!K:K,MATCH('Lorri 401b'!N2212,'Retirement Calculator'!A:A,0),0),0)</f>
        <v>0</v>
      </c>
      <c r="K2212" s="444">
        <f t="shared" ca="1" si="123"/>
        <v>-32251479.146668524</v>
      </c>
      <c r="L2212" s="444">
        <f t="shared" ca="1" si="124"/>
        <v>-7772606474.3471146</v>
      </c>
      <c r="M2212" s="460">
        <f t="shared" si="126"/>
        <v>0.05</v>
      </c>
      <c r="N2212" s="464">
        <f t="shared" si="127"/>
        <v>118371</v>
      </c>
    </row>
    <row r="2213" spans="7:14" ht="11.25" customHeight="1" x14ac:dyDescent="0.25">
      <c r="G2213" s="459"/>
      <c r="H2213" s="459">
        <v>2206</v>
      </c>
      <c r="I2213" s="444">
        <f t="shared" ca="1" si="125"/>
        <v>-7772606474.3471146</v>
      </c>
      <c r="J2213" s="444">
        <f t="array" ref="J2213">IFERROR(INDEX('Retirement Calculator'!K:K,MATCH('Lorri 401b'!N2213,'Retirement Calculator'!A:A,0),0),0)</f>
        <v>0</v>
      </c>
      <c r="K2213" s="444">
        <f t="shared" ca="1" si="123"/>
        <v>-32385860.30977964</v>
      </c>
      <c r="L2213" s="444">
        <f t="shared" ca="1" si="124"/>
        <v>-7804992334.6568937</v>
      </c>
      <c r="M2213" s="460">
        <f t="shared" si="126"/>
        <v>0.05</v>
      </c>
      <c r="N2213" s="464">
        <f t="shared" si="127"/>
        <v>118400</v>
      </c>
    </row>
    <row r="2214" spans="7:14" ht="11.25" customHeight="1" x14ac:dyDescent="0.25">
      <c r="G2214" s="459"/>
      <c r="H2214" s="459">
        <v>2207</v>
      </c>
      <c r="I2214" s="444">
        <f t="shared" ca="1" si="125"/>
        <v>-7804992334.6568937</v>
      </c>
      <c r="J2214" s="444">
        <f t="array" ref="J2214">IFERROR(INDEX('Retirement Calculator'!K:K,MATCH('Lorri 401b'!N2214,'Retirement Calculator'!A:A,0),0),0)</f>
        <v>0</v>
      </c>
      <c r="K2214" s="444">
        <f t="shared" ca="1" si="123"/>
        <v>-32520801.394403722</v>
      </c>
      <c r="L2214" s="444">
        <f t="shared" ca="1" si="124"/>
        <v>-7837513136.0512972</v>
      </c>
      <c r="M2214" s="460">
        <f t="shared" si="126"/>
        <v>0.05</v>
      </c>
      <c r="N2214" s="464">
        <f t="shared" si="127"/>
        <v>118431</v>
      </c>
    </row>
    <row r="2215" spans="7:14" ht="11.25" customHeight="1" x14ac:dyDescent="0.25">
      <c r="G2215" s="459"/>
      <c r="H2215" s="459">
        <v>2208</v>
      </c>
      <c r="I2215" s="444">
        <f t="shared" ca="1" si="125"/>
        <v>-7837513136.0512972</v>
      </c>
      <c r="J2215" s="444">
        <f t="array" ref="J2215">IFERROR(INDEX('Retirement Calculator'!K:K,MATCH('Lorri 401b'!N2215,'Retirement Calculator'!A:A,0),0),0)</f>
        <v>0</v>
      </c>
      <c r="K2215" s="444">
        <f t="shared" ca="1" si="123"/>
        <v>-32656304.733547073</v>
      </c>
      <c r="L2215" s="444">
        <f t="shared" ca="1" si="124"/>
        <v>-7870169440.7848444</v>
      </c>
      <c r="M2215" s="460">
        <f t="shared" si="126"/>
        <v>0.05</v>
      </c>
      <c r="N2215" s="464">
        <f t="shared" si="127"/>
        <v>118461</v>
      </c>
    </row>
    <row r="2216" spans="7:14" ht="11.25" customHeight="1" x14ac:dyDescent="0.25">
      <c r="G2216" s="459"/>
      <c r="H2216" s="459">
        <v>2209</v>
      </c>
      <c r="I2216" s="444">
        <f t="shared" ca="1" si="125"/>
        <v>-7870169440.7848444</v>
      </c>
      <c r="J2216" s="444">
        <f t="array" ref="J2216">IFERROR(INDEX('Retirement Calculator'!K:K,MATCH('Lorri 401b'!N2216,'Retirement Calculator'!A:A,0),0),0)</f>
        <v>0</v>
      </c>
      <c r="K2216" s="444">
        <f t="shared" ca="1" si="123"/>
        <v>-32792372.669936854</v>
      </c>
      <c r="L2216" s="444">
        <f t="shared" ca="1" si="124"/>
        <v>-7902961813.4547815</v>
      </c>
      <c r="M2216" s="460">
        <f t="shared" si="126"/>
        <v>0.05</v>
      </c>
      <c r="N2216" s="464">
        <f t="shared" si="127"/>
        <v>118492</v>
      </c>
    </row>
    <row r="2217" spans="7:14" ht="11.25" customHeight="1" x14ac:dyDescent="0.25">
      <c r="G2217" s="459"/>
      <c r="H2217" s="459">
        <v>2210</v>
      </c>
      <c r="I2217" s="444">
        <f t="shared" ca="1" si="125"/>
        <v>-7902961813.4547815</v>
      </c>
      <c r="J2217" s="444">
        <f t="array" ref="J2217">IFERROR(INDEX('Retirement Calculator'!K:K,MATCH('Lorri 401b'!N2217,'Retirement Calculator'!A:A,0),0),0)</f>
        <v>0</v>
      </c>
      <c r="K2217" s="444">
        <f t="shared" ca="1" si="123"/>
        <v>-32929007.556061588</v>
      </c>
      <c r="L2217" s="444">
        <f t="shared" ca="1" si="124"/>
        <v>-7935890821.0108433</v>
      </c>
      <c r="M2217" s="460">
        <f t="shared" si="126"/>
        <v>0.05</v>
      </c>
      <c r="N2217" s="464">
        <f t="shared" si="127"/>
        <v>118522</v>
      </c>
    </row>
    <row r="2218" spans="7:14" ht="11.25" customHeight="1" x14ac:dyDescent="0.25">
      <c r="G2218" s="459"/>
      <c r="H2218" s="459">
        <v>2211</v>
      </c>
      <c r="I2218" s="444">
        <f t="shared" ca="1" si="125"/>
        <v>-7935890821.0108433</v>
      </c>
      <c r="J2218" s="444">
        <f t="array" ref="J2218">IFERROR(INDEX('Retirement Calculator'!K:K,MATCH('Lorri 401b'!N2218,'Retirement Calculator'!A:A,0),0),0)</f>
        <v>0</v>
      </c>
      <c r="K2218" s="444">
        <f t="shared" ca="1" si="123"/>
        <v>-33066211.754211847</v>
      </c>
      <c r="L2218" s="444">
        <f t="shared" ca="1" si="124"/>
        <v>-7968957032.7650547</v>
      </c>
      <c r="M2218" s="460">
        <f t="shared" si="126"/>
        <v>0.05</v>
      </c>
      <c r="N2218" s="464">
        <f t="shared" si="127"/>
        <v>118553</v>
      </c>
    </row>
    <row r="2219" spans="7:14" ht="11.25" customHeight="1" x14ac:dyDescent="0.25">
      <c r="G2219" s="459"/>
      <c r="H2219" s="459">
        <v>2212</v>
      </c>
      <c r="I2219" s="444">
        <f t="shared" ca="1" si="125"/>
        <v>-7968957032.7650547</v>
      </c>
      <c r="J2219" s="444">
        <f t="array" ref="J2219">IFERROR(INDEX('Retirement Calculator'!K:K,MATCH('Lorri 401b'!N2219,'Retirement Calculator'!A:A,0),0),0)</f>
        <v>0</v>
      </c>
      <c r="K2219" s="444">
        <f t="shared" ca="1" si="123"/>
        <v>-33203987.63652106</v>
      </c>
      <c r="L2219" s="444">
        <f t="shared" ca="1" si="124"/>
        <v>-8002161020.401576</v>
      </c>
      <c r="M2219" s="460">
        <f t="shared" si="126"/>
        <v>0.05</v>
      </c>
      <c r="N2219" s="464">
        <f t="shared" si="127"/>
        <v>118584</v>
      </c>
    </row>
    <row r="2220" spans="7:14" ht="11.25" customHeight="1" x14ac:dyDescent="0.25">
      <c r="G2220" s="459"/>
      <c r="H2220" s="459">
        <v>2213</v>
      </c>
      <c r="I2220" s="444">
        <f t="shared" ca="1" si="125"/>
        <v>-8002161020.401576</v>
      </c>
      <c r="J2220" s="444">
        <f t="array" ref="J2220">IFERROR(INDEX('Retirement Calculator'!K:K,MATCH('Lorri 401b'!N2220,'Retirement Calculator'!A:A,0),0),0)</f>
        <v>0</v>
      </c>
      <c r="K2220" s="444">
        <f t="shared" ca="1" si="123"/>
        <v>-33342337.585006565</v>
      </c>
      <c r="L2220" s="444">
        <f t="shared" ca="1" si="124"/>
        <v>-8035503357.9865828</v>
      </c>
      <c r="M2220" s="460">
        <f t="shared" si="126"/>
        <v>0.05</v>
      </c>
      <c r="N2220" s="464">
        <f t="shared" si="127"/>
        <v>118614</v>
      </c>
    </row>
    <row r="2221" spans="7:14" ht="11.25" customHeight="1" x14ac:dyDescent="0.25">
      <c r="G2221" s="459"/>
      <c r="H2221" s="459">
        <v>2214</v>
      </c>
      <c r="I2221" s="444">
        <f t="shared" ca="1" si="125"/>
        <v>-8035503357.9865828</v>
      </c>
      <c r="J2221" s="444">
        <f t="array" ref="J2221">IFERROR(INDEX('Retirement Calculator'!K:K,MATCH('Lorri 401b'!N2221,'Retirement Calculator'!A:A,0),0),0)</f>
        <v>0</v>
      </c>
      <c r="K2221" s="444">
        <f t="shared" ca="1" si="123"/>
        <v>-33481263.991610762</v>
      </c>
      <c r="L2221" s="444">
        <f t="shared" ca="1" si="124"/>
        <v>-8068984621.9781933</v>
      </c>
      <c r="M2221" s="460">
        <f t="shared" si="126"/>
        <v>0.05</v>
      </c>
      <c r="N2221" s="464">
        <f t="shared" si="127"/>
        <v>118645</v>
      </c>
    </row>
    <row r="2222" spans="7:14" ht="11.25" customHeight="1" x14ac:dyDescent="0.25">
      <c r="G2222" s="459"/>
      <c r="H2222" s="459">
        <v>2215</v>
      </c>
      <c r="I2222" s="444">
        <f t="shared" ca="1" si="125"/>
        <v>-8068984621.9781933</v>
      </c>
      <c r="J2222" s="444">
        <f t="array" ref="J2222">IFERROR(INDEX('Retirement Calculator'!K:K,MATCH('Lorri 401b'!N2222,'Retirement Calculator'!A:A,0),0),0)</f>
        <v>0</v>
      </c>
      <c r="K2222" s="444">
        <f t="shared" ca="1" si="123"/>
        <v>-33620769.258242473</v>
      </c>
      <c r="L2222" s="444">
        <f t="shared" ca="1" si="124"/>
        <v>-8102605391.2364359</v>
      </c>
      <c r="M2222" s="460">
        <f t="shared" si="126"/>
        <v>0.05</v>
      </c>
      <c r="N2222" s="464">
        <f t="shared" si="127"/>
        <v>118675</v>
      </c>
    </row>
    <row r="2223" spans="7:14" ht="11.25" customHeight="1" x14ac:dyDescent="0.25">
      <c r="G2223" s="459"/>
      <c r="H2223" s="459">
        <v>2216</v>
      </c>
      <c r="I2223" s="444">
        <f t="shared" ca="1" si="125"/>
        <v>-8102605391.2364359</v>
      </c>
      <c r="J2223" s="444">
        <f t="array" ref="J2223">IFERROR(INDEX('Retirement Calculator'!K:K,MATCH('Lorri 401b'!N2223,'Retirement Calculator'!A:A,0),0),0)</f>
        <v>0</v>
      </c>
      <c r="K2223" s="444">
        <f t="shared" ca="1" si="123"/>
        <v>-33760855.79681848</v>
      </c>
      <c r="L2223" s="444">
        <f t="shared" ca="1" si="124"/>
        <v>-8136366247.0332546</v>
      </c>
      <c r="M2223" s="460">
        <f t="shared" si="126"/>
        <v>0.05</v>
      </c>
      <c r="N2223" s="464">
        <f t="shared" si="127"/>
        <v>118706</v>
      </c>
    </row>
    <row r="2224" spans="7:14" ht="11.25" customHeight="1" x14ac:dyDescent="0.25">
      <c r="G2224" s="459"/>
      <c r="H2224" s="459">
        <v>2217</v>
      </c>
      <c r="I2224" s="444">
        <f t="shared" ca="1" si="125"/>
        <v>-8136366247.0332546</v>
      </c>
      <c r="J2224" s="444">
        <f t="array" ref="J2224">IFERROR(INDEX('Retirement Calculator'!K:K,MATCH('Lorri 401b'!N2224,'Retirement Calculator'!A:A,0),0),0)</f>
        <v>0</v>
      </c>
      <c r="K2224" s="444">
        <f t="shared" ca="1" si="123"/>
        <v>-33901526.02930522</v>
      </c>
      <c r="L2224" s="444">
        <f t="shared" ca="1" si="124"/>
        <v>-8170267773.0625601</v>
      </c>
      <c r="M2224" s="460">
        <f t="shared" si="126"/>
        <v>0.05</v>
      </c>
      <c r="N2224" s="464">
        <f t="shared" si="127"/>
        <v>118737</v>
      </c>
    </row>
    <row r="2225" spans="7:14" ht="11.25" customHeight="1" x14ac:dyDescent="0.25">
      <c r="G2225" s="459"/>
      <c r="H2225" s="459">
        <v>2218</v>
      </c>
      <c r="I2225" s="444">
        <f t="shared" ca="1" si="125"/>
        <v>-8170267773.0625601</v>
      </c>
      <c r="J2225" s="444">
        <f t="array" ref="J2225">IFERROR(INDEX('Retirement Calculator'!K:K,MATCH('Lorri 401b'!N2225,'Retirement Calculator'!A:A,0),0),0)</f>
        <v>0</v>
      </c>
      <c r="K2225" s="444">
        <f t="shared" ca="1" si="123"/>
        <v>-34042782.387760669</v>
      </c>
      <c r="L2225" s="444">
        <f t="shared" ca="1" si="124"/>
        <v>-8204310555.4503212</v>
      </c>
      <c r="M2225" s="460">
        <f t="shared" si="126"/>
        <v>0.05</v>
      </c>
      <c r="N2225" s="464">
        <f t="shared" si="127"/>
        <v>118765</v>
      </c>
    </row>
    <row r="2226" spans="7:14" ht="11.25" customHeight="1" x14ac:dyDescent="0.25">
      <c r="G2226" s="459"/>
      <c r="H2226" s="459">
        <v>2219</v>
      </c>
      <c r="I2226" s="444">
        <f t="shared" ca="1" si="125"/>
        <v>-8204310555.4503212</v>
      </c>
      <c r="J2226" s="444">
        <f t="array" ref="J2226">IFERROR(INDEX('Retirement Calculator'!K:K,MATCH('Lorri 401b'!N2226,'Retirement Calculator'!A:A,0),0),0)</f>
        <v>0</v>
      </c>
      <c r="K2226" s="444">
        <f t="shared" ca="1" si="123"/>
        <v>-34184627.314376339</v>
      </c>
      <c r="L2226" s="444">
        <f t="shared" ca="1" si="124"/>
        <v>-8238495182.7646971</v>
      </c>
      <c r="M2226" s="460">
        <f t="shared" si="126"/>
        <v>0.05</v>
      </c>
      <c r="N2226" s="464">
        <f t="shared" si="127"/>
        <v>118796</v>
      </c>
    </row>
    <row r="2227" spans="7:14" ht="11.25" customHeight="1" x14ac:dyDescent="0.25">
      <c r="G2227" s="459"/>
      <c r="H2227" s="459">
        <v>2220</v>
      </c>
      <c r="I2227" s="444">
        <f t="shared" ca="1" si="125"/>
        <v>-8238495182.7646971</v>
      </c>
      <c r="J2227" s="444">
        <f t="array" ref="J2227">IFERROR(INDEX('Retirement Calculator'!K:K,MATCH('Lorri 401b'!N2227,'Retirement Calculator'!A:A,0),0),0)</f>
        <v>0</v>
      </c>
      <c r="K2227" s="444">
        <f t="shared" ca="1" si="123"/>
        <v>-34327063.261519566</v>
      </c>
      <c r="L2227" s="444">
        <f t="shared" ca="1" si="124"/>
        <v>-8272822246.0262165</v>
      </c>
      <c r="M2227" s="460">
        <f t="shared" si="126"/>
        <v>0.05</v>
      </c>
      <c r="N2227" s="464">
        <f t="shared" si="127"/>
        <v>118826</v>
      </c>
    </row>
    <row r="2228" spans="7:14" ht="11.25" customHeight="1" x14ac:dyDescent="0.25">
      <c r="G2228" s="459"/>
      <c r="H2228" s="459">
        <v>2221</v>
      </c>
      <c r="I2228" s="444">
        <f t="shared" ca="1" si="125"/>
        <v>-8272822246.0262165</v>
      </c>
      <c r="J2228" s="444">
        <f t="array" ref="J2228">IFERROR(INDEX('Retirement Calculator'!K:K,MATCH('Lorri 401b'!N2228,'Retirement Calculator'!A:A,0),0),0)</f>
        <v>0</v>
      </c>
      <c r="K2228" s="444">
        <f t="shared" ca="1" si="123"/>
        <v>-34470092.691775903</v>
      </c>
      <c r="L2228" s="444">
        <f t="shared" ca="1" si="124"/>
        <v>-8307292338.7179928</v>
      </c>
      <c r="M2228" s="460">
        <f t="shared" si="126"/>
        <v>0.05</v>
      </c>
      <c r="N2228" s="464">
        <f t="shared" si="127"/>
        <v>118857</v>
      </c>
    </row>
    <row r="2229" spans="7:14" ht="11.25" customHeight="1" x14ac:dyDescent="0.25">
      <c r="G2229" s="459"/>
      <c r="H2229" s="459">
        <v>2222</v>
      </c>
      <c r="I2229" s="444">
        <f t="shared" ca="1" si="125"/>
        <v>-8307292338.7179928</v>
      </c>
      <c r="J2229" s="444">
        <f t="array" ref="J2229">IFERROR(INDEX('Retirement Calculator'!K:K,MATCH('Lorri 401b'!N2229,'Retirement Calculator'!A:A,0),0),0)</f>
        <v>0</v>
      </c>
      <c r="K2229" s="444">
        <f t="shared" ca="1" si="123"/>
        <v>-34613718.077991635</v>
      </c>
      <c r="L2229" s="444">
        <f t="shared" ca="1" si="124"/>
        <v>-8341906056.7959843</v>
      </c>
      <c r="M2229" s="460">
        <f t="shared" si="126"/>
        <v>0.05</v>
      </c>
      <c r="N2229" s="464">
        <f t="shared" si="127"/>
        <v>118887</v>
      </c>
    </row>
    <row r="2230" spans="7:14" ht="11.25" customHeight="1" x14ac:dyDescent="0.25">
      <c r="G2230" s="459"/>
      <c r="H2230" s="459">
        <v>2223</v>
      </c>
      <c r="I2230" s="444">
        <f t="shared" ca="1" si="125"/>
        <v>-8341906056.7959843</v>
      </c>
      <c r="J2230" s="444">
        <f t="array" ref="J2230">IFERROR(INDEX('Retirement Calculator'!K:K,MATCH('Lorri 401b'!N2230,'Retirement Calculator'!A:A,0),0),0)</f>
        <v>0</v>
      </c>
      <c r="K2230" s="444">
        <f t="shared" ca="1" si="123"/>
        <v>-34757941.903316602</v>
      </c>
      <c r="L2230" s="444">
        <f t="shared" ca="1" si="124"/>
        <v>-8376663998.6993008</v>
      </c>
      <c r="M2230" s="460">
        <f t="shared" si="126"/>
        <v>0.05</v>
      </c>
      <c r="N2230" s="464">
        <f t="shared" si="127"/>
        <v>118918</v>
      </c>
    </row>
    <row r="2231" spans="7:14" ht="11.25" customHeight="1" x14ac:dyDescent="0.25">
      <c r="G2231" s="459"/>
      <c r="H2231" s="459">
        <v>2224</v>
      </c>
      <c r="I2231" s="444">
        <f t="shared" ca="1" si="125"/>
        <v>-8376663998.6993008</v>
      </c>
      <c r="J2231" s="444">
        <f t="array" ref="J2231">IFERROR(INDEX('Retirement Calculator'!K:K,MATCH('Lorri 401b'!N2231,'Retirement Calculator'!A:A,0),0),0)</f>
        <v>0</v>
      </c>
      <c r="K2231" s="444">
        <f t="shared" ca="1" si="123"/>
        <v>-34902766.66124709</v>
      </c>
      <c r="L2231" s="444">
        <f t="shared" ca="1" si="124"/>
        <v>-8411566765.360548</v>
      </c>
      <c r="M2231" s="460">
        <f t="shared" si="126"/>
        <v>0.05</v>
      </c>
      <c r="N2231" s="464">
        <f t="shared" si="127"/>
        <v>118949</v>
      </c>
    </row>
    <row r="2232" spans="7:14" ht="11.25" customHeight="1" x14ac:dyDescent="0.25">
      <c r="G2232" s="459"/>
      <c r="H2232" s="459">
        <v>2225</v>
      </c>
      <c r="I2232" s="444">
        <f t="shared" ca="1" si="125"/>
        <v>-8411566765.360548</v>
      </c>
      <c r="J2232" s="444">
        <f t="array" ref="J2232">IFERROR(INDEX('Retirement Calculator'!K:K,MATCH('Lorri 401b'!N2232,'Retirement Calculator'!A:A,0),0),0)</f>
        <v>0</v>
      </c>
      <c r="K2232" s="444">
        <f t="shared" ca="1" si="123"/>
        <v>-35048194.855668947</v>
      </c>
      <c r="L2232" s="444">
        <f t="shared" ca="1" si="124"/>
        <v>-8446614960.216217</v>
      </c>
      <c r="M2232" s="460">
        <f t="shared" si="126"/>
        <v>0.05</v>
      </c>
      <c r="N2232" s="464">
        <f t="shared" si="127"/>
        <v>118979</v>
      </c>
    </row>
    <row r="2233" spans="7:14" ht="11.25" customHeight="1" x14ac:dyDescent="0.25">
      <c r="G2233" s="459"/>
      <c r="H2233" s="459">
        <v>2226</v>
      </c>
      <c r="I2233" s="444">
        <f t="shared" ca="1" si="125"/>
        <v>-8446614960.216217</v>
      </c>
      <c r="J2233" s="444">
        <f t="array" ref="J2233">IFERROR(INDEX('Retirement Calculator'!K:K,MATCH('Lorri 401b'!N2233,'Retirement Calculator'!A:A,0),0),0)</f>
        <v>0</v>
      </c>
      <c r="K2233" s="444">
        <f t="shared" ca="1" si="123"/>
        <v>-35194229.000900902</v>
      </c>
      <c r="L2233" s="444">
        <f t="shared" ca="1" si="124"/>
        <v>-8481809189.2171183</v>
      </c>
      <c r="M2233" s="460">
        <f t="shared" si="126"/>
        <v>0.05</v>
      </c>
      <c r="N2233" s="464">
        <f t="shared" si="127"/>
        <v>119010</v>
      </c>
    </row>
    <row r="2234" spans="7:14" ht="11.25" customHeight="1" x14ac:dyDescent="0.25">
      <c r="G2234" s="459"/>
      <c r="H2234" s="459">
        <v>2227</v>
      </c>
      <c r="I2234" s="444">
        <f t="shared" ca="1" si="125"/>
        <v>-8481809189.2171183</v>
      </c>
      <c r="J2234" s="444">
        <f t="array" ref="J2234">IFERROR(INDEX('Retirement Calculator'!K:K,MATCH('Lorri 401b'!N2234,'Retirement Calculator'!A:A,0),0),0)</f>
        <v>0</v>
      </c>
      <c r="K2234" s="444">
        <f t="shared" ca="1" si="123"/>
        <v>-35340871.621737994</v>
      </c>
      <c r="L2234" s="444">
        <f t="shared" ca="1" si="124"/>
        <v>-8517150060.8388567</v>
      </c>
      <c r="M2234" s="460">
        <f t="shared" si="126"/>
        <v>0.05</v>
      </c>
      <c r="N2234" s="464">
        <f t="shared" si="127"/>
        <v>119040</v>
      </c>
    </row>
    <row r="2235" spans="7:14" ht="11.25" customHeight="1" x14ac:dyDescent="0.25">
      <c r="G2235" s="459"/>
      <c r="H2235" s="459">
        <v>2228</v>
      </c>
      <c r="I2235" s="444">
        <f t="shared" ca="1" si="125"/>
        <v>-8517150060.8388567</v>
      </c>
      <c r="J2235" s="444">
        <f t="array" ref="J2235">IFERROR(INDEX('Retirement Calculator'!K:K,MATCH('Lorri 401b'!N2235,'Retirement Calculator'!A:A,0),0),0)</f>
        <v>0</v>
      </c>
      <c r="K2235" s="444">
        <f t="shared" ca="1" si="123"/>
        <v>-35488125.253495231</v>
      </c>
      <c r="L2235" s="444">
        <f t="shared" ca="1" si="124"/>
        <v>-8552638186.0923519</v>
      </c>
      <c r="M2235" s="460">
        <f t="shared" si="126"/>
        <v>0.05</v>
      </c>
      <c r="N2235" s="464">
        <f t="shared" si="127"/>
        <v>119071</v>
      </c>
    </row>
    <row r="2236" spans="7:14" ht="11.25" customHeight="1" x14ac:dyDescent="0.25">
      <c r="G2236" s="459"/>
      <c r="H2236" s="459">
        <v>2229</v>
      </c>
      <c r="I2236" s="444">
        <f t="shared" ca="1" si="125"/>
        <v>-8552638186.0923519</v>
      </c>
      <c r="J2236" s="444">
        <f t="array" ref="J2236">IFERROR(INDEX('Retirement Calculator'!K:K,MATCH('Lorri 401b'!N2236,'Retirement Calculator'!A:A,0),0),0)</f>
        <v>0</v>
      </c>
      <c r="K2236" s="444">
        <f t="shared" ca="1" si="123"/>
        <v>-35635992.44205147</v>
      </c>
      <c r="L2236" s="444">
        <f t="shared" ca="1" si="124"/>
        <v>-8588274178.5344038</v>
      </c>
      <c r="M2236" s="460">
        <f t="shared" si="126"/>
        <v>0.05</v>
      </c>
      <c r="N2236" s="464">
        <f t="shared" si="127"/>
        <v>119102</v>
      </c>
    </row>
    <row r="2237" spans="7:14" ht="11.25" customHeight="1" x14ac:dyDescent="0.25">
      <c r="G2237" s="459"/>
      <c r="H2237" s="459">
        <v>2230</v>
      </c>
      <c r="I2237" s="444">
        <f t="shared" ca="1" si="125"/>
        <v>-8588274178.5344038</v>
      </c>
      <c r="J2237" s="444">
        <f t="array" ref="J2237">IFERROR(INDEX('Retirement Calculator'!K:K,MATCH('Lorri 401b'!N2237,'Retirement Calculator'!A:A,0),0),0)</f>
        <v>0</v>
      </c>
      <c r="K2237" s="444">
        <f t="shared" ca="1" si="123"/>
        <v>-35784475.743893348</v>
      </c>
      <c r="L2237" s="444">
        <f t="shared" ca="1" si="124"/>
        <v>-8624058654.2782974</v>
      </c>
      <c r="M2237" s="460">
        <f t="shared" si="126"/>
        <v>0.05</v>
      </c>
      <c r="N2237" s="464">
        <f t="shared" si="127"/>
        <v>119130</v>
      </c>
    </row>
    <row r="2238" spans="7:14" ht="11.25" customHeight="1" x14ac:dyDescent="0.25">
      <c r="G2238" s="459"/>
      <c r="H2238" s="459">
        <v>2231</v>
      </c>
      <c r="I2238" s="444">
        <f t="shared" ca="1" si="125"/>
        <v>-8624058654.2782974</v>
      </c>
      <c r="J2238" s="444">
        <f t="array" ref="J2238">IFERROR(INDEX('Retirement Calculator'!K:K,MATCH('Lorri 401b'!N2238,'Retirement Calculator'!A:A,0),0),0)</f>
        <v>0</v>
      </c>
      <c r="K2238" s="444">
        <f t="shared" ca="1" si="123"/>
        <v>-35933577.726159573</v>
      </c>
      <c r="L2238" s="444">
        <f t="shared" ca="1" si="124"/>
        <v>-8659992232.0044575</v>
      </c>
      <c r="M2238" s="460">
        <f t="shared" si="126"/>
        <v>0.05</v>
      </c>
      <c r="N2238" s="464">
        <f t="shared" si="127"/>
        <v>119161</v>
      </c>
    </row>
    <row r="2239" spans="7:14" ht="11.25" customHeight="1" x14ac:dyDescent="0.25">
      <c r="G2239" s="459"/>
      <c r="H2239" s="459">
        <v>2232</v>
      </c>
      <c r="I2239" s="444">
        <f t="shared" ca="1" si="125"/>
        <v>-8659992232.0044575</v>
      </c>
      <c r="J2239" s="444">
        <f t="array" ref="J2239">IFERROR(INDEX('Retirement Calculator'!K:K,MATCH('Lorri 401b'!N2239,'Retirement Calculator'!A:A,0),0),0)</f>
        <v>0</v>
      </c>
      <c r="K2239" s="444">
        <f t="shared" ca="1" si="123"/>
        <v>-36083300.966685236</v>
      </c>
      <c r="L2239" s="444">
        <f t="shared" ca="1" si="124"/>
        <v>-8696075532.9711418</v>
      </c>
      <c r="M2239" s="460">
        <f t="shared" si="126"/>
        <v>0.05</v>
      </c>
      <c r="N2239" s="464">
        <f t="shared" si="127"/>
        <v>119191</v>
      </c>
    </row>
    <row r="2240" spans="7:14" ht="11.25" customHeight="1" x14ac:dyDescent="0.25">
      <c r="G2240" s="459"/>
      <c r="H2240" s="459">
        <v>2233</v>
      </c>
      <c r="I2240" s="444">
        <f t="shared" ca="1" si="125"/>
        <v>-8696075532.9711418</v>
      </c>
      <c r="J2240" s="444">
        <f t="array" ref="J2240">IFERROR(INDEX('Retirement Calculator'!K:K,MATCH('Lorri 401b'!N2240,'Retirement Calculator'!A:A,0),0),0)</f>
        <v>0</v>
      </c>
      <c r="K2240" s="444">
        <f t="shared" ca="1" si="123"/>
        <v>-36233648.054046422</v>
      </c>
      <c r="L2240" s="444">
        <f t="shared" ca="1" si="124"/>
        <v>-8732309181.0251884</v>
      </c>
      <c r="M2240" s="460">
        <f t="shared" si="126"/>
        <v>0.05</v>
      </c>
      <c r="N2240" s="464">
        <f t="shared" si="127"/>
        <v>119222</v>
      </c>
    </row>
    <row r="2241" spans="7:14" ht="11.25" customHeight="1" x14ac:dyDescent="0.25">
      <c r="G2241" s="459"/>
      <c r="H2241" s="459">
        <v>2234</v>
      </c>
      <c r="I2241" s="444">
        <f t="shared" ca="1" si="125"/>
        <v>-8732309181.0251884</v>
      </c>
      <c r="J2241" s="444">
        <f t="array" ref="J2241">IFERROR(INDEX('Retirement Calculator'!K:K,MATCH('Lorri 401b'!N2241,'Retirement Calculator'!A:A,0),0),0)</f>
        <v>0</v>
      </c>
      <c r="K2241" s="444">
        <f t="shared" ca="1" si="123"/>
        <v>-36384621.587604955</v>
      </c>
      <c r="L2241" s="444">
        <f t="shared" ca="1" si="124"/>
        <v>-8768693802.612793</v>
      </c>
      <c r="M2241" s="460">
        <f t="shared" si="126"/>
        <v>0.05</v>
      </c>
      <c r="N2241" s="464">
        <f t="shared" si="127"/>
        <v>119252</v>
      </c>
    </row>
    <row r="2242" spans="7:14" ht="11.25" customHeight="1" x14ac:dyDescent="0.25">
      <c r="G2242" s="459"/>
      <c r="H2242" s="459">
        <v>2235</v>
      </c>
      <c r="I2242" s="444">
        <f t="shared" ca="1" si="125"/>
        <v>-8768693802.612793</v>
      </c>
      <c r="J2242" s="444">
        <f t="array" ref="J2242">IFERROR(INDEX('Retirement Calculator'!K:K,MATCH('Lorri 401b'!N2242,'Retirement Calculator'!A:A,0),0),0)</f>
        <v>0</v>
      </c>
      <c r="K2242" s="444">
        <f t="shared" ca="1" si="123"/>
        <v>-36536224.177553304</v>
      </c>
      <c r="L2242" s="444">
        <f t="shared" ca="1" si="124"/>
        <v>-8805230026.7903461</v>
      </c>
      <c r="M2242" s="460">
        <f t="shared" si="126"/>
        <v>0.05</v>
      </c>
      <c r="N2242" s="464">
        <f t="shared" si="127"/>
        <v>119283</v>
      </c>
    </row>
    <row r="2243" spans="7:14" ht="11.25" customHeight="1" x14ac:dyDescent="0.25">
      <c r="G2243" s="459"/>
      <c r="H2243" s="459">
        <v>2236</v>
      </c>
      <c r="I2243" s="444">
        <f t="shared" ca="1" si="125"/>
        <v>-8805230026.7903461</v>
      </c>
      <c r="J2243" s="444">
        <f t="array" ref="J2243">IFERROR(INDEX('Retirement Calculator'!K:K,MATCH('Lorri 401b'!N2243,'Retirement Calculator'!A:A,0),0),0)</f>
        <v>0</v>
      </c>
      <c r="K2243" s="444">
        <f t="shared" ca="1" si="123"/>
        <v>-36688458.444959775</v>
      </c>
      <c r="L2243" s="444">
        <f t="shared" ca="1" si="124"/>
        <v>-8841918485.2353058</v>
      </c>
      <c r="M2243" s="460">
        <f t="shared" si="126"/>
        <v>0.05</v>
      </c>
      <c r="N2243" s="464">
        <f t="shared" si="127"/>
        <v>119314</v>
      </c>
    </row>
    <row r="2244" spans="7:14" ht="11.25" customHeight="1" x14ac:dyDescent="0.25">
      <c r="G2244" s="459"/>
      <c r="H2244" s="459">
        <v>2237</v>
      </c>
      <c r="I2244" s="444">
        <f t="shared" ca="1" si="125"/>
        <v>-8841918485.2353058</v>
      </c>
      <c r="J2244" s="444">
        <f t="array" ref="J2244">IFERROR(INDEX('Retirement Calculator'!K:K,MATCH('Lorri 401b'!N2244,'Retirement Calculator'!A:A,0),0),0)</f>
        <v>0</v>
      </c>
      <c r="K2244" s="444">
        <f t="shared" ca="1" si="123"/>
        <v>-36841327.021813773</v>
      </c>
      <c r="L2244" s="444">
        <f t="shared" ca="1" si="124"/>
        <v>-8878759812.2571201</v>
      </c>
      <c r="M2244" s="460">
        <f t="shared" si="126"/>
        <v>0.05</v>
      </c>
      <c r="N2244" s="464">
        <f t="shared" si="127"/>
        <v>119344</v>
      </c>
    </row>
    <row r="2245" spans="7:14" ht="11.25" customHeight="1" x14ac:dyDescent="0.25">
      <c r="G2245" s="459"/>
      <c r="H2245" s="459">
        <v>2238</v>
      </c>
      <c r="I2245" s="444">
        <f t="shared" ca="1" si="125"/>
        <v>-8878759812.2571201</v>
      </c>
      <c r="J2245" s="444">
        <f t="array" ref="J2245">IFERROR(INDEX('Retirement Calculator'!K:K,MATCH('Lorri 401b'!N2245,'Retirement Calculator'!A:A,0),0),0)</f>
        <v>0</v>
      </c>
      <c r="K2245" s="444">
        <f t="shared" ca="1" si="123"/>
        <v>-36994832.551071331</v>
      </c>
      <c r="L2245" s="444">
        <f t="shared" ca="1" si="124"/>
        <v>-8915754644.8081913</v>
      </c>
      <c r="M2245" s="460">
        <f t="shared" si="126"/>
        <v>0.05</v>
      </c>
      <c r="N2245" s="464">
        <f t="shared" si="127"/>
        <v>119375</v>
      </c>
    </row>
    <row r="2246" spans="7:14" ht="11.25" customHeight="1" x14ac:dyDescent="0.25">
      <c r="G2246" s="459"/>
      <c r="H2246" s="459">
        <v>2239</v>
      </c>
      <c r="I2246" s="444">
        <f t="shared" ca="1" si="125"/>
        <v>-8915754644.8081913</v>
      </c>
      <c r="J2246" s="444">
        <f t="array" ref="J2246">IFERROR(INDEX('Retirement Calculator'!K:K,MATCH('Lorri 401b'!N2246,'Retirement Calculator'!A:A,0),0),0)</f>
        <v>0</v>
      </c>
      <c r="K2246" s="444">
        <f t="shared" ca="1" si="123"/>
        <v>-37148977.686700799</v>
      </c>
      <c r="L2246" s="444">
        <f t="shared" ca="1" si="124"/>
        <v>-8952903622.4948921</v>
      </c>
      <c r="M2246" s="460">
        <f t="shared" si="126"/>
        <v>0.05</v>
      </c>
      <c r="N2246" s="464">
        <f t="shared" si="127"/>
        <v>119405</v>
      </c>
    </row>
    <row r="2247" spans="7:14" ht="11.25" customHeight="1" x14ac:dyDescent="0.25">
      <c r="G2247" s="459"/>
      <c r="H2247" s="459">
        <v>2240</v>
      </c>
      <c r="I2247" s="444">
        <f t="shared" ca="1" si="125"/>
        <v>-8952903622.4948921</v>
      </c>
      <c r="J2247" s="444">
        <f t="array" ref="J2247">IFERROR(INDEX('Retirement Calculator'!K:K,MATCH('Lorri 401b'!N2247,'Retirement Calculator'!A:A,0),0),0)</f>
        <v>0</v>
      </c>
      <c r="K2247" s="444">
        <f t="shared" ca="1" si="123"/>
        <v>-37303765.093728714</v>
      </c>
      <c r="L2247" s="444">
        <f t="shared" ca="1" si="124"/>
        <v>-8990207387.5886211</v>
      </c>
      <c r="M2247" s="460">
        <f t="shared" si="126"/>
        <v>0.05</v>
      </c>
      <c r="N2247" s="464">
        <f t="shared" si="127"/>
        <v>119436</v>
      </c>
    </row>
    <row r="2248" spans="7:14" ht="11.25" customHeight="1" x14ac:dyDescent="0.25">
      <c r="G2248" s="459"/>
      <c r="H2248" s="459">
        <v>2241</v>
      </c>
      <c r="I2248" s="444">
        <f t="shared" ca="1" si="125"/>
        <v>-8990207387.5886211</v>
      </c>
      <c r="J2248" s="444">
        <f t="array" ref="J2248">IFERROR(INDEX('Retirement Calculator'!K:K,MATCH('Lorri 401b'!N2248,'Retirement Calculator'!A:A,0),0),0)</f>
        <v>0</v>
      </c>
      <c r="K2248" s="444">
        <f t="shared" ca="1" si="123"/>
        <v>-37459197.448285922</v>
      </c>
      <c r="L2248" s="444">
        <f t="shared" ca="1" si="124"/>
        <v>-9027666585.0369072</v>
      </c>
      <c r="M2248" s="460">
        <f t="shared" si="126"/>
        <v>0.05</v>
      </c>
      <c r="N2248" s="464">
        <f t="shared" si="127"/>
        <v>119467</v>
      </c>
    </row>
    <row r="2249" spans="7:14" ht="11.25" customHeight="1" x14ac:dyDescent="0.25">
      <c r="G2249" s="459"/>
      <c r="H2249" s="459">
        <v>2242</v>
      </c>
      <c r="I2249" s="444">
        <f t="shared" ca="1" si="125"/>
        <v>-9027666585.0369072</v>
      </c>
      <c r="J2249" s="444">
        <f t="array" ref="J2249">IFERROR(INDEX('Retirement Calculator'!K:K,MATCH('Lorri 401b'!N2249,'Retirement Calculator'!A:A,0),0),0)</f>
        <v>0</v>
      </c>
      <c r="K2249" s="444">
        <f t="shared" ca="1" si="123"/>
        <v>-37615277.43765378</v>
      </c>
      <c r="L2249" s="444">
        <f t="shared" ca="1" si="124"/>
        <v>-9065281862.4745617</v>
      </c>
      <c r="M2249" s="460">
        <f t="shared" si="126"/>
        <v>0.05</v>
      </c>
      <c r="N2249" s="464">
        <f t="shared" si="127"/>
        <v>119495</v>
      </c>
    </row>
    <row r="2250" spans="7:14" ht="11.25" customHeight="1" x14ac:dyDescent="0.25">
      <c r="G2250" s="459"/>
      <c r="H2250" s="459">
        <v>2243</v>
      </c>
      <c r="I2250" s="444">
        <f t="shared" ca="1" si="125"/>
        <v>-9065281862.4745617</v>
      </c>
      <c r="J2250" s="444">
        <f t="array" ref="J2250">IFERROR(INDEX('Retirement Calculator'!K:K,MATCH('Lorri 401b'!N2250,'Retirement Calculator'!A:A,0),0),0)</f>
        <v>0</v>
      </c>
      <c r="K2250" s="444">
        <f t="shared" ca="1" si="123"/>
        <v>-37772007.760310672</v>
      </c>
      <c r="L2250" s="444">
        <f t="shared" ca="1" si="124"/>
        <v>-9103053870.2348728</v>
      </c>
      <c r="M2250" s="460">
        <f t="shared" si="126"/>
        <v>0.05</v>
      </c>
      <c r="N2250" s="464">
        <f t="shared" si="127"/>
        <v>119526</v>
      </c>
    </row>
    <row r="2251" spans="7:14" ht="11.25" customHeight="1" x14ac:dyDescent="0.25">
      <c r="G2251" s="459"/>
      <c r="H2251" s="459">
        <v>2244</v>
      </c>
      <c r="I2251" s="444">
        <f t="shared" ca="1" si="125"/>
        <v>-9103053870.2348728</v>
      </c>
      <c r="J2251" s="444">
        <f t="array" ref="J2251">IFERROR(INDEX('Retirement Calculator'!K:K,MATCH('Lorri 401b'!N2251,'Retirement Calculator'!A:A,0),0),0)</f>
        <v>0</v>
      </c>
      <c r="K2251" s="444">
        <f t="shared" ca="1" si="123"/>
        <v>-37929391.125978634</v>
      </c>
      <c r="L2251" s="444">
        <f t="shared" ca="1" si="124"/>
        <v>-9140983261.3608513</v>
      </c>
      <c r="M2251" s="460">
        <f t="shared" si="126"/>
        <v>0.05</v>
      </c>
      <c r="N2251" s="464">
        <f t="shared" si="127"/>
        <v>119556</v>
      </c>
    </row>
    <row r="2252" spans="7:14" ht="11.25" customHeight="1" x14ac:dyDescent="0.25">
      <c r="G2252" s="459"/>
      <c r="H2252" s="459">
        <v>2245</v>
      </c>
      <c r="I2252" s="444">
        <f t="shared" ca="1" si="125"/>
        <v>-9140983261.3608513</v>
      </c>
      <c r="J2252" s="444">
        <f t="array" ref="J2252">IFERROR(INDEX('Retirement Calculator'!K:K,MATCH('Lorri 401b'!N2252,'Retirement Calculator'!A:A,0),0),0)</f>
        <v>0</v>
      </c>
      <c r="K2252" s="444">
        <f t="shared" ca="1" si="123"/>
        <v>-38087430.255670212</v>
      </c>
      <c r="L2252" s="444">
        <f t="shared" ca="1" si="124"/>
        <v>-9179070691.6165218</v>
      </c>
      <c r="M2252" s="460">
        <f t="shared" si="126"/>
        <v>0.05</v>
      </c>
      <c r="N2252" s="464">
        <f t="shared" si="127"/>
        <v>119587</v>
      </c>
    </row>
    <row r="2253" spans="7:14" ht="11.25" customHeight="1" x14ac:dyDescent="0.25">
      <c r="G2253" s="459"/>
      <c r="H2253" s="459">
        <v>2246</v>
      </c>
      <c r="I2253" s="444">
        <f t="shared" ca="1" si="125"/>
        <v>-9179070691.6165218</v>
      </c>
      <c r="J2253" s="444">
        <f t="array" ref="J2253">IFERROR(INDEX('Retirement Calculator'!K:K,MATCH('Lorri 401b'!N2253,'Retirement Calculator'!A:A,0),0),0)</f>
        <v>0</v>
      </c>
      <c r="K2253" s="444">
        <f t="shared" ca="1" si="123"/>
        <v>-38246127.881735504</v>
      </c>
      <c r="L2253" s="444">
        <f t="shared" ca="1" si="124"/>
        <v>-9217316819.4982567</v>
      </c>
      <c r="M2253" s="460">
        <f t="shared" si="126"/>
        <v>0.05</v>
      </c>
      <c r="N2253" s="464">
        <f t="shared" si="127"/>
        <v>119617</v>
      </c>
    </row>
    <row r="2254" spans="7:14" ht="11.25" customHeight="1" x14ac:dyDescent="0.25">
      <c r="G2254" s="459"/>
      <c r="H2254" s="459">
        <v>2247</v>
      </c>
      <c r="I2254" s="444">
        <f t="shared" ca="1" si="125"/>
        <v>-9217316819.4982567</v>
      </c>
      <c r="J2254" s="444">
        <f t="array" ref="J2254">IFERROR(INDEX('Retirement Calculator'!K:K,MATCH('Lorri 401b'!N2254,'Retirement Calculator'!A:A,0),0),0)</f>
        <v>0</v>
      </c>
      <c r="K2254" s="444">
        <f t="shared" ca="1" si="123"/>
        <v>-38405486.747909404</v>
      </c>
      <c r="L2254" s="444">
        <f t="shared" ca="1" si="124"/>
        <v>-9255722306.2461662</v>
      </c>
      <c r="M2254" s="460">
        <f t="shared" si="126"/>
        <v>0.05</v>
      </c>
      <c r="N2254" s="464">
        <f t="shared" si="127"/>
        <v>119648</v>
      </c>
    </row>
    <row r="2255" spans="7:14" ht="11.25" customHeight="1" x14ac:dyDescent="0.25">
      <c r="G2255" s="459"/>
      <c r="H2255" s="459">
        <v>2248</v>
      </c>
      <c r="I2255" s="444">
        <f t="shared" ca="1" si="125"/>
        <v>-9255722306.2461662</v>
      </c>
      <c r="J2255" s="444">
        <f t="array" ref="J2255">IFERROR(INDEX('Retirement Calculator'!K:K,MATCH('Lorri 401b'!N2255,'Retirement Calculator'!A:A,0),0),0)</f>
        <v>0</v>
      </c>
      <c r="K2255" s="444">
        <f t="shared" ca="1" si="123"/>
        <v>-38565509.609359026</v>
      </c>
      <c r="L2255" s="444">
        <f t="shared" ca="1" si="124"/>
        <v>-9294287815.855526</v>
      </c>
      <c r="M2255" s="460">
        <f t="shared" si="126"/>
        <v>0.05</v>
      </c>
      <c r="N2255" s="464">
        <f t="shared" si="127"/>
        <v>119679</v>
      </c>
    </row>
    <row r="2256" spans="7:14" ht="11.25" customHeight="1" x14ac:dyDescent="0.25">
      <c r="G2256" s="459"/>
      <c r="H2256" s="459">
        <v>2249</v>
      </c>
      <c r="I2256" s="444">
        <f t="shared" ca="1" si="125"/>
        <v>-9294287815.855526</v>
      </c>
      <c r="J2256" s="444">
        <f t="array" ref="J2256">IFERROR(INDEX('Retirement Calculator'!K:K,MATCH('Lorri 401b'!N2256,'Retirement Calculator'!A:A,0),0),0)</f>
        <v>0</v>
      </c>
      <c r="K2256" s="444">
        <f t="shared" ca="1" si="123"/>
        <v>-38726199.232731357</v>
      </c>
      <c r="L2256" s="444">
        <f t="shared" ca="1" si="124"/>
        <v>-9333014015.0882568</v>
      </c>
      <c r="M2256" s="460">
        <f t="shared" si="126"/>
        <v>0.05</v>
      </c>
      <c r="N2256" s="464">
        <f t="shared" si="127"/>
        <v>119709</v>
      </c>
    </row>
    <row r="2257" spans="7:14" ht="11.25" customHeight="1" x14ac:dyDescent="0.25">
      <c r="G2257" s="459"/>
      <c r="H2257" s="459">
        <v>2250</v>
      </c>
      <c r="I2257" s="444">
        <f t="shared" ca="1" si="125"/>
        <v>-9333014015.0882568</v>
      </c>
      <c r="J2257" s="444">
        <f t="array" ref="J2257">IFERROR(INDEX('Retirement Calculator'!K:K,MATCH('Lorri 401b'!N2257,'Retirement Calculator'!A:A,0),0),0)</f>
        <v>0</v>
      </c>
      <c r="K2257" s="444">
        <f t="shared" ca="1" si="123"/>
        <v>-38887558.396201067</v>
      </c>
      <c r="L2257" s="444">
        <f t="shared" ca="1" si="124"/>
        <v>-9371901573.484457</v>
      </c>
      <c r="M2257" s="460">
        <f t="shared" si="126"/>
        <v>0.05</v>
      </c>
      <c r="N2257" s="464">
        <f t="shared" si="127"/>
        <v>119740</v>
      </c>
    </row>
    <row r="2258" spans="7:14" ht="11.25" customHeight="1" x14ac:dyDescent="0.25">
      <c r="G2258" s="459"/>
      <c r="H2258" s="459">
        <v>2251</v>
      </c>
      <c r="I2258" s="444">
        <f t="shared" ca="1" si="125"/>
        <v>-9371901573.484457</v>
      </c>
      <c r="J2258" s="444">
        <f t="array" ref="J2258">IFERROR(INDEX('Retirement Calculator'!K:K,MATCH('Lorri 401b'!N2258,'Retirement Calculator'!A:A,0),0),0)</f>
        <v>0</v>
      </c>
      <c r="K2258" s="444">
        <f t="shared" ca="1" si="123"/>
        <v>-39049589.889518574</v>
      </c>
      <c r="L2258" s="444">
        <f t="shared" ca="1" si="124"/>
        <v>-9410951163.3739758</v>
      </c>
      <c r="M2258" s="460">
        <f t="shared" si="126"/>
        <v>0.05</v>
      </c>
      <c r="N2258" s="464">
        <f t="shared" si="127"/>
        <v>119770</v>
      </c>
    </row>
    <row r="2259" spans="7:14" ht="11.25" customHeight="1" x14ac:dyDescent="0.25">
      <c r="G2259" s="459"/>
      <c r="H2259" s="459">
        <v>2252</v>
      </c>
      <c r="I2259" s="444">
        <f t="shared" ca="1" si="125"/>
        <v>-9410951163.3739758</v>
      </c>
      <c r="J2259" s="444">
        <f t="array" ref="J2259">IFERROR(INDEX('Retirement Calculator'!K:K,MATCH('Lorri 401b'!N2259,'Retirement Calculator'!A:A,0),0),0)</f>
        <v>0</v>
      </c>
      <c r="K2259" s="444">
        <f t="shared" ca="1" si="123"/>
        <v>-39212296.514058232</v>
      </c>
      <c r="L2259" s="444">
        <f t="shared" ca="1" si="124"/>
        <v>-9450163459.8880348</v>
      </c>
      <c r="M2259" s="460">
        <f t="shared" si="126"/>
        <v>0.05</v>
      </c>
      <c r="N2259" s="464">
        <f t="shared" si="127"/>
        <v>119801</v>
      </c>
    </row>
    <row r="2260" spans="7:14" ht="11.25" customHeight="1" x14ac:dyDescent="0.25">
      <c r="G2260" s="459"/>
      <c r="H2260" s="459">
        <v>2253</v>
      </c>
      <c r="I2260" s="444">
        <f t="shared" ca="1" si="125"/>
        <v>-9450163459.8880348</v>
      </c>
      <c r="J2260" s="444">
        <f t="array" ref="J2260">IFERROR(INDEX('Retirement Calculator'!K:K,MATCH('Lorri 401b'!N2260,'Retirement Calculator'!A:A,0),0),0)</f>
        <v>0</v>
      </c>
      <c r="K2260" s="444">
        <f t="shared" ca="1" si="123"/>
        <v>-39375681.08286681</v>
      </c>
      <c r="L2260" s="444">
        <f t="shared" ca="1" si="124"/>
        <v>-9489539140.9709015</v>
      </c>
      <c r="M2260" s="460">
        <f t="shared" si="126"/>
        <v>0.05</v>
      </c>
      <c r="N2260" s="464">
        <f t="shared" si="127"/>
        <v>119832</v>
      </c>
    </row>
    <row r="2261" spans="7:14" ht="11.25" customHeight="1" x14ac:dyDescent="0.25">
      <c r="G2261" s="459"/>
      <c r="H2261" s="459">
        <v>2254</v>
      </c>
      <c r="I2261" s="444">
        <f t="shared" ca="1" si="125"/>
        <v>-9489539140.9709015</v>
      </c>
      <c r="J2261" s="444">
        <f t="array" ref="J2261">IFERROR(INDEX('Retirement Calculator'!K:K,MATCH('Lorri 401b'!N2261,'Retirement Calculator'!A:A,0),0),0)</f>
        <v>0</v>
      </c>
      <c r="K2261" s="444">
        <f t="shared" ca="1" si="123"/>
        <v>-39539746.420712091</v>
      </c>
      <c r="L2261" s="444">
        <f t="shared" ca="1" si="124"/>
        <v>-9529078887.391613</v>
      </c>
      <c r="M2261" s="460">
        <f t="shared" si="126"/>
        <v>0.05</v>
      </c>
      <c r="N2261" s="464">
        <f t="shared" si="127"/>
        <v>119861</v>
      </c>
    </row>
    <row r="2262" spans="7:14" ht="11.25" customHeight="1" x14ac:dyDescent="0.25">
      <c r="G2262" s="459"/>
      <c r="H2262" s="459">
        <v>2255</v>
      </c>
      <c r="I2262" s="444">
        <f t="shared" ca="1" si="125"/>
        <v>-9529078887.391613</v>
      </c>
      <c r="J2262" s="444">
        <f t="array" ref="J2262">IFERROR(INDEX('Retirement Calculator'!K:K,MATCH('Lorri 401b'!N2262,'Retirement Calculator'!A:A,0),0),0)</f>
        <v>0</v>
      </c>
      <c r="K2262" s="444">
        <f t="shared" ca="1" si="123"/>
        <v>-39704495.364131719</v>
      </c>
      <c r="L2262" s="444">
        <f t="shared" ca="1" si="124"/>
        <v>-9568783382.7557449</v>
      </c>
      <c r="M2262" s="460">
        <f t="shared" si="126"/>
        <v>0.05</v>
      </c>
      <c r="N2262" s="464">
        <f t="shared" si="127"/>
        <v>119892</v>
      </c>
    </row>
    <row r="2263" spans="7:14" ht="11.25" customHeight="1" x14ac:dyDescent="0.25">
      <c r="G2263" s="459"/>
      <c r="H2263" s="459">
        <v>2256</v>
      </c>
      <c r="I2263" s="444">
        <f t="shared" ca="1" si="125"/>
        <v>-9568783382.7557449</v>
      </c>
      <c r="J2263" s="444">
        <f t="array" ref="J2263">IFERROR(INDEX('Retirement Calculator'!K:K,MATCH('Lorri 401b'!N2263,'Retirement Calculator'!A:A,0),0),0)</f>
        <v>0</v>
      </c>
      <c r="K2263" s="444">
        <f t="shared" ca="1" si="123"/>
        <v>-39869930.761482269</v>
      </c>
      <c r="L2263" s="444">
        <f t="shared" ca="1" si="124"/>
        <v>-9608653313.5172272</v>
      </c>
      <c r="M2263" s="460">
        <f t="shared" si="126"/>
        <v>0.05</v>
      </c>
      <c r="N2263" s="464">
        <f t="shared" si="127"/>
        <v>119922</v>
      </c>
    </row>
    <row r="2264" spans="7:14" ht="11.25" customHeight="1" x14ac:dyDescent="0.25">
      <c r="G2264" s="459"/>
      <c r="H2264" s="459">
        <v>2257</v>
      </c>
      <c r="I2264" s="444">
        <f t="shared" ca="1" si="125"/>
        <v>-9608653313.5172272</v>
      </c>
      <c r="J2264" s="444">
        <f t="array" ref="J2264">IFERROR(INDEX('Retirement Calculator'!K:K,MATCH('Lorri 401b'!N2264,'Retirement Calculator'!A:A,0),0),0)</f>
        <v>0</v>
      </c>
      <c r="K2264" s="444">
        <f t="shared" ca="1" si="123"/>
        <v>-40036055.472988449</v>
      </c>
      <c r="L2264" s="444">
        <f t="shared" ca="1" si="124"/>
        <v>-9648689368.9902153</v>
      </c>
      <c r="M2264" s="460">
        <f t="shared" si="126"/>
        <v>0.05</v>
      </c>
      <c r="N2264" s="464">
        <f t="shared" si="127"/>
        <v>119953</v>
      </c>
    </row>
    <row r="2265" spans="7:14" ht="11.25" customHeight="1" x14ac:dyDescent="0.25">
      <c r="G2265" s="459"/>
      <c r="H2265" s="459">
        <v>2258</v>
      </c>
      <c r="I2265" s="444">
        <f t="shared" ca="1" si="125"/>
        <v>-9648689368.9902153</v>
      </c>
      <c r="J2265" s="444">
        <f t="array" ref="J2265">IFERROR(INDEX('Retirement Calculator'!K:K,MATCH('Lorri 401b'!N2265,'Retirement Calculator'!A:A,0),0),0)</f>
        <v>0</v>
      </c>
      <c r="K2265" s="444">
        <f t="shared" ca="1" si="123"/>
        <v>-40202872.37079256</v>
      </c>
      <c r="L2265" s="444">
        <f t="shared" ca="1" si="124"/>
        <v>-9688892241.3610077</v>
      </c>
      <c r="M2265" s="460">
        <f t="shared" si="126"/>
        <v>0.05</v>
      </c>
      <c r="N2265" s="464">
        <f t="shared" si="127"/>
        <v>119983</v>
      </c>
    </row>
    <row r="2266" spans="7:14" ht="11.25" customHeight="1" x14ac:dyDescent="0.25">
      <c r="G2266" s="459"/>
      <c r="H2266" s="459">
        <v>2259</v>
      </c>
      <c r="I2266" s="444">
        <f t="shared" ca="1" si="125"/>
        <v>-9688892241.3610077</v>
      </c>
      <c r="J2266" s="444">
        <f t="array" ref="J2266">IFERROR(INDEX('Retirement Calculator'!K:K,MATCH('Lorri 401b'!N2266,'Retirement Calculator'!A:A,0),0),0)</f>
        <v>0</v>
      </c>
      <c r="K2266" s="444">
        <f t="shared" ca="1" si="123"/>
        <v>-40370384.339004196</v>
      </c>
      <c r="L2266" s="444">
        <f t="shared" ca="1" si="124"/>
        <v>-9729262625.7000122</v>
      </c>
      <c r="M2266" s="460">
        <f t="shared" si="126"/>
        <v>0.05</v>
      </c>
      <c r="N2266" s="464">
        <f t="shared" si="127"/>
        <v>120014</v>
      </c>
    </row>
    <row r="2267" spans="7:14" ht="11.25" customHeight="1" x14ac:dyDescent="0.25">
      <c r="G2267" s="459"/>
      <c r="H2267" s="459">
        <v>2260</v>
      </c>
      <c r="I2267" s="444">
        <f t="shared" ca="1" si="125"/>
        <v>-9729262625.7000122</v>
      </c>
      <c r="J2267" s="444">
        <f t="array" ref="J2267">IFERROR(INDEX('Retirement Calculator'!K:K,MATCH('Lorri 401b'!N2267,'Retirement Calculator'!A:A,0),0),0)</f>
        <v>0</v>
      </c>
      <c r="K2267" s="444">
        <f t="shared" ca="1" si="123"/>
        <v>-40538594.273750052</v>
      </c>
      <c r="L2267" s="444">
        <f t="shared" ca="1" si="124"/>
        <v>-9769801219.9737625</v>
      </c>
      <c r="M2267" s="460">
        <f t="shared" si="126"/>
        <v>0.05</v>
      </c>
      <c r="N2267" s="464">
        <f t="shared" si="127"/>
        <v>120045</v>
      </c>
    </row>
    <row r="2268" spans="7:14" ht="11.25" customHeight="1" x14ac:dyDescent="0.25">
      <c r="G2268" s="459"/>
      <c r="H2268" s="459">
        <v>2261</v>
      </c>
      <c r="I2268" s="444">
        <f t="shared" ca="1" si="125"/>
        <v>-9769801219.9737625</v>
      </c>
      <c r="J2268" s="444">
        <f t="array" ref="J2268">IFERROR(INDEX('Retirement Calculator'!K:K,MATCH('Lorri 401b'!N2268,'Retirement Calculator'!A:A,0),0),0)</f>
        <v>0</v>
      </c>
      <c r="K2268" s="444">
        <f t="shared" ca="1" si="123"/>
        <v>-40707505.083224013</v>
      </c>
      <c r="L2268" s="444">
        <f t="shared" ca="1" si="124"/>
        <v>-9810508725.0569859</v>
      </c>
      <c r="M2268" s="460">
        <f t="shared" si="126"/>
        <v>0.05</v>
      </c>
      <c r="N2268" s="464">
        <f t="shared" si="127"/>
        <v>120075</v>
      </c>
    </row>
    <row r="2269" spans="7:14" ht="11.25" customHeight="1" x14ac:dyDescent="0.25">
      <c r="G2269" s="459"/>
      <c r="H2269" s="459">
        <v>2262</v>
      </c>
      <c r="I2269" s="444">
        <f t="shared" ca="1" si="125"/>
        <v>-9810508725.0569859</v>
      </c>
      <c r="J2269" s="444">
        <f t="array" ref="J2269">IFERROR(INDEX('Retirement Calculator'!K:K,MATCH('Lorri 401b'!N2269,'Retirement Calculator'!A:A,0),0),0)</f>
        <v>0</v>
      </c>
      <c r="K2269" s="444">
        <f t="shared" ca="1" si="123"/>
        <v>-40877119.687737443</v>
      </c>
      <c r="L2269" s="444">
        <f t="shared" ca="1" si="124"/>
        <v>-9851385844.7447224</v>
      </c>
      <c r="M2269" s="460">
        <f t="shared" si="126"/>
        <v>0.05</v>
      </c>
      <c r="N2269" s="464">
        <f t="shared" si="127"/>
        <v>120106</v>
      </c>
    </row>
    <row r="2270" spans="7:14" ht="11.25" customHeight="1" x14ac:dyDescent="0.25">
      <c r="G2270" s="459"/>
      <c r="H2270" s="459">
        <v>2263</v>
      </c>
      <c r="I2270" s="444">
        <f t="shared" ca="1" si="125"/>
        <v>-9851385844.7447224</v>
      </c>
      <c r="J2270" s="444">
        <f t="array" ref="J2270">IFERROR(INDEX('Retirement Calculator'!K:K,MATCH('Lorri 401b'!N2270,'Retirement Calculator'!A:A,0),0),0)</f>
        <v>0</v>
      </c>
      <c r="K2270" s="444">
        <f t="shared" ca="1" si="123"/>
        <v>-41047441.019769676</v>
      </c>
      <c r="L2270" s="444">
        <f t="shared" ca="1" si="124"/>
        <v>-9892433285.764492</v>
      </c>
      <c r="M2270" s="460">
        <f t="shared" si="126"/>
        <v>0.05</v>
      </c>
      <c r="N2270" s="464">
        <f t="shared" si="127"/>
        <v>120136</v>
      </c>
    </row>
    <row r="2271" spans="7:14" ht="11.25" customHeight="1" x14ac:dyDescent="0.25">
      <c r="G2271" s="459"/>
      <c r="H2271" s="459">
        <v>2264</v>
      </c>
      <c r="I2271" s="444">
        <f t="shared" ca="1" si="125"/>
        <v>-9892433285.764492</v>
      </c>
      <c r="J2271" s="444">
        <f t="array" ref="J2271">IFERROR(INDEX('Retirement Calculator'!K:K,MATCH('Lorri 401b'!N2271,'Retirement Calculator'!A:A,0),0),0)</f>
        <v>0</v>
      </c>
      <c r="K2271" s="444">
        <f t="shared" ca="1" si="123"/>
        <v>-41218472.02401872</v>
      </c>
      <c r="L2271" s="444">
        <f t="shared" ca="1" si="124"/>
        <v>-9933651757.7885113</v>
      </c>
      <c r="M2271" s="460">
        <f t="shared" si="126"/>
        <v>0.05</v>
      </c>
      <c r="N2271" s="464">
        <f t="shared" si="127"/>
        <v>120167</v>
      </c>
    </row>
    <row r="2272" spans="7:14" ht="11.25" customHeight="1" x14ac:dyDescent="0.25">
      <c r="G2272" s="459"/>
      <c r="H2272" s="459">
        <v>2265</v>
      </c>
      <c r="I2272" s="444">
        <f t="shared" ca="1" si="125"/>
        <v>-9933651757.7885113</v>
      </c>
      <c r="J2272" s="444">
        <f t="array" ref="J2272">IFERROR(INDEX('Retirement Calculator'!K:K,MATCH('Lorri 401b'!N2272,'Retirement Calculator'!A:A,0),0),0)</f>
        <v>0</v>
      </c>
      <c r="K2272" s="444">
        <f t="shared" ca="1" si="123"/>
        <v>-41390215.657452129</v>
      </c>
      <c r="L2272" s="444">
        <f t="shared" ca="1" si="124"/>
        <v>-9975041973.4459629</v>
      </c>
      <c r="M2272" s="460">
        <f t="shared" si="126"/>
        <v>0.05</v>
      </c>
      <c r="N2272" s="464">
        <f t="shared" si="127"/>
        <v>120198</v>
      </c>
    </row>
    <row r="2273" spans="7:14" ht="11.25" customHeight="1" x14ac:dyDescent="0.25">
      <c r="G2273" s="459"/>
      <c r="H2273" s="459">
        <v>2266</v>
      </c>
      <c r="I2273" s="444">
        <f t="shared" ca="1" si="125"/>
        <v>-9975041973.4459629</v>
      </c>
      <c r="J2273" s="444">
        <f t="array" ref="J2273">IFERROR(INDEX('Retirement Calculator'!K:K,MATCH('Lorri 401b'!N2273,'Retirement Calculator'!A:A,0),0),0)</f>
        <v>0</v>
      </c>
      <c r="K2273" s="444">
        <f t="shared" ca="1" si="123"/>
        <v>-41562674.889358178</v>
      </c>
      <c r="L2273" s="444">
        <f t="shared" ca="1" si="124"/>
        <v>-10016604648.335321</v>
      </c>
      <c r="M2273" s="460">
        <f t="shared" si="126"/>
        <v>0.05</v>
      </c>
      <c r="N2273" s="464">
        <f t="shared" si="127"/>
        <v>120226</v>
      </c>
    </row>
    <row r="2274" spans="7:14" ht="11.25" customHeight="1" x14ac:dyDescent="0.25">
      <c r="G2274" s="459"/>
      <c r="H2274" s="459">
        <v>2267</v>
      </c>
      <c r="I2274" s="444">
        <f t="shared" ca="1" si="125"/>
        <v>-10016604648.335321</v>
      </c>
      <c r="J2274" s="444">
        <f t="array" ref="J2274">IFERROR(INDEX('Retirement Calculator'!K:K,MATCH('Lorri 401b'!N2274,'Retirement Calculator'!A:A,0),0),0)</f>
        <v>0</v>
      </c>
      <c r="K2274" s="444">
        <f t="shared" ca="1" si="123"/>
        <v>-41735852.701397173</v>
      </c>
      <c r="L2274" s="444">
        <f t="shared" ca="1" si="124"/>
        <v>-10058340501.036718</v>
      </c>
      <c r="M2274" s="460">
        <f t="shared" si="126"/>
        <v>0.05</v>
      </c>
      <c r="N2274" s="464">
        <f t="shared" si="127"/>
        <v>120257</v>
      </c>
    </row>
    <row r="2275" spans="7:14" ht="11.25" customHeight="1" x14ac:dyDescent="0.25">
      <c r="G2275" s="459"/>
      <c r="H2275" s="459">
        <v>2268</v>
      </c>
      <c r="I2275" s="444">
        <f t="shared" ca="1" si="125"/>
        <v>-10058340501.036718</v>
      </c>
      <c r="J2275" s="444">
        <f t="array" ref="J2275">IFERROR(INDEX('Retirement Calculator'!K:K,MATCH('Lorri 401b'!N2275,'Retirement Calculator'!A:A,0),0),0)</f>
        <v>0</v>
      </c>
      <c r="K2275" s="444">
        <f t="shared" ca="1" si="123"/>
        <v>-41909752.087652996</v>
      </c>
      <c r="L2275" s="444">
        <f t="shared" ca="1" si="124"/>
        <v>-10100250253.124371</v>
      </c>
      <c r="M2275" s="460">
        <f t="shared" si="126"/>
        <v>0.05</v>
      </c>
      <c r="N2275" s="464">
        <f t="shared" si="127"/>
        <v>120287</v>
      </c>
    </row>
    <row r="2276" spans="7:14" ht="11.25" customHeight="1" x14ac:dyDescent="0.25">
      <c r="G2276" s="459"/>
      <c r="H2276" s="459">
        <v>2269</v>
      </c>
      <c r="I2276" s="444">
        <f t="shared" ca="1" si="125"/>
        <v>-10100250253.124371</v>
      </c>
      <c r="J2276" s="444">
        <f t="array" ref="J2276">IFERROR(INDEX('Retirement Calculator'!K:K,MATCH('Lorri 401b'!N2276,'Retirement Calculator'!A:A,0),0),0)</f>
        <v>0</v>
      </c>
      <c r="K2276" s="444">
        <f t="shared" ca="1" si="123"/>
        <v>-42084376.054684877</v>
      </c>
      <c r="L2276" s="444">
        <f t="shared" ca="1" si="124"/>
        <v>-10142334629.179056</v>
      </c>
      <c r="M2276" s="460">
        <f t="shared" si="126"/>
        <v>0.05</v>
      </c>
      <c r="N2276" s="464">
        <f t="shared" si="127"/>
        <v>120318</v>
      </c>
    </row>
    <row r="2277" spans="7:14" ht="11.25" customHeight="1" x14ac:dyDescent="0.25">
      <c r="G2277" s="459"/>
      <c r="H2277" s="459">
        <v>2270</v>
      </c>
      <c r="I2277" s="444">
        <f t="shared" ca="1" si="125"/>
        <v>-10142334629.179056</v>
      </c>
      <c r="J2277" s="444">
        <f t="array" ref="J2277">IFERROR(INDEX('Retirement Calculator'!K:K,MATCH('Lorri 401b'!N2277,'Retirement Calculator'!A:A,0),0),0)</f>
        <v>0</v>
      </c>
      <c r="K2277" s="444">
        <f t="shared" ca="1" si="123"/>
        <v>-42259727.621579401</v>
      </c>
      <c r="L2277" s="444">
        <f t="shared" ca="1" si="124"/>
        <v>-10184594356.800636</v>
      </c>
      <c r="M2277" s="460">
        <f t="shared" si="126"/>
        <v>0.05</v>
      </c>
      <c r="N2277" s="464">
        <f t="shared" si="127"/>
        <v>120348</v>
      </c>
    </row>
    <row r="2278" spans="7:14" ht="11.25" customHeight="1" x14ac:dyDescent="0.25">
      <c r="G2278" s="459"/>
      <c r="H2278" s="459">
        <v>2271</v>
      </c>
      <c r="I2278" s="444">
        <f t="shared" ca="1" si="125"/>
        <v>-10184594356.800636</v>
      </c>
      <c r="J2278" s="444">
        <f t="array" ref="J2278">IFERROR(INDEX('Retirement Calculator'!K:K,MATCH('Lorri 401b'!N2278,'Retirement Calculator'!A:A,0),0),0)</f>
        <v>0</v>
      </c>
      <c r="K2278" s="444">
        <f t="shared" ca="1" si="123"/>
        <v>-42435809.820002653</v>
      </c>
      <c r="L2278" s="444">
        <f t="shared" ca="1" si="124"/>
        <v>-10227030166.62064</v>
      </c>
      <c r="M2278" s="460">
        <f t="shared" si="126"/>
        <v>0.05</v>
      </c>
      <c r="N2278" s="464">
        <f t="shared" si="127"/>
        <v>120379</v>
      </c>
    </row>
    <row r="2279" spans="7:14" ht="11.25" customHeight="1" x14ac:dyDescent="0.25">
      <c r="G2279" s="459"/>
      <c r="H2279" s="459">
        <v>2272</v>
      </c>
      <c r="I2279" s="444">
        <f t="shared" ca="1" si="125"/>
        <v>-10227030166.62064</v>
      </c>
      <c r="J2279" s="444">
        <f t="array" ref="J2279">IFERROR(INDEX('Retirement Calculator'!K:K,MATCH('Lorri 401b'!N2279,'Retirement Calculator'!A:A,0),0),0)</f>
        <v>0</v>
      </c>
      <c r="K2279" s="444">
        <f t="shared" ca="1" si="123"/>
        <v>-42612625.694252662</v>
      </c>
      <c r="L2279" s="444">
        <f t="shared" ca="1" si="124"/>
        <v>-10269642792.314892</v>
      </c>
      <c r="M2279" s="460">
        <f t="shared" si="126"/>
        <v>0.05</v>
      </c>
      <c r="N2279" s="464">
        <f t="shared" si="127"/>
        <v>120410</v>
      </c>
    </row>
    <row r="2280" spans="7:14" ht="11.25" customHeight="1" x14ac:dyDescent="0.25">
      <c r="G2280" s="459"/>
      <c r="H2280" s="459">
        <v>2273</v>
      </c>
      <c r="I2280" s="444">
        <f t="shared" ca="1" si="125"/>
        <v>-10269642792.314892</v>
      </c>
      <c r="J2280" s="444">
        <f t="array" ref="J2280">IFERROR(INDEX('Retirement Calculator'!K:K,MATCH('Lorri 401b'!N2280,'Retirement Calculator'!A:A,0),0),0)</f>
        <v>0</v>
      </c>
      <c r="K2280" s="444">
        <f t="shared" ca="1" si="123"/>
        <v>-42790178.301312052</v>
      </c>
      <c r="L2280" s="444">
        <f t="shared" ca="1" si="124"/>
        <v>-10312432970.616203</v>
      </c>
      <c r="M2280" s="460">
        <f t="shared" si="126"/>
        <v>0.05</v>
      </c>
      <c r="N2280" s="464">
        <f t="shared" si="127"/>
        <v>120440</v>
      </c>
    </row>
    <row r="2281" spans="7:14" ht="11.25" customHeight="1" x14ac:dyDescent="0.25">
      <c r="G2281" s="459"/>
      <c r="H2281" s="459">
        <v>2274</v>
      </c>
      <c r="I2281" s="444">
        <f t="shared" ca="1" si="125"/>
        <v>-10312432970.616203</v>
      </c>
      <c r="J2281" s="444">
        <f t="array" ref="J2281">IFERROR(INDEX('Retirement Calculator'!K:K,MATCH('Lorri 401b'!N2281,'Retirement Calculator'!A:A,0),0),0)</f>
        <v>0</v>
      </c>
      <c r="K2281" s="444">
        <f t="shared" ca="1" si="123"/>
        <v>-42968470.710900843</v>
      </c>
      <c r="L2281" s="444">
        <f t="shared" ca="1" si="124"/>
        <v>-10355401441.327105</v>
      </c>
      <c r="M2281" s="460">
        <f t="shared" si="126"/>
        <v>0.05</v>
      </c>
      <c r="N2281" s="464">
        <f t="shared" si="127"/>
        <v>120471</v>
      </c>
    </row>
    <row r="2282" spans="7:14" ht="11.25" customHeight="1" x14ac:dyDescent="0.25">
      <c r="G2282" s="459"/>
      <c r="H2282" s="459">
        <v>2275</v>
      </c>
      <c r="I2282" s="444">
        <f t="shared" ca="1" si="125"/>
        <v>-10355401441.327105</v>
      </c>
      <c r="J2282" s="444">
        <f t="array" ref="J2282">IFERROR(INDEX('Retirement Calculator'!K:K,MATCH('Lorri 401b'!N2282,'Retirement Calculator'!A:A,0),0),0)</f>
        <v>0</v>
      </c>
      <c r="K2282" s="444">
        <f t="shared" ca="1" si="123"/>
        <v>-43147506.005529605</v>
      </c>
      <c r="L2282" s="444">
        <f t="shared" ca="1" si="124"/>
        <v>-10398548947.332634</v>
      </c>
      <c r="M2282" s="460">
        <f t="shared" si="126"/>
        <v>0.05</v>
      </c>
      <c r="N2282" s="464">
        <f t="shared" si="127"/>
        <v>120501</v>
      </c>
    </row>
    <row r="2283" spans="7:14" ht="11.25" customHeight="1" x14ac:dyDescent="0.25">
      <c r="G2283" s="459"/>
      <c r="H2283" s="459">
        <v>2276</v>
      </c>
      <c r="I2283" s="444">
        <f t="shared" ca="1" si="125"/>
        <v>-10398548947.332634</v>
      </c>
      <c r="J2283" s="444">
        <f t="array" ref="J2283">IFERROR(INDEX('Retirement Calculator'!K:K,MATCH('Lorri 401b'!N2283,'Retirement Calculator'!A:A,0),0),0)</f>
        <v>0</v>
      </c>
      <c r="K2283" s="444">
        <f t="shared" ca="1" si="123"/>
        <v>-43327287.280552641</v>
      </c>
      <c r="L2283" s="444">
        <f t="shared" ca="1" si="124"/>
        <v>-10441876234.613186</v>
      </c>
      <c r="M2283" s="460">
        <f t="shared" si="126"/>
        <v>0.05</v>
      </c>
      <c r="N2283" s="464">
        <f t="shared" si="127"/>
        <v>120532</v>
      </c>
    </row>
    <row r="2284" spans="7:14" ht="11.25" customHeight="1" x14ac:dyDescent="0.25">
      <c r="G2284" s="459"/>
      <c r="H2284" s="459">
        <v>2277</v>
      </c>
      <c r="I2284" s="444">
        <f t="shared" ca="1" si="125"/>
        <v>-10441876234.613186</v>
      </c>
      <c r="J2284" s="444">
        <f t="array" ref="J2284">IFERROR(INDEX('Retirement Calculator'!K:K,MATCH('Lorri 401b'!N2284,'Retirement Calculator'!A:A,0),0),0)</f>
        <v>0</v>
      </c>
      <c r="K2284" s="444">
        <f t="shared" ca="1" si="123"/>
        <v>-43507817.644221604</v>
      </c>
      <c r="L2284" s="444">
        <f t="shared" ca="1" si="124"/>
        <v>-10485384052.257408</v>
      </c>
      <c r="M2284" s="460">
        <f t="shared" si="126"/>
        <v>0.05</v>
      </c>
      <c r="N2284" s="464">
        <f t="shared" si="127"/>
        <v>120563</v>
      </c>
    </row>
    <row r="2285" spans="7:14" ht="11.25" customHeight="1" x14ac:dyDescent="0.25">
      <c r="G2285" s="459"/>
      <c r="H2285" s="459">
        <v>2278</v>
      </c>
      <c r="I2285" s="444">
        <f t="shared" ca="1" si="125"/>
        <v>-10485384052.257408</v>
      </c>
      <c r="J2285" s="444">
        <f t="array" ref="J2285">IFERROR(INDEX('Retirement Calculator'!K:K,MATCH('Lorri 401b'!N2285,'Retirement Calculator'!A:A,0),0),0)</f>
        <v>0</v>
      </c>
      <c r="K2285" s="444">
        <f t="shared" ca="1" si="123"/>
        <v>-43689100.217739202</v>
      </c>
      <c r="L2285" s="444">
        <f t="shared" ca="1" si="124"/>
        <v>-10529073152.475147</v>
      </c>
      <c r="M2285" s="460">
        <f t="shared" si="126"/>
        <v>0.05</v>
      </c>
      <c r="N2285" s="464">
        <f t="shared" si="127"/>
        <v>120591</v>
      </c>
    </row>
    <row r="2286" spans="7:14" ht="11.25" customHeight="1" x14ac:dyDescent="0.25">
      <c r="G2286" s="459"/>
      <c r="H2286" s="459">
        <v>2279</v>
      </c>
      <c r="I2286" s="444">
        <f t="shared" ca="1" si="125"/>
        <v>-10529073152.475147</v>
      </c>
      <c r="J2286" s="444">
        <f t="array" ref="J2286">IFERROR(INDEX('Retirement Calculator'!K:K,MATCH('Lorri 401b'!N2286,'Retirement Calculator'!A:A,0),0),0)</f>
        <v>0</v>
      </c>
      <c r="K2286" s="444">
        <f t="shared" ca="1" si="123"/>
        <v>-43871138.135313116</v>
      </c>
      <c r="L2286" s="444">
        <f t="shared" ca="1" si="124"/>
        <v>-10572944290.61046</v>
      </c>
      <c r="M2286" s="460">
        <f t="shared" si="126"/>
        <v>0.05</v>
      </c>
      <c r="N2286" s="464">
        <f t="shared" si="127"/>
        <v>120622</v>
      </c>
    </row>
    <row r="2287" spans="7:14" ht="11.25" customHeight="1" x14ac:dyDescent="0.25">
      <c r="G2287" s="459"/>
      <c r="H2287" s="459">
        <v>2280</v>
      </c>
      <c r="I2287" s="444">
        <f t="shared" ca="1" si="125"/>
        <v>-10572944290.61046</v>
      </c>
      <c r="J2287" s="444">
        <f t="array" ref="J2287">IFERROR(INDEX('Retirement Calculator'!K:K,MATCH('Lorri 401b'!N2287,'Retirement Calculator'!A:A,0),0),0)</f>
        <v>0</v>
      </c>
      <c r="K2287" s="444">
        <f t="shared" ca="1" si="123"/>
        <v>-44053934.544210248</v>
      </c>
      <c r="L2287" s="444">
        <f t="shared" ca="1" si="124"/>
        <v>-10616998225.154671</v>
      </c>
      <c r="M2287" s="460">
        <f t="shared" si="126"/>
        <v>0.05</v>
      </c>
      <c r="N2287" s="464">
        <f t="shared" si="127"/>
        <v>120652</v>
      </c>
    </row>
    <row r="2288" spans="7:14" ht="11.25" customHeight="1" x14ac:dyDescent="0.25">
      <c r="G2288" s="459"/>
      <c r="H2288" s="459">
        <v>2281</v>
      </c>
      <c r="I2288" s="444">
        <f t="shared" ca="1" si="125"/>
        <v>-10616998225.154671</v>
      </c>
      <c r="J2288" s="444">
        <f t="array" ref="J2288">IFERROR(INDEX('Retirement Calculator'!K:K,MATCH('Lorri 401b'!N2288,'Retirement Calculator'!A:A,0),0),0)</f>
        <v>0</v>
      </c>
      <c r="K2288" s="444">
        <f t="shared" ca="1" si="123"/>
        <v>-44237492.604811125</v>
      </c>
      <c r="L2288" s="444">
        <f t="shared" ca="1" si="124"/>
        <v>-10661235717.759481</v>
      </c>
      <c r="M2288" s="460">
        <f t="shared" si="126"/>
        <v>0.05</v>
      </c>
      <c r="N2288" s="464">
        <f t="shared" si="127"/>
        <v>120683</v>
      </c>
    </row>
    <row r="2289" spans="7:14" ht="11.25" customHeight="1" x14ac:dyDescent="0.25">
      <c r="G2289" s="459"/>
      <c r="H2289" s="459">
        <v>2282</v>
      </c>
      <c r="I2289" s="444">
        <f t="shared" ca="1" si="125"/>
        <v>-10661235717.759481</v>
      </c>
      <c r="J2289" s="444">
        <f t="array" ref="J2289">IFERROR(INDEX('Retirement Calculator'!K:K,MATCH('Lorri 401b'!N2289,'Retirement Calculator'!A:A,0),0),0)</f>
        <v>0</v>
      </c>
      <c r="K2289" s="444">
        <f t="shared" ca="1" si="123"/>
        <v>-44421815.490664504</v>
      </c>
      <c r="L2289" s="444">
        <f t="shared" ca="1" si="124"/>
        <v>-10705657533.250147</v>
      </c>
      <c r="M2289" s="460">
        <f t="shared" si="126"/>
        <v>0.05</v>
      </c>
      <c r="N2289" s="464">
        <f t="shared" si="127"/>
        <v>120713</v>
      </c>
    </row>
    <row r="2290" spans="7:14" ht="11.25" customHeight="1" x14ac:dyDescent="0.25">
      <c r="G2290" s="459"/>
      <c r="H2290" s="459">
        <v>2283</v>
      </c>
      <c r="I2290" s="444">
        <f t="shared" ca="1" si="125"/>
        <v>-10705657533.250147</v>
      </c>
      <c r="J2290" s="444">
        <f t="array" ref="J2290">IFERROR(INDEX('Retirement Calculator'!K:K,MATCH('Lorri 401b'!N2290,'Retirement Calculator'!A:A,0),0),0)</f>
        <v>0</v>
      </c>
      <c r="K2290" s="444">
        <f t="shared" ca="1" si="123"/>
        <v>-44606906.38854228</v>
      </c>
      <c r="L2290" s="444">
        <f t="shared" ca="1" si="124"/>
        <v>-10750264439.638689</v>
      </c>
      <c r="M2290" s="460">
        <f t="shared" si="126"/>
        <v>0.05</v>
      </c>
      <c r="N2290" s="464">
        <f t="shared" si="127"/>
        <v>120744</v>
      </c>
    </row>
    <row r="2291" spans="7:14" ht="11.25" customHeight="1" x14ac:dyDescent="0.25">
      <c r="G2291" s="459"/>
      <c r="H2291" s="459">
        <v>2284</v>
      </c>
      <c r="I2291" s="444">
        <f t="shared" ca="1" si="125"/>
        <v>-10750264439.638689</v>
      </c>
      <c r="J2291" s="444">
        <f t="array" ref="J2291">IFERROR(INDEX('Retirement Calculator'!K:K,MATCH('Lorri 401b'!N2291,'Retirement Calculator'!A:A,0),0),0)</f>
        <v>0</v>
      </c>
      <c r="K2291" s="444">
        <f t="shared" ca="1" si="123"/>
        <v>-44792768.498494536</v>
      </c>
      <c r="L2291" s="444">
        <f t="shared" ca="1" si="124"/>
        <v>-10795057208.137184</v>
      </c>
      <c r="M2291" s="460">
        <f t="shared" si="126"/>
        <v>0.05</v>
      </c>
      <c r="N2291" s="464">
        <f t="shared" si="127"/>
        <v>120775</v>
      </c>
    </row>
    <row r="2292" spans="7:14" ht="11.25" customHeight="1" x14ac:dyDescent="0.25">
      <c r="G2292" s="459"/>
      <c r="H2292" s="459">
        <v>2285</v>
      </c>
      <c r="I2292" s="444">
        <f t="shared" ca="1" si="125"/>
        <v>-10795057208.137184</v>
      </c>
      <c r="J2292" s="444">
        <f t="array" ref="J2292">IFERROR(INDEX('Retirement Calculator'!K:K,MATCH('Lorri 401b'!N2292,'Retirement Calculator'!A:A,0),0),0)</f>
        <v>0</v>
      </c>
      <c r="K2292" s="444">
        <f t="shared" ca="1" si="123"/>
        <v>-44979405.033904932</v>
      </c>
      <c r="L2292" s="444">
        <f t="shared" ca="1" si="124"/>
        <v>-10840036613.171089</v>
      </c>
      <c r="M2292" s="460">
        <f t="shared" si="126"/>
        <v>0.05</v>
      </c>
      <c r="N2292" s="464">
        <f t="shared" si="127"/>
        <v>120805</v>
      </c>
    </row>
    <row r="2293" spans="7:14" ht="11.25" customHeight="1" x14ac:dyDescent="0.25">
      <c r="G2293" s="459"/>
      <c r="H2293" s="459">
        <v>2286</v>
      </c>
      <c r="I2293" s="444">
        <f t="shared" ca="1" si="125"/>
        <v>-10840036613.171089</v>
      </c>
      <c r="J2293" s="444">
        <f t="array" ref="J2293">IFERROR(INDEX('Retirement Calculator'!K:K,MATCH('Lorri 401b'!N2293,'Retirement Calculator'!A:A,0),0),0)</f>
        <v>0</v>
      </c>
      <c r="K2293" s="444">
        <f t="shared" ca="1" si="123"/>
        <v>-45166819.221546203</v>
      </c>
      <c r="L2293" s="444">
        <f t="shared" ca="1" si="124"/>
        <v>-10885203432.392635</v>
      </c>
      <c r="M2293" s="460">
        <f t="shared" si="126"/>
        <v>0.05</v>
      </c>
      <c r="N2293" s="464">
        <f t="shared" si="127"/>
        <v>120836</v>
      </c>
    </row>
    <row r="2294" spans="7:14" ht="11.25" customHeight="1" x14ac:dyDescent="0.25">
      <c r="G2294" s="459"/>
      <c r="H2294" s="459">
        <v>2287</v>
      </c>
      <c r="I2294" s="444">
        <f t="shared" ca="1" si="125"/>
        <v>-10885203432.392635</v>
      </c>
      <c r="J2294" s="444">
        <f t="array" ref="J2294">IFERROR(INDEX('Retirement Calculator'!K:K,MATCH('Lorri 401b'!N2294,'Retirement Calculator'!A:A,0),0),0)</f>
        <v>0</v>
      </c>
      <c r="K2294" s="444">
        <f t="shared" ca="1" si="123"/>
        <v>-45355014.301635981</v>
      </c>
      <c r="L2294" s="444">
        <f t="shared" ca="1" si="124"/>
        <v>-10930558446.694271</v>
      </c>
      <c r="M2294" s="460">
        <f t="shared" si="126"/>
        <v>0.05</v>
      </c>
      <c r="N2294" s="464">
        <f t="shared" si="127"/>
        <v>120866</v>
      </c>
    </row>
    <row r="2295" spans="7:14" ht="11.25" customHeight="1" x14ac:dyDescent="0.25">
      <c r="G2295" s="459"/>
      <c r="H2295" s="459">
        <v>2288</v>
      </c>
      <c r="I2295" s="444">
        <f t="shared" ca="1" si="125"/>
        <v>-10930558446.694271</v>
      </c>
      <c r="J2295" s="444">
        <f t="array" ref="J2295">IFERROR(INDEX('Retirement Calculator'!K:K,MATCH('Lorri 401b'!N2295,'Retirement Calculator'!A:A,0),0),0)</f>
        <v>0</v>
      </c>
      <c r="K2295" s="444">
        <f t="shared" ca="1" si="123"/>
        <v>-45543993.527892798</v>
      </c>
      <c r="L2295" s="444">
        <f t="shared" ca="1" si="124"/>
        <v>-10976102440.222164</v>
      </c>
      <c r="M2295" s="460">
        <f t="shared" si="126"/>
        <v>0.05</v>
      </c>
      <c r="N2295" s="464">
        <f t="shared" si="127"/>
        <v>120897</v>
      </c>
    </row>
    <row r="2296" spans="7:14" ht="11.25" customHeight="1" x14ac:dyDescent="0.25">
      <c r="G2296" s="459"/>
      <c r="H2296" s="459">
        <v>2289</v>
      </c>
      <c r="I2296" s="444">
        <f t="shared" ca="1" si="125"/>
        <v>-10976102440.222164</v>
      </c>
      <c r="J2296" s="444">
        <f t="array" ref="J2296">IFERROR(INDEX('Retirement Calculator'!K:K,MATCH('Lorri 401b'!N2296,'Retirement Calculator'!A:A,0),0),0)</f>
        <v>0</v>
      </c>
      <c r="K2296" s="444">
        <f t="shared" ca="1" si="123"/>
        <v>-45733760.167592347</v>
      </c>
      <c r="L2296" s="444">
        <f t="shared" ca="1" si="124"/>
        <v>-11021836200.389757</v>
      </c>
      <c r="M2296" s="460">
        <f t="shared" si="126"/>
        <v>0.05</v>
      </c>
      <c r="N2296" s="464">
        <f t="shared" si="127"/>
        <v>120928</v>
      </c>
    </row>
    <row r="2297" spans="7:14" ht="11.25" customHeight="1" x14ac:dyDescent="0.25">
      <c r="G2297" s="459"/>
      <c r="H2297" s="459">
        <v>2290</v>
      </c>
      <c r="I2297" s="444">
        <f t="shared" ca="1" si="125"/>
        <v>-11021836200.389757</v>
      </c>
      <c r="J2297" s="444">
        <f t="array" ref="J2297">IFERROR(INDEX('Retirement Calculator'!K:K,MATCH('Lorri 401b'!N2297,'Retirement Calculator'!A:A,0),0),0)</f>
        <v>0</v>
      </c>
      <c r="K2297" s="444">
        <f t="shared" ca="1" si="123"/>
        <v>-45924317.501623988</v>
      </c>
      <c r="L2297" s="444">
        <f t="shared" ca="1" si="124"/>
        <v>-11067760517.89138</v>
      </c>
      <c r="M2297" s="460">
        <f t="shared" si="126"/>
        <v>0.05</v>
      </c>
      <c r="N2297" s="464">
        <f t="shared" si="127"/>
        <v>120956</v>
      </c>
    </row>
    <row r="2298" spans="7:14" ht="11.25" customHeight="1" x14ac:dyDescent="0.25">
      <c r="G2298" s="459"/>
      <c r="H2298" s="459">
        <v>2291</v>
      </c>
      <c r="I2298" s="444">
        <f t="shared" ca="1" si="125"/>
        <v>-11067760517.89138</v>
      </c>
      <c r="J2298" s="444">
        <f t="array" ref="J2298">IFERROR(INDEX('Retirement Calculator'!K:K,MATCH('Lorri 401b'!N2298,'Retirement Calculator'!A:A,0),0),0)</f>
        <v>0</v>
      </c>
      <c r="K2298" s="444">
        <f t="shared" ca="1" si="123"/>
        <v>-46115668.824547417</v>
      </c>
      <c r="L2298" s="444">
        <f t="shared" ca="1" si="124"/>
        <v>-11113876186.715927</v>
      </c>
      <c r="M2298" s="460">
        <f t="shared" si="126"/>
        <v>0.05</v>
      </c>
      <c r="N2298" s="464">
        <f t="shared" si="127"/>
        <v>120987</v>
      </c>
    </row>
    <row r="2299" spans="7:14" ht="11.25" customHeight="1" x14ac:dyDescent="0.25">
      <c r="G2299" s="459"/>
      <c r="H2299" s="459">
        <v>2292</v>
      </c>
      <c r="I2299" s="444">
        <f t="shared" ca="1" si="125"/>
        <v>-11113876186.715927</v>
      </c>
      <c r="J2299" s="444">
        <f t="array" ref="J2299">IFERROR(INDEX('Retirement Calculator'!K:K,MATCH('Lorri 401b'!N2299,'Retirement Calculator'!A:A,0),0),0)</f>
        <v>0</v>
      </c>
      <c r="K2299" s="444">
        <f t="shared" ca="1" si="123"/>
        <v>-46307817.444649696</v>
      </c>
      <c r="L2299" s="444">
        <f t="shared" ca="1" si="124"/>
        <v>-11160184004.160576</v>
      </c>
      <c r="M2299" s="460">
        <f t="shared" si="126"/>
        <v>0.05</v>
      </c>
      <c r="N2299" s="464">
        <f t="shared" si="127"/>
        <v>121017</v>
      </c>
    </row>
    <row r="2300" spans="7:14" ht="11.25" customHeight="1" x14ac:dyDescent="0.25">
      <c r="G2300" s="459"/>
      <c r="H2300" s="459">
        <v>2293</v>
      </c>
      <c r="I2300" s="444">
        <f t="shared" ca="1" si="125"/>
        <v>-11160184004.160576</v>
      </c>
      <c r="J2300" s="444">
        <f t="array" ref="J2300">IFERROR(INDEX('Retirement Calculator'!K:K,MATCH('Lorri 401b'!N2300,'Retirement Calculator'!A:A,0),0),0)</f>
        <v>0</v>
      </c>
      <c r="K2300" s="444">
        <f t="shared" ca="1" si="123"/>
        <v>-46500766.684002399</v>
      </c>
      <c r="L2300" s="444">
        <f t="shared" ca="1" si="124"/>
        <v>-11206684770.844578</v>
      </c>
      <c r="M2300" s="460">
        <f t="shared" si="126"/>
        <v>0.05</v>
      </c>
      <c r="N2300" s="464">
        <f t="shared" si="127"/>
        <v>121048</v>
      </c>
    </row>
    <row r="2301" spans="7:14" ht="11.25" customHeight="1" x14ac:dyDescent="0.25">
      <c r="G2301" s="459"/>
      <c r="H2301" s="459">
        <v>2294</v>
      </c>
      <c r="I2301" s="444">
        <f t="shared" ca="1" si="125"/>
        <v>-11206684770.844578</v>
      </c>
      <c r="J2301" s="444">
        <f t="array" ref="J2301">IFERROR(INDEX('Retirement Calculator'!K:K,MATCH('Lorri 401b'!N2301,'Retirement Calculator'!A:A,0),0),0)</f>
        <v>0</v>
      </c>
      <c r="K2301" s="444">
        <f t="shared" ca="1" si="123"/>
        <v>-46694519.878519073</v>
      </c>
      <c r="L2301" s="444">
        <f t="shared" ca="1" si="124"/>
        <v>-11253379290.723097</v>
      </c>
      <c r="M2301" s="460">
        <f t="shared" si="126"/>
        <v>0.05</v>
      </c>
      <c r="N2301" s="464">
        <f t="shared" si="127"/>
        <v>121078</v>
      </c>
    </row>
    <row r="2302" spans="7:14" ht="11.25" customHeight="1" x14ac:dyDescent="0.25">
      <c r="G2302" s="459"/>
      <c r="H2302" s="459">
        <v>2295</v>
      </c>
      <c r="I2302" s="444">
        <f t="shared" ca="1" si="125"/>
        <v>-11253379290.723097</v>
      </c>
      <c r="J2302" s="444">
        <f t="array" ref="J2302">IFERROR(INDEX('Retirement Calculator'!K:K,MATCH('Lorri 401b'!N2302,'Retirement Calculator'!A:A,0),0),0)</f>
        <v>0</v>
      </c>
      <c r="K2302" s="444">
        <f t="shared" ca="1" si="123"/>
        <v>-46889080.378012903</v>
      </c>
      <c r="L2302" s="444">
        <f t="shared" ca="1" si="124"/>
        <v>-11300268371.10111</v>
      </c>
      <c r="M2302" s="460">
        <f t="shared" si="126"/>
        <v>0.05</v>
      </c>
      <c r="N2302" s="464">
        <f t="shared" si="127"/>
        <v>121109</v>
      </c>
    </row>
    <row r="2303" spans="7:14" ht="11.25" customHeight="1" x14ac:dyDescent="0.25">
      <c r="G2303" s="459"/>
      <c r="H2303" s="459">
        <v>2296</v>
      </c>
      <c r="I2303" s="444">
        <f t="shared" ca="1" si="125"/>
        <v>-11300268371.10111</v>
      </c>
      <c r="J2303" s="444">
        <f t="array" ref="J2303">IFERROR(INDEX('Retirement Calculator'!K:K,MATCH('Lorri 401b'!N2303,'Retirement Calculator'!A:A,0),0),0)</f>
        <v>0</v>
      </c>
      <c r="K2303" s="444">
        <f t="shared" ref="K2303:K2557" ca="1" si="128">IPMT(M2303/12,1,12,-I2303+J2303,,0)</f>
        <v>-47084451.546254627</v>
      </c>
      <c r="L2303" s="444">
        <f t="shared" ref="L2303:L2557" ca="1" si="129">I2303-J2303+K2303</f>
        <v>-11347352822.647366</v>
      </c>
      <c r="M2303" s="460">
        <f t="shared" si="126"/>
        <v>0.05</v>
      </c>
      <c r="N2303" s="464">
        <f t="shared" si="127"/>
        <v>121140</v>
      </c>
    </row>
    <row r="2304" spans="7:14" ht="11.25" customHeight="1" x14ac:dyDescent="0.25">
      <c r="G2304" s="459"/>
      <c r="H2304" s="459">
        <v>2297</v>
      </c>
      <c r="I2304" s="444">
        <f t="shared" ref="I2304:I2558" ca="1" si="130">L2303</f>
        <v>-11347352822.647366</v>
      </c>
      <c r="J2304" s="444">
        <f t="array" ref="J2304">IFERROR(INDEX('Retirement Calculator'!K:K,MATCH('Lorri 401b'!N2304,'Retirement Calculator'!A:A,0),0),0)</f>
        <v>0</v>
      </c>
      <c r="K2304" s="444">
        <f t="shared" ca="1" si="128"/>
        <v>-47280636.761030689</v>
      </c>
      <c r="L2304" s="444">
        <f t="shared" ca="1" si="129"/>
        <v>-11394633459.408396</v>
      </c>
      <c r="M2304" s="460">
        <f t="shared" ref="M2304:M2558" si="131">M2303</f>
        <v>0.05</v>
      </c>
      <c r="N2304" s="464">
        <f t="shared" ref="N2304:N2558" si="132">EDATE(N2303,1)</f>
        <v>121170</v>
      </c>
    </row>
    <row r="2305" spans="7:14" ht="11.25" customHeight="1" x14ac:dyDescent="0.25">
      <c r="G2305" s="459"/>
      <c r="H2305" s="459">
        <v>2298</v>
      </c>
      <c r="I2305" s="444">
        <f t="shared" ca="1" si="130"/>
        <v>-11394633459.408396</v>
      </c>
      <c r="J2305" s="444">
        <f t="array" ref="J2305">IFERROR(INDEX('Retirement Calculator'!K:K,MATCH('Lorri 401b'!N2305,'Retirement Calculator'!A:A,0),0),0)</f>
        <v>0</v>
      </c>
      <c r="K2305" s="444">
        <f t="shared" ca="1" si="128"/>
        <v>-47477639.414201647</v>
      </c>
      <c r="L2305" s="444">
        <f t="shared" ca="1" si="129"/>
        <v>-11442111098.822598</v>
      </c>
      <c r="M2305" s="460">
        <f t="shared" si="131"/>
        <v>0.05</v>
      </c>
      <c r="N2305" s="464">
        <f t="shared" si="132"/>
        <v>121201</v>
      </c>
    </row>
    <row r="2306" spans="7:14" ht="11.25" customHeight="1" x14ac:dyDescent="0.25">
      <c r="G2306" s="459"/>
      <c r="H2306" s="459">
        <v>2299</v>
      </c>
      <c r="I2306" s="444">
        <f t="shared" ca="1" si="130"/>
        <v>-11442111098.822598</v>
      </c>
      <c r="J2306" s="444">
        <f t="array" ref="J2306">IFERROR(INDEX('Retirement Calculator'!K:K,MATCH('Lorri 401b'!N2306,'Retirement Calculator'!A:A,0),0),0)</f>
        <v>0</v>
      </c>
      <c r="K2306" s="444">
        <f t="shared" ca="1" si="128"/>
        <v>-47675462.911760822</v>
      </c>
      <c r="L2306" s="444">
        <f t="shared" ca="1" si="129"/>
        <v>-11489786561.734358</v>
      </c>
      <c r="M2306" s="460">
        <f t="shared" si="131"/>
        <v>0.05</v>
      </c>
      <c r="N2306" s="464">
        <f t="shared" si="132"/>
        <v>121231</v>
      </c>
    </row>
    <row r="2307" spans="7:14" ht="11.25" customHeight="1" x14ac:dyDescent="0.25">
      <c r="G2307" s="459"/>
      <c r="H2307" s="459">
        <v>2300</v>
      </c>
      <c r="I2307" s="444">
        <f t="shared" ca="1" si="130"/>
        <v>-11489786561.734358</v>
      </c>
      <c r="J2307" s="444">
        <f t="array" ref="J2307">IFERROR(INDEX('Retirement Calculator'!K:K,MATCH('Lorri 401b'!N2307,'Retirement Calculator'!A:A,0),0),0)</f>
        <v>0</v>
      </c>
      <c r="K2307" s="444">
        <f t="shared" ca="1" si="128"/>
        <v>-47874110.673893154</v>
      </c>
      <c r="L2307" s="444">
        <f t="shared" ca="1" si="129"/>
        <v>-11537660672.408251</v>
      </c>
      <c r="M2307" s="460">
        <f t="shared" si="131"/>
        <v>0.05</v>
      </c>
      <c r="N2307" s="464">
        <f t="shared" si="132"/>
        <v>121262</v>
      </c>
    </row>
    <row r="2308" spans="7:14" ht="11.25" customHeight="1" x14ac:dyDescent="0.25">
      <c r="G2308" s="459"/>
      <c r="H2308" s="459">
        <v>2301</v>
      </c>
      <c r="I2308" s="444">
        <f t="shared" ca="1" si="130"/>
        <v>-11537660672.408251</v>
      </c>
      <c r="J2308" s="444">
        <f t="array" ref="J2308">IFERROR(INDEX('Retirement Calculator'!K:K,MATCH('Lorri 401b'!N2308,'Retirement Calculator'!A:A,0),0),0)</f>
        <v>0</v>
      </c>
      <c r="K2308" s="444">
        <f t="shared" ca="1" si="128"/>
        <v>-48073586.135034375</v>
      </c>
      <c r="L2308" s="444">
        <f t="shared" ca="1" si="129"/>
        <v>-11585734258.543285</v>
      </c>
      <c r="M2308" s="460">
        <f t="shared" si="131"/>
        <v>0.05</v>
      </c>
      <c r="N2308" s="464">
        <f t="shared" si="132"/>
        <v>121293</v>
      </c>
    </row>
    <row r="2309" spans="7:14" ht="11.25" customHeight="1" x14ac:dyDescent="0.25">
      <c r="G2309" s="459"/>
      <c r="H2309" s="459">
        <v>2302</v>
      </c>
      <c r="I2309" s="444">
        <f t="shared" ca="1" si="130"/>
        <v>-11585734258.543285</v>
      </c>
      <c r="J2309" s="444">
        <f t="array" ref="J2309">IFERROR(INDEX('Retirement Calculator'!K:K,MATCH('Lorri 401b'!N2309,'Retirement Calculator'!A:A,0),0),0)</f>
        <v>0</v>
      </c>
      <c r="K2309" s="444">
        <f t="shared" ca="1" si="128"/>
        <v>-48273892.743930355</v>
      </c>
      <c r="L2309" s="444">
        <f t="shared" ca="1" si="129"/>
        <v>-11634008151.287216</v>
      </c>
      <c r="M2309" s="460">
        <f t="shared" si="131"/>
        <v>0.05</v>
      </c>
      <c r="N2309" s="464">
        <f t="shared" si="132"/>
        <v>121322</v>
      </c>
    </row>
    <row r="2310" spans="7:14" ht="11.25" customHeight="1" x14ac:dyDescent="0.25">
      <c r="G2310" s="459"/>
      <c r="H2310" s="459">
        <v>2303</v>
      </c>
      <c r="I2310" s="444">
        <f t="shared" ca="1" si="130"/>
        <v>-11634008151.287216</v>
      </c>
      <c r="J2310" s="444">
        <f t="array" ref="J2310">IFERROR(INDEX('Retirement Calculator'!K:K,MATCH('Lorri 401b'!N2310,'Retirement Calculator'!A:A,0),0),0)</f>
        <v>0</v>
      </c>
      <c r="K2310" s="444">
        <f t="shared" ca="1" si="128"/>
        <v>-48475033.963696733</v>
      </c>
      <c r="L2310" s="444">
        <f t="shared" ca="1" si="129"/>
        <v>-11682483185.250914</v>
      </c>
      <c r="M2310" s="460">
        <f t="shared" si="131"/>
        <v>0.05</v>
      </c>
      <c r="N2310" s="464">
        <f t="shared" si="132"/>
        <v>121353</v>
      </c>
    </row>
    <row r="2311" spans="7:14" ht="11.25" customHeight="1" x14ac:dyDescent="0.25">
      <c r="G2311" s="459"/>
      <c r="H2311" s="459">
        <v>2304</v>
      </c>
      <c r="I2311" s="444">
        <f t="shared" ca="1" si="130"/>
        <v>-11682483185.250914</v>
      </c>
      <c r="J2311" s="444">
        <f t="array" ref="J2311">IFERROR(INDEX('Retirement Calculator'!K:K,MATCH('Lorri 401b'!N2311,'Retirement Calculator'!A:A,0),0),0)</f>
        <v>0</v>
      </c>
      <c r="K2311" s="444">
        <f t="shared" ca="1" si="128"/>
        <v>-48677013.271878809</v>
      </c>
      <c r="L2311" s="444">
        <f t="shared" ca="1" si="129"/>
        <v>-11731160198.522793</v>
      </c>
      <c r="M2311" s="460">
        <f t="shared" si="131"/>
        <v>0.05</v>
      </c>
      <c r="N2311" s="464">
        <f t="shared" si="132"/>
        <v>121383</v>
      </c>
    </row>
    <row r="2312" spans="7:14" ht="11.25" customHeight="1" x14ac:dyDescent="0.25">
      <c r="G2312" s="459"/>
      <c r="H2312" s="459">
        <v>2305</v>
      </c>
      <c r="I2312" s="444">
        <f t="shared" ca="1" si="130"/>
        <v>-11731160198.522793</v>
      </c>
      <c r="J2312" s="444">
        <f t="array" ref="J2312">IFERROR(INDEX('Retirement Calculator'!K:K,MATCH('Lorri 401b'!N2312,'Retirement Calculator'!A:A,0),0),0)</f>
        <v>0</v>
      </c>
      <c r="K2312" s="444">
        <f t="shared" ca="1" si="128"/>
        <v>-48879834.160511635</v>
      </c>
      <c r="L2312" s="444">
        <f t="shared" ca="1" si="129"/>
        <v>-11780040032.683304</v>
      </c>
      <c r="M2312" s="460">
        <f t="shared" si="131"/>
        <v>0.05</v>
      </c>
      <c r="N2312" s="464">
        <f t="shared" si="132"/>
        <v>121414</v>
      </c>
    </row>
    <row r="2313" spans="7:14" ht="11.25" customHeight="1" x14ac:dyDescent="0.25">
      <c r="G2313" s="459"/>
      <c r="H2313" s="459">
        <v>2306</v>
      </c>
      <c r="I2313" s="444">
        <f t="shared" ca="1" si="130"/>
        <v>-11780040032.683304</v>
      </c>
      <c r="J2313" s="444">
        <f t="array" ref="J2313">IFERROR(INDEX('Retirement Calculator'!K:K,MATCH('Lorri 401b'!N2313,'Retirement Calculator'!A:A,0),0),0)</f>
        <v>0</v>
      </c>
      <c r="K2313" s="444">
        <f t="shared" ca="1" si="128"/>
        <v>-49083500.136180431</v>
      </c>
      <c r="L2313" s="444">
        <f t="shared" ca="1" si="129"/>
        <v>-11829123532.819485</v>
      </c>
      <c r="M2313" s="460">
        <f t="shared" si="131"/>
        <v>0.05</v>
      </c>
      <c r="N2313" s="464">
        <f t="shared" si="132"/>
        <v>121444</v>
      </c>
    </row>
    <row r="2314" spans="7:14" ht="11.25" customHeight="1" x14ac:dyDescent="0.25">
      <c r="G2314" s="459"/>
      <c r="H2314" s="459">
        <v>2307</v>
      </c>
      <c r="I2314" s="444">
        <f t="shared" ca="1" si="130"/>
        <v>-11829123532.819485</v>
      </c>
      <c r="J2314" s="444">
        <f t="array" ref="J2314">IFERROR(INDEX('Retirement Calculator'!K:K,MATCH('Lorri 401b'!N2314,'Retirement Calculator'!A:A,0),0),0)</f>
        <v>0</v>
      </c>
      <c r="K2314" s="444">
        <f t="shared" ca="1" si="128"/>
        <v>-49288014.720081188</v>
      </c>
      <c r="L2314" s="444">
        <f t="shared" ca="1" si="129"/>
        <v>-11878411547.539566</v>
      </c>
      <c r="M2314" s="460">
        <f t="shared" si="131"/>
        <v>0.05</v>
      </c>
      <c r="N2314" s="464">
        <f t="shared" si="132"/>
        <v>121475</v>
      </c>
    </row>
    <row r="2315" spans="7:14" ht="11.25" customHeight="1" x14ac:dyDescent="0.25">
      <c r="G2315" s="459"/>
      <c r="H2315" s="459">
        <v>2308</v>
      </c>
      <c r="I2315" s="444">
        <f t="shared" ca="1" si="130"/>
        <v>-11878411547.539566</v>
      </c>
      <c r="J2315" s="444">
        <f t="array" ref="J2315">IFERROR(INDEX('Retirement Calculator'!K:K,MATCH('Lorri 401b'!N2315,'Retirement Calculator'!A:A,0),0),0)</f>
        <v>0</v>
      </c>
      <c r="K2315" s="444">
        <f t="shared" ca="1" si="128"/>
        <v>-49493381.448081523</v>
      </c>
      <c r="L2315" s="444">
        <f t="shared" ca="1" si="129"/>
        <v>-11927904928.987648</v>
      </c>
      <c r="M2315" s="460">
        <f t="shared" si="131"/>
        <v>0.05</v>
      </c>
      <c r="N2315" s="464">
        <f t="shared" si="132"/>
        <v>121506</v>
      </c>
    </row>
    <row r="2316" spans="7:14" ht="11.25" customHeight="1" x14ac:dyDescent="0.25">
      <c r="G2316" s="459"/>
      <c r="H2316" s="459">
        <v>2309</v>
      </c>
      <c r="I2316" s="444">
        <f t="shared" ca="1" si="130"/>
        <v>-11927904928.987648</v>
      </c>
      <c r="J2316" s="444">
        <f t="array" ref="J2316">IFERROR(INDEX('Retirement Calculator'!K:K,MATCH('Lorri 401b'!N2316,'Retirement Calculator'!A:A,0),0),0)</f>
        <v>0</v>
      </c>
      <c r="K2316" s="444">
        <f t="shared" ca="1" si="128"/>
        <v>-49699603.870781869</v>
      </c>
      <c r="L2316" s="444">
        <f t="shared" ca="1" si="129"/>
        <v>-11977604532.858429</v>
      </c>
      <c r="M2316" s="460">
        <f t="shared" si="131"/>
        <v>0.05</v>
      </c>
      <c r="N2316" s="464">
        <f t="shared" si="132"/>
        <v>121536</v>
      </c>
    </row>
    <row r="2317" spans="7:14" ht="11.25" customHeight="1" x14ac:dyDescent="0.25">
      <c r="G2317" s="459"/>
      <c r="H2317" s="459">
        <v>2310</v>
      </c>
      <c r="I2317" s="444">
        <f t="shared" ca="1" si="130"/>
        <v>-11977604532.858429</v>
      </c>
      <c r="J2317" s="444">
        <f t="array" ref="J2317">IFERROR(INDEX('Retirement Calculator'!K:K,MATCH('Lorri 401b'!N2317,'Retirement Calculator'!A:A,0),0),0)</f>
        <v>0</v>
      </c>
      <c r="K2317" s="444">
        <f t="shared" ca="1" si="128"/>
        <v>-49906685.55357679</v>
      </c>
      <c r="L2317" s="444">
        <f t="shared" ca="1" si="129"/>
        <v>-12027511218.412006</v>
      </c>
      <c r="M2317" s="460">
        <f t="shared" si="131"/>
        <v>0.05</v>
      </c>
      <c r="N2317" s="464">
        <f t="shared" si="132"/>
        <v>121567</v>
      </c>
    </row>
    <row r="2318" spans="7:14" ht="11.25" customHeight="1" x14ac:dyDescent="0.25">
      <c r="G2318" s="459"/>
      <c r="H2318" s="459">
        <v>2311</v>
      </c>
      <c r="I2318" s="444">
        <f t="shared" ca="1" si="130"/>
        <v>-12027511218.412006</v>
      </c>
      <c r="J2318" s="444">
        <f t="array" ref="J2318">IFERROR(INDEX('Retirement Calculator'!K:K,MATCH('Lorri 401b'!N2318,'Retirement Calculator'!A:A,0),0),0)</f>
        <v>0</v>
      </c>
      <c r="K2318" s="444">
        <f t="shared" ca="1" si="128"/>
        <v>-50114630.076716691</v>
      </c>
      <c r="L2318" s="444">
        <f t="shared" ca="1" si="129"/>
        <v>-12077625848.488724</v>
      </c>
      <c r="M2318" s="460">
        <f t="shared" si="131"/>
        <v>0.05</v>
      </c>
      <c r="N2318" s="464">
        <f t="shared" si="132"/>
        <v>121597</v>
      </c>
    </row>
    <row r="2319" spans="7:14" ht="11.25" customHeight="1" x14ac:dyDescent="0.25">
      <c r="G2319" s="459"/>
      <c r="H2319" s="459">
        <v>2312</v>
      </c>
      <c r="I2319" s="444">
        <f t="shared" ca="1" si="130"/>
        <v>-12077625848.488724</v>
      </c>
      <c r="J2319" s="444">
        <f t="array" ref="J2319">IFERROR(INDEX('Retirement Calculator'!K:K,MATCH('Lorri 401b'!N2319,'Retirement Calculator'!A:A,0),0),0)</f>
        <v>0</v>
      </c>
      <c r="K2319" s="444">
        <f t="shared" ca="1" si="128"/>
        <v>-50323441.035369679</v>
      </c>
      <c r="L2319" s="444">
        <f t="shared" ca="1" si="129"/>
        <v>-12127949289.524094</v>
      </c>
      <c r="M2319" s="460">
        <f t="shared" si="131"/>
        <v>0.05</v>
      </c>
      <c r="N2319" s="464">
        <f t="shared" si="132"/>
        <v>121628</v>
      </c>
    </row>
    <row r="2320" spans="7:14" ht="11.25" customHeight="1" x14ac:dyDescent="0.25">
      <c r="G2320" s="459"/>
      <c r="H2320" s="459">
        <v>2313</v>
      </c>
      <c r="I2320" s="444">
        <f t="shared" ca="1" si="130"/>
        <v>-12127949289.524094</v>
      </c>
      <c r="J2320" s="444">
        <f t="array" ref="J2320">IFERROR(INDEX('Retirement Calculator'!K:K,MATCH('Lorri 401b'!N2320,'Retirement Calculator'!A:A,0),0),0)</f>
        <v>0</v>
      </c>
      <c r="K2320" s="444">
        <f t="shared" ca="1" si="128"/>
        <v>-50533122.039683722</v>
      </c>
      <c r="L2320" s="444">
        <f t="shared" ca="1" si="129"/>
        <v>-12178482411.563778</v>
      </c>
      <c r="M2320" s="460">
        <f t="shared" si="131"/>
        <v>0.05</v>
      </c>
      <c r="N2320" s="464">
        <f t="shared" si="132"/>
        <v>121659</v>
      </c>
    </row>
    <row r="2321" spans="7:14" ht="11.25" customHeight="1" x14ac:dyDescent="0.25">
      <c r="G2321" s="459"/>
      <c r="H2321" s="459">
        <v>2314</v>
      </c>
      <c r="I2321" s="444">
        <f t="shared" ca="1" si="130"/>
        <v>-12178482411.563778</v>
      </c>
      <c r="J2321" s="444">
        <f t="array" ref="J2321">IFERROR(INDEX('Retirement Calculator'!K:K,MATCH('Lorri 401b'!N2321,'Retirement Calculator'!A:A,0),0),0)</f>
        <v>0</v>
      </c>
      <c r="K2321" s="444">
        <f t="shared" ca="1" si="128"/>
        <v>-50743676.714849077</v>
      </c>
      <c r="L2321" s="444">
        <f t="shared" ca="1" si="129"/>
        <v>-12229226088.278627</v>
      </c>
      <c r="M2321" s="460">
        <f t="shared" si="131"/>
        <v>0.05</v>
      </c>
      <c r="N2321" s="464">
        <f t="shared" si="132"/>
        <v>121687</v>
      </c>
    </row>
    <row r="2322" spans="7:14" ht="11.25" customHeight="1" x14ac:dyDescent="0.25">
      <c r="G2322" s="459"/>
      <c r="H2322" s="459">
        <v>2315</v>
      </c>
      <c r="I2322" s="444">
        <f t="shared" ca="1" si="130"/>
        <v>-12229226088.278627</v>
      </c>
      <c r="J2322" s="444">
        <f t="array" ref="J2322">IFERROR(INDEX('Retirement Calculator'!K:K,MATCH('Lorri 401b'!N2322,'Retirement Calculator'!A:A,0),0),0)</f>
        <v>0</v>
      </c>
      <c r="K2322" s="444">
        <f t="shared" ca="1" si="128"/>
        <v>-50955108.701160945</v>
      </c>
      <c r="L2322" s="444">
        <f t="shared" ca="1" si="129"/>
        <v>-12280181196.979788</v>
      </c>
      <c r="M2322" s="460">
        <f t="shared" si="131"/>
        <v>0.05</v>
      </c>
      <c r="N2322" s="464">
        <f t="shared" si="132"/>
        <v>121718</v>
      </c>
    </row>
    <row r="2323" spans="7:14" ht="11.25" customHeight="1" x14ac:dyDescent="0.25">
      <c r="G2323" s="459"/>
      <c r="H2323" s="459">
        <v>2316</v>
      </c>
      <c r="I2323" s="444">
        <f t="shared" ca="1" si="130"/>
        <v>-12280181196.979788</v>
      </c>
      <c r="J2323" s="444">
        <f t="array" ref="J2323">IFERROR(INDEX('Retirement Calculator'!K:K,MATCH('Lorri 401b'!N2323,'Retirement Calculator'!A:A,0),0),0)</f>
        <v>0</v>
      </c>
      <c r="K2323" s="444">
        <f t="shared" ca="1" si="128"/>
        <v>-51167421.654082447</v>
      </c>
      <c r="L2323" s="444">
        <f t="shared" ca="1" si="129"/>
        <v>-12331348618.633871</v>
      </c>
      <c r="M2323" s="460">
        <f t="shared" si="131"/>
        <v>0.05</v>
      </c>
      <c r="N2323" s="464">
        <f t="shared" si="132"/>
        <v>121748</v>
      </c>
    </row>
    <row r="2324" spans="7:14" ht="11.25" customHeight="1" x14ac:dyDescent="0.25">
      <c r="G2324" s="459"/>
      <c r="H2324" s="459">
        <v>2317</v>
      </c>
      <c r="I2324" s="444">
        <f t="shared" ca="1" si="130"/>
        <v>-12331348618.633871</v>
      </c>
      <c r="J2324" s="444">
        <f t="array" ref="J2324">IFERROR(INDEX('Retirement Calculator'!K:K,MATCH('Lorri 401b'!N2324,'Retirement Calculator'!A:A,0),0),0)</f>
        <v>0</v>
      </c>
      <c r="K2324" s="444">
        <f t="shared" ca="1" si="128"/>
        <v>-51380619.244307794</v>
      </c>
      <c r="L2324" s="444">
        <f t="shared" ca="1" si="129"/>
        <v>-12382729237.87818</v>
      </c>
      <c r="M2324" s="460">
        <f t="shared" si="131"/>
        <v>0.05</v>
      </c>
      <c r="N2324" s="464">
        <f t="shared" si="132"/>
        <v>121779</v>
      </c>
    </row>
    <row r="2325" spans="7:14" ht="11.25" customHeight="1" x14ac:dyDescent="0.25">
      <c r="G2325" s="459"/>
      <c r="H2325" s="459">
        <v>2318</v>
      </c>
      <c r="I2325" s="444">
        <f t="shared" ca="1" si="130"/>
        <v>-12382729237.87818</v>
      </c>
      <c r="J2325" s="444">
        <f t="array" ref="J2325">IFERROR(INDEX('Retirement Calculator'!K:K,MATCH('Lorri 401b'!N2325,'Retirement Calculator'!A:A,0),0),0)</f>
        <v>0</v>
      </c>
      <c r="K2325" s="444">
        <f t="shared" ca="1" si="128"/>
        <v>-51594705.157825746</v>
      </c>
      <c r="L2325" s="444">
        <f t="shared" ca="1" si="129"/>
        <v>-12434323943.036005</v>
      </c>
      <c r="M2325" s="460">
        <f t="shared" si="131"/>
        <v>0.05</v>
      </c>
      <c r="N2325" s="464">
        <f t="shared" si="132"/>
        <v>121809</v>
      </c>
    </row>
    <row r="2326" spans="7:14" ht="11.25" customHeight="1" x14ac:dyDescent="0.25">
      <c r="G2326" s="459"/>
      <c r="H2326" s="459">
        <v>2319</v>
      </c>
      <c r="I2326" s="444">
        <f t="shared" ca="1" si="130"/>
        <v>-12434323943.036005</v>
      </c>
      <c r="J2326" s="444">
        <f t="array" ref="J2326">IFERROR(INDEX('Retirement Calculator'!K:K,MATCH('Lorri 401b'!N2326,'Retirement Calculator'!A:A,0),0),0)</f>
        <v>0</v>
      </c>
      <c r="K2326" s="444">
        <f t="shared" ca="1" si="128"/>
        <v>-51809683.095983356</v>
      </c>
      <c r="L2326" s="444">
        <f t="shared" ca="1" si="129"/>
        <v>-12486133626.131989</v>
      </c>
      <c r="M2326" s="460">
        <f t="shared" si="131"/>
        <v>0.05</v>
      </c>
      <c r="N2326" s="464">
        <f t="shared" si="132"/>
        <v>121840</v>
      </c>
    </row>
    <row r="2327" spans="7:14" ht="11.25" customHeight="1" x14ac:dyDescent="0.25">
      <c r="G2327" s="459"/>
      <c r="H2327" s="459">
        <v>2320</v>
      </c>
      <c r="I2327" s="444">
        <f t="shared" ca="1" si="130"/>
        <v>-12486133626.131989</v>
      </c>
      <c r="J2327" s="444">
        <f t="array" ref="J2327">IFERROR(INDEX('Retirement Calculator'!K:K,MATCH('Lorri 401b'!N2327,'Retirement Calculator'!A:A,0),0),0)</f>
        <v>0</v>
      </c>
      <c r="K2327" s="444">
        <f t="shared" ca="1" si="128"/>
        <v>-52025556.775549948</v>
      </c>
      <c r="L2327" s="444">
        <f t="shared" ca="1" si="129"/>
        <v>-12538159182.907539</v>
      </c>
      <c r="M2327" s="460">
        <f t="shared" si="131"/>
        <v>0.05</v>
      </c>
      <c r="N2327" s="464">
        <f t="shared" si="132"/>
        <v>121871</v>
      </c>
    </row>
    <row r="2328" spans="7:14" ht="11.25" customHeight="1" x14ac:dyDescent="0.25">
      <c r="G2328" s="459"/>
      <c r="H2328" s="459">
        <v>2321</v>
      </c>
      <c r="I2328" s="444">
        <f t="shared" ca="1" si="130"/>
        <v>-12538159182.907539</v>
      </c>
      <c r="J2328" s="444">
        <f t="array" ref="J2328">IFERROR(INDEX('Retirement Calculator'!K:K,MATCH('Lorri 401b'!N2328,'Retirement Calculator'!A:A,0),0),0)</f>
        <v>0</v>
      </c>
      <c r="K2328" s="444">
        <f t="shared" ca="1" si="128"/>
        <v>-52242329.928781413</v>
      </c>
      <c r="L2328" s="444">
        <f t="shared" ca="1" si="129"/>
        <v>-12590401512.836321</v>
      </c>
      <c r="M2328" s="460">
        <f t="shared" si="131"/>
        <v>0.05</v>
      </c>
      <c r="N2328" s="464">
        <f t="shared" si="132"/>
        <v>121901</v>
      </c>
    </row>
    <row r="2329" spans="7:14" ht="11.25" customHeight="1" x14ac:dyDescent="0.25">
      <c r="G2329" s="459"/>
      <c r="H2329" s="459">
        <v>2322</v>
      </c>
      <c r="I2329" s="444">
        <f t="shared" ca="1" si="130"/>
        <v>-12590401512.836321</v>
      </c>
      <c r="J2329" s="444">
        <f t="array" ref="J2329">IFERROR(INDEX('Retirement Calculator'!K:K,MATCH('Lorri 401b'!N2329,'Retirement Calculator'!A:A,0),0),0)</f>
        <v>0</v>
      </c>
      <c r="K2329" s="444">
        <f t="shared" ca="1" si="128"/>
        <v>-52460006.303484671</v>
      </c>
      <c r="L2329" s="444">
        <f t="shared" ca="1" si="129"/>
        <v>-12642861519.139805</v>
      </c>
      <c r="M2329" s="460">
        <f t="shared" si="131"/>
        <v>0.05</v>
      </c>
      <c r="N2329" s="464">
        <f t="shared" si="132"/>
        <v>121932</v>
      </c>
    </row>
    <row r="2330" spans="7:14" ht="11.25" customHeight="1" x14ac:dyDescent="0.25">
      <c r="G2330" s="459"/>
      <c r="H2330" s="459">
        <v>2323</v>
      </c>
      <c r="I2330" s="444">
        <f t="shared" ca="1" si="130"/>
        <v>-12642861519.139805</v>
      </c>
      <c r="J2330" s="444">
        <f t="array" ref="J2330">IFERROR(INDEX('Retirement Calculator'!K:K,MATCH('Lorri 401b'!N2330,'Retirement Calculator'!A:A,0),0),0)</f>
        <v>0</v>
      </c>
      <c r="K2330" s="444">
        <f t="shared" ca="1" si="128"/>
        <v>-52678589.663082518</v>
      </c>
      <c r="L2330" s="444">
        <f t="shared" ca="1" si="129"/>
        <v>-12695540108.802887</v>
      </c>
      <c r="M2330" s="460">
        <f t="shared" si="131"/>
        <v>0.05</v>
      </c>
      <c r="N2330" s="464">
        <f t="shared" si="132"/>
        <v>121962</v>
      </c>
    </row>
    <row r="2331" spans="7:14" ht="11.25" customHeight="1" x14ac:dyDescent="0.25">
      <c r="G2331" s="459"/>
      <c r="H2331" s="459">
        <v>2324</v>
      </c>
      <c r="I2331" s="444">
        <f t="shared" ca="1" si="130"/>
        <v>-12695540108.802887</v>
      </c>
      <c r="J2331" s="444">
        <f t="array" ref="J2331">IFERROR(INDEX('Retirement Calculator'!K:K,MATCH('Lorri 401b'!N2331,'Retirement Calculator'!A:A,0),0),0)</f>
        <v>0</v>
      </c>
      <c r="K2331" s="444">
        <f t="shared" ca="1" si="128"/>
        <v>-52898083.786678694</v>
      </c>
      <c r="L2331" s="444">
        <f t="shared" ca="1" si="129"/>
        <v>-12748438192.589565</v>
      </c>
      <c r="M2331" s="460">
        <f t="shared" si="131"/>
        <v>0.05</v>
      </c>
      <c r="N2331" s="464">
        <f t="shared" si="132"/>
        <v>121993</v>
      </c>
    </row>
    <row r="2332" spans="7:14" ht="11.25" customHeight="1" x14ac:dyDescent="0.25">
      <c r="G2332" s="459"/>
      <c r="H2332" s="459">
        <v>2325</v>
      </c>
      <c r="I2332" s="444">
        <f t="shared" ca="1" si="130"/>
        <v>-12748438192.589565</v>
      </c>
      <c r="J2332" s="444">
        <f t="array" ref="J2332">IFERROR(INDEX('Retirement Calculator'!K:K,MATCH('Lorri 401b'!N2332,'Retirement Calculator'!A:A,0),0),0)</f>
        <v>0</v>
      </c>
      <c r="K2332" s="444">
        <f t="shared" ca="1" si="128"/>
        <v>-53118492.469123185</v>
      </c>
      <c r="L2332" s="444">
        <f t="shared" ca="1" si="129"/>
        <v>-12801556685.058689</v>
      </c>
      <c r="M2332" s="460">
        <f t="shared" si="131"/>
        <v>0.05</v>
      </c>
      <c r="N2332" s="464">
        <f t="shared" si="132"/>
        <v>122024</v>
      </c>
    </row>
    <row r="2333" spans="7:14" ht="11.25" customHeight="1" x14ac:dyDescent="0.25">
      <c r="G2333" s="459"/>
      <c r="H2333" s="459">
        <v>2326</v>
      </c>
      <c r="I2333" s="444">
        <f t="shared" ca="1" si="130"/>
        <v>-12801556685.058689</v>
      </c>
      <c r="J2333" s="444">
        <f t="array" ref="J2333">IFERROR(INDEX('Retirement Calculator'!K:K,MATCH('Lorri 401b'!N2333,'Retirement Calculator'!A:A,0),0),0)</f>
        <v>0</v>
      </c>
      <c r="K2333" s="444">
        <f t="shared" ca="1" si="128"/>
        <v>-53339819.521077871</v>
      </c>
      <c r="L2333" s="444">
        <f t="shared" ca="1" si="129"/>
        <v>-12854896504.579767</v>
      </c>
      <c r="M2333" s="460">
        <f t="shared" si="131"/>
        <v>0.05</v>
      </c>
      <c r="N2333" s="464">
        <f t="shared" si="132"/>
        <v>122052</v>
      </c>
    </row>
    <row r="2334" spans="7:14" ht="11.25" customHeight="1" x14ac:dyDescent="0.25">
      <c r="G2334" s="459"/>
      <c r="H2334" s="459">
        <v>2327</v>
      </c>
      <c r="I2334" s="444">
        <f t="shared" ca="1" si="130"/>
        <v>-12854896504.579767</v>
      </c>
      <c r="J2334" s="444">
        <f t="array" ref="J2334">IFERROR(INDEX('Retirement Calculator'!K:K,MATCH('Lorri 401b'!N2334,'Retirement Calculator'!A:A,0),0),0)</f>
        <v>0</v>
      </c>
      <c r="K2334" s="444">
        <f t="shared" ca="1" si="128"/>
        <v>-53562068.76908236</v>
      </c>
      <c r="L2334" s="444">
        <f t="shared" ca="1" si="129"/>
        <v>-12908458573.34885</v>
      </c>
      <c r="M2334" s="460">
        <f t="shared" si="131"/>
        <v>0.05</v>
      </c>
      <c r="N2334" s="464">
        <f t="shared" si="132"/>
        <v>122083</v>
      </c>
    </row>
    <row r="2335" spans="7:14" ht="11.25" customHeight="1" x14ac:dyDescent="0.25">
      <c r="G2335" s="459"/>
      <c r="H2335" s="459">
        <v>2328</v>
      </c>
      <c r="I2335" s="444">
        <f t="shared" ca="1" si="130"/>
        <v>-12908458573.34885</v>
      </c>
      <c r="J2335" s="444">
        <f t="array" ref="J2335">IFERROR(INDEX('Retirement Calculator'!K:K,MATCH('Lorri 401b'!N2335,'Retirement Calculator'!A:A,0),0),0)</f>
        <v>0</v>
      </c>
      <c r="K2335" s="444">
        <f t="shared" ca="1" si="128"/>
        <v>-53785244.055620208</v>
      </c>
      <c r="L2335" s="444">
        <f t="shared" ca="1" si="129"/>
        <v>-12962243817.40447</v>
      </c>
      <c r="M2335" s="460">
        <f t="shared" si="131"/>
        <v>0.05</v>
      </c>
      <c r="N2335" s="464">
        <f t="shared" si="132"/>
        <v>122113</v>
      </c>
    </row>
    <row r="2336" spans="7:14" ht="11.25" customHeight="1" x14ac:dyDescent="0.25">
      <c r="G2336" s="459"/>
      <c r="H2336" s="459">
        <v>2329</v>
      </c>
      <c r="I2336" s="444">
        <f t="shared" ca="1" si="130"/>
        <v>-12962243817.40447</v>
      </c>
      <c r="J2336" s="444">
        <f t="array" ref="J2336">IFERROR(INDEX('Retirement Calculator'!K:K,MATCH('Lorri 401b'!N2336,'Retirement Calculator'!A:A,0),0),0)</f>
        <v>0</v>
      </c>
      <c r="K2336" s="444">
        <f t="shared" ca="1" si="128"/>
        <v>-54009349.239185296</v>
      </c>
      <c r="L2336" s="444">
        <f t="shared" ca="1" si="129"/>
        <v>-13016253166.643656</v>
      </c>
      <c r="M2336" s="460">
        <f t="shared" si="131"/>
        <v>0.05</v>
      </c>
      <c r="N2336" s="464">
        <f t="shared" si="132"/>
        <v>122144</v>
      </c>
    </row>
    <row r="2337" spans="7:14" ht="11.25" customHeight="1" x14ac:dyDescent="0.25">
      <c r="G2337" s="459"/>
      <c r="H2337" s="459">
        <v>2330</v>
      </c>
      <c r="I2337" s="444">
        <f t="shared" ca="1" si="130"/>
        <v>-13016253166.643656</v>
      </c>
      <c r="J2337" s="444">
        <f t="array" ref="J2337">IFERROR(INDEX('Retirement Calculator'!K:K,MATCH('Lorri 401b'!N2337,'Retirement Calculator'!A:A,0),0),0)</f>
        <v>0</v>
      </c>
      <c r="K2337" s="444">
        <f t="shared" ca="1" si="128"/>
        <v>-54234388.194348566</v>
      </c>
      <c r="L2337" s="444">
        <f t="shared" ca="1" si="129"/>
        <v>-13070487554.838005</v>
      </c>
      <c r="M2337" s="460">
        <f t="shared" si="131"/>
        <v>0.05</v>
      </c>
      <c r="N2337" s="464">
        <f t="shared" si="132"/>
        <v>122174</v>
      </c>
    </row>
    <row r="2338" spans="7:14" ht="11.25" customHeight="1" x14ac:dyDescent="0.25">
      <c r="G2338" s="459"/>
      <c r="H2338" s="459">
        <v>2331</v>
      </c>
      <c r="I2338" s="444">
        <f t="shared" ca="1" si="130"/>
        <v>-13070487554.838005</v>
      </c>
      <c r="J2338" s="444">
        <f t="array" ref="J2338">IFERROR(INDEX('Retirement Calculator'!K:K,MATCH('Lorri 401b'!N2338,'Retirement Calculator'!A:A,0),0),0)</f>
        <v>0</v>
      </c>
      <c r="K2338" s="444">
        <f t="shared" ca="1" si="128"/>
        <v>-54460364.811825022</v>
      </c>
      <c r="L2338" s="444">
        <f t="shared" ca="1" si="129"/>
        <v>-13124947919.64983</v>
      </c>
      <c r="M2338" s="460">
        <f t="shared" si="131"/>
        <v>0.05</v>
      </c>
      <c r="N2338" s="464">
        <f t="shared" si="132"/>
        <v>122205</v>
      </c>
    </row>
    <row r="2339" spans="7:14" ht="11.25" customHeight="1" x14ac:dyDescent="0.25">
      <c r="G2339" s="459"/>
      <c r="H2339" s="459">
        <v>2332</v>
      </c>
      <c r="I2339" s="444">
        <f t="shared" ca="1" si="130"/>
        <v>-13124947919.64983</v>
      </c>
      <c r="J2339" s="444">
        <f t="array" ref="J2339">IFERROR(INDEX('Retirement Calculator'!K:K,MATCH('Lorri 401b'!N2339,'Retirement Calculator'!A:A,0),0),0)</f>
        <v>0</v>
      </c>
      <c r="K2339" s="444">
        <f t="shared" ca="1" si="128"/>
        <v>-54687282.99854096</v>
      </c>
      <c r="L2339" s="444">
        <f t="shared" ca="1" si="129"/>
        <v>-13179635202.648371</v>
      </c>
      <c r="M2339" s="460">
        <f t="shared" si="131"/>
        <v>0.05</v>
      </c>
      <c r="N2339" s="464">
        <f t="shared" si="132"/>
        <v>122236</v>
      </c>
    </row>
    <row r="2340" spans="7:14" ht="11.25" customHeight="1" x14ac:dyDescent="0.25">
      <c r="G2340" s="459"/>
      <c r="H2340" s="459">
        <v>2333</v>
      </c>
      <c r="I2340" s="444">
        <f t="shared" ca="1" si="130"/>
        <v>-13179635202.648371</v>
      </c>
      <c r="J2340" s="444">
        <f t="array" ref="J2340">IFERROR(INDEX('Retirement Calculator'!K:K,MATCH('Lorri 401b'!N2340,'Retirement Calculator'!A:A,0),0),0)</f>
        <v>0</v>
      </c>
      <c r="K2340" s="444">
        <f t="shared" ca="1" si="128"/>
        <v>-54915146.67770154</v>
      </c>
      <c r="L2340" s="444">
        <f t="shared" ca="1" si="129"/>
        <v>-13234550349.326073</v>
      </c>
      <c r="M2340" s="460">
        <f t="shared" si="131"/>
        <v>0.05</v>
      </c>
      <c r="N2340" s="464">
        <f t="shared" si="132"/>
        <v>122266</v>
      </c>
    </row>
    <row r="2341" spans="7:14" ht="11.25" customHeight="1" x14ac:dyDescent="0.25">
      <c r="G2341" s="459"/>
      <c r="H2341" s="459">
        <v>2334</v>
      </c>
      <c r="I2341" s="444">
        <f t="shared" ca="1" si="130"/>
        <v>-13234550349.326073</v>
      </c>
      <c r="J2341" s="444">
        <f t="array" ref="J2341">IFERROR(INDEX('Retirement Calculator'!K:K,MATCH('Lorri 401b'!N2341,'Retirement Calculator'!A:A,0),0),0)</f>
        <v>0</v>
      </c>
      <c r="K2341" s="444">
        <f t="shared" ca="1" si="128"/>
        <v>-55143959.788858637</v>
      </c>
      <c r="L2341" s="444">
        <f t="shared" ca="1" si="129"/>
        <v>-13289694309.114931</v>
      </c>
      <c r="M2341" s="460">
        <f t="shared" si="131"/>
        <v>0.05</v>
      </c>
      <c r="N2341" s="464">
        <f t="shared" si="132"/>
        <v>122297</v>
      </c>
    </row>
    <row r="2342" spans="7:14" ht="11.25" customHeight="1" x14ac:dyDescent="0.25">
      <c r="G2342" s="459"/>
      <c r="H2342" s="459">
        <v>2335</v>
      </c>
      <c r="I2342" s="444">
        <f t="shared" ca="1" si="130"/>
        <v>-13289694309.114931</v>
      </c>
      <c r="J2342" s="444">
        <f t="array" ref="J2342">IFERROR(INDEX('Retirement Calculator'!K:K,MATCH('Lorri 401b'!N2342,'Retirement Calculator'!A:A,0),0),0)</f>
        <v>0</v>
      </c>
      <c r="K2342" s="444">
        <f t="shared" ca="1" si="128"/>
        <v>-55373726.28797888</v>
      </c>
      <c r="L2342" s="444">
        <f t="shared" ca="1" si="129"/>
        <v>-13345068035.40291</v>
      </c>
      <c r="M2342" s="460">
        <f t="shared" si="131"/>
        <v>0.05</v>
      </c>
      <c r="N2342" s="464">
        <f t="shared" si="132"/>
        <v>122327</v>
      </c>
    </row>
    <row r="2343" spans="7:14" ht="11.25" customHeight="1" x14ac:dyDescent="0.25">
      <c r="G2343" s="459"/>
      <c r="H2343" s="459">
        <v>2336</v>
      </c>
      <c r="I2343" s="444">
        <f t="shared" ca="1" si="130"/>
        <v>-13345068035.40291</v>
      </c>
      <c r="J2343" s="444">
        <f t="array" ref="J2343">IFERROR(INDEX('Retirement Calculator'!K:K,MATCH('Lorri 401b'!N2343,'Retirement Calculator'!A:A,0),0),0)</f>
        <v>0</v>
      </c>
      <c r="K2343" s="444">
        <f t="shared" ca="1" si="128"/>
        <v>-55604450.147512123</v>
      </c>
      <c r="L2343" s="444">
        <f t="shared" ca="1" si="129"/>
        <v>-13400672485.550423</v>
      </c>
      <c r="M2343" s="460">
        <f t="shared" si="131"/>
        <v>0.05</v>
      </c>
      <c r="N2343" s="464">
        <f t="shared" si="132"/>
        <v>122358</v>
      </c>
    </row>
    <row r="2344" spans="7:14" ht="11.25" customHeight="1" x14ac:dyDescent="0.25">
      <c r="G2344" s="459"/>
      <c r="H2344" s="459">
        <v>2337</v>
      </c>
      <c r="I2344" s="444">
        <f t="shared" ca="1" si="130"/>
        <v>-13400672485.550423</v>
      </c>
      <c r="J2344" s="444">
        <f t="array" ref="J2344">IFERROR(INDEX('Retirement Calculator'!K:K,MATCH('Lorri 401b'!N2344,'Retirement Calculator'!A:A,0),0),0)</f>
        <v>0</v>
      </c>
      <c r="K2344" s="444">
        <f t="shared" ca="1" si="128"/>
        <v>-55836135.356460094</v>
      </c>
      <c r="L2344" s="444">
        <f t="shared" ca="1" si="129"/>
        <v>-13456508620.906883</v>
      </c>
      <c r="M2344" s="460">
        <f t="shared" si="131"/>
        <v>0.05</v>
      </c>
      <c r="N2344" s="464">
        <f t="shared" si="132"/>
        <v>122389</v>
      </c>
    </row>
    <row r="2345" spans="7:14" ht="11.25" customHeight="1" x14ac:dyDescent="0.25">
      <c r="G2345" s="459"/>
      <c r="H2345" s="459">
        <v>2338</v>
      </c>
      <c r="I2345" s="444">
        <f t="shared" ca="1" si="130"/>
        <v>-13456508620.906883</v>
      </c>
      <c r="J2345" s="444">
        <f t="array" ref="J2345">IFERROR(INDEX('Retirement Calculator'!K:K,MATCH('Lorri 401b'!N2345,'Retirement Calculator'!A:A,0),0),0)</f>
        <v>0</v>
      </c>
      <c r="K2345" s="444">
        <f t="shared" ca="1" si="128"/>
        <v>-56068785.920445353</v>
      </c>
      <c r="L2345" s="444">
        <f t="shared" ca="1" si="129"/>
        <v>-13512577406.827328</v>
      </c>
      <c r="M2345" s="460">
        <f t="shared" si="131"/>
        <v>0.05</v>
      </c>
      <c r="N2345" s="464">
        <f t="shared" si="132"/>
        <v>122417</v>
      </c>
    </row>
    <row r="2346" spans="7:14" ht="11.25" customHeight="1" x14ac:dyDescent="0.25">
      <c r="G2346" s="459"/>
      <c r="H2346" s="459">
        <v>2339</v>
      </c>
      <c r="I2346" s="444">
        <f t="shared" ca="1" si="130"/>
        <v>-13512577406.827328</v>
      </c>
      <c r="J2346" s="444">
        <f t="array" ref="J2346">IFERROR(INDEX('Retirement Calculator'!K:K,MATCH('Lorri 401b'!N2346,'Retirement Calculator'!A:A,0),0),0)</f>
        <v>0</v>
      </c>
      <c r="K2346" s="444">
        <f t="shared" ca="1" si="128"/>
        <v>-56302405.861780524</v>
      </c>
      <c r="L2346" s="444">
        <f t="shared" ca="1" si="129"/>
        <v>-13568879812.689108</v>
      </c>
      <c r="M2346" s="460">
        <f t="shared" si="131"/>
        <v>0.05</v>
      </c>
      <c r="N2346" s="464">
        <f t="shared" si="132"/>
        <v>122448</v>
      </c>
    </row>
    <row r="2347" spans="7:14" ht="11.25" customHeight="1" x14ac:dyDescent="0.25">
      <c r="G2347" s="459"/>
      <c r="H2347" s="459">
        <v>2340</v>
      </c>
      <c r="I2347" s="444">
        <f t="shared" ca="1" si="130"/>
        <v>-13568879812.689108</v>
      </c>
      <c r="J2347" s="444">
        <f t="array" ref="J2347">IFERROR(INDEX('Retirement Calculator'!K:K,MATCH('Lorri 401b'!N2347,'Retirement Calculator'!A:A,0),0),0)</f>
        <v>0</v>
      </c>
      <c r="K2347" s="444">
        <f t="shared" ca="1" si="128"/>
        <v>-56536999.219537951</v>
      </c>
      <c r="L2347" s="444">
        <f t="shared" ca="1" si="129"/>
        <v>-13625416811.908646</v>
      </c>
      <c r="M2347" s="460">
        <f t="shared" si="131"/>
        <v>0.05</v>
      </c>
      <c r="N2347" s="464">
        <f t="shared" si="132"/>
        <v>122478</v>
      </c>
    </row>
    <row r="2348" spans="7:14" ht="11.25" customHeight="1" x14ac:dyDescent="0.25">
      <c r="G2348" s="459"/>
      <c r="H2348" s="459">
        <v>2341</v>
      </c>
      <c r="I2348" s="444">
        <f t="shared" ca="1" si="130"/>
        <v>-13625416811.908646</v>
      </c>
      <c r="J2348" s="444">
        <f t="array" ref="J2348">IFERROR(INDEX('Retirement Calculator'!K:K,MATCH('Lorri 401b'!N2348,'Retirement Calculator'!A:A,0),0),0)</f>
        <v>0</v>
      </c>
      <c r="K2348" s="444">
        <f t="shared" ca="1" si="128"/>
        <v>-56772570.049619354</v>
      </c>
      <c r="L2348" s="444">
        <f t="shared" ca="1" si="129"/>
        <v>-13682189381.958265</v>
      </c>
      <c r="M2348" s="460">
        <f t="shared" si="131"/>
        <v>0.05</v>
      </c>
      <c r="N2348" s="464">
        <f t="shared" si="132"/>
        <v>122509</v>
      </c>
    </row>
    <row r="2349" spans="7:14" ht="11.25" customHeight="1" x14ac:dyDescent="0.25">
      <c r="G2349" s="459"/>
      <c r="H2349" s="459">
        <v>2342</v>
      </c>
      <c r="I2349" s="444">
        <f t="shared" ca="1" si="130"/>
        <v>-13682189381.958265</v>
      </c>
      <c r="J2349" s="444">
        <f t="array" ref="J2349">IFERROR(INDEX('Retirement Calculator'!K:K,MATCH('Lorri 401b'!N2349,'Retirement Calculator'!A:A,0),0),0)</f>
        <v>0</v>
      </c>
      <c r="K2349" s="444">
        <f t="shared" ca="1" si="128"/>
        <v>-57009122.424826108</v>
      </c>
      <c r="L2349" s="444">
        <f t="shared" ca="1" si="129"/>
        <v>-13739198504.383091</v>
      </c>
      <c r="M2349" s="460">
        <f t="shared" si="131"/>
        <v>0.05</v>
      </c>
      <c r="N2349" s="464">
        <f t="shared" si="132"/>
        <v>122539</v>
      </c>
    </row>
    <row r="2350" spans="7:14" ht="11.25" customHeight="1" x14ac:dyDescent="0.25">
      <c r="G2350" s="459"/>
      <c r="H2350" s="459">
        <v>2343</v>
      </c>
      <c r="I2350" s="444">
        <f t="shared" ca="1" si="130"/>
        <v>-13739198504.383091</v>
      </c>
      <c r="J2350" s="444">
        <f t="array" ref="J2350">IFERROR(INDEX('Retirement Calculator'!K:K,MATCH('Lorri 401b'!N2350,'Retirement Calculator'!A:A,0),0),0)</f>
        <v>0</v>
      </c>
      <c r="K2350" s="444">
        <f t="shared" ca="1" si="128"/>
        <v>-57246660.434929542</v>
      </c>
      <c r="L2350" s="444">
        <f t="shared" ca="1" si="129"/>
        <v>-13796445164.81802</v>
      </c>
      <c r="M2350" s="460">
        <f t="shared" si="131"/>
        <v>0.05</v>
      </c>
      <c r="N2350" s="464">
        <f t="shared" si="132"/>
        <v>122570</v>
      </c>
    </row>
    <row r="2351" spans="7:14" ht="11.25" customHeight="1" x14ac:dyDescent="0.25">
      <c r="G2351" s="459"/>
      <c r="H2351" s="459">
        <v>2344</v>
      </c>
      <c r="I2351" s="444">
        <f t="shared" ca="1" si="130"/>
        <v>-13796445164.81802</v>
      </c>
      <c r="J2351" s="444">
        <f t="array" ref="J2351">IFERROR(INDEX('Retirement Calculator'!K:K,MATCH('Lorri 401b'!N2351,'Retirement Calculator'!A:A,0),0),0)</f>
        <v>0</v>
      </c>
      <c r="K2351" s="444">
        <f t="shared" ca="1" si="128"/>
        <v>-57485188.18674174</v>
      </c>
      <c r="L2351" s="444">
        <f t="shared" ca="1" si="129"/>
        <v>-13853930353.004761</v>
      </c>
      <c r="M2351" s="460">
        <f t="shared" si="131"/>
        <v>0.05</v>
      </c>
      <c r="N2351" s="464">
        <f t="shared" si="132"/>
        <v>122601</v>
      </c>
    </row>
    <row r="2352" spans="7:14" ht="11.25" customHeight="1" x14ac:dyDescent="0.25">
      <c r="G2352" s="459"/>
      <c r="H2352" s="459">
        <v>2345</v>
      </c>
      <c r="I2352" s="444">
        <f t="shared" ca="1" si="130"/>
        <v>-13853930353.004761</v>
      </c>
      <c r="J2352" s="444">
        <f t="array" ref="J2352">IFERROR(INDEX('Retirement Calculator'!K:K,MATCH('Lorri 401b'!N2352,'Retirement Calculator'!A:A,0),0),0)</f>
        <v>0</v>
      </c>
      <c r="K2352" s="444">
        <f t="shared" ca="1" si="128"/>
        <v>-57724709.804186501</v>
      </c>
      <c r="L2352" s="444">
        <f t="shared" ca="1" si="129"/>
        <v>-13911655062.808947</v>
      </c>
      <c r="M2352" s="460">
        <f t="shared" si="131"/>
        <v>0.05</v>
      </c>
      <c r="N2352" s="464">
        <f t="shared" si="132"/>
        <v>122631</v>
      </c>
    </row>
    <row r="2353" spans="7:14" ht="11.25" customHeight="1" x14ac:dyDescent="0.25">
      <c r="G2353" s="459"/>
      <c r="H2353" s="459">
        <v>2346</v>
      </c>
      <c r="I2353" s="444">
        <f t="shared" ca="1" si="130"/>
        <v>-13911655062.808947</v>
      </c>
      <c r="J2353" s="444">
        <f t="array" ref="J2353">IFERROR(INDEX('Retirement Calculator'!K:K,MATCH('Lorri 401b'!N2353,'Retirement Calculator'!A:A,0),0),0)</f>
        <v>0</v>
      </c>
      <c r="K2353" s="444">
        <f t="shared" ca="1" si="128"/>
        <v>-57965229.428370617</v>
      </c>
      <c r="L2353" s="444">
        <f t="shared" ca="1" si="129"/>
        <v>-13969620292.237318</v>
      </c>
      <c r="M2353" s="460">
        <f t="shared" si="131"/>
        <v>0.05</v>
      </c>
      <c r="N2353" s="464">
        <f t="shared" si="132"/>
        <v>122662</v>
      </c>
    </row>
    <row r="2354" spans="7:14" ht="11.25" customHeight="1" x14ac:dyDescent="0.25">
      <c r="G2354" s="459"/>
      <c r="H2354" s="459">
        <v>2347</v>
      </c>
      <c r="I2354" s="444">
        <f t="shared" ca="1" si="130"/>
        <v>-13969620292.237318</v>
      </c>
      <c r="J2354" s="444">
        <f t="array" ref="J2354">IFERROR(INDEX('Retirement Calculator'!K:K,MATCH('Lorri 401b'!N2354,'Retirement Calculator'!A:A,0),0),0)</f>
        <v>0</v>
      </c>
      <c r="K2354" s="444">
        <f t="shared" ca="1" si="128"/>
        <v>-58206751.217655487</v>
      </c>
      <c r="L2354" s="444">
        <f t="shared" ca="1" si="129"/>
        <v>-14027827043.454973</v>
      </c>
      <c r="M2354" s="460">
        <f t="shared" si="131"/>
        <v>0.05</v>
      </c>
      <c r="N2354" s="464">
        <f t="shared" si="132"/>
        <v>122692</v>
      </c>
    </row>
    <row r="2355" spans="7:14" ht="11.25" customHeight="1" x14ac:dyDescent="0.25">
      <c r="G2355" s="459"/>
      <c r="H2355" s="459">
        <v>2348</v>
      </c>
      <c r="I2355" s="444">
        <f t="shared" ca="1" si="130"/>
        <v>-14027827043.454973</v>
      </c>
      <c r="J2355" s="444">
        <f t="array" ref="J2355">IFERROR(INDEX('Retirement Calculator'!K:K,MATCH('Lorri 401b'!N2355,'Retirement Calculator'!A:A,0),0),0)</f>
        <v>0</v>
      </c>
      <c r="K2355" s="444">
        <f t="shared" ca="1" si="128"/>
        <v>-58449279.347729057</v>
      </c>
      <c r="L2355" s="444">
        <f t="shared" ca="1" si="129"/>
        <v>-14086276322.802702</v>
      </c>
      <c r="M2355" s="460">
        <f t="shared" si="131"/>
        <v>0.05</v>
      </c>
      <c r="N2355" s="464">
        <f t="shared" si="132"/>
        <v>122723</v>
      </c>
    </row>
    <row r="2356" spans="7:14" ht="11.25" customHeight="1" x14ac:dyDescent="0.25">
      <c r="G2356" s="459"/>
      <c r="H2356" s="459">
        <v>2349</v>
      </c>
      <c r="I2356" s="444">
        <f t="shared" ca="1" si="130"/>
        <v>-14086276322.802702</v>
      </c>
      <c r="J2356" s="444">
        <f t="array" ref="J2356">IFERROR(INDEX('Retirement Calculator'!K:K,MATCH('Lorri 401b'!N2356,'Retirement Calculator'!A:A,0),0),0)</f>
        <v>0</v>
      </c>
      <c r="K2356" s="444">
        <f t="shared" ca="1" si="128"/>
        <v>-58692818.011677928</v>
      </c>
      <c r="L2356" s="444">
        <f t="shared" ca="1" si="129"/>
        <v>-14144969140.814381</v>
      </c>
      <c r="M2356" s="460">
        <f t="shared" si="131"/>
        <v>0.05</v>
      </c>
      <c r="N2356" s="464">
        <f t="shared" si="132"/>
        <v>122754</v>
      </c>
    </row>
    <row r="2357" spans="7:14" ht="11.25" customHeight="1" x14ac:dyDescent="0.25">
      <c r="G2357" s="459"/>
      <c r="H2357" s="459">
        <v>2350</v>
      </c>
      <c r="I2357" s="444">
        <f t="shared" ca="1" si="130"/>
        <v>-14144969140.814381</v>
      </c>
      <c r="J2357" s="444">
        <f t="array" ref="J2357">IFERROR(INDEX('Retirement Calculator'!K:K,MATCH('Lorri 401b'!N2357,'Retirement Calculator'!A:A,0),0),0)</f>
        <v>0</v>
      </c>
      <c r="K2357" s="444">
        <f t="shared" ca="1" si="128"/>
        <v>-58937371.420059912</v>
      </c>
      <c r="L2357" s="444">
        <f t="shared" ca="1" si="129"/>
        <v>-14203906512.23444</v>
      </c>
      <c r="M2357" s="460">
        <f t="shared" si="131"/>
        <v>0.05</v>
      </c>
      <c r="N2357" s="464">
        <f t="shared" si="132"/>
        <v>122783</v>
      </c>
    </row>
    <row r="2358" spans="7:14" ht="11.25" customHeight="1" x14ac:dyDescent="0.25">
      <c r="G2358" s="459"/>
      <c r="H2358" s="459">
        <v>2351</v>
      </c>
      <c r="I2358" s="444">
        <f t="shared" ca="1" si="130"/>
        <v>-14203906512.23444</v>
      </c>
      <c r="J2358" s="444">
        <f t="array" ref="J2358">IFERROR(INDEX('Retirement Calculator'!K:K,MATCH('Lorri 401b'!N2358,'Retirement Calculator'!A:A,0),0),0)</f>
        <v>0</v>
      </c>
      <c r="K2358" s="444">
        <f t="shared" ca="1" si="128"/>
        <v>-59182943.800976835</v>
      </c>
      <c r="L2358" s="444">
        <f t="shared" ca="1" si="129"/>
        <v>-14263089456.035418</v>
      </c>
      <c r="M2358" s="460">
        <f t="shared" si="131"/>
        <v>0.05</v>
      </c>
      <c r="N2358" s="464">
        <f t="shared" si="132"/>
        <v>122814</v>
      </c>
    </row>
    <row r="2359" spans="7:14" ht="11.25" customHeight="1" x14ac:dyDescent="0.25">
      <c r="G2359" s="459"/>
      <c r="H2359" s="459">
        <v>2352</v>
      </c>
      <c r="I2359" s="444">
        <f t="shared" ca="1" si="130"/>
        <v>-14263089456.035418</v>
      </c>
      <c r="J2359" s="444">
        <f t="array" ref="J2359">IFERROR(INDEX('Retirement Calculator'!K:K,MATCH('Lorri 401b'!N2359,'Retirement Calculator'!A:A,0),0),0)</f>
        <v>0</v>
      </c>
      <c r="K2359" s="444">
        <f t="shared" ca="1" si="128"/>
        <v>-59429539.40014758</v>
      </c>
      <c r="L2359" s="444">
        <f t="shared" ca="1" si="129"/>
        <v>-14322518995.435566</v>
      </c>
      <c r="M2359" s="460">
        <f t="shared" si="131"/>
        <v>0.05</v>
      </c>
      <c r="N2359" s="464">
        <f t="shared" si="132"/>
        <v>122844</v>
      </c>
    </row>
    <row r="2360" spans="7:14" ht="11.25" customHeight="1" x14ac:dyDescent="0.25">
      <c r="G2360" s="459"/>
      <c r="H2360" s="459">
        <v>2353</v>
      </c>
      <c r="I2360" s="444">
        <f t="shared" ca="1" si="130"/>
        <v>-14322518995.435566</v>
      </c>
      <c r="J2360" s="444">
        <f t="array" ref="J2360">IFERROR(INDEX('Retirement Calculator'!K:K,MATCH('Lorri 401b'!N2360,'Retirement Calculator'!A:A,0),0),0)</f>
        <v>0</v>
      </c>
      <c r="K2360" s="444">
        <f t="shared" ca="1" si="128"/>
        <v>-59677162.480981514</v>
      </c>
      <c r="L2360" s="444">
        <f t="shared" ca="1" si="129"/>
        <v>-14382196157.916548</v>
      </c>
      <c r="M2360" s="460">
        <f t="shared" si="131"/>
        <v>0.05</v>
      </c>
      <c r="N2360" s="464">
        <f t="shared" si="132"/>
        <v>122875</v>
      </c>
    </row>
    <row r="2361" spans="7:14" ht="11.25" customHeight="1" x14ac:dyDescent="0.25">
      <c r="G2361" s="459"/>
      <c r="H2361" s="459">
        <v>2354</v>
      </c>
      <c r="I2361" s="444">
        <f t="shared" ca="1" si="130"/>
        <v>-14382196157.916548</v>
      </c>
      <c r="J2361" s="444">
        <f t="array" ref="J2361">IFERROR(INDEX('Retirement Calculator'!K:K,MATCH('Lorri 401b'!N2361,'Retirement Calculator'!A:A,0),0),0)</f>
        <v>0</v>
      </c>
      <c r="K2361" s="444">
        <f t="shared" ca="1" si="128"/>
        <v>-59925817.324652292</v>
      </c>
      <c r="L2361" s="444">
        <f t="shared" ca="1" si="129"/>
        <v>-14442121975.241199</v>
      </c>
      <c r="M2361" s="460">
        <f t="shared" si="131"/>
        <v>0.05</v>
      </c>
      <c r="N2361" s="464">
        <f t="shared" si="132"/>
        <v>122905</v>
      </c>
    </row>
    <row r="2362" spans="7:14" ht="11.25" customHeight="1" x14ac:dyDescent="0.25">
      <c r="G2362" s="459"/>
      <c r="H2362" s="459">
        <v>2355</v>
      </c>
      <c r="I2362" s="444">
        <f t="shared" ca="1" si="130"/>
        <v>-14442121975.241199</v>
      </c>
      <c r="J2362" s="444">
        <f t="array" ref="J2362">IFERROR(INDEX('Retirement Calculator'!K:K,MATCH('Lorri 401b'!N2362,'Retirement Calculator'!A:A,0),0),0)</f>
        <v>0</v>
      </c>
      <c r="K2362" s="444">
        <f t="shared" ca="1" si="128"/>
        <v>-60175508.230171673</v>
      </c>
      <c r="L2362" s="444">
        <f t="shared" ca="1" si="129"/>
        <v>-14502297483.471371</v>
      </c>
      <c r="M2362" s="460">
        <f t="shared" si="131"/>
        <v>0.05</v>
      </c>
      <c r="N2362" s="464">
        <f t="shared" si="132"/>
        <v>122936</v>
      </c>
    </row>
    <row r="2363" spans="7:14" ht="11.25" customHeight="1" x14ac:dyDescent="0.25">
      <c r="G2363" s="459"/>
      <c r="H2363" s="459">
        <v>2356</v>
      </c>
      <c r="I2363" s="444">
        <f t="shared" ca="1" si="130"/>
        <v>-14502297483.471371</v>
      </c>
      <c r="J2363" s="444">
        <f t="array" ref="J2363">IFERROR(INDEX('Retirement Calculator'!K:K,MATCH('Lorri 401b'!N2363,'Retirement Calculator'!A:A,0),0),0)</f>
        <v>0</v>
      </c>
      <c r="K2363" s="444">
        <f t="shared" ca="1" si="128"/>
        <v>-60426239.514464043</v>
      </c>
      <c r="L2363" s="444">
        <f t="shared" ca="1" si="129"/>
        <v>-14562723722.985834</v>
      </c>
      <c r="M2363" s="460">
        <f t="shared" si="131"/>
        <v>0.05</v>
      </c>
      <c r="N2363" s="464">
        <f t="shared" si="132"/>
        <v>122967</v>
      </c>
    </row>
    <row r="2364" spans="7:14" ht="11.25" customHeight="1" x14ac:dyDescent="0.25">
      <c r="G2364" s="459"/>
      <c r="H2364" s="459">
        <v>2357</v>
      </c>
      <c r="I2364" s="444">
        <f t="shared" ca="1" si="130"/>
        <v>-14562723722.985834</v>
      </c>
      <c r="J2364" s="444">
        <f t="array" ref="J2364">IFERROR(INDEX('Retirement Calculator'!K:K,MATCH('Lorri 401b'!N2364,'Retirement Calculator'!A:A,0),0),0)</f>
        <v>0</v>
      </c>
      <c r="K2364" s="444">
        <f t="shared" ca="1" si="128"/>
        <v>-60678015.512440972</v>
      </c>
      <c r="L2364" s="444">
        <f t="shared" ca="1" si="129"/>
        <v>-14623401738.498276</v>
      </c>
      <c r="M2364" s="460">
        <f t="shared" si="131"/>
        <v>0.05</v>
      </c>
      <c r="N2364" s="464">
        <f t="shared" si="132"/>
        <v>122997</v>
      </c>
    </row>
    <row r="2365" spans="7:14" ht="11.25" customHeight="1" x14ac:dyDescent="0.25">
      <c r="G2365" s="459"/>
      <c r="H2365" s="459">
        <v>2358</v>
      </c>
      <c r="I2365" s="444">
        <f t="shared" ca="1" si="130"/>
        <v>-14623401738.498276</v>
      </c>
      <c r="J2365" s="444">
        <f t="array" ref="J2365">IFERROR(INDEX('Retirement Calculator'!K:K,MATCH('Lorri 401b'!N2365,'Retirement Calculator'!A:A,0),0),0)</f>
        <v>0</v>
      </c>
      <c r="K2365" s="444">
        <f t="shared" ca="1" si="128"/>
        <v>-60930840.577076145</v>
      </c>
      <c r="L2365" s="444">
        <f t="shared" ca="1" si="129"/>
        <v>-14684332579.075352</v>
      </c>
      <c r="M2365" s="460">
        <f t="shared" si="131"/>
        <v>0.05</v>
      </c>
      <c r="N2365" s="464">
        <f t="shared" si="132"/>
        <v>123028</v>
      </c>
    </row>
    <row r="2366" spans="7:14" ht="11.25" customHeight="1" x14ac:dyDescent="0.25">
      <c r="G2366" s="459"/>
      <c r="H2366" s="459">
        <v>2359</v>
      </c>
      <c r="I2366" s="444">
        <f t="shared" ca="1" si="130"/>
        <v>-14684332579.075352</v>
      </c>
      <c r="J2366" s="444">
        <f t="array" ref="J2366">IFERROR(INDEX('Retirement Calculator'!K:K,MATCH('Lorri 401b'!N2366,'Retirement Calculator'!A:A,0),0),0)</f>
        <v>0</v>
      </c>
      <c r="K2366" s="444">
        <f t="shared" ca="1" si="128"/>
        <v>-61184719.079480633</v>
      </c>
      <c r="L2366" s="444">
        <f t="shared" ca="1" si="129"/>
        <v>-14745517298.154833</v>
      </c>
      <c r="M2366" s="460">
        <f t="shared" si="131"/>
        <v>0.05</v>
      </c>
      <c r="N2366" s="464">
        <f t="shared" si="132"/>
        <v>123058</v>
      </c>
    </row>
    <row r="2367" spans="7:14" ht="11.25" customHeight="1" x14ac:dyDescent="0.25">
      <c r="G2367" s="459"/>
      <c r="H2367" s="459">
        <v>2360</v>
      </c>
      <c r="I2367" s="444">
        <f t="shared" ca="1" si="130"/>
        <v>-14745517298.154833</v>
      </c>
      <c r="J2367" s="444">
        <f t="array" ref="J2367">IFERROR(INDEX('Retirement Calculator'!K:K,MATCH('Lorri 401b'!N2367,'Retirement Calculator'!A:A,0),0),0)</f>
        <v>0</v>
      </c>
      <c r="K2367" s="444">
        <f t="shared" ca="1" si="128"/>
        <v>-61439655.40897847</v>
      </c>
      <c r="L2367" s="444">
        <f t="shared" ca="1" si="129"/>
        <v>-14806956953.563812</v>
      </c>
      <c r="M2367" s="460">
        <f t="shared" si="131"/>
        <v>0.05</v>
      </c>
      <c r="N2367" s="464">
        <f t="shared" si="132"/>
        <v>123089</v>
      </c>
    </row>
    <row r="2368" spans="7:14" ht="11.25" customHeight="1" x14ac:dyDescent="0.25">
      <c r="G2368" s="459"/>
      <c r="H2368" s="459">
        <v>2361</v>
      </c>
      <c r="I2368" s="444">
        <f t="shared" ca="1" si="130"/>
        <v>-14806956953.563812</v>
      </c>
      <c r="J2368" s="444">
        <f t="array" ref="J2368">IFERROR(INDEX('Retirement Calculator'!K:K,MATCH('Lorri 401b'!N2368,'Retirement Calculator'!A:A,0),0),0)</f>
        <v>0</v>
      </c>
      <c r="K2368" s="444">
        <f t="shared" ca="1" si="128"/>
        <v>-61695653.973182552</v>
      </c>
      <c r="L2368" s="444">
        <f t="shared" ca="1" si="129"/>
        <v>-14868652607.536995</v>
      </c>
      <c r="M2368" s="460">
        <f t="shared" si="131"/>
        <v>0.05</v>
      </c>
      <c r="N2368" s="464">
        <f t="shared" si="132"/>
        <v>123120</v>
      </c>
    </row>
    <row r="2369" spans="7:14" ht="11.25" customHeight="1" x14ac:dyDescent="0.25">
      <c r="G2369" s="459"/>
      <c r="H2369" s="459">
        <v>2362</v>
      </c>
      <c r="I2369" s="444">
        <f t="shared" ca="1" si="130"/>
        <v>-14868652607.536995</v>
      </c>
      <c r="J2369" s="444">
        <f t="array" ref="J2369">IFERROR(INDEX('Retirement Calculator'!K:K,MATCH('Lorri 401b'!N2369,'Retirement Calculator'!A:A,0),0),0)</f>
        <v>0</v>
      </c>
      <c r="K2369" s="444">
        <f t="shared" ca="1" si="128"/>
        <v>-61952719.198070809</v>
      </c>
      <c r="L2369" s="444">
        <f t="shared" ca="1" si="129"/>
        <v>-14930605326.735065</v>
      </c>
      <c r="M2369" s="460">
        <f t="shared" si="131"/>
        <v>0.05</v>
      </c>
      <c r="N2369" s="464">
        <f t="shared" si="132"/>
        <v>123148</v>
      </c>
    </row>
    <row r="2370" spans="7:14" ht="11.25" customHeight="1" x14ac:dyDescent="0.25">
      <c r="G2370" s="459"/>
      <c r="H2370" s="459">
        <v>2363</v>
      </c>
      <c r="I2370" s="444">
        <f t="shared" ca="1" si="130"/>
        <v>-14930605326.735065</v>
      </c>
      <c r="J2370" s="444">
        <f t="array" ref="J2370">IFERROR(INDEX('Retirement Calculator'!K:K,MATCH('Lorri 401b'!N2370,'Retirement Calculator'!A:A,0),0),0)</f>
        <v>0</v>
      </c>
      <c r="K2370" s="444">
        <f t="shared" ca="1" si="128"/>
        <v>-62210855.528062768</v>
      </c>
      <c r="L2370" s="444">
        <f t="shared" ca="1" si="129"/>
        <v>-14992816182.263128</v>
      </c>
      <c r="M2370" s="460">
        <f t="shared" si="131"/>
        <v>0.05</v>
      </c>
      <c r="N2370" s="464">
        <f t="shared" si="132"/>
        <v>123179</v>
      </c>
    </row>
    <row r="2371" spans="7:14" ht="11.25" customHeight="1" x14ac:dyDescent="0.25">
      <c r="G2371" s="459"/>
      <c r="H2371" s="459">
        <v>2364</v>
      </c>
      <c r="I2371" s="444">
        <f t="shared" ca="1" si="130"/>
        <v>-14992816182.263128</v>
      </c>
      <c r="J2371" s="444">
        <f t="array" ref="J2371">IFERROR(INDEX('Retirement Calculator'!K:K,MATCH('Lorri 401b'!N2371,'Retirement Calculator'!A:A,0),0),0)</f>
        <v>0</v>
      </c>
      <c r="K2371" s="444">
        <f t="shared" ca="1" si="128"/>
        <v>-62470067.426096365</v>
      </c>
      <c r="L2371" s="444">
        <f t="shared" ca="1" si="129"/>
        <v>-15055286249.689224</v>
      </c>
      <c r="M2371" s="460">
        <f t="shared" si="131"/>
        <v>0.05</v>
      </c>
      <c r="N2371" s="464">
        <f t="shared" si="132"/>
        <v>123209</v>
      </c>
    </row>
    <row r="2372" spans="7:14" ht="11.25" customHeight="1" x14ac:dyDescent="0.25">
      <c r="G2372" s="459"/>
      <c r="H2372" s="459">
        <v>2365</v>
      </c>
      <c r="I2372" s="444">
        <f t="shared" ca="1" si="130"/>
        <v>-15055286249.689224</v>
      </c>
      <c r="J2372" s="444">
        <f t="array" ref="J2372">IFERROR(INDEX('Retirement Calculator'!K:K,MATCH('Lorri 401b'!N2372,'Retirement Calculator'!A:A,0),0),0)</f>
        <v>0</v>
      </c>
      <c r="K2372" s="444">
        <f t="shared" ca="1" si="128"/>
        <v>-62730359.373705111</v>
      </c>
      <c r="L2372" s="444">
        <f t="shared" ca="1" si="129"/>
        <v>-15118016609.062929</v>
      </c>
      <c r="M2372" s="460">
        <f t="shared" si="131"/>
        <v>0.05</v>
      </c>
      <c r="N2372" s="464">
        <f t="shared" si="132"/>
        <v>123240</v>
      </c>
    </row>
    <row r="2373" spans="7:14" ht="11.25" customHeight="1" x14ac:dyDescent="0.25">
      <c r="G2373" s="459"/>
      <c r="H2373" s="459">
        <v>2366</v>
      </c>
      <c r="I2373" s="444">
        <f t="shared" ca="1" si="130"/>
        <v>-15118016609.062929</v>
      </c>
      <c r="J2373" s="444">
        <f t="array" ref="J2373">IFERROR(INDEX('Retirement Calculator'!K:K,MATCH('Lorri 401b'!N2373,'Retirement Calculator'!A:A,0),0),0)</f>
        <v>0</v>
      </c>
      <c r="K2373" s="444">
        <f t="shared" ca="1" si="128"/>
        <v>-62991735.871095546</v>
      </c>
      <c r="L2373" s="444">
        <f t="shared" ca="1" si="129"/>
        <v>-15181008344.934025</v>
      </c>
      <c r="M2373" s="460">
        <f t="shared" si="131"/>
        <v>0.05</v>
      </c>
      <c r="N2373" s="464">
        <f t="shared" si="132"/>
        <v>123270</v>
      </c>
    </row>
    <row r="2374" spans="7:14" ht="11.25" customHeight="1" x14ac:dyDescent="0.25">
      <c r="G2374" s="459"/>
      <c r="H2374" s="459">
        <v>2367</v>
      </c>
      <c r="I2374" s="444">
        <f t="shared" ca="1" si="130"/>
        <v>-15181008344.934025</v>
      </c>
      <c r="J2374" s="444">
        <f t="array" ref="J2374">IFERROR(INDEX('Retirement Calculator'!K:K,MATCH('Lorri 401b'!N2374,'Retirement Calculator'!A:A,0),0),0)</f>
        <v>0</v>
      </c>
      <c r="K2374" s="444">
        <f t="shared" ca="1" si="128"/>
        <v>-63254201.437225103</v>
      </c>
      <c r="L2374" s="444">
        <f t="shared" ca="1" si="129"/>
        <v>-15244262546.37125</v>
      </c>
      <c r="M2374" s="460">
        <f t="shared" si="131"/>
        <v>0.05</v>
      </c>
      <c r="N2374" s="464">
        <f t="shared" si="132"/>
        <v>123301</v>
      </c>
    </row>
    <row r="2375" spans="7:14" ht="11.25" customHeight="1" x14ac:dyDescent="0.25">
      <c r="G2375" s="459"/>
      <c r="H2375" s="459">
        <v>2368</v>
      </c>
      <c r="I2375" s="444">
        <f t="shared" ca="1" si="130"/>
        <v>-15244262546.37125</v>
      </c>
      <c r="J2375" s="444">
        <f t="array" ref="J2375">IFERROR(INDEX('Retirement Calculator'!K:K,MATCH('Lorri 401b'!N2375,'Retirement Calculator'!A:A,0),0),0)</f>
        <v>0</v>
      </c>
      <c r="K2375" s="444">
        <f t="shared" ca="1" si="128"/>
        <v>-63517760.609880209</v>
      </c>
      <c r="L2375" s="444">
        <f t="shared" ca="1" si="129"/>
        <v>-15307780306.981131</v>
      </c>
      <c r="M2375" s="460">
        <f t="shared" si="131"/>
        <v>0.05</v>
      </c>
      <c r="N2375" s="464">
        <f t="shared" si="132"/>
        <v>123332</v>
      </c>
    </row>
    <row r="2376" spans="7:14" ht="11.25" customHeight="1" x14ac:dyDescent="0.25">
      <c r="G2376" s="459"/>
      <c r="H2376" s="459">
        <v>2369</v>
      </c>
      <c r="I2376" s="444">
        <f t="shared" ca="1" si="130"/>
        <v>-15307780306.981131</v>
      </c>
      <c r="J2376" s="444">
        <f t="array" ref="J2376">IFERROR(INDEX('Retirement Calculator'!K:K,MATCH('Lorri 401b'!N2376,'Retirement Calculator'!A:A,0),0),0)</f>
        <v>0</v>
      </c>
      <c r="K2376" s="444">
        <f t="shared" ca="1" si="128"/>
        <v>-63782417.945754699</v>
      </c>
      <c r="L2376" s="444">
        <f t="shared" ca="1" si="129"/>
        <v>-15371562724.926886</v>
      </c>
      <c r="M2376" s="460">
        <f t="shared" si="131"/>
        <v>0.05</v>
      </c>
      <c r="N2376" s="464">
        <f t="shared" si="132"/>
        <v>123362</v>
      </c>
    </row>
    <row r="2377" spans="7:14" ht="11.25" customHeight="1" x14ac:dyDescent="0.25">
      <c r="G2377" s="459"/>
      <c r="H2377" s="459">
        <v>2370</v>
      </c>
      <c r="I2377" s="444">
        <f t="shared" ca="1" si="130"/>
        <v>-15371562724.926886</v>
      </c>
      <c r="J2377" s="444">
        <f t="array" ref="J2377">IFERROR(INDEX('Retirement Calculator'!K:K,MATCH('Lorri 401b'!N2377,'Retirement Calculator'!A:A,0),0),0)</f>
        <v>0</v>
      </c>
      <c r="K2377" s="444">
        <f t="shared" ca="1" si="128"/>
        <v>-64048178.020528682</v>
      </c>
      <c r="L2377" s="444">
        <f t="shared" ca="1" si="129"/>
        <v>-15435610902.947414</v>
      </c>
      <c r="M2377" s="460">
        <f t="shared" si="131"/>
        <v>0.05</v>
      </c>
      <c r="N2377" s="464">
        <f t="shared" si="132"/>
        <v>123393</v>
      </c>
    </row>
    <row r="2378" spans="7:14" ht="11.25" customHeight="1" x14ac:dyDescent="0.25">
      <c r="G2378" s="459"/>
      <c r="H2378" s="459">
        <v>2371</v>
      </c>
      <c r="I2378" s="444">
        <f t="shared" ca="1" si="130"/>
        <v>-15435610902.947414</v>
      </c>
      <c r="J2378" s="444">
        <f t="array" ref="J2378">IFERROR(INDEX('Retirement Calculator'!K:K,MATCH('Lorri 401b'!N2378,'Retirement Calculator'!A:A,0),0),0)</f>
        <v>0</v>
      </c>
      <c r="K2378" s="444">
        <f t="shared" ca="1" si="128"/>
        <v>-64315045.42894756</v>
      </c>
      <c r="L2378" s="444">
        <f t="shared" ca="1" si="129"/>
        <v>-15499925948.376362</v>
      </c>
      <c r="M2378" s="460">
        <f t="shared" si="131"/>
        <v>0.05</v>
      </c>
      <c r="N2378" s="464">
        <f t="shared" si="132"/>
        <v>123423</v>
      </c>
    </row>
    <row r="2379" spans="7:14" ht="11.25" customHeight="1" x14ac:dyDescent="0.25">
      <c r="G2379" s="459"/>
      <c r="H2379" s="459">
        <v>2372</v>
      </c>
      <c r="I2379" s="444">
        <f t="shared" ca="1" si="130"/>
        <v>-15499925948.376362</v>
      </c>
      <c r="J2379" s="444">
        <f t="array" ref="J2379">IFERROR(INDEX('Retirement Calculator'!K:K,MATCH('Lorri 401b'!N2379,'Retirement Calculator'!A:A,0),0),0)</f>
        <v>0</v>
      </c>
      <c r="K2379" s="444">
        <f t="shared" ca="1" si="128"/>
        <v>-64583024.784901507</v>
      </c>
      <c r="L2379" s="444">
        <f t="shared" ca="1" si="129"/>
        <v>-15564508973.161263</v>
      </c>
      <c r="M2379" s="460">
        <f t="shared" si="131"/>
        <v>0.05</v>
      </c>
      <c r="N2379" s="464">
        <f t="shared" si="132"/>
        <v>123454</v>
      </c>
    </row>
    <row r="2380" spans="7:14" ht="11.25" customHeight="1" x14ac:dyDescent="0.25">
      <c r="G2380" s="459"/>
      <c r="H2380" s="459">
        <v>2373</v>
      </c>
      <c r="I2380" s="444">
        <f t="shared" ca="1" si="130"/>
        <v>-15564508973.161263</v>
      </c>
      <c r="J2380" s="444">
        <f t="array" ref="J2380">IFERROR(INDEX('Retirement Calculator'!K:K,MATCH('Lorri 401b'!N2380,'Retirement Calculator'!A:A,0),0),0)</f>
        <v>0</v>
      </c>
      <c r="K2380" s="444">
        <f t="shared" ca="1" si="128"/>
        <v>-64852120.721505262</v>
      </c>
      <c r="L2380" s="444">
        <f t="shared" ca="1" si="129"/>
        <v>-15629361093.882769</v>
      </c>
      <c r="M2380" s="460">
        <f t="shared" si="131"/>
        <v>0.05</v>
      </c>
      <c r="N2380" s="464">
        <f t="shared" si="132"/>
        <v>123485</v>
      </c>
    </row>
    <row r="2381" spans="7:14" ht="11.25" customHeight="1" x14ac:dyDescent="0.25">
      <c r="G2381" s="459"/>
      <c r="H2381" s="459">
        <v>2374</v>
      </c>
      <c r="I2381" s="444">
        <f t="shared" ca="1" si="130"/>
        <v>-15629361093.882769</v>
      </c>
      <c r="J2381" s="444">
        <f t="array" ref="J2381">IFERROR(INDEX('Retirement Calculator'!K:K,MATCH('Lorri 401b'!N2381,'Retirement Calculator'!A:A,0),0),0)</f>
        <v>0</v>
      </c>
      <c r="K2381" s="444">
        <f t="shared" ca="1" si="128"/>
        <v>-65122337.891178213</v>
      </c>
      <c r="L2381" s="444">
        <f t="shared" ca="1" si="129"/>
        <v>-15694483431.773947</v>
      </c>
      <c r="M2381" s="460">
        <f t="shared" si="131"/>
        <v>0.05</v>
      </c>
      <c r="N2381" s="464">
        <f t="shared" si="132"/>
        <v>123513</v>
      </c>
    </row>
    <row r="2382" spans="7:14" ht="11.25" customHeight="1" x14ac:dyDescent="0.25">
      <c r="G2382" s="459"/>
      <c r="H2382" s="459">
        <v>2375</v>
      </c>
      <c r="I2382" s="444">
        <f t="shared" ca="1" si="130"/>
        <v>-15694483431.773947</v>
      </c>
      <c r="J2382" s="444">
        <f t="array" ref="J2382">IFERROR(INDEX('Retirement Calculator'!K:K,MATCH('Lorri 401b'!N2382,'Retirement Calculator'!A:A,0),0),0)</f>
        <v>0</v>
      </c>
      <c r="K2382" s="444">
        <f t="shared" ca="1" si="128"/>
        <v>-65393680.965724774</v>
      </c>
      <c r="L2382" s="444">
        <f t="shared" ca="1" si="129"/>
        <v>-15759877112.739672</v>
      </c>
      <c r="M2382" s="460">
        <f t="shared" si="131"/>
        <v>0.05</v>
      </c>
      <c r="N2382" s="464">
        <f t="shared" si="132"/>
        <v>123544</v>
      </c>
    </row>
    <row r="2383" spans="7:14" ht="11.25" customHeight="1" x14ac:dyDescent="0.25">
      <c r="G2383" s="459"/>
      <c r="H2383" s="459">
        <v>2376</v>
      </c>
      <c r="I2383" s="444">
        <f t="shared" ca="1" si="130"/>
        <v>-15759877112.739672</v>
      </c>
      <c r="J2383" s="444">
        <f t="array" ref="J2383">IFERROR(INDEX('Retirement Calculator'!K:K,MATCH('Lorri 401b'!N2383,'Retirement Calculator'!A:A,0),0),0)</f>
        <v>0</v>
      </c>
      <c r="K2383" s="444">
        <f t="shared" ca="1" si="128"/>
        <v>-65666154.636415295</v>
      </c>
      <c r="L2383" s="444">
        <f t="shared" ca="1" si="129"/>
        <v>-15825543267.376087</v>
      </c>
      <c r="M2383" s="460">
        <f t="shared" si="131"/>
        <v>0.05</v>
      </c>
      <c r="N2383" s="464">
        <f t="shared" si="132"/>
        <v>123574</v>
      </c>
    </row>
    <row r="2384" spans="7:14" ht="11.25" customHeight="1" x14ac:dyDescent="0.25">
      <c r="G2384" s="459"/>
      <c r="H2384" s="459">
        <v>2377</v>
      </c>
      <c r="I2384" s="444">
        <f t="shared" ca="1" si="130"/>
        <v>-15825543267.376087</v>
      </c>
      <c r="J2384" s="444">
        <f t="array" ref="J2384">IFERROR(INDEX('Retirement Calculator'!K:K,MATCH('Lorri 401b'!N2384,'Retirement Calculator'!A:A,0),0),0)</f>
        <v>0</v>
      </c>
      <c r="K2384" s="444">
        <f t="shared" ca="1" si="128"/>
        <v>-65939763.614067025</v>
      </c>
      <c r="L2384" s="444">
        <f t="shared" ca="1" si="129"/>
        <v>-15891483030.990154</v>
      </c>
      <c r="M2384" s="460">
        <f t="shared" si="131"/>
        <v>0.05</v>
      </c>
      <c r="N2384" s="464">
        <f t="shared" si="132"/>
        <v>123605</v>
      </c>
    </row>
    <row r="2385" spans="7:14" ht="11.25" customHeight="1" x14ac:dyDescent="0.25">
      <c r="G2385" s="459"/>
      <c r="H2385" s="459">
        <v>2378</v>
      </c>
      <c r="I2385" s="444">
        <f t="shared" ca="1" si="130"/>
        <v>-15891483030.990154</v>
      </c>
      <c r="J2385" s="444">
        <f t="array" ref="J2385">IFERROR(INDEX('Retirement Calculator'!K:K,MATCH('Lorri 401b'!N2385,'Retirement Calculator'!A:A,0),0),0)</f>
        <v>0</v>
      </c>
      <c r="K2385" s="444">
        <f t="shared" ca="1" si="128"/>
        <v>-66214512.62912564</v>
      </c>
      <c r="L2385" s="444">
        <f t="shared" ca="1" si="129"/>
        <v>-15957697543.61928</v>
      </c>
      <c r="M2385" s="460">
        <f t="shared" si="131"/>
        <v>0.05</v>
      </c>
      <c r="N2385" s="464">
        <f t="shared" si="132"/>
        <v>123635</v>
      </c>
    </row>
    <row r="2386" spans="7:14" ht="11.25" customHeight="1" x14ac:dyDescent="0.25">
      <c r="G2386" s="459"/>
      <c r="H2386" s="459">
        <v>2379</v>
      </c>
      <c r="I2386" s="444">
        <f t="shared" ca="1" si="130"/>
        <v>-15957697543.61928</v>
      </c>
      <c r="J2386" s="444">
        <f t="array" ref="J2386">IFERROR(INDEX('Retirement Calculator'!K:K,MATCH('Lorri 401b'!N2386,'Retirement Calculator'!A:A,0),0),0)</f>
        <v>0</v>
      </c>
      <c r="K2386" s="444">
        <f t="shared" ca="1" si="128"/>
        <v>-66490406.431747004</v>
      </c>
      <c r="L2386" s="444">
        <f t="shared" ca="1" si="129"/>
        <v>-16024187950.051027</v>
      </c>
      <c r="M2386" s="460">
        <f t="shared" si="131"/>
        <v>0.05</v>
      </c>
      <c r="N2386" s="464">
        <f t="shared" si="132"/>
        <v>123666</v>
      </c>
    </row>
    <row r="2387" spans="7:14" ht="11.25" customHeight="1" x14ac:dyDescent="0.25">
      <c r="G2387" s="459"/>
      <c r="H2387" s="459">
        <v>2380</v>
      </c>
      <c r="I2387" s="444">
        <f t="shared" ca="1" si="130"/>
        <v>-16024187950.051027</v>
      </c>
      <c r="J2387" s="444">
        <f t="array" ref="J2387">IFERROR(INDEX('Retirement Calculator'!K:K,MATCH('Lorri 401b'!N2387,'Retirement Calculator'!A:A,0),0),0)</f>
        <v>0</v>
      </c>
      <c r="K2387" s="444">
        <f t="shared" ca="1" si="128"/>
        <v>-66767449.791879289</v>
      </c>
      <c r="L2387" s="444">
        <f t="shared" ca="1" si="129"/>
        <v>-16090955399.842907</v>
      </c>
      <c r="M2387" s="460">
        <f t="shared" si="131"/>
        <v>0.05</v>
      </c>
      <c r="N2387" s="464">
        <f t="shared" si="132"/>
        <v>123697</v>
      </c>
    </row>
    <row r="2388" spans="7:14" ht="11.25" customHeight="1" x14ac:dyDescent="0.25">
      <c r="G2388" s="459"/>
      <c r="H2388" s="459">
        <v>2381</v>
      </c>
      <c r="I2388" s="444">
        <f t="shared" ca="1" si="130"/>
        <v>-16090955399.842907</v>
      </c>
      <c r="J2388" s="444">
        <f t="array" ref="J2388">IFERROR(INDEX('Retirement Calculator'!K:K,MATCH('Lorri 401b'!N2388,'Retirement Calculator'!A:A,0),0),0)</f>
        <v>0</v>
      </c>
      <c r="K2388" s="444">
        <f t="shared" ca="1" si="128"/>
        <v>-67045647.499345444</v>
      </c>
      <c r="L2388" s="444">
        <f t="shared" ca="1" si="129"/>
        <v>-16158001047.342253</v>
      </c>
      <c r="M2388" s="460">
        <f t="shared" si="131"/>
        <v>0.05</v>
      </c>
      <c r="N2388" s="464">
        <f t="shared" si="132"/>
        <v>123727</v>
      </c>
    </row>
    <row r="2389" spans="7:14" ht="11.25" customHeight="1" x14ac:dyDescent="0.25">
      <c r="G2389" s="459"/>
      <c r="H2389" s="459">
        <v>2382</v>
      </c>
      <c r="I2389" s="444">
        <f t="shared" ca="1" si="130"/>
        <v>-16158001047.342253</v>
      </c>
      <c r="J2389" s="444">
        <f t="array" ref="J2389">IFERROR(INDEX('Retirement Calculator'!K:K,MATCH('Lorri 401b'!N2389,'Retirement Calculator'!A:A,0),0),0)</f>
        <v>0</v>
      </c>
      <c r="K2389" s="444">
        <f t="shared" ca="1" si="128"/>
        <v>-67325004.363926038</v>
      </c>
      <c r="L2389" s="444">
        <f t="shared" ca="1" si="129"/>
        <v>-16225326051.706179</v>
      </c>
      <c r="M2389" s="460">
        <f t="shared" si="131"/>
        <v>0.05</v>
      </c>
      <c r="N2389" s="464">
        <f t="shared" si="132"/>
        <v>123758</v>
      </c>
    </row>
    <row r="2390" spans="7:14" ht="11.25" customHeight="1" x14ac:dyDescent="0.25">
      <c r="G2390" s="459"/>
      <c r="H2390" s="459">
        <v>2383</v>
      </c>
      <c r="I2390" s="444">
        <f t="shared" ca="1" si="130"/>
        <v>-16225326051.706179</v>
      </c>
      <c r="J2390" s="444">
        <f t="array" ref="J2390">IFERROR(INDEX('Retirement Calculator'!K:K,MATCH('Lorri 401b'!N2390,'Retirement Calculator'!A:A,0),0),0)</f>
        <v>0</v>
      </c>
      <c r="K2390" s="444">
        <f t="shared" ca="1" si="128"/>
        <v>-67605525.215442404</v>
      </c>
      <c r="L2390" s="444">
        <f t="shared" ca="1" si="129"/>
        <v>-16292931576.921621</v>
      </c>
      <c r="M2390" s="460">
        <f t="shared" si="131"/>
        <v>0.05</v>
      </c>
      <c r="N2390" s="464">
        <f t="shared" si="132"/>
        <v>123788</v>
      </c>
    </row>
    <row r="2391" spans="7:14" ht="11.25" customHeight="1" x14ac:dyDescent="0.25">
      <c r="G2391" s="459"/>
      <c r="H2391" s="459">
        <v>2384</v>
      </c>
      <c r="I2391" s="444">
        <f t="shared" ca="1" si="130"/>
        <v>-16292931576.921621</v>
      </c>
      <c r="J2391" s="444">
        <f t="array" ref="J2391">IFERROR(INDEX('Retirement Calculator'!K:K,MATCH('Lorri 401b'!N2391,'Retirement Calculator'!A:A,0),0),0)</f>
        <v>0</v>
      </c>
      <c r="K2391" s="444">
        <f t="shared" ca="1" si="128"/>
        <v>-67887214.903840095</v>
      </c>
      <c r="L2391" s="444">
        <f t="shared" ca="1" si="129"/>
        <v>-16360818791.825462</v>
      </c>
      <c r="M2391" s="460">
        <f t="shared" si="131"/>
        <v>0.05</v>
      </c>
      <c r="N2391" s="464">
        <f t="shared" si="132"/>
        <v>123819</v>
      </c>
    </row>
    <row r="2392" spans="7:14" ht="11.25" customHeight="1" x14ac:dyDescent="0.25">
      <c r="G2392" s="459"/>
      <c r="H2392" s="459">
        <v>2385</v>
      </c>
      <c r="I2392" s="444">
        <f t="shared" ca="1" si="130"/>
        <v>-16360818791.825462</v>
      </c>
      <c r="J2392" s="444">
        <f t="array" ref="J2392">IFERROR(INDEX('Retirement Calculator'!K:K,MATCH('Lorri 401b'!N2392,'Retirement Calculator'!A:A,0),0),0)</f>
        <v>0</v>
      </c>
      <c r="K2392" s="444">
        <f t="shared" ca="1" si="128"/>
        <v>-68170078.299272761</v>
      </c>
      <c r="L2392" s="444">
        <f t="shared" ca="1" si="129"/>
        <v>-16428988870.124735</v>
      </c>
      <c r="M2392" s="460">
        <f t="shared" si="131"/>
        <v>0.05</v>
      </c>
      <c r="N2392" s="464">
        <f t="shared" si="132"/>
        <v>123850</v>
      </c>
    </row>
    <row r="2393" spans="7:14" ht="11.25" customHeight="1" x14ac:dyDescent="0.25">
      <c r="G2393" s="459"/>
      <c r="H2393" s="459">
        <v>2386</v>
      </c>
      <c r="I2393" s="444">
        <f t="shared" ca="1" si="130"/>
        <v>-16428988870.124735</v>
      </c>
      <c r="J2393" s="444">
        <f t="array" ref="J2393">IFERROR(INDEX('Retirement Calculator'!K:K,MATCH('Lorri 401b'!N2393,'Retirement Calculator'!A:A,0),0),0)</f>
        <v>0</v>
      </c>
      <c r="K2393" s="444">
        <f t="shared" ca="1" si="128"/>
        <v>-68454120.292186394</v>
      </c>
      <c r="L2393" s="444">
        <f t="shared" ca="1" si="129"/>
        <v>-16497442990.416922</v>
      </c>
      <c r="M2393" s="460">
        <f t="shared" si="131"/>
        <v>0.05</v>
      </c>
      <c r="N2393" s="464">
        <f t="shared" si="132"/>
        <v>123878</v>
      </c>
    </row>
    <row r="2394" spans="7:14" ht="11.25" customHeight="1" x14ac:dyDescent="0.25">
      <c r="G2394" s="459"/>
      <c r="H2394" s="459">
        <v>2387</v>
      </c>
      <c r="I2394" s="444">
        <f t="shared" ca="1" si="130"/>
        <v>-16497442990.416922</v>
      </c>
      <c r="J2394" s="444">
        <f t="array" ref="J2394">IFERROR(INDEX('Retirement Calculator'!K:K,MATCH('Lorri 401b'!N2394,'Retirement Calculator'!A:A,0),0),0)</f>
        <v>0</v>
      </c>
      <c r="K2394" s="444">
        <f t="shared" ca="1" si="128"/>
        <v>-68739345.793403834</v>
      </c>
      <c r="L2394" s="444">
        <f t="shared" ca="1" si="129"/>
        <v>-16566182336.210325</v>
      </c>
      <c r="M2394" s="460">
        <f t="shared" si="131"/>
        <v>0.05</v>
      </c>
      <c r="N2394" s="464">
        <f t="shared" si="132"/>
        <v>123909</v>
      </c>
    </row>
    <row r="2395" spans="7:14" ht="11.25" customHeight="1" x14ac:dyDescent="0.25">
      <c r="G2395" s="459"/>
      <c r="H2395" s="459">
        <v>2388</v>
      </c>
      <c r="I2395" s="444">
        <f t="shared" ca="1" si="130"/>
        <v>-16566182336.210325</v>
      </c>
      <c r="J2395" s="444">
        <f t="array" ref="J2395">IFERROR(INDEX('Retirement Calculator'!K:K,MATCH('Lorri 401b'!N2395,'Retirement Calculator'!A:A,0),0),0)</f>
        <v>0</v>
      </c>
      <c r="K2395" s="444">
        <f t="shared" ca="1" si="128"/>
        <v>-69025759.734209687</v>
      </c>
      <c r="L2395" s="444">
        <f t="shared" ca="1" si="129"/>
        <v>-16635208095.944534</v>
      </c>
      <c r="M2395" s="460">
        <f t="shared" si="131"/>
        <v>0.05</v>
      </c>
      <c r="N2395" s="464">
        <f t="shared" si="132"/>
        <v>123939</v>
      </c>
    </row>
    <row r="2396" spans="7:14" ht="11.25" customHeight="1" x14ac:dyDescent="0.25">
      <c r="G2396" s="459"/>
      <c r="H2396" s="459">
        <v>2389</v>
      </c>
      <c r="I2396" s="444">
        <f t="shared" ca="1" si="130"/>
        <v>-16635208095.944534</v>
      </c>
      <c r="J2396" s="444">
        <f t="array" ref="J2396">IFERROR(INDEX('Retirement Calculator'!K:K,MATCH('Lorri 401b'!N2396,'Retirement Calculator'!A:A,0),0),0)</f>
        <v>0</v>
      </c>
      <c r="K2396" s="444">
        <f t="shared" ca="1" si="128"/>
        <v>-69313367.066435561</v>
      </c>
      <c r="L2396" s="444">
        <f t="shared" ca="1" si="129"/>
        <v>-16704521463.010969</v>
      </c>
      <c r="M2396" s="460">
        <f t="shared" si="131"/>
        <v>0.05</v>
      </c>
      <c r="N2396" s="464">
        <f t="shared" si="132"/>
        <v>123970</v>
      </c>
    </row>
    <row r="2397" spans="7:14" ht="11.25" customHeight="1" x14ac:dyDescent="0.25">
      <c r="G2397" s="459"/>
      <c r="H2397" s="459">
        <v>2390</v>
      </c>
      <c r="I2397" s="444">
        <f t="shared" ca="1" si="130"/>
        <v>-16704521463.010969</v>
      </c>
      <c r="J2397" s="444">
        <f t="array" ref="J2397">IFERROR(INDEX('Retirement Calculator'!K:K,MATCH('Lorri 401b'!N2397,'Retirement Calculator'!A:A,0),0),0)</f>
        <v>0</v>
      </c>
      <c r="K2397" s="444">
        <f t="shared" ca="1" si="128"/>
        <v>-69602172.762545705</v>
      </c>
      <c r="L2397" s="444">
        <f t="shared" ca="1" si="129"/>
        <v>-16774123635.773516</v>
      </c>
      <c r="M2397" s="460">
        <f t="shared" si="131"/>
        <v>0.05</v>
      </c>
      <c r="N2397" s="464">
        <f t="shared" si="132"/>
        <v>124000</v>
      </c>
    </row>
    <row r="2398" spans="7:14" ht="11.25" customHeight="1" x14ac:dyDescent="0.25">
      <c r="G2398" s="459"/>
      <c r="H2398" s="459">
        <v>2391</v>
      </c>
      <c r="I2398" s="444">
        <f t="shared" ca="1" si="130"/>
        <v>-16774123635.773516</v>
      </c>
      <c r="J2398" s="444">
        <f t="array" ref="J2398">IFERROR(INDEX('Retirement Calculator'!K:K,MATCH('Lorri 401b'!N2398,'Retirement Calculator'!A:A,0),0),0)</f>
        <v>0</v>
      </c>
      <c r="K2398" s="444">
        <f t="shared" ca="1" si="128"/>
        <v>-69892181.815722972</v>
      </c>
      <c r="L2398" s="444">
        <f t="shared" ca="1" si="129"/>
        <v>-16844015817.589239</v>
      </c>
      <c r="M2398" s="460">
        <f t="shared" si="131"/>
        <v>0.05</v>
      </c>
      <c r="N2398" s="464">
        <f t="shared" si="132"/>
        <v>124031</v>
      </c>
    </row>
    <row r="2399" spans="7:14" ht="11.25" customHeight="1" x14ac:dyDescent="0.25">
      <c r="G2399" s="459"/>
      <c r="H2399" s="459">
        <v>2392</v>
      </c>
      <c r="I2399" s="444">
        <f t="shared" ca="1" si="130"/>
        <v>-16844015817.589239</v>
      </c>
      <c r="J2399" s="444">
        <f t="array" ref="J2399">IFERROR(INDEX('Retirement Calculator'!K:K,MATCH('Lorri 401b'!N2399,'Retirement Calculator'!A:A,0),0),0)</f>
        <v>0</v>
      </c>
      <c r="K2399" s="444">
        <f t="shared" ca="1" si="128"/>
        <v>-70183399.239955157</v>
      </c>
      <c r="L2399" s="444">
        <f t="shared" ca="1" si="129"/>
        <v>-16914199216.829195</v>
      </c>
      <c r="M2399" s="460">
        <f t="shared" si="131"/>
        <v>0.05</v>
      </c>
      <c r="N2399" s="464">
        <f t="shared" si="132"/>
        <v>124062</v>
      </c>
    </row>
    <row r="2400" spans="7:14" ht="11.25" customHeight="1" x14ac:dyDescent="0.25">
      <c r="G2400" s="459"/>
      <c r="H2400" s="459">
        <v>2393</v>
      </c>
      <c r="I2400" s="444">
        <f t="shared" ca="1" si="130"/>
        <v>-16914199216.829195</v>
      </c>
      <c r="J2400" s="444">
        <f t="array" ref="J2400">IFERROR(INDEX('Retirement Calculator'!K:K,MATCH('Lorri 401b'!N2400,'Retirement Calculator'!A:A,0),0),0)</f>
        <v>0</v>
      </c>
      <c r="K2400" s="444">
        <f t="shared" ca="1" si="128"/>
        <v>-70475830.070121646</v>
      </c>
      <c r="L2400" s="444">
        <f t="shared" ca="1" si="129"/>
        <v>-16984675046.899317</v>
      </c>
      <c r="M2400" s="460">
        <f t="shared" si="131"/>
        <v>0.05</v>
      </c>
      <c r="N2400" s="464">
        <f t="shared" si="132"/>
        <v>124092</v>
      </c>
    </row>
    <row r="2401" spans="7:14" ht="11.25" customHeight="1" x14ac:dyDescent="0.25">
      <c r="G2401" s="459"/>
      <c r="H2401" s="459">
        <v>2394</v>
      </c>
      <c r="I2401" s="444">
        <f t="shared" ca="1" si="130"/>
        <v>-16984675046.899317</v>
      </c>
      <c r="J2401" s="444">
        <f t="array" ref="J2401">IFERROR(INDEX('Retirement Calculator'!K:K,MATCH('Lorri 401b'!N2401,'Retirement Calculator'!A:A,0),0),0)</f>
        <v>0</v>
      </c>
      <c r="K2401" s="444">
        <f t="shared" ca="1" si="128"/>
        <v>-70769479.362080485</v>
      </c>
      <c r="L2401" s="444">
        <f t="shared" ca="1" si="129"/>
        <v>-17055444526.261396</v>
      </c>
      <c r="M2401" s="460">
        <f t="shared" si="131"/>
        <v>0.05</v>
      </c>
      <c r="N2401" s="464">
        <f t="shared" si="132"/>
        <v>124123</v>
      </c>
    </row>
    <row r="2402" spans="7:14" ht="11.25" customHeight="1" x14ac:dyDescent="0.25">
      <c r="G2402" s="459"/>
      <c r="H2402" s="459">
        <v>2395</v>
      </c>
      <c r="I2402" s="444">
        <f t="shared" ca="1" si="130"/>
        <v>-17055444526.261396</v>
      </c>
      <c r="J2402" s="444">
        <f t="array" ref="J2402">IFERROR(INDEX('Retirement Calculator'!K:K,MATCH('Lorri 401b'!N2402,'Retirement Calculator'!A:A,0),0),0)</f>
        <v>0</v>
      </c>
      <c r="K2402" s="444">
        <f t="shared" ca="1" si="128"/>
        <v>-71064352.192755818</v>
      </c>
      <c r="L2402" s="444">
        <f t="shared" ca="1" si="129"/>
        <v>-17126508878.454153</v>
      </c>
      <c r="M2402" s="460">
        <f t="shared" si="131"/>
        <v>0.05</v>
      </c>
      <c r="N2402" s="464">
        <f t="shared" si="132"/>
        <v>124153</v>
      </c>
    </row>
    <row r="2403" spans="7:14" ht="11.25" customHeight="1" x14ac:dyDescent="0.25">
      <c r="G2403" s="459"/>
      <c r="H2403" s="459">
        <v>2396</v>
      </c>
      <c r="I2403" s="444">
        <f t="shared" ca="1" si="130"/>
        <v>-17126508878.454153</v>
      </c>
      <c r="J2403" s="444">
        <f t="array" ref="J2403">IFERROR(INDEX('Retirement Calculator'!K:K,MATCH('Lorri 401b'!N2403,'Retirement Calculator'!A:A,0),0),0)</f>
        <v>0</v>
      </c>
      <c r="K2403" s="444">
        <f t="shared" ca="1" si="128"/>
        <v>-71360453.660225645</v>
      </c>
      <c r="L2403" s="444">
        <f t="shared" ca="1" si="129"/>
        <v>-17197869332.11438</v>
      </c>
      <c r="M2403" s="460">
        <f t="shared" si="131"/>
        <v>0.05</v>
      </c>
      <c r="N2403" s="464">
        <f t="shared" si="132"/>
        <v>124184</v>
      </c>
    </row>
    <row r="2404" spans="7:14" ht="11.25" customHeight="1" x14ac:dyDescent="0.25">
      <c r="G2404" s="459"/>
      <c r="H2404" s="459">
        <v>2397</v>
      </c>
      <c r="I2404" s="444">
        <f t="shared" ca="1" si="130"/>
        <v>-17197869332.11438</v>
      </c>
      <c r="J2404" s="444">
        <f t="array" ref="J2404">IFERROR(INDEX('Retirement Calculator'!K:K,MATCH('Lorri 401b'!N2404,'Retirement Calculator'!A:A,0),0),0)</f>
        <v>0</v>
      </c>
      <c r="K2404" s="444">
        <f t="shared" ca="1" si="128"/>
        <v>-71657788.883809909</v>
      </c>
      <c r="L2404" s="444">
        <f t="shared" ca="1" si="129"/>
        <v>-17269527120.998188</v>
      </c>
      <c r="M2404" s="460">
        <f t="shared" si="131"/>
        <v>0.05</v>
      </c>
      <c r="N2404" s="464">
        <f t="shared" si="132"/>
        <v>124215</v>
      </c>
    </row>
    <row r="2405" spans="7:14" ht="11.25" customHeight="1" x14ac:dyDescent="0.25">
      <c r="G2405" s="459"/>
      <c r="H2405" s="459">
        <v>2398</v>
      </c>
      <c r="I2405" s="444">
        <f t="shared" ca="1" si="130"/>
        <v>-17269527120.998188</v>
      </c>
      <c r="J2405" s="444">
        <f t="array" ref="J2405">IFERROR(INDEX('Retirement Calculator'!K:K,MATCH('Lorri 401b'!N2405,'Retirement Calculator'!A:A,0),0),0)</f>
        <v>0</v>
      </c>
      <c r="K2405" s="444">
        <f t="shared" ca="1" si="128"/>
        <v>-71956363.004159123</v>
      </c>
      <c r="L2405" s="444">
        <f t="shared" ca="1" si="129"/>
        <v>-17341483484.002346</v>
      </c>
      <c r="M2405" s="460">
        <f t="shared" si="131"/>
        <v>0.05</v>
      </c>
      <c r="N2405" s="464">
        <f t="shared" si="132"/>
        <v>124244</v>
      </c>
    </row>
    <row r="2406" spans="7:14" ht="11.25" customHeight="1" x14ac:dyDescent="0.25">
      <c r="G2406" s="459"/>
      <c r="H2406" s="459">
        <v>2399</v>
      </c>
      <c r="I2406" s="444">
        <f t="shared" ca="1" si="130"/>
        <v>-17341483484.002346</v>
      </c>
      <c r="J2406" s="444">
        <f t="array" ref="J2406">IFERROR(INDEX('Retirement Calculator'!K:K,MATCH('Lorri 401b'!N2406,'Retirement Calculator'!A:A,0),0),0)</f>
        <v>0</v>
      </c>
      <c r="K2406" s="444">
        <f t="shared" ca="1" si="128"/>
        <v>-72256181.183343112</v>
      </c>
      <c r="L2406" s="444">
        <f t="shared" ca="1" si="129"/>
        <v>-17413739665.185688</v>
      </c>
      <c r="M2406" s="460">
        <f t="shared" si="131"/>
        <v>0.05</v>
      </c>
      <c r="N2406" s="464">
        <f t="shared" si="132"/>
        <v>124275</v>
      </c>
    </row>
    <row r="2407" spans="7:14" ht="11.25" customHeight="1" x14ac:dyDescent="0.25">
      <c r="G2407" s="459"/>
      <c r="H2407" s="459">
        <v>2400</v>
      </c>
      <c r="I2407" s="444">
        <f t="shared" ca="1" si="130"/>
        <v>-17413739665.185688</v>
      </c>
      <c r="J2407" s="444">
        <f t="array" ref="J2407">IFERROR(INDEX('Retirement Calculator'!K:K,MATCH('Lorri 401b'!N2407,'Retirement Calculator'!A:A,0),0),0)</f>
        <v>0</v>
      </c>
      <c r="K2407" s="444">
        <f t="shared" ca="1" si="128"/>
        <v>-72557248.60494037</v>
      </c>
      <c r="L2407" s="444">
        <f t="shared" ca="1" si="129"/>
        <v>-17486296913.790627</v>
      </c>
      <c r="M2407" s="460">
        <f t="shared" si="131"/>
        <v>0.05</v>
      </c>
      <c r="N2407" s="464">
        <f t="shared" si="132"/>
        <v>124305</v>
      </c>
    </row>
    <row r="2408" spans="7:14" ht="11.25" customHeight="1" x14ac:dyDescent="0.25">
      <c r="G2408" s="459"/>
      <c r="H2408" s="459">
        <v>2401</v>
      </c>
      <c r="I2408" s="444">
        <f t="shared" ca="1" si="130"/>
        <v>-17486296913.790627</v>
      </c>
      <c r="J2408" s="444">
        <f t="array" ref="J2408">IFERROR(INDEX('Retirement Calculator'!K:K,MATCH('Lorri 401b'!N2408,'Retirement Calculator'!A:A,0),0),0)</f>
        <v>0</v>
      </c>
      <c r="K2408" s="444">
        <f t="shared" ca="1" si="128"/>
        <v>-72859570.474127606</v>
      </c>
      <c r="L2408" s="444">
        <f t="shared" ca="1" si="129"/>
        <v>-17559156484.264755</v>
      </c>
      <c r="M2408" s="460">
        <f t="shared" si="131"/>
        <v>0.05</v>
      </c>
      <c r="N2408" s="464">
        <f t="shared" si="132"/>
        <v>124336</v>
      </c>
    </row>
    <row r="2409" spans="7:14" ht="11.25" customHeight="1" x14ac:dyDescent="0.25">
      <c r="G2409" s="459"/>
      <c r="H2409" s="459">
        <v>2402</v>
      </c>
      <c r="I2409" s="444">
        <f t="shared" ca="1" si="130"/>
        <v>-17559156484.264755</v>
      </c>
      <c r="J2409" s="444">
        <f t="array" ref="J2409">IFERROR(INDEX('Retirement Calculator'!K:K,MATCH('Lorri 401b'!N2409,'Retirement Calculator'!A:A,0),0),0)</f>
        <v>0</v>
      </c>
      <c r="K2409" s="444">
        <f t="shared" ca="1" si="128"/>
        <v>-73163152.017769814</v>
      </c>
      <c r="L2409" s="444">
        <f t="shared" ca="1" si="129"/>
        <v>-17632319636.282524</v>
      </c>
      <c r="M2409" s="460">
        <f t="shared" si="131"/>
        <v>0.05</v>
      </c>
      <c r="N2409" s="464">
        <f t="shared" si="132"/>
        <v>124366</v>
      </c>
    </row>
    <row r="2410" spans="7:14" ht="11.25" customHeight="1" x14ac:dyDescent="0.25">
      <c r="G2410" s="459"/>
      <c r="H2410" s="459">
        <v>2403</v>
      </c>
      <c r="I2410" s="444">
        <f t="shared" ca="1" si="130"/>
        <v>-17632319636.282524</v>
      </c>
      <c r="J2410" s="444">
        <f t="array" ref="J2410">IFERROR(INDEX('Retirement Calculator'!K:K,MATCH('Lorri 401b'!N2410,'Retirement Calculator'!A:A,0),0),0)</f>
        <v>0</v>
      </c>
      <c r="K2410" s="444">
        <f t="shared" ca="1" si="128"/>
        <v>-73467998.484510511</v>
      </c>
      <c r="L2410" s="444">
        <f t="shared" ca="1" si="129"/>
        <v>-17705787634.767036</v>
      </c>
      <c r="M2410" s="460">
        <f t="shared" si="131"/>
        <v>0.05</v>
      </c>
      <c r="N2410" s="464">
        <f t="shared" si="132"/>
        <v>124397</v>
      </c>
    </row>
    <row r="2411" spans="7:14" ht="11.25" customHeight="1" x14ac:dyDescent="0.25">
      <c r="G2411" s="459"/>
      <c r="H2411" s="459">
        <v>2404</v>
      </c>
      <c r="I2411" s="444">
        <f t="shared" ca="1" si="130"/>
        <v>-17705787634.767036</v>
      </c>
      <c r="J2411" s="444">
        <f t="array" ref="J2411">IFERROR(INDEX('Retirement Calculator'!K:K,MATCH('Lorri 401b'!N2411,'Retirement Calculator'!A:A,0),0),0)</f>
        <v>0</v>
      </c>
      <c r="K2411" s="444">
        <f t="shared" ca="1" si="128"/>
        <v>-73774115.144862652</v>
      </c>
      <c r="L2411" s="444">
        <f t="shared" ca="1" si="129"/>
        <v>-17779561749.9119</v>
      </c>
      <c r="M2411" s="460">
        <f t="shared" si="131"/>
        <v>0.05</v>
      </c>
      <c r="N2411" s="464">
        <f t="shared" si="132"/>
        <v>124428</v>
      </c>
    </row>
    <row r="2412" spans="7:14" ht="11.25" customHeight="1" x14ac:dyDescent="0.25">
      <c r="G2412" s="459"/>
      <c r="H2412" s="459">
        <v>2405</v>
      </c>
      <c r="I2412" s="444">
        <f t="shared" ca="1" si="130"/>
        <v>-17779561749.9119</v>
      </c>
      <c r="J2412" s="444">
        <f t="array" ref="J2412">IFERROR(INDEX('Retirement Calculator'!K:K,MATCH('Lorri 401b'!N2412,'Retirement Calculator'!A:A,0),0),0)</f>
        <v>0</v>
      </c>
      <c r="K2412" s="444">
        <f t="shared" ca="1" si="128"/>
        <v>-74081507.291299582</v>
      </c>
      <c r="L2412" s="444">
        <f t="shared" ca="1" si="129"/>
        <v>-17853643257.203197</v>
      </c>
      <c r="M2412" s="460">
        <f t="shared" si="131"/>
        <v>0.05</v>
      </c>
      <c r="N2412" s="464">
        <f t="shared" si="132"/>
        <v>124458</v>
      </c>
    </row>
    <row r="2413" spans="7:14" ht="11.25" customHeight="1" x14ac:dyDescent="0.25">
      <c r="G2413" s="459"/>
      <c r="H2413" s="459">
        <v>2406</v>
      </c>
      <c r="I2413" s="444">
        <f t="shared" ca="1" si="130"/>
        <v>-17853643257.203197</v>
      </c>
      <c r="J2413" s="444">
        <f t="array" ref="J2413">IFERROR(INDEX('Retirement Calculator'!K:K,MATCH('Lorri 401b'!N2413,'Retirement Calculator'!A:A,0),0),0)</f>
        <v>0</v>
      </c>
      <c r="K2413" s="444">
        <f t="shared" ca="1" si="128"/>
        <v>-74390180.238346651</v>
      </c>
      <c r="L2413" s="444">
        <f t="shared" ca="1" si="129"/>
        <v>-17928033437.441544</v>
      </c>
      <c r="M2413" s="460">
        <f t="shared" si="131"/>
        <v>0.05</v>
      </c>
      <c r="N2413" s="464">
        <f t="shared" si="132"/>
        <v>124489</v>
      </c>
    </row>
    <row r="2414" spans="7:14" ht="11.25" customHeight="1" x14ac:dyDescent="0.25">
      <c r="G2414" s="459"/>
      <c r="H2414" s="459">
        <v>2407</v>
      </c>
      <c r="I2414" s="444">
        <f t="shared" ca="1" si="130"/>
        <v>-17928033437.441544</v>
      </c>
      <c r="J2414" s="444">
        <f t="array" ref="J2414">IFERROR(INDEX('Retirement Calculator'!K:K,MATCH('Lorri 401b'!N2414,'Retirement Calculator'!A:A,0),0),0)</f>
        <v>0</v>
      </c>
      <c r="K2414" s="444">
        <f t="shared" ca="1" si="128"/>
        <v>-74700139.322673097</v>
      </c>
      <c r="L2414" s="444">
        <f t="shared" ca="1" si="129"/>
        <v>-18002733576.764217</v>
      </c>
      <c r="M2414" s="460">
        <f t="shared" si="131"/>
        <v>0.05</v>
      </c>
      <c r="N2414" s="464">
        <f t="shared" si="132"/>
        <v>124519</v>
      </c>
    </row>
    <row r="2415" spans="7:14" ht="11.25" customHeight="1" x14ac:dyDescent="0.25">
      <c r="G2415" s="459"/>
      <c r="H2415" s="459">
        <v>2408</v>
      </c>
      <c r="I2415" s="444">
        <f t="shared" ca="1" si="130"/>
        <v>-18002733576.764217</v>
      </c>
      <c r="J2415" s="444">
        <f t="array" ref="J2415">IFERROR(INDEX('Retirement Calculator'!K:K,MATCH('Lorri 401b'!N2415,'Retirement Calculator'!A:A,0),0),0)</f>
        <v>0</v>
      </c>
      <c r="K2415" s="444">
        <f t="shared" ca="1" si="128"/>
        <v>-75011389.903184235</v>
      </c>
      <c r="L2415" s="444">
        <f t="shared" ca="1" si="129"/>
        <v>-18077744966.6674</v>
      </c>
      <c r="M2415" s="460">
        <f t="shared" si="131"/>
        <v>0.05</v>
      </c>
      <c r="N2415" s="464">
        <f t="shared" si="132"/>
        <v>124550</v>
      </c>
    </row>
    <row r="2416" spans="7:14" ht="11.25" customHeight="1" x14ac:dyDescent="0.25">
      <c r="G2416" s="459"/>
      <c r="H2416" s="459">
        <v>2409</v>
      </c>
      <c r="I2416" s="444">
        <f t="shared" ca="1" si="130"/>
        <v>-18077744966.6674</v>
      </c>
      <c r="J2416" s="444">
        <f t="array" ref="J2416">IFERROR(INDEX('Retirement Calculator'!K:K,MATCH('Lorri 401b'!N2416,'Retirement Calculator'!A:A,0),0),0)</f>
        <v>0</v>
      </c>
      <c r="K2416" s="444">
        <f t="shared" ca="1" si="128"/>
        <v>-75323937.361114174</v>
      </c>
      <c r="L2416" s="444">
        <f t="shared" ca="1" si="129"/>
        <v>-18153068904.028515</v>
      </c>
      <c r="M2416" s="460">
        <f t="shared" si="131"/>
        <v>0.05</v>
      </c>
      <c r="N2416" s="464">
        <f t="shared" si="132"/>
        <v>124581</v>
      </c>
    </row>
    <row r="2417" spans="7:14" ht="11.25" customHeight="1" x14ac:dyDescent="0.25">
      <c r="G2417" s="459"/>
      <c r="H2417" s="459">
        <v>2410</v>
      </c>
      <c r="I2417" s="444">
        <f t="shared" ca="1" si="130"/>
        <v>-18153068904.028515</v>
      </c>
      <c r="J2417" s="444">
        <f t="array" ref="J2417">IFERROR(INDEX('Retirement Calculator'!K:K,MATCH('Lorri 401b'!N2417,'Retirement Calculator'!A:A,0),0),0)</f>
        <v>0</v>
      </c>
      <c r="K2417" s="444">
        <f t="shared" ca="1" si="128"/>
        <v>-75637787.100118816</v>
      </c>
      <c r="L2417" s="444">
        <f t="shared" ca="1" si="129"/>
        <v>-18228706691.128635</v>
      </c>
      <c r="M2417" s="460">
        <f t="shared" si="131"/>
        <v>0.05</v>
      </c>
      <c r="N2417" s="464">
        <f t="shared" si="132"/>
        <v>124609</v>
      </c>
    </row>
    <row r="2418" spans="7:14" ht="11.25" customHeight="1" x14ac:dyDescent="0.25">
      <c r="G2418" s="459"/>
      <c r="H2418" s="459">
        <v>2411</v>
      </c>
      <c r="I2418" s="444">
        <f t="shared" ca="1" si="130"/>
        <v>-18228706691.128635</v>
      </c>
      <c r="J2418" s="444">
        <f t="array" ref="J2418">IFERROR(INDEX('Retirement Calculator'!K:K,MATCH('Lorri 401b'!N2418,'Retirement Calculator'!A:A,0),0),0)</f>
        <v>0</v>
      </c>
      <c r="K2418" s="444">
        <f t="shared" ca="1" si="128"/>
        <v>-75952944.546369314</v>
      </c>
      <c r="L2418" s="444">
        <f t="shared" ca="1" si="129"/>
        <v>-18304659635.675003</v>
      </c>
      <c r="M2418" s="460">
        <f t="shared" si="131"/>
        <v>0.05</v>
      </c>
      <c r="N2418" s="464">
        <f t="shared" si="132"/>
        <v>124640</v>
      </c>
    </row>
    <row r="2419" spans="7:14" ht="11.25" customHeight="1" x14ac:dyDescent="0.25">
      <c r="G2419" s="459"/>
      <c r="H2419" s="459">
        <v>2412</v>
      </c>
      <c r="I2419" s="444">
        <f t="shared" ca="1" si="130"/>
        <v>-18304659635.675003</v>
      </c>
      <c r="J2419" s="444">
        <f t="array" ref="J2419">IFERROR(INDEX('Retirement Calculator'!K:K,MATCH('Lorri 401b'!N2419,'Retirement Calculator'!A:A,0),0),0)</f>
        <v>0</v>
      </c>
      <c r="K2419" s="444">
        <f t="shared" ca="1" si="128"/>
        <v>-76269415.148645848</v>
      </c>
      <c r="L2419" s="444">
        <f t="shared" ca="1" si="129"/>
        <v>-18380929050.82365</v>
      </c>
      <c r="M2419" s="460">
        <f t="shared" si="131"/>
        <v>0.05</v>
      </c>
      <c r="N2419" s="464">
        <f t="shared" si="132"/>
        <v>124670</v>
      </c>
    </row>
    <row r="2420" spans="7:14" ht="11.25" customHeight="1" x14ac:dyDescent="0.25">
      <c r="G2420" s="459"/>
      <c r="H2420" s="459">
        <v>2413</v>
      </c>
      <c r="I2420" s="444">
        <f t="shared" ca="1" si="130"/>
        <v>-18380929050.82365</v>
      </c>
      <c r="J2420" s="444">
        <f t="array" ref="J2420">IFERROR(INDEX('Retirement Calculator'!K:K,MATCH('Lorri 401b'!N2420,'Retirement Calculator'!A:A,0),0),0)</f>
        <v>0</v>
      </c>
      <c r="K2420" s="444">
        <f t="shared" ca="1" si="128"/>
        <v>-76587204.378431872</v>
      </c>
      <c r="L2420" s="444">
        <f t="shared" ca="1" si="129"/>
        <v>-18457516255.202084</v>
      </c>
      <c r="M2420" s="460">
        <f t="shared" si="131"/>
        <v>0.05</v>
      </c>
      <c r="N2420" s="464">
        <f t="shared" si="132"/>
        <v>124701</v>
      </c>
    </row>
    <row r="2421" spans="7:14" ht="11.25" customHeight="1" x14ac:dyDescent="0.25">
      <c r="G2421" s="459"/>
      <c r="H2421" s="459">
        <v>2414</v>
      </c>
      <c r="I2421" s="444">
        <f t="shared" ca="1" si="130"/>
        <v>-18457516255.202084</v>
      </c>
      <c r="J2421" s="444">
        <f t="array" ref="J2421">IFERROR(INDEX('Retirement Calculator'!K:K,MATCH('Lorri 401b'!N2421,'Retirement Calculator'!A:A,0),0),0)</f>
        <v>0</v>
      </c>
      <c r="K2421" s="444">
        <f t="shared" ca="1" si="128"/>
        <v>-76906317.730008677</v>
      </c>
      <c r="L2421" s="444">
        <f t="shared" ca="1" si="129"/>
        <v>-18534422572.932091</v>
      </c>
      <c r="M2421" s="460">
        <f t="shared" si="131"/>
        <v>0.05</v>
      </c>
      <c r="N2421" s="464">
        <f t="shared" si="132"/>
        <v>124731</v>
      </c>
    </row>
    <row r="2422" spans="7:14" ht="11.25" customHeight="1" x14ac:dyDescent="0.25">
      <c r="G2422" s="459"/>
      <c r="H2422" s="459">
        <v>2415</v>
      </c>
      <c r="I2422" s="444">
        <f t="shared" ca="1" si="130"/>
        <v>-18534422572.932091</v>
      </c>
      <c r="J2422" s="444">
        <f t="array" ref="J2422">IFERROR(INDEX('Retirement Calculator'!K:K,MATCH('Lorri 401b'!N2422,'Retirement Calculator'!A:A,0),0),0)</f>
        <v>0</v>
      </c>
      <c r="K2422" s="444">
        <f t="shared" ca="1" si="128"/>
        <v>-77226760.720550373</v>
      </c>
      <c r="L2422" s="444">
        <f t="shared" ca="1" si="129"/>
        <v>-18611649333.652641</v>
      </c>
      <c r="M2422" s="460">
        <f t="shared" si="131"/>
        <v>0.05</v>
      </c>
      <c r="N2422" s="464">
        <f t="shared" si="132"/>
        <v>124762</v>
      </c>
    </row>
    <row r="2423" spans="7:14" ht="11.25" customHeight="1" x14ac:dyDescent="0.25">
      <c r="G2423" s="459"/>
      <c r="H2423" s="459">
        <v>2416</v>
      </c>
      <c r="I2423" s="444">
        <f t="shared" ca="1" si="130"/>
        <v>-18611649333.652641</v>
      </c>
      <c r="J2423" s="444">
        <f t="array" ref="J2423">IFERROR(INDEX('Retirement Calculator'!K:K,MATCH('Lorri 401b'!N2423,'Retirement Calculator'!A:A,0),0),0)</f>
        <v>0</v>
      </c>
      <c r="K2423" s="444">
        <f t="shared" ca="1" si="128"/>
        <v>-77548538.890219331</v>
      </c>
      <c r="L2423" s="444">
        <f t="shared" ca="1" si="129"/>
        <v>-18689197872.542862</v>
      </c>
      <c r="M2423" s="460">
        <f t="shared" si="131"/>
        <v>0.05</v>
      </c>
      <c r="N2423" s="464">
        <f t="shared" si="132"/>
        <v>124793</v>
      </c>
    </row>
    <row r="2424" spans="7:14" ht="11.25" customHeight="1" x14ac:dyDescent="0.25">
      <c r="G2424" s="459"/>
      <c r="H2424" s="459">
        <v>2417</v>
      </c>
      <c r="I2424" s="444">
        <f t="shared" ca="1" si="130"/>
        <v>-18689197872.542862</v>
      </c>
      <c r="J2424" s="444">
        <f t="array" ref="J2424">IFERROR(INDEX('Retirement Calculator'!K:K,MATCH('Lorri 401b'!N2424,'Retirement Calculator'!A:A,0),0),0)</f>
        <v>0</v>
      </c>
      <c r="K2424" s="444">
        <f t="shared" ca="1" si="128"/>
        <v>-77871657.802261919</v>
      </c>
      <c r="L2424" s="444">
        <f t="shared" ca="1" si="129"/>
        <v>-18767069530.345123</v>
      </c>
      <c r="M2424" s="460">
        <f t="shared" si="131"/>
        <v>0.05</v>
      </c>
      <c r="N2424" s="464">
        <f t="shared" si="132"/>
        <v>124823</v>
      </c>
    </row>
    <row r="2425" spans="7:14" ht="11.25" customHeight="1" x14ac:dyDescent="0.25">
      <c r="G2425" s="459"/>
      <c r="H2425" s="459">
        <v>2418</v>
      </c>
      <c r="I2425" s="444">
        <f t="shared" ca="1" si="130"/>
        <v>-18767069530.345123</v>
      </c>
      <c r="J2425" s="444">
        <f t="array" ref="J2425">IFERROR(INDEX('Retirement Calculator'!K:K,MATCH('Lorri 401b'!N2425,'Retirement Calculator'!A:A,0),0),0)</f>
        <v>0</v>
      </c>
      <c r="K2425" s="444">
        <f t="shared" ca="1" si="128"/>
        <v>-78196123.043104678</v>
      </c>
      <c r="L2425" s="444">
        <f t="shared" ca="1" si="129"/>
        <v>-18845265653.388229</v>
      </c>
      <c r="M2425" s="460">
        <f t="shared" si="131"/>
        <v>0.05</v>
      </c>
      <c r="N2425" s="464">
        <f t="shared" si="132"/>
        <v>124854</v>
      </c>
    </row>
    <row r="2426" spans="7:14" ht="11.25" customHeight="1" x14ac:dyDescent="0.25">
      <c r="G2426" s="459"/>
      <c r="H2426" s="459">
        <v>2419</v>
      </c>
      <c r="I2426" s="444">
        <f t="shared" ca="1" si="130"/>
        <v>-18845265653.388229</v>
      </c>
      <c r="J2426" s="444">
        <f t="array" ref="J2426">IFERROR(INDEX('Retirement Calculator'!K:K,MATCH('Lorri 401b'!N2426,'Retirement Calculator'!A:A,0),0),0)</f>
        <v>0</v>
      </c>
      <c r="K2426" s="444">
        <f t="shared" ca="1" si="128"/>
        <v>-78521940.222450957</v>
      </c>
      <c r="L2426" s="444">
        <f t="shared" ca="1" si="129"/>
        <v>-18923787593.61068</v>
      </c>
      <c r="M2426" s="460">
        <f t="shared" si="131"/>
        <v>0.05</v>
      </c>
      <c r="N2426" s="464">
        <f t="shared" si="132"/>
        <v>124884</v>
      </c>
    </row>
    <row r="2427" spans="7:14" ht="11.25" customHeight="1" x14ac:dyDescent="0.25">
      <c r="G2427" s="459"/>
      <c r="H2427" s="459">
        <v>2420</v>
      </c>
      <c r="I2427" s="444">
        <f t="shared" ca="1" si="130"/>
        <v>-18923787593.61068</v>
      </c>
      <c r="J2427" s="444">
        <f t="array" ref="J2427">IFERROR(INDEX('Retirement Calculator'!K:K,MATCH('Lorri 401b'!N2427,'Retirement Calculator'!A:A,0),0),0)</f>
        <v>0</v>
      </c>
      <c r="K2427" s="444">
        <f t="shared" ca="1" si="128"/>
        <v>-78849114.973377824</v>
      </c>
      <c r="L2427" s="444">
        <f t="shared" ca="1" si="129"/>
        <v>-19002636708.584057</v>
      </c>
      <c r="M2427" s="460">
        <f t="shared" si="131"/>
        <v>0.05</v>
      </c>
      <c r="N2427" s="464">
        <f t="shared" si="132"/>
        <v>124915</v>
      </c>
    </row>
    <row r="2428" spans="7:14" ht="11.25" customHeight="1" x14ac:dyDescent="0.25">
      <c r="G2428" s="459"/>
      <c r="H2428" s="459">
        <v>2421</v>
      </c>
      <c r="I2428" s="444">
        <f t="shared" ca="1" si="130"/>
        <v>-19002636708.584057</v>
      </c>
      <c r="J2428" s="444">
        <f t="array" ref="J2428">IFERROR(INDEX('Retirement Calculator'!K:K,MATCH('Lorri 401b'!N2428,'Retirement Calculator'!A:A,0),0),0)</f>
        <v>0</v>
      </c>
      <c r="K2428" s="444">
        <f t="shared" ca="1" si="128"/>
        <v>-79177652.952433571</v>
      </c>
      <c r="L2428" s="444">
        <f t="shared" ca="1" si="129"/>
        <v>-19081814361.536491</v>
      </c>
      <c r="M2428" s="460">
        <f t="shared" si="131"/>
        <v>0.05</v>
      </c>
      <c r="N2428" s="464">
        <f t="shared" si="132"/>
        <v>124946</v>
      </c>
    </row>
    <row r="2429" spans="7:14" ht="11.25" customHeight="1" x14ac:dyDescent="0.25">
      <c r="G2429" s="459"/>
      <c r="H2429" s="459">
        <v>2422</v>
      </c>
      <c r="I2429" s="444">
        <f t="shared" ca="1" si="130"/>
        <v>-19081814361.536491</v>
      </c>
      <c r="J2429" s="444">
        <f t="array" ref="J2429">IFERROR(INDEX('Retirement Calculator'!K:K,MATCH('Lorri 401b'!N2429,'Retirement Calculator'!A:A,0),0),0)</f>
        <v>0</v>
      </c>
      <c r="K2429" s="444">
        <f t="shared" ca="1" si="128"/>
        <v>-79507559.839735374</v>
      </c>
      <c r="L2429" s="444">
        <f t="shared" ca="1" si="129"/>
        <v>-19161321921.376228</v>
      </c>
      <c r="M2429" s="460">
        <f t="shared" si="131"/>
        <v>0.05</v>
      </c>
      <c r="N2429" s="464">
        <f t="shared" si="132"/>
        <v>124974</v>
      </c>
    </row>
    <row r="2430" spans="7:14" ht="11.25" customHeight="1" x14ac:dyDescent="0.25">
      <c r="G2430" s="459"/>
      <c r="H2430" s="459">
        <v>2423</v>
      </c>
      <c r="I2430" s="444">
        <f t="shared" ca="1" si="130"/>
        <v>-19161321921.376228</v>
      </c>
      <c r="J2430" s="444">
        <f t="array" ref="J2430">IFERROR(INDEX('Retirement Calculator'!K:K,MATCH('Lorri 401b'!N2430,'Retirement Calculator'!A:A,0),0),0)</f>
        <v>0</v>
      </c>
      <c r="K2430" s="444">
        <f t="shared" ca="1" si="128"/>
        <v>-79838841.339067623</v>
      </c>
      <c r="L2430" s="444">
        <f t="shared" ca="1" si="129"/>
        <v>-19241160762.715298</v>
      </c>
      <c r="M2430" s="460">
        <f t="shared" si="131"/>
        <v>0.05</v>
      </c>
      <c r="N2430" s="464">
        <f t="shared" si="132"/>
        <v>125005</v>
      </c>
    </row>
    <row r="2431" spans="7:14" ht="11.25" customHeight="1" x14ac:dyDescent="0.25">
      <c r="G2431" s="459"/>
      <c r="H2431" s="459">
        <v>2424</v>
      </c>
      <c r="I2431" s="444">
        <f t="shared" ca="1" si="130"/>
        <v>-19241160762.715298</v>
      </c>
      <c r="J2431" s="444">
        <f t="array" ref="J2431">IFERROR(INDEX('Retirement Calculator'!K:K,MATCH('Lorri 401b'!N2431,'Retirement Calculator'!A:A,0),0),0)</f>
        <v>0</v>
      </c>
      <c r="K2431" s="444">
        <f t="shared" ca="1" si="128"/>
        <v>-80171503.177980408</v>
      </c>
      <c r="L2431" s="444">
        <f t="shared" ca="1" si="129"/>
        <v>-19321332265.893276</v>
      </c>
      <c r="M2431" s="460">
        <f t="shared" si="131"/>
        <v>0.05</v>
      </c>
      <c r="N2431" s="464">
        <f t="shared" si="132"/>
        <v>125035</v>
      </c>
    </row>
    <row r="2432" spans="7:14" ht="11.25" customHeight="1" x14ac:dyDescent="0.25">
      <c r="G2432" s="459"/>
      <c r="H2432" s="459">
        <v>2425</v>
      </c>
      <c r="I2432" s="444">
        <f t="shared" ca="1" si="130"/>
        <v>-19321332265.893276</v>
      </c>
      <c r="J2432" s="444">
        <f t="array" ref="J2432">IFERROR(INDEX('Retirement Calculator'!K:K,MATCH('Lorri 401b'!N2432,'Retirement Calculator'!A:A,0),0),0)</f>
        <v>0</v>
      </c>
      <c r="K2432" s="444">
        <f t="shared" ca="1" si="128"/>
        <v>-80505551.107888654</v>
      </c>
      <c r="L2432" s="444">
        <f t="shared" ca="1" si="129"/>
        <v>-19401837817.001163</v>
      </c>
      <c r="M2432" s="460">
        <f t="shared" si="131"/>
        <v>0.05</v>
      </c>
      <c r="N2432" s="464">
        <f t="shared" si="132"/>
        <v>125066</v>
      </c>
    </row>
    <row r="2433" spans="7:14" ht="11.25" customHeight="1" x14ac:dyDescent="0.25">
      <c r="G2433" s="459"/>
      <c r="H2433" s="459">
        <v>2426</v>
      </c>
      <c r="I2433" s="444">
        <f t="shared" ca="1" si="130"/>
        <v>-19401837817.001163</v>
      </c>
      <c r="J2433" s="444">
        <f t="array" ref="J2433">IFERROR(INDEX('Retirement Calculator'!K:K,MATCH('Lorri 401b'!N2433,'Retirement Calculator'!A:A,0),0),0)</f>
        <v>0</v>
      </c>
      <c r="K2433" s="444">
        <f t="shared" ca="1" si="128"/>
        <v>-80840990.904171512</v>
      </c>
      <c r="L2433" s="444">
        <f t="shared" ca="1" si="129"/>
        <v>-19482678807.905334</v>
      </c>
      <c r="M2433" s="460">
        <f t="shared" si="131"/>
        <v>0.05</v>
      </c>
      <c r="N2433" s="464">
        <f t="shared" si="132"/>
        <v>125096</v>
      </c>
    </row>
    <row r="2434" spans="7:14" ht="11.25" customHeight="1" x14ac:dyDescent="0.25">
      <c r="G2434" s="459"/>
      <c r="H2434" s="459">
        <v>2427</v>
      </c>
      <c r="I2434" s="444">
        <f t="shared" ca="1" si="130"/>
        <v>-19482678807.905334</v>
      </c>
      <c r="J2434" s="444">
        <f t="array" ref="J2434">IFERROR(INDEX('Retirement Calculator'!K:K,MATCH('Lorri 401b'!N2434,'Retirement Calculator'!A:A,0),0),0)</f>
        <v>0</v>
      </c>
      <c r="K2434" s="444">
        <f t="shared" ca="1" si="128"/>
        <v>-81177828.366272226</v>
      </c>
      <c r="L2434" s="444">
        <f t="shared" ca="1" si="129"/>
        <v>-19563856636.271606</v>
      </c>
      <c r="M2434" s="460">
        <f t="shared" si="131"/>
        <v>0.05</v>
      </c>
      <c r="N2434" s="464">
        <f t="shared" si="132"/>
        <v>125127</v>
      </c>
    </row>
    <row r="2435" spans="7:14" ht="11.25" customHeight="1" x14ac:dyDescent="0.25">
      <c r="G2435" s="459"/>
      <c r="H2435" s="459">
        <v>2428</v>
      </c>
      <c r="I2435" s="444">
        <f t="shared" ca="1" si="130"/>
        <v>-19563856636.271606</v>
      </c>
      <c r="J2435" s="444">
        <f t="array" ref="J2435">IFERROR(INDEX('Retirement Calculator'!K:K,MATCH('Lorri 401b'!N2435,'Retirement Calculator'!A:A,0),0),0)</f>
        <v>0</v>
      </c>
      <c r="K2435" s="444">
        <f t="shared" ca="1" si="128"/>
        <v>-81516069.317798361</v>
      </c>
      <c r="L2435" s="444">
        <f t="shared" ca="1" si="129"/>
        <v>-19645372705.589405</v>
      </c>
      <c r="M2435" s="460">
        <f t="shared" si="131"/>
        <v>0.05</v>
      </c>
      <c r="N2435" s="464">
        <f t="shared" si="132"/>
        <v>125158</v>
      </c>
    </row>
    <row r="2436" spans="7:14" ht="11.25" customHeight="1" x14ac:dyDescent="0.25">
      <c r="G2436" s="459"/>
      <c r="H2436" s="459">
        <v>2429</v>
      </c>
      <c r="I2436" s="444">
        <f t="shared" ca="1" si="130"/>
        <v>-19645372705.589405</v>
      </c>
      <c r="J2436" s="444">
        <f t="array" ref="J2436">IFERROR(INDEX('Retirement Calculator'!K:K,MATCH('Lorri 401b'!N2436,'Retirement Calculator'!A:A,0),0),0)</f>
        <v>0</v>
      </c>
      <c r="K2436" s="444">
        <f t="shared" ca="1" si="128"/>
        <v>-81855719.606622517</v>
      </c>
      <c r="L2436" s="444">
        <f t="shared" ca="1" si="129"/>
        <v>-19727228425.196026</v>
      </c>
      <c r="M2436" s="460">
        <f t="shared" si="131"/>
        <v>0.05</v>
      </c>
      <c r="N2436" s="464">
        <f t="shared" si="132"/>
        <v>125188</v>
      </c>
    </row>
    <row r="2437" spans="7:14" ht="11.25" customHeight="1" x14ac:dyDescent="0.25">
      <c r="G2437" s="459"/>
      <c r="H2437" s="459">
        <v>2430</v>
      </c>
      <c r="I2437" s="444">
        <f t="shared" ca="1" si="130"/>
        <v>-19727228425.196026</v>
      </c>
      <c r="J2437" s="444">
        <f t="array" ref="J2437">IFERROR(INDEX('Retirement Calculator'!K:K,MATCH('Lorri 401b'!N2437,'Retirement Calculator'!A:A,0),0),0)</f>
        <v>0</v>
      </c>
      <c r="K2437" s="444">
        <f t="shared" ca="1" si="128"/>
        <v>-82196785.104983434</v>
      </c>
      <c r="L2437" s="444">
        <f t="shared" ca="1" si="129"/>
        <v>-19809425210.30101</v>
      </c>
      <c r="M2437" s="460">
        <f t="shared" si="131"/>
        <v>0.05</v>
      </c>
      <c r="N2437" s="464">
        <f t="shared" si="132"/>
        <v>125219</v>
      </c>
    </row>
    <row r="2438" spans="7:14" ht="11.25" customHeight="1" x14ac:dyDescent="0.25">
      <c r="G2438" s="459"/>
      <c r="H2438" s="459">
        <v>2431</v>
      </c>
      <c r="I2438" s="444">
        <f t="shared" ca="1" si="130"/>
        <v>-19809425210.30101</v>
      </c>
      <c r="J2438" s="444">
        <f t="array" ref="J2438">IFERROR(INDEX('Retirement Calculator'!K:K,MATCH('Lorri 401b'!N2438,'Retirement Calculator'!A:A,0),0),0)</f>
        <v>0</v>
      </c>
      <c r="K2438" s="444">
        <f t="shared" ca="1" si="128"/>
        <v>-82539271.709587544</v>
      </c>
      <c r="L2438" s="444">
        <f t="shared" ca="1" si="129"/>
        <v>-19891964482.010597</v>
      </c>
      <c r="M2438" s="460">
        <f t="shared" si="131"/>
        <v>0.05</v>
      </c>
      <c r="N2438" s="464">
        <f t="shared" si="132"/>
        <v>125249</v>
      </c>
    </row>
    <row r="2439" spans="7:14" ht="11.25" customHeight="1" x14ac:dyDescent="0.25">
      <c r="G2439" s="459"/>
      <c r="H2439" s="459">
        <v>2432</v>
      </c>
      <c r="I2439" s="444">
        <f t="shared" ca="1" si="130"/>
        <v>-19891964482.010597</v>
      </c>
      <c r="J2439" s="444">
        <f t="array" ref="J2439">IFERROR(INDEX('Retirement Calculator'!K:K,MATCH('Lorri 401b'!N2439,'Retirement Calculator'!A:A,0),0),0)</f>
        <v>0</v>
      </c>
      <c r="K2439" s="444">
        <f t="shared" ca="1" si="128"/>
        <v>-82883185.341710821</v>
      </c>
      <c r="L2439" s="444">
        <f t="shared" ca="1" si="129"/>
        <v>-19974847667.352306</v>
      </c>
      <c r="M2439" s="460">
        <f t="shared" si="131"/>
        <v>0.05</v>
      </c>
      <c r="N2439" s="464">
        <f t="shared" si="132"/>
        <v>125280</v>
      </c>
    </row>
    <row r="2440" spans="7:14" ht="11.25" customHeight="1" x14ac:dyDescent="0.25">
      <c r="G2440" s="459"/>
      <c r="H2440" s="459">
        <v>2433</v>
      </c>
      <c r="I2440" s="444">
        <f t="shared" ca="1" si="130"/>
        <v>-19974847667.352306</v>
      </c>
      <c r="J2440" s="444">
        <f t="array" ref="J2440">IFERROR(INDEX('Retirement Calculator'!K:K,MATCH('Lorri 401b'!N2440,'Retirement Calculator'!A:A,0),0),0)</f>
        <v>0</v>
      </c>
      <c r="K2440" s="444">
        <f t="shared" ca="1" si="128"/>
        <v>-83228531.947301269</v>
      </c>
      <c r="L2440" s="444">
        <f t="shared" ca="1" si="129"/>
        <v>-20058076199.299606</v>
      </c>
      <c r="M2440" s="460">
        <f t="shared" si="131"/>
        <v>0.05</v>
      </c>
      <c r="N2440" s="464">
        <f t="shared" si="132"/>
        <v>125311</v>
      </c>
    </row>
    <row r="2441" spans="7:14" ht="11.25" customHeight="1" x14ac:dyDescent="0.25">
      <c r="G2441" s="459"/>
      <c r="H2441" s="459">
        <v>2434</v>
      </c>
      <c r="I2441" s="444">
        <f t="shared" ca="1" si="130"/>
        <v>-20058076199.299606</v>
      </c>
      <c r="J2441" s="444">
        <f t="array" ref="J2441">IFERROR(INDEX('Retirement Calculator'!K:K,MATCH('Lorri 401b'!N2441,'Retirement Calculator'!A:A,0),0),0)</f>
        <v>0</v>
      </c>
      <c r="K2441" s="444">
        <f t="shared" ca="1" si="128"/>
        <v>-83575317.497081697</v>
      </c>
      <c r="L2441" s="444">
        <f t="shared" ca="1" si="129"/>
        <v>-20141651516.796688</v>
      </c>
      <c r="M2441" s="460">
        <f t="shared" si="131"/>
        <v>0.05</v>
      </c>
      <c r="N2441" s="464">
        <f t="shared" si="132"/>
        <v>125339</v>
      </c>
    </row>
    <row r="2442" spans="7:14" ht="11.25" customHeight="1" x14ac:dyDescent="0.25">
      <c r="G2442" s="459"/>
      <c r="H2442" s="459">
        <v>2435</v>
      </c>
      <c r="I2442" s="444">
        <f t="shared" ca="1" si="130"/>
        <v>-20141651516.796688</v>
      </c>
      <c r="J2442" s="444">
        <f t="array" ref="J2442">IFERROR(INDEX('Retirement Calculator'!K:K,MATCH('Lorri 401b'!N2442,'Retirement Calculator'!A:A,0),0),0)</f>
        <v>0</v>
      </c>
      <c r="K2442" s="444">
        <f t="shared" ca="1" si="128"/>
        <v>-83923547.986652866</v>
      </c>
      <c r="L2442" s="444">
        <f t="shared" ca="1" si="129"/>
        <v>-20225575064.78334</v>
      </c>
      <c r="M2442" s="460">
        <f t="shared" si="131"/>
        <v>0.05</v>
      </c>
      <c r="N2442" s="464">
        <f t="shared" si="132"/>
        <v>125370</v>
      </c>
    </row>
    <row r="2443" spans="7:14" ht="11.25" customHeight="1" x14ac:dyDescent="0.25">
      <c r="G2443" s="459"/>
      <c r="H2443" s="459">
        <v>2436</v>
      </c>
      <c r="I2443" s="444">
        <f t="shared" ca="1" si="130"/>
        <v>-20225575064.78334</v>
      </c>
      <c r="J2443" s="444">
        <f t="array" ref="J2443">IFERROR(INDEX('Retirement Calculator'!K:K,MATCH('Lorri 401b'!N2443,'Retirement Calculator'!A:A,0),0),0)</f>
        <v>0</v>
      </c>
      <c r="K2443" s="444">
        <f t="shared" ca="1" si="128"/>
        <v>-84273229.436597258</v>
      </c>
      <c r="L2443" s="444">
        <f t="shared" ca="1" si="129"/>
        <v>-20309848294.219936</v>
      </c>
      <c r="M2443" s="460">
        <f t="shared" si="131"/>
        <v>0.05</v>
      </c>
      <c r="N2443" s="464">
        <f t="shared" si="132"/>
        <v>125400</v>
      </c>
    </row>
    <row r="2444" spans="7:14" ht="11.25" customHeight="1" x14ac:dyDescent="0.25">
      <c r="G2444" s="459"/>
      <c r="H2444" s="459">
        <v>2437</v>
      </c>
      <c r="I2444" s="444">
        <f t="shared" ca="1" si="130"/>
        <v>-20309848294.219936</v>
      </c>
      <c r="J2444" s="444">
        <f t="array" ref="J2444">IFERROR(INDEX('Retirement Calculator'!K:K,MATCH('Lorri 401b'!N2444,'Retirement Calculator'!A:A,0),0),0)</f>
        <v>0</v>
      </c>
      <c r="K2444" s="444">
        <f t="shared" ca="1" si="128"/>
        <v>-84624367.892583072</v>
      </c>
      <c r="L2444" s="444">
        <f t="shared" ca="1" si="129"/>
        <v>-20394472662.112518</v>
      </c>
      <c r="M2444" s="460">
        <f t="shared" si="131"/>
        <v>0.05</v>
      </c>
      <c r="N2444" s="464">
        <f t="shared" si="132"/>
        <v>125431</v>
      </c>
    </row>
    <row r="2445" spans="7:14" ht="11.25" customHeight="1" x14ac:dyDescent="0.25">
      <c r="G2445" s="459"/>
      <c r="H2445" s="459">
        <v>2438</v>
      </c>
      <c r="I2445" s="444">
        <f t="shared" ca="1" si="130"/>
        <v>-20394472662.112518</v>
      </c>
      <c r="J2445" s="444">
        <f t="array" ref="J2445">IFERROR(INDEX('Retirement Calculator'!K:K,MATCH('Lorri 401b'!N2445,'Retirement Calculator'!A:A,0),0),0)</f>
        <v>0</v>
      </c>
      <c r="K2445" s="444">
        <f t="shared" ca="1" si="128"/>
        <v>-84976969.425468832</v>
      </c>
      <c r="L2445" s="444">
        <f t="shared" ca="1" si="129"/>
        <v>-20479449631.537987</v>
      </c>
      <c r="M2445" s="460">
        <f t="shared" si="131"/>
        <v>0.05</v>
      </c>
      <c r="N2445" s="464">
        <f t="shared" si="132"/>
        <v>125461</v>
      </c>
    </row>
    <row r="2446" spans="7:14" ht="11.25" customHeight="1" x14ac:dyDescent="0.25">
      <c r="G2446" s="459"/>
      <c r="H2446" s="459">
        <v>2439</v>
      </c>
      <c r="I2446" s="444">
        <f t="shared" ca="1" si="130"/>
        <v>-20479449631.537987</v>
      </c>
      <c r="J2446" s="444">
        <f t="array" ref="J2446">IFERROR(INDEX('Retirement Calculator'!K:K,MATCH('Lorri 401b'!N2446,'Retirement Calculator'!A:A,0),0),0)</f>
        <v>0</v>
      </c>
      <c r="K2446" s="444">
        <f t="shared" ca="1" si="128"/>
        <v>-85331040.131408274</v>
      </c>
      <c r="L2446" s="444">
        <f t="shared" ca="1" si="129"/>
        <v>-20564780671.669395</v>
      </c>
      <c r="M2446" s="460">
        <f t="shared" si="131"/>
        <v>0.05</v>
      </c>
      <c r="N2446" s="464">
        <f t="shared" si="132"/>
        <v>125492</v>
      </c>
    </row>
    <row r="2447" spans="7:14" ht="11.25" customHeight="1" x14ac:dyDescent="0.25">
      <c r="G2447" s="459"/>
      <c r="H2447" s="459">
        <v>2440</v>
      </c>
      <c r="I2447" s="444">
        <f t="shared" ca="1" si="130"/>
        <v>-20564780671.669395</v>
      </c>
      <c r="J2447" s="444">
        <f t="array" ref="J2447">IFERROR(INDEX('Retirement Calculator'!K:K,MATCH('Lorri 401b'!N2447,'Retirement Calculator'!A:A,0),0),0)</f>
        <v>0</v>
      </c>
      <c r="K2447" s="444">
        <f t="shared" ca="1" si="128"/>
        <v>-85686586.131955817</v>
      </c>
      <c r="L2447" s="444">
        <f t="shared" ca="1" si="129"/>
        <v>-20650467257.80135</v>
      </c>
      <c r="M2447" s="460">
        <f t="shared" si="131"/>
        <v>0.05</v>
      </c>
      <c r="N2447" s="464">
        <f t="shared" si="132"/>
        <v>125523</v>
      </c>
    </row>
    <row r="2448" spans="7:14" ht="11.25" customHeight="1" x14ac:dyDescent="0.25">
      <c r="G2448" s="459"/>
      <c r="H2448" s="459">
        <v>2441</v>
      </c>
      <c r="I2448" s="444">
        <f t="shared" ca="1" si="130"/>
        <v>-20650467257.80135</v>
      </c>
      <c r="J2448" s="444">
        <f t="array" ref="J2448">IFERROR(INDEX('Retirement Calculator'!K:K,MATCH('Lorri 401b'!N2448,'Retirement Calculator'!A:A,0),0),0)</f>
        <v>0</v>
      </c>
      <c r="K2448" s="444">
        <f t="shared" ca="1" si="128"/>
        <v>-86043613.574172288</v>
      </c>
      <c r="L2448" s="444">
        <f t="shared" ca="1" si="129"/>
        <v>-20736510871.375523</v>
      </c>
      <c r="M2448" s="460">
        <f t="shared" si="131"/>
        <v>0.05</v>
      </c>
      <c r="N2448" s="464">
        <f t="shared" si="132"/>
        <v>125553</v>
      </c>
    </row>
    <row r="2449" spans="7:14" ht="11.25" customHeight="1" x14ac:dyDescent="0.25">
      <c r="G2449" s="459"/>
      <c r="H2449" s="459">
        <v>2442</v>
      </c>
      <c r="I2449" s="444">
        <f t="shared" ca="1" si="130"/>
        <v>-20736510871.375523</v>
      </c>
      <c r="J2449" s="444">
        <f t="array" ref="J2449">IFERROR(INDEX('Retirement Calculator'!K:K,MATCH('Lorri 401b'!N2449,'Retirement Calculator'!A:A,0),0),0)</f>
        <v>0</v>
      </c>
      <c r="K2449" s="444">
        <f t="shared" ca="1" si="128"/>
        <v>-86402128.630731344</v>
      </c>
      <c r="L2449" s="444">
        <f t="shared" ca="1" si="129"/>
        <v>-20822913000.006252</v>
      </c>
      <c r="M2449" s="460">
        <f t="shared" si="131"/>
        <v>0.05</v>
      </c>
      <c r="N2449" s="464">
        <f t="shared" si="132"/>
        <v>125584</v>
      </c>
    </row>
    <row r="2450" spans="7:14" ht="11.25" customHeight="1" x14ac:dyDescent="0.25">
      <c r="G2450" s="459"/>
      <c r="H2450" s="459">
        <v>2443</v>
      </c>
      <c r="I2450" s="444">
        <f t="shared" ca="1" si="130"/>
        <v>-20822913000.006252</v>
      </c>
      <c r="J2450" s="444">
        <f t="array" ref="J2450">IFERROR(INDEX('Retirement Calculator'!K:K,MATCH('Lorri 401b'!N2450,'Retirement Calculator'!A:A,0),0),0)</f>
        <v>0</v>
      </c>
      <c r="K2450" s="444">
        <f t="shared" ca="1" si="128"/>
        <v>-86762137.500026047</v>
      </c>
      <c r="L2450" s="444">
        <f t="shared" ca="1" si="129"/>
        <v>-20909675137.506279</v>
      </c>
      <c r="M2450" s="460">
        <f t="shared" si="131"/>
        <v>0.05</v>
      </c>
      <c r="N2450" s="464">
        <f t="shared" si="132"/>
        <v>125614</v>
      </c>
    </row>
    <row r="2451" spans="7:14" ht="11.25" customHeight="1" x14ac:dyDescent="0.25">
      <c r="G2451" s="459"/>
      <c r="H2451" s="459">
        <v>2444</v>
      </c>
      <c r="I2451" s="444">
        <f t="shared" ca="1" si="130"/>
        <v>-20909675137.506279</v>
      </c>
      <c r="J2451" s="444">
        <f t="array" ref="J2451">IFERROR(INDEX('Retirement Calculator'!K:K,MATCH('Lorri 401b'!N2451,'Retirement Calculator'!A:A,0),0),0)</f>
        <v>0</v>
      </c>
      <c r="K2451" s="444">
        <f t="shared" ca="1" si="128"/>
        <v>-87123646.406276166</v>
      </c>
      <c r="L2451" s="444">
        <f t="shared" ca="1" si="129"/>
        <v>-20996798783.912556</v>
      </c>
      <c r="M2451" s="460">
        <f t="shared" si="131"/>
        <v>0.05</v>
      </c>
      <c r="N2451" s="464">
        <f t="shared" si="132"/>
        <v>125645</v>
      </c>
    </row>
    <row r="2452" spans="7:14" ht="11.25" customHeight="1" x14ac:dyDescent="0.25">
      <c r="G2452" s="459"/>
      <c r="H2452" s="459">
        <v>2445</v>
      </c>
      <c r="I2452" s="444">
        <f t="shared" ca="1" si="130"/>
        <v>-20996798783.912556</v>
      </c>
      <c r="J2452" s="444">
        <f t="array" ref="J2452">IFERROR(INDEX('Retirement Calculator'!K:K,MATCH('Lorri 401b'!N2452,'Retirement Calculator'!A:A,0),0),0)</f>
        <v>0</v>
      </c>
      <c r="K2452" s="444">
        <f t="shared" ca="1" si="128"/>
        <v>-87486661.599635646</v>
      </c>
      <c r="L2452" s="444">
        <f t="shared" ca="1" si="129"/>
        <v>-21084285445.512192</v>
      </c>
      <c r="M2452" s="460">
        <f t="shared" si="131"/>
        <v>0.05</v>
      </c>
      <c r="N2452" s="464">
        <f t="shared" si="132"/>
        <v>125676</v>
      </c>
    </row>
    <row r="2453" spans="7:14" ht="11.25" customHeight="1" x14ac:dyDescent="0.25">
      <c r="G2453" s="459"/>
      <c r="H2453" s="459">
        <v>2446</v>
      </c>
      <c r="I2453" s="444">
        <f t="shared" ca="1" si="130"/>
        <v>-21084285445.512192</v>
      </c>
      <c r="J2453" s="444">
        <f t="array" ref="J2453">IFERROR(INDEX('Retirement Calculator'!K:K,MATCH('Lorri 401b'!N2453,'Retirement Calculator'!A:A,0),0),0)</f>
        <v>0</v>
      </c>
      <c r="K2453" s="444">
        <f t="shared" ca="1" si="128"/>
        <v>-87851189.356300801</v>
      </c>
      <c r="L2453" s="444">
        <f t="shared" ca="1" si="129"/>
        <v>-21172136634.868492</v>
      </c>
      <c r="M2453" s="460">
        <f t="shared" si="131"/>
        <v>0.05</v>
      </c>
      <c r="N2453" s="464">
        <f t="shared" si="132"/>
        <v>125705</v>
      </c>
    </row>
    <row r="2454" spans="7:14" ht="11.25" customHeight="1" x14ac:dyDescent="0.25">
      <c r="G2454" s="459"/>
      <c r="H2454" s="459">
        <v>2447</v>
      </c>
      <c r="I2454" s="444">
        <f t="shared" ca="1" si="130"/>
        <v>-21172136634.868492</v>
      </c>
      <c r="J2454" s="444">
        <f t="array" ref="J2454">IFERROR(INDEX('Retirement Calculator'!K:K,MATCH('Lorri 401b'!N2454,'Retirement Calculator'!A:A,0),0),0)</f>
        <v>0</v>
      </c>
      <c r="K2454" s="444">
        <f t="shared" ca="1" si="128"/>
        <v>-88217235.978618711</v>
      </c>
      <c r="L2454" s="444">
        <f t="shared" ca="1" si="129"/>
        <v>-21260353870.847111</v>
      </c>
      <c r="M2454" s="460">
        <f t="shared" si="131"/>
        <v>0.05</v>
      </c>
      <c r="N2454" s="464">
        <f t="shared" si="132"/>
        <v>125736</v>
      </c>
    </row>
    <row r="2455" spans="7:14" ht="11.25" customHeight="1" x14ac:dyDescent="0.25">
      <c r="G2455" s="459"/>
      <c r="H2455" s="459">
        <v>2448</v>
      </c>
      <c r="I2455" s="444">
        <f t="shared" ca="1" si="130"/>
        <v>-21260353870.847111</v>
      </c>
      <c r="J2455" s="444">
        <f t="array" ref="J2455">IFERROR(INDEX('Retirement Calculator'!K:K,MATCH('Lorri 401b'!N2455,'Retirement Calculator'!A:A,0),0),0)</f>
        <v>0</v>
      </c>
      <c r="K2455" s="444">
        <f t="shared" ca="1" si="128"/>
        <v>-88584807.795196295</v>
      </c>
      <c r="L2455" s="444">
        <f t="shared" ca="1" si="129"/>
        <v>-21348938678.642307</v>
      </c>
      <c r="M2455" s="460">
        <f t="shared" si="131"/>
        <v>0.05</v>
      </c>
      <c r="N2455" s="464">
        <f t="shared" si="132"/>
        <v>125766</v>
      </c>
    </row>
    <row r="2456" spans="7:14" ht="11.25" customHeight="1" x14ac:dyDescent="0.25">
      <c r="G2456" s="459"/>
      <c r="H2456" s="459">
        <v>2449</v>
      </c>
      <c r="I2456" s="444">
        <f t="shared" ca="1" si="130"/>
        <v>-21348938678.642307</v>
      </c>
      <c r="J2456" s="444">
        <f t="array" ref="J2456">IFERROR(INDEX('Retirement Calculator'!K:K,MATCH('Lorri 401b'!N2456,'Retirement Calculator'!A:A,0),0),0)</f>
        <v>0</v>
      </c>
      <c r="K2456" s="444">
        <f t="shared" ca="1" si="128"/>
        <v>-88953911.16100961</v>
      </c>
      <c r="L2456" s="444">
        <f t="shared" ca="1" si="129"/>
        <v>-21437892589.803318</v>
      </c>
      <c r="M2456" s="460">
        <f t="shared" si="131"/>
        <v>0.05</v>
      </c>
      <c r="N2456" s="464">
        <f t="shared" si="132"/>
        <v>125797</v>
      </c>
    </row>
    <row r="2457" spans="7:14" ht="11.25" customHeight="1" x14ac:dyDescent="0.25">
      <c r="G2457" s="459"/>
      <c r="H2457" s="459">
        <v>2450</v>
      </c>
      <c r="I2457" s="444">
        <f t="shared" ca="1" si="130"/>
        <v>-21437892589.803318</v>
      </c>
      <c r="J2457" s="444">
        <f t="array" ref="J2457">IFERROR(INDEX('Retirement Calculator'!K:K,MATCH('Lorri 401b'!N2457,'Retirement Calculator'!A:A,0),0),0)</f>
        <v>0</v>
      </c>
      <c r="K2457" s="444">
        <f t="shared" ca="1" si="128"/>
        <v>-89324552.457513824</v>
      </c>
      <c r="L2457" s="444">
        <f t="shared" ca="1" si="129"/>
        <v>-21527217142.260834</v>
      </c>
      <c r="M2457" s="460">
        <f t="shared" si="131"/>
        <v>0.05</v>
      </c>
      <c r="N2457" s="464">
        <f t="shared" si="132"/>
        <v>125827</v>
      </c>
    </row>
    <row r="2458" spans="7:14" ht="11.25" customHeight="1" x14ac:dyDescent="0.25">
      <c r="G2458" s="459"/>
      <c r="H2458" s="459">
        <v>2451</v>
      </c>
      <c r="I2458" s="444">
        <f t="shared" ca="1" si="130"/>
        <v>-21527217142.260834</v>
      </c>
      <c r="J2458" s="444">
        <f t="array" ref="J2458">IFERROR(INDEX('Retirement Calculator'!K:K,MATCH('Lorri 401b'!N2458,'Retirement Calculator'!A:A,0),0),0)</f>
        <v>0</v>
      </c>
      <c r="K2458" s="444">
        <f t="shared" ca="1" si="128"/>
        <v>-89696738.09275347</v>
      </c>
      <c r="L2458" s="444">
        <f t="shared" ca="1" si="129"/>
        <v>-21616913880.353588</v>
      </c>
      <c r="M2458" s="460">
        <f t="shared" si="131"/>
        <v>0.05</v>
      </c>
      <c r="N2458" s="464">
        <f t="shared" si="132"/>
        <v>125858</v>
      </c>
    </row>
    <row r="2459" spans="7:14" ht="11.25" customHeight="1" x14ac:dyDescent="0.25">
      <c r="G2459" s="459"/>
      <c r="H2459" s="459">
        <v>2452</v>
      </c>
      <c r="I2459" s="444">
        <f t="shared" ca="1" si="130"/>
        <v>-21616913880.353588</v>
      </c>
      <c r="J2459" s="444">
        <f t="array" ref="J2459">IFERROR(INDEX('Retirement Calculator'!K:K,MATCH('Lorri 401b'!N2459,'Retirement Calculator'!A:A,0),0),0)</f>
        <v>0</v>
      </c>
      <c r="K2459" s="444">
        <f t="shared" ca="1" si="128"/>
        <v>-90070474.501473278</v>
      </c>
      <c r="L2459" s="444">
        <f t="shared" ca="1" si="129"/>
        <v>-21706984354.855061</v>
      </c>
      <c r="M2459" s="460">
        <f t="shared" si="131"/>
        <v>0.05</v>
      </c>
      <c r="N2459" s="464">
        <f t="shared" si="132"/>
        <v>125889</v>
      </c>
    </row>
    <row r="2460" spans="7:14" ht="11.25" customHeight="1" x14ac:dyDescent="0.25">
      <c r="G2460" s="459"/>
      <c r="H2460" s="459">
        <v>2453</v>
      </c>
      <c r="I2460" s="444">
        <f t="shared" ca="1" si="130"/>
        <v>-21706984354.855061</v>
      </c>
      <c r="J2460" s="444">
        <f t="array" ref="J2460">IFERROR(INDEX('Retirement Calculator'!K:K,MATCH('Lorri 401b'!N2460,'Retirement Calculator'!A:A,0),0),0)</f>
        <v>0</v>
      </c>
      <c r="K2460" s="444">
        <f t="shared" ca="1" si="128"/>
        <v>-90445768.145229414</v>
      </c>
      <c r="L2460" s="444">
        <f t="shared" ca="1" si="129"/>
        <v>-21797430123.00029</v>
      </c>
      <c r="M2460" s="460">
        <f t="shared" si="131"/>
        <v>0.05</v>
      </c>
      <c r="N2460" s="464">
        <f t="shared" si="132"/>
        <v>125919</v>
      </c>
    </row>
    <row r="2461" spans="7:14" ht="11.25" customHeight="1" x14ac:dyDescent="0.25">
      <c r="G2461" s="459"/>
      <c r="H2461" s="459">
        <v>2454</v>
      </c>
      <c r="I2461" s="444">
        <f t="shared" ca="1" si="130"/>
        <v>-21797430123.00029</v>
      </c>
      <c r="J2461" s="444">
        <f t="array" ref="J2461">IFERROR(INDEX('Retirement Calculator'!K:K,MATCH('Lorri 401b'!N2461,'Retirement Calculator'!A:A,0),0),0)</f>
        <v>0</v>
      </c>
      <c r="K2461" s="444">
        <f t="shared" ca="1" si="128"/>
        <v>-90822625.51250121</v>
      </c>
      <c r="L2461" s="444">
        <f t="shared" ca="1" si="129"/>
        <v>-21888252748.512791</v>
      </c>
      <c r="M2461" s="460">
        <f t="shared" si="131"/>
        <v>0.05</v>
      </c>
      <c r="N2461" s="464">
        <f t="shared" si="132"/>
        <v>125950</v>
      </c>
    </row>
    <row r="2462" spans="7:14" ht="11.25" customHeight="1" x14ac:dyDescent="0.25">
      <c r="G2462" s="459"/>
      <c r="H2462" s="459">
        <v>2455</v>
      </c>
      <c r="I2462" s="444">
        <f t="shared" ca="1" si="130"/>
        <v>-21888252748.512791</v>
      </c>
      <c r="J2462" s="444">
        <f t="array" ref="J2462">IFERROR(INDEX('Retirement Calculator'!K:K,MATCH('Lorri 401b'!N2462,'Retirement Calculator'!A:A,0),0),0)</f>
        <v>0</v>
      </c>
      <c r="K2462" s="444">
        <f t="shared" ca="1" si="128"/>
        <v>-91201053.118803293</v>
      </c>
      <c r="L2462" s="444">
        <f t="shared" ca="1" si="129"/>
        <v>-21979453801.631596</v>
      </c>
      <c r="M2462" s="460">
        <f t="shared" si="131"/>
        <v>0.05</v>
      </c>
      <c r="N2462" s="464">
        <f t="shared" si="132"/>
        <v>125980</v>
      </c>
    </row>
    <row r="2463" spans="7:14" ht="11.25" customHeight="1" x14ac:dyDescent="0.25">
      <c r="G2463" s="459"/>
      <c r="H2463" s="459">
        <v>2456</v>
      </c>
      <c r="I2463" s="444">
        <f t="shared" ca="1" si="130"/>
        <v>-21979453801.631596</v>
      </c>
      <c r="J2463" s="444">
        <f t="array" ref="J2463">IFERROR(INDEX('Retirement Calculator'!K:K,MATCH('Lorri 401b'!N2463,'Retirement Calculator'!A:A,0),0),0)</f>
        <v>0</v>
      </c>
      <c r="K2463" s="444">
        <f t="shared" ca="1" si="128"/>
        <v>-91581057.506798312</v>
      </c>
      <c r="L2463" s="444">
        <f t="shared" ca="1" si="129"/>
        <v>-22071034859.138393</v>
      </c>
      <c r="M2463" s="460">
        <f t="shared" si="131"/>
        <v>0.05</v>
      </c>
      <c r="N2463" s="464">
        <f t="shared" si="132"/>
        <v>126011</v>
      </c>
    </row>
    <row r="2464" spans="7:14" ht="11.25" customHeight="1" x14ac:dyDescent="0.25">
      <c r="G2464" s="459"/>
      <c r="H2464" s="459">
        <v>2457</v>
      </c>
      <c r="I2464" s="444">
        <f t="shared" ca="1" si="130"/>
        <v>-22071034859.138393</v>
      </c>
      <c r="J2464" s="444">
        <f t="array" ref="J2464">IFERROR(INDEX('Retirement Calculator'!K:K,MATCH('Lorri 401b'!N2464,'Retirement Calculator'!A:A,0),0),0)</f>
        <v>0</v>
      </c>
      <c r="K2464" s="444">
        <f t="shared" ca="1" si="128"/>
        <v>-91962645.246409968</v>
      </c>
      <c r="L2464" s="444">
        <f t="shared" ca="1" si="129"/>
        <v>-22162997504.384804</v>
      </c>
      <c r="M2464" s="460">
        <f t="shared" si="131"/>
        <v>0.05</v>
      </c>
      <c r="N2464" s="464">
        <f t="shared" si="132"/>
        <v>126042</v>
      </c>
    </row>
    <row r="2465" spans="7:14" ht="11.25" customHeight="1" x14ac:dyDescent="0.25">
      <c r="G2465" s="459"/>
      <c r="H2465" s="459">
        <v>2458</v>
      </c>
      <c r="I2465" s="444">
        <f t="shared" ca="1" si="130"/>
        <v>-22162997504.384804</v>
      </c>
      <c r="J2465" s="444">
        <f t="array" ref="J2465">IFERROR(INDEX('Retirement Calculator'!K:K,MATCH('Lorri 401b'!N2465,'Retirement Calculator'!A:A,0),0),0)</f>
        <v>0</v>
      </c>
      <c r="K2465" s="444">
        <f t="shared" ca="1" si="128"/>
        <v>-92345822.934936687</v>
      </c>
      <c r="L2465" s="444">
        <f t="shared" ca="1" si="129"/>
        <v>-22255343327.31974</v>
      </c>
      <c r="M2465" s="460">
        <f t="shared" si="131"/>
        <v>0.05</v>
      </c>
      <c r="N2465" s="464">
        <f t="shared" si="132"/>
        <v>126070</v>
      </c>
    </row>
    <row r="2466" spans="7:14" ht="11.25" customHeight="1" x14ac:dyDescent="0.25">
      <c r="G2466" s="459"/>
      <c r="H2466" s="459">
        <v>2459</v>
      </c>
      <c r="I2466" s="444">
        <f t="shared" ca="1" si="130"/>
        <v>-22255343327.31974</v>
      </c>
      <c r="J2466" s="444">
        <f t="array" ref="J2466">IFERROR(INDEX('Retirement Calculator'!K:K,MATCH('Lorri 401b'!N2466,'Retirement Calculator'!A:A,0),0),0)</f>
        <v>0</v>
      </c>
      <c r="K2466" s="444">
        <f t="shared" ca="1" si="128"/>
        <v>-92730597.197165579</v>
      </c>
      <c r="L2466" s="444">
        <f t="shared" ca="1" si="129"/>
        <v>-22348073924.516907</v>
      </c>
      <c r="M2466" s="460">
        <f t="shared" si="131"/>
        <v>0.05</v>
      </c>
      <c r="N2466" s="464">
        <f t="shared" si="132"/>
        <v>126101</v>
      </c>
    </row>
    <row r="2467" spans="7:14" ht="11.25" customHeight="1" x14ac:dyDescent="0.25">
      <c r="G2467" s="459"/>
      <c r="H2467" s="459">
        <v>2460</v>
      </c>
      <c r="I2467" s="444">
        <f t="shared" ca="1" si="130"/>
        <v>-22348073924.516907</v>
      </c>
      <c r="J2467" s="444">
        <f t="array" ref="J2467">IFERROR(INDEX('Retirement Calculator'!K:K,MATCH('Lorri 401b'!N2467,'Retirement Calculator'!A:A,0),0),0)</f>
        <v>0</v>
      </c>
      <c r="K2467" s="444">
        <f t="shared" ca="1" si="128"/>
        <v>-93116974.685487106</v>
      </c>
      <c r="L2467" s="444">
        <f t="shared" ca="1" si="129"/>
        <v>-22441190899.202393</v>
      </c>
      <c r="M2467" s="460">
        <f t="shared" si="131"/>
        <v>0.05</v>
      </c>
      <c r="N2467" s="464">
        <f t="shared" si="132"/>
        <v>126131</v>
      </c>
    </row>
    <row r="2468" spans="7:14" ht="11.25" customHeight="1" x14ac:dyDescent="0.25">
      <c r="G2468" s="459"/>
      <c r="H2468" s="459">
        <v>2461</v>
      </c>
      <c r="I2468" s="444">
        <f t="shared" ca="1" si="130"/>
        <v>-22441190899.202393</v>
      </c>
      <c r="J2468" s="444">
        <f t="array" ref="J2468">IFERROR(INDEX('Retirement Calculator'!K:K,MATCH('Lorri 401b'!N2468,'Retirement Calculator'!A:A,0),0),0)</f>
        <v>0</v>
      </c>
      <c r="K2468" s="444">
        <f t="shared" ca="1" si="128"/>
        <v>-93504962.080009967</v>
      </c>
      <c r="L2468" s="444">
        <f t="shared" ca="1" si="129"/>
        <v>-22534695861.282402</v>
      </c>
      <c r="M2468" s="460">
        <f t="shared" si="131"/>
        <v>0.05</v>
      </c>
      <c r="N2468" s="464">
        <f t="shared" si="132"/>
        <v>126162</v>
      </c>
    </row>
    <row r="2469" spans="7:14" ht="11.25" customHeight="1" x14ac:dyDescent="0.25">
      <c r="G2469" s="459"/>
      <c r="H2469" s="459">
        <v>2462</v>
      </c>
      <c r="I2469" s="444">
        <f t="shared" ca="1" si="130"/>
        <v>-22534695861.282402</v>
      </c>
      <c r="J2469" s="444">
        <f t="array" ref="J2469">IFERROR(INDEX('Retirement Calculator'!K:K,MATCH('Lorri 401b'!N2469,'Retirement Calculator'!A:A,0),0),0)</f>
        <v>0</v>
      </c>
      <c r="K2469" s="444">
        <f t="shared" ca="1" si="128"/>
        <v>-93894566.088676676</v>
      </c>
      <c r="L2469" s="444">
        <f t="shared" ca="1" si="129"/>
        <v>-22628590427.371078</v>
      </c>
      <c r="M2469" s="460">
        <f t="shared" si="131"/>
        <v>0.05</v>
      </c>
      <c r="N2469" s="464">
        <f t="shared" si="132"/>
        <v>126192</v>
      </c>
    </row>
    <row r="2470" spans="7:14" ht="11.25" customHeight="1" x14ac:dyDescent="0.25">
      <c r="G2470" s="459"/>
      <c r="H2470" s="459">
        <v>2463</v>
      </c>
      <c r="I2470" s="444">
        <f t="shared" ca="1" si="130"/>
        <v>-22628590427.371078</v>
      </c>
      <c r="J2470" s="444">
        <f t="array" ref="J2470">IFERROR(INDEX('Retirement Calculator'!K:K,MATCH('Lorri 401b'!N2470,'Retirement Calculator'!A:A,0),0),0)</f>
        <v>0</v>
      </c>
      <c r="K2470" s="444">
        <f t="shared" ca="1" si="128"/>
        <v>-94285793.4473795</v>
      </c>
      <c r="L2470" s="444">
        <f t="shared" ca="1" si="129"/>
        <v>-22722876220.818459</v>
      </c>
      <c r="M2470" s="460">
        <f t="shared" si="131"/>
        <v>0.05</v>
      </c>
      <c r="N2470" s="464">
        <f t="shared" si="132"/>
        <v>126223</v>
      </c>
    </row>
    <row r="2471" spans="7:14" ht="11.25" customHeight="1" x14ac:dyDescent="0.25">
      <c r="G2471" s="459"/>
      <c r="H2471" s="459">
        <v>2464</v>
      </c>
      <c r="I2471" s="444">
        <f t="shared" ca="1" si="130"/>
        <v>-22722876220.818459</v>
      </c>
      <c r="J2471" s="444">
        <f t="array" ref="J2471">IFERROR(INDEX('Retirement Calculator'!K:K,MATCH('Lorri 401b'!N2471,'Retirement Calculator'!A:A,0),0),0)</f>
        <v>0</v>
      </c>
      <c r="K2471" s="444">
        <f t="shared" ca="1" si="128"/>
        <v>-94678650.920076907</v>
      </c>
      <c r="L2471" s="444">
        <f t="shared" ca="1" si="129"/>
        <v>-22817554871.738537</v>
      </c>
      <c r="M2471" s="460">
        <f t="shared" si="131"/>
        <v>0.05</v>
      </c>
      <c r="N2471" s="464">
        <f t="shared" si="132"/>
        <v>126254</v>
      </c>
    </row>
    <row r="2472" spans="7:14" ht="11.25" customHeight="1" x14ac:dyDescent="0.25">
      <c r="G2472" s="459"/>
      <c r="H2472" s="459">
        <v>2465</v>
      </c>
      <c r="I2472" s="444">
        <f t="shared" ca="1" si="130"/>
        <v>-22817554871.738537</v>
      </c>
      <c r="J2472" s="444">
        <f t="array" ref="J2472">IFERROR(INDEX('Retirement Calculator'!K:K,MATCH('Lorri 401b'!N2472,'Retirement Calculator'!A:A,0),0),0)</f>
        <v>0</v>
      </c>
      <c r="K2472" s="444">
        <f t="shared" ca="1" si="128"/>
        <v>-95073145.298910573</v>
      </c>
      <c r="L2472" s="444">
        <f t="shared" ca="1" si="129"/>
        <v>-22912628017.037449</v>
      </c>
      <c r="M2472" s="460">
        <f t="shared" si="131"/>
        <v>0.05</v>
      </c>
      <c r="N2472" s="464">
        <f t="shared" si="132"/>
        <v>126284</v>
      </c>
    </row>
    <row r="2473" spans="7:14" ht="11.25" customHeight="1" x14ac:dyDescent="0.25">
      <c r="G2473" s="459"/>
      <c r="H2473" s="459">
        <v>2466</v>
      </c>
      <c r="I2473" s="444">
        <f t="shared" ca="1" si="130"/>
        <v>-22912628017.037449</v>
      </c>
      <c r="J2473" s="444">
        <f t="array" ref="J2473">IFERROR(INDEX('Retirement Calculator'!K:K,MATCH('Lorri 401b'!N2473,'Retirement Calculator'!A:A,0),0),0)</f>
        <v>0</v>
      </c>
      <c r="K2473" s="444">
        <f t="shared" ca="1" si="128"/>
        <v>-95469283.404322699</v>
      </c>
      <c r="L2473" s="444">
        <f t="shared" ca="1" si="129"/>
        <v>-23008097300.441772</v>
      </c>
      <c r="M2473" s="460">
        <f t="shared" si="131"/>
        <v>0.05</v>
      </c>
      <c r="N2473" s="464">
        <f t="shared" si="132"/>
        <v>126315</v>
      </c>
    </row>
    <row r="2474" spans="7:14" ht="11.25" customHeight="1" x14ac:dyDescent="0.25">
      <c r="G2474" s="459"/>
      <c r="H2474" s="459">
        <v>2467</v>
      </c>
      <c r="I2474" s="444">
        <f t="shared" ca="1" si="130"/>
        <v>-23008097300.441772</v>
      </c>
      <c r="J2474" s="444">
        <f t="array" ref="J2474">IFERROR(INDEX('Retirement Calculator'!K:K,MATCH('Lorri 401b'!N2474,'Retirement Calculator'!A:A,0),0),0)</f>
        <v>0</v>
      </c>
      <c r="K2474" s="444">
        <f t="shared" ca="1" si="128"/>
        <v>-95867072.085174054</v>
      </c>
      <c r="L2474" s="444">
        <f t="shared" ca="1" si="129"/>
        <v>-23103964372.526947</v>
      </c>
      <c r="M2474" s="460">
        <f t="shared" si="131"/>
        <v>0.05</v>
      </c>
      <c r="N2474" s="464">
        <f t="shared" si="132"/>
        <v>126345</v>
      </c>
    </row>
    <row r="2475" spans="7:14" ht="11.25" customHeight="1" x14ac:dyDescent="0.25">
      <c r="G2475" s="459"/>
      <c r="H2475" s="459">
        <v>2468</v>
      </c>
      <c r="I2475" s="444">
        <f t="shared" ca="1" si="130"/>
        <v>-23103964372.526947</v>
      </c>
      <c r="J2475" s="444">
        <f t="array" ref="J2475">IFERROR(INDEX('Retirement Calculator'!K:K,MATCH('Lorri 401b'!N2475,'Retirement Calculator'!A:A,0),0),0)</f>
        <v>0</v>
      </c>
      <c r="K2475" s="444">
        <f t="shared" ca="1" si="128"/>
        <v>-96266518.21886228</v>
      </c>
      <c r="L2475" s="444">
        <f t="shared" ca="1" si="129"/>
        <v>-23200230890.745808</v>
      </c>
      <c r="M2475" s="460">
        <f t="shared" si="131"/>
        <v>0.05</v>
      </c>
      <c r="N2475" s="464">
        <f t="shared" si="132"/>
        <v>126376</v>
      </c>
    </row>
    <row r="2476" spans="7:14" ht="11.25" customHeight="1" x14ac:dyDescent="0.25">
      <c r="G2476" s="459"/>
      <c r="H2476" s="459">
        <v>2469</v>
      </c>
      <c r="I2476" s="444">
        <f t="shared" ca="1" si="130"/>
        <v>-23200230890.745808</v>
      </c>
      <c r="J2476" s="444">
        <f t="array" ref="J2476">IFERROR(INDEX('Retirement Calculator'!K:K,MATCH('Lorri 401b'!N2476,'Retirement Calculator'!A:A,0),0),0)</f>
        <v>0</v>
      </c>
      <c r="K2476" s="444">
        <f t="shared" ca="1" si="128"/>
        <v>-96667628.711440861</v>
      </c>
      <c r="L2476" s="444">
        <f t="shared" ca="1" si="129"/>
        <v>-23296898519.457249</v>
      </c>
      <c r="M2476" s="460">
        <f t="shared" si="131"/>
        <v>0.05</v>
      </c>
      <c r="N2476" s="464">
        <f t="shared" si="132"/>
        <v>126407</v>
      </c>
    </row>
    <row r="2477" spans="7:14" ht="11.25" customHeight="1" x14ac:dyDescent="0.25">
      <c r="G2477" s="459"/>
      <c r="H2477" s="459">
        <v>2470</v>
      </c>
      <c r="I2477" s="444">
        <f t="shared" ca="1" si="130"/>
        <v>-23296898519.457249</v>
      </c>
      <c r="J2477" s="444">
        <f t="array" ref="J2477">IFERROR(INDEX('Retirement Calculator'!K:K,MATCH('Lorri 401b'!N2477,'Retirement Calculator'!A:A,0),0),0)</f>
        <v>0</v>
      </c>
      <c r="K2477" s="444">
        <f t="shared" ca="1" si="128"/>
        <v>-97070410.49773854</v>
      </c>
      <c r="L2477" s="444">
        <f t="shared" ca="1" si="129"/>
        <v>-23393968929.954987</v>
      </c>
      <c r="M2477" s="460">
        <f t="shared" si="131"/>
        <v>0.05</v>
      </c>
      <c r="N2477" s="464">
        <f t="shared" si="132"/>
        <v>126435</v>
      </c>
    </row>
    <row r="2478" spans="7:14" ht="11.25" customHeight="1" x14ac:dyDescent="0.25">
      <c r="G2478" s="459"/>
      <c r="H2478" s="459">
        <v>2471</v>
      </c>
      <c r="I2478" s="444">
        <f t="shared" ca="1" si="130"/>
        <v>-23393968929.954987</v>
      </c>
      <c r="J2478" s="444">
        <f t="array" ref="J2478">IFERROR(INDEX('Retirement Calculator'!K:K,MATCH('Lorri 401b'!N2478,'Retirement Calculator'!A:A,0),0),0)</f>
        <v>0</v>
      </c>
      <c r="K2478" s="444">
        <f t="shared" ca="1" si="128"/>
        <v>-97474870.541479111</v>
      </c>
      <c r="L2478" s="444">
        <f t="shared" ca="1" si="129"/>
        <v>-23491443800.496468</v>
      </c>
      <c r="M2478" s="460">
        <f t="shared" si="131"/>
        <v>0.05</v>
      </c>
      <c r="N2478" s="464">
        <f t="shared" si="132"/>
        <v>126466</v>
      </c>
    </row>
    <row r="2479" spans="7:14" ht="11.25" customHeight="1" x14ac:dyDescent="0.25">
      <c r="G2479" s="459"/>
      <c r="H2479" s="459">
        <v>2472</v>
      </c>
      <c r="I2479" s="444">
        <f t="shared" ca="1" si="130"/>
        <v>-23491443800.496468</v>
      </c>
      <c r="J2479" s="444">
        <f t="array" ref="J2479">IFERROR(INDEX('Retirement Calculator'!K:K,MATCH('Lorri 401b'!N2479,'Retirement Calculator'!A:A,0),0),0)</f>
        <v>0</v>
      </c>
      <c r="K2479" s="444">
        <f t="shared" ca="1" si="128"/>
        <v>-97881015.835401952</v>
      </c>
      <c r="L2479" s="444">
        <f t="shared" ca="1" si="129"/>
        <v>-23589324816.331871</v>
      </c>
      <c r="M2479" s="460">
        <f t="shared" si="131"/>
        <v>0.05</v>
      </c>
      <c r="N2479" s="464">
        <f t="shared" si="132"/>
        <v>126496</v>
      </c>
    </row>
    <row r="2480" spans="7:14" ht="11.25" customHeight="1" x14ac:dyDescent="0.25">
      <c r="G2480" s="459"/>
      <c r="H2480" s="459">
        <v>2473</v>
      </c>
      <c r="I2480" s="444">
        <f t="shared" ca="1" si="130"/>
        <v>-23589324816.331871</v>
      </c>
      <c r="J2480" s="444">
        <f t="array" ref="J2480">IFERROR(INDEX('Retirement Calculator'!K:K,MATCH('Lorri 401b'!N2480,'Retirement Calculator'!A:A,0),0),0)</f>
        <v>0</v>
      </c>
      <c r="K2480" s="444">
        <f t="shared" ca="1" si="128"/>
        <v>-98288853.401382789</v>
      </c>
      <c r="L2480" s="444">
        <f t="shared" ca="1" si="129"/>
        <v>-23687613669.733253</v>
      </c>
      <c r="M2480" s="460">
        <f t="shared" si="131"/>
        <v>0.05</v>
      </c>
      <c r="N2480" s="464">
        <f t="shared" si="132"/>
        <v>126527</v>
      </c>
    </row>
    <row r="2481" spans="7:14" ht="11.25" customHeight="1" x14ac:dyDescent="0.25">
      <c r="G2481" s="459"/>
      <c r="H2481" s="459">
        <v>2474</v>
      </c>
      <c r="I2481" s="444">
        <f t="shared" ca="1" si="130"/>
        <v>-23687613669.733253</v>
      </c>
      <c r="J2481" s="444">
        <f t="array" ref="J2481">IFERROR(INDEX('Retirement Calculator'!K:K,MATCH('Lorri 401b'!N2481,'Retirement Calculator'!A:A,0),0),0)</f>
        <v>0</v>
      </c>
      <c r="K2481" s="444">
        <f t="shared" ca="1" si="128"/>
        <v>-98698390.290555224</v>
      </c>
      <c r="L2481" s="444">
        <f t="shared" ca="1" si="129"/>
        <v>-23786312060.023808</v>
      </c>
      <c r="M2481" s="460">
        <f t="shared" si="131"/>
        <v>0.05</v>
      </c>
      <c r="N2481" s="464">
        <f t="shared" si="132"/>
        <v>126557</v>
      </c>
    </row>
    <row r="2482" spans="7:14" ht="11.25" customHeight="1" x14ac:dyDescent="0.25">
      <c r="G2482" s="459"/>
      <c r="H2482" s="459">
        <v>2475</v>
      </c>
      <c r="I2482" s="444">
        <f t="shared" ca="1" si="130"/>
        <v>-23786312060.023808</v>
      </c>
      <c r="J2482" s="444">
        <f t="array" ref="J2482">IFERROR(INDEX('Retirement Calculator'!K:K,MATCH('Lorri 401b'!N2482,'Retirement Calculator'!A:A,0),0),0)</f>
        <v>0</v>
      </c>
      <c r="K2482" s="444">
        <f t="shared" ca="1" si="128"/>
        <v>-99109633.583432525</v>
      </c>
      <c r="L2482" s="444">
        <f t="shared" ca="1" si="129"/>
        <v>-23885421693.607239</v>
      </c>
      <c r="M2482" s="460">
        <f t="shared" si="131"/>
        <v>0.05</v>
      </c>
      <c r="N2482" s="464">
        <f t="shared" si="132"/>
        <v>126588</v>
      </c>
    </row>
    <row r="2483" spans="7:14" ht="11.25" customHeight="1" x14ac:dyDescent="0.25">
      <c r="G2483" s="459"/>
      <c r="H2483" s="459">
        <v>2476</v>
      </c>
      <c r="I2483" s="444">
        <f t="shared" ca="1" si="130"/>
        <v>-23885421693.607239</v>
      </c>
      <c r="J2483" s="444">
        <f t="array" ref="J2483">IFERROR(INDEX('Retirement Calculator'!K:K,MATCH('Lorri 401b'!N2483,'Retirement Calculator'!A:A,0),0),0)</f>
        <v>0</v>
      </c>
      <c r="K2483" s="444">
        <f t="shared" ca="1" si="128"/>
        <v>-99522590.390030161</v>
      </c>
      <c r="L2483" s="444">
        <f t="shared" ca="1" si="129"/>
        <v>-23984944283.997269</v>
      </c>
      <c r="M2483" s="460">
        <f t="shared" si="131"/>
        <v>0.05</v>
      </c>
      <c r="N2483" s="464">
        <f t="shared" si="132"/>
        <v>126619</v>
      </c>
    </row>
    <row r="2484" spans="7:14" ht="11.25" customHeight="1" x14ac:dyDescent="0.25">
      <c r="G2484" s="459"/>
      <c r="H2484" s="459">
        <v>2477</v>
      </c>
      <c r="I2484" s="444">
        <f t="shared" ca="1" si="130"/>
        <v>-23984944283.997269</v>
      </c>
      <c r="J2484" s="444">
        <f t="array" ref="J2484">IFERROR(INDEX('Retirement Calculator'!K:K,MATCH('Lorri 401b'!N2484,'Retirement Calculator'!A:A,0),0),0)</f>
        <v>0</v>
      </c>
      <c r="K2484" s="444">
        <f t="shared" ca="1" si="128"/>
        <v>-99937267.849988624</v>
      </c>
      <c r="L2484" s="444">
        <f t="shared" ca="1" si="129"/>
        <v>-24084881551.847256</v>
      </c>
      <c r="M2484" s="460">
        <f t="shared" si="131"/>
        <v>0.05</v>
      </c>
      <c r="N2484" s="464">
        <f t="shared" si="132"/>
        <v>126649</v>
      </c>
    </row>
    <row r="2485" spans="7:14" ht="11.25" customHeight="1" x14ac:dyDescent="0.25">
      <c r="G2485" s="459"/>
      <c r="H2485" s="459">
        <v>2478</v>
      </c>
      <c r="I2485" s="444">
        <f t="shared" ca="1" si="130"/>
        <v>-24084881551.847256</v>
      </c>
      <c r="J2485" s="444">
        <f t="array" ref="J2485">IFERROR(INDEX('Retirement Calculator'!K:K,MATCH('Lorri 401b'!N2485,'Retirement Calculator'!A:A,0),0),0)</f>
        <v>0</v>
      </c>
      <c r="K2485" s="444">
        <f t="shared" ca="1" si="128"/>
        <v>-100353673.1326969</v>
      </c>
      <c r="L2485" s="444">
        <f t="shared" ca="1" si="129"/>
        <v>-24185235224.979954</v>
      </c>
      <c r="M2485" s="460">
        <f t="shared" si="131"/>
        <v>0.05</v>
      </c>
      <c r="N2485" s="464">
        <f t="shared" si="132"/>
        <v>126680</v>
      </c>
    </row>
    <row r="2486" spans="7:14" ht="11.25" customHeight="1" x14ac:dyDescent="0.25">
      <c r="G2486" s="459"/>
      <c r="H2486" s="459">
        <v>2479</v>
      </c>
      <c r="I2486" s="444">
        <f t="shared" ca="1" si="130"/>
        <v>-24185235224.979954</v>
      </c>
      <c r="J2486" s="444">
        <f t="array" ref="J2486">IFERROR(INDEX('Retirement Calculator'!K:K,MATCH('Lorri 401b'!N2486,'Retirement Calculator'!A:A,0),0),0)</f>
        <v>0</v>
      </c>
      <c r="K2486" s="444">
        <f t="shared" ca="1" si="128"/>
        <v>-100771813.43741648</v>
      </c>
      <c r="L2486" s="444">
        <f t="shared" ca="1" si="129"/>
        <v>-24286007038.41737</v>
      </c>
      <c r="M2486" s="460">
        <f t="shared" si="131"/>
        <v>0.05</v>
      </c>
      <c r="N2486" s="464">
        <f t="shared" si="132"/>
        <v>126710</v>
      </c>
    </row>
    <row r="2487" spans="7:14" ht="11.25" customHeight="1" x14ac:dyDescent="0.25">
      <c r="G2487" s="459"/>
      <c r="H2487" s="459">
        <v>2480</v>
      </c>
      <c r="I2487" s="444">
        <f t="shared" ca="1" si="130"/>
        <v>-24286007038.41737</v>
      </c>
      <c r="J2487" s="444">
        <f t="array" ref="J2487">IFERROR(INDEX('Retirement Calculator'!K:K,MATCH('Lorri 401b'!N2487,'Retirement Calculator'!A:A,0),0),0)</f>
        <v>0</v>
      </c>
      <c r="K2487" s="444">
        <f t="shared" ca="1" si="128"/>
        <v>-101191695.9934057</v>
      </c>
      <c r="L2487" s="444">
        <f t="shared" ca="1" si="129"/>
        <v>-24387198734.410774</v>
      </c>
      <c r="M2487" s="460">
        <f t="shared" si="131"/>
        <v>0.05</v>
      </c>
      <c r="N2487" s="464">
        <f t="shared" si="132"/>
        <v>126741</v>
      </c>
    </row>
    <row r="2488" spans="7:14" ht="11.25" customHeight="1" x14ac:dyDescent="0.25">
      <c r="G2488" s="459"/>
      <c r="H2488" s="459">
        <v>2481</v>
      </c>
      <c r="I2488" s="444">
        <f t="shared" ca="1" si="130"/>
        <v>-24387198734.410774</v>
      </c>
      <c r="J2488" s="444">
        <f t="array" ref="J2488">IFERROR(INDEX('Retirement Calculator'!K:K,MATCH('Lorri 401b'!N2488,'Retirement Calculator'!A:A,0),0),0)</f>
        <v>0</v>
      </c>
      <c r="K2488" s="444">
        <f t="shared" ca="1" si="128"/>
        <v>-101613328.06004488</v>
      </c>
      <c r="L2488" s="444">
        <f t="shared" ca="1" si="129"/>
        <v>-24488812062.470818</v>
      </c>
      <c r="M2488" s="460">
        <f t="shared" si="131"/>
        <v>0.05</v>
      </c>
      <c r="N2488" s="464">
        <f t="shared" si="132"/>
        <v>126772</v>
      </c>
    </row>
    <row r="2489" spans="7:14" ht="11.25" customHeight="1" x14ac:dyDescent="0.25">
      <c r="G2489" s="459"/>
      <c r="H2489" s="459">
        <v>2482</v>
      </c>
      <c r="I2489" s="444">
        <f t="shared" ca="1" si="130"/>
        <v>-24488812062.470818</v>
      </c>
      <c r="J2489" s="444">
        <f t="array" ref="J2489">IFERROR(INDEX('Retirement Calculator'!K:K,MATCH('Lorri 401b'!N2489,'Retirement Calculator'!A:A,0),0),0)</f>
        <v>0</v>
      </c>
      <c r="K2489" s="444">
        <f t="shared" ca="1" si="128"/>
        <v>-102036716.92696173</v>
      </c>
      <c r="L2489" s="444">
        <f t="shared" ca="1" si="129"/>
        <v>-24590848779.397778</v>
      </c>
      <c r="M2489" s="460">
        <f t="shared" si="131"/>
        <v>0.05</v>
      </c>
      <c r="N2489" s="464">
        <f t="shared" si="132"/>
        <v>126800</v>
      </c>
    </row>
    <row r="2490" spans="7:14" ht="11.25" customHeight="1" x14ac:dyDescent="0.25">
      <c r="G2490" s="459"/>
      <c r="H2490" s="459">
        <v>2483</v>
      </c>
      <c r="I2490" s="444">
        <f t="shared" ca="1" si="130"/>
        <v>-24590848779.397778</v>
      </c>
      <c r="J2490" s="444">
        <f t="array" ref="J2490">IFERROR(INDEX('Retirement Calculator'!K:K,MATCH('Lorri 401b'!N2490,'Retirement Calculator'!A:A,0),0),0)</f>
        <v>0</v>
      </c>
      <c r="K2490" s="444">
        <f t="shared" ca="1" si="128"/>
        <v>-102461869.91415741</v>
      </c>
      <c r="L2490" s="444">
        <f t="shared" ca="1" si="129"/>
        <v>-24693310649.311935</v>
      </c>
      <c r="M2490" s="460">
        <f t="shared" si="131"/>
        <v>0.05</v>
      </c>
      <c r="N2490" s="464">
        <f t="shared" si="132"/>
        <v>126831</v>
      </c>
    </row>
    <row r="2491" spans="7:14" ht="11.25" customHeight="1" x14ac:dyDescent="0.25">
      <c r="G2491" s="459"/>
      <c r="H2491" s="459">
        <v>2484</v>
      </c>
      <c r="I2491" s="444">
        <f t="shared" ca="1" si="130"/>
        <v>-24693310649.311935</v>
      </c>
      <c r="J2491" s="444">
        <f t="array" ref="J2491">IFERROR(INDEX('Retirement Calculator'!K:K,MATCH('Lorri 401b'!N2491,'Retirement Calculator'!A:A,0),0),0)</f>
        <v>0</v>
      </c>
      <c r="K2491" s="444">
        <f t="shared" ca="1" si="128"/>
        <v>-102888794.37213306</v>
      </c>
      <c r="L2491" s="444">
        <f t="shared" ca="1" si="129"/>
        <v>-24796199443.684067</v>
      </c>
      <c r="M2491" s="460">
        <f t="shared" si="131"/>
        <v>0.05</v>
      </c>
      <c r="N2491" s="464">
        <f t="shared" si="132"/>
        <v>126861</v>
      </c>
    </row>
    <row r="2492" spans="7:14" ht="11.25" customHeight="1" x14ac:dyDescent="0.25">
      <c r="G2492" s="459"/>
      <c r="H2492" s="459">
        <v>2485</v>
      </c>
      <c r="I2492" s="444">
        <f t="shared" ca="1" si="130"/>
        <v>-24796199443.684067</v>
      </c>
      <c r="J2492" s="444">
        <f t="array" ref="J2492">IFERROR(INDEX('Retirement Calculator'!K:K,MATCH('Lorri 401b'!N2492,'Retirement Calculator'!A:A,0),0),0)</f>
        <v>0</v>
      </c>
      <c r="K2492" s="444">
        <f t="shared" ca="1" si="128"/>
        <v>-103317497.68201694</v>
      </c>
      <c r="L2492" s="444">
        <f t="shared" ca="1" si="129"/>
        <v>-24899516941.366085</v>
      </c>
      <c r="M2492" s="460">
        <f t="shared" si="131"/>
        <v>0.05</v>
      </c>
      <c r="N2492" s="464">
        <f t="shared" si="132"/>
        <v>126892</v>
      </c>
    </row>
    <row r="2493" spans="7:14" ht="11.25" customHeight="1" x14ac:dyDescent="0.25">
      <c r="G2493" s="459"/>
      <c r="H2493" s="459">
        <v>2486</v>
      </c>
      <c r="I2493" s="444">
        <f t="shared" ca="1" si="130"/>
        <v>-24899516941.366085</v>
      </c>
      <c r="J2493" s="444">
        <f t="array" ref="J2493">IFERROR(INDEX('Retirement Calculator'!K:K,MATCH('Lorri 401b'!N2493,'Retirement Calculator'!A:A,0),0),0)</f>
        <v>0</v>
      </c>
      <c r="K2493" s="444">
        <f t="shared" ca="1" si="128"/>
        <v>-103747987.25569202</v>
      </c>
      <c r="L2493" s="444">
        <f t="shared" ca="1" si="129"/>
        <v>-25003264928.621777</v>
      </c>
      <c r="M2493" s="460">
        <f t="shared" si="131"/>
        <v>0.05</v>
      </c>
      <c r="N2493" s="464">
        <f t="shared" si="132"/>
        <v>126922</v>
      </c>
    </row>
    <row r="2494" spans="7:14" ht="11.25" customHeight="1" x14ac:dyDescent="0.25">
      <c r="G2494" s="459"/>
      <c r="H2494" s="459">
        <v>2487</v>
      </c>
      <c r="I2494" s="444">
        <f t="shared" ca="1" si="130"/>
        <v>-25003264928.621777</v>
      </c>
      <c r="J2494" s="444">
        <f t="array" ref="J2494">IFERROR(INDEX('Retirement Calculator'!K:K,MATCH('Lorri 401b'!N2494,'Retirement Calculator'!A:A,0),0),0)</f>
        <v>0</v>
      </c>
      <c r="K2494" s="444">
        <f t="shared" ca="1" si="128"/>
        <v>-104180270.53592406</v>
      </c>
      <c r="L2494" s="444">
        <f t="shared" ca="1" si="129"/>
        <v>-25107445199.1577</v>
      </c>
      <c r="M2494" s="460">
        <f t="shared" si="131"/>
        <v>0.05</v>
      </c>
      <c r="N2494" s="464">
        <f t="shared" si="132"/>
        <v>126953</v>
      </c>
    </row>
    <row r="2495" spans="7:14" ht="11.25" customHeight="1" x14ac:dyDescent="0.25">
      <c r="G2495" s="459"/>
      <c r="H2495" s="459">
        <v>2488</v>
      </c>
      <c r="I2495" s="444">
        <f t="shared" ca="1" si="130"/>
        <v>-25107445199.1577</v>
      </c>
      <c r="J2495" s="444">
        <f t="array" ref="J2495">IFERROR(INDEX('Retirement Calculator'!K:K,MATCH('Lorri 401b'!N2495,'Retirement Calculator'!A:A,0),0),0)</f>
        <v>0</v>
      </c>
      <c r="K2495" s="444">
        <f t="shared" ca="1" si="128"/>
        <v>-104614354.99649042</v>
      </c>
      <c r="L2495" s="444">
        <f t="shared" ca="1" si="129"/>
        <v>-25212059554.15419</v>
      </c>
      <c r="M2495" s="460">
        <f t="shared" si="131"/>
        <v>0.05</v>
      </c>
      <c r="N2495" s="464">
        <f t="shared" si="132"/>
        <v>126984</v>
      </c>
    </row>
    <row r="2496" spans="7:14" ht="11.25" customHeight="1" x14ac:dyDescent="0.25">
      <c r="G2496" s="459"/>
      <c r="H2496" s="459">
        <v>2489</v>
      </c>
      <c r="I2496" s="444">
        <f t="shared" ca="1" si="130"/>
        <v>-25212059554.15419</v>
      </c>
      <c r="J2496" s="444">
        <f t="array" ref="J2496">IFERROR(INDEX('Retirement Calculator'!K:K,MATCH('Lorri 401b'!N2496,'Retirement Calculator'!A:A,0),0),0)</f>
        <v>0</v>
      </c>
      <c r="K2496" s="444">
        <f t="shared" ca="1" si="128"/>
        <v>-105050248.14230913</v>
      </c>
      <c r="L2496" s="444">
        <f t="shared" ca="1" si="129"/>
        <v>-25317109802.296497</v>
      </c>
      <c r="M2496" s="460">
        <f t="shared" si="131"/>
        <v>0.05</v>
      </c>
      <c r="N2496" s="464">
        <f t="shared" si="132"/>
        <v>127014</v>
      </c>
    </row>
    <row r="2497" spans="7:14" ht="11.25" customHeight="1" x14ac:dyDescent="0.25">
      <c r="G2497" s="459"/>
      <c r="H2497" s="459">
        <v>2490</v>
      </c>
      <c r="I2497" s="444">
        <f t="shared" ca="1" si="130"/>
        <v>-25317109802.296497</v>
      </c>
      <c r="J2497" s="444">
        <f t="array" ref="J2497">IFERROR(INDEX('Retirement Calculator'!K:K,MATCH('Lorri 401b'!N2497,'Retirement Calculator'!A:A,0),0),0)</f>
        <v>0</v>
      </c>
      <c r="K2497" s="444">
        <f t="shared" ca="1" si="128"/>
        <v>-105487957.50956874</v>
      </c>
      <c r="L2497" s="444">
        <f t="shared" ca="1" si="129"/>
        <v>-25422597759.806065</v>
      </c>
      <c r="M2497" s="460">
        <f t="shared" si="131"/>
        <v>0.05</v>
      </c>
      <c r="N2497" s="464">
        <f t="shared" si="132"/>
        <v>127045</v>
      </c>
    </row>
    <row r="2498" spans="7:14" ht="11.25" customHeight="1" x14ac:dyDescent="0.25">
      <c r="G2498" s="459"/>
      <c r="H2498" s="459">
        <v>2491</v>
      </c>
      <c r="I2498" s="444">
        <f t="shared" ca="1" si="130"/>
        <v>-25422597759.806065</v>
      </c>
      <c r="J2498" s="444">
        <f t="array" ref="J2498">IFERROR(INDEX('Retirement Calculator'!K:K,MATCH('Lorri 401b'!N2498,'Retirement Calculator'!A:A,0),0),0)</f>
        <v>0</v>
      </c>
      <c r="K2498" s="444">
        <f t="shared" ca="1" si="128"/>
        <v>-105927490.6658586</v>
      </c>
      <c r="L2498" s="444">
        <f t="shared" ca="1" si="129"/>
        <v>-25528525250.471924</v>
      </c>
      <c r="M2498" s="460">
        <f t="shared" si="131"/>
        <v>0.05</v>
      </c>
      <c r="N2498" s="464">
        <f t="shared" si="132"/>
        <v>127075</v>
      </c>
    </row>
    <row r="2499" spans="7:14" ht="11.25" customHeight="1" x14ac:dyDescent="0.25">
      <c r="G2499" s="459"/>
      <c r="H2499" s="459">
        <v>2492</v>
      </c>
      <c r="I2499" s="444">
        <f t="shared" ca="1" si="130"/>
        <v>-25528525250.471924</v>
      </c>
      <c r="J2499" s="444">
        <f t="array" ref="J2499">IFERROR(INDEX('Retirement Calculator'!K:K,MATCH('Lorri 401b'!N2499,'Retirement Calculator'!A:A,0),0),0)</f>
        <v>0</v>
      </c>
      <c r="K2499" s="444">
        <f t="shared" ca="1" si="128"/>
        <v>-106368855.21029969</v>
      </c>
      <c r="L2499" s="444">
        <f t="shared" ca="1" si="129"/>
        <v>-25634894105.682224</v>
      </c>
      <c r="M2499" s="460">
        <f t="shared" si="131"/>
        <v>0.05</v>
      </c>
      <c r="N2499" s="464">
        <f t="shared" si="132"/>
        <v>127106</v>
      </c>
    </row>
    <row r="2500" spans="7:14" ht="11.25" customHeight="1" x14ac:dyDescent="0.25">
      <c r="G2500" s="459"/>
      <c r="H2500" s="459">
        <v>2493</v>
      </c>
      <c r="I2500" s="444">
        <f t="shared" ca="1" si="130"/>
        <v>-25634894105.682224</v>
      </c>
      <c r="J2500" s="444">
        <f t="array" ref="J2500">IFERROR(INDEX('Retirement Calculator'!K:K,MATCH('Lorri 401b'!N2500,'Retirement Calculator'!A:A,0),0),0)</f>
        <v>0</v>
      </c>
      <c r="K2500" s="444">
        <f t="shared" ca="1" si="128"/>
        <v>-106812058.77367593</v>
      </c>
      <c r="L2500" s="444">
        <f t="shared" ca="1" si="129"/>
        <v>-25741706164.455902</v>
      </c>
      <c r="M2500" s="460">
        <f t="shared" si="131"/>
        <v>0.05</v>
      </c>
      <c r="N2500" s="464">
        <f t="shared" si="132"/>
        <v>127137</v>
      </c>
    </row>
    <row r="2501" spans="7:14" ht="11.25" customHeight="1" x14ac:dyDescent="0.25">
      <c r="G2501" s="459"/>
      <c r="H2501" s="459">
        <v>2494</v>
      </c>
      <c r="I2501" s="444">
        <f t="shared" ca="1" si="130"/>
        <v>-25741706164.455902</v>
      </c>
      <c r="J2501" s="444">
        <f t="array" ref="J2501">IFERROR(INDEX('Retirement Calculator'!K:K,MATCH('Lorri 401b'!N2501,'Retirement Calculator'!A:A,0),0),0)</f>
        <v>0</v>
      </c>
      <c r="K2501" s="444">
        <f t="shared" ca="1" si="128"/>
        <v>-107257109.01856625</v>
      </c>
      <c r="L2501" s="444">
        <f t="shared" ca="1" si="129"/>
        <v>-25848963273.474468</v>
      </c>
      <c r="M2501" s="460">
        <f t="shared" si="131"/>
        <v>0.05</v>
      </c>
      <c r="N2501" s="464">
        <f t="shared" si="132"/>
        <v>127166</v>
      </c>
    </row>
    <row r="2502" spans="7:14" ht="11.25" customHeight="1" x14ac:dyDescent="0.25">
      <c r="G2502" s="459"/>
      <c r="H2502" s="459">
        <v>2495</v>
      </c>
      <c r="I2502" s="444">
        <f t="shared" ca="1" si="130"/>
        <v>-25848963273.474468</v>
      </c>
      <c r="J2502" s="444">
        <f t="array" ref="J2502">IFERROR(INDEX('Retirement Calculator'!K:K,MATCH('Lorri 401b'!N2502,'Retirement Calculator'!A:A,0),0),0)</f>
        <v>0</v>
      </c>
      <c r="K2502" s="444">
        <f t="shared" ca="1" si="128"/>
        <v>-107704013.63947695</v>
      </c>
      <c r="L2502" s="444">
        <f t="shared" ca="1" si="129"/>
        <v>-25956667287.113945</v>
      </c>
      <c r="M2502" s="460">
        <f t="shared" si="131"/>
        <v>0.05</v>
      </c>
      <c r="N2502" s="464">
        <f t="shared" si="132"/>
        <v>127197</v>
      </c>
    </row>
    <row r="2503" spans="7:14" ht="11.25" customHeight="1" x14ac:dyDescent="0.25">
      <c r="G2503" s="459"/>
      <c r="H2503" s="459">
        <v>2496</v>
      </c>
      <c r="I2503" s="444">
        <f t="shared" ca="1" si="130"/>
        <v>-25956667287.113945</v>
      </c>
      <c r="J2503" s="444">
        <f t="array" ref="J2503">IFERROR(INDEX('Retirement Calculator'!K:K,MATCH('Lorri 401b'!N2503,'Retirement Calculator'!A:A,0),0),0)</f>
        <v>0</v>
      </c>
      <c r="K2503" s="444">
        <f t="shared" ca="1" si="128"/>
        <v>-108152780.36297476</v>
      </c>
      <c r="L2503" s="444">
        <f t="shared" ca="1" si="129"/>
        <v>-26064820067.476921</v>
      </c>
      <c r="M2503" s="460">
        <f t="shared" si="131"/>
        <v>0.05</v>
      </c>
      <c r="N2503" s="464">
        <f t="shared" si="132"/>
        <v>127227</v>
      </c>
    </row>
    <row r="2504" spans="7:14" ht="11.25" customHeight="1" x14ac:dyDescent="0.25">
      <c r="G2504" s="459"/>
      <c r="H2504" s="459">
        <v>2497</v>
      </c>
      <c r="I2504" s="444">
        <f t="shared" ca="1" si="130"/>
        <v>-26064820067.476921</v>
      </c>
      <c r="J2504" s="444">
        <f t="array" ref="J2504">IFERROR(INDEX('Retirement Calculator'!K:K,MATCH('Lorri 401b'!N2504,'Retirement Calculator'!A:A,0),0),0)</f>
        <v>0</v>
      </c>
      <c r="K2504" s="444">
        <f t="shared" ca="1" si="128"/>
        <v>-108603416.9478205</v>
      </c>
      <c r="L2504" s="444">
        <f t="shared" ca="1" si="129"/>
        <v>-26173423484.42474</v>
      </c>
      <c r="M2504" s="460">
        <f t="shared" si="131"/>
        <v>0.05</v>
      </c>
      <c r="N2504" s="464">
        <f t="shared" si="132"/>
        <v>127258</v>
      </c>
    </row>
    <row r="2505" spans="7:14" ht="11.25" customHeight="1" x14ac:dyDescent="0.25">
      <c r="G2505" s="459"/>
      <c r="H2505" s="459">
        <v>2498</v>
      </c>
      <c r="I2505" s="444">
        <f t="shared" ca="1" si="130"/>
        <v>-26173423484.42474</v>
      </c>
      <c r="J2505" s="444">
        <f t="array" ref="J2505">IFERROR(INDEX('Retirement Calculator'!K:K,MATCH('Lorri 401b'!N2505,'Retirement Calculator'!A:A,0),0),0)</f>
        <v>0</v>
      </c>
      <c r="K2505" s="444">
        <f t="shared" ca="1" si="128"/>
        <v>-109055931.18510307</v>
      </c>
      <c r="L2505" s="444">
        <f t="shared" ca="1" si="129"/>
        <v>-26282479415.609844</v>
      </c>
      <c r="M2505" s="460">
        <f t="shared" si="131"/>
        <v>0.05</v>
      </c>
      <c r="N2505" s="464">
        <f t="shared" si="132"/>
        <v>127288</v>
      </c>
    </row>
    <row r="2506" spans="7:14" ht="11.25" customHeight="1" x14ac:dyDescent="0.25">
      <c r="G2506" s="459"/>
      <c r="H2506" s="459">
        <v>2499</v>
      </c>
      <c r="I2506" s="444">
        <f t="shared" ca="1" si="130"/>
        <v>-26282479415.609844</v>
      </c>
      <c r="J2506" s="444">
        <f t="array" ref="J2506">IFERROR(INDEX('Retirement Calculator'!K:K,MATCH('Lorri 401b'!N2506,'Retirement Calculator'!A:A,0),0),0)</f>
        <v>0</v>
      </c>
      <c r="K2506" s="444">
        <f t="shared" ca="1" si="128"/>
        <v>-109510330.89837435</v>
      </c>
      <c r="L2506" s="444">
        <f t="shared" ca="1" si="129"/>
        <v>-26391989746.508217</v>
      </c>
      <c r="M2506" s="460">
        <f t="shared" si="131"/>
        <v>0.05</v>
      </c>
      <c r="N2506" s="464">
        <f t="shared" si="132"/>
        <v>127319</v>
      </c>
    </row>
    <row r="2507" spans="7:14" ht="11.25" customHeight="1" x14ac:dyDescent="0.25">
      <c r="G2507" s="459"/>
      <c r="H2507" s="459">
        <v>2500</v>
      </c>
      <c r="I2507" s="444">
        <f t="shared" ca="1" si="130"/>
        <v>-26391989746.508217</v>
      </c>
      <c r="J2507" s="444">
        <f t="array" ref="J2507">IFERROR(INDEX('Retirement Calculator'!K:K,MATCH('Lorri 401b'!N2507,'Retirement Calculator'!A:A,0),0),0)</f>
        <v>0</v>
      </c>
      <c r="K2507" s="444">
        <f t="shared" ca="1" si="128"/>
        <v>-109966623.94378424</v>
      </c>
      <c r="L2507" s="444">
        <f t="shared" ca="1" si="129"/>
        <v>-26501956370.452</v>
      </c>
      <c r="M2507" s="460">
        <f t="shared" si="131"/>
        <v>0.05</v>
      </c>
      <c r="N2507" s="464">
        <f t="shared" si="132"/>
        <v>127350</v>
      </c>
    </row>
    <row r="2508" spans="7:14" ht="11.25" customHeight="1" x14ac:dyDescent="0.25">
      <c r="G2508" s="459"/>
      <c r="H2508" s="459">
        <v>2501</v>
      </c>
      <c r="I2508" s="444">
        <f t="shared" ca="1" si="130"/>
        <v>-26501956370.452</v>
      </c>
      <c r="J2508" s="444">
        <f t="array" ref="J2508">IFERROR(INDEX('Retirement Calculator'!K:K,MATCH('Lorri 401b'!N2508,'Retirement Calculator'!A:A,0),0),0)</f>
        <v>0</v>
      </c>
      <c r="K2508" s="444">
        <f t="shared" ca="1" si="128"/>
        <v>-110424818.21021666</v>
      </c>
      <c r="L2508" s="444">
        <f t="shared" ca="1" si="129"/>
        <v>-26612381188.662216</v>
      </c>
      <c r="M2508" s="460">
        <f t="shared" si="131"/>
        <v>0.05</v>
      </c>
      <c r="N2508" s="464">
        <f t="shared" si="132"/>
        <v>127380</v>
      </c>
    </row>
    <row r="2509" spans="7:14" ht="11.25" customHeight="1" x14ac:dyDescent="0.25">
      <c r="G2509" s="459"/>
      <c r="H2509" s="459">
        <v>2502</v>
      </c>
      <c r="I2509" s="444">
        <f t="shared" ca="1" si="130"/>
        <v>-26612381188.662216</v>
      </c>
      <c r="J2509" s="444">
        <f t="array" ref="J2509">IFERROR(INDEX('Retirement Calculator'!K:K,MATCH('Lorri 401b'!N2509,'Retirement Calculator'!A:A,0),0),0)</f>
        <v>0</v>
      </c>
      <c r="K2509" s="444">
        <f t="shared" ca="1" si="128"/>
        <v>-110884921.61942589</v>
      </c>
      <c r="L2509" s="444">
        <f t="shared" ca="1" si="129"/>
        <v>-26723266110.281643</v>
      </c>
      <c r="M2509" s="460">
        <f t="shared" si="131"/>
        <v>0.05</v>
      </c>
      <c r="N2509" s="464">
        <f t="shared" si="132"/>
        <v>127411</v>
      </c>
    </row>
    <row r="2510" spans="7:14" ht="11.25" customHeight="1" x14ac:dyDescent="0.25">
      <c r="G2510" s="459"/>
      <c r="H2510" s="459">
        <v>2503</v>
      </c>
      <c r="I2510" s="444">
        <f t="shared" ca="1" si="130"/>
        <v>-26723266110.281643</v>
      </c>
      <c r="J2510" s="444">
        <f t="array" ref="J2510">IFERROR(INDEX('Retirement Calculator'!K:K,MATCH('Lorri 401b'!N2510,'Retirement Calculator'!A:A,0),0),0)</f>
        <v>0</v>
      </c>
      <c r="K2510" s="444">
        <f t="shared" ca="1" si="128"/>
        <v>-111346942.12617351</v>
      </c>
      <c r="L2510" s="444">
        <f t="shared" ca="1" si="129"/>
        <v>-26834613052.407818</v>
      </c>
      <c r="M2510" s="460">
        <f t="shared" si="131"/>
        <v>0.05</v>
      </c>
      <c r="N2510" s="464">
        <f t="shared" si="132"/>
        <v>127441</v>
      </c>
    </row>
    <row r="2511" spans="7:14" ht="11.25" customHeight="1" x14ac:dyDescent="0.25">
      <c r="G2511" s="459"/>
      <c r="H2511" s="459">
        <v>2504</v>
      </c>
      <c r="I2511" s="444">
        <f t="shared" ca="1" si="130"/>
        <v>-26834613052.407818</v>
      </c>
      <c r="J2511" s="444">
        <f t="array" ref="J2511">IFERROR(INDEX('Retirement Calculator'!K:K,MATCH('Lorri 401b'!N2511,'Retirement Calculator'!A:A,0),0),0)</f>
        <v>0</v>
      </c>
      <c r="K2511" s="444">
        <f t="shared" ca="1" si="128"/>
        <v>-111810887.71836591</v>
      </c>
      <c r="L2511" s="444">
        <f t="shared" ca="1" si="129"/>
        <v>-26946423940.126183</v>
      </c>
      <c r="M2511" s="460">
        <f t="shared" si="131"/>
        <v>0.05</v>
      </c>
      <c r="N2511" s="464">
        <f t="shared" si="132"/>
        <v>127472</v>
      </c>
    </row>
    <row r="2512" spans="7:14" ht="11.25" customHeight="1" x14ac:dyDescent="0.25">
      <c r="G2512" s="459"/>
      <c r="H2512" s="459">
        <v>2505</v>
      </c>
      <c r="I2512" s="444">
        <f t="shared" ca="1" si="130"/>
        <v>-26946423940.126183</v>
      </c>
      <c r="J2512" s="444">
        <f t="array" ref="J2512">IFERROR(INDEX('Retirement Calculator'!K:K,MATCH('Lorri 401b'!N2512,'Retirement Calculator'!A:A,0),0),0)</f>
        <v>0</v>
      </c>
      <c r="K2512" s="444">
        <f t="shared" ca="1" si="128"/>
        <v>-112276766.41719244</v>
      </c>
      <c r="L2512" s="444">
        <f t="shared" ca="1" si="129"/>
        <v>-27058700706.543373</v>
      </c>
      <c r="M2512" s="460">
        <f t="shared" si="131"/>
        <v>0.05</v>
      </c>
      <c r="N2512" s="464">
        <f t="shared" si="132"/>
        <v>127503</v>
      </c>
    </row>
    <row r="2513" spans="7:14" ht="11.25" customHeight="1" x14ac:dyDescent="0.25">
      <c r="G2513" s="459"/>
      <c r="H2513" s="459">
        <v>2506</v>
      </c>
      <c r="I2513" s="444">
        <f t="shared" ca="1" si="130"/>
        <v>-27058700706.543373</v>
      </c>
      <c r="J2513" s="444">
        <f t="array" ref="J2513">IFERROR(INDEX('Retirement Calculator'!K:K,MATCH('Lorri 401b'!N2513,'Retirement Calculator'!A:A,0),0),0)</f>
        <v>0</v>
      </c>
      <c r="K2513" s="444">
        <f t="shared" ca="1" si="128"/>
        <v>-112744586.27726407</v>
      </c>
      <c r="L2513" s="444">
        <f t="shared" ca="1" si="129"/>
        <v>-27171445292.820637</v>
      </c>
      <c r="M2513" s="460">
        <f t="shared" si="131"/>
        <v>0.05</v>
      </c>
      <c r="N2513" s="464">
        <f t="shared" si="132"/>
        <v>127531</v>
      </c>
    </row>
    <row r="2514" spans="7:14" ht="11.25" customHeight="1" x14ac:dyDescent="0.25">
      <c r="G2514" s="459"/>
      <c r="H2514" s="459">
        <v>2507</v>
      </c>
      <c r="I2514" s="444">
        <f t="shared" ca="1" si="130"/>
        <v>-27171445292.820637</v>
      </c>
      <c r="J2514" s="444">
        <f t="array" ref="J2514">IFERROR(INDEX('Retirement Calculator'!K:K,MATCH('Lorri 401b'!N2514,'Retirement Calculator'!A:A,0),0),0)</f>
        <v>0</v>
      </c>
      <c r="K2514" s="444">
        <f t="shared" ca="1" si="128"/>
        <v>-113214355.38675265</v>
      </c>
      <c r="L2514" s="444">
        <f t="shared" ca="1" si="129"/>
        <v>-27284659648.20739</v>
      </c>
      <c r="M2514" s="460">
        <f t="shared" si="131"/>
        <v>0.05</v>
      </c>
      <c r="N2514" s="464">
        <f t="shared" si="132"/>
        <v>127562</v>
      </c>
    </row>
    <row r="2515" spans="7:14" ht="11.25" customHeight="1" x14ac:dyDescent="0.25">
      <c r="G2515" s="459"/>
      <c r="H2515" s="459">
        <v>2508</v>
      </c>
      <c r="I2515" s="444">
        <f t="shared" ca="1" si="130"/>
        <v>-27284659648.20739</v>
      </c>
      <c r="J2515" s="444">
        <f t="array" ref="J2515">IFERROR(INDEX('Retirement Calculator'!K:K,MATCH('Lorri 401b'!N2515,'Retirement Calculator'!A:A,0),0),0)</f>
        <v>0</v>
      </c>
      <c r="K2515" s="444">
        <f t="shared" ca="1" si="128"/>
        <v>-113686081.86753078</v>
      </c>
      <c r="L2515" s="444">
        <f t="shared" ca="1" si="129"/>
        <v>-27398345730.074921</v>
      </c>
      <c r="M2515" s="460">
        <f t="shared" si="131"/>
        <v>0.05</v>
      </c>
      <c r="N2515" s="464">
        <f t="shared" si="132"/>
        <v>127592</v>
      </c>
    </row>
    <row r="2516" spans="7:14" ht="11.25" customHeight="1" x14ac:dyDescent="0.25">
      <c r="G2516" s="459"/>
      <c r="H2516" s="459">
        <v>2509</v>
      </c>
      <c r="I2516" s="444">
        <f t="shared" ca="1" si="130"/>
        <v>-27398345730.074921</v>
      </c>
      <c r="J2516" s="444">
        <f t="array" ref="J2516">IFERROR(INDEX('Retirement Calculator'!K:K,MATCH('Lorri 401b'!N2516,'Retirement Calculator'!A:A,0),0),0)</f>
        <v>0</v>
      </c>
      <c r="K2516" s="444">
        <f t="shared" ca="1" si="128"/>
        <v>-114159773.87531216</v>
      </c>
      <c r="L2516" s="444">
        <f t="shared" ca="1" si="129"/>
        <v>-27512505503.950233</v>
      </c>
      <c r="M2516" s="460">
        <f t="shared" si="131"/>
        <v>0.05</v>
      </c>
      <c r="N2516" s="464">
        <f t="shared" si="132"/>
        <v>127623</v>
      </c>
    </row>
    <row r="2517" spans="7:14" ht="11.25" customHeight="1" x14ac:dyDescent="0.25">
      <c r="G2517" s="459"/>
      <c r="H2517" s="459">
        <v>2510</v>
      </c>
      <c r="I2517" s="444">
        <f t="shared" ca="1" si="130"/>
        <v>-27512505503.950233</v>
      </c>
      <c r="J2517" s="444">
        <f t="array" ref="J2517">IFERROR(INDEX('Retirement Calculator'!K:K,MATCH('Lorri 401b'!N2517,'Retirement Calculator'!A:A,0),0),0)</f>
        <v>0</v>
      </c>
      <c r="K2517" s="444">
        <f t="shared" ca="1" si="128"/>
        <v>-114635439.59979266</v>
      </c>
      <c r="L2517" s="444">
        <f t="shared" ca="1" si="129"/>
        <v>-27627140943.550026</v>
      </c>
      <c r="M2517" s="460">
        <f t="shared" si="131"/>
        <v>0.05</v>
      </c>
      <c r="N2517" s="464">
        <f t="shared" si="132"/>
        <v>127653</v>
      </c>
    </row>
    <row r="2518" spans="7:14" ht="11.25" customHeight="1" x14ac:dyDescent="0.25">
      <c r="G2518" s="459"/>
      <c r="H2518" s="459">
        <v>2511</v>
      </c>
      <c r="I2518" s="444">
        <f t="shared" ca="1" si="130"/>
        <v>-27627140943.550026</v>
      </c>
      <c r="J2518" s="444">
        <f t="array" ref="J2518">IFERROR(INDEX('Retirement Calculator'!K:K,MATCH('Lorri 401b'!N2518,'Retirement Calculator'!A:A,0),0),0)</f>
        <v>0</v>
      </c>
      <c r="K2518" s="444">
        <f t="shared" ca="1" si="128"/>
        <v>-115113087.26479179</v>
      </c>
      <c r="L2518" s="444">
        <f t="shared" ca="1" si="129"/>
        <v>-27742254030.814819</v>
      </c>
      <c r="M2518" s="460">
        <f t="shared" si="131"/>
        <v>0.05</v>
      </c>
      <c r="N2518" s="464">
        <f t="shared" si="132"/>
        <v>127684</v>
      </c>
    </row>
    <row r="2519" spans="7:14" ht="11.25" customHeight="1" x14ac:dyDescent="0.25">
      <c r="G2519" s="459"/>
      <c r="H2519" s="459">
        <v>2512</v>
      </c>
      <c r="I2519" s="444">
        <f t="shared" ca="1" si="130"/>
        <v>-27742254030.814819</v>
      </c>
      <c r="J2519" s="444">
        <f t="array" ref="J2519">IFERROR(INDEX('Retirement Calculator'!K:K,MATCH('Lorri 401b'!N2519,'Retirement Calculator'!A:A,0),0),0)</f>
        <v>0</v>
      </c>
      <c r="K2519" s="444">
        <f t="shared" ca="1" si="128"/>
        <v>-115592725.12839508</v>
      </c>
      <c r="L2519" s="444">
        <f t="shared" ca="1" si="129"/>
        <v>-27857846755.943214</v>
      </c>
      <c r="M2519" s="460">
        <f t="shared" si="131"/>
        <v>0.05</v>
      </c>
      <c r="N2519" s="464">
        <f t="shared" si="132"/>
        <v>127715</v>
      </c>
    </row>
    <row r="2520" spans="7:14" ht="11.25" customHeight="1" x14ac:dyDescent="0.25">
      <c r="G2520" s="459"/>
      <c r="H2520" s="459">
        <v>2513</v>
      </c>
      <c r="I2520" s="444">
        <f t="shared" ca="1" si="130"/>
        <v>-27857846755.943214</v>
      </c>
      <c r="J2520" s="444">
        <f t="array" ref="J2520">IFERROR(INDEX('Retirement Calculator'!K:K,MATCH('Lorri 401b'!N2520,'Retirement Calculator'!A:A,0),0),0)</f>
        <v>0</v>
      </c>
      <c r="K2520" s="444">
        <f t="shared" ca="1" si="128"/>
        <v>-116074361.48309672</v>
      </c>
      <c r="L2520" s="444">
        <f t="shared" ca="1" si="129"/>
        <v>-27973921117.426311</v>
      </c>
      <c r="M2520" s="460">
        <f t="shared" si="131"/>
        <v>0.05</v>
      </c>
      <c r="N2520" s="464">
        <f t="shared" si="132"/>
        <v>127745</v>
      </c>
    </row>
    <row r="2521" spans="7:14" ht="11.25" customHeight="1" x14ac:dyDescent="0.25">
      <c r="G2521" s="459"/>
      <c r="H2521" s="459">
        <v>2514</v>
      </c>
      <c r="I2521" s="444">
        <f t="shared" ca="1" si="130"/>
        <v>-27973921117.426311</v>
      </c>
      <c r="J2521" s="444">
        <f t="array" ref="J2521">IFERROR(INDEX('Retirement Calculator'!K:K,MATCH('Lorri 401b'!N2521,'Retirement Calculator'!A:A,0),0),0)</f>
        <v>0</v>
      </c>
      <c r="K2521" s="444">
        <f t="shared" ca="1" si="128"/>
        <v>-116558004.65594296</v>
      </c>
      <c r="L2521" s="444">
        <f t="shared" ca="1" si="129"/>
        <v>-28090479122.082256</v>
      </c>
      <c r="M2521" s="460">
        <f t="shared" si="131"/>
        <v>0.05</v>
      </c>
      <c r="N2521" s="464">
        <f t="shared" si="132"/>
        <v>127776</v>
      </c>
    </row>
    <row r="2522" spans="7:14" ht="11.25" customHeight="1" x14ac:dyDescent="0.25">
      <c r="G2522" s="459"/>
      <c r="H2522" s="459">
        <v>2515</v>
      </c>
      <c r="I2522" s="444">
        <f t="shared" ca="1" si="130"/>
        <v>-28090479122.082256</v>
      </c>
      <c r="J2522" s="444">
        <f t="array" ref="J2522">IFERROR(INDEX('Retirement Calculator'!K:K,MATCH('Lorri 401b'!N2522,'Retirement Calculator'!A:A,0),0),0)</f>
        <v>0</v>
      </c>
      <c r="K2522" s="444">
        <f t="shared" ca="1" si="128"/>
        <v>-117043663.00867608</v>
      </c>
      <c r="L2522" s="444">
        <f t="shared" ca="1" si="129"/>
        <v>-28207522785.090931</v>
      </c>
      <c r="M2522" s="460">
        <f t="shared" si="131"/>
        <v>0.05</v>
      </c>
      <c r="N2522" s="464">
        <f t="shared" si="132"/>
        <v>127806</v>
      </c>
    </row>
    <row r="2523" spans="7:14" ht="11.25" customHeight="1" x14ac:dyDescent="0.25">
      <c r="G2523" s="459"/>
      <c r="H2523" s="459">
        <v>2516</v>
      </c>
      <c r="I2523" s="444">
        <f t="shared" ca="1" si="130"/>
        <v>-28207522785.090931</v>
      </c>
      <c r="J2523" s="444">
        <f t="array" ref="J2523">IFERROR(INDEX('Retirement Calculator'!K:K,MATCH('Lorri 401b'!N2523,'Retirement Calculator'!A:A,0),0),0)</f>
        <v>0</v>
      </c>
      <c r="K2523" s="444">
        <f t="shared" ca="1" si="128"/>
        <v>-117531344.93787889</v>
      </c>
      <c r="L2523" s="444">
        <f t="shared" ca="1" si="129"/>
        <v>-28325054130.028809</v>
      </c>
      <c r="M2523" s="460">
        <f t="shared" si="131"/>
        <v>0.05</v>
      </c>
      <c r="N2523" s="464">
        <f t="shared" si="132"/>
        <v>127837</v>
      </c>
    </row>
    <row r="2524" spans="7:14" ht="11.25" customHeight="1" x14ac:dyDescent="0.25">
      <c r="G2524" s="459"/>
      <c r="H2524" s="459">
        <v>2517</v>
      </c>
      <c r="I2524" s="444">
        <f t="shared" ca="1" si="130"/>
        <v>-28325054130.028809</v>
      </c>
      <c r="J2524" s="444">
        <f t="array" ref="J2524">IFERROR(INDEX('Retirement Calculator'!K:K,MATCH('Lorri 401b'!N2524,'Retirement Calculator'!A:A,0),0),0)</f>
        <v>0</v>
      </c>
      <c r="K2524" s="444">
        <f t="shared" ca="1" si="128"/>
        <v>-118021058.87512004</v>
      </c>
      <c r="L2524" s="444">
        <f t="shared" ca="1" si="129"/>
        <v>-28443075188.903927</v>
      </c>
      <c r="M2524" s="460">
        <f t="shared" si="131"/>
        <v>0.05</v>
      </c>
      <c r="N2524" s="464">
        <f t="shared" si="132"/>
        <v>127868</v>
      </c>
    </row>
    <row r="2525" spans="7:14" ht="11.25" customHeight="1" x14ac:dyDescent="0.25">
      <c r="G2525" s="459"/>
      <c r="H2525" s="459">
        <v>2518</v>
      </c>
      <c r="I2525" s="444">
        <f t="shared" ca="1" si="130"/>
        <v>-28443075188.903927</v>
      </c>
      <c r="J2525" s="444">
        <f t="array" ref="J2525">IFERROR(INDEX('Retirement Calculator'!K:K,MATCH('Lorri 401b'!N2525,'Retirement Calculator'!A:A,0),0),0)</f>
        <v>0</v>
      </c>
      <c r="K2525" s="444">
        <f t="shared" ca="1" si="128"/>
        <v>-118512813.2870997</v>
      </c>
      <c r="L2525" s="444">
        <f t="shared" ca="1" si="129"/>
        <v>-28561588002.191025</v>
      </c>
      <c r="M2525" s="460">
        <f t="shared" si="131"/>
        <v>0.05</v>
      </c>
      <c r="N2525" s="464">
        <f t="shared" si="132"/>
        <v>127896</v>
      </c>
    </row>
    <row r="2526" spans="7:14" ht="11.25" customHeight="1" x14ac:dyDescent="0.25">
      <c r="G2526" s="459"/>
      <c r="H2526" s="459">
        <v>2519</v>
      </c>
      <c r="I2526" s="444">
        <f t="shared" ca="1" si="130"/>
        <v>-28561588002.191025</v>
      </c>
      <c r="J2526" s="444">
        <f t="array" ref="J2526">IFERROR(INDEX('Retirement Calculator'!K:K,MATCH('Lorri 401b'!N2526,'Retirement Calculator'!A:A,0),0),0)</f>
        <v>0</v>
      </c>
      <c r="K2526" s="444">
        <f t="shared" ca="1" si="128"/>
        <v>-119006616.67579591</v>
      </c>
      <c r="L2526" s="444">
        <f t="shared" ca="1" si="129"/>
        <v>-28680594618.866821</v>
      </c>
      <c r="M2526" s="460">
        <f t="shared" si="131"/>
        <v>0.05</v>
      </c>
      <c r="N2526" s="464">
        <f t="shared" si="132"/>
        <v>127927</v>
      </c>
    </row>
    <row r="2527" spans="7:14" ht="11.25" customHeight="1" x14ac:dyDescent="0.25">
      <c r="G2527" s="459"/>
      <c r="H2527" s="459">
        <v>2520</v>
      </c>
      <c r="I2527" s="444">
        <f t="shared" ca="1" si="130"/>
        <v>-28680594618.866821</v>
      </c>
      <c r="J2527" s="444">
        <f t="array" ref="J2527">IFERROR(INDEX('Retirement Calculator'!K:K,MATCH('Lorri 401b'!N2527,'Retirement Calculator'!A:A,0),0),0)</f>
        <v>0</v>
      </c>
      <c r="K2527" s="444">
        <f t="shared" ca="1" si="128"/>
        <v>-119502477.57861175</v>
      </c>
      <c r="L2527" s="444">
        <f t="shared" ca="1" si="129"/>
        <v>-28800097096.445435</v>
      </c>
      <c r="M2527" s="460">
        <f t="shared" si="131"/>
        <v>0.05</v>
      </c>
      <c r="N2527" s="464">
        <f t="shared" si="132"/>
        <v>127957</v>
      </c>
    </row>
    <row r="2528" spans="7:14" ht="11.25" customHeight="1" x14ac:dyDescent="0.25">
      <c r="G2528" s="459"/>
      <c r="H2528" s="459">
        <v>2521</v>
      </c>
      <c r="I2528" s="444">
        <f t="shared" ca="1" si="130"/>
        <v>-28800097096.445435</v>
      </c>
      <c r="J2528" s="444">
        <f t="array" ref="J2528">IFERROR(INDEX('Retirement Calculator'!K:K,MATCH('Lorri 401b'!N2528,'Retirement Calculator'!A:A,0),0),0)</f>
        <v>0</v>
      </c>
      <c r="K2528" s="444">
        <f t="shared" ca="1" si="128"/>
        <v>-120000404.56852265</v>
      </c>
      <c r="L2528" s="444">
        <f t="shared" ca="1" si="129"/>
        <v>-28920097501.013958</v>
      </c>
      <c r="M2528" s="460">
        <f t="shared" si="131"/>
        <v>0.05</v>
      </c>
      <c r="N2528" s="464">
        <f t="shared" si="132"/>
        <v>127988</v>
      </c>
    </row>
    <row r="2529" spans="7:14" ht="11.25" customHeight="1" x14ac:dyDescent="0.25">
      <c r="G2529" s="459"/>
      <c r="H2529" s="459">
        <v>2522</v>
      </c>
      <c r="I2529" s="444">
        <f t="shared" ca="1" si="130"/>
        <v>-28920097501.013958</v>
      </c>
      <c r="J2529" s="444">
        <f t="array" ref="J2529">IFERROR(INDEX('Retirement Calculator'!K:K,MATCH('Lorri 401b'!N2529,'Retirement Calculator'!A:A,0),0),0)</f>
        <v>0</v>
      </c>
      <c r="K2529" s="444">
        <f t="shared" ca="1" si="128"/>
        <v>-120500406.25422482</v>
      </c>
      <c r="L2529" s="444">
        <f t="shared" ca="1" si="129"/>
        <v>-29040597907.268185</v>
      </c>
      <c r="M2529" s="460">
        <f t="shared" si="131"/>
        <v>0.05</v>
      </c>
      <c r="N2529" s="464">
        <f t="shared" si="132"/>
        <v>128018</v>
      </c>
    </row>
    <row r="2530" spans="7:14" ht="11.25" customHeight="1" x14ac:dyDescent="0.25">
      <c r="G2530" s="459"/>
      <c r="H2530" s="459">
        <v>2523</v>
      </c>
      <c r="I2530" s="444">
        <f t="shared" ca="1" si="130"/>
        <v>-29040597907.268185</v>
      </c>
      <c r="J2530" s="444">
        <f t="array" ref="J2530">IFERROR(INDEX('Retirement Calculator'!K:K,MATCH('Lorri 401b'!N2530,'Retirement Calculator'!A:A,0),0),0)</f>
        <v>0</v>
      </c>
      <c r="K2530" s="444">
        <f t="shared" ca="1" si="128"/>
        <v>-121002491.28028411</v>
      </c>
      <c r="L2530" s="444">
        <f t="shared" ca="1" si="129"/>
        <v>-29161600398.54847</v>
      </c>
      <c r="M2530" s="460">
        <f t="shared" si="131"/>
        <v>0.05</v>
      </c>
      <c r="N2530" s="464">
        <f t="shared" si="132"/>
        <v>128049</v>
      </c>
    </row>
    <row r="2531" spans="7:14" ht="11.25" customHeight="1" x14ac:dyDescent="0.25">
      <c r="G2531" s="459"/>
      <c r="H2531" s="459">
        <v>2524</v>
      </c>
      <c r="I2531" s="444">
        <f t="shared" ca="1" si="130"/>
        <v>-29161600398.54847</v>
      </c>
      <c r="J2531" s="444">
        <f t="array" ref="J2531">IFERROR(INDEX('Retirement Calculator'!K:K,MATCH('Lorri 401b'!N2531,'Retirement Calculator'!A:A,0),0),0)</f>
        <v>0</v>
      </c>
      <c r="K2531" s="444">
        <f t="shared" ca="1" si="128"/>
        <v>-121506668.32728529</v>
      </c>
      <c r="L2531" s="444">
        <f t="shared" ca="1" si="129"/>
        <v>-29283107066.875755</v>
      </c>
      <c r="M2531" s="460">
        <f t="shared" si="131"/>
        <v>0.05</v>
      </c>
      <c r="N2531" s="464">
        <f t="shared" si="132"/>
        <v>128080</v>
      </c>
    </row>
    <row r="2532" spans="7:14" ht="11.25" customHeight="1" x14ac:dyDescent="0.25">
      <c r="G2532" s="459"/>
      <c r="H2532" s="459">
        <v>2525</v>
      </c>
      <c r="I2532" s="444">
        <f t="shared" ca="1" si="130"/>
        <v>-29283107066.875755</v>
      </c>
      <c r="J2532" s="444">
        <f t="array" ref="J2532">IFERROR(INDEX('Retirement Calculator'!K:K,MATCH('Lorri 401b'!N2532,'Retirement Calculator'!A:A,0),0),0)</f>
        <v>0</v>
      </c>
      <c r="K2532" s="444">
        <f t="shared" ca="1" si="128"/>
        <v>-122012946.1119823</v>
      </c>
      <c r="L2532" s="444">
        <f t="shared" ca="1" si="129"/>
        <v>-29405120012.987736</v>
      </c>
      <c r="M2532" s="460">
        <f t="shared" si="131"/>
        <v>0.05</v>
      </c>
      <c r="N2532" s="464">
        <f t="shared" si="132"/>
        <v>128110</v>
      </c>
    </row>
    <row r="2533" spans="7:14" ht="11.25" customHeight="1" x14ac:dyDescent="0.25">
      <c r="G2533" s="459"/>
      <c r="H2533" s="459">
        <v>2526</v>
      </c>
      <c r="I2533" s="444">
        <f t="shared" ca="1" si="130"/>
        <v>-29405120012.987736</v>
      </c>
      <c r="J2533" s="444">
        <f t="array" ref="J2533">IFERROR(INDEX('Retirement Calculator'!K:K,MATCH('Lorri 401b'!N2533,'Retirement Calculator'!A:A,0),0),0)</f>
        <v>0</v>
      </c>
      <c r="K2533" s="444">
        <f t="shared" ca="1" si="128"/>
        <v>-122521333.38744888</v>
      </c>
      <c r="L2533" s="444">
        <f t="shared" ca="1" si="129"/>
        <v>-29527641346.375183</v>
      </c>
      <c r="M2533" s="460">
        <f t="shared" si="131"/>
        <v>0.05</v>
      </c>
      <c r="N2533" s="464">
        <f t="shared" si="132"/>
        <v>128141</v>
      </c>
    </row>
    <row r="2534" spans="7:14" ht="11.25" customHeight="1" x14ac:dyDescent="0.25">
      <c r="G2534" s="459"/>
      <c r="H2534" s="459">
        <v>2527</v>
      </c>
      <c r="I2534" s="444">
        <f t="shared" ca="1" si="130"/>
        <v>-29527641346.375183</v>
      </c>
      <c r="J2534" s="444">
        <f t="array" ref="J2534">IFERROR(INDEX('Retirement Calculator'!K:K,MATCH('Lorri 401b'!N2534,'Retirement Calculator'!A:A,0),0),0)</f>
        <v>0</v>
      </c>
      <c r="K2534" s="444">
        <f t="shared" ca="1" si="128"/>
        <v>-123031838.94322991</v>
      </c>
      <c r="L2534" s="444">
        <f t="shared" ca="1" si="129"/>
        <v>-29650673185.318413</v>
      </c>
      <c r="M2534" s="460">
        <f t="shared" si="131"/>
        <v>0.05</v>
      </c>
      <c r="N2534" s="464">
        <f t="shared" si="132"/>
        <v>128171</v>
      </c>
    </row>
    <row r="2535" spans="7:14" ht="11.25" customHeight="1" x14ac:dyDescent="0.25">
      <c r="G2535" s="459"/>
      <c r="H2535" s="459">
        <v>2528</v>
      </c>
      <c r="I2535" s="444">
        <f t="shared" ca="1" si="130"/>
        <v>-29650673185.318413</v>
      </c>
      <c r="J2535" s="444">
        <f t="array" ref="J2535">IFERROR(INDEX('Retirement Calculator'!K:K,MATCH('Lorri 401b'!N2535,'Retirement Calculator'!A:A,0),0),0)</f>
        <v>0</v>
      </c>
      <c r="K2535" s="444">
        <f t="shared" ca="1" si="128"/>
        <v>-123544471.60549338</v>
      </c>
      <c r="L2535" s="444">
        <f t="shared" ca="1" si="129"/>
        <v>-29774217656.923904</v>
      </c>
      <c r="M2535" s="460">
        <f t="shared" si="131"/>
        <v>0.05</v>
      </c>
      <c r="N2535" s="464">
        <f t="shared" si="132"/>
        <v>128202</v>
      </c>
    </row>
    <row r="2536" spans="7:14" ht="11.25" customHeight="1" x14ac:dyDescent="0.25">
      <c r="G2536" s="459"/>
      <c r="H2536" s="459">
        <v>2529</v>
      </c>
      <c r="I2536" s="444">
        <f t="shared" ca="1" si="130"/>
        <v>-29774217656.923904</v>
      </c>
      <c r="J2536" s="444">
        <f t="array" ref="J2536">IFERROR(INDEX('Retirement Calculator'!K:K,MATCH('Lorri 401b'!N2536,'Retirement Calculator'!A:A,0),0),0)</f>
        <v>0</v>
      </c>
      <c r="K2536" s="444">
        <f t="shared" ca="1" si="128"/>
        <v>-124059240.23718293</v>
      </c>
      <c r="L2536" s="444">
        <f t="shared" ca="1" si="129"/>
        <v>-29898276897.161087</v>
      </c>
      <c r="M2536" s="460">
        <f t="shared" si="131"/>
        <v>0.05</v>
      </c>
      <c r="N2536" s="464">
        <f t="shared" si="132"/>
        <v>128233</v>
      </c>
    </row>
    <row r="2537" spans="7:14" ht="11.25" customHeight="1" x14ac:dyDescent="0.25">
      <c r="G2537" s="459"/>
      <c r="H2537" s="459">
        <v>2530</v>
      </c>
      <c r="I2537" s="444">
        <f t="shared" ca="1" si="130"/>
        <v>-29898276897.161087</v>
      </c>
      <c r="J2537" s="444">
        <f t="array" ref="J2537">IFERROR(INDEX('Retirement Calculator'!K:K,MATCH('Lorri 401b'!N2537,'Retirement Calculator'!A:A,0),0),0)</f>
        <v>0</v>
      </c>
      <c r="K2537" s="444">
        <f t="shared" ca="1" si="128"/>
        <v>-124576153.73817119</v>
      </c>
      <c r="L2537" s="444">
        <f t="shared" ca="1" si="129"/>
        <v>-30022853050.899258</v>
      </c>
      <c r="M2537" s="460">
        <f t="shared" si="131"/>
        <v>0.05</v>
      </c>
      <c r="N2537" s="464">
        <f t="shared" si="132"/>
        <v>128261</v>
      </c>
    </row>
    <row r="2538" spans="7:14" ht="11.25" customHeight="1" x14ac:dyDescent="0.25">
      <c r="G2538" s="459"/>
      <c r="H2538" s="459">
        <v>2531</v>
      </c>
      <c r="I2538" s="444">
        <f t="shared" ca="1" si="130"/>
        <v>-30022853050.899258</v>
      </c>
      <c r="J2538" s="444">
        <f t="array" ref="J2538">IFERROR(INDEX('Retirement Calculator'!K:K,MATCH('Lorri 401b'!N2538,'Retirement Calculator'!A:A,0),0),0)</f>
        <v>0</v>
      </c>
      <c r="K2538" s="444">
        <f t="shared" ca="1" si="128"/>
        <v>-125095221.04541357</v>
      </c>
      <c r="L2538" s="444">
        <f t="shared" ca="1" si="129"/>
        <v>-30147948271.944672</v>
      </c>
      <c r="M2538" s="460">
        <f t="shared" si="131"/>
        <v>0.05</v>
      </c>
      <c r="N2538" s="464">
        <f t="shared" si="132"/>
        <v>128292</v>
      </c>
    </row>
    <row r="2539" spans="7:14" ht="11.25" customHeight="1" x14ac:dyDescent="0.25">
      <c r="G2539" s="459"/>
      <c r="H2539" s="459">
        <v>2532</v>
      </c>
      <c r="I2539" s="444">
        <f t="shared" ca="1" si="130"/>
        <v>-30147948271.944672</v>
      </c>
      <c r="J2539" s="444">
        <f t="array" ref="J2539">IFERROR(INDEX('Retirement Calculator'!K:K,MATCH('Lorri 401b'!N2539,'Retirement Calculator'!A:A,0),0),0)</f>
        <v>0</v>
      </c>
      <c r="K2539" s="444">
        <f t="shared" ca="1" si="128"/>
        <v>-125616451.13310279</v>
      </c>
      <c r="L2539" s="444">
        <f t="shared" ca="1" si="129"/>
        <v>-30273564723.077774</v>
      </c>
      <c r="M2539" s="460">
        <f t="shared" si="131"/>
        <v>0.05</v>
      </c>
      <c r="N2539" s="464">
        <f t="shared" si="132"/>
        <v>128322</v>
      </c>
    </row>
    <row r="2540" spans="7:14" ht="11.25" customHeight="1" x14ac:dyDescent="0.25">
      <c r="G2540" s="459"/>
      <c r="H2540" s="459">
        <v>2533</v>
      </c>
      <c r="I2540" s="444">
        <f t="shared" ca="1" si="130"/>
        <v>-30273564723.077774</v>
      </c>
      <c r="J2540" s="444">
        <f t="array" ref="J2540">IFERROR(INDEX('Retirement Calculator'!K:K,MATCH('Lorri 401b'!N2540,'Retirement Calculator'!A:A,0),0),0)</f>
        <v>0</v>
      </c>
      <c r="K2540" s="444">
        <f t="shared" ca="1" si="128"/>
        <v>-126139853.01282406</v>
      </c>
      <c r="L2540" s="444">
        <f t="shared" ca="1" si="129"/>
        <v>-30399704576.090599</v>
      </c>
      <c r="M2540" s="460">
        <f t="shared" si="131"/>
        <v>0.05</v>
      </c>
      <c r="N2540" s="464">
        <f t="shared" si="132"/>
        <v>128353</v>
      </c>
    </row>
    <row r="2541" spans="7:14" ht="11.25" customHeight="1" x14ac:dyDescent="0.25">
      <c r="G2541" s="459"/>
      <c r="H2541" s="459">
        <v>2534</v>
      </c>
      <c r="I2541" s="444">
        <f t="shared" ca="1" si="130"/>
        <v>-30399704576.090599</v>
      </c>
      <c r="J2541" s="444">
        <f t="array" ref="J2541">IFERROR(INDEX('Retirement Calculator'!K:K,MATCH('Lorri 401b'!N2541,'Retirement Calculator'!A:A,0),0),0)</f>
        <v>0</v>
      </c>
      <c r="K2541" s="444">
        <f t="shared" ca="1" si="128"/>
        <v>-126665435.73371083</v>
      </c>
      <c r="L2541" s="444">
        <f t="shared" ca="1" si="129"/>
        <v>-30526370011.82431</v>
      </c>
      <c r="M2541" s="460">
        <f t="shared" si="131"/>
        <v>0.05</v>
      </c>
      <c r="N2541" s="464">
        <f t="shared" si="132"/>
        <v>128383</v>
      </c>
    </row>
    <row r="2542" spans="7:14" ht="11.25" customHeight="1" x14ac:dyDescent="0.25">
      <c r="G2542" s="459"/>
      <c r="H2542" s="459">
        <v>2535</v>
      </c>
      <c r="I2542" s="444">
        <f t="shared" ca="1" si="130"/>
        <v>-30526370011.82431</v>
      </c>
      <c r="J2542" s="444">
        <f t="array" ref="J2542">IFERROR(INDEX('Retirement Calculator'!K:K,MATCH('Lorri 401b'!N2542,'Retirement Calculator'!A:A,0),0),0)</f>
        <v>0</v>
      </c>
      <c r="K2542" s="444">
        <f t="shared" ca="1" si="128"/>
        <v>-127193208.38260129</v>
      </c>
      <c r="L2542" s="444">
        <f t="shared" ca="1" si="129"/>
        <v>-30653563220.206913</v>
      </c>
      <c r="M2542" s="460">
        <f t="shared" si="131"/>
        <v>0.05</v>
      </c>
      <c r="N2542" s="464">
        <f t="shared" si="132"/>
        <v>128414</v>
      </c>
    </row>
    <row r="2543" spans="7:14" ht="11.25" customHeight="1" x14ac:dyDescent="0.25">
      <c r="G2543" s="459"/>
      <c r="H2543" s="459">
        <v>2536</v>
      </c>
      <c r="I2543" s="444">
        <f t="shared" ca="1" si="130"/>
        <v>-30653563220.206913</v>
      </c>
      <c r="J2543" s="444">
        <f t="array" ref="J2543">IFERROR(INDEX('Retirement Calculator'!K:K,MATCH('Lorri 401b'!N2543,'Retirement Calculator'!A:A,0),0),0)</f>
        <v>0</v>
      </c>
      <c r="K2543" s="444">
        <f t="shared" ca="1" si="128"/>
        <v>-127723180.08419548</v>
      </c>
      <c r="L2543" s="444">
        <f t="shared" ca="1" si="129"/>
        <v>-30781286400.291107</v>
      </c>
      <c r="M2543" s="460">
        <f t="shared" si="131"/>
        <v>0.05</v>
      </c>
      <c r="N2543" s="464">
        <f t="shared" si="132"/>
        <v>128445</v>
      </c>
    </row>
    <row r="2544" spans="7:14" ht="11.25" customHeight="1" x14ac:dyDescent="0.25">
      <c r="G2544" s="459"/>
      <c r="H2544" s="459">
        <v>2537</v>
      </c>
      <c r="I2544" s="444">
        <f t="shared" ca="1" si="130"/>
        <v>-30781286400.291107</v>
      </c>
      <c r="J2544" s="444">
        <f t="array" ref="J2544">IFERROR(INDEX('Retirement Calculator'!K:K,MATCH('Lorri 401b'!N2544,'Retirement Calculator'!A:A,0),0),0)</f>
        <v>0</v>
      </c>
      <c r="K2544" s="444">
        <f t="shared" ca="1" si="128"/>
        <v>-128255360.00121292</v>
      </c>
      <c r="L2544" s="444">
        <f t="shared" ca="1" si="129"/>
        <v>-30909541760.29232</v>
      </c>
      <c r="M2544" s="460">
        <f t="shared" si="131"/>
        <v>0.05</v>
      </c>
      <c r="N2544" s="464">
        <f t="shared" si="132"/>
        <v>128475</v>
      </c>
    </row>
    <row r="2545" spans="7:14" ht="11.25" customHeight="1" x14ac:dyDescent="0.25">
      <c r="G2545" s="459"/>
      <c r="H2545" s="459">
        <v>2538</v>
      </c>
      <c r="I2545" s="444">
        <f t="shared" ca="1" si="130"/>
        <v>-30909541760.29232</v>
      </c>
      <c r="J2545" s="444">
        <f t="array" ref="J2545">IFERROR(INDEX('Retirement Calculator'!K:K,MATCH('Lorri 401b'!N2545,'Retirement Calculator'!A:A,0),0),0)</f>
        <v>0</v>
      </c>
      <c r="K2545" s="444">
        <f t="shared" ca="1" si="128"/>
        <v>-128789757.33455133</v>
      </c>
      <c r="L2545" s="444">
        <f t="shared" ca="1" si="129"/>
        <v>-31038331517.626873</v>
      </c>
      <c r="M2545" s="460">
        <f t="shared" si="131"/>
        <v>0.05</v>
      </c>
      <c r="N2545" s="464">
        <f t="shared" si="132"/>
        <v>128506</v>
      </c>
    </row>
    <row r="2546" spans="7:14" ht="11.25" customHeight="1" x14ac:dyDescent="0.25">
      <c r="G2546" s="459"/>
      <c r="H2546" s="459">
        <v>2539</v>
      </c>
      <c r="I2546" s="444">
        <f t="shared" ca="1" si="130"/>
        <v>-31038331517.626873</v>
      </c>
      <c r="J2546" s="444">
        <f t="array" ref="J2546">IFERROR(INDEX('Retirement Calculator'!K:K,MATCH('Lorri 401b'!N2546,'Retirement Calculator'!A:A,0),0),0)</f>
        <v>0</v>
      </c>
      <c r="K2546" s="444">
        <f t="shared" ca="1" si="128"/>
        <v>-129326381.32344531</v>
      </c>
      <c r="L2546" s="444">
        <f t="shared" ca="1" si="129"/>
        <v>-31167657898.950317</v>
      </c>
      <c r="M2546" s="460">
        <f t="shared" si="131"/>
        <v>0.05</v>
      </c>
      <c r="N2546" s="464">
        <f t="shared" si="132"/>
        <v>128536</v>
      </c>
    </row>
    <row r="2547" spans="7:14" ht="11.25" customHeight="1" x14ac:dyDescent="0.25">
      <c r="G2547" s="459"/>
      <c r="H2547" s="459">
        <v>2540</v>
      </c>
      <c r="I2547" s="444">
        <f t="shared" ca="1" si="130"/>
        <v>-31167657898.950317</v>
      </c>
      <c r="J2547" s="444">
        <f t="array" ref="J2547">IFERROR(INDEX('Retirement Calculator'!K:K,MATCH('Lorri 401b'!N2547,'Retirement Calculator'!A:A,0),0),0)</f>
        <v>0</v>
      </c>
      <c r="K2547" s="444">
        <f t="shared" ca="1" si="128"/>
        <v>-129865241.24562632</v>
      </c>
      <c r="L2547" s="444">
        <f t="shared" ca="1" si="129"/>
        <v>-31297523140.195942</v>
      </c>
      <c r="M2547" s="460">
        <f t="shared" si="131"/>
        <v>0.05</v>
      </c>
      <c r="N2547" s="464">
        <f t="shared" si="132"/>
        <v>128567</v>
      </c>
    </row>
    <row r="2548" spans="7:14" ht="11.25" customHeight="1" x14ac:dyDescent="0.25">
      <c r="G2548" s="459"/>
      <c r="H2548" s="459">
        <v>2541</v>
      </c>
      <c r="I2548" s="444">
        <f t="shared" ca="1" si="130"/>
        <v>-31297523140.195942</v>
      </c>
      <c r="J2548" s="444">
        <f t="array" ref="J2548">IFERROR(INDEX('Retirement Calculator'!K:K,MATCH('Lorri 401b'!N2548,'Retirement Calculator'!A:A,0),0),0)</f>
        <v>0</v>
      </c>
      <c r="K2548" s="444">
        <f t="shared" ca="1" si="128"/>
        <v>-130406346.41748309</v>
      </c>
      <c r="L2548" s="444">
        <f t="shared" ca="1" si="129"/>
        <v>-31427929486.613426</v>
      </c>
      <c r="M2548" s="460">
        <f t="shared" si="131"/>
        <v>0.05</v>
      </c>
      <c r="N2548" s="464">
        <f t="shared" si="132"/>
        <v>128598</v>
      </c>
    </row>
    <row r="2549" spans="7:14" ht="11.25" customHeight="1" x14ac:dyDescent="0.25">
      <c r="G2549" s="459"/>
      <c r="H2549" s="459">
        <v>2542</v>
      </c>
      <c r="I2549" s="444">
        <f t="shared" ca="1" si="130"/>
        <v>-31427929486.613426</v>
      </c>
      <c r="J2549" s="444">
        <f t="array" ref="J2549">IFERROR(INDEX('Retirement Calculator'!K:K,MATCH('Lorri 401b'!N2549,'Retirement Calculator'!A:A,0),0),0)</f>
        <v>0</v>
      </c>
      <c r="K2549" s="444">
        <f t="shared" ca="1" si="128"/>
        <v>-130949706.19422258</v>
      </c>
      <c r="L2549" s="444">
        <f t="shared" ca="1" si="129"/>
        <v>-31558879192.807648</v>
      </c>
      <c r="M2549" s="460">
        <f t="shared" si="131"/>
        <v>0.05</v>
      </c>
      <c r="N2549" s="464">
        <f t="shared" si="132"/>
        <v>128627</v>
      </c>
    </row>
    <row r="2550" spans="7:14" ht="11.25" customHeight="1" x14ac:dyDescent="0.25">
      <c r="G2550" s="459"/>
      <c r="H2550" s="459">
        <v>2543</v>
      </c>
      <c r="I2550" s="444">
        <f t="shared" ca="1" si="130"/>
        <v>-31558879192.807648</v>
      </c>
      <c r="J2550" s="444">
        <f t="array" ref="J2550">IFERROR(INDEX('Retirement Calculator'!K:K,MATCH('Lorri 401b'!N2550,'Retirement Calculator'!A:A,0),0),0)</f>
        <v>0</v>
      </c>
      <c r="K2550" s="444">
        <f t="shared" ca="1" si="128"/>
        <v>-131495329.97003187</v>
      </c>
      <c r="L2550" s="444">
        <f t="shared" ca="1" si="129"/>
        <v>-31690374522.777679</v>
      </c>
      <c r="M2550" s="460">
        <f t="shared" si="131"/>
        <v>0.05</v>
      </c>
      <c r="N2550" s="464">
        <f t="shared" si="132"/>
        <v>128658</v>
      </c>
    </row>
    <row r="2551" spans="7:14" ht="11.25" customHeight="1" x14ac:dyDescent="0.25">
      <c r="G2551" s="459"/>
      <c r="H2551" s="459">
        <v>2544</v>
      </c>
      <c r="I2551" s="444">
        <f t="shared" ca="1" si="130"/>
        <v>-31690374522.777679</v>
      </c>
      <c r="J2551" s="444">
        <f t="array" ref="J2551">IFERROR(INDEX('Retirement Calculator'!K:K,MATCH('Lorri 401b'!N2551,'Retirement Calculator'!A:A,0),0),0)</f>
        <v>0</v>
      </c>
      <c r="K2551" s="444">
        <f t="shared" ca="1" si="128"/>
        <v>-132043227.17824033</v>
      </c>
      <c r="L2551" s="444">
        <f t="shared" ca="1" si="129"/>
        <v>-31822417749.955921</v>
      </c>
      <c r="M2551" s="460">
        <f t="shared" si="131"/>
        <v>0.05</v>
      </c>
      <c r="N2551" s="464">
        <f t="shared" si="132"/>
        <v>128688</v>
      </c>
    </row>
    <row r="2552" spans="7:14" ht="11.25" customHeight="1" x14ac:dyDescent="0.25">
      <c r="G2552" s="459"/>
      <c r="H2552" s="459">
        <v>2545</v>
      </c>
      <c r="I2552" s="444">
        <f t="shared" ca="1" si="130"/>
        <v>-31822417749.955921</v>
      </c>
      <c r="J2552" s="444">
        <f t="array" ref="J2552">IFERROR(INDEX('Retirement Calculator'!K:K,MATCH('Lorri 401b'!N2552,'Retirement Calculator'!A:A,0),0),0)</f>
        <v>0</v>
      </c>
      <c r="K2552" s="444">
        <f t="shared" ca="1" si="128"/>
        <v>-132593407.291483</v>
      </c>
      <c r="L2552" s="444">
        <f t="shared" ca="1" si="129"/>
        <v>-31955011157.247406</v>
      </c>
      <c r="M2552" s="460">
        <f t="shared" si="131"/>
        <v>0.05</v>
      </c>
      <c r="N2552" s="464">
        <f t="shared" si="132"/>
        <v>128719</v>
      </c>
    </row>
    <row r="2553" spans="7:14" ht="11.25" customHeight="1" x14ac:dyDescent="0.25">
      <c r="G2553" s="459"/>
      <c r="H2553" s="459">
        <v>2546</v>
      </c>
      <c r="I2553" s="444">
        <f t="shared" ca="1" si="130"/>
        <v>-31955011157.247406</v>
      </c>
      <c r="J2553" s="444">
        <f t="array" ref="J2553">IFERROR(INDEX('Retirement Calculator'!K:K,MATCH('Lorri 401b'!N2553,'Retirement Calculator'!A:A,0),0),0)</f>
        <v>0</v>
      </c>
      <c r="K2553" s="444">
        <f t="shared" ca="1" si="128"/>
        <v>-133145879.82186419</v>
      </c>
      <c r="L2553" s="444">
        <f t="shared" ca="1" si="129"/>
        <v>-32088157037.069271</v>
      </c>
      <c r="M2553" s="460">
        <f t="shared" si="131"/>
        <v>0.05</v>
      </c>
      <c r="N2553" s="464">
        <f t="shared" si="132"/>
        <v>128749</v>
      </c>
    </row>
    <row r="2554" spans="7:14" ht="11.25" customHeight="1" x14ac:dyDescent="0.25">
      <c r="G2554" s="459"/>
      <c r="H2554" s="459">
        <v>2547</v>
      </c>
      <c r="I2554" s="444">
        <f t="shared" ca="1" si="130"/>
        <v>-32088157037.069271</v>
      </c>
      <c r="J2554" s="444">
        <f t="array" ref="J2554">IFERROR(INDEX('Retirement Calculator'!K:K,MATCH('Lorri 401b'!N2554,'Retirement Calculator'!A:A,0),0),0)</f>
        <v>0</v>
      </c>
      <c r="K2554" s="444">
        <f t="shared" ca="1" si="128"/>
        <v>-133700654.32112196</v>
      </c>
      <c r="L2554" s="444">
        <f t="shared" ca="1" si="129"/>
        <v>-32221857691.390392</v>
      </c>
      <c r="M2554" s="460">
        <f t="shared" si="131"/>
        <v>0.05</v>
      </c>
      <c r="N2554" s="464">
        <f t="shared" si="132"/>
        <v>128780</v>
      </c>
    </row>
    <row r="2555" spans="7:14" ht="11.25" customHeight="1" x14ac:dyDescent="0.25">
      <c r="G2555" s="459"/>
      <c r="H2555" s="459">
        <v>2548</v>
      </c>
      <c r="I2555" s="444">
        <f t="shared" ca="1" si="130"/>
        <v>-32221857691.390392</v>
      </c>
      <c r="J2555" s="444">
        <f t="array" ref="J2555">IFERROR(INDEX('Retirement Calculator'!K:K,MATCH('Lorri 401b'!N2555,'Retirement Calculator'!A:A,0),0),0)</f>
        <v>0</v>
      </c>
      <c r="K2555" s="444">
        <f t="shared" ca="1" si="128"/>
        <v>-134257740.3807933</v>
      </c>
      <c r="L2555" s="444">
        <f t="shared" ca="1" si="129"/>
        <v>-32356115431.771187</v>
      </c>
      <c r="M2555" s="460">
        <f t="shared" si="131"/>
        <v>0.05</v>
      </c>
      <c r="N2555" s="464">
        <f t="shared" si="132"/>
        <v>128811</v>
      </c>
    </row>
    <row r="2556" spans="7:14" ht="11.25" customHeight="1" x14ac:dyDescent="0.25">
      <c r="G2556" s="459"/>
      <c r="H2556" s="459">
        <v>2549</v>
      </c>
      <c r="I2556" s="444">
        <f t="shared" ca="1" si="130"/>
        <v>-32356115431.771187</v>
      </c>
      <c r="J2556" s="444">
        <f t="array" ref="J2556">IFERROR(INDEX('Retirement Calculator'!K:K,MATCH('Lorri 401b'!N2556,'Retirement Calculator'!A:A,0),0),0)</f>
        <v>0</v>
      </c>
      <c r="K2556" s="444">
        <f t="shared" ca="1" si="128"/>
        <v>-134817147.63237995</v>
      </c>
      <c r="L2556" s="444">
        <f t="shared" ca="1" si="129"/>
        <v>-32490932579.403568</v>
      </c>
      <c r="M2556" s="460">
        <f t="shared" si="131"/>
        <v>0.05</v>
      </c>
      <c r="N2556" s="464">
        <f t="shared" si="132"/>
        <v>128841</v>
      </c>
    </row>
    <row r="2557" spans="7:14" ht="11.25" customHeight="1" x14ac:dyDescent="0.25">
      <c r="G2557" s="459"/>
      <c r="H2557" s="459">
        <v>2550</v>
      </c>
      <c r="I2557" s="444">
        <f t="shared" ca="1" si="130"/>
        <v>-32490932579.403568</v>
      </c>
      <c r="J2557" s="444">
        <f t="array" ref="J2557">IFERROR(INDEX('Retirement Calculator'!K:K,MATCH('Lorri 401b'!N2557,'Retirement Calculator'!A:A,0),0),0)</f>
        <v>0</v>
      </c>
      <c r="K2557" s="444">
        <f t="shared" ca="1" si="128"/>
        <v>-135378885.74751487</v>
      </c>
      <c r="L2557" s="444">
        <f t="shared" ca="1" si="129"/>
        <v>-32626311465.151085</v>
      </c>
      <c r="M2557" s="460">
        <f t="shared" si="131"/>
        <v>0.05</v>
      </c>
      <c r="N2557" s="464">
        <f t="shared" si="132"/>
        <v>128872</v>
      </c>
    </row>
    <row r="2558" spans="7:14" ht="11.25" customHeight="1" x14ac:dyDescent="0.25">
      <c r="G2558" s="459"/>
      <c r="H2558" s="459">
        <v>2551</v>
      </c>
      <c r="I2558" s="444">
        <f t="shared" ca="1" si="130"/>
        <v>-32626311465.151085</v>
      </c>
      <c r="J2558" s="444">
        <f t="array" ref="J2558">IFERROR(INDEX('Retirement Calculator'!K:K,MATCH('Lorri 401b'!N2558,'Retirement Calculator'!A:A,0),0),0)</f>
        <v>0</v>
      </c>
      <c r="K2558" s="444">
        <f t="shared" ref="K2558:K2812" ca="1" si="133">IPMT(M2558/12,1,12,-I2558+J2558,,0)</f>
        <v>-135942964.43812951</v>
      </c>
      <c r="L2558" s="444">
        <f t="shared" ref="L2558:L2812" ca="1" si="134">I2558-J2558+K2558</f>
        <v>-32762254429.589214</v>
      </c>
      <c r="M2558" s="460">
        <f t="shared" si="131"/>
        <v>0.05</v>
      </c>
      <c r="N2558" s="464">
        <f t="shared" si="132"/>
        <v>128902</v>
      </c>
    </row>
    <row r="2559" spans="7:14" ht="11.25" customHeight="1" x14ac:dyDescent="0.25">
      <c r="G2559" s="459"/>
      <c r="H2559" s="459">
        <v>2552</v>
      </c>
      <c r="I2559" s="444">
        <f t="shared" ref="I2559:I2813" ca="1" si="135">L2558</f>
        <v>-32762254429.589214</v>
      </c>
      <c r="J2559" s="444">
        <f t="array" ref="J2559">IFERROR(INDEX('Retirement Calculator'!K:K,MATCH('Lorri 401b'!N2559,'Retirement Calculator'!A:A,0),0),0)</f>
        <v>0</v>
      </c>
      <c r="K2559" s="444">
        <f t="shared" ca="1" si="133"/>
        <v>-136509393.45662174</v>
      </c>
      <c r="L2559" s="444">
        <f t="shared" ca="1" si="134"/>
        <v>-32898763823.045837</v>
      </c>
      <c r="M2559" s="460">
        <f t="shared" ref="M2559:M2813" si="136">M2558</f>
        <v>0.05</v>
      </c>
      <c r="N2559" s="464">
        <f t="shared" ref="N2559:N2813" si="137">EDATE(N2558,1)</f>
        <v>128933</v>
      </c>
    </row>
    <row r="2560" spans="7:14" ht="11.25" customHeight="1" x14ac:dyDescent="0.25">
      <c r="G2560" s="459"/>
      <c r="H2560" s="459">
        <v>2553</v>
      </c>
      <c r="I2560" s="444">
        <f t="shared" ca="1" si="135"/>
        <v>-32898763823.045837</v>
      </c>
      <c r="J2560" s="444">
        <f t="array" ref="J2560">IFERROR(INDEX('Retirement Calculator'!K:K,MATCH('Lorri 401b'!N2560,'Retirement Calculator'!A:A,0),0),0)</f>
        <v>0</v>
      </c>
      <c r="K2560" s="444">
        <f t="shared" ca="1" si="133"/>
        <v>-137078182.59602433</v>
      </c>
      <c r="L2560" s="444">
        <f t="shared" ca="1" si="134"/>
        <v>-33035842005.641861</v>
      </c>
      <c r="M2560" s="460">
        <f t="shared" si="136"/>
        <v>0.05</v>
      </c>
      <c r="N2560" s="464">
        <f t="shared" si="137"/>
        <v>128964</v>
      </c>
    </row>
    <row r="2561" spans="7:14" ht="11.25" customHeight="1" x14ac:dyDescent="0.25">
      <c r="G2561" s="459"/>
      <c r="H2561" s="459">
        <v>2554</v>
      </c>
      <c r="I2561" s="444">
        <f t="shared" ca="1" si="135"/>
        <v>-33035842005.641861</v>
      </c>
      <c r="J2561" s="444">
        <f t="array" ref="J2561">IFERROR(INDEX('Retirement Calculator'!K:K,MATCH('Lorri 401b'!N2561,'Retirement Calculator'!A:A,0),0),0)</f>
        <v>0</v>
      </c>
      <c r="K2561" s="444">
        <f t="shared" ca="1" si="133"/>
        <v>-137649341.69017443</v>
      </c>
      <c r="L2561" s="444">
        <f t="shared" ca="1" si="134"/>
        <v>-33173491347.332035</v>
      </c>
      <c r="M2561" s="460">
        <f t="shared" si="136"/>
        <v>0.05</v>
      </c>
      <c r="N2561" s="464">
        <f t="shared" si="137"/>
        <v>128992</v>
      </c>
    </row>
    <row r="2562" spans="7:14" ht="11.25" customHeight="1" x14ac:dyDescent="0.25">
      <c r="G2562" s="459"/>
      <c r="H2562" s="459">
        <v>2555</v>
      </c>
      <c r="I2562" s="444">
        <f t="shared" ca="1" si="135"/>
        <v>-33173491347.332035</v>
      </c>
      <c r="J2562" s="444">
        <f t="array" ref="J2562">IFERROR(INDEX('Retirement Calculator'!K:K,MATCH('Lorri 401b'!N2562,'Retirement Calculator'!A:A,0),0),0)</f>
        <v>0</v>
      </c>
      <c r="K2562" s="444">
        <f t="shared" ca="1" si="133"/>
        <v>-138222880.61388347</v>
      </c>
      <c r="L2562" s="444">
        <f t="shared" ca="1" si="134"/>
        <v>-33311714227.945919</v>
      </c>
      <c r="M2562" s="460">
        <f t="shared" si="136"/>
        <v>0.05</v>
      </c>
      <c r="N2562" s="464">
        <f t="shared" si="137"/>
        <v>129023</v>
      </c>
    </row>
    <row r="2563" spans="7:14" ht="11.25" customHeight="1" x14ac:dyDescent="0.25">
      <c r="G2563" s="459"/>
      <c r="H2563" s="459">
        <v>2556</v>
      </c>
      <c r="I2563" s="444">
        <f t="shared" ca="1" si="135"/>
        <v>-33311714227.945919</v>
      </c>
      <c r="J2563" s="444">
        <f t="array" ref="J2563">IFERROR(INDEX('Retirement Calculator'!K:K,MATCH('Lorri 401b'!N2563,'Retirement Calculator'!A:A,0),0),0)</f>
        <v>0</v>
      </c>
      <c r="K2563" s="444">
        <f t="shared" ca="1" si="133"/>
        <v>-138798809.283108</v>
      </c>
      <c r="L2563" s="444">
        <f t="shared" ca="1" si="134"/>
        <v>-33450513037.229027</v>
      </c>
      <c r="M2563" s="460">
        <f t="shared" si="136"/>
        <v>0.05</v>
      </c>
      <c r="N2563" s="464">
        <f t="shared" si="137"/>
        <v>129053</v>
      </c>
    </row>
    <row r="2564" spans="7:14" ht="11.25" customHeight="1" x14ac:dyDescent="0.25">
      <c r="G2564" s="459"/>
      <c r="H2564" s="459">
        <v>2557</v>
      </c>
      <c r="I2564" s="444">
        <f t="shared" ca="1" si="135"/>
        <v>-33450513037.229027</v>
      </c>
      <c r="J2564" s="444">
        <f t="array" ref="J2564">IFERROR(INDEX('Retirement Calculator'!K:K,MATCH('Lorri 401b'!N2564,'Retirement Calculator'!A:A,0),0),0)</f>
        <v>0</v>
      </c>
      <c r="K2564" s="444">
        <f t="shared" ca="1" si="133"/>
        <v>-139377137.65512094</v>
      </c>
      <c r="L2564" s="444">
        <f t="shared" ca="1" si="134"/>
        <v>-33589890174.884148</v>
      </c>
      <c r="M2564" s="460">
        <f t="shared" si="136"/>
        <v>0.05</v>
      </c>
      <c r="N2564" s="464">
        <f t="shared" si="137"/>
        <v>129084</v>
      </c>
    </row>
    <row r="2565" spans="7:14" ht="11.25" customHeight="1" x14ac:dyDescent="0.25">
      <c r="G2565" s="459"/>
      <c r="H2565" s="459">
        <v>2558</v>
      </c>
      <c r="I2565" s="444">
        <f t="shared" ca="1" si="135"/>
        <v>-33589890174.884148</v>
      </c>
      <c r="J2565" s="444">
        <f t="array" ref="J2565">IFERROR(INDEX('Retirement Calculator'!K:K,MATCH('Lorri 401b'!N2565,'Retirement Calculator'!A:A,0),0),0)</f>
        <v>0</v>
      </c>
      <c r="K2565" s="444">
        <f t="shared" ca="1" si="133"/>
        <v>-139957875.72868395</v>
      </c>
      <c r="L2565" s="444">
        <f t="shared" ca="1" si="134"/>
        <v>-33729848050.612831</v>
      </c>
      <c r="M2565" s="460">
        <f t="shared" si="136"/>
        <v>0.05</v>
      </c>
      <c r="N2565" s="464">
        <f t="shared" si="137"/>
        <v>129114</v>
      </c>
    </row>
    <row r="2566" spans="7:14" ht="11.25" customHeight="1" x14ac:dyDescent="0.25">
      <c r="G2566" s="459"/>
      <c r="H2566" s="459">
        <v>2559</v>
      </c>
      <c r="I2566" s="444">
        <f t="shared" ca="1" si="135"/>
        <v>-33729848050.612831</v>
      </c>
      <c r="J2566" s="444">
        <f t="array" ref="J2566">IFERROR(INDEX('Retirement Calculator'!K:K,MATCH('Lorri 401b'!N2566,'Retirement Calculator'!A:A,0),0),0)</f>
        <v>0</v>
      </c>
      <c r="K2566" s="444">
        <f t="shared" ca="1" si="133"/>
        <v>-140541033.54422012</v>
      </c>
      <c r="L2566" s="444">
        <f t="shared" ca="1" si="134"/>
        <v>-33870389084.157051</v>
      </c>
      <c r="M2566" s="460">
        <f t="shared" si="136"/>
        <v>0.05</v>
      </c>
      <c r="N2566" s="464">
        <f t="shared" si="137"/>
        <v>129145</v>
      </c>
    </row>
    <row r="2567" spans="7:14" ht="11.25" customHeight="1" x14ac:dyDescent="0.25">
      <c r="G2567" s="459"/>
      <c r="H2567" s="459">
        <v>2560</v>
      </c>
      <c r="I2567" s="444">
        <f t="shared" ca="1" si="135"/>
        <v>-33870389084.157051</v>
      </c>
      <c r="J2567" s="444">
        <f t="array" ref="J2567">IFERROR(INDEX('Retirement Calculator'!K:K,MATCH('Lorri 401b'!N2567,'Retirement Calculator'!A:A,0),0),0)</f>
        <v>0</v>
      </c>
      <c r="K2567" s="444">
        <f t="shared" ca="1" si="133"/>
        <v>-141126621.18398771</v>
      </c>
      <c r="L2567" s="444">
        <f t="shared" ca="1" si="134"/>
        <v>-34011515705.341038</v>
      </c>
      <c r="M2567" s="460">
        <f t="shared" si="136"/>
        <v>0.05</v>
      </c>
      <c r="N2567" s="464">
        <f t="shared" si="137"/>
        <v>129176</v>
      </c>
    </row>
    <row r="2568" spans="7:14" ht="11.25" customHeight="1" x14ac:dyDescent="0.25">
      <c r="G2568" s="459"/>
      <c r="H2568" s="459">
        <v>2561</v>
      </c>
      <c r="I2568" s="444">
        <f t="shared" ca="1" si="135"/>
        <v>-34011515705.341038</v>
      </c>
      <c r="J2568" s="444">
        <f t="array" ref="J2568">IFERROR(INDEX('Retirement Calculator'!K:K,MATCH('Lorri 401b'!N2568,'Retirement Calculator'!A:A,0),0),0)</f>
        <v>0</v>
      </c>
      <c r="K2568" s="444">
        <f t="shared" ca="1" si="133"/>
        <v>-141714648.77225432</v>
      </c>
      <c r="L2568" s="444">
        <f t="shared" ca="1" si="134"/>
        <v>-34153230354.113293</v>
      </c>
      <c r="M2568" s="460">
        <f t="shared" si="136"/>
        <v>0.05</v>
      </c>
      <c r="N2568" s="464">
        <f t="shared" si="137"/>
        <v>129206</v>
      </c>
    </row>
    <row r="2569" spans="7:14" ht="11.25" customHeight="1" x14ac:dyDescent="0.25">
      <c r="G2569" s="459"/>
      <c r="H2569" s="459">
        <v>2562</v>
      </c>
      <c r="I2569" s="444">
        <f t="shared" ca="1" si="135"/>
        <v>-34153230354.113293</v>
      </c>
      <c r="J2569" s="444">
        <f t="array" ref="J2569">IFERROR(INDEX('Retirement Calculator'!K:K,MATCH('Lorri 401b'!N2569,'Retirement Calculator'!A:A,0),0),0)</f>
        <v>0</v>
      </c>
      <c r="K2569" s="444">
        <f t="shared" ca="1" si="133"/>
        <v>-142305126.47547206</v>
      </c>
      <c r="L2569" s="444">
        <f t="shared" ca="1" si="134"/>
        <v>-34295535480.588764</v>
      </c>
      <c r="M2569" s="460">
        <f t="shared" si="136"/>
        <v>0.05</v>
      </c>
      <c r="N2569" s="464">
        <f t="shared" si="137"/>
        <v>129237</v>
      </c>
    </row>
    <row r="2570" spans="7:14" ht="11.25" customHeight="1" x14ac:dyDescent="0.25">
      <c r="G2570" s="459"/>
      <c r="H2570" s="459">
        <v>2563</v>
      </c>
      <c r="I2570" s="444">
        <f t="shared" ca="1" si="135"/>
        <v>-34295535480.588764</v>
      </c>
      <c r="J2570" s="444">
        <f t="array" ref="J2570">IFERROR(INDEX('Retirement Calculator'!K:K,MATCH('Lorri 401b'!N2570,'Retirement Calculator'!A:A,0),0),0)</f>
        <v>0</v>
      </c>
      <c r="K2570" s="444">
        <f t="shared" ca="1" si="133"/>
        <v>-142898064.50245318</v>
      </c>
      <c r="L2570" s="444">
        <f t="shared" ca="1" si="134"/>
        <v>-34438433545.091217</v>
      </c>
      <c r="M2570" s="460">
        <f t="shared" si="136"/>
        <v>0.05</v>
      </c>
      <c r="N2570" s="464">
        <f t="shared" si="137"/>
        <v>129267</v>
      </c>
    </row>
    <row r="2571" spans="7:14" ht="11.25" customHeight="1" x14ac:dyDescent="0.25">
      <c r="G2571" s="459"/>
      <c r="H2571" s="459">
        <v>2564</v>
      </c>
      <c r="I2571" s="444">
        <f t="shared" ca="1" si="135"/>
        <v>-34438433545.091217</v>
      </c>
      <c r="J2571" s="444">
        <f t="array" ref="J2571">IFERROR(INDEX('Retirement Calculator'!K:K,MATCH('Lorri 401b'!N2571,'Retirement Calculator'!A:A,0),0),0)</f>
        <v>0</v>
      </c>
      <c r="K2571" s="444">
        <f t="shared" ca="1" si="133"/>
        <v>-143493473.10454673</v>
      </c>
      <c r="L2571" s="444">
        <f t="shared" ca="1" si="134"/>
        <v>-34581927018.195763</v>
      </c>
      <c r="M2571" s="460">
        <f t="shared" si="136"/>
        <v>0.05</v>
      </c>
      <c r="N2571" s="464">
        <f t="shared" si="137"/>
        <v>129298</v>
      </c>
    </row>
    <row r="2572" spans="7:14" ht="11.25" customHeight="1" x14ac:dyDescent="0.25">
      <c r="G2572" s="459"/>
      <c r="H2572" s="459">
        <v>2565</v>
      </c>
      <c r="I2572" s="444">
        <f t="shared" ca="1" si="135"/>
        <v>-34581927018.195763</v>
      </c>
      <c r="J2572" s="444">
        <f t="array" ref="J2572">IFERROR(INDEX('Retirement Calculator'!K:K,MATCH('Lorri 401b'!N2572,'Retirement Calculator'!A:A,0),0),0)</f>
        <v>0</v>
      </c>
      <c r="K2572" s="444">
        <f t="shared" ca="1" si="133"/>
        <v>-144091362.57581568</v>
      </c>
      <c r="L2572" s="444">
        <f t="shared" ca="1" si="134"/>
        <v>-34726018380.771576</v>
      </c>
      <c r="M2572" s="460">
        <f t="shared" si="136"/>
        <v>0.05</v>
      </c>
      <c r="N2572" s="464">
        <f t="shared" si="137"/>
        <v>129329</v>
      </c>
    </row>
    <row r="2573" spans="7:14" ht="11.25" customHeight="1" x14ac:dyDescent="0.25">
      <c r="G2573" s="459"/>
      <c r="H2573" s="459">
        <v>2566</v>
      </c>
      <c r="I2573" s="444">
        <f t="shared" ca="1" si="135"/>
        <v>-34726018380.771576</v>
      </c>
      <c r="J2573" s="444">
        <f t="array" ref="J2573">IFERROR(INDEX('Retirement Calculator'!K:K,MATCH('Lorri 401b'!N2573,'Retirement Calculator'!A:A,0),0),0)</f>
        <v>0</v>
      </c>
      <c r="K2573" s="444">
        <f t="shared" ca="1" si="133"/>
        <v>-144691743.2532149</v>
      </c>
      <c r="L2573" s="444">
        <f t="shared" ca="1" si="134"/>
        <v>-34870710124.024788</v>
      </c>
      <c r="M2573" s="460">
        <f t="shared" si="136"/>
        <v>0.05</v>
      </c>
      <c r="N2573" s="464">
        <f t="shared" si="137"/>
        <v>129357</v>
      </c>
    </row>
    <row r="2574" spans="7:14" ht="11.25" customHeight="1" x14ac:dyDescent="0.25">
      <c r="G2574" s="459"/>
      <c r="H2574" s="459">
        <v>2567</v>
      </c>
      <c r="I2574" s="444">
        <f t="shared" ca="1" si="135"/>
        <v>-34870710124.024788</v>
      </c>
      <c r="J2574" s="444">
        <f t="array" ref="J2574">IFERROR(INDEX('Retirement Calculator'!K:K,MATCH('Lorri 401b'!N2574,'Retirement Calculator'!A:A,0),0),0)</f>
        <v>0</v>
      </c>
      <c r="K2574" s="444">
        <f t="shared" ca="1" si="133"/>
        <v>-145294625.51676995</v>
      </c>
      <c r="L2574" s="444">
        <f t="shared" ca="1" si="134"/>
        <v>-35016004749.541557</v>
      </c>
      <c r="M2574" s="460">
        <f t="shared" si="136"/>
        <v>0.05</v>
      </c>
      <c r="N2574" s="464">
        <f t="shared" si="137"/>
        <v>129388</v>
      </c>
    </row>
    <row r="2575" spans="7:14" ht="11.25" customHeight="1" x14ac:dyDescent="0.25">
      <c r="G2575" s="459"/>
      <c r="H2575" s="459">
        <v>2568</v>
      </c>
      <c r="I2575" s="444">
        <f t="shared" ca="1" si="135"/>
        <v>-35016004749.541557</v>
      </c>
      <c r="J2575" s="444">
        <f t="array" ref="J2575">IFERROR(INDEX('Retirement Calculator'!K:K,MATCH('Lorri 401b'!N2575,'Retirement Calculator'!A:A,0),0),0)</f>
        <v>0</v>
      </c>
      <c r="K2575" s="444">
        <f t="shared" ca="1" si="133"/>
        <v>-145900019.78975648</v>
      </c>
      <c r="L2575" s="444">
        <f t="shared" ca="1" si="134"/>
        <v>-35161904769.331314</v>
      </c>
      <c r="M2575" s="460">
        <f t="shared" si="136"/>
        <v>0.05</v>
      </c>
      <c r="N2575" s="464">
        <f t="shared" si="137"/>
        <v>129418</v>
      </c>
    </row>
    <row r="2576" spans="7:14" ht="11.25" customHeight="1" x14ac:dyDescent="0.25">
      <c r="G2576" s="459"/>
      <c r="H2576" s="459">
        <v>2569</v>
      </c>
      <c r="I2576" s="444">
        <f t="shared" ca="1" si="135"/>
        <v>-35161904769.331314</v>
      </c>
      <c r="J2576" s="444">
        <f t="array" ref="J2576">IFERROR(INDEX('Retirement Calculator'!K:K,MATCH('Lorri 401b'!N2576,'Retirement Calculator'!A:A,0),0),0)</f>
        <v>0</v>
      </c>
      <c r="K2576" s="444">
        <f t="shared" ca="1" si="133"/>
        <v>-146507936.53888047</v>
      </c>
      <c r="L2576" s="444">
        <f t="shared" ca="1" si="134"/>
        <v>-35308412705.870193</v>
      </c>
      <c r="M2576" s="460">
        <f t="shared" si="136"/>
        <v>0.05</v>
      </c>
      <c r="N2576" s="464">
        <f t="shared" si="137"/>
        <v>129449</v>
      </c>
    </row>
    <row r="2577" spans="7:14" ht="11.25" customHeight="1" x14ac:dyDescent="0.25">
      <c r="G2577" s="459"/>
      <c r="H2577" s="459">
        <v>2570</v>
      </c>
      <c r="I2577" s="444">
        <f t="shared" ca="1" si="135"/>
        <v>-35308412705.870193</v>
      </c>
      <c r="J2577" s="444">
        <f t="array" ref="J2577">IFERROR(INDEX('Retirement Calculator'!K:K,MATCH('Lorri 401b'!N2577,'Retirement Calculator'!A:A,0),0),0)</f>
        <v>0</v>
      </c>
      <c r="K2577" s="444">
        <f t="shared" ca="1" si="133"/>
        <v>-147118386.27445912</v>
      </c>
      <c r="L2577" s="444">
        <f t="shared" ca="1" si="134"/>
        <v>-35455531092.144653</v>
      </c>
      <c r="M2577" s="460">
        <f t="shared" si="136"/>
        <v>0.05</v>
      </c>
      <c r="N2577" s="464">
        <f t="shared" si="137"/>
        <v>129479</v>
      </c>
    </row>
    <row r="2578" spans="7:14" ht="11.25" customHeight="1" x14ac:dyDescent="0.25">
      <c r="G2578" s="459"/>
      <c r="H2578" s="459">
        <v>2571</v>
      </c>
      <c r="I2578" s="444">
        <f t="shared" ca="1" si="135"/>
        <v>-35455531092.144653</v>
      </c>
      <c r="J2578" s="444">
        <f t="array" ref="J2578">IFERROR(INDEX('Retirement Calculator'!K:K,MATCH('Lorri 401b'!N2578,'Retirement Calculator'!A:A,0),0),0)</f>
        <v>0</v>
      </c>
      <c r="K2578" s="444">
        <f t="shared" ca="1" si="133"/>
        <v>-147731379.55060273</v>
      </c>
      <c r="L2578" s="444">
        <f t="shared" ca="1" si="134"/>
        <v>-35603262471.695259</v>
      </c>
      <c r="M2578" s="460">
        <f t="shared" si="136"/>
        <v>0.05</v>
      </c>
      <c r="N2578" s="464">
        <f t="shared" si="137"/>
        <v>129510</v>
      </c>
    </row>
    <row r="2579" spans="7:14" ht="11.25" customHeight="1" x14ac:dyDescent="0.25">
      <c r="G2579" s="459"/>
      <c r="H2579" s="459">
        <v>2572</v>
      </c>
      <c r="I2579" s="444">
        <f t="shared" ca="1" si="135"/>
        <v>-35603262471.695259</v>
      </c>
      <c r="J2579" s="444">
        <f t="array" ref="J2579">IFERROR(INDEX('Retirement Calculator'!K:K,MATCH('Lorri 401b'!N2579,'Retirement Calculator'!A:A,0),0),0)</f>
        <v>0</v>
      </c>
      <c r="K2579" s="444">
        <f t="shared" ca="1" si="133"/>
        <v>-148346926.96539691</v>
      </c>
      <c r="L2579" s="444">
        <f t="shared" ca="1" si="134"/>
        <v>-35751609398.66066</v>
      </c>
      <c r="M2579" s="460">
        <f t="shared" si="136"/>
        <v>0.05</v>
      </c>
      <c r="N2579" s="464">
        <f t="shared" si="137"/>
        <v>129541</v>
      </c>
    </row>
    <row r="2580" spans="7:14" ht="11.25" customHeight="1" x14ac:dyDescent="0.25">
      <c r="G2580" s="459"/>
      <c r="H2580" s="459">
        <v>2573</v>
      </c>
      <c r="I2580" s="444">
        <f t="shared" ca="1" si="135"/>
        <v>-35751609398.66066</v>
      </c>
      <c r="J2580" s="444">
        <f t="array" ref="J2580">IFERROR(INDEX('Retirement Calculator'!K:K,MATCH('Lorri 401b'!N2580,'Retirement Calculator'!A:A,0),0),0)</f>
        <v>0</v>
      </c>
      <c r="K2580" s="444">
        <f t="shared" ca="1" si="133"/>
        <v>-148965039.16108608</v>
      </c>
      <c r="L2580" s="444">
        <f t="shared" ca="1" si="134"/>
        <v>-35900574437.821747</v>
      </c>
      <c r="M2580" s="460">
        <f t="shared" si="136"/>
        <v>0.05</v>
      </c>
      <c r="N2580" s="464">
        <f t="shared" si="137"/>
        <v>129571</v>
      </c>
    </row>
    <row r="2581" spans="7:14" ht="11.25" customHeight="1" x14ac:dyDescent="0.25">
      <c r="G2581" s="459"/>
      <c r="H2581" s="459">
        <v>2574</v>
      </c>
      <c r="I2581" s="444">
        <f t="shared" ca="1" si="135"/>
        <v>-35900574437.821747</v>
      </c>
      <c r="J2581" s="444">
        <f t="array" ref="J2581">IFERROR(INDEX('Retirement Calculator'!K:K,MATCH('Lorri 401b'!N2581,'Retirement Calculator'!A:A,0),0),0)</f>
        <v>0</v>
      </c>
      <c r="K2581" s="444">
        <f t="shared" ca="1" si="133"/>
        <v>-149585726.82425728</v>
      </c>
      <c r="L2581" s="444">
        <f t="shared" ca="1" si="134"/>
        <v>-36050160164.646004</v>
      </c>
      <c r="M2581" s="460">
        <f t="shared" si="136"/>
        <v>0.05</v>
      </c>
      <c r="N2581" s="464">
        <f t="shared" si="137"/>
        <v>129602</v>
      </c>
    </row>
    <row r="2582" spans="7:14" ht="11.25" customHeight="1" x14ac:dyDescent="0.25">
      <c r="G2582" s="459"/>
      <c r="H2582" s="459">
        <v>2575</v>
      </c>
      <c r="I2582" s="444">
        <f t="shared" ca="1" si="135"/>
        <v>-36050160164.646004</v>
      </c>
      <c r="J2582" s="444">
        <f t="array" ref="J2582">IFERROR(INDEX('Retirement Calculator'!K:K,MATCH('Lorri 401b'!N2582,'Retirement Calculator'!A:A,0),0),0)</f>
        <v>0</v>
      </c>
      <c r="K2582" s="444">
        <f t="shared" ca="1" si="133"/>
        <v>-150209000.68602502</v>
      </c>
      <c r="L2582" s="444">
        <f t="shared" ca="1" si="134"/>
        <v>-36200369165.332031</v>
      </c>
      <c r="M2582" s="460">
        <f t="shared" si="136"/>
        <v>0.05</v>
      </c>
      <c r="N2582" s="464">
        <f t="shared" si="137"/>
        <v>129632</v>
      </c>
    </row>
    <row r="2583" spans="7:14" ht="11.25" customHeight="1" x14ac:dyDescent="0.25">
      <c r="G2583" s="459"/>
      <c r="H2583" s="459">
        <v>2576</v>
      </c>
      <c r="I2583" s="444">
        <f t="shared" ca="1" si="135"/>
        <v>-36200369165.332031</v>
      </c>
      <c r="J2583" s="444">
        <f t="array" ref="J2583">IFERROR(INDEX('Retirement Calculator'!K:K,MATCH('Lorri 401b'!N2583,'Retirement Calculator'!A:A,0),0),0)</f>
        <v>0</v>
      </c>
      <c r="K2583" s="444">
        <f t="shared" ca="1" si="133"/>
        <v>-150834871.5222168</v>
      </c>
      <c r="L2583" s="444">
        <f t="shared" ca="1" si="134"/>
        <v>-36351204036.854248</v>
      </c>
      <c r="M2583" s="460">
        <f t="shared" si="136"/>
        <v>0.05</v>
      </c>
      <c r="N2583" s="464">
        <f t="shared" si="137"/>
        <v>129663</v>
      </c>
    </row>
    <row r="2584" spans="7:14" ht="11.25" customHeight="1" x14ac:dyDescent="0.25">
      <c r="G2584" s="459"/>
      <c r="H2584" s="459">
        <v>2577</v>
      </c>
      <c r="I2584" s="444">
        <f t="shared" ca="1" si="135"/>
        <v>-36351204036.854248</v>
      </c>
      <c r="J2584" s="444">
        <f t="array" ref="J2584">IFERROR(INDEX('Retirement Calculator'!K:K,MATCH('Lorri 401b'!N2584,'Retirement Calculator'!A:A,0),0),0)</f>
        <v>0</v>
      </c>
      <c r="K2584" s="444">
        <f t="shared" ca="1" si="133"/>
        <v>-151463350.15355936</v>
      </c>
      <c r="L2584" s="444">
        <f t="shared" ca="1" si="134"/>
        <v>-36502667387.007805</v>
      </c>
      <c r="M2584" s="460">
        <f t="shared" si="136"/>
        <v>0.05</v>
      </c>
      <c r="N2584" s="464">
        <f t="shared" si="137"/>
        <v>129694</v>
      </c>
    </row>
    <row r="2585" spans="7:14" ht="11.25" customHeight="1" x14ac:dyDescent="0.25">
      <c r="G2585" s="459"/>
      <c r="H2585" s="459">
        <v>2578</v>
      </c>
      <c r="I2585" s="444">
        <f t="shared" ca="1" si="135"/>
        <v>-36502667387.007805</v>
      </c>
      <c r="J2585" s="444">
        <f t="array" ref="J2585">IFERROR(INDEX('Retirement Calculator'!K:K,MATCH('Lorri 401b'!N2585,'Retirement Calculator'!A:A,0),0),0)</f>
        <v>0</v>
      </c>
      <c r="K2585" s="444">
        <f t="shared" ca="1" si="133"/>
        <v>-152094447.44586584</v>
      </c>
      <c r="L2585" s="444">
        <f t="shared" ca="1" si="134"/>
        <v>-36654761834.453674</v>
      </c>
      <c r="M2585" s="460">
        <f t="shared" si="136"/>
        <v>0.05</v>
      </c>
      <c r="N2585" s="464">
        <f t="shared" si="137"/>
        <v>129722</v>
      </c>
    </row>
    <row r="2586" spans="7:14" ht="11.25" customHeight="1" x14ac:dyDescent="0.25">
      <c r="G2586" s="459"/>
      <c r="H2586" s="459">
        <v>2579</v>
      </c>
      <c r="I2586" s="444">
        <f t="shared" ca="1" si="135"/>
        <v>-36654761834.453674</v>
      </c>
      <c r="J2586" s="444">
        <f t="array" ref="J2586">IFERROR(INDEX('Retirement Calculator'!K:K,MATCH('Lorri 401b'!N2586,'Retirement Calculator'!A:A,0),0),0)</f>
        <v>0</v>
      </c>
      <c r="K2586" s="444">
        <f t="shared" ca="1" si="133"/>
        <v>-152728174.31022364</v>
      </c>
      <c r="L2586" s="444">
        <f t="shared" ca="1" si="134"/>
        <v>-36807490008.763901</v>
      </c>
      <c r="M2586" s="460">
        <f t="shared" si="136"/>
        <v>0.05</v>
      </c>
      <c r="N2586" s="464">
        <f t="shared" si="137"/>
        <v>129753</v>
      </c>
    </row>
    <row r="2587" spans="7:14" ht="11.25" customHeight="1" x14ac:dyDescent="0.25">
      <c r="G2587" s="459"/>
      <c r="H2587" s="459">
        <v>2580</v>
      </c>
      <c r="I2587" s="444">
        <f t="shared" ca="1" si="135"/>
        <v>-36807490008.763901</v>
      </c>
      <c r="J2587" s="444">
        <f t="array" ref="J2587">IFERROR(INDEX('Retirement Calculator'!K:K,MATCH('Lorri 401b'!N2587,'Retirement Calculator'!A:A,0),0),0)</f>
        <v>0</v>
      </c>
      <c r="K2587" s="444">
        <f t="shared" ca="1" si="133"/>
        <v>-153364541.70318291</v>
      </c>
      <c r="L2587" s="444">
        <f t="shared" ca="1" si="134"/>
        <v>-36960854550.467087</v>
      </c>
      <c r="M2587" s="460">
        <f t="shared" si="136"/>
        <v>0.05</v>
      </c>
      <c r="N2587" s="464">
        <f t="shared" si="137"/>
        <v>129783</v>
      </c>
    </row>
    <row r="2588" spans="7:14" ht="11.25" customHeight="1" x14ac:dyDescent="0.25">
      <c r="G2588" s="459"/>
      <c r="H2588" s="459">
        <v>2581</v>
      </c>
      <c r="I2588" s="444">
        <f t="shared" ca="1" si="135"/>
        <v>-36960854550.467087</v>
      </c>
      <c r="J2588" s="444">
        <f t="array" ref="J2588">IFERROR(INDEX('Retirement Calculator'!K:K,MATCH('Lorri 401b'!N2588,'Retirement Calculator'!A:A,0),0),0)</f>
        <v>0</v>
      </c>
      <c r="K2588" s="444">
        <f t="shared" ca="1" si="133"/>
        <v>-154003560.62694618</v>
      </c>
      <c r="L2588" s="444">
        <f t="shared" ca="1" si="134"/>
        <v>-37114858111.094032</v>
      </c>
      <c r="M2588" s="460">
        <f t="shared" si="136"/>
        <v>0.05</v>
      </c>
      <c r="N2588" s="464">
        <f t="shared" si="137"/>
        <v>129814</v>
      </c>
    </row>
    <row r="2589" spans="7:14" ht="11.25" customHeight="1" x14ac:dyDescent="0.25">
      <c r="G2589" s="459"/>
      <c r="H2589" s="459">
        <v>2582</v>
      </c>
      <c r="I2589" s="444">
        <f t="shared" ca="1" si="135"/>
        <v>-37114858111.094032</v>
      </c>
      <c r="J2589" s="444">
        <f t="array" ref="J2589">IFERROR(INDEX('Retirement Calculator'!K:K,MATCH('Lorri 401b'!N2589,'Retirement Calculator'!A:A,0),0),0)</f>
        <v>0</v>
      </c>
      <c r="K2589" s="444">
        <f t="shared" ca="1" si="133"/>
        <v>-154645242.12955847</v>
      </c>
      <c r="L2589" s="444">
        <f t="shared" ca="1" si="134"/>
        <v>-37269503353.223587</v>
      </c>
      <c r="M2589" s="460">
        <f t="shared" si="136"/>
        <v>0.05</v>
      </c>
      <c r="N2589" s="464">
        <f t="shared" si="137"/>
        <v>129844</v>
      </c>
    </row>
    <row r="2590" spans="7:14" ht="11.25" customHeight="1" x14ac:dyDescent="0.25">
      <c r="G2590" s="459"/>
      <c r="H2590" s="459">
        <v>2583</v>
      </c>
      <c r="I2590" s="444">
        <f t="shared" ca="1" si="135"/>
        <v>-37269503353.223587</v>
      </c>
      <c r="J2590" s="444">
        <f t="array" ref="J2590">IFERROR(INDEX('Retirement Calculator'!K:K,MATCH('Lorri 401b'!N2590,'Retirement Calculator'!A:A,0),0),0)</f>
        <v>0</v>
      </c>
      <c r="K2590" s="444">
        <f t="shared" ca="1" si="133"/>
        <v>-155289597.30509827</v>
      </c>
      <c r="L2590" s="444">
        <f t="shared" ca="1" si="134"/>
        <v>-37424792950.528687</v>
      </c>
      <c r="M2590" s="460">
        <f t="shared" si="136"/>
        <v>0.05</v>
      </c>
      <c r="N2590" s="464">
        <f t="shared" si="137"/>
        <v>129875</v>
      </c>
    </row>
    <row r="2591" spans="7:14" ht="11.25" customHeight="1" x14ac:dyDescent="0.25">
      <c r="G2591" s="459"/>
      <c r="H2591" s="459">
        <v>2584</v>
      </c>
      <c r="I2591" s="444">
        <f t="shared" ca="1" si="135"/>
        <v>-37424792950.528687</v>
      </c>
      <c r="J2591" s="444">
        <f t="array" ref="J2591">IFERROR(INDEX('Retirement Calculator'!K:K,MATCH('Lorri 401b'!N2591,'Retirement Calculator'!A:A,0),0),0)</f>
        <v>0</v>
      </c>
      <c r="K2591" s="444">
        <f t="shared" ca="1" si="133"/>
        <v>-155936637.29386953</v>
      </c>
      <c r="L2591" s="444">
        <f t="shared" ca="1" si="134"/>
        <v>-37580729587.822556</v>
      </c>
      <c r="M2591" s="460">
        <f t="shared" si="136"/>
        <v>0.05</v>
      </c>
      <c r="N2591" s="464">
        <f t="shared" si="137"/>
        <v>129906</v>
      </c>
    </row>
    <row r="2592" spans="7:14" ht="11.25" customHeight="1" x14ac:dyDescent="0.25">
      <c r="G2592" s="459"/>
      <c r="H2592" s="459">
        <v>2585</v>
      </c>
      <c r="I2592" s="444">
        <f t="shared" ca="1" si="135"/>
        <v>-37580729587.822556</v>
      </c>
      <c r="J2592" s="444">
        <f t="array" ref="J2592">IFERROR(INDEX('Retirement Calculator'!K:K,MATCH('Lorri 401b'!N2592,'Retirement Calculator'!A:A,0),0),0)</f>
        <v>0</v>
      </c>
      <c r="K2592" s="444">
        <f t="shared" ca="1" si="133"/>
        <v>-156586373.28259397</v>
      </c>
      <c r="L2592" s="444">
        <f t="shared" ca="1" si="134"/>
        <v>-37737315961.105148</v>
      </c>
      <c r="M2592" s="460">
        <f t="shared" si="136"/>
        <v>0.05</v>
      </c>
      <c r="N2592" s="464">
        <f t="shared" si="137"/>
        <v>129936</v>
      </c>
    </row>
    <row r="2593" spans="7:14" ht="11.25" customHeight="1" x14ac:dyDescent="0.25">
      <c r="G2593" s="459"/>
      <c r="H2593" s="459">
        <v>2586</v>
      </c>
      <c r="I2593" s="444">
        <f t="shared" ca="1" si="135"/>
        <v>-37737315961.105148</v>
      </c>
      <c r="J2593" s="444">
        <f t="array" ref="J2593">IFERROR(INDEX('Retirement Calculator'!K:K,MATCH('Lorri 401b'!N2593,'Retirement Calculator'!A:A,0),0),0)</f>
        <v>0</v>
      </c>
      <c r="K2593" s="444">
        <f t="shared" ca="1" si="133"/>
        <v>-157238816.50460479</v>
      </c>
      <c r="L2593" s="444">
        <f t="shared" ca="1" si="134"/>
        <v>-37894554777.609756</v>
      </c>
      <c r="M2593" s="460">
        <f t="shared" si="136"/>
        <v>0.05</v>
      </c>
      <c r="N2593" s="464">
        <f t="shared" si="137"/>
        <v>129967</v>
      </c>
    </row>
    <row r="2594" spans="7:14" ht="11.25" customHeight="1" x14ac:dyDescent="0.25">
      <c r="G2594" s="459"/>
      <c r="H2594" s="459">
        <v>2587</v>
      </c>
      <c r="I2594" s="444">
        <f t="shared" ca="1" si="135"/>
        <v>-37894554777.609756</v>
      </c>
      <c r="J2594" s="444">
        <f t="array" ref="J2594">IFERROR(INDEX('Retirement Calculator'!K:K,MATCH('Lorri 401b'!N2594,'Retirement Calculator'!A:A,0),0),0)</f>
        <v>0</v>
      </c>
      <c r="K2594" s="444">
        <f t="shared" ca="1" si="133"/>
        <v>-157893978.24004066</v>
      </c>
      <c r="L2594" s="444">
        <f t="shared" ca="1" si="134"/>
        <v>-38052448755.8498</v>
      </c>
      <c r="M2594" s="460">
        <f t="shared" si="136"/>
        <v>0.05</v>
      </c>
      <c r="N2594" s="464">
        <f t="shared" si="137"/>
        <v>129997</v>
      </c>
    </row>
    <row r="2595" spans="7:14" ht="11.25" customHeight="1" x14ac:dyDescent="0.25">
      <c r="G2595" s="459"/>
      <c r="H2595" s="459">
        <v>2588</v>
      </c>
      <c r="I2595" s="444">
        <f t="shared" ca="1" si="135"/>
        <v>-38052448755.8498</v>
      </c>
      <c r="J2595" s="444">
        <f t="array" ref="J2595">IFERROR(INDEX('Retirement Calculator'!K:K,MATCH('Lorri 401b'!N2595,'Retirement Calculator'!A:A,0),0),0)</f>
        <v>0</v>
      </c>
      <c r="K2595" s="444">
        <f t="shared" ca="1" si="133"/>
        <v>-158551869.81604084</v>
      </c>
      <c r="L2595" s="444">
        <f t="shared" ca="1" si="134"/>
        <v>-38211000625.66584</v>
      </c>
      <c r="M2595" s="460">
        <f t="shared" si="136"/>
        <v>0.05</v>
      </c>
      <c r="N2595" s="464">
        <f t="shared" si="137"/>
        <v>130028</v>
      </c>
    </row>
    <row r="2596" spans="7:14" ht="11.25" customHeight="1" x14ac:dyDescent="0.25">
      <c r="G2596" s="459"/>
      <c r="H2596" s="459">
        <v>2589</v>
      </c>
      <c r="I2596" s="444">
        <f t="shared" ca="1" si="135"/>
        <v>-38211000625.66584</v>
      </c>
      <c r="J2596" s="444">
        <f t="array" ref="J2596">IFERROR(INDEX('Retirement Calculator'!K:K,MATCH('Lorri 401b'!N2596,'Retirement Calculator'!A:A,0),0),0)</f>
        <v>0</v>
      </c>
      <c r="K2596" s="444">
        <f t="shared" ca="1" si="133"/>
        <v>-159212502.60694098</v>
      </c>
      <c r="L2596" s="444">
        <f t="shared" ca="1" si="134"/>
        <v>-38370213128.272781</v>
      </c>
      <c r="M2596" s="460">
        <f t="shared" si="136"/>
        <v>0.05</v>
      </c>
      <c r="N2596" s="464">
        <f t="shared" si="137"/>
        <v>130059</v>
      </c>
    </row>
    <row r="2597" spans="7:14" ht="11.25" customHeight="1" x14ac:dyDescent="0.25">
      <c r="G2597" s="459"/>
      <c r="H2597" s="459">
        <v>2590</v>
      </c>
      <c r="I2597" s="444">
        <f t="shared" ca="1" si="135"/>
        <v>-38370213128.272781</v>
      </c>
      <c r="J2597" s="444">
        <f t="array" ref="J2597">IFERROR(INDEX('Retirement Calculator'!K:K,MATCH('Lorri 401b'!N2597,'Retirement Calculator'!A:A,0),0),0)</f>
        <v>0</v>
      </c>
      <c r="K2597" s="444">
        <f t="shared" ca="1" si="133"/>
        <v>-159875888.03446993</v>
      </c>
      <c r="L2597" s="444">
        <f t="shared" ca="1" si="134"/>
        <v>-38530089016.307251</v>
      </c>
      <c r="M2597" s="460">
        <f t="shared" si="136"/>
        <v>0.05</v>
      </c>
      <c r="N2597" s="464">
        <f t="shared" si="137"/>
        <v>130088</v>
      </c>
    </row>
    <row r="2598" spans="7:14" ht="11.25" customHeight="1" x14ac:dyDescent="0.25">
      <c r="G2598" s="459"/>
      <c r="H2598" s="459">
        <v>2591</v>
      </c>
      <c r="I2598" s="444">
        <f t="shared" ca="1" si="135"/>
        <v>-38530089016.307251</v>
      </c>
      <c r="J2598" s="444">
        <f t="array" ref="J2598">IFERROR(INDEX('Retirement Calculator'!K:K,MATCH('Lorri 401b'!N2598,'Retirement Calculator'!A:A,0),0),0)</f>
        <v>0</v>
      </c>
      <c r="K2598" s="444">
        <f t="shared" ca="1" si="133"/>
        <v>-160542037.56794688</v>
      </c>
      <c r="L2598" s="444">
        <f t="shared" ca="1" si="134"/>
        <v>-38690631053.875198</v>
      </c>
      <c r="M2598" s="460">
        <f t="shared" si="136"/>
        <v>0.05</v>
      </c>
      <c r="N2598" s="464">
        <f t="shared" si="137"/>
        <v>130119</v>
      </c>
    </row>
    <row r="2599" spans="7:14" ht="11.25" customHeight="1" x14ac:dyDescent="0.25">
      <c r="G2599" s="459"/>
      <c r="H2599" s="459">
        <v>2592</v>
      </c>
      <c r="I2599" s="444">
        <f t="shared" ca="1" si="135"/>
        <v>-38690631053.875198</v>
      </c>
      <c r="J2599" s="444">
        <f t="array" ref="J2599">IFERROR(INDEX('Retirement Calculator'!K:K,MATCH('Lorri 401b'!N2599,'Retirement Calculator'!A:A,0),0),0)</f>
        <v>0</v>
      </c>
      <c r="K2599" s="444">
        <f t="shared" ca="1" si="133"/>
        <v>-161210962.72448</v>
      </c>
      <c r="L2599" s="444">
        <f t="shared" ca="1" si="134"/>
        <v>-38851842016.599678</v>
      </c>
      <c r="M2599" s="460">
        <f t="shared" si="136"/>
        <v>0.05</v>
      </c>
      <c r="N2599" s="464">
        <f t="shared" si="137"/>
        <v>130149</v>
      </c>
    </row>
    <row r="2600" spans="7:14" ht="11.25" customHeight="1" x14ac:dyDescent="0.25">
      <c r="G2600" s="459"/>
      <c r="H2600" s="459">
        <v>2593</v>
      </c>
      <c r="I2600" s="444">
        <f t="shared" ca="1" si="135"/>
        <v>-38851842016.599678</v>
      </c>
      <c r="J2600" s="444">
        <f t="array" ref="J2600">IFERROR(INDEX('Retirement Calculator'!K:K,MATCH('Lorri 401b'!N2600,'Retirement Calculator'!A:A,0),0),0)</f>
        <v>0</v>
      </c>
      <c r="K2600" s="444">
        <f t="shared" ca="1" si="133"/>
        <v>-161882675.06916532</v>
      </c>
      <c r="L2600" s="444">
        <f t="shared" ca="1" si="134"/>
        <v>-39013724691.668846</v>
      </c>
      <c r="M2600" s="460">
        <f t="shared" si="136"/>
        <v>0.05</v>
      </c>
      <c r="N2600" s="464">
        <f t="shared" si="137"/>
        <v>130180</v>
      </c>
    </row>
    <row r="2601" spans="7:14" ht="11.25" customHeight="1" x14ac:dyDescent="0.25">
      <c r="G2601" s="459"/>
      <c r="H2601" s="459">
        <v>2594</v>
      </c>
      <c r="I2601" s="444">
        <f t="shared" ca="1" si="135"/>
        <v>-39013724691.668846</v>
      </c>
      <c r="J2601" s="444">
        <f t="array" ref="J2601">IFERROR(INDEX('Retirement Calculator'!K:K,MATCH('Lorri 401b'!N2601,'Retirement Calculator'!A:A,0),0),0)</f>
        <v>0</v>
      </c>
      <c r="K2601" s="444">
        <f t="shared" ca="1" si="133"/>
        <v>-162557186.21528685</v>
      </c>
      <c r="L2601" s="444">
        <f t="shared" ca="1" si="134"/>
        <v>-39176281877.884132</v>
      </c>
      <c r="M2601" s="460">
        <f t="shared" si="136"/>
        <v>0.05</v>
      </c>
      <c r="N2601" s="464">
        <f t="shared" si="137"/>
        <v>130210</v>
      </c>
    </row>
    <row r="2602" spans="7:14" ht="11.25" customHeight="1" x14ac:dyDescent="0.25">
      <c r="G2602" s="459"/>
      <c r="H2602" s="459">
        <v>2595</v>
      </c>
      <c r="I2602" s="444">
        <f t="shared" ca="1" si="135"/>
        <v>-39176281877.884132</v>
      </c>
      <c r="J2602" s="444">
        <f t="array" ref="J2602">IFERROR(INDEX('Retirement Calculator'!K:K,MATCH('Lorri 401b'!N2602,'Retirement Calculator'!A:A,0),0),0)</f>
        <v>0</v>
      </c>
      <c r="K2602" s="444">
        <f t="shared" ca="1" si="133"/>
        <v>-163234507.82451722</v>
      </c>
      <c r="L2602" s="444">
        <f t="shared" ca="1" si="134"/>
        <v>-39339516385.708649</v>
      </c>
      <c r="M2602" s="460">
        <f t="shared" si="136"/>
        <v>0.05</v>
      </c>
      <c r="N2602" s="464">
        <f t="shared" si="137"/>
        <v>130241</v>
      </c>
    </row>
    <row r="2603" spans="7:14" ht="11.25" customHeight="1" x14ac:dyDescent="0.25">
      <c r="G2603" s="459"/>
      <c r="H2603" s="459">
        <v>2596</v>
      </c>
      <c r="I2603" s="444">
        <f t="shared" ca="1" si="135"/>
        <v>-39339516385.708649</v>
      </c>
      <c r="J2603" s="444">
        <f t="array" ref="J2603">IFERROR(INDEX('Retirement Calculator'!K:K,MATCH('Lorri 401b'!N2603,'Retirement Calculator'!A:A,0),0),0)</f>
        <v>0</v>
      </c>
      <c r="K2603" s="444">
        <f t="shared" ca="1" si="133"/>
        <v>-163914651.60711938</v>
      </c>
      <c r="L2603" s="444">
        <f t="shared" ca="1" si="134"/>
        <v>-39503431037.315765</v>
      </c>
      <c r="M2603" s="460">
        <f t="shared" si="136"/>
        <v>0.05</v>
      </c>
      <c r="N2603" s="464">
        <f t="shared" si="137"/>
        <v>130272</v>
      </c>
    </row>
    <row r="2604" spans="7:14" ht="11.25" customHeight="1" x14ac:dyDescent="0.25">
      <c r="G2604" s="459"/>
      <c r="H2604" s="459">
        <v>2597</v>
      </c>
      <c r="I2604" s="444">
        <f t="shared" ca="1" si="135"/>
        <v>-39503431037.315765</v>
      </c>
      <c r="J2604" s="444">
        <f t="array" ref="J2604">IFERROR(INDEX('Retirement Calculator'!K:K,MATCH('Lorri 401b'!N2604,'Retirement Calculator'!A:A,0),0),0)</f>
        <v>0</v>
      </c>
      <c r="K2604" s="444">
        <f t="shared" ca="1" si="133"/>
        <v>-164597629.32214901</v>
      </c>
      <c r="L2604" s="444">
        <f t="shared" ca="1" si="134"/>
        <v>-39668028666.637917</v>
      </c>
      <c r="M2604" s="460">
        <f t="shared" si="136"/>
        <v>0.05</v>
      </c>
      <c r="N2604" s="464">
        <f t="shared" si="137"/>
        <v>130302</v>
      </c>
    </row>
    <row r="2605" spans="7:14" ht="11.25" customHeight="1" x14ac:dyDescent="0.25">
      <c r="G2605" s="459"/>
      <c r="H2605" s="459">
        <v>2598</v>
      </c>
      <c r="I2605" s="444">
        <f t="shared" ca="1" si="135"/>
        <v>-39668028666.637917</v>
      </c>
      <c r="J2605" s="444">
        <f t="array" ref="J2605">IFERROR(INDEX('Retirement Calculator'!K:K,MATCH('Lorri 401b'!N2605,'Retirement Calculator'!A:A,0),0),0)</f>
        <v>0</v>
      </c>
      <c r="K2605" s="444">
        <f t="shared" ca="1" si="133"/>
        <v>-165283452.77765799</v>
      </c>
      <c r="L2605" s="444">
        <f t="shared" ca="1" si="134"/>
        <v>-39833312119.415573</v>
      </c>
      <c r="M2605" s="460">
        <f t="shared" si="136"/>
        <v>0.05</v>
      </c>
      <c r="N2605" s="464">
        <f t="shared" si="137"/>
        <v>130333</v>
      </c>
    </row>
    <row r="2606" spans="7:14" ht="11.25" customHeight="1" x14ac:dyDescent="0.25">
      <c r="G2606" s="459"/>
      <c r="H2606" s="459">
        <v>2599</v>
      </c>
      <c r="I2606" s="444">
        <f t="shared" ca="1" si="135"/>
        <v>-39833312119.415573</v>
      </c>
      <c r="J2606" s="444">
        <f t="array" ref="J2606">IFERROR(INDEX('Retirement Calculator'!K:K,MATCH('Lorri 401b'!N2606,'Retirement Calculator'!A:A,0),0),0)</f>
        <v>0</v>
      </c>
      <c r="K2606" s="444">
        <f t="shared" ca="1" si="133"/>
        <v>-165972133.83089823</v>
      </c>
      <c r="L2606" s="444">
        <f t="shared" ca="1" si="134"/>
        <v>-39999284253.246468</v>
      </c>
      <c r="M2606" s="460">
        <f t="shared" si="136"/>
        <v>0.05</v>
      </c>
      <c r="N2606" s="464">
        <f t="shared" si="137"/>
        <v>130363</v>
      </c>
    </row>
    <row r="2607" spans="7:14" ht="11.25" customHeight="1" x14ac:dyDescent="0.25">
      <c r="G2607" s="459"/>
      <c r="H2607" s="459">
        <v>2600</v>
      </c>
      <c r="I2607" s="444">
        <f t="shared" ca="1" si="135"/>
        <v>-39999284253.246468</v>
      </c>
      <c r="J2607" s="444">
        <f t="array" ref="J2607">IFERROR(INDEX('Retirement Calculator'!K:K,MATCH('Lorri 401b'!N2607,'Retirement Calculator'!A:A,0),0),0)</f>
        <v>0</v>
      </c>
      <c r="K2607" s="444">
        <f t="shared" ca="1" si="133"/>
        <v>-166663684.38852695</v>
      </c>
      <c r="L2607" s="444">
        <f t="shared" ca="1" si="134"/>
        <v>-40165947937.634995</v>
      </c>
      <c r="M2607" s="460">
        <f t="shared" si="136"/>
        <v>0.05</v>
      </c>
      <c r="N2607" s="464">
        <f t="shared" si="137"/>
        <v>130394</v>
      </c>
    </row>
    <row r="2608" spans="7:14" ht="11.25" customHeight="1" x14ac:dyDescent="0.25">
      <c r="G2608" s="459"/>
      <c r="H2608" s="459">
        <v>2601</v>
      </c>
      <c r="I2608" s="444">
        <f t="shared" ca="1" si="135"/>
        <v>-40165947937.634995</v>
      </c>
      <c r="J2608" s="444">
        <f t="array" ref="J2608">IFERROR(INDEX('Retirement Calculator'!K:K,MATCH('Lorri 401b'!N2608,'Retirement Calculator'!A:A,0),0),0)</f>
        <v>0</v>
      </c>
      <c r="K2608" s="444">
        <f t="shared" ca="1" si="133"/>
        <v>-167358116.40681249</v>
      </c>
      <c r="L2608" s="444">
        <f t="shared" ca="1" si="134"/>
        <v>-40333306054.041809</v>
      </c>
      <c r="M2608" s="460">
        <f t="shared" si="136"/>
        <v>0.05</v>
      </c>
      <c r="N2608" s="464">
        <f t="shared" si="137"/>
        <v>130425</v>
      </c>
    </row>
    <row r="2609" spans="7:14" ht="11.25" customHeight="1" x14ac:dyDescent="0.25">
      <c r="G2609" s="459"/>
      <c r="H2609" s="459">
        <v>2602</v>
      </c>
      <c r="I2609" s="444">
        <f t="shared" ca="1" si="135"/>
        <v>-40333306054.041809</v>
      </c>
      <c r="J2609" s="444">
        <f t="array" ref="J2609">IFERROR(INDEX('Retirement Calculator'!K:K,MATCH('Lorri 401b'!N2609,'Retirement Calculator'!A:A,0),0),0)</f>
        <v>0</v>
      </c>
      <c r="K2609" s="444">
        <f t="shared" ca="1" si="133"/>
        <v>-168055441.89184088</v>
      </c>
      <c r="L2609" s="444">
        <f t="shared" ca="1" si="134"/>
        <v>-40501361495.933647</v>
      </c>
      <c r="M2609" s="460">
        <f t="shared" si="136"/>
        <v>0.05</v>
      </c>
      <c r="N2609" s="464">
        <f t="shared" si="137"/>
        <v>130453</v>
      </c>
    </row>
    <row r="2610" spans="7:14" ht="11.25" customHeight="1" x14ac:dyDescent="0.25">
      <c r="G2610" s="459"/>
      <c r="H2610" s="459">
        <v>2603</v>
      </c>
      <c r="I2610" s="444">
        <f t="shared" ca="1" si="135"/>
        <v>-40501361495.933647</v>
      </c>
      <c r="J2610" s="444">
        <f t="array" ref="J2610">IFERROR(INDEX('Retirement Calculator'!K:K,MATCH('Lorri 401b'!N2610,'Retirement Calculator'!A:A,0),0),0)</f>
        <v>0</v>
      </c>
      <c r="K2610" s="444">
        <f t="shared" ca="1" si="133"/>
        <v>-168755672.89972353</v>
      </c>
      <c r="L2610" s="444">
        <f t="shared" ca="1" si="134"/>
        <v>-40670117168.833374</v>
      </c>
      <c r="M2610" s="460">
        <f t="shared" si="136"/>
        <v>0.05</v>
      </c>
      <c r="N2610" s="464">
        <f t="shared" si="137"/>
        <v>130484</v>
      </c>
    </row>
    <row r="2611" spans="7:14" ht="11.25" customHeight="1" x14ac:dyDescent="0.25">
      <c r="G2611" s="459"/>
      <c r="H2611" s="459">
        <v>2604</v>
      </c>
      <c r="I2611" s="444">
        <f t="shared" ca="1" si="135"/>
        <v>-40670117168.833374</v>
      </c>
      <c r="J2611" s="444">
        <f t="array" ref="J2611">IFERROR(INDEX('Retirement Calculator'!K:K,MATCH('Lorri 401b'!N2611,'Retirement Calculator'!A:A,0),0),0)</f>
        <v>0</v>
      </c>
      <c r="K2611" s="444">
        <f t="shared" ca="1" si="133"/>
        <v>-169458821.53680572</v>
      </c>
      <c r="L2611" s="444">
        <f t="shared" ca="1" si="134"/>
        <v>-40839575990.370178</v>
      </c>
      <c r="M2611" s="460">
        <f t="shared" si="136"/>
        <v>0.05</v>
      </c>
      <c r="N2611" s="464">
        <f t="shared" si="137"/>
        <v>130514</v>
      </c>
    </row>
    <row r="2612" spans="7:14" ht="11.25" customHeight="1" x14ac:dyDescent="0.25">
      <c r="G2612" s="459"/>
      <c r="H2612" s="459">
        <v>2605</v>
      </c>
      <c r="I2612" s="444">
        <f t="shared" ca="1" si="135"/>
        <v>-40839575990.370178</v>
      </c>
      <c r="J2612" s="444">
        <f t="array" ref="J2612">IFERROR(INDEX('Retirement Calculator'!K:K,MATCH('Lorri 401b'!N2612,'Retirement Calculator'!A:A,0),0),0)</f>
        <v>0</v>
      </c>
      <c r="K2612" s="444">
        <f t="shared" ca="1" si="133"/>
        <v>-170164899.95987573</v>
      </c>
      <c r="L2612" s="444">
        <f t="shared" ca="1" si="134"/>
        <v>-41009740890.330055</v>
      </c>
      <c r="M2612" s="460">
        <f t="shared" si="136"/>
        <v>0.05</v>
      </c>
      <c r="N2612" s="464">
        <f t="shared" si="137"/>
        <v>130545</v>
      </c>
    </row>
    <row r="2613" spans="7:14" ht="11.25" customHeight="1" x14ac:dyDescent="0.25">
      <c r="G2613" s="459"/>
      <c r="H2613" s="459">
        <v>2606</v>
      </c>
      <c r="I2613" s="444">
        <f t="shared" ca="1" si="135"/>
        <v>-41009740890.330055</v>
      </c>
      <c r="J2613" s="444">
        <f t="array" ref="J2613">IFERROR(INDEX('Retirement Calculator'!K:K,MATCH('Lorri 401b'!N2613,'Retirement Calculator'!A:A,0),0),0)</f>
        <v>0</v>
      </c>
      <c r="K2613" s="444">
        <f t="shared" ca="1" si="133"/>
        <v>-170873920.37637523</v>
      </c>
      <c r="L2613" s="444">
        <f t="shared" ca="1" si="134"/>
        <v>-41180614810.706429</v>
      </c>
      <c r="M2613" s="460">
        <f t="shared" si="136"/>
        <v>0.05</v>
      </c>
      <c r="N2613" s="464">
        <f t="shared" si="137"/>
        <v>130575</v>
      </c>
    </row>
    <row r="2614" spans="7:14" ht="11.25" customHeight="1" x14ac:dyDescent="0.25">
      <c r="G2614" s="459"/>
      <c r="H2614" s="459">
        <v>2607</v>
      </c>
      <c r="I2614" s="444">
        <f t="shared" ca="1" si="135"/>
        <v>-41180614810.706429</v>
      </c>
      <c r="J2614" s="444">
        <f t="array" ref="J2614">IFERROR(INDEX('Retirement Calculator'!K:K,MATCH('Lorri 401b'!N2614,'Retirement Calculator'!A:A,0),0),0)</f>
        <v>0</v>
      </c>
      <c r="K2614" s="444">
        <f t="shared" ca="1" si="133"/>
        <v>-171585895.04461011</v>
      </c>
      <c r="L2614" s="444">
        <f t="shared" ca="1" si="134"/>
        <v>-41352200705.751038</v>
      </c>
      <c r="M2614" s="460">
        <f t="shared" si="136"/>
        <v>0.05</v>
      </c>
      <c r="N2614" s="464">
        <f t="shared" si="137"/>
        <v>130606</v>
      </c>
    </row>
    <row r="2615" spans="7:14" ht="11.25" customHeight="1" x14ac:dyDescent="0.25">
      <c r="G2615" s="459"/>
      <c r="H2615" s="459">
        <v>2608</v>
      </c>
      <c r="I2615" s="444">
        <f t="shared" ca="1" si="135"/>
        <v>-41352200705.751038</v>
      </c>
      <c r="J2615" s="444">
        <f t="array" ref="J2615">IFERROR(INDEX('Retirement Calculator'!K:K,MATCH('Lorri 401b'!N2615,'Retirement Calculator'!A:A,0),0),0)</f>
        <v>0</v>
      </c>
      <c r="K2615" s="444">
        <f t="shared" ca="1" si="133"/>
        <v>-172300836.27396265</v>
      </c>
      <c r="L2615" s="444">
        <f t="shared" ca="1" si="134"/>
        <v>-41524501542.025002</v>
      </c>
      <c r="M2615" s="460">
        <f t="shared" si="136"/>
        <v>0.05</v>
      </c>
      <c r="N2615" s="464">
        <f t="shared" si="137"/>
        <v>130637</v>
      </c>
    </row>
    <row r="2616" spans="7:14" ht="11.25" customHeight="1" x14ac:dyDescent="0.25">
      <c r="G2616" s="459"/>
      <c r="H2616" s="459">
        <v>2609</v>
      </c>
      <c r="I2616" s="444">
        <f t="shared" ca="1" si="135"/>
        <v>-41524501542.025002</v>
      </c>
      <c r="J2616" s="444">
        <f t="array" ref="J2616">IFERROR(INDEX('Retirement Calculator'!K:K,MATCH('Lorri 401b'!N2616,'Retirement Calculator'!A:A,0),0),0)</f>
        <v>0</v>
      </c>
      <c r="K2616" s="444">
        <f t="shared" ca="1" si="133"/>
        <v>-173018756.42510417</v>
      </c>
      <c r="L2616" s="444">
        <f t="shared" ca="1" si="134"/>
        <v>-41697520298.450104</v>
      </c>
      <c r="M2616" s="460">
        <f t="shared" si="136"/>
        <v>0.05</v>
      </c>
      <c r="N2616" s="464">
        <f t="shared" si="137"/>
        <v>130667</v>
      </c>
    </row>
    <row r="2617" spans="7:14" ht="11.25" customHeight="1" x14ac:dyDescent="0.25">
      <c r="G2617" s="459"/>
      <c r="H2617" s="459">
        <v>2610</v>
      </c>
      <c r="I2617" s="444">
        <f t="shared" ca="1" si="135"/>
        <v>-41697520298.450104</v>
      </c>
      <c r="J2617" s="444">
        <f t="array" ref="J2617">IFERROR(INDEX('Retirement Calculator'!K:K,MATCH('Lorri 401b'!N2617,'Retirement Calculator'!A:A,0),0),0)</f>
        <v>0</v>
      </c>
      <c r="K2617" s="444">
        <f t="shared" ca="1" si="133"/>
        <v>-173739667.91020876</v>
      </c>
      <c r="L2617" s="444">
        <f t="shared" ca="1" si="134"/>
        <v>-41871259966.360313</v>
      </c>
      <c r="M2617" s="460">
        <f t="shared" si="136"/>
        <v>0.05</v>
      </c>
      <c r="N2617" s="464">
        <f t="shared" si="137"/>
        <v>130698</v>
      </c>
    </row>
    <row r="2618" spans="7:14" ht="11.25" customHeight="1" x14ac:dyDescent="0.25">
      <c r="G2618" s="459"/>
      <c r="H2618" s="459">
        <v>2611</v>
      </c>
      <c r="I2618" s="444">
        <f t="shared" ca="1" si="135"/>
        <v>-41871259966.360313</v>
      </c>
      <c r="J2618" s="444">
        <f t="array" ref="J2618">IFERROR(INDEX('Retirement Calculator'!K:K,MATCH('Lorri 401b'!N2618,'Retirement Calculator'!A:A,0),0),0)</f>
        <v>0</v>
      </c>
      <c r="K2618" s="444">
        <f t="shared" ca="1" si="133"/>
        <v>-174463583.19316798</v>
      </c>
      <c r="L2618" s="444">
        <f t="shared" ca="1" si="134"/>
        <v>-42045723549.553482</v>
      </c>
      <c r="M2618" s="460">
        <f t="shared" si="136"/>
        <v>0.05</v>
      </c>
      <c r="N2618" s="464">
        <f t="shared" si="137"/>
        <v>130728</v>
      </c>
    </row>
    <row r="2619" spans="7:14" ht="11.25" customHeight="1" x14ac:dyDescent="0.25">
      <c r="G2619" s="459"/>
      <c r="H2619" s="459">
        <v>2612</v>
      </c>
      <c r="I2619" s="444">
        <f t="shared" ca="1" si="135"/>
        <v>-42045723549.553482</v>
      </c>
      <c r="J2619" s="444">
        <f t="array" ref="J2619">IFERROR(INDEX('Retirement Calculator'!K:K,MATCH('Lorri 401b'!N2619,'Retirement Calculator'!A:A,0),0),0)</f>
        <v>0</v>
      </c>
      <c r="K2619" s="444">
        <f t="shared" ca="1" si="133"/>
        <v>-175190514.78980619</v>
      </c>
      <c r="L2619" s="444">
        <f t="shared" ca="1" si="134"/>
        <v>-42220914064.343285</v>
      </c>
      <c r="M2619" s="460">
        <f t="shared" si="136"/>
        <v>0.05</v>
      </c>
      <c r="N2619" s="464">
        <f t="shared" si="137"/>
        <v>130759</v>
      </c>
    </row>
    <row r="2620" spans="7:14" ht="11.25" customHeight="1" x14ac:dyDescent="0.25">
      <c r="G2620" s="459"/>
      <c r="H2620" s="459">
        <v>2613</v>
      </c>
      <c r="I2620" s="444">
        <f t="shared" ca="1" si="135"/>
        <v>-42220914064.343285</v>
      </c>
      <c r="J2620" s="444">
        <f t="array" ref="J2620">IFERROR(INDEX('Retirement Calculator'!K:K,MATCH('Lorri 401b'!N2620,'Retirement Calculator'!A:A,0),0),0)</f>
        <v>0</v>
      </c>
      <c r="K2620" s="444">
        <f t="shared" ca="1" si="133"/>
        <v>-175920475.26809701</v>
      </c>
      <c r="L2620" s="444">
        <f t="shared" ca="1" si="134"/>
        <v>-42396834539.611382</v>
      </c>
      <c r="M2620" s="460">
        <f t="shared" si="136"/>
        <v>0.05</v>
      </c>
      <c r="N2620" s="464">
        <f t="shared" si="137"/>
        <v>130790</v>
      </c>
    </row>
    <row r="2621" spans="7:14" ht="11.25" customHeight="1" x14ac:dyDescent="0.25">
      <c r="G2621" s="459"/>
      <c r="H2621" s="459">
        <v>2614</v>
      </c>
      <c r="I2621" s="444">
        <f t="shared" ca="1" si="135"/>
        <v>-42396834539.611382</v>
      </c>
      <c r="J2621" s="444">
        <f t="array" ref="J2621">IFERROR(INDEX('Retirement Calculator'!K:K,MATCH('Lorri 401b'!N2621,'Retirement Calculator'!A:A,0),0),0)</f>
        <v>0</v>
      </c>
      <c r="K2621" s="444">
        <f t="shared" ca="1" si="133"/>
        <v>-176653477.24838075</v>
      </c>
      <c r="L2621" s="444">
        <f t="shared" ca="1" si="134"/>
        <v>-42573488016.859764</v>
      </c>
      <c r="M2621" s="460">
        <f t="shared" si="136"/>
        <v>0.05</v>
      </c>
      <c r="N2621" s="464">
        <f t="shared" si="137"/>
        <v>130818</v>
      </c>
    </row>
    <row r="2622" spans="7:14" ht="11.25" customHeight="1" x14ac:dyDescent="0.25">
      <c r="G2622" s="459"/>
      <c r="H2622" s="459">
        <v>2615</v>
      </c>
      <c r="I2622" s="444">
        <f t="shared" ca="1" si="135"/>
        <v>-42573488016.859764</v>
      </c>
      <c r="J2622" s="444">
        <f t="array" ref="J2622">IFERROR(INDEX('Retirement Calculator'!K:K,MATCH('Lorri 401b'!N2622,'Retirement Calculator'!A:A,0),0),0)</f>
        <v>0</v>
      </c>
      <c r="K2622" s="444">
        <f t="shared" ca="1" si="133"/>
        <v>-177389533.40358233</v>
      </c>
      <c r="L2622" s="444">
        <f t="shared" ca="1" si="134"/>
        <v>-42750877550.263344</v>
      </c>
      <c r="M2622" s="460">
        <f t="shared" si="136"/>
        <v>0.05</v>
      </c>
      <c r="N2622" s="464">
        <f t="shared" si="137"/>
        <v>130849</v>
      </c>
    </row>
    <row r="2623" spans="7:14" ht="11.25" customHeight="1" x14ac:dyDescent="0.25">
      <c r="G2623" s="459"/>
      <c r="H2623" s="459">
        <v>2616</v>
      </c>
      <c r="I2623" s="444">
        <f t="shared" ca="1" si="135"/>
        <v>-42750877550.263344</v>
      </c>
      <c r="J2623" s="444">
        <f t="array" ref="J2623">IFERROR(INDEX('Retirement Calculator'!K:K,MATCH('Lorri 401b'!N2623,'Retirement Calculator'!A:A,0),0),0)</f>
        <v>0</v>
      </c>
      <c r="K2623" s="444">
        <f t="shared" ca="1" si="133"/>
        <v>-178128656.45943061</v>
      </c>
      <c r="L2623" s="444">
        <f t="shared" ca="1" si="134"/>
        <v>-42929006206.722771</v>
      </c>
      <c r="M2623" s="460">
        <f t="shared" si="136"/>
        <v>0.05</v>
      </c>
      <c r="N2623" s="464">
        <f t="shared" si="137"/>
        <v>130879</v>
      </c>
    </row>
    <row r="2624" spans="7:14" ht="11.25" customHeight="1" x14ac:dyDescent="0.25">
      <c r="G2624" s="459"/>
      <c r="H2624" s="459">
        <v>2617</v>
      </c>
      <c r="I2624" s="444">
        <f t="shared" ca="1" si="135"/>
        <v>-42929006206.722771</v>
      </c>
      <c r="J2624" s="444">
        <f t="array" ref="J2624">IFERROR(INDEX('Retirement Calculator'!K:K,MATCH('Lorri 401b'!N2624,'Retirement Calculator'!A:A,0),0),0)</f>
        <v>0</v>
      </c>
      <c r="K2624" s="444">
        <f t="shared" ca="1" si="133"/>
        <v>-178870859.19467822</v>
      </c>
      <c r="L2624" s="444">
        <f t="shared" ca="1" si="134"/>
        <v>-43107877065.91745</v>
      </c>
      <c r="M2624" s="460">
        <f t="shared" si="136"/>
        <v>0.05</v>
      </c>
      <c r="N2624" s="464">
        <f t="shared" si="137"/>
        <v>130910</v>
      </c>
    </row>
    <row r="2625" spans="7:14" ht="11.25" customHeight="1" x14ac:dyDescent="0.25">
      <c r="G2625" s="459"/>
      <c r="H2625" s="459">
        <v>2618</v>
      </c>
      <c r="I2625" s="444">
        <f t="shared" ca="1" si="135"/>
        <v>-43107877065.91745</v>
      </c>
      <c r="J2625" s="444">
        <f t="array" ref="J2625">IFERROR(INDEX('Retirement Calculator'!K:K,MATCH('Lorri 401b'!N2625,'Retirement Calculator'!A:A,0),0),0)</f>
        <v>0</v>
      </c>
      <c r="K2625" s="444">
        <f t="shared" ca="1" si="133"/>
        <v>-179616154.44132271</v>
      </c>
      <c r="L2625" s="444">
        <f t="shared" ca="1" si="134"/>
        <v>-43287493220.358772</v>
      </c>
      <c r="M2625" s="460">
        <f t="shared" si="136"/>
        <v>0.05</v>
      </c>
      <c r="N2625" s="464">
        <f t="shared" si="137"/>
        <v>130940</v>
      </c>
    </row>
    <row r="2626" spans="7:14" ht="11.25" customHeight="1" x14ac:dyDescent="0.25">
      <c r="G2626" s="459"/>
      <c r="H2626" s="459">
        <v>2619</v>
      </c>
      <c r="I2626" s="444">
        <f t="shared" ca="1" si="135"/>
        <v>-43287493220.358772</v>
      </c>
      <c r="J2626" s="444">
        <f t="array" ref="J2626">IFERROR(INDEX('Retirement Calculator'!K:K,MATCH('Lorri 401b'!N2626,'Retirement Calculator'!A:A,0),0),0)</f>
        <v>0</v>
      </c>
      <c r="K2626" s="444">
        <f t="shared" ca="1" si="133"/>
        <v>-180364555.08482823</v>
      </c>
      <c r="L2626" s="444">
        <f t="shared" ca="1" si="134"/>
        <v>-43467857775.443604</v>
      </c>
      <c r="M2626" s="460">
        <f t="shared" si="136"/>
        <v>0.05</v>
      </c>
      <c r="N2626" s="464">
        <f t="shared" si="137"/>
        <v>130971</v>
      </c>
    </row>
    <row r="2627" spans="7:14" ht="11.25" customHeight="1" x14ac:dyDescent="0.25">
      <c r="G2627" s="459"/>
      <c r="H2627" s="459">
        <v>2620</v>
      </c>
      <c r="I2627" s="444">
        <f t="shared" ca="1" si="135"/>
        <v>-43467857775.443604</v>
      </c>
      <c r="J2627" s="444">
        <f t="array" ref="J2627">IFERROR(INDEX('Retirement Calculator'!K:K,MATCH('Lorri 401b'!N2627,'Retirement Calculator'!A:A,0),0),0)</f>
        <v>0</v>
      </c>
      <c r="K2627" s="444">
        <f t="shared" ca="1" si="133"/>
        <v>-181116074.06434834</v>
      </c>
      <c r="L2627" s="444">
        <f t="shared" ca="1" si="134"/>
        <v>-43648973849.50795</v>
      </c>
      <c r="M2627" s="460">
        <f t="shared" si="136"/>
        <v>0.05</v>
      </c>
      <c r="N2627" s="464">
        <f t="shared" si="137"/>
        <v>131002</v>
      </c>
    </row>
    <row r="2628" spans="7:14" ht="11.25" customHeight="1" x14ac:dyDescent="0.25">
      <c r="G2628" s="459"/>
      <c r="H2628" s="459">
        <v>2621</v>
      </c>
      <c r="I2628" s="444">
        <f t="shared" ca="1" si="135"/>
        <v>-43648973849.50795</v>
      </c>
      <c r="J2628" s="444">
        <f t="array" ref="J2628">IFERROR(INDEX('Retirement Calculator'!K:K,MATCH('Lorri 401b'!N2628,'Retirement Calculator'!A:A,0),0),0)</f>
        <v>0</v>
      </c>
      <c r="K2628" s="444">
        <f t="shared" ca="1" si="133"/>
        <v>-181870724.37294978</v>
      </c>
      <c r="L2628" s="444">
        <f t="shared" ca="1" si="134"/>
        <v>-43830844573.880898</v>
      </c>
      <c r="M2628" s="460">
        <f t="shared" si="136"/>
        <v>0.05</v>
      </c>
      <c r="N2628" s="464">
        <f t="shared" si="137"/>
        <v>131032</v>
      </c>
    </row>
    <row r="2629" spans="7:14" ht="11.25" customHeight="1" x14ac:dyDescent="0.25">
      <c r="G2629" s="459"/>
      <c r="H2629" s="459">
        <v>2622</v>
      </c>
      <c r="I2629" s="444">
        <f t="shared" ca="1" si="135"/>
        <v>-43830844573.880898</v>
      </c>
      <c r="J2629" s="444">
        <f t="array" ref="J2629">IFERROR(INDEX('Retirement Calculator'!K:K,MATCH('Lorri 401b'!N2629,'Retirement Calculator'!A:A,0),0),0)</f>
        <v>0</v>
      </c>
      <c r="K2629" s="444">
        <f t="shared" ca="1" si="133"/>
        <v>-182628519.05783707</v>
      </c>
      <c r="L2629" s="444">
        <f t="shared" ca="1" si="134"/>
        <v>-44013473092.938736</v>
      </c>
      <c r="M2629" s="460">
        <f t="shared" si="136"/>
        <v>0.05</v>
      </c>
      <c r="N2629" s="464">
        <f t="shared" si="137"/>
        <v>131063</v>
      </c>
    </row>
    <row r="2630" spans="7:14" ht="11.25" customHeight="1" x14ac:dyDescent="0.25">
      <c r="G2630" s="459"/>
      <c r="H2630" s="459">
        <v>2623</v>
      </c>
      <c r="I2630" s="444">
        <f t="shared" ca="1" si="135"/>
        <v>-44013473092.938736</v>
      </c>
      <c r="J2630" s="444">
        <f t="array" ref="J2630">IFERROR(INDEX('Retirement Calculator'!K:K,MATCH('Lorri 401b'!N2630,'Retirement Calculator'!A:A,0),0),0)</f>
        <v>0</v>
      </c>
      <c r="K2630" s="444">
        <f t="shared" ca="1" si="133"/>
        <v>-183389471.22057807</v>
      </c>
      <c r="L2630" s="444">
        <f t="shared" ca="1" si="134"/>
        <v>-44196862564.159317</v>
      </c>
      <c r="M2630" s="460">
        <f t="shared" si="136"/>
        <v>0.05</v>
      </c>
      <c r="N2630" s="464">
        <f t="shared" si="137"/>
        <v>131093</v>
      </c>
    </row>
    <row r="2631" spans="7:14" ht="11.25" customHeight="1" x14ac:dyDescent="0.25">
      <c r="G2631" s="459"/>
      <c r="H2631" s="459">
        <v>2624</v>
      </c>
      <c r="I2631" s="444">
        <f t="shared" ca="1" si="135"/>
        <v>-44196862564.159317</v>
      </c>
      <c r="J2631" s="444">
        <f t="array" ref="J2631">IFERROR(INDEX('Retirement Calculator'!K:K,MATCH('Lorri 401b'!N2631,'Retirement Calculator'!A:A,0),0),0)</f>
        <v>0</v>
      </c>
      <c r="K2631" s="444">
        <f t="shared" ca="1" si="133"/>
        <v>-184153594.0173305</v>
      </c>
      <c r="L2631" s="444">
        <f t="shared" ca="1" si="134"/>
        <v>-44381016158.176651</v>
      </c>
      <c r="M2631" s="460">
        <f t="shared" si="136"/>
        <v>0.05</v>
      </c>
      <c r="N2631" s="464">
        <f t="shared" si="137"/>
        <v>131124</v>
      </c>
    </row>
    <row r="2632" spans="7:14" ht="11.25" customHeight="1" x14ac:dyDescent="0.25">
      <c r="G2632" s="459"/>
      <c r="H2632" s="459">
        <v>2625</v>
      </c>
      <c r="I2632" s="444">
        <f t="shared" ca="1" si="135"/>
        <v>-44381016158.176651</v>
      </c>
      <c r="J2632" s="444">
        <f t="array" ref="J2632">IFERROR(INDEX('Retirement Calculator'!K:K,MATCH('Lorri 401b'!N2632,'Retirement Calculator'!A:A,0),0),0)</f>
        <v>0</v>
      </c>
      <c r="K2632" s="444">
        <f t="shared" ca="1" si="133"/>
        <v>-184920900.65906939</v>
      </c>
      <c r="L2632" s="444">
        <f t="shared" ca="1" si="134"/>
        <v>-44565937058.835724</v>
      </c>
      <c r="M2632" s="460">
        <f t="shared" si="136"/>
        <v>0.05</v>
      </c>
      <c r="N2632" s="464">
        <f t="shared" si="137"/>
        <v>131155</v>
      </c>
    </row>
    <row r="2633" spans="7:14" ht="11.25" customHeight="1" x14ac:dyDescent="0.25">
      <c r="G2633" s="459"/>
      <c r="H2633" s="459">
        <v>2626</v>
      </c>
      <c r="I2633" s="444">
        <f t="shared" ca="1" si="135"/>
        <v>-44565937058.835724</v>
      </c>
      <c r="J2633" s="444">
        <f t="array" ref="J2633">IFERROR(INDEX('Retirement Calculator'!K:K,MATCH('Lorri 401b'!N2633,'Retirement Calculator'!A:A,0),0),0)</f>
        <v>0</v>
      </c>
      <c r="K2633" s="444">
        <f t="shared" ca="1" si="133"/>
        <v>-185691404.41181552</v>
      </c>
      <c r="L2633" s="444">
        <f t="shared" ca="1" si="134"/>
        <v>-44751628463.247536</v>
      </c>
      <c r="M2633" s="460">
        <f t="shared" si="136"/>
        <v>0.05</v>
      </c>
      <c r="N2633" s="464">
        <f t="shared" si="137"/>
        <v>131183</v>
      </c>
    </row>
    <row r="2634" spans="7:14" ht="11.25" customHeight="1" x14ac:dyDescent="0.25">
      <c r="G2634" s="459"/>
      <c r="H2634" s="459">
        <v>2627</v>
      </c>
      <c r="I2634" s="444">
        <f t="shared" ca="1" si="135"/>
        <v>-44751628463.247536</v>
      </c>
      <c r="J2634" s="444">
        <f t="array" ref="J2634">IFERROR(INDEX('Retirement Calculator'!K:K,MATCH('Lorri 401b'!N2634,'Retirement Calculator'!A:A,0),0),0)</f>
        <v>0</v>
      </c>
      <c r="K2634" s="444">
        <f t="shared" ca="1" si="133"/>
        <v>-186465118.59686473</v>
      </c>
      <c r="L2634" s="444">
        <f t="shared" ca="1" si="134"/>
        <v>-44938093581.844398</v>
      </c>
      <c r="M2634" s="460">
        <f t="shared" si="136"/>
        <v>0.05</v>
      </c>
      <c r="N2634" s="464">
        <f t="shared" si="137"/>
        <v>131214</v>
      </c>
    </row>
    <row r="2635" spans="7:14" ht="11.25" customHeight="1" x14ac:dyDescent="0.25">
      <c r="G2635" s="459"/>
      <c r="H2635" s="459">
        <v>2628</v>
      </c>
      <c r="I2635" s="444">
        <f t="shared" ca="1" si="135"/>
        <v>-44938093581.844398</v>
      </c>
      <c r="J2635" s="444">
        <f t="array" ref="J2635">IFERROR(INDEX('Retirement Calculator'!K:K,MATCH('Lorri 401b'!N2635,'Retirement Calculator'!A:A,0),0),0)</f>
        <v>0</v>
      </c>
      <c r="K2635" s="444">
        <f t="shared" ca="1" si="133"/>
        <v>-187242056.59101832</v>
      </c>
      <c r="L2635" s="444">
        <f t="shared" ca="1" si="134"/>
        <v>-45125335638.435417</v>
      </c>
      <c r="M2635" s="460">
        <f t="shared" si="136"/>
        <v>0.05</v>
      </c>
      <c r="N2635" s="464">
        <f t="shared" si="137"/>
        <v>131244</v>
      </c>
    </row>
    <row r="2636" spans="7:14" ht="11.25" customHeight="1" x14ac:dyDescent="0.25">
      <c r="G2636" s="459"/>
      <c r="H2636" s="459">
        <v>2629</v>
      </c>
      <c r="I2636" s="444">
        <f t="shared" ca="1" si="135"/>
        <v>-45125335638.435417</v>
      </c>
      <c r="J2636" s="444">
        <f t="array" ref="J2636">IFERROR(INDEX('Retirement Calculator'!K:K,MATCH('Lorri 401b'!N2636,'Retirement Calculator'!A:A,0),0),0)</f>
        <v>0</v>
      </c>
      <c r="K2636" s="444">
        <f t="shared" ca="1" si="133"/>
        <v>-188022231.82681423</v>
      </c>
      <c r="L2636" s="444">
        <f t="shared" ca="1" si="134"/>
        <v>-45313357870.26223</v>
      </c>
      <c r="M2636" s="460">
        <f t="shared" si="136"/>
        <v>0.05</v>
      </c>
      <c r="N2636" s="464">
        <f t="shared" si="137"/>
        <v>131275</v>
      </c>
    </row>
    <row r="2637" spans="7:14" ht="11.25" customHeight="1" x14ac:dyDescent="0.25">
      <c r="G2637" s="459"/>
      <c r="H2637" s="459">
        <v>2630</v>
      </c>
      <c r="I2637" s="444">
        <f t="shared" ca="1" si="135"/>
        <v>-45313357870.26223</v>
      </c>
      <c r="J2637" s="444">
        <f t="array" ref="J2637">IFERROR(INDEX('Retirement Calculator'!K:K,MATCH('Lorri 401b'!N2637,'Retirement Calculator'!A:A,0),0),0)</f>
        <v>0</v>
      </c>
      <c r="K2637" s="444">
        <f t="shared" ca="1" si="133"/>
        <v>-188805657.7927593</v>
      </c>
      <c r="L2637" s="444">
        <f t="shared" ca="1" si="134"/>
        <v>-45502163528.054993</v>
      </c>
      <c r="M2637" s="460">
        <f t="shared" si="136"/>
        <v>0.05</v>
      </c>
      <c r="N2637" s="464">
        <f t="shared" si="137"/>
        <v>131305</v>
      </c>
    </row>
    <row r="2638" spans="7:14" ht="11.25" customHeight="1" x14ac:dyDescent="0.25">
      <c r="G2638" s="459"/>
      <c r="H2638" s="459">
        <v>2631</v>
      </c>
      <c r="I2638" s="444">
        <f t="shared" ca="1" si="135"/>
        <v>-45502163528.054993</v>
      </c>
      <c r="J2638" s="444">
        <f t="array" ref="J2638">IFERROR(INDEX('Retirement Calculator'!K:K,MATCH('Lorri 401b'!N2638,'Retirement Calculator'!A:A,0),0),0)</f>
        <v>0</v>
      </c>
      <c r="K2638" s="444">
        <f t="shared" ca="1" si="133"/>
        <v>-189592348.03356248</v>
      </c>
      <c r="L2638" s="444">
        <f t="shared" ca="1" si="134"/>
        <v>-45691755876.088554</v>
      </c>
      <c r="M2638" s="460">
        <f t="shared" si="136"/>
        <v>0.05</v>
      </c>
      <c r="N2638" s="464">
        <f t="shared" si="137"/>
        <v>131336</v>
      </c>
    </row>
    <row r="2639" spans="7:14" ht="11.25" customHeight="1" x14ac:dyDescent="0.25">
      <c r="G2639" s="459"/>
      <c r="H2639" s="459">
        <v>2632</v>
      </c>
      <c r="I2639" s="444">
        <f t="shared" ca="1" si="135"/>
        <v>-45691755876.088554</v>
      </c>
      <c r="J2639" s="444">
        <f t="array" ref="J2639">IFERROR(INDEX('Retirement Calculator'!K:K,MATCH('Lorri 401b'!N2639,'Retirement Calculator'!A:A,0),0),0)</f>
        <v>0</v>
      </c>
      <c r="K2639" s="444">
        <f t="shared" ca="1" si="133"/>
        <v>-190382316.15036899</v>
      </c>
      <c r="L2639" s="444">
        <f t="shared" ca="1" si="134"/>
        <v>-45882138192.238922</v>
      </c>
      <c r="M2639" s="460">
        <f t="shared" si="136"/>
        <v>0.05</v>
      </c>
      <c r="N2639" s="464">
        <f t="shared" si="137"/>
        <v>131367</v>
      </c>
    </row>
    <row r="2640" spans="7:14" ht="11.25" customHeight="1" x14ac:dyDescent="0.25">
      <c r="G2640" s="459"/>
      <c r="H2640" s="459">
        <v>2633</v>
      </c>
      <c r="I2640" s="444">
        <f t="shared" ca="1" si="135"/>
        <v>-45882138192.238922</v>
      </c>
      <c r="J2640" s="444">
        <f t="array" ref="J2640">IFERROR(INDEX('Retirement Calculator'!K:K,MATCH('Lorri 401b'!N2640,'Retirement Calculator'!A:A,0),0),0)</f>
        <v>0</v>
      </c>
      <c r="K2640" s="444">
        <f t="shared" ca="1" si="133"/>
        <v>-191175575.8009955</v>
      </c>
      <c r="L2640" s="444">
        <f t="shared" ca="1" si="134"/>
        <v>-46073313768.039917</v>
      </c>
      <c r="M2640" s="460">
        <f t="shared" si="136"/>
        <v>0.05</v>
      </c>
      <c r="N2640" s="464">
        <f t="shared" si="137"/>
        <v>131397</v>
      </c>
    </row>
    <row r="2641" spans="7:14" ht="11.25" customHeight="1" x14ac:dyDescent="0.25">
      <c r="G2641" s="459"/>
      <c r="H2641" s="459">
        <v>2634</v>
      </c>
      <c r="I2641" s="444">
        <f t="shared" ca="1" si="135"/>
        <v>-46073313768.039917</v>
      </c>
      <c r="J2641" s="444">
        <f t="array" ref="J2641">IFERROR(INDEX('Retirement Calculator'!K:K,MATCH('Lorri 401b'!N2641,'Retirement Calculator'!A:A,0),0),0)</f>
        <v>0</v>
      </c>
      <c r="K2641" s="444">
        <f t="shared" ca="1" si="133"/>
        <v>-191972140.70016631</v>
      </c>
      <c r="L2641" s="444">
        <f t="shared" ca="1" si="134"/>
        <v>-46265285908.740082</v>
      </c>
      <c r="M2641" s="460">
        <f t="shared" si="136"/>
        <v>0.05</v>
      </c>
      <c r="N2641" s="464">
        <f t="shared" si="137"/>
        <v>131428</v>
      </c>
    </row>
    <row r="2642" spans="7:14" ht="11.25" customHeight="1" x14ac:dyDescent="0.25">
      <c r="G2642" s="459"/>
      <c r="H2642" s="459">
        <v>2635</v>
      </c>
      <c r="I2642" s="444">
        <f t="shared" ca="1" si="135"/>
        <v>-46265285908.740082</v>
      </c>
      <c r="J2642" s="444">
        <f t="array" ref="J2642">IFERROR(INDEX('Retirement Calculator'!K:K,MATCH('Lorri 401b'!N2642,'Retirement Calculator'!A:A,0),0),0)</f>
        <v>0</v>
      </c>
      <c r="K2642" s="444">
        <f t="shared" ca="1" si="133"/>
        <v>-192772024.61975035</v>
      </c>
      <c r="L2642" s="444">
        <f t="shared" ca="1" si="134"/>
        <v>-46458057933.359833</v>
      </c>
      <c r="M2642" s="460">
        <f t="shared" si="136"/>
        <v>0.05</v>
      </c>
      <c r="N2642" s="464">
        <f t="shared" si="137"/>
        <v>131458</v>
      </c>
    </row>
    <row r="2643" spans="7:14" ht="11.25" customHeight="1" x14ac:dyDescent="0.25">
      <c r="G2643" s="459"/>
      <c r="H2643" s="459">
        <v>2636</v>
      </c>
      <c r="I2643" s="444">
        <f t="shared" ca="1" si="135"/>
        <v>-46458057933.359833</v>
      </c>
      <c r="J2643" s="444">
        <f t="array" ref="J2643">IFERROR(INDEX('Retirement Calculator'!K:K,MATCH('Lorri 401b'!N2643,'Retirement Calculator'!A:A,0),0),0)</f>
        <v>0</v>
      </c>
      <c r="K2643" s="444">
        <f t="shared" ca="1" si="133"/>
        <v>-193575241.38899931</v>
      </c>
      <c r="L2643" s="444">
        <f t="shared" ca="1" si="134"/>
        <v>-46651633174.748833</v>
      </c>
      <c r="M2643" s="460">
        <f t="shared" si="136"/>
        <v>0.05</v>
      </c>
      <c r="N2643" s="464">
        <f t="shared" si="137"/>
        <v>131489</v>
      </c>
    </row>
    <row r="2644" spans="7:14" ht="11.25" customHeight="1" x14ac:dyDescent="0.25">
      <c r="G2644" s="459"/>
      <c r="H2644" s="459">
        <v>2637</v>
      </c>
      <c r="I2644" s="444">
        <f t="shared" ca="1" si="135"/>
        <v>-46651633174.748833</v>
      </c>
      <c r="J2644" s="444">
        <f t="array" ref="J2644">IFERROR(INDEX('Retirement Calculator'!K:K,MATCH('Lorri 401b'!N2644,'Retirement Calculator'!A:A,0),0),0)</f>
        <v>0</v>
      </c>
      <c r="K2644" s="444">
        <f t="shared" ca="1" si="133"/>
        <v>-194381804.8947868</v>
      </c>
      <c r="L2644" s="444">
        <f t="shared" ca="1" si="134"/>
        <v>-46846014979.643616</v>
      </c>
      <c r="M2644" s="460">
        <f t="shared" si="136"/>
        <v>0.05</v>
      </c>
      <c r="N2644" s="464">
        <f t="shared" si="137"/>
        <v>131520</v>
      </c>
    </row>
    <row r="2645" spans="7:14" ht="11.25" customHeight="1" x14ac:dyDescent="0.25">
      <c r="G2645" s="459"/>
      <c r="H2645" s="459">
        <v>2638</v>
      </c>
      <c r="I2645" s="444">
        <f t="shared" ca="1" si="135"/>
        <v>-46846014979.643616</v>
      </c>
      <c r="J2645" s="444">
        <f t="array" ref="J2645">IFERROR(INDEX('Retirement Calculator'!K:K,MATCH('Lorri 401b'!N2645,'Retirement Calculator'!A:A,0),0),0)</f>
        <v>0</v>
      </c>
      <c r="K2645" s="444">
        <f t="shared" ca="1" si="133"/>
        <v>-195191729.08184838</v>
      </c>
      <c r="L2645" s="444">
        <f t="shared" ca="1" si="134"/>
        <v>-47041206708.725464</v>
      </c>
      <c r="M2645" s="460">
        <f t="shared" si="136"/>
        <v>0.05</v>
      </c>
      <c r="N2645" s="464">
        <f t="shared" si="137"/>
        <v>131549</v>
      </c>
    </row>
    <row r="2646" spans="7:14" ht="11.25" customHeight="1" x14ac:dyDescent="0.25">
      <c r="G2646" s="459"/>
      <c r="H2646" s="459">
        <v>2639</v>
      </c>
      <c r="I2646" s="444">
        <f t="shared" ca="1" si="135"/>
        <v>-47041206708.725464</v>
      </c>
      <c r="J2646" s="444">
        <f t="array" ref="J2646">IFERROR(INDEX('Retirement Calculator'!K:K,MATCH('Lorri 401b'!N2646,'Retirement Calculator'!A:A,0),0),0)</f>
        <v>0</v>
      </c>
      <c r="K2646" s="444">
        <f t="shared" ca="1" si="133"/>
        <v>-196005027.95302278</v>
      </c>
      <c r="L2646" s="444">
        <f t="shared" ca="1" si="134"/>
        <v>-47237211736.67849</v>
      </c>
      <c r="M2646" s="460">
        <f t="shared" si="136"/>
        <v>0.05</v>
      </c>
      <c r="N2646" s="464">
        <f t="shared" si="137"/>
        <v>131580</v>
      </c>
    </row>
    <row r="2647" spans="7:14" ht="11.25" customHeight="1" x14ac:dyDescent="0.25">
      <c r="G2647" s="459"/>
      <c r="H2647" s="459">
        <v>2640</v>
      </c>
      <c r="I2647" s="444">
        <f t="shared" ca="1" si="135"/>
        <v>-47237211736.67849</v>
      </c>
      <c r="J2647" s="444">
        <f t="array" ref="J2647">IFERROR(INDEX('Retirement Calculator'!K:K,MATCH('Lorri 401b'!N2647,'Retirement Calculator'!A:A,0),0),0)</f>
        <v>0</v>
      </c>
      <c r="K2647" s="444">
        <f t="shared" ca="1" si="133"/>
        <v>-196821715.56949371</v>
      </c>
      <c r="L2647" s="444">
        <f t="shared" ca="1" si="134"/>
        <v>-47434033452.247986</v>
      </c>
      <c r="M2647" s="460">
        <f t="shared" si="136"/>
        <v>0.05</v>
      </c>
      <c r="N2647" s="464">
        <f t="shared" si="137"/>
        <v>131610</v>
      </c>
    </row>
    <row r="2648" spans="7:14" ht="11.25" customHeight="1" x14ac:dyDescent="0.25">
      <c r="G2648" s="459"/>
      <c r="H2648" s="459">
        <v>2641</v>
      </c>
      <c r="I2648" s="444">
        <f t="shared" ca="1" si="135"/>
        <v>-47434033452.247986</v>
      </c>
      <c r="J2648" s="444">
        <f t="array" ref="J2648">IFERROR(INDEX('Retirement Calculator'!K:K,MATCH('Lorri 401b'!N2648,'Retirement Calculator'!A:A,0),0),0)</f>
        <v>0</v>
      </c>
      <c r="K2648" s="444">
        <f t="shared" ca="1" si="133"/>
        <v>-197641806.05103326</v>
      </c>
      <c r="L2648" s="444">
        <f t="shared" ca="1" si="134"/>
        <v>-47631675258.299019</v>
      </c>
      <c r="M2648" s="460">
        <f t="shared" si="136"/>
        <v>0.05</v>
      </c>
      <c r="N2648" s="464">
        <f t="shared" si="137"/>
        <v>131641</v>
      </c>
    </row>
    <row r="2649" spans="7:14" ht="11.25" customHeight="1" x14ac:dyDescent="0.25">
      <c r="G2649" s="459"/>
      <c r="H2649" s="459">
        <v>2642</v>
      </c>
      <c r="I2649" s="444">
        <f t="shared" ca="1" si="135"/>
        <v>-47631675258.299019</v>
      </c>
      <c r="J2649" s="444">
        <f t="array" ref="J2649">IFERROR(INDEX('Retirement Calculator'!K:K,MATCH('Lorri 401b'!N2649,'Retirement Calculator'!A:A,0),0),0)</f>
        <v>0</v>
      </c>
      <c r="K2649" s="444">
        <f t="shared" ca="1" si="133"/>
        <v>-198465313.5762459</v>
      </c>
      <c r="L2649" s="444">
        <f t="shared" ca="1" si="134"/>
        <v>-47830140571.875267</v>
      </c>
      <c r="M2649" s="460">
        <f t="shared" si="136"/>
        <v>0.05</v>
      </c>
      <c r="N2649" s="464">
        <f t="shared" si="137"/>
        <v>131671</v>
      </c>
    </row>
    <row r="2650" spans="7:14" ht="11.25" customHeight="1" x14ac:dyDescent="0.25">
      <c r="G2650" s="459"/>
      <c r="H2650" s="459">
        <v>2643</v>
      </c>
      <c r="I2650" s="444">
        <f t="shared" ca="1" si="135"/>
        <v>-47830140571.875267</v>
      </c>
      <c r="J2650" s="444">
        <f t="array" ref="J2650">IFERROR(INDEX('Retirement Calculator'!K:K,MATCH('Lorri 401b'!N2650,'Retirement Calculator'!A:A,0),0),0)</f>
        <v>0</v>
      </c>
      <c r="K2650" s="444">
        <f t="shared" ca="1" si="133"/>
        <v>-199292252.3828136</v>
      </c>
      <c r="L2650" s="444">
        <f t="shared" ca="1" si="134"/>
        <v>-48029432824.25808</v>
      </c>
      <c r="M2650" s="460">
        <f t="shared" si="136"/>
        <v>0.05</v>
      </c>
      <c r="N2650" s="464">
        <f t="shared" si="137"/>
        <v>131702</v>
      </c>
    </row>
    <row r="2651" spans="7:14" ht="11.25" customHeight="1" x14ac:dyDescent="0.25">
      <c r="G2651" s="459"/>
      <c r="H2651" s="459">
        <v>2644</v>
      </c>
      <c r="I2651" s="444">
        <f t="shared" ca="1" si="135"/>
        <v>-48029432824.25808</v>
      </c>
      <c r="J2651" s="444">
        <f t="array" ref="J2651">IFERROR(INDEX('Retirement Calculator'!K:K,MATCH('Lorri 401b'!N2651,'Retirement Calculator'!A:A,0),0),0)</f>
        <v>0</v>
      </c>
      <c r="K2651" s="444">
        <f t="shared" ca="1" si="133"/>
        <v>-200122636.76774201</v>
      </c>
      <c r="L2651" s="444">
        <f t="shared" ca="1" si="134"/>
        <v>-48229555461.025818</v>
      </c>
      <c r="M2651" s="460">
        <f t="shared" si="136"/>
        <v>0.05</v>
      </c>
      <c r="N2651" s="464">
        <f t="shared" si="137"/>
        <v>131733</v>
      </c>
    </row>
    <row r="2652" spans="7:14" ht="11.25" customHeight="1" x14ac:dyDescent="0.25">
      <c r="G2652" s="459"/>
      <c r="H2652" s="459">
        <v>2645</v>
      </c>
      <c r="I2652" s="444">
        <f t="shared" ca="1" si="135"/>
        <v>-48229555461.025818</v>
      </c>
      <c r="J2652" s="444">
        <f t="array" ref="J2652">IFERROR(INDEX('Retirement Calculator'!K:K,MATCH('Lorri 401b'!N2652,'Retirement Calculator'!A:A,0),0),0)</f>
        <v>0</v>
      </c>
      <c r="K2652" s="444">
        <f t="shared" ca="1" si="133"/>
        <v>-200956481.08760756</v>
      </c>
      <c r="L2652" s="444">
        <f t="shared" ca="1" si="134"/>
        <v>-48430511942.113426</v>
      </c>
      <c r="M2652" s="460">
        <f t="shared" si="136"/>
        <v>0.05</v>
      </c>
      <c r="N2652" s="464">
        <f t="shared" si="137"/>
        <v>131763</v>
      </c>
    </row>
    <row r="2653" spans="7:14" ht="11.25" customHeight="1" x14ac:dyDescent="0.25">
      <c r="G2653" s="459"/>
      <c r="H2653" s="459">
        <v>2646</v>
      </c>
      <c r="I2653" s="444">
        <f t="shared" ca="1" si="135"/>
        <v>-48430511942.113426</v>
      </c>
      <c r="J2653" s="444">
        <f t="array" ref="J2653">IFERROR(INDEX('Retirement Calculator'!K:K,MATCH('Lorri 401b'!N2653,'Retirement Calculator'!A:A,0),0),0)</f>
        <v>0</v>
      </c>
      <c r="K2653" s="444">
        <f t="shared" ca="1" si="133"/>
        <v>-201793799.75880593</v>
      </c>
      <c r="L2653" s="444">
        <f t="shared" ca="1" si="134"/>
        <v>-48632305741.872231</v>
      </c>
      <c r="M2653" s="460">
        <f t="shared" si="136"/>
        <v>0.05</v>
      </c>
      <c r="N2653" s="464">
        <f t="shared" si="137"/>
        <v>131794</v>
      </c>
    </row>
    <row r="2654" spans="7:14" ht="11.25" customHeight="1" x14ac:dyDescent="0.25">
      <c r="G2654" s="459"/>
      <c r="H2654" s="459">
        <v>2647</v>
      </c>
      <c r="I2654" s="444">
        <f t="shared" ca="1" si="135"/>
        <v>-48632305741.872231</v>
      </c>
      <c r="J2654" s="444">
        <f t="array" ref="J2654">IFERROR(INDEX('Retirement Calculator'!K:K,MATCH('Lorri 401b'!N2654,'Retirement Calculator'!A:A,0),0),0)</f>
        <v>0</v>
      </c>
      <c r="K2654" s="444">
        <f t="shared" ca="1" si="133"/>
        <v>-202634607.25780097</v>
      </c>
      <c r="L2654" s="444">
        <f t="shared" ca="1" si="134"/>
        <v>-48834940349.130028</v>
      </c>
      <c r="M2654" s="460">
        <f t="shared" si="136"/>
        <v>0.05</v>
      </c>
      <c r="N2654" s="464">
        <f t="shared" si="137"/>
        <v>131824</v>
      </c>
    </row>
    <row r="2655" spans="7:14" ht="11.25" customHeight="1" x14ac:dyDescent="0.25">
      <c r="G2655" s="459"/>
      <c r="H2655" s="459">
        <v>2648</v>
      </c>
      <c r="I2655" s="444">
        <f t="shared" ca="1" si="135"/>
        <v>-48834940349.130028</v>
      </c>
      <c r="J2655" s="444">
        <f t="array" ref="J2655">IFERROR(INDEX('Retirement Calculator'!K:K,MATCH('Lorri 401b'!N2655,'Retirement Calculator'!A:A,0),0),0)</f>
        <v>0</v>
      </c>
      <c r="K2655" s="444">
        <f t="shared" ca="1" si="133"/>
        <v>-203478918.12137511</v>
      </c>
      <c r="L2655" s="444">
        <f t="shared" ca="1" si="134"/>
        <v>-49038419267.251404</v>
      </c>
      <c r="M2655" s="460">
        <f t="shared" si="136"/>
        <v>0.05</v>
      </c>
      <c r="N2655" s="464">
        <f t="shared" si="137"/>
        <v>131855</v>
      </c>
    </row>
    <row r="2656" spans="7:14" ht="11.25" customHeight="1" x14ac:dyDescent="0.25">
      <c r="G2656" s="459"/>
      <c r="H2656" s="459">
        <v>2649</v>
      </c>
      <c r="I2656" s="444">
        <f t="shared" ca="1" si="135"/>
        <v>-49038419267.251404</v>
      </c>
      <c r="J2656" s="444">
        <f t="array" ref="J2656">IFERROR(INDEX('Retirement Calculator'!K:K,MATCH('Lorri 401b'!N2656,'Retirement Calculator'!A:A,0),0),0)</f>
        <v>0</v>
      </c>
      <c r="K2656" s="444">
        <f t="shared" ca="1" si="133"/>
        <v>-204326746.94688085</v>
      </c>
      <c r="L2656" s="444">
        <f t="shared" ca="1" si="134"/>
        <v>-49242746014.198288</v>
      </c>
      <c r="M2656" s="460">
        <f t="shared" si="136"/>
        <v>0.05</v>
      </c>
      <c r="N2656" s="464">
        <f t="shared" si="137"/>
        <v>131886</v>
      </c>
    </row>
    <row r="2657" spans="7:14" ht="11.25" customHeight="1" x14ac:dyDescent="0.25">
      <c r="G2657" s="459"/>
      <c r="H2657" s="459">
        <v>2650</v>
      </c>
      <c r="I2657" s="444">
        <f t="shared" ca="1" si="135"/>
        <v>-49242746014.198288</v>
      </c>
      <c r="J2657" s="444">
        <f t="array" ref="J2657">IFERROR(INDEX('Retirement Calculator'!K:K,MATCH('Lorri 401b'!N2657,'Retirement Calculator'!A:A,0),0),0)</f>
        <v>0</v>
      </c>
      <c r="K2657" s="444">
        <f t="shared" ca="1" si="133"/>
        <v>-205178108.39249286</v>
      </c>
      <c r="L2657" s="444">
        <f t="shared" ca="1" si="134"/>
        <v>-49447924122.590782</v>
      </c>
      <c r="M2657" s="460">
        <f t="shared" si="136"/>
        <v>0.05</v>
      </c>
      <c r="N2657" s="464">
        <f t="shared" si="137"/>
        <v>131914</v>
      </c>
    </row>
    <row r="2658" spans="7:14" ht="11.25" customHeight="1" x14ac:dyDescent="0.25">
      <c r="G2658" s="459"/>
      <c r="H2658" s="459">
        <v>2651</v>
      </c>
      <c r="I2658" s="444">
        <f t="shared" ca="1" si="135"/>
        <v>-49447924122.590782</v>
      </c>
      <c r="J2658" s="444">
        <f t="array" ref="J2658">IFERROR(INDEX('Retirement Calculator'!K:K,MATCH('Lorri 401b'!N2658,'Retirement Calculator'!A:A,0),0),0)</f>
        <v>0</v>
      </c>
      <c r="K2658" s="444">
        <f t="shared" ca="1" si="133"/>
        <v>-206033017.17746159</v>
      </c>
      <c r="L2658" s="444">
        <f t="shared" ca="1" si="134"/>
        <v>-49653957139.768242</v>
      </c>
      <c r="M2658" s="460">
        <f t="shared" si="136"/>
        <v>0.05</v>
      </c>
      <c r="N2658" s="464">
        <f t="shared" si="137"/>
        <v>131945</v>
      </c>
    </row>
    <row r="2659" spans="7:14" ht="11.25" customHeight="1" x14ac:dyDescent="0.25">
      <c r="G2659" s="459"/>
      <c r="H2659" s="459">
        <v>2652</v>
      </c>
      <c r="I2659" s="444">
        <f t="shared" ca="1" si="135"/>
        <v>-49653957139.768242</v>
      </c>
      <c r="J2659" s="444">
        <f t="array" ref="J2659">IFERROR(INDEX('Retirement Calculator'!K:K,MATCH('Lorri 401b'!N2659,'Retirement Calculator'!A:A,0),0),0)</f>
        <v>0</v>
      </c>
      <c r="K2659" s="444">
        <f t="shared" ca="1" si="133"/>
        <v>-206891488.08236766</v>
      </c>
      <c r="L2659" s="444">
        <f t="shared" ca="1" si="134"/>
        <v>-49860848627.850609</v>
      </c>
      <c r="M2659" s="460">
        <f t="shared" si="136"/>
        <v>0.05</v>
      </c>
      <c r="N2659" s="464">
        <f t="shared" si="137"/>
        <v>131975</v>
      </c>
    </row>
    <row r="2660" spans="7:14" ht="11.25" customHeight="1" x14ac:dyDescent="0.25">
      <c r="G2660" s="459"/>
      <c r="H2660" s="459">
        <v>2653</v>
      </c>
      <c r="I2660" s="444">
        <f t="shared" ca="1" si="135"/>
        <v>-49860848627.850609</v>
      </c>
      <c r="J2660" s="444">
        <f t="array" ref="J2660">IFERROR(INDEX('Retirement Calculator'!K:K,MATCH('Lorri 401b'!N2660,'Retirement Calculator'!A:A,0),0),0)</f>
        <v>0</v>
      </c>
      <c r="K2660" s="444">
        <f t="shared" ca="1" si="133"/>
        <v>-207753535.94937754</v>
      </c>
      <c r="L2660" s="444">
        <f t="shared" ca="1" si="134"/>
        <v>-50068602163.799988</v>
      </c>
      <c r="M2660" s="460">
        <f t="shared" si="136"/>
        <v>0.05</v>
      </c>
      <c r="N2660" s="464">
        <f t="shared" si="137"/>
        <v>132006</v>
      </c>
    </row>
    <row r="2661" spans="7:14" ht="11.25" customHeight="1" x14ac:dyDescent="0.25">
      <c r="G2661" s="459"/>
      <c r="H2661" s="459">
        <v>2654</v>
      </c>
      <c r="I2661" s="444">
        <f t="shared" ca="1" si="135"/>
        <v>-50068602163.799988</v>
      </c>
      <c r="J2661" s="444">
        <f t="array" ref="J2661">IFERROR(INDEX('Retirement Calculator'!K:K,MATCH('Lorri 401b'!N2661,'Retirement Calculator'!A:A,0),0),0)</f>
        <v>0</v>
      </c>
      <c r="K2661" s="444">
        <f t="shared" ca="1" si="133"/>
        <v>-208619175.68249995</v>
      </c>
      <c r="L2661" s="444">
        <f t="shared" ca="1" si="134"/>
        <v>-50277221339.482491</v>
      </c>
      <c r="M2661" s="460">
        <f t="shared" si="136"/>
        <v>0.05</v>
      </c>
      <c r="N2661" s="464">
        <f t="shared" si="137"/>
        <v>132036</v>
      </c>
    </row>
    <row r="2662" spans="7:14" ht="11.25" customHeight="1" x14ac:dyDescent="0.25">
      <c r="G2662" s="459"/>
      <c r="H2662" s="459">
        <v>2655</v>
      </c>
      <c r="I2662" s="444">
        <f t="shared" ca="1" si="135"/>
        <v>-50277221339.482491</v>
      </c>
      <c r="J2662" s="444">
        <f t="array" ref="J2662">IFERROR(INDEX('Retirement Calculator'!K:K,MATCH('Lorri 401b'!N2662,'Retirement Calculator'!A:A,0),0),0)</f>
        <v>0</v>
      </c>
      <c r="K2662" s="444">
        <f t="shared" ca="1" si="133"/>
        <v>-209488422.24784371</v>
      </c>
      <c r="L2662" s="444">
        <f t="shared" ca="1" si="134"/>
        <v>-50486709761.730331</v>
      </c>
      <c r="M2662" s="460">
        <f t="shared" si="136"/>
        <v>0.05</v>
      </c>
      <c r="N2662" s="464">
        <f t="shared" si="137"/>
        <v>132067</v>
      </c>
    </row>
    <row r="2663" spans="7:14" ht="11.25" customHeight="1" x14ac:dyDescent="0.25">
      <c r="G2663" s="459"/>
      <c r="H2663" s="459">
        <v>2656</v>
      </c>
      <c r="I2663" s="444">
        <f t="shared" ca="1" si="135"/>
        <v>-50486709761.730331</v>
      </c>
      <c r="J2663" s="444">
        <f t="array" ref="J2663">IFERROR(INDEX('Retirement Calculator'!K:K,MATCH('Lorri 401b'!N2663,'Retirement Calculator'!A:A,0),0),0)</f>
        <v>0</v>
      </c>
      <c r="K2663" s="444">
        <f t="shared" ca="1" si="133"/>
        <v>-210361290.67387637</v>
      </c>
      <c r="L2663" s="444">
        <f t="shared" ca="1" si="134"/>
        <v>-50697071052.404205</v>
      </c>
      <c r="M2663" s="460">
        <f t="shared" si="136"/>
        <v>0.05</v>
      </c>
      <c r="N2663" s="464">
        <f t="shared" si="137"/>
        <v>132098</v>
      </c>
    </row>
    <row r="2664" spans="7:14" ht="11.25" customHeight="1" x14ac:dyDescent="0.25">
      <c r="G2664" s="459"/>
      <c r="H2664" s="459">
        <v>2657</v>
      </c>
      <c r="I2664" s="444">
        <f t="shared" ca="1" si="135"/>
        <v>-50697071052.404205</v>
      </c>
      <c r="J2664" s="444">
        <f t="array" ref="J2664">IFERROR(INDEX('Retirement Calculator'!K:K,MATCH('Lorri 401b'!N2664,'Retirement Calculator'!A:A,0),0),0)</f>
        <v>0</v>
      </c>
      <c r="K2664" s="444">
        <f t="shared" ca="1" si="133"/>
        <v>-211237796.0516842</v>
      </c>
      <c r="L2664" s="444">
        <f t="shared" ca="1" si="134"/>
        <v>-50908308848.455887</v>
      </c>
      <c r="M2664" s="460">
        <f t="shared" si="136"/>
        <v>0.05</v>
      </c>
      <c r="N2664" s="464">
        <f t="shared" si="137"/>
        <v>132128</v>
      </c>
    </row>
    <row r="2665" spans="7:14" ht="11.25" customHeight="1" x14ac:dyDescent="0.25">
      <c r="G2665" s="459"/>
      <c r="H2665" s="459">
        <v>2658</v>
      </c>
      <c r="I2665" s="444">
        <f t="shared" ca="1" si="135"/>
        <v>-50908308848.455887</v>
      </c>
      <c r="J2665" s="444">
        <f t="array" ref="J2665">IFERROR(INDEX('Retirement Calculator'!K:K,MATCH('Lorri 401b'!N2665,'Retirement Calculator'!A:A,0),0),0)</f>
        <v>0</v>
      </c>
      <c r="K2665" s="444">
        <f t="shared" ca="1" si="133"/>
        <v>-212117953.53523287</v>
      </c>
      <c r="L2665" s="444">
        <f t="shared" ca="1" si="134"/>
        <v>-51120426801.991119</v>
      </c>
      <c r="M2665" s="460">
        <f t="shared" si="136"/>
        <v>0.05</v>
      </c>
      <c r="N2665" s="464">
        <f t="shared" si="137"/>
        <v>132159</v>
      </c>
    </row>
    <row r="2666" spans="7:14" ht="11.25" customHeight="1" x14ac:dyDescent="0.25">
      <c r="G2666" s="459"/>
      <c r="H2666" s="459">
        <v>2659</v>
      </c>
      <c r="I2666" s="444">
        <f t="shared" ca="1" si="135"/>
        <v>-51120426801.991119</v>
      </c>
      <c r="J2666" s="444">
        <f t="array" ref="J2666">IFERROR(INDEX('Retirement Calculator'!K:K,MATCH('Lorri 401b'!N2666,'Retirement Calculator'!A:A,0),0),0)</f>
        <v>0</v>
      </c>
      <c r="K2666" s="444">
        <f t="shared" ca="1" si="133"/>
        <v>-213001778.34162965</v>
      </c>
      <c r="L2666" s="444">
        <f t="shared" ca="1" si="134"/>
        <v>-51333428580.332748</v>
      </c>
      <c r="M2666" s="460">
        <f t="shared" si="136"/>
        <v>0.05</v>
      </c>
      <c r="N2666" s="464">
        <f t="shared" si="137"/>
        <v>132189</v>
      </c>
    </row>
    <row r="2667" spans="7:14" ht="11.25" customHeight="1" x14ac:dyDescent="0.25">
      <c r="G2667" s="459"/>
      <c r="H2667" s="459">
        <v>2660</v>
      </c>
      <c r="I2667" s="444">
        <f t="shared" ca="1" si="135"/>
        <v>-51333428580.332748</v>
      </c>
      <c r="J2667" s="444">
        <f t="array" ref="J2667">IFERROR(INDEX('Retirement Calculator'!K:K,MATCH('Lorri 401b'!N2667,'Retirement Calculator'!A:A,0),0),0)</f>
        <v>0</v>
      </c>
      <c r="K2667" s="444">
        <f t="shared" ca="1" si="133"/>
        <v>-213889285.75138646</v>
      </c>
      <c r="L2667" s="444">
        <f t="shared" ca="1" si="134"/>
        <v>-51547317866.084137</v>
      </c>
      <c r="M2667" s="460">
        <f t="shared" si="136"/>
        <v>0.05</v>
      </c>
      <c r="N2667" s="464">
        <f t="shared" si="137"/>
        <v>132220</v>
      </c>
    </row>
    <row r="2668" spans="7:14" ht="11.25" customHeight="1" x14ac:dyDescent="0.25">
      <c r="G2668" s="459"/>
      <c r="H2668" s="459">
        <v>2661</v>
      </c>
      <c r="I2668" s="444">
        <f t="shared" ca="1" si="135"/>
        <v>-51547317866.084137</v>
      </c>
      <c r="J2668" s="444">
        <f t="array" ref="J2668">IFERROR(INDEX('Retirement Calculator'!K:K,MATCH('Lorri 401b'!N2668,'Retirement Calculator'!A:A,0),0),0)</f>
        <v>0</v>
      </c>
      <c r="K2668" s="444">
        <f t="shared" ca="1" si="133"/>
        <v>-214780491.10868391</v>
      </c>
      <c r="L2668" s="444">
        <f t="shared" ca="1" si="134"/>
        <v>-51762098357.192818</v>
      </c>
      <c r="M2668" s="460">
        <f t="shared" si="136"/>
        <v>0.05</v>
      </c>
      <c r="N2668" s="464">
        <f t="shared" si="137"/>
        <v>132251</v>
      </c>
    </row>
    <row r="2669" spans="7:14" ht="11.25" customHeight="1" x14ac:dyDescent="0.25">
      <c r="G2669" s="459"/>
      <c r="H2669" s="459">
        <v>2662</v>
      </c>
      <c r="I2669" s="444">
        <f t="shared" ca="1" si="135"/>
        <v>-51762098357.192818</v>
      </c>
      <c r="J2669" s="444">
        <f t="array" ref="J2669">IFERROR(INDEX('Retirement Calculator'!K:K,MATCH('Lorri 401b'!N2669,'Retirement Calculator'!A:A,0),0),0)</f>
        <v>0</v>
      </c>
      <c r="K2669" s="444">
        <f t="shared" ca="1" si="133"/>
        <v>-215675409.82163674</v>
      </c>
      <c r="L2669" s="444">
        <f t="shared" ca="1" si="134"/>
        <v>-51977773767.014458</v>
      </c>
      <c r="M2669" s="460">
        <f t="shared" si="136"/>
        <v>0.05</v>
      </c>
      <c r="N2669" s="464">
        <f t="shared" si="137"/>
        <v>132279</v>
      </c>
    </row>
    <row r="2670" spans="7:14" ht="11.25" customHeight="1" x14ac:dyDescent="0.25">
      <c r="G2670" s="459"/>
      <c r="H2670" s="459">
        <v>2663</v>
      </c>
      <c r="I2670" s="444">
        <f t="shared" ca="1" si="135"/>
        <v>-51977773767.014458</v>
      </c>
      <c r="J2670" s="444">
        <f t="array" ref="J2670">IFERROR(INDEX('Retirement Calculator'!K:K,MATCH('Lorri 401b'!N2670,'Retirement Calculator'!A:A,0),0),0)</f>
        <v>0</v>
      </c>
      <c r="K2670" s="444">
        <f t="shared" ca="1" si="133"/>
        <v>-216574057.36256024</v>
      </c>
      <c r="L2670" s="444">
        <f t="shared" ca="1" si="134"/>
        <v>-52194347824.377014</v>
      </c>
      <c r="M2670" s="460">
        <f t="shared" si="136"/>
        <v>0.05</v>
      </c>
      <c r="N2670" s="464">
        <f t="shared" si="137"/>
        <v>132310</v>
      </c>
    </row>
    <row r="2671" spans="7:14" ht="11.25" customHeight="1" x14ac:dyDescent="0.25">
      <c r="G2671" s="459"/>
      <c r="H2671" s="459">
        <v>2664</v>
      </c>
      <c r="I2671" s="444">
        <f t="shared" ca="1" si="135"/>
        <v>-52194347824.377014</v>
      </c>
      <c r="J2671" s="444">
        <f t="array" ref="J2671">IFERROR(INDEX('Retirement Calculator'!K:K,MATCH('Lorri 401b'!N2671,'Retirement Calculator'!A:A,0),0),0)</f>
        <v>0</v>
      </c>
      <c r="K2671" s="444">
        <f t="shared" ca="1" si="133"/>
        <v>-217476449.26823756</v>
      </c>
      <c r="L2671" s="444">
        <f t="shared" ca="1" si="134"/>
        <v>-52411824273.645248</v>
      </c>
      <c r="M2671" s="460">
        <f t="shared" si="136"/>
        <v>0.05</v>
      </c>
      <c r="N2671" s="464">
        <f t="shared" si="137"/>
        <v>132340</v>
      </c>
    </row>
    <row r="2672" spans="7:14" ht="11.25" customHeight="1" x14ac:dyDescent="0.25">
      <c r="G2672" s="459"/>
      <c r="H2672" s="459">
        <v>2665</v>
      </c>
      <c r="I2672" s="444">
        <f t="shared" ca="1" si="135"/>
        <v>-52411824273.645248</v>
      </c>
      <c r="J2672" s="444">
        <f t="array" ref="J2672">IFERROR(INDEX('Retirement Calculator'!K:K,MATCH('Lorri 401b'!N2672,'Retirement Calculator'!A:A,0),0),0)</f>
        <v>0</v>
      </c>
      <c r="K2672" s="444">
        <f t="shared" ca="1" si="133"/>
        <v>-218382601.14018854</v>
      </c>
      <c r="L2672" s="444">
        <f t="shared" ca="1" si="134"/>
        <v>-52630206874.785439</v>
      </c>
      <c r="M2672" s="460">
        <f t="shared" si="136"/>
        <v>0.05</v>
      </c>
      <c r="N2672" s="464">
        <f t="shared" si="137"/>
        <v>132371</v>
      </c>
    </row>
    <row r="2673" spans="7:14" ht="11.25" customHeight="1" x14ac:dyDescent="0.25">
      <c r="G2673" s="459"/>
      <c r="H2673" s="459">
        <v>2666</v>
      </c>
      <c r="I2673" s="444">
        <f t="shared" ca="1" si="135"/>
        <v>-52630206874.785439</v>
      </c>
      <c r="J2673" s="444">
        <f t="array" ref="J2673">IFERROR(INDEX('Retirement Calculator'!K:K,MATCH('Lorri 401b'!N2673,'Retirement Calculator'!A:A,0),0),0)</f>
        <v>0</v>
      </c>
      <c r="K2673" s="444">
        <f t="shared" ca="1" si="133"/>
        <v>-219292528.64493933</v>
      </c>
      <c r="L2673" s="444">
        <f t="shared" ca="1" si="134"/>
        <v>-52849499403.430374</v>
      </c>
      <c r="M2673" s="460">
        <f t="shared" si="136"/>
        <v>0.05</v>
      </c>
      <c r="N2673" s="464">
        <f t="shared" si="137"/>
        <v>132401</v>
      </c>
    </row>
    <row r="2674" spans="7:14" ht="11.25" customHeight="1" x14ac:dyDescent="0.25">
      <c r="G2674" s="459"/>
      <c r="H2674" s="459">
        <v>2667</v>
      </c>
      <c r="I2674" s="444">
        <f t="shared" ca="1" si="135"/>
        <v>-52849499403.430374</v>
      </c>
      <c r="J2674" s="444">
        <f t="array" ref="J2674">IFERROR(INDEX('Retirement Calculator'!K:K,MATCH('Lorri 401b'!N2674,'Retirement Calculator'!A:A,0),0),0)</f>
        <v>0</v>
      </c>
      <c r="K2674" s="444">
        <f t="shared" ca="1" si="133"/>
        <v>-220206247.51429322</v>
      </c>
      <c r="L2674" s="444">
        <f t="shared" ca="1" si="134"/>
        <v>-53069705650.944664</v>
      </c>
      <c r="M2674" s="460">
        <f t="shared" si="136"/>
        <v>0.05</v>
      </c>
      <c r="N2674" s="464">
        <f t="shared" si="137"/>
        <v>132432</v>
      </c>
    </row>
    <row r="2675" spans="7:14" ht="11.25" customHeight="1" x14ac:dyDescent="0.25">
      <c r="G2675" s="459"/>
      <c r="H2675" s="459">
        <v>2668</v>
      </c>
      <c r="I2675" s="444">
        <f t="shared" ca="1" si="135"/>
        <v>-53069705650.944664</v>
      </c>
      <c r="J2675" s="444">
        <f t="array" ref="J2675">IFERROR(INDEX('Retirement Calculator'!K:K,MATCH('Lorri 401b'!N2675,'Retirement Calculator'!A:A,0),0),0)</f>
        <v>0</v>
      </c>
      <c r="K2675" s="444">
        <f t="shared" ca="1" si="133"/>
        <v>-221123773.54560277</v>
      </c>
      <c r="L2675" s="444">
        <f t="shared" ca="1" si="134"/>
        <v>-53290829424.490265</v>
      </c>
      <c r="M2675" s="460">
        <f t="shared" si="136"/>
        <v>0.05</v>
      </c>
      <c r="N2675" s="464">
        <f t="shared" si="137"/>
        <v>132463</v>
      </c>
    </row>
    <row r="2676" spans="7:14" ht="11.25" customHeight="1" x14ac:dyDescent="0.25">
      <c r="G2676" s="459"/>
      <c r="H2676" s="459">
        <v>2669</v>
      </c>
      <c r="I2676" s="444">
        <f t="shared" ca="1" si="135"/>
        <v>-53290829424.490265</v>
      </c>
      <c r="J2676" s="444">
        <f t="array" ref="J2676">IFERROR(INDEX('Retirement Calculator'!K:K,MATCH('Lorri 401b'!N2676,'Retirement Calculator'!A:A,0),0),0)</f>
        <v>0</v>
      </c>
      <c r="K2676" s="444">
        <f t="shared" ca="1" si="133"/>
        <v>-222045122.60204276</v>
      </c>
      <c r="L2676" s="444">
        <f t="shared" ca="1" si="134"/>
        <v>-53512874547.092308</v>
      </c>
      <c r="M2676" s="460">
        <f t="shared" si="136"/>
        <v>0.05</v>
      </c>
      <c r="N2676" s="464">
        <f t="shared" si="137"/>
        <v>132493</v>
      </c>
    </row>
    <row r="2677" spans="7:14" ht="11.25" customHeight="1" x14ac:dyDescent="0.25">
      <c r="G2677" s="459"/>
      <c r="H2677" s="459">
        <v>2670</v>
      </c>
      <c r="I2677" s="444">
        <f t="shared" ca="1" si="135"/>
        <v>-53512874547.092308</v>
      </c>
      <c r="J2677" s="444">
        <f t="array" ref="J2677">IFERROR(INDEX('Retirement Calculator'!K:K,MATCH('Lorri 401b'!N2677,'Retirement Calculator'!A:A,0),0),0)</f>
        <v>0</v>
      </c>
      <c r="K2677" s="444">
        <f t="shared" ca="1" si="133"/>
        <v>-222970310.61288461</v>
      </c>
      <c r="L2677" s="444">
        <f t="shared" ca="1" si="134"/>
        <v>-53735844857.705193</v>
      </c>
      <c r="M2677" s="460">
        <f t="shared" si="136"/>
        <v>0.05</v>
      </c>
      <c r="N2677" s="464">
        <f t="shared" si="137"/>
        <v>132524</v>
      </c>
    </row>
    <row r="2678" spans="7:14" ht="11.25" customHeight="1" x14ac:dyDescent="0.25">
      <c r="G2678" s="459"/>
      <c r="H2678" s="459">
        <v>2671</v>
      </c>
      <c r="I2678" s="444">
        <f t="shared" ca="1" si="135"/>
        <v>-53735844857.705193</v>
      </c>
      <c r="J2678" s="444">
        <f t="array" ref="J2678">IFERROR(INDEX('Retirement Calculator'!K:K,MATCH('Lorri 401b'!N2678,'Retirement Calculator'!A:A,0),0),0)</f>
        <v>0</v>
      </c>
      <c r="K2678" s="444">
        <f t="shared" ca="1" si="133"/>
        <v>-223899353.57377163</v>
      </c>
      <c r="L2678" s="444">
        <f t="shared" ca="1" si="134"/>
        <v>-53959744211.278961</v>
      </c>
      <c r="M2678" s="460">
        <f t="shared" si="136"/>
        <v>0.05</v>
      </c>
      <c r="N2678" s="464">
        <f t="shared" si="137"/>
        <v>132554</v>
      </c>
    </row>
    <row r="2679" spans="7:14" ht="11.25" customHeight="1" x14ac:dyDescent="0.25">
      <c r="G2679" s="459"/>
      <c r="H2679" s="459">
        <v>2672</v>
      </c>
      <c r="I2679" s="444">
        <f t="shared" ca="1" si="135"/>
        <v>-53959744211.278961</v>
      </c>
      <c r="J2679" s="444">
        <f t="array" ref="J2679">IFERROR(INDEX('Retirement Calculator'!K:K,MATCH('Lorri 401b'!N2679,'Retirement Calculator'!A:A,0),0),0)</f>
        <v>0</v>
      </c>
      <c r="K2679" s="444">
        <f t="shared" ca="1" si="133"/>
        <v>-224832267.54699564</v>
      </c>
      <c r="L2679" s="444">
        <f t="shared" ca="1" si="134"/>
        <v>-54184576478.825958</v>
      </c>
      <c r="M2679" s="460">
        <f t="shared" si="136"/>
        <v>0.05</v>
      </c>
      <c r="N2679" s="464">
        <f t="shared" si="137"/>
        <v>132585</v>
      </c>
    </row>
    <row r="2680" spans="7:14" ht="11.25" customHeight="1" x14ac:dyDescent="0.25">
      <c r="G2680" s="459"/>
      <c r="H2680" s="459">
        <v>2673</v>
      </c>
      <c r="I2680" s="444">
        <f t="shared" ca="1" si="135"/>
        <v>-54184576478.825958</v>
      </c>
      <c r="J2680" s="444">
        <f t="array" ref="J2680">IFERROR(INDEX('Retirement Calculator'!K:K,MATCH('Lorri 401b'!N2680,'Retirement Calculator'!A:A,0),0),0)</f>
        <v>0</v>
      </c>
      <c r="K2680" s="444">
        <f t="shared" ca="1" si="133"/>
        <v>-225769068.66177478</v>
      </c>
      <c r="L2680" s="444">
        <f t="shared" ca="1" si="134"/>
        <v>-54410345547.487732</v>
      </c>
      <c r="M2680" s="460">
        <f t="shared" si="136"/>
        <v>0.05</v>
      </c>
      <c r="N2680" s="464">
        <f t="shared" si="137"/>
        <v>132616</v>
      </c>
    </row>
    <row r="2681" spans="7:14" ht="11.25" customHeight="1" x14ac:dyDescent="0.25">
      <c r="G2681" s="459"/>
      <c r="H2681" s="459">
        <v>2674</v>
      </c>
      <c r="I2681" s="444">
        <f t="shared" ca="1" si="135"/>
        <v>-54410345547.487732</v>
      </c>
      <c r="J2681" s="444">
        <f t="array" ref="J2681">IFERROR(INDEX('Retirement Calculator'!K:K,MATCH('Lorri 401b'!N2681,'Retirement Calculator'!A:A,0),0),0)</f>
        <v>0</v>
      </c>
      <c r="K2681" s="444">
        <f t="shared" ca="1" si="133"/>
        <v>-226709773.1145322</v>
      </c>
      <c r="L2681" s="444">
        <f t="shared" ca="1" si="134"/>
        <v>-54637055320.602264</v>
      </c>
      <c r="M2681" s="460">
        <f t="shared" si="136"/>
        <v>0.05</v>
      </c>
      <c r="N2681" s="464">
        <f t="shared" si="137"/>
        <v>132644</v>
      </c>
    </row>
    <row r="2682" spans="7:14" ht="11.25" customHeight="1" x14ac:dyDescent="0.25">
      <c r="G2682" s="459"/>
      <c r="H2682" s="459">
        <v>2675</v>
      </c>
      <c r="I2682" s="444">
        <f t="shared" ca="1" si="135"/>
        <v>-54637055320.602264</v>
      </c>
      <c r="J2682" s="444">
        <f t="array" ref="J2682">IFERROR(INDEX('Retirement Calculator'!K:K,MATCH('Lorri 401b'!N2682,'Retirement Calculator'!A:A,0),0),0)</f>
        <v>0</v>
      </c>
      <c r="K2682" s="444">
        <f t="shared" ca="1" si="133"/>
        <v>-227654397.1691761</v>
      </c>
      <c r="L2682" s="444">
        <f t="shared" ca="1" si="134"/>
        <v>-54864709717.771439</v>
      </c>
      <c r="M2682" s="460">
        <f t="shared" si="136"/>
        <v>0.05</v>
      </c>
      <c r="N2682" s="464">
        <f t="shared" si="137"/>
        <v>132675</v>
      </c>
    </row>
    <row r="2683" spans="7:14" ht="11.25" customHeight="1" x14ac:dyDescent="0.25">
      <c r="G2683" s="459"/>
      <c r="H2683" s="459">
        <v>2676</v>
      </c>
      <c r="I2683" s="444">
        <f t="shared" ca="1" si="135"/>
        <v>-54864709717.771439</v>
      </c>
      <c r="J2683" s="444">
        <f t="array" ref="J2683">IFERROR(INDEX('Retirement Calculator'!K:K,MATCH('Lorri 401b'!N2683,'Retirement Calculator'!A:A,0),0),0)</f>
        <v>0</v>
      </c>
      <c r="K2683" s="444">
        <f t="shared" ca="1" si="133"/>
        <v>-228602957.15738103</v>
      </c>
      <c r="L2683" s="444">
        <f t="shared" ca="1" si="134"/>
        <v>-55093312674.928818</v>
      </c>
      <c r="M2683" s="460">
        <f t="shared" si="136"/>
        <v>0.05</v>
      </c>
      <c r="N2683" s="464">
        <f t="shared" si="137"/>
        <v>132705</v>
      </c>
    </row>
    <row r="2684" spans="7:14" ht="11.25" customHeight="1" x14ac:dyDescent="0.25">
      <c r="G2684" s="459"/>
      <c r="H2684" s="459">
        <v>2677</v>
      </c>
      <c r="I2684" s="444">
        <f t="shared" ca="1" si="135"/>
        <v>-55093312674.928818</v>
      </c>
      <c r="J2684" s="444">
        <f t="array" ref="J2684">IFERROR(INDEX('Retirement Calculator'!K:K,MATCH('Lorri 401b'!N2684,'Retirement Calculator'!A:A,0),0),0)</f>
        <v>0</v>
      </c>
      <c r="K2684" s="444">
        <f t="shared" ca="1" si="133"/>
        <v>-229555469.47887003</v>
      </c>
      <c r="L2684" s="444">
        <f t="shared" ca="1" si="134"/>
        <v>-55322868144.407684</v>
      </c>
      <c r="M2684" s="460">
        <f t="shared" si="136"/>
        <v>0.05</v>
      </c>
      <c r="N2684" s="464">
        <f t="shared" si="137"/>
        <v>132736</v>
      </c>
    </row>
    <row r="2685" spans="7:14" ht="11.25" customHeight="1" x14ac:dyDescent="0.25">
      <c r="G2685" s="459"/>
      <c r="H2685" s="459">
        <v>2678</v>
      </c>
      <c r="I2685" s="444">
        <f t="shared" ca="1" si="135"/>
        <v>-55322868144.407684</v>
      </c>
      <c r="J2685" s="444">
        <f t="array" ref="J2685">IFERROR(INDEX('Retirement Calculator'!K:K,MATCH('Lorri 401b'!N2685,'Retirement Calculator'!A:A,0),0),0)</f>
        <v>0</v>
      </c>
      <c r="K2685" s="444">
        <f t="shared" ca="1" si="133"/>
        <v>-230511950.60169867</v>
      </c>
      <c r="L2685" s="444">
        <f t="shared" ca="1" si="134"/>
        <v>-55553380095.009384</v>
      </c>
      <c r="M2685" s="460">
        <f t="shared" si="136"/>
        <v>0.05</v>
      </c>
      <c r="N2685" s="464">
        <f t="shared" si="137"/>
        <v>132766</v>
      </c>
    </row>
    <row r="2686" spans="7:14" ht="11.25" customHeight="1" x14ac:dyDescent="0.25">
      <c r="G2686" s="459"/>
      <c r="H2686" s="459">
        <v>2679</v>
      </c>
      <c r="I2686" s="444">
        <f t="shared" ca="1" si="135"/>
        <v>-55553380095.009384</v>
      </c>
      <c r="J2686" s="444">
        <f t="array" ref="J2686">IFERROR(INDEX('Retirement Calculator'!K:K,MATCH('Lorri 401b'!N2686,'Retirement Calculator'!A:A,0),0),0)</f>
        <v>0</v>
      </c>
      <c r="K2686" s="444">
        <f t="shared" ca="1" si="133"/>
        <v>-231472417.0625391</v>
      </c>
      <c r="L2686" s="444">
        <f t="shared" ca="1" si="134"/>
        <v>-55784852512.071922</v>
      </c>
      <c r="M2686" s="460">
        <f t="shared" si="136"/>
        <v>0.05</v>
      </c>
      <c r="N2686" s="464">
        <f t="shared" si="137"/>
        <v>132797</v>
      </c>
    </row>
    <row r="2687" spans="7:14" ht="11.25" customHeight="1" x14ac:dyDescent="0.25">
      <c r="G2687" s="459"/>
      <c r="H2687" s="459">
        <v>2680</v>
      </c>
      <c r="I2687" s="444">
        <f t="shared" ca="1" si="135"/>
        <v>-55784852512.071922</v>
      </c>
      <c r="J2687" s="444">
        <f t="array" ref="J2687">IFERROR(INDEX('Retirement Calculator'!K:K,MATCH('Lorri 401b'!N2687,'Retirement Calculator'!A:A,0),0),0)</f>
        <v>0</v>
      </c>
      <c r="K2687" s="444">
        <f t="shared" ca="1" si="133"/>
        <v>-232436885.46696633</v>
      </c>
      <c r="L2687" s="444">
        <f t="shared" ca="1" si="134"/>
        <v>-56017289397.538887</v>
      </c>
      <c r="M2687" s="460">
        <f t="shared" si="136"/>
        <v>0.05</v>
      </c>
      <c r="N2687" s="464">
        <f t="shared" si="137"/>
        <v>132828</v>
      </c>
    </row>
    <row r="2688" spans="7:14" ht="11.25" customHeight="1" x14ac:dyDescent="0.25">
      <c r="G2688" s="459"/>
      <c r="H2688" s="459">
        <v>2681</v>
      </c>
      <c r="I2688" s="444">
        <f t="shared" ca="1" si="135"/>
        <v>-56017289397.538887</v>
      </c>
      <c r="J2688" s="444">
        <f t="array" ref="J2688">IFERROR(INDEX('Retirement Calculator'!K:K,MATCH('Lorri 401b'!N2688,'Retirement Calculator'!A:A,0),0),0)</f>
        <v>0</v>
      </c>
      <c r="K2688" s="444">
        <f t="shared" ca="1" si="133"/>
        <v>-233405372.48974535</v>
      </c>
      <c r="L2688" s="444">
        <f t="shared" ca="1" si="134"/>
        <v>-56250694770.028633</v>
      </c>
      <c r="M2688" s="460">
        <f t="shared" si="136"/>
        <v>0.05</v>
      </c>
      <c r="N2688" s="464">
        <f t="shared" si="137"/>
        <v>132858</v>
      </c>
    </row>
    <row r="2689" spans="7:14" ht="11.25" customHeight="1" x14ac:dyDescent="0.25">
      <c r="G2689" s="459"/>
      <c r="H2689" s="459">
        <v>2682</v>
      </c>
      <c r="I2689" s="444">
        <f t="shared" ca="1" si="135"/>
        <v>-56250694770.028633</v>
      </c>
      <c r="J2689" s="444">
        <f t="array" ref="J2689">IFERROR(INDEX('Retirement Calculator'!K:K,MATCH('Lorri 401b'!N2689,'Retirement Calculator'!A:A,0),0),0)</f>
        <v>0</v>
      </c>
      <c r="K2689" s="444">
        <f t="shared" ca="1" si="133"/>
        <v>-234377894.87511933</v>
      </c>
      <c r="L2689" s="444">
        <f t="shared" ca="1" si="134"/>
        <v>-56485072664.903755</v>
      </c>
      <c r="M2689" s="460">
        <f t="shared" si="136"/>
        <v>0.05</v>
      </c>
      <c r="N2689" s="464">
        <f t="shared" si="137"/>
        <v>132889</v>
      </c>
    </row>
    <row r="2690" spans="7:14" ht="11.25" customHeight="1" x14ac:dyDescent="0.25">
      <c r="G2690" s="459"/>
      <c r="H2690" s="459">
        <v>2683</v>
      </c>
      <c r="I2690" s="444">
        <f t="shared" ca="1" si="135"/>
        <v>-56485072664.903755</v>
      </c>
      <c r="J2690" s="444">
        <f t="array" ref="J2690">IFERROR(INDEX('Retirement Calculator'!K:K,MATCH('Lorri 401b'!N2690,'Retirement Calculator'!A:A,0),0),0)</f>
        <v>0</v>
      </c>
      <c r="K2690" s="444">
        <f t="shared" ca="1" si="133"/>
        <v>-235354469.43709898</v>
      </c>
      <c r="L2690" s="444">
        <f t="shared" ca="1" si="134"/>
        <v>-56720427134.340851</v>
      </c>
      <c r="M2690" s="460">
        <f t="shared" si="136"/>
        <v>0.05</v>
      </c>
      <c r="N2690" s="464">
        <f t="shared" si="137"/>
        <v>132919</v>
      </c>
    </row>
    <row r="2691" spans="7:14" ht="11.25" customHeight="1" x14ac:dyDescent="0.25">
      <c r="G2691" s="459"/>
      <c r="H2691" s="459">
        <v>2684</v>
      </c>
      <c r="I2691" s="444">
        <f t="shared" ca="1" si="135"/>
        <v>-56720427134.340851</v>
      </c>
      <c r="J2691" s="444">
        <f t="array" ref="J2691">IFERROR(INDEX('Retirement Calculator'!K:K,MATCH('Lorri 401b'!N2691,'Retirement Calculator'!A:A,0),0),0)</f>
        <v>0</v>
      </c>
      <c r="K2691" s="444">
        <f t="shared" ca="1" si="133"/>
        <v>-236335113.05975354</v>
      </c>
      <c r="L2691" s="444">
        <f t="shared" ca="1" si="134"/>
        <v>-56956762247.400604</v>
      </c>
      <c r="M2691" s="460">
        <f t="shared" si="136"/>
        <v>0.05</v>
      </c>
      <c r="N2691" s="464">
        <f t="shared" si="137"/>
        <v>132950</v>
      </c>
    </row>
    <row r="2692" spans="7:14" ht="11.25" customHeight="1" x14ac:dyDescent="0.25">
      <c r="G2692" s="459"/>
      <c r="H2692" s="459">
        <v>2685</v>
      </c>
      <c r="I2692" s="444">
        <f t="shared" ca="1" si="135"/>
        <v>-56956762247.400604</v>
      </c>
      <c r="J2692" s="444">
        <f t="array" ref="J2692">IFERROR(INDEX('Retirement Calculator'!K:K,MATCH('Lorri 401b'!N2692,'Retirement Calculator'!A:A,0),0),0)</f>
        <v>0</v>
      </c>
      <c r="K2692" s="444">
        <f t="shared" ca="1" si="133"/>
        <v>-237319842.69750255</v>
      </c>
      <c r="L2692" s="444">
        <f t="shared" ca="1" si="134"/>
        <v>-57194082090.098106</v>
      </c>
      <c r="M2692" s="460">
        <f t="shared" si="136"/>
        <v>0.05</v>
      </c>
      <c r="N2692" s="464">
        <f t="shared" si="137"/>
        <v>132981</v>
      </c>
    </row>
    <row r="2693" spans="7:14" ht="11.25" customHeight="1" x14ac:dyDescent="0.25">
      <c r="G2693" s="459"/>
      <c r="H2693" s="459">
        <v>2686</v>
      </c>
      <c r="I2693" s="444">
        <f t="shared" ca="1" si="135"/>
        <v>-57194082090.098106</v>
      </c>
      <c r="J2693" s="444">
        <f t="array" ref="J2693">IFERROR(INDEX('Retirement Calculator'!K:K,MATCH('Lorri 401b'!N2693,'Retirement Calculator'!A:A,0),0),0)</f>
        <v>0</v>
      </c>
      <c r="K2693" s="444">
        <f t="shared" ca="1" si="133"/>
        <v>-238308675.37540877</v>
      </c>
      <c r="L2693" s="444">
        <f t="shared" ca="1" si="134"/>
        <v>-57432390765.473518</v>
      </c>
      <c r="M2693" s="460">
        <f t="shared" si="136"/>
        <v>0.05</v>
      </c>
      <c r="N2693" s="464">
        <f t="shared" si="137"/>
        <v>133010</v>
      </c>
    </row>
    <row r="2694" spans="7:14" ht="11.25" customHeight="1" x14ac:dyDescent="0.25">
      <c r="G2694" s="459"/>
      <c r="H2694" s="459">
        <v>2687</v>
      </c>
      <c r="I2694" s="444">
        <f t="shared" ca="1" si="135"/>
        <v>-57432390765.473518</v>
      </c>
      <c r="J2694" s="444">
        <f t="array" ref="J2694">IFERROR(INDEX('Retirement Calculator'!K:K,MATCH('Lorri 401b'!N2694,'Retirement Calculator'!A:A,0),0),0)</f>
        <v>0</v>
      </c>
      <c r="K2694" s="444">
        <f t="shared" ca="1" si="133"/>
        <v>-239301628.189473</v>
      </c>
      <c r="L2694" s="444">
        <f t="shared" ca="1" si="134"/>
        <v>-57671692393.662994</v>
      </c>
      <c r="M2694" s="460">
        <f t="shared" si="136"/>
        <v>0.05</v>
      </c>
      <c r="N2694" s="464">
        <f t="shared" si="137"/>
        <v>133041</v>
      </c>
    </row>
    <row r="2695" spans="7:14" ht="11.25" customHeight="1" x14ac:dyDescent="0.25">
      <c r="G2695" s="459"/>
      <c r="H2695" s="459">
        <v>2688</v>
      </c>
      <c r="I2695" s="444">
        <f t="shared" ca="1" si="135"/>
        <v>-57671692393.662994</v>
      </c>
      <c r="J2695" s="444">
        <f t="array" ref="J2695">IFERROR(INDEX('Retirement Calculator'!K:K,MATCH('Lorri 401b'!N2695,'Retirement Calculator'!A:A,0),0),0)</f>
        <v>0</v>
      </c>
      <c r="K2695" s="444">
        <f t="shared" ca="1" si="133"/>
        <v>-240298718.30692914</v>
      </c>
      <c r="L2695" s="444">
        <f t="shared" ca="1" si="134"/>
        <v>-57911991111.969925</v>
      </c>
      <c r="M2695" s="460">
        <f t="shared" si="136"/>
        <v>0.05</v>
      </c>
      <c r="N2695" s="464">
        <f t="shared" si="137"/>
        <v>133071</v>
      </c>
    </row>
    <row r="2696" spans="7:14" ht="11.25" customHeight="1" x14ac:dyDescent="0.25">
      <c r="G2696" s="459"/>
      <c r="H2696" s="459">
        <v>2689</v>
      </c>
      <c r="I2696" s="444">
        <f t="shared" ca="1" si="135"/>
        <v>-57911991111.969925</v>
      </c>
      <c r="J2696" s="444">
        <f t="array" ref="J2696">IFERROR(INDEX('Retirement Calculator'!K:K,MATCH('Lorri 401b'!N2696,'Retirement Calculator'!A:A,0),0),0)</f>
        <v>0</v>
      </c>
      <c r="K2696" s="444">
        <f t="shared" ca="1" si="133"/>
        <v>-241299962.96654132</v>
      </c>
      <c r="L2696" s="444">
        <f t="shared" ca="1" si="134"/>
        <v>-58153291074.93647</v>
      </c>
      <c r="M2696" s="460">
        <f t="shared" si="136"/>
        <v>0.05</v>
      </c>
      <c r="N2696" s="464">
        <f t="shared" si="137"/>
        <v>133102</v>
      </c>
    </row>
    <row r="2697" spans="7:14" ht="11.25" customHeight="1" x14ac:dyDescent="0.25">
      <c r="G2697" s="459"/>
      <c r="H2697" s="459">
        <v>2690</v>
      </c>
      <c r="I2697" s="444">
        <f t="shared" ca="1" si="135"/>
        <v>-58153291074.93647</v>
      </c>
      <c r="J2697" s="444">
        <f t="array" ref="J2697">IFERROR(INDEX('Retirement Calculator'!K:K,MATCH('Lorri 401b'!N2697,'Retirement Calculator'!A:A,0),0),0)</f>
        <v>0</v>
      </c>
      <c r="K2697" s="444">
        <f t="shared" ca="1" si="133"/>
        <v>-242305379.47890198</v>
      </c>
      <c r="L2697" s="444">
        <f t="shared" ca="1" si="134"/>
        <v>-58395596454.415375</v>
      </c>
      <c r="M2697" s="460">
        <f t="shared" si="136"/>
        <v>0.05</v>
      </c>
      <c r="N2697" s="464">
        <f t="shared" si="137"/>
        <v>133132</v>
      </c>
    </row>
    <row r="2698" spans="7:14" ht="11.25" customHeight="1" x14ac:dyDescent="0.25">
      <c r="G2698" s="459"/>
      <c r="H2698" s="459">
        <v>2691</v>
      </c>
      <c r="I2698" s="444">
        <f t="shared" ca="1" si="135"/>
        <v>-58395596454.415375</v>
      </c>
      <c r="J2698" s="444">
        <f t="array" ref="J2698">IFERROR(INDEX('Retirement Calculator'!K:K,MATCH('Lorri 401b'!N2698,'Retirement Calculator'!A:A,0),0),0)</f>
        <v>0</v>
      </c>
      <c r="K2698" s="444">
        <f t="shared" ca="1" si="133"/>
        <v>-243314985.22673073</v>
      </c>
      <c r="L2698" s="444">
        <f t="shared" ca="1" si="134"/>
        <v>-58638911439.642105</v>
      </c>
      <c r="M2698" s="460">
        <f t="shared" si="136"/>
        <v>0.05</v>
      </c>
      <c r="N2698" s="464">
        <f t="shared" si="137"/>
        <v>133163</v>
      </c>
    </row>
    <row r="2699" spans="7:14" ht="11.25" customHeight="1" x14ac:dyDescent="0.25">
      <c r="G2699" s="459"/>
      <c r="H2699" s="459">
        <v>2692</v>
      </c>
      <c r="I2699" s="444">
        <f t="shared" ca="1" si="135"/>
        <v>-58638911439.642105</v>
      </c>
      <c r="J2699" s="444">
        <f t="array" ref="J2699">IFERROR(INDEX('Retirement Calculator'!K:K,MATCH('Lorri 401b'!N2699,'Retirement Calculator'!A:A,0),0),0)</f>
        <v>0</v>
      </c>
      <c r="K2699" s="444">
        <f t="shared" ca="1" si="133"/>
        <v>-244328797.66517544</v>
      </c>
      <c r="L2699" s="444">
        <f t="shared" ca="1" si="134"/>
        <v>-58883240237.307281</v>
      </c>
      <c r="M2699" s="460">
        <f t="shared" si="136"/>
        <v>0.05</v>
      </c>
      <c r="N2699" s="464">
        <f t="shared" si="137"/>
        <v>133194</v>
      </c>
    </row>
    <row r="2700" spans="7:14" ht="11.25" customHeight="1" x14ac:dyDescent="0.25">
      <c r="G2700" s="459"/>
      <c r="H2700" s="459">
        <v>2693</v>
      </c>
      <c r="I2700" s="444">
        <f t="shared" ca="1" si="135"/>
        <v>-58883240237.307281</v>
      </c>
      <c r="J2700" s="444">
        <f t="array" ref="J2700">IFERROR(INDEX('Retirement Calculator'!K:K,MATCH('Lorri 401b'!N2700,'Retirement Calculator'!A:A,0),0),0)</f>
        <v>0</v>
      </c>
      <c r="K2700" s="444">
        <f t="shared" ca="1" si="133"/>
        <v>-245346834.32211366</v>
      </c>
      <c r="L2700" s="444">
        <f t="shared" ca="1" si="134"/>
        <v>-59128587071.629395</v>
      </c>
      <c r="M2700" s="460">
        <f t="shared" si="136"/>
        <v>0.05</v>
      </c>
      <c r="N2700" s="464">
        <f t="shared" si="137"/>
        <v>133224</v>
      </c>
    </row>
    <row r="2701" spans="7:14" ht="11.25" customHeight="1" x14ac:dyDescent="0.25">
      <c r="G2701" s="459"/>
      <c r="H2701" s="459">
        <v>2694</v>
      </c>
      <c r="I2701" s="444">
        <f t="shared" ca="1" si="135"/>
        <v>-59128587071.629395</v>
      </c>
      <c r="J2701" s="444">
        <f t="array" ref="J2701">IFERROR(INDEX('Retirement Calculator'!K:K,MATCH('Lorri 401b'!N2701,'Retirement Calculator'!A:A,0),0),0)</f>
        <v>0</v>
      </c>
      <c r="K2701" s="444">
        <f t="shared" ca="1" si="133"/>
        <v>-246369112.79845583</v>
      </c>
      <c r="L2701" s="444">
        <f t="shared" ca="1" si="134"/>
        <v>-59374956184.427849</v>
      </c>
      <c r="M2701" s="460">
        <f t="shared" si="136"/>
        <v>0.05</v>
      </c>
      <c r="N2701" s="464">
        <f t="shared" si="137"/>
        <v>133255</v>
      </c>
    </row>
    <row r="2702" spans="7:14" ht="11.25" customHeight="1" x14ac:dyDescent="0.25">
      <c r="G2702" s="459"/>
      <c r="H2702" s="459">
        <v>2695</v>
      </c>
      <c r="I2702" s="444">
        <f t="shared" ca="1" si="135"/>
        <v>-59374956184.427849</v>
      </c>
      <c r="J2702" s="444">
        <f t="array" ref="J2702">IFERROR(INDEX('Retirement Calculator'!K:K,MATCH('Lorri 401b'!N2702,'Retirement Calculator'!A:A,0),0),0)</f>
        <v>0</v>
      </c>
      <c r="K2702" s="444">
        <f t="shared" ca="1" si="133"/>
        <v>-247395650.76844937</v>
      </c>
      <c r="L2702" s="444">
        <f t="shared" ca="1" si="134"/>
        <v>-59622351835.196297</v>
      </c>
      <c r="M2702" s="460">
        <f t="shared" si="136"/>
        <v>0.05</v>
      </c>
      <c r="N2702" s="464">
        <f t="shared" si="137"/>
        <v>133285</v>
      </c>
    </row>
    <row r="2703" spans="7:14" ht="11.25" customHeight="1" x14ac:dyDescent="0.25">
      <c r="G2703" s="459"/>
      <c r="H2703" s="459">
        <v>2696</v>
      </c>
      <c r="I2703" s="444">
        <f t="shared" ca="1" si="135"/>
        <v>-59622351835.196297</v>
      </c>
      <c r="J2703" s="444">
        <f t="array" ref="J2703">IFERROR(INDEX('Retirement Calculator'!K:K,MATCH('Lorri 401b'!N2703,'Retirement Calculator'!A:A,0),0),0)</f>
        <v>0</v>
      </c>
      <c r="K2703" s="444">
        <f t="shared" ca="1" si="133"/>
        <v>-248426465.97998455</v>
      </c>
      <c r="L2703" s="444">
        <f t="shared" ca="1" si="134"/>
        <v>-59870778301.176285</v>
      </c>
      <c r="M2703" s="460">
        <f t="shared" si="136"/>
        <v>0.05</v>
      </c>
      <c r="N2703" s="464">
        <f t="shared" si="137"/>
        <v>133316</v>
      </c>
    </row>
    <row r="2704" spans="7:14" ht="11.25" customHeight="1" x14ac:dyDescent="0.25">
      <c r="G2704" s="459"/>
      <c r="H2704" s="459">
        <v>2697</v>
      </c>
      <c r="I2704" s="444">
        <f t="shared" ca="1" si="135"/>
        <v>-59870778301.176285</v>
      </c>
      <c r="J2704" s="444">
        <f t="array" ref="J2704">IFERROR(INDEX('Retirement Calculator'!K:K,MATCH('Lorri 401b'!N2704,'Retirement Calculator'!A:A,0),0),0)</f>
        <v>0</v>
      </c>
      <c r="K2704" s="444">
        <f t="shared" ca="1" si="133"/>
        <v>-249461576.25490117</v>
      </c>
      <c r="L2704" s="444">
        <f t="shared" ca="1" si="134"/>
        <v>-60120239877.431183</v>
      </c>
      <c r="M2704" s="460">
        <f t="shared" si="136"/>
        <v>0.05</v>
      </c>
      <c r="N2704" s="464">
        <f t="shared" si="137"/>
        <v>133347</v>
      </c>
    </row>
    <row r="2705" spans="7:14" ht="11.25" customHeight="1" x14ac:dyDescent="0.25">
      <c r="G2705" s="459"/>
      <c r="H2705" s="459">
        <v>2698</v>
      </c>
      <c r="I2705" s="444">
        <f t="shared" ca="1" si="135"/>
        <v>-60120239877.431183</v>
      </c>
      <c r="J2705" s="444">
        <f t="array" ref="J2705">IFERROR(INDEX('Retirement Calculator'!K:K,MATCH('Lorri 401b'!N2705,'Retirement Calculator'!A:A,0),0),0)</f>
        <v>0</v>
      </c>
      <c r="K2705" s="444">
        <f t="shared" ca="1" si="133"/>
        <v>-250500999.48929656</v>
      </c>
      <c r="L2705" s="444">
        <f t="shared" ca="1" si="134"/>
        <v>-60370740876.920479</v>
      </c>
      <c r="M2705" s="460">
        <f t="shared" si="136"/>
        <v>0.05</v>
      </c>
      <c r="N2705" s="464">
        <f t="shared" si="137"/>
        <v>133375</v>
      </c>
    </row>
    <row r="2706" spans="7:14" ht="11.25" customHeight="1" x14ac:dyDescent="0.25">
      <c r="G2706" s="459"/>
      <c r="H2706" s="459">
        <v>2699</v>
      </c>
      <c r="I2706" s="444">
        <f t="shared" ca="1" si="135"/>
        <v>-60370740876.920479</v>
      </c>
      <c r="J2706" s="444">
        <f t="array" ref="J2706">IFERROR(INDEX('Retirement Calculator'!K:K,MATCH('Lorri 401b'!N2706,'Retirement Calculator'!A:A,0),0),0)</f>
        <v>0</v>
      </c>
      <c r="K2706" s="444">
        <f t="shared" ca="1" si="133"/>
        <v>-251544753.65383533</v>
      </c>
      <c r="L2706" s="444">
        <f t="shared" ca="1" si="134"/>
        <v>-60622285630.574318</v>
      </c>
      <c r="M2706" s="460">
        <f t="shared" si="136"/>
        <v>0.05</v>
      </c>
      <c r="N2706" s="464">
        <f t="shared" si="137"/>
        <v>133406</v>
      </c>
    </row>
    <row r="2707" spans="7:14" ht="11.25" customHeight="1" x14ac:dyDescent="0.25">
      <c r="G2707" s="459"/>
      <c r="H2707" s="459">
        <v>2700</v>
      </c>
      <c r="I2707" s="444">
        <f t="shared" ca="1" si="135"/>
        <v>-60622285630.574318</v>
      </c>
      <c r="J2707" s="444">
        <f t="array" ref="J2707">IFERROR(INDEX('Retirement Calculator'!K:K,MATCH('Lorri 401b'!N2707,'Retirement Calculator'!A:A,0),0),0)</f>
        <v>0</v>
      </c>
      <c r="K2707" s="444">
        <f t="shared" ca="1" si="133"/>
        <v>-252592856.79405966</v>
      </c>
      <c r="L2707" s="444">
        <f t="shared" ca="1" si="134"/>
        <v>-60874878487.368378</v>
      </c>
      <c r="M2707" s="460">
        <f t="shared" si="136"/>
        <v>0.05</v>
      </c>
      <c r="N2707" s="464">
        <f t="shared" si="137"/>
        <v>133436</v>
      </c>
    </row>
    <row r="2708" spans="7:14" ht="11.25" customHeight="1" x14ac:dyDescent="0.25">
      <c r="G2708" s="459"/>
      <c r="H2708" s="459">
        <v>2701</v>
      </c>
      <c r="I2708" s="444">
        <f t="shared" ca="1" si="135"/>
        <v>-60874878487.368378</v>
      </c>
      <c r="J2708" s="444">
        <f t="array" ref="J2708">IFERROR(INDEX('Retirement Calculator'!K:K,MATCH('Lorri 401b'!N2708,'Retirement Calculator'!A:A,0),0),0)</f>
        <v>0</v>
      </c>
      <c r="K2708" s="444">
        <f t="shared" ca="1" si="133"/>
        <v>-253645327.03070158</v>
      </c>
      <c r="L2708" s="444">
        <f t="shared" ca="1" si="134"/>
        <v>-61128523814.399078</v>
      </c>
      <c r="M2708" s="460">
        <f t="shared" si="136"/>
        <v>0.05</v>
      </c>
      <c r="N2708" s="464">
        <f t="shared" si="137"/>
        <v>133467</v>
      </c>
    </row>
    <row r="2709" spans="7:14" ht="11.25" customHeight="1" x14ac:dyDescent="0.25">
      <c r="G2709" s="459"/>
      <c r="H2709" s="459">
        <v>2702</v>
      </c>
      <c r="I2709" s="444">
        <f t="shared" ca="1" si="135"/>
        <v>-61128523814.399078</v>
      </c>
      <c r="J2709" s="444">
        <f t="array" ref="J2709">IFERROR(INDEX('Retirement Calculator'!K:K,MATCH('Lorri 401b'!N2709,'Retirement Calculator'!A:A,0),0),0)</f>
        <v>0</v>
      </c>
      <c r="K2709" s="444">
        <f t="shared" ca="1" si="133"/>
        <v>-254702182.55999613</v>
      </c>
      <c r="L2709" s="444">
        <f t="shared" ca="1" si="134"/>
        <v>-61383225996.959076</v>
      </c>
      <c r="M2709" s="460">
        <f t="shared" si="136"/>
        <v>0.05</v>
      </c>
      <c r="N2709" s="464">
        <f t="shared" si="137"/>
        <v>133497</v>
      </c>
    </row>
    <row r="2710" spans="7:14" ht="11.25" customHeight="1" x14ac:dyDescent="0.25">
      <c r="G2710" s="459"/>
      <c r="H2710" s="459">
        <v>2703</v>
      </c>
      <c r="I2710" s="444">
        <f t="shared" ca="1" si="135"/>
        <v>-61383225996.959076</v>
      </c>
      <c r="J2710" s="444">
        <f t="array" ref="J2710">IFERROR(INDEX('Retirement Calculator'!K:K,MATCH('Lorri 401b'!N2710,'Retirement Calculator'!A:A,0),0),0)</f>
        <v>0</v>
      </c>
      <c r="K2710" s="444">
        <f t="shared" ca="1" si="133"/>
        <v>-255763441.65399617</v>
      </c>
      <c r="L2710" s="444">
        <f t="shared" ca="1" si="134"/>
        <v>-61638989438.613075</v>
      </c>
      <c r="M2710" s="460">
        <f t="shared" si="136"/>
        <v>0.05</v>
      </c>
      <c r="N2710" s="464">
        <f t="shared" si="137"/>
        <v>133528</v>
      </c>
    </row>
    <row r="2711" spans="7:14" ht="11.25" customHeight="1" x14ac:dyDescent="0.25">
      <c r="G2711" s="459"/>
      <c r="H2711" s="459">
        <v>2704</v>
      </c>
      <c r="I2711" s="444">
        <f t="shared" ca="1" si="135"/>
        <v>-61638989438.613075</v>
      </c>
      <c r="J2711" s="444">
        <f t="array" ref="J2711">IFERROR(INDEX('Retirement Calculator'!K:K,MATCH('Lorri 401b'!N2711,'Retirement Calculator'!A:A,0),0),0)</f>
        <v>0</v>
      </c>
      <c r="K2711" s="444">
        <f t="shared" ca="1" si="133"/>
        <v>-256829122.66088784</v>
      </c>
      <c r="L2711" s="444">
        <f t="shared" ca="1" si="134"/>
        <v>-61895818561.273964</v>
      </c>
      <c r="M2711" s="460">
        <f t="shared" si="136"/>
        <v>0.05</v>
      </c>
      <c r="N2711" s="464">
        <f t="shared" si="137"/>
        <v>133559</v>
      </c>
    </row>
    <row r="2712" spans="7:14" ht="11.25" customHeight="1" x14ac:dyDescent="0.25">
      <c r="G2712" s="459"/>
      <c r="H2712" s="459">
        <v>2705</v>
      </c>
      <c r="I2712" s="444">
        <f t="shared" ca="1" si="135"/>
        <v>-61895818561.273964</v>
      </c>
      <c r="J2712" s="444">
        <f t="array" ref="J2712">IFERROR(INDEX('Retirement Calculator'!K:K,MATCH('Lorri 401b'!N2712,'Retirement Calculator'!A:A,0),0),0)</f>
        <v>0</v>
      </c>
      <c r="K2712" s="444">
        <f t="shared" ca="1" si="133"/>
        <v>-257899244.00530818</v>
      </c>
      <c r="L2712" s="444">
        <f t="shared" ca="1" si="134"/>
        <v>-62153717805.279274</v>
      </c>
      <c r="M2712" s="460">
        <f t="shared" si="136"/>
        <v>0.05</v>
      </c>
      <c r="N2712" s="464">
        <f t="shared" si="137"/>
        <v>133589</v>
      </c>
    </row>
    <row r="2713" spans="7:14" ht="11.25" customHeight="1" x14ac:dyDescent="0.25">
      <c r="G2713" s="459"/>
      <c r="H2713" s="459">
        <v>2706</v>
      </c>
      <c r="I2713" s="444">
        <f t="shared" ca="1" si="135"/>
        <v>-62153717805.279274</v>
      </c>
      <c r="J2713" s="444">
        <f t="array" ref="J2713">IFERROR(INDEX('Retirement Calculator'!K:K,MATCH('Lorri 401b'!N2713,'Retirement Calculator'!A:A,0),0),0)</f>
        <v>0</v>
      </c>
      <c r="K2713" s="444">
        <f t="shared" ca="1" si="133"/>
        <v>-258973824.18866363</v>
      </c>
      <c r="L2713" s="444">
        <f t="shared" ca="1" si="134"/>
        <v>-62412691629.467941</v>
      </c>
      <c r="M2713" s="460">
        <f t="shared" si="136"/>
        <v>0.05</v>
      </c>
      <c r="N2713" s="464">
        <f t="shared" si="137"/>
        <v>133620</v>
      </c>
    </row>
    <row r="2714" spans="7:14" ht="11.25" customHeight="1" x14ac:dyDescent="0.25">
      <c r="G2714" s="459"/>
      <c r="H2714" s="459">
        <v>2707</v>
      </c>
      <c r="I2714" s="444">
        <f t="shared" ca="1" si="135"/>
        <v>-62412691629.467941</v>
      </c>
      <c r="J2714" s="444">
        <f t="array" ref="J2714">IFERROR(INDEX('Retirement Calculator'!K:K,MATCH('Lorri 401b'!N2714,'Retirement Calculator'!A:A,0),0),0)</f>
        <v>0</v>
      </c>
      <c r="K2714" s="444">
        <f t="shared" ca="1" si="133"/>
        <v>-260052881.78944975</v>
      </c>
      <c r="L2714" s="444">
        <f t="shared" ca="1" si="134"/>
        <v>-62672744511.257393</v>
      </c>
      <c r="M2714" s="460">
        <f t="shared" si="136"/>
        <v>0.05</v>
      </c>
      <c r="N2714" s="464">
        <f t="shared" si="137"/>
        <v>133650</v>
      </c>
    </row>
    <row r="2715" spans="7:14" ht="11.25" customHeight="1" x14ac:dyDescent="0.25">
      <c r="G2715" s="459"/>
      <c r="H2715" s="459">
        <v>2708</v>
      </c>
      <c r="I2715" s="444">
        <f t="shared" ca="1" si="135"/>
        <v>-62672744511.257393</v>
      </c>
      <c r="J2715" s="444">
        <f t="array" ref="J2715">IFERROR(INDEX('Retirement Calculator'!K:K,MATCH('Lorri 401b'!N2715,'Retirement Calculator'!A:A,0),0),0)</f>
        <v>0</v>
      </c>
      <c r="K2715" s="444">
        <f t="shared" ca="1" si="133"/>
        <v>-261136435.46357244</v>
      </c>
      <c r="L2715" s="444">
        <f t="shared" ca="1" si="134"/>
        <v>-62933880946.720963</v>
      </c>
      <c r="M2715" s="460">
        <f t="shared" si="136"/>
        <v>0.05</v>
      </c>
      <c r="N2715" s="464">
        <f t="shared" si="137"/>
        <v>133681</v>
      </c>
    </row>
    <row r="2716" spans="7:14" ht="11.25" customHeight="1" x14ac:dyDescent="0.25">
      <c r="G2716" s="459"/>
      <c r="H2716" s="459">
        <v>2709</v>
      </c>
      <c r="I2716" s="444">
        <f t="shared" ca="1" si="135"/>
        <v>-62933880946.720963</v>
      </c>
      <c r="J2716" s="444">
        <f t="array" ref="J2716">IFERROR(INDEX('Retirement Calculator'!K:K,MATCH('Lorri 401b'!N2716,'Retirement Calculator'!A:A,0),0),0)</f>
        <v>0</v>
      </c>
      <c r="K2716" s="444">
        <f t="shared" ca="1" si="133"/>
        <v>-262224503.94467068</v>
      </c>
      <c r="L2716" s="444">
        <f t="shared" ca="1" si="134"/>
        <v>-63196105450.665634</v>
      </c>
      <c r="M2716" s="460">
        <f t="shared" si="136"/>
        <v>0.05</v>
      </c>
      <c r="N2716" s="464">
        <f t="shared" si="137"/>
        <v>133712</v>
      </c>
    </row>
    <row r="2717" spans="7:14" ht="11.25" customHeight="1" x14ac:dyDescent="0.25">
      <c r="G2717" s="459"/>
      <c r="H2717" s="459">
        <v>2710</v>
      </c>
      <c r="I2717" s="444">
        <f t="shared" ca="1" si="135"/>
        <v>-63196105450.665634</v>
      </c>
      <c r="J2717" s="444">
        <f t="array" ref="J2717">IFERROR(INDEX('Retirement Calculator'!K:K,MATCH('Lorri 401b'!N2717,'Retirement Calculator'!A:A,0),0),0)</f>
        <v>0</v>
      </c>
      <c r="K2717" s="444">
        <f t="shared" ca="1" si="133"/>
        <v>-263317106.04444015</v>
      </c>
      <c r="L2717" s="444">
        <f t="shared" ca="1" si="134"/>
        <v>-63459422556.710075</v>
      </c>
      <c r="M2717" s="460">
        <f t="shared" si="136"/>
        <v>0.05</v>
      </c>
      <c r="N2717" s="464">
        <f t="shared" si="137"/>
        <v>133740</v>
      </c>
    </row>
    <row r="2718" spans="7:14" ht="11.25" customHeight="1" x14ac:dyDescent="0.25">
      <c r="G2718" s="459"/>
      <c r="H2718" s="459">
        <v>2711</v>
      </c>
      <c r="I2718" s="444">
        <f t="shared" ca="1" si="135"/>
        <v>-63459422556.710075</v>
      </c>
      <c r="J2718" s="444">
        <f t="array" ref="J2718">IFERROR(INDEX('Retirement Calculator'!K:K,MATCH('Lorri 401b'!N2718,'Retirement Calculator'!A:A,0),0),0)</f>
        <v>0</v>
      </c>
      <c r="K2718" s="444">
        <f t="shared" ca="1" si="133"/>
        <v>-264414260.65295863</v>
      </c>
      <c r="L2718" s="444">
        <f t="shared" ca="1" si="134"/>
        <v>-63723836817.363037</v>
      </c>
      <c r="M2718" s="460">
        <f t="shared" si="136"/>
        <v>0.05</v>
      </c>
      <c r="N2718" s="464">
        <f t="shared" si="137"/>
        <v>133771</v>
      </c>
    </row>
    <row r="2719" spans="7:14" ht="11.25" customHeight="1" x14ac:dyDescent="0.25">
      <c r="G2719" s="459"/>
      <c r="H2719" s="459">
        <v>2712</v>
      </c>
      <c r="I2719" s="444">
        <f t="shared" ca="1" si="135"/>
        <v>-63723836817.363037</v>
      </c>
      <c r="J2719" s="444">
        <f t="array" ref="J2719">IFERROR(INDEX('Retirement Calculator'!K:K,MATCH('Lorri 401b'!N2719,'Retirement Calculator'!A:A,0),0),0)</f>
        <v>0</v>
      </c>
      <c r="K2719" s="444">
        <f t="shared" ca="1" si="133"/>
        <v>-265515986.73901269</v>
      </c>
      <c r="L2719" s="444">
        <f t="shared" ca="1" si="134"/>
        <v>-63989352804.102051</v>
      </c>
      <c r="M2719" s="460">
        <f t="shared" si="136"/>
        <v>0.05</v>
      </c>
      <c r="N2719" s="464">
        <f t="shared" si="137"/>
        <v>133801</v>
      </c>
    </row>
    <row r="2720" spans="7:14" ht="11.25" customHeight="1" x14ac:dyDescent="0.25">
      <c r="G2720" s="459"/>
      <c r="H2720" s="459">
        <v>2713</v>
      </c>
      <c r="I2720" s="444">
        <f t="shared" ca="1" si="135"/>
        <v>-63989352804.102051</v>
      </c>
      <c r="J2720" s="444">
        <f t="array" ref="J2720">IFERROR(INDEX('Retirement Calculator'!K:K,MATCH('Lorri 401b'!N2720,'Retirement Calculator'!A:A,0),0),0)</f>
        <v>0</v>
      </c>
      <c r="K2720" s="444">
        <f t="shared" ca="1" si="133"/>
        <v>-266622303.35042521</v>
      </c>
      <c r="L2720" s="444">
        <f t="shared" ca="1" si="134"/>
        <v>-64255975107.452477</v>
      </c>
      <c r="M2720" s="460">
        <f t="shared" si="136"/>
        <v>0.05</v>
      </c>
      <c r="N2720" s="464">
        <f t="shared" si="137"/>
        <v>133832</v>
      </c>
    </row>
    <row r="2721" spans="7:14" ht="11.25" customHeight="1" x14ac:dyDescent="0.25">
      <c r="G2721" s="459"/>
      <c r="H2721" s="459">
        <v>2714</v>
      </c>
      <c r="I2721" s="444">
        <f t="shared" ca="1" si="135"/>
        <v>-64255975107.452477</v>
      </c>
      <c r="J2721" s="444">
        <f t="array" ref="J2721">IFERROR(INDEX('Retirement Calculator'!K:K,MATCH('Lorri 401b'!N2721,'Retirement Calculator'!A:A,0),0),0)</f>
        <v>0</v>
      </c>
      <c r="K2721" s="444">
        <f t="shared" ca="1" si="133"/>
        <v>-267733229.61438531</v>
      </c>
      <c r="L2721" s="444">
        <f t="shared" ca="1" si="134"/>
        <v>-64523708337.066864</v>
      </c>
      <c r="M2721" s="460">
        <f t="shared" si="136"/>
        <v>0.05</v>
      </c>
      <c r="N2721" s="464">
        <f t="shared" si="137"/>
        <v>133862</v>
      </c>
    </row>
    <row r="2722" spans="7:14" ht="11.25" customHeight="1" x14ac:dyDescent="0.25">
      <c r="G2722" s="459"/>
      <c r="H2722" s="459">
        <v>2715</v>
      </c>
      <c r="I2722" s="444">
        <f t="shared" ca="1" si="135"/>
        <v>-64523708337.066864</v>
      </c>
      <c r="J2722" s="444">
        <f t="array" ref="J2722">IFERROR(INDEX('Retirement Calculator'!K:K,MATCH('Lorri 401b'!N2722,'Retirement Calculator'!A:A,0),0),0)</f>
        <v>0</v>
      </c>
      <c r="K2722" s="444">
        <f t="shared" ca="1" si="133"/>
        <v>-268848784.7377786</v>
      </c>
      <c r="L2722" s="444">
        <f t="shared" ca="1" si="134"/>
        <v>-64792557121.804642</v>
      </c>
      <c r="M2722" s="460">
        <f t="shared" si="136"/>
        <v>0.05</v>
      </c>
      <c r="N2722" s="464">
        <f t="shared" si="137"/>
        <v>133893</v>
      </c>
    </row>
    <row r="2723" spans="7:14" ht="11.25" customHeight="1" x14ac:dyDescent="0.25">
      <c r="G2723" s="459"/>
      <c r="H2723" s="459">
        <v>2716</v>
      </c>
      <c r="I2723" s="444">
        <f t="shared" ca="1" si="135"/>
        <v>-64792557121.804642</v>
      </c>
      <c r="J2723" s="444">
        <f t="array" ref="J2723">IFERROR(INDEX('Retirement Calculator'!K:K,MATCH('Lorri 401b'!N2723,'Retirement Calculator'!A:A,0),0),0)</f>
        <v>0</v>
      </c>
      <c r="K2723" s="444">
        <f t="shared" ca="1" si="133"/>
        <v>-269968988.00751936</v>
      </c>
      <c r="L2723" s="444">
        <f t="shared" ca="1" si="134"/>
        <v>-65062526109.812164</v>
      </c>
      <c r="M2723" s="460">
        <f t="shared" si="136"/>
        <v>0.05</v>
      </c>
      <c r="N2723" s="464">
        <f t="shared" si="137"/>
        <v>133924</v>
      </c>
    </row>
    <row r="2724" spans="7:14" ht="11.25" customHeight="1" x14ac:dyDescent="0.25">
      <c r="G2724" s="459"/>
      <c r="H2724" s="459">
        <v>2717</v>
      </c>
      <c r="I2724" s="444">
        <f t="shared" ca="1" si="135"/>
        <v>-65062526109.812164</v>
      </c>
      <c r="J2724" s="444">
        <f t="array" ref="J2724">IFERROR(INDEX('Retirement Calculator'!K:K,MATCH('Lorri 401b'!N2724,'Retirement Calculator'!A:A,0),0),0)</f>
        <v>0</v>
      </c>
      <c r="K2724" s="444">
        <f t="shared" ca="1" si="133"/>
        <v>-271093858.79088402</v>
      </c>
      <c r="L2724" s="444">
        <f t="shared" ca="1" si="134"/>
        <v>-65333619968.60305</v>
      </c>
      <c r="M2724" s="460">
        <f t="shared" si="136"/>
        <v>0.05</v>
      </c>
      <c r="N2724" s="464">
        <f t="shared" si="137"/>
        <v>133954</v>
      </c>
    </row>
    <row r="2725" spans="7:14" ht="11.25" customHeight="1" x14ac:dyDescent="0.25">
      <c r="G2725" s="459"/>
      <c r="H2725" s="459">
        <v>2718</v>
      </c>
      <c r="I2725" s="444">
        <f t="shared" ca="1" si="135"/>
        <v>-65333619968.60305</v>
      </c>
      <c r="J2725" s="444">
        <f t="array" ref="J2725">IFERROR(INDEX('Retirement Calculator'!K:K,MATCH('Lorri 401b'!N2725,'Retirement Calculator'!A:A,0),0),0)</f>
        <v>0</v>
      </c>
      <c r="K2725" s="444">
        <f t="shared" ca="1" si="133"/>
        <v>-272223416.53584605</v>
      </c>
      <c r="L2725" s="444">
        <f t="shared" ca="1" si="134"/>
        <v>-65605843385.138893</v>
      </c>
      <c r="M2725" s="460">
        <f t="shared" si="136"/>
        <v>0.05</v>
      </c>
      <c r="N2725" s="464">
        <f t="shared" si="137"/>
        <v>133985</v>
      </c>
    </row>
    <row r="2726" spans="7:14" ht="11.25" customHeight="1" x14ac:dyDescent="0.25">
      <c r="G2726" s="459"/>
      <c r="H2726" s="459">
        <v>2719</v>
      </c>
      <c r="I2726" s="444">
        <f t="shared" ca="1" si="135"/>
        <v>-65605843385.138893</v>
      </c>
      <c r="J2726" s="444">
        <f t="array" ref="J2726">IFERROR(INDEX('Retirement Calculator'!K:K,MATCH('Lorri 401b'!N2726,'Retirement Calculator'!A:A,0),0),0)</f>
        <v>0</v>
      </c>
      <c r="K2726" s="444">
        <f t="shared" ca="1" si="133"/>
        <v>-273357680.77141207</v>
      </c>
      <c r="L2726" s="444">
        <f t="shared" ca="1" si="134"/>
        <v>-65879201065.910309</v>
      </c>
      <c r="M2726" s="460">
        <f t="shared" si="136"/>
        <v>0.05</v>
      </c>
      <c r="N2726" s="464">
        <f t="shared" si="137"/>
        <v>134015</v>
      </c>
    </row>
    <row r="2727" spans="7:14" ht="11.25" customHeight="1" x14ac:dyDescent="0.25">
      <c r="G2727" s="459"/>
      <c r="H2727" s="459">
        <v>2720</v>
      </c>
      <c r="I2727" s="444">
        <f t="shared" ca="1" si="135"/>
        <v>-65879201065.910309</v>
      </c>
      <c r="J2727" s="444">
        <f t="array" ref="J2727">IFERROR(INDEX('Retirement Calculator'!K:K,MATCH('Lorri 401b'!N2727,'Retirement Calculator'!A:A,0),0),0)</f>
        <v>0</v>
      </c>
      <c r="K2727" s="444">
        <f t="shared" ca="1" si="133"/>
        <v>-274496671.10795963</v>
      </c>
      <c r="L2727" s="444">
        <f t="shared" ca="1" si="134"/>
        <v>-66153697737.018265</v>
      </c>
      <c r="M2727" s="460">
        <f t="shared" si="136"/>
        <v>0.05</v>
      </c>
      <c r="N2727" s="464">
        <f t="shared" si="137"/>
        <v>134046</v>
      </c>
    </row>
    <row r="2728" spans="7:14" ht="11.25" customHeight="1" x14ac:dyDescent="0.25">
      <c r="G2728" s="459"/>
      <c r="H2728" s="459">
        <v>2721</v>
      </c>
      <c r="I2728" s="444">
        <f t="shared" ca="1" si="135"/>
        <v>-66153697737.018265</v>
      </c>
      <c r="J2728" s="444">
        <f t="array" ref="J2728">IFERROR(INDEX('Retirement Calculator'!K:K,MATCH('Lorri 401b'!N2728,'Retirement Calculator'!A:A,0),0),0)</f>
        <v>0</v>
      </c>
      <c r="K2728" s="444">
        <f t="shared" ca="1" si="133"/>
        <v>-275640407.23757607</v>
      </c>
      <c r="L2728" s="444">
        <f t="shared" ca="1" si="134"/>
        <v>-66429338144.255844</v>
      </c>
      <c r="M2728" s="460">
        <f t="shared" si="136"/>
        <v>0.05</v>
      </c>
      <c r="N2728" s="464">
        <f t="shared" si="137"/>
        <v>134077</v>
      </c>
    </row>
    <row r="2729" spans="7:14" ht="11.25" customHeight="1" x14ac:dyDescent="0.25">
      <c r="G2729" s="459"/>
      <c r="H2729" s="459">
        <v>2722</v>
      </c>
      <c r="I2729" s="444">
        <f t="shared" ca="1" si="135"/>
        <v>-66429338144.255844</v>
      </c>
      <c r="J2729" s="444">
        <f t="array" ref="J2729">IFERROR(INDEX('Retirement Calculator'!K:K,MATCH('Lorri 401b'!N2729,'Retirement Calculator'!A:A,0),0),0)</f>
        <v>0</v>
      </c>
      <c r="K2729" s="444">
        <f t="shared" ca="1" si="133"/>
        <v>-276788908.93439937</v>
      </c>
      <c r="L2729" s="444">
        <f t="shared" ca="1" si="134"/>
        <v>-66706127053.190247</v>
      </c>
      <c r="M2729" s="460">
        <f t="shared" si="136"/>
        <v>0.05</v>
      </c>
      <c r="N2729" s="464">
        <f t="shared" si="137"/>
        <v>134105</v>
      </c>
    </row>
    <row r="2730" spans="7:14" ht="11.25" customHeight="1" x14ac:dyDescent="0.25">
      <c r="G2730" s="459"/>
      <c r="H2730" s="459">
        <v>2723</v>
      </c>
      <c r="I2730" s="444">
        <f t="shared" ca="1" si="135"/>
        <v>-66706127053.190247</v>
      </c>
      <c r="J2730" s="444">
        <f t="array" ref="J2730">IFERROR(INDEX('Retirement Calculator'!K:K,MATCH('Lorri 401b'!N2730,'Retirement Calculator'!A:A,0),0),0)</f>
        <v>0</v>
      </c>
      <c r="K2730" s="444">
        <f t="shared" ca="1" si="133"/>
        <v>-277942196.05495936</v>
      </c>
      <c r="L2730" s="444">
        <f t="shared" ca="1" si="134"/>
        <v>-66984069249.245209</v>
      </c>
      <c r="M2730" s="460">
        <f t="shared" si="136"/>
        <v>0.05</v>
      </c>
      <c r="N2730" s="464">
        <f t="shared" si="137"/>
        <v>134136</v>
      </c>
    </row>
    <row r="2731" spans="7:14" ht="11.25" customHeight="1" x14ac:dyDescent="0.25">
      <c r="G2731" s="459"/>
      <c r="H2731" s="459">
        <v>2724</v>
      </c>
      <c r="I2731" s="444">
        <f t="shared" ca="1" si="135"/>
        <v>-66984069249.245209</v>
      </c>
      <c r="J2731" s="444">
        <f t="array" ref="J2731">IFERROR(INDEX('Retirement Calculator'!K:K,MATCH('Lorri 401b'!N2731,'Retirement Calculator'!A:A,0),0),0)</f>
        <v>0</v>
      </c>
      <c r="K2731" s="444">
        <f t="shared" ca="1" si="133"/>
        <v>-279100288.53852171</v>
      </c>
      <c r="L2731" s="444">
        <f t="shared" ca="1" si="134"/>
        <v>-67263169537.78373</v>
      </c>
      <c r="M2731" s="460">
        <f t="shared" si="136"/>
        <v>0.05</v>
      </c>
      <c r="N2731" s="464">
        <f t="shared" si="137"/>
        <v>134166</v>
      </c>
    </row>
    <row r="2732" spans="7:14" ht="11.25" customHeight="1" x14ac:dyDescent="0.25">
      <c r="G2732" s="459"/>
      <c r="H2732" s="459">
        <v>2725</v>
      </c>
      <c r="I2732" s="444">
        <f t="shared" ca="1" si="135"/>
        <v>-67263169537.78373</v>
      </c>
      <c r="J2732" s="444">
        <f t="array" ref="J2732">IFERROR(INDEX('Retirement Calculator'!K:K,MATCH('Lorri 401b'!N2732,'Retirement Calculator'!A:A,0),0),0)</f>
        <v>0</v>
      </c>
      <c r="K2732" s="444">
        <f t="shared" ca="1" si="133"/>
        <v>-280263206.4074322</v>
      </c>
      <c r="L2732" s="444">
        <f t="shared" ca="1" si="134"/>
        <v>-67543432744.191162</v>
      </c>
      <c r="M2732" s="460">
        <f t="shared" si="136"/>
        <v>0.05</v>
      </c>
      <c r="N2732" s="464">
        <f t="shared" si="137"/>
        <v>134197</v>
      </c>
    </row>
    <row r="2733" spans="7:14" ht="11.25" customHeight="1" x14ac:dyDescent="0.25">
      <c r="G2733" s="459"/>
      <c r="H2733" s="459">
        <v>2726</v>
      </c>
      <c r="I2733" s="444">
        <f t="shared" ca="1" si="135"/>
        <v>-67543432744.191162</v>
      </c>
      <c r="J2733" s="444">
        <f t="array" ref="J2733">IFERROR(INDEX('Retirement Calculator'!K:K,MATCH('Lorri 401b'!N2733,'Retirement Calculator'!A:A,0),0),0)</f>
        <v>0</v>
      </c>
      <c r="K2733" s="444">
        <f t="shared" ca="1" si="133"/>
        <v>-281430969.76746315</v>
      </c>
      <c r="L2733" s="444">
        <f t="shared" ca="1" si="134"/>
        <v>-67824863713.958626</v>
      </c>
      <c r="M2733" s="460">
        <f t="shared" si="136"/>
        <v>0.05</v>
      </c>
      <c r="N2733" s="464">
        <f t="shared" si="137"/>
        <v>134227</v>
      </c>
    </row>
    <row r="2734" spans="7:14" ht="11.25" customHeight="1" x14ac:dyDescent="0.25">
      <c r="G2734" s="459"/>
      <c r="H2734" s="459">
        <v>2727</v>
      </c>
      <c r="I2734" s="444">
        <f t="shared" ca="1" si="135"/>
        <v>-67824863713.958626</v>
      </c>
      <c r="J2734" s="444">
        <f t="array" ref="J2734">IFERROR(INDEX('Retirement Calculator'!K:K,MATCH('Lorri 401b'!N2734,'Retirement Calculator'!A:A,0),0),0)</f>
        <v>0</v>
      </c>
      <c r="K2734" s="444">
        <f t="shared" ca="1" si="133"/>
        <v>-282603598.8081609</v>
      </c>
      <c r="L2734" s="444">
        <f t="shared" ca="1" si="134"/>
        <v>-68107467312.766785</v>
      </c>
      <c r="M2734" s="460">
        <f t="shared" si="136"/>
        <v>0.05</v>
      </c>
      <c r="N2734" s="464">
        <f t="shared" si="137"/>
        <v>134258</v>
      </c>
    </row>
    <row r="2735" spans="7:14" ht="11.25" customHeight="1" x14ac:dyDescent="0.25">
      <c r="G2735" s="459"/>
      <c r="H2735" s="459">
        <v>2728</v>
      </c>
      <c r="I2735" s="444">
        <f t="shared" ca="1" si="135"/>
        <v>-68107467312.766785</v>
      </c>
      <c r="J2735" s="444">
        <f t="array" ref="J2735">IFERROR(INDEX('Retirement Calculator'!K:K,MATCH('Lorri 401b'!N2735,'Retirement Calculator'!A:A,0),0),0)</f>
        <v>0</v>
      </c>
      <c r="K2735" s="444">
        <f t="shared" ca="1" si="133"/>
        <v>-283781113.80319494</v>
      </c>
      <c r="L2735" s="444">
        <f t="shared" ca="1" si="134"/>
        <v>-68391248426.569977</v>
      </c>
      <c r="M2735" s="460">
        <f t="shared" si="136"/>
        <v>0.05</v>
      </c>
      <c r="N2735" s="464">
        <f t="shared" si="137"/>
        <v>134289</v>
      </c>
    </row>
    <row r="2736" spans="7:14" ht="11.25" customHeight="1" x14ac:dyDescent="0.25">
      <c r="G2736" s="459"/>
      <c r="H2736" s="459">
        <v>2729</v>
      </c>
      <c r="I2736" s="444">
        <f t="shared" ca="1" si="135"/>
        <v>-68391248426.569977</v>
      </c>
      <c r="J2736" s="444">
        <f t="array" ref="J2736">IFERROR(INDEX('Retirement Calculator'!K:K,MATCH('Lorri 401b'!N2736,'Retirement Calculator'!A:A,0),0),0)</f>
        <v>0</v>
      </c>
      <c r="K2736" s="444">
        <f t="shared" ca="1" si="133"/>
        <v>-284963535.11070824</v>
      </c>
      <c r="L2736" s="444">
        <f t="shared" ca="1" si="134"/>
        <v>-68676211961.680687</v>
      </c>
      <c r="M2736" s="460">
        <f t="shared" si="136"/>
        <v>0.05</v>
      </c>
      <c r="N2736" s="464">
        <f t="shared" si="137"/>
        <v>134319</v>
      </c>
    </row>
    <row r="2737" spans="7:14" ht="11.25" customHeight="1" x14ac:dyDescent="0.25">
      <c r="G2737" s="459"/>
      <c r="H2737" s="459">
        <v>2730</v>
      </c>
      <c r="I2737" s="444">
        <f t="shared" ca="1" si="135"/>
        <v>-68676211961.680687</v>
      </c>
      <c r="J2737" s="444">
        <f t="array" ref="J2737">IFERROR(INDEX('Retirement Calculator'!K:K,MATCH('Lorri 401b'!N2737,'Retirement Calculator'!A:A,0),0),0)</f>
        <v>0</v>
      </c>
      <c r="K2737" s="444">
        <f t="shared" ca="1" si="133"/>
        <v>-286150883.17366952</v>
      </c>
      <c r="L2737" s="444">
        <f t="shared" ca="1" si="134"/>
        <v>-68962362844.854355</v>
      </c>
      <c r="M2737" s="460">
        <f t="shared" si="136"/>
        <v>0.05</v>
      </c>
      <c r="N2737" s="464">
        <f t="shared" si="137"/>
        <v>134350</v>
      </c>
    </row>
    <row r="2738" spans="7:14" ht="11.25" customHeight="1" x14ac:dyDescent="0.25">
      <c r="G2738" s="459"/>
      <c r="H2738" s="459">
        <v>2731</v>
      </c>
      <c r="I2738" s="444">
        <f t="shared" ca="1" si="135"/>
        <v>-68962362844.854355</v>
      </c>
      <c r="J2738" s="444">
        <f t="array" ref="J2738">IFERROR(INDEX('Retirement Calculator'!K:K,MATCH('Lorri 401b'!N2738,'Retirement Calculator'!A:A,0),0),0)</f>
        <v>0</v>
      </c>
      <c r="K2738" s="444">
        <f t="shared" ca="1" si="133"/>
        <v>-287343178.52022648</v>
      </c>
      <c r="L2738" s="444">
        <f t="shared" ca="1" si="134"/>
        <v>-69249706023.374588</v>
      </c>
      <c r="M2738" s="460">
        <f t="shared" si="136"/>
        <v>0.05</v>
      </c>
      <c r="N2738" s="464">
        <f t="shared" si="137"/>
        <v>134380</v>
      </c>
    </row>
    <row r="2739" spans="7:14" ht="11.25" customHeight="1" x14ac:dyDescent="0.25">
      <c r="G2739" s="459"/>
      <c r="H2739" s="459">
        <v>2732</v>
      </c>
      <c r="I2739" s="444">
        <f t="shared" ca="1" si="135"/>
        <v>-69249706023.374588</v>
      </c>
      <c r="J2739" s="444">
        <f t="array" ref="J2739">IFERROR(INDEX('Retirement Calculator'!K:K,MATCH('Lorri 401b'!N2739,'Retirement Calculator'!A:A,0),0),0)</f>
        <v>0</v>
      </c>
      <c r="K2739" s="444">
        <f t="shared" ca="1" si="133"/>
        <v>-288540441.7640608</v>
      </c>
      <c r="L2739" s="444">
        <f t="shared" ca="1" si="134"/>
        <v>-69538246465.138641</v>
      </c>
      <c r="M2739" s="460">
        <f t="shared" si="136"/>
        <v>0.05</v>
      </c>
      <c r="N2739" s="464">
        <f t="shared" si="137"/>
        <v>134411</v>
      </c>
    </row>
    <row r="2740" spans="7:14" ht="11.25" customHeight="1" x14ac:dyDescent="0.25">
      <c r="G2740" s="459"/>
      <c r="H2740" s="459">
        <v>2733</v>
      </c>
      <c r="I2740" s="444">
        <f t="shared" ca="1" si="135"/>
        <v>-69538246465.138641</v>
      </c>
      <c r="J2740" s="444">
        <f t="array" ref="J2740">IFERROR(INDEX('Retirement Calculator'!K:K,MATCH('Lorri 401b'!N2740,'Retirement Calculator'!A:A,0),0),0)</f>
        <v>0</v>
      </c>
      <c r="K2740" s="444">
        <f t="shared" ca="1" si="133"/>
        <v>-289742693.60474432</v>
      </c>
      <c r="L2740" s="444">
        <f t="shared" ca="1" si="134"/>
        <v>-69827989158.743393</v>
      </c>
      <c r="M2740" s="460">
        <f t="shared" si="136"/>
        <v>0.05</v>
      </c>
      <c r="N2740" s="464">
        <f t="shared" si="137"/>
        <v>134442</v>
      </c>
    </row>
    <row r="2741" spans="7:14" ht="11.25" customHeight="1" x14ac:dyDescent="0.25">
      <c r="G2741" s="459"/>
      <c r="H2741" s="459">
        <v>2734</v>
      </c>
      <c r="I2741" s="444">
        <f t="shared" ca="1" si="135"/>
        <v>-69827989158.743393</v>
      </c>
      <c r="J2741" s="444">
        <f t="array" ref="J2741">IFERROR(INDEX('Retirement Calculator'!K:K,MATCH('Lorri 401b'!N2741,'Retirement Calculator'!A:A,0),0),0)</f>
        <v>0</v>
      </c>
      <c r="K2741" s="444">
        <f t="shared" ca="1" si="133"/>
        <v>-290949954.82809746</v>
      </c>
      <c r="L2741" s="444">
        <f t="shared" ca="1" si="134"/>
        <v>-70118939113.571487</v>
      </c>
      <c r="M2741" s="460">
        <f t="shared" si="136"/>
        <v>0.05</v>
      </c>
      <c r="N2741" s="464">
        <f t="shared" si="137"/>
        <v>134471</v>
      </c>
    </row>
    <row r="2742" spans="7:14" ht="11.25" customHeight="1" x14ac:dyDescent="0.25">
      <c r="G2742" s="459"/>
      <c r="H2742" s="459">
        <v>2735</v>
      </c>
      <c r="I2742" s="444">
        <f t="shared" ca="1" si="135"/>
        <v>-70118939113.571487</v>
      </c>
      <c r="J2742" s="444">
        <f t="array" ref="J2742">IFERROR(INDEX('Retirement Calculator'!K:K,MATCH('Lorri 401b'!N2742,'Retirement Calculator'!A:A,0),0),0)</f>
        <v>0</v>
      </c>
      <c r="K2742" s="444">
        <f t="shared" ca="1" si="133"/>
        <v>-292162246.30654788</v>
      </c>
      <c r="L2742" s="444">
        <f t="shared" ca="1" si="134"/>
        <v>-70411101359.878036</v>
      </c>
      <c r="M2742" s="460">
        <f t="shared" si="136"/>
        <v>0.05</v>
      </c>
      <c r="N2742" s="464">
        <f t="shared" si="137"/>
        <v>134502</v>
      </c>
    </row>
    <row r="2743" spans="7:14" ht="11.25" customHeight="1" x14ac:dyDescent="0.25">
      <c r="G2743" s="459"/>
      <c r="H2743" s="459">
        <v>2736</v>
      </c>
      <c r="I2743" s="444">
        <f t="shared" ca="1" si="135"/>
        <v>-70411101359.878036</v>
      </c>
      <c r="J2743" s="444">
        <f t="array" ref="J2743">IFERROR(INDEX('Retirement Calculator'!K:K,MATCH('Lorri 401b'!N2743,'Retirement Calculator'!A:A,0),0),0)</f>
        <v>0</v>
      </c>
      <c r="K2743" s="444">
        <f t="shared" ca="1" si="133"/>
        <v>-293379588.99949181</v>
      </c>
      <c r="L2743" s="444">
        <f t="shared" ca="1" si="134"/>
        <v>-70704480948.877533</v>
      </c>
      <c r="M2743" s="460">
        <f t="shared" si="136"/>
        <v>0.05</v>
      </c>
      <c r="N2743" s="464">
        <f t="shared" si="137"/>
        <v>134532</v>
      </c>
    </row>
    <row r="2744" spans="7:14" ht="11.25" customHeight="1" x14ac:dyDescent="0.25">
      <c r="G2744" s="459"/>
      <c r="H2744" s="459">
        <v>2737</v>
      </c>
      <c r="I2744" s="444">
        <f t="shared" ca="1" si="135"/>
        <v>-70704480948.877533</v>
      </c>
      <c r="J2744" s="444">
        <f t="array" ref="J2744">IFERROR(INDEX('Retirement Calculator'!K:K,MATCH('Lorri 401b'!N2744,'Retirement Calculator'!A:A,0),0),0)</f>
        <v>0</v>
      </c>
      <c r="K2744" s="444">
        <f t="shared" ca="1" si="133"/>
        <v>-294602003.95365638</v>
      </c>
      <c r="L2744" s="444">
        <f t="shared" ca="1" si="134"/>
        <v>-70999082952.831192</v>
      </c>
      <c r="M2744" s="460">
        <f t="shared" si="136"/>
        <v>0.05</v>
      </c>
      <c r="N2744" s="464">
        <f t="shared" si="137"/>
        <v>134563</v>
      </c>
    </row>
    <row r="2745" spans="7:14" ht="11.25" customHeight="1" x14ac:dyDescent="0.25">
      <c r="G2745" s="459"/>
      <c r="H2745" s="459">
        <v>2738</v>
      </c>
      <c r="I2745" s="444">
        <f t="shared" ca="1" si="135"/>
        <v>-70999082952.831192</v>
      </c>
      <c r="J2745" s="444">
        <f t="array" ref="J2745">IFERROR(INDEX('Retirement Calculator'!K:K,MATCH('Lorri 401b'!N2745,'Retirement Calculator'!A:A,0),0),0)</f>
        <v>0</v>
      </c>
      <c r="K2745" s="444">
        <f t="shared" ca="1" si="133"/>
        <v>-295829512.30346328</v>
      </c>
      <c r="L2745" s="444">
        <f t="shared" ca="1" si="134"/>
        <v>-71294912465.134659</v>
      </c>
      <c r="M2745" s="460">
        <f t="shared" si="136"/>
        <v>0.05</v>
      </c>
      <c r="N2745" s="464">
        <f t="shared" si="137"/>
        <v>134593</v>
      </c>
    </row>
    <row r="2746" spans="7:14" ht="11.25" customHeight="1" x14ac:dyDescent="0.25">
      <c r="G2746" s="459"/>
      <c r="H2746" s="459">
        <v>2739</v>
      </c>
      <c r="I2746" s="444">
        <f t="shared" ca="1" si="135"/>
        <v>-71294912465.134659</v>
      </c>
      <c r="J2746" s="444">
        <f t="array" ref="J2746">IFERROR(INDEX('Retirement Calculator'!K:K,MATCH('Lorri 401b'!N2746,'Retirement Calculator'!A:A,0),0),0)</f>
        <v>0</v>
      </c>
      <c r="K2746" s="444">
        <f t="shared" ca="1" si="133"/>
        <v>-297062135.27139443</v>
      </c>
      <c r="L2746" s="444">
        <f t="shared" ca="1" si="134"/>
        <v>-71591974600.406052</v>
      </c>
      <c r="M2746" s="460">
        <f t="shared" si="136"/>
        <v>0.05</v>
      </c>
      <c r="N2746" s="464">
        <f t="shared" si="137"/>
        <v>134624</v>
      </c>
    </row>
    <row r="2747" spans="7:14" ht="11.25" customHeight="1" x14ac:dyDescent="0.25">
      <c r="G2747" s="459"/>
      <c r="H2747" s="459">
        <v>2740</v>
      </c>
      <c r="I2747" s="444">
        <f t="shared" ca="1" si="135"/>
        <v>-71591974600.406052</v>
      </c>
      <c r="J2747" s="444">
        <f t="array" ref="J2747">IFERROR(INDEX('Retirement Calculator'!K:K,MATCH('Lorri 401b'!N2747,'Retirement Calculator'!A:A,0),0),0)</f>
        <v>0</v>
      </c>
      <c r="K2747" s="444">
        <f t="shared" ca="1" si="133"/>
        <v>-298299894.16835856</v>
      </c>
      <c r="L2747" s="444">
        <f t="shared" ca="1" si="134"/>
        <v>-71890274494.574417</v>
      </c>
      <c r="M2747" s="460">
        <f t="shared" si="136"/>
        <v>0.05</v>
      </c>
      <c r="N2747" s="464">
        <f t="shared" si="137"/>
        <v>134655</v>
      </c>
    </row>
    <row r="2748" spans="7:14" ht="11.25" customHeight="1" x14ac:dyDescent="0.25">
      <c r="G2748" s="459"/>
      <c r="H2748" s="459">
        <v>2741</v>
      </c>
      <c r="I2748" s="444">
        <f t="shared" ca="1" si="135"/>
        <v>-71890274494.574417</v>
      </c>
      <c r="J2748" s="444">
        <f t="array" ref="J2748">IFERROR(INDEX('Retirement Calculator'!K:K,MATCH('Lorri 401b'!N2748,'Retirement Calculator'!A:A,0),0),0)</f>
        <v>0</v>
      </c>
      <c r="K2748" s="444">
        <f t="shared" ca="1" si="133"/>
        <v>-299542810.39406008</v>
      </c>
      <c r="L2748" s="444">
        <f t="shared" ca="1" si="134"/>
        <v>-72189817304.968475</v>
      </c>
      <c r="M2748" s="460">
        <f t="shared" si="136"/>
        <v>0.05</v>
      </c>
      <c r="N2748" s="464">
        <f t="shared" si="137"/>
        <v>134685</v>
      </c>
    </row>
    <row r="2749" spans="7:14" ht="11.25" customHeight="1" x14ac:dyDescent="0.25">
      <c r="G2749" s="459"/>
      <c r="H2749" s="459">
        <v>2742</v>
      </c>
      <c r="I2749" s="444">
        <f t="shared" ca="1" si="135"/>
        <v>-72189817304.968475</v>
      </c>
      <c r="J2749" s="444">
        <f t="array" ref="J2749">IFERROR(INDEX('Retirement Calculator'!K:K,MATCH('Lorri 401b'!N2749,'Retirement Calculator'!A:A,0),0),0)</f>
        <v>0</v>
      </c>
      <c r="K2749" s="444">
        <f t="shared" ca="1" si="133"/>
        <v>-300790905.43736863</v>
      </c>
      <c r="L2749" s="444">
        <f t="shared" ca="1" si="134"/>
        <v>-72490608210.405838</v>
      </c>
      <c r="M2749" s="460">
        <f t="shared" si="136"/>
        <v>0.05</v>
      </c>
      <c r="N2749" s="464">
        <f t="shared" si="137"/>
        <v>134716</v>
      </c>
    </row>
    <row r="2750" spans="7:14" ht="11.25" customHeight="1" x14ac:dyDescent="0.25">
      <c r="G2750" s="459"/>
      <c r="H2750" s="459">
        <v>2743</v>
      </c>
      <c r="I2750" s="444">
        <f t="shared" ca="1" si="135"/>
        <v>-72490608210.405838</v>
      </c>
      <c r="J2750" s="444">
        <f t="array" ref="J2750">IFERROR(INDEX('Retirement Calculator'!K:K,MATCH('Lorri 401b'!N2750,'Retirement Calculator'!A:A,0),0),0)</f>
        <v>0</v>
      </c>
      <c r="K2750" s="444">
        <f t="shared" ca="1" si="133"/>
        <v>-302044200.87669098</v>
      </c>
      <c r="L2750" s="444">
        <f t="shared" ca="1" si="134"/>
        <v>-72792652411.282532</v>
      </c>
      <c r="M2750" s="460">
        <f t="shared" si="136"/>
        <v>0.05</v>
      </c>
      <c r="N2750" s="464">
        <f t="shared" si="137"/>
        <v>134746</v>
      </c>
    </row>
    <row r="2751" spans="7:14" ht="11.25" customHeight="1" x14ac:dyDescent="0.25">
      <c r="G2751" s="459"/>
      <c r="H2751" s="459">
        <v>2744</v>
      </c>
      <c r="I2751" s="444">
        <f t="shared" ca="1" si="135"/>
        <v>-72792652411.282532</v>
      </c>
      <c r="J2751" s="444">
        <f t="array" ref="J2751">IFERROR(INDEX('Retirement Calculator'!K:K,MATCH('Lorri 401b'!N2751,'Retirement Calculator'!A:A,0),0),0)</f>
        <v>0</v>
      </c>
      <c r="K2751" s="444">
        <f t="shared" ca="1" si="133"/>
        <v>-303302718.38034385</v>
      </c>
      <c r="L2751" s="444">
        <f t="shared" ca="1" si="134"/>
        <v>-73095955129.662872</v>
      </c>
      <c r="M2751" s="460">
        <f t="shared" si="136"/>
        <v>0.05</v>
      </c>
      <c r="N2751" s="464">
        <f t="shared" si="137"/>
        <v>134777</v>
      </c>
    </row>
    <row r="2752" spans="7:14" ht="11.25" customHeight="1" x14ac:dyDescent="0.25">
      <c r="G2752" s="459"/>
      <c r="H2752" s="459">
        <v>2745</v>
      </c>
      <c r="I2752" s="444">
        <f t="shared" ca="1" si="135"/>
        <v>-73095955129.662872</v>
      </c>
      <c r="J2752" s="444">
        <f t="array" ref="J2752">IFERROR(INDEX('Retirement Calculator'!K:K,MATCH('Lorri 401b'!N2752,'Retirement Calculator'!A:A,0),0),0)</f>
        <v>0</v>
      </c>
      <c r="K2752" s="444">
        <f t="shared" ca="1" si="133"/>
        <v>-304566479.70692861</v>
      </c>
      <c r="L2752" s="444">
        <f t="shared" ca="1" si="134"/>
        <v>-73400521609.369797</v>
      </c>
      <c r="M2752" s="460">
        <f t="shared" si="136"/>
        <v>0.05</v>
      </c>
      <c r="N2752" s="464">
        <f t="shared" si="137"/>
        <v>134808</v>
      </c>
    </row>
    <row r="2753" spans="7:14" ht="11.25" customHeight="1" x14ac:dyDescent="0.25">
      <c r="G2753" s="459"/>
      <c r="H2753" s="459">
        <v>2746</v>
      </c>
      <c r="I2753" s="444">
        <f t="shared" ca="1" si="135"/>
        <v>-73400521609.369797</v>
      </c>
      <c r="J2753" s="444">
        <f t="array" ref="J2753">IFERROR(INDEX('Retirement Calculator'!K:K,MATCH('Lorri 401b'!N2753,'Retirement Calculator'!A:A,0),0),0)</f>
        <v>0</v>
      </c>
      <c r="K2753" s="444">
        <f t="shared" ca="1" si="133"/>
        <v>-305835506.70570749</v>
      </c>
      <c r="L2753" s="444">
        <f t="shared" ca="1" si="134"/>
        <v>-73706357116.0755</v>
      </c>
      <c r="M2753" s="460">
        <f t="shared" si="136"/>
        <v>0.05</v>
      </c>
      <c r="N2753" s="464">
        <f t="shared" si="137"/>
        <v>134836</v>
      </c>
    </row>
    <row r="2754" spans="7:14" ht="11.25" customHeight="1" x14ac:dyDescent="0.25">
      <c r="G2754" s="459"/>
      <c r="H2754" s="459">
        <v>2747</v>
      </c>
      <c r="I2754" s="444">
        <f t="shared" ca="1" si="135"/>
        <v>-73706357116.0755</v>
      </c>
      <c r="J2754" s="444">
        <f t="array" ref="J2754">IFERROR(INDEX('Retirement Calculator'!K:K,MATCH('Lorri 401b'!N2754,'Retirement Calculator'!A:A,0),0),0)</f>
        <v>0</v>
      </c>
      <c r="K2754" s="444">
        <f t="shared" ca="1" si="133"/>
        <v>-307109821.31698126</v>
      </c>
      <c r="L2754" s="444">
        <f t="shared" ca="1" si="134"/>
        <v>-74013466937.392487</v>
      </c>
      <c r="M2754" s="460">
        <f t="shared" si="136"/>
        <v>0.05</v>
      </c>
      <c r="N2754" s="464">
        <f t="shared" si="137"/>
        <v>134867</v>
      </c>
    </row>
    <row r="2755" spans="7:14" ht="11.25" customHeight="1" x14ac:dyDescent="0.25">
      <c r="G2755" s="459"/>
      <c r="H2755" s="459">
        <v>2748</v>
      </c>
      <c r="I2755" s="444">
        <f t="shared" ca="1" si="135"/>
        <v>-74013466937.392487</v>
      </c>
      <c r="J2755" s="444">
        <f t="array" ref="J2755">IFERROR(INDEX('Retirement Calculator'!K:K,MATCH('Lorri 401b'!N2755,'Retirement Calculator'!A:A,0),0),0)</f>
        <v>0</v>
      </c>
      <c r="K2755" s="444">
        <f t="shared" ca="1" si="133"/>
        <v>-308389445.5724687</v>
      </c>
      <c r="L2755" s="444">
        <f t="shared" ca="1" si="134"/>
        <v>-74321856382.964951</v>
      </c>
      <c r="M2755" s="460">
        <f t="shared" si="136"/>
        <v>0.05</v>
      </c>
      <c r="N2755" s="464">
        <f t="shared" si="137"/>
        <v>134897</v>
      </c>
    </row>
    <row r="2756" spans="7:14" ht="11.25" customHeight="1" x14ac:dyDescent="0.25">
      <c r="G2756" s="459"/>
      <c r="H2756" s="459">
        <v>2749</v>
      </c>
      <c r="I2756" s="444">
        <f t="shared" ca="1" si="135"/>
        <v>-74321856382.964951</v>
      </c>
      <c r="J2756" s="444">
        <f t="array" ref="J2756">IFERROR(INDEX('Retirement Calculator'!K:K,MATCH('Lorri 401b'!N2756,'Retirement Calculator'!A:A,0),0),0)</f>
        <v>0</v>
      </c>
      <c r="K2756" s="444">
        <f t="shared" ca="1" si="133"/>
        <v>-309674401.59568727</v>
      </c>
      <c r="L2756" s="444">
        <f t="shared" ca="1" si="134"/>
        <v>-74631530784.560638</v>
      </c>
      <c r="M2756" s="460">
        <f t="shared" si="136"/>
        <v>0.05</v>
      </c>
      <c r="N2756" s="464">
        <f t="shared" si="137"/>
        <v>134928</v>
      </c>
    </row>
    <row r="2757" spans="7:14" ht="11.25" customHeight="1" x14ac:dyDescent="0.25">
      <c r="G2757" s="459"/>
      <c r="H2757" s="459">
        <v>2750</v>
      </c>
      <c r="I2757" s="444">
        <f t="shared" ca="1" si="135"/>
        <v>-74631530784.560638</v>
      </c>
      <c r="J2757" s="444">
        <f t="array" ref="J2757">IFERROR(INDEX('Retirement Calculator'!K:K,MATCH('Lorri 401b'!N2757,'Retirement Calculator'!A:A,0),0),0)</f>
        <v>0</v>
      </c>
      <c r="K2757" s="444">
        <f t="shared" ca="1" si="133"/>
        <v>-310964711.60233599</v>
      </c>
      <c r="L2757" s="444">
        <f t="shared" ca="1" si="134"/>
        <v>-74942495496.162979</v>
      </c>
      <c r="M2757" s="460">
        <f t="shared" si="136"/>
        <v>0.05</v>
      </c>
      <c r="N2757" s="464">
        <f t="shared" si="137"/>
        <v>134958</v>
      </c>
    </row>
    <row r="2758" spans="7:14" ht="11.25" customHeight="1" x14ac:dyDescent="0.25">
      <c r="G2758" s="459"/>
      <c r="H2758" s="459">
        <v>2751</v>
      </c>
      <c r="I2758" s="444">
        <f t="shared" ca="1" si="135"/>
        <v>-74942495496.162979</v>
      </c>
      <c r="J2758" s="444">
        <f t="array" ref="J2758">IFERROR(INDEX('Retirement Calculator'!K:K,MATCH('Lorri 401b'!N2758,'Retirement Calculator'!A:A,0),0),0)</f>
        <v>0</v>
      </c>
      <c r="K2758" s="444">
        <f t="shared" ca="1" si="133"/>
        <v>-312260397.90067905</v>
      </c>
      <c r="L2758" s="444">
        <f t="shared" ca="1" si="134"/>
        <v>-75254755894.06366</v>
      </c>
      <c r="M2758" s="460">
        <f t="shared" si="136"/>
        <v>0.05</v>
      </c>
      <c r="N2758" s="464">
        <f t="shared" si="137"/>
        <v>134989</v>
      </c>
    </row>
    <row r="2759" spans="7:14" ht="11.25" customHeight="1" x14ac:dyDescent="0.25">
      <c r="G2759" s="459"/>
      <c r="H2759" s="459">
        <v>2752</v>
      </c>
      <c r="I2759" s="444">
        <f t="shared" ca="1" si="135"/>
        <v>-75254755894.06366</v>
      </c>
      <c r="J2759" s="444">
        <f t="array" ref="J2759">IFERROR(INDEX('Retirement Calculator'!K:K,MATCH('Lorri 401b'!N2759,'Retirement Calculator'!A:A,0),0),0)</f>
        <v>0</v>
      </c>
      <c r="K2759" s="444">
        <f t="shared" ca="1" si="133"/>
        <v>-313561482.89193189</v>
      </c>
      <c r="L2759" s="444">
        <f t="shared" ca="1" si="134"/>
        <v>-75568317376.955597</v>
      </c>
      <c r="M2759" s="460">
        <f t="shared" si="136"/>
        <v>0.05</v>
      </c>
      <c r="N2759" s="464">
        <f t="shared" si="137"/>
        <v>135020</v>
      </c>
    </row>
    <row r="2760" spans="7:14" ht="11.25" customHeight="1" x14ac:dyDescent="0.25">
      <c r="G2760" s="459"/>
      <c r="H2760" s="459">
        <v>2753</v>
      </c>
      <c r="I2760" s="444">
        <f t="shared" ca="1" si="135"/>
        <v>-75568317376.955597</v>
      </c>
      <c r="J2760" s="444">
        <f t="array" ref="J2760">IFERROR(INDEX('Retirement Calculator'!K:K,MATCH('Lorri 401b'!N2760,'Retirement Calculator'!A:A,0),0),0)</f>
        <v>0</v>
      </c>
      <c r="K2760" s="444">
        <f t="shared" ca="1" si="133"/>
        <v>-314867989.07064831</v>
      </c>
      <c r="L2760" s="444">
        <f t="shared" ca="1" si="134"/>
        <v>-75883185366.026245</v>
      </c>
      <c r="M2760" s="460">
        <f t="shared" si="136"/>
        <v>0.05</v>
      </c>
      <c r="N2760" s="464">
        <f t="shared" si="137"/>
        <v>135050</v>
      </c>
    </row>
    <row r="2761" spans="7:14" ht="11.25" customHeight="1" x14ac:dyDescent="0.25">
      <c r="G2761" s="459"/>
      <c r="H2761" s="459">
        <v>2754</v>
      </c>
      <c r="I2761" s="444">
        <f t="shared" ca="1" si="135"/>
        <v>-75883185366.026245</v>
      </c>
      <c r="J2761" s="444">
        <f t="array" ref="J2761">IFERROR(INDEX('Retirement Calculator'!K:K,MATCH('Lorri 401b'!N2761,'Retirement Calculator'!A:A,0),0),0)</f>
        <v>0</v>
      </c>
      <c r="K2761" s="444">
        <f t="shared" ca="1" si="133"/>
        <v>-316179939.02510935</v>
      </c>
      <c r="L2761" s="444">
        <f t="shared" ca="1" si="134"/>
        <v>-76199365305.051361</v>
      </c>
      <c r="M2761" s="460">
        <f t="shared" si="136"/>
        <v>0.05</v>
      </c>
      <c r="N2761" s="464">
        <f t="shared" si="137"/>
        <v>135081</v>
      </c>
    </row>
    <row r="2762" spans="7:14" ht="11.25" customHeight="1" x14ac:dyDescent="0.25">
      <c r="G2762" s="459"/>
      <c r="H2762" s="459">
        <v>2755</v>
      </c>
      <c r="I2762" s="444">
        <f t="shared" ca="1" si="135"/>
        <v>-76199365305.051361</v>
      </c>
      <c r="J2762" s="444">
        <f t="array" ref="J2762">IFERROR(INDEX('Retirement Calculator'!K:K,MATCH('Lorri 401b'!N2762,'Retirement Calculator'!A:A,0),0),0)</f>
        <v>0</v>
      </c>
      <c r="K2762" s="444">
        <f t="shared" ca="1" si="133"/>
        <v>-317497355.43771398</v>
      </c>
      <c r="L2762" s="444">
        <f t="shared" ca="1" si="134"/>
        <v>-76516862660.489075</v>
      </c>
      <c r="M2762" s="460">
        <f t="shared" si="136"/>
        <v>0.05</v>
      </c>
      <c r="N2762" s="464">
        <f t="shared" si="137"/>
        <v>135111</v>
      </c>
    </row>
    <row r="2763" spans="7:14" ht="11.25" customHeight="1" x14ac:dyDescent="0.25">
      <c r="G2763" s="459"/>
      <c r="H2763" s="459">
        <v>2756</v>
      </c>
      <c r="I2763" s="444">
        <f t="shared" ca="1" si="135"/>
        <v>-76516862660.489075</v>
      </c>
      <c r="J2763" s="444">
        <f t="array" ref="J2763">IFERROR(INDEX('Retirement Calculator'!K:K,MATCH('Lorri 401b'!N2763,'Retirement Calculator'!A:A,0),0),0)</f>
        <v>0</v>
      </c>
      <c r="K2763" s="444">
        <f t="shared" ca="1" si="133"/>
        <v>-318820261.08537114</v>
      </c>
      <c r="L2763" s="444">
        <f t="shared" ca="1" si="134"/>
        <v>-76835682921.574448</v>
      </c>
      <c r="M2763" s="460">
        <f t="shared" si="136"/>
        <v>0.05</v>
      </c>
      <c r="N2763" s="464">
        <f t="shared" si="137"/>
        <v>135142</v>
      </c>
    </row>
    <row r="2764" spans="7:14" ht="11.25" customHeight="1" x14ac:dyDescent="0.25">
      <c r="G2764" s="459"/>
      <c r="H2764" s="459">
        <v>2757</v>
      </c>
      <c r="I2764" s="444">
        <f t="shared" ca="1" si="135"/>
        <v>-76835682921.574448</v>
      </c>
      <c r="J2764" s="444">
        <f t="array" ref="J2764">IFERROR(INDEX('Retirement Calculator'!K:K,MATCH('Lorri 401b'!N2764,'Retirement Calculator'!A:A,0),0),0)</f>
        <v>0</v>
      </c>
      <c r="K2764" s="444">
        <f t="shared" ca="1" si="133"/>
        <v>-320148678.83989352</v>
      </c>
      <c r="L2764" s="444">
        <f t="shared" ca="1" si="134"/>
        <v>-77155831600.414337</v>
      </c>
      <c r="M2764" s="460">
        <f t="shared" si="136"/>
        <v>0.05</v>
      </c>
      <c r="N2764" s="464">
        <f t="shared" si="137"/>
        <v>135173</v>
      </c>
    </row>
    <row r="2765" spans="7:14" ht="11.25" customHeight="1" x14ac:dyDescent="0.25">
      <c r="G2765" s="459"/>
      <c r="H2765" s="459">
        <v>2758</v>
      </c>
      <c r="I2765" s="444">
        <f t="shared" ca="1" si="135"/>
        <v>-77155831600.414337</v>
      </c>
      <c r="J2765" s="444">
        <f t="array" ref="J2765">IFERROR(INDEX('Retirement Calculator'!K:K,MATCH('Lorri 401b'!N2765,'Retirement Calculator'!A:A,0),0),0)</f>
        <v>0</v>
      </c>
      <c r="K2765" s="444">
        <f t="shared" ca="1" si="133"/>
        <v>-321482631.66839308</v>
      </c>
      <c r="L2765" s="444">
        <f t="shared" ca="1" si="134"/>
        <v>-77477314232.082733</v>
      </c>
      <c r="M2765" s="460">
        <f t="shared" si="136"/>
        <v>0.05</v>
      </c>
      <c r="N2765" s="464">
        <f t="shared" si="137"/>
        <v>135201</v>
      </c>
    </row>
    <row r="2766" spans="7:14" ht="11.25" customHeight="1" x14ac:dyDescent="0.25">
      <c r="G2766" s="459"/>
      <c r="H2766" s="459">
        <v>2759</v>
      </c>
      <c r="I2766" s="444">
        <f t="shared" ca="1" si="135"/>
        <v>-77477314232.082733</v>
      </c>
      <c r="J2766" s="444">
        <f t="array" ref="J2766">IFERROR(INDEX('Retirement Calculator'!K:K,MATCH('Lorri 401b'!N2766,'Retirement Calculator'!A:A,0),0),0)</f>
        <v>0</v>
      </c>
      <c r="K2766" s="444">
        <f t="shared" ca="1" si="133"/>
        <v>-322822142.63367808</v>
      </c>
      <c r="L2766" s="444">
        <f t="shared" ca="1" si="134"/>
        <v>-77800136374.716415</v>
      </c>
      <c r="M2766" s="460">
        <f t="shared" si="136"/>
        <v>0.05</v>
      </c>
      <c r="N2766" s="464">
        <f t="shared" si="137"/>
        <v>135232</v>
      </c>
    </row>
    <row r="2767" spans="7:14" ht="11.25" customHeight="1" x14ac:dyDescent="0.25">
      <c r="G2767" s="459"/>
      <c r="H2767" s="459">
        <v>2760</v>
      </c>
      <c r="I2767" s="444">
        <f t="shared" ca="1" si="135"/>
        <v>-77800136374.716415</v>
      </c>
      <c r="J2767" s="444">
        <f t="array" ref="J2767">IFERROR(INDEX('Retirement Calculator'!K:K,MATCH('Lorri 401b'!N2767,'Retirement Calculator'!A:A,0),0),0)</f>
        <v>0</v>
      </c>
      <c r="K2767" s="444">
        <f t="shared" ca="1" si="133"/>
        <v>-324167234.89465171</v>
      </c>
      <c r="L2767" s="444">
        <f t="shared" ca="1" si="134"/>
        <v>-78124303609.611069</v>
      </c>
      <c r="M2767" s="460">
        <f t="shared" si="136"/>
        <v>0.05</v>
      </c>
      <c r="N2767" s="464">
        <f t="shared" si="137"/>
        <v>135262</v>
      </c>
    </row>
    <row r="2768" spans="7:14" ht="11.25" customHeight="1" x14ac:dyDescent="0.25">
      <c r="G2768" s="459"/>
      <c r="H2768" s="459">
        <v>2761</v>
      </c>
      <c r="I2768" s="444">
        <f t="shared" ca="1" si="135"/>
        <v>-78124303609.611069</v>
      </c>
      <c r="J2768" s="444">
        <f t="array" ref="J2768">IFERROR(INDEX('Retirement Calculator'!K:K,MATCH('Lorri 401b'!N2768,'Retirement Calculator'!A:A,0),0),0)</f>
        <v>0</v>
      </c>
      <c r="K2768" s="444">
        <f t="shared" ca="1" si="133"/>
        <v>-325517931.70671278</v>
      </c>
      <c r="L2768" s="444">
        <f t="shared" ca="1" si="134"/>
        <v>-78449821541.31778</v>
      </c>
      <c r="M2768" s="460">
        <f t="shared" si="136"/>
        <v>0.05</v>
      </c>
      <c r="N2768" s="464">
        <f t="shared" si="137"/>
        <v>135293</v>
      </c>
    </row>
    <row r="2769" spans="7:14" ht="11.25" customHeight="1" x14ac:dyDescent="0.25">
      <c r="G2769" s="459"/>
      <c r="H2769" s="459">
        <v>2762</v>
      </c>
      <c r="I2769" s="444">
        <f t="shared" ca="1" si="135"/>
        <v>-78449821541.31778</v>
      </c>
      <c r="J2769" s="444">
        <f t="array" ref="J2769">IFERROR(INDEX('Retirement Calculator'!K:K,MATCH('Lorri 401b'!N2769,'Retirement Calculator'!A:A,0),0),0)</f>
        <v>0</v>
      </c>
      <c r="K2769" s="444">
        <f t="shared" ca="1" si="133"/>
        <v>-326874256.42215741</v>
      </c>
      <c r="L2769" s="444">
        <f t="shared" ca="1" si="134"/>
        <v>-78776695797.739944</v>
      </c>
      <c r="M2769" s="460">
        <f t="shared" si="136"/>
        <v>0.05</v>
      </c>
      <c r="N2769" s="464">
        <f t="shared" si="137"/>
        <v>135323</v>
      </c>
    </row>
    <row r="2770" spans="7:14" ht="11.25" customHeight="1" x14ac:dyDescent="0.25">
      <c r="G2770" s="459"/>
      <c r="H2770" s="459">
        <v>2763</v>
      </c>
      <c r="I2770" s="444">
        <f t="shared" ca="1" si="135"/>
        <v>-78776695797.739944</v>
      </c>
      <c r="J2770" s="444">
        <f t="array" ref="J2770">IFERROR(INDEX('Retirement Calculator'!K:K,MATCH('Lorri 401b'!N2770,'Retirement Calculator'!A:A,0),0),0)</f>
        <v>0</v>
      </c>
      <c r="K2770" s="444">
        <f t="shared" ca="1" si="133"/>
        <v>-328236232.49058312</v>
      </c>
      <c r="L2770" s="444">
        <f t="shared" ca="1" si="134"/>
        <v>-79104932030.23053</v>
      </c>
      <c r="M2770" s="460">
        <f t="shared" si="136"/>
        <v>0.05</v>
      </c>
      <c r="N2770" s="464">
        <f t="shared" si="137"/>
        <v>135354</v>
      </c>
    </row>
    <row r="2771" spans="7:14" ht="11.25" customHeight="1" x14ac:dyDescent="0.25">
      <c r="G2771" s="459"/>
      <c r="H2771" s="459">
        <v>2764</v>
      </c>
      <c r="I2771" s="444">
        <f t="shared" ca="1" si="135"/>
        <v>-79104932030.23053</v>
      </c>
      <c r="J2771" s="444">
        <f t="array" ref="J2771">IFERROR(INDEX('Retirement Calculator'!K:K,MATCH('Lorri 401b'!N2771,'Retirement Calculator'!A:A,0),0),0)</f>
        <v>0</v>
      </c>
      <c r="K2771" s="444">
        <f t="shared" ca="1" si="133"/>
        <v>-329603883.45929384</v>
      </c>
      <c r="L2771" s="444">
        <f t="shared" ca="1" si="134"/>
        <v>-79434535913.689819</v>
      </c>
      <c r="M2771" s="460">
        <f t="shared" si="136"/>
        <v>0.05</v>
      </c>
      <c r="N2771" s="464">
        <f t="shared" si="137"/>
        <v>135385</v>
      </c>
    </row>
    <row r="2772" spans="7:14" ht="11.25" customHeight="1" x14ac:dyDescent="0.25">
      <c r="G2772" s="459"/>
      <c r="H2772" s="459">
        <v>2765</v>
      </c>
      <c r="I2772" s="444">
        <f t="shared" ca="1" si="135"/>
        <v>-79434535913.689819</v>
      </c>
      <c r="J2772" s="444">
        <f t="array" ref="J2772">IFERROR(INDEX('Retirement Calculator'!K:K,MATCH('Lorri 401b'!N2772,'Retirement Calculator'!A:A,0),0),0)</f>
        <v>0</v>
      </c>
      <c r="K2772" s="444">
        <f t="shared" ca="1" si="133"/>
        <v>-330977232.97370756</v>
      </c>
      <c r="L2772" s="444">
        <f t="shared" ca="1" si="134"/>
        <v>-79765513146.663528</v>
      </c>
      <c r="M2772" s="460">
        <f t="shared" si="136"/>
        <v>0.05</v>
      </c>
      <c r="N2772" s="464">
        <f t="shared" si="137"/>
        <v>135415</v>
      </c>
    </row>
    <row r="2773" spans="7:14" ht="11.25" customHeight="1" x14ac:dyDescent="0.25">
      <c r="G2773" s="459"/>
      <c r="H2773" s="459">
        <v>2766</v>
      </c>
      <c r="I2773" s="444">
        <f t="shared" ca="1" si="135"/>
        <v>-79765513146.663528</v>
      </c>
      <c r="J2773" s="444">
        <f t="array" ref="J2773">IFERROR(INDEX('Retirement Calculator'!K:K,MATCH('Lorri 401b'!N2773,'Retirement Calculator'!A:A,0),0),0)</f>
        <v>0</v>
      </c>
      <c r="K2773" s="444">
        <f t="shared" ca="1" si="133"/>
        <v>-332356304.77776468</v>
      </c>
      <c r="L2773" s="444">
        <f t="shared" ca="1" si="134"/>
        <v>-80097869451.441299</v>
      </c>
      <c r="M2773" s="460">
        <f t="shared" si="136"/>
        <v>0.05</v>
      </c>
      <c r="N2773" s="464">
        <f t="shared" si="137"/>
        <v>135446</v>
      </c>
    </row>
    <row r="2774" spans="7:14" ht="11.25" customHeight="1" x14ac:dyDescent="0.25">
      <c r="G2774" s="459"/>
      <c r="H2774" s="459">
        <v>2767</v>
      </c>
      <c r="I2774" s="444">
        <f t="shared" ca="1" si="135"/>
        <v>-80097869451.441299</v>
      </c>
      <c r="J2774" s="444">
        <f t="array" ref="J2774">IFERROR(INDEX('Retirement Calculator'!K:K,MATCH('Lorri 401b'!N2774,'Retirement Calculator'!A:A,0),0),0)</f>
        <v>0</v>
      </c>
      <c r="K2774" s="444">
        <f t="shared" ca="1" si="133"/>
        <v>-333741122.71433872</v>
      </c>
      <c r="L2774" s="444">
        <f t="shared" ca="1" si="134"/>
        <v>-80431610574.15564</v>
      </c>
      <c r="M2774" s="460">
        <f t="shared" si="136"/>
        <v>0.05</v>
      </c>
      <c r="N2774" s="464">
        <f t="shared" si="137"/>
        <v>135476</v>
      </c>
    </row>
    <row r="2775" spans="7:14" ht="11.25" customHeight="1" x14ac:dyDescent="0.25">
      <c r="G2775" s="459"/>
      <c r="H2775" s="459">
        <v>2768</v>
      </c>
      <c r="I2775" s="444">
        <f t="shared" ca="1" si="135"/>
        <v>-80431610574.15564</v>
      </c>
      <c r="J2775" s="444">
        <f t="array" ref="J2775">IFERROR(INDEX('Retirement Calculator'!K:K,MATCH('Lorri 401b'!N2775,'Retirement Calculator'!A:A,0),0),0)</f>
        <v>0</v>
      </c>
      <c r="K2775" s="444">
        <f t="shared" ca="1" si="133"/>
        <v>-335131710.72564852</v>
      </c>
      <c r="L2775" s="444">
        <f t="shared" ca="1" si="134"/>
        <v>-80766742284.881287</v>
      </c>
      <c r="M2775" s="460">
        <f t="shared" si="136"/>
        <v>0.05</v>
      </c>
      <c r="N2775" s="464">
        <f t="shared" si="137"/>
        <v>135507</v>
      </c>
    </row>
    <row r="2776" spans="7:14" ht="11.25" customHeight="1" x14ac:dyDescent="0.25">
      <c r="G2776" s="459"/>
      <c r="H2776" s="459">
        <v>2769</v>
      </c>
      <c r="I2776" s="444">
        <f t="shared" ca="1" si="135"/>
        <v>-80766742284.881287</v>
      </c>
      <c r="J2776" s="444">
        <f t="array" ref="J2776">IFERROR(INDEX('Retirement Calculator'!K:K,MATCH('Lorri 401b'!N2776,'Retirement Calculator'!A:A,0),0),0)</f>
        <v>0</v>
      </c>
      <c r="K2776" s="444">
        <f t="shared" ca="1" si="133"/>
        <v>-336528092.85367203</v>
      </c>
      <c r="L2776" s="444">
        <f t="shared" ca="1" si="134"/>
        <v>-81103270377.734955</v>
      </c>
      <c r="M2776" s="460">
        <f t="shared" si="136"/>
        <v>0.05</v>
      </c>
      <c r="N2776" s="464">
        <f t="shared" si="137"/>
        <v>135538</v>
      </c>
    </row>
    <row r="2777" spans="7:14" ht="11.25" customHeight="1" x14ac:dyDescent="0.25">
      <c r="G2777" s="459"/>
      <c r="H2777" s="459">
        <v>2770</v>
      </c>
      <c r="I2777" s="444">
        <f t="shared" ca="1" si="135"/>
        <v>-81103270377.734955</v>
      </c>
      <c r="J2777" s="444">
        <f t="array" ref="J2777">IFERROR(INDEX('Retirement Calculator'!K:K,MATCH('Lorri 401b'!N2777,'Retirement Calculator'!A:A,0),0),0)</f>
        <v>0</v>
      </c>
      <c r="K2777" s="444">
        <f t="shared" ca="1" si="133"/>
        <v>-337930293.24056232</v>
      </c>
      <c r="L2777" s="444">
        <f t="shared" ca="1" si="134"/>
        <v>-81441200670.97551</v>
      </c>
      <c r="M2777" s="460">
        <f t="shared" si="136"/>
        <v>0.05</v>
      </c>
      <c r="N2777" s="464">
        <f t="shared" si="137"/>
        <v>135566</v>
      </c>
    </row>
    <row r="2778" spans="7:14" ht="11.25" customHeight="1" x14ac:dyDescent="0.25">
      <c r="G2778" s="459"/>
      <c r="H2778" s="459">
        <v>2771</v>
      </c>
      <c r="I2778" s="444">
        <f t="shared" ca="1" si="135"/>
        <v>-81441200670.97551</v>
      </c>
      <c r="J2778" s="444">
        <f t="array" ref="J2778">IFERROR(INDEX('Retirement Calculator'!K:K,MATCH('Lorri 401b'!N2778,'Retirement Calculator'!A:A,0),0),0)</f>
        <v>0</v>
      </c>
      <c r="K2778" s="444">
        <f t="shared" ca="1" si="133"/>
        <v>-339338336.12906462</v>
      </c>
      <c r="L2778" s="444">
        <f t="shared" ca="1" si="134"/>
        <v>-81780539007.104568</v>
      </c>
      <c r="M2778" s="460">
        <f t="shared" si="136"/>
        <v>0.05</v>
      </c>
      <c r="N2778" s="464">
        <f t="shared" si="137"/>
        <v>135597</v>
      </c>
    </row>
    <row r="2779" spans="7:14" ht="11.25" customHeight="1" x14ac:dyDescent="0.25">
      <c r="G2779" s="459"/>
      <c r="H2779" s="459">
        <v>2772</v>
      </c>
      <c r="I2779" s="444">
        <f t="shared" ca="1" si="135"/>
        <v>-81780539007.104568</v>
      </c>
      <c r="J2779" s="444">
        <f t="array" ref="J2779">IFERROR(INDEX('Retirement Calculator'!K:K,MATCH('Lorri 401b'!N2779,'Retirement Calculator'!A:A,0),0),0)</f>
        <v>0</v>
      </c>
      <c r="K2779" s="444">
        <f t="shared" ca="1" si="133"/>
        <v>-340752245.86293572</v>
      </c>
      <c r="L2779" s="444">
        <f t="shared" ca="1" si="134"/>
        <v>-82121291252.967499</v>
      </c>
      <c r="M2779" s="460">
        <f t="shared" si="136"/>
        <v>0.05</v>
      </c>
      <c r="N2779" s="464">
        <f t="shared" si="137"/>
        <v>135627</v>
      </c>
    </row>
    <row r="2780" spans="7:14" ht="11.25" customHeight="1" x14ac:dyDescent="0.25">
      <c r="G2780" s="459"/>
      <c r="H2780" s="459">
        <v>2773</v>
      </c>
      <c r="I2780" s="444">
        <f t="shared" ca="1" si="135"/>
        <v>-82121291252.967499</v>
      </c>
      <c r="J2780" s="444">
        <f t="array" ref="J2780">IFERROR(INDEX('Retirement Calculator'!K:K,MATCH('Lorri 401b'!N2780,'Retirement Calculator'!A:A,0),0),0)</f>
        <v>0</v>
      </c>
      <c r="K2780" s="444">
        <f t="shared" ca="1" si="133"/>
        <v>-342172046.88736457</v>
      </c>
      <c r="L2780" s="444">
        <f t="shared" ca="1" si="134"/>
        <v>-82463463299.854858</v>
      </c>
      <c r="M2780" s="460">
        <f t="shared" si="136"/>
        <v>0.05</v>
      </c>
      <c r="N2780" s="464">
        <f t="shared" si="137"/>
        <v>135658</v>
      </c>
    </row>
    <row r="2781" spans="7:14" ht="11.25" customHeight="1" x14ac:dyDescent="0.25">
      <c r="G2781" s="459"/>
      <c r="H2781" s="459">
        <v>2774</v>
      </c>
      <c r="I2781" s="444">
        <f t="shared" ca="1" si="135"/>
        <v>-82463463299.854858</v>
      </c>
      <c r="J2781" s="444">
        <f t="array" ref="J2781">IFERROR(INDEX('Retirement Calculator'!K:K,MATCH('Lorri 401b'!N2781,'Retirement Calculator'!A:A,0),0),0)</f>
        <v>0</v>
      </c>
      <c r="K2781" s="444">
        <f t="shared" ca="1" si="133"/>
        <v>-343597763.74939525</v>
      </c>
      <c r="L2781" s="444">
        <f t="shared" ca="1" si="134"/>
        <v>-82807061063.604248</v>
      </c>
      <c r="M2781" s="460">
        <f t="shared" si="136"/>
        <v>0.05</v>
      </c>
      <c r="N2781" s="464">
        <f t="shared" si="137"/>
        <v>135688</v>
      </c>
    </row>
    <row r="2782" spans="7:14" ht="11.25" customHeight="1" x14ac:dyDescent="0.25">
      <c r="G2782" s="459"/>
      <c r="H2782" s="459">
        <v>2775</v>
      </c>
      <c r="I2782" s="444">
        <f t="shared" ca="1" si="135"/>
        <v>-82807061063.604248</v>
      </c>
      <c r="J2782" s="444">
        <f t="array" ref="J2782">IFERROR(INDEX('Retirement Calculator'!K:K,MATCH('Lorri 401b'!N2782,'Retirement Calculator'!A:A,0),0),0)</f>
        <v>0</v>
      </c>
      <c r="K2782" s="444">
        <f t="shared" ca="1" si="133"/>
        <v>-345029421.098351</v>
      </c>
      <c r="L2782" s="444">
        <f t="shared" ca="1" si="134"/>
        <v>-83152090484.702606</v>
      </c>
      <c r="M2782" s="460">
        <f t="shared" si="136"/>
        <v>0.05</v>
      </c>
      <c r="N2782" s="464">
        <f t="shared" si="137"/>
        <v>135719</v>
      </c>
    </row>
    <row r="2783" spans="7:14" ht="11.25" customHeight="1" x14ac:dyDescent="0.25">
      <c r="G2783" s="459"/>
      <c r="H2783" s="459">
        <v>2776</v>
      </c>
      <c r="I2783" s="444">
        <f t="shared" ca="1" si="135"/>
        <v>-83152090484.702606</v>
      </c>
      <c r="J2783" s="444">
        <f t="array" ref="J2783">IFERROR(INDEX('Retirement Calculator'!K:K,MATCH('Lorri 401b'!N2783,'Retirement Calculator'!A:A,0),0),0)</f>
        <v>0</v>
      </c>
      <c r="K2783" s="444">
        <f t="shared" ca="1" si="133"/>
        <v>-346467043.68626088</v>
      </c>
      <c r="L2783" s="444">
        <f t="shared" ca="1" si="134"/>
        <v>-83498557528.38887</v>
      </c>
      <c r="M2783" s="460">
        <f t="shared" si="136"/>
        <v>0.05</v>
      </c>
      <c r="N2783" s="464">
        <f t="shared" si="137"/>
        <v>135750</v>
      </c>
    </row>
    <row r="2784" spans="7:14" ht="11.25" customHeight="1" x14ac:dyDescent="0.25">
      <c r="G2784" s="459"/>
      <c r="H2784" s="459">
        <v>2777</v>
      </c>
      <c r="I2784" s="444">
        <f t="shared" ca="1" si="135"/>
        <v>-83498557528.38887</v>
      </c>
      <c r="J2784" s="444">
        <f t="array" ref="J2784">IFERROR(INDEX('Retirement Calculator'!K:K,MATCH('Lorri 401b'!N2784,'Retirement Calculator'!A:A,0),0),0)</f>
        <v>0</v>
      </c>
      <c r="K2784" s="444">
        <f t="shared" ca="1" si="133"/>
        <v>-347910656.36828697</v>
      </c>
      <c r="L2784" s="444">
        <f t="shared" ca="1" si="134"/>
        <v>-83846468184.757156</v>
      </c>
      <c r="M2784" s="460">
        <f t="shared" si="136"/>
        <v>0.05</v>
      </c>
      <c r="N2784" s="464">
        <f t="shared" si="137"/>
        <v>135780</v>
      </c>
    </row>
    <row r="2785" spans="7:14" ht="11.25" customHeight="1" x14ac:dyDescent="0.25">
      <c r="G2785" s="459"/>
      <c r="H2785" s="459">
        <v>2778</v>
      </c>
      <c r="I2785" s="444">
        <f t="shared" ca="1" si="135"/>
        <v>-83846468184.757156</v>
      </c>
      <c r="J2785" s="444">
        <f t="array" ref="J2785">IFERROR(INDEX('Retirement Calculator'!K:K,MATCH('Lorri 401b'!N2785,'Retirement Calculator'!A:A,0),0),0)</f>
        <v>0</v>
      </c>
      <c r="K2785" s="444">
        <f t="shared" ca="1" si="133"/>
        <v>-349360284.10315484</v>
      </c>
      <c r="L2785" s="444">
        <f t="shared" ca="1" si="134"/>
        <v>-84195828468.860306</v>
      </c>
      <c r="M2785" s="460">
        <f t="shared" si="136"/>
        <v>0.05</v>
      </c>
      <c r="N2785" s="464">
        <f t="shared" si="137"/>
        <v>135811</v>
      </c>
    </row>
    <row r="2786" spans="7:14" ht="11.25" customHeight="1" x14ac:dyDescent="0.25">
      <c r="G2786" s="459"/>
      <c r="H2786" s="459">
        <v>2779</v>
      </c>
      <c r="I2786" s="444">
        <f t="shared" ca="1" si="135"/>
        <v>-84195828468.860306</v>
      </c>
      <c r="J2786" s="444">
        <f t="array" ref="J2786">IFERROR(INDEX('Retirement Calculator'!K:K,MATCH('Lorri 401b'!N2786,'Retirement Calculator'!A:A,0),0),0)</f>
        <v>0</v>
      </c>
      <c r="K2786" s="444">
        <f t="shared" ca="1" si="133"/>
        <v>-350815951.95358461</v>
      </c>
      <c r="L2786" s="444">
        <f t="shared" ca="1" si="134"/>
        <v>-84546644420.813889</v>
      </c>
      <c r="M2786" s="460">
        <f t="shared" si="136"/>
        <v>0.05</v>
      </c>
      <c r="N2786" s="464">
        <f t="shared" si="137"/>
        <v>135841</v>
      </c>
    </row>
    <row r="2787" spans="7:14" ht="11.25" customHeight="1" x14ac:dyDescent="0.25">
      <c r="G2787" s="459"/>
      <c r="H2787" s="459">
        <v>2780</v>
      </c>
      <c r="I2787" s="444">
        <f t="shared" ca="1" si="135"/>
        <v>-84546644420.813889</v>
      </c>
      <c r="J2787" s="444">
        <f t="array" ref="J2787">IFERROR(INDEX('Retirement Calculator'!K:K,MATCH('Lorri 401b'!N2787,'Retirement Calculator'!A:A,0),0),0)</f>
        <v>0</v>
      </c>
      <c r="K2787" s="444">
        <f t="shared" ca="1" si="133"/>
        <v>-352277685.08672452</v>
      </c>
      <c r="L2787" s="444">
        <f t="shared" ca="1" si="134"/>
        <v>-84898922105.90062</v>
      </c>
      <c r="M2787" s="460">
        <f t="shared" si="136"/>
        <v>0.05</v>
      </c>
      <c r="N2787" s="464">
        <f t="shared" si="137"/>
        <v>135872</v>
      </c>
    </row>
    <row r="2788" spans="7:14" ht="11.25" customHeight="1" x14ac:dyDescent="0.25">
      <c r="G2788" s="459"/>
      <c r="H2788" s="459">
        <v>2781</v>
      </c>
      <c r="I2788" s="444">
        <f t="shared" ca="1" si="135"/>
        <v>-84898922105.90062</v>
      </c>
      <c r="J2788" s="444">
        <f t="array" ref="J2788">IFERROR(INDEX('Retirement Calculator'!K:K,MATCH('Lorri 401b'!N2788,'Retirement Calculator'!A:A,0),0),0)</f>
        <v>0</v>
      </c>
      <c r="K2788" s="444">
        <f t="shared" ca="1" si="133"/>
        <v>-353745508.7745859</v>
      </c>
      <c r="L2788" s="444">
        <f t="shared" ca="1" si="134"/>
        <v>-85252667614.675201</v>
      </c>
      <c r="M2788" s="460">
        <f t="shared" si="136"/>
        <v>0.05</v>
      </c>
      <c r="N2788" s="464">
        <f t="shared" si="137"/>
        <v>135903</v>
      </c>
    </row>
    <row r="2789" spans="7:14" ht="11.25" customHeight="1" x14ac:dyDescent="0.25">
      <c r="G2789" s="459"/>
      <c r="H2789" s="459">
        <v>2782</v>
      </c>
      <c r="I2789" s="444">
        <f t="shared" ca="1" si="135"/>
        <v>-85252667614.675201</v>
      </c>
      <c r="J2789" s="444">
        <f t="array" ref="J2789">IFERROR(INDEX('Retirement Calculator'!K:K,MATCH('Lorri 401b'!N2789,'Retirement Calculator'!A:A,0),0),0)</f>
        <v>0</v>
      </c>
      <c r="K2789" s="444">
        <f t="shared" ca="1" si="133"/>
        <v>-355219448.39447999</v>
      </c>
      <c r="L2789" s="444">
        <f t="shared" ca="1" si="134"/>
        <v>-85607887063.069687</v>
      </c>
      <c r="M2789" s="460">
        <f t="shared" si="136"/>
        <v>0.05</v>
      </c>
      <c r="N2789" s="464">
        <f t="shared" si="137"/>
        <v>135932</v>
      </c>
    </row>
    <row r="2790" spans="7:14" ht="11.25" customHeight="1" x14ac:dyDescent="0.25">
      <c r="G2790" s="459"/>
      <c r="H2790" s="459">
        <v>2783</v>
      </c>
      <c r="I2790" s="444">
        <f t="shared" ca="1" si="135"/>
        <v>-85607887063.069687</v>
      </c>
      <c r="J2790" s="444">
        <f t="array" ref="J2790">IFERROR(INDEX('Retirement Calculator'!K:K,MATCH('Lorri 401b'!N2790,'Retirement Calculator'!A:A,0),0),0)</f>
        <v>0</v>
      </c>
      <c r="K2790" s="444">
        <f t="shared" ca="1" si="133"/>
        <v>-356699529.42945701</v>
      </c>
      <c r="L2790" s="444">
        <f t="shared" ca="1" si="134"/>
        <v>-85964586592.499146</v>
      </c>
      <c r="M2790" s="460">
        <f t="shared" si="136"/>
        <v>0.05</v>
      </c>
      <c r="N2790" s="464">
        <f t="shared" si="137"/>
        <v>135963</v>
      </c>
    </row>
    <row r="2791" spans="7:14" ht="11.25" customHeight="1" x14ac:dyDescent="0.25">
      <c r="G2791" s="459"/>
      <c r="H2791" s="459">
        <v>2784</v>
      </c>
      <c r="I2791" s="444">
        <f t="shared" ca="1" si="135"/>
        <v>-85964586592.499146</v>
      </c>
      <c r="J2791" s="444">
        <f t="array" ref="J2791">IFERROR(INDEX('Retirement Calculator'!K:K,MATCH('Lorri 401b'!N2791,'Retirement Calculator'!A:A,0),0),0)</f>
        <v>0</v>
      </c>
      <c r="K2791" s="444">
        <f t="shared" ca="1" si="133"/>
        <v>-358185777.46874642</v>
      </c>
      <c r="L2791" s="444">
        <f t="shared" ca="1" si="134"/>
        <v>-86322772369.967896</v>
      </c>
      <c r="M2791" s="460">
        <f t="shared" si="136"/>
        <v>0.05</v>
      </c>
      <c r="N2791" s="464">
        <f t="shared" si="137"/>
        <v>135993</v>
      </c>
    </row>
    <row r="2792" spans="7:14" ht="11.25" customHeight="1" x14ac:dyDescent="0.25">
      <c r="G2792" s="459"/>
      <c r="H2792" s="459">
        <v>2785</v>
      </c>
      <c r="I2792" s="444">
        <f t="shared" ca="1" si="135"/>
        <v>-86322772369.967896</v>
      </c>
      <c r="J2792" s="444">
        <f t="array" ref="J2792">IFERROR(INDEX('Retirement Calculator'!K:K,MATCH('Lorri 401b'!N2792,'Retirement Calculator'!A:A,0),0),0)</f>
        <v>0</v>
      </c>
      <c r="K2792" s="444">
        <f t="shared" ca="1" si="133"/>
        <v>-359678218.20819956</v>
      </c>
      <c r="L2792" s="444">
        <f t="shared" ca="1" si="134"/>
        <v>-86682450588.176102</v>
      </c>
      <c r="M2792" s="460">
        <f t="shared" si="136"/>
        <v>0.05</v>
      </c>
      <c r="N2792" s="464">
        <f t="shared" si="137"/>
        <v>136024</v>
      </c>
    </row>
    <row r="2793" spans="7:14" ht="11.25" customHeight="1" x14ac:dyDescent="0.25">
      <c r="G2793" s="459"/>
      <c r="H2793" s="459">
        <v>2786</v>
      </c>
      <c r="I2793" s="444">
        <f t="shared" ca="1" si="135"/>
        <v>-86682450588.176102</v>
      </c>
      <c r="J2793" s="444">
        <f t="array" ref="J2793">IFERROR(INDEX('Retirement Calculator'!K:K,MATCH('Lorri 401b'!N2793,'Retirement Calculator'!A:A,0),0),0)</f>
        <v>0</v>
      </c>
      <c r="K2793" s="444">
        <f t="shared" ca="1" si="133"/>
        <v>-361176877.45073378</v>
      </c>
      <c r="L2793" s="444">
        <f t="shared" ca="1" si="134"/>
        <v>-87043627465.626831</v>
      </c>
      <c r="M2793" s="460">
        <f t="shared" si="136"/>
        <v>0.05</v>
      </c>
      <c r="N2793" s="464">
        <f t="shared" si="137"/>
        <v>136054</v>
      </c>
    </row>
    <row r="2794" spans="7:14" ht="11.25" customHeight="1" x14ac:dyDescent="0.25">
      <c r="G2794" s="459"/>
      <c r="H2794" s="459">
        <v>2787</v>
      </c>
      <c r="I2794" s="444">
        <f t="shared" ca="1" si="135"/>
        <v>-87043627465.626831</v>
      </c>
      <c r="J2794" s="444">
        <f t="array" ref="J2794">IFERROR(INDEX('Retirement Calculator'!K:K,MATCH('Lorri 401b'!N2794,'Retirement Calculator'!A:A,0),0),0)</f>
        <v>0</v>
      </c>
      <c r="K2794" s="444">
        <f t="shared" ca="1" si="133"/>
        <v>-362681781.10677844</v>
      </c>
      <c r="L2794" s="444">
        <f t="shared" ca="1" si="134"/>
        <v>-87406309246.733612</v>
      </c>
      <c r="M2794" s="460">
        <f t="shared" si="136"/>
        <v>0.05</v>
      </c>
      <c r="N2794" s="464">
        <f t="shared" si="137"/>
        <v>136085</v>
      </c>
    </row>
    <row r="2795" spans="7:14" ht="11.25" customHeight="1" x14ac:dyDescent="0.25">
      <c r="G2795" s="459"/>
      <c r="H2795" s="459">
        <v>2788</v>
      </c>
      <c r="I2795" s="444">
        <f t="shared" ca="1" si="135"/>
        <v>-87406309246.733612</v>
      </c>
      <c r="J2795" s="444">
        <f t="array" ref="J2795">IFERROR(INDEX('Retirement Calculator'!K:K,MATCH('Lorri 401b'!N2795,'Retirement Calculator'!A:A,0),0),0)</f>
        <v>0</v>
      </c>
      <c r="K2795" s="444">
        <f t="shared" ca="1" si="133"/>
        <v>-364192955.19472337</v>
      </c>
      <c r="L2795" s="444">
        <f t="shared" ca="1" si="134"/>
        <v>-87770502201.928329</v>
      </c>
      <c r="M2795" s="460">
        <f t="shared" si="136"/>
        <v>0.05</v>
      </c>
      <c r="N2795" s="464">
        <f t="shared" si="137"/>
        <v>136116</v>
      </c>
    </row>
    <row r="2796" spans="7:14" ht="11.25" customHeight="1" x14ac:dyDescent="0.25">
      <c r="G2796" s="459"/>
      <c r="H2796" s="459">
        <v>2789</v>
      </c>
      <c r="I2796" s="444">
        <f t="shared" ca="1" si="135"/>
        <v>-87770502201.928329</v>
      </c>
      <c r="J2796" s="444">
        <f t="array" ref="J2796">IFERROR(INDEX('Retirement Calculator'!K:K,MATCH('Lorri 401b'!N2796,'Retirement Calculator'!A:A,0),0),0)</f>
        <v>0</v>
      </c>
      <c r="K2796" s="444">
        <f t="shared" ca="1" si="133"/>
        <v>-365710425.84136802</v>
      </c>
      <c r="L2796" s="444">
        <f t="shared" ca="1" si="134"/>
        <v>-88136212627.769699</v>
      </c>
      <c r="M2796" s="460">
        <f t="shared" si="136"/>
        <v>0.05</v>
      </c>
      <c r="N2796" s="464">
        <f t="shared" si="137"/>
        <v>136146</v>
      </c>
    </row>
    <row r="2797" spans="7:14" ht="11.25" customHeight="1" x14ac:dyDescent="0.25">
      <c r="G2797" s="459"/>
      <c r="H2797" s="459">
        <v>2790</v>
      </c>
      <c r="I2797" s="444">
        <f t="shared" ca="1" si="135"/>
        <v>-88136212627.769699</v>
      </c>
      <c r="J2797" s="444">
        <f t="array" ref="J2797">IFERROR(INDEX('Retirement Calculator'!K:K,MATCH('Lorri 401b'!N2797,'Retirement Calculator'!A:A,0),0),0)</f>
        <v>0</v>
      </c>
      <c r="K2797" s="444">
        <f t="shared" ca="1" si="133"/>
        <v>-367234219.28237373</v>
      </c>
      <c r="L2797" s="444">
        <f t="shared" ca="1" si="134"/>
        <v>-88503446847.052078</v>
      </c>
      <c r="M2797" s="460">
        <f t="shared" si="136"/>
        <v>0.05</v>
      </c>
      <c r="N2797" s="464">
        <f t="shared" si="137"/>
        <v>136177</v>
      </c>
    </row>
    <row r="2798" spans="7:14" ht="11.25" customHeight="1" x14ac:dyDescent="0.25">
      <c r="G2798" s="459"/>
      <c r="H2798" s="459">
        <v>2791</v>
      </c>
      <c r="I2798" s="444">
        <f t="shared" ca="1" si="135"/>
        <v>-88503446847.052078</v>
      </c>
      <c r="J2798" s="444">
        <f t="array" ref="J2798">IFERROR(INDEX('Retirement Calculator'!K:K,MATCH('Lorri 401b'!N2798,'Retirement Calculator'!A:A,0),0),0)</f>
        <v>0</v>
      </c>
      <c r="K2798" s="444">
        <f t="shared" ca="1" si="133"/>
        <v>-368764361.86271697</v>
      </c>
      <c r="L2798" s="444">
        <f t="shared" ca="1" si="134"/>
        <v>-88872211208.914795</v>
      </c>
      <c r="M2798" s="460">
        <f t="shared" si="136"/>
        <v>0.05</v>
      </c>
      <c r="N2798" s="464">
        <f t="shared" si="137"/>
        <v>136207</v>
      </c>
    </row>
    <row r="2799" spans="7:14" ht="11.25" customHeight="1" x14ac:dyDescent="0.25">
      <c r="G2799" s="459"/>
      <c r="H2799" s="459">
        <v>2792</v>
      </c>
      <c r="I2799" s="444">
        <f t="shared" ca="1" si="135"/>
        <v>-88872211208.914795</v>
      </c>
      <c r="J2799" s="444">
        <f t="array" ref="J2799">IFERROR(INDEX('Retirement Calculator'!K:K,MATCH('Lorri 401b'!N2799,'Retirement Calculator'!A:A,0),0),0)</f>
        <v>0</v>
      </c>
      <c r="K2799" s="444">
        <f t="shared" ca="1" si="133"/>
        <v>-370300880.03714496</v>
      </c>
      <c r="L2799" s="444">
        <f t="shared" ca="1" si="134"/>
        <v>-89242512088.951935</v>
      </c>
      <c r="M2799" s="460">
        <f t="shared" si="136"/>
        <v>0.05</v>
      </c>
      <c r="N2799" s="464">
        <f t="shared" si="137"/>
        <v>136238</v>
      </c>
    </row>
    <row r="2800" spans="7:14" ht="11.25" customHeight="1" x14ac:dyDescent="0.25">
      <c r="G2800" s="459"/>
      <c r="H2800" s="459">
        <v>2793</v>
      </c>
      <c r="I2800" s="444">
        <f t="shared" ca="1" si="135"/>
        <v>-89242512088.951935</v>
      </c>
      <c r="J2800" s="444">
        <f t="array" ref="J2800">IFERROR(INDEX('Retirement Calculator'!K:K,MATCH('Lorri 401b'!N2800,'Retirement Calculator'!A:A,0),0),0)</f>
        <v>0</v>
      </c>
      <c r="K2800" s="444">
        <f t="shared" ca="1" si="133"/>
        <v>-371843800.37063307</v>
      </c>
      <c r="L2800" s="444">
        <f t="shared" ca="1" si="134"/>
        <v>-89614355889.322571</v>
      </c>
      <c r="M2800" s="460">
        <f t="shared" si="136"/>
        <v>0.05</v>
      </c>
      <c r="N2800" s="464">
        <f t="shared" si="137"/>
        <v>136269</v>
      </c>
    </row>
    <row r="2801" spans="7:14" ht="11.25" customHeight="1" x14ac:dyDescent="0.25">
      <c r="G2801" s="459"/>
      <c r="H2801" s="459">
        <v>2794</v>
      </c>
      <c r="I2801" s="444">
        <f t="shared" ca="1" si="135"/>
        <v>-89614355889.322571</v>
      </c>
      <c r="J2801" s="444">
        <f t="array" ref="J2801">IFERROR(INDEX('Retirement Calculator'!K:K,MATCH('Lorri 401b'!N2801,'Retirement Calculator'!A:A,0),0),0)</f>
        <v>0</v>
      </c>
      <c r="K2801" s="444">
        <f t="shared" ca="1" si="133"/>
        <v>-373393149.53884405</v>
      </c>
      <c r="L2801" s="444">
        <f t="shared" ca="1" si="134"/>
        <v>-89987749038.86142</v>
      </c>
      <c r="M2801" s="460">
        <f t="shared" si="136"/>
        <v>0.05</v>
      </c>
      <c r="N2801" s="464">
        <f t="shared" si="137"/>
        <v>136297</v>
      </c>
    </row>
    <row r="2802" spans="7:14" ht="11.25" customHeight="1" x14ac:dyDescent="0.25">
      <c r="G2802" s="459"/>
      <c r="H2802" s="459">
        <v>2795</v>
      </c>
      <c r="I2802" s="444">
        <f t="shared" ca="1" si="135"/>
        <v>-89987749038.86142</v>
      </c>
      <c r="J2802" s="444">
        <f t="array" ref="J2802">IFERROR(INDEX('Retirement Calculator'!K:K,MATCH('Lorri 401b'!N2802,'Retirement Calculator'!A:A,0),0),0)</f>
        <v>0</v>
      </c>
      <c r="K2802" s="444">
        <f t="shared" ca="1" si="133"/>
        <v>-374948954.32858926</v>
      </c>
      <c r="L2802" s="444">
        <f t="shared" ca="1" si="134"/>
        <v>-90362697993.190002</v>
      </c>
      <c r="M2802" s="460">
        <f t="shared" si="136"/>
        <v>0.05</v>
      </c>
      <c r="N2802" s="464">
        <f t="shared" si="137"/>
        <v>136328</v>
      </c>
    </row>
    <row r="2803" spans="7:14" ht="11.25" customHeight="1" x14ac:dyDescent="0.25">
      <c r="G2803" s="459"/>
      <c r="H2803" s="459">
        <v>2796</v>
      </c>
      <c r="I2803" s="444">
        <f t="shared" ca="1" si="135"/>
        <v>-90362697993.190002</v>
      </c>
      <c r="J2803" s="444">
        <f t="array" ref="J2803">IFERROR(INDEX('Retirement Calculator'!K:K,MATCH('Lorri 401b'!N2803,'Retirement Calculator'!A:A,0),0),0)</f>
        <v>0</v>
      </c>
      <c r="K2803" s="444">
        <f t="shared" ca="1" si="133"/>
        <v>-376511241.63829166</v>
      </c>
      <c r="L2803" s="444">
        <f t="shared" ca="1" si="134"/>
        <v>-90739209234.828293</v>
      </c>
      <c r="M2803" s="460">
        <f t="shared" si="136"/>
        <v>0.05</v>
      </c>
      <c r="N2803" s="464">
        <f t="shared" si="137"/>
        <v>136358</v>
      </c>
    </row>
    <row r="2804" spans="7:14" ht="11.25" customHeight="1" x14ac:dyDescent="0.25">
      <c r="G2804" s="459"/>
      <c r="H2804" s="459">
        <v>2797</v>
      </c>
      <c r="I2804" s="444">
        <f t="shared" ca="1" si="135"/>
        <v>-90739209234.828293</v>
      </c>
      <c r="J2804" s="444">
        <f t="array" ref="J2804">IFERROR(INDEX('Retirement Calculator'!K:K,MATCH('Lorri 401b'!N2804,'Retirement Calculator'!A:A,0),0),0)</f>
        <v>0</v>
      </c>
      <c r="K2804" s="444">
        <f t="shared" ca="1" si="133"/>
        <v>-378080038.47845119</v>
      </c>
      <c r="L2804" s="444">
        <f t="shared" ca="1" si="134"/>
        <v>-91117289273.306747</v>
      </c>
      <c r="M2804" s="460">
        <f t="shared" si="136"/>
        <v>0.05</v>
      </c>
      <c r="N2804" s="464">
        <f t="shared" si="137"/>
        <v>136389</v>
      </c>
    </row>
    <row r="2805" spans="7:14" ht="11.25" customHeight="1" x14ac:dyDescent="0.25">
      <c r="G2805" s="459"/>
      <c r="H2805" s="459">
        <v>2798</v>
      </c>
      <c r="I2805" s="444">
        <f t="shared" ca="1" si="135"/>
        <v>-91117289273.306747</v>
      </c>
      <c r="J2805" s="444">
        <f t="array" ref="J2805">IFERROR(INDEX('Retirement Calculator'!K:K,MATCH('Lorri 401b'!N2805,'Retirement Calculator'!A:A,0),0),0)</f>
        <v>0</v>
      </c>
      <c r="K2805" s="444">
        <f t="shared" ca="1" si="133"/>
        <v>-379655371.97211146</v>
      </c>
      <c r="L2805" s="444">
        <f t="shared" ca="1" si="134"/>
        <v>-91496944645.278854</v>
      </c>
      <c r="M2805" s="460">
        <f t="shared" si="136"/>
        <v>0.05</v>
      </c>
      <c r="N2805" s="464">
        <f t="shared" si="137"/>
        <v>136419</v>
      </c>
    </row>
    <row r="2806" spans="7:14" ht="11.25" customHeight="1" x14ac:dyDescent="0.25">
      <c r="G2806" s="459"/>
      <c r="H2806" s="459">
        <v>2799</v>
      </c>
      <c r="I2806" s="444">
        <f t="shared" ca="1" si="135"/>
        <v>-91496944645.278854</v>
      </c>
      <c r="J2806" s="444">
        <f t="array" ref="J2806">IFERROR(INDEX('Retirement Calculator'!K:K,MATCH('Lorri 401b'!N2806,'Retirement Calculator'!A:A,0),0),0)</f>
        <v>0</v>
      </c>
      <c r="K2806" s="444">
        <f t="shared" ca="1" si="133"/>
        <v>-381237269.35532856</v>
      </c>
      <c r="L2806" s="444">
        <f t="shared" ca="1" si="134"/>
        <v>-91878181914.634186</v>
      </c>
      <c r="M2806" s="460">
        <f t="shared" si="136"/>
        <v>0.05</v>
      </c>
      <c r="N2806" s="464">
        <f t="shared" si="137"/>
        <v>136450</v>
      </c>
    </row>
    <row r="2807" spans="7:14" ht="11.25" customHeight="1" x14ac:dyDescent="0.25">
      <c r="G2807" s="459"/>
      <c r="H2807" s="459">
        <v>2800</v>
      </c>
      <c r="I2807" s="444">
        <f t="shared" ca="1" si="135"/>
        <v>-91878181914.634186</v>
      </c>
      <c r="J2807" s="444">
        <f t="array" ref="J2807">IFERROR(INDEX('Retirement Calculator'!K:K,MATCH('Lorri 401b'!N2807,'Retirement Calculator'!A:A,0),0),0)</f>
        <v>0</v>
      </c>
      <c r="K2807" s="444">
        <f t="shared" ca="1" si="133"/>
        <v>-382825757.97764242</v>
      </c>
      <c r="L2807" s="444">
        <f t="shared" ca="1" si="134"/>
        <v>-92261007672.611832</v>
      </c>
      <c r="M2807" s="460">
        <f t="shared" si="136"/>
        <v>0.05</v>
      </c>
      <c r="N2807" s="464">
        <f t="shared" si="137"/>
        <v>136481</v>
      </c>
    </row>
    <row r="2808" spans="7:14" ht="11.25" customHeight="1" x14ac:dyDescent="0.25">
      <c r="G2808" s="459"/>
      <c r="H2808" s="459">
        <v>2801</v>
      </c>
      <c r="I2808" s="444">
        <f t="shared" ca="1" si="135"/>
        <v>-92261007672.611832</v>
      </c>
      <c r="J2808" s="444">
        <f t="array" ref="J2808">IFERROR(INDEX('Retirement Calculator'!K:K,MATCH('Lorri 401b'!N2808,'Retirement Calculator'!A:A,0),0),0)</f>
        <v>0</v>
      </c>
      <c r="K2808" s="444">
        <f t="shared" ca="1" si="133"/>
        <v>-384420865.3025493</v>
      </c>
      <c r="L2808" s="444">
        <f t="shared" ca="1" si="134"/>
        <v>-92645428537.914383</v>
      </c>
      <c r="M2808" s="460">
        <f t="shared" si="136"/>
        <v>0.05</v>
      </c>
      <c r="N2808" s="464">
        <f t="shared" si="137"/>
        <v>136511</v>
      </c>
    </row>
    <row r="2809" spans="7:14" ht="11.25" customHeight="1" x14ac:dyDescent="0.25">
      <c r="G2809" s="459"/>
      <c r="H2809" s="459">
        <v>2802</v>
      </c>
      <c r="I2809" s="444">
        <f t="shared" ca="1" si="135"/>
        <v>-92645428537.914383</v>
      </c>
      <c r="J2809" s="444">
        <f t="array" ref="J2809">IFERROR(INDEX('Retirement Calculator'!K:K,MATCH('Lorri 401b'!N2809,'Retirement Calculator'!A:A,0),0),0)</f>
        <v>0</v>
      </c>
      <c r="K2809" s="444">
        <f t="shared" ca="1" si="133"/>
        <v>-386022618.90797657</v>
      </c>
      <c r="L2809" s="444">
        <f t="shared" ca="1" si="134"/>
        <v>-93031451156.822357</v>
      </c>
      <c r="M2809" s="460">
        <f t="shared" si="136"/>
        <v>0.05</v>
      </c>
      <c r="N2809" s="464">
        <f t="shared" si="137"/>
        <v>136542</v>
      </c>
    </row>
    <row r="2810" spans="7:14" ht="11.25" customHeight="1" x14ac:dyDescent="0.25">
      <c r="G2810" s="459"/>
      <c r="H2810" s="459">
        <v>2803</v>
      </c>
      <c r="I2810" s="444">
        <f t="shared" ca="1" si="135"/>
        <v>-93031451156.822357</v>
      </c>
      <c r="J2810" s="444">
        <f t="array" ref="J2810">IFERROR(INDEX('Retirement Calculator'!K:K,MATCH('Lorri 401b'!N2810,'Retirement Calculator'!A:A,0),0),0)</f>
        <v>0</v>
      </c>
      <c r="K2810" s="444">
        <f t="shared" ca="1" si="133"/>
        <v>-387631046.48675984</v>
      </c>
      <c r="L2810" s="444">
        <f t="shared" ca="1" si="134"/>
        <v>-93419082203.309113</v>
      </c>
      <c r="M2810" s="460">
        <f t="shared" si="136"/>
        <v>0.05</v>
      </c>
      <c r="N2810" s="464">
        <f t="shared" si="137"/>
        <v>136572</v>
      </c>
    </row>
    <row r="2811" spans="7:14" ht="11.25" customHeight="1" x14ac:dyDescent="0.25">
      <c r="G2811" s="459"/>
      <c r="H2811" s="459">
        <v>2804</v>
      </c>
      <c r="I2811" s="444">
        <f t="shared" ca="1" si="135"/>
        <v>-93419082203.309113</v>
      </c>
      <c r="J2811" s="444">
        <f t="array" ref="J2811">IFERROR(INDEX('Retirement Calculator'!K:K,MATCH('Lorri 401b'!N2811,'Retirement Calculator'!A:A,0),0),0)</f>
        <v>0</v>
      </c>
      <c r="K2811" s="444">
        <f t="shared" ca="1" si="133"/>
        <v>-389246175.8471213</v>
      </c>
      <c r="L2811" s="444">
        <f t="shared" ca="1" si="134"/>
        <v>-93808328379.156235</v>
      </c>
      <c r="M2811" s="460">
        <f t="shared" si="136"/>
        <v>0.05</v>
      </c>
      <c r="N2811" s="464">
        <f t="shared" si="137"/>
        <v>136603</v>
      </c>
    </row>
    <row r="2812" spans="7:14" ht="11.25" customHeight="1" x14ac:dyDescent="0.25">
      <c r="G2812" s="459"/>
      <c r="H2812" s="459">
        <v>2805</v>
      </c>
      <c r="I2812" s="444">
        <f t="shared" ca="1" si="135"/>
        <v>-93808328379.156235</v>
      </c>
      <c r="J2812" s="444">
        <f t="array" ref="J2812">IFERROR(INDEX('Retirement Calculator'!K:K,MATCH('Lorri 401b'!N2812,'Retirement Calculator'!A:A,0),0),0)</f>
        <v>0</v>
      </c>
      <c r="K2812" s="444">
        <f t="shared" ca="1" si="133"/>
        <v>-390868034.91315097</v>
      </c>
      <c r="L2812" s="444">
        <f t="shared" ca="1" si="134"/>
        <v>-94199196414.069382</v>
      </c>
      <c r="M2812" s="460">
        <f t="shared" si="136"/>
        <v>0.05</v>
      </c>
      <c r="N2812" s="464">
        <f t="shared" si="137"/>
        <v>136634</v>
      </c>
    </row>
    <row r="2813" spans="7:14" ht="11.25" customHeight="1" x14ac:dyDescent="0.25">
      <c r="G2813" s="459"/>
      <c r="H2813" s="459">
        <v>2806</v>
      </c>
      <c r="I2813" s="444">
        <f t="shared" ca="1" si="135"/>
        <v>-94199196414.069382</v>
      </c>
      <c r="J2813" s="444">
        <f t="array" ref="J2813">IFERROR(INDEX('Retirement Calculator'!K:K,MATCH('Lorri 401b'!N2813,'Retirement Calculator'!A:A,0),0),0)</f>
        <v>0</v>
      </c>
      <c r="K2813" s="444">
        <f t="shared" ref="K2813:K3067" ca="1" si="138">IPMT(M2813/12,1,12,-I2813+J2813,,0)</f>
        <v>-392496651.72528911</v>
      </c>
      <c r="L2813" s="444">
        <f t="shared" ref="L2813:L3067" ca="1" si="139">I2813-J2813+K2813</f>
        <v>-94591693065.794678</v>
      </c>
      <c r="M2813" s="460">
        <f t="shared" si="136"/>
        <v>0.05</v>
      </c>
      <c r="N2813" s="464">
        <f t="shared" si="137"/>
        <v>136662</v>
      </c>
    </row>
    <row r="2814" spans="7:14" ht="11.25" customHeight="1" x14ac:dyDescent="0.25">
      <c r="G2814" s="459"/>
      <c r="H2814" s="459">
        <v>2807</v>
      </c>
      <c r="I2814" s="444">
        <f t="shared" ref="I2814:I3068" ca="1" si="140">L2813</f>
        <v>-94591693065.794678</v>
      </c>
      <c r="J2814" s="444">
        <f t="array" ref="J2814">IFERROR(INDEX('Retirement Calculator'!K:K,MATCH('Lorri 401b'!N2814,'Retirement Calculator'!A:A,0),0),0)</f>
        <v>0</v>
      </c>
      <c r="K2814" s="444">
        <f t="shared" ca="1" si="138"/>
        <v>-394132054.44081116</v>
      </c>
      <c r="L2814" s="444">
        <f t="shared" ca="1" si="139"/>
        <v>-94985825120.235489</v>
      </c>
      <c r="M2814" s="460">
        <f t="shared" ref="M2814:M3068" si="141">M2813</f>
        <v>0.05</v>
      </c>
      <c r="N2814" s="464">
        <f t="shared" ref="N2814:N3068" si="142">EDATE(N2813,1)</f>
        <v>136693</v>
      </c>
    </row>
    <row r="2815" spans="7:14" ht="11.25" customHeight="1" x14ac:dyDescent="0.25">
      <c r="G2815" s="459"/>
      <c r="H2815" s="459">
        <v>2808</v>
      </c>
      <c r="I2815" s="444">
        <f t="shared" ca="1" si="140"/>
        <v>-94985825120.235489</v>
      </c>
      <c r="J2815" s="444">
        <f t="array" ref="J2815">IFERROR(INDEX('Retirement Calculator'!K:K,MATCH('Lorri 401b'!N2815,'Retirement Calculator'!A:A,0),0),0)</f>
        <v>0</v>
      </c>
      <c r="K2815" s="444">
        <f t="shared" ca="1" si="138"/>
        <v>-395774271.33431453</v>
      </c>
      <c r="L2815" s="444">
        <f t="shared" ca="1" si="139"/>
        <v>-95381599391.569809</v>
      </c>
      <c r="M2815" s="460">
        <f t="shared" si="141"/>
        <v>0.05</v>
      </c>
      <c r="N2815" s="464">
        <f t="shared" si="142"/>
        <v>136723</v>
      </c>
    </row>
    <row r="2816" spans="7:14" ht="11.25" customHeight="1" x14ac:dyDescent="0.25">
      <c r="G2816" s="459"/>
      <c r="H2816" s="459">
        <v>2809</v>
      </c>
      <c r="I2816" s="444">
        <f t="shared" ca="1" si="140"/>
        <v>-95381599391.569809</v>
      </c>
      <c r="J2816" s="444">
        <f t="array" ref="J2816">IFERROR(INDEX('Retirement Calculator'!K:K,MATCH('Lorri 401b'!N2816,'Retirement Calculator'!A:A,0),0),0)</f>
        <v>0</v>
      </c>
      <c r="K2816" s="444">
        <f t="shared" ca="1" si="138"/>
        <v>-397423330.79820752</v>
      </c>
      <c r="L2816" s="444">
        <f t="shared" ca="1" si="139"/>
        <v>-95779022722.368011</v>
      </c>
      <c r="M2816" s="460">
        <f t="shared" si="141"/>
        <v>0.05</v>
      </c>
      <c r="N2816" s="464">
        <f t="shared" si="142"/>
        <v>136754</v>
      </c>
    </row>
    <row r="2817" spans="7:14" ht="11.25" customHeight="1" x14ac:dyDescent="0.25">
      <c r="G2817" s="459"/>
      <c r="H2817" s="459">
        <v>2810</v>
      </c>
      <c r="I2817" s="444">
        <f t="shared" ca="1" si="140"/>
        <v>-95779022722.368011</v>
      </c>
      <c r="J2817" s="444">
        <f t="array" ref="J2817">IFERROR(INDEX('Retirement Calculator'!K:K,MATCH('Lorri 401b'!N2817,'Retirement Calculator'!A:A,0),0),0)</f>
        <v>0</v>
      </c>
      <c r="K2817" s="444">
        <f t="shared" ca="1" si="138"/>
        <v>-399079261.34320003</v>
      </c>
      <c r="L2817" s="444">
        <f t="shared" ca="1" si="139"/>
        <v>-96178101983.711212</v>
      </c>
      <c r="M2817" s="460">
        <f t="shared" si="141"/>
        <v>0.05</v>
      </c>
      <c r="N2817" s="464">
        <f t="shared" si="142"/>
        <v>136784</v>
      </c>
    </row>
    <row r="2818" spans="7:14" ht="11.25" customHeight="1" x14ac:dyDescent="0.25">
      <c r="G2818" s="459"/>
      <c r="H2818" s="459">
        <v>2811</v>
      </c>
      <c r="I2818" s="444">
        <f t="shared" ca="1" si="140"/>
        <v>-96178101983.711212</v>
      </c>
      <c r="J2818" s="444">
        <f t="array" ref="J2818">IFERROR(INDEX('Retirement Calculator'!K:K,MATCH('Lorri 401b'!N2818,'Retirement Calculator'!A:A,0),0),0)</f>
        <v>0</v>
      </c>
      <c r="K2818" s="444">
        <f t="shared" ca="1" si="138"/>
        <v>-400742091.59879673</v>
      </c>
      <c r="L2818" s="444">
        <f t="shared" ca="1" si="139"/>
        <v>-96578844075.310013</v>
      </c>
      <c r="M2818" s="460">
        <f t="shared" si="141"/>
        <v>0.05</v>
      </c>
      <c r="N2818" s="464">
        <f t="shared" si="142"/>
        <v>136815</v>
      </c>
    </row>
    <row r="2819" spans="7:14" ht="11.25" customHeight="1" x14ac:dyDescent="0.25">
      <c r="G2819" s="459"/>
      <c r="H2819" s="459">
        <v>2812</v>
      </c>
      <c r="I2819" s="444">
        <f t="shared" ca="1" si="140"/>
        <v>-96578844075.310013</v>
      </c>
      <c r="J2819" s="444">
        <f t="array" ref="J2819">IFERROR(INDEX('Retirement Calculator'!K:K,MATCH('Lorri 401b'!N2819,'Retirement Calculator'!A:A,0),0),0)</f>
        <v>0</v>
      </c>
      <c r="K2819" s="444">
        <f t="shared" ca="1" si="138"/>
        <v>-402411850.31379169</v>
      </c>
      <c r="L2819" s="444">
        <f t="shared" ca="1" si="139"/>
        <v>-96981255925.62381</v>
      </c>
      <c r="M2819" s="460">
        <f t="shared" si="141"/>
        <v>0.05</v>
      </c>
      <c r="N2819" s="464">
        <f t="shared" si="142"/>
        <v>136846</v>
      </c>
    </row>
    <row r="2820" spans="7:14" ht="11.25" customHeight="1" x14ac:dyDescent="0.25">
      <c r="G2820" s="459"/>
      <c r="H2820" s="459">
        <v>2813</v>
      </c>
      <c r="I2820" s="444">
        <f t="shared" ca="1" si="140"/>
        <v>-96981255925.62381</v>
      </c>
      <c r="J2820" s="444">
        <f t="array" ref="J2820">IFERROR(INDEX('Retirement Calculator'!K:K,MATCH('Lorri 401b'!N2820,'Retirement Calculator'!A:A,0),0),0)</f>
        <v>0</v>
      </c>
      <c r="K2820" s="444">
        <f t="shared" ca="1" si="138"/>
        <v>-404088566.35676587</v>
      </c>
      <c r="L2820" s="444">
        <f t="shared" ca="1" si="139"/>
        <v>-97385344491.980576</v>
      </c>
      <c r="M2820" s="460">
        <f t="shared" si="141"/>
        <v>0.05</v>
      </c>
      <c r="N2820" s="464">
        <f t="shared" si="142"/>
        <v>136876</v>
      </c>
    </row>
    <row r="2821" spans="7:14" ht="11.25" customHeight="1" x14ac:dyDescent="0.25">
      <c r="G2821" s="459"/>
      <c r="H2821" s="459">
        <v>2814</v>
      </c>
      <c r="I2821" s="444">
        <f t="shared" ca="1" si="140"/>
        <v>-97385344491.980576</v>
      </c>
      <c r="J2821" s="444">
        <f t="array" ref="J2821">IFERROR(INDEX('Retirement Calculator'!K:K,MATCH('Lorri 401b'!N2821,'Retirement Calculator'!A:A,0),0),0)</f>
        <v>0</v>
      </c>
      <c r="K2821" s="444">
        <f t="shared" ca="1" si="138"/>
        <v>-405772268.71658576</v>
      </c>
      <c r="L2821" s="444">
        <f t="shared" ca="1" si="139"/>
        <v>-97791116760.697159</v>
      </c>
      <c r="M2821" s="460">
        <f t="shared" si="141"/>
        <v>0.05</v>
      </c>
      <c r="N2821" s="464">
        <f t="shared" si="142"/>
        <v>136907</v>
      </c>
    </row>
    <row r="2822" spans="7:14" ht="11.25" customHeight="1" x14ac:dyDescent="0.25">
      <c r="G2822" s="459"/>
      <c r="H2822" s="459">
        <v>2815</v>
      </c>
      <c r="I2822" s="444">
        <f t="shared" ca="1" si="140"/>
        <v>-97791116760.697159</v>
      </c>
      <c r="J2822" s="444">
        <f t="array" ref="J2822">IFERROR(INDEX('Retirement Calculator'!K:K,MATCH('Lorri 401b'!N2822,'Retirement Calculator'!A:A,0),0),0)</f>
        <v>0</v>
      </c>
      <c r="K2822" s="444">
        <f t="shared" ca="1" si="138"/>
        <v>-407462986.50290483</v>
      </c>
      <c r="L2822" s="444">
        <f t="shared" ca="1" si="139"/>
        <v>-98198579747.200058</v>
      </c>
      <c r="M2822" s="460">
        <f t="shared" si="141"/>
        <v>0.05</v>
      </c>
      <c r="N2822" s="464">
        <f t="shared" si="142"/>
        <v>136937</v>
      </c>
    </row>
    <row r="2823" spans="7:14" ht="11.25" customHeight="1" x14ac:dyDescent="0.25">
      <c r="G2823" s="459"/>
      <c r="H2823" s="459">
        <v>2816</v>
      </c>
      <c r="I2823" s="444">
        <f t="shared" ca="1" si="140"/>
        <v>-98198579747.200058</v>
      </c>
      <c r="J2823" s="444">
        <f t="array" ref="J2823">IFERROR(INDEX('Retirement Calculator'!K:K,MATCH('Lorri 401b'!N2823,'Retirement Calculator'!A:A,0),0),0)</f>
        <v>0</v>
      </c>
      <c r="K2823" s="444">
        <f t="shared" ca="1" si="138"/>
        <v>-409160748.9466669</v>
      </c>
      <c r="L2823" s="444">
        <f t="shared" ca="1" si="139"/>
        <v>-98607740496.146729</v>
      </c>
      <c r="M2823" s="460">
        <f t="shared" si="141"/>
        <v>0.05</v>
      </c>
      <c r="N2823" s="464">
        <f t="shared" si="142"/>
        <v>136968</v>
      </c>
    </row>
    <row r="2824" spans="7:14" ht="11.25" customHeight="1" x14ac:dyDescent="0.25">
      <c r="G2824" s="459"/>
      <c r="H2824" s="459">
        <v>2817</v>
      </c>
      <c r="I2824" s="444">
        <f t="shared" ca="1" si="140"/>
        <v>-98607740496.146729</v>
      </c>
      <c r="J2824" s="444">
        <f t="array" ref="J2824">IFERROR(INDEX('Retirement Calculator'!K:K,MATCH('Lorri 401b'!N2824,'Retirement Calculator'!A:A,0),0),0)</f>
        <v>0</v>
      </c>
      <c r="K2824" s="444">
        <f t="shared" ca="1" si="138"/>
        <v>-410865585.40061134</v>
      </c>
      <c r="L2824" s="444">
        <f t="shared" ca="1" si="139"/>
        <v>-99018606081.547333</v>
      </c>
      <c r="M2824" s="460">
        <f t="shared" si="141"/>
        <v>0.05</v>
      </c>
      <c r="N2824" s="464">
        <f t="shared" si="142"/>
        <v>136999</v>
      </c>
    </row>
    <row r="2825" spans="7:14" ht="11.25" customHeight="1" x14ac:dyDescent="0.25">
      <c r="G2825" s="459"/>
      <c r="H2825" s="459">
        <v>2818</v>
      </c>
      <c r="I2825" s="444">
        <f t="shared" ca="1" si="140"/>
        <v>-99018606081.547333</v>
      </c>
      <c r="J2825" s="444">
        <f t="array" ref="J2825">IFERROR(INDEX('Retirement Calculator'!K:K,MATCH('Lorri 401b'!N2825,'Retirement Calculator'!A:A,0),0),0)</f>
        <v>0</v>
      </c>
      <c r="K2825" s="444">
        <f t="shared" ca="1" si="138"/>
        <v>-412577525.33978057</v>
      </c>
      <c r="L2825" s="444">
        <f t="shared" ca="1" si="139"/>
        <v>-99431183606.887115</v>
      </c>
      <c r="M2825" s="460">
        <f t="shared" si="141"/>
        <v>0.05</v>
      </c>
      <c r="N2825" s="464">
        <f t="shared" si="142"/>
        <v>137027</v>
      </c>
    </row>
    <row r="2826" spans="7:14" ht="11.25" customHeight="1" x14ac:dyDescent="0.25">
      <c r="G2826" s="459"/>
      <c r="H2826" s="459">
        <v>2819</v>
      </c>
      <c r="I2826" s="444">
        <f t="shared" ca="1" si="140"/>
        <v>-99431183606.887115</v>
      </c>
      <c r="J2826" s="444">
        <f t="array" ref="J2826">IFERROR(INDEX('Retirement Calculator'!K:K,MATCH('Lorri 401b'!N2826,'Retirement Calculator'!A:A,0),0),0)</f>
        <v>0</v>
      </c>
      <c r="K2826" s="444">
        <f t="shared" ca="1" si="138"/>
        <v>-414296598.36202967</v>
      </c>
      <c r="L2826" s="444">
        <f t="shared" ca="1" si="139"/>
        <v>-99845480205.249146</v>
      </c>
      <c r="M2826" s="460">
        <f t="shared" si="141"/>
        <v>0.05</v>
      </c>
      <c r="N2826" s="464">
        <f t="shared" si="142"/>
        <v>137058</v>
      </c>
    </row>
    <row r="2827" spans="7:14" ht="11.25" customHeight="1" x14ac:dyDescent="0.25">
      <c r="G2827" s="459"/>
      <c r="H2827" s="459">
        <v>2820</v>
      </c>
      <c r="I2827" s="444">
        <f t="shared" ca="1" si="140"/>
        <v>-99845480205.249146</v>
      </c>
      <c r="J2827" s="444">
        <f t="array" ref="J2827">IFERROR(INDEX('Retirement Calculator'!K:K,MATCH('Lorri 401b'!N2827,'Retirement Calculator'!A:A,0),0),0)</f>
        <v>0</v>
      </c>
      <c r="K2827" s="444">
        <f t="shared" ca="1" si="138"/>
        <v>-416022834.18853807</v>
      </c>
      <c r="L2827" s="444">
        <f t="shared" ca="1" si="139"/>
        <v>-100261503039.43768</v>
      </c>
      <c r="M2827" s="460">
        <f t="shared" si="141"/>
        <v>0.05</v>
      </c>
      <c r="N2827" s="464">
        <f t="shared" si="142"/>
        <v>137088</v>
      </c>
    </row>
    <row r="2828" spans="7:14" ht="11.25" customHeight="1" x14ac:dyDescent="0.25">
      <c r="G2828" s="459"/>
      <c r="H2828" s="459">
        <v>2821</v>
      </c>
      <c r="I2828" s="444">
        <f t="shared" ca="1" si="140"/>
        <v>-100261503039.43768</v>
      </c>
      <c r="J2828" s="444">
        <f t="array" ref="J2828">IFERROR(INDEX('Retirement Calculator'!K:K,MATCH('Lorri 401b'!N2828,'Retirement Calculator'!A:A,0),0),0)</f>
        <v>0</v>
      </c>
      <c r="K2828" s="444">
        <f t="shared" ca="1" si="138"/>
        <v>-417756262.66432369</v>
      </c>
      <c r="L2828" s="444">
        <f t="shared" ca="1" si="139"/>
        <v>-100679259302.10201</v>
      </c>
      <c r="M2828" s="460">
        <f t="shared" si="141"/>
        <v>0.05</v>
      </c>
      <c r="N2828" s="464">
        <f t="shared" si="142"/>
        <v>137119</v>
      </c>
    </row>
    <row r="2829" spans="7:14" ht="11.25" customHeight="1" x14ac:dyDescent="0.25">
      <c r="G2829" s="459"/>
      <c r="H2829" s="459">
        <v>2822</v>
      </c>
      <c r="I2829" s="444">
        <f t="shared" ca="1" si="140"/>
        <v>-100679259302.10201</v>
      </c>
      <c r="J2829" s="444">
        <f t="array" ref="J2829">IFERROR(INDEX('Retirement Calculator'!K:K,MATCH('Lorri 401b'!N2829,'Retirement Calculator'!A:A,0),0),0)</f>
        <v>0</v>
      </c>
      <c r="K2829" s="444">
        <f t="shared" ca="1" si="138"/>
        <v>-419496913.75875837</v>
      </c>
      <c r="L2829" s="444">
        <f t="shared" ca="1" si="139"/>
        <v>-101098756215.86076</v>
      </c>
      <c r="M2829" s="460">
        <f t="shared" si="141"/>
        <v>0.05</v>
      </c>
      <c r="N2829" s="464">
        <f t="shared" si="142"/>
        <v>137149</v>
      </c>
    </row>
    <row r="2830" spans="7:14" ht="11.25" customHeight="1" x14ac:dyDescent="0.25">
      <c r="G2830" s="459"/>
      <c r="H2830" s="459">
        <v>2823</v>
      </c>
      <c r="I2830" s="444">
        <f t="shared" ca="1" si="140"/>
        <v>-101098756215.86076</v>
      </c>
      <c r="J2830" s="444">
        <f t="array" ref="J2830">IFERROR(INDEX('Retirement Calculator'!K:K,MATCH('Lorri 401b'!N2830,'Retirement Calculator'!A:A,0),0),0)</f>
        <v>0</v>
      </c>
      <c r="K2830" s="444">
        <f t="shared" ca="1" si="138"/>
        <v>-421244817.56608653</v>
      </c>
      <c r="L2830" s="444">
        <f t="shared" ca="1" si="139"/>
        <v>-101520001033.42685</v>
      </c>
      <c r="M2830" s="460">
        <f t="shared" si="141"/>
        <v>0.05</v>
      </c>
      <c r="N2830" s="464">
        <f t="shared" si="142"/>
        <v>137180</v>
      </c>
    </row>
    <row r="2831" spans="7:14" ht="11.25" customHeight="1" x14ac:dyDescent="0.25">
      <c r="G2831" s="459"/>
      <c r="H2831" s="459">
        <v>2824</v>
      </c>
      <c r="I2831" s="444">
        <f t="shared" ca="1" si="140"/>
        <v>-101520001033.42685</v>
      </c>
      <c r="J2831" s="444">
        <f t="array" ref="J2831">IFERROR(INDEX('Retirement Calculator'!K:K,MATCH('Lorri 401b'!N2831,'Retirement Calculator'!A:A,0),0),0)</f>
        <v>0</v>
      </c>
      <c r="K2831" s="444">
        <f t="shared" ca="1" si="138"/>
        <v>-423000004.30594522</v>
      </c>
      <c r="L2831" s="444">
        <f t="shared" ca="1" si="139"/>
        <v>-101943001037.73279</v>
      </c>
      <c r="M2831" s="460">
        <f t="shared" si="141"/>
        <v>0.05</v>
      </c>
      <c r="N2831" s="464">
        <f t="shared" si="142"/>
        <v>137211</v>
      </c>
    </row>
    <row r="2832" spans="7:14" ht="11.25" customHeight="1" x14ac:dyDescent="0.25">
      <c r="G2832" s="459"/>
      <c r="H2832" s="459">
        <v>2825</v>
      </c>
      <c r="I2832" s="444">
        <f t="shared" ca="1" si="140"/>
        <v>-101943001037.73279</v>
      </c>
      <c r="J2832" s="444">
        <f t="array" ref="J2832">IFERROR(INDEX('Retirement Calculator'!K:K,MATCH('Lorri 401b'!N2832,'Retirement Calculator'!A:A,0),0),0)</f>
        <v>0</v>
      </c>
      <c r="K2832" s="444">
        <f t="shared" ca="1" si="138"/>
        <v>-424762504.32388663</v>
      </c>
      <c r="L2832" s="444">
        <f t="shared" ca="1" si="139"/>
        <v>-102367763542.05667</v>
      </c>
      <c r="M2832" s="460">
        <f t="shared" si="141"/>
        <v>0.05</v>
      </c>
      <c r="N2832" s="464">
        <f t="shared" si="142"/>
        <v>137241</v>
      </c>
    </row>
    <row r="2833" spans="7:14" ht="11.25" customHeight="1" x14ac:dyDescent="0.25">
      <c r="G2833" s="459"/>
      <c r="H2833" s="459">
        <v>2826</v>
      </c>
      <c r="I2833" s="444">
        <f t="shared" ca="1" si="140"/>
        <v>-102367763542.05667</v>
      </c>
      <c r="J2833" s="444">
        <f t="array" ref="J2833">IFERROR(INDEX('Retirement Calculator'!K:K,MATCH('Lorri 401b'!N2833,'Retirement Calculator'!A:A,0),0),0)</f>
        <v>0</v>
      </c>
      <c r="K2833" s="444">
        <f t="shared" ca="1" si="138"/>
        <v>-426532348.09190279</v>
      </c>
      <c r="L2833" s="444">
        <f t="shared" ca="1" si="139"/>
        <v>-102794295890.14857</v>
      </c>
      <c r="M2833" s="460">
        <f t="shared" si="141"/>
        <v>0.05</v>
      </c>
      <c r="N2833" s="464">
        <f t="shared" si="142"/>
        <v>137272</v>
      </c>
    </row>
    <row r="2834" spans="7:14" ht="11.25" customHeight="1" x14ac:dyDescent="0.25">
      <c r="G2834" s="459"/>
      <c r="H2834" s="459">
        <v>2827</v>
      </c>
      <c r="I2834" s="444">
        <f t="shared" ca="1" si="140"/>
        <v>-102794295890.14857</v>
      </c>
      <c r="J2834" s="444">
        <f t="array" ref="J2834">IFERROR(INDEX('Retirement Calculator'!K:K,MATCH('Lorri 401b'!N2834,'Retirement Calculator'!A:A,0),0),0)</f>
        <v>0</v>
      </c>
      <c r="K2834" s="444">
        <f t="shared" ca="1" si="138"/>
        <v>-428309566.20895237</v>
      </c>
      <c r="L2834" s="444">
        <f t="shared" ca="1" si="139"/>
        <v>-103222605456.35753</v>
      </c>
      <c r="M2834" s="460">
        <f t="shared" si="141"/>
        <v>0.05</v>
      </c>
      <c r="N2834" s="464">
        <f t="shared" si="142"/>
        <v>137302</v>
      </c>
    </row>
    <row r="2835" spans="7:14" ht="11.25" customHeight="1" x14ac:dyDescent="0.25">
      <c r="G2835" s="459"/>
      <c r="H2835" s="459">
        <v>2828</v>
      </c>
      <c r="I2835" s="444">
        <f t="shared" ca="1" si="140"/>
        <v>-103222605456.35753</v>
      </c>
      <c r="J2835" s="444">
        <f t="array" ref="J2835">IFERROR(INDEX('Retirement Calculator'!K:K,MATCH('Lorri 401b'!N2835,'Retirement Calculator'!A:A,0),0),0)</f>
        <v>0</v>
      </c>
      <c r="K2835" s="444">
        <f t="shared" ca="1" si="138"/>
        <v>-430094189.40148968</v>
      </c>
      <c r="L2835" s="444">
        <f t="shared" ca="1" si="139"/>
        <v>-103652699645.75902</v>
      </c>
      <c r="M2835" s="460">
        <f t="shared" si="141"/>
        <v>0.05</v>
      </c>
      <c r="N2835" s="464">
        <f t="shared" si="142"/>
        <v>137333</v>
      </c>
    </row>
    <row r="2836" spans="7:14" ht="11.25" customHeight="1" x14ac:dyDescent="0.25">
      <c r="G2836" s="459"/>
      <c r="H2836" s="459">
        <v>2829</v>
      </c>
      <c r="I2836" s="444">
        <f t="shared" ca="1" si="140"/>
        <v>-103652699645.75902</v>
      </c>
      <c r="J2836" s="444">
        <f t="array" ref="J2836">IFERROR(INDEX('Retirement Calculator'!K:K,MATCH('Lorri 401b'!N2836,'Retirement Calculator'!A:A,0),0),0)</f>
        <v>0</v>
      </c>
      <c r="K2836" s="444">
        <f t="shared" ca="1" si="138"/>
        <v>-431886248.52399588</v>
      </c>
      <c r="L2836" s="444">
        <f t="shared" ca="1" si="139"/>
        <v>-104084585894.28302</v>
      </c>
      <c r="M2836" s="460">
        <f t="shared" si="141"/>
        <v>0.05</v>
      </c>
      <c r="N2836" s="464">
        <f t="shared" si="142"/>
        <v>137364</v>
      </c>
    </row>
    <row r="2837" spans="7:14" ht="11.25" customHeight="1" x14ac:dyDescent="0.25">
      <c r="G2837" s="459"/>
      <c r="H2837" s="459">
        <v>2830</v>
      </c>
      <c r="I2837" s="444">
        <f t="shared" ca="1" si="140"/>
        <v>-104084585894.28302</v>
      </c>
      <c r="J2837" s="444">
        <f t="array" ref="J2837">IFERROR(INDEX('Retirement Calculator'!K:K,MATCH('Lorri 401b'!N2837,'Retirement Calculator'!A:A,0),0),0)</f>
        <v>0</v>
      </c>
      <c r="K2837" s="444">
        <f t="shared" ca="1" si="138"/>
        <v>-433685774.55951256</v>
      </c>
      <c r="L2837" s="444">
        <f t="shared" ca="1" si="139"/>
        <v>-104518271668.84253</v>
      </c>
      <c r="M2837" s="460">
        <f t="shared" si="141"/>
        <v>0.05</v>
      </c>
      <c r="N2837" s="464">
        <f t="shared" si="142"/>
        <v>137393</v>
      </c>
    </row>
    <row r="2838" spans="7:14" ht="11.25" customHeight="1" x14ac:dyDescent="0.25">
      <c r="G2838" s="459"/>
      <c r="H2838" s="459">
        <v>2831</v>
      </c>
      <c r="I2838" s="444">
        <f t="shared" ca="1" si="140"/>
        <v>-104518271668.84253</v>
      </c>
      <c r="J2838" s="444">
        <f t="array" ref="J2838">IFERROR(INDEX('Retirement Calculator'!K:K,MATCH('Lorri 401b'!N2838,'Retirement Calculator'!A:A,0),0),0)</f>
        <v>0</v>
      </c>
      <c r="K2838" s="444">
        <f t="shared" ca="1" si="138"/>
        <v>-435492798.62017721</v>
      </c>
      <c r="L2838" s="444">
        <f t="shared" ca="1" si="139"/>
        <v>-104953764467.46271</v>
      </c>
      <c r="M2838" s="460">
        <f t="shared" si="141"/>
        <v>0.05</v>
      </c>
      <c r="N2838" s="464">
        <f t="shared" si="142"/>
        <v>137424</v>
      </c>
    </row>
    <row r="2839" spans="7:14" ht="11.25" customHeight="1" x14ac:dyDescent="0.25">
      <c r="G2839" s="459"/>
      <c r="H2839" s="459">
        <v>2832</v>
      </c>
      <c r="I2839" s="444">
        <f t="shared" ca="1" si="140"/>
        <v>-104953764467.46271</v>
      </c>
      <c r="J2839" s="444">
        <f t="array" ref="J2839">IFERROR(INDEX('Retirement Calculator'!K:K,MATCH('Lorri 401b'!N2839,'Retirement Calculator'!A:A,0),0),0)</f>
        <v>0</v>
      </c>
      <c r="K2839" s="444">
        <f t="shared" ca="1" si="138"/>
        <v>-437307351.9477613</v>
      </c>
      <c r="L2839" s="444">
        <f t="shared" ca="1" si="139"/>
        <v>-105391071819.41046</v>
      </c>
      <c r="M2839" s="460">
        <f t="shared" si="141"/>
        <v>0.05</v>
      </c>
      <c r="N2839" s="464">
        <f t="shared" si="142"/>
        <v>137454</v>
      </c>
    </row>
    <row r="2840" spans="7:14" ht="11.25" customHeight="1" x14ac:dyDescent="0.25">
      <c r="G2840" s="459"/>
      <c r="H2840" s="459">
        <v>2833</v>
      </c>
      <c r="I2840" s="444">
        <f t="shared" ca="1" si="140"/>
        <v>-105391071819.41046</v>
      </c>
      <c r="J2840" s="444">
        <f t="array" ref="J2840">IFERROR(INDEX('Retirement Calculator'!K:K,MATCH('Lorri 401b'!N2840,'Retirement Calculator'!A:A,0),0),0)</f>
        <v>0</v>
      </c>
      <c r="K2840" s="444">
        <f t="shared" ca="1" si="138"/>
        <v>-439129465.91421026</v>
      </c>
      <c r="L2840" s="444">
        <f t="shared" ca="1" si="139"/>
        <v>-105830201285.32468</v>
      </c>
      <c r="M2840" s="460">
        <f t="shared" si="141"/>
        <v>0.05</v>
      </c>
      <c r="N2840" s="464">
        <f t="shared" si="142"/>
        <v>137485</v>
      </c>
    </row>
    <row r="2841" spans="7:14" ht="11.25" customHeight="1" x14ac:dyDescent="0.25">
      <c r="G2841" s="459"/>
      <c r="H2841" s="459">
        <v>2834</v>
      </c>
      <c r="I2841" s="444">
        <f t="shared" ca="1" si="140"/>
        <v>-105830201285.32468</v>
      </c>
      <c r="J2841" s="444">
        <f t="array" ref="J2841">IFERROR(INDEX('Retirement Calculator'!K:K,MATCH('Lorri 401b'!N2841,'Retirement Calculator'!A:A,0),0),0)</f>
        <v>0</v>
      </c>
      <c r="K2841" s="444">
        <f t="shared" ca="1" si="138"/>
        <v>-440959172.02218616</v>
      </c>
      <c r="L2841" s="444">
        <f t="shared" ca="1" si="139"/>
        <v>-106271160457.34686</v>
      </c>
      <c r="M2841" s="460">
        <f t="shared" si="141"/>
        <v>0.05</v>
      </c>
      <c r="N2841" s="464">
        <f t="shared" si="142"/>
        <v>137515</v>
      </c>
    </row>
    <row r="2842" spans="7:14" ht="11.25" customHeight="1" x14ac:dyDescent="0.25">
      <c r="G2842" s="459"/>
      <c r="H2842" s="459">
        <v>2835</v>
      </c>
      <c r="I2842" s="444">
        <f t="shared" ca="1" si="140"/>
        <v>-106271160457.34686</v>
      </c>
      <c r="J2842" s="444">
        <f t="array" ref="J2842">IFERROR(INDEX('Retirement Calculator'!K:K,MATCH('Lorri 401b'!N2842,'Retirement Calculator'!A:A,0),0),0)</f>
        <v>0</v>
      </c>
      <c r="K2842" s="444">
        <f t="shared" ca="1" si="138"/>
        <v>-442796501.90561193</v>
      </c>
      <c r="L2842" s="444">
        <f t="shared" ca="1" si="139"/>
        <v>-106713956959.25247</v>
      </c>
      <c r="M2842" s="460">
        <f t="shared" si="141"/>
        <v>0.05</v>
      </c>
      <c r="N2842" s="464">
        <f t="shared" si="142"/>
        <v>137546</v>
      </c>
    </row>
    <row r="2843" spans="7:14" ht="11.25" customHeight="1" x14ac:dyDescent="0.25">
      <c r="G2843" s="459"/>
      <c r="H2843" s="459">
        <v>2836</v>
      </c>
      <c r="I2843" s="444">
        <f t="shared" ca="1" si="140"/>
        <v>-106713956959.25247</v>
      </c>
      <c r="J2843" s="444">
        <f t="array" ref="J2843">IFERROR(INDEX('Retirement Calculator'!K:K,MATCH('Lorri 401b'!N2843,'Retirement Calculator'!A:A,0),0),0)</f>
        <v>0</v>
      </c>
      <c r="K2843" s="444">
        <f t="shared" ca="1" si="138"/>
        <v>-444641487.33021861</v>
      </c>
      <c r="L2843" s="444">
        <f t="shared" ca="1" si="139"/>
        <v>-107158598446.58269</v>
      </c>
      <c r="M2843" s="460">
        <f t="shared" si="141"/>
        <v>0.05</v>
      </c>
      <c r="N2843" s="464">
        <f t="shared" si="142"/>
        <v>137577</v>
      </c>
    </row>
    <row r="2844" spans="7:14" ht="11.25" customHeight="1" x14ac:dyDescent="0.25">
      <c r="G2844" s="459"/>
      <c r="H2844" s="459">
        <v>2837</v>
      </c>
      <c r="I2844" s="444">
        <f t="shared" ca="1" si="140"/>
        <v>-107158598446.58269</v>
      </c>
      <c r="J2844" s="444">
        <f t="array" ref="J2844">IFERROR(INDEX('Retirement Calculator'!K:K,MATCH('Lorri 401b'!N2844,'Retirement Calculator'!A:A,0),0),0)</f>
        <v>0</v>
      </c>
      <c r="K2844" s="444">
        <f t="shared" ca="1" si="138"/>
        <v>-446494160.19409454</v>
      </c>
      <c r="L2844" s="444">
        <f t="shared" ca="1" si="139"/>
        <v>-107605092606.77678</v>
      </c>
      <c r="M2844" s="460">
        <f t="shared" si="141"/>
        <v>0.05</v>
      </c>
      <c r="N2844" s="464">
        <f t="shared" si="142"/>
        <v>137607</v>
      </c>
    </row>
    <row r="2845" spans="7:14" ht="11.25" customHeight="1" x14ac:dyDescent="0.25">
      <c r="G2845" s="459"/>
      <c r="H2845" s="459">
        <v>2838</v>
      </c>
      <c r="I2845" s="444">
        <f t="shared" ca="1" si="140"/>
        <v>-107605092606.77678</v>
      </c>
      <c r="J2845" s="444">
        <f t="array" ref="J2845">IFERROR(INDEX('Retirement Calculator'!K:K,MATCH('Lorri 401b'!N2845,'Retirement Calculator'!A:A,0),0),0)</f>
        <v>0</v>
      </c>
      <c r="K2845" s="444">
        <f t="shared" ca="1" si="138"/>
        <v>-448354552.52823651</v>
      </c>
      <c r="L2845" s="444">
        <f t="shared" ca="1" si="139"/>
        <v>-108053447159.30502</v>
      </c>
      <c r="M2845" s="460">
        <f t="shared" si="141"/>
        <v>0.05</v>
      </c>
      <c r="N2845" s="464">
        <f t="shared" si="142"/>
        <v>137638</v>
      </c>
    </row>
    <row r="2846" spans="7:14" ht="11.25" customHeight="1" x14ac:dyDescent="0.25">
      <c r="G2846" s="459"/>
      <c r="H2846" s="459">
        <v>2839</v>
      </c>
      <c r="I2846" s="444">
        <f t="shared" ca="1" si="140"/>
        <v>-108053447159.30502</v>
      </c>
      <c r="J2846" s="444">
        <f t="array" ref="J2846">IFERROR(INDEX('Retirement Calculator'!K:K,MATCH('Lorri 401b'!N2846,'Retirement Calculator'!A:A,0),0),0)</f>
        <v>0</v>
      </c>
      <c r="K2846" s="444">
        <f t="shared" ca="1" si="138"/>
        <v>-450222696.49710417</v>
      </c>
      <c r="L2846" s="444">
        <f t="shared" ca="1" si="139"/>
        <v>-108503669855.80212</v>
      </c>
      <c r="M2846" s="460">
        <f t="shared" si="141"/>
        <v>0.05</v>
      </c>
      <c r="N2846" s="464">
        <f t="shared" si="142"/>
        <v>137668</v>
      </c>
    </row>
    <row r="2847" spans="7:14" ht="11.25" customHeight="1" x14ac:dyDescent="0.25">
      <c r="G2847" s="459"/>
      <c r="H2847" s="459">
        <v>2840</v>
      </c>
      <c r="I2847" s="444">
        <f t="shared" ca="1" si="140"/>
        <v>-108503669855.80212</v>
      </c>
      <c r="J2847" s="444">
        <f t="array" ref="J2847">IFERROR(INDEX('Retirement Calculator'!K:K,MATCH('Lorri 401b'!N2847,'Retirement Calculator'!A:A,0),0),0)</f>
        <v>0</v>
      </c>
      <c r="K2847" s="444">
        <f t="shared" ca="1" si="138"/>
        <v>-452098624.39917552</v>
      </c>
      <c r="L2847" s="444">
        <f t="shared" ca="1" si="139"/>
        <v>-108955768480.20129</v>
      </c>
      <c r="M2847" s="460">
        <f t="shared" si="141"/>
        <v>0.05</v>
      </c>
      <c r="N2847" s="464">
        <f t="shared" si="142"/>
        <v>137699</v>
      </c>
    </row>
    <row r="2848" spans="7:14" ht="11.25" customHeight="1" x14ac:dyDescent="0.25">
      <c r="G2848" s="459"/>
      <c r="H2848" s="459">
        <v>2841</v>
      </c>
      <c r="I2848" s="444">
        <f t="shared" ca="1" si="140"/>
        <v>-108955768480.20129</v>
      </c>
      <c r="J2848" s="444">
        <f t="array" ref="J2848">IFERROR(INDEX('Retirement Calculator'!K:K,MATCH('Lorri 401b'!N2848,'Retirement Calculator'!A:A,0),0),0)</f>
        <v>0</v>
      </c>
      <c r="K2848" s="444">
        <f t="shared" ca="1" si="138"/>
        <v>-453982368.66750538</v>
      </c>
      <c r="L2848" s="444">
        <f t="shared" ca="1" si="139"/>
        <v>-109409750848.8688</v>
      </c>
      <c r="M2848" s="460">
        <f t="shared" si="141"/>
        <v>0.05</v>
      </c>
      <c r="N2848" s="464">
        <f t="shared" si="142"/>
        <v>137730</v>
      </c>
    </row>
    <row r="2849" spans="7:14" ht="11.25" customHeight="1" x14ac:dyDescent="0.25">
      <c r="G2849" s="459"/>
      <c r="H2849" s="459">
        <v>2842</v>
      </c>
      <c r="I2849" s="444">
        <f t="shared" ca="1" si="140"/>
        <v>-109409750848.8688</v>
      </c>
      <c r="J2849" s="444">
        <f t="array" ref="J2849">IFERROR(INDEX('Retirement Calculator'!K:K,MATCH('Lorri 401b'!N2849,'Retirement Calculator'!A:A,0),0),0)</f>
        <v>0</v>
      </c>
      <c r="K2849" s="444">
        <f t="shared" ca="1" si="138"/>
        <v>-455873961.8702867</v>
      </c>
      <c r="L2849" s="444">
        <f t="shared" ca="1" si="139"/>
        <v>-109865624810.73909</v>
      </c>
      <c r="M2849" s="460">
        <f t="shared" si="141"/>
        <v>0.05</v>
      </c>
      <c r="N2849" s="464">
        <f t="shared" si="142"/>
        <v>137758</v>
      </c>
    </row>
    <row r="2850" spans="7:14" ht="11.25" customHeight="1" x14ac:dyDescent="0.25">
      <c r="G2850" s="459"/>
      <c r="H2850" s="459">
        <v>2843</v>
      </c>
      <c r="I2850" s="444">
        <f t="shared" ca="1" si="140"/>
        <v>-109865624810.73909</v>
      </c>
      <c r="J2850" s="444">
        <f t="array" ref="J2850">IFERROR(INDEX('Retirement Calculator'!K:K,MATCH('Lorri 401b'!N2850,'Retirement Calculator'!A:A,0),0),0)</f>
        <v>0</v>
      </c>
      <c r="K2850" s="444">
        <f t="shared" ca="1" si="138"/>
        <v>-457773436.71141291</v>
      </c>
      <c r="L2850" s="444">
        <f t="shared" ca="1" si="139"/>
        <v>-110323398247.4505</v>
      </c>
      <c r="M2850" s="460">
        <f t="shared" si="141"/>
        <v>0.05</v>
      </c>
      <c r="N2850" s="464">
        <f t="shared" si="142"/>
        <v>137789</v>
      </c>
    </row>
    <row r="2851" spans="7:14" ht="11.25" customHeight="1" x14ac:dyDescent="0.25">
      <c r="G2851" s="459"/>
      <c r="H2851" s="459">
        <v>2844</v>
      </c>
      <c r="I2851" s="444">
        <f t="shared" ca="1" si="140"/>
        <v>-110323398247.4505</v>
      </c>
      <c r="J2851" s="444">
        <f t="array" ref="J2851">IFERROR(INDEX('Retirement Calculator'!K:K,MATCH('Lorri 401b'!N2851,'Retirement Calculator'!A:A,0),0),0)</f>
        <v>0</v>
      </c>
      <c r="K2851" s="444">
        <f t="shared" ca="1" si="138"/>
        <v>-459680826.03104377</v>
      </c>
      <c r="L2851" s="444">
        <f t="shared" ca="1" si="139"/>
        <v>-110783079073.48154</v>
      </c>
      <c r="M2851" s="460">
        <f t="shared" si="141"/>
        <v>0.05</v>
      </c>
      <c r="N2851" s="464">
        <f t="shared" si="142"/>
        <v>137819</v>
      </c>
    </row>
    <row r="2852" spans="7:14" ht="11.25" customHeight="1" x14ac:dyDescent="0.25">
      <c r="G2852" s="459"/>
      <c r="H2852" s="459">
        <v>2845</v>
      </c>
      <c r="I2852" s="444">
        <f t="shared" ca="1" si="140"/>
        <v>-110783079073.48154</v>
      </c>
      <c r="J2852" s="444">
        <f t="array" ref="J2852">IFERROR(INDEX('Retirement Calculator'!K:K,MATCH('Lorri 401b'!N2852,'Retirement Calculator'!A:A,0),0),0)</f>
        <v>0</v>
      </c>
      <c r="K2852" s="444">
        <f t="shared" ca="1" si="138"/>
        <v>-461596162.80617315</v>
      </c>
      <c r="L2852" s="444">
        <f t="shared" ca="1" si="139"/>
        <v>-111244675236.2877</v>
      </c>
      <c r="M2852" s="460">
        <f t="shared" si="141"/>
        <v>0.05</v>
      </c>
      <c r="N2852" s="464">
        <f t="shared" si="142"/>
        <v>137850</v>
      </c>
    </row>
    <row r="2853" spans="7:14" ht="11.25" customHeight="1" x14ac:dyDescent="0.25">
      <c r="G2853" s="459"/>
      <c r="H2853" s="459">
        <v>2846</v>
      </c>
      <c r="I2853" s="444">
        <f t="shared" ca="1" si="140"/>
        <v>-111244675236.2877</v>
      </c>
      <c r="J2853" s="444">
        <f t="array" ref="J2853">IFERROR(INDEX('Retirement Calculator'!K:K,MATCH('Lorri 401b'!N2853,'Retirement Calculator'!A:A,0),0),0)</f>
        <v>0</v>
      </c>
      <c r="K2853" s="444">
        <f t="shared" ca="1" si="138"/>
        <v>-463519480.15119874</v>
      </c>
      <c r="L2853" s="444">
        <f t="shared" ca="1" si="139"/>
        <v>-111708194716.4389</v>
      </c>
      <c r="M2853" s="460">
        <f t="shared" si="141"/>
        <v>0.05</v>
      </c>
      <c r="N2853" s="464">
        <f t="shared" si="142"/>
        <v>137880</v>
      </c>
    </row>
    <row r="2854" spans="7:14" ht="11.25" customHeight="1" x14ac:dyDescent="0.25">
      <c r="G2854" s="459"/>
      <c r="H2854" s="459">
        <v>2847</v>
      </c>
      <c r="I2854" s="444">
        <f t="shared" ca="1" si="140"/>
        <v>-111708194716.4389</v>
      </c>
      <c r="J2854" s="444">
        <f t="array" ref="J2854">IFERROR(INDEX('Retirement Calculator'!K:K,MATCH('Lorri 401b'!N2854,'Retirement Calculator'!A:A,0),0),0)</f>
        <v>0</v>
      </c>
      <c r="K2854" s="444">
        <f t="shared" ca="1" si="138"/>
        <v>-465450811.31849545</v>
      </c>
      <c r="L2854" s="444">
        <f t="shared" ca="1" si="139"/>
        <v>-112173645527.7574</v>
      </c>
      <c r="M2854" s="460">
        <f t="shared" si="141"/>
        <v>0.05</v>
      </c>
      <c r="N2854" s="464">
        <f t="shared" si="142"/>
        <v>137911</v>
      </c>
    </row>
    <row r="2855" spans="7:14" ht="11.25" customHeight="1" x14ac:dyDescent="0.25">
      <c r="G2855" s="459"/>
      <c r="H2855" s="459">
        <v>2848</v>
      </c>
      <c r="I2855" s="444">
        <f t="shared" ca="1" si="140"/>
        <v>-112173645527.7574</v>
      </c>
      <c r="J2855" s="444">
        <f t="array" ref="J2855">IFERROR(INDEX('Retirement Calculator'!K:K,MATCH('Lorri 401b'!N2855,'Retirement Calculator'!A:A,0),0),0)</f>
        <v>0</v>
      </c>
      <c r="K2855" s="444">
        <f t="shared" ca="1" si="138"/>
        <v>-467390189.69898909</v>
      </c>
      <c r="L2855" s="444">
        <f t="shared" ca="1" si="139"/>
        <v>-112641035717.45639</v>
      </c>
      <c r="M2855" s="460">
        <f t="shared" si="141"/>
        <v>0.05</v>
      </c>
      <c r="N2855" s="464">
        <f t="shared" si="142"/>
        <v>137942</v>
      </c>
    </row>
    <row r="2856" spans="7:14" ht="11.25" customHeight="1" x14ac:dyDescent="0.25">
      <c r="G2856" s="459"/>
      <c r="H2856" s="459">
        <v>2849</v>
      </c>
      <c r="I2856" s="444">
        <f t="shared" ca="1" si="140"/>
        <v>-112641035717.45639</v>
      </c>
      <c r="J2856" s="444">
        <f t="array" ref="J2856">IFERROR(INDEX('Retirement Calculator'!K:K,MATCH('Lorri 401b'!N2856,'Retirement Calculator'!A:A,0),0),0)</f>
        <v>0</v>
      </c>
      <c r="K2856" s="444">
        <f t="shared" ca="1" si="138"/>
        <v>-469337648.82273495</v>
      </c>
      <c r="L2856" s="444">
        <f t="shared" ca="1" si="139"/>
        <v>-113110373366.27913</v>
      </c>
      <c r="M2856" s="460">
        <f t="shared" si="141"/>
        <v>0.05</v>
      </c>
      <c r="N2856" s="464">
        <f t="shared" si="142"/>
        <v>137972</v>
      </c>
    </row>
    <row r="2857" spans="7:14" ht="11.25" customHeight="1" x14ac:dyDescent="0.25">
      <c r="G2857" s="459"/>
      <c r="H2857" s="459">
        <v>2850</v>
      </c>
      <c r="I2857" s="444">
        <f t="shared" ca="1" si="140"/>
        <v>-113110373366.27913</v>
      </c>
      <c r="J2857" s="444">
        <f t="array" ref="J2857">IFERROR(INDEX('Retirement Calculator'!K:K,MATCH('Lorri 401b'!N2857,'Retirement Calculator'!A:A,0),0),0)</f>
        <v>0</v>
      </c>
      <c r="K2857" s="444">
        <f t="shared" ca="1" si="138"/>
        <v>-471293222.35949636</v>
      </c>
      <c r="L2857" s="444">
        <f t="shared" ca="1" si="139"/>
        <v>-113581666588.63863</v>
      </c>
      <c r="M2857" s="460">
        <f t="shared" si="141"/>
        <v>0.05</v>
      </c>
      <c r="N2857" s="464">
        <f t="shared" si="142"/>
        <v>138003</v>
      </c>
    </row>
    <row r="2858" spans="7:14" ht="11.25" customHeight="1" x14ac:dyDescent="0.25">
      <c r="G2858" s="459"/>
      <c r="H2858" s="459">
        <v>2851</v>
      </c>
      <c r="I2858" s="444">
        <f t="shared" ca="1" si="140"/>
        <v>-113581666588.63863</v>
      </c>
      <c r="J2858" s="444">
        <f t="array" ref="J2858">IFERROR(INDEX('Retirement Calculator'!K:K,MATCH('Lorri 401b'!N2858,'Retirement Calculator'!A:A,0),0),0)</f>
        <v>0</v>
      </c>
      <c r="K2858" s="444">
        <f t="shared" ca="1" si="138"/>
        <v>-473256944.1193276</v>
      </c>
      <c r="L2858" s="444">
        <f t="shared" ca="1" si="139"/>
        <v>-114054923532.75795</v>
      </c>
      <c r="M2858" s="460">
        <f t="shared" si="141"/>
        <v>0.05</v>
      </c>
      <c r="N2858" s="464">
        <f t="shared" si="142"/>
        <v>138033</v>
      </c>
    </row>
    <row r="2859" spans="7:14" ht="11.25" customHeight="1" x14ac:dyDescent="0.25">
      <c r="G2859" s="459"/>
      <c r="H2859" s="459">
        <v>2852</v>
      </c>
      <c r="I2859" s="444">
        <f t="shared" ca="1" si="140"/>
        <v>-114054923532.75795</v>
      </c>
      <c r="J2859" s="444">
        <f t="array" ref="J2859">IFERROR(INDEX('Retirement Calculator'!K:K,MATCH('Lorri 401b'!N2859,'Retirement Calculator'!A:A,0),0),0)</f>
        <v>0</v>
      </c>
      <c r="K2859" s="444">
        <f t="shared" ca="1" si="138"/>
        <v>-475228848.05315804</v>
      </c>
      <c r="L2859" s="444">
        <f t="shared" ca="1" si="139"/>
        <v>-114530152380.81111</v>
      </c>
      <c r="M2859" s="460">
        <f t="shared" si="141"/>
        <v>0.05</v>
      </c>
      <c r="N2859" s="464">
        <f t="shared" si="142"/>
        <v>138064</v>
      </c>
    </row>
    <row r="2860" spans="7:14" ht="11.25" customHeight="1" x14ac:dyDescent="0.25">
      <c r="G2860" s="459"/>
      <c r="H2860" s="459">
        <v>2853</v>
      </c>
      <c r="I2860" s="444">
        <f t="shared" ca="1" si="140"/>
        <v>-114530152380.81111</v>
      </c>
      <c r="J2860" s="444">
        <f t="array" ref="J2860">IFERROR(INDEX('Retirement Calculator'!K:K,MATCH('Lorri 401b'!N2860,'Retirement Calculator'!A:A,0),0),0)</f>
        <v>0</v>
      </c>
      <c r="K2860" s="444">
        <f t="shared" ca="1" si="138"/>
        <v>-477208968.25337964</v>
      </c>
      <c r="L2860" s="444">
        <f t="shared" ca="1" si="139"/>
        <v>-115007361349.06448</v>
      </c>
      <c r="M2860" s="460">
        <f t="shared" si="141"/>
        <v>0.05</v>
      </c>
      <c r="N2860" s="464">
        <f t="shared" si="142"/>
        <v>138095</v>
      </c>
    </row>
    <row r="2861" spans="7:14" ht="11.25" customHeight="1" x14ac:dyDescent="0.25">
      <c r="G2861" s="459"/>
      <c r="H2861" s="459">
        <v>2854</v>
      </c>
      <c r="I2861" s="444">
        <f t="shared" ca="1" si="140"/>
        <v>-115007361349.06448</v>
      </c>
      <c r="J2861" s="444">
        <f t="array" ref="J2861">IFERROR(INDEX('Retirement Calculator'!K:K,MATCH('Lorri 401b'!N2861,'Retirement Calculator'!A:A,0),0),0)</f>
        <v>0</v>
      </c>
      <c r="K2861" s="444">
        <f t="shared" ca="1" si="138"/>
        <v>-479197338.95443535</v>
      </c>
      <c r="L2861" s="444">
        <f t="shared" ca="1" si="139"/>
        <v>-115486558688.01892</v>
      </c>
      <c r="M2861" s="460">
        <f t="shared" si="141"/>
        <v>0.05</v>
      </c>
      <c r="N2861" s="464">
        <f t="shared" si="142"/>
        <v>138123</v>
      </c>
    </row>
    <row r="2862" spans="7:14" ht="11.25" customHeight="1" x14ac:dyDescent="0.25">
      <c r="G2862" s="459"/>
      <c r="H2862" s="459">
        <v>2855</v>
      </c>
      <c r="I2862" s="444">
        <f t="shared" ca="1" si="140"/>
        <v>-115486558688.01892</v>
      </c>
      <c r="J2862" s="444">
        <f t="array" ref="J2862">IFERROR(INDEX('Retirement Calculator'!K:K,MATCH('Lorri 401b'!N2862,'Retirement Calculator'!A:A,0),0),0)</f>
        <v>0</v>
      </c>
      <c r="K2862" s="444">
        <f t="shared" ca="1" si="138"/>
        <v>-481193994.53341216</v>
      </c>
      <c r="L2862" s="444">
        <f t="shared" ca="1" si="139"/>
        <v>-115967752682.55234</v>
      </c>
      <c r="M2862" s="460">
        <f t="shared" si="141"/>
        <v>0.05</v>
      </c>
      <c r="N2862" s="464">
        <f t="shared" si="142"/>
        <v>138154</v>
      </c>
    </row>
    <row r="2863" spans="7:14" ht="11.25" customHeight="1" x14ac:dyDescent="0.25">
      <c r="G2863" s="459"/>
      <c r="H2863" s="459">
        <v>2856</v>
      </c>
      <c r="I2863" s="444">
        <f t="shared" ca="1" si="140"/>
        <v>-115967752682.55234</v>
      </c>
      <c r="J2863" s="444">
        <f t="array" ref="J2863">IFERROR(INDEX('Retirement Calculator'!K:K,MATCH('Lorri 401b'!N2863,'Retirement Calculator'!A:A,0),0),0)</f>
        <v>0</v>
      </c>
      <c r="K2863" s="444">
        <f t="shared" ca="1" si="138"/>
        <v>-483198969.51063472</v>
      </c>
      <c r="L2863" s="444">
        <f t="shared" ca="1" si="139"/>
        <v>-116450951652.06297</v>
      </c>
      <c r="M2863" s="460">
        <f t="shared" si="141"/>
        <v>0.05</v>
      </c>
      <c r="N2863" s="464">
        <f t="shared" si="142"/>
        <v>138184</v>
      </c>
    </row>
    <row r="2864" spans="7:14" ht="11.25" customHeight="1" x14ac:dyDescent="0.25">
      <c r="G2864" s="459"/>
      <c r="H2864" s="459">
        <v>2857</v>
      </c>
      <c r="I2864" s="444">
        <f t="shared" ca="1" si="140"/>
        <v>-116450951652.06297</v>
      </c>
      <c r="J2864" s="444">
        <f t="array" ref="J2864">IFERROR(INDEX('Retirement Calculator'!K:K,MATCH('Lorri 401b'!N2864,'Retirement Calculator'!A:A,0),0),0)</f>
        <v>0</v>
      </c>
      <c r="K2864" s="444">
        <f t="shared" ca="1" si="138"/>
        <v>-485212298.55026245</v>
      </c>
      <c r="L2864" s="444">
        <f t="shared" ca="1" si="139"/>
        <v>-116936163950.61324</v>
      </c>
      <c r="M2864" s="460">
        <f t="shared" si="141"/>
        <v>0.05</v>
      </c>
      <c r="N2864" s="464">
        <f t="shared" si="142"/>
        <v>138215</v>
      </c>
    </row>
    <row r="2865" spans="7:14" ht="11.25" customHeight="1" x14ac:dyDescent="0.25">
      <c r="G2865" s="459"/>
      <c r="H2865" s="459">
        <v>2858</v>
      </c>
      <c r="I2865" s="444">
        <f t="shared" ca="1" si="140"/>
        <v>-116936163950.61324</v>
      </c>
      <c r="J2865" s="444">
        <f t="array" ref="J2865">IFERROR(INDEX('Retirement Calculator'!K:K,MATCH('Lorri 401b'!N2865,'Retirement Calculator'!A:A,0),0),0)</f>
        <v>0</v>
      </c>
      <c r="K2865" s="444">
        <f t="shared" ca="1" si="138"/>
        <v>-487234016.46088856</v>
      </c>
      <c r="L2865" s="444">
        <f t="shared" ca="1" si="139"/>
        <v>-117423397967.07413</v>
      </c>
      <c r="M2865" s="460">
        <f t="shared" si="141"/>
        <v>0.05</v>
      </c>
      <c r="N2865" s="464">
        <f t="shared" si="142"/>
        <v>138245</v>
      </c>
    </row>
    <row r="2866" spans="7:14" ht="11.25" customHeight="1" x14ac:dyDescent="0.25">
      <c r="G2866" s="459"/>
      <c r="H2866" s="459">
        <v>2859</v>
      </c>
      <c r="I2866" s="444">
        <f t="shared" ca="1" si="140"/>
        <v>-117423397967.07413</v>
      </c>
      <c r="J2866" s="444">
        <f t="array" ref="J2866">IFERROR(INDEX('Retirement Calculator'!K:K,MATCH('Lorri 401b'!N2866,'Retirement Calculator'!A:A,0),0),0)</f>
        <v>0</v>
      </c>
      <c r="K2866" s="444">
        <f t="shared" ca="1" si="138"/>
        <v>-489264158.19614214</v>
      </c>
      <c r="L2866" s="444">
        <f t="shared" ca="1" si="139"/>
        <v>-117912662125.27026</v>
      </c>
      <c r="M2866" s="460">
        <f t="shared" si="141"/>
        <v>0.05</v>
      </c>
      <c r="N2866" s="464">
        <f t="shared" si="142"/>
        <v>138276</v>
      </c>
    </row>
    <row r="2867" spans="7:14" ht="11.25" customHeight="1" x14ac:dyDescent="0.25">
      <c r="G2867" s="459"/>
      <c r="H2867" s="459">
        <v>2860</v>
      </c>
      <c r="I2867" s="444">
        <f t="shared" ca="1" si="140"/>
        <v>-117912662125.27026</v>
      </c>
      <c r="J2867" s="444">
        <f t="array" ref="J2867">IFERROR(INDEX('Retirement Calculator'!K:K,MATCH('Lorri 401b'!N2867,'Retirement Calculator'!A:A,0),0),0)</f>
        <v>0</v>
      </c>
      <c r="K2867" s="444">
        <f t="shared" ca="1" si="138"/>
        <v>-491302758.85529274</v>
      </c>
      <c r="L2867" s="444">
        <f t="shared" ca="1" si="139"/>
        <v>-118403964884.12555</v>
      </c>
      <c r="M2867" s="460">
        <f t="shared" si="141"/>
        <v>0.05</v>
      </c>
      <c r="N2867" s="464">
        <f t="shared" si="142"/>
        <v>138307</v>
      </c>
    </row>
    <row r="2868" spans="7:14" ht="11.25" customHeight="1" x14ac:dyDescent="0.25">
      <c r="G2868" s="459"/>
      <c r="H2868" s="459">
        <v>2861</v>
      </c>
      <c r="I2868" s="444">
        <f t="shared" ca="1" si="140"/>
        <v>-118403964884.12555</v>
      </c>
      <c r="J2868" s="444">
        <f t="array" ref="J2868">IFERROR(INDEX('Retirement Calculator'!K:K,MATCH('Lorri 401b'!N2868,'Retirement Calculator'!A:A,0),0),0)</f>
        <v>0</v>
      </c>
      <c r="K2868" s="444">
        <f t="shared" ca="1" si="138"/>
        <v>-493349853.68385643</v>
      </c>
      <c r="L2868" s="444">
        <f t="shared" ca="1" si="139"/>
        <v>-118897314737.8094</v>
      </c>
      <c r="M2868" s="460">
        <f t="shared" si="141"/>
        <v>0.05</v>
      </c>
      <c r="N2868" s="464">
        <f t="shared" si="142"/>
        <v>138337</v>
      </c>
    </row>
    <row r="2869" spans="7:14" ht="11.25" customHeight="1" x14ac:dyDescent="0.25">
      <c r="G2869" s="459"/>
      <c r="H2869" s="459">
        <v>2862</v>
      </c>
      <c r="I2869" s="444">
        <f t="shared" ca="1" si="140"/>
        <v>-118897314737.8094</v>
      </c>
      <c r="J2869" s="444">
        <f t="array" ref="J2869">IFERROR(INDEX('Retirement Calculator'!K:K,MATCH('Lorri 401b'!N2869,'Retirement Calculator'!A:A,0),0),0)</f>
        <v>0</v>
      </c>
      <c r="K2869" s="444">
        <f t="shared" ca="1" si="138"/>
        <v>-495405478.07420582</v>
      </c>
      <c r="L2869" s="444">
        <f t="shared" ca="1" si="139"/>
        <v>-119392720215.88361</v>
      </c>
      <c r="M2869" s="460">
        <f t="shared" si="141"/>
        <v>0.05</v>
      </c>
      <c r="N2869" s="464">
        <f t="shared" si="142"/>
        <v>138368</v>
      </c>
    </row>
    <row r="2870" spans="7:14" ht="11.25" customHeight="1" x14ac:dyDescent="0.25">
      <c r="G2870" s="459"/>
      <c r="H2870" s="459">
        <v>2863</v>
      </c>
      <c r="I2870" s="444">
        <f t="shared" ca="1" si="140"/>
        <v>-119392720215.88361</v>
      </c>
      <c r="J2870" s="444">
        <f t="array" ref="J2870">IFERROR(INDEX('Retirement Calculator'!K:K,MATCH('Lorri 401b'!N2870,'Retirement Calculator'!A:A,0),0),0)</f>
        <v>0</v>
      </c>
      <c r="K2870" s="444">
        <f t="shared" ca="1" si="138"/>
        <v>-497469667.56618166</v>
      </c>
      <c r="L2870" s="444">
        <f t="shared" ca="1" si="139"/>
        <v>-119890189883.44978</v>
      </c>
      <c r="M2870" s="460">
        <f t="shared" si="141"/>
        <v>0.05</v>
      </c>
      <c r="N2870" s="464">
        <f t="shared" si="142"/>
        <v>138398</v>
      </c>
    </row>
    <row r="2871" spans="7:14" ht="11.25" customHeight="1" x14ac:dyDescent="0.25">
      <c r="G2871" s="459"/>
      <c r="H2871" s="459">
        <v>2864</v>
      </c>
      <c r="I2871" s="444">
        <f t="shared" ca="1" si="140"/>
        <v>-119890189883.44978</v>
      </c>
      <c r="J2871" s="444">
        <f t="array" ref="J2871">IFERROR(INDEX('Retirement Calculator'!K:K,MATCH('Lorri 401b'!N2871,'Retirement Calculator'!A:A,0),0),0)</f>
        <v>0</v>
      </c>
      <c r="K2871" s="444">
        <f t="shared" ca="1" si="138"/>
        <v>-499542457.84770745</v>
      </c>
      <c r="L2871" s="444">
        <f t="shared" ca="1" si="139"/>
        <v>-120389732341.29749</v>
      </c>
      <c r="M2871" s="460">
        <f t="shared" si="141"/>
        <v>0.05</v>
      </c>
      <c r="N2871" s="464">
        <f t="shared" si="142"/>
        <v>138429</v>
      </c>
    </row>
    <row r="2872" spans="7:14" ht="11.25" customHeight="1" x14ac:dyDescent="0.25">
      <c r="G2872" s="459"/>
      <c r="H2872" s="459">
        <v>2865</v>
      </c>
      <c r="I2872" s="444">
        <f t="shared" ca="1" si="140"/>
        <v>-120389732341.29749</v>
      </c>
      <c r="J2872" s="444">
        <f t="array" ref="J2872">IFERROR(INDEX('Retirement Calculator'!K:K,MATCH('Lorri 401b'!N2872,'Retirement Calculator'!A:A,0),0),0)</f>
        <v>0</v>
      </c>
      <c r="K2872" s="444">
        <f t="shared" ca="1" si="138"/>
        <v>-501623884.75540614</v>
      </c>
      <c r="L2872" s="444">
        <f t="shared" ca="1" si="139"/>
        <v>-120891356226.05289</v>
      </c>
      <c r="M2872" s="460">
        <f t="shared" si="141"/>
        <v>0.05</v>
      </c>
      <c r="N2872" s="464">
        <f t="shared" si="142"/>
        <v>138460</v>
      </c>
    </row>
    <row r="2873" spans="7:14" ht="11.25" customHeight="1" x14ac:dyDescent="0.25">
      <c r="G2873" s="459"/>
      <c r="H2873" s="459">
        <v>2866</v>
      </c>
      <c r="I2873" s="444">
        <f t="shared" ca="1" si="140"/>
        <v>-120891356226.05289</v>
      </c>
      <c r="J2873" s="444">
        <f t="array" ref="J2873">IFERROR(INDEX('Retirement Calculator'!K:K,MATCH('Lorri 401b'!N2873,'Retirement Calculator'!A:A,0),0),0)</f>
        <v>0</v>
      </c>
      <c r="K2873" s="444">
        <f t="shared" ca="1" si="138"/>
        <v>-503713984.27522033</v>
      </c>
      <c r="L2873" s="444">
        <f t="shared" ca="1" si="139"/>
        <v>-121395070210.32811</v>
      </c>
      <c r="M2873" s="460">
        <f t="shared" si="141"/>
        <v>0.05</v>
      </c>
      <c r="N2873" s="464">
        <f t="shared" si="142"/>
        <v>138488</v>
      </c>
    </row>
    <row r="2874" spans="7:14" ht="11.25" customHeight="1" x14ac:dyDescent="0.25">
      <c r="G2874" s="459"/>
      <c r="H2874" s="459">
        <v>2867</v>
      </c>
      <c r="I2874" s="444">
        <f t="shared" ca="1" si="140"/>
        <v>-121395070210.32811</v>
      </c>
      <c r="J2874" s="444">
        <f t="array" ref="J2874">IFERROR(INDEX('Retirement Calculator'!K:K,MATCH('Lorri 401b'!N2874,'Retirement Calculator'!A:A,0),0),0)</f>
        <v>0</v>
      </c>
      <c r="K2874" s="444">
        <f t="shared" ca="1" si="138"/>
        <v>-505812792.54303378</v>
      </c>
      <c r="L2874" s="444">
        <f t="shared" ca="1" si="139"/>
        <v>-121900883002.87114</v>
      </c>
      <c r="M2874" s="460">
        <f t="shared" si="141"/>
        <v>0.05</v>
      </c>
      <c r="N2874" s="464">
        <f t="shared" si="142"/>
        <v>138519</v>
      </c>
    </row>
    <row r="2875" spans="7:14" ht="11.25" customHeight="1" x14ac:dyDescent="0.25">
      <c r="G2875" s="459"/>
      <c r="H2875" s="459">
        <v>2868</v>
      </c>
      <c r="I2875" s="444">
        <f t="shared" ca="1" si="140"/>
        <v>-121900883002.87114</v>
      </c>
      <c r="J2875" s="444">
        <f t="array" ref="J2875">IFERROR(INDEX('Retirement Calculator'!K:K,MATCH('Lorri 401b'!N2875,'Retirement Calculator'!A:A,0),0),0)</f>
        <v>0</v>
      </c>
      <c r="K2875" s="444">
        <f t="shared" ca="1" si="138"/>
        <v>-507920345.84529638</v>
      </c>
      <c r="L2875" s="444">
        <f t="shared" ca="1" si="139"/>
        <v>-122408803348.71643</v>
      </c>
      <c r="M2875" s="460">
        <f t="shared" si="141"/>
        <v>0.05</v>
      </c>
      <c r="N2875" s="464">
        <f t="shared" si="142"/>
        <v>138549</v>
      </c>
    </row>
    <row r="2876" spans="7:14" ht="11.25" customHeight="1" x14ac:dyDescent="0.25">
      <c r="G2876" s="459"/>
      <c r="H2876" s="459">
        <v>2869</v>
      </c>
      <c r="I2876" s="444">
        <f t="shared" ca="1" si="140"/>
        <v>-122408803348.71643</v>
      </c>
      <c r="J2876" s="444">
        <f t="array" ref="J2876">IFERROR(INDEX('Retirement Calculator'!K:K,MATCH('Lorri 401b'!N2876,'Retirement Calculator'!A:A,0),0),0)</f>
        <v>0</v>
      </c>
      <c r="K2876" s="444">
        <f t="shared" ca="1" si="138"/>
        <v>-510036680.61965173</v>
      </c>
      <c r="L2876" s="444">
        <f t="shared" ca="1" si="139"/>
        <v>-122918840029.33607</v>
      </c>
      <c r="M2876" s="460">
        <f t="shared" si="141"/>
        <v>0.05</v>
      </c>
      <c r="N2876" s="464">
        <f t="shared" si="142"/>
        <v>138580</v>
      </c>
    </row>
    <row r="2877" spans="7:14" ht="11.25" customHeight="1" x14ac:dyDescent="0.25">
      <c r="G2877" s="459"/>
      <c r="H2877" s="459">
        <v>2870</v>
      </c>
      <c r="I2877" s="444">
        <f t="shared" ca="1" si="140"/>
        <v>-122918840029.33607</v>
      </c>
      <c r="J2877" s="444">
        <f t="array" ref="J2877">IFERROR(INDEX('Retirement Calculator'!K:K,MATCH('Lorri 401b'!N2877,'Retirement Calculator'!A:A,0),0),0)</f>
        <v>0</v>
      </c>
      <c r="K2877" s="444">
        <f t="shared" ca="1" si="138"/>
        <v>-512161833.45556694</v>
      </c>
      <c r="L2877" s="444">
        <f t="shared" ca="1" si="139"/>
        <v>-123431001862.79164</v>
      </c>
      <c r="M2877" s="460">
        <f t="shared" si="141"/>
        <v>0.05</v>
      </c>
      <c r="N2877" s="464">
        <f t="shared" si="142"/>
        <v>138610</v>
      </c>
    </row>
    <row r="2878" spans="7:14" ht="11.25" customHeight="1" x14ac:dyDescent="0.25">
      <c r="G2878" s="459"/>
      <c r="H2878" s="459">
        <v>2871</v>
      </c>
      <c r="I2878" s="444">
        <f t="shared" ca="1" si="140"/>
        <v>-123431001862.79164</v>
      </c>
      <c r="J2878" s="444">
        <f t="array" ref="J2878">IFERROR(INDEX('Retirement Calculator'!K:K,MATCH('Lorri 401b'!N2878,'Retirement Calculator'!A:A,0),0),0)</f>
        <v>0</v>
      </c>
      <c r="K2878" s="444">
        <f t="shared" ca="1" si="138"/>
        <v>-514295841.09496516</v>
      </c>
      <c r="L2878" s="444">
        <f t="shared" ca="1" si="139"/>
        <v>-123945297703.88661</v>
      </c>
      <c r="M2878" s="460">
        <f t="shared" si="141"/>
        <v>0.05</v>
      </c>
      <c r="N2878" s="464">
        <f t="shared" si="142"/>
        <v>138641</v>
      </c>
    </row>
    <row r="2879" spans="7:14" ht="11.25" customHeight="1" x14ac:dyDescent="0.25">
      <c r="G2879" s="459"/>
      <c r="H2879" s="459">
        <v>2872</v>
      </c>
      <c r="I2879" s="444">
        <f t="shared" ca="1" si="140"/>
        <v>-123945297703.88661</v>
      </c>
      <c r="J2879" s="444">
        <f t="array" ref="J2879">IFERROR(INDEX('Retirement Calculator'!K:K,MATCH('Lorri 401b'!N2879,'Retirement Calculator'!A:A,0),0),0)</f>
        <v>0</v>
      </c>
      <c r="K2879" s="444">
        <f t="shared" ca="1" si="138"/>
        <v>-516438740.43286085</v>
      </c>
      <c r="L2879" s="444">
        <f t="shared" ca="1" si="139"/>
        <v>-124461736444.31947</v>
      </c>
      <c r="M2879" s="460">
        <f t="shared" si="141"/>
        <v>0.05</v>
      </c>
      <c r="N2879" s="464">
        <f t="shared" si="142"/>
        <v>138672</v>
      </c>
    </row>
    <row r="2880" spans="7:14" ht="11.25" customHeight="1" x14ac:dyDescent="0.25">
      <c r="G2880" s="459"/>
      <c r="H2880" s="459">
        <v>2873</v>
      </c>
      <c r="I2880" s="444">
        <f t="shared" ca="1" si="140"/>
        <v>-124461736444.31947</v>
      </c>
      <c r="J2880" s="444">
        <f t="array" ref="J2880">IFERROR(INDEX('Retirement Calculator'!K:K,MATCH('Lorri 401b'!N2880,'Retirement Calculator'!A:A,0),0),0)</f>
        <v>0</v>
      </c>
      <c r="K2880" s="444">
        <f t="shared" ca="1" si="138"/>
        <v>-518590568.5179978</v>
      </c>
      <c r="L2880" s="444">
        <f t="shared" ca="1" si="139"/>
        <v>-124980327012.83748</v>
      </c>
      <c r="M2880" s="460">
        <f t="shared" si="141"/>
        <v>0.05</v>
      </c>
      <c r="N2880" s="464">
        <f t="shared" si="142"/>
        <v>138702</v>
      </c>
    </row>
    <row r="2881" spans="7:14" ht="11.25" customHeight="1" x14ac:dyDescent="0.25">
      <c r="G2881" s="459"/>
      <c r="H2881" s="459">
        <v>2874</v>
      </c>
      <c r="I2881" s="444">
        <f t="shared" ca="1" si="140"/>
        <v>-124980327012.83748</v>
      </c>
      <c r="J2881" s="444">
        <f t="array" ref="J2881">IFERROR(INDEX('Retirement Calculator'!K:K,MATCH('Lorri 401b'!N2881,'Retirement Calculator'!A:A,0),0),0)</f>
        <v>0</v>
      </c>
      <c r="K2881" s="444">
        <f t="shared" ca="1" si="138"/>
        <v>-520751362.55348957</v>
      </c>
      <c r="L2881" s="444">
        <f t="shared" ca="1" si="139"/>
        <v>-125501078375.39096</v>
      </c>
      <c r="M2881" s="460">
        <f t="shared" si="141"/>
        <v>0.05</v>
      </c>
      <c r="N2881" s="464">
        <f t="shared" si="142"/>
        <v>138733</v>
      </c>
    </row>
    <row r="2882" spans="7:14" ht="11.25" customHeight="1" x14ac:dyDescent="0.25">
      <c r="G2882" s="459"/>
      <c r="H2882" s="459">
        <v>2875</v>
      </c>
      <c r="I2882" s="444">
        <f t="shared" ca="1" si="140"/>
        <v>-125501078375.39096</v>
      </c>
      <c r="J2882" s="444">
        <f t="array" ref="J2882">IFERROR(INDEX('Retirement Calculator'!K:K,MATCH('Lorri 401b'!N2882,'Retirement Calculator'!A:A,0),0),0)</f>
        <v>0</v>
      </c>
      <c r="K2882" s="444">
        <f t="shared" ca="1" si="138"/>
        <v>-522921159.89746237</v>
      </c>
      <c r="L2882" s="444">
        <f t="shared" ca="1" si="139"/>
        <v>-126023999535.28842</v>
      </c>
      <c r="M2882" s="460">
        <f t="shared" si="141"/>
        <v>0.05</v>
      </c>
      <c r="N2882" s="464">
        <f t="shared" si="142"/>
        <v>138763</v>
      </c>
    </row>
    <row r="2883" spans="7:14" ht="11.25" customHeight="1" x14ac:dyDescent="0.25">
      <c r="G2883" s="459"/>
      <c r="H2883" s="459">
        <v>2876</v>
      </c>
      <c r="I2883" s="444">
        <f t="shared" ca="1" si="140"/>
        <v>-126023999535.28842</v>
      </c>
      <c r="J2883" s="444">
        <f t="array" ref="J2883">IFERROR(INDEX('Retirement Calculator'!K:K,MATCH('Lorri 401b'!N2883,'Retirement Calculator'!A:A,0),0),0)</f>
        <v>0</v>
      </c>
      <c r="K2883" s="444">
        <f t="shared" ca="1" si="138"/>
        <v>-525099998.06370175</v>
      </c>
      <c r="L2883" s="444">
        <f t="shared" ca="1" si="139"/>
        <v>-126549099533.35213</v>
      </c>
      <c r="M2883" s="460">
        <f t="shared" si="141"/>
        <v>0.05</v>
      </c>
      <c r="N2883" s="464">
        <f t="shared" si="142"/>
        <v>138794</v>
      </c>
    </row>
    <row r="2884" spans="7:14" ht="11.25" customHeight="1" x14ac:dyDescent="0.25">
      <c r="G2884" s="459"/>
      <c r="H2884" s="459">
        <v>2877</v>
      </c>
      <c r="I2884" s="444">
        <f t="shared" ca="1" si="140"/>
        <v>-126549099533.35213</v>
      </c>
      <c r="J2884" s="444">
        <f t="array" ref="J2884">IFERROR(INDEX('Retirement Calculator'!K:K,MATCH('Lorri 401b'!N2884,'Retirement Calculator'!A:A,0),0),0)</f>
        <v>0</v>
      </c>
      <c r="K2884" s="444">
        <f t="shared" ca="1" si="138"/>
        <v>-527287914.72230053</v>
      </c>
      <c r="L2884" s="444">
        <f t="shared" ca="1" si="139"/>
        <v>-127076387448.07443</v>
      </c>
      <c r="M2884" s="460">
        <f t="shared" si="141"/>
        <v>0.05</v>
      </c>
      <c r="N2884" s="464">
        <f t="shared" si="142"/>
        <v>138825</v>
      </c>
    </row>
    <row r="2885" spans="7:14" ht="11.25" customHeight="1" x14ac:dyDescent="0.25">
      <c r="G2885" s="459"/>
      <c r="H2885" s="459">
        <v>2878</v>
      </c>
      <c r="I2885" s="444">
        <f t="shared" ca="1" si="140"/>
        <v>-127076387448.07443</v>
      </c>
      <c r="J2885" s="444">
        <f t="array" ref="J2885">IFERROR(INDEX('Retirement Calculator'!K:K,MATCH('Lorri 401b'!N2885,'Retirement Calculator'!A:A,0),0),0)</f>
        <v>0</v>
      </c>
      <c r="K2885" s="444">
        <f t="shared" ca="1" si="138"/>
        <v>-529484947.70031011</v>
      </c>
      <c r="L2885" s="444">
        <f t="shared" ca="1" si="139"/>
        <v>-127605872395.77475</v>
      </c>
      <c r="M2885" s="460">
        <f t="shared" si="141"/>
        <v>0.05</v>
      </c>
      <c r="N2885" s="464">
        <f t="shared" si="142"/>
        <v>138854</v>
      </c>
    </row>
    <row r="2886" spans="7:14" ht="11.25" customHeight="1" x14ac:dyDescent="0.25">
      <c r="G2886" s="459"/>
      <c r="H2886" s="459">
        <v>2879</v>
      </c>
      <c r="I2886" s="444">
        <f t="shared" ca="1" si="140"/>
        <v>-127605872395.77475</v>
      </c>
      <c r="J2886" s="444">
        <f t="array" ref="J2886">IFERROR(INDEX('Retirement Calculator'!K:K,MATCH('Lorri 401b'!N2886,'Retirement Calculator'!A:A,0),0),0)</f>
        <v>0</v>
      </c>
      <c r="K2886" s="444">
        <f t="shared" ca="1" si="138"/>
        <v>-531691134.98239475</v>
      </c>
      <c r="L2886" s="444">
        <f t="shared" ca="1" si="139"/>
        <v>-128137563530.75714</v>
      </c>
      <c r="M2886" s="460">
        <f t="shared" si="141"/>
        <v>0.05</v>
      </c>
      <c r="N2886" s="464">
        <f t="shared" si="142"/>
        <v>138885</v>
      </c>
    </row>
    <row r="2887" spans="7:14" ht="11.25" customHeight="1" x14ac:dyDescent="0.25">
      <c r="G2887" s="459"/>
      <c r="H2887" s="459">
        <v>2880</v>
      </c>
      <c r="I2887" s="444">
        <f t="shared" ca="1" si="140"/>
        <v>-128137563530.75714</v>
      </c>
      <c r="J2887" s="444">
        <f t="array" ref="J2887">IFERROR(INDEX('Retirement Calculator'!K:K,MATCH('Lorri 401b'!N2887,'Retirement Calculator'!A:A,0),0),0)</f>
        <v>0</v>
      </c>
      <c r="K2887" s="444">
        <f t="shared" ca="1" si="138"/>
        <v>-533906514.71148807</v>
      </c>
      <c r="L2887" s="444">
        <f t="shared" ca="1" si="139"/>
        <v>-128671470045.46863</v>
      </c>
      <c r="M2887" s="460">
        <f t="shared" si="141"/>
        <v>0.05</v>
      </c>
      <c r="N2887" s="464">
        <f t="shared" si="142"/>
        <v>138915</v>
      </c>
    </row>
    <row r="2888" spans="7:14" ht="11.25" customHeight="1" x14ac:dyDescent="0.25">
      <c r="G2888" s="459"/>
      <c r="H2888" s="459">
        <v>2881</v>
      </c>
      <c r="I2888" s="444">
        <f t="shared" ca="1" si="140"/>
        <v>-128671470045.46863</v>
      </c>
      <c r="J2888" s="444">
        <f t="array" ref="J2888">IFERROR(INDEX('Retirement Calculator'!K:K,MATCH('Lorri 401b'!N2888,'Retirement Calculator'!A:A,0),0),0)</f>
        <v>0</v>
      </c>
      <c r="K2888" s="444">
        <f t="shared" ca="1" si="138"/>
        <v>-536131125.18945265</v>
      </c>
      <c r="L2888" s="444">
        <f t="shared" ca="1" si="139"/>
        <v>-129207601170.65808</v>
      </c>
      <c r="M2888" s="460">
        <f t="shared" si="141"/>
        <v>0.05</v>
      </c>
      <c r="N2888" s="464">
        <f t="shared" si="142"/>
        <v>138946</v>
      </c>
    </row>
    <row r="2889" spans="7:14" ht="11.25" customHeight="1" x14ac:dyDescent="0.25">
      <c r="G2889" s="459"/>
      <c r="H2889" s="459">
        <v>2882</v>
      </c>
      <c r="I2889" s="444">
        <f t="shared" ca="1" si="140"/>
        <v>-129207601170.65808</v>
      </c>
      <c r="J2889" s="444">
        <f t="array" ref="J2889">IFERROR(INDEX('Retirement Calculator'!K:K,MATCH('Lorri 401b'!N2889,'Retirement Calculator'!A:A,0),0),0)</f>
        <v>0</v>
      </c>
      <c r="K2889" s="444">
        <f t="shared" ca="1" si="138"/>
        <v>-538365004.87774193</v>
      </c>
      <c r="L2889" s="444">
        <f t="shared" ca="1" si="139"/>
        <v>-129745966175.53583</v>
      </c>
      <c r="M2889" s="460">
        <f t="shared" si="141"/>
        <v>0.05</v>
      </c>
      <c r="N2889" s="464">
        <f t="shared" si="142"/>
        <v>138976</v>
      </c>
    </row>
    <row r="2890" spans="7:14" ht="11.25" customHeight="1" x14ac:dyDescent="0.25">
      <c r="G2890" s="459"/>
      <c r="H2890" s="459">
        <v>2883</v>
      </c>
      <c r="I2890" s="444">
        <f t="shared" ca="1" si="140"/>
        <v>-129745966175.53583</v>
      </c>
      <c r="J2890" s="444">
        <f t="array" ref="J2890">IFERROR(INDEX('Retirement Calculator'!K:K,MATCH('Lorri 401b'!N2890,'Retirement Calculator'!A:A,0),0),0)</f>
        <v>0</v>
      </c>
      <c r="K2890" s="444">
        <f t="shared" ca="1" si="138"/>
        <v>-540608192.39806592</v>
      </c>
      <c r="L2890" s="444">
        <f t="shared" ca="1" si="139"/>
        <v>-130286574367.9339</v>
      </c>
      <c r="M2890" s="460">
        <f t="shared" si="141"/>
        <v>0.05</v>
      </c>
      <c r="N2890" s="464">
        <f t="shared" si="142"/>
        <v>139007</v>
      </c>
    </row>
    <row r="2891" spans="7:14" ht="11.25" customHeight="1" x14ac:dyDescent="0.25">
      <c r="G2891" s="459"/>
      <c r="H2891" s="459">
        <v>2884</v>
      </c>
      <c r="I2891" s="444">
        <f t="shared" ca="1" si="140"/>
        <v>-130286574367.9339</v>
      </c>
      <c r="J2891" s="444">
        <f t="array" ref="J2891">IFERROR(INDEX('Retirement Calculator'!K:K,MATCH('Lorri 401b'!N2891,'Retirement Calculator'!A:A,0),0),0)</f>
        <v>0</v>
      </c>
      <c r="K2891" s="444">
        <f t="shared" ca="1" si="138"/>
        <v>-542860726.53305793</v>
      </c>
      <c r="L2891" s="444">
        <f t="shared" ca="1" si="139"/>
        <v>-130829435094.46695</v>
      </c>
      <c r="M2891" s="460">
        <f t="shared" si="141"/>
        <v>0.05</v>
      </c>
      <c r="N2891" s="464">
        <f t="shared" si="142"/>
        <v>139038</v>
      </c>
    </row>
    <row r="2892" spans="7:14" ht="11.25" customHeight="1" x14ac:dyDescent="0.25">
      <c r="G2892" s="459"/>
      <c r="H2892" s="459">
        <v>2885</v>
      </c>
      <c r="I2892" s="444">
        <f t="shared" ca="1" si="140"/>
        <v>-130829435094.46695</v>
      </c>
      <c r="J2892" s="444">
        <f t="array" ref="J2892">IFERROR(INDEX('Retirement Calculator'!K:K,MATCH('Lorri 401b'!N2892,'Retirement Calculator'!A:A,0),0),0)</f>
        <v>0</v>
      </c>
      <c r="K2892" s="444">
        <f t="shared" ca="1" si="138"/>
        <v>-545122646.22694564</v>
      </c>
      <c r="L2892" s="444">
        <f t="shared" ca="1" si="139"/>
        <v>-131374557740.69389</v>
      </c>
      <c r="M2892" s="460">
        <f t="shared" si="141"/>
        <v>0.05</v>
      </c>
      <c r="N2892" s="464">
        <f t="shared" si="142"/>
        <v>139068</v>
      </c>
    </row>
    <row r="2893" spans="7:14" ht="11.25" customHeight="1" x14ac:dyDescent="0.25">
      <c r="G2893" s="459"/>
      <c r="H2893" s="459">
        <v>2886</v>
      </c>
      <c r="I2893" s="444">
        <f t="shared" ca="1" si="140"/>
        <v>-131374557740.69389</v>
      </c>
      <c r="J2893" s="444">
        <f t="array" ref="J2893">IFERROR(INDEX('Retirement Calculator'!K:K,MATCH('Lorri 401b'!N2893,'Retirement Calculator'!A:A,0),0),0)</f>
        <v>0</v>
      </c>
      <c r="K2893" s="444">
        <f t="shared" ca="1" si="138"/>
        <v>-547393990.58622456</v>
      </c>
      <c r="L2893" s="444">
        <f t="shared" ca="1" si="139"/>
        <v>-131921951731.28012</v>
      </c>
      <c r="M2893" s="460">
        <f t="shared" si="141"/>
        <v>0.05</v>
      </c>
      <c r="N2893" s="464">
        <f t="shared" si="142"/>
        <v>139099</v>
      </c>
    </row>
    <row r="2894" spans="7:14" ht="11.25" customHeight="1" x14ac:dyDescent="0.25">
      <c r="G2894" s="459"/>
      <c r="H2894" s="459">
        <v>2887</v>
      </c>
      <c r="I2894" s="444">
        <f t="shared" ca="1" si="140"/>
        <v>-131921951731.28012</v>
      </c>
      <c r="J2894" s="444">
        <f t="array" ref="J2894">IFERROR(INDEX('Retirement Calculator'!K:K,MATCH('Lorri 401b'!N2894,'Retirement Calculator'!A:A,0),0),0)</f>
        <v>0</v>
      </c>
      <c r="K2894" s="444">
        <f t="shared" ca="1" si="138"/>
        <v>-549674798.88033378</v>
      </c>
      <c r="L2894" s="444">
        <f t="shared" ca="1" si="139"/>
        <v>-132471626530.16046</v>
      </c>
      <c r="M2894" s="460">
        <f t="shared" si="141"/>
        <v>0.05</v>
      </c>
      <c r="N2894" s="464">
        <f t="shared" si="142"/>
        <v>139129</v>
      </c>
    </row>
    <row r="2895" spans="7:14" ht="11.25" customHeight="1" x14ac:dyDescent="0.25">
      <c r="G2895" s="459"/>
      <c r="H2895" s="459">
        <v>2888</v>
      </c>
      <c r="I2895" s="444">
        <f t="shared" ca="1" si="140"/>
        <v>-132471626530.16046</v>
      </c>
      <c r="J2895" s="444">
        <f t="array" ref="J2895">IFERROR(INDEX('Retirement Calculator'!K:K,MATCH('Lorri 401b'!N2895,'Retirement Calculator'!A:A,0),0),0)</f>
        <v>0</v>
      </c>
      <c r="K2895" s="444">
        <f t="shared" ca="1" si="138"/>
        <v>-551965110.54233515</v>
      </c>
      <c r="L2895" s="444">
        <f t="shared" ca="1" si="139"/>
        <v>-133023591640.70279</v>
      </c>
      <c r="M2895" s="460">
        <f t="shared" si="141"/>
        <v>0.05</v>
      </c>
      <c r="N2895" s="464">
        <f t="shared" si="142"/>
        <v>139160</v>
      </c>
    </row>
    <row r="2896" spans="7:14" ht="11.25" customHeight="1" x14ac:dyDescent="0.25">
      <c r="G2896" s="459"/>
      <c r="H2896" s="459">
        <v>2889</v>
      </c>
      <c r="I2896" s="444">
        <f t="shared" ca="1" si="140"/>
        <v>-133023591640.70279</v>
      </c>
      <c r="J2896" s="444">
        <f t="array" ref="J2896">IFERROR(INDEX('Retirement Calculator'!K:K,MATCH('Lorri 401b'!N2896,'Retirement Calculator'!A:A,0),0),0)</f>
        <v>0</v>
      </c>
      <c r="K2896" s="444">
        <f t="shared" ca="1" si="138"/>
        <v>-554264965.169595</v>
      </c>
      <c r="L2896" s="444">
        <f t="shared" ca="1" si="139"/>
        <v>-133577856605.87239</v>
      </c>
      <c r="M2896" s="460">
        <f t="shared" si="141"/>
        <v>0.05</v>
      </c>
      <c r="N2896" s="464">
        <f t="shared" si="142"/>
        <v>139191</v>
      </c>
    </row>
    <row r="2897" spans="7:14" ht="11.25" customHeight="1" x14ac:dyDescent="0.25">
      <c r="G2897" s="459"/>
      <c r="H2897" s="459">
        <v>2890</v>
      </c>
      <c r="I2897" s="444">
        <f t="shared" ca="1" si="140"/>
        <v>-133577856605.87239</v>
      </c>
      <c r="J2897" s="444">
        <f t="array" ref="J2897">IFERROR(INDEX('Retirement Calculator'!K:K,MATCH('Lorri 401b'!N2897,'Retirement Calculator'!A:A,0),0),0)</f>
        <v>0</v>
      </c>
      <c r="K2897" s="444">
        <f t="shared" ca="1" si="138"/>
        <v>-556574402.52446818</v>
      </c>
      <c r="L2897" s="444">
        <f t="shared" ca="1" si="139"/>
        <v>-134134431008.39687</v>
      </c>
      <c r="M2897" s="460">
        <f t="shared" si="141"/>
        <v>0.05</v>
      </c>
      <c r="N2897" s="464">
        <f t="shared" si="142"/>
        <v>139219</v>
      </c>
    </row>
    <row r="2898" spans="7:14" ht="11.25" customHeight="1" x14ac:dyDescent="0.25">
      <c r="G2898" s="459"/>
      <c r="H2898" s="459">
        <v>2891</v>
      </c>
      <c r="I2898" s="444">
        <f t="shared" ca="1" si="140"/>
        <v>-134134431008.39687</v>
      </c>
      <c r="J2898" s="444">
        <f t="array" ref="J2898">IFERROR(INDEX('Retirement Calculator'!K:K,MATCH('Lorri 401b'!N2898,'Retirement Calculator'!A:A,0),0),0)</f>
        <v>0</v>
      </c>
      <c r="K2898" s="444">
        <f t="shared" ca="1" si="138"/>
        <v>-558893462.53498697</v>
      </c>
      <c r="L2898" s="444">
        <f t="shared" ca="1" si="139"/>
        <v>-134693324470.93185</v>
      </c>
      <c r="M2898" s="460">
        <f t="shared" si="141"/>
        <v>0.05</v>
      </c>
      <c r="N2898" s="464">
        <f t="shared" si="142"/>
        <v>139250</v>
      </c>
    </row>
    <row r="2899" spans="7:14" ht="11.25" customHeight="1" x14ac:dyDescent="0.25">
      <c r="G2899" s="459"/>
      <c r="H2899" s="459">
        <v>2892</v>
      </c>
      <c r="I2899" s="444">
        <f t="shared" ca="1" si="140"/>
        <v>-134693324470.93185</v>
      </c>
      <c r="J2899" s="444">
        <f t="array" ref="J2899">IFERROR(INDEX('Retirement Calculator'!K:K,MATCH('Lorri 401b'!N2899,'Retirement Calculator'!A:A,0),0),0)</f>
        <v>0</v>
      </c>
      <c r="K2899" s="444">
        <f t="shared" ca="1" si="138"/>
        <v>-561222185.29554939</v>
      </c>
      <c r="L2899" s="444">
        <f t="shared" ca="1" si="139"/>
        <v>-135254546656.2274</v>
      </c>
      <c r="M2899" s="460">
        <f t="shared" si="141"/>
        <v>0.05</v>
      </c>
      <c r="N2899" s="464">
        <f t="shared" si="142"/>
        <v>139280</v>
      </c>
    </row>
    <row r="2900" spans="7:14" ht="11.25" customHeight="1" x14ac:dyDescent="0.25">
      <c r="G2900" s="459"/>
      <c r="H2900" s="459">
        <v>2893</v>
      </c>
      <c r="I2900" s="444">
        <f t="shared" ca="1" si="140"/>
        <v>-135254546656.2274</v>
      </c>
      <c r="J2900" s="444">
        <f t="array" ref="J2900">IFERROR(INDEX('Retirement Calculator'!K:K,MATCH('Lorri 401b'!N2900,'Retirement Calculator'!A:A,0),0),0)</f>
        <v>0</v>
      </c>
      <c r="K2900" s="444">
        <f t="shared" ca="1" si="138"/>
        <v>-563560611.0676142</v>
      </c>
      <c r="L2900" s="444">
        <f t="shared" ca="1" si="139"/>
        <v>-135818107267.29501</v>
      </c>
      <c r="M2900" s="460">
        <f t="shared" si="141"/>
        <v>0.05</v>
      </c>
      <c r="N2900" s="464">
        <f t="shared" si="142"/>
        <v>139311</v>
      </c>
    </row>
    <row r="2901" spans="7:14" ht="11.25" customHeight="1" x14ac:dyDescent="0.25">
      <c r="G2901" s="459"/>
      <c r="H2901" s="459">
        <v>2894</v>
      </c>
      <c r="I2901" s="444">
        <f t="shared" ca="1" si="140"/>
        <v>-135818107267.29501</v>
      </c>
      <c r="J2901" s="444">
        <f t="array" ref="J2901">IFERROR(INDEX('Retirement Calculator'!K:K,MATCH('Lorri 401b'!N2901,'Retirement Calculator'!A:A,0),0),0)</f>
        <v>0</v>
      </c>
      <c r="K2901" s="444">
        <f t="shared" ca="1" si="138"/>
        <v>-565908780.28039587</v>
      </c>
      <c r="L2901" s="444">
        <f t="shared" ca="1" si="139"/>
        <v>-136384016047.57541</v>
      </c>
      <c r="M2901" s="460">
        <f t="shared" si="141"/>
        <v>0.05</v>
      </c>
      <c r="N2901" s="464">
        <f t="shared" si="142"/>
        <v>139341</v>
      </c>
    </row>
    <row r="2902" spans="7:14" ht="11.25" customHeight="1" x14ac:dyDescent="0.25">
      <c r="G2902" s="459"/>
      <c r="H2902" s="459">
        <v>2895</v>
      </c>
      <c r="I2902" s="444">
        <f t="shared" ca="1" si="140"/>
        <v>-136384016047.57541</v>
      </c>
      <c r="J2902" s="444">
        <f t="array" ref="J2902">IFERROR(INDEX('Retirement Calculator'!K:K,MATCH('Lorri 401b'!N2902,'Retirement Calculator'!A:A,0),0),0)</f>
        <v>0</v>
      </c>
      <c r="K2902" s="444">
        <f t="shared" ca="1" si="138"/>
        <v>-568266733.53156424</v>
      </c>
      <c r="L2902" s="444">
        <f t="shared" ca="1" si="139"/>
        <v>-136952282781.10698</v>
      </c>
      <c r="M2902" s="460">
        <f t="shared" si="141"/>
        <v>0.05</v>
      </c>
      <c r="N2902" s="464">
        <f t="shared" si="142"/>
        <v>139372</v>
      </c>
    </row>
    <row r="2903" spans="7:14" ht="11.25" customHeight="1" x14ac:dyDescent="0.25">
      <c r="G2903" s="459"/>
      <c r="H2903" s="459">
        <v>2896</v>
      </c>
      <c r="I2903" s="444">
        <f t="shared" ca="1" si="140"/>
        <v>-136952282781.10698</v>
      </c>
      <c r="J2903" s="444">
        <f t="array" ref="J2903">IFERROR(INDEX('Retirement Calculator'!K:K,MATCH('Lorri 401b'!N2903,'Retirement Calculator'!A:A,0),0),0)</f>
        <v>0</v>
      </c>
      <c r="K2903" s="444">
        <f t="shared" ca="1" si="138"/>
        <v>-570634511.5879457</v>
      </c>
      <c r="L2903" s="444">
        <f t="shared" ca="1" si="139"/>
        <v>-137522917292.69492</v>
      </c>
      <c r="M2903" s="460">
        <f t="shared" si="141"/>
        <v>0.05</v>
      </c>
      <c r="N2903" s="464">
        <f t="shared" si="142"/>
        <v>139403</v>
      </c>
    </row>
    <row r="2904" spans="7:14" ht="11.25" customHeight="1" x14ac:dyDescent="0.25">
      <c r="G2904" s="459"/>
      <c r="H2904" s="459">
        <v>2897</v>
      </c>
      <c r="I2904" s="444">
        <f t="shared" ca="1" si="140"/>
        <v>-137522917292.69492</v>
      </c>
      <c r="J2904" s="444">
        <f t="array" ref="J2904">IFERROR(INDEX('Retirement Calculator'!K:K,MATCH('Lorri 401b'!N2904,'Retirement Calculator'!A:A,0),0),0)</f>
        <v>0</v>
      </c>
      <c r="K2904" s="444">
        <f t="shared" ca="1" si="138"/>
        <v>-573012155.3862288</v>
      </c>
      <c r="L2904" s="444">
        <f t="shared" ca="1" si="139"/>
        <v>-138095929448.08115</v>
      </c>
      <c r="M2904" s="460">
        <f t="shared" si="141"/>
        <v>0.05</v>
      </c>
      <c r="N2904" s="464">
        <f t="shared" si="142"/>
        <v>139433</v>
      </c>
    </row>
    <row r="2905" spans="7:14" ht="11.25" customHeight="1" x14ac:dyDescent="0.25">
      <c r="G2905" s="459"/>
      <c r="H2905" s="459">
        <v>2898</v>
      </c>
      <c r="I2905" s="444">
        <f t="shared" ca="1" si="140"/>
        <v>-138095929448.08115</v>
      </c>
      <c r="J2905" s="444">
        <f t="array" ref="J2905">IFERROR(INDEX('Retirement Calculator'!K:K,MATCH('Lorri 401b'!N2905,'Retirement Calculator'!A:A,0),0),0)</f>
        <v>0</v>
      </c>
      <c r="K2905" s="444">
        <f t="shared" ca="1" si="138"/>
        <v>-575399706.03367138</v>
      </c>
      <c r="L2905" s="444">
        <f t="shared" ca="1" si="139"/>
        <v>-138671329154.11481</v>
      </c>
      <c r="M2905" s="460">
        <f t="shared" si="141"/>
        <v>0.05</v>
      </c>
      <c r="N2905" s="464">
        <f t="shared" si="142"/>
        <v>139464</v>
      </c>
    </row>
    <row r="2906" spans="7:14" ht="11.25" customHeight="1" x14ac:dyDescent="0.25">
      <c r="G2906" s="459"/>
      <c r="H2906" s="459">
        <v>2899</v>
      </c>
      <c r="I2906" s="444">
        <f t="shared" ca="1" si="140"/>
        <v>-138671329154.11481</v>
      </c>
      <c r="J2906" s="444">
        <f t="array" ref="J2906">IFERROR(INDEX('Retirement Calculator'!K:K,MATCH('Lorri 401b'!N2906,'Retirement Calculator'!A:A,0),0),0)</f>
        <v>0</v>
      </c>
      <c r="K2906" s="444">
        <f t="shared" ca="1" si="138"/>
        <v>-577797204.80881166</v>
      </c>
      <c r="L2906" s="444">
        <f t="shared" ca="1" si="139"/>
        <v>-139249126358.92361</v>
      </c>
      <c r="M2906" s="460">
        <f t="shared" si="141"/>
        <v>0.05</v>
      </c>
      <c r="N2906" s="464">
        <f t="shared" si="142"/>
        <v>139494</v>
      </c>
    </row>
    <row r="2907" spans="7:14" ht="11.25" customHeight="1" x14ac:dyDescent="0.25">
      <c r="G2907" s="459"/>
      <c r="H2907" s="459">
        <v>2900</v>
      </c>
      <c r="I2907" s="444">
        <f t="shared" ca="1" si="140"/>
        <v>-139249126358.92361</v>
      </c>
      <c r="J2907" s="444">
        <f t="array" ref="J2907">IFERROR(INDEX('Retirement Calculator'!K:K,MATCH('Lorri 401b'!N2907,'Retirement Calculator'!A:A,0),0),0)</f>
        <v>0</v>
      </c>
      <c r="K2907" s="444">
        <f t="shared" ca="1" si="138"/>
        <v>-580204693.16218174</v>
      </c>
      <c r="L2907" s="444">
        <f t="shared" ca="1" si="139"/>
        <v>-139829331052.08578</v>
      </c>
      <c r="M2907" s="460">
        <f t="shared" si="141"/>
        <v>0.05</v>
      </c>
      <c r="N2907" s="464">
        <f t="shared" si="142"/>
        <v>139525</v>
      </c>
    </row>
    <row r="2908" spans="7:14" ht="11.25" customHeight="1" x14ac:dyDescent="0.25">
      <c r="G2908" s="459"/>
      <c r="H2908" s="459">
        <v>2901</v>
      </c>
      <c r="I2908" s="444">
        <f t="shared" ca="1" si="140"/>
        <v>-139829331052.08578</v>
      </c>
      <c r="J2908" s="444">
        <f t="array" ref="J2908">IFERROR(INDEX('Retirement Calculator'!K:K,MATCH('Lorri 401b'!N2908,'Retirement Calculator'!A:A,0),0),0)</f>
        <v>0</v>
      </c>
      <c r="K2908" s="444">
        <f t="shared" ca="1" si="138"/>
        <v>-582622212.71702409</v>
      </c>
      <c r="L2908" s="444">
        <f t="shared" ca="1" si="139"/>
        <v>-140411953264.8028</v>
      </c>
      <c r="M2908" s="460">
        <f t="shared" si="141"/>
        <v>0.05</v>
      </c>
      <c r="N2908" s="464">
        <f t="shared" si="142"/>
        <v>139556</v>
      </c>
    </row>
    <row r="2909" spans="7:14" ht="11.25" customHeight="1" x14ac:dyDescent="0.25">
      <c r="G2909" s="459"/>
      <c r="H2909" s="459">
        <v>2902</v>
      </c>
      <c r="I2909" s="444">
        <f t="shared" ca="1" si="140"/>
        <v>-140411953264.8028</v>
      </c>
      <c r="J2909" s="444">
        <f t="array" ref="J2909">IFERROR(INDEX('Retirement Calculator'!K:K,MATCH('Lorri 401b'!N2909,'Retirement Calculator'!A:A,0),0),0)</f>
        <v>0</v>
      </c>
      <c r="K2909" s="444">
        <f t="shared" ca="1" si="138"/>
        <v>-585049805.27001166</v>
      </c>
      <c r="L2909" s="444">
        <f t="shared" ca="1" si="139"/>
        <v>-140997003070.07281</v>
      </c>
      <c r="M2909" s="460">
        <f t="shared" si="141"/>
        <v>0.05</v>
      </c>
      <c r="N2909" s="464">
        <f t="shared" si="142"/>
        <v>139584</v>
      </c>
    </row>
    <row r="2910" spans="7:14" ht="11.25" customHeight="1" x14ac:dyDescent="0.25">
      <c r="G2910" s="459"/>
      <c r="H2910" s="459">
        <v>2903</v>
      </c>
      <c r="I2910" s="444">
        <f t="shared" ca="1" si="140"/>
        <v>-140997003070.07281</v>
      </c>
      <c r="J2910" s="444">
        <f t="array" ref="J2910">IFERROR(INDEX('Retirement Calculator'!K:K,MATCH('Lorri 401b'!N2910,'Retirement Calculator'!A:A,0),0),0)</f>
        <v>0</v>
      </c>
      <c r="K2910" s="444">
        <f t="shared" ca="1" si="138"/>
        <v>-587487512.79197001</v>
      </c>
      <c r="L2910" s="444">
        <f t="shared" ca="1" si="139"/>
        <v>-141584490582.86478</v>
      </c>
      <c r="M2910" s="460">
        <f t="shared" si="141"/>
        <v>0.05</v>
      </c>
      <c r="N2910" s="464">
        <f t="shared" si="142"/>
        <v>139615</v>
      </c>
    </row>
    <row r="2911" spans="7:14" ht="11.25" customHeight="1" x14ac:dyDescent="0.25">
      <c r="G2911" s="459"/>
      <c r="H2911" s="459">
        <v>2904</v>
      </c>
      <c r="I2911" s="444">
        <f t="shared" ca="1" si="140"/>
        <v>-141584490582.86478</v>
      </c>
      <c r="J2911" s="444">
        <f t="array" ref="J2911">IFERROR(INDEX('Retirement Calculator'!K:K,MATCH('Lorri 401b'!N2911,'Retirement Calculator'!A:A,0),0),0)</f>
        <v>0</v>
      </c>
      <c r="K2911" s="444">
        <f t="shared" ca="1" si="138"/>
        <v>-589935377.42860317</v>
      </c>
      <c r="L2911" s="444">
        <f t="shared" ca="1" si="139"/>
        <v>-142174425960.29337</v>
      </c>
      <c r="M2911" s="460">
        <f t="shared" si="141"/>
        <v>0.05</v>
      </c>
      <c r="N2911" s="464">
        <f t="shared" si="142"/>
        <v>139645</v>
      </c>
    </row>
    <row r="2912" spans="7:14" ht="11.25" customHeight="1" x14ac:dyDescent="0.25">
      <c r="G2912" s="459"/>
      <c r="H2912" s="459">
        <v>2905</v>
      </c>
      <c r="I2912" s="444">
        <f t="shared" ca="1" si="140"/>
        <v>-142174425960.29337</v>
      </c>
      <c r="J2912" s="444">
        <f t="array" ref="J2912">IFERROR(INDEX('Retirement Calculator'!K:K,MATCH('Lorri 401b'!N2912,'Retirement Calculator'!A:A,0),0),0)</f>
        <v>0</v>
      </c>
      <c r="K2912" s="444">
        <f t="shared" ca="1" si="138"/>
        <v>-592393441.50122237</v>
      </c>
      <c r="L2912" s="444">
        <f t="shared" ca="1" si="139"/>
        <v>-142766819401.79459</v>
      </c>
      <c r="M2912" s="460">
        <f t="shared" si="141"/>
        <v>0.05</v>
      </c>
      <c r="N2912" s="464">
        <f t="shared" si="142"/>
        <v>139676</v>
      </c>
    </row>
    <row r="2913" spans="7:14" ht="11.25" customHeight="1" x14ac:dyDescent="0.25">
      <c r="G2913" s="459"/>
      <c r="H2913" s="459">
        <v>2906</v>
      </c>
      <c r="I2913" s="444">
        <f t="shared" ca="1" si="140"/>
        <v>-142766819401.79459</v>
      </c>
      <c r="J2913" s="444">
        <f t="array" ref="J2913">IFERROR(INDEX('Retirement Calculator'!K:K,MATCH('Lorri 401b'!N2913,'Retirement Calculator'!A:A,0),0),0)</f>
        <v>0</v>
      </c>
      <c r="K2913" s="444">
        <f t="shared" ca="1" si="138"/>
        <v>-594861747.5074774</v>
      </c>
      <c r="L2913" s="444">
        <f t="shared" ca="1" si="139"/>
        <v>-143361681149.30206</v>
      </c>
      <c r="M2913" s="460">
        <f t="shared" si="141"/>
        <v>0.05</v>
      </c>
      <c r="N2913" s="464">
        <f t="shared" si="142"/>
        <v>139706</v>
      </c>
    </row>
    <row r="2914" spans="7:14" ht="11.25" customHeight="1" x14ac:dyDescent="0.25">
      <c r="G2914" s="459"/>
      <c r="H2914" s="459">
        <v>2907</v>
      </c>
      <c r="I2914" s="444">
        <f t="shared" ca="1" si="140"/>
        <v>-143361681149.30206</v>
      </c>
      <c r="J2914" s="444">
        <f t="array" ref="J2914">IFERROR(INDEX('Retirement Calculator'!K:K,MATCH('Lorri 401b'!N2914,'Retirement Calculator'!A:A,0),0),0)</f>
        <v>0</v>
      </c>
      <c r="K2914" s="444">
        <f t="shared" ca="1" si="138"/>
        <v>-597340338.12209189</v>
      </c>
      <c r="L2914" s="444">
        <f t="shared" ca="1" si="139"/>
        <v>-143959021487.42416</v>
      </c>
      <c r="M2914" s="460">
        <f t="shared" si="141"/>
        <v>0.05</v>
      </c>
      <c r="N2914" s="464">
        <f t="shared" si="142"/>
        <v>139737</v>
      </c>
    </row>
    <row r="2915" spans="7:14" ht="11.25" customHeight="1" x14ac:dyDescent="0.25">
      <c r="G2915" s="459"/>
      <c r="H2915" s="459">
        <v>2908</v>
      </c>
      <c r="I2915" s="444">
        <f t="shared" ca="1" si="140"/>
        <v>-143959021487.42416</v>
      </c>
      <c r="J2915" s="444">
        <f t="array" ref="J2915">IFERROR(INDEX('Retirement Calculator'!K:K,MATCH('Lorri 401b'!N2915,'Retirement Calculator'!A:A,0),0),0)</f>
        <v>0</v>
      </c>
      <c r="K2915" s="444">
        <f t="shared" ca="1" si="138"/>
        <v>-599829256.19760072</v>
      </c>
      <c r="L2915" s="444">
        <f t="shared" ca="1" si="139"/>
        <v>-144558850743.62177</v>
      </c>
      <c r="M2915" s="460">
        <f t="shared" si="141"/>
        <v>0.05</v>
      </c>
      <c r="N2915" s="464">
        <f t="shared" si="142"/>
        <v>139768</v>
      </c>
    </row>
    <row r="2916" spans="7:14" ht="11.25" customHeight="1" x14ac:dyDescent="0.25">
      <c r="G2916" s="459"/>
      <c r="H2916" s="459">
        <v>2909</v>
      </c>
      <c r="I2916" s="444">
        <f t="shared" ca="1" si="140"/>
        <v>-144558850743.62177</v>
      </c>
      <c r="J2916" s="444">
        <f t="array" ref="J2916">IFERROR(INDEX('Retirement Calculator'!K:K,MATCH('Lorri 401b'!N2916,'Retirement Calculator'!A:A,0),0),0)</f>
        <v>0</v>
      </c>
      <c r="K2916" s="444">
        <f t="shared" ca="1" si="138"/>
        <v>-602328544.7650907</v>
      </c>
      <c r="L2916" s="444">
        <f t="shared" ca="1" si="139"/>
        <v>-145161179288.38684</v>
      </c>
      <c r="M2916" s="460">
        <f t="shared" si="141"/>
        <v>0.05</v>
      </c>
      <c r="N2916" s="464">
        <f t="shared" si="142"/>
        <v>139798</v>
      </c>
    </row>
    <row r="2917" spans="7:14" ht="11.25" customHeight="1" x14ac:dyDescent="0.25">
      <c r="G2917" s="459"/>
      <c r="H2917" s="459">
        <v>2910</v>
      </c>
      <c r="I2917" s="444">
        <f t="shared" ca="1" si="140"/>
        <v>-145161179288.38684</v>
      </c>
      <c r="J2917" s="444">
        <f t="array" ref="J2917">IFERROR(INDEX('Retirement Calculator'!K:K,MATCH('Lorri 401b'!N2917,'Retirement Calculator'!A:A,0),0),0)</f>
        <v>0</v>
      </c>
      <c r="K2917" s="444">
        <f t="shared" ca="1" si="138"/>
        <v>-604838247.03494513</v>
      </c>
      <c r="L2917" s="444">
        <f t="shared" ca="1" si="139"/>
        <v>-145766017535.42178</v>
      </c>
      <c r="M2917" s="460">
        <f t="shared" si="141"/>
        <v>0.05</v>
      </c>
      <c r="N2917" s="464">
        <f t="shared" si="142"/>
        <v>139829</v>
      </c>
    </row>
    <row r="2918" spans="7:14" ht="11.25" customHeight="1" x14ac:dyDescent="0.25">
      <c r="G2918" s="459"/>
      <c r="H2918" s="459">
        <v>2911</v>
      </c>
      <c r="I2918" s="444">
        <f t="shared" ca="1" si="140"/>
        <v>-145766017535.42178</v>
      </c>
      <c r="J2918" s="444">
        <f t="array" ref="J2918">IFERROR(INDEX('Retirement Calculator'!K:K,MATCH('Lorri 401b'!N2918,'Retirement Calculator'!A:A,0),0),0)</f>
        <v>0</v>
      </c>
      <c r="K2918" s="444">
        <f t="shared" ca="1" si="138"/>
        <v>-607358406.39759076</v>
      </c>
      <c r="L2918" s="444">
        <f t="shared" ca="1" si="139"/>
        <v>-146373375941.81937</v>
      </c>
      <c r="M2918" s="460">
        <f t="shared" si="141"/>
        <v>0.05</v>
      </c>
      <c r="N2918" s="464">
        <f t="shared" si="142"/>
        <v>139859</v>
      </c>
    </row>
    <row r="2919" spans="7:14" ht="11.25" customHeight="1" x14ac:dyDescent="0.25">
      <c r="G2919" s="459"/>
      <c r="H2919" s="459">
        <v>2912</v>
      </c>
      <c r="I2919" s="444">
        <f t="shared" ca="1" si="140"/>
        <v>-146373375941.81937</v>
      </c>
      <c r="J2919" s="444">
        <f t="array" ref="J2919">IFERROR(INDEX('Retirement Calculator'!K:K,MATCH('Lorri 401b'!N2919,'Retirement Calculator'!A:A,0),0),0)</f>
        <v>0</v>
      </c>
      <c r="K2919" s="444">
        <f t="shared" ca="1" si="138"/>
        <v>-609889066.42424738</v>
      </c>
      <c r="L2919" s="444">
        <f t="shared" ca="1" si="139"/>
        <v>-146983265008.24362</v>
      </c>
      <c r="M2919" s="460">
        <f t="shared" si="141"/>
        <v>0.05</v>
      </c>
      <c r="N2919" s="464">
        <f t="shared" si="142"/>
        <v>139890</v>
      </c>
    </row>
    <row r="2920" spans="7:14" ht="11.25" customHeight="1" x14ac:dyDescent="0.25">
      <c r="G2920" s="459"/>
      <c r="H2920" s="459">
        <v>2913</v>
      </c>
      <c r="I2920" s="444">
        <f t="shared" ca="1" si="140"/>
        <v>-146983265008.24362</v>
      </c>
      <c r="J2920" s="444">
        <f t="array" ref="J2920">IFERROR(INDEX('Retirement Calculator'!K:K,MATCH('Lorri 401b'!N2920,'Retirement Calculator'!A:A,0),0),0)</f>
        <v>0</v>
      </c>
      <c r="K2920" s="444">
        <f t="shared" ca="1" si="138"/>
        <v>-612430270.86768174</v>
      </c>
      <c r="L2920" s="444">
        <f t="shared" ca="1" si="139"/>
        <v>-147595695279.1113</v>
      </c>
      <c r="M2920" s="460">
        <f t="shared" si="141"/>
        <v>0.05</v>
      </c>
      <c r="N2920" s="464">
        <f t="shared" si="142"/>
        <v>139921</v>
      </c>
    </row>
    <row r="2921" spans="7:14" ht="11.25" customHeight="1" x14ac:dyDescent="0.25">
      <c r="G2921" s="459"/>
      <c r="H2921" s="459">
        <v>2914</v>
      </c>
      <c r="I2921" s="444">
        <f t="shared" ca="1" si="140"/>
        <v>-147595695279.1113</v>
      </c>
      <c r="J2921" s="444">
        <f t="array" ref="J2921">IFERROR(INDEX('Retirement Calculator'!K:K,MATCH('Lorri 401b'!N2921,'Retirement Calculator'!A:A,0),0),0)</f>
        <v>0</v>
      </c>
      <c r="K2921" s="444">
        <f t="shared" ca="1" si="138"/>
        <v>-614982063.66296375</v>
      </c>
      <c r="L2921" s="444">
        <f t="shared" ca="1" si="139"/>
        <v>-148210677342.77426</v>
      </c>
      <c r="M2921" s="460">
        <f t="shared" si="141"/>
        <v>0.05</v>
      </c>
      <c r="N2921" s="464">
        <f t="shared" si="142"/>
        <v>139949</v>
      </c>
    </row>
    <row r="2922" spans="7:14" ht="11.25" customHeight="1" x14ac:dyDescent="0.25">
      <c r="G2922" s="459"/>
      <c r="H2922" s="459">
        <v>2915</v>
      </c>
      <c r="I2922" s="444">
        <f t="shared" ca="1" si="140"/>
        <v>-148210677342.77426</v>
      </c>
      <c r="J2922" s="444">
        <f t="array" ref="J2922">IFERROR(INDEX('Retirement Calculator'!K:K,MATCH('Lorri 401b'!N2922,'Retirement Calculator'!A:A,0),0),0)</f>
        <v>0</v>
      </c>
      <c r="K2922" s="444">
        <f t="shared" ca="1" si="138"/>
        <v>-617544488.92822611</v>
      </c>
      <c r="L2922" s="444">
        <f t="shared" ca="1" si="139"/>
        <v>-148828221831.70248</v>
      </c>
      <c r="M2922" s="460">
        <f t="shared" si="141"/>
        <v>0.05</v>
      </c>
      <c r="N2922" s="464">
        <f t="shared" si="142"/>
        <v>139980</v>
      </c>
    </row>
    <row r="2923" spans="7:14" ht="11.25" customHeight="1" x14ac:dyDescent="0.25">
      <c r="G2923" s="459"/>
      <c r="H2923" s="459">
        <v>2916</v>
      </c>
      <c r="I2923" s="444">
        <f t="shared" ca="1" si="140"/>
        <v>-148828221831.70248</v>
      </c>
      <c r="J2923" s="444">
        <f t="array" ref="J2923">IFERROR(INDEX('Retirement Calculator'!K:K,MATCH('Lorri 401b'!N2923,'Retirement Calculator'!A:A,0),0),0)</f>
        <v>0</v>
      </c>
      <c r="K2923" s="444">
        <f t="shared" ca="1" si="138"/>
        <v>-620117590.96542704</v>
      </c>
      <c r="L2923" s="444">
        <f t="shared" ca="1" si="139"/>
        <v>-149448339422.66791</v>
      </c>
      <c r="M2923" s="460">
        <f t="shared" si="141"/>
        <v>0.05</v>
      </c>
      <c r="N2923" s="464">
        <f t="shared" si="142"/>
        <v>140010</v>
      </c>
    </row>
    <row r="2924" spans="7:14" ht="11.25" customHeight="1" x14ac:dyDescent="0.25">
      <c r="G2924" s="459"/>
      <c r="H2924" s="459">
        <v>2917</v>
      </c>
      <c r="I2924" s="444">
        <f t="shared" ca="1" si="140"/>
        <v>-149448339422.66791</v>
      </c>
      <c r="J2924" s="444">
        <f t="array" ref="J2924">IFERROR(INDEX('Retirement Calculator'!K:K,MATCH('Lorri 401b'!N2924,'Retirement Calculator'!A:A,0),0),0)</f>
        <v>0</v>
      </c>
      <c r="K2924" s="444">
        <f t="shared" ca="1" si="138"/>
        <v>-622701414.26111627</v>
      </c>
      <c r="L2924" s="444">
        <f t="shared" ca="1" si="139"/>
        <v>-150071040836.92902</v>
      </c>
      <c r="M2924" s="460">
        <f t="shared" si="141"/>
        <v>0.05</v>
      </c>
      <c r="N2924" s="464">
        <f t="shared" si="142"/>
        <v>140041</v>
      </c>
    </row>
    <row r="2925" spans="7:14" ht="11.25" customHeight="1" x14ac:dyDescent="0.25">
      <c r="G2925" s="459"/>
      <c r="H2925" s="459">
        <v>2918</v>
      </c>
      <c r="I2925" s="444">
        <f t="shared" ca="1" si="140"/>
        <v>-150071040836.92902</v>
      </c>
      <c r="J2925" s="444">
        <f t="array" ref="J2925">IFERROR(INDEX('Retirement Calculator'!K:K,MATCH('Lorri 401b'!N2925,'Retirement Calculator'!A:A,0),0),0)</f>
        <v>0</v>
      </c>
      <c r="K2925" s="444">
        <f t="shared" ca="1" si="138"/>
        <v>-625296003.48720419</v>
      </c>
      <c r="L2925" s="444">
        <f t="shared" ca="1" si="139"/>
        <v>-150696336840.41623</v>
      </c>
      <c r="M2925" s="460">
        <f t="shared" si="141"/>
        <v>0.05</v>
      </c>
      <c r="N2925" s="464">
        <f t="shared" si="142"/>
        <v>140071</v>
      </c>
    </row>
    <row r="2926" spans="7:14" ht="11.25" customHeight="1" x14ac:dyDescent="0.25">
      <c r="G2926" s="459"/>
      <c r="H2926" s="459">
        <v>2919</v>
      </c>
      <c r="I2926" s="444">
        <f t="shared" ca="1" si="140"/>
        <v>-150696336840.41623</v>
      </c>
      <c r="J2926" s="444">
        <f t="array" ref="J2926">IFERROR(INDEX('Retirement Calculator'!K:K,MATCH('Lorri 401b'!N2926,'Retirement Calculator'!A:A,0),0),0)</f>
        <v>0</v>
      </c>
      <c r="K2926" s="444">
        <f t="shared" ca="1" si="138"/>
        <v>-627901403.50173426</v>
      </c>
      <c r="L2926" s="444">
        <f t="shared" ca="1" si="139"/>
        <v>-151324238243.91797</v>
      </c>
      <c r="M2926" s="460">
        <f t="shared" si="141"/>
        <v>0.05</v>
      </c>
      <c r="N2926" s="464">
        <f t="shared" si="142"/>
        <v>140102</v>
      </c>
    </row>
    <row r="2927" spans="7:14" ht="11.25" customHeight="1" x14ac:dyDescent="0.25">
      <c r="G2927" s="459"/>
      <c r="H2927" s="459">
        <v>2920</v>
      </c>
      <c r="I2927" s="444">
        <f t="shared" ca="1" si="140"/>
        <v>-151324238243.91797</v>
      </c>
      <c r="J2927" s="444">
        <f t="array" ref="J2927">IFERROR(INDEX('Retirement Calculator'!K:K,MATCH('Lorri 401b'!N2927,'Retirement Calculator'!A:A,0),0),0)</f>
        <v>0</v>
      </c>
      <c r="K2927" s="444">
        <f t="shared" ca="1" si="138"/>
        <v>-630517659.34965825</v>
      </c>
      <c r="L2927" s="444">
        <f t="shared" ca="1" si="139"/>
        <v>-151954755903.26764</v>
      </c>
      <c r="M2927" s="460">
        <f t="shared" si="141"/>
        <v>0.05</v>
      </c>
      <c r="N2927" s="464">
        <f t="shared" si="142"/>
        <v>140133</v>
      </c>
    </row>
    <row r="2928" spans="7:14" ht="11.25" customHeight="1" x14ac:dyDescent="0.25">
      <c r="G2928" s="459"/>
      <c r="H2928" s="459">
        <v>2921</v>
      </c>
      <c r="I2928" s="444">
        <f t="shared" ca="1" si="140"/>
        <v>-151954755903.26764</v>
      </c>
      <c r="J2928" s="444">
        <f t="array" ref="J2928">IFERROR(INDEX('Retirement Calculator'!K:K,MATCH('Lorri 401b'!N2928,'Retirement Calculator'!A:A,0),0),0)</f>
        <v>0</v>
      </c>
      <c r="K2928" s="444">
        <f t="shared" ca="1" si="138"/>
        <v>-633144816.26361513</v>
      </c>
      <c r="L2928" s="444">
        <f t="shared" ca="1" si="139"/>
        <v>-152587900719.53125</v>
      </c>
      <c r="M2928" s="460">
        <f t="shared" si="141"/>
        <v>0.05</v>
      </c>
      <c r="N2928" s="464">
        <f t="shared" si="142"/>
        <v>140163</v>
      </c>
    </row>
    <row r="2929" spans="7:14" ht="11.25" customHeight="1" x14ac:dyDescent="0.25">
      <c r="G2929" s="459"/>
      <c r="H2929" s="459">
        <v>2922</v>
      </c>
      <c r="I2929" s="444">
        <f t="shared" ca="1" si="140"/>
        <v>-152587900719.53125</v>
      </c>
      <c r="J2929" s="444">
        <f t="array" ref="J2929">IFERROR(INDEX('Retirement Calculator'!K:K,MATCH('Lorri 401b'!N2929,'Retirement Calculator'!A:A,0),0),0)</f>
        <v>0</v>
      </c>
      <c r="K2929" s="444">
        <f t="shared" ca="1" si="138"/>
        <v>-635782919.6647135</v>
      </c>
      <c r="L2929" s="444">
        <f t="shared" ca="1" si="139"/>
        <v>-153223683639.19595</v>
      </c>
      <c r="M2929" s="460">
        <f t="shared" si="141"/>
        <v>0.05</v>
      </c>
      <c r="N2929" s="464">
        <f t="shared" si="142"/>
        <v>140194</v>
      </c>
    </row>
    <row r="2930" spans="7:14" ht="11.25" customHeight="1" x14ac:dyDescent="0.25">
      <c r="G2930" s="459"/>
      <c r="H2930" s="459">
        <v>2923</v>
      </c>
      <c r="I2930" s="444">
        <f t="shared" ca="1" si="140"/>
        <v>-153223683639.19595</v>
      </c>
      <c r="J2930" s="444">
        <f t="array" ref="J2930">IFERROR(INDEX('Retirement Calculator'!K:K,MATCH('Lorri 401b'!N2930,'Retirement Calculator'!A:A,0),0),0)</f>
        <v>0</v>
      </c>
      <c r="K2930" s="444">
        <f t="shared" ca="1" si="138"/>
        <v>-638432015.16331649</v>
      </c>
      <c r="L2930" s="444">
        <f t="shared" ca="1" si="139"/>
        <v>-153862115654.35928</v>
      </c>
      <c r="M2930" s="460">
        <f t="shared" si="141"/>
        <v>0.05</v>
      </c>
      <c r="N2930" s="464">
        <f t="shared" si="142"/>
        <v>140224</v>
      </c>
    </row>
    <row r="2931" spans="7:14" ht="11.25" customHeight="1" x14ac:dyDescent="0.25">
      <c r="G2931" s="459"/>
      <c r="H2931" s="459">
        <v>2924</v>
      </c>
      <c r="I2931" s="444">
        <f t="shared" ca="1" si="140"/>
        <v>-153862115654.35928</v>
      </c>
      <c r="J2931" s="444">
        <f t="array" ref="J2931">IFERROR(INDEX('Retirement Calculator'!K:K,MATCH('Lorri 401b'!N2931,'Retirement Calculator'!A:A,0),0),0)</f>
        <v>0</v>
      </c>
      <c r="K2931" s="444">
        <f t="shared" ca="1" si="138"/>
        <v>-641092148.55983031</v>
      </c>
      <c r="L2931" s="444">
        <f t="shared" ca="1" si="139"/>
        <v>-154503207802.91913</v>
      </c>
      <c r="M2931" s="460">
        <f t="shared" si="141"/>
        <v>0.05</v>
      </c>
      <c r="N2931" s="464">
        <f t="shared" si="142"/>
        <v>140255</v>
      </c>
    </row>
    <row r="2932" spans="7:14" ht="11.25" customHeight="1" x14ac:dyDescent="0.25">
      <c r="G2932" s="459"/>
      <c r="H2932" s="459">
        <v>2925</v>
      </c>
      <c r="I2932" s="444">
        <f t="shared" ca="1" si="140"/>
        <v>-154503207802.91913</v>
      </c>
      <c r="J2932" s="444">
        <f t="array" ref="J2932">IFERROR(INDEX('Retirement Calculator'!K:K,MATCH('Lorri 401b'!N2932,'Retirement Calculator'!A:A,0),0),0)</f>
        <v>0</v>
      </c>
      <c r="K2932" s="444">
        <f t="shared" ca="1" si="138"/>
        <v>-643763365.84549642</v>
      </c>
      <c r="L2932" s="444">
        <f t="shared" ca="1" si="139"/>
        <v>-155146971168.76462</v>
      </c>
      <c r="M2932" s="460">
        <f t="shared" si="141"/>
        <v>0.05</v>
      </c>
      <c r="N2932" s="464">
        <f t="shared" si="142"/>
        <v>140286</v>
      </c>
    </row>
    <row r="2933" spans="7:14" ht="11.25" customHeight="1" x14ac:dyDescent="0.25">
      <c r="G2933" s="459"/>
      <c r="H2933" s="459">
        <v>2926</v>
      </c>
      <c r="I2933" s="444">
        <f t="shared" ca="1" si="140"/>
        <v>-155146971168.76462</v>
      </c>
      <c r="J2933" s="444">
        <f t="array" ref="J2933">IFERROR(INDEX('Retirement Calculator'!K:K,MATCH('Lorri 401b'!N2933,'Retirement Calculator'!A:A,0),0),0)</f>
        <v>0</v>
      </c>
      <c r="K2933" s="444">
        <f t="shared" ca="1" si="138"/>
        <v>-646445713.20318592</v>
      </c>
      <c r="L2933" s="444">
        <f t="shared" ca="1" si="139"/>
        <v>-155793416881.9678</v>
      </c>
      <c r="M2933" s="460">
        <f t="shared" si="141"/>
        <v>0.05</v>
      </c>
      <c r="N2933" s="464">
        <f t="shared" si="142"/>
        <v>140315</v>
      </c>
    </row>
    <row r="2934" spans="7:14" ht="11.25" customHeight="1" x14ac:dyDescent="0.25">
      <c r="G2934" s="459"/>
      <c r="H2934" s="459">
        <v>2927</v>
      </c>
      <c r="I2934" s="444">
        <f t="shared" ca="1" si="140"/>
        <v>-155793416881.9678</v>
      </c>
      <c r="J2934" s="444">
        <f t="array" ref="J2934">IFERROR(INDEX('Retirement Calculator'!K:K,MATCH('Lorri 401b'!N2934,'Retirement Calculator'!A:A,0),0),0)</f>
        <v>0</v>
      </c>
      <c r="K2934" s="444">
        <f t="shared" ca="1" si="138"/>
        <v>-649139237.00819921</v>
      </c>
      <c r="L2934" s="444">
        <f t="shared" ca="1" si="139"/>
        <v>-156442556118.97601</v>
      </c>
      <c r="M2934" s="460">
        <f t="shared" si="141"/>
        <v>0.05</v>
      </c>
      <c r="N2934" s="464">
        <f t="shared" si="142"/>
        <v>140346</v>
      </c>
    </row>
    <row r="2935" spans="7:14" ht="11.25" customHeight="1" x14ac:dyDescent="0.25">
      <c r="G2935" s="459"/>
      <c r="H2935" s="459">
        <v>2928</v>
      </c>
      <c r="I2935" s="444">
        <f t="shared" ca="1" si="140"/>
        <v>-156442556118.97601</v>
      </c>
      <c r="J2935" s="444">
        <f t="array" ref="J2935">IFERROR(INDEX('Retirement Calculator'!K:K,MATCH('Lorri 401b'!N2935,'Retirement Calculator'!A:A,0),0),0)</f>
        <v>0</v>
      </c>
      <c r="K2935" s="444">
        <f t="shared" ca="1" si="138"/>
        <v>-651843983.82906675</v>
      </c>
      <c r="L2935" s="444">
        <f t="shared" ca="1" si="139"/>
        <v>-157094400102.80508</v>
      </c>
      <c r="M2935" s="460">
        <f t="shared" si="141"/>
        <v>0.05</v>
      </c>
      <c r="N2935" s="464">
        <f t="shared" si="142"/>
        <v>140376</v>
      </c>
    </row>
    <row r="2936" spans="7:14" ht="11.25" customHeight="1" x14ac:dyDescent="0.25">
      <c r="G2936" s="459"/>
      <c r="H2936" s="459">
        <v>2929</v>
      </c>
      <c r="I2936" s="444">
        <f t="shared" ca="1" si="140"/>
        <v>-157094400102.80508</v>
      </c>
      <c r="J2936" s="444">
        <f t="array" ref="J2936">IFERROR(INDEX('Retirement Calculator'!K:K,MATCH('Lorri 401b'!N2936,'Retirement Calculator'!A:A,0),0),0)</f>
        <v>0</v>
      </c>
      <c r="K2936" s="444">
        <f t="shared" ca="1" si="138"/>
        <v>-654560000.4283545</v>
      </c>
      <c r="L2936" s="444">
        <f t="shared" ca="1" si="139"/>
        <v>-157748960103.23343</v>
      </c>
      <c r="M2936" s="460">
        <f t="shared" si="141"/>
        <v>0.05</v>
      </c>
      <c r="N2936" s="464">
        <f t="shared" si="142"/>
        <v>140407</v>
      </c>
    </row>
    <row r="2937" spans="7:14" ht="11.25" customHeight="1" x14ac:dyDescent="0.25">
      <c r="G2937" s="459"/>
      <c r="H2937" s="459">
        <v>2930</v>
      </c>
      <c r="I2937" s="444">
        <f t="shared" ca="1" si="140"/>
        <v>-157748960103.23343</v>
      </c>
      <c r="J2937" s="444">
        <f t="array" ref="J2937">IFERROR(INDEX('Retirement Calculator'!K:K,MATCH('Lorri 401b'!N2937,'Retirement Calculator'!A:A,0),0),0)</f>
        <v>0</v>
      </c>
      <c r="K2937" s="444">
        <f t="shared" ca="1" si="138"/>
        <v>-657287333.76347256</v>
      </c>
      <c r="L2937" s="444">
        <f t="shared" ca="1" si="139"/>
        <v>-158406247436.99689</v>
      </c>
      <c r="M2937" s="460">
        <f t="shared" si="141"/>
        <v>0.05</v>
      </c>
      <c r="N2937" s="464">
        <f t="shared" si="142"/>
        <v>140437</v>
      </c>
    </row>
    <row r="2938" spans="7:14" ht="11.25" customHeight="1" x14ac:dyDescent="0.25">
      <c r="G2938" s="459"/>
      <c r="H2938" s="459">
        <v>2931</v>
      </c>
      <c r="I2938" s="444">
        <f t="shared" ca="1" si="140"/>
        <v>-158406247436.99689</v>
      </c>
      <c r="J2938" s="444">
        <f t="array" ref="J2938">IFERROR(INDEX('Retirement Calculator'!K:K,MATCH('Lorri 401b'!N2938,'Retirement Calculator'!A:A,0),0),0)</f>
        <v>0</v>
      </c>
      <c r="K2938" s="444">
        <f t="shared" ca="1" si="138"/>
        <v>-660026030.98748708</v>
      </c>
      <c r="L2938" s="444">
        <f t="shared" ca="1" si="139"/>
        <v>-159066273467.98438</v>
      </c>
      <c r="M2938" s="460">
        <f t="shared" si="141"/>
        <v>0.05</v>
      </c>
      <c r="N2938" s="464">
        <f t="shared" si="142"/>
        <v>140468</v>
      </c>
    </row>
    <row r="2939" spans="7:14" ht="11.25" customHeight="1" x14ac:dyDescent="0.25">
      <c r="G2939" s="459"/>
      <c r="H2939" s="459">
        <v>2932</v>
      </c>
      <c r="I2939" s="444">
        <f t="shared" ca="1" si="140"/>
        <v>-159066273467.98438</v>
      </c>
      <c r="J2939" s="444">
        <f t="array" ref="J2939">IFERROR(INDEX('Retirement Calculator'!K:K,MATCH('Lorri 401b'!N2939,'Retirement Calculator'!A:A,0),0),0)</f>
        <v>0</v>
      </c>
      <c r="K2939" s="444">
        <f t="shared" ca="1" si="138"/>
        <v>-662776139.44993484</v>
      </c>
      <c r="L2939" s="444">
        <f t="shared" ca="1" si="139"/>
        <v>-159729049607.4343</v>
      </c>
      <c r="M2939" s="460">
        <f t="shared" si="141"/>
        <v>0.05</v>
      </c>
      <c r="N2939" s="464">
        <f t="shared" si="142"/>
        <v>140499</v>
      </c>
    </row>
    <row r="2940" spans="7:14" ht="11.25" customHeight="1" x14ac:dyDescent="0.25">
      <c r="G2940" s="459"/>
      <c r="H2940" s="459">
        <v>2933</v>
      </c>
      <c r="I2940" s="444">
        <f t="shared" ca="1" si="140"/>
        <v>-159729049607.4343</v>
      </c>
      <c r="J2940" s="444">
        <f t="array" ref="J2940">IFERROR(INDEX('Retirement Calculator'!K:K,MATCH('Lorri 401b'!N2940,'Retirement Calculator'!A:A,0),0),0)</f>
        <v>0</v>
      </c>
      <c r="K2940" s="444">
        <f t="shared" ca="1" si="138"/>
        <v>-665537706.69764292</v>
      </c>
      <c r="L2940" s="444">
        <f t="shared" ca="1" si="139"/>
        <v>-160394587314.13193</v>
      </c>
      <c r="M2940" s="460">
        <f t="shared" si="141"/>
        <v>0.05</v>
      </c>
      <c r="N2940" s="464">
        <f t="shared" si="142"/>
        <v>140529</v>
      </c>
    </row>
    <row r="2941" spans="7:14" ht="11.25" customHeight="1" x14ac:dyDescent="0.25">
      <c r="G2941" s="459"/>
      <c r="H2941" s="459">
        <v>2934</v>
      </c>
      <c r="I2941" s="444">
        <f t="shared" ca="1" si="140"/>
        <v>-160394587314.13193</v>
      </c>
      <c r="J2941" s="444">
        <f t="array" ref="J2941">IFERROR(INDEX('Retirement Calculator'!K:K,MATCH('Lorri 401b'!N2941,'Retirement Calculator'!A:A,0),0),0)</f>
        <v>0</v>
      </c>
      <c r="K2941" s="444">
        <f t="shared" ca="1" si="138"/>
        <v>-668310780.4755497</v>
      </c>
      <c r="L2941" s="444">
        <f t="shared" ca="1" si="139"/>
        <v>-161062898094.60748</v>
      </c>
      <c r="M2941" s="460">
        <f t="shared" si="141"/>
        <v>0.05</v>
      </c>
      <c r="N2941" s="464">
        <f t="shared" si="142"/>
        <v>140560</v>
      </c>
    </row>
    <row r="2942" spans="7:14" ht="11.25" customHeight="1" x14ac:dyDescent="0.25">
      <c r="G2942" s="459"/>
      <c r="H2942" s="459">
        <v>2935</v>
      </c>
      <c r="I2942" s="444">
        <f t="shared" ca="1" si="140"/>
        <v>-161062898094.60748</v>
      </c>
      <c r="J2942" s="444">
        <f t="array" ref="J2942">IFERROR(INDEX('Retirement Calculator'!K:K,MATCH('Lorri 401b'!N2942,'Retirement Calculator'!A:A,0),0),0)</f>
        <v>0</v>
      </c>
      <c r="K2942" s="444">
        <f t="shared" ca="1" si="138"/>
        <v>-671095408.72753119</v>
      </c>
      <c r="L2942" s="444">
        <f t="shared" ca="1" si="139"/>
        <v>-161733993503.33502</v>
      </c>
      <c r="M2942" s="460">
        <f t="shared" si="141"/>
        <v>0.05</v>
      </c>
      <c r="N2942" s="464">
        <f t="shared" si="142"/>
        <v>140590</v>
      </c>
    </row>
    <row r="2943" spans="7:14" ht="11.25" customHeight="1" x14ac:dyDescent="0.25">
      <c r="G2943" s="459"/>
      <c r="H2943" s="459">
        <v>2936</v>
      </c>
      <c r="I2943" s="444">
        <f t="shared" ca="1" si="140"/>
        <v>-161733993503.33502</v>
      </c>
      <c r="J2943" s="444">
        <f t="array" ref="J2943">IFERROR(INDEX('Retirement Calculator'!K:K,MATCH('Lorri 401b'!N2943,'Retirement Calculator'!A:A,0),0),0)</f>
        <v>0</v>
      </c>
      <c r="K2943" s="444">
        <f t="shared" ca="1" si="138"/>
        <v>-673891639.59722924</v>
      </c>
      <c r="L2943" s="444">
        <f t="shared" ca="1" si="139"/>
        <v>-162407885142.93225</v>
      </c>
      <c r="M2943" s="460">
        <f t="shared" si="141"/>
        <v>0.05</v>
      </c>
      <c r="N2943" s="464">
        <f t="shared" si="142"/>
        <v>140621</v>
      </c>
    </row>
    <row r="2944" spans="7:14" ht="11.25" customHeight="1" x14ac:dyDescent="0.25">
      <c r="G2944" s="459"/>
      <c r="H2944" s="459">
        <v>2937</v>
      </c>
      <c r="I2944" s="444">
        <f t="shared" ca="1" si="140"/>
        <v>-162407885142.93225</v>
      </c>
      <c r="J2944" s="444">
        <f t="array" ref="J2944">IFERROR(INDEX('Retirement Calculator'!K:K,MATCH('Lorri 401b'!N2944,'Retirement Calculator'!A:A,0),0),0)</f>
        <v>0</v>
      </c>
      <c r="K2944" s="444">
        <f t="shared" ca="1" si="138"/>
        <v>-676699521.42888439</v>
      </c>
      <c r="L2944" s="444">
        <f t="shared" ca="1" si="139"/>
        <v>-163084584664.36115</v>
      </c>
      <c r="M2944" s="460">
        <f t="shared" si="141"/>
        <v>0.05</v>
      </c>
      <c r="N2944" s="464">
        <f t="shared" si="142"/>
        <v>140652</v>
      </c>
    </row>
    <row r="2945" spans="7:14" ht="11.25" customHeight="1" x14ac:dyDescent="0.25">
      <c r="G2945" s="459"/>
      <c r="H2945" s="459">
        <v>2938</v>
      </c>
      <c r="I2945" s="444">
        <f t="shared" ca="1" si="140"/>
        <v>-163084584664.36115</v>
      </c>
      <c r="J2945" s="444">
        <f t="array" ref="J2945">IFERROR(INDEX('Retirement Calculator'!K:K,MATCH('Lorri 401b'!N2945,'Retirement Calculator'!A:A,0),0),0)</f>
        <v>0</v>
      </c>
      <c r="K2945" s="444">
        <f t="shared" ca="1" si="138"/>
        <v>-679519102.76817143</v>
      </c>
      <c r="L2945" s="444">
        <f t="shared" ca="1" si="139"/>
        <v>-163764103767.1293</v>
      </c>
      <c r="M2945" s="460">
        <f t="shared" si="141"/>
        <v>0.05</v>
      </c>
      <c r="N2945" s="464">
        <f t="shared" si="142"/>
        <v>140680</v>
      </c>
    </row>
    <row r="2946" spans="7:14" ht="11.25" customHeight="1" x14ac:dyDescent="0.25">
      <c r="G2946" s="459"/>
      <c r="H2946" s="459">
        <v>2939</v>
      </c>
      <c r="I2946" s="444">
        <f t="shared" ca="1" si="140"/>
        <v>-163764103767.1293</v>
      </c>
      <c r="J2946" s="444">
        <f t="array" ref="J2946">IFERROR(INDEX('Retirement Calculator'!K:K,MATCH('Lorri 401b'!N2946,'Retirement Calculator'!A:A,0),0),0)</f>
        <v>0</v>
      </c>
      <c r="K2946" s="444">
        <f t="shared" ca="1" si="138"/>
        <v>-682350432.36303878</v>
      </c>
      <c r="L2946" s="444">
        <f t="shared" ca="1" si="139"/>
        <v>-164446454199.49234</v>
      </c>
      <c r="M2946" s="460">
        <f t="shared" si="141"/>
        <v>0.05</v>
      </c>
      <c r="N2946" s="464">
        <f t="shared" si="142"/>
        <v>140711</v>
      </c>
    </row>
    <row r="2947" spans="7:14" ht="11.25" customHeight="1" x14ac:dyDescent="0.25">
      <c r="G2947" s="459"/>
      <c r="H2947" s="459">
        <v>2940</v>
      </c>
      <c r="I2947" s="444">
        <f t="shared" ca="1" si="140"/>
        <v>-164446454199.49234</v>
      </c>
      <c r="J2947" s="444">
        <f t="array" ref="J2947">IFERROR(INDEX('Retirement Calculator'!K:K,MATCH('Lorri 401b'!N2947,'Retirement Calculator'!A:A,0),0),0)</f>
        <v>0</v>
      </c>
      <c r="K2947" s="444">
        <f t="shared" ca="1" si="138"/>
        <v>-685193559.16455138</v>
      </c>
      <c r="L2947" s="444">
        <f t="shared" ca="1" si="139"/>
        <v>-165131647758.65689</v>
      </c>
      <c r="M2947" s="460">
        <f t="shared" si="141"/>
        <v>0.05</v>
      </c>
      <c r="N2947" s="464">
        <f t="shared" si="142"/>
        <v>140741</v>
      </c>
    </row>
    <row r="2948" spans="7:14" ht="11.25" customHeight="1" x14ac:dyDescent="0.25">
      <c r="G2948" s="459"/>
      <c r="H2948" s="459">
        <v>2941</v>
      </c>
      <c r="I2948" s="444">
        <f t="shared" ca="1" si="140"/>
        <v>-165131647758.65689</v>
      </c>
      <c r="J2948" s="444">
        <f t="array" ref="J2948">IFERROR(INDEX('Retirement Calculator'!K:K,MATCH('Lorri 401b'!N2948,'Retirement Calculator'!A:A,0),0),0)</f>
        <v>0</v>
      </c>
      <c r="K2948" s="444">
        <f t="shared" ca="1" si="138"/>
        <v>-688048532.32773709</v>
      </c>
      <c r="L2948" s="444">
        <f t="shared" ca="1" si="139"/>
        <v>-165819696290.98462</v>
      </c>
      <c r="M2948" s="460">
        <f t="shared" si="141"/>
        <v>0.05</v>
      </c>
      <c r="N2948" s="464">
        <f t="shared" si="142"/>
        <v>140772</v>
      </c>
    </row>
    <row r="2949" spans="7:14" ht="11.25" customHeight="1" x14ac:dyDescent="0.25">
      <c r="G2949" s="459"/>
      <c r="H2949" s="459">
        <v>2942</v>
      </c>
      <c r="I2949" s="444">
        <f t="shared" ca="1" si="140"/>
        <v>-165819696290.98462</v>
      </c>
      <c r="J2949" s="444">
        <f t="array" ref="J2949">IFERROR(INDEX('Retirement Calculator'!K:K,MATCH('Lorri 401b'!N2949,'Retirement Calculator'!A:A,0),0),0)</f>
        <v>0</v>
      </c>
      <c r="K2949" s="444">
        <f t="shared" ca="1" si="138"/>
        <v>-690915401.21243596</v>
      </c>
      <c r="L2949" s="444">
        <f t="shared" ca="1" si="139"/>
        <v>-166510611692.19705</v>
      </c>
      <c r="M2949" s="460">
        <f t="shared" si="141"/>
        <v>0.05</v>
      </c>
      <c r="N2949" s="464">
        <f t="shared" si="142"/>
        <v>140802</v>
      </c>
    </row>
    <row r="2950" spans="7:14" ht="11.25" customHeight="1" x14ac:dyDescent="0.25">
      <c r="G2950" s="459"/>
      <c r="H2950" s="459">
        <v>2943</v>
      </c>
      <c r="I2950" s="444">
        <f t="shared" ca="1" si="140"/>
        <v>-166510611692.19705</v>
      </c>
      <c r="J2950" s="444">
        <f t="array" ref="J2950">IFERROR(INDEX('Retirement Calculator'!K:K,MATCH('Lorri 401b'!N2950,'Retirement Calculator'!A:A,0),0),0)</f>
        <v>0</v>
      </c>
      <c r="K2950" s="444">
        <f t="shared" ca="1" si="138"/>
        <v>-693794215.38415432</v>
      </c>
      <c r="L2950" s="444">
        <f t="shared" ca="1" si="139"/>
        <v>-167204405907.58121</v>
      </c>
      <c r="M2950" s="460">
        <f t="shared" si="141"/>
        <v>0.05</v>
      </c>
      <c r="N2950" s="464">
        <f t="shared" si="142"/>
        <v>140833</v>
      </c>
    </row>
    <row r="2951" spans="7:14" ht="11.25" customHeight="1" x14ac:dyDescent="0.25">
      <c r="G2951" s="459"/>
      <c r="H2951" s="459">
        <v>2944</v>
      </c>
      <c r="I2951" s="444">
        <f t="shared" ca="1" si="140"/>
        <v>-167204405907.58121</v>
      </c>
      <c r="J2951" s="444">
        <f t="array" ref="J2951">IFERROR(INDEX('Retirement Calculator'!K:K,MATCH('Lorri 401b'!N2951,'Retirement Calculator'!A:A,0),0),0)</f>
        <v>0</v>
      </c>
      <c r="K2951" s="444">
        <f t="shared" ca="1" si="138"/>
        <v>-696685024.61492169</v>
      </c>
      <c r="L2951" s="444">
        <f t="shared" ca="1" si="139"/>
        <v>-167901090932.19614</v>
      </c>
      <c r="M2951" s="460">
        <f t="shared" si="141"/>
        <v>0.05</v>
      </c>
      <c r="N2951" s="464">
        <f t="shared" si="142"/>
        <v>140864</v>
      </c>
    </row>
    <row r="2952" spans="7:14" ht="11.25" customHeight="1" x14ac:dyDescent="0.25">
      <c r="G2952" s="459"/>
      <c r="H2952" s="459">
        <v>2945</v>
      </c>
      <c r="I2952" s="444">
        <f t="shared" ca="1" si="140"/>
        <v>-167901090932.19614</v>
      </c>
      <c r="J2952" s="444">
        <f t="array" ref="J2952">IFERROR(INDEX('Retirement Calculator'!K:K,MATCH('Lorri 401b'!N2952,'Retirement Calculator'!A:A,0),0),0)</f>
        <v>0</v>
      </c>
      <c r="K2952" s="444">
        <f t="shared" ca="1" si="138"/>
        <v>-699587878.88415051</v>
      </c>
      <c r="L2952" s="444">
        <f t="shared" ca="1" si="139"/>
        <v>-168600678811.08029</v>
      </c>
      <c r="M2952" s="460">
        <f t="shared" si="141"/>
        <v>0.05</v>
      </c>
      <c r="N2952" s="464">
        <f t="shared" si="142"/>
        <v>140894</v>
      </c>
    </row>
    <row r="2953" spans="7:14" ht="11.25" customHeight="1" x14ac:dyDescent="0.25">
      <c r="G2953" s="459"/>
      <c r="H2953" s="459">
        <v>2946</v>
      </c>
      <c r="I2953" s="444">
        <f t="shared" ca="1" si="140"/>
        <v>-168600678811.08029</v>
      </c>
      <c r="J2953" s="444">
        <f t="array" ref="J2953">IFERROR(INDEX('Retirement Calculator'!K:K,MATCH('Lorri 401b'!N2953,'Retirement Calculator'!A:A,0),0),0)</f>
        <v>0</v>
      </c>
      <c r="K2953" s="444">
        <f t="shared" ca="1" si="138"/>
        <v>-702502828.37950122</v>
      </c>
      <c r="L2953" s="444">
        <f t="shared" ca="1" si="139"/>
        <v>-169303181639.45978</v>
      </c>
      <c r="M2953" s="460">
        <f t="shared" si="141"/>
        <v>0.05</v>
      </c>
      <c r="N2953" s="464">
        <f t="shared" si="142"/>
        <v>140925</v>
      </c>
    </row>
    <row r="2954" spans="7:14" ht="11.25" customHeight="1" x14ac:dyDescent="0.25">
      <c r="G2954" s="459"/>
      <c r="H2954" s="459">
        <v>2947</v>
      </c>
      <c r="I2954" s="444">
        <f t="shared" ca="1" si="140"/>
        <v>-169303181639.45978</v>
      </c>
      <c r="J2954" s="444">
        <f t="array" ref="J2954">IFERROR(INDEX('Retirement Calculator'!K:K,MATCH('Lorri 401b'!N2954,'Retirement Calculator'!A:A,0),0),0)</f>
        <v>0</v>
      </c>
      <c r="K2954" s="444">
        <f t="shared" ca="1" si="138"/>
        <v>-705429923.49774909</v>
      </c>
      <c r="L2954" s="444">
        <f t="shared" ca="1" si="139"/>
        <v>-170008611562.95752</v>
      </c>
      <c r="M2954" s="460">
        <f t="shared" si="141"/>
        <v>0.05</v>
      </c>
      <c r="N2954" s="464">
        <f t="shared" si="142"/>
        <v>140955</v>
      </c>
    </row>
    <row r="2955" spans="7:14" ht="11.25" customHeight="1" x14ac:dyDescent="0.25">
      <c r="G2955" s="459"/>
      <c r="H2955" s="459">
        <v>2948</v>
      </c>
      <c r="I2955" s="444">
        <f t="shared" ca="1" si="140"/>
        <v>-170008611562.95752</v>
      </c>
      <c r="J2955" s="444">
        <f t="array" ref="J2955">IFERROR(INDEX('Retirement Calculator'!K:K,MATCH('Lorri 401b'!N2955,'Retirement Calculator'!A:A,0),0),0)</f>
        <v>0</v>
      </c>
      <c r="K2955" s="444">
        <f t="shared" ca="1" si="138"/>
        <v>-708369214.84565628</v>
      </c>
      <c r="L2955" s="444">
        <f t="shared" ca="1" si="139"/>
        <v>-170716980777.80316</v>
      </c>
      <c r="M2955" s="460">
        <f t="shared" si="141"/>
        <v>0.05</v>
      </c>
      <c r="N2955" s="464">
        <f t="shared" si="142"/>
        <v>140986</v>
      </c>
    </row>
    <row r="2956" spans="7:14" ht="11.25" customHeight="1" x14ac:dyDescent="0.25">
      <c r="G2956" s="459"/>
      <c r="H2956" s="459">
        <v>2949</v>
      </c>
      <c r="I2956" s="444">
        <f t="shared" ca="1" si="140"/>
        <v>-170716980777.80316</v>
      </c>
      <c r="J2956" s="444">
        <f t="array" ref="J2956">IFERROR(INDEX('Retirement Calculator'!K:K,MATCH('Lorri 401b'!N2956,'Retirement Calculator'!A:A,0),0),0)</f>
        <v>0</v>
      </c>
      <c r="K2956" s="444">
        <f t="shared" ca="1" si="138"/>
        <v>-711320753.24084651</v>
      </c>
      <c r="L2956" s="444">
        <f t="shared" ca="1" si="139"/>
        <v>-171428301531.04401</v>
      </c>
      <c r="M2956" s="460">
        <f t="shared" si="141"/>
        <v>0.05</v>
      </c>
      <c r="N2956" s="464">
        <f t="shared" si="142"/>
        <v>141017</v>
      </c>
    </row>
    <row r="2957" spans="7:14" ht="11.25" customHeight="1" x14ac:dyDescent="0.25">
      <c r="G2957" s="459"/>
      <c r="H2957" s="459">
        <v>2950</v>
      </c>
      <c r="I2957" s="444">
        <f t="shared" ca="1" si="140"/>
        <v>-171428301531.04401</v>
      </c>
      <c r="J2957" s="444">
        <f t="array" ref="J2957">IFERROR(INDEX('Retirement Calculator'!K:K,MATCH('Lorri 401b'!N2957,'Retirement Calculator'!A:A,0),0),0)</f>
        <v>0</v>
      </c>
      <c r="K2957" s="444">
        <f t="shared" ca="1" si="138"/>
        <v>-714284589.71268332</v>
      </c>
      <c r="L2957" s="444">
        <f t="shared" ca="1" si="139"/>
        <v>-172142586120.75668</v>
      </c>
      <c r="M2957" s="460">
        <f t="shared" si="141"/>
        <v>0.05</v>
      </c>
      <c r="N2957" s="464">
        <f t="shared" si="142"/>
        <v>141045</v>
      </c>
    </row>
    <row r="2958" spans="7:14" ht="11.25" customHeight="1" x14ac:dyDescent="0.25">
      <c r="G2958" s="459"/>
      <c r="H2958" s="459">
        <v>2951</v>
      </c>
      <c r="I2958" s="444">
        <f t="shared" ca="1" si="140"/>
        <v>-172142586120.75668</v>
      </c>
      <c r="J2958" s="444">
        <f t="array" ref="J2958">IFERROR(INDEX('Retirement Calculator'!K:K,MATCH('Lorri 401b'!N2958,'Retirement Calculator'!A:A,0),0),0)</f>
        <v>0</v>
      </c>
      <c r="K2958" s="444">
        <f t="shared" ca="1" si="138"/>
        <v>-717260775.50315285</v>
      </c>
      <c r="L2958" s="444">
        <f t="shared" ca="1" si="139"/>
        <v>-172859846896.25983</v>
      </c>
      <c r="M2958" s="460">
        <f t="shared" si="141"/>
        <v>0.05</v>
      </c>
      <c r="N2958" s="464">
        <f t="shared" si="142"/>
        <v>141076</v>
      </c>
    </row>
    <row r="2959" spans="7:14" ht="11.25" customHeight="1" x14ac:dyDescent="0.25">
      <c r="G2959" s="459"/>
      <c r="H2959" s="459">
        <v>2952</v>
      </c>
      <c r="I2959" s="444">
        <f t="shared" ca="1" si="140"/>
        <v>-172859846896.25983</v>
      </c>
      <c r="J2959" s="444">
        <f t="array" ref="J2959">IFERROR(INDEX('Retirement Calculator'!K:K,MATCH('Lorri 401b'!N2959,'Retirement Calculator'!A:A,0),0),0)</f>
        <v>0</v>
      </c>
      <c r="K2959" s="444">
        <f t="shared" ca="1" si="138"/>
        <v>-720249362.06774926</v>
      </c>
      <c r="L2959" s="444">
        <f t="shared" ca="1" si="139"/>
        <v>-173580096258.32758</v>
      </c>
      <c r="M2959" s="460">
        <f t="shared" si="141"/>
        <v>0.05</v>
      </c>
      <c r="N2959" s="464">
        <f t="shared" si="142"/>
        <v>141106</v>
      </c>
    </row>
    <row r="2960" spans="7:14" ht="11.25" customHeight="1" x14ac:dyDescent="0.25">
      <c r="G2960" s="459"/>
      <c r="H2960" s="459">
        <v>2953</v>
      </c>
      <c r="I2960" s="444">
        <f t="shared" ca="1" si="140"/>
        <v>-173580096258.32758</v>
      </c>
      <c r="J2960" s="444">
        <f t="array" ref="J2960">IFERROR(INDEX('Retirement Calculator'!K:K,MATCH('Lorri 401b'!N2960,'Retirement Calculator'!A:A,0),0),0)</f>
        <v>0</v>
      </c>
      <c r="K2960" s="444">
        <f t="shared" ca="1" si="138"/>
        <v>-723250401.07636487</v>
      </c>
      <c r="L2960" s="444">
        <f t="shared" ca="1" si="139"/>
        <v>-174303346659.40393</v>
      </c>
      <c r="M2960" s="460">
        <f t="shared" si="141"/>
        <v>0.05</v>
      </c>
      <c r="N2960" s="464">
        <f t="shared" si="142"/>
        <v>141137</v>
      </c>
    </row>
    <row r="2961" spans="7:14" ht="11.25" customHeight="1" x14ac:dyDescent="0.25">
      <c r="G2961" s="459"/>
      <c r="H2961" s="459">
        <v>2954</v>
      </c>
      <c r="I2961" s="444">
        <f t="shared" ca="1" si="140"/>
        <v>-174303346659.40393</v>
      </c>
      <c r="J2961" s="444">
        <f t="array" ref="J2961">IFERROR(INDEX('Retirement Calculator'!K:K,MATCH('Lorri 401b'!N2961,'Retirement Calculator'!A:A,0),0),0)</f>
        <v>0</v>
      </c>
      <c r="K2961" s="444">
        <f t="shared" ca="1" si="138"/>
        <v>-726263944.41418302</v>
      </c>
      <c r="L2961" s="444">
        <f t="shared" ca="1" si="139"/>
        <v>-175029610603.81812</v>
      </c>
      <c r="M2961" s="460">
        <f t="shared" si="141"/>
        <v>0.05</v>
      </c>
      <c r="N2961" s="464">
        <f t="shared" si="142"/>
        <v>141167</v>
      </c>
    </row>
    <row r="2962" spans="7:14" ht="11.25" customHeight="1" x14ac:dyDescent="0.25">
      <c r="G2962" s="459"/>
      <c r="H2962" s="459">
        <v>2955</v>
      </c>
      <c r="I2962" s="444">
        <f t="shared" ca="1" si="140"/>
        <v>-175029610603.81812</v>
      </c>
      <c r="J2962" s="444">
        <f t="array" ref="J2962">IFERROR(INDEX('Retirement Calculator'!K:K,MATCH('Lorri 401b'!N2962,'Retirement Calculator'!A:A,0),0),0)</f>
        <v>0</v>
      </c>
      <c r="K2962" s="444">
        <f t="shared" ca="1" si="138"/>
        <v>-729290044.18257546</v>
      </c>
      <c r="L2962" s="444">
        <f t="shared" ca="1" si="139"/>
        <v>-175758900648.0007</v>
      </c>
      <c r="M2962" s="460">
        <f t="shared" si="141"/>
        <v>0.05</v>
      </c>
      <c r="N2962" s="464">
        <f t="shared" si="142"/>
        <v>141198</v>
      </c>
    </row>
    <row r="2963" spans="7:14" ht="11.25" customHeight="1" x14ac:dyDescent="0.25">
      <c r="G2963" s="459"/>
      <c r="H2963" s="459">
        <v>2956</v>
      </c>
      <c r="I2963" s="444">
        <f t="shared" ca="1" si="140"/>
        <v>-175758900648.0007</v>
      </c>
      <c r="J2963" s="444">
        <f t="array" ref="J2963">IFERROR(INDEX('Retirement Calculator'!K:K,MATCH('Lorri 401b'!N2963,'Retirement Calculator'!A:A,0),0),0)</f>
        <v>0</v>
      </c>
      <c r="K2963" s="444">
        <f t="shared" ca="1" si="138"/>
        <v>-732328752.70000291</v>
      </c>
      <c r="L2963" s="444">
        <f t="shared" ca="1" si="139"/>
        <v>-176491229400.70071</v>
      </c>
      <c r="M2963" s="460">
        <f t="shared" si="141"/>
        <v>0.05</v>
      </c>
      <c r="N2963" s="464">
        <f t="shared" si="142"/>
        <v>141229</v>
      </c>
    </row>
    <row r="2964" spans="7:14" ht="11.25" customHeight="1" x14ac:dyDescent="0.25">
      <c r="G2964" s="459"/>
      <c r="H2964" s="459">
        <v>2957</v>
      </c>
      <c r="I2964" s="444">
        <f t="shared" ca="1" si="140"/>
        <v>-176491229400.70071</v>
      </c>
      <c r="J2964" s="444">
        <f t="array" ref="J2964">IFERROR(INDEX('Retirement Calculator'!K:K,MATCH('Lorri 401b'!N2964,'Retirement Calculator'!A:A,0),0),0)</f>
        <v>0</v>
      </c>
      <c r="K2964" s="444">
        <f t="shared" ca="1" si="138"/>
        <v>-735380122.50291967</v>
      </c>
      <c r="L2964" s="444">
        <f t="shared" ca="1" si="139"/>
        <v>-177226609523.20364</v>
      </c>
      <c r="M2964" s="460">
        <f t="shared" si="141"/>
        <v>0.05</v>
      </c>
      <c r="N2964" s="464">
        <f t="shared" si="142"/>
        <v>141259</v>
      </c>
    </row>
    <row r="2965" spans="7:14" ht="11.25" customHeight="1" x14ac:dyDescent="0.25">
      <c r="G2965" s="459"/>
      <c r="H2965" s="459">
        <v>2958</v>
      </c>
      <c r="I2965" s="444">
        <f t="shared" ca="1" si="140"/>
        <v>-177226609523.20364</v>
      </c>
      <c r="J2965" s="444">
        <f t="array" ref="J2965">IFERROR(INDEX('Retirement Calculator'!K:K,MATCH('Lorri 401b'!N2965,'Retirement Calculator'!A:A,0),0),0)</f>
        <v>0</v>
      </c>
      <c r="K2965" s="444">
        <f t="shared" ca="1" si="138"/>
        <v>-738444206.34668183</v>
      </c>
      <c r="L2965" s="444">
        <f t="shared" ca="1" si="139"/>
        <v>-177965053729.55032</v>
      </c>
      <c r="M2965" s="460">
        <f t="shared" si="141"/>
        <v>0.05</v>
      </c>
      <c r="N2965" s="464">
        <f t="shared" si="142"/>
        <v>141290</v>
      </c>
    </row>
    <row r="2966" spans="7:14" ht="11.25" customHeight="1" x14ac:dyDescent="0.25">
      <c r="G2966" s="459"/>
      <c r="H2966" s="459">
        <v>2959</v>
      </c>
      <c r="I2966" s="444">
        <f t="shared" ca="1" si="140"/>
        <v>-177965053729.55032</v>
      </c>
      <c r="J2966" s="444">
        <f t="array" ref="J2966">IFERROR(INDEX('Retirement Calculator'!K:K,MATCH('Lorri 401b'!N2966,'Retirement Calculator'!A:A,0),0),0)</f>
        <v>0</v>
      </c>
      <c r="K2966" s="444">
        <f t="shared" ca="1" si="138"/>
        <v>-741521057.20645964</v>
      </c>
      <c r="L2966" s="444">
        <f t="shared" ca="1" si="139"/>
        <v>-178706574786.75677</v>
      </c>
      <c r="M2966" s="460">
        <f t="shared" si="141"/>
        <v>0.05</v>
      </c>
      <c r="N2966" s="464">
        <f t="shared" si="142"/>
        <v>141320</v>
      </c>
    </row>
    <row r="2967" spans="7:14" ht="11.25" customHeight="1" x14ac:dyDescent="0.25">
      <c r="G2967" s="459"/>
      <c r="H2967" s="459">
        <v>2960</v>
      </c>
      <c r="I2967" s="444">
        <f t="shared" ca="1" si="140"/>
        <v>-178706574786.75677</v>
      </c>
      <c r="J2967" s="444">
        <f t="array" ref="J2967">IFERROR(INDEX('Retirement Calculator'!K:K,MATCH('Lorri 401b'!N2967,'Retirement Calculator'!A:A,0),0),0)</f>
        <v>0</v>
      </c>
      <c r="K2967" s="444">
        <f t="shared" ca="1" si="138"/>
        <v>-744610728.27815318</v>
      </c>
      <c r="L2967" s="444">
        <f t="shared" ca="1" si="139"/>
        <v>-179451185515.03494</v>
      </c>
      <c r="M2967" s="460">
        <f t="shared" si="141"/>
        <v>0.05</v>
      </c>
      <c r="N2967" s="464">
        <f t="shared" si="142"/>
        <v>141351</v>
      </c>
    </row>
    <row r="2968" spans="7:14" ht="11.25" customHeight="1" x14ac:dyDescent="0.25">
      <c r="G2968" s="459"/>
      <c r="H2968" s="459">
        <v>2961</v>
      </c>
      <c r="I2968" s="444">
        <f t="shared" ca="1" si="140"/>
        <v>-179451185515.03494</v>
      </c>
      <c r="J2968" s="444">
        <f t="array" ref="J2968">IFERROR(INDEX('Retirement Calculator'!K:K,MATCH('Lorri 401b'!N2968,'Retirement Calculator'!A:A,0),0),0)</f>
        <v>0</v>
      </c>
      <c r="K2968" s="444">
        <f t="shared" ca="1" si="138"/>
        <v>-747713272.9793123</v>
      </c>
      <c r="L2968" s="444">
        <f t="shared" ca="1" si="139"/>
        <v>-180198898788.01425</v>
      </c>
      <c r="M2968" s="460">
        <f t="shared" si="141"/>
        <v>0.05</v>
      </c>
      <c r="N2968" s="464">
        <f t="shared" si="142"/>
        <v>141382</v>
      </c>
    </row>
    <row r="2969" spans="7:14" ht="11.25" customHeight="1" x14ac:dyDescent="0.25">
      <c r="G2969" s="459"/>
      <c r="H2969" s="459">
        <v>2962</v>
      </c>
      <c r="I2969" s="444">
        <f t="shared" ca="1" si="140"/>
        <v>-180198898788.01425</v>
      </c>
      <c r="J2969" s="444">
        <f t="array" ref="J2969">IFERROR(INDEX('Retirement Calculator'!K:K,MATCH('Lorri 401b'!N2969,'Retirement Calculator'!A:A,0),0),0)</f>
        <v>0</v>
      </c>
      <c r="K2969" s="444">
        <f t="shared" ca="1" si="138"/>
        <v>-750828744.95005941</v>
      </c>
      <c r="L2969" s="444">
        <f t="shared" ca="1" si="139"/>
        <v>-180949727532.96432</v>
      </c>
      <c r="M2969" s="460">
        <f t="shared" si="141"/>
        <v>0.05</v>
      </c>
      <c r="N2969" s="464">
        <f t="shared" si="142"/>
        <v>141410</v>
      </c>
    </row>
    <row r="2970" spans="7:14" ht="11.25" customHeight="1" x14ac:dyDescent="0.25">
      <c r="G2970" s="459"/>
      <c r="H2970" s="459">
        <v>2963</v>
      </c>
      <c r="I2970" s="444">
        <f t="shared" ca="1" si="140"/>
        <v>-180949727532.96432</v>
      </c>
      <c r="J2970" s="444">
        <f t="array" ref="J2970">IFERROR(INDEX('Retirement Calculator'!K:K,MATCH('Lorri 401b'!N2970,'Retirement Calculator'!A:A,0),0),0)</f>
        <v>0</v>
      </c>
      <c r="K2970" s="444">
        <f t="shared" ca="1" si="138"/>
        <v>-753957198.05401802</v>
      </c>
      <c r="L2970" s="444">
        <f t="shared" ca="1" si="139"/>
        <v>-181703684731.01834</v>
      </c>
      <c r="M2970" s="460">
        <f t="shared" si="141"/>
        <v>0.05</v>
      </c>
      <c r="N2970" s="464">
        <f t="shared" si="142"/>
        <v>141441</v>
      </c>
    </row>
    <row r="2971" spans="7:14" ht="11.25" customHeight="1" x14ac:dyDescent="0.25">
      <c r="G2971" s="459"/>
      <c r="H2971" s="459">
        <v>2964</v>
      </c>
      <c r="I2971" s="444">
        <f t="shared" ca="1" si="140"/>
        <v>-181703684731.01834</v>
      </c>
      <c r="J2971" s="444">
        <f t="array" ref="J2971">IFERROR(INDEX('Retirement Calculator'!K:K,MATCH('Lorri 401b'!N2971,'Retirement Calculator'!A:A,0),0),0)</f>
        <v>0</v>
      </c>
      <c r="K2971" s="444">
        <f t="shared" ca="1" si="138"/>
        <v>-757098686.37924314</v>
      </c>
      <c r="L2971" s="444">
        <f t="shared" ca="1" si="139"/>
        <v>-182460783417.39758</v>
      </c>
      <c r="M2971" s="460">
        <f t="shared" si="141"/>
        <v>0.05</v>
      </c>
      <c r="N2971" s="464">
        <f t="shared" si="142"/>
        <v>141471</v>
      </c>
    </row>
    <row r="2972" spans="7:14" ht="11.25" customHeight="1" x14ac:dyDescent="0.25">
      <c r="G2972" s="459"/>
      <c r="H2972" s="459">
        <v>2965</v>
      </c>
      <c r="I2972" s="444">
        <f t="shared" ca="1" si="140"/>
        <v>-182460783417.39758</v>
      </c>
      <c r="J2972" s="444">
        <f t="array" ref="J2972">IFERROR(INDEX('Retirement Calculator'!K:K,MATCH('Lorri 401b'!N2972,'Retirement Calculator'!A:A,0),0),0)</f>
        <v>0</v>
      </c>
      <c r="K2972" s="444">
        <f t="shared" ca="1" si="138"/>
        <v>-760253264.2391566</v>
      </c>
      <c r="L2972" s="444">
        <f t="shared" ca="1" si="139"/>
        <v>-183221036681.63675</v>
      </c>
      <c r="M2972" s="460">
        <f t="shared" si="141"/>
        <v>0.05</v>
      </c>
      <c r="N2972" s="464">
        <f t="shared" si="142"/>
        <v>141502</v>
      </c>
    </row>
    <row r="2973" spans="7:14" ht="11.25" customHeight="1" x14ac:dyDescent="0.25">
      <c r="G2973" s="459"/>
      <c r="H2973" s="459">
        <v>2966</v>
      </c>
      <c r="I2973" s="444">
        <f t="shared" ca="1" si="140"/>
        <v>-183221036681.63675</v>
      </c>
      <c r="J2973" s="444">
        <f t="array" ref="J2973">IFERROR(INDEX('Retirement Calculator'!K:K,MATCH('Lorri 401b'!N2973,'Retirement Calculator'!A:A,0),0),0)</f>
        <v>0</v>
      </c>
      <c r="K2973" s="444">
        <f t="shared" ca="1" si="138"/>
        <v>-763420986.17348647</v>
      </c>
      <c r="L2973" s="444">
        <f t="shared" ca="1" si="139"/>
        <v>-183984457667.81024</v>
      </c>
      <c r="M2973" s="460">
        <f t="shared" si="141"/>
        <v>0.05</v>
      </c>
      <c r="N2973" s="464">
        <f t="shared" si="142"/>
        <v>141532</v>
      </c>
    </row>
    <row r="2974" spans="7:14" ht="11.25" customHeight="1" x14ac:dyDescent="0.25">
      <c r="G2974" s="459"/>
      <c r="H2974" s="459">
        <v>2967</v>
      </c>
      <c r="I2974" s="444">
        <f t="shared" ca="1" si="140"/>
        <v>-183984457667.81024</v>
      </c>
      <c r="J2974" s="444">
        <f t="array" ref="J2974">IFERROR(INDEX('Retirement Calculator'!K:K,MATCH('Lorri 401b'!N2974,'Retirement Calculator'!A:A,0),0),0)</f>
        <v>0</v>
      </c>
      <c r="K2974" s="444">
        <f t="shared" ca="1" si="138"/>
        <v>-766601906.94920933</v>
      </c>
      <c r="L2974" s="444">
        <f t="shared" ca="1" si="139"/>
        <v>-184751059574.75946</v>
      </c>
      <c r="M2974" s="460">
        <f t="shared" si="141"/>
        <v>0.05</v>
      </c>
      <c r="N2974" s="464">
        <f t="shared" si="142"/>
        <v>141563</v>
      </c>
    </row>
    <row r="2975" spans="7:14" ht="11.25" customHeight="1" x14ac:dyDescent="0.25">
      <c r="G2975" s="459"/>
      <c r="H2975" s="459">
        <v>2968</v>
      </c>
      <c r="I2975" s="444">
        <f t="shared" ca="1" si="140"/>
        <v>-184751059574.75946</v>
      </c>
      <c r="J2975" s="444">
        <f t="array" ref="J2975">IFERROR(INDEX('Retirement Calculator'!K:K,MATCH('Lorri 401b'!N2975,'Retirement Calculator'!A:A,0),0),0)</f>
        <v>0</v>
      </c>
      <c r="K2975" s="444">
        <f t="shared" ca="1" si="138"/>
        <v>-769796081.56149769</v>
      </c>
      <c r="L2975" s="444">
        <f t="shared" ca="1" si="139"/>
        <v>-185520855656.32095</v>
      </c>
      <c r="M2975" s="460">
        <f t="shared" si="141"/>
        <v>0.05</v>
      </c>
      <c r="N2975" s="464">
        <f t="shared" si="142"/>
        <v>141594</v>
      </c>
    </row>
    <row r="2976" spans="7:14" ht="11.25" customHeight="1" x14ac:dyDescent="0.25">
      <c r="G2976" s="459"/>
      <c r="H2976" s="459">
        <v>2969</v>
      </c>
      <c r="I2976" s="444">
        <f t="shared" ca="1" si="140"/>
        <v>-185520855656.32095</v>
      </c>
      <c r="J2976" s="444">
        <f t="array" ref="J2976">IFERROR(INDEX('Retirement Calculator'!K:K,MATCH('Lorri 401b'!N2976,'Retirement Calculator'!A:A,0),0),0)</f>
        <v>0</v>
      </c>
      <c r="K2976" s="444">
        <f t="shared" ca="1" si="138"/>
        <v>-773003565.23467064</v>
      </c>
      <c r="L2976" s="444">
        <f t="shared" ca="1" si="139"/>
        <v>-186293859221.55563</v>
      </c>
      <c r="M2976" s="460">
        <f t="shared" si="141"/>
        <v>0.05</v>
      </c>
      <c r="N2976" s="464">
        <f t="shared" si="142"/>
        <v>141624</v>
      </c>
    </row>
    <row r="2977" spans="7:14" ht="11.25" customHeight="1" x14ac:dyDescent="0.25">
      <c r="G2977" s="459"/>
      <c r="H2977" s="459">
        <v>2970</v>
      </c>
      <c r="I2977" s="444">
        <f t="shared" ca="1" si="140"/>
        <v>-186293859221.55563</v>
      </c>
      <c r="J2977" s="444">
        <f t="array" ref="J2977">IFERROR(INDEX('Retirement Calculator'!K:K,MATCH('Lorri 401b'!N2977,'Retirement Calculator'!A:A,0),0),0)</f>
        <v>0</v>
      </c>
      <c r="K2977" s="444">
        <f t="shared" ca="1" si="138"/>
        <v>-776224413.42314851</v>
      </c>
      <c r="L2977" s="444">
        <f t="shared" ca="1" si="139"/>
        <v>-187070083634.97879</v>
      </c>
      <c r="M2977" s="460">
        <f t="shared" si="141"/>
        <v>0.05</v>
      </c>
      <c r="N2977" s="464">
        <f t="shared" si="142"/>
        <v>141655</v>
      </c>
    </row>
    <row r="2978" spans="7:14" ht="11.25" customHeight="1" x14ac:dyDescent="0.25">
      <c r="G2978" s="459"/>
      <c r="H2978" s="459">
        <v>2971</v>
      </c>
      <c r="I2978" s="444">
        <f t="shared" ca="1" si="140"/>
        <v>-187070083634.97879</v>
      </c>
      <c r="J2978" s="444">
        <f t="array" ref="J2978">IFERROR(INDEX('Retirement Calculator'!K:K,MATCH('Lorri 401b'!N2978,'Retirement Calculator'!A:A,0),0),0)</f>
        <v>0</v>
      </c>
      <c r="K2978" s="444">
        <f t="shared" ca="1" si="138"/>
        <v>-779458681.81241167</v>
      </c>
      <c r="L2978" s="444">
        <f t="shared" ca="1" si="139"/>
        <v>-187849542316.7912</v>
      </c>
      <c r="M2978" s="460">
        <f t="shared" si="141"/>
        <v>0.05</v>
      </c>
      <c r="N2978" s="464">
        <f t="shared" si="142"/>
        <v>141685</v>
      </c>
    </row>
    <row r="2979" spans="7:14" ht="11.25" customHeight="1" x14ac:dyDescent="0.25">
      <c r="G2979" s="459"/>
      <c r="H2979" s="459">
        <v>2972</v>
      </c>
      <c r="I2979" s="444">
        <f t="shared" ca="1" si="140"/>
        <v>-187849542316.7912</v>
      </c>
      <c r="J2979" s="444">
        <f t="array" ref="J2979">IFERROR(INDEX('Retirement Calculator'!K:K,MATCH('Lorri 401b'!N2979,'Retirement Calculator'!A:A,0),0),0)</f>
        <v>0</v>
      </c>
      <c r="K2979" s="444">
        <f t="shared" ca="1" si="138"/>
        <v>-782706426.31996334</v>
      </c>
      <c r="L2979" s="444">
        <f t="shared" ca="1" si="139"/>
        <v>-188632248743.11118</v>
      </c>
      <c r="M2979" s="460">
        <f t="shared" si="141"/>
        <v>0.05</v>
      </c>
      <c r="N2979" s="464">
        <f t="shared" si="142"/>
        <v>141716</v>
      </c>
    </row>
    <row r="2980" spans="7:14" ht="11.25" customHeight="1" x14ac:dyDescent="0.25">
      <c r="G2980" s="459"/>
      <c r="H2980" s="459">
        <v>2973</v>
      </c>
      <c r="I2980" s="444">
        <f t="shared" ca="1" si="140"/>
        <v>-188632248743.11118</v>
      </c>
      <c r="J2980" s="444">
        <f t="array" ref="J2980">IFERROR(INDEX('Retirement Calculator'!K:K,MATCH('Lorri 401b'!N2980,'Retirement Calculator'!A:A,0),0),0)</f>
        <v>0</v>
      </c>
      <c r="K2980" s="444">
        <f t="shared" ca="1" si="138"/>
        <v>-785967703.09629655</v>
      </c>
      <c r="L2980" s="444">
        <f t="shared" ca="1" si="139"/>
        <v>-189418216446.20746</v>
      </c>
      <c r="M2980" s="460">
        <f t="shared" si="141"/>
        <v>0.05</v>
      </c>
      <c r="N2980" s="464">
        <f t="shared" si="142"/>
        <v>141747</v>
      </c>
    </row>
    <row r="2981" spans="7:14" ht="11.25" customHeight="1" x14ac:dyDescent="0.25">
      <c r="G2981" s="459"/>
      <c r="H2981" s="459">
        <v>2974</v>
      </c>
      <c r="I2981" s="444">
        <f t="shared" ca="1" si="140"/>
        <v>-189418216446.20746</v>
      </c>
      <c r="J2981" s="444">
        <f t="array" ref="J2981">IFERROR(INDEX('Retirement Calculator'!K:K,MATCH('Lorri 401b'!N2981,'Retirement Calculator'!A:A,0),0),0)</f>
        <v>0</v>
      </c>
      <c r="K2981" s="444">
        <f t="shared" ca="1" si="138"/>
        <v>-789242568.52586436</v>
      </c>
      <c r="L2981" s="444">
        <f t="shared" ca="1" si="139"/>
        <v>-190207459014.73334</v>
      </c>
      <c r="M2981" s="460">
        <f t="shared" si="141"/>
        <v>0.05</v>
      </c>
      <c r="N2981" s="464">
        <f t="shared" si="142"/>
        <v>141776</v>
      </c>
    </row>
    <row r="2982" spans="7:14" ht="11.25" customHeight="1" x14ac:dyDescent="0.25">
      <c r="G2982" s="459"/>
      <c r="H2982" s="459">
        <v>2975</v>
      </c>
      <c r="I2982" s="444">
        <f t="shared" ca="1" si="140"/>
        <v>-190207459014.73334</v>
      </c>
      <c r="J2982" s="444">
        <f t="array" ref="J2982">IFERROR(INDEX('Retirement Calculator'!K:K,MATCH('Lorri 401b'!N2982,'Retirement Calculator'!A:A,0),0),0)</f>
        <v>0</v>
      </c>
      <c r="K2982" s="444">
        <f t="shared" ca="1" si="138"/>
        <v>-792531079.2280556</v>
      </c>
      <c r="L2982" s="444">
        <f t="shared" ca="1" si="139"/>
        <v>-190999990093.9614</v>
      </c>
      <c r="M2982" s="460">
        <f t="shared" si="141"/>
        <v>0.05</v>
      </c>
      <c r="N2982" s="464">
        <f t="shared" si="142"/>
        <v>141807</v>
      </c>
    </row>
    <row r="2983" spans="7:14" ht="11.25" customHeight="1" x14ac:dyDescent="0.25">
      <c r="G2983" s="459"/>
      <c r="H2983" s="459">
        <v>2976</v>
      </c>
      <c r="I2983" s="444">
        <f t="shared" ca="1" si="140"/>
        <v>-190999990093.9614</v>
      </c>
      <c r="J2983" s="444">
        <f t="array" ref="J2983">IFERROR(INDEX('Retirement Calculator'!K:K,MATCH('Lorri 401b'!N2983,'Retirement Calculator'!A:A,0),0),0)</f>
        <v>0</v>
      </c>
      <c r="K2983" s="444">
        <f t="shared" ca="1" si="138"/>
        <v>-795833292.05817246</v>
      </c>
      <c r="L2983" s="444">
        <f t="shared" ca="1" si="139"/>
        <v>-191795823386.01956</v>
      </c>
      <c r="M2983" s="460">
        <f t="shared" si="141"/>
        <v>0.05</v>
      </c>
      <c r="N2983" s="464">
        <f t="shared" si="142"/>
        <v>141837</v>
      </c>
    </row>
    <row r="2984" spans="7:14" ht="11.25" customHeight="1" x14ac:dyDescent="0.25">
      <c r="G2984" s="459"/>
      <c r="H2984" s="459">
        <v>2977</v>
      </c>
      <c r="I2984" s="444">
        <f t="shared" ca="1" si="140"/>
        <v>-191795823386.01956</v>
      </c>
      <c r="J2984" s="444">
        <f t="array" ref="J2984">IFERROR(INDEX('Retirement Calculator'!K:K,MATCH('Lorri 401b'!N2984,'Retirement Calculator'!A:A,0),0),0)</f>
        <v>0</v>
      </c>
      <c r="K2984" s="444">
        <f t="shared" ca="1" si="138"/>
        <v>-799149264.10841489</v>
      </c>
      <c r="L2984" s="444">
        <f t="shared" ca="1" si="139"/>
        <v>-192594972650.12799</v>
      </c>
      <c r="M2984" s="460">
        <f t="shared" si="141"/>
        <v>0.05</v>
      </c>
      <c r="N2984" s="464">
        <f t="shared" si="142"/>
        <v>141868</v>
      </c>
    </row>
    <row r="2985" spans="7:14" ht="11.25" customHeight="1" x14ac:dyDescent="0.25">
      <c r="G2985" s="459"/>
      <c r="H2985" s="459">
        <v>2978</v>
      </c>
      <c r="I2985" s="444">
        <f t="shared" ca="1" si="140"/>
        <v>-192594972650.12799</v>
      </c>
      <c r="J2985" s="444">
        <f t="array" ref="J2985">IFERROR(INDEX('Retirement Calculator'!K:K,MATCH('Lorri 401b'!N2985,'Retirement Calculator'!A:A,0),0),0)</f>
        <v>0</v>
      </c>
      <c r="K2985" s="444">
        <f t="shared" ca="1" si="138"/>
        <v>-802479052.7088666</v>
      </c>
      <c r="L2985" s="444">
        <f t="shared" ca="1" si="139"/>
        <v>-193397451702.83685</v>
      </c>
      <c r="M2985" s="460">
        <f t="shared" si="141"/>
        <v>0.05</v>
      </c>
      <c r="N2985" s="464">
        <f t="shared" si="142"/>
        <v>141898</v>
      </c>
    </row>
    <row r="2986" spans="7:14" ht="11.25" customHeight="1" x14ac:dyDescent="0.25">
      <c r="G2986" s="459"/>
      <c r="H2986" s="459">
        <v>2979</v>
      </c>
      <c r="I2986" s="444">
        <f t="shared" ca="1" si="140"/>
        <v>-193397451702.83685</v>
      </c>
      <c r="J2986" s="444">
        <f t="array" ref="J2986">IFERROR(INDEX('Retirement Calculator'!K:K,MATCH('Lorri 401b'!N2986,'Retirement Calculator'!A:A,0),0),0)</f>
        <v>0</v>
      </c>
      <c r="K2986" s="444">
        <f t="shared" ca="1" si="138"/>
        <v>-805822715.42848682</v>
      </c>
      <c r="L2986" s="444">
        <f t="shared" ca="1" si="139"/>
        <v>-194203274418.26535</v>
      </c>
      <c r="M2986" s="460">
        <f t="shared" si="141"/>
        <v>0.05</v>
      </c>
      <c r="N2986" s="464">
        <f t="shared" si="142"/>
        <v>141929</v>
      </c>
    </row>
    <row r="2987" spans="7:14" ht="11.25" customHeight="1" x14ac:dyDescent="0.25">
      <c r="G2987" s="459"/>
      <c r="H2987" s="459">
        <v>2980</v>
      </c>
      <c r="I2987" s="444">
        <f t="shared" ca="1" si="140"/>
        <v>-194203274418.26535</v>
      </c>
      <c r="J2987" s="444">
        <f t="array" ref="J2987">IFERROR(INDEX('Retirement Calculator'!K:K,MATCH('Lorri 401b'!N2987,'Retirement Calculator'!A:A,0),0),0)</f>
        <v>0</v>
      </c>
      <c r="K2987" s="444">
        <f t="shared" ca="1" si="138"/>
        <v>-809180310.07610559</v>
      </c>
      <c r="L2987" s="444">
        <f t="shared" ca="1" si="139"/>
        <v>-195012454728.34146</v>
      </c>
      <c r="M2987" s="460">
        <f t="shared" si="141"/>
        <v>0.05</v>
      </c>
      <c r="N2987" s="464">
        <f t="shared" si="142"/>
        <v>141960</v>
      </c>
    </row>
    <row r="2988" spans="7:14" ht="11.25" customHeight="1" x14ac:dyDescent="0.25">
      <c r="G2988" s="459"/>
      <c r="H2988" s="459">
        <v>2981</v>
      </c>
      <c r="I2988" s="444">
        <f t="shared" ca="1" si="140"/>
        <v>-195012454728.34146</v>
      </c>
      <c r="J2988" s="444">
        <f t="array" ref="J2988">IFERROR(INDEX('Retirement Calculator'!K:K,MATCH('Lorri 401b'!N2988,'Retirement Calculator'!A:A,0),0),0)</f>
        <v>0</v>
      </c>
      <c r="K2988" s="444">
        <f t="shared" ca="1" si="138"/>
        <v>-812551894.70142269</v>
      </c>
      <c r="L2988" s="444">
        <f t="shared" ca="1" si="139"/>
        <v>-195825006623.04288</v>
      </c>
      <c r="M2988" s="460">
        <f t="shared" si="141"/>
        <v>0.05</v>
      </c>
      <c r="N2988" s="464">
        <f t="shared" si="142"/>
        <v>141990</v>
      </c>
    </row>
    <row r="2989" spans="7:14" ht="11.25" customHeight="1" x14ac:dyDescent="0.25">
      <c r="G2989" s="459"/>
      <c r="H2989" s="459">
        <v>2982</v>
      </c>
      <c r="I2989" s="444">
        <f t="shared" ca="1" si="140"/>
        <v>-195825006623.04288</v>
      </c>
      <c r="J2989" s="444">
        <f t="array" ref="J2989">IFERROR(INDEX('Retirement Calculator'!K:K,MATCH('Lorri 401b'!N2989,'Retirement Calculator'!A:A,0),0),0)</f>
        <v>0</v>
      </c>
      <c r="K2989" s="444">
        <f t="shared" ca="1" si="138"/>
        <v>-815937527.596012</v>
      </c>
      <c r="L2989" s="444">
        <f t="shared" ca="1" si="139"/>
        <v>-196640944150.63889</v>
      </c>
      <c r="M2989" s="460">
        <f t="shared" si="141"/>
        <v>0.05</v>
      </c>
      <c r="N2989" s="464">
        <f t="shared" si="142"/>
        <v>142021</v>
      </c>
    </row>
    <row r="2990" spans="7:14" ht="11.25" customHeight="1" x14ac:dyDescent="0.25">
      <c r="G2990" s="459"/>
      <c r="H2990" s="459">
        <v>2983</v>
      </c>
      <c r="I2990" s="444">
        <f t="shared" ca="1" si="140"/>
        <v>-196640944150.63889</v>
      </c>
      <c r="J2990" s="444">
        <f t="array" ref="J2990">IFERROR(INDEX('Retirement Calculator'!K:K,MATCH('Lorri 401b'!N2990,'Retirement Calculator'!A:A,0),0),0)</f>
        <v>0</v>
      </c>
      <c r="K2990" s="444">
        <f t="shared" ca="1" si="138"/>
        <v>-819337267.29432869</v>
      </c>
      <c r="L2990" s="444">
        <f t="shared" ca="1" si="139"/>
        <v>-197460281417.93323</v>
      </c>
      <c r="M2990" s="460">
        <f t="shared" si="141"/>
        <v>0.05</v>
      </c>
      <c r="N2990" s="464">
        <f t="shared" si="142"/>
        <v>142051</v>
      </c>
    </row>
    <row r="2991" spans="7:14" ht="11.25" customHeight="1" x14ac:dyDescent="0.25">
      <c r="G2991" s="459"/>
      <c r="H2991" s="459">
        <v>2984</v>
      </c>
      <c r="I2991" s="444">
        <f t="shared" ca="1" si="140"/>
        <v>-197460281417.93323</v>
      </c>
      <c r="J2991" s="444">
        <f t="array" ref="J2991">IFERROR(INDEX('Retirement Calculator'!K:K,MATCH('Lorri 401b'!N2991,'Retirement Calculator'!A:A,0),0),0)</f>
        <v>0</v>
      </c>
      <c r="K2991" s="444">
        <f t="shared" ca="1" si="138"/>
        <v>-822751172.57472181</v>
      </c>
      <c r="L2991" s="444">
        <f t="shared" ca="1" si="139"/>
        <v>-198283032590.50793</v>
      </c>
      <c r="M2991" s="460">
        <f t="shared" si="141"/>
        <v>0.05</v>
      </c>
      <c r="N2991" s="464">
        <f t="shared" si="142"/>
        <v>142082</v>
      </c>
    </row>
    <row r="2992" spans="7:14" ht="11.25" customHeight="1" x14ac:dyDescent="0.25">
      <c r="G2992" s="459"/>
      <c r="H2992" s="459">
        <v>2985</v>
      </c>
      <c r="I2992" s="444">
        <f t="shared" ca="1" si="140"/>
        <v>-198283032590.50793</v>
      </c>
      <c r="J2992" s="444">
        <f t="array" ref="J2992">IFERROR(INDEX('Retirement Calculator'!K:K,MATCH('Lorri 401b'!N2992,'Retirement Calculator'!A:A,0),0),0)</f>
        <v>0</v>
      </c>
      <c r="K2992" s="444">
        <f t="shared" ca="1" si="138"/>
        <v>-826179302.4604497</v>
      </c>
      <c r="L2992" s="444">
        <f t="shared" ca="1" si="139"/>
        <v>-199109211892.96838</v>
      </c>
      <c r="M2992" s="460">
        <f t="shared" si="141"/>
        <v>0.05</v>
      </c>
      <c r="N2992" s="464">
        <f t="shared" si="142"/>
        <v>142113</v>
      </c>
    </row>
    <row r="2993" spans="7:14" ht="11.25" customHeight="1" x14ac:dyDescent="0.25">
      <c r="G2993" s="459"/>
      <c r="H2993" s="459">
        <v>2986</v>
      </c>
      <c r="I2993" s="444">
        <f t="shared" ca="1" si="140"/>
        <v>-199109211892.96838</v>
      </c>
      <c r="J2993" s="444">
        <f t="array" ref="J2993">IFERROR(INDEX('Retirement Calculator'!K:K,MATCH('Lorri 401b'!N2993,'Retirement Calculator'!A:A,0),0),0)</f>
        <v>0</v>
      </c>
      <c r="K2993" s="444">
        <f t="shared" ca="1" si="138"/>
        <v>-829621716.22070158</v>
      </c>
      <c r="L2993" s="444">
        <f t="shared" ca="1" si="139"/>
        <v>-199938833609.18909</v>
      </c>
      <c r="M2993" s="460">
        <f t="shared" si="141"/>
        <v>0.05</v>
      </c>
      <c r="N2993" s="464">
        <f t="shared" si="142"/>
        <v>142141</v>
      </c>
    </row>
    <row r="2994" spans="7:14" ht="11.25" customHeight="1" x14ac:dyDescent="0.25">
      <c r="G2994" s="459"/>
      <c r="H2994" s="459">
        <v>2987</v>
      </c>
      <c r="I2994" s="444">
        <f t="shared" ca="1" si="140"/>
        <v>-199938833609.18909</v>
      </c>
      <c r="J2994" s="444">
        <f t="array" ref="J2994">IFERROR(INDEX('Retirement Calculator'!K:K,MATCH('Lorri 401b'!N2994,'Retirement Calculator'!A:A,0),0),0)</f>
        <v>0</v>
      </c>
      <c r="K2994" s="444">
        <f t="shared" ca="1" si="138"/>
        <v>-833078473.37162113</v>
      </c>
      <c r="L2994" s="444">
        <f t="shared" ca="1" si="139"/>
        <v>-200771912082.5607</v>
      </c>
      <c r="M2994" s="460">
        <f t="shared" si="141"/>
        <v>0.05</v>
      </c>
      <c r="N2994" s="464">
        <f t="shared" si="142"/>
        <v>142172</v>
      </c>
    </row>
    <row r="2995" spans="7:14" ht="11.25" customHeight="1" x14ac:dyDescent="0.25">
      <c r="G2995" s="459"/>
      <c r="H2995" s="459">
        <v>2988</v>
      </c>
      <c r="I2995" s="444">
        <f t="shared" ca="1" si="140"/>
        <v>-200771912082.5607</v>
      </c>
      <c r="J2995" s="444">
        <f t="array" ref="J2995">IFERROR(INDEX('Retirement Calculator'!K:K,MATCH('Lorri 401b'!N2995,'Retirement Calculator'!A:A,0),0),0)</f>
        <v>0</v>
      </c>
      <c r="K2995" s="444">
        <f t="shared" ca="1" si="138"/>
        <v>-836549633.67733622</v>
      </c>
      <c r="L2995" s="444">
        <f t="shared" ca="1" si="139"/>
        <v>-201608461716.23804</v>
      </c>
      <c r="M2995" s="460">
        <f t="shared" si="141"/>
        <v>0.05</v>
      </c>
      <c r="N2995" s="464">
        <f t="shared" si="142"/>
        <v>142202</v>
      </c>
    </row>
    <row r="2996" spans="7:14" ht="11.25" customHeight="1" x14ac:dyDescent="0.25">
      <c r="G2996" s="459"/>
      <c r="H2996" s="459">
        <v>2989</v>
      </c>
      <c r="I2996" s="444">
        <f t="shared" ca="1" si="140"/>
        <v>-201608461716.23804</v>
      </c>
      <c r="J2996" s="444">
        <f t="array" ref="J2996">IFERROR(INDEX('Retirement Calculator'!K:K,MATCH('Lorri 401b'!N2996,'Retirement Calculator'!A:A,0),0),0)</f>
        <v>0</v>
      </c>
      <c r="K2996" s="444">
        <f t="shared" ca="1" si="138"/>
        <v>-840035257.1509918</v>
      </c>
      <c r="L2996" s="444">
        <f t="shared" ca="1" si="139"/>
        <v>-202448496973.38904</v>
      </c>
      <c r="M2996" s="460">
        <f t="shared" si="141"/>
        <v>0.05</v>
      </c>
      <c r="N2996" s="464">
        <f t="shared" si="142"/>
        <v>142233</v>
      </c>
    </row>
    <row r="2997" spans="7:14" ht="11.25" customHeight="1" x14ac:dyDescent="0.25">
      <c r="G2997" s="459"/>
      <c r="H2997" s="459">
        <v>2990</v>
      </c>
      <c r="I2997" s="444">
        <f t="shared" ca="1" si="140"/>
        <v>-202448496973.38904</v>
      </c>
      <c r="J2997" s="444">
        <f t="array" ref="J2997">IFERROR(INDEX('Retirement Calculator'!K:K,MATCH('Lorri 401b'!N2997,'Retirement Calculator'!A:A,0),0),0)</f>
        <v>0</v>
      </c>
      <c r="K2997" s="444">
        <f t="shared" ca="1" si="138"/>
        <v>-843535404.05578768</v>
      </c>
      <c r="L2997" s="444">
        <f t="shared" ca="1" si="139"/>
        <v>-203292032377.44482</v>
      </c>
      <c r="M2997" s="460">
        <f t="shared" si="141"/>
        <v>0.05</v>
      </c>
      <c r="N2997" s="464">
        <f t="shared" si="142"/>
        <v>142263</v>
      </c>
    </row>
    <row r="2998" spans="7:14" ht="11.25" customHeight="1" x14ac:dyDescent="0.25">
      <c r="G2998" s="459"/>
      <c r="H2998" s="459">
        <v>2991</v>
      </c>
      <c r="I2998" s="444">
        <f t="shared" ca="1" si="140"/>
        <v>-203292032377.44482</v>
      </c>
      <c r="J2998" s="444">
        <f t="array" ref="J2998">IFERROR(INDEX('Retirement Calculator'!K:K,MATCH('Lorri 401b'!N2998,'Retirement Calculator'!A:A,0),0),0)</f>
        <v>0</v>
      </c>
      <c r="K2998" s="444">
        <f t="shared" ca="1" si="138"/>
        <v>-847050134.90602005</v>
      </c>
      <c r="L2998" s="444">
        <f t="shared" ca="1" si="139"/>
        <v>-204139082512.35083</v>
      </c>
      <c r="M2998" s="460">
        <f t="shared" si="141"/>
        <v>0.05</v>
      </c>
      <c r="N2998" s="464">
        <f t="shared" si="142"/>
        <v>142294</v>
      </c>
    </row>
    <row r="2999" spans="7:14" ht="11.25" customHeight="1" x14ac:dyDescent="0.25">
      <c r="G2999" s="459"/>
      <c r="H2999" s="459">
        <v>2992</v>
      </c>
      <c r="I2999" s="444">
        <f t="shared" ca="1" si="140"/>
        <v>-204139082512.35083</v>
      </c>
      <c r="J2999" s="444">
        <f t="array" ref="J2999">IFERROR(INDEX('Retirement Calculator'!K:K,MATCH('Lorri 401b'!N2999,'Retirement Calculator'!A:A,0),0),0)</f>
        <v>0</v>
      </c>
      <c r="K2999" s="444">
        <f t="shared" ca="1" si="138"/>
        <v>-850579510.46812844</v>
      </c>
      <c r="L2999" s="444">
        <f t="shared" ca="1" si="139"/>
        <v>-204989662022.81897</v>
      </c>
      <c r="M2999" s="460">
        <f t="shared" si="141"/>
        <v>0.05</v>
      </c>
      <c r="N2999" s="464">
        <f t="shared" si="142"/>
        <v>142325</v>
      </c>
    </row>
    <row r="3000" spans="7:14" ht="11.25" customHeight="1" x14ac:dyDescent="0.25">
      <c r="G3000" s="459"/>
      <c r="H3000" s="459">
        <v>2993</v>
      </c>
      <c r="I3000" s="444">
        <f t="shared" ca="1" si="140"/>
        <v>-204989662022.81897</v>
      </c>
      <c r="J3000" s="444">
        <f t="array" ref="J3000">IFERROR(INDEX('Retirement Calculator'!K:K,MATCH('Lorri 401b'!N3000,'Retirement Calculator'!A:A,0),0),0)</f>
        <v>0</v>
      </c>
      <c r="K3000" s="444">
        <f t="shared" ca="1" si="138"/>
        <v>-854123591.76174569</v>
      </c>
      <c r="L3000" s="444">
        <f t="shared" ca="1" si="139"/>
        <v>-205843785614.58072</v>
      </c>
      <c r="M3000" s="460">
        <f t="shared" si="141"/>
        <v>0.05</v>
      </c>
      <c r="N3000" s="464">
        <f t="shared" si="142"/>
        <v>142355</v>
      </c>
    </row>
    <row r="3001" spans="7:14" ht="11.25" customHeight="1" x14ac:dyDescent="0.25">
      <c r="G3001" s="459"/>
      <c r="H3001" s="459">
        <v>2994</v>
      </c>
      <c r="I3001" s="444">
        <f t="shared" ca="1" si="140"/>
        <v>-205843785614.58072</v>
      </c>
      <c r="J3001" s="444">
        <f t="array" ref="J3001">IFERROR(INDEX('Retirement Calculator'!K:K,MATCH('Lorri 401b'!N3001,'Retirement Calculator'!A:A,0),0),0)</f>
        <v>0</v>
      </c>
      <c r="K3001" s="444">
        <f t="shared" ca="1" si="138"/>
        <v>-857682440.06075299</v>
      </c>
      <c r="L3001" s="444">
        <f t="shared" ca="1" si="139"/>
        <v>-206701468054.64148</v>
      </c>
      <c r="M3001" s="460">
        <f t="shared" si="141"/>
        <v>0.05</v>
      </c>
      <c r="N3001" s="464">
        <f t="shared" si="142"/>
        <v>142386</v>
      </c>
    </row>
    <row r="3002" spans="7:14" ht="11.25" customHeight="1" x14ac:dyDescent="0.25">
      <c r="G3002" s="459"/>
      <c r="H3002" s="459">
        <v>2995</v>
      </c>
      <c r="I3002" s="444">
        <f t="shared" ca="1" si="140"/>
        <v>-206701468054.64148</v>
      </c>
      <c r="J3002" s="444">
        <f t="array" ref="J3002">IFERROR(INDEX('Retirement Calculator'!K:K,MATCH('Lorri 401b'!N3002,'Retirement Calculator'!A:A,0),0),0)</f>
        <v>0</v>
      </c>
      <c r="K3002" s="444">
        <f t="shared" ca="1" si="138"/>
        <v>-861256116.89433944</v>
      </c>
      <c r="L3002" s="444">
        <f t="shared" ca="1" si="139"/>
        <v>-207562724171.53583</v>
      </c>
      <c r="M3002" s="460">
        <f t="shared" si="141"/>
        <v>0.05</v>
      </c>
      <c r="N3002" s="464">
        <f t="shared" si="142"/>
        <v>142416</v>
      </c>
    </row>
    <row r="3003" spans="7:14" ht="11.25" customHeight="1" x14ac:dyDescent="0.25">
      <c r="G3003" s="459"/>
      <c r="H3003" s="459">
        <v>2996</v>
      </c>
      <c r="I3003" s="444">
        <f t="shared" ca="1" si="140"/>
        <v>-207562724171.53583</v>
      </c>
      <c r="J3003" s="444">
        <f t="array" ref="J3003">IFERROR(INDEX('Retirement Calculator'!K:K,MATCH('Lorri 401b'!N3003,'Retirement Calculator'!A:A,0),0),0)</f>
        <v>0</v>
      </c>
      <c r="K3003" s="444">
        <f t="shared" ca="1" si="138"/>
        <v>-864844684.0480659</v>
      </c>
      <c r="L3003" s="444">
        <f t="shared" ca="1" si="139"/>
        <v>-208427568855.58389</v>
      </c>
      <c r="M3003" s="460">
        <f t="shared" si="141"/>
        <v>0.05</v>
      </c>
      <c r="N3003" s="464">
        <f t="shared" si="142"/>
        <v>142447</v>
      </c>
    </row>
    <row r="3004" spans="7:14" ht="11.25" customHeight="1" x14ac:dyDescent="0.25">
      <c r="G3004" s="459"/>
      <c r="H3004" s="459">
        <v>2997</v>
      </c>
      <c r="I3004" s="444">
        <f t="shared" ca="1" si="140"/>
        <v>-208427568855.58389</v>
      </c>
      <c r="J3004" s="444">
        <f t="array" ref="J3004">IFERROR(INDEX('Retirement Calculator'!K:K,MATCH('Lorri 401b'!N3004,'Retirement Calculator'!A:A,0),0),0)</f>
        <v>0</v>
      </c>
      <c r="K3004" s="444">
        <f t="shared" ca="1" si="138"/>
        <v>-868448203.56493282</v>
      </c>
      <c r="L3004" s="444">
        <f t="shared" ca="1" si="139"/>
        <v>-209296017059.14883</v>
      </c>
      <c r="M3004" s="460">
        <f t="shared" si="141"/>
        <v>0.05</v>
      </c>
      <c r="N3004" s="464">
        <f t="shared" si="142"/>
        <v>142478</v>
      </c>
    </row>
    <row r="3005" spans="7:14" ht="11.25" customHeight="1" x14ac:dyDescent="0.25">
      <c r="G3005" s="459"/>
      <c r="H3005" s="459">
        <v>2998</v>
      </c>
      <c r="I3005" s="444">
        <f t="shared" ca="1" si="140"/>
        <v>-209296017059.14883</v>
      </c>
      <c r="J3005" s="444">
        <f t="array" ref="J3005">IFERROR(INDEX('Retirement Calculator'!K:K,MATCH('Lorri 401b'!N3005,'Retirement Calculator'!A:A,0),0),0)</f>
        <v>0</v>
      </c>
      <c r="K3005" s="444">
        <f t="shared" ca="1" si="138"/>
        <v>-872066737.7464534</v>
      </c>
      <c r="L3005" s="444">
        <f t="shared" ca="1" si="139"/>
        <v>-210168083796.89529</v>
      </c>
      <c r="M3005" s="460">
        <f t="shared" si="141"/>
        <v>0.05</v>
      </c>
      <c r="N3005" s="464">
        <f t="shared" si="142"/>
        <v>142506</v>
      </c>
    </row>
    <row r="3006" spans="7:14" ht="11.25" customHeight="1" x14ac:dyDescent="0.25">
      <c r="G3006" s="459"/>
      <c r="H3006" s="459">
        <v>2999</v>
      </c>
      <c r="I3006" s="444">
        <f t="shared" ca="1" si="140"/>
        <v>-210168083796.89529</v>
      </c>
      <c r="J3006" s="444">
        <f t="array" ref="J3006">IFERROR(INDEX('Retirement Calculator'!K:K,MATCH('Lorri 401b'!N3006,'Retirement Calculator'!A:A,0),0),0)</f>
        <v>0</v>
      </c>
      <c r="K3006" s="444">
        <f t="shared" ca="1" si="138"/>
        <v>-875700349.15373039</v>
      </c>
      <c r="L3006" s="444">
        <f t="shared" ca="1" si="139"/>
        <v>-211043784146.04901</v>
      </c>
      <c r="M3006" s="460">
        <f t="shared" si="141"/>
        <v>0.05</v>
      </c>
      <c r="N3006" s="464">
        <f t="shared" si="142"/>
        <v>142537</v>
      </c>
    </row>
    <row r="3007" spans="7:14" ht="11.25" customHeight="1" x14ac:dyDescent="0.25">
      <c r="G3007" s="459"/>
      <c r="H3007" s="459">
        <v>3000</v>
      </c>
      <c r="I3007" s="444">
        <f t="shared" ca="1" si="140"/>
        <v>-211043784146.04901</v>
      </c>
      <c r="J3007" s="444">
        <f t="array" ref="J3007">IFERROR(INDEX('Retirement Calculator'!K:K,MATCH('Lorri 401b'!N3007,'Retirement Calculator'!A:A,0),0),0)</f>
        <v>0</v>
      </c>
      <c r="K3007" s="444">
        <f t="shared" ca="1" si="138"/>
        <v>-879349100.60853755</v>
      </c>
      <c r="L3007" s="444">
        <f t="shared" ca="1" si="139"/>
        <v>-211923133246.65756</v>
      </c>
      <c r="M3007" s="460">
        <f t="shared" si="141"/>
        <v>0.05</v>
      </c>
      <c r="N3007" s="464">
        <f t="shared" si="142"/>
        <v>142567</v>
      </c>
    </row>
    <row r="3008" spans="7:14" ht="11.25" customHeight="1" x14ac:dyDescent="0.25">
      <c r="G3008" s="459"/>
      <c r="H3008" s="459">
        <v>3001</v>
      </c>
      <c r="I3008" s="444">
        <f t="shared" ca="1" si="140"/>
        <v>-211923133246.65756</v>
      </c>
      <c r="J3008" s="444">
        <f t="array" ref="J3008">IFERROR(INDEX('Retirement Calculator'!K:K,MATCH('Lorri 401b'!N3008,'Retirement Calculator'!A:A,0),0),0)</f>
        <v>0</v>
      </c>
      <c r="K3008" s="444">
        <f t="shared" ca="1" si="138"/>
        <v>-883013055.19440651</v>
      </c>
      <c r="L3008" s="444">
        <f t="shared" ca="1" si="139"/>
        <v>-212806146301.85196</v>
      </c>
      <c r="M3008" s="460">
        <f t="shared" si="141"/>
        <v>0.05</v>
      </c>
      <c r="N3008" s="464">
        <f t="shared" si="142"/>
        <v>142598</v>
      </c>
    </row>
    <row r="3009" spans="7:14" ht="11.25" customHeight="1" x14ac:dyDescent="0.25">
      <c r="G3009" s="459"/>
      <c r="H3009" s="459">
        <v>3002</v>
      </c>
      <c r="I3009" s="444">
        <f t="shared" ca="1" si="140"/>
        <v>-212806146301.85196</v>
      </c>
      <c r="J3009" s="444">
        <f t="array" ref="J3009">IFERROR(INDEX('Retirement Calculator'!K:K,MATCH('Lorri 401b'!N3009,'Retirement Calculator'!A:A,0),0),0)</f>
        <v>0</v>
      </c>
      <c r="K3009" s="444">
        <f t="shared" ca="1" si="138"/>
        <v>-886692276.25771654</v>
      </c>
      <c r="L3009" s="444">
        <f t="shared" ca="1" si="139"/>
        <v>-213692838578.10968</v>
      </c>
      <c r="M3009" s="460">
        <f t="shared" si="141"/>
        <v>0.05</v>
      </c>
      <c r="N3009" s="464">
        <f t="shared" si="142"/>
        <v>142628</v>
      </c>
    </row>
    <row r="3010" spans="7:14" ht="11.25" customHeight="1" x14ac:dyDescent="0.25">
      <c r="G3010" s="459"/>
      <c r="H3010" s="459">
        <v>3003</v>
      </c>
      <c r="I3010" s="444">
        <f t="shared" ca="1" si="140"/>
        <v>-213692838578.10968</v>
      </c>
      <c r="J3010" s="444">
        <f t="array" ref="J3010">IFERROR(INDEX('Retirement Calculator'!K:K,MATCH('Lorri 401b'!N3010,'Retirement Calculator'!A:A,0),0),0)</f>
        <v>0</v>
      </c>
      <c r="K3010" s="444">
        <f t="shared" ca="1" si="138"/>
        <v>-890386827.40879035</v>
      </c>
      <c r="L3010" s="444">
        <f t="shared" ca="1" si="139"/>
        <v>-214583225405.51846</v>
      </c>
      <c r="M3010" s="460">
        <f t="shared" si="141"/>
        <v>0.05</v>
      </c>
      <c r="N3010" s="464">
        <f t="shared" si="142"/>
        <v>142659</v>
      </c>
    </row>
    <row r="3011" spans="7:14" ht="11.25" customHeight="1" x14ac:dyDescent="0.25">
      <c r="G3011" s="459"/>
      <c r="H3011" s="459">
        <v>3004</v>
      </c>
      <c r="I3011" s="444">
        <f t="shared" ca="1" si="140"/>
        <v>-214583225405.51846</v>
      </c>
      <c r="J3011" s="444">
        <f t="array" ref="J3011">IFERROR(INDEX('Retirement Calculator'!K:K,MATCH('Lorri 401b'!N3011,'Retirement Calculator'!A:A,0),0),0)</f>
        <v>0</v>
      </c>
      <c r="K3011" s="444">
        <f t="shared" ca="1" si="138"/>
        <v>-894096772.52299368</v>
      </c>
      <c r="L3011" s="444">
        <f t="shared" ca="1" si="139"/>
        <v>-215477322178.04144</v>
      </c>
      <c r="M3011" s="460">
        <f t="shared" si="141"/>
        <v>0.05</v>
      </c>
      <c r="N3011" s="464">
        <f t="shared" si="142"/>
        <v>142690</v>
      </c>
    </row>
    <row r="3012" spans="7:14" ht="11.25" customHeight="1" x14ac:dyDescent="0.25">
      <c r="G3012" s="459"/>
      <c r="H3012" s="459">
        <v>3005</v>
      </c>
      <c r="I3012" s="444">
        <f t="shared" ca="1" si="140"/>
        <v>-215477322178.04144</v>
      </c>
      <c r="J3012" s="444">
        <f t="array" ref="J3012">IFERROR(INDEX('Retirement Calculator'!K:K,MATCH('Lorri 401b'!N3012,'Retirement Calculator'!A:A,0),0),0)</f>
        <v>0</v>
      </c>
      <c r="K3012" s="444">
        <f t="shared" ca="1" si="138"/>
        <v>-897822175.74183929</v>
      </c>
      <c r="L3012" s="444">
        <f t="shared" ca="1" si="139"/>
        <v>-216375144353.78329</v>
      </c>
      <c r="M3012" s="460">
        <f t="shared" si="141"/>
        <v>0.05</v>
      </c>
      <c r="N3012" s="464">
        <f t="shared" si="142"/>
        <v>142720</v>
      </c>
    </row>
    <row r="3013" spans="7:14" ht="11.25" customHeight="1" x14ac:dyDescent="0.25">
      <c r="G3013" s="459"/>
      <c r="H3013" s="459">
        <v>3006</v>
      </c>
      <c r="I3013" s="444">
        <f t="shared" ca="1" si="140"/>
        <v>-216375144353.78329</v>
      </c>
      <c r="J3013" s="444">
        <f t="array" ref="J3013">IFERROR(INDEX('Retirement Calculator'!K:K,MATCH('Lorri 401b'!N3013,'Retirement Calculator'!A:A,0),0),0)</f>
        <v>0</v>
      </c>
      <c r="K3013" s="444">
        <f t="shared" ca="1" si="138"/>
        <v>-901563101.47409701</v>
      </c>
      <c r="L3013" s="444">
        <f t="shared" ca="1" si="139"/>
        <v>-217276707455.25739</v>
      </c>
      <c r="M3013" s="460">
        <f t="shared" si="141"/>
        <v>0.05</v>
      </c>
      <c r="N3013" s="464">
        <f t="shared" si="142"/>
        <v>142751</v>
      </c>
    </row>
    <row r="3014" spans="7:14" ht="11.25" customHeight="1" x14ac:dyDescent="0.25">
      <c r="G3014" s="459"/>
      <c r="H3014" s="459">
        <v>3007</v>
      </c>
      <c r="I3014" s="444">
        <f t="shared" ca="1" si="140"/>
        <v>-217276707455.25739</v>
      </c>
      <c r="J3014" s="444">
        <f t="array" ref="J3014">IFERROR(INDEX('Retirement Calculator'!K:K,MATCH('Lorri 401b'!N3014,'Retirement Calculator'!A:A,0),0),0)</f>
        <v>0</v>
      </c>
      <c r="K3014" s="444">
        <f t="shared" ca="1" si="138"/>
        <v>-905319614.39690566</v>
      </c>
      <c r="L3014" s="444">
        <f t="shared" ca="1" si="139"/>
        <v>-218182027069.6543</v>
      </c>
      <c r="M3014" s="460">
        <f t="shared" si="141"/>
        <v>0.05</v>
      </c>
      <c r="N3014" s="464">
        <f t="shared" si="142"/>
        <v>142781</v>
      </c>
    </row>
    <row r="3015" spans="7:14" ht="11.25" customHeight="1" x14ac:dyDescent="0.25">
      <c r="G3015" s="459"/>
      <c r="H3015" s="459">
        <v>3008</v>
      </c>
      <c r="I3015" s="444">
        <f t="shared" ca="1" si="140"/>
        <v>-218182027069.6543</v>
      </c>
      <c r="J3015" s="444">
        <f t="array" ref="J3015">IFERROR(INDEX('Retirement Calculator'!K:K,MATCH('Lorri 401b'!N3015,'Retirement Calculator'!A:A,0),0),0)</f>
        <v>0</v>
      </c>
      <c r="K3015" s="444">
        <f t="shared" ca="1" si="138"/>
        <v>-909091779.45689273</v>
      </c>
      <c r="L3015" s="444">
        <f t="shared" ca="1" si="139"/>
        <v>-219091118849.11118</v>
      </c>
      <c r="M3015" s="460">
        <f t="shared" si="141"/>
        <v>0.05</v>
      </c>
      <c r="N3015" s="464">
        <f t="shared" si="142"/>
        <v>142812</v>
      </c>
    </row>
    <row r="3016" spans="7:14" ht="11.25" customHeight="1" x14ac:dyDescent="0.25">
      <c r="G3016" s="459"/>
      <c r="H3016" s="459">
        <v>3009</v>
      </c>
      <c r="I3016" s="444">
        <f t="shared" ca="1" si="140"/>
        <v>-219091118849.11118</v>
      </c>
      <c r="J3016" s="444">
        <f t="array" ref="J3016">IFERROR(INDEX('Retirement Calculator'!K:K,MATCH('Lorri 401b'!N3016,'Retirement Calculator'!A:A,0),0),0)</f>
        <v>0</v>
      </c>
      <c r="K3016" s="444">
        <f t="shared" ca="1" si="138"/>
        <v>-912879661.87129653</v>
      </c>
      <c r="L3016" s="444">
        <f t="shared" ca="1" si="139"/>
        <v>-220003998510.98248</v>
      </c>
      <c r="M3016" s="460">
        <f t="shared" si="141"/>
        <v>0.05</v>
      </c>
      <c r="N3016" s="464">
        <f t="shared" si="142"/>
        <v>142843</v>
      </c>
    </row>
    <row r="3017" spans="7:14" ht="11.25" customHeight="1" x14ac:dyDescent="0.25">
      <c r="G3017" s="459"/>
      <c r="H3017" s="459">
        <v>3010</v>
      </c>
      <c r="I3017" s="444">
        <f t="shared" ca="1" si="140"/>
        <v>-220003998510.98248</v>
      </c>
      <c r="J3017" s="444">
        <f t="array" ref="J3017">IFERROR(INDEX('Retirement Calculator'!K:K,MATCH('Lorri 401b'!N3017,'Retirement Calculator'!A:A,0),0),0)</f>
        <v>0</v>
      </c>
      <c r="K3017" s="444">
        <f t="shared" ca="1" si="138"/>
        <v>-916683327.12909377</v>
      </c>
      <c r="L3017" s="444">
        <f t="shared" ca="1" si="139"/>
        <v>-220920681838.11157</v>
      </c>
      <c r="M3017" s="460">
        <f t="shared" si="141"/>
        <v>0.05</v>
      </c>
      <c r="N3017" s="464">
        <f t="shared" si="142"/>
        <v>142871</v>
      </c>
    </row>
    <row r="3018" spans="7:14" ht="11.25" customHeight="1" x14ac:dyDescent="0.25">
      <c r="G3018" s="459"/>
      <c r="H3018" s="459">
        <v>3011</v>
      </c>
      <c r="I3018" s="444">
        <f t="shared" ca="1" si="140"/>
        <v>-220920681838.11157</v>
      </c>
      <c r="J3018" s="444">
        <f t="array" ref="J3018">IFERROR(INDEX('Retirement Calculator'!K:K,MATCH('Lorri 401b'!N3018,'Retirement Calculator'!A:A,0),0),0)</f>
        <v>0</v>
      </c>
      <c r="K3018" s="444">
        <f t="shared" ca="1" si="138"/>
        <v>-920502840.99213135</v>
      </c>
      <c r="L3018" s="444">
        <f t="shared" ca="1" si="139"/>
        <v>-221841184679.1037</v>
      </c>
      <c r="M3018" s="460">
        <f t="shared" si="141"/>
        <v>0.05</v>
      </c>
      <c r="N3018" s="464">
        <f t="shared" si="142"/>
        <v>142902</v>
      </c>
    </row>
    <row r="3019" spans="7:14" ht="11.25" customHeight="1" x14ac:dyDescent="0.25">
      <c r="G3019" s="459"/>
      <c r="H3019" s="459">
        <v>3012</v>
      </c>
      <c r="I3019" s="444">
        <f t="shared" ca="1" si="140"/>
        <v>-221841184679.1037</v>
      </c>
      <c r="J3019" s="444">
        <f t="array" ref="J3019">IFERROR(INDEX('Retirement Calculator'!K:K,MATCH('Lorri 401b'!N3019,'Retirement Calculator'!A:A,0),0),0)</f>
        <v>0</v>
      </c>
      <c r="K3019" s="444">
        <f t="shared" ca="1" si="138"/>
        <v>-924338269.49626541</v>
      </c>
      <c r="L3019" s="444">
        <f t="shared" ca="1" si="139"/>
        <v>-222765522948.59998</v>
      </c>
      <c r="M3019" s="460">
        <f t="shared" si="141"/>
        <v>0.05</v>
      </c>
      <c r="N3019" s="464">
        <f t="shared" si="142"/>
        <v>142932</v>
      </c>
    </row>
    <row r="3020" spans="7:14" ht="11.25" customHeight="1" x14ac:dyDescent="0.25">
      <c r="G3020" s="459"/>
      <c r="H3020" s="459">
        <v>3013</v>
      </c>
      <c r="I3020" s="444">
        <f t="shared" ca="1" si="140"/>
        <v>-222765522948.59998</v>
      </c>
      <c r="J3020" s="444">
        <f t="array" ref="J3020">IFERROR(INDEX('Retirement Calculator'!K:K,MATCH('Lorri 401b'!N3020,'Retirement Calculator'!A:A,0),0),0)</f>
        <v>0</v>
      </c>
      <c r="K3020" s="444">
        <f t="shared" ca="1" si="138"/>
        <v>-928189678.95249987</v>
      </c>
      <c r="L3020" s="444">
        <f t="shared" ca="1" si="139"/>
        <v>-223693712627.55249</v>
      </c>
      <c r="M3020" s="460">
        <f t="shared" si="141"/>
        <v>0.05</v>
      </c>
      <c r="N3020" s="464">
        <f t="shared" si="142"/>
        <v>142963</v>
      </c>
    </row>
    <row r="3021" spans="7:14" ht="11.25" customHeight="1" x14ac:dyDescent="0.25">
      <c r="G3021" s="459"/>
      <c r="H3021" s="459">
        <v>3014</v>
      </c>
      <c r="I3021" s="444">
        <f t="shared" ca="1" si="140"/>
        <v>-223693712627.55249</v>
      </c>
      <c r="J3021" s="444">
        <f t="array" ref="J3021">IFERROR(INDEX('Retirement Calculator'!K:K,MATCH('Lorri 401b'!N3021,'Retirement Calculator'!A:A,0),0),0)</f>
        <v>0</v>
      </c>
      <c r="K3021" s="444">
        <f t="shared" ca="1" si="138"/>
        <v>-932057135.94813538</v>
      </c>
      <c r="L3021" s="444">
        <f t="shared" ca="1" si="139"/>
        <v>-224625769763.50061</v>
      </c>
      <c r="M3021" s="460">
        <f t="shared" si="141"/>
        <v>0.05</v>
      </c>
      <c r="N3021" s="464">
        <f t="shared" si="142"/>
        <v>142993</v>
      </c>
    </row>
    <row r="3022" spans="7:14" ht="11.25" customHeight="1" x14ac:dyDescent="0.25">
      <c r="G3022" s="459"/>
      <c r="H3022" s="459">
        <v>3015</v>
      </c>
      <c r="I3022" s="444">
        <f t="shared" ca="1" si="140"/>
        <v>-224625769763.50061</v>
      </c>
      <c r="J3022" s="444">
        <f t="array" ref="J3022">IFERROR(INDEX('Retirement Calculator'!K:K,MATCH('Lorri 401b'!N3022,'Retirement Calculator'!A:A,0),0),0)</f>
        <v>0</v>
      </c>
      <c r="K3022" s="444">
        <f t="shared" ca="1" si="138"/>
        <v>-935940707.34791923</v>
      </c>
      <c r="L3022" s="444">
        <f t="shared" ca="1" si="139"/>
        <v>-225561710470.84854</v>
      </c>
      <c r="M3022" s="460">
        <f t="shared" si="141"/>
        <v>0.05</v>
      </c>
      <c r="N3022" s="464">
        <f t="shared" si="142"/>
        <v>143024</v>
      </c>
    </row>
    <row r="3023" spans="7:14" ht="11.25" customHeight="1" x14ac:dyDescent="0.25">
      <c r="G3023" s="459"/>
      <c r="H3023" s="459">
        <v>3016</v>
      </c>
      <c r="I3023" s="444">
        <f t="shared" ca="1" si="140"/>
        <v>-225561710470.84854</v>
      </c>
      <c r="J3023" s="444">
        <f t="array" ref="J3023">IFERROR(INDEX('Retirement Calculator'!K:K,MATCH('Lorri 401b'!N3023,'Retirement Calculator'!A:A,0),0),0)</f>
        <v>0</v>
      </c>
      <c r="K3023" s="444">
        <f t="shared" ca="1" si="138"/>
        <v>-939840460.29520226</v>
      </c>
      <c r="L3023" s="444">
        <f t="shared" ca="1" si="139"/>
        <v>-226501550931.14374</v>
      </c>
      <c r="M3023" s="460">
        <f t="shared" si="141"/>
        <v>0.05</v>
      </c>
      <c r="N3023" s="464">
        <f t="shared" si="142"/>
        <v>143055</v>
      </c>
    </row>
    <row r="3024" spans="7:14" ht="11.25" customHeight="1" x14ac:dyDescent="0.25">
      <c r="G3024" s="459"/>
      <c r="H3024" s="459">
        <v>3017</v>
      </c>
      <c r="I3024" s="444">
        <f t="shared" ca="1" si="140"/>
        <v>-226501550931.14374</v>
      </c>
      <c r="J3024" s="444">
        <f t="array" ref="J3024">IFERROR(INDEX('Retirement Calculator'!K:K,MATCH('Lorri 401b'!N3024,'Retirement Calculator'!A:A,0),0),0)</f>
        <v>0</v>
      </c>
      <c r="K3024" s="444">
        <f t="shared" ca="1" si="138"/>
        <v>-943756462.21309888</v>
      </c>
      <c r="L3024" s="444">
        <f t="shared" ca="1" si="139"/>
        <v>-227445307393.35684</v>
      </c>
      <c r="M3024" s="460">
        <f t="shared" si="141"/>
        <v>0.05</v>
      </c>
      <c r="N3024" s="464">
        <f t="shared" si="142"/>
        <v>143085</v>
      </c>
    </row>
    <row r="3025" spans="7:14" ht="11.25" customHeight="1" x14ac:dyDescent="0.25">
      <c r="G3025" s="459"/>
      <c r="H3025" s="459">
        <v>3018</v>
      </c>
      <c r="I3025" s="444">
        <f t="shared" ca="1" si="140"/>
        <v>-227445307393.35684</v>
      </c>
      <c r="J3025" s="444">
        <f t="array" ref="J3025">IFERROR(INDEX('Retirement Calculator'!K:K,MATCH('Lorri 401b'!N3025,'Retirement Calculator'!A:A,0),0),0)</f>
        <v>0</v>
      </c>
      <c r="K3025" s="444">
        <f t="shared" ca="1" si="138"/>
        <v>-947688780.80565345</v>
      </c>
      <c r="L3025" s="444">
        <f t="shared" ca="1" si="139"/>
        <v>-228392996174.16251</v>
      </c>
      <c r="M3025" s="460">
        <f t="shared" si="141"/>
        <v>0.05</v>
      </c>
      <c r="N3025" s="464">
        <f t="shared" si="142"/>
        <v>143116</v>
      </c>
    </row>
    <row r="3026" spans="7:14" ht="11.25" customHeight="1" x14ac:dyDescent="0.25">
      <c r="G3026" s="459"/>
      <c r="H3026" s="459">
        <v>3019</v>
      </c>
      <c r="I3026" s="444">
        <f t="shared" ca="1" si="140"/>
        <v>-228392996174.16251</v>
      </c>
      <c r="J3026" s="444">
        <f t="array" ref="J3026">IFERROR(INDEX('Retirement Calculator'!K:K,MATCH('Lorri 401b'!N3026,'Retirement Calculator'!A:A,0),0),0)</f>
        <v>0</v>
      </c>
      <c r="K3026" s="444">
        <f t="shared" ca="1" si="138"/>
        <v>-951637484.05901039</v>
      </c>
      <c r="L3026" s="444">
        <f t="shared" ca="1" si="139"/>
        <v>-229344633658.22153</v>
      </c>
      <c r="M3026" s="460">
        <f t="shared" si="141"/>
        <v>0.05</v>
      </c>
      <c r="N3026" s="464">
        <f t="shared" si="142"/>
        <v>143146</v>
      </c>
    </row>
    <row r="3027" spans="7:14" ht="11.25" customHeight="1" x14ac:dyDescent="0.25">
      <c r="G3027" s="459"/>
      <c r="H3027" s="459">
        <v>3020</v>
      </c>
      <c r="I3027" s="444">
        <f t="shared" ca="1" si="140"/>
        <v>-229344633658.22153</v>
      </c>
      <c r="J3027" s="444">
        <f t="array" ref="J3027">IFERROR(INDEX('Retirement Calculator'!K:K,MATCH('Lorri 401b'!N3027,'Retirement Calculator'!A:A,0),0),0)</f>
        <v>0</v>
      </c>
      <c r="K3027" s="444">
        <f t="shared" ca="1" si="138"/>
        <v>-955602640.24258971</v>
      </c>
      <c r="L3027" s="444">
        <f t="shared" ca="1" si="139"/>
        <v>-230300236298.46411</v>
      </c>
      <c r="M3027" s="460">
        <f t="shared" si="141"/>
        <v>0.05</v>
      </c>
      <c r="N3027" s="464">
        <f t="shared" si="142"/>
        <v>143177</v>
      </c>
    </row>
    <row r="3028" spans="7:14" ht="11.25" customHeight="1" x14ac:dyDescent="0.25">
      <c r="G3028" s="459"/>
      <c r="H3028" s="459">
        <v>3021</v>
      </c>
      <c r="I3028" s="444">
        <f t="shared" ca="1" si="140"/>
        <v>-230300236298.46411</v>
      </c>
      <c r="J3028" s="444">
        <f t="array" ref="J3028">IFERROR(INDEX('Retirement Calculator'!K:K,MATCH('Lorri 401b'!N3028,'Retirement Calculator'!A:A,0),0),0)</f>
        <v>0</v>
      </c>
      <c r="K3028" s="444">
        <f t="shared" ca="1" si="138"/>
        <v>-959584317.91026711</v>
      </c>
      <c r="L3028" s="444">
        <f t="shared" ca="1" si="139"/>
        <v>-231259820616.37439</v>
      </c>
      <c r="M3028" s="460">
        <f t="shared" si="141"/>
        <v>0.05</v>
      </c>
      <c r="N3028" s="464">
        <f t="shared" si="142"/>
        <v>143208</v>
      </c>
    </row>
    <row r="3029" spans="7:14" ht="11.25" customHeight="1" x14ac:dyDescent="0.25">
      <c r="G3029" s="459"/>
      <c r="H3029" s="459">
        <v>3022</v>
      </c>
      <c r="I3029" s="444">
        <f t="shared" ca="1" si="140"/>
        <v>-231259820616.37439</v>
      </c>
      <c r="J3029" s="444">
        <f t="array" ref="J3029">IFERROR(INDEX('Retirement Calculator'!K:K,MATCH('Lorri 401b'!N3029,'Retirement Calculator'!A:A,0),0),0)</f>
        <v>0</v>
      </c>
      <c r="K3029" s="444">
        <f t="shared" ca="1" si="138"/>
        <v>-963582585.90155995</v>
      </c>
      <c r="L3029" s="444">
        <f t="shared" ca="1" si="139"/>
        <v>-232223403202.27594</v>
      </c>
      <c r="M3029" s="460">
        <f t="shared" si="141"/>
        <v>0.05</v>
      </c>
      <c r="N3029" s="464">
        <f t="shared" si="142"/>
        <v>143237</v>
      </c>
    </row>
    <row r="3030" spans="7:14" ht="11.25" customHeight="1" x14ac:dyDescent="0.25">
      <c r="G3030" s="459"/>
      <c r="H3030" s="459">
        <v>3023</v>
      </c>
      <c r="I3030" s="444">
        <f t="shared" ca="1" si="140"/>
        <v>-232223403202.27594</v>
      </c>
      <c r="J3030" s="444">
        <f t="array" ref="J3030">IFERROR(INDEX('Retirement Calculator'!K:K,MATCH('Lorri 401b'!N3030,'Retirement Calculator'!A:A,0),0),0)</f>
        <v>0</v>
      </c>
      <c r="K3030" s="444">
        <f t="shared" ca="1" si="138"/>
        <v>-967597513.34281635</v>
      </c>
      <c r="L3030" s="444">
        <f t="shared" ca="1" si="139"/>
        <v>-233191000715.61874</v>
      </c>
      <c r="M3030" s="460">
        <f t="shared" si="141"/>
        <v>0.05</v>
      </c>
      <c r="N3030" s="464">
        <f t="shared" si="142"/>
        <v>143268</v>
      </c>
    </row>
    <row r="3031" spans="7:14" ht="11.25" customHeight="1" x14ac:dyDescent="0.25">
      <c r="G3031" s="459"/>
      <c r="H3031" s="459">
        <v>3024</v>
      </c>
      <c r="I3031" s="444">
        <f t="shared" ca="1" si="140"/>
        <v>-233191000715.61874</v>
      </c>
      <c r="J3031" s="444">
        <f t="array" ref="J3031">IFERROR(INDEX('Retirement Calculator'!K:K,MATCH('Lorri 401b'!N3031,'Retirement Calculator'!A:A,0),0),0)</f>
        <v>0</v>
      </c>
      <c r="K3031" s="444">
        <f t="shared" ca="1" si="138"/>
        <v>-971629169.64841139</v>
      </c>
      <c r="L3031" s="444">
        <f t="shared" ca="1" si="139"/>
        <v>-234162629885.26715</v>
      </c>
      <c r="M3031" s="460">
        <f t="shared" si="141"/>
        <v>0.05</v>
      </c>
      <c r="N3031" s="464">
        <f t="shared" si="142"/>
        <v>143298</v>
      </c>
    </row>
    <row r="3032" spans="7:14" ht="11.25" customHeight="1" x14ac:dyDescent="0.25">
      <c r="G3032" s="459"/>
      <c r="H3032" s="459">
        <v>3025</v>
      </c>
      <c r="I3032" s="444">
        <f t="shared" ca="1" si="140"/>
        <v>-234162629885.26715</v>
      </c>
      <c r="J3032" s="444">
        <f t="array" ref="J3032">IFERROR(INDEX('Retirement Calculator'!K:K,MATCH('Lorri 401b'!N3032,'Retirement Calculator'!A:A,0),0),0)</f>
        <v>0</v>
      </c>
      <c r="K3032" s="444">
        <f t="shared" ca="1" si="138"/>
        <v>-975677624.52194655</v>
      </c>
      <c r="L3032" s="444">
        <f t="shared" ca="1" si="139"/>
        <v>-235138307509.78909</v>
      </c>
      <c r="M3032" s="460">
        <f t="shared" si="141"/>
        <v>0.05</v>
      </c>
      <c r="N3032" s="464">
        <f t="shared" si="142"/>
        <v>143329</v>
      </c>
    </row>
    <row r="3033" spans="7:14" ht="11.25" customHeight="1" x14ac:dyDescent="0.25">
      <c r="G3033" s="459"/>
      <c r="H3033" s="459">
        <v>3026</v>
      </c>
      <c r="I3033" s="444">
        <f t="shared" ca="1" si="140"/>
        <v>-235138307509.78909</v>
      </c>
      <c r="J3033" s="444">
        <f t="array" ref="J3033">IFERROR(INDEX('Retirement Calculator'!K:K,MATCH('Lorri 401b'!N3033,'Retirement Calculator'!A:A,0),0),0)</f>
        <v>0</v>
      </c>
      <c r="K3033" s="444">
        <f t="shared" ca="1" si="138"/>
        <v>-979742947.95745456</v>
      </c>
      <c r="L3033" s="444">
        <f t="shared" ca="1" si="139"/>
        <v>-236118050457.74655</v>
      </c>
      <c r="M3033" s="460">
        <f t="shared" si="141"/>
        <v>0.05</v>
      </c>
      <c r="N3033" s="464">
        <f t="shared" si="142"/>
        <v>143359</v>
      </c>
    </row>
    <row r="3034" spans="7:14" ht="11.25" customHeight="1" x14ac:dyDescent="0.25">
      <c r="G3034" s="459"/>
      <c r="H3034" s="459">
        <v>3027</v>
      </c>
      <c r="I3034" s="444">
        <f t="shared" ca="1" si="140"/>
        <v>-236118050457.74655</v>
      </c>
      <c r="J3034" s="444">
        <f t="array" ref="J3034">IFERROR(INDEX('Retirement Calculator'!K:K,MATCH('Lorri 401b'!N3034,'Retirement Calculator'!A:A,0),0),0)</f>
        <v>0</v>
      </c>
      <c r="K3034" s="444">
        <f t="shared" ca="1" si="138"/>
        <v>-983825210.2406106</v>
      </c>
      <c r="L3034" s="444">
        <f t="shared" ca="1" si="139"/>
        <v>-237101875667.98715</v>
      </c>
      <c r="M3034" s="460">
        <f t="shared" si="141"/>
        <v>0.05</v>
      </c>
      <c r="N3034" s="464">
        <f t="shared" si="142"/>
        <v>143390</v>
      </c>
    </row>
    <row r="3035" spans="7:14" ht="11.25" customHeight="1" x14ac:dyDescent="0.25">
      <c r="G3035" s="459"/>
      <c r="H3035" s="459">
        <v>3028</v>
      </c>
      <c r="I3035" s="444">
        <f t="shared" ca="1" si="140"/>
        <v>-237101875667.98715</v>
      </c>
      <c r="J3035" s="444">
        <f t="array" ref="J3035">IFERROR(INDEX('Retirement Calculator'!K:K,MATCH('Lorri 401b'!N3035,'Retirement Calculator'!A:A,0),0),0)</f>
        <v>0</v>
      </c>
      <c r="K3035" s="444">
        <f t="shared" ca="1" si="138"/>
        <v>-987924481.94994628</v>
      </c>
      <c r="L3035" s="444">
        <f t="shared" ca="1" si="139"/>
        <v>-238089800149.9371</v>
      </c>
      <c r="M3035" s="460">
        <f t="shared" si="141"/>
        <v>0.05</v>
      </c>
      <c r="N3035" s="464">
        <f t="shared" si="142"/>
        <v>143421</v>
      </c>
    </row>
    <row r="3036" spans="7:14" ht="11.25" customHeight="1" x14ac:dyDescent="0.25">
      <c r="G3036" s="459"/>
      <c r="H3036" s="459">
        <v>3029</v>
      </c>
      <c r="I3036" s="444">
        <f t="shared" ca="1" si="140"/>
        <v>-238089800149.9371</v>
      </c>
      <c r="J3036" s="444">
        <f t="array" ref="J3036">IFERROR(INDEX('Retirement Calculator'!K:K,MATCH('Lorri 401b'!N3036,'Retirement Calculator'!A:A,0),0),0)</f>
        <v>0</v>
      </c>
      <c r="K3036" s="444">
        <f t="shared" ca="1" si="138"/>
        <v>-992040833.95807111</v>
      </c>
      <c r="L3036" s="444">
        <f t="shared" ca="1" si="139"/>
        <v>-239081840983.89517</v>
      </c>
      <c r="M3036" s="460">
        <f t="shared" si="141"/>
        <v>0.05</v>
      </c>
      <c r="N3036" s="464">
        <f t="shared" si="142"/>
        <v>143451</v>
      </c>
    </row>
    <row r="3037" spans="7:14" ht="11.25" customHeight="1" x14ac:dyDescent="0.25">
      <c r="G3037" s="459"/>
      <c r="H3037" s="459">
        <v>3030</v>
      </c>
      <c r="I3037" s="444">
        <f t="shared" ca="1" si="140"/>
        <v>-239081840983.89517</v>
      </c>
      <c r="J3037" s="444">
        <f t="array" ref="J3037">IFERROR(INDEX('Retirement Calculator'!K:K,MATCH('Lorri 401b'!N3037,'Retirement Calculator'!A:A,0),0),0)</f>
        <v>0</v>
      </c>
      <c r="K3037" s="444">
        <f t="shared" ca="1" si="138"/>
        <v>-996174337.43289638</v>
      </c>
      <c r="L3037" s="444">
        <f t="shared" ca="1" si="139"/>
        <v>-240078015321.32806</v>
      </c>
      <c r="M3037" s="460">
        <f t="shared" si="141"/>
        <v>0.05</v>
      </c>
      <c r="N3037" s="464">
        <f t="shared" si="142"/>
        <v>143482</v>
      </c>
    </row>
    <row r="3038" spans="7:14" ht="11.25" customHeight="1" x14ac:dyDescent="0.25">
      <c r="G3038" s="459"/>
      <c r="H3038" s="459">
        <v>3031</v>
      </c>
      <c r="I3038" s="444">
        <f t="shared" ca="1" si="140"/>
        <v>-240078015321.32806</v>
      </c>
      <c r="J3038" s="444">
        <f t="array" ref="J3038">IFERROR(INDEX('Retirement Calculator'!K:K,MATCH('Lorri 401b'!N3038,'Retirement Calculator'!A:A,0),0),0)</f>
        <v>0</v>
      </c>
      <c r="K3038" s="444">
        <f t="shared" ca="1" si="138"/>
        <v>-1000325063.8388669</v>
      </c>
      <c r="L3038" s="444">
        <f t="shared" ca="1" si="139"/>
        <v>-241078340385.16693</v>
      </c>
      <c r="M3038" s="460">
        <f t="shared" si="141"/>
        <v>0.05</v>
      </c>
      <c r="N3038" s="464">
        <f t="shared" si="142"/>
        <v>143512</v>
      </c>
    </row>
    <row r="3039" spans="7:14" ht="11.25" customHeight="1" x14ac:dyDescent="0.25">
      <c r="G3039" s="459"/>
      <c r="H3039" s="459">
        <v>3032</v>
      </c>
      <c r="I3039" s="444">
        <f t="shared" ca="1" si="140"/>
        <v>-241078340385.16693</v>
      </c>
      <c r="J3039" s="444">
        <f t="array" ref="J3039">IFERROR(INDEX('Retirement Calculator'!K:K,MATCH('Lorri 401b'!N3039,'Retirement Calculator'!A:A,0),0),0)</f>
        <v>0</v>
      </c>
      <c r="K3039" s="444">
        <f t="shared" ca="1" si="138"/>
        <v>-1004493084.9381956</v>
      </c>
      <c r="L3039" s="444">
        <f t="shared" ca="1" si="139"/>
        <v>-242082833470.10513</v>
      </c>
      <c r="M3039" s="460">
        <f t="shared" si="141"/>
        <v>0.05</v>
      </c>
      <c r="N3039" s="464">
        <f t="shared" si="142"/>
        <v>143543</v>
      </c>
    </row>
    <row r="3040" spans="7:14" ht="11.25" customHeight="1" x14ac:dyDescent="0.25">
      <c r="G3040" s="459"/>
      <c r="H3040" s="459">
        <v>3033</v>
      </c>
      <c r="I3040" s="444">
        <f t="shared" ca="1" si="140"/>
        <v>-242082833470.10513</v>
      </c>
      <c r="J3040" s="444">
        <f t="array" ref="J3040">IFERROR(INDEX('Retirement Calculator'!K:K,MATCH('Lorri 401b'!N3040,'Retirement Calculator'!A:A,0),0),0)</f>
        <v>0</v>
      </c>
      <c r="K3040" s="444">
        <f t="shared" ca="1" si="138"/>
        <v>-1008678472.7921047</v>
      </c>
      <c r="L3040" s="444">
        <f t="shared" ca="1" si="139"/>
        <v>-243091511942.89725</v>
      </c>
      <c r="M3040" s="460">
        <f t="shared" si="141"/>
        <v>0.05</v>
      </c>
      <c r="N3040" s="464">
        <f t="shared" si="142"/>
        <v>143574</v>
      </c>
    </row>
    <row r="3041" spans="7:14" ht="11.25" customHeight="1" x14ac:dyDescent="0.25">
      <c r="G3041" s="459"/>
      <c r="H3041" s="459">
        <v>3034</v>
      </c>
      <c r="I3041" s="444">
        <f t="shared" ca="1" si="140"/>
        <v>-243091511942.89725</v>
      </c>
      <c r="J3041" s="444">
        <f t="array" ref="J3041">IFERROR(INDEX('Retirement Calculator'!K:K,MATCH('Lorri 401b'!N3041,'Retirement Calculator'!A:A,0),0),0)</f>
        <v>0</v>
      </c>
      <c r="K3041" s="444">
        <f t="shared" ca="1" si="138"/>
        <v>-1012881299.7620718</v>
      </c>
      <c r="L3041" s="444">
        <f t="shared" ca="1" si="139"/>
        <v>-244104393242.65933</v>
      </c>
      <c r="M3041" s="460">
        <f t="shared" si="141"/>
        <v>0.05</v>
      </c>
      <c r="N3041" s="464">
        <f t="shared" si="142"/>
        <v>143602</v>
      </c>
    </row>
    <row r="3042" spans="7:14" ht="11.25" customHeight="1" x14ac:dyDescent="0.25">
      <c r="G3042" s="459"/>
      <c r="H3042" s="459">
        <v>3035</v>
      </c>
      <c r="I3042" s="444">
        <f t="shared" ca="1" si="140"/>
        <v>-244104393242.65933</v>
      </c>
      <c r="J3042" s="444">
        <f t="array" ref="J3042">IFERROR(INDEX('Retirement Calculator'!K:K,MATCH('Lorri 401b'!N3042,'Retirement Calculator'!A:A,0),0),0)</f>
        <v>0</v>
      </c>
      <c r="K3042" s="444">
        <f t="shared" ca="1" si="138"/>
        <v>-1017101638.5110805</v>
      </c>
      <c r="L3042" s="444">
        <f t="shared" ca="1" si="139"/>
        <v>-245121494881.17041</v>
      </c>
      <c r="M3042" s="460">
        <f t="shared" si="141"/>
        <v>0.05</v>
      </c>
      <c r="N3042" s="464">
        <f t="shared" si="142"/>
        <v>143633</v>
      </c>
    </row>
    <row r="3043" spans="7:14" ht="11.25" customHeight="1" x14ac:dyDescent="0.25">
      <c r="G3043" s="459"/>
      <c r="H3043" s="459">
        <v>3036</v>
      </c>
      <c r="I3043" s="444">
        <f t="shared" ca="1" si="140"/>
        <v>-245121494881.17041</v>
      </c>
      <c r="J3043" s="444">
        <f t="array" ref="J3043">IFERROR(INDEX('Retirement Calculator'!K:K,MATCH('Lorri 401b'!N3043,'Retirement Calculator'!A:A,0),0),0)</f>
        <v>0</v>
      </c>
      <c r="K3043" s="444">
        <f t="shared" ca="1" si="138"/>
        <v>-1021339562.0048767</v>
      </c>
      <c r="L3043" s="444">
        <f t="shared" ca="1" si="139"/>
        <v>-246142834443.17529</v>
      </c>
      <c r="M3043" s="460">
        <f t="shared" si="141"/>
        <v>0.05</v>
      </c>
      <c r="N3043" s="464">
        <f t="shared" si="142"/>
        <v>143663</v>
      </c>
    </row>
    <row r="3044" spans="7:14" ht="11.25" customHeight="1" x14ac:dyDescent="0.25">
      <c r="G3044" s="459"/>
      <c r="H3044" s="459">
        <v>3037</v>
      </c>
      <c r="I3044" s="444">
        <f t="shared" ca="1" si="140"/>
        <v>-246142834443.17529</v>
      </c>
      <c r="J3044" s="444">
        <f t="array" ref="J3044">IFERROR(INDEX('Retirement Calculator'!K:K,MATCH('Lorri 401b'!N3044,'Retirement Calculator'!A:A,0),0),0)</f>
        <v>0</v>
      </c>
      <c r="K3044" s="444">
        <f t="shared" ca="1" si="138"/>
        <v>-1025595143.5132304</v>
      </c>
      <c r="L3044" s="444">
        <f t="shared" ca="1" si="139"/>
        <v>-247168429586.68854</v>
      </c>
      <c r="M3044" s="460">
        <f t="shared" si="141"/>
        <v>0.05</v>
      </c>
      <c r="N3044" s="464">
        <f t="shared" si="142"/>
        <v>143694</v>
      </c>
    </row>
    <row r="3045" spans="7:14" ht="11.25" customHeight="1" x14ac:dyDescent="0.25">
      <c r="G3045" s="459"/>
      <c r="H3045" s="459">
        <v>3038</v>
      </c>
      <c r="I3045" s="444">
        <f t="shared" ca="1" si="140"/>
        <v>-247168429586.68854</v>
      </c>
      <c r="J3045" s="444">
        <f t="array" ref="J3045">IFERROR(INDEX('Retirement Calculator'!K:K,MATCH('Lorri 401b'!N3045,'Retirement Calculator'!A:A,0),0),0)</f>
        <v>0</v>
      </c>
      <c r="K3045" s="444">
        <f t="shared" ca="1" si="138"/>
        <v>-1029868456.6112024</v>
      </c>
      <c r="L3045" s="444">
        <f t="shared" ca="1" si="139"/>
        <v>-248198298043.29974</v>
      </c>
      <c r="M3045" s="460">
        <f t="shared" si="141"/>
        <v>0.05</v>
      </c>
      <c r="N3045" s="464">
        <f t="shared" si="142"/>
        <v>143724</v>
      </c>
    </row>
    <row r="3046" spans="7:14" ht="11.25" customHeight="1" x14ac:dyDescent="0.25">
      <c r="G3046" s="459"/>
      <c r="H3046" s="459">
        <v>3039</v>
      </c>
      <c r="I3046" s="444">
        <f t="shared" ca="1" si="140"/>
        <v>-248198298043.29974</v>
      </c>
      <c r="J3046" s="444">
        <f t="array" ref="J3046">IFERROR(INDEX('Retirement Calculator'!K:K,MATCH('Lorri 401b'!N3046,'Retirement Calculator'!A:A,0),0),0)</f>
        <v>0</v>
      </c>
      <c r="K3046" s="444">
        <f t="shared" ca="1" si="138"/>
        <v>-1034159575.1804156</v>
      </c>
      <c r="L3046" s="444">
        <f t="shared" ca="1" si="139"/>
        <v>-249232457618.48016</v>
      </c>
      <c r="M3046" s="460">
        <f t="shared" si="141"/>
        <v>0.05</v>
      </c>
      <c r="N3046" s="464">
        <f t="shared" si="142"/>
        <v>143755</v>
      </c>
    </row>
    <row r="3047" spans="7:14" ht="11.25" customHeight="1" x14ac:dyDescent="0.25">
      <c r="G3047" s="459"/>
      <c r="H3047" s="459">
        <v>3040</v>
      </c>
      <c r="I3047" s="444">
        <f t="shared" ca="1" si="140"/>
        <v>-249232457618.48016</v>
      </c>
      <c r="J3047" s="444">
        <f t="array" ref="J3047">IFERROR(INDEX('Retirement Calculator'!K:K,MATCH('Lorri 401b'!N3047,'Retirement Calculator'!A:A,0),0),0)</f>
        <v>0</v>
      </c>
      <c r="K3047" s="444">
        <f t="shared" ca="1" si="138"/>
        <v>-1038468573.410334</v>
      </c>
      <c r="L3047" s="444">
        <f t="shared" ca="1" si="139"/>
        <v>-250270926191.8905</v>
      </c>
      <c r="M3047" s="460">
        <f t="shared" si="141"/>
        <v>0.05</v>
      </c>
      <c r="N3047" s="464">
        <f t="shared" si="142"/>
        <v>143786</v>
      </c>
    </row>
    <row r="3048" spans="7:14" ht="11.25" customHeight="1" x14ac:dyDescent="0.25">
      <c r="G3048" s="459"/>
      <c r="H3048" s="459">
        <v>3041</v>
      </c>
      <c r="I3048" s="444">
        <f t="shared" ca="1" si="140"/>
        <v>-250270926191.8905</v>
      </c>
      <c r="J3048" s="444">
        <f t="array" ref="J3048">IFERROR(INDEX('Retirement Calculator'!K:K,MATCH('Lorri 401b'!N3048,'Retirement Calculator'!A:A,0),0),0)</f>
        <v>0</v>
      </c>
      <c r="K3048" s="444">
        <f t="shared" ca="1" si="138"/>
        <v>-1042795525.7995436</v>
      </c>
      <c r="L3048" s="444">
        <f t="shared" ca="1" si="139"/>
        <v>-251313721717.69003</v>
      </c>
      <c r="M3048" s="460">
        <f t="shared" si="141"/>
        <v>0.05</v>
      </c>
      <c r="N3048" s="464">
        <f t="shared" si="142"/>
        <v>143816</v>
      </c>
    </row>
    <row r="3049" spans="7:14" ht="11.25" customHeight="1" x14ac:dyDescent="0.25">
      <c r="G3049" s="459"/>
      <c r="H3049" s="459">
        <v>3042</v>
      </c>
      <c r="I3049" s="444">
        <f t="shared" ca="1" si="140"/>
        <v>-251313721717.69003</v>
      </c>
      <c r="J3049" s="444">
        <f t="array" ref="J3049">IFERROR(INDEX('Retirement Calculator'!K:K,MATCH('Lorri 401b'!N3049,'Retirement Calculator'!A:A,0),0),0)</f>
        <v>0</v>
      </c>
      <c r="K3049" s="444">
        <f t="shared" ca="1" si="138"/>
        <v>-1047140507.1570418</v>
      </c>
      <c r="L3049" s="444">
        <f t="shared" ca="1" si="139"/>
        <v>-252360862224.84708</v>
      </c>
      <c r="M3049" s="460">
        <f t="shared" si="141"/>
        <v>0.05</v>
      </c>
      <c r="N3049" s="464">
        <f t="shared" si="142"/>
        <v>143847</v>
      </c>
    </row>
    <row r="3050" spans="7:14" ht="11.25" customHeight="1" x14ac:dyDescent="0.25">
      <c r="G3050" s="459"/>
      <c r="H3050" s="459">
        <v>3043</v>
      </c>
      <c r="I3050" s="444">
        <f t="shared" ca="1" si="140"/>
        <v>-252360862224.84708</v>
      </c>
      <c r="J3050" s="444">
        <f t="array" ref="J3050">IFERROR(INDEX('Retirement Calculator'!K:K,MATCH('Lorri 401b'!N3050,'Retirement Calculator'!A:A,0),0),0)</f>
        <v>0</v>
      </c>
      <c r="K3050" s="444">
        <f t="shared" ca="1" si="138"/>
        <v>-1051503592.6035295</v>
      </c>
      <c r="L3050" s="444">
        <f t="shared" ca="1" si="139"/>
        <v>-253412365817.45059</v>
      </c>
      <c r="M3050" s="460">
        <f t="shared" si="141"/>
        <v>0.05</v>
      </c>
      <c r="N3050" s="464">
        <f t="shared" si="142"/>
        <v>143877</v>
      </c>
    </row>
    <row r="3051" spans="7:14" ht="11.25" customHeight="1" x14ac:dyDescent="0.25">
      <c r="G3051" s="459"/>
      <c r="H3051" s="459">
        <v>3044</v>
      </c>
      <c r="I3051" s="444">
        <f t="shared" ca="1" si="140"/>
        <v>-253412365817.45059</v>
      </c>
      <c r="J3051" s="444">
        <f t="array" ref="J3051">IFERROR(INDEX('Retirement Calculator'!K:K,MATCH('Lorri 401b'!N3051,'Retirement Calculator'!A:A,0),0),0)</f>
        <v>0</v>
      </c>
      <c r="K3051" s="444">
        <f t="shared" ca="1" si="138"/>
        <v>-1055884857.5727108</v>
      </c>
      <c r="L3051" s="444">
        <f t="shared" ca="1" si="139"/>
        <v>-254468250675.02332</v>
      </c>
      <c r="M3051" s="460">
        <f t="shared" si="141"/>
        <v>0.05</v>
      </c>
      <c r="N3051" s="464">
        <f t="shared" si="142"/>
        <v>143908</v>
      </c>
    </row>
    <row r="3052" spans="7:14" ht="11.25" customHeight="1" x14ac:dyDescent="0.25">
      <c r="G3052" s="459"/>
      <c r="H3052" s="459">
        <v>3045</v>
      </c>
      <c r="I3052" s="444">
        <f t="shared" ca="1" si="140"/>
        <v>-254468250675.02332</v>
      </c>
      <c r="J3052" s="444">
        <f t="array" ref="J3052">IFERROR(INDEX('Retirement Calculator'!K:K,MATCH('Lorri 401b'!N3052,'Retirement Calculator'!A:A,0),0),0)</f>
        <v>0</v>
      </c>
      <c r="K3052" s="444">
        <f t="shared" ca="1" si="138"/>
        <v>-1060284377.8125972</v>
      </c>
      <c r="L3052" s="444">
        <f t="shared" ca="1" si="139"/>
        <v>-255528535052.83591</v>
      </c>
      <c r="M3052" s="460">
        <f t="shared" si="141"/>
        <v>0.05</v>
      </c>
      <c r="N3052" s="464">
        <f t="shared" si="142"/>
        <v>143939</v>
      </c>
    </row>
    <row r="3053" spans="7:14" ht="11.25" customHeight="1" x14ac:dyDescent="0.25">
      <c r="G3053" s="459"/>
      <c r="H3053" s="459">
        <v>3046</v>
      </c>
      <c r="I3053" s="444">
        <f t="shared" ca="1" si="140"/>
        <v>-255528535052.83591</v>
      </c>
      <c r="J3053" s="444">
        <f t="array" ref="J3053">IFERROR(INDEX('Retirement Calculator'!K:K,MATCH('Lorri 401b'!N3053,'Retirement Calculator'!A:A,0),0),0)</f>
        <v>0</v>
      </c>
      <c r="K3053" s="444">
        <f t="shared" ca="1" si="138"/>
        <v>-1064702229.3868164</v>
      </c>
      <c r="L3053" s="444">
        <f t="shared" ca="1" si="139"/>
        <v>-256593237282.22272</v>
      </c>
      <c r="M3053" s="460">
        <f t="shared" si="141"/>
        <v>0.05</v>
      </c>
      <c r="N3053" s="464">
        <f t="shared" si="142"/>
        <v>143967</v>
      </c>
    </row>
    <row r="3054" spans="7:14" ht="11.25" customHeight="1" x14ac:dyDescent="0.25">
      <c r="G3054" s="459"/>
      <c r="H3054" s="459">
        <v>3047</v>
      </c>
      <c r="I3054" s="444">
        <f t="shared" ca="1" si="140"/>
        <v>-256593237282.22272</v>
      </c>
      <c r="J3054" s="444">
        <f t="array" ref="J3054">IFERROR(INDEX('Retirement Calculator'!K:K,MATCH('Lorri 401b'!N3054,'Retirement Calculator'!A:A,0),0),0)</f>
        <v>0</v>
      </c>
      <c r="K3054" s="444">
        <f t="shared" ca="1" si="138"/>
        <v>-1069138488.675928</v>
      </c>
      <c r="L3054" s="444">
        <f t="shared" ca="1" si="139"/>
        <v>-257662375770.89865</v>
      </c>
      <c r="M3054" s="460">
        <f t="shared" si="141"/>
        <v>0.05</v>
      </c>
      <c r="N3054" s="464">
        <f t="shared" si="142"/>
        <v>143998</v>
      </c>
    </row>
    <row r="3055" spans="7:14" ht="11.25" customHeight="1" x14ac:dyDescent="0.25">
      <c r="G3055" s="459"/>
      <c r="H3055" s="459">
        <v>3048</v>
      </c>
      <c r="I3055" s="444">
        <f t="shared" ca="1" si="140"/>
        <v>-257662375770.89865</v>
      </c>
      <c r="J3055" s="444">
        <f t="array" ref="J3055">IFERROR(INDEX('Retirement Calculator'!K:K,MATCH('Lorri 401b'!N3055,'Retirement Calculator'!A:A,0),0),0)</f>
        <v>0</v>
      </c>
      <c r="K3055" s="444">
        <f t="shared" ca="1" si="138"/>
        <v>-1073593232.3787444</v>
      </c>
      <c r="L3055" s="444">
        <f t="shared" ca="1" si="139"/>
        <v>-258735969003.2774</v>
      </c>
      <c r="M3055" s="460">
        <f t="shared" si="141"/>
        <v>0.05</v>
      </c>
      <c r="N3055" s="464">
        <f t="shared" si="142"/>
        <v>144028</v>
      </c>
    </row>
    <row r="3056" spans="7:14" ht="11.25" customHeight="1" x14ac:dyDescent="0.25">
      <c r="G3056" s="459"/>
      <c r="H3056" s="459">
        <v>3049</v>
      </c>
      <c r="I3056" s="444">
        <f t="shared" ca="1" si="140"/>
        <v>-258735969003.2774</v>
      </c>
      <c r="J3056" s="444">
        <f t="array" ref="J3056">IFERROR(INDEX('Retirement Calculator'!K:K,MATCH('Lorri 401b'!N3056,'Retirement Calculator'!A:A,0),0),0)</f>
        <v>0</v>
      </c>
      <c r="K3056" s="444">
        <f t="shared" ca="1" si="138"/>
        <v>-1078066537.5136559</v>
      </c>
      <c r="L3056" s="444">
        <f t="shared" ca="1" si="139"/>
        <v>-259814035540.79105</v>
      </c>
      <c r="M3056" s="460">
        <f t="shared" si="141"/>
        <v>0.05</v>
      </c>
      <c r="N3056" s="464">
        <f t="shared" si="142"/>
        <v>144059</v>
      </c>
    </row>
    <row r="3057" spans="7:14" ht="11.25" customHeight="1" x14ac:dyDescent="0.25">
      <c r="G3057" s="459"/>
      <c r="H3057" s="459">
        <v>3050</v>
      </c>
      <c r="I3057" s="444">
        <f t="shared" ca="1" si="140"/>
        <v>-259814035540.79105</v>
      </c>
      <c r="J3057" s="444">
        <f t="array" ref="J3057">IFERROR(INDEX('Retirement Calculator'!K:K,MATCH('Lorri 401b'!N3057,'Retirement Calculator'!A:A,0),0),0)</f>
        <v>0</v>
      </c>
      <c r="K3057" s="444">
        <f t="shared" ca="1" si="138"/>
        <v>-1082558481.4199626</v>
      </c>
      <c r="L3057" s="444">
        <f t="shared" ca="1" si="139"/>
        <v>-260896594022.211</v>
      </c>
      <c r="M3057" s="460">
        <f t="shared" si="141"/>
        <v>0.05</v>
      </c>
      <c r="N3057" s="464">
        <f t="shared" si="142"/>
        <v>144089</v>
      </c>
    </row>
    <row r="3058" spans="7:14" ht="11.25" customHeight="1" x14ac:dyDescent="0.25">
      <c r="G3058" s="459"/>
      <c r="H3058" s="459">
        <v>3051</v>
      </c>
      <c r="I3058" s="444">
        <f t="shared" ca="1" si="140"/>
        <v>-260896594022.211</v>
      </c>
      <c r="J3058" s="444">
        <f t="array" ref="J3058">IFERROR(INDEX('Retirement Calculator'!K:K,MATCH('Lorri 401b'!N3058,'Retirement Calculator'!A:A,0),0),0)</f>
        <v>0</v>
      </c>
      <c r="K3058" s="444">
        <f t="shared" ca="1" si="138"/>
        <v>-1087069141.7592123</v>
      </c>
      <c r="L3058" s="444">
        <f t="shared" ca="1" si="139"/>
        <v>-261983663163.97021</v>
      </c>
      <c r="M3058" s="460">
        <f t="shared" si="141"/>
        <v>0.05</v>
      </c>
      <c r="N3058" s="464">
        <f t="shared" si="142"/>
        <v>144120</v>
      </c>
    </row>
    <row r="3059" spans="7:14" ht="11.25" customHeight="1" x14ac:dyDescent="0.25">
      <c r="G3059" s="459"/>
      <c r="H3059" s="459">
        <v>3052</v>
      </c>
      <c r="I3059" s="444">
        <f t="shared" ca="1" si="140"/>
        <v>-261983663163.97021</v>
      </c>
      <c r="J3059" s="444">
        <f t="array" ref="J3059">IFERROR(INDEX('Retirement Calculator'!K:K,MATCH('Lorri 401b'!N3059,'Retirement Calculator'!A:A,0),0),0)</f>
        <v>0</v>
      </c>
      <c r="K3059" s="444">
        <f t="shared" ca="1" si="138"/>
        <v>-1091598596.5165424</v>
      </c>
      <c r="L3059" s="444">
        <f t="shared" ca="1" si="139"/>
        <v>-263075261760.48676</v>
      </c>
      <c r="M3059" s="460">
        <f t="shared" si="141"/>
        <v>0.05</v>
      </c>
      <c r="N3059" s="464">
        <f t="shared" si="142"/>
        <v>144151</v>
      </c>
    </row>
    <row r="3060" spans="7:14" ht="11.25" customHeight="1" x14ac:dyDescent="0.25">
      <c r="G3060" s="459"/>
      <c r="H3060" s="459">
        <v>3053</v>
      </c>
      <c r="I3060" s="444">
        <f t="shared" ca="1" si="140"/>
        <v>-263075261760.48676</v>
      </c>
      <c r="J3060" s="444">
        <f t="array" ref="J3060">IFERROR(INDEX('Retirement Calculator'!K:K,MATCH('Lorri 401b'!N3060,'Retirement Calculator'!A:A,0),0),0)</f>
        <v>0</v>
      </c>
      <c r="K3060" s="444">
        <f t="shared" ca="1" si="138"/>
        <v>-1096146924.0020282</v>
      </c>
      <c r="L3060" s="444">
        <f t="shared" ca="1" si="139"/>
        <v>-264171408684.48877</v>
      </c>
      <c r="M3060" s="460">
        <f t="shared" si="141"/>
        <v>0.05</v>
      </c>
      <c r="N3060" s="464">
        <f t="shared" si="142"/>
        <v>144181</v>
      </c>
    </row>
    <row r="3061" spans="7:14" ht="11.25" customHeight="1" x14ac:dyDescent="0.25">
      <c r="G3061" s="459"/>
      <c r="H3061" s="459">
        <v>3054</v>
      </c>
      <c r="I3061" s="444">
        <f t="shared" ca="1" si="140"/>
        <v>-264171408684.48877</v>
      </c>
      <c r="J3061" s="444">
        <f t="array" ref="J3061">IFERROR(INDEX('Retirement Calculator'!K:K,MATCH('Lorri 401b'!N3061,'Retirement Calculator'!A:A,0),0),0)</f>
        <v>0</v>
      </c>
      <c r="K3061" s="444">
        <f t="shared" ca="1" si="138"/>
        <v>-1100714202.8520365</v>
      </c>
      <c r="L3061" s="444">
        <f t="shared" ca="1" si="139"/>
        <v>-265272122887.34082</v>
      </c>
      <c r="M3061" s="460">
        <f t="shared" si="141"/>
        <v>0.05</v>
      </c>
      <c r="N3061" s="464">
        <f t="shared" si="142"/>
        <v>144212</v>
      </c>
    </row>
    <row r="3062" spans="7:14" ht="11.25" customHeight="1" x14ac:dyDescent="0.25">
      <c r="G3062" s="459"/>
      <c r="H3062" s="459">
        <v>3055</v>
      </c>
      <c r="I3062" s="444">
        <f t="shared" ca="1" si="140"/>
        <v>-265272122887.34082</v>
      </c>
      <c r="J3062" s="444">
        <f t="array" ref="J3062">IFERROR(INDEX('Retirement Calculator'!K:K,MATCH('Lorri 401b'!N3062,'Retirement Calculator'!A:A,0),0),0)</f>
        <v>0</v>
      </c>
      <c r="K3062" s="444">
        <f t="shared" ca="1" si="138"/>
        <v>-1105300512.0305867</v>
      </c>
      <c r="L3062" s="444">
        <f t="shared" ca="1" si="139"/>
        <v>-266377423399.3714</v>
      </c>
      <c r="M3062" s="460">
        <f t="shared" si="141"/>
        <v>0.05</v>
      </c>
      <c r="N3062" s="464">
        <f t="shared" si="142"/>
        <v>144242</v>
      </c>
    </row>
    <row r="3063" spans="7:14" ht="11.25" customHeight="1" x14ac:dyDescent="0.25">
      <c r="G3063" s="459"/>
      <c r="H3063" s="459">
        <v>3056</v>
      </c>
      <c r="I3063" s="444">
        <f t="shared" ca="1" si="140"/>
        <v>-266377423399.3714</v>
      </c>
      <c r="J3063" s="444">
        <f t="array" ref="J3063">IFERROR(INDEX('Retirement Calculator'!K:K,MATCH('Lorri 401b'!N3063,'Retirement Calculator'!A:A,0),0),0)</f>
        <v>0</v>
      </c>
      <c r="K3063" s="444">
        <f t="shared" ca="1" si="138"/>
        <v>-1109905930.830714</v>
      </c>
      <c r="L3063" s="444">
        <f t="shared" ca="1" si="139"/>
        <v>-267487329330.20212</v>
      </c>
      <c r="M3063" s="460">
        <f t="shared" si="141"/>
        <v>0.05</v>
      </c>
      <c r="N3063" s="464">
        <f t="shared" si="142"/>
        <v>144273</v>
      </c>
    </row>
    <row r="3064" spans="7:14" ht="11.25" customHeight="1" x14ac:dyDescent="0.25">
      <c r="G3064" s="459"/>
      <c r="H3064" s="459">
        <v>3057</v>
      </c>
      <c r="I3064" s="444">
        <f t="shared" ca="1" si="140"/>
        <v>-267487329330.20212</v>
      </c>
      <c r="J3064" s="444">
        <f t="array" ref="J3064">IFERROR(INDEX('Retirement Calculator'!K:K,MATCH('Lorri 401b'!N3064,'Retirement Calculator'!A:A,0),0),0)</f>
        <v>0</v>
      </c>
      <c r="K3064" s="444">
        <f t="shared" ca="1" si="138"/>
        <v>-1114530538.8758421</v>
      </c>
      <c r="L3064" s="444">
        <f t="shared" ca="1" si="139"/>
        <v>-268601859869.07797</v>
      </c>
      <c r="M3064" s="460">
        <f t="shared" si="141"/>
        <v>0.05</v>
      </c>
      <c r="N3064" s="464">
        <f t="shared" si="142"/>
        <v>144304</v>
      </c>
    </row>
    <row r="3065" spans="7:14" ht="11.25" customHeight="1" x14ac:dyDescent="0.25">
      <c r="G3065" s="459"/>
      <c r="H3065" s="459">
        <v>3058</v>
      </c>
      <c r="I3065" s="444">
        <f t="shared" ca="1" si="140"/>
        <v>-268601859869.07797</v>
      </c>
      <c r="J3065" s="444">
        <f t="array" ref="J3065">IFERROR(INDEX('Retirement Calculator'!K:K,MATCH('Lorri 401b'!N3065,'Retirement Calculator'!A:A,0),0),0)</f>
        <v>0</v>
      </c>
      <c r="K3065" s="444">
        <f t="shared" ca="1" si="138"/>
        <v>-1119174416.1211581</v>
      </c>
      <c r="L3065" s="444">
        <f t="shared" ca="1" si="139"/>
        <v>-269721034285.19913</v>
      </c>
      <c r="M3065" s="460">
        <f t="shared" si="141"/>
        <v>0.05</v>
      </c>
      <c r="N3065" s="464">
        <f t="shared" si="142"/>
        <v>144332</v>
      </c>
    </row>
    <row r="3066" spans="7:14" ht="11.25" customHeight="1" x14ac:dyDescent="0.25">
      <c r="G3066" s="459"/>
      <c r="H3066" s="459">
        <v>3059</v>
      </c>
      <c r="I3066" s="444">
        <f t="shared" ca="1" si="140"/>
        <v>-269721034285.19913</v>
      </c>
      <c r="J3066" s="444">
        <f t="array" ref="J3066">IFERROR(INDEX('Retirement Calculator'!K:K,MATCH('Lorri 401b'!N3066,'Retirement Calculator'!A:A,0),0),0)</f>
        <v>0</v>
      </c>
      <c r="K3066" s="444">
        <f t="shared" ca="1" si="138"/>
        <v>-1123837642.8549964</v>
      </c>
      <c r="L3066" s="444">
        <f t="shared" ca="1" si="139"/>
        <v>-270844871928.05414</v>
      </c>
      <c r="M3066" s="460">
        <f t="shared" si="141"/>
        <v>0.05</v>
      </c>
      <c r="N3066" s="464">
        <f t="shared" si="142"/>
        <v>144363</v>
      </c>
    </row>
    <row r="3067" spans="7:14" ht="11.25" customHeight="1" x14ac:dyDescent="0.25">
      <c r="G3067" s="459"/>
      <c r="H3067" s="459">
        <v>3060</v>
      </c>
      <c r="I3067" s="444">
        <f t="shared" ca="1" si="140"/>
        <v>-270844871928.05414</v>
      </c>
      <c r="J3067" s="444">
        <f t="array" ref="J3067">IFERROR(INDEX('Retirement Calculator'!K:K,MATCH('Lorri 401b'!N3067,'Retirement Calculator'!A:A,0),0),0)</f>
        <v>0</v>
      </c>
      <c r="K3067" s="444">
        <f t="shared" ca="1" si="138"/>
        <v>-1128520299.7002256</v>
      </c>
      <c r="L3067" s="444">
        <f t="shared" ca="1" si="139"/>
        <v>-271973392227.75436</v>
      </c>
      <c r="M3067" s="460">
        <f t="shared" si="141"/>
        <v>0.05</v>
      </c>
      <c r="N3067" s="464">
        <f t="shared" si="142"/>
        <v>144393</v>
      </c>
    </row>
    <row r="3068" spans="7:14" ht="11.25" customHeight="1" x14ac:dyDescent="0.25">
      <c r="G3068" s="459"/>
      <c r="H3068" s="459">
        <v>3061</v>
      </c>
      <c r="I3068" s="444">
        <f t="shared" ca="1" si="140"/>
        <v>-271973392227.75436</v>
      </c>
      <c r="J3068" s="444">
        <f t="array" ref="J3068">IFERROR(INDEX('Retirement Calculator'!K:K,MATCH('Lorri 401b'!N3068,'Retirement Calculator'!A:A,0),0),0)</f>
        <v>0</v>
      </c>
      <c r="K3068" s="444">
        <f t="shared" ref="K3068:K3322" ca="1" si="143">IPMT(M3068/12,1,12,-I3068+J3068,,0)</f>
        <v>-1133222467.615643</v>
      </c>
      <c r="L3068" s="444">
        <f t="shared" ref="L3068:L3322" ca="1" si="144">I3068-J3068+K3068</f>
        <v>-273106614695.37</v>
      </c>
      <c r="M3068" s="460">
        <f t="shared" si="141"/>
        <v>0.05</v>
      </c>
      <c r="N3068" s="464">
        <f t="shared" si="142"/>
        <v>144424</v>
      </c>
    </row>
    <row r="3069" spans="7:14" ht="11.25" customHeight="1" x14ac:dyDescent="0.25">
      <c r="G3069" s="459"/>
      <c r="H3069" s="459">
        <v>3062</v>
      </c>
      <c r="I3069" s="444">
        <f t="shared" ref="I3069:I3323" ca="1" si="145">L3068</f>
        <v>-273106614695.37</v>
      </c>
      <c r="J3069" s="444">
        <f t="array" ref="J3069">IFERROR(INDEX('Retirement Calculator'!K:K,MATCH('Lorri 401b'!N3069,'Retirement Calculator'!A:A,0),0),0)</f>
        <v>0</v>
      </c>
      <c r="K3069" s="444">
        <f t="shared" ca="1" si="143"/>
        <v>-1137944227.8973749</v>
      </c>
      <c r="L3069" s="444">
        <f t="shared" ca="1" si="144"/>
        <v>-274244558923.26736</v>
      </c>
      <c r="M3069" s="460">
        <f t="shared" ref="M3069:M3323" si="146">M3068</f>
        <v>0.05</v>
      </c>
      <c r="N3069" s="464">
        <f t="shared" ref="N3069:N3323" si="147">EDATE(N3068,1)</f>
        <v>144454</v>
      </c>
    </row>
    <row r="3070" spans="7:14" ht="11.25" customHeight="1" x14ac:dyDescent="0.25">
      <c r="G3070" s="459"/>
      <c r="H3070" s="459">
        <v>3063</v>
      </c>
      <c r="I3070" s="444">
        <f t="shared" ca="1" si="145"/>
        <v>-274244558923.26736</v>
      </c>
      <c r="J3070" s="444">
        <f t="array" ref="J3070">IFERROR(INDEX('Retirement Calculator'!K:K,MATCH('Lorri 401b'!N3070,'Retirement Calculator'!A:A,0),0),0)</f>
        <v>0</v>
      </c>
      <c r="K3070" s="444">
        <f t="shared" ca="1" si="143"/>
        <v>-1142685662.1802807</v>
      </c>
      <c r="L3070" s="444">
        <f t="shared" ca="1" si="144"/>
        <v>-275387244585.44763</v>
      </c>
      <c r="M3070" s="460">
        <f t="shared" si="146"/>
        <v>0.05</v>
      </c>
      <c r="N3070" s="464">
        <f t="shared" si="147"/>
        <v>144485</v>
      </c>
    </row>
    <row r="3071" spans="7:14" ht="11.25" customHeight="1" x14ac:dyDescent="0.25">
      <c r="G3071" s="459"/>
      <c r="H3071" s="459">
        <v>3064</v>
      </c>
      <c r="I3071" s="444">
        <f t="shared" ca="1" si="145"/>
        <v>-275387244585.44763</v>
      </c>
      <c r="J3071" s="444">
        <f t="array" ref="J3071">IFERROR(INDEX('Retirement Calculator'!K:K,MATCH('Lorri 401b'!N3071,'Retirement Calculator'!A:A,0),0),0)</f>
        <v>0</v>
      </c>
      <c r="K3071" s="444">
        <f t="shared" ca="1" si="143"/>
        <v>-1147446852.4393651</v>
      </c>
      <c r="L3071" s="444">
        <f t="shared" ca="1" si="144"/>
        <v>-276534691437.88702</v>
      </c>
      <c r="M3071" s="460">
        <f t="shared" si="146"/>
        <v>0.05</v>
      </c>
      <c r="N3071" s="464">
        <f t="shared" si="147"/>
        <v>144516</v>
      </c>
    </row>
    <row r="3072" spans="7:14" ht="11.25" customHeight="1" x14ac:dyDescent="0.25">
      <c r="G3072" s="459"/>
      <c r="H3072" s="459">
        <v>3065</v>
      </c>
      <c r="I3072" s="444">
        <f t="shared" ca="1" si="145"/>
        <v>-276534691437.88702</v>
      </c>
      <c r="J3072" s="444">
        <f t="array" ref="J3072">IFERROR(INDEX('Retirement Calculator'!K:K,MATCH('Lorri 401b'!N3072,'Retirement Calculator'!A:A,0),0),0)</f>
        <v>0</v>
      </c>
      <c r="K3072" s="444">
        <f t="shared" ca="1" si="143"/>
        <v>-1152227880.9911959</v>
      </c>
      <c r="L3072" s="444">
        <f t="shared" ca="1" si="144"/>
        <v>-277686919318.87823</v>
      </c>
      <c r="M3072" s="460">
        <f t="shared" si="146"/>
        <v>0.05</v>
      </c>
      <c r="N3072" s="464">
        <f t="shared" si="147"/>
        <v>144546</v>
      </c>
    </row>
    <row r="3073" spans="7:14" ht="11.25" customHeight="1" x14ac:dyDescent="0.25">
      <c r="G3073" s="459"/>
      <c r="H3073" s="459">
        <v>3066</v>
      </c>
      <c r="I3073" s="444">
        <f t="shared" ca="1" si="145"/>
        <v>-277686919318.87823</v>
      </c>
      <c r="J3073" s="444">
        <f t="array" ref="J3073">IFERROR(INDEX('Retirement Calculator'!K:K,MATCH('Lorri 401b'!N3073,'Retirement Calculator'!A:A,0),0),0)</f>
        <v>0</v>
      </c>
      <c r="K3073" s="444">
        <f t="shared" ca="1" si="143"/>
        <v>-1157028830.495326</v>
      </c>
      <c r="L3073" s="444">
        <f t="shared" ca="1" si="144"/>
        <v>-278843948149.37354</v>
      </c>
      <c r="M3073" s="460">
        <f t="shared" si="146"/>
        <v>0.05</v>
      </c>
      <c r="N3073" s="464">
        <f t="shared" si="147"/>
        <v>144577</v>
      </c>
    </row>
    <row r="3074" spans="7:14" ht="11.25" customHeight="1" x14ac:dyDescent="0.25">
      <c r="G3074" s="459"/>
      <c r="H3074" s="459">
        <v>3067</v>
      </c>
      <c r="I3074" s="444">
        <f t="shared" ca="1" si="145"/>
        <v>-278843948149.37354</v>
      </c>
      <c r="J3074" s="444">
        <f t="array" ref="J3074">IFERROR(INDEX('Retirement Calculator'!K:K,MATCH('Lorri 401b'!N3074,'Retirement Calculator'!A:A,0),0),0)</f>
        <v>0</v>
      </c>
      <c r="K3074" s="444">
        <f t="shared" ca="1" si="143"/>
        <v>-1161849783.955723</v>
      </c>
      <c r="L3074" s="444">
        <f t="shared" ca="1" si="144"/>
        <v>-280005797933.32928</v>
      </c>
      <c r="M3074" s="460">
        <f t="shared" si="146"/>
        <v>0.05</v>
      </c>
      <c r="N3074" s="464">
        <f t="shared" si="147"/>
        <v>144607</v>
      </c>
    </row>
    <row r="3075" spans="7:14" ht="11.25" customHeight="1" x14ac:dyDescent="0.25">
      <c r="G3075" s="459"/>
      <c r="H3075" s="459">
        <v>3068</v>
      </c>
      <c r="I3075" s="444">
        <f t="shared" ca="1" si="145"/>
        <v>-280005797933.32928</v>
      </c>
      <c r="J3075" s="444">
        <f t="array" ref="J3075">IFERROR(INDEX('Retirement Calculator'!K:K,MATCH('Lorri 401b'!N3075,'Retirement Calculator'!A:A,0),0),0)</f>
        <v>0</v>
      </c>
      <c r="K3075" s="444">
        <f t="shared" ca="1" si="143"/>
        <v>-1166690824.7222054</v>
      </c>
      <c r="L3075" s="444">
        <f t="shared" ca="1" si="144"/>
        <v>-281172488758.05151</v>
      </c>
      <c r="M3075" s="460">
        <f t="shared" si="146"/>
        <v>0.05</v>
      </c>
      <c r="N3075" s="464">
        <f t="shared" si="147"/>
        <v>144638</v>
      </c>
    </row>
    <row r="3076" spans="7:14" ht="11.25" customHeight="1" x14ac:dyDescent="0.25">
      <c r="G3076" s="459"/>
      <c r="H3076" s="459">
        <v>3069</v>
      </c>
      <c r="I3076" s="444">
        <f t="shared" ca="1" si="145"/>
        <v>-281172488758.05151</v>
      </c>
      <c r="J3076" s="444">
        <f t="array" ref="J3076">IFERROR(INDEX('Retirement Calculator'!K:K,MATCH('Lorri 401b'!N3076,'Retirement Calculator'!A:A,0),0),0)</f>
        <v>0</v>
      </c>
      <c r="K3076" s="444">
        <f t="shared" ca="1" si="143"/>
        <v>-1171552036.4918814</v>
      </c>
      <c r="L3076" s="444">
        <f t="shared" ca="1" si="144"/>
        <v>-282344040794.5434</v>
      </c>
      <c r="M3076" s="460">
        <f t="shared" si="146"/>
        <v>0.05</v>
      </c>
      <c r="N3076" s="464">
        <f t="shared" si="147"/>
        <v>144669</v>
      </c>
    </row>
    <row r="3077" spans="7:14" ht="11.25" customHeight="1" x14ac:dyDescent="0.25">
      <c r="G3077" s="459"/>
      <c r="H3077" s="459">
        <v>3070</v>
      </c>
      <c r="I3077" s="444">
        <f t="shared" ca="1" si="145"/>
        <v>-282344040794.5434</v>
      </c>
      <c r="J3077" s="444">
        <f t="array" ref="J3077">IFERROR(INDEX('Retirement Calculator'!K:K,MATCH('Lorri 401b'!N3077,'Retirement Calculator'!A:A,0),0),0)</f>
        <v>0</v>
      </c>
      <c r="K3077" s="444">
        <f t="shared" ca="1" si="143"/>
        <v>-1176433503.3105974</v>
      </c>
      <c r="L3077" s="444">
        <f t="shared" ca="1" si="144"/>
        <v>-283520474297.854</v>
      </c>
      <c r="M3077" s="460">
        <f t="shared" si="146"/>
        <v>0.05</v>
      </c>
      <c r="N3077" s="464">
        <f t="shared" si="147"/>
        <v>144698</v>
      </c>
    </row>
    <row r="3078" spans="7:14" ht="11.25" customHeight="1" x14ac:dyDescent="0.25">
      <c r="G3078" s="459"/>
      <c r="H3078" s="459">
        <v>3071</v>
      </c>
      <c r="I3078" s="444">
        <f t="shared" ca="1" si="145"/>
        <v>-283520474297.854</v>
      </c>
      <c r="J3078" s="444">
        <f t="array" ref="J3078">IFERROR(INDEX('Retirement Calculator'!K:K,MATCH('Lorri 401b'!N3078,'Retirement Calculator'!A:A,0),0),0)</f>
        <v>0</v>
      </c>
      <c r="K3078" s="444">
        <f t="shared" ca="1" si="143"/>
        <v>-1181335309.5743916</v>
      </c>
      <c r="L3078" s="444">
        <f t="shared" ca="1" si="144"/>
        <v>-284701809607.42841</v>
      </c>
      <c r="M3078" s="460">
        <f t="shared" si="146"/>
        <v>0.05</v>
      </c>
      <c r="N3078" s="464">
        <f t="shared" si="147"/>
        <v>144729</v>
      </c>
    </row>
    <row r="3079" spans="7:14" ht="11.25" customHeight="1" x14ac:dyDescent="0.25">
      <c r="G3079" s="459"/>
      <c r="H3079" s="459">
        <v>3072</v>
      </c>
      <c r="I3079" s="444">
        <f t="shared" ca="1" si="145"/>
        <v>-284701809607.42841</v>
      </c>
      <c r="J3079" s="444">
        <f t="array" ref="J3079">IFERROR(INDEX('Retirement Calculator'!K:K,MATCH('Lorri 401b'!N3079,'Retirement Calculator'!A:A,0),0),0)</f>
        <v>0</v>
      </c>
      <c r="K3079" s="444">
        <f t="shared" ca="1" si="143"/>
        <v>-1186257540.0309517</v>
      </c>
      <c r="L3079" s="444">
        <f t="shared" ca="1" si="144"/>
        <v>-285888067147.45935</v>
      </c>
      <c r="M3079" s="460">
        <f t="shared" si="146"/>
        <v>0.05</v>
      </c>
      <c r="N3079" s="464">
        <f t="shared" si="147"/>
        <v>144759</v>
      </c>
    </row>
    <row r="3080" spans="7:14" ht="11.25" customHeight="1" x14ac:dyDescent="0.25">
      <c r="G3080" s="459"/>
      <c r="H3080" s="459">
        <v>3073</v>
      </c>
      <c r="I3080" s="444">
        <f t="shared" ca="1" si="145"/>
        <v>-285888067147.45935</v>
      </c>
      <c r="J3080" s="444">
        <f t="array" ref="J3080">IFERROR(INDEX('Retirement Calculator'!K:K,MATCH('Lorri 401b'!N3080,'Retirement Calculator'!A:A,0),0),0)</f>
        <v>0</v>
      </c>
      <c r="K3080" s="444">
        <f t="shared" ca="1" si="143"/>
        <v>-1191200279.7810807</v>
      </c>
      <c r="L3080" s="444">
        <f t="shared" ca="1" si="144"/>
        <v>-287079267427.24042</v>
      </c>
      <c r="M3080" s="460">
        <f t="shared" si="146"/>
        <v>0.05</v>
      </c>
      <c r="N3080" s="464">
        <f t="shared" si="147"/>
        <v>144790</v>
      </c>
    </row>
    <row r="3081" spans="7:14" ht="11.25" customHeight="1" x14ac:dyDescent="0.25">
      <c r="G3081" s="459"/>
      <c r="H3081" s="459">
        <v>3074</v>
      </c>
      <c r="I3081" s="444">
        <f t="shared" ca="1" si="145"/>
        <v>-287079267427.24042</v>
      </c>
      <c r="J3081" s="444">
        <f t="array" ref="J3081">IFERROR(INDEX('Retirement Calculator'!K:K,MATCH('Lorri 401b'!N3081,'Retirement Calculator'!A:A,0),0),0)</f>
        <v>0</v>
      </c>
      <c r="K3081" s="444">
        <f t="shared" ca="1" si="143"/>
        <v>-1196163614.2801683</v>
      </c>
      <c r="L3081" s="444">
        <f t="shared" ca="1" si="144"/>
        <v>-288275431041.52057</v>
      </c>
      <c r="M3081" s="460">
        <f t="shared" si="146"/>
        <v>0.05</v>
      </c>
      <c r="N3081" s="464">
        <f t="shared" si="147"/>
        <v>144820</v>
      </c>
    </row>
    <row r="3082" spans="7:14" ht="11.25" customHeight="1" x14ac:dyDescent="0.25">
      <c r="G3082" s="459"/>
      <c r="H3082" s="459">
        <v>3075</v>
      </c>
      <c r="I3082" s="444">
        <f t="shared" ca="1" si="145"/>
        <v>-288275431041.52057</v>
      </c>
      <c r="J3082" s="444">
        <f t="array" ref="J3082">IFERROR(INDEX('Retirement Calculator'!K:K,MATCH('Lorri 401b'!N3082,'Retirement Calculator'!A:A,0),0),0)</f>
        <v>0</v>
      </c>
      <c r="K3082" s="444">
        <f t="shared" ca="1" si="143"/>
        <v>-1201147629.339669</v>
      </c>
      <c r="L3082" s="444">
        <f t="shared" ca="1" si="144"/>
        <v>-289476578670.86023</v>
      </c>
      <c r="M3082" s="460">
        <f t="shared" si="146"/>
        <v>0.05</v>
      </c>
      <c r="N3082" s="464">
        <f t="shared" si="147"/>
        <v>144851</v>
      </c>
    </row>
    <row r="3083" spans="7:14" ht="11.25" customHeight="1" x14ac:dyDescent="0.25">
      <c r="G3083" s="459"/>
      <c r="H3083" s="459">
        <v>3076</v>
      </c>
      <c r="I3083" s="444">
        <f t="shared" ca="1" si="145"/>
        <v>-289476578670.86023</v>
      </c>
      <c r="J3083" s="444">
        <f t="array" ref="J3083">IFERROR(INDEX('Retirement Calculator'!K:K,MATCH('Lorri 401b'!N3083,'Retirement Calculator'!A:A,0),0),0)</f>
        <v>0</v>
      </c>
      <c r="K3083" s="444">
        <f t="shared" ca="1" si="143"/>
        <v>-1206152411.1285844</v>
      </c>
      <c r="L3083" s="444">
        <f t="shared" ca="1" si="144"/>
        <v>-290682731081.98883</v>
      </c>
      <c r="M3083" s="460">
        <f t="shared" si="146"/>
        <v>0.05</v>
      </c>
      <c r="N3083" s="464">
        <f t="shared" si="147"/>
        <v>144882</v>
      </c>
    </row>
    <row r="3084" spans="7:14" ht="11.25" customHeight="1" x14ac:dyDescent="0.25">
      <c r="G3084" s="459"/>
      <c r="H3084" s="459">
        <v>3077</v>
      </c>
      <c r="I3084" s="444">
        <f t="shared" ca="1" si="145"/>
        <v>-290682731081.98883</v>
      </c>
      <c r="J3084" s="444">
        <f t="array" ref="J3084">IFERROR(INDEX('Retirement Calculator'!K:K,MATCH('Lorri 401b'!N3084,'Retirement Calculator'!A:A,0),0),0)</f>
        <v>0</v>
      </c>
      <c r="K3084" s="444">
        <f t="shared" ca="1" si="143"/>
        <v>-1211178046.1749535</v>
      </c>
      <c r="L3084" s="444">
        <f t="shared" ca="1" si="144"/>
        <v>-291893909128.16376</v>
      </c>
      <c r="M3084" s="460">
        <f t="shared" si="146"/>
        <v>0.05</v>
      </c>
      <c r="N3084" s="464">
        <f t="shared" si="147"/>
        <v>144912</v>
      </c>
    </row>
    <row r="3085" spans="7:14" ht="11.25" customHeight="1" x14ac:dyDescent="0.25">
      <c r="G3085" s="459"/>
      <c r="H3085" s="459">
        <v>3078</v>
      </c>
      <c r="I3085" s="444">
        <f t="shared" ca="1" si="145"/>
        <v>-291893909128.16376</v>
      </c>
      <c r="J3085" s="444">
        <f t="array" ref="J3085">IFERROR(INDEX('Retirement Calculator'!K:K,MATCH('Lorri 401b'!N3085,'Retirement Calculator'!A:A,0),0),0)</f>
        <v>0</v>
      </c>
      <c r="K3085" s="444">
        <f t="shared" ca="1" si="143"/>
        <v>-1216224621.3673489</v>
      </c>
      <c r="L3085" s="444">
        <f t="shared" ca="1" si="144"/>
        <v>-293110133749.53113</v>
      </c>
      <c r="M3085" s="460">
        <f t="shared" si="146"/>
        <v>0.05</v>
      </c>
      <c r="N3085" s="464">
        <f t="shared" si="147"/>
        <v>144943</v>
      </c>
    </row>
    <row r="3086" spans="7:14" ht="11.25" customHeight="1" x14ac:dyDescent="0.25">
      <c r="G3086" s="459"/>
      <c r="H3086" s="459">
        <v>3079</v>
      </c>
      <c r="I3086" s="444">
        <f t="shared" ca="1" si="145"/>
        <v>-293110133749.53113</v>
      </c>
      <c r="J3086" s="444">
        <f t="array" ref="J3086">IFERROR(INDEX('Retirement Calculator'!K:K,MATCH('Lorri 401b'!N3086,'Retirement Calculator'!A:A,0),0),0)</f>
        <v>0</v>
      </c>
      <c r="K3086" s="444">
        <f t="shared" ca="1" si="143"/>
        <v>-1221292223.9563797</v>
      </c>
      <c r="L3086" s="444">
        <f t="shared" ca="1" si="144"/>
        <v>-294331425973.48749</v>
      </c>
      <c r="M3086" s="460">
        <f t="shared" si="146"/>
        <v>0.05</v>
      </c>
      <c r="N3086" s="464">
        <f t="shared" si="147"/>
        <v>144973</v>
      </c>
    </row>
    <row r="3087" spans="7:14" ht="11.25" customHeight="1" x14ac:dyDescent="0.25">
      <c r="G3087" s="459"/>
      <c r="H3087" s="459">
        <v>3080</v>
      </c>
      <c r="I3087" s="444">
        <f t="shared" ca="1" si="145"/>
        <v>-294331425973.48749</v>
      </c>
      <c r="J3087" s="444">
        <f t="array" ref="J3087">IFERROR(INDEX('Retirement Calculator'!K:K,MATCH('Lorri 401b'!N3087,'Retirement Calculator'!A:A,0),0),0)</f>
        <v>0</v>
      </c>
      <c r="K3087" s="444">
        <f t="shared" ca="1" si="143"/>
        <v>-1226380941.5561979</v>
      </c>
      <c r="L3087" s="444">
        <f t="shared" ca="1" si="144"/>
        <v>-295557806915.0437</v>
      </c>
      <c r="M3087" s="460">
        <f t="shared" si="146"/>
        <v>0.05</v>
      </c>
      <c r="N3087" s="464">
        <f t="shared" si="147"/>
        <v>145004</v>
      </c>
    </row>
    <row r="3088" spans="7:14" ht="11.25" customHeight="1" x14ac:dyDescent="0.25">
      <c r="G3088" s="459"/>
      <c r="H3088" s="459">
        <v>3081</v>
      </c>
      <c r="I3088" s="444">
        <f t="shared" ca="1" si="145"/>
        <v>-295557806915.0437</v>
      </c>
      <c r="J3088" s="444">
        <f t="array" ref="J3088">IFERROR(INDEX('Retirement Calculator'!K:K,MATCH('Lorri 401b'!N3088,'Retirement Calculator'!A:A,0),0),0)</f>
        <v>0</v>
      </c>
      <c r="K3088" s="444">
        <f t="shared" ca="1" si="143"/>
        <v>-1231490862.1460154</v>
      </c>
      <c r="L3088" s="444">
        <f t="shared" ca="1" si="144"/>
        <v>-296789297777.1897</v>
      </c>
      <c r="M3088" s="460">
        <f t="shared" si="146"/>
        <v>0.05</v>
      </c>
      <c r="N3088" s="464">
        <f t="shared" si="147"/>
        <v>145035</v>
      </c>
    </row>
    <row r="3089" spans="7:14" ht="11.25" customHeight="1" x14ac:dyDescent="0.25">
      <c r="G3089" s="459"/>
      <c r="H3089" s="459">
        <v>3082</v>
      </c>
      <c r="I3089" s="444">
        <f t="shared" ca="1" si="145"/>
        <v>-296789297777.1897</v>
      </c>
      <c r="J3089" s="444">
        <f t="array" ref="J3089">IFERROR(INDEX('Retirement Calculator'!K:K,MATCH('Lorri 401b'!N3089,'Retirement Calculator'!A:A,0),0),0)</f>
        <v>0</v>
      </c>
      <c r="K3089" s="444">
        <f t="shared" ca="1" si="143"/>
        <v>-1236622074.0716238</v>
      </c>
      <c r="L3089" s="444">
        <f t="shared" ca="1" si="144"/>
        <v>-298025919851.26129</v>
      </c>
      <c r="M3089" s="460">
        <f t="shared" si="146"/>
        <v>0.05</v>
      </c>
      <c r="N3089" s="464">
        <f t="shared" si="147"/>
        <v>145063</v>
      </c>
    </row>
    <row r="3090" spans="7:14" ht="11.25" customHeight="1" x14ac:dyDescent="0.25">
      <c r="G3090" s="459"/>
      <c r="H3090" s="459">
        <v>3083</v>
      </c>
      <c r="I3090" s="444">
        <f t="shared" ca="1" si="145"/>
        <v>-298025919851.26129</v>
      </c>
      <c r="J3090" s="444">
        <f t="array" ref="J3090">IFERROR(INDEX('Retirement Calculator'!K:K,MATCH('Lorri 401b'!N3090,'Retirement Calculator'!A:A,0),0),0)</f>
        <v>0</v>
      </c>
      <c r="K3090" s="444">
        <f t="shared" ca="1" si="143"/>
        <v>-1241774666.046922</v>
      </c>
      <c r="L3090" s="444">
        <f t="shared" ca="1" si="144"/>
        <v>-299267694517.30823</v>
      </c>
      <c r="M3090" s="460">
        <f t="shared" si="146"/>
        <v>0.05</v>
      </c>
      <c r="N3090" s="464">
        <f t="shared" si="147"/>
        <v>145094</v>
      </c>
    </row>
    <row r="3091" spans="7:14" ht="11.25" customHeight="1" x14ac:dyDescent="0.25">
      <c r="G3091" s="459"/>
      <c r="H3091" s="459">
        <v>3084</v>
      </c>
      <c r="I3091" s="444">
        <f t="shared" ca="1" si="145"/>
        <v>-299267694517.30823</v>
      </c>
      <c r="J3091" s="444">
        <f t="array" ref="J3091">IFERROR(INDEX('Retirement Calculator'!K:K,MATCH('Lorri 401b'!N3091,'Retirement Calculator'!A:A,0),0),0)</f>
        <v>0</v>
      </c>
      <c r="K3091" s="444">
        <f t="shared" ca="1" si="143"/>
        <v>-1246948727.1554508</v>
      </c>
      <c r="L3091" s="444">
        <f t="shared" ca="1" si="144"/>
        <v>-300514643244.46368</v>
      </c>
      <c r="M3091" s="460">
        <f t="shared" si="146"/>
        <v>0.05</v>
      </c>
      <c r="N3091" s="464">
        <f t="shared" si="147"/>
        <v>145124</v>
      </c>
    </row>
    <row r="3092" spans="7:14" ht="11.25" customHeight="1" x14ac:dyDescent="0.25">
      <c r="G3092" s="459"/>
      <c r="H3092" s="459">
        <v>3085</v>
      </c>
      <c r="I3092" s="444">
        <f t="shared" ca="1" si="145"/>
        <v>-300514643244.46368</v>
      </c>
      <c r="J3092" s="444">
        <f t="array" ref="J3092">IFERROR(INDEX('Retirement Calculator'!K:K,MATCH('Lorri 401b'!N3092,'Retirement Calculator'!A:A,0),0),0)</f>
        <v>0</v>
      </c>
      <c r="K3092" s="444">
        <f t="shared" ca="1" si="143"/>
        <v>-1252144346.851932</v>
      </c>
      <c r="L3092" s="444">
        <f t="shared" ca="1" si="144"/>
        <v>-301766787591.31561</v>
      </c>
      <c r="M3092" s="460">
        <f t="shared" si="146"/>
        <v>0.05</v>
      </c>
      <c r="N3092" s="464">
        <f t="shared" si="147"/>
        <v>145155</v>
      </c>
    </row>
    <row r="3093" spans="7:14" ht="11.25" customHeight="1" x14ac:dyDescent="0.25">
      <c r="G3093" s="459"/>
      <c r="H3093" s="459">
        <v>3086</v>
      </c>
      <c r="I3093" s="444">
        <f t="shared" ca="1" si="145"/>
        <v>-301766787591.31561</v>
      </c>
      <c r="J3093" s="444">
        <f t="array" ref="J3093">IFERROR(INDEX('Retirement Calculator'!K:K,MATCH('Lorri 401b'!N3093,'Retirement Calculator'!A:A,0),0),0)</f>
        <v>0</v>
      </c>
      <c r="K3093" s="444">
        <f t="shared" ca="1" si="143"/>
        <v>-1257361614.963815</v>
      </c>
      <c r="L3093" s="444">
        <f t="shared" ca="1" si="144"/>
        <v>-303024149206.27942</v>
      </c>
      <c r="M3093" s="460">
        <f t="shared" si="146"/>
        <v>0.05</v>
      </c>
      <c r="N3093" s="464">
        <f t="shared" si="147"/>
        <v>145185</v>
      </c>
    </row>
    <row r="3094" spans="7:14" ht="11.25" customHeight="1" x14ac:dyDescent="0.25">
      <c r="G3094" s="459"/>
      <c r="H3094" s="459">
        <v>3087</v>
      </c>
      <c r="I3094" s="444">
        <f t="shared" ca="1" si="145"/>
        <v>-303024149206.27942</v>
      </c>
      <c r="J3094" s="444">
        <f t="array" ref="J3094">IFERROR(INDEX('Retirement Calculator'!K:K,MATCH('Lorri 401b'!N3094,'Retirement Calculator'!A:A,0),0),0)</f>
        <v>0</v>
      </c>
      <c r="K3094" s="444">
        <f t="shared" ca="1" si="143"/>
        <v>-1262600621.6928308</v>
      </c>
      <c r="L3094" s="444">
        <f t="shared" ca="1" si="144"/>
        <v>-304286749827.97223</v>
      </c>
      <c r="M3094" s="460">
        <f t="shared" si="146"/>
        <v>0.05</v>
      </c>
      <c r="N3094" s="464">
        <f t="shared" si="147"/>
        <v>145216</v>
      </c>
    </row>
    <row r="3095" spans="7:14" ht="11.25" customHeight="1" x14ac:dyDescent="0.25">
      <c r="G3095" s="459"/>
      <c r="H3095" s="459">
        <v>3088</v>
      </c>
      <c r="I3095" s="444">
        <f t="shared" ca="1" si="145"/>
        <v>-304286749827.97223</v>
      </c>
      <c r="J3095" s="444">
        <f t="array" ref="J3095">IFERROR(INDEX('Retirement Calculator'!K:K,MATCH('Lorri 401b'!N3095,'Retirement Calculator'!A:A,0),0),0)</f>
        <v>0</v>
      </c>
      <c r="K3095" s="444">
        <f t="shared" ca="1" si="143"/>
        <v>-1267861457.6165509</v>
      </c>
      <c r="L3095" s="444">
        <f t="shared" ca="1" si="144"/>
        <v>-305554611285.58881</v>
      </c>
      <c r="M3095" s="460">
        <f t="shared" si="146"/>
        <v>0.05</v>
      </c>
      <c r="N3095" s="464">
        <f t="shared" si="147"/>
        <v>145247</v>
      </c>
    </row>
    <row r="3096" spans="7:14" ht="11.25" customHeight="1" x14ac:dyDescent="0.25">
      <c r="G3096" s="459"/>
      <c r="H3096" s="459">
        <v>3089</v>
      </c>
      <c r="I3096" s="444">
        <f t="shared" ca="1" si="145"/>
        <v>-305554611285.58881</v>
      </c>
      <c r="J3096" s="444">
        <f t="array" ref="J3096">IFERROR(INDEX('Retirement Calculator'!K:K,MATCH('Lorri 401b'!N3096,'Retirement Calculator'!A:A,0),0),0)</f>
        <v>0</v>
      </c>
      <c r="K3096" s="444">
        <f t="shared" ca="1" si="143"/>
        <v>-1273144213.6899533</v>
      </c>
      <c r="L3096" s="444">
        <f t="shared" ca="1" si="144"/>
        <v>-306827755499.27875</v>
      </c>
      <c r="M3096" s="460">
        <f t="shared" si="146"/>
        <v>0.05</v>
      </c>
      <c r="N3096" s="464">
        <f t="shared" si="147"/>
        <v>145277</v>
      </c>
    </row>
    <row r="3097" spans="7:14" ht="11.25" customHeight="1" x14ac:dyDescent="0.25">
      <c r="G3097" s="459"/>
      <c r="H3097" s="459">
        <v>3090</v>
      </c>
      <c r="I3097" s="444">
        <f t="shared" ca="1" si="145"/>
        <v>-306827755499.27875</v>
      </c>
      <c r="J3097" s="444">
        <f t="array" ref="J3097">IFERROR(INDEX('Retirement Calculator'!K:K,MATCH('Lorri 401b'!N3097,'Retirement Calculator'!A:A,0),0),0)</f>
        <v>0</v>
      </c>
      <c r="K3097" s="444">
        <f t="shared" ca="1" si="143"/>
        <v>-1278448981.2469947</v>
      </c>
      <c r="L3097" s="444">
        <f t="shared" ca="1" si="144"/>
        <v>-308106204480.52576</v>
      </c>
      <c r="M3097" s="460">
        <f t="shared" si="146"/>
        <v>0.05</v>
      </c>
      <c r="N3097" s="464">
        <f t="shared" si="147"/>
        <v>145308</v>
      </c>
    </row>
    <row r="3098" spans="7:14" ht="11.25" customHeight="1" x14ac:dyDescent="0.25">
      <c r="G3098" s="459"/>
      <c r="H3098" s="459">
        <v>3091</v>
      </c>
      <c r="I3098" s="444">
        <f t="shared" ca="1" si="145"/>
        <v>-308106204480.52576</v>
      </c>
      <c r="J3098" s="444">
        <f t="array" ref="J3098">IFERROR(INDEX('Retirement Calculator'!K:K,MATCH('Lorri 401b'!N3098,'Retirement Calculator'!A:A,0),0),0)</f>
        <v>0</v>
      </c>
      <c r="K3098" s="444">
        <f t="shared" ca="1" si="143"/>
        <v>-1283775852.0021906</v>
      </c>
      <c r="L3098" s="444">
        <f t="shared" ca="1" si="144"/>
        <v>-309389980332.52795</v>
      </c>
      <c r="M3098" s="460">
        <f t="shared" si="146"/>
        <v>0.05</v>
      </c>
      <c r="N3098" s="464">
        <f t="shared" si="147"/>
        <v>145338</v>
      </c>
    </row>
    <row r="3099" spans="7:14" ht="11.25" customHeight="1" x14ac:dyDescent="0.25">
      <c r="G3099" s="459"/>
      <c r="H3099" s="459">
        <v>3092</v>
      </c>
      <c r="I3099" s="444">
        <f t="shared" ca="1" si="145"/>
        <v>-309389980332.52795</v>
      </c>
      <c r="J3099" s="444">
        <f t="array" ref="J3099">IFERROR(INDEX('Retirement Calculator'!K:K,MATCH('Lorri 401b'!N3099,'Retirement Calculator'!A:A,0),0),0)</f>
        <v>0</v>
      </c>
      <c r="K3099" s="444">
        <f t="shared" ca="1" si="143"/>
        <v>-1289124918.0521998</v>
      </c>
      <c r="L3099" s="444">
        <f t="shared" ca="1" si="144"/>
        <v>-310679105250.58014</v>
      </c>
      <c r="M3099" s="460">
        <f t="shared" si="146"/>
        <v>0.05</v>
      </c>
      <c r="N3099" s="464">
        <f t="shared" si="147"/>
        <v>145369</v>
      </c>
    </row>
    <row r="3100" spans="7:14" ht="11.25" customHeight="1" x14ac:dyDescent="0.25">
      <c r="G3100" s="459"/>
      <c r="H3100" s="459">
        <v>3093</v>
      </c>
      <c r="I3100" s="444">
        <f t="shared" ca="1" si="145"/>
        <v>-310679105250.58014</v>
      </c>
      <c r="J3100" s="444">
        <f t="array" ref="J3100">IFERROR(INDEX('Retirement Calculator'!K:K,MATCH('Lorri 401b'!N3100,'Retirement Calculator'!A:A,0),0),0)</f>
        <v>0</v>
      </c>
      <c r="K3100" s="444">
        <f t="shared" ca="1" si="143"/>
        <v>-1294496271.8774173</v>
      </c>
      <c r="L3100" s="444">
        <f t="shared" ca="1" si="144"/>
        <v>-311973601522.45758</v>
      </c>
      <c r="M3100" s="460">
        <f t="shared" si="146"/>
        <v>0.05</v>
      </c>
      <c r="N3100" s="464">
        <f t="shared" si="147"/>
        <v>145400</v>
      </c>
    </row>
    <row r="3101" spans="7:14" ht="11.25" customHeight="1" x14ac:dyDescent="0.25">
      <c r="G3101" s="459"/>
      <c r="H3101" s="459">
        <v>3094</v>
      </c>
      <c r="I3101" s="444">
        <f t="shared" ca="1" si="145"/>
        <v>-311973601522.45758</v>
      </c>
      <c r="J3101" s="444">
        <f t="array" ref="J3101">IFERROR(INDEX('Retirement Calculator'!K:K,MATCH('Lorri 401b'!N3101,'Retirement Calculator'!A:A,0),0),0)</f>
        <v>0</v>
      </c>
      <c r="K3101" s="444">
        <f t="shared" ca="1" si="143"/>
        <v>-1299890006.3435733</v>
      </c>
      <c r="L3101" s="444">
        <f t="shared" ca="1" si="144"/>
        <v>-313273491528.80115</v>
      </c>
      <c r="M3101" s="460">
        <f t="shared" si="146"/>
        <v>0.05</v>
      </c>
      <c r="N3101" s="464">
        <f t="shared" si="147"/>
        <v>145428</v>
      </c>
    </row>
    <row r="3102" spans="7:14" ht="11.25" customHeight="1" x14ac:dyDescent="0.25">
      <c r="G3102" s="459"/>
      <c r="H3102" s="459">
        <v>3095</v>
      </c>
      <c r="I3102" s="444">
        <f t="shared" ca="1" si="145"/>
        <v>-313273491528.80115</v>
      </c>
      <c r="J3102" s="444">
        <f t="array" ref="J3102">IFERROR(INDEX('Retirement Calculator'!K:K,MATCH('Lorri 401b'!N3102,'Retirement Calculator'!A:A,0),0),0)</f>
        <v>0</v>
      </c>
      <c r="K3102" s="444">
        <f t="shared" ca="1" si="143"/>
        <v>-1305306214.7033381</v>
      </c>
      <c r="L3102" s="444">
        <f t="shared" ca="1" si="144"/>
        <v>-314578797743.50446</v>
      </c>
      <c r="M3102" s="460">
        <f t="shared" si="146"/>
        <v>0.05</v>
      </c>
      <c r="N3102" s="464">
        <f t="shared" si="147"/>
        <v>145459</v>
      </c>
    </row>
    <row r="3103" spans="7:14" ht="11.25" customHeight="1" x14ac:dyDescent="0.25">
      <c r="G3103" s="459"/>
      <c r="H3103" s="459">
        <v>3096</v>
      </c>
      <c r="I3103" s="444">
        <f t="shared" ca="1" si="145"/>
        <v>-314578797743.50446</v>
      </c>
      <c r="J3103" s="444">
        <f t="array" ref="J3103">IFERROR(INDEX('Retirement Calculator'!K:K,MATCH('Lorri 401b'!N3103,'Retirement Calculator'!A:A,0),0),0)</f>
        <v>0</v>
      </c>
      <c r="K3103" s="444">
        <f t="shared" ca="1" si="143"/>
        <v>-1310744990.5979352</v>
      </c>
      <c r="L3103" s="444">
        <f t="shared" ca="1" si="144"/>
        <v>-315889542734.10242</v>
      </c>
      <c r="M3103" s="460">
        <f t="shared" si="146"/>
        <v>0.05</v>
      </c>
      <c r="N3103" s="464">
        <f t="shared" si="147"/>
        <v>145489</v>
      </c>
    </row>
    <row r="3104" spans="7:14" ht="11.25" customHeight="1" x14ac:dyDescent="0.25">
      <c r="G3104" s="459"/>
      <c r="H3104" s="459">
        <v>3097</v>
      </c>
      <c r="I3104" s="444">
        <f t="shared" ca="1" si="145"/>
        <v>-315889542734.10242</v>
      </c>
      <c r="J3104" s="444">
        <f t="array" ref="J3104">IFERROR(INDEX('Retirement Calculator'!K:K,MATCH('Lorri 401b'!N3104,'Retirement Calculator'!A:A,0),0),0)</f>
        <v>0</v>
      </c>
      <c r="K3104" s="444">
        <f t="shared" ca="1" si="143"/>
        <v>-1316206428.0587602</v>
      </c>
      <c r="L3104" s="444">
        <f t="shared" ca="1" si="144"/>
        <v>-317205749162.16119</v>
      </c>
      <c r="M3104" s="460">
        <f t="shared" si="146"/>
        <v>0.05</v>
      </c>
      <c r="N3104" s="464">
        <f t="shared" si="147"/>
        <v>145520</v>
      </c>
    </row>
    <row r="3105" spans="7:14" ht="11.25" customHeight="1" x14ac:dyDescent="0.25">
      <c r="G3105" s="459"/>
      <c r="H3105" s="459">
        <v>3098</v>
      </c>
      <c r="I3105" s="444">
        <f t="shared" ca="1" si="145"/>
        <v>-317205749162.16119</v>
      </c>
      <c r="J3105" s="444">
        <f t="array" ref="J3105">IFERROR(INDEX('Retirement Calculator'!K:K,MATCH('Lorri 401b'!N3105,'Retirement Calculator'!A:A,0),0),0)</f>
        <v>0</v>
      </c>
      <c r="K3105" s="444">
        <f t="shared" ca="1" si="143"/>
        <v>-1321690621.5090051</v>
      </c>
      <c r="L3105" s="444">
        <f t="shared" ca="1" si="144"/>
        <v>-318527439783.67023</v>
      </c>
      <c r="M3105" s="460">
        <f t="shared" si="146"/>
        <v>0.05</v>
      </c>
      <c r="N3105" s="464">
        <f t="shared" si="147"/>
        <v>145550</v>
      </c>
    </row>
    <row r="3106" spans="7:14" ht="11.25" customHeight="1" x14ac:dyDescent="0.25">
      <c r="G3106" s="459"/>
      <c r="H3106" s="459">
        <v>3099</v>
      </c>
      <c r="I3106" s="444">
        <f t="shared" ca="1" si="145"/>
        <v>-318527439783.67023</v>
      </c>
      <c r="J3106" s="444">
        <f t="array" ref="J3106">IFERROR(INDEX('Retirement Calculator'!K:K,MATCH('Lorri 401b'!N3106,'Retirement Calculator'!A:A,0),0),0)</f>
        <v>0</v>
      </c>
      <c r="K3106" s="444">
        <f t="shared" ca="1" si="143"/>
        <v>-1327197665.7652926</v>
      </c>
      <c r="L3106" s="444">
        <f t="shared" ca="1" si="144"/>
        <v>-319854637449.43555</v>
      </c>
      <c r="M3106" s="460">
        <f t="shared" si="146"/>
        <v>0.05</v>
      </c>
      <c r="N3106" s="464">
        <f t="shared" si="147"/>
        <v>145581</v>
      </c>
    </row>
    <row r="3107" spans="7:14" ht="11.25" customHeight="1" x14ac:dyDescent="0.25">
      <c r="G3107" s="459"/>
      <c r="H3107" s="459">
        <v>3100</v>
      </c>
      <c r="I3107" s="444">
        <f t="shared" ca="1" si="145"/>
        <v>-319854637449.43555</v>
      </c>
      <c r="J3107" s="444">
        <f t="array" ref="J3107">IFERROR(INDEX('Retirement Calculator'!K:K,MATCH('Lorri 401b'!N3107,'Retirement Calculator'!A:A,0),0),0)</f>
        <v>0</v>
      </c>
      <c r="K3107" s="444">
        <f t="shared" ca="1" si="143"/>
        <v>-1332727656.0393147</v>
      </c>
      <c r="L3107" s="444">
        <f t="shared" ca="1" si="144"/>
        <v>-321187365105.47485</v>
      </c>
      <c r="M3107" s="460">
        <f t="shared" si="146"/>
        <v>0.05</v>
      </c>
      <c r="N3107" s="464">
        <f t="shared" si="147"/>
        <v>145612</v>
      </c>
    </row>
    <row r="3108" spans="7:14" ht="11.25" customHeight="1" x14ac:dyDescent="0.25">
      <c r="G3108" s="459"/>
      <c r="H3108" s="459">
        <v>3101</v>
      </c>
      <c r="I3108" s="444">
        <f t="shared" ca="1" si="145"/>
        <v>-321187365105.47485</v>
      </c>
      <c r="J3108" s="444">
        <f t="array" ref="J3108">IFERROR(INDEX('Retirement Calculator'!K:K,MATCH('Lorri 401b'!N3108,'Retirement Calculator'!A:A,0),0),0)</f>
        <v>0</v>
      </c>
      <c r="K3108" s="444">
        <f t="shared" ca="1" si="143"/>
        <v>-1338280687.9394786</v>
      </c>
      <c r="L3108" s="444">
        <f t="shared" ca="1" si="144"/>
        <v>-322525645793.41431</v>
      </c>
      <c r="M3108" s="460">
        <f t="shared" si="146"/>
        <v>0.05</v>
      </c>
      <c r="N3108" s="464">
        <f t="shared" si="147"/>
        <v>145642</v>
      </c>
    </row>
    <row r="3109" spans="7:14" ht="11.25" customHeight="1" x14ac:dyDescent="0.25">
      <c r="G3109" s="459"/>
      <c r="H3109" s="459">
        <v>3102</v>
      </c>
      <c r="I3109" s="444">
        <f t="shared" ca="1" si="145"/>
        <v>-322525645793.41431</v>
      </c>
      <c r="J3109" s="444">
        <f t="array" ref="J3109">IFERROR(INDEX('Retirement Calculator'!K:K,MATCH('Lorri 401b'!N3109,'Retirement Calculator'!A:A,0),0),0)</f>
        <v>0</v>
      </c>
      <c r="K3109" s="444">
        <f t="shared" ca="1" si="143"/>
        <v>-1343856857.4725597</v>
      </c>
      <c r="L3109" s="444">
        <f t="shared" ca="1" si="144"/>
        <v>-323869502650.88684</v>
      </c>
      <c r="M3109" s="460">
        <f t="shared" si="146"/>
        <v>0.05</v>
      </c>
      <c r="N3109" s="464">
        <f t="shared" si="147"/>
        <v>145673</v>
      </c>
    </row>
    <row r="3110" spans="7:14" ht="11.25" customHeight="1" x14ac:dyDescent="0.25">
      <c r="G3110" s="459"/>
      <c r="H3110" s="459">
        <v>3103</v>
      </c>
      <c r="I3110" s="444">
        <f t="shared" ca="1" si="145"/>
        <v>-323869502650.88684</v>
      </c>
      <c r="J3110" s="444">
        <f t="array" ref="J3110">IFERROR(INDEX('Retirement Calculator'!K:K,MATCH('Lorri 401b'!N3110,'Retirement Calculator'!A:A,0),0),0)</f>
        <v>0</v>
      </c>
      <c r="K3110" s="444">
        <f t="shared" ca="1" si="143"/>
        <v>-1349456261.0453618</v>
      </c>
      <c r="L3110" s="444">
        <f t="shared" ca="1" si="144"/>
        <v>-325218958911.93219</v>
      </c>
      <c r="M3110" s="460">
        <f t="shared" si="146"/>
        <v>0.05</v>
      </c>
      <c r="N3110" s="464">
        <f t="shared" si="147"/>
        <v>145703</v>
      </c>
    </row>
    <row r="3111" spans="7:14" ht="11.25" customHeight="1" x14ac:dyDescent="0.25">
      <c r="G3111" s="459"/>
      <c r="H3111" s="459">
        <v>3104</v>
      </c>
      <c r="I3111" s="444">
        <f t="shared" ca="1" si="145"/>
        <v>-325218958911.93219</v>
      </c>
      <c r="J3111" s="444">
        <f t="array" ref="J3111">IFERROR(INDEX('Retirement Calculator'!K:K,MATCH('Lorri 401b'!N3111,'Retirement Calculator'!A:A,0),0),0)</f>
        <v>0</v>
      </c>
      <c r="K3111" s="444">
        <f t="shared" ca="1" si="143"/>
        <v>-1355078995.4663842</v>
      </c>
      <c r="L3111" s="444">
        <f t="shared" ca="1" si="144"/>
        <v>-326574037907.39856</v>
      </c>
      <c r="M3111" s="460">
        <f t="shared" si="146"/>
        <v>0.05</v>
      </c>
      <c r="N3111" s="464">
        <f t="shared" si="147"/>
        <v>145734</v>
      </c>
    </row>
    <row r="3112" spans="7:14" ht="11.25" customHeight="1" x14ac:dyDescent="0.25">
      <c r="G3112" s="459"/>
      <c r="H3112" s="459">
        <v>3105</v>
      </c>
      <c r="I3112" s="444">
        <f t="shared" ca="1" si="145"/>
        <v>-326574037907.39856</v>
      </c>
      <c r="J3112" s="444">
        <f t="array" ref="J3112">IFERROR(INDEX('Retirement Calculator'!K:K,MATCH('Lorri 401b'!N3112,'Retirement Calculator'!A:A,0),0),0)</f>
        <v>0</v>
      </c>
      <c r="K3112" s="444">
        <f t="shared" ca="1" si="143"/>
        <v>-1360725157.947494</v>
      </c>
      <c r="L3112" s="444">
        <f t="shared" ca="1" si="144"/>
        <v>-327934763065.34607</v>
      </c>
      <c r="M3112" s="460">
        <f t="shared" si="146"/>
        <v>0.05</v>
      </c>
      <c r="N3112" s="464">
        <f t="shared" si="147"/>
        <v>145765</v>
      </c>
    </row>
    <row r="3113" spans="7:14" ht="11.25" customHeight="1" x14ac:dyDescent="0.25">
      <c r="G3113" s="459"/>
      <c r="H3113" s="459">
        <v>3106</v>
      </c>
      <c r="I3113" s="444">
        <f t="shared" ca="1" si="145"/>
        <v>-327934763065.34607</v>
      </c>
      <c r="J3113" s="444">
        <f t="array" ref="J3113">IFERROR(INDEX('Retirement Calculator'!K:K,MATCH('Lorri 401b'!N3113,'Retirement Calculator'!A:A,0),0),0)</f>
        <v>0</v>
      </c>
      <c r="K3113" s="444">
        <f t="shared" ca="1" si="143"/>
        <v>-1366394846.1056087</v>
      </c>
      <c r="L3113" s="444">
        <f t="shared" ca="1" si="144"/>
        <v>-329301157911.45166</v>
      </c>
      <c r="M3113" s="460">
        <f t="shared" si="146"/>
        <v>0.05</v>
      </c>
      <c r="N3113" s="464">
        <f t="shared" si="147"/>
        <v>145793</v>
      </c>
    </row>
    <row r="3114" spans="7:14" ht="11.25" customHeight="1" x14ac:dyDescent="0.25">
      <c r="G3114" s="459"/>
      <c r="H3114" s="459">
        <v>3107</v>
      </c>
      <c r="I3114" s="444">
        <f t="shared" ca="1" si="145"/>
        <v>-329301157911.45166</v>
      </c>
      <c r="J3114" s="444">
        <f t="array" ref="J3114">IFERROR(INDEX('Retirement Calculator'!K:K,MATCH('Lorri 401b'!N3114,'Retirement Calculator'!A:A,0),0),0)</f>
        <v>0</v>
      </c>
      <c r="K3114" s="444">
        <f t="shared" ca="1" si="143"/>
        <v>-1372088157.9643819</v>
      </c>
      <c r="L3114" s="444">
        <f t="shared" ca="1" si="144"/>
        <v>-330673246069.41602</v>
      </c>
      <c r="M3114" s="460">
        <f t="shared" si="146"/>
        <v>0.05</v>
      </c>
      <c r="N3114" s="464">
        <f t="shared" si="147"/>
        <v>145824</v>
      </c>
    </row>
    <row r="3115" spans="7:14" ht="11.25" customHeight="1" x14ac:dyDescent="0.25">
      <c r="G3115" s="459"/>
      <c r="H3115" s="459">
        <v>3108</v>
      </c>
      <c r="I3115" s="444">
        <f t="shared" ca="1" si="145"/>
        <v>-330673246069.41602</v>
      </c>
      <c r="J3115" s="444">
        <f t="array" ref="J3115">IFERROR(INDEX('Retirement Calculator'!K:K,MATCH('Lorri 401b'!N3115,'Retirement Calculator'!A:A,0),0),0)</f>
        <v>0</v>
      </c>
      <c r="K3115" s="444">
        <f t="shared" ca="1" si="143"/>
        <v>-1377805191.9559</v>
      </c>
      <c r="L3115" s="444">
        <f t="shared" ca="1" si="144"/>
        <v>-332051051261.37189</v>
      </c>
      <c r="M3115" s="460">
        <f t="shared" si="146"/>
        <v>0.05</v>
      </c>
      <c r="N3115" s="464">
        <f t="shared" si="147"/>
        <v>145854</v>
      </c>
    </row>
    <row r="3116" spans="7:14" ht="11.25" customHeight="1" x14ac:dyDescent="0.25">
      <c r="G3116" s="459"/>
      <c r="H3116" s="459">
        <v>3109</v>
      </c>
      <c r="I3116" s="444">
        <f t="shared" ca="1" si="145"/>
        <v>-332051051261.37189</v>
      </c>
      <c r="J3116" s="444">
        <f t="array" ref="J3116">IFERROR(INDEX('Retirement Calculator'!K:K,MATCH('Lorri 401b'!N3116,'Retirement Calculator'!A:A,0),0),0)</f>
        <v>0</v>
      </c>
      <c r="K3116" s="444">
        <f t="shared" ca="1" si="143"/>
        <v>-1383546046.9223828</v>
      </c>
      <c r="L3116" s="444">
        <f t="shared" ca="1" si="144"/>
        <v>-333434597308.29425</v>
      </c>
      <c r="M3116" s="460">
        <f t="shared" si="146"/>
        <v>0.05</v>
      </c>
      <c r="N3116" s="464">
        <f t="shared" si="147"/>
        <v>145885</v>
      </c>
    </row>
    <row r="3117" spans="7:14" ht="11.25" customHeight="1" x14ac:dyDescent="0.25">
      <c r="G3117" s="459"/>
      <c r="H3117" s="459">
        <v>3110</v>
      </c>
      <c r="I3117" s="444">
        <f t="shared" ca="1" si="145"/>
        <v>-333434597308.29425</v>
      </c>
      <c r="J3117" s="444">
        <f t="array" ref="J3117">IFERROR(INDEX('Retirement Calculator'!K:K,MATCH('Lorri 401b'!N3117,'Retirement Calculator'!A:A,0),0),0)</f>
        <v>0</v>
      </c>
      <c r="K3117" s="444">
        <f t="shared" ca="1" si="143"/>
        <v>-1389310822.1178927</v>
      </c>
      <c r="L3117" s="444">
        <f t="shared" ca="1" si="144"/>
        <v>-334823908130.41217</v>
      </c>
      <c r="M3117" s="460">
        <f t="shared" si="146"/>
        <v>0.05</v>
      </c>
      <c r="N3117" s="464">
        <f t="shared" si="147"/>
        <v>145915</v>
      </c>
    </row>
    <row r="3118" spans="7:14" ht="11.25" customHeight="1" x14ac:dyDescent="0.25">
      <c r="G3118" s="459"/>
      <c r="H3118" s="459">
        <v>3111</v>
      </c>
      <c r="I3118" s="444">
        <f t="shared" ca="1" si="145"/>
        <v>-334823908130.41217</v>
      </c>
      <c r="J3118" s="444">
        <f t="array" ref="J3118">IFERROR(INDEX('Retirement Calculator'!K:K,MATCH('Lorri 401b'!N3118,'Retirement Calculator'!A:A,0),0),0)</f>
        <v>0</v>
      </c>
      <c r="K3118" s="444">
        <f t="shared" ca="1" si="143"/>
        <v>-1395099617.2100506</v>
      </c>
      <c r="L3118" s="444">
        <f t="shared" ca="1" si="144"/>
        <v>-336219007747.62219</v>
      </c>
      <c r="M3118" s="460">
        <f t="shared" si="146"/>
        <v>0.05</v>
      </c>
      <c r="N3118" s="464">
        <f t="shared" si="147"/>
        <v>145946</v>
      </c>
    </row>
    <row r="3119" spans="7:14" ht="11.25" customHeight="1" x14ac:dyDescent="0.25">
      <c r="G3119" s="459"/>
      <c r="H3119" s="459">
        <v>3112</v>
      </c>
      <c r="I3119" s="444">
        <f t="shared" ca="1" si="145"/>
        <v>-336219007747.62219</v>
      </c>
      <c r="J3119" s="444">
        <f t="array" ref="J3119">IFERROR(INDEX('Retirement Calculator'!K:K,MATCH('Lorri 401b'!N3119,'Retirement Calculator'!A:A,0),0),0)</f>
        <v>0</v>
      </c>
      <c r="K3119" s="444">
        <f t="shared" ca="1" si="143"/>
        <v>-1400912532.281759</v>
      </c>
      <c r="L3119" s="444">
        <f t="shared" ca="1" si="144"/>
        <v>-337619920279.90393</v>
      </c>
      <c r="M3119" s="460">
        <f t="shared" si="146"/>
        <v>0.05</v>
      </c>
      <c r="N3119" s="464">
        <f t="shared" si="147"/>
        <v>145977</v>
      </c>
    </row>
    <row r="3120" spans="7:14" ht="11.25" customHeight="1" x14ac:dyDescent="0.25">
      <c r="G3120" s="459"/>
      <c r="H3120" s="459">
        <v>3113</v>
      </c>
      <c r="I3120" s="444">
        <f t="shared" ca="1" si="145"/>
        <v>-337619920279.90393</v>
      </c>
      <c r="J3120" s="444">
        <f t="array" ref="J3120">IFERROR(INDEX('Retirement Calculator'!K:K,MATCH('Lorri 401b'!N3120,'Retirement Calculator'!A:A,0),0),0)</f>
        <v>0</v>
      </c>
      <c r="K3120" s="444">
        <f t="shared" ca="1" si="143"/>
        <v>-1406749667.8329329</v>
      </c>
      <c r="L3120" s="444">
        <f t="shared" ca="1" si="144"/>
        <v>-339026669947.73688</v>
      </c>
      <c r="M3120" s="460">
        <f t="shared" si="146"/>
        <v>0.05</v>
      </c>
      <c r="N3120" s="464">
        <f t="shared" si="147"/>
        <v>146007</v>
      </c>
    </row>
    <row r="3121" spans="7:14" ht="11.25" customHeight="1" x14ac:dyDescent="0.25">
      <c r="G3121" s="459"/>
      <c r="H3121" s="459">
        <v>3114</v>
      </c>
      <c r="I3121" s="444">
        <f t="shared" ca="1" si="145"/>
        <v>-339026669947.73688</v>
      </c>
      <c r="J3121" s="444">
        <f t="array" ref="J3121">IFERROR(INDEX('Retirement Calculator'!K:K,MATCH('Lorri 401b'!N3121,'Retirement Calculator'!A:A,0),0),0)</f>
        <v>0</v>
      </c>
      <c r="K3121" s="444">
        <f t="shared" ca="1" si="143"/>
        <v>-1412611124.7822371</v>
      </c>
      <c r="L3121" s="444">
        <f t="shared" ca="1" si="144"/>
        <v>-340439281072.5191</v>
      </c>
      <c r="M3121" s="460">
        <f t="shared" si="146"/>
        <v>0.05</v>
      </c>
      <c r="N3121" s="464">
        <f t="shared" si="147"/>
        <v>146038</v>
      </c>
    </row>
    <row r="3122" spans="7:14" ht="11.25" customHeight="1" x14ac:dyDescent="0.25">
      <c r="G3122" s="459"/>
      <c r="H3122" s="459">
        <v>3115</v>
      </c>
      <c r="I3122" s="444">
        <f t="shared" ca="1" si="145"/>
        <v>-340439281072.5191</v>
      </c>
      <c r="J3122" s="444">
        <f t="array" ref="J3122">IFERROR(INDEX('Retirement Calculator'!K:K,MATCH('Lorri 401b'!N3122,'Retirement Calculator'!A:A,0),0),0)</f>
        <v>0</v>
      </c>
      <c r="K3122" s="444">
        <f t="shared" ca="1" si="143"/>
        <v>-1418497004.4688296</v>
      </c>
      <c r="L3122" s="444">
        <f t="shared" ca="1" si="144"/>
        <v>-341857778076.98792</v>
      </c>
      <c r="M3122" s="460">
        <f t="shared" si="146"/>
        <v>0.05</v>
      </c>
      <c r="N3122" s="464">
        <f t="shared" si="147"/>
        <v>146068</v>
      </c>
    </row>
    <row r="3123" spans="7:14" ht="11.25" customHeight="1" x14ac:dyDescent="0.25">
      <c r="G3123" s="459"/>
      <c r="H3123" s="459">
        <v>3116</v>
      </c>
      <c r="I3123" s="444">
        <f t="shared" ca="1" si="145"/>
        <v>-341857778076.98792</v>
      </c>
      <c r="J3123" s="444">
        <f t="array" ref="J3123">IFERROR(INDEX('Retirement Calculator'!K:K,MATCH('Lorri 401b'!N3123,'Retirement Calculator'!A:A,0),0),0)</f>
        <v>0</v>
      </c>
      <c r="K3123" s="444">
        <f t="shared" ca="1" si="143"/>
        <v>-1424407408.6541164</v>
      </c>
      <c r="L3123" s="444">
        <f t="shared" ca="1" si="144"/>
        <v>-343282185485.64203</v>
      </c>
      <c r="M3123" s="460">
        <f t="shared" si="146"/>
        <v>0.05</v>
      </c>
      <c r="N3123" s="464">
        <f t="shared" si="147"/>
        <v>146099</v>
      </c>
    </row>
    <row r="3124" spans="7:14" ht="11.25" customHeight="1" x14ac:dyDescent="0.25">
      <c r="G3124" s="459"/>
      <c r="H3124" s="459">
        <v>3117</v>
      </c>
      <c r="I3124" s="444">
        <f t="shared" ca="1" si="145"/>
        <v>-343282185485.64203</v>
      </c>
      <c r="J3124" s="444">
        <f t="array" ref="J3124">IFERROR(INDEX('Retirement Calculator'!K:K,MATCH('Lorri 401b'!N3124,'Retirement Calculator'!A:A,0),0),0)</f>
        <v>0</v>
      </c>
      <c r="K3124" s="444">
        <f t="shared" ca="1" si="143"/>
        <v>-1430342439.5235085</v>
      </c>
      <c r="L3124" s="444">
        <f t="shared" ca="1" si="144"/>
        <v>-344712527925.16553</v>
      </c>
      <c r="M3124" s="460">
        <f t="shared" si="146"/>
        <v>0.05</v>
      </c>
      <c r="N3124" s="464">
        <f t="shared" si="147"/>
        <v>146130</v>
      </c>
    </row>
    <row r="3125" spans="7:14" ht="11.25" customHeight="1" x14ac:dyDescent="0.25">
      <c r="G3125" s="459"/>
      <c r="H3125" s="459">
        <v>3118</v>
      </c>
      <c r="I3125" s="444">
        <f t="shared" ca="1" si="145"/>
        <v>-344712527925.16553</v>
      </c>
      <c r="J3125" s="444">
        <f t="array" ref="J3125">IFERROR(INDEX('Retirement Calculator'!K:K,MATCH('Lorri 401b'!N3125,'Retirement Calculator'!A:A,0),0),0)</f>
        <v>0</v>
      </c>
      <c r="K3125" s="444">
        <f t="shared" ca="1" si="143"/>
        <v>-1436302199.6881897</v>
      </c>
      <c r="L3125" s="444">
        <f t="shared" ca="1" si="144"/>
        <v>-346148830124.8537</v>
      </c>
      <c r="M3125" s="460">
        <f t="shared" si="146"/>
        <v>0.05</v>
      </c>
      <c r="N3125" s="464">
        <f t="shared" si="147"/>
        <v>146158</v>
      </c>
    </row>
    <row r="3126" spans="7:14" ht="11.25" customHeight="1" x14ac:dyDescent="0.25">
      <c r="G3126" s="459"/>
      <c r="H3126" s="459">
        <v>3119</v>
      </c>
      <c r="I3126" s="444">
        <f t="shared" ca="1" si="145"/>
        <v>-346148830124.8537</v>
      </c>
      <c r="J3126" s="444">
        <f t="array" ref="J3126">IFERROR(INDEX('Retirement Calculator'!K:K,MATCH('Lorri 401b'!N3126,'Retirement Calculator'!A:A,0),0),0)</f>
        <v>0</v>
      </c>
      <c r="K3126" s="444">
        <f t="shared" ca="1" si="143"/>
        <v>-1442286792.1868904</v>
      </c>
      <c r="L3126" s="444">
        <f t="shared" ca="1" si="144"/>
        <v>-347591116917.04059</v>
      </c>
      <c r="M3126" s="460">
        <f t="shared" si="146"/>
        <v>0.05</v>
      </c>
      <c r="N3126" s="464">
        <f t="shared" si="147"/>
        <v>146189</v>
      </c>
    </row>
    <row r="3127" spans="7:14" ht="11.25" customHeight="1" x14ac:dyDescent="0.25">
      <c r="G3127" s="459"/>
      <c r="H3127" s="459">
        <v>3120</v>
      </c>
      <c r="I3127" s="444">
        <f t="shared" ca="1" si="145"/>
        <v>-347591116917.04059</v>
      </c>
      <c r="J3127" s="444">
        <f t="array" ref="J3127">IFERROR(INDEX('Retirement Calculator'!K:K,MATCH('Lorri 401b'!N3127,'Retirement Calculator'!A:A,0),0),0)</f>
        <v>0</v>
      </c>
      <c r="K3127" s="444">
        <f t="shared" ca="1" si="143"/>
        <v>-1448296320.487669</v>
      </c>
      <c r="L3127" s="444">
        <f t="shared" ca="1" si="144"/>
        <v>-349039413237.52826</v>
      </c>
      <c r="M3127" s="460">
        <f t="shared" si="146"/>
        <v>0.05</v>
      </c>
      <c r="N3127" s="464">
        <f t="shared" si="147"/>
        <v>146219</v>
      </c>
    </row>
    <row r="3128" spans="7:14" ht="11.25" customHeight="1" x14ac:dyDescent="0.25">
      <c r="G3128" s="459"/>
      <c r="H3128" s="459">
        <v>3121</v>
      </c>
      <c r="I3128" s="444">
        <f t="shared" ca="1" si="145"/>
        <v>-349039413237.52826</v>
      </c>
      <c r="J3128" s="444">
        <f t="array" ref="J3128">IFERROR(INDEX('Retirement Calculator'!K:K,MATCH('Lorri 401b'!N3128,'Retirement Calculator'!A:A,0),0),0)</f>
        <v>0</v>
      </c>
      <c r="K3128" s="444">
        <f t="shared" ca="1" si="143"/>
        <v>-1454330888.489701</v>
      </c>
      <c r="L3128" s="444">
        <f t="shared" ca="1" si="144"/>
        <v>-350493744126.01794</v>
      </c>
      <c r="M3128" s="460">
        <f t="shared" si="146"/>
        <v>0.05</v>
      </c>
      <c r="N3128" s="464">
        <f t="shared" si="147"/>
        <v>146250</v>
      </c>
    </row>
    <row r="3129" spans="7:14" ht="11.25" customHeight="1" x14ac:dyDescent="0.25">
      <c r="G3129" s="459"/>
      <c r="H3129" s="459">
        <v>3122</v>
      </c>
      <c r="I3129" s="444">
        <f t="shared" ca="1" si="145"/>
        <v>-350493744126.01794</v>
      </c>
      <c r="J3129" s="444">
        <f t="array" ref="J3129">IFERROR(INDEX('Retirement Calculator'!K:K,MATCH('Lorri 401b'!N3129,'Retirement Calculator'!A:A,0),0),0)</f>
        <v>0</v>
      </c>
      <c r="K3129" s="444">
        <f t="shared" ca="1" si="143"/>
        <v>-1460390600.5250747</v>
      </c>
      <c r="L3129" s="444">
        <f t="shared" ca="1" si="144"/>
        <v>-351954134726.54303</v>
      </c>
      <c r="M3129" s="460">
        <f t="shared" si="146"/>
        <v>0.05</v>
      </c>
      <c r="N3129" s="464">
        <f t="shared" si="147"/>
        <v>146280</v>
      </c>
    </row>
    <row r="3130" spans="7:14" ht="11.25" customHeight="1" x14ac:dyDescent="0.25">
      <c r="G3130" s="459"/>
      <c r="H3130" s="459">
        <v>3123</v>
      </c>
      <c r="I3130" s="444">
        <f t="shared" ca="1" si="145"/>
        <v>-351954134726.54303</v>
      </c>
      <c r="J3130" s="444">
        <f t="array" ref="J3130">IFERROR(INDEX('Retirement Calculator'!K:K,MATCH('Lorri 401b'!N3130,'Retirement Calculator'!A:A,0),0),0)</f>
        <v>0</v>
      </c>
      <c r="K3130" s="444">
        <f t="shared" ca="1" si="143"/>
        <v>-1466475561.3605959</v>
      </c>
      <c r="L3130" s="444">
        <f t="shared" ca="1" si="144"/>
        <v>-353420610287.90363</v>
      </c>
      <c r="M3130" s="460">
        <f t="shared" si="146"/>
        <v>0.05</v>
      </c>
      <c r="N3130" s="464">
        <f t="shared" si="147"/>
        <v>146311</v>
      </c>
    </row>
    <row r="3131" spans="7:14" ht="11.25" customHeight="1" x14ac:dyDescent="0.25">
      <c r="G3131" s="459"/>
      <c r="H3131" s="459">
        <v>3124</v>
      </c>
      <c r="I3131" s="444">
        <f t="shared" ca="1" si="145"/>
        <v>-353420610287.90363</v>
      </c>
      <c r="J3131" s="444">
        <f t="array" ref="J3131">IFERROR(INDEX('Retirement Calculator'!K:K,MATCH('Lorri 401b'!N3131,'Retirement Calculator'!A:A,0),0),0)</f>
        <v>0</v>
      </c>
      <c r="K3131" s="444">
        <f t="shared" ca="1" si="143"/>
        <v>-1472585876.1995983</v>
      </c>
      <c r="L3131" s="444">
        <f t="shared" ca="1" si="144"/>
        <v>-354893196164.10321</v>
      </c>
      <c r="M3131" s="460">
        <f t="shared" si="146"/>
        <v>0.05</v>
      </c>
      <c r="N3131" s="464">
        <f t="shared" si="147"/>
        <v>146342</v>
      </c>
    </row>
    <row r="3132" spans="7:14" ht="11.25" customHeight="1" x14ac:dyDescent="0.25">
      <c r="G3132" s="459"/>
      <c r="H3132" s="459">
        <v>3125</v>
      </c>
      <c r="I3132" s="444">
        <f t="shared" ca="1" si="145"/>
        <v>-354893196164.10321</v>
      </c>
      <c r="J3132" s="444">
        <f t="array" ref="J3132">IFERROR(INDEX('Retirement Calculator'!K:K,MATCH('Lorri 401b'!N3132,'Retirement Calculator'!A:A,0),0),0)</f>
        <v>0</v>
      </c>
      <c r="K3132" s="444">
        <f t="shared" ca="1" si="143"/>
        <v>-1478721650.6837633</v>
      </c>
      <c r="L3132" s="444">
        <f t="shared" ca="1" si="144"/>
        <v>-356371917814.78699</v>
      </c>
      <c r="M3132" s="460">
        <f t="shared" si="146"/>
        <v>0.05</v>
      </c>
      <c r="N3132" s="464">
        <f t="shared" si="147"/>
        <v>146372</v>
      </c>
    </row>
    <row r="3133" spans="7:14" ht="11.25" customHeight="1" x14ac:dyDescent="0.25">
      <c r="G3133" s="459"/>
      <c r="H3133" s="459">
        <v>3126</v>
      </c>
      <c r="I3133" s="444">
        <f t="shared" ca="1" si="145"/>
        <v>-356371917814.78699</v>
      </c>
      <c r="J3133" s="444">
        <f t="array" ref="J3133">IFERROR(INDEX('Retirement Calculator'!K:K,MATCH('Lorri 401b'!N3133,'Retirement Calculator'!A:A,0),0),0)</f>
        <v>0</v>
      </c>
      <c r="K3133" s="444">
        <f t="shared" ca="1" si="143"/>
        <v>-1484882990.8949459</v>
      </c>
      <c r="L3133" s="444">
        <f t="shared" ca="1" si="144"/>
        <v>-357856800805.68195</v>
      </c>
      <c r="M3133" s="460">
        <f t="shared" si="146"/>
        <v>0.05</v>
      </c>
      <c r="N3133" s="464">
        <f t="shared" si="147"/>
        <v>146403</v>
      </c>
    </row>
    <row r="3134" spans="7:14" ht="11.25" customHeight="1" x14ac:dyDescent="0.25">
      <c r="G3134" s="459"/>
      <c r="H3134" s="459">
        <v>3127</v>
      </c>
      <c r="I3134" s="444">
        <f t="shared" ca="1" si="145"/>
        <v>-357856800805.68195</v>
      </c>
      <c r="J3134" s="444">
        <f t="array" ref="J3134">IFERROR(INDEX('Retirement Calculator'!K:K,MATCH('Lorri 401b'!N3134,'Retirement Calculator'!A:A,0),0),0)</f>
        <v>0</v>
      </c>
      <c r="K3134" s="444">
        <f t="shared" ca="1" si="143"/>
        <v>-1491070003.357008</v>
      </c>
      <c r="L3134" s="444">
        <f t="shared" ca="1" si="144"/>
        <v>-359347870809.03894</v>
      </c>
      <c r="M3134" s="460">
        <f t="shared" si="146"/>
        <v>0.05</v>
      </c>
      <c r="N3134" s="464">
        <f t="shared" si="147"/>
        <v>146433</v>
      </c>
    </row>
    <row r="3135" spans="7:14" ht="11.25" customHeight="1" x14ac:dyDescent="0.25">
      <c r="G3135" s="459"/>
      <c r="H3135" s="459">
        <v>3128</v>
      </c>
      <c r="I3135" s="444">
        <f t="shared" ca="1" si="145"/>
        <v>-359347870809.03894</v>
      </c>
      <c r="J3135" s="444">
        <f t="array" ref="J3135">IFERROR(INDEX('Retirement Calculator'!K:K,MATCH('Lorri 401b'!N3135,'Retirement Calculator'!A:A,0),0),0)</f>
        <v>0</v>
      </c>
      <c r="K3135" s="444">
        <f t="shared" ca="1" si="143"/>
        <v>-1497282795.0376623</v>
      </c>
      <c r="L3135" s="444">
        <f t="shared" ca="1" si="144"/>
        <v>-360845153604.0766</v>
      </c>
      <c r="M3135" s="460">
        <f t="shared" si="146"/>
        <v>0.05</v>
      </c>
      <c r="N3135" s="464">
        <f t="shared" si="147"/>
        <v>146464</v>
      </c>
    </row>
    <row r="3136" spans="7:14" ht="11.25" customHeight="1" x14ac:dyDescent="0.25">
      <c r="G3136" s="459"/>
      <c r="H3136" s="459">
        <v>3129</v>
      </c>
      <c r="I3136" s="444">
        <f t="shared" ca="1" si="145"/>
        <v>-360845153604.0766</v>
      </c>
      <c r="J3136" s="444">
        <f t="array" ref="J3136">IFERROR(INDEX('Retirement Calculator'!K:K,MATCH('Lorri 401b'!N3136,'Retirement Calculator'!A:A,0),0),0)</f>
        <v>0</v>
      </c>
      <c r="K3136" s="444">
        <f t="shared" ca="1" si="143"/>
        <v>-1503521473.3503191</v>
      </c>
      <c r="L3136" s="444">
        <f t="shared" ca="1" si="144"/>
        <v>-362348675077.42694</v>
      </c>
      <c r="M3136" s="460">
        <f t="shared" si="146"/>
        <v>0.05</v>
      </c>
      <c r="N3136" s="464">
        <f t="shared" si="147"/>
        <v>146495</v>
      </c>
    </row>
    <row r="3137" spans="7:14" ht="11.25" customHeight="1" x14ac:dyDescent="0.25">
      <c r="G3137" s="459"/>
      <c r="H3137" s="459">
        <v>3130</v>
      </c>
      <c r="I3137" s="444">
        <f t="shared" ca="1" si="145"/>
        <v>-362348675077.42694</v>
      </c>
      <c r="J3137" s="444">
        <f t="array" ref="J3137">IFERROR(INDEX('Retirement Calculator'!K:K,MATCH('Lorri 401b'!N3137,'Retirement Calculator'!A:A,0),0),0)</f>
        <v>0</v>
      </c>
      <c r="K3137" s="444">
        <f t="shared" ca="1" si="143"/>
        <v>-1509786146.1559455</v>
      </c>
      <c r="L3137" s="444">
        <f t="shared" ca="1" si="144"/>
        <v>-363858461223.58289</v>
      </c>
      <c r="M3137" s="460">
        <f t="shared" si="146"/>
        <v>0.05</v>
      </c>
      <c r="N3137" s="464">
        <f t="shared" si="147"/>
        <v>146523</v>
      </c>
    </row>
    <row r="3138" spans="7:14" ht="11.25" customHeight="1" x14ac:dyDescent="0.25">
      <c r="G3138" s="459"/>
      <c r="H3138" s="459">
        <v>3131</v>
      </c>
      <c r="I3138" s="444">
        <f t="shared" ca="1" si="145"/>
        <v>-363858461223.58289</v>
      </c>
      <c r="J3138" s="444">
        <f t="array" ref="J3138">IFERROR(INDEX('Retirement Calculator'!K:K,MATCH('Lorri 401b'!N3138,'Retirement Calculator'!A:A,0),0),0)</f>
        <v>0</v>
      </c>
      <c r="K3138" s="444">
        <f t="shared" ca="1" si="143"/>
        <v>-1516076921.7649286</v>
      </c>
      <c r="L3138" s="444">
        <f t="shared" ca="1" si="144"/>
        <v>-365374538145.34784</v>
      </c>
      <c r="M3138" s="460">
        <f t="shared" si="146"/>
        <v>0.05</v>
      </c>
      <c r="N3138" s="464">
        <f t="shared" si="147"/>
        <v>146554</v>
      </c>
    </row>
    <row r="3139" spans="7:14" ht="11.25" customHeight="1" x14ac:dyDescent="0.25">
      <c r="G3139" s="459"/>
      <c r="H3139" s="459">
        <v>3132</v>
      </c>
      <c r="I3139" s="444">
        <f t="shared" ca="1" si="145"/>
        <v>-365374538145.34784</v>
      </c>
      <c r="J3139" s="444">
        <f t="array" ref="J3139">IFERROR(INDEX('Retirement Calculator'!K:K,MATCH('Lorri 401b'!N3139,'Retirement Calculator'!A:A,0),0),0)</f>
        <v>0</v>
      </c>
      <c r="K3139" s="444">
        <f t="shared" ca="1" si="143"/>
        <v>-1522393908.9389493</v>
      </c>
      <c r="L3139" s="444">
        <f t="shared" ca="1" si="144"/>
        <v>-366896932054.2868</v>
      </c>
      <c r="M3139" s="460">
        <f t="shared" si="146"/>
        <v>0.05</v>
      </c>
      <c r="N3139" s="464">
        <f t="shared" si="147"/>
        <v>146584</v>
      </c>
    </row>
    <row r="3140" spans="7:14" ht="11.25" customHeight="1" x14ac:dyDescent="0.25">
      <c r="G3140" s="459"/>
      <c r="H3140" s="459">
        <v>3133</v>
      </c>
      <c r="I3140" s="444">
        <f t="shared" ca="1" si="145"/>
        <v>-366896932054.2868</v>
      </c>
      <c r="J3140" s="444">
        <f t="array" ref="J3140">IFERROR(INDEX('Retirement Calculator'!K:K,MATCH('Lorri 401b'!N3140,'Retirement Calculator'!A:A,0),0),0)</f>
        <v>0</v>
      </c>
      <c r="K3140" s="444">
        <f t="shared" ca="1" si="143"/>
        <v>-1528737216.8928616</v>
      </c>
      <c r="L3140" s="444">
        <f t="shared" ca="1" si="144"/>
        <v>-368425669271.17969</v>
      </c>
      <c r="M3140" s="460">
        <f t="shared" si="146"/>
        <v>0.05</v>
      </c>
      <c r="N3140" s="464">
        <f t="shared" si="147"/>
        <v>146615</v>
      </c>
    </row>
    <row r="3141" spans="7:14" ht="11.25" customHeight="1" x14ac:dyDescent="0.25">
      <c r="G3141" s="459"/>
      <c r="H3141" s="459">
        <v>3134</v>
      </c>
      <c r="I3141" s="444">
        <f t="shared" ca="1" si="145"/>
        <v>-368425669271.17969</v>
      </c>
      <c r="J3141" s="444">
        <f t="array" ref="J3141">IFERROR(INDEX('Retirement Calculator'!K:K,MATCH('Lorri 401b'!N3141,'Retirement Calculator'!A:A,0),0),0)</f>
        <v>0</v>
      </c>
      <c r="K3141" s="444">
        <f t="shared" ca="1" si="143"/>
        <v>-1535106955.296582</v>
      </c>
      <c r="L3141" s="444">
        <f t="shared" ca="1" si="144"/>
        <v>-369960776226.47626</v>
      </c>
      <c r="M3141" s="460">
        <f t="shared" si="146"/>
        <v>0.05</v>
      </c>
      <c r="N3141" s="464">
        <f t="shared" si="147"/>
        <v>146645</v>
      </c>
    </row>
    <row r="3142" spans="7:14" ht="11.25" customHeight="1" x14ac:dyDescent="0.25">
      <c r="G3142" s="459"/>
      <c r="H3142" s="459">
        <v>3135</v>
      </c>
      <c r="I3142" s="444">
        <f t="shared" ca="1" si="145"/>
        <v>-369960776226.47626</v>
      </c>
      <c r="J3142" s="444">
        <f t="array" ref="J3142">IFERROR(INDEX('Retirement Calculator'!K:K,MATCH('Lorri 401b'!N3142,'Retirement Calculator'!A:A,0),0),0)</f>
        <v>0</v>
      </c>
      <c r="K3142" s="444">
        <f t="shared" ca="1" si="143"/>
        <v>-1541503234.2769845</v>
      </c>
      <c r="L3142" s="444">
        <f t="shared" ca="1" si="144"/>
        <v>-371502279460.75323</v>
      </c>
      <c r="M3142" s="460">
        <f t="shared" si="146"/>
        <v>0.05</v>
      </c>
      <c r="N3142" s="464">
        <f t="shared" si="147"/>
        <v>146676</v>
      </c>
    </row>
    <row r="3143" spans="7:14" ht="11.25" customHeight="1" x14ac:dyDescent="0.25">
      <c r="G3143" s="459"/>
      <c r="H3143" s="459">
        <v>3136</v>
      </c>
      <c r="I3143" s="444">
        <f t="shared" ca="1" si="145"/>
        <v>-371502279460.75323</v>
      </c>
      <c r="J3143" s="444">
        <f t="array" ref="J3143">IFERROR(INDEX('Retirement Calculator'!K:K,MATCH('Lorri 401b'!N3143,'Retirement Calculator'!A:A,0),0),0)</f>
        <v>0</v>
      </c>
      <c r="K3143" s="444">
        <f t="shared" ca="1" si="143"/>
        <v>-1547926164.419805</v>
      </c>
      <c r="L3143" s="444">
        <f t="shared" ca="1" si="144"/>
        <v>-373050205625.17303</v>
      </c>
      <c r="M3143" s="460">
        <f t="shared" si="146"/>
        <v>0.05</v>
      </c>
      <c r="N3143" s="464">
        <f t="shared" si="147"/>
        <v>146707</v>
      </c>
    </row>
    <row r="3144" spans="7:14" ht="11.25" customHeight="1" x14ac:dyDescent="0.25">
      <c r="G3144" s="459"/>
      <c r="H3144" s="459">
        <v>3137</v>
      </c>
      <c r="I3144" s="444">
        <f t="shared" ca="1" si="145"/>
        <v>-373050205625.17303</v>
      </c>
      <c r="J3144" s="444">
        <f t="array" ref="J3144">IFERROR(INDEX('Retirement Calculator'!K:K,MATCH('Lorri 401b'!N3144,'Retirement Calculator'!A:A,0),0),0)</f>
        <v>0</v>
      </c>
      <c r="K3144" s="444">
        <f t="shared" ca="1" si="143"/>
        <v>-1554375856.7715542</v>
      </c>
      <c r="L3144" s="444">
        <f t="shared" ca="1" si="144"/>
        <v>-374604581481.94458</v>
      </c>
      <c r="M3144" s="460">
        <f t="shared" si="146"/>
        <v>0.05</v>
      </c>
      <c r="N3144" s="464">
        <f t="shared" si="147"/>
        <v>146737</v>
      </c>
    </row>
    <row r="3145" spans="7:14" ht="11.25" customHeight="1" x14ac:dyDescent="0.25">
      <c r="G3145" s="459"/>
      <c r="H3145" s="459">
        <v>3138</v>
      </c>
      <c r="I3145" s="444">
        <f t="shared" ca="1" si="145"/>
        <v>-374604581481.94458</v>
      </c>
      <c r="J3145" s="444">
        <f t="array" ref="J3145">IFERROR(INDEX('Retirement Calculator'!K:K,MATCH('Lorri 401b'!N3145,'Retirement Calculator'!A:A,0),0),0)</f>
        <v>0</v>
      </c>
      <c r="K3145" s="444">
        <f t="shared" ca="1" si="143"/>
        <v>-1560852422.8414357</v>
      </c>
      <c r="L3145" s="444">
        <f t="shared" ca="1" si="144"/>
        <v>-376165433904.78601</v>
      </c>
      <c r="M3145" s="460">
        <f t="shared" si="146"/>
        <v>0.05</v>
      </c>
      <c r="N3145" s="464">
        <f t="shared" si="147"/>
        <v>146768</v>
      </c>
    </row>
    <row r="3146" spans="7:14" ht="11.25" customHeight="1" x14ac:dyDescent="0.25">
      <c r="G3146" s="459"/>
      <c r="H3146" s="459">
        <v>3139</v>
      </c>
      <c r="I3146" s="444">
        <f t="shared" ca="1" si="145"/>
        <v>-376165433904.78601</v>
      </c>
      <c r="J3146" s="444">
        <f t="array" ref="J3146">IFERROR(INDEX('Retirement Calculator'!K:K,MATCH('Lorri 401b'!N3146,'Retirement Calculator'!A:A,0),0),0)</f>
        <v>0</v>
      </c>
      <c r="K3146" s="444">
        <f t="shared" ca="1" si="143"/>
        <v>-1567355974.6032751</v>
      </c>
      <c r="L3146" s="444">
        <f t="shared" ca="1" si="144"/>
        <v>-377732789879.38928</v>
      </c>
      <c r="M3146" s="460">
        <f t="shared" si="146"/>
        <v>0.05</v>
      </c>
      <c r="N3146" s="464">
        <f t="shared" si="147"/>
        <v>146798</v>
      </c>
    </row>
    <row r="3147" spans="7:14" ht="11.25" customHeight="1" x14ac:dyDescent="0.25">
      <c r="G3147" s="459"/>
      <c r="H3147" s="459">
        <v>3140</v>
      </c>
      <c r="I3147" s="444">
        <f t="shared" ca="1" si="145"/>
        <v>-377732789879.38928</v>
      </c>
      <c r="J3147" s="444">
        <f t="array" ref="J3147">IFERROR(INDEX('Retirement Calculator'!K:K,MATCH('Lorri 401b'!N3147,'Retirement Calculator'!A:A,0),0),0)</f>
        <v>0</v>
      </c>
      <c r="K3147" s="444">
        <f t="shared" ca="1" si="143"/>
        <v>-1573886624.4974554</v>
      </c>
      <c r="L3147" s="444">
        <f t="shared" ca="1" si="144"/>
        <v>-379306676503.88672</v>
      </c>
      <c r="M3147" s="460">
        <f t="shared" si="146"/>
        <v>0.05</v>
      </c>
      <c r="N3147" s="464">
        <f t="shared" si="147"/>
        <v>146829</v>
      </c>
    </row>
    <row r="3148" spans="7:14" ht="11.25" customHeight="1" x14ac:dyDescent="0.25">
      <c r="G3148" s="459"/>
      <c r="H3148" s="459">
        <v>3141</v>
      </c>
      <c r="I3148" s="444">
        <f t="shared" ca="1" si="145"/>
        <v>-379306676503.88672</v>
      </c>
      <c r="J3148" s="444">
        <f t="array" ref="J3148">IFERROR(INDEX('Retirement Calculator'!K:K,MATCH('Lorri 401b'!N3148,'Retirement Calculator'!A:A,0),0),0)</f>
        <v>0</v>
      </c>
      <c r="K3148" s="444">
        <f t="shared" ca="1" si="143"/>
        <v>-1580444485.4328613</v>
      </c>
      <c r="L3148" s="444">
        <f t="shared" ca="1" si="144"/>
        <v>-380887120989.31958</v>
      </c>
      <c r="M3148" s="460">
        <f t="shared" si="146"/>
        <v>0.05</v>
      </c>
      <c r="N3148" s="464">
        <f t="shared" si="147"/>
        <v>146860</v>
      </c>
    </row>
    <row r="3149" spans="7:14" ht="11.25" customHeight="1" x14ac:dyDescent="0.25">
      <c r="G3149" s="459"/>
      <c r="H3149" s="459">
        <v>3142</v>
      </c>
      <c r="I3149" s="444">
        <f t="shared" ca="1" si="145"/>
        <v>-380887120989.31958</v>
      </c>
      <c r="J3149" s="444">
        <f t="array" ref="J3149">IFERROR(INDEX('Retirement Calculator'!K:K,MATCH('Lorri 401b'!N3149,'Retirement Calculator'!A:A,0),0),0)</f>
        <v>0</v>
      </c>
      <c r="K3149" s="444">
        <f t="shared" ca="1" si="143"/>
        <v>-1587029670.7888315</v>
      </c>
      <c r="L3149" s="444">
        <f t="shared" ca="1" si="144"/>
        <v>-382474150660.1084</v>
      </c>
      <c r="M3149" s="460">
        <f t="shared" si="146"/>
        <v>0.05</v>
      </c>
      <c r="N3149" s="464">
        <f t="shared" si="147"/>
        <v>146888</v>
      </c>
    </row>
    <row r="3150" spans="7:14" ht="11.25" customHeight="1" x14ac:dyDescent="0.25">
      <c r="G3150" s="459"/>
      <c r="H3150" s="459">
        <v>3143</v>
      </c>
      <c r="I3150" s="444">
        <f t="shared" ca="1" si="145"/>
        <v>-382474150660.1084</v>
      </c>
      <c r="J3150" s="444">
        <f t="array" ref="J3150">IFERROR(INDEX('Retirement Calculator'!K:K,MATCH('Lorri 401b'!N3150,'Retirement Calculator'!A:A,0),0),0)</f>
        <v>0</v>
      </c>
      <c r="K3150" s="444">
        <f t="shared" ca="1" si="143"/>
        <v>-1593642294.4171183</v>
      </c>
      <c r="L3150" s="444">
        <f t="shared" ca="1" si="144"/>
        <v>-384067792954.52551</v>
      </c>
      <c r="M3150" s="460">
        <f t="shared" si="146"/>
        <v>0.05</v>
      </c>
      <c r="N3150" s="464">
        <f t="shared" si="147"/>
        <v>146919</v>
      </c>
    </row>
    <row r="3151" spans="7:14" ht="11.25" customHeight="1" x14ac:dyDescent="0.25">
      <c r="G3151" s="459"/>
      <c r="H3151" s="459">
        <v>3144</v>
      </c>
      <c r="I3151" s="444">
        <f t="shared" ca="1" si="145"/>
        <v>-384067792954.52551</v>
      </c>
      <c r="J3151" s="444">
        <f t="array" ref="J3151">IFERROR(INDEX('Retirement Calculator'!K:K,MATCH('Lorri 401b'!N3151,'Retirement Calculator'!A:A,0),0),0)</f>
        <v>0</v>
      </c>
      <c r="K3151" s="444">
        <f t="shared" ca="1" si="143"/>
        <v>-1600282470.6438563</v>
      </c>
      <c r="L3151" s="444">
        <f t="shared" ca="1" si="144"/>
        <v>-385668075425.16937</v>
      </c>
      <c r="M3151" s="460">
        <f t="shared" si="146"/>
        <v>0.05</v>
      </c>
      <c r="N3151" s="464">
        <f t="shared" si="147"/>
        <v>146949</v>
      </c>
    </row>
    <row r="3152" spans="7:14" ht="11.25" customHeight="1" x14ac:dyDescent="0.25">
      <c r="G3152" s="459"/>
      <c r="H3152" s="459">
        <v>3145</v>
      </c>
      <c r="I3152" s="444">
        <f t="shared" ca="1" si="145"/>
        <v>-385668075425.16937</v>
      </c>
      <c r="J3152" s="444">
        <f t="array" ref="J3152">IFERROR(INDEX('Retirement Calculator'!K:K,MATCH('Lorri 401b'!N3152,'Retirement Calculator'!A:A,0),0),0)</f>
        <v>0</v>
      </c>
      <c r="K3152" s="444">
        <f t="shared" ca="1" si="143"/>
        <v>-1606950314.271539</v>
      </c>
      <c r="L3152" s="444">
        <f t="shared" ca="1" si="144"/>
        <v>-387275025739.44092</v>
      </c>
      <c r="M3152" s="460">
        <f t="shared" si="146"/>
        <v>0.05</v>
      </c>
      <c r="N3152" s="464">
        <f t="shared" si="147"/>
        <v>146980</v>
      </c>
    </row>
    <row r="3153" spans="7:14" ht="11.25" customHeight="1" x14ac:dyDescent="0.25">
      <c r="G3153" s="459"/>
      <c r="H3153" s="459">
        <v>3146</v>
      </c>
      <c r="I3153" s="444">
        <f t="shared" ca="1" si="145"/>
        <v>-387275025739.44092</v>
      </c>
      <c r="J3153" s="444">
        <f t="array" ref="J3153">IFERROR(INDEX('Retirement Calculator'!K:K,MATCH('Lorri 401b'!N3153,'Retirement Calculator'!A:A,0),0),0)</f>
        <v>0</v>
      </c>
      <c r="K3153" s="444">
        <f t="shared" ca="1" si="143"/>
        <v>-1613645940.5810039</v>
      </c>
      <c r="L3153" s="444">
        <f t="shared" ca="1" si="144"/>
        <v>-388888671680.02191</v>
      </c>
      <c r="M3153" s="460">
        <f t="shared" si="146"/>
        <v>0.05</v>
      </c>
      <c r="N3153" s="464">
        <f t="shared" si="147"/>
        <v>147010</v>
      </c>
    </row>
    <row r="3154" spans="7:14" ht="11.25" customHeight="1" x14ac:dyDescent="0.25">
      <c r="G3154" s="459"/>
      <c r="H3154" s="459">
        <v>3147</v>
      </c>
      <c r="I3154" s="444">
        <f t="shared" ca="1" si="145"/>
        <v>-388888671680.02191</v>
      </c>
      <c r="J3154" s="444">
        <f t="array" ref="J3154">IFERROR(INDEX('Retirement Calculator'!K:K,MATCH('Lorri 401b'!N3154,'Retirement Calculator'!A:A,0),0),0)</f>
        <v>0</v>
      </c>
      <c r="K3154" s="444">
        <f t="shared" ca="1" si="143"/>
        <v>-1620369465.3334246</v>
      </c>
      <c r="L3154" s="444">
        <f t="shared" ca="1" si="144"/>
        <v>-390509041145.35535</v>
      </c>
      <c r="M3154" s="460">
        <f t="shared" si="146"/>
        <v>0.05</v>
      </c>
      <c r="N3154" s="464">
        <f t="shared" si="147"/>
        <v>147041</v>
      </c>
    </row>
    <row r="3155" spans="7:14" ht="11.25" customHeight="1" x14ac:dyDescent="0.25">
      <c r="G3155" s="459"/>
      <c r="H3155" s="459">
        <v>3148</v>
      </c>
      <c r="I3155" s="444">
        <f t="shared" ca="1" si="145"/>
        <v>-390509041145.35535</v>
      </c>
      <c r="J3155" s="444">
        <f t="array" ref="J3155">IFERROR(INDEX('Retirement Calculator'!K:K,MATCH('Lorri 401b'!N3155,'Retirement Calculator'!A:A,0),0),0)</f>
        <v>0</v>
      </c>
      <c r="K3155" s="444">
        <f t="shared" ca="1" si="143"/>
        <v>-1627121004.7723138</v>
      </c>
      <c r="L3155" s="444">
        <f t="shared" ca="1" si="144"/>
        <v>-392136162150.12769</v>
      </c>
      <c r="M3155" s="460">
        <f t="shared" si="146"/>
        <v>0.05</v>
      </c>
      <c r="N3155" s="464">
        <f t="shared" si="147"/>
        <v>147072</v>
      </c>
    </row>
    <row r="3156" spans="7:14" ht="11.25" customHeight="1" x14ac:dyDescent="0.25">
      <c r="G3156" s="459"/>
      <c r="H3156" s="459">
        <v>3149</v>
      </c>
      <c r="I3156" s="444">
        <f t="shared" ca="1" si="145"/>
        <v>-392136162150.12769</v>
      </c>
      <c r="J3156" s="444">
        <f t="array" ref="J3156">IFERROR(INDEX('Retirement Calculator'!K:K,MATCH('Lorri 401b'!N3156,'Retirement Calculator'!A:A,0),0),0)</f>
        <v>0</v>
      </c>
      <c r="K3156" s="444">
        <f t="shared" ca="1" si="143"/>
        <v>-1633900675.6255319</v>
      </c>
      <c r="L3156" s="444">
        <f t="shared" ca="1" si="144"/>
        <v>-393770062825.75323</v>
      </c>
      <c r="M3156" s="460">
        <f t="shared" si="146"/>
        <v>0.05</v>
      </c>
      <c r="N3156" s="464">
        <f t="shared" si="147"/>
        <v>147102</v>
      </c>
    </row>
    <row r="3157" spans="7:14" ht="11.25" customHeight="1" x14ac:dyDescent="0.25">
      <c r="G3157" s="459"/>
      <c r="H3157" s="459">
        <v>3150</v>
      </c>
      <c r="I3157" s="444">
        <f t="shared" ca="1" si="145"/>
        <v>-393770062825.75323</v>
      </c>
      <c r="J3157" s="444">
        <f t="array" ref="J3157">IFERROR(INDEX('Retirement Calculator'!K:K,MATCH('Lorri 401b'!N3157,'Retirement Calculator'!A:A,0),0),0)</f>
        <v>0</v>
      </c>
      <c r="K3157" s="444">
        <f t="shared" ca="1" si="143"/>
        <v>-1640708595.107305</v>
      </c>
      <c r="L3157" s="444">
        <f t="shared" ca="1" si="144"/>
        <v>-395410771420.86053</v>
      </c>
      <c r="M3157" s="460">
        <f t="shared" si="146"/>
        <v>0.05</v>
      </c>
      <c r="N3157" s="464">
        <f t="shared" si="147"/>
        <v>147133</v>
      </c>
    </row>
    <row r="3158" spans="7:14" ht="11.25" customHeight="1" x14ac:dyDescent="0.25">
      <c r="G3158" s="459"/>
      <c r="H3158" s="459">
        <v>3151</v>
      </c>
      <c r="I3158" s="444">
        <f t="shared" ca="1" si="145"/>
        <v>-395410771420.86053</v>
      </c>
      <c r="J3158" s="444">
        <f t="array" ref="J3158">IFERROR(INDEX('Retirement Calculator'!K:K,MATCH('Lorri 401b'!N3158,'Retirement Calculator'!A:A,0),0),0)</f>
        <v>0</v>
      </c>
      <c r="K3158" s="444">
        <f t="shared" ca="1" si="143"/>
        <v>-1647544880.9202523</v>
      </c>
      <c r="L3158" s="444">
        <f t="shared" ca="1" si="144"/>
        <v>-397058316301.78076</v>
      </c>
      <c r="M3158" s="460">
        <f t="shared" si="146"/>
        <v>0.05</v>
      </c>
      <c r="N3158" s="464">
        <f t="shared" si="147"/>
        <v>147163</v>
      </c>
    </row>
    <row r="3159" spans="7:14" ht="11.25" customHeight="1" x14ac:dyDescent="0.25">
      <c r="G3159" s="459"/>
      <c r="H3159" s="459">
        <v>3152</v>
      </c>
      <c r="I3159" s="444">
        <f t="shared" ca="1" si="145"/>
        <v>-397058316301.78076</v>
      </c>
      <c r="J3159" s="444">
        <f t="array" ref="J3159">IFERROR(INDEX('Retirement Calculator'!K:K,MATCH('Lorri 401b'!N3159,'Retirement Calculator'!A:A,0),0),0)</f>
        <v>0</v>
      </c>
      <c r="K3159" s="444">
        <f t="shared" ca="1" si="143"/>
        <v>-1654409651.2574198</v>
      </c>
      <c r="L3159" s="444">
        <f t="shared" ca="1" si="144"/>
        <v>-398712725953.03821</v>
      </c>
      <c r="M3159" s="460">
        <f t="shared" si="146"/>
        <v>0.05</v>
      </c>
      <c r="N3159" s="464">
        <f t="shared" si="147"/>
        <v>147194</v>
      </c>
    </row>
    <row r="3160" spans="7:14" ht="11.25" customHeight="1" x14ac:dyDescent="0.25">
      <c r="G3160" s="459"/>
      <c r="H3160" s="459">
        <v>3153</v>
      </c>
      <c r="I3160" s="444">
        <f t="shared" ca="1" si="145"/>
        <v>-398712725953.03821</v>
      </c>
      <c r="J3160" s="444">
        <f t="array" ref="J3160">IFERROR(INDEX('Retirement Calculator'!K:K,MATCH('Lorri 401b'!N3160,'Retirement Calculator'!A:A,0),0),0)</f>
        <v>0</v>
      </c>
      <c r="K3160" s="444">
        <f t="shared" ca="1" si="143"/>
        <v>-1661303024.8043258</v>
      </c>
      <c r="L3160" s="444">
        <f t="shared" ca="1" si="144"/>
        <v>-400374028977.84253</v>
      </c>
      <c r="M3160" s="460">
        <f t="shared" si="146"/>
        <v>0.05</v>
      </c>
      <c r="N3160" s="464">
        <f t="shared" si="147"/>
        <v>147225</v>
      </c>
    </row>
    <row r="3161" spans="7:14" ht="11.25" customHeight="1" x14ac:dyDescent="0.25">
      <c r="G3161" s="459"/>
      <c r="H3161" s="459">
        <v>3154</v>
      </c>
      <c r="I3161" s="444">
        <f t="shared" ca="1" si="145"/>
        <v>-400374028977.84253</v>
      </c>
      <c r="J3161" s="444">
        <f t="array" ref="J3161">IFERROR(INDEX('Retirement Calculator'!K:K,MATCH('Lorri 401b'!N3161,'Retirement Calculator'!A:A,0),0),0)</f>
        <v>0</v>
      </c>
      <c r="K3161" s="444">
        <f t="shared" ca="1" si="143"/>
        <v>-1668225120.7410104</v>
      </c>
      <c r="L3161" s="444">
        <f t="shared" ca="1" si="144"/>
        <v>-402042254098.58356</v>
      </c>
      <c r="M3161" s="460">
        <f t="shared" si="146"/>
        <v>0.05</v>
      </c>
      <c r="N3161" s="464">
        <f t="shared" si="147"/>
        <v>147253</v>
      </c>
    </row>
    <row r="3162" spans="7:14" ht="11.25" customHeight="1" x14ac:dyDescent="0.25">
      <c r="G3162" s="459"/>
      <c r="H3162" s="459">
        <v>3155</v>
      </c>
      <c r="I3162" s="444">
        <f t="shared" ca="1" si="145"/>
        <v>-402042254098.58356</v>
      </c>
      <c r="J3162" s="444">
        <f t="array" ref="J3162">IFERROR(INDEX('Retirement Calculator'!K:K,MATCH('Lorri 401b'!N3162,'Retirement Calculator'!A:A,0),0),0)</f>
        <v>0</v>
      </c>
      <c r="K3162" s="444">
        <f t="shared" ca="1" si="143"/>
        <v>-1675176058.7440982</v>
      </c>
      <c r="L3162" s="444">
        <f t="shared" ca="1" si="144"/>
        <v>-403717430157.32764</v>
      </c>
      <c r="M3162" s="460">
        <f t="shared" si="146"/>
        <v>0.05</v>
      </c>
      <c r="N3162" s="464">
        <f t="shared" si="147"/>
        <v>147284</v>
      </c>
    </row>
    <row r="3163" spans="7:14" ht="11.25" customHeight="1" x14ac:dyDescent="0.25">
      <c r="G3163" s="459"/>
      <c r="H3163" s="459">
        <v>3156</v>
      </c>
      <c r="I3163" s="444">
        <f t="shared" ca="1" si="145"/>
        <v>-403717430157.32764</v>
      </c>
      <c r="J3163" s="444">
        <f t="array" ref="J3163">IFERROR(INDEX('Retirement Calculator'!K:K,MATCH('Lorri 401b'!N3163,'Retirement Calculator'!A:A,0),0),0)</f>
        <v>0</v>
      </c>
      <c r="K3163" s="444">
        <f t="shared" ca="1" si="143"/>
        <v>-1682155958.9888651</v>
      </c>
      <c r="L3163" s="444">
        <f t="shared" ca="1" si="144"/>
        <v>-405399586116.31653</v>
      </c>
      <c r="M3163" s="460">
        <f t="shared" si="146"/>
        <v>0.05</v>
      </c>
      <c r="N3163" s="464">
        <f t="shared" si="147"/>
        <v>147314</v>
      </c>
    </row>
    <row r="3164" spans="7:14" ht="11.25" customHeight="1" x14ac:dyDescent="0.25">
      <c r="G3164" s="459"/>
      <c r="H3164" s="459">
        <v>3157</v>
      </c>
      <c r="I3164" s="444">
        <f t="shared" ca="1" si="145"/>
        <v>-405399586116.31653</v>
      </c>
      <c r="J3164" s="444">
        <f t="array" ref="J3164">IFERROR(INDEX('Retirement Calculator'!K:K,MATCH('Lorri 401b'!N3164,'Retirement Calculator'!A:A,0),0),0)</f>
        <v>0</v>
      </c>
      <c r="K3164" s="444">
        <f t="shared" ca="1" si="143"/>
        <v>-1689164942.1513188</v>
      </c>
      <c r="L3164" s="444">
        <f t="shared" ca="1" si="144"/>
        <v>-407088751058.46783</v>
      </c>
      <c r="M3164" s="460">
        <f t="shared" si="146"/>
        <v>0.05</v>
      </c>
      <c r="N3164" s="464">
        <f t="shared" si="147"/>
        <v>147345</v>
      </c>
    </row>
    <row r="3165" spans="7:14" ht="11.25" customHeight="1" x14ac:dyDescent="0.25">
      <c r="G3165" s="459"/>
      <c r="H3165" s="459">
        <v>3158</v>
      </c>
      <c r="I3165" s="444">
        <f t="shared" ca="1" si="145"/>
        <v>-407088751058.46783</v>
      </c>
      <c r="J3165" s="444">
        <f t="array" ref="J3165">IFERROR(INDEX('Retirement Calculator'!K:K,MATCH('Lorri 401b'!N3165,'Retirement Calculator'!A:A,0),0),0)</f>
        <v>0</v>
      </c>
      <c r="K3165" s="444">
        <f t="shared" ca="1" si="143"/>
        <v>-1696203129.4102826</v>
      </c>
      <c r="L3165" s="444">
        <f t="shared" ca="1" si="144"/>
        <v>-408784954187.87811</v>
      </c>
      <c r="M3165" s="460">
        <f t="shared" si="146"/>
        <v>0.05</v>
      </c>
      <c r="N3165" s="464">
        <f t="shared" si="147"/>
        <v>147375</v>
      </c>
    </row>
    <row r="3166" spans="7:14" ht="11.25" customHeight="1" x14ac:dyDescent="0.25">
      <c r="G3166" s="459"/>
      <c r="H3166" s="459">
        <v>3159</v>
      </c>
      <c r="I3166" s="444">
        <f t="shared" ca="1" si="145"/>
        <v>-408784954187.87811</v>
      </c>
      <c r="J3166" s="444">
        <f t="array" ref="J3166">IFERROR(INDEX('Retirement Calculator'!K:K,MATCH('Lorri 401b'!N3166,'Retirement Calculator'!A:A,0),0),0)</f>
        <v>0</v>
      </c>
      <c r="K3166" s="444">
        <f t="shared" ca="1" si="143"/>
        <v>-1703270642.4494922</v>
      </c>
      <c r="L3166" s="444">
        <f t="shared" ca="1" si="144"/>
        <v>-410488224830.32758</v>
      </c>
      <c r="M3166" s="460">
        <f t="shared" si="146"/>
        <v>0.05</v>
      </c>
      <c r="N3166" s="464">
        <f t="shared" si="147"/>
        <v>147406</v>
      </c>
    </row>
    <row r="3167" spans="7:14" ht="11.25" customHeight="1" x14ac:dyDescent="0.25">
      <c r="G3167" s="459"/>
      <c r="H3167" s="459">
        <v>3160</v>
      </c>
      <c r="I3167" s="444">
        <f t="shared" ca="1" si="145"/>
        <v>-410488224830.32758</v>
      </c>
      <c r="J3167" s="444">
        <f t="array" ref="J3167">IFERROR(INDEX('Retirement Calculator'!K:K,MATCH('Lorri 401b'!N3167,'Retirement Calculator'!A:A,0),0),0)</f>
        <v>0</v>
      </c>
      <c r="K3167" s="444">
        <f t="shared" ca="1" si="143"/>
        <v>-1710367603.4596982</v>
      </c>
      <c r="L3167" s="444">
        <f t="shared" ca="1" si="144"/>
        <v>-412198592433.78729</v>
      </c>
      <c r="M3167" s="460">
        <f t="shared" si="146"/>
        <v>0.05</v>
      </c>
      <c r="N3167" s="464">
        <f t="shared" si="147"/>
        <v>147437</v>
      </c>
    </row>
    <row r="3168" spans="7:14" ht="11.25" customHeight="1" x14ac:dyDescent="0.25">
      <c r="G3168" s="459"/>
      <c r="H3168" s="459">
        <v>3161</v>
      </c>
      <c r="I3168" s="444">
        <f t="shared" ca="1" si="145"/>
        <v>-412198592433.78729</v>
      </c>
      <c r="J3168" s="444">
        <f t="array" ref="J3168">IFERROR(INDEX('Retirement Calculator'!K:K,MATCH('Lorri 401b'!N3168,'Retirement Calculator'!A:A,0),0),0)</f>
        <v>0</v>
      </c>
      <c r="K3168" s="444">
        <f t="shared" ca="1" si="143"/>
        <v>-1717494135.1407804</v>
      </c>
      <c r="L3168" s="444">
        <f t="shared" ca="1" si="144"/>
        <v>-413916086568.9281</v>
      </c>
      <c r="M3168" s="460">
        <f t="shared" si="146"/>
        <v>0.05</v>
      </c>
      <c r="N3168" s="464">
        <f t="shared" si="147"/>
        <v>147467</v>
      </c>
    </row>
    <row r="3169" spans="7:14" ht="11.25" customHeight="1" x14ac:dyDescent="0.25">
      <c r="G3169" s="459"/>
      <c r="H3169" s="459">
        <v>3162</v>
      </c>
      <c r="I3169" s="444">
        <f t="shared" ca="1" si="145"/>
        <v>-413916086568.9281</v>
      </c>
      <c r="J3169" s="444">
        <f t="array" ref="J3169">IFERROR(INDEX('Retirement Calculator'!K:K,MATCH('Lorri 401b'!N3169,'Retirement Calculator'!A:A,0),0),0)</f>
        <v>0</v>
      </c>
      <c r="K3169" s="444">
        <f t="shared" ca="1" si="143"/>
        <v>-1724650360.703867</v>
      </c>
      <c r="L3169" s="444">
        <f t="shared" ca="1" si="144"/>
        <v>-415640736929.63196</v>
      </c>
      <c r="M3169" s="460">
        <f t="shared" si="146"/>
        <v>0.05</v>
      </c>
      <c r="N3169" s="464">
        <f t="shared" si="147"/>
        <v>147498</v>
      </c>
    </row>
    <row r="3170" spans="7:14" ht="11.25" customHeight="1" x14ac:dyDescent="0.25">
      <c r="G3170" s="459"/>
      <c r="H3170" s="459">
        <v>3163</v>
      </c>
      <c r="I3170" s="444">
        <f t="shared" ca="1" si="145"/>
        <v>-415640736929.63196</v>
      </c>
      <c r="J3170" s="444">
        <f t="array" ref="J3170">IFERROR(INDEX('Retirement Calculator'!K:K,MATCH('Lorri 401b'!N3170,'Retirement Calculator'!A:A,0),0),0)</f>
        <v>0</v>
      </c>
      <c r="K3170" s="444">
        <f t="shared" ca="1" si="143"/>
        <v>-1731836403.8734665</v>
      </c>
      <c r="L3170" s="444">
        <f t="shared" ca="1" si="144"/>
        <v>-417372573333.50543</v>
      </c>
      <c r="M3170" s="460">
        <f t="shared" si="146"/>
        <v>0.05</v>
      </c>
      <c r="N3170" s="464">
        <f t="shared" si="147"/>
        <v>147528</v>
      </c>
    </row>
    <row r="3171" spans="7:14" ht="11.25" customHeight="1" x14ac:dyDescent="0.25">
      <c r="G3171" s="459"/>
      <c r="H3171" s="459">
        <v>3164</v>
      </c>
      <c r="I3171" s="444">
        <f t="shared" ca="1" si="145"/>
        <v>-417372573333.50543</v>
      </c>
      <c r="J3171" s="444">
        <f t="array" ref="J3171">IFERROR(INDEX('Retirement Calculator'!K:K,MATCH('Lorri 401b'!N3171,'Retirement Calculator'!A:A,0),0),0)</f>
        <v>0</v>
      </c>
      <c r="K3171" s="444">
        <f t="shared" ca="1" si="143"/>
        <v>-1739052388.889606</v>
      </c>
      <c r="L3171" s="444">
        <f t="shared" ca="1" si="144"/>
        <v>-419111625722.39502</v>
      </c>
      <c r="M3171" s="460">
        <f t="shared" si="146"/>
        <v>0.05</v>
      </c>
      <c r="N3171" s="464">
        <f t="shared" si="147"/>
        <v>147559</v>
      </c>
    </row>
    <row r="3172" spans="7:14" ht="11.25" customHeight="1" x14ac:dyDescent="0.25">
      <c r="G3172" s="459"/>
      <c r="H3172" s="459">
        <v>3165</v>
      </c>
      <c r="I3172" s="444">
        <f t="shared" ca="1" si="145"/>
        <v>-419111625722.39502</v>
      </c>
      <c r="J3172" s="444">
        <f t="array" ref="J3172">IFERROR(INDEX('Retirement Calculator'!K:K,MATCH('Lorri 401b'!N3172,'Retirement Calculator'!A:A,0),0),0)</f>
        <v>0</v>
      </c>
      <c r="K3172" s="444">
        <f t="shared" ca="1" si="143"/>
        <v>-1746298440.5099792</v>
      </c>
      <c r="L3172" s="444">
        <f t="shared" ca="1" si="144"/>
        <v>-420857924162.90503</v>
      </c>
      <c r="M3172" s="460">
        <f t="shared" si="146"/>
        <v>0.05</v>
      </c>
      <c r="N3172" s="464">
        <f t="shared" si="147"/>
        <v>147590</v>
      </c>
    </row>
    <row r="3173" spans="7:14" ht="11.25" customHeight="1" x14ac:dyDescent="0.25">
      <c r="G3173" s="459"/>
      <c r="H3173" s="459">
        <v>3166</v>
      </c>
      <c r="I3173" s="444">
        <f t="shared" ca="1" si="145"/>
        <v>-420857924162.90503</v>
      </c>
      <c r="J3173" s="444">
        <f t="array" ref="J3173">IFERROR(INDEX('Retirement Calculator'!K:K,MATCH('Lorri 401b'!N3173,'Retirement Calculator'!A:A,0),0),0)</f>
        <v>0</v>
      </c>
      <c r="K3173" s="444">
        <f t="shared" ca="1" si="143"/>
        <v>-1753574684.0121043</v>
      </c>
      <c r="L3173" s="444">
        <f t="shared" ca="1" si="144"/>
        <v>-422611498846.91711</v>
      </c>
      <c r="M3173" s="460">
        <f t="shared" si="146"/>
        <v>0.05</v>
      </c>
      <c r="N3173" s="464">
        <f t="shared" si="147"/>
        <v>147619</v>
      </c>
    </row>
    <row r="3174" spans="7:14" ht="11.25" customHeight="1" x14ac:dyDescent="0.25">
      <c r="G3174" s="459"/>
      <c r="H3174" s="459">
        <v>3167</v>
      </c>
      <c r="I3174" s="444">
        <f t="shared" ca="1" si="145"/>
        <v>-422611498846.91711</v>
      </c>
      <c r="J3174" s="444">
        <f t="array" ref="J3174">IFERROR(INDEX('Retirement Calculator'!K:K,MATCH('Lorri 401b'!N3174,'Retirement Calculator'!A:A,0),0),0)</f>
        <v>0</v>
      </c>
      <c r="K3174" s="444">
        <f t="shared" ca="1" si="143"/>
        <v>-1760881245.195488</v>
      </c>
      <c r="L3174" s="444">
        <f t="shared" ca="1" si="144"/>
        <v>-424372380092.11261</v>
      </c>
      <c r="M3174" s="460">
        <f t="shared" si="146"/>
        <v>0.05</v>
      </c>
      <c r="N3174" s="464">
        <f t="shared" si="147"/>
        <v>147650</v>
      </c>
    </row>
    <row r="3175" spans="7:14" ht="11.25" customHeight="1" x14ac:dyDescent="0.25">
      <c r="G3175" s="459"/>
      <c r="H3175" s="459">
        <v>3168</v>
      </c>
      <c r="I3175" s="444">
        <f t="shared" ca="1" si="145"/>
        <v>-424372380092.11261</v>
      </c>
      <c r="J3175" s="444">
        <f t="array" ref="J3175">IFERROR(INDEX('Retirement Calculator'!K:K,MATCH('Lorri 401b'!N3175,'Retirement Calculator'!A:A,0),0),0)</f>
        <v>0</v>
      </c>
      <c r="K3175" s="444">
        <f t="shared" ca="1" si="143"/>
        <v>-1768218250.3838024</v>
      </c>
      <c r="L3175" s="444">
        <f t="shared" ca="1" si="144"/>
        <v>-426140598342.4964</v>
      </c>
      <c r="M3175" s="460">
        <f t="shared" si="146"/>
        <v>0.05</v>
      </c>
      <c r="N3175" s="464">
        <f t="shared" si="147"/>
        <v>147680</v>
      </c>
    </row>
    <row r="3176" spans="7:14" ht="11.25" customHeight="1" x14ac:dyDescent="0.25">
      <c r="G3176" s="459"/>
      <c r="H3176" s="459">
        <v>3169</v>
      </c>
      <c r="I3176" s="444">
        <f t="shared" ca="1" si="145"/>
        <v>-426140598342.4964</v>
      </c>
      <c r="J3176" s="444">
        <f t="array" ref="J3176">IFERROR(INDEX('Retirement Calculator'!K:K,MATCH('Lorri 401b'!N3176,'Retirement Calculator'!A:A,0),0),0)</f>
        <v>0</v>
      </c>
      <c r="K3176" s="444">
        <f t="shared" ca="1" si="143"/>
        <v>-1775585826.4270682</v>
      </c>
      <c r="L3176" s="444">
        <f t="shared" ca="1" si="144"/>
        <v>-427916184168.92346</v>
      </c>
      <c r="M3176" s="460">
        <f t="shared" si="146"/>
        <v>0.05</v>
      </c>
      <c r="N3176" s="464">
        <f t="shared" si="147"/>
        <v>147711</v>
      </c>
    </row>
    <row r="3177" spans="7:14" ht="11.25" customHeight="1" x14ac:dyDescent="0.25">
      <c r="G3177" s="459"/>
      <c r="H3177" s="459">
        <v>3170</v>
      </c>
      <c r="I3177" s="444">
        <f t="shared" ca="1" si="145"/>
        <v>-427916184168.92346</v>
      </c>
      <c r="J3177" s="444">
        <f t="array" ref="J3177">IFERROR(INDEX('Retirement Calculator'!K:K,MATCH('Lorri 401b'!N3177,'Retirement Calculator'!A:A,0),0),0)</f>
        <v>0</v>
      </c>
      <c r="K3177" s="444">
        <f t="shared" ca="1" si="143"/>
        <v>-1782984100.7038476</v>
      </c>
      <c r="L3177" s="444">
        <f t="shared" ca="1" si="144"/>
        <v>-429699168269.62732</v>
      </c>
      <c r="M3177" s="460">
        <f t="shared" si="146"/>
        <v>0.05</v>
      </c>
      <c r="N3177" s="464">
        <f t="shared" si="147"/>
        <v>147741</v>
      </c>
    </row>
    <row r="3178" spans="7:14" ht="11.25" customHeight="1" x14ac:dyDescent="0.25">
      <c r="G3178" s="459"/>
      <c r="H3178" s="459">
        <v>3171</v>
      </c>
      <c r="I3178" s="444">
        <f t="shared" ca="1" si="145"/>
        <v>-429699168269.62732</v>
      </c>
      <c r="J3178" s="444">
        <f t="array" ref="J3178">IFERROR(INDEX('Retirement Calculator'!K:K,MATCH('Lorri 401b'!N3178,'Retirement Calculator'!A:A,0),0),0)</f>
        <v>0</v>
      </c>
      <c r="K3178" s="444">
        <f t="shared" ca="1" si="143"/>
        <v>-1790413201.1234474</v>
      </c>
      <c r="L3178" s="444">
        <f t="shared" ca="1" si="144"/>
        <v>-431489581470.75079</v>
      </c>
      <c r="M3178" s="460">
        <f t="shared" si="146"/>
        <v>0.05</v>
      </c>
      <c r="N3178" s="464">
        <f t="shared" si="147"/>
        <v>147772</v>
      </c>
    </row>
    <row r="3179" spans="7:14" ht="11.25" customHeight="1" x14ac:dyDescent="0.25">
      <c r="G3179" s="459"/>
      <c r="H3179" s="459">
        <v>3172</v>
      </c>
      <c r="I3179" s="444">
        <f t="shared" ca="1" si="145"/>
        <v>-431489581470.75079</v>
      </c>
      <c r="J3179" s="444">
        <f t="array" ref="J3179">IFERROR(INDEX('Retirement Calculator'!K:K,MATCH('Lorri 401b'!N3179,'Retirement Calculator'!A:A,0),0),0)</f>
        <v>0</v>
      </c>
      <c r="K3179" s="444">
        <f t="shared" ca="1" si="143"/>
        <v>-1797873256.1281285</v>
      </c>
      <c r="L3179" s="444">
        <f t="shared" ca="1" si="144"/>
        <v>-433287454726.87891</v>
      </c>
      <c r="M3179" s="460">
        <f t="shared" si="146"/>
        <v>0.05</v>
      </c>
      <c r="N3179" s="464">
        <f t="shared" si="147"/>
        <v>147803</v>
      </c>
    </row>
    <row r="3180" spans="7:14" ht="11.25" customHeight="1" x14ac:dyDescent="0.25">
      <c r="G3180" s="459"/>
      <c r="H3180" s="459">
        <v>3173</v>
      </c>
      <c r="I3180" s="444">
        <f t="shared" ca="1" si="145"/>
        <v>-433287454726.87891</v>
      </c>
      <c r="J3180" s="444">
        <f t="array" ref="J3180">IFERROR(INDEX('Retirement Calculator'!K:K,MATCH('Lorri 401b'!N3180,'Retirement Calculator'!A:A,0),0),0)</f>
        <v>0</v>
      </c>
      <c r="K3180" s="444">
        <f t="shared" ca="1" si="143"/>
        <v>-1805364394.6953287</v>
      </c>
      <c r="L3180" s="444">
        <f t="shared" ca="1" si="144"/>
        <v>-435092819121.57422</v>
      </c>
      <c r="M3180" s="460">
        <f t="shared" si="146"/>
        <v>0.05</v>
      </c>
      <c r="N3180" s="464">
        <f t="shared" si="147"/>
        <v>147833</v>
      </c>
    </row>
    <row r="3181" spans="7:14" ht="11.25" customHeight="1" x14ac:dyDescent="0.25">
      <c r="G3181" s="459"/>
      <c r="H3181" s="459">
        <v>3174</v>
      </c>
      <c r="I3181" s="444">
        <f t="shared" ca="1" si="145"/>
        <v>-435092819121.57422</v>
      </c>
      <c r="J3181" s="444">
        <f t="array" ref="J3181">IFERROR(INDEX('Retirement Calculator'!K:K,MATCH('Lorri 401b'!N3181,'Retirement Calculator'!A:A,0),0),0)</f>
        <v>0</v>
      </c>
      <c r="K3181" s="444">
        <f t="shared" ca="1" si="143"/>
        <v>-1812886746.3398924</v>
      </c>
      <c r="L3181" s="444">
        <f t="shared" ca="1" si="144"/>
        <v>-436905705867.91412</v>
      </c>
      <c r="M3181" s="460">
        <f t="shared" si="146"/>
        <v>0.05</v>
      </c>
      <c r="N3181" s="464">
        <f t="shared" si="147"/>
        <v>147864</v>
      </c>
    </row>
    <row r="3182" spans="7:14" ht="11.25" customHeight="1" x14ac:dyDescent="0.25">
      <c r="G3182" s="459"/>
      <c r="H3182" s="459">
        <v>3175</v>
      </c>
      <c r="I3182" s="444">
        <f t="shared" ca="1" si="145"/>
        <v>-436905705867.91412</v>
      </c>
      <c r="J3182" s="444">
        <f t="array" ref="J3182">IFERROR(INDEX('Retirement Calculator'!K:K,MATCH('Lorri 401b'!N3182,'Retirement Calculator'!A:A,0),0),0)</f>
        <v>0</v>
      </c>
      <c r="K3182" s="444">
        <f t="shared" ca="1" si="143"/>
        <v>-1820440441.1163089</v>
      </c>
      <c r="L3182" s="444">
        <f t="shared" ca="1" si="144"/>
        <v>-438726146309.03046</v>
      </c>
      <c r="M3182" s="460">
        <f t="shared" si="146"/>
        <v>0.05</v>
      </c>
      <c r="N3182" s="464">
        <f t="shared" si="147"/>
        <v>147894</v>
      </c>
    </row>
    <row r="3183" spans="7:14" ht="11.25" customHeight="1" x14ac:dyDescent="0.25">
      <c r="G3183" s="459"/>
      <c r="H3183" s="459">
        <v>3176</v>
      </c>
      <c r="I3183" s="444">
        <f t="shared" ca="1" si="145"/>
        <v>-438726146309.03046</v>
      </c>
      <c r="J3183" s="444">
        <f t="array" ref="J3183">IFERROR(INDEX('Retirement Calculator'!K:K,MATCH('Lorri 401b'!N3183,'Retirement Calculator'!A:A,0),0),0)</f>
        <v>0</v>
      </c>
      <c r="K3183" s="444">
        <f t="shared" ca="1" si="143"/>
        <v>-1828025609.6209602</v>
      </c>
      <c r="L3183" s="444">
        <f t="shared" ca="1" si="144"/>
        <v>-440554171918.65143</v>
      </c>
      <c r="M3183" s="460">
        <f t="shared" si="146"/>
        <v>0.05</v>
      </c>
      <c r="N3183" s="464">
        <f t="shared" si="147"/>
        <v>147925</v>
      </c>
    </row>
    <row r="3184" spans="7:14" ht="11.25" customHeight="1" x14ac:dyDescent="0.25">
      <c r="G3184" s="459"/>
      <c r="H3184" s="459">
        <v>3177</v>
      </c>
      <c r="I3184" s="444">
        <f t="shared" ca="1" si="145"/>
        <v>-440554171918.65143</v>
      </c>
      <c r="J3184" s="444">
        <f t="array" ref="J3184">IFERROR(INDEX('Retirement Calculator'!K:K,MATCH('Lorri 401b'!N3184,'Retirement Calculator'!A:A,0),0),0)</f>
        <v>0</v>
      </c>
      <c r="K3184" s="444">
        <f t="shared" ca="1" si="143"/>
        <v>-1835642382.994381</v>
      </c>
      <c r="L3184" s="444">
        <f t="shared" ca="1" si="144"/>
        <v>-442389814301.64581</v>
      </c>
      <c r="M3184" s="460">
        <f t="shared" si="146"/>
        <v>0.05</v>
      </c>
      <c r="N3184" s="464">
        <f t="shared" si="147"/>
        <v>147956</v>
      </c>
    </row>
    <row r="3185" spans="7:14" ht="11.25" customHeight="1" x14ac:dyDescent="0.25">
      <c r="G3185" s="459"/>
      <c r="H3185" s="459">
        <v>3178</v>
      </c>
      <c r="I3185" s="444">
        <f t="shared" ca="1" si="145"/>
        <v>-442389814301.64581</v>
      </c>
      <c r="J3185" s="444">
        <f t="array" ref="J3185">IFERROR(INDEX('Retirement Calculator'!K:K,MATCH('Lorri 401b'!N3185,'Retirement Calculator'!A:A,0),0),0)</f>
        <v>0</v>
      </c>
      <c r="K3185" s="444">
        <f t="shared" ca="1" si="143"/>
        <v>-1843290892.9235244</v>
      </c>
      <c r="L3185" s="444">
        <f t="shared" ca="1" si="144"/>
        <v>-444233105194.56934</v>
      </c>
      <c r="M3185" s="460">
        <f t="shared" si="146"/>
        <v>0.05</v>
      </c>
      <c r="N3185" s="464">
        <f t="shared" si="147"/>
        <v>147984</v>
      </c>
    </row>
    <row r="3186" spans="7:14" ht="11.25" customHeight="1" x14ac:dyDescent="0.25">
      <c r="G3186" s="459"/>
      <c r="H3186" s="459">
        <v>3179</v>
      </c>
      <c r="I3186" s="444">
        <f t="shared" ca="1" si="145"/>
        <v>-444233105194.56934</v>
      </c>
      <c r="J3186" s="444">
        <f t="array" ref="J3186">IFERROR(INDEX('Retirement Calculator'!K:K,MATCH('Lorri 401b'!N3186,'Retirement Calculator'!A:A,0),0),0)</f>
        <v>0</v>
      </c>
      <c r="K3186" s="444">
        <f t="shared" ca="1" si="143"/>
        <v>-1850971271.6440389</v>
      </c>
      <c r="L3186" s="444">
        <f t="shared" ca="1" si="144"/>
        <v>-446084076466.21338</v>
      </c>
      <c r="M3186" s="460">
        <f t="shared" si="146"/>
        <v>0.05</v>
      </c>
      <c r="N3186" s="464">
        <f t="shared" si="147"/>
        <v>148015</v>
      </c>
    </row>
    <row r="3187" spans="7:14" ht="11.25" customHeight="1" x14ac:dyDescent="0.25">
      <c r="G3187" s="459"/>
      <c r="H3187" s="459">
        <v>3180</v>
      </c>
      <c r="I3187" s="444">
        <f t="shared" ca="1" si="145"/>
        <v>-446084076466.21338</v>
      </c>
      <c r="J3187" s="444">
        <f t="array" ref="J3187">IFERROR(INDEX('Retirement Calculator'!K:K,MATCH('Lorri 401b'!N3187,'Retirement Calculator'!A:A,0),0),0)</f>
        <v>0</v>
      </c>
      <c r="K3187" s="444">
        <f t="shared" ca="1" si="143"/>
        <v>-1858683651.9425559</v>
      </c>
      <c r="L3187" s="444">
        <f t="shared" ca="1" si="144"/>
        <v>-447942760118.15594</v>
      </c>
      <c r="M3187" s="460">
        <f t="shared" si="146"/>
        <v>0.05</v>
      </c>
      <c r="N3187" s="464">
        <f t="shared" si="147"/>
        <v>148045</v>
      </c>
    </row>
    <row r="3188" spans="7:14" ht="11.25" customHeight="1" x14ac:dyDescent="0.25">
      <c r="G3188" s="459"/>
      <c r="H3188" s="459">
        <v>3181</v>
      </c>
      <c r="I3188" s="444">
        <f t="shared" ca="1" si="145"/>
        <v>-447942760118.15594</v>
      </c>
      <c r="J3188" s="444">
        <f t="array" ref="J3188">IFERROR(INDEX('Retirement Calculator'!K:K,MATCH('Lorri 401b'!N3188,'Retirement Calculator'!A:A,0),0),0)</f>
        <v>0</v>
      </c>
      <c r="K3188" s="444">
        <f t="shared" ca="1" si="143"/>
        <v>-1866428167.1589832</v>
      </c>
      <c r="L3188" s="444">
        <f t="shared" ca="1" si="144"/>
        <v>-449809188285.31494</v>
      </c>
      <c r="M3188" s="460">
        <f t="shared" si="146"/>
        <v>0.05</v>
      </c>
      <c r="N3188" s="464">
        <f t="shared" si="147"/>
        <v>148076</v>
      </c>
    </row>
    <row r="3189" spans="7:14" ht="11.25" customHeight="1" x14ac:dyDescent="0.25">
      <c r="G3189" s="459"/>
      <c r="H3189" s="459">
        <v>3182</v>
      </c>
      <c r="I3189" s="444">
        <f t="shared" ca="1" si="145"/>
        <v>-449809188285.31494</v>
      </c>
      <c r="J3189" s="444">
        <f t="array" ref="J3189">IFERROR(INDEX('Retirement Calculator'!K:K,MATCH('Lorri 401b'!N3189,'Retirement Calculator'!A:A,0),0),0)</f>
        <v>0</v>
      </c>
      <c r="K3189" s="444">
        <f t="shared" ca="1" si="143"/>
        <v>-1874204951.1888123</v>
      </c>
      <c r="L3189" s="444">
        <f t="shared" ca="1" si="144"/>
        <v>-451683393236.50378</v>
      </c>
      <c r="M3189" s="460">
        <f t="shared" si="146"/>
        <v>0.05</v>
      </c>
      <c r="N3189" s="464">
        <f t="shared" si="147"/>
        <v>148106</v>
      </c>
    </row>
    <row r="3190" spans="7:14" ht="11.25" customHeight="1" x14ac:dyDescent="0.25">
      <c r="G3190" s="459"/>
      <c r="H3190" s="459">
        <v>3183</v>
      </c>
      <c r="I3190" s="444">
        <f t="shared" ca="1" si="145"/>
        <v>-451683393236.50378</v>
      </c>
      <c r="J3190" s="444">
        <f t="array" ref="J3190">IFERROR(INDEX('Retirement Calculator'!K:K,MATCH('Lorri 401b'!N3190,'Retirement Calculator'!A:A,0),0),0)</f>
        <v>0</v>
      </c>
      <c r="K3190" s="444">
        <f t="shared" ca="1" si="143"/>
        <v>-1882014138.4854326</v>
      </c>
      <c r="L3190" s="444">
        <f t="shared" ca="1" si="144"/>
        <v>-453565407374.9892</v>
      </c>
      <c r="M3190" s="460">
        <f t="shared" si="146"/>
        <v>0.05</v>
      </c>
      <c r="N3190" s="464">
        <f t="shared" si="147"/>
        <v>148137</v>
      </c>
    </row>
    <row r="3191" spans="7:14" ht="11.25" customHeight="1" x14ac:dyDescent="0.25">
      <c r="G3191" s="459"/>
      <c r="H3191" s="459">
        <v>3184</v>
      </c>
      <c r="I3191" s="444">
        <f t="shared" ca="1" si="145"/>
        <v>-453565407374.9892</v>
      </c>
      <c r="J3191" s="444">
        <f t="array" ref="J3191">IFERROR(INDEX('Retirement Calculator'!K:K,MATCH('Lorri 401b'!N3191,'Retirement Calculator'!A:A,0),0),0)</f>
        <v>0</v>
      </c>
      <c r="K3191" s="444">
        <f t="shared" ca="1" si="143"/>
        <v>-1889855864.0624549</v>
      </c>
      <c r="L3191" s="444">
        <f t="shared" ca="1" si="144"/>
        <v>-455455263239.05164</v>
      </c>
      <c r="M3191" s="460">
        <f t="shared" si="146"/>
        <v>0.05</v>
      </c>
      <c r="N3191" s="464">
        <f t="shared" si="147"/>
        <v>148168</v>
      </c>
    </row>
    <row r="3192" spans="7:14" ht="11.25" customHeight="1" x14ac:dyDescent="0.25">
      <c r="G3192" s="459"/>
      <c r="H3192" s="459">
        <v>3185</v>
      </c>
      <c r="I3192" s="444">
        <f t="shared" ca="1" si="145"/>
        <v>-455455263239.05164</v>
      </c>
      <c r="J3192" s="444">
        <f t="array" ref="J3192">IFERROR(INDEX('Retirement Calculator'!K:K,MATCH('Lorri 401b'!N3192,'Retirement Calculator'!A:A,0),0),0)</f>
        <v>0</v>
      </c>
      <c r="K3192" s="444">
        <f t="shared" ca="1" si="143"/>
        <v>-1897730263.4960485</v>
      </c>
      <c r="L3192" s="444">
        <f t="shared" ca="1" si="144"/>
        <v>-457352993502.54767</v>
      </c>
      <c r="M3192" s="460">
        <f t="shared" si="146"/>
        <v>0.05</v>
      </c>
      <c r="N3192" s="464">
        <f t="shared" si="147"/>
        <v>148198</v>
      </c>
    </row>
    <row r="3193" spans="7:14" ht="11.25" customHeight="1" x14ac:dyDescent="0.25">
      <c r="G3193" s="459"/>
      <c r="H3193" s="459">
        <v>3186</v>
      </c>
      <c r="I3193" s="444">
        <f t="shared" ca="1" si="145"/>
        <v>-457352993502.54767</v>
      </c>
      <c r="J3193" s="444">
        <f t="array" ref="J3193">IFERROR(INDEX('Retirement Calculator'!K:K,MATCH('Lorri 401b'!N3193,'Retirement Calculator'!A:A,0),0),0)</f>
        <v>0</v>
      </c>
      <c r="K3193" s="444">
        <f t="shared" ca="1" si="143"/>
        <v>-1905637472.9272816</v>
      </c>
      <c r="L3193" s="444">
        <f t="shared" ca="1" si="144"/>
        <v>-459258630975.47498</v>
      </c>
      <c r="M3193" s="460">
        <f t="shared" si="146"/>
        <v>0.05</v>
      </c>
      <c r="N3193" s="464">
        <f t="shared" si="147"/>
        <v>148229</v>
      </c>
    </row>
    <row r="3194" spans="7:14" ht="11.25" customHeight="1" x14ac:dyDescent="0.25">
      <c r="G3194" s="459"/>
      <c r="H3194" s="459">
        <v>3187</v>
      </c>
      <c r="I3194" s="444">
        <f t="shared" ca="1" si="145"/>
        <v>-459258630975.47498</v>
      </c>
      <c r="J3194" s="444">
        <f t="array" ref="J3194">IFERROR(INDEX('Retirement Calculator'!K:K,MATCH('Lorri 401b'!N3194,'Retirement Calculator'!A:A,0),0),0)</f>
        <v>0</v>
      </c>
      <c r="K3194" s="444">
        <f t="shared" ca="1" si="143"/>
        <v>-1913577629.0644791</v>
      </c>
      <c r="L3194" s="444">
        <f t="shared" ca="1" si="144"/>
        <v>-461172208604.53943</v>
      </c>
      <c r="M3194" s="460">
        <f t="shared" si="146"/>
        <v>0.05</v>
      </c>
      <c r="N3194" s="464">
        <f t="shared" si="147"/>
        <v>148259</v>
      </c>
    </row>
    <row r="3195" spans="7:14" ht="11.25" customHeight="1" x14ac:dyDescent="0.25">
      <c r="G3195" s="459"/>
      <c r="H3195" s="459">
        <v>3188</v>
      </c>
      <c r="I3195" s="444">
        <f t="shared" ca="1" si="145"/>
        <v>-461172208604.53943</v>
      </c>
      <c r="J3195" s="444">
        <f t="array" ref="J3195">IFERROR(INDEX('Retirement Calculator'!K:K,MATCH('Lorri 401b'!N3195,'Retirement Calculator'!A:A,0),0),0)</f>
        <v>0</v>
      </c>
      <c r="K3195" s="444">
        <f t="shared" ca="1" si="143"/>
        <v>-1921550869.1855807</v>
      </c>
      <c r="L3195" s="444">
        <f t="shared" ca="1" si="144"/>
        <v>-463093759473.72504</v>
      </c>
      <c r="M3195" s="460">
        <f t="shared" si="146"/>
        <v>0.05</v>
      </c>
      <c r="N3195" s="464">
        <f t="shared" si="147"/>
        <v>148290</v>
      </c>
    </row>
    <row r="3196" spans="7:14" ht="11.25" customHeight="1" x14ac:dyDescent="0.25">
      <c r="G3196" s="459"/>
      <c r="H3196" s="459">
        <v>3189</v>
      </c>
      <c r="I3196" s="444">
        <f t="shared" ca="1" si="145"/>
        <v>-463093759473.72504</v>
      </c>
      <c r="J3196" s="444">
        <f t="array" ref="J3196">IFERROR(INDEX('Retirement Calculator'!K:K,MATCH('Lorri 401b'!N3196,'Retirement Calculator'!A:A,0),0),0)</f>
        <v>0</v>
      </c>
      <c r="K3196" s="444">
        <f t="shared" ca="1" si="143"/>
        <v>-1929557331.140521</v>
      </c>
      <c r="L3196" s="444">
        <f t="shared" ca="1" si="144"/>
        <v>-465023316804.86554</v>
      </c>
      <c r="M3196" s="460">
        <f t="shared" si="146"/>
        <v>0.05</v>
      </c>
      <c r="N3196" s="464">
        <f t="shared" si="147"/>
        <v>148321</v>
      </c>
    </row>
    <row r="3197" spans="7:14" ht="11.25" customHeight="1" x14ac:dyDescent="0.25">
      <c r="G3197" s="459"/>
      <c r="H3197" s="459">
        <v>3190</v>
      </c>
      <c r="I3197" s="444">
        <f t="shared" ca="1" si="145"/>
        <v>-465023316804.86554</v>
      </c>
      <c r="J3197" s="444">
        <f t="array" ref="J3197">IFERROR(INDEX('Retirement Calculator'!K:K,MATCH('Lorri 401b'!N3197,'Retirement Calculator'!A:A,0),0),0)</f>
        <v>0</v>
      </c>
      <c r="K3197" s="444">
        <f t="shared" ca="1" si="143"/>
        <v>-1937597153.3536065</v>
      </c>
      <c r="L3197" s="444">
        <f t="shared" ca="1" si="144"/>
        <v>-466960913958.21912</v>
      </c>
      <c r="M3197" s="460">
        <f t="shared" si="146"/>
        <v>0.05</v>
      </c>
      <c r="N3197" s="464">
        <f t="shared" si="147"/>
        <v>148349</v>
      </c>
    </row>
    <row r="3198" spans="7:14" ht="11.25" customHeight="1" x14ac:dyDescent="0.25">
      <c r="G3198" s="459"/>
      <c r="H3198" s="459">
        <v>3191</v>
      </c>
      <c r="I3198" s="444">
        <f t="shared" ca="1" si="145"/>
        <v>-466960913958.21912</v>
      </c>
      <c r="J3198" s="444">
        <f t="array" ref="J3198">IFERROR(INDEX('Retirement Calculator'!K:K,MATCH('Lorri 401b'!N3198,'Retirement Calculator'!A:A,0),0),0)</f>
        <v>0</v>
      </c>
      <c r="K3198" s="444">
        <f t="shared" ca="1" si="143"/>
        <v>-1945670474.825913</v>
      </c>
      <c r="L3198" s="444">
        <f t="shared" ca="1" si="144"/>
        <v>-468906584433.04504</v>
      </c>
      <c r="M3198" s="460">
        <f t="shared" si="146"/>
        <v>0.05</v>
      </c>
      <c r="N3198" s="464">
        <f t="shared" si="147"/>
        <v>148380</v>
      </c>
    </row>
    <row r="3199" spans="7:14" ht="11.25" customHeight="1" x14ac:dyDescent="0.25">
      <c r="G3199" s="459"/>
      <c r="H3199" s="459">
        <v>3192</v>
      </c>
      <c r="I3199" s="444">
        <f t="shared" ca="1" si="145"/>
        <v>-468906584433.04504</v>
      </c>
      <c r="J3199" s="444">
        <f t="array" ref="J3199">IFERROR(INDEX('Retirement Calculator'!K:K,MATCH('Lorri 401b'!N3199,'Retirement Calculator'!A:A,0),0),0)</f>
        <v>0</v>
      </c>
      <c r="K3199" s="444">
        <f t="shared" ca="1" si="143"/>
        <v>-1953777435.1376877</v>
      </c>
      <c r="L3199" s="444">
        <f t="shared" ca="1" si="144"/>
        <v>-470860361868.18274</v>
      </c>
      <c r="M3199" s="460">
        <f t="shared" si="146"/>
        <v>0.05</v>
      </c>
      <c r="N3199" s="464">
        <f t="shared" si="147"/>
        <v>148410</v>
      </c>
    </row>
    <row r="3200" spans="7:14" ht="11.25" customHeight="1" x14ac:dyDescent="0.25">
      <c r="G3200" s="459"/>
      <c r="H3200" s="459">
        <v>3193</v>
      </c>
      <c r="I3200" s="444">
        <f t="shared" ca="1" si="145"/>
        <v>-470860361868.18274</v>
      </c>
      <c r="J3200" s="444">
        <f t="array" ref="J3200">IFERROR(INDEX('Retirement Calculator'!K:K,MATCH('Lorri 401b'!N3200,'Retirement Calculator'!A:A,0),0),0)</f>
        <v>0</v>
      </c>
      <c r="K3200" s="444">
        <f t="shared" ca="1" si="143"/>
        <v>-1961918174.4507613</v>
      </c>
      <c r="L3200" s="444">
        <f t="shared" ca="1" si="144"/>
        <v>-472822280042.63348</v>
      </c>
      <c r="M3200" s="460">
        <f t="shared" si="146"/>
        <v>0.05</v>
      </c>
      <c r="N3200" s="464">
        <f t="shared" si="147"/>
        <v>148441</v>
      </c>
    </row>
    <row r="3201" spans="7:14" ht="11.25" customHeight="1" x14ac:dyDescent="0.25">
      <c r="G3201" s="459"/>
      <c r="H3201" s="459">
        <v>3194</v>
      </c>
      <c r="I3201" s="444">
        <f t="shared" ca="1" si="145"/>
        <v>-472822280042.63348</v>
      </c>
      <c r="J3201" s="444">
        <f t="array" ref="J3201">IFERROR(INDEX('Retirement Calculator'!K:K,MATCH('Lorri 401b'!N3201,'Retirement Calculator'!A:A,0),0),0)</f>
        <v>0</v>
      </c>
      <c r="K3201" s="444">
        <f t="shared" ca="1" si="143"/>
        <v>-1970092833.5109727</v>
      </c>
      <c r="L3201" s="444">
        <f t="shared" ca="1" si="144"/>
        <v>-474792372876.14447</v>
      </c>
      <c r="M3201" s="460">
        <f t="shared" si="146"/>
        <v>0.05</v>
      </c>
      <c r="N3201" s="464">
        <f t="shared" si="147"/>
        <v>148471</v>
      </c>
    </row>
    <row r="3202" spans="7:14" ht="11.25" customHeight="1" x14ac:dyDescent="0.25">
      <c r="G3202" s="459"/>
      <c r="H3202" s="459">
        <v>3195</v>
      </c>
      <c r="I3202" s="444">
        <f t="shared" ca="1" si="145"/>
        <v>-474792372876.14447</v>
      </c>
      <c r="J3202" s="444">
        <f t="array" ref="J3202">IFERROR(INDEX('Retirement Calculator'!K:K,MATCH('Lorri 401b'!N3202,'Retirement Calculator'!A:A,0),0),0)</f>
        <v>0</v>
      </c>
      <c r="K3202" s="444">
        <f t="shared" ca="1" si="143"/>
        <v>-1978301553.6506019</v>
      </c>
      <c r="L3202" s="444">
        <f t="shared" ca="1" si="144"/>
        <v>-476770674429.79504</v>
      </c>
      <c r="M3202" s="460">
        <f t="shared" si="146"/>
        <v>0.05</v>
      </c>
      <c r="N3202" s="464">
        <f t="shared" si="147"/>
        <v>148502</v>
      </c>
    </row>
    <row r="3203" spans="7:14" ht="11.25" customHeight="1" x14ac:dyDescent="0.25">
      <c r="G3203" s="459"/>
      <c r="H3203" s="459">
        <v>3196</v>
      </c>
      <c r="I3203" s="444">
        <f t="shared" ca="1" si="145"/>
        <v>-476770674429.79504</v>
      </c>
      <c r="J3203" s="444">
        <f t="array" ref="J3203">IFERROR(INDEX('Retirement Calculator'!K:K,MATCH('Lorri 401b'!N3203,'Retirement Calculator'!A:A,0),0),0)</f>
        <v>0</v>
      </c>
      <c r="K3203" s="444">
        <f t="shared" ca="1" si="143"/>
        <v>-1986544476.7908127</v>
      </c>
      <c r="L3203" s="444">
        <f t="shared" ca="1" si="144"/>
        <v>-478757218906.58588</v>
      </c>
      <c r="M3203" s="460">
        <f t="shared" si="146"/>
        <v>0.05</v>
      </c>
      <c r="N3203" s="464">
        <f t="shared" si="147"/>
        <v>148533</v>
      </c>
    </row>
    <row r="3204" spans="7:14" ht="11.25" customHeight="1" x14ac:dyDescent="0.25">
      <c r="G3204" s="459"/>
      <c r="H3204" s="459">
        <v>3197</v>
      </c>
      <c r="I3204" s="444">
        <f t="shared" ca="1" si="145"/>
        <v>-478757218906.58588</v>
      </c>
      <c r="J3204" s="444">
        <f t="array" ref="J3204">IFERROR(INDEX('Retirement Calculator'!K:K,MATCH('Lorri 401b'!N3204,'Retirement Calculator'!A:A,0),0),0)</f>
        <v>0</v>
      </c>
      <c r="K3204" s="444">
        <f t="shared" ca="1" si="143"/>
        <v>-1994821745.444108</v>
      </c>
      <c r="L3204" s="444">
        <f t="shared" ca="1" si="144"/>
        <v>-480752040652.02997</v>
      </c>
      <c r="M3204" s="460">
        <f t="shared" si="146"/>
        <v>0.05</v>
      </c>
      <c r="N3204" s="464">
        <f t="shared" si="147"/>
        <v>148563</v>
      </c>
    </row>
    <row r="3205" spans="7:14" ht="11.25" customHeight="1" x14ac:dyDescent="0.25">
      <c r="G3205" s="459"/>
      <c r="H3205" s="459">
        <v>3198</v>
      </c>
      <c r="I3205" s="444">
        <f t="shared" ca="1" si="145"/>
        <v>-480752040652.02997</v>
      </c>
      <c r="J3205" s="444">
        <f t="array" ref="J3205">IFERROR(INDEX('Retirement Calculator'!K:K,MATCH('Lorri 401b'!N3205,'Retirement Calculator'!A:A,0),0),0)</f>
        <v>0</v>
      </c>
      <c r="K3205" s="444">
        <f t="shared" ca="1" si="143"/>
        <v>-2003133502.7167912</v>
      </c>
      <c r="L3205" s="444">
        <f t="shared" ca="1" si="144"/>
        <v>-482755174154.74677</v>
      </c>
      <c r="M3205" s="460">
        <f t="shared" si="146"/>
        <v>0.05</v>
      </c>
      <c r="N3205" s="464">
        <f t="shared" si="147"/>
        <v>148594</v>
      </c>
    </row>
    <row r="3206" spans="7:14" ht="11.25" customHeight="1" x14ac:dyDescent="0.25">
      <c r="G3206" s="459"/>
      <c r="H3206" s="459">
        <v>3199</v>
      </c>
      <c r="I3206" s="444">
        <f t="shared" ca="1" si="145"/>
        <v>-482755174154.74677</v>
      </c>
      <c r="J3206" s="444">
        <f t="array" ref="J3206">IFERROR(INDEX('Retirement Calculator'!K:K,MATCH('Lorri 401b'!N3206,'Retirement Calculator'!A:A,0),0),0)</f>
        <v>0</v>
      </c>
      <c r="K3206" s="444">
        <f t="shared" ca="1" si="143"/>
        <v>-2011479892.3114448</v>
      </c>
      <c r="L3206" s="444">
        <f t="shared" ca="1" si="144"/>
        <v>-484766654047.05823</v>
      </c>
      <c r="M3206" s="460">
        <f t="shared" si="146"/>
        <v>0.05</v>
      </c>
      <c r="N3206" s="464">
        <f t="shared" si="147"/>
        <v>148624</v>
      </c>
    </row>
    <row r="3207" spans="7:14" ht="11.25" customHeight="1" x14ac:dyDescent="0.25">
      <c r="G3207" s="459"/>
      <c r="H3207" s="459">
        <v>3200</v>
      </c>
      <c r="I3207" s="444">
        <f t="shared" ca="1" si="145"/>
        <v>-484766654047.05823</v>
      </c>
      <c r="J3207" s="444">
        <f t="array" ref="J3207">IFERROR(INDEX('Retirement Calculator'!K:K,MATCH('Lorri 401b'!N3207,'Retirement Calculator'!A:A,0),0),0)</f>
        <v>0</v>
      </c>
      <c r="K3207" s="444">
        <f t="shared" ca="1" si="143"/>
        <v>-2019861058.5294092</v>
      </c>
      <c r="L3207" s="444">
        <f t="shared" ca="1" si="144"/>
        <v>-486786515105.58765</v>
      </c>
      <c r="M3207" s="460">
        <f t="shared" si="146"/>
        <v>0.05</v>
      </c>
      <c r="N3207" s="464">
        <f t="shared" si="147"/>
        <v>148655</v>
      </c>
    </row>
    <row r="3208" spans="7:14" ht="11.25" customHeight="1" x14ac:dyDescent="0.25">
      <c r="G3208" s="459"/>
      <c r="H3208" s="459">
        <v>3201</v>
      </c>
      <c r="I3208" s="444">
        <f t="shared" ca="1" si="145"/>
        <v>-486786515105.58765</v>
      </c>
      <c r="J3208" s="444">
        <f t="array" ref="J3208">IFERROR(INDEX('Retirement Calculator'!K:K,MATCH('Lorri 401b'!N3208,'Retirement Calculator'!A:A,0),0),0)</f>
        <v>0</v>
      </c>
      <c r="K3208" s="444">
        <f t="shared" ca="1" si="143"/>
        <v>-2028277146.2732818</v>
      </c>
      <c r="L3208" s="444">
        <f t="shared" ca="1" si="144"/>
        <v>-488814792251.8609</v>
      </c>
      <c r="M3208" s="460">
        <f t="shared" si="146"/>
        <v>0.05</v>
      </c>
      <c r="N3208" s="464">
        <f t="shared" si="147"/>
        <v>148686</v>
      </c>
    </row>
    <row r="3209" spans="7:14" ht="11.25" customHeight="1" x14ac:dyDescent="0.25">
      <c r="G3209" s="459"/>
      <c r="H3209" s="459">
        <v>3202</v>
      </c>
      <c r="I3209" s="444">
        <f t="shared" ca="1" si="145"/>
        <v>-488814792251.8609</v>
      </c>
      <c r="J3209" s="444">
        <f t="array" ref="J3209">IFERROR(INDEX('Retirement Calculator'!K:K,MATCH('Lorri 401b'!N3209,'Retirement Calculator'!A:A,0),0),0)</f>
        <v>0</v>
      </c>
      <c r="K3209" s="444">
        <f t="shared" ca="1" si="143"/>
        <v>-2036728301.0494201</v>
      </c>
      <c r="L3209" s="444">
        <f t="shared" ca="1" si="144"/>
        <v>-490851520552.91034</v>
      </c>
      <c r="M3209" s="460">
        <f t="shared" si="146"/>
        <v>0.05</v>
      </c>
      <c r="N3209" s="464">
        <f t="shared" si="147"/>
        <v>148714</v>
      </c>
    </row>
    <row r="3210" spans="7:14" ht="11.25" customHeight="1" x14ac:dyDescent="0.25">
      <c r="G3210" s="459"/>
      <c r="H3210" s="459">
        <v>3203</v>
      </c>
      <c r="I3210" s="444">
        <f t="shared" ca="1" si="145"/>
        <v>-490851520552.91034</v>
      </c>
      <c r="J3210" s="444">
        <f t="array" ref="J3210">IFERROR(INDEX('Retirement Calculator'!K:K,MATCH('Lorri 401b'!N3210,'Retirement Calculator'!A:A,0),0),0)</f>
        <v>0</v>
      </c>
      <c r="K3210" s="444">
        <f t="shared" ca="1" si="143"/>
        <v>-2045214668.9704599</v>
      </c>
      <c r="L3210" s="444">
        <f t="shared" ca="1" si="144"/>
        <v>-492896735221.8808</v>
      </c>
      <c r="M3210" s="460">
        <f t="shared" si="146"/>
        <v>0.05</v>
      </c>
      <c r="N3210" s="464">
        <f t="shared" si="147"/>
        <v>148745</v>
      </c>
    </row>
    <row r="3211" spans="7:14" ht="11.25" customHeight="1" x14ac:dyDescent="0.25">
      <c r="G3211" s="459"/>
      <c r="H3211" s="459">
        <v>3204</v>
      </c>
      <c r="I3211" s="444">
        <f t="shared" ca="1" si="145"/>
        <v>-492896735221.8808</v>
      </c>
      <c r="J3211" s="444">
        <f t="array" ref="J3211">IFERROR(INDEX('Retirement Calculator'!K:K,MATCH('Lorri 401b'!N3211,'Retirement Calculator'!A:A,0),0),0)</f>
        <v>0</v>
      </c>
      <c r="K3211" s="444">
        <f t="shared" ca="1" si="143"/>
        <v>-2053736396.7578366</v>
      </c>
      <c r="L3211" s="444">
        <f t="shared" ca="1" si="144"/>
        <v>-494950471618.63861</v>
      </c>
      <c r="M3211" s="460">
        <f t="shared" si="146"/>
        <v>0.05</v>
      </c>
      <c r="N3211" s="464">
        <f t="shared" si="147"/>
        <v>148775</v>
      </c>
    </row>
    <row r="3212" spans="7:14" ht="11.25" customHeight="1" x14ac:dyDescent="0.25">
      <c r="G3212" s="459"/>
      <c r="H3212" s="459">
        <v>3205</v>
      </c>
      <c r="I3212" s="444">
        <f t="shared" ca="1" si="145"/>
        <v>-494950471618.63861</v>
      </c>
      <c r="J3212" s="444">
        <f t="array" ref="J3212">IFERROR(INDEX('Retirement Calculator'!K:K,MATCH('Lorri 401b'!N3212,'Retirement Calculator'!A:A,0),0),0)</f>
        <v>0</v>
      </c>
      <c r="K3212" s="444">
        <f t="shared" ca="1" si="143"/>
        <v>-2062293631.7443275</v>
      </c>
      <c r="L3212" s="444">
        <f t="shared" ca="1" si="144"/>
        <v>-497012765250.38293</v>
      </c>
      <c r="M3212" s="460">
        <f t="shared" si="146"/>
        <v>0.05</v>
      </c>
      <c r="N3212" s="464">
        <f t="shared" si="147"/>
        <v>148806</v>
      </c>
    </row>
    <row r="3213" spans="7:14" ht="11.25" customHeight="1" x14ac:dyDescent="0.25">
      <c r="G3213" s="459"/>
      <c r="H3213" s="459">
        <v>3206</v>
      </c>
      <c r="I3213" s="444">
        <f t="shared" ca="1" si="145"/>
        <v>-497012765250.38293</v>
      </c>
      <c r="J3213" s="444">
        <f t="array" ref="J3213">IFERROR(INDEX('Retirement Calculator'!K:K,MATCH('Lorri 401b'!N3213,'Retirement Calculator'!A:A,0),0),0)</f>
        <v>0</v>
      </c>
      <c r="K3213" s="444">
        <f t="shared" ca="1" si="143"/>
        <v>-2070886521.8765955</v>
      </c>
      <c r="L3213" s="444">
        <f t="shared" ca="1" si="144"/>
        <v>-499083651772.25952</v>
      </c>
      <c r="M3213" s="460">
        <f t="shared" si="146"/>
        <v>0.05</v>
      </c>
      <c r="N3213" s="464">
        <f t="shared" si="147"/>
        <v>148836</v>
      </c>
    </row>
    <row r="3214" spans="7:14" ht="11.25" customHeight="1" x14ac:dyDescent="0.25">
      <c r="G3214" s="459"/>
      <c r="H3214" s="459">
        <v>3207</v>
      </c>
      <c r="I3214" s="444">
        <f t="shared" ca="1" si="145"/>
        <v>-499083651772.25952</v>
      </c>
      <c r="J3214" s="444">
        <f t="array" ref="J3214">IFERROR(INDEX('Retirement Calculator'!K:K,MATCH('Lorri 401b'!N3214,'Retirement Calculator'!A:A,0),0),0)</f>
        <v>0</v>
      </c>
      <c r="K3214" s="444">
        <f t="shared" ca="1" si="143"/>
        <v>-2079515215.7177482</v>
      </c>
      <c r="L3214" s="444">
        <f t="shared" ca="1" si="144"/>
        <v>-501163166987.97729</v>
      </c>
      <c r="M3214" s="460">
        <f t="shared" si="146"/>
        <v>0.05</v>
      </c>
      <c r="N3214" s="464">
        <f t="shared" si="147"/>
        <v>148867</v>
      </c>
    </row>
    <row r="3215" spans="7:14" ht="11.25" customHeight="1" x14ac:dyDescent="0.25">
      <c r="G3215" s="459"/>
      <c r="H3215" s="459">
        <v>3208</v>
      </c>
      <c r="I3215" s="444">
        <f t="shared" ca="1" si="145"/>
        <v>-501163166987.97729</v>
      </c>
      <c r="J3215" s="444">
        <f t="array" ref="J3215">IFERROR(INDEX('Retirement Calculator'!K:K,MATCH('Lorri 401b'!N3215,'Retirement Calculator'!A:A,0),0),0)</f>
        <v>0</v>
      </c>
      <c r="K3215" s="444">
        <f t="shared" ca="1" si="143"/>
        <v>-2088179862.4499054</v>
      </c>
      <c r="L3215" s="444">
        <f t="shared" ca="1" si="144"/>
        <v>-503251346850.42719</v>
      </c>
      <c r="M3215" s="460">
        <f t="shared" si="146"/>
        <v>0.05</v>
      </c>
      <c r="N3215" s="464">
        <f t="shared" si="147"/>
        <v>148898</v>
      </c>
    </row>
    <row r="3216" spans="7:14" ht="11.25" customHeight="1" x14ac:dyDescent="0.25">
      <c r="G3216" s="459"/>
      <c r="H3216" s="459">
        <v>3209</v>
      </c>
      <c r="I3216" s="444">
        <f t="shared" ca="1" si="145"/>
        <v>-503251346850.42719</v>
      </c>
      <c r="J3216" s="444">
        <f t="array" ref="J3216">IFERROR(INDEX('Retirement Calculator'!K:K,MATCH('Lorri 401b'!N3216,'Retirement Calculator'!A:A,0),0),0)</f>
        <v>0</v>
      </c>
      <c r="K3216" s="444">
        <f t="shared" ca="1" si="143"/>
        <v>-2096880611.8767798</v>
      </c>
      <c r="L3216" s="444">
        <f t="shared" ca="1" si="144"/>
        <v>-505348227462.30396</v>
      </c>
      <c r="M3216" s="460">
        <f t="shared" si="146"/>
        <v>0.05</v>
      </c>
      <c r="N3216" s="464">
        <f t="shared" si="147"/>
        <v>148928</v>
      </c>
    </row>
    <row r="3217" spans="7:14" ht="11.25" customHeight="1" x14ac:dyDescent="0.25">
      <c r="G3217" s="459"/>
      <c r="H3217" s="459">
        <v>3210</v>
      </c>
      <c r="I3217" s="444">
        <f t="shared" ca="1" si="145"/>
        <v>-505348227462.30396</v>
      </c>
      <c r="J3217" s="444">
        <f t="array" ref="J3217">IFERROR(INDEX('Retirement Calculator'!K:K,MATCH('Lorri 401b'!N3217,'Retirement Calculator'!A:A,0),0),0)</f>
        <v>0</v>
      </c>
      <c r="K3217" s="444">
        <f t="shared" ca="1" si="143"/>
        <v>-2105617614.4262664</v>
      </c>
      <c r="L3217" s="444">
        <f t="shared" ca="1" si="144"/>
        <v>-507453845076.73022</v>
      </c>
      <c r="M3217" s="460">
        <f t="shared" si="146"/>
        <v>0.05</v>
      </c>
      <c r="N3217" s="464">
        <f t="shared" si="147"/>
        <v>148959</v>
      </c>
    </row>
    <row r="3218" spans="7:14" ht="11.25" customHeight="1" x14ac:dyDescent="0.25">
      <c r="G3218" s="459"/>
      <c r="H3218" s="459">
        <v>3211</v>
      </c>
      <c r="I3218" s="444">
        <f t="shared" ca="1" si="145"/>
        <v>-507453845076.73022</v>
      </c>
      <c r="J3218" s="444">
        <f t="array" ref="J3218">IFERROR(INDEX('Retirement Calculator'!K:K,MATCH('Lorri 401b'!N3218,'Retirement Calculator'!A:A,0),0),0)</f>
        <v>0</v>
      </c>
      <c r="K3218" s="444">
        <f t="shared" ca="1" si="143"/>
        <v>-2114391021.1530423</v>
      </c>
      <c r="L3218" s="444">
        <f t="shared" ca="1" si="144"/>
        <v>-509568236097.88324</v>
      </c>
      <c r="M3218" s="460">
        <f t="shared" si="146"/>
        <v>0.05</v>
      </c>
      <c r="N3218" s="464">
        <f t="shared" si="147"/>
        <v>148989</v>
      </c>
    </row>
    <row r="3219" spans="7:14" ht="11.25" customHeight="1" x14ac:dyDescent="0.25">
      <c r="G3219" s="459"/>
      <c r="H3219" s="459">
        <v>3212</v>
      </c>
      <c r="I3219" s="444">
        <f t="shared" ca="1" si="145"/>
        <v>-509568236097.88324</v>
      </c>
      <c r="J3219" s="444">
        <f t="array" ref="J3219">IFERROR(INDEX('Retirement Calculator'!K:K,MATCH('Lorri 401b'!N3219,'Retirement Calculator'!A:A,0),0),0)</f>
        <v>0</v>
      </c>
      <c r="K3219" s="444">
        <f t="shared" ca="1" si="143"/>
        <v>-2123200983.7411802</v>
      </c>
      <c r="L3219" s="444">
        <f t="shared" ca="1" si="144"/>
        <v>-511691437081.62439</v>
      </c>
      <c r="M3219" s="460">
        <f t="shared" si="146"/>
        <v>0.05</v>
      </c>
      <c r="N3219" s="464">
        <f t="shared" si="147"/>
        <v>149020</v>
      </c>
    </row>
    <row r="3220" spans="7:14" ht="11.25" customHeight="1" x14ac:dyDescent="0.25">
      <c r="G3220" s="459"/>
      <c r="H3220" s="459">
        <v>3213</v>
      </c>
      <c r="I3220" s="444">
        <f t="shared" ca="1" si="145"/>
        <v>-511691437081.62439</v>
      </c>
      <c r="J3220" s="444">
        <f t="array" ref="J3220">IFERROR(INDEX('Retirement Calculator'!K:K,MATCH('Lorri 401b'!N3220,'Retirement Calculator'!A:A,0),0),0)</f>
        <v>0</v>
      </c>
      <c r="K3220" s="444">
        <f t="shared" ca="1" si="143"/>
        <v>-2132047654.5067682</v>
      </c>
      <c r="L3220" s="444">
        <f t="shared" ca="1" si="144"/>
        <v>-513823484736.13116</v>
      </c>
      <c r="M3220" s="460">
        <f t="shared" si="146"/>
        <v>0.05</v>
      </c>
      <c r="N3220" s="464">
        <f t="shared" si="147"/>
        <v>149051</v>
      </c>
    </row>
    <row r="3221" spans="7:14" ht="11.25" customHeight="1" x14ac:dyDescent="0.25">
      <c r="G3221" s="459"/>
      <c r="H3221" s="459">
        <v>3214</v>
      </c>
      <c r="I3221" s="444">
        <f t="shared" ca="1" si="145"/>
        <v>-513823484736.13116</v>
      </c>
      <c r="J3221" s="444">
        <f t="array" ref="J3221">IFERROR(INDEX('Retirement Calculator'!K:K,MATCH('Lorri 401b'!N3221,'Retirement Calculator'!A:A,0),0),0)</f>
        <v>0</v>
      </c>
      <c r="K3221" s="444">
        <f t="shared" ca="1" si="143"/>
        <v>-2140931186.4005466</v>
      </c>
      <c r="L3221" s="444">
        <f t="shared" ca="1" si="144"/>
        <v>-515964415922.53174</v>
      </c>
      <c r="M3221" s="460">
        <f t="shared" si="146"/>
        <v>0.05</v>
      </c>
      <c r="N3221" s="464">
        <f t="shared" si="147"/>
        <v>149080</v>
      </c>
    </row>
    <row r="3222" spans="7:14" ht="11.25" customHeight="1" x14ac:dyDescent="0.25">
      <c r="G3222" s="459"/>
      <c r="H3222" s="459">
        <v>3215</v>
      </c>
      <c r="I3222" s="444">
        <f t="shared" ca="1" si="145"/>
        <v>-515964415922.53174</v>
      </c>
      <c r="J3222" s="444">
        <f t="array" ref="J3222">IFERROR(INDEX('Retirement Calculator'!K:K,MATCH('Lorri 401b'!N3222,'Retirement Calculator'!A:A,0),0),0)</f>
        <v>0</v>
      </c>
      <c r="K3222" s="444">
        <f t="shared" ca="1" si="143"/>
        <v>-2149851733.0105491</v>
      </c>
      <c r="L3222" s="444">
        <f t="shared" ca="1" si="144"/>
        <v>-518114267655.5423</v>
      </c>
      <c r="M3222" s="460">
        <f t="shared" si="146"/>
        <v>0.05</v>
      </c>
      <c r="N3222" s="464">
        <f t="shared" si="147"/>
        <v>149111</v>
      </c>
    </row>
    <row r="3223" spans="7:14" ht="11.25" customHeight="1" x14ac:dyDescent="0.25">
      <c r="G3223" s="459"/>
      <c r="H3223" s="459">
        <v>3216</v>
      </c>
      <c r="I3223" s="444">
        <f t="shared" ca="1" si="145"/>
        <v>-518114267655.5423</v>
      </c>
      <c r="J3223" s="444">
        <f t="array" ref="J3223">IFERROR(INDEX('Retirement Calculator'!K:K,MATCH('Lorri 401b'!N3223,'Retirement Calculator'!A:A,0),0),0)</f>
        <v>0</v>
      </c>
      <c r="K3223" s="444">
        <f t="shared" ca="1" si="143"/>
        <v>-2158809448.5647597</v>
      </c>
      <c r="L3223" s="444">
        <f t="shared" ca="1" si="144"/>
        <v>-520273077104.10706</v>
      </c>
      <c r="M3223" s="460">
        <f t="shared" si="146"/>
        <v>0.05</v>
      </c>
      <c r="N3223" s="464">
        <f t="shared" si="147"/>
        <v>149141</v>
      </c>
    </row>
    <row r="3224" spans="7:14" ht="11.25" customHeight="1" x14ac:dyDescent="0.25">
      <c r="G3224" s="459"/>
      <c r="H3224" s="459">
        <v>3217</v>
      </c>
      <c r="I3224" s="444">
        <f t="shared" ca="1" si="145"/>
        <v>-520273077104.10706</v>
      </c>
      <c r="J3224" s="444">
        <f t="array" ref="J3224">IFERROR(INDEX('Retirement Calculator'!K:K,MATCH('Lorri 401b'!N3224,'Retirement Calculator'!A:A,0),0),0)</f>
        <v>0</v>
      </c>
      <c r="K3224" s="444">
        <f t="shared" ca="1" si="143"/>
        <v>-2167804487.9337792</v>
      </c>
      <c r="L3224" s="444">
        <f t="shared" ca="1" si="144"/>
        <v>-522440881592.04083</v>
      </c>
      <c r="M3224" s="460">
        <f t="shared" si="146"/>
        <v>0.05</v>
      </c>
      <c r="N3224" s="464">
        <f t="shared" si="147"/>
        <v>149172</v>
      </c>
    </row>
    <row r="3225" spans="7:14" ht="11.25" customHeight="1" x14ac:dyDescent="0.25">
      <c r="G3225" s="459"/>
      <c r="H3225" s="459">
        <v>3218</v>
      </c>
      <c r="I3225" s="444">
        <f t="shared" ca="1" si="145"/>
        <v>-522440881592.04083</v>
      </c>
      <c r="J3225" s="444">
        <f t="array" ref="J3225">IFERROR(INDEX('Retirement Calculator'!K:K,MATCH('Lorri 401b'!N3225,'Retirement Calculator'!A:A,0),0),0)</f>
        <v>0</v>
      </c>
      <c r="K3225" s="444">
        <f t="shared" ca="1" si="143"/>
        <v>-2176837006.6335034</v>
      </c>
      <c r="L3225" s="444">
        <f t="shared" ca="1" si="144"/>
        <v>-524617718598.67432</v>
      </c>
      <c r="M3225" s="460">
        <f t="shared" si="146"/>
        <v>0.05</v>
      </c>
      <c r="N3225" s="464">
        <f t="shared" si="147"/>
        <v>149202</v>
      </c>
    </row>
    <row r="3226" spans="7:14" ht="11.25" customHeight="1" x14ac:dyDescent="0.25">
      <c r="G3226" s="459"/>
      <c r="H3226" s="459">
        <v>3219</v>
      </c>
      <c r="I3226" s="444">
        <f t="shared" ca="1" si="145"/>
        <v>-524617718598.67432</v>
      </c>
      <c r="J3226" s="444">
        <f t="array" ref="J3226">IFERROR(INDEX('Retirement Calculator'!K:K,MATCH('Lorri 401b'!N3226,'Retirement Calculator'!A:A,0),0),0)</f>
        <v>0</v>
      </c>
      <c r="K3226" s="444">
        <f t="shared" ca="1" si="143"/>
        <v>-2185907160.8278098</v>
      </c>
      <c r="L3226" s="444">
        <f t="shared" ca="1" si="144"/>
        <v>-526803625759.50214</v>
      </c>
      <c r="M3226" s="460">
        <f t="shared" si="146"/>
        <v>0.05</v>
      </c>
      <c r="N3226" s="464">
        <f t="shared" si="147"/>
        <v>149233</v>
      </c>
    </row>
    <row r="3227" spans="7:14" ht="11.25" customHeight="1" x14ac:dyDescent="0.25">
      <c r="G3227" s="459"/>
      <c r="H3227" s="459">
        <v>3220</v>
      </c>
      <c r="I3227" s="444">
        <f t="shared" ca="1" si="145"/>
        <v>-526803625759.50214</v>
      </c>
      <c r="J3227" s="444">
        <f t="array" ref="J3227">IFERROR(INDEX('Retirement Calculator'!K:K,MATCH('Lorri 401b'!N3227,'Retirement Calculator'!A:A,0),0),0)</f>
        <v>0</v>
      </c>
      <c r="K3227" s="444">
        <f t="shared" ca="1" si="143"/>
        <v>-2195015107.3312588</v>
      </c>
      <c r="L3227" s="444">
        <f t="shared" ca="1" si="144"/>
        <v>-528998640866.83337</v>
      </c>
      <c r="M3227" s="460">
        <f t="shared" si="146"/>
        <v>0.05</v>
      </c>
      <c r="N3227" s="464">
        <f t="shared" si="147"/>
        <v>149264</v>
      </c>
    </row>
    <row r="3228" spans="7:14" ht="11.25" customHeight="1" x14ac:dyDescent="0.25">
      <c r="G3228" s="459"/>
      <c r="H3228" s="459">
        <v>3221</v>
      </c>
      <c r="I3228" s="444">
        <f t="shared" ca="1" si="145"/>
        <v>-528998640866.83337</v>
      </c>
      <c r="J3228" s="444">
        <f t="array" ref="J3228">IFERROR(INDEX('Retirement Calculator'!K:K,MATCH('Lorri 401b'!N3228,'Retirement Calculator'!A:A,0),0),0)</f>
        <v>0</v>
      </c>
      <c r="K3228" s="444">
        <f t="shared" ca="1" si="143"/>
        <v>-2204161003.6118059</v>
      </c>
      <c r="L3228" s="444">
        <f t="shared" ca="1" si="144"/>
        <v>-531202801870.44519</v>
      </c>
      <c r="M3228" s="460">
        <f t="shared" si="146"/>
        <v>0.05</v>
      </c>
      <c r="N3228" s="464">
        <f t="shared" si="147"/>
        <v>149294</v>
      </c>
    </row>
    <row r="3229" spans="7:14" ht="11.25" customHeight="1" x14ac:dyDescent="0.25">
      <c r="G3229" s="459"/>
      <c r="H3229" s="459">
        <v>3222</v>
      </c>
      <c r="I3229" s="444">
        <f t="shared" ca="1" si="145"/>
        <v>-531202801870.44519</v>
      </c>
      <c r="J3229" s="444">
        <f t="array" ref="J3229">IFERROR(INDEX('Retirement Calculator'!K:K,MATCH('Lorri 401b'!N3229,'Retirement Calculator'!A:A,0),0),0)</f>
        <v>0</v>
      </c>
      <c r="K3229" s="444">
        <f t="shared" ca="1" si="143"/>
        <v>-2213345007.7935219</v>
      </c>
      <c r="L3229" s="444">
        <f t="shared" ca="1" si="144"/>
        <v>-533416146878.23871</v>
      </c>
      <c r="M3229" s="460">
        <f t="shared" si="146"/>
        <v>0.05</v>
      </c>
      <c r="N3229" s="464">
        <f t="shared" si="147"/>
        <v>149325</v>
      </c>
    </row>
    <row r="3230" spans="7:14" ht="11.25" customHeight="1" x14ac:dyDescent="0.25">
      <c r="G3230" s="459"/>
      <c r="H3230" s="459">
        <v>3223</v>
      </c>
      <c r="I3230" s="444">
        <f t="shared" ca="1" si="145"/>
        <v>-533416146878.23871</v>
      </c>
      <c r="J3230" s="444">
        <f t="array" ref="J3230">IFERROR(INDEX('Retirement Calculator'!K:K,MATCH('Lorri 401b'!N3230,'Retirement Calculator'!A:A,0),0),0)</f>
        <v>0</v>
      </c>
      <c r="K3230" s="444">
        <f t="shared" ca="1" si="143"/>
        <v>-2222567278.6593275</v>
      </c>
      <c r="L3230" s="444">
        <f t="shared" ca="1" si="144"/>
        <v>-535638714156.89801</v>
      </c>
      <c r="M3230" s="460">
        <f t="shared" si="146"/>
        <v>0.05</v>
      </c>
      <c r="N3230" s="464">
        <f t="shared" si="147"/>
        <v>149355</v>
      </c>
    </row>
    <row r="3231" spans="7:14" ht="11.25" customHeight="1" x14ac:dyDescent="0.25">
      <c r="G3231" s="459"/>
      <c r="H3231" s="459">
        <v>3224</v>
      </c>
      <c r="I3231" s="444">
        <f t="shared" ca="1" si="145"/>
        <v>-535638714156.89801</v>
      </c>
      <c r="J3231" s="444">
        <f t="array" ref="J3231">IFERROR(INDEX('Retirement Calculator'!K:K,MATCH('Lorri 401b'!N3231,'Retirement Calculator'!A:A,0),0),0)</f>
        <v>0</v>
      </c>
      <c r="K3231" s="444">
        <f t="shared" ca="1" si="143"/>
        <v>-2231827975.6537418</v>
      </c>
      <c r="L3231" s="444">
        <f t="shared" ca="1" si="144"/>
        <v>-537870542132.55176</v>
      </c>
      <c r="M3231" s="460">
        <f t="shared" si="146"/>
        <v>0.05</v>
      </c>
      <c r="N3231" s="464">
        <f t="shared" si="147"/>
        <v>149386</v>
      </c>
    </row>
    <row r="3232" spans="7:14" ht="11.25" customHeight="1" x14ac:dyDescent="0.25">
      <c r="G3232" s="459"/>
      <c r="H3232" s="459">
        <v>3225</v>
      </c>
      <c r="I3232" s="444">
        <f t="shared" ca="1" si="145"/>
        <v>-537870542132.55176</v>
      </c>
      <c r="J3232" s="444">
        <f t="array" ref="J3232">IFERROR(INDEX('Retirement Calculator'!K:K,MATCH('Lorri 401b'!N3232,'Retirement Calculator'!A:A,0),0),0)</f>
        <v>0</v>
      </c>
      <c r="K3232" s="444">
        <f t="shared" ca="1" si="143"/>
        <v>-2241127258.8856325</v>
      </c>
      <c r="L3232" s="444">
        <f t="shared" ca="1" si="144"/>
        <v>-540111669391.43738</v>
      </c>
      <c r="M3232" s="460">
        <f t="shared" si="146"/>
        <v>0.05</v>
      </c>
      <c r="N3232" s="464">
        <f t="shared" si="147"/>
        <v>149417</v>
      </c>
    </row>
    <row r="3233" spans="7:14" ht="11.25" customHeight="1" x14ac:dyDescent="0.25">
      <c r="G3233" s="459"/>
      <c r="H3233" s="459">
        <v>3226</v>
      </c>
      <c r="I3233" s="444">
        <f t="shared" ca="1" si="145"/>
        <v>-540111669391.43738</v>
      </c>
      <c r="J3233" s="444">
        <f t="array" ref="J3233">IFERROR(INDEX('Retirement Calculator'!K:K,MATCH('Lorri 401b'!N3233,'Retirement Calculator'!A:A,0),0),0)</f>
        <v>0</v>
      </c>
      <c r="K3233" s="444">
        <f t="shared" ca="1" si="143"/>
        <v>-2250465289.1309891</v>
      </c>
      <c r="L3233" s="444">
        <f t="shared" ca="1" si="144"/>
        <v>-542362134680.56836</v>
      </c>
      <c r="M3233" s="460">
        <f t="shared" si="146"/>
        <v>0.05</v>
      </c>
      <c r="N3233" s="464">
        <f t="shared" si="147"/>
        <v>149445</v>
      </c>
    </row>
    <row r="3234" spans="7:14" ht="11.25" customHeight="1" x14ac:dyDescent="0.25">
      <c r="G3234" s="459"/>
      <c r="H3234" s="459">
        <v>3227</v>
      </c>
      <c r="I3234" s="444">
        <f t="shared" ca="1" si="145"/>
        <v>-542362134680.56836</v>
      </c>
      <c r="J3234" s="444">
        <f t="array" ref="J3234">IFERROR(INDEX('Retirement Calculator'!K:K,MATCH('Lorri 401b'!N3234,'Retirement Calculator'!A:A,0),0),0)</f>
        <v>0</v>
      </c>
      <c r="K3234" s="444">
        <f t="shared" ca="1" si="143"/>
        <v>-2259842227.8357015</v>
      </c>
      <c r="L3234" s="444">
        <f t="shared" ca="1" si="144"/>
        <v>-544621976908.40405</v>
      </c>
      <c r="M3234" s="460">
        <f t="shared" si="146"/>
        <v>0.05</v>
      </c>
      <c r="N3234" s="464">
        <f t="shared" si="147"/>
        <v>149476</v>
      </c>
    </row>
    <row r="3235" spans="7:14" ht="11.25" customHeight="1" x14ac:dyDescent="0.25">
      <c r="G3235" s="459"/>
      <c r="H3235" s="459">
        <v>3228</v>
      </c>
      <c r="I3235" s="444">
        <f t="shared" ca="1" si="145"/>
        <v>-544621976908.40405</v>
      </c>
      <c r="J3235" s="444">
        <f t="array" ref="J3235">IFERROR(INDEX('Retirement Calculator'!K:K,MATCH('Lorri 401b'!N3235,'Retirement Calculator'!A:A,0),0),0)</f>
        <v>0</v>
      </c>
      <c r="K3235" s="444">
        <f t="shared" ca="1" si="143"/>
        <v>-2269258237.11835</v>
      </c>
      <c r="L3235" s="444">
        <f t="shared" ca="1" si="144"/>
        <v>-546891235145.5224</v>
      </c>
      <c r="M3235" s="460">
        <f t="shared" si="146"/>
        <v>0.05</v>
      </c>
      <c r="N3235" s="464">
        <f t="shared" si="147"/>
        <v>149506</v>
      </c>
    </row>
    <row r="3236" spans="7:14" ht="11.25" customHeight="1" x14ac:dyDescent="0.25">
      <c r="G3236" s="459"/>
      <c r="H3236" s="459">
        <v>3229</v>
      </c>
      <c r="I3236" s="444">
        <f t="shared" ca="1" si="145"/>
        <v>-546891235145.5224</v>
      </c>
      <c r="J3236" s="444">
        <f t="array" ref="J3236">IFERROR(INDEX('Retirement Calculator'!K:K,MATCH('Lorri 401b'!N3236,'Retirement Calculator'!A:A,0),0),0)</f>
        <v>0</v>
      </c>
      <c r="K3236" s="444">
        <f t="shared" ca="1" si="143"/>
        <v>-2278713479.7730098</v>
      </c>
      <c r="L3236" s="444">
        <f t="shared" ca="1" si="144"/>
        <v>-549169948625.29541</v>
      </c>
      <c r="M3236" s="460">
        <f t="shared" si="146"/>
        <v>0.05</v>
      </c>
      <c r="N3236" s="464">
        <f t="shared" si="147"/>
        <v>149537</v>
      </c>
    </row>
    <row r="3237" spans="7:14" ht="11.25" customHeight="1" x14ac:dyDescent="0.25">
      <c r="G3237" s="459"/>
      <c r="H3237" s="459">
        <v>3230</v>
      </c>
      <c r="I3237" s="444">
        <f t="shared" ca="1" si="145"/>
        <v>-549169948625.29541</v>
      </c>
      <c r="J3237" s="444">
        <f t="array" ref="J3237">IFERROR(INDEX('Retirement Calculator'!K:K,MATCH('Lorri 401b'!N3237,'Retirement Calculator'!A:A,0),0),0)</f>
        <v>0</v>
      </c>
      <c r="K3237" s="444">
        <f t="shared" ca="1" si="143"/>
        <v>-2288208119.2720642</v>
      </c>
      <c r="L3237" s="444">
        <f t="shared" ca="1" si="144"/>
        <v>-551458156744.5675</v>
      </c>
      <c r="M3237" s="460">
        <f t="shared" si="146"/>
        <v>0.05</v>
      </c>
      <c r="N3237" s="464">
        <f t="shared" si="147"/>
        <v>149567</v>
      </c>
    </row>
    <row r="3238" spans="7:14" ht="11.25" customHeight="1" x14ac:dyDescent="0.25">
      <c r="G3238" s="459"/>
      <c r="H3238" s="459">
        <v>3231</v>
      </c>
      <c r="I3238" s="444">
        <f t="shared" ca="1" si="145"/>
        <v>-551458156744.5675</v>
      </c>
      <c r="J3238" s="444">
        <f t="array" ref="J3238">IFERROR(INDEX('Retirement Calculator'!K:K,MATCH('Lorri 401b'!N3238,'Retirement Calculator'!A:A,0),0),0)</f>
        <v>0</v>
      </c>
      <c r="K3238" s="444">
        <f t="shared" ca="1" si="143"/>
        <v>-2297742319.769031</v>
      </c>
      <c r="L3238" s="444">
        <f t="shared" ca="1" si="144"/>
        <v>-553755899064.33655</v>
      </c>
      <c r="M3238" s="460">
        <f t="shared" si="146"/>
        <v>0.05</v>
      </c>
      <c r="N3238" s="464">
        <f t="shared" si="147"/>
        <v>149598</v>
      </c>
    </row>
    <row r="3239" spans="7:14" ht="11.25" customHeight="1" x14ac:dyDescent="0.25">
      <c r="G3239" s="459"/>
      <c r="H3239" s="459">
        <v>3232</v>
      </c>
      <c r="I3239" s="444">
        <f t="shared" ca="1" si="145"/>
        <v>-553755899064.33655</v>
      </c>
      <c r="J3239" s="444">
        <f t="array" ref="J3239">IFERROR(INDEX('Retirement Calculator'!K:K,MATCH('Lorri 401b'!N3239,'Retirement Calculator'!A:A,0),0),0)</f>
        <v>0</v>
      </c>
      <c r="K3239" s="444">
        <f t="shared" ca="1" si="143"/>
        <v>-2307316246.1014023</v>
      </c>
      <c r="L3239" s="444">
        <f t="shared" ca="1" si="144"/>
        <v>-556063215310.43799</v>
      </c>
      <c r="M3239" s="460">
        <f t="shared" si="146"/>
        <v>0.05</v>
      </c>
      <c r="N3239" s="464">
        <f t="shared" si="147"/>
        <v>149629</v>
      </c>
    </row>
    <row r="3240" spans="7:14" ht="11.25" customHeight="1" x14ac:dyDescent="0.25">
      <c r="G3240" s="459"/>
      <c r="H3240" s="459">
        <v>3233</v>
      </c>
      <c r="I3240" s="444">
        <f t="shared" ca="1" si="145"/>
        <v>-556063215310.43799</v>
      </c>
      <c r="J3240" s="444">
        <f t="array" ref="J3240">IFERROR(INDEX('Retirement Calculator'!K:K,MATCH('Lorri 401b'!N3240,'Retirement Calculator'!A:A,0),0),0)</f>
        <v>0</v>
      </c>
      <c r="K3240" s="444">
        <f t="shared" ca="1" si="143"/>
        <v>-2316930063.7934914</v>
      </c>
      <c r="L3240" s="444">
        <f t="shared" ca="1" si="144"/>
        <v>-558380145374.23145</v>
      </c>
      <c r="M3240" s="460">
        <f t="shared" si="146"/>
        <v>0.05</v>
      </c>
      <c r="N3240" s="464">
        <f t="shared" si="147"/>
        <v>149659</v>
      </c>
    </row>
    <row r="3241" spans="7:14" ht="11.25" customHeight="1" x14ac:dyDescent="0.25">
      <c r="G3241" s="459"/>
      <c r="H3241" s="459">
        <v>3234</v>
      </c>
      <c r="I3241" s="444">
        <f t="shared" ca="1" si="145"/>
        <v>-558380145374.23145</v>
      </c>
      <c r="J3241" s="444">
        <f t="array" ref="J3241">IFERROR(INDEX('Retirement Calculator'!K:K,MATCH('Lorri 401b'!N3241,'Retirement Calculator'!A:A,0),0),0)</f>
        <v>0</v>
      </c>
      <c r="K3241" s="444">
        <f t="shared" ca="1" si="143"/>
        <v>-2326583939.0592976</v>
      </c>
      <c r="L3241" s="444">
        <f t="shared" ca="1" si="144"/>
        <v>-560706729313.29077</v>
      </c>
      <c r="M3241" s="460">
        <f t="shared" si="146"/>
        <v>0.05</v>
      </c>
      <c r="N3241" s="464">
        <f t="shared" si="147"/>
        <v>149690</v>
      </c>
    </row>
    <row r="3242" spans="7:14" ht="11.25" customHeight="1" x14ac:dyDescent="0.25">
      <c r="G3242" s="459"/>
      <c r="H3242" s="459">
        <v>3235</v>
      </c>
      <c r="I3242" s="444">
        <f t="shared" ca="1" si="145"/>
        <v>-560706729313.29077</v>
      </c>
      <c r="J3242" s="444">
        <f t="array" ref="J3242">IFERROR(INDEX('Retirement Calculator'!K:K,MATCH('Lorri 401b'!N3242,'Retirement Calculator'!A:A,0),0),0)</f>
        <v>0</v>
      </c>
      <c r="K3242" s="444">
        <f t="shared" ca="1" si="143"/>
        <v>-2336278038.805378</v>
      </c>
      <c r="L3242" s="444">
        <f t="shared" ca="1" si="144"/>
        <v>-563043007352.09619</v>
      </c>
      <c r="M3242" s="460">
        <f t="shared" si="146"/>
        <v>0.05</v>
      </c>
      <c r="N3242" s="464">
        <f t="shared" si="147"/>
        <v>149720</v>
      </c>
    </row>
    <row r="3243" spans="7:14" ht="11.25" customHeight="1" x14ac:dyDescent="0.25">
      <c r="G3243" s="459"/>
      <c r="H3243" s="459">
        <v>3236</v>
      </c>
      <c r="I3243" s="444">
        <f t="shared" ca="1" si="145"/>
        <v>-563043007352.09619</v>
      </c>
      <c r="J3243" s="444">
        <f t="array" ref="J3243">IFERROR(INDEX('Retirement Calculator'!K:K,MATCH('Lorri 401b'!N3243,'Retirement Calculator'!A:A,0),0),0)</f>
        <v>0</v>
      </c>
      <c r="K3243" s="444">
        <f t="shared" ca="1" si="143"/>
        <v>-2346012530.6337342</v>
      </c>
      <c r="L3243" s="444">
        <f t="shared" ca="1" si="144"/>
        <v>-565389019882.72998</v>
      </c>
      <c r="M3243" s="460">
        <f t="shared" si="146"/>
        <v>0.05</v>
      </c>
      <c r="N3243" s="464">
        <f t="shared" si="147"/>
        <v>149751</v>
      </c>
    </row>
    <row r="3244" spans="7:14" ht="11.25" customHeight="1" x14ac:dyDescent="0.25">
      <c r="G3244" s="459"/>
      <c r="H3244" s="459">
        <v>3237</v>
      </c>
      <c r="I3244" s="444">
        <f t="shared" ca="1" si="145"/>
        <v>-565389019882.72998</v>
      </c>
      <c r="J3244" s="444">
        <f t="array" ref="J3244">IFERROR(INDEX('Retirement Calculator'!K:K,MATCH('Lorri 401b'!N3244,'Retirement Calculator'!A:A,0),0),0)</f>
        <v>0</v>
      </c>
      <c r="K3244" s="444">
        <f t="shared" ca="1" si="143"/>
        <v>-2355787582.8447084</v>
      </c>
      <c r="L3244" s="444">
        <f t="shared" ca="1" si="144"/>
        <v>-567744807465.57471</v>
      </c>
      <c r="M3244" s="460">
        <f t="shared" si="146"/>
        <v>0.05</v>
      </c>
      <c r="N3244" s="464">
        <f t="shared" si="147"/>
        <v>149782</v>
      </c>
    </row>
    <row r="3245" spans="7:14" ht="11.25" customHeight="1" x14ac:dyDescent="0.25">
      <c r="G3245" s="459"/>
      <c r="H3245" s="459">
        <v>3238</v>
      </c>
      <c r="I3245" s="444">
        <f t="shared" ca="1" si="145"/>
        <v>-567744807465.57471</v>
      </c>
      <c r="J3245" s="444">
        <f t="array" ref="J3245">IFERROR(INDEX('Retirement Calculator'!K:K,MATCH('Lorri 401b'!N3245,'Retirement Calculator'!A:A,0),0),0)</f>
        <v>0</v>
      </c>
      <c r="K3245" s="444">
        <f t="shared" ca="1" si="143"/>
        <v>-2365603364.4398947</v>
      </c>
      <c r="L3245" s="444">
        <f t="shared" ca="1" si="144"/>
        <v>-570110410830.01465</v>
      </c>
      <c r="M3245" s="460">
        <f t="shared" si="146"/>
        <v>0.05</v>
      </c>
      <c r="N3245" s="464">
        <f t="shared" si="147"/>
        <v>149810</v>
      </c>
    </row>
    <row r="3246" spans="7:14" ht="11.25" customHeight="1" x14ac:dyDescent="0.25">
      <c r="G3246" s="459"/>
      <c r="H3246" s="459">
        <v>3239</v>
      </c>
      <c r="I3246" s="444">
        <f t="shared" ca="1" si="145"/>
        <v>-570110410830.01465</v>
      </c>
      <c r="J3246" s="444">
        <f t="array" ref="J3246">IFERROR(INDEX('Retirement Calculator'!K:K,MATCH('Lorri 401b'!N3246,'Retirement Calculator'!A:A,0),0),0)</f>
        <v>0</v>
      </c>
      <c r="K3246" s="444">
        <f t="shared" ca="1" si="143"/>
        <v>-2375460045.125061</v>
      </c>
      <c r="L3246" s="444">
        <f t="shared" ca="1" si="144"/>
        <v>-572485870875.13965</v>
      </c>
      <c r="M3246" s="460">
        <f t="shared" si="146"/>
        <v>0.05</v>
      </c>
      <c r="N3246" s="464">
        <f t="shared" si="147"/>
        <v>149841</v>
      </c>
    </row>
    <row r="3247" spans="7:14" ht="11.25" customHeight="1" x14ac:dyDescent="0.25">
      <c r="G3247" s="459"/>
      <c r="H3247" s="459">
        <v>3240</v>
      </c>
      <c r="I3247" s="444">
        <f t="shared" ca="1" si="145"/>
        <v>-572485870875.13965</v>
      </c>
      <c r="J3247" s="444">
        <f t="array" ref="J3247">IFERROR(INDEX('Retirement Calculator'!K:K,MATCH('Lorri 401b'!N3247,'Retirement Calculator'!A:A,0),0),0)</f>
        <v>0</v>
      </c>
      <c r="K3247" s="444">
        <f t="shared" ca="1" si="143"/>
        <v>-2385357795.3130817</v>
      </c>
      <c r="L3247" s="444">
        <f t="shared" ca="1" si="144"/>
        <v>-574871228670.45276</v>
      </c>
      <c r="M3247" s="460">
        <f t="shared" si="146"/>
        <v>0.05</v>
      </c>
      <c r="N3247" s="464">
        <f t="shared" si="147"/>
        <v>149871</v>
      </c>
    </row>
    <row r="3248" spans="7:14" ht="11.25" customHeight="1" x14ac:dyDescent="0.25">
      <c r="G3248" s="459"/>
      <c r="H3248" s="459">
        <v>3241</v>
      </c>
      <c r="I3248" s="444">
        <f t="shared" ca="1" si="145"/>
        <v>-574871228670.45276</v>
      </c>
      <c r="J3248" s="444">
        <f t="array" ref="J3248">IFERROR(INDEX('Retirement Calculator'!K:K,MATCH('Lorri 401b'!N3248,'Retirement Calculator'!A:A,0),0),0)</f>
        <v>0</v>
      </c>
      <c r="K3248" s="444">
        <f t="shared" ca="1" si="143"/>
        <v>-2395296786.1268864</v>
      </c>
      <c r="L3248" s="444">
        <f t="shared" ca="1" si="144"/>
        <v>-577266525456.57959</v>
      </c>
      <c r="M3248" s="460">
        <f t="shared" si="146"/>
        <v>0.05</v>
      </c>
      <c r="N3248" s="464">
        <f t="shared" si="147"/>
        <v>149902</v>
      </c>
    </row>
    <row r="3249" spans="7:14" ht="11.25" customHeight="1" x14ac:dyDescent="0.25">
      <c r="G3249" s="459"/>
      <c r="H3249" s="459">
        <v>3242</v>
      </c>
      <c r="I3249" s="444">
        <f t="shared" ca="1" si="145"/>
        <v>-577266525456.57959</v>
      </c>
      <c r="J3249" s="444">
        <f t="array" ref="J3249">IFERROR(INDEX('Retirement Calculator'!K:K,MATCH('Lorri 401b'!N3249,'Retirement Calculator'!A:A,0),0),0)</f>
        <v>0</v>
      </c>
      <c r="K3249" s="444">
        <f t="shared" ca="1" si="143"/>
        <v>-2405277189.4024148</v>
      </c>
      <c r="L3249" s="444">
        <f t="shared" ca="1" si="144"/>
        <v>-579671802645.98206</v>
      </c>
      <c r="M3249" s="460">
        <f t="shared" si="146"/>
        <v>0.05</v>
      </c>
      <c r="N3249" s="464">
        <f t="shared" si="147"/>
        <v>149932</v>
      </c>
    </row>
    <row r="3250" spans="7:14" ht="11.25" customHeight="1" x14ac:dyDescent="0.25">
      <c r="G3250" s="459"/>
      <c r="H3250" s="459">
        <v>3243</v>
      </c>
      <c r="I3250" s="444">
        <f t="shared" ca="1" si="145"/>
        <v>-579671802645.98206</v>
      </c>
      <c r="J3250" s="444">
        <f t="array" ref="J3250">IFERROR(INDEX('Retirement Calculator'!K:K,MATCH('Lorri 401b'!N3250,'Retirement Calculator'!A:A,0),0),0)</f>
        <v>0</v>
      </c>
      <c r="K3250" s="444">
        <f t="shared" ca="1" si="143"/>
        <v>-2415299177.6915917</v>
      </c>
      <c r="L3250" s="444">
        <f t="shared" ca="1" si="144"/>
        <v>-582087101823.67371</v>
      </c>
      <c r="M3250" s="460">
        <f t="shared" si="146"/>
        <v>0.05</v>
      </c>
      <c r="N3250" s="464">
        <f t="shared" si="147"/>
        <v>149963</v>
      </c>
    </row>
    <row r="3251" spans="7:14" ht="11.25" customHeight="1" x14ac:dyDescent="0.25">
      <c r="G3251" s="459"/>
      <c r="H3251" s="459">
        <v>3244</v>
      </c>
      <c r="I3251" s="444">
        <f t="shared" ca="1" si="145"/>
        <v>-582087101823.67371</v>
      </c>
      <c r="J3251" s="444">
        <f t="array" ref="J3251">IFERROR(INDEX('Retirement Calculator'!K:K,MATCH('Lorri 401b'!N3251,'Retirement Calculator'!A:A,0),0),0)</f>
        <v>0</v>
      </c>
      <c r="K3251" s="444">
        <f t="shared" ca="1" si="143"/>
        <v>-2425362924.2653069</v>
      </c>
      <c r="L3251" s="444">
        <f t="shared" ca="1" si="144"/>
        <v>-584512464747.93896</v>
      </c>
      <c r="M3251" s="460">
        <f t="shared" si="146"/>
        <v>0.05</v>
      </c>
      <c r="N3251" s="464">
        <f t="shared" si="147"/>
        <v>149994</v>
      </c>
    </row>
    <row r="3252" spans="7:14" ht="11.25" customHeight="1" x14ac:dyDescent="0.25">
      <c r="G3252" s="459"/>
      <c r="H3252" s="459">
        <v>3245</v>
      </c>
      <c r="I3252" s="444">
        <f t="shared" ca="1" si="145"/>
        <v>-584512464747.93896</v>
      </c>
      <c r="J3252" s="444">
        <f t="array" ref="J3252">IFERROR(INDEX('Retirement Calculator'!K:K,MATCH('Lorri 401b'!N3252,'Retirement Calculator'!A:A,0),0),0)</f>
        <v>0</v>
      </c>
      <c r="K3252" s="444">
        <f t="shared" ca="1" si="143"/>
        <v>-2435468603.1164122</v>
      </c>
      <c r="L3252" s="444">
        <f t="shared" ca="1" si="144"/>
        <v>-586947933351.05542</v>
      </c>
      <c r="M3252" s="460">
        <f t="shared" si="146"/>
        <v>0.05</v>
      </c>
      <c r="N3252" s="464">
        <f t="shared" si="147"/>
        <v>150024</v>
      </c>
    </row>
    <row r="3253" spans="7:14" ht="11.25" customHeight="1" x14ac:dyDescent="0.25">
      <c r="G3253" s="459"/>
      <c r="H3253" s="459">
        <v>3246</v>
      </c>
      <c r="I3253" s="444">
        <f t="shared" ca="1" si="145"/>
        <v>-586947933351.05542</v>
      </c>
      <c r="J3253" s="444">
        <f t="array" ref="J3253">IFERROR(INDEX('Retirement Calculator'!K:K,MATCH('Lorri 401b'!N3253,'Retirement Calculator'!A:A,0),0),0)</f>
        <v>0</v>
      </c>
      <c r="K3253" s="444">
        <f t="shared" ca="1" si="143"/>
        <v>-2445616388.9627309</v>
      </c>
      <c r="L3253" s="444">
        <f t="shared" ca="1" si="144"/>
        <v>-589393549740.01819</v>
      </c>
      <c r="M3253" s="460">
        <f t="shared" si="146"/>
        <v>0.05</v>
      </c>
      <c r="N3253" s="464">
        <f t="shared" si="147"/>
        <v>150055</v>
      </c>
    </row>
    <row r="3254" spans="7:14" ht="11.25" customHeight="1" x14ac:dyDescent="0.25">
      <c r="G3254" s="459"/>
      <c r="H3254" s="459">
        <v>3247</v>
      </c>
      <c r="I3254" s="444">
        <f t="shared" ca="1" si="145"/>
        <v>-589393549740.01819</v>
      </c>
      <c r="J3254" s="444">
        <f t="array" ref="J3254">IFERROR(INDEX('Retirement Calculator'!K:K,MATCH('Lorri 401b'!N3254,'Retirement Calculator'!A:A,0),0),0)</f>
        <v>0</v>
      </c>
      <c r="K3254" s="444">
        <f t="shared" ca="1" si="143"/>
        <v>-2455806457.2500758</v>
      </c>
      <c r="L3254" s="444">
        <f t="shared" ca="1" si="144"/>
        <v>-591849356197.26831</v>
      </c>
      <c r="M3254" s="460">
        <f t="shared" si="146"/>
        <v>0.05</v>
      </c>
      <c r="N3254" s="464">
        <f t="shared" si="147"/>
        <v>150085</v>
      </c>
    </row>
    <row r="3255" spans="7:14" ht="11.25" customHeight="1" x14ac:dyDescent="0.25">
      <c r="G3255" s="459"/>
      <c r="H3255" s="459">
        <v>3248</v>
      </c>
      <c r="I3255" s="444">
        <f t="shared" ca="1" si="145"/>
        <v>-591849356197.26831</v>
      </c>
      <c r="J3255" s="444">
        <f t="array" ref="J3255">IFERROR(INDEX('Retirement Calculator'!K:K,MATCH('Lorri 401b'!N3255,'Retirement Calculator'!A:A,0),0),0)</f>
        <v>0</v>
      </c>
      <c r="K3255" s="444">
        <f t="shared" ca="1" si="143"/>
        <v>-2466038984.1552844</v>
      </c>
      <c r="L3255" s="444">
        <f t="shared" ca="1" si="144"/>
        <v>-594315395181.42358</v>
      </c>
      <c r="M3255" s="460">
        <f t="shared" si="146"/>
        <v>0.05</v>
      </c>
      <c r="N3255" s="464">
        <f t="shared" si="147"/>
        <v>150116</v>
      </c>
    </row>
    <row r="3256" spans="7:14" ht="11.25" customHeight="1" x14ac:dyDescent="0.25">
      <c r="G3256" s="459"/>
      <c r="H3256" s="459">
        <v>3249</v>
      </c>
      <c r="I3256" s="444">
        <f t="shared" ca="1" si="145"/>
        <v>-594315395181.42358</v>
      </c>
      <c r="J3256" s="444">
        <f t="array" ref="J3256">IFERROR(INDEX('Retirement Calculator'!K:K,MATCH('Lorri 401b'!N3256,'Retirement Calculator'!A:A,0),0),0)</f>
        <v>0</v>
      </c>
      <c r="K3256" s="444">
        <f t="shared" ca="1" si="143"/>
        <v>-2476314146.5892649</v>
      </c>
      <c r="L3256" s="444">
        <f t="shared" ca="1" si="144"/>
        <v>-596791709328.01282</v>
      </c>
      <c r="M3256" s="460">
        <f t="shared" si="146"/>
        <v>0.05</v>
      </c>
      <c r="N3256" s="464">
        <f t="shared" si="147"/>
        <v>150147</v>
      </c>
    </row>
    <row r="3257" spans="7:14" ht="11.25" customHeight="1" x14ac:dyDescent="0.25">
      <c r="G3257" s="459"/>
      <c r="H3257" s="459">
        <v>3250</v>
      </c>
      <c r="I3257" s="444">
        <f t="shared" ca="1" si="145"/>
        <v>-596791709328.01282</v>
      </c>
      <c r="J3257" s="444">
        <f t="array" ref="J3257">IFERROR(INDEX('Retirement Calculator'!K:K,MATCH('Lorri 401b'!N3257,'Retirement Calculator'!A:A,0),0),0)</f>
        <v>0</v>
      </c>
      <c r="K3257" s="444">
        <f t="shared" ca="1" si="143"/>
        <v>-2486632122.2000532</v>
      </c>
      <c r="L3257" s="444">
        <f t="shared" ca="1" si="144"/>
        <v>-599278341450.21289</v>
      </c>
      <c r="M3257" s="460">
        <f t="shared" si="146"/>
        <v>0.05</v>
      </c>
      <c r="N3257" s="464">
        <f t="shared" si="147"/>
        <v>150175</v>
      </c>
    </row>
    <row r="3258" spans="7:14" ht="11.25" customHeight="1" x14ac:dyDescent="0.25">
      <c r="G3258" s="459"/>
      <c r="H3258" s="459">
        <v>3251</v>
      </c>
      <c r="I3258" s="444">
        <f t="shared" ca="1" si="145"/>
        <v>-599278341450.21289</v>
      </c>
      <c r="J3258" s="444">
        <f t="array" ref="J3258">IFERROR(INDEX('Retirement Calculator'!K:K,MATCH('Lorri 401b'!N3258,'Retirement Calculator'!A:A,0),0),0)</f>
        <v>0</v>
      </c>
      <c r="K3258" s="444">
        <f t="shared" ca="1" si="143"/>
        <v>-2496993089.3758869</v>
      </c>
      <c r="L3258" s="444">
        <f t="shared" ca="1" si="144"/>
        <v>-601775334539.58875</v>
      </c>
      <c r="M3258" s="460">
        <f t="shared" si="146"/>
        <v>0.05</v>
      </c>
      <c r="N3258" s="464">
        <f t="shared" si="147"/>
        <v>150206</v>
      </c>
    </row>
    <row r="3259" spans="7:14" ht="11.25" customHeight="1" x14ac:dyDescent="0.25">
      <c r="G3259" s="459"/>
      <c r="H3259" s="459">
        <v>3252</v>
      </c>
      <c r="I3259" s="444">
        <f t="shared" ca="1" si="145"/>
        <v>-601775334539.58875</v>
      </c>
      <c r="J3259" s="444">
        <f t="array" ref="J3259">IFERROR(INDEX('Retirement Calculator'!K:K,MATCH('Lorri 401b'!N3259,'Retirement Calculator'!A:A,0),0),0)</f>
        <v>0</v>
      </c>
      <c r="K3259" s="444">
        <f t="shared" ca="1" si="143"/>
        <v>-2507397227.2482862</v>
      </c>
      <c r="L3259" s="444">
        <f t="shared" ca="1" si="144"/>
        <v>-604282731766.83704</v>
      </c>
      <c r="M3259" s="460">
        <f t="shared" si="146"/>
        <v>0.05</v>
      </c>
      <c r="N3259" s="464">
        <f t="shared" si="147"/>
        <v>150236</v>
      </c>
    </row>
    <row r="3260" spans="7:14" ht="11.25" customHeight="1" x14ac:dyDescent="0.25">
      <c r="G3260" s="459"/>
      <c r="H3260" s="459">
        <v>3253</v>
      </c>
      <c r="I3260" s="444">
        <f t="shared" ca="1" si="145"/>
        <v>-604282731766.83704</v>
      </c>
      <c r="J3260" s="444">
        <f t="array" ref="J3260">IFERROR(INDEX('Retirement Calculator'!K:K,MATCH('Lorri 401b'!N3260,'Retirement Calculator'!A:A,0),0),0)</f>
        <v>0</v>
      </c>
      <c r="K3260" s="444">
        <f t="shared" ca="1" si="143"/>
        <v>-2517844715.6951542</v>
      </c>
      <c r="L3260" s="444">
        <f t="shared" ca="1" si="144"/>
        <v>-606800576482.53223</v>
      </c>
      <c r="M3260" s="460">
        <f t="shared" si="146"/>
        <v>0.05</v>
      </c>
      <c r="N3260" s="464">
        <f t="shared" si="147"/>
        <v>150267</v>
      </c>
    </row>
    <row r="3261" spans="7:14" ht="11.25" customHeight="1" x14ac:dyDescent="0.25">
      <c r="G3261" s="459"/>
      <c r="H3261" s="459">
        <v>3254</v>
      </c>
      <c r="I3261" s="444">
        <f t="shared" ca="1" si="145"/>
        <v>-606800576482.53223</v>
      </c>
      <c r="J3261" s="444">
        <f t="array" ref="J3261">IFERROR(INDEX('Retirement Calculator'!K:K,MATCH('Lorri 401b'!N3261,'Retirement Calculator'!A:A,0),0),0)</f>
        <v>0</v>
      </c>
      <c r="K3261" s="444">
        <f t="shared" ca="1" si="143"/>
        <v>-2528335735.3438845</v>
      </c>
      <c r="L3261" s="444">
        <f t="shared" ca="1" si="144"/>
        <v>-609328912217.8761</v>
      </c>
      <c r="M3261" s="460">
        <f t="shared" si="146"/>
        <v>0.05</v>
      </c>
      <c r="N3261" s="464">
        <f t="shared" si="147"/>
        <v>150297</v>
      </c>
    </row>
    <row r="3262" spans="7:14" ht="11.25" customHeight="1" x14ac:dyDescent="0.25">
      <c r="G3262" s="459"/>
      <c r="H3262" s="459">
        <v>3255</v>
      </c>
      <c r="I3262" s="444">
        <f t="shared" ca="1" si="145"/>
        <v>-609328912217.8761</v>
      </c>
      <c r="J3262" s="444">
        <f t="array" ref="J3262">IFERROR(INDEX('Retirement Calculator'!K:K,MATCH('Lorri 401b'!N3262,'Retirement Calculator'!A:A,0),0),0)</f>
        <v>0</v>
      </c>
      <c r="K3262" s="444">
        <f t="shared" ca="1" si="143"/>
        <v>-2538870467.5744839</v>
      </c>
      <c r="L3262" s="444">
        <f t="shared" ca="1" si="144"/>
        <v>-611867782685.45056</v>
      </c>
      <c r="M3262" s="460">
        <f t="shared" si="146"/>
        <v>0.05</v>
      </c>
      <c r="N3262" s="464">
        <f t="shared" si="147"/>
        <v>150328</v>
      </c>
    </row>
    <row r="3263" spans="7:14" ht="11.25" customHeight="1" x14ac:dyDescent="0.25">
      <c r="G3263" s="459"/>
      <c r="H3263" s="459">
        <v>3256</v>
      </c>
      <c r="I3263" s="444">
        <f t="shared" ca="1" si="145"/>
        <v>-611867782685.45056</v>
      </c>
      <c r="J3263" s="444">
        <f t="array" ref="J3263">IFERROR(INDEX('Retirement Calculator'!K:K,MATCH('Lorri 401b'!N3263,'Retirement Calculator'!A:A,0),0),0)</f>
        <v>0</v>
      </c>
      <c r="K3263" s="444">
        <f t="shared" ca="1" si="143"/>
        <v>-2549449094.5227108</v>
      </c>
      <c r="L3263" s="444">
        <f t="shared" ca="1" si="144"/>
        <v>-614417231779.97327</v>
      </c>
      <c r="M3263" s="460">
        <f t="shared" si="146"/>
        <v>0.05</v>
      </c>
      <c r="N3263" s="464">
        <f t="shared" si="147"/>
        <v>150359</v>
      </c>
    </row>
    <row r="3264" spans="7:14" ht="11.25" customHeight="1" x14ac:dyDescent="0.25">
      <c r="G3264" s="459"/>
      <c r="H3264" s="459">
        <v>3257</v>
      </c>
      <c r="I3264" s="444">
        <f t="shared" ca="1" si="145"/>
        <v>-614417231779.97327</v>
      </c>
      <c r="J3264" s="444">
        <f t="array" ref="J3264">IFERROR(INDEX('Retirement Calculator'!K:K,MATCH('Lorri 401b'!N3264,'Retirement Calculator'!A:A,0),0),0)</f>
        <v>0</v>
      </c>
      <c r="K3264" s="444">
        <f t="shared" ca="1" si="143"/>
        <v>-2560071799.0832219</v>
      </c>
      <c r="L3264" s="444">
        <f t="shared" ca="1" si="144"/>
        <v>-616977303579.05652</v>
      </c>
      <c r="M3264" s="460">
        <f t="shared" si="146"/>
        <v>0.05</v>
      </c>
      <c r="N3264" s="464">
        <f t="shared" si="147"/>
        <v>150389</v>
      </c>
    </row>
    <row r="3265" spans="7:14" ht="11.25" customHeight="1" x14ac:dyDescent="0.25">
      <c r="G3265" s="459"/>
      <c r="H3265" s="459">
        <v>3258</v>
      </c>
      <c r="I3265" s="444">
        <f t="shared" ca="1" si="145"/>
        <v>-616977303579.05652</v>
      </c>
      <c r="J3265" s="444">
        <f t="array" ref="J3265">IFERROR(INDEX('Retirement Calculator'!K:K,MATCH('Lorri 401b'!N3265,'Retirement Calculator'!A:A,0),0),0)</f>
        <v>0</v>
      </c>
      <c r="K3265" s="444">
        <f t="shared" ca="1" si="143"/>
        <v>-2570738764.9127355</v>
      </c>
      <c r="L3265" s="444">
        <f t="shared" ca="1" si="144"/>
        <v>-619548042343.96924</v>
      </c>
      <c r="M3265" s="460">
        <f t="shared" si="146"/>
        <v>0.05</v>
      </c>
      <c r="N3265" s="464">
        <f t="shared" si="147"/>
        <v>150420</v>
      </c>
    </row>
    <row r="3266" spans="7:14" ht="11.25" customHeight="1" x14ac:dyDescent="0.25">
      <c r="G3266" s="459"/>
      <c r="H3266" s="459">
        <v>3259</v>
      </c>
      <c r="I3266" s="444">
        <f t="shared" ca="1" si="145"/>
        <v>-619548042343.96924</v>
      </c>
      <c r="J3266" s="444">
        <f t="array" ref="J3266">IFERROR(INDEX('Retirement Calculator'!K:K,MATCH('Lorri 401b'!N3266,'Retirement Calculator'!A:A,0),0),0)</f>
        <v>0</v>
      </c>
      <c r="K3266" s="444">
        <f t="shared" ca="1" si="143"/>
        <v>-2581450176.4332051</v>
      </c>
      <c r="L3266" s="444">
        <f t="shared" ca="1" si="144"/>
        <v>-622129492520.40247</v>
      </c>
      <c r="M3266" s="460">
        <f t="shared" si="146"/>
        <v>0.05</v>
      </c>
      <c r="N3266" s="464">
        <f t="shared" si="147"/>
        <v>150450</v>
      </c>
    </row>
    <row r="3267" spans="7:14" ht="11.25" customHeight="1" x14ac:dyDescent="0.25">
      <c r="G3267" s="459"/>
      <c r="H3267" s="459">
        <v>3260</v>
      </c>
      <c r="I3267" s="444">
        <f t="shared" ca="1" si="145"/>
        <v>-622129492520.40247</v>
      </c>
      <c r="J3267" s="444">
        <f t="array" ref="J3267">IFERROR(INDEX('Retirement Calculator'!K:K,MATCH('Lorri 401b'!N3267,'Retirement Calculator'!A:A,0),0),0)</f>
        <v>0</v>
      </c>
      <c r="K3267" s="444">
        <f t="shared" ca="1" si="143"/>
        <v>-2592206218.8350101</v>
      </c>
      <c r="L3267" s="444">
        <f t="shared" ca="1" si="144"/>
        <v>-624721698739.23743</v>
      </c>
      <c r="M3267" s="460">
        <f t="shared" si="146"/>
        <v>0.05</v>
      </c>
      <c r="N3267" s="464">
        <f t="shared" si="147"/>
        <v>150481</v>
      </c>
    </row>
    <row r="3268" spans="7:14" ht="11.25" customHeight="1" x14ac:dyDescent="0.25">
      <c r="G3268" s="459"/>
      <c r="H3268" s="459">
        <v>3261</v>
      </c>
      <c r="I3268" s="444">
        <f t="shared" ca="1" si="145"/>
        <v>-624721698739.23743</v>
      </c>
      <c r="J3268" s="444">
        <f t="array" ref="J3268">IFERROR(INDEX('Retirement Calculator'!K:K,MATCH('Lorri 401b'!N3268,'Retirement Calculator'!A:A,0),0),0)</f>
        <v>0</v>
      </c>
      <c r="K3268" s="444">
        <f t="shared" ca="1" si="143"/>
        <v>-2603007078.0801558</v>
      </c>
      <c r="L3268" s="444">
        <f t="shared" ca="1" si="144"/>
        <v>-627324705817.31763</v>
      </c>
      <c r="M3268" s="460">
        <f t="shared" si="146"/>
        <v>0.05</v>
      </c>
      <c r="N3268" s="464">
        <f t="shared" si="147"/>
        <v>150512</v>
      </c>
    </row>
    <row r="3269" spans="7:14" ht="11.25" customHeight="1" x14ac:dyDescent="0.25">
      <c r="G3269" s="459"/>
      <c r="H3269" s="459">
        <v>3262</v>
      </c>
      <c r="I3269" s="444">
        <f t="shared" ca="1" si="145"/>
        <v>-627324705817.31763</v>
      </c>
      <c r="J3269" s="444">
        <f t="array" ref="J3269">IFERROR(INDEX('Retirement Calculator'!K:K,MATCH('Lorri 401b'!N3269,'Retirement Calculator'!A:A,0),0),0)</f>
        <v>0</v>
      </c>
      <c r="K3269" s="444">
        <f t="shared" ca="1" si="143"/>
        <v>-2613852940.9054899</v>
      </c>
      <c r="L3269" s="444">
        <f t="shared" ca="1" si="144"/>
        <v>-629938558758.22314</v>
      </c>
      <c r="M3269" s="460">
        <f t="shared" si="146"/>
        <v>0.05</v>
      </c>
      <c r="N3269" s="464">
        <f t="shared" si="147"/>
        <v>150541</v>
      </c>
    </row>
    <row r="3270" spans="7:14" ht="11.25" customHeight="1" x14ac:dyDescent="0.25">
      <c r="G3270" s="459"/>
      <c r="H3270" s="459">
        <v>3263</v>
      </c>
      <c r="I3270" s="444">
        <f t="shared" ca="1" si="145"/>
        <v>-629938558758.22314</v>
      </c>
      <c r="J3270" s="444">
        <f t="array" ref="J3270">IFERROR(INDEX('Retirement Calculator'!K:K,MATCH('Lorri 401b'!N3270,'Retirement Calculator'!A:A,0),0),0)</f>
        <v>0</v>
      </c>
      <c r="K3270" s="444">
        <f t="shared" ca="1" si="143"/>
        <v>-2624743994.8259296</v>
      </c>
      <c r="L3270" s="444">
        <f t="shared" ca="1" si="144"/>
        <v>-632563302753.04907</v>
      </c>
      <c r="M3270" s="460">
        <f t="shared" si="146"/>
        <v>0.05</v>
      </c>
      <c r="N3270" s="464">
        <f t="shared" si="147"/>
        <v>150572</v>
      </c>
    </row>
    <row r="3271" spans="7:14" ht="11.25" customHeight="1" x14ac:dyDescent="0.25">
      <c r="G3271" s="459"/>
      <c r="H3271" s="459">
        <v>3264</v>
      </c>
      <c r="I3271" s="444">
        <f t="shared" ca="1" si="145"/>
        <v>-632563302753.04907</v>
      </c>
      <c r="J3271" s="444">
        <f t="array" ref="J3271">IFERROR(INDEX('Retirement Calculator'!K:K,MATCH('Lorri 401b'!N3271,'Retirement Calculator'!A:A,0),0),0)</f>
        <v>0</v>
      </c>
      <c r="K3271" s="444">
        <f t="shared" ca="1" si="143"/>
        <v>-2635680428.1377044</v>
      </c>
      <c r="L3271" s="444">
        <f t="shared" ca="1" si="144"/>
        <v>-635198983181.18677</v>
      </c>
      <c r="M3271" s="460">
        <f t="shared" si="146"/>
        <v>0.05</v>
      </c>
      <c r="N3271" s="464">
        <f t="shared" si="147"/>
        <v>150602</v>
      </c>
    </row>
    <row r="3272" spans="7:14" ht="11.25" customHeight="1" x14ac:dyDescent="0.25">
      <c r="G3272" s="459"/>
      <c r="H3272" s="459">
        <v>3265</v>
      </c>
      <c r="I3272" s="444">
        <f t="shared" ca="1" si="145"/>
        <v>-635198983181.18677</v>
      </c>
      <c r="J3272" s="444">
        <f t="array" ref="J3272">IFERROR(INDEX('Retirement Calculator'!K:K,MATCH('Lorri 401b'!N3272,'Retirement Calculator'!A:A,0),0),0)</f>
        <v>0</v>
      </c>
      <c r="K3272" s="444">
        <f t="shared" ca="1" si="143"/>
        <v>-2646662429.9216113</v>
      </c>
      <c r="L3272" s="444">
        <f t="shared" ca="1" si="144"/>
        <v>-637845645611.1084</v>
      </c>
      <c r="M3272" s="460">
        <f t="shared" si="146"/>
        <v>0.05</v>
      </c>
      <c r="N3272" s="464">
        <f t="shared" si="147"/>
        <v>150633</v>
      </c>
    </row>
    <row r="3273" spans="7:14" ht="11.25" customHeight="1" x14ac:dyDescent="0.25">
      <c r="G3273" s="459"/>
      <c r="H3273" s="459">
        <v>3266</v>
      </c>
      <c r="I3273" s="444">
        <f t="shared" ca="1" si="145"/>
        <v>-637845645611.1084</v>
      </c>
      <c r="J3273" s="444">
        <f t="array" ref="J3273">IFERROR(INDEX('Retirement Calculator'!K:K,MATCH('Lorri 401b'!N3273,'Retirement Calculator'!A:A,0),0),0)</f>
        <v>0</v>
      </c>
      <c r="K3273" s="444">
        <f t="shared" ca="1" si="143"/>
        <v>-2657690190.0462852</v>
      </c>
      <c r="L3273" s="444">
        <f t="shared" ca="1" si="144"/>
        <v>-640503335801.15466</v>
      </c>
      <c r="M3273" s="460">
        <f t="shared" si="146"/>
        <v>0.05</v>
      </c>
      <c r="N3273" s="464">
        <f t="shared" si="147"/>
        <v>150663</v>
      </c>
    </row>
    <row r="3274" spans="7:14" ht="11.25" customHeight="1" x14ac:dyDescent="0.25">
      <c r="G3274" s="459"/>
      <c r="H3274" s="459">
        <v>3267</v>
      </c>
      <c r="I3274" s="444">
        <f t="shared" ca="1" si="145"/>
        <v>-640503335801.15466</v>
      </c>
      <c r="J3274" s="444">
        <f t="array" ref="J3274">IFERROR(INDEX('Retirement Calculator'!K:K,MATCH('Lorri 401b'!N3274,'Retirement Calculator'!A:A,0),0),0)</f>
        <v>0</v>
      </c>
      <c r="K3274" s="444">
        <f t="shared" ca="1" si="143"/>
        <v>-2668763899.1714778</v>
      </c>
      <c r="L3274" s="444">
        <f t="shared" ca="1" si="144"/>
        <v>-643172099700.32617</v>
      </c>
      <c r="M3274" s="460">
        <f t="shared" si="146"/>
        <v>0.05</v>
      </c>
      <c r="N3274" s="464">
        <f t="shared" si="147"/>
        <v>150694</v>
      </c>
    </row>
    <row r="3275" spans="7:14" ht="11.25" customHeight="1" x14ac:dyDescent="0.25">
      <c r="G3275" s="459"/>
      <c r="H3275" s="459">
        <v>3268</v>
      </c>
      <c r="I3275" s="444">
        <f t="shared" ca="1" si="145"/>
        <v>-643172099700.32617</v>
      </c>
      <c r="J3275" s="444">
        <f t="array" ref="J3275">IFERROR(INDEX('Retirement Calculator'!K:K,MATCH('Lorri 401b'!N3275,'Retirement Calculator'!A:A,0),0),0)</f>
        <v>0</v>
      </c>
      <c r="K3275" s="444">
        <f t="shared" ca="1" si="143"/>
        <v>-2679883748.751359</v>
      </c>
      <c r="L3275" s="444">
        <f t="shared" ca="1" si="144"/>
        <v>-645851983449.07751</v>
      </c>
      <c r="M3275" s="460">
        <f t="shared" si="146"/>
        <v>0.05</v>
      </c>
      <c r="N3275" s="464">
        <f t="shared" si="147"/>
        <v>150725</v>
      </c>
    </row>
    <row r="3276" spans="7:14" ht="11.25" customHeight="1" x14ac:dyDescent="0.25">
      <c r="G3276" s="459"/>
      <c r="H3276" s="459">
        <v>3269</v>
      </c>
      <c r="I3276" s="444">
        <f t="shared" ca="1" si="145"/>
        <v>-645851983449.07751</v>
      </c>
      <c r="J3276" s="444">
        <f t="array" ref="J3276">IFERROR(INDEX('Retirement Calculator'!K:K,MATCH('Lorri 401b'!N3276,'Retirement Calculator'!A:A,0),0),0)</f>
        <v>0</v>
      </c>
      <c r="K3276" s="444">
        <f t="shared" ca="1" si="143"/>
        <v>-2691049931.0378227</v>
      </c>
      <c r="L3276" s="444">
        <f t="shared" ca="1" si="144"/>
        <v>-648543033380.11536</v>
      </c>
      <c r="M3276" s="460">
        <f t="shared" si="146"/>
        <v>0.05</v>
      </c>
      <c r="N3276" s="464">
        <f t="shared" si="147"/>
        <v>150755</v>
      </c>
    </row>
    <row r="3277" spans="7:14" ht="11.25" customHeight="1" x14ac:dyDescent="0.25">
      <c r="G3277" s="459"/>
      <c r="H3277" s="459">
        <v>3270</v>
      </c>
      <c r="I3277" s="444">
        <f t="shared" ca="1" si="145"/>
        <v>-648543033380.11536</v>
      </c>
      <c r="J3277" s="444">
        <f t="array" ref="J3277">IFERROR(INDEX('Retirement Calculator'!K:K,MATCH('Lorri 401b'!N3277,'Retirement Calculator'!A:A,0),0),0)</f>
        <v>0</v>
      </c>
      <c r="K3277" s="444">
        <f t="shared" ca="1" si="143"/>
        <v>-2702262639.0838141</v>
      </c>
      <c r="L3277" s="444">
        <f t="shared" ca="1" si="144"/>
        <v>-651245296019.19922</v>
      </c>
      <c r="M3277" s="460">
        <f t="shared" si="146"/>
        <v>0.05</v>
      </c>
      <c r="N3277" s="464">
        <f t="shared" si="147"/>
        <v>150786</v>
      </c>
    </row>
    <row r="3278" spans="7:14" ht="11.25" customHeight="1" x14ac:dyDescent="0.25">
      <c r="G3278" s="459"/>
      <c r="H3278" s="459">
        <v>3271</v>
      </c>
      <c r="I3278" s="444">
        <f t="shared" ca="1" si="145"/>
        <v>-651245296019.19922</v>
      </c>
      <c r="J3278" s="444">
        <f t="array" ref="J3278">IFERROR(INDEX('Retirement Calculator'!K:K,MATCH('Lorri 401b'!N3278,'Retirement Calculator'!A:A,0),0),0)</f>
        <v>0</v>
      </c>
      <c r="K3278" s="444">
        <f t="shared" ca="1" si="143"/>
        <v>-2713522066.7466636</v>
      </c>
      <c r="L3278" s="444">
        <f t="shared" ca="1" si="144"/>
        <v>-653958818085.94592</v>
      </c>
      <c r="M3278" s="460">
        <f t="shared" si="146"/>
        <v>0.05</v>
      </c>
      <c r="N3278" s="464">
        <f t="shared" si="147"/>
        <v>150816</v>
      </c>
    </row>
    <row r="3279" spans="7:14" ht="11.25" customHeight="1" x14ac:dyDescent="0.25">
      <c r="G3279" s="459"/>
      <c r="H3279" s="459">
        <v>3272</v>
      </c>
      <c r="I3279" s="444">
        <f t="shared" ca="1" si="145"/>
        <v>-653958818085.94592</v>
      </c>
      <c r="J3279" s="444">
        <f t="array" ref="J3279">IFERROR(INDEX('Retirement Calculator'!K:K,MATCH('Lorri 401b'!N3279,'Retirement Calculator'!A:A,0),0),0)</f>
        <v>0</v>
      </c>
      <c r="K3279" s="444">
        <f t="shared" ca="1" si="143"/>
        <v>-2724828408.6914415</v>
      </c>
      <c r="L3279" s="444">
        <f t="shared" ca="1" si="144"/>
        <v>-656683646494.63733</v>
      </c>
      <c r="M3279" s="460">
        <f t="shared" si="146"/>
        <v>0.05</v>
      </c>
      <c r="N3279" s="464">
        <f t="shared" si="147"/>
        <v>150847</v>
      </c>
    </row>
    <row r="3280" spans="7:14" ht="11.25" customHeight="1" x14ac:dyDescent="0.25">
      <c r="G3280" s="459"/>
      <c r="H3280" s="459">
        <v>3273</v>
      </c>
      <c r="I3280" s="444">
        <f t="shared" ca="1" si="145"/>
        <v>-656683646494.63733</v>
      </c>
      <c r="J3280" s="444">
        <f t="array" ref="J3280">IFERROR(INDEX('Retirement Calculator'!K:K,MATCH('Lorri 401b'!N3280,'Retirement Calculator'!A:A,0),0),0)</f>
        <v>0</v>
      </c>
      <c r="K3280" s="444">
        <f t="shared" ca="1" si="143"/>
        <v>-2736181860.3943224</v>
      </c>
      <c r="L3280" s="444">
        <f t="shared" ca="1" si="144"/>
        <v>-659419828355.03162</v>
      </c>
      <c r="M3280" s="460">
        <f t="shared" si="146"/>
        <v>0.05</v>
      </c>
      <c r="N3280" s="464">
        <f t="shared" si="147"/>
        <v>150878</v>
      </c>
    </row>
    <row r="3281" spans="7:14" ht="11.25" customHeight="1" x14ac:dyDescent="0.25">
      <c r="G3281" s="459"/>
      <c r="H3281" s="459">
        <v>3274</v>
      </c>
      <c r="I3281" s="444">
        <f t="shared" ca="1" si="145"/>
        <v>-659419828355.03162</v>
      </c>
      <c r="J3281" s="444">
        <f t="array" ref="J3281">IFERROR(INDEX('Retirement Calculator'!K:K,MATCH('Lorri 401b'!N3281,'Retirement Calculator'!A:A,0),0),0)</f>
        <v>0</v>
      </c>
      <c r="K3281" s="444">
        <f t="shared" ca="1" si="143"/>
        <v>-2747582618.1459651</v>
      </c>
      <c r="L3281" s="444">
        <f t="shared" ca="1" si="144"/>
        <v>-662167410973.17761</v>
      </c>
      <c r="M3281" s="460">
        <f t="shared" si="146"/>
        <v>0.05</v>
      </c>
      <c r="N3281" s="464">
        <f t="shared" si="147"/>
        <v>150906</v>
      </c>
    </row>
    <row r="3282" spans="7:14" ht="11.25" customHeight="1" x14ac:dyDescent="0.25">
      <c r="G3282" s="459"/>
      <c r="H3282" s="459">
        <v>3275</v>
      </c>
      <c r="I3282" s="444">
        <f t="shared" ca="1" si="145"/>
        <v>-662167410973.17761</v>
      </c>
      <c r="J3282" s="444">
        <f t="array" ref="J3282">IFERROR(INDEX('Retirement Calculator'!K:K,MATCH('Lorri 401b'!N3282,'Retirement Calculator'!A:A,0),0),0)</f>
        <v>0</v>
      </c>
      <c r="K3282" s="444">
        <f t="shared" ca="1" si="143"/>
        <v>-2759030879.0549068</v>
      </c>
      <c r="L3282" s="444">
        <f t="shared" ca="1" si="144"/>
        <v>-664926441852.23254</v>
      </c>
      <c r="M3282" s="460">
        <f t="shared" si="146"/>
        <v>0.05</v>
      </c>
      <c r="N3282" s="464">
        <f t="shared" si="147"/>
        <v>150937</v>
      </c>
    </row>
    <row r="3283" spans="7:14" ht="11.25" customHeight="1" x14ac:dyDescent="0.25">
      <c r="G3283" s="459"/>
      <c r="H3283" s="459">
        <v>3276</v>
      </c>
      <c r="I3283" s="444">
        <f t="shared" ca="1" si="145"/>
        <v>-664926441852.23254</v>
      </c>
      <c r="J3283" s="444">
        <f t="array" ref="J3283">IFERROR(INDEX('Retirement Calculator'!K:K,MATCH('Lorri 401b'!N3283,'Retirement Calculator'!A:A,0),0),0)</f>
        <v>0</v>
      </c>
      <c r="K3283" s="444">
        <f t="shared" ca="1" si="143"/>
        <v>-2770526841.0509691</v>
      </c>
      <c r="L3283" s="444">
        <f t="shared" ca="1" si="144"/>
        <v>-667696968693.28357</v>
      </c>
      <c r="M3283" s="460">
        <f t="shared" si="146"/>
        <v>0.05</v>
      </c>
      <c r="N3283" s="464">
        <f t="shared" si="147"/>
        <v>150967</v>
      </c>
    </row>
    <row r="3284" spans="7:14" ht="11.25" customHeight="1" x14ac:dyDescent="0.25">
      <c r="G3284" s="459"/>
      <c r="H3284" s="459">
        <v>3277</v>
      </c>
      <c r="I3284" s="444">
        <f t="shared" ca="1" si="145"/>
        <v>-667696968693.28357</v>
      </c>
      <c r="J3284" s="444">
        <f t="array" ref="J3284">IFERROR(INDEX('Retirement Calculator'!K:K,MATCH('Lorri 401b'!N3284,'Retirement Calculator'!A:A,0),0),0)</f>
        <v>0</v>
      </c>
      <c r="K3284" s="444">
        <f t="shared" ca="1" si="143"/>
        <v>-2782070702.8886814</v>
      </c>
      <c r="L3284" s="444">
        <f t="shared" ca="1" si="144"/>
        <v>-670479039396.17224</v>
      </c>
      <c r="M3284" s="460">
        <f t="shared" si="146"/>
        <v>0.05</v>
      </c>
      <c r="N3284" s="464">
        <f t="shared" si="147"/>
        <v>150998</v>
      </c>
    </row>
    <row r="3285" spans="7:14" ht="11.25" customHeight="1" x14ac:dyDescent="0.25">
      <c r="G3285" s="459"/>
      <c r="H3285" s="459">
        <v>3278</v>
      </c>
      <c r="I3285" s="444">
        <f t="shared" ca="1" si="145"/>
        <v>-670479039396.17224</v>
      </c>
      <c r="J3285" s="444">
        <f t="array" ref="J3285">IFERROR(INDEX('Retirement Calculator'!K:K,MATCH('Lorri 401b'!N3285,'Retirement Calculator'!A:A,0),0),0)</f>
        <v>0</v>
      </c>
      <c r="K3285" s="444">
        <f t="shared" ca="1" si="143"/>
        <v>-2793662664.1507177</v>
      </c>
      <c r="L3285" s="444">
        <f t="shared" ca="1" si="144"/>
        <v>-673272702060.323</v>
      </c>
      <c r="M3285" s="460">
        <f t="shared" si="146"/>
        <v>0.05</v>
      </c>
      <c r="N3285" s="464">
        <f t="shared" si="147"/>
        <v>151028</v>
      </c>
    </row>
    <row r="3286" spans="7:14" ht="11.25" customHeight="1" x14ac:dyDescent="0.25">
      <c r="G3286" s="459"/>
      <c r="H3286" s="459">
        <v>3279</v>
      </c>
      <c r="I3286" s="444">
        <f t="shared" ca="1" si="145"/>
        <v>-673272702060.323</v>
      </c>
      <c r="J3286" s="444">
        <f t="array" ref="J3286">IFERROR(INDEX('Retirement Calculator'!K:K,MATCH('Lorri 401b'!N3286,'Retirement Calculator'!A:A,0),0),0)</f>
        <v>0</v>
      </c>
      <c r="K3286" s="444">
        <f t="shared" ca="1" si="143"/>
        <v>-2805302925.2513456</v>
      </c>
      <c r="L3286" s="444">
        <f t="shared" ca="1" si="144"/>
        <v>-676078004985.57434</v>
      </c>
      <c r="M3286" s="460">
        <f t="shared" si="146"/>
        <v>0.05</v>
      </c>
      <c r="N3286" s="464">
        <f t="shared" si="147"/>
        <v>151059</v>
      </c>
    </row>
    <row r="3287" spans="7:14" ht="11.25" customHeight="1" x14ac:dyDescent="0.25">
      <c r="G3287" s="459"/>
      <c r="H3287" s="459">
        <v>3280</v>
      </c>
      <c r="I3287" s="444">
        <f t="shared" ca="1" si="145"/>
        <v>-676078004985.57434</v>
      </c>
      <c r="J3287" s="444">
        <f t="array" ref="J3287">IFERROR(INDEX('Retirement Calculator'!K:K,MATCH('Lorri 401b'!N3287,'Retirement Calculator'!A:A,0),0),0)</f>
        <v>0</v>
      </c>
      <c r="K3287" s="444">
        <f t="shared" ca="1" si="143"/>
        <v>-2816991687.4398932</v>
      </c>
      <c r="L3287" s="444">
        <f t="shared" ca="1" si="144"/>
        <v>-678894996673.01428</v>
      </c>
      <c r="M3287" s="460">
        <f t="shared" si="146"/>
        <v>0.05</v>
      </c>
      <c r="N3287" s="464">
        <f t="shared" si="147"/>
        <v>151090</v>
      </c>
    </row>
    <row r="3288" spans="7:14" ht="11.25" customHeight="1" x14ac:dyDescent="0.25">
      <c r="G3288" s="459"/>
      <c r="H3288" s="459">
        <v>3281</v>
      </c>
      <c r="I3288" s="444">
        <f t="shared" ca="1" si="145"/>
        <v>-678894996673.01428</v>
      </c>
      <c r="J3288" s="444">
        <f t="array" ref="J3288">IFERROR(INDEX('Retirement Calculator'!K:K,MATCH('Lorri 401b'!N3288,'Retirement Calculator'!A:A,0),0),0)</f>
        <v>0</v>
      </c>
      <c r="K3288" s="444">
        <f t="shared" ca="1" si="143"/>
        <v>-2828729152.8042259</v>
      </c>
      <c r="L3288" s="444">
        <f t="shared" ca="1" si="144"/>
        <v>-681723725825.81848</v>
      </c>
      <c r="M3288" s="460">
        <f t="shared" si="146"/>
        <v>0.05</v>
      </c>
      <c r="N3288" s="464">
        <f t="shared" si="147"/>
        <v>151120</v>
      </c>
    </row>
    <row r="3289" spans="7:14" ht="11.25" customHeight="1" x14ac:dyDescent="0.25">
      <c r="G3289" s="459"/>
      <c r="H3289" s="459">
        <v>3282</v>
      </c>
      <c r="I3289" s="444">
        <f t="shared" ca="1" si="145"/>
        <v>-681723725825.81848</v>
      </c>
      <c r="J3289" s="444">
        <f t="array" ref="J3289">IFERROR(INDEX('Retirement Calculator'!K:K,MATCH('Lorri 401b'!N3289,'Retirement Calculator'!A:A,0),0),0)</f>
        <v>0</v>
      </c>
      <c r="K3289" s="444">
        <f t="shared" ca="1" si="143"/>
        <v>-2840515524.2742438</v>
      </c>
      <c r="L3289" s="444">
        <f t="shared" ca="1" si="144"/>
        <v>-684564241350.09277</v>
      </c>
      <c r="M3289" s="460">
        <f t="shared" si="146"/>
        <v>0.05</v>
      </c>
      <c r="N3289" s="464">
        <f t="shared" si="147"/>
        <v>151151</v>
      </c>
    </row>
    <row r="3290" spans="7:14" ht="11.25" customHeight="1" x14ac:dyDescent="0.25">
      <c r="G3290" s="459"/>
      <c r="H3290" s="459">
        <v>3283</v>
      </c>
      <c r="I3290" s="444">
        <f t="shared" ca="1" si="145"/>
        <v>-684564241350.09277</v>
      </c>
      <c r="J3290" s="444">
        <f t="array" ref="J3290">IFERROR(INDEX('Retirement Calculator'!K:K,MATCH('Lorri 401b'!N3290,'Retirement Calculator'!A:A,0),0),0)</f>
        <v>0</v>
      </c>
      <c r="K3290" s="444">
        <f t="shared" ca="1" si="143"/>
        <v>-2852351005.6253867</v>
      </c>
      <c r="L3290" s="444">
        <f t="shared" ca="1" si="144"/>
        <v>-687416592355.71814</v>
      </c>
      <c r="M3290" s="460">
        <f t="shared" si="146"/>
        <v>0.05</v>
      </c>
      <c r="N3290" s="464">
        <f t="shared" si="147"/>
        <v>151181</v>
      </c>
    </row>
    <row r="3291" spans="7:14" ht="11.25" customHeight="1" x14ac:dyDescent="0.25">
      <c r="G3291" s="459"/>
      <c r="H3291" s="459">
        <v>3284</v>
      </c>
      <c r="I3291" s="444">
        <f t="shared" ca="1" si="145"/>
        <v>-687416592355.71814</v>
      </c>
      <c r="J3291" s="444">
        <f t="array" ref="J3291">IFERROR(INDEX('Retirement Calculator'!K:K,MATCH('Lorri 401b'!N3291,'Retirement Calculator'!A:A,0),0),0)</f>
        <v>0</v>
      </c>
      <c r="K3291" s="444">
        <f t="shared" ca="1" si="143"/>
        <v>-2864235801.4821587</v>
      </c>
      <c r="L3291" s="444">
        <f t="shared" ca="1" si="144"/>
        <v>-690280828157.20032</v>
      </c>
      <c r="M3291" s="460">
        <f t="shared" si="146"/>
        <v>0.05</v>
      </c>
      <c r="N3291" s="464">
        <f t="shared" si="147"/>
        <v>151212</v>
      </c>
    </row>
    <row r="3292" spans="7:14" ht="11.25" customHeight="1" x14ac:dyDescent="0.25">
      <c r="G3292" s="459"/>
      <c r="H3292" s="459">
        <v>3285</v>
      </c>
      <c r="I3292" s="444">
        <f t="shared" ca="1" si="145"/>
        <v>-690280828157.20032</v>
      </c>
      <c r="J3292" s="444">
        <f t="array" ref="J3292">IFERROR(INDEX('Retirement Calculator'!K:K,MATCH('Lorri 401b'!N3292,'Retirement Calculator'!A:A,0),0),0)</f>
        <v>0</v>
      </c>
      <c r="K3292" s="444">
        <f t="shared" ca="1" si="143"/>
        <v>-2876170117.3216681</v>
      </c>
      <c r="L3292" s="444">
        <f t="shared" ca="1" si="144"/>
        <v>-693156998274.52197</v>
      </c>
      <c r="M3292" s="460">
        <f t="shared" si="146"/>
        <v>0.05</v>
      </c>
      <c r="N3292" s="464">
        <f t="shared" si="147"/>
        <v>151243</v>
      </c>
    </row>
    <row r="3293" spans="7:14" ht="11.25" customHeight="1" x14ac:dyDescent="0.25">
      <c r="G3293" s="459"/>
      <c r="H3293" s="459">
        <v>3286</v>
      </c>
      <c r="I3293" s="444">
        <f t="shared" ca="1" si="145"/>
        <v>-693156998274.52197</v>
      </c>
      <c r="J3293" s="444">
        <f t="array" ref="J3293">IFERROR(INDEX('Retirement Calculator'!K:K,MATCH('Lorri 401b'!N3293,'Retirement Calculator'!A:A,0),0),0)</f>
        <v>0</v>
      </c>
      <c r="K3293" s="444">
        <f t="shared" ca="1" si="143"/>
        <v>-2888154159.4771748</v>
      </c>
      <c r="L3293" s="444">
        <f t="shared" ca="1" si="144"/>
        <v>-696045152433.99915</v>
      </c>
      <c r="M3293" s="460">
        <f t="shared" si="146"/>
        <v>0.05</v>
      </c>
      <c r="N3293" s="464">
        <f t="shared" si="147"/>
        <v>151271</v>
      </c>
    </row>
    <row r="3294" spans="7:14" ht="11.25" customHeight="1" x14ac:dyDescent="0.25">
      <c r="G3294" s="459"/>
      <c r="H3294" s="459">
        <v>3287</v>
      </c>
      <c r="I3294" s="444">
        <f t="shared" ca="1" si="145"/>
        <v>-696045152433.99915</v>
      </c>
      <c r="J3294" s="444">
        <f t="array" ref="J3294">IFERROR(INDEX('Retirement Calculator'!K:K,MATCH('Lorri 401b'!N3294,'Retirement Calculator'!A:A,0),0),0)</f>
        <v>0</v>
      </c>
      <c r="K3294" s="444">
        <f t="shared" ca="1" si="143"/>
        <v>-2900188135.1416631</v>
      </c>
      <c r="L3294" s="444">
        <f t="shared" ca="1" si="144"/>
        <v>-698945340569.14087</v>
      </c>
      <c r="M3294" s="460">
        <f t="shared" si="146"/>
        <v>0.05</v>
      </c>
      <c r="N3294" s="464">
        <f t="shared" si="147"/>
        <v>151302</v>
      </c>
    </row>
    <row r="3295" spans="7:14" ht="11.25" customHeight="1" x14ac:dyDescent="0.25">
      <c r="G3295" s="459"/>
      <c r="H3295" s="459">
        <v>3288</v>
      </c>
      <c r="I3295" s="444">
        <f t="shared" ca="1" si="145"/>
        <v>-698945340569.14087</v>
      </c>
      <c r="J3295" s="444">
        <f t="array" ref="J3295">IFERROR(INDEX('Retirement Calculator'!K:K,MATCH('Lorri 401b'!N3295,'Retirement Calculator'!A:A,0),0),0)</f>
        <v>0</v>
      </c>
      <c r="K3295" s="444">
        <f t="shared" ca="1" si="143"/>
        <v>-2912272252.3714204</v>
      </c>
      <c r="L3295" s="444">
        <f t="shared" ca="1" si="144"/>
        <v>-701857612821.51233</v>
      </c>
      <c r="M3295" s="460">
        <f t="shared" si="146"/>
        <v>0.05</v>
      </c>
      <c r="N3295" s="464">
        <f t="shared" si="147"/>
        <v>151332</v>
      </c>
    </row>
    <row r="3296" spans="7:14" ht="11.25" customHeight="1" x14ac:dyDescent="0.25">
      <c r="G3296" s="459"/>
      <c r="H3296" s="459">
        <v>3289</v>
      </c>
      <c r="I3296" s="444">
        <f t="shared" ca="1" si="145"/>
        <v>-701857612821.51233</v>
      </c>
      <c r="J3296" s="444">
        <f t="array" ref="J3296">IFERROR(INDEX('Retirement Calculator'!K:K,MATCH('Lorri 401b'!N3296,'Retirement Calculator'!A:A,0),0),0)</f>
        <v>0</v>
      </c>
      <c r="K3296" s="444">
        <f t="shared" ca="1" si="143"/>
        <v>-2924406720.0896349</v>
      </c>
      <c r="L3296" s="444">
        <f t="shared" ca="1" si="144"/>
        <v>-704782019541.60193</v>
      </c>
      <c r="M3296" s="460">
        <f t="shared" si="146"/>
        <v>0.05</v>
      </c>
      <c r="N3296" s="464">
        <f t="shared" si="147"/>
        <v>151363</v>
      </c>
    </row>
    <row r="3297" spans="7:14" ht="11.25" customHeight="1" x14ac:dyDescent="0.25">
      <c r="G3297" s="459"/>
      <c r="H3297" s="459">
        <v>3290</v>
      </c>
      <c r="I3297" s="444">
        <f t="shared" ca="1" si="145"/>
        <v>-704782019541.60193</v>
      </c>
      <c r="J3297" s="444">
        <f t="array" ref="J3297">IFERROR(INDEX('Retirement Calculator'!K:K,MATCH('Lorri 401b'!N3297,'Retirement Calculator'!A:A,0),0),0)</f>
        <v>0</v>
      </c>
      <c r="K3297" s="444">
        <f t="shared" ca="1" si="143"/>
        <v>-2936591748.0900078</v>
      </c>
      <c r="L3297" s="444">
        <f t="shared" ca="1" si="144"/>
        <v>-707718611289.69189</v>
      </c>
      <c r="M3297" s="460">
        <f t="shared" si="146"/>
        <v>0.05</v>
      </c>
      <c r="N3297" s="464">
        <f t="shared" si="147"/>
        <v>151393</v>
      </c>
    </row>
    <row r="3298" spans="7:14" ht="11.25" customHeight="1" x14ac:dyDescent="0.25">
      <c r="G3298" s="459"/>
      <c r="H3298" s="459">
        <v>3291</v>
      </c>
      <c r="I3298" s="444">
        <f t="shared" ca="1" si="145"/>
        <v>-707718611289.69189</v>
      </c>
      <c r="J3298" s="444">
        <f t="array" ref="J3298">IFERROR(INDEX('Retirement Calculator'!K:K,MATCH('Lorri 401b'!N3298,'Retirement Calculator'!A:A,0),0),0)</f>
        <v>0</v>
      </c>
      <c r="K3298" s="444">
        <f t="shared" ca="1" si="143"/>
        <v>-2948827547.0403829</v>
      </c>
      <c r="L3298" s="444">
        <f t="shared" ca="1" si="144"/>
        <v>-710667438836.7323</v>
      </c>
      <c r="M3298" s="460">
        <f t="shared" si="146"/>
        <v>0.05</v>
      </c>
      <c r="N3298" s="464">
        <f t="shared" si="147"/>
        <v>151424</v>
      </c>
    </row>
    <row r="3299" spans="7:14" ht="11.25" customHeight="1" x14ac:dyDescent="0.25">
      <c r="G3299" s="459"/>
      <c r="H3299" s="459">
        <v>3292</v>
      </c>
      <c r="I3299" s="444">
        <f t="shared" ca="1" si="145"/>
        <v>-710667438836.7323</v>
      </c>
      <c r="J3299" s="444">
        <f t="array" ref="J3299">IFERROR(INDEX('Retirement Calculator'!K:K,MATCH('Lorri 401b'!N3299,'Retirement Calculator'!A:A,0),0),0)</f>
        <v>0</v>
      </c>
      <c r="K3299" s="444">
        <f t="shared" ca="1" si="143"/>
        <v>-2961114328.4863844</v>
      </c>
      <c r="L3299" s="444">
        <f t="shared" ca="1" si="144"/>
        <v>-713628553165.21863</v>
      </c>
      <c r="M3299" s="460">
        <f t="shared" si="146"/>
        <v>0.05</v>
      </c>
      <c r="N3299" s="464">
        <f t="shared" si="147"/>
        <v>151455</v>
      </c>
    </row>
    <row r="3300" spans="7:14" ht="11.25" customHeight="1" x14ac:dyDescent="0.25">
      <c r="G3300" s="459"/>
      <c r="H3300" s="459">
        <v>3293</v>
      </c>
      <c r="I3300" s="444">
        <f t="shared" ca="1" si="145"/>
        <v>-713628553165.21863</v>
      </c>
      <c r="J3300" s="444">
        <f t="array" ref="J3300">IFERROR(INDEX('Retirement Calculator'!K:K,MATCH('Lorri 401b'!N3300,'Retirement Calculator'!A:A,0),0),0)</f>
        <v>0</v>
      </c>
      <c r="K3300" s="444">
        <f t="shared" ca="1" si="143"/>
        <v>-2973452304.8550777</v>
      </c>
      <c r="L3300" s="444">
        <f t="shared" ca="1" si="144"/>
        <v>-716602005470.07373</v>
      </c>
      <c r="M3300" s="460">
        <f t="shared" si="146"/>
        <v>0.05</v>
      </c>
      <c r="N3300" s="464">
        <f t="shared" si="147"/>
        <v>151485</v>
      </c>
    </row>
    <row r="3301" spans="7:14" ht="11.25" customHeight="1" x14ac:dyDescent="0.25">
      <c r="G3301" s="459"/>
      <c r="H3301" s="459">
        <v>3294</v>
      </c>
      <c r="I3301" s="444">
        <f t="shared" ca="1" si="145"/>
        <v>-716602005470.07373</v>
      </c>
      <c r="J3301" s="444">
        <f t="array" ref="J3301">IFERROR(INDEX('Retirement Calculator'!K:K,MATCH('Lorri 401b'!N3301,'Retirement Calculator'!A:A,0),0),0)</f>
        <v>0</v>
      </c>
      <c r="K3301" s="444">
        <f t="shared" ca="1" si="143"/>
        <v>-2985841689.4586406</v>
      </c>
      <c r="L3301" s="444">
        <f t="shared" ca="1" si="144"/>
        <v>-719587847159.53235</v>
      </c>
      <c r="M3301" s="460">
        <f t="shared" si="146"/>
        <v>0.05</v>
      </c>
      <c r="N3301" s="464">
        <f t="shared" si="147"/>
        <v>151516</v>
      </c>
    </row>
    <row r="3302" spans="7:14" ht="11.25" customHeight="1" x14ac:dyDescent="0.25">
      <c r="G3302" s="459"/>
      <c r="H3302" s="459">
        <v>3295</v>
      </c>
      <c r="I3302" s="444">
        <f t="shared" ca="1" si="145"/>
        <v>-719587847159.53235</v>
      </c>
      <c r="J3302" s="444">
        <f t="array" ref="J3302">IFERROR(INDEX('Retirement Calculator'!K:K,MATCH('Lorri 401b'!N3302,'Retirement Calculator'!A:A,0),0),0)</f>
        <v>0</v>
      </c>
      <c r="K3302" s="444">
        <f t="shared" ca="1" si="143"/>
        <v>-2998282696.4980516</v>
      </c>
      <c r="L3302" s="444">
        <f t="shared" ca="1" si="144"/>
        <v>-722586129856.0304</v>
      </c>
      <c r="M3302" s="460">
        <f t="shared" si="146"/>
        <v>0.05</v>
      </c>
      <c r="N3302" s="464">
        <f t="shared" si="147"/>
        <v>151546</v>
      </c>
    </row>
    <row r="3303" spans="7:14" ht="11.25" customHeight="1" x14ac:dyDescent="0.25">
      <c r="G3303" s="459"/>
      <c r="H3303" s="459">
        <v>3296</v>
      </c>
      <c r="I3303" s="444">
        <f t="shared" ca="1" si="145"/>
        <v>-722586129856.0304</v>
      </c>
      <c r="J3303" s="444">
        <f t="array" ref="J3303">IFERROR(INDEX('Retirement Calculator'!K:K,MATCH('Lorri 401b'!N3303,'Retirement Calculator'!A:A,0),0),0)</f>
        <v>0</v>
      </c>
      <c r="K3303" s="444">
        <f t="shared" ca="1" si="143"/>
        <v>-3010775541.0667934</v>
      </c>
      <c r="L3303" s="444">
        <f t="shared" ca="1" si="144"/>
        <v>-725596905397.09717</v>
      </c>
      <c r="M3303" s="460">
        <f t="shared" si="146"/>
        <v>0.05</v>
      </c>
      <c r="N3303" s="464">
        <f t="shared" si="147"/>
        <v>151577</v>
      </c>
    </row>
    <row r="3304" spans="7:14" ht="11.25" customHeight="1" x14ac:dyDescent="0.25">
      <c r="G3304" s="459"/>
      <c r="H3304" s="459">
        <v>3297</v>
      </c>
      <c r="I3304" s="444">
        <f t="shared" ca="1" si="145"/>
        <v>-725596905397.09717</v>
      </c>
      <c r="J3304" s="444">
        <f t="array" ref="J3304">IFERROR(INDEX('Retirement Calculator'!K:K,MATCH('Lorri 401b'!N3304,'Retirement Calculator'!A:A,0),0),0)</f>
        <v>0</v>
      </c>
      <c r="K3304" s="444">
        <f t="shared" ca="1" si="143"/>
        <v>-3023320439.1545715</v>
      </c>
      <c r="L3304" s="444">
        <f t="shared" ca="1" si="144"/>
        <v>-728620225836.25171</v>
      </c>
      <c r="M3304" s="460">
        <f t="shared" si="146"/>
        <v>0.05</v>
      </c>
      <c r="N3304" s="464">
        <f t="shared" si="147"/>
        <v>151608</v>
      </c>
    </row>
    <row r="3305" spans="7:14" ht="11.25" customHeight="1" x14ac:dyDescent="0.25">
      <c r="G3305" s="459"/>
      <c r="H3305" s="459">
        <v>3298</v>
      </c>
      <c r="I3305" s="444">
        <f t="shared" ca="1" si="145"/>
        <v>-728620225836.25171</v>
      </c>
      <c r="J3305" s="444">
        <f t="array" ref="J3305">IFERROR(INDEX('Retirement Calculator'!K:K,MATCH('Lorri 401b'!N3305,'Retirement Calculator'!A:A,0),0),0)</f>
        <v>0</v>
      </c>
      <c r="K3305" s="444">
        <f t="shared" ca="1" si="143"/>
        <v>-3035917607.6510487</v>
      </c>
      <c r="L3305" s="444">
        <f t="shared" ca="1" si="144"/>
        <v>-731656143443.90271</v>
      </c>
      <c r="M3305" s="460">
        <f t="shared" si="146"/>
        <v>0.05</v>
      </c>
      <c r="N3305" s="464">
        <f t="shared" si="147"/>
        <v>151636</v>
      </c>
    </row>
    <row r="3306" spans="7:14" ht="11.25" customHeight="1" x14ac:dyDescent="0.25">
      <c r="G3306" s="459"/>
      <c r="H3306" s="459">
        <v>3299</v>
      </c>
      <c r="I3306" s="444">
        <f t="shared" ca="1" si="145"/>
        <v>-731656143443.90271</v>
      </c>
      <c r="J3306" s="444">
        <f t="array" ref="J3306">IFERROR(INDEX('Retirement Calculator'!K:K,MATCH('Lorri 401b'!N3306,'Retirement Calculator'!A:A,0),0),0)</f>
        <v>0</v>
      </c>
      <c r="K3306" s="444">
        <f t="shared" ca="1" si="143"/>
        <v>-3048567264.3495946</v>
      </c>
      <c r="L3306" s="444">
        <f t="shared" ca="1" si="144"/>
        <v>-734704710708.25232</v>
      </c>
      <c r="M3306" s="460">
        <f t="shared" si="146"/>
        <v>0.05</v>
      </c>
      <c r="N3306" s="464">
        <f t="shared" si="147"/>
        <v>151667</v>
      </c>
    </row>
    <row r="3307" spans="7:14" ht="11.25" customHeight="1" x14ac:dyDescent="0.25">
      <c r="G3307" s="459"/>
      <c r="H3307" s="459">
        <v>3300</v>
      </c>
      <c r="I3307" s="444">
        <f t="shared" ca="1" si="145"/>
        <v>-734704710708.25232</v>
      </c>
      <c r="J3307" s="444">
        <f t="array" ref="J3307">IFERROR(INDEX('Retirement Calculator'!K:K,MATCH('Lorri 401b'!N3307,'Retirement Calculator'!A:A,0),0),0)</f>
        <v>0</v>
      </c>
      <c r="K3307" s="444">
        <f t="shared" ca="1" si="143"/>
        <v>-3061269627.9510512</v>
      </c>
      <c r="L3307" s="444">
        <f t="shared" ca="1" si="144"/>
        <v>-737765980336.20337</v>
      </c>
      <c r="M3307" s="460">
        <f t="shared" si="146"/>
        <v>0.05</v>
      </c>
      <c r="N3307" s="464">
        <f t="shared" si="147"/>
        <v>151697</v>
      </c>
    </row>
    <row r="3308" spans="7:14" ht="11.25" customHeight="1" x14ac:dyDescent="0.25">
      <c r="G3308" s="459"/>
      <c r="H3308" s="459">
        <v>3301</v>
      </c>
      <c r="I3308" s="444">
        <f t="shared" ca="1" si="145"/>
        <v>-737765980336.20337</v>
      </c>
      <c r="J3308" s="444">
        <f t="array" ref="J3308">IFERROR(INDEX('Retirement Calculator'!K:K,MATCH('Lorri 401b'!N3308,'Retirement Calculator'!A:A,0),0),0)</f>
        <v>0</v>
      </c>
      <c r="K3308" s="444">
        <f t="shared" ca="1" si="143"/>
        <v>-3074024918.0675139</v>
      </c>
      <c r="L3308" s="444">
        <f t="shared" ca="1" si="144"/>
        <v>-740840005254.27087</v>
      </c>
      <c r="M3308" s="460">
        <f t="shared" si="146"/>
        <v>0.05</v>
      </c>
      <c r="N3308" s="464">
        <f t="shared" si="147"/>
        <v>151728</v>
      </c>
    </row>
    <row r="3309" spans="7:14" ht="11.25" customHeight="1" x14ac:dyDescent="0.25">
      <c r="G3309" s="459"/>
      <c r="H3309" s="459">
        <v>3302</v>
      </c>
      <c r="I3309" s="444">
        <f t="shared" ca="1" si="145"/>
        <v>-740840005254.27087</v>
      </c>
      <c r="J3309" s="444">
        <f t="array" ref="J3309">IFERROR(INDEX('Retirement Calculator'!K:K,MATCH('Lorri 401b'!N3309,'Retirement Calculator'!A:A,0),0),0)</f>
        <v>0</v>
      </c>
      <c r="K3309" s="444">
        <f t="shared" ca="1" si="143"/>
        <v>-3086833355.2261286</v>
      </c>
      <c r="L3309" s="444">
        <f t="shared" ca="1" si="144"/>
        <v>-743926838609.49695</v>
      </c>
      <c r="M3309" s="460">
        <f t="shared" si="146"/>
        <v>0.05</v>
      </c>
      <c r="N3309" s="464">
        <f t="shared" si="147"/>
        <v>151758</v>
      </c>
    </row>
    <row r="3310" spans="7:14" ht="11.25" customHeight="1" x14ac:dyDescent="0.25">
      <c r="G3310" s="459"/>
      <c r="H3310" s="459">
        <v>3303</v>
      </c>
      <c r="I3310" s="444">
        <f t="shared" ca="1" si="145"/>
        <v>-743926838609.49695</v>
      </c>
      <c r="J3310" s="444">
        <f t="array" ref="J3310">IFERROR(INDEX('Retirement Calculator'!K:K,MATCH('Lorri 401b'!N3310,'Retirement Calculator'!A:A,0),0),0)</f>
        <v>0</v>
      </c>
      <c r="K3310" s="444">
        <f t="shared" ca="1" si="143"/>
        <v>-3099695160.8729038</v>
      </c>
      <c r="L3310" s="444">
        <f t="shared" ca="1" si="144"/>
        <v>-747026533770.36987</v>
      </c>
      <c r="M3310" s="460">
        <f t="shared" si="146"/>
        <v>0.05</v>
      </c>
      <c r="N3310" s="464">
        <f t="shared" si="147"/>
        <v>151789</v>
      </c>
    </row>
    <row r="3311" spans="7:14" ht="11.25" customHeight="1" x14ac:dyDescent="0.25">
      <c r="G3311" s="459"/>
      <c r="H3311" s="459">
        <v>3304</v>
      </c>
      <c r="I3311" s="444">
        <f t="shared" ca="1" si="145"/>
        <v>-747026533770.36987</v>
      </c>
      <c r="J3311" s="444">
        <f t="array" ref="J3311">IFERROR(INDEX('Retirement Calculator'!K:K,MATCH('Lorri 401b'!N3311,'Retirement Calculator'!A:A,0),0),0)</f>
        <v>0</v>
      </c>
      <c r="K3311" s="444">
        <f t="shared" ca="1" si="143"/>
        <v>-3112610557.3765411</v>
      </c>
      <c r="L3311" s="444">
        <f t="shared" ca="1" si="144"/>
        <v>-750139144327.74646</v>
      </c>
      <c r="M3311" s="460">
        <f t="shared" si="146"/>
        <v>0.05</v>
      </c>
      <c r="N3311" s="464">
        <f t="shared" si="147"/>
        <v>151820</v>
      </c>
    </row>
    <row r="3312" spans="7:14" ht="11.25" customHeight="1" x14ac:dyDescent="0.25">
      <c r="G3312" s="459"/>
      <c r="H3312" s="459">
        <v>3305</v>
      </c>
      <c r="I3312" s="444">
        <f t="shared" ca="1" si="145"/>
        <v>-750139144327.74646</v>
      </c>
      <c r="J3312" s="444">
        <f t="array" ref="J3312">IFERROR(INDEX('Retirement Calculator'!K:K,MATCH('Lorri 401b'!N3312,'Retirement Calculator'!A:A,0),0),0)</f>
        <v>0</v>
      </c>
      <c r="K3312" s="444">
        <f t="shared" ca="1" si="143"/>
        <v>-3125579768.0322771</v>
      </c>
      <c r="L3312" s="444">
        <f t="shared" ca="1" si="144"/>
        <v>-753264724095.77869</v>
      </c>
      <c r="M3312" s="460">
        <f t="shared" si="146"/>
        <v>0.05</v>
      </c>
      <c r="N3312" s="464">
        <f t="shared" si="147"/>
        <v>151850</v>
      </c>
    </row>
    <row r="3313" spans="7:14" ht="11.25" customHeight="1" x14ac:dyDescent="0.25">
      <c r="G3313" s="459"/>
      <c r="H3313" s="459">
        <v>3306</v>
      </c>
      <c r="I3313" s="444">
        <f t="shared" ca="1" si="145"/>
        <v>-753264724095.77869</v>
      </c>
      <c r="J3313" s="444">
        <f t="array" ref="J3313">IFERROR(INDEX('Retirement Calculator'!K:K,MATCH('Lorri 401b'!N3313,'Retirement Calculator'!A:A,0),0),0)</f>
        <v>0</v>
      </c>
      <c r="K3313" s="444">
        <f t="shared" ca="1" si="143"/>
        <v>-3138603017.0657444</v>
      </c>
      <c r="L3313" s="444">
        <f t="shared" ca="1" si="144"/>
        <v>-756403327112.84448</v>
      </c>
      <c r="M3313" s="460">
        <f t="shared" si="146"/>
        <v>0.05</v>
      </c>
      <c r="N3313" s="464">
        <f t="shared" si="147"/>
        <v>151881</v>
      </c>
    </row>
    <row r="3314" spans="7:14" ht="11.25" customHeight="1" x14ac:dyDescent="0.25">
      <c r="G3314" s="459"/>
      <c r="H3314" s="459">
        <v>3307</v>
      </c>
      <c r="I3314" s="444">
        <f t="shared" ca="1" si="145"/>
        <v>-756403327112.84448</v>
      </c>
      <c r="J3314" s="444">
        <f t="array" ref="J3314">IFERROR(INDEX('Retirement Calculator'!K:K,MATCH('Lorri 401b'!N3314,'Retirement Calculator'!A:A,0),0),0)</f>
        <v>0</v>
      </c>
      <c r="K3314" s="444">
        <f t="shared" ca="1" si="143"/>
        <v>-3151680529.6368518</v>
      </c>
      <c r="L3314" s="444">
        <f t="shared" ca="1" si="144"/>
        <v>-759555007642.48132</v>
      </c>
      <c r="M3314" s="460">
        <f t="shared" si="146"/>
        <v>0.05</v>
      </c>
      <c r="N3314" s="464">
        <f t="shared" si="147"/>
        <v>151911</v>
      </c>
    </row>
    <row r="3315" spans="7:14" ht="11.25" customHeight="1" x14ac:dyDescent="0.25">
      <c r="G3315" s="459"/>
      <c r="H3315" s="459">
        <v>3308</v>
      </c>
      <c r="I3315" s="444">
        <f t="shared" ca="1" si="145"/>
        <v>-759555007642.48132</v>
      </c>
      <c r="J3315" s="444">
        <f t="array" ref="J3315">IFERROR(INDEX('Retirement Calculator'!K:K,MATCH('Lorri 401b'!N3315,'Retirement Calculator'!A:A,0),0),0)</f>
        <v>0</v>
      </c>
      <c r="K3315" s="444">
        <f t="shared" ca="1" si="143"/>
        <v>-3164812531.8436723</v>
      </c>
      <c r="L3315" s="444">
        <f t="shared" ca="1" si="144"/>
        <v>-762719820174.32495</v>
      </c>
      <c r="M3315" s="460">
        <f t="shared" si="146"/>
        <v>0.05</v>
      </c>
      <c r="N3315" s="464">
        <f t="shared" si="147"/>
        <v>151942</v>
      </c>
    </row>
    <row r="3316" spans="7:14" ht="11.25" customHeight="1" x14ac:dyDescent="0.25">
      <c r="G3316" s="459"/>
      <c r="H3316" s="459">
        <v>3309</v>
      </c>
      <c r="I3316" s="444">
        <f t="shared" ca="1" si="145"/>
        <v>-762719820174.32495</v>
      </c>
      <c r="J3316" s="444">
        <f t="array" ref="J3316">IFERROR(INDEX('Retirement Calculator'!K:K,MATCH('Lorri 401b'!N3316,'Retirement Calculator'!A:A,0),0),0)</f>
        <v>0</v>
      </c>
      <c r="K3316" s="444">
        <f t="shared" ca="1" si="143"/>
        <v>-3177999250.7263541</v>
      </c>
      <c r="L3316" s="444">
        <f t="shared" ca="1" si="144"/>
        <v>-765897819425.05127</v>
      </c>
      <c r="M3316" s="460">
        <f t="shared" si="146"/>
        <v>0.05</v>
      </c>
      <c r="N3316" s="464">
        <f t="shared" si="147"/>
        <v>151973</v>
      </c>
    </row>
    <row r="3317" spans="7:14" ht="11.25" customHeight="1" x14ac:dyDescent="0.25">
      <c r="G3317" s="459"/>
      <c r="H3317" s="459">
        <v>3310</v>
      </c>
      <c r="I3317" s="444">
        <f t="shared" ca="1" si="145"/>
        <v>-765897819425.05127</v>
      </c>
      <c r="J3317" s="444">
        <f t="array" ref="J3317">IFERROR(INDEX('Retirement Calculator'!K:K,MATCH('Lorri 401b'!N3317,'Retirement Calculator'!A:A,0),0),0)</f>
        <v>0</v>
      </c>
      <c r="K3317" s="444">
        <f t="shared" ca="1" si="143"/>
        <v>-3191240914.2710471</v>
      </c>
      <c r="L3317" s="444">
        <f t="shared" ca="1" si="144"/>
        <v>-769089060339.32227</v>
      </c>
      <c r="M3317" s="460">
        <f t="shared" si="146"/>
        <v>0.05</v>
      </c>
      <c r="N3317" s="464">
        <f t="shared" si="147"/>
        <v>152002</v>
      </c>
    </row>
    <row r="3318" spans="7:14" ht="11.25" customHeight="1" x14ac:dyDescent="0.25">
      <c r="G3318" s="459"/>
      <c r="H3318" s="459">
        <v>3311</v>
      </c>
      <c r="I3318" s="444">
        <f t="shared" ca="1" si="145"/>
        <v>-769089060339.32227</v>
      </c>
      <c r="J3318" s="444">
        <f t="array" ref="J3318">IFERROR(INDEX('Retirement Calculator'!K:K,MATCH('Lorri 401b'!N3318,'Retirement Calculator'!A:A,0),0),0)</f>
        <v>0</v>
      </c>
      <c r="K3318" s="444">
        <f t="shared" ca="1" si="143"/>
        <v>-3204537751.4138427</v>
      </c>
      <c r="L3318" s="444">
        <f t="shared" ca="1" si="144"/>
        <v>-772293598090.73608</v>
      </c>
      <c r="M3318" s="460">
        <f t="shared" si="146"/>
        <v>0.05</v>
      </c>
      <c r="N3318" s="464">
        <f t="shared" si="147"/>
        <v>152033</v>
      </c>
    </row>
    <row r="3319" spans="7:14" ht="11.25" customHeight="1" x14ac:dyDescent="0.25">
      <c r="G3319" s="459"/>
      <c r="H3319" s="459">
        <v>3312</v>
      </c>
      <c r="I3319" s="444">
        <f t="shared" ca="1" si="145"/>
        <v>-772293598090.73608</v>
      </c>
      <c r="J3319" s="444">
        <f t="array" ref="J3319">IFERROR(INDEX('Retirement Calculator'!K:K,MATCH('Lorri 401b'!N3319,'Retirement Calculator'!A:A,0),0),0)</f>
        <v>0</v>
      </c>
      <c r="K3319" s="444">
        <f t="shared" ca="1" si="143"/>
        <v>-3217889992.0447335</v>
      </c>
      <c r="L3319" s="444">
        <f t="shared" ca="1" si="144"/>
        <v>-775511488082.78076</v>
      </c>
      <c r="M3319" s="460">
        <f t="shared" si="146"/>
        <v>0.05</v>
      </c>
      <c r="N3319" s="464">
        <f t="shared" si="147"/>
        <v>152063</v>
      </c>
    </row>
    <row r="3320" spans="7:14" ht="11.25" customHeight="1" x14ac:dyDescent="0.25">
      <c r="G3320" s="459"/>
      <c r="H3320" s="459">
        <v>3313</v>
      </c>
      <c r="I3320" s="444">
        <f t="shared" ca="1" si="145"/>
        <v>-775511488082.78076</v>
      </c>
      <c r="J3320" s="444">
        <f t="array" ref="J3320">IFERROR(INDEX('Retirement Calculator'!K:K,MATCH('Lorri 401b'!N3320,'Retirement Calculator'!A:A,0),0),0)</f>
        <v>0</v>
      </c>
      <c r="K3320" s="444">
        <f t="shared" ca="1" si="143"/>
        <v>-3231297867.0115867</v>
      </c>
      <c r="L3320" s="444">
        <f t="shared" ca="1" si="144"/>
        <v>-778742785949.79236</v>
      </c>
      <c r="M3320" s="460">
        <f t="shared" si="146"/>
        <v>0.05</v>
      </c>
      <c r="N3320" s="464">
        <f t="shared" si="147"/>
        <v>152094</v>
      </c>
    </row>
    <row r="3321" spans="7:14" ht="11.25" customHeight="1" x14ac:dyDescent="0.25">
      <c r="G3321" s="459"/>
      <c r="H3321" s="459">
        <v>3314</v>
      </c>
      <c r="I3321" s="444">
        <f t="shared" ca="1" si="145"/>
        <v>-778742785949.79236</v>
      </c>
      <c r="J3321" s="444">
        <f t="array" ref="J3321">IFERROR(INDEX('Retirement Calculator'!K:K,MATCH('Lorri 401b'!N3321,'Retirement Calculator'!A:A,0),0),0)</f>
        <v>0</v>
      </c>
      <c r="K3321" s="444">
        <f t="shared" ca="1" si="143"/>
        <v>-3244761608.124135</v>
      </c>
      <c r="L3321" s="444">
        <f t="shared" ca="1" si="144"/>
        <v>-781987547557.9165</v>
      </c>
      <c r="M3321" s="460">
        <f t="shared" si="146"/>
        <v>0.05</v>
      </c>
      <c r="N3321" s="464">
        <f t="shared" si="147"/>
        <v>152124</v>
      </c>
    </row>
    <row r="3322" spans="7:14" ht="11.25" customHeight="1" x14ac:dyDescent="0.25">
      <c r="G3322" s="459"/>
      <c r="H3322" s="459">
        <v>3315</v>
      </c>
      <c r="I3322" s="444">
        <f t="shared" ca="1" si="145"/>
        <v>-781987547557.9165</v>
      </c>
      <c r="J3322" s="444">
        <f t="array" ref="J3322">IFERROR(INDEX('Retirement Calculator'!K:K,MATCH('Lorri 401b'!N3322,'Retirement Calculator'!A:A,0),0),0)</f>
        <v>0</v>
      </c>
      <c r="K3322" s="444">
        <f t="shared" ca="1" si="143"/>
        <v>-3258281448.1579852</v>
      </c>
      <c r="L3322" s="444">
        <f t="shared" ca="1" si="144"/>
        <v>-785245829006.07446</v>
      </c>
      <c r="M3322" s="460">
        <f t="shared" si="146"/>
        <v>0.05</v>
      </c>
      <c r="N3322" s="464">
        <f t="shared" si="147"/>
        <v>152155</v>
      </c>
    </row>
    <row r="3323" spans="7:14" ht="11.25" customHeight="1" x14ac:dyDescent="0.25">
      <c r="G3323" s="459"/>
      <c r="H3323" s="459">
        <v>3316</v>
      </c>
      <c r="I3323" s="444">
        <f t="shared" ca="1" si="145"/>
        <v>-785245829006.07446</v>
      </c>
      <c r="J3323" s="444">
        <f t="array" ref="J3323">IFERROR(INDEX('Retirement Calculator'!K:K,MATCH('Lorri 401b'!N3323,'Retirement Calculator'!A:A,0),0),0)</f>
        <v>0</v>
      </c>
      <c r="K3323" s="444">
        <f t="shared" ref="K3323:K3577" ca="1" si="148">IPMT(M3323/12,1,12,-I3323+J3323,,0)</f>
        <v>-3271857620.8586435</v>
      </c>
      <c r="L3323" s="444">
        <f t="shared" ref="L3323:L3577" ca="1" si="149">I3323-J3323+K3323</f>
        <v>-788517686626.93311</v>
      </c>
      <c r="M3323" s="460">
        <f t="shared" si="146"/>
        <v>0.05</v>
      </c>
      <c r="N3323" s="464">
        <f t="shared" si="147"/>
        <v>152186</v>
      </c>
    </row>
    <row r="3324" spans="7:14" ht="11.25" customHeight="1" x14ac:dyDescent="0.25">
      <c r="G3324" s="459"/>
      <c r="H3324" s="459">
        <v>3317</v>
      </c>
      <c r="I3324" s="444">
        <f t="shared" ref="I3324:I3578" ca="1" si="150">L3323</f>
        <v>-788517686626.93311</v>
      </c>
      <c r="J3324" s="444">
        <f t="array" ref="J3324">IFERROR(INDEX('Retirement Calculator'!K:K,MATCH('Lorri 401b'!N3324,'Retirement Calculator'!A:A,0),0),0)</f>
        <v>0</v>
      </c>
      <c r="K3324" s="444">
        <f t="shared" ca="1" si="148"/>
        <v>-3285490360.9455547</v>
      </c>
      <c r="L3324" s="444">
        <f t="shared" ca="1" si="149"/>
        <v>-791803176987.87866</v>
      </c>
      <c r="M3324" s="460">
        <f t="shared" ref="M3324:M3578" si="151">M3323</f>
        <v>0.05</v>
      </c>
      <c r="N3324" s="464">
        <f t="shared" ref="N3324:N3578" si="152">EDATE(N3323,1)</f>
        <v>152216</v>
      </c>
    </row>
    <row r="3325" spans="7:14" ht="11.25" customHeight="1" x14ac:dyDescent="0.25">
      <c r="G3325" s="459"/>
      <c r="H3325" s="459">
        <v>3318</v>
      </c>
      <c r="I3325" s="444">
        <f t="shared" ca="1" si="150"/>
        <v>-791803176987.87866</v>
      </c>
      <c r="J3325" s="444">
        <f t="array" ref="J3325">IFERROR(INDEX('Retirement Calculator'!K:K,MATCH('Lorri 401b'!N3325,'Retirement Calculator'!A:A,0),0),0)</f>
        <v>0</v>
      </c>
      <c r="K3325" s="444">
        <f t="shared" ca="1" si="148"/>
        <v>-3299179904.1161609</v>
      </c>
      <c r="L3325" s="444">
        <f t="shared" ca="1" si="149"/>
        <v>-795102356891.99487</v>
      </c>
      <c r="M3325" s="460">
        <f t="shared" si="151"/>
        <v>0.05</v>
      </c>
      <c r="N3325" s="464">
        <f t="shared" si="152"/>
        <v>152247</v>
      </c>
    </row>
    <row r="3326" spans="7:14" ht="11.25" customHeight="1" x14ac:dyDescent="0.25">
      <c r="G3326" s="459"/>
      <c r="H3326" s="459">
        <v>3319</v>
      </c>
      <c r="I3326" s="444">
        <f t="shared" ca="1" si="150"/>
        <v>-795102356891.99487</v>
      </c>
      <c r="J3326" s="444">
        <f t="array" ref="J3326">IFERROR(INDEX('Retirement Calculator'!K:K,MATCH('Lorri 401b'!N3326,'Retirement Calculator'!A:A,0),0),0)</f>
        <v>0</v>
      </c>
      <c r="K3326" s="444">
        <f t="shared" ca="1" si="148"/>
        <v>-3312926487.0499787</v>
      </c>
      <c r="L3326" s="444">
        <f t="shared" ca="1" si="149"/>
        <v>-798415283379.0448</v>
      </c>
      <c r="M3326" s="460">
        <f t="shared" si="151"/>
        <v>0.05</v>
      </c>
      <c r="N3326" s="464">
        <f t="shared" si="152"/>
        <v>152277</v>
      </c>
    </row>
    <row r="3327" spans="7:14" ht="11.25" customHeight="1" x14ac:dyDescent="0.25">
      <c r="G3327" s="459"/>
      <c r="H3327" s="459">
        <v>3320</v>
      </c>
      <c r="I3327" s="444">
        <f t="shared" ca="1" si="150"/>
        <v>-798415283379.0448</v>
      </c>
      <c r="J3327" s="444">
        <f t="array" ref="J3327">IFERROR(INDEX('Retirement Calculator'!K:K,MATCH('Lorri 401b'!N3327,'Retirement Calculator'!A:A,0),0),0)</f>
        <v>0</v>
      </c>
      <c r="K3327" s="444">
        <f t="shared" ca="1" si="148"/>
        <v>-3326730347.4126868</v>
      </c>
      <c r="L3327" s="444">
        <f t="shared" ca="1" si="149"/>
        <v>-801742013726.45752</v>
      </c>
      <c r="M3327" s="460">
        <f t="shared" si="151"/>
        <v>0.05</v>
      </c>
      <c r="N3327" s="464">
        <f t="shared" si="152"/>
        <v>152308</v>
      </c>
    </row>
    <row r="3328" spans="7:14" ht="11.25" customHeight="1" x14ac:dyDescent="0.25">
      <c r="G3328" s="459"/>
      <c r="H3328" s="459">
        <v>3321</v>
      </c>
      <c r="I3328" s="444">
        <f t="shared" ca="1" si="150"/>
        <v>-801742013726.45752</v>
      </c>
      <c r="J3328" s="444">
        <f t="array" ref="J3328">IFERROR(INDEX('Retirement Calculator'!K:K,MATCH('Lorri 401b'!N3328,'Retirement Calculator'!A:A,0),0),0)</f>
        <v>0</v>
      </c>
      <c r="K3328" s="444">
        <f t="shared" ca="1" si="148"/>
        <v>-3340591723.8602395</v>
      </c>
      <c r="L3328" s="444">
        <f t="shared" ca="1" si="149"/>
        <v>-805082605450.31775</v>
      </c>
      <c r="M3328" s="460">
        <f t="shared" si="151"/>
        <v>0.05</v>
      </c>
      <c r="N3328" s="464">
        <f t="shared" si="152"/>
        <v>152339</v>
      </c>
    </row>
    <row r="3329" spans="7:14" ht="11.25" customHeight="1" x14ac:dyDescent="0.25">
      <c r="G3329" s="459"/>
      <c r="H3329" s="459">
        <v>3322</v>
      </c>
      <c r="I3329" s="444">
        <f t="shared" ca="1" si="150"/>
        <v>-805082605450.31775</v>
      </c>
      <c r="J3329" s="444">
        <f t="array" ref="J3329">IFERROR(INDEX('Retirement Calculator'!K:K,MATCH('Lorri 401b'!N3329,'Retirement Calculator'!A:A,0),0),0)</f>
        <v>0</v>
      </c>
      <c r="K3329" s="444">
        <f t="shared" ca="1" si="148"/>
        <v>-3354510856.0429907</v>
      </c>
      <c r="L3329" s="444">
        <f t="shared" ca="1" si="149"/>
        <v>-808437116306.36072</v>
      </c>
      <c r="M3329" s="460">
        <f t="shared" si="151"/>
        <v>0.05</v>
      </c>
      <c r="N3329" s="464">
        <f t="shared" si="152"/>
        <v>152367</v>
      </c>
    </row>
    <row r="3330" spans="7:14" ht="11.25" customHeight="1" x14ac:dyDescent="0.25">
      <c r="G3330" s="459"/>
      <c r="H3330" s="459">
        <v>3323</v>
      </c>
      <c r="I3330" s="444">
        <f t="shared" ca="1" si="150"/>
        <v>-808437116306.36072</v>
      </c>
      <c r="J3330" s="444">
        <f t="array" ref="J3330">IFERROR(INDEX('Retirement Calculator'!K:K,MATCH('Lorri 401b'!N3330,'Retirement Calculator'!A:A,0),0),0)</f>
        <v>0</v>
      </c>
      <c r="K3330" s="444">
        <f t="shared" ca="1" si="148"/>
        <v>-3368487984.6098361</v>
      </c>
      <c r="L3330" s="444">
        <f t="shared" ca="1" si="149"/>
        <v>-811805604290.97058</v>
      </c>
      <c r="M3330" s="460">
        <f t="shared" si="151"/>
        <v>0.05</v>
      </c>
      <c r="N3330" s="464">
        <f t="shared" si="152"/>
        <v>152398</v>
      </c>
    </row>
    <row r="3331" spans="7:14" ht="11.25" customHeight="1" x14ac:dyDescent="0.25">
      <c r="G3331" s="459"/>
      <c r="H3331" s="459">
        <v>3324</v>
      </c>
      <c r="I3331" s="444">
        <f t="shared" ca="1" si="150"/>
        <v>-811805604290.97058</v>
      </c>
      <c r="J3331" s="444">
        <f t="array" ref="J3331">IFERROR(INDEX('Retirement Calculator'!K:K,MATCH('Lorri 401b'!N3331,'Retirement Calculator'!A:A,0),0),0)</f>
        <v>0</v>
      </c>
      <c r="K3331" s="444">
        <f t="shared" ca="1" si="148"/>
        <v>-3382523351.2123775</v>
      </c>
      <c r="L3331" s="444">
        <f t="shared" ca="1" si="149"/>
        <v>-815188127642.18298</v>
      </c>
      <c r="M3331" s="460">
        <f t="shared" si="151"/>
        <v>0.05</v>
      </c>
      <c r="N3331" s="464">
        <f t="shared" si="152"/>
        <v>152428</v>
      </c>
    </row>
    <row r="3332" spans="7:14" ht="11.25" customHeight="1" x14ac:dyDescent="0.25">
      <c r="G3332" s="459"/>
      <c r="H3332" s="459">
        <v>3325</v>
      </c>
      <c r="I3332" s="444">
        <f t="shared" ca="1" si="150"/>
        <v>-815188127642.18298</v>
      </c>
      <c r="J3332" s="444">
        <f t="array" ref="J3332">IFERROR(INDEX('Retirement Calculator'!K:K,MATCH('Lorri 401b'!N3332,'Retirement Calculator'!A:A,0),0),0)</f>
        <v>0</v>
      </c>
      <c r="K3332" s="444">
        <f t="shared" ca="1" si="148"/>
        <v>-3396617198.5090957</v>
      </c>
      <c r="L3332" s="444">
        <f t="shared" ca="1" si="149"/>
        <v>-818584744840.69214</v>
      </c>
      <c r="M3332" s="460">
        <f t="shared" si="151"/>
        <v>0.05</v>
      </c>
      <c r="N3332" s="464">
        <f t="shared" si="152"/>
        <v>152459</v>
      </c>
    </row>
    <row r="3333" spans="7:14" ht="11.25" customHeight="1" x14ac:dyDescent="0.25">
      <c r="G3333" s="459"/>
      <c r="H3333" s="459">
        <v>3326</v>
      </c>
      <c r="I3333" s="444">
        <f t="shared" ca="1" si="150"/>
        <v>-818584744840.69214</v>
      </c>
      <c r="J3333" s="444">
        <f t="array" ref="J3333">IFERROR(INDEX('Retirement Calculator'!K:K,MATCH('Lorri 401b'!N3333,'Retirement Calculator'!A:A,0),0),0)</f>
        <v>0</v>
      </c>
      <c r="K3333" s="444">
        <f t="shared" ca="1" si="148"/>
        <v>-3410769770.1695504</v>
      </c>
      <c r="L3333" s="444">
        <f t="shared" ca="1" si="149"/>
        <v>-821995514610.86169</v>
      </c>
      <c r="M3333" s="460">
        <f t="shared" si="151"/>
        <v>0.05</v>
      </c>
      <c r="N3333" s="464">
        <f t="shared" si="152"/>
        <v>152489</v>
      </c>
    </row>
    <row r="3334" spans="7:14" ht="11.25" customHeight="1" x14ac:dyDescent="0.25">
      <c r="G3334" s="459"/>
      <c r="H3334" s="459">
        <v>3327</v>
      </c>
      <c r="I3334" s="444">
        <f t="shared" ca="1" si="150"/>
        <v>-821995514610.86169</v>
      </c>
      <c r="J3334" s="444">
        <f t="array" ref="J3334">IFERROR(INDEX('Retirement Calculator'!K:K,MATCH('Lorri 401b'!N3334,'Retirement Calculator'!A:A,0),0),0)</f>
        <v>0</v>
      </c>
      <c r="K3334" s="444">
        <f t="shared" ca="1" si="148"/>
        <v>-3424981310.8785906</v>
      </c>
      <c r="L3334" s="444">
        <f t="shared" ca="1" si="149"/>
        <v>-825420495921.74023</v>
      </c>
      <c r="M3334" s="460">
        <f t="shared" si="151"/>
        <v>0.05</v>
      </c>
      <c r="N3334" s="464">
        <f t="shared" si="152"/>
        <v>152520</v>
      </c>
    </row>
    <row r="3335" spans="7:14" ht="11.25" customHeight="1" x14ac:dyDescent="0.25">
      <c r="G3335" s="459"/>
      <c r="H3335" s="459">
        <v>3328</v>
      </c>
      <c r="I3335" s="444">
        <f t="shared" ca="1" si="150"/>
        <v>-825420495921.74023</v>
      </c>
      <c r="J3335" s="444">
        <f t="array" ref="J3335">IFERROR(INDEX('Retirement Calculator'!K:K,MATCH('Lorri 401b'!N3335,'Retirement Calculator'!A:A,0),0),0)</f>
        <v>0</v>
      </c>
      <c r="K3335" s="444">
        <f t="shared" ca="1" si="148"/>
        <v>-3439252066.3405843</v>
      </c>
      <c r="L3335" s="444">
        <f t="shared" ca="1" si="149"/>
        <v>-828859747988.08081</v>
      </c>
      <c r="M3335" s="460">
        <f t="shared" si="151"/>
        <v>0.05</v>
      </c>
      <c r="N3335" s="464">
        <f t="shared" si="152"/>
        <v>152551</v>
      </c>
    </row>
    <row r="3336" spans="7:14" ht="11.25" customHeight="1" x14ac:dyDescent="0.25">
      <c r="G3336" s="459"/>
      <c r="H3336" s="459">
        <v>3329</v>
      </c>
      <c r="I3336" s="444">
        <f t="shared" ca="1" si="150"/>
        <v>-828859747988.08081</v>
      </c>
      <c r="J3336" s="444">
        <f t="array" ref="J3336">IFERROR(INDEX('Retirement Calculator'!K:K,MATCH('Lorri 401b'!N3336,'Retirement Calculator'!A:A,0),0),0)</f>
        <v>0</v>
      </c>
      <c r="K3336" s="444">
        <f t="shared" ca="1" si="148"/>
        <v>-3453582283.2836699</v>
      </c>
      <c r="L3336" s="444">
        <f t="shared" ca="1" si="149"/>
        <v>-832313330271.3645</v>
      </c>
      <c r="M3336" s="460">
        <f t="shared" si="151"/>
        <v>0.05</v>
      </c>
      <c r="N3336" s="464">
        <f t="shared" si="152"/>
        <v>152581</v>
      </c>
    </row>
    <row r="3337" spans="7:14" ht="11.25" customHeight="1" x14ac:dyDescent="0.25">
      <c r="G3337" s="459"/>
      <c r="H3337" s="459">
        <v>3330</v>
      </c>
      <c r="I3337" s="444">
        <f t="shared" ca="1" si="150"/>
        <v>-832313330271.3645</v>
      </c>
      <c r="J3337" s="444">
        <f t="array" ref="J3337">IFERROR(INDEX('Retirement Calculator'!K:K,MATCH('Lorri 401b'!N3337,'Retirement Calculator'!A:A,0),0),0)</f>
        <v>0</v>
      </c>
      <c r="K3337" s="444">
        <f t="shared" ca="1" si="148"/>
        <v>-3467972209.4640188</v>
      </c>
      <c r="L3337" s="444">
        <f t="shared" ca="1" si="149"/>
        <v>-835781302480.82849</v>
      </c>
      <c r="M3337" s="460">
        <f t="shared" si="151"/>
        <v>0.05</v>
      </c>
      <c r="N3337" s="464">
        <f t="shared" si="152"/>
        <v>152612</v>
      </c>
    </row>
    <row r="3338" spans="7:14" ht="11.25" customHeight="1" x14ac:dyDescent="0.25">
      <c r="G3338" s="459"/>
      <c r="H3338" s="459">
        <v>3331</v>
      </c>
      <c r="I3338" s="444">
        <f t="shared" ca="1" si="150"/>
        <v>-835781302480.82849</v>
      </c>
      <c r="J3338" s="444">
        <f t="array" ref="J3338">IFERROR(INDEX('Retirement Calculator'!K:K,MATCH('Lorri 401b'!N3338,'Retirement Calculator'!A:A,0),0),0)</f>
        <v>0</v>
      </c>
      <c r="K3338" s="444">
        <f t="shared" ca="1" si="148"/>
        <v>-3482422093.6701188</v>
      </c>
      <c r="L3338" s="444">
        <f t="shared" ca="1" si="149"/>
        <v>-839263724574.49866</v>
      </c>
      <c r="M3338" s="460">
        <f t="shared" si="151"/>
        <v>0.05</v>
      </c>
      <c r="N3338" s="464">
        <f t="shared" si="152"/>
        <v>152642</v>
      </c>
    </row>
    <row r="3339" spans="7:14" ht="11.25" customHeight="1" x14ac:dyDescent="0.25">
      <c r="G3339" s="459"/>
      <c r="H3339" s="459">
        <v>3332</v>
      </c>
      <c r="I3339" s="444">
        <f t="shared" ca="1" si="150"/>
        <v>-839263724574.49866</v>
      </c>
      <c r="J3339" s="444">
        <f t="array" ref="J3339">IFERROR(INDEX('Retirement Calculator'!K:K,MATCH('Lorri 401b'!N3339,'Retirement Calculator'!A:A,0),0),0)</f>
        <v>0</v>
      </c>
      <c r="K3339" s="444">
        <f t="shared" ca="1" si="148"/>
        <v>-3496932185.7270775</v>
      </c>
      <c r="L3339" s="444">
        <f t="shared" ca="1" si="149"/>
        <v>-842760656760.22571</v>
      </c>
      <c r="M3339" s="460">
        <f t="shared" si="151"/>
        <v>0.05</v>
      </c>
      <c r="N3339" s="464">
        <f t="shared" si="152"/>
        <v>152673</v>
      </c>
    </row>
    <row r="3340" spans="7:14" ht="11.25" customHeight="1" x14ac:dyDescent="0.25">
      <c r="G3340" s="459"/>
      <c r="H3340" s="459">
        <v>3333</v>
      </c>
      <c r="I3340" s="444">
        <f t="shared" ca="1" si="150"/>
        <v>-842760656760.22571</v>
      </c>
      <c r="J3340" s="444">
        <f t="array" ref="J3340">IFERROR(INDEX('Retirement Calculator'!K:K,MATCH('Lorri 401b'!N3340,'Retirement Calculator'!A:A,0),0),0)</f>
        <v>0</v>
      </c>
      <c r="K3340" s="444">
        <f t="shared" ca="1" si="148"/>
        <v>-3511502736.5009403</v>
      </c>
      <c r="L3340" s="444">
        <f t="shared" ca="1" si="149"/>
        <v>-846272159496.72668</v>
      </c>
      <c r="M3340" s="460">
        <f t="shared" si="151"/>
        <v>0.05</v>
      </c>
      <c r="N3340" s="464">
        <f t="shared" si="152"/>
        <v>152704</v>
      </c>
    </row>
    <row r="3341" spans="7:14" ht="11.25" customHeight="1" x14ac:dyDescent="0.25">
      <c r="G3341" s="459"/>
      <c r="H3341" s="459">
        <v>3334</v>
      </c>
      <c r="I3341" s="444">
        <f t="shared" ca="1" si="150"/>
        <v>-846272159496.72668</v>
      </c>
      <c r="J3341" s="444">
        <f t="array" ref="J3341">IFERROR(INDEX('Retirement Calculator'!K:K,MATCH('Lorri 401b'!N3341,'Retirement Calculator'!A:A,0),0),0)</f>
        <v>0</v>
      </c>
      <c r="K3341" s="444">
        <f t="shared" ca="1" si="148"/>
        <v>-3526133997.903028</v>
      </c>
      <c r="L3341" s="444">
        <f t="shared" ca="1" si="149"/>
        <v>-849798293494.62976</v>
      </c>
      <c r="M3341" s="460">
        <f t="shared" si="151"/>
        <v>0.05</v>
      </c>
      <c r="N3341" s="464">
        <f t="shared" si="152"/>
        <v>152732</v>
      </c>
    </row>
    <row r="3342" spans="7:14" ht="11.25" customHeight="1" x14ac:dyDescent="0.25">
      <c r="G3342" s="459"/>
      <c r="H3342" s="459">
        <v>3335</v>
      </c>
      <c r="I3342" s="444">
        <f t="shared" ca="1" si="150"/>
        <v>-849798293494.62976</v>
      </c>
      <c r="J3342" s="444">
        <f t="array" ref="J3342">IFERROR(INDEX('Retirement Calculator'!K:K,MATCH('Lorri 401b'!N3342,'Retirement Calculator'!A:A,0),0),0)</f>
        <v>0</v>
      </c>
      <c r="K3342" s="444">
        <f t="shared" ca="1" si="148"/>
        <v>-3540826222.8942904</v>
      </c>
      <c r="L3342" s="444">
        <f t="shared" ca="1" si="149"/>
        <v>-853339119717.52405</v>
      </c>
      <c r="M3342" s="460">
        <f t="shared" si="151"/>
        <v>0.05</v>
      </c>
      <c r="N3342" s="464">
        <f t="shared" si="152"/>
        <v>152763</v>
      </c>
    </row>
    <row r="3343" spans="7:14" ht="11.25" customHeight="1" x14ac:dyDescent="0.25">
      <c r="G3343" s="459"/>
      <c r="H3343" s="459">
        <v>3336</v>
      </c>
      <c r="I3343" s="444">
        <f t="shared" ca="1" si="150"/>
        <v>-853339119717.52405</v>
      </c>
      <c r="J3343" s="444">
        <f t="array" ref="J3343">IFERROR(INDEX('Retirement Calculator'!K:K,MATCH('Lorri 401b'!N3343,'Retirement Calculator'!A:A,0),0),0)</f>
        <v>0</v>
      </c>
      <c r="K3343" s="444">
        <f t="shared" ca="1" si="148"/>
        <v>-3555579665.4896836</v>
      </c>
      <c r="L3343" s="444">
        <f t="shared" ca="1" si="149"/>
        <v>-856894699383.01367</v>
      </c>
      <c r="M3343" s="460">
        <f t="shared" si="151"/>
        <v>0.05</v>
      </c>
      <c r="N3343" s="464">
        <f t="shared" si="152"/>
        <v>152793</v>
      </c>
    </row>
    <row r="3344" spans="7:14" ht="11.25" customHeight="1" x14ac:dyDescent="0.25">
      <c r="G3344" s="459"/>
      <c r="H3344" s="459">
        <v>3337</v>
      </c>
      <c r="I3344" s="444">
        <f t="shared" ca="1" si="150"/>
        <v>-856894699383.01367</v>
      </c>
      <c r="J3344" s="444">
        <f t="array" ref="J3344">IFERROR(INDEX('Retirement Calculator'!K:K,MATCH('Lorri 401b'!N3344,'Retirement Calculator'!A:A,0),0),0)</f>
        <v>0</v>
      </c>
      <c r="K3344" s="444">
        <f t="shared" ca="1" si="148"/>
        <v>-3570394580.7625575</v>
      </c>
      <c r="L3344" s="444">
        <f t="shared" ca="1" si="149"/>
        <v>-860465093963.77625</v>
      </c>
      <c r="M3344" s="460">
        <f t="shared" si="151"/>
        <v>0.05</v>
      </c>
      <c r="N3344" s="464">
        <f t="shared" si="152"/>
        <v>152824</v>
      </c>
    </row>
    <row r="3345" spans="7:14" ht="11.25" customHeight="1" x14ac:dyDescent="0.25">
      <c r="G3345" s="459"/>
      <c r="H3345" s="459">
        <v>3338</v>
      </c>
      <c r="I3345" s="444">
        <f t="shared" ca="1" si="150"/>
        <v>-860465093963.77625</v>
      </c>
      <c r="J3345" s="444">
        <f t="array" ref="J3345">IFERROR(INDEX('Retirement Calculator'!K:K,MATCH('Lorri 401b'!N3345,'Retirement Calculator'!A:A,0),0),0)</f>
        <v>0</v>
      </c>
      <c r="K3345" s="444">
        <f t="shared" ca="1" si="148"/>
        <v>-3585271224.8490672</v>
      </c>
      <c r="L3345" s="444">
        <f t="shared" ca="1" si="149"/>
        <v>-864050365188.62537</v>
      </c>
      <c r="M3345" s="460">
        <f t="shared" si="151"/>
        <v>0.05</v>
      </c>
      <c r="N3345" s="464">
        <f t="shared" si="152"/>
        <v>152854</v>
      </c>
    </row>
    <row r="3346" spans="7:14" ht="11.25" customHeight="1" x14ac:dyDescent="0.25">
      <c r="G3346" s="459"/>
      <c r="H3346" s="459">
        <v>3339</v>
      </c>
      <c r="I3346" s="444">
        <f t="shared" ca="1" si="150"/>
        <v>-864050365188.62537</v>
      </c>
      <c r="J3346" s="444">
        <f t="array" ref="J3346">IFERROR(INDEX('Retirement Calculator'!K:K,MATCH('Lorri 401b'!N3346,'Retirement Calculator'!A:A,0),0),0)</f>
        <v>0</v>
      </c>
      <c r="K3346" s="444">
        <f t="shared" ca="1" si="148"/>
        <v>-3600209854.9526052</v>
      </c>
      <c r="L3346" s="444">
        <f t="shared" ca="1" si="149"/>
        <v>-867650575043.578</v>
      </c>
      <c r="M3346" s="460">
        <f t="shared" si="151"/>
        <v>0.05</v>
      </c>
      <c r="N3346" s="464">
        <f t="shared" si="152"/>
        <v>152885</v>
      </c>
    </row>
    <row r="3347" spans="7:14" ht="11.25" customHeight="1" x14ac:dyDescent="0.25">
      <c r="G3347" s="459"/>
      <c r="H3347" s="459">
        <v>3340</v>
      </c>
      <c r="I3347" s="444">
        <f t="shared" ca="1" si="150"/>
        <v>-867650575043.578</v>
      </c>
      <c r="J3347" s="444">
        <f t="array" ref="J3347">IFERROR(INDEX('Retirement Calculator'!K:K,MATCH('Lorri 401b'!N3347,'Retirement Calculator'!A:A,0),0),0)</f>
        <v>0</v>
      </c>
      <c r="K3347" s="444">
        <f t="shared" ca="1" si="148"/>
        <v>-3615210729.3482423</v>
      </c>
      <c r="L3347" s="444">
        <f t="shared" ca="1" si="149"/>
        <v>-871265785772.92627</v>
      </c>
      <c r="M3347" s="460">
        <f t="shared" si="151"/>
        <v>0.05</v>
      </c>
      <c r="N3347" s="464">
        <f t="shared" si="152"/>
        <v>152916</v>
      </c>
    </row>
    <row r="3348" spans="7:14" ht="11.25" customHeight="1" x14ac:dyDescent="0.25">
      <c r="G3348" s="459"/>
      <c r="H3348" s="459">
        <v>3341</v>
      </c>
      <c r="I3348" s="444">
        <f t="shared" ca="1" si="150"/>
        <v>-871265785772.92627</v>
      </c>
      <c r="J3348" s="444">
        <f t="array" ref="J3348">IFERROR(INDEX('Retirement Calculator'!K:K,MATCH('Lorri 401b'!N3348,'Retirement Calculator'!A:A,0),0),0)</f>
        <v>0</v>
      </c>
      <c r="K3348" s="444">
        <f t="shared" ca="1" si="148"/>
        <v>-3630274107.3871932</v>
      </c>
      <c r="L3348" s="444">
        <f t="shared" ca="1" si="149"/>
        <v>-874896059880.31348</v>
      </c>
      <c r="M3348" s="460">
        <f t="shared" si="151"/>
        <v>0.05</v>
      </c>
      <c r="N3348" s="464">
        <f t="shared" si="152"/>
        <v>152946</v>
      </c>
    </row>
    <row r="3349" spans="7:14" ht="11.25" customHeight="1" x14ac:dyDescent="0.25">
      <c r="G3349" s="459"/>
      <c r="H3349" s="459">
        <v>3342</v>
      </c>
      <c r="I3349" s="444">
        <f t="shared" ca="1" si="150"/>
        <v>-874896059880.31348</v>
      </c>
      <c r="J3349" s="444">
        <f t="array" ref="J3349">IFERROR(INDEX('Retirement Calculator'!K:K,MATCH('Lorri 401b'!N3349,'Retirement Calculator'!A:A,0),0),0)</f>
        <v>0</v>
      </c>
      <c r="K3349" s="444">
        <f t="shared" ca="1" si="148"/>
        <v>-3645400249.5013061</v>
      </c>
      <c r="L3349" s="444">
        <f t="shared" ca="1" si="149"/>
        <v>-878541460129.81482</v>
      </c>
      <c r="M3349" s="460">
        <f t="shared" si="151"/>
        <v>0.05</v>
      </c>
      <c r="N3349" s="464">
        <f t="shared" si="152"/>
        <v>152977</v>
      </c>
    </row>
    <row r="3350" spans="7:14" ht="11.25" customHeight="1" x14ac:dyDescent="0.25">
      <c r="G3350" s="459"/>
      <c r="H3350" s="459">
        <v>3343</v>
      </c>
      <c r="I3350" s="444">
        <f t="shared" ca="1" si="150"/>
        <v>-878541460129.81482</v>
      </c>
      <c r="J3350" s="444">
        <f t="array" ref="J3350">IFERROR(INDEX('Retirement Calculator'!K:K,MATCH('Lorri 401b'!N3350,'Retirement Calculator'!A:A,0),0),0)</f>
        <v>0</v>
      </c>
      <c r="K3350" s="444">
        <f t="shared" ca="1" si="148"/>
        <v>-3660589417.207562</v>
      </c>
      <c r="L3350" s="444">
        <f t="shared" ca="1" si="149"/>
        <v>-882202049547.02234</v>
      </c>
      <c r="M3350" s="460">
        <f t="shared" si="151"/>
        <v>0.05</v>
      </c>
      <c r="N3350" s="464">
        <f t="shared" si="152"/>
        <v>153007</v>
      </c>
    </row>
    <row r="3351" spans="7:14" ht="11.25" customHeight="1" x14ac:dyDescent="0.25">
      <c r="G3351" s="459"/>
      <c r="H3351" s="459">
        <v>3344</v>
      </c>
      <c r="I3351" s="444">
        <f t="shared" ca="1" si="150"/>
        <v>-882202049547.02234</v>
      </c>
      <c r="J3351" s="444">
        <f t="array" ref="J3351">IFERROR(INDEX('Retirement Calculator'!K:K,MATCH('Lorri 401b'!N3351,'Retirement Calculator'!A:A,0),0),0)</f>
        <v>0</v>
      </c>
      <c r="K3351" s="444">
        <f t="shared" ca="1" si="148"/>
        <v>-3675841873.1125927</v>
      </c>
      <c r="L3351" s="444">
        <f t="shared" ca="1" si="149"/>
        <v>-885877891420.13489</v>
      </c>
      <c r="M3351" s="460">
        <f t="shared" si="151"/>
        <v>0.05</v>
      </c>
      <c r="N3351" s="464">
        <f t="shared" si="152"/>
        <v>153038</v>
      </c>
    </row>
    <row r="3352" spans="7:14" ht="11.25" customHeight="1" x14ac:dyDescent="0.25">
      <c r="G3352" s="459"/>
      <c r="H3352" s="459">
        <v>3345</v>
      </c>
      <c r="I3352" s="444">
        <f t="shared" ca="1" si="150"/>
        <v>-885877891420.13489</v>
      </c>
      <c r="J3352" s="444">
        <f t="array" ref="J3352">IFERROR(INDEX('Retirement Calculator'!K:K,MATCH('Lorri 401b'!N3352,'Retirement Calculator'!A:A,0),0),0)</f>
        <v>0</v>
      </c>
      <c r="K3352" s="444">
        <f t="shared" ca="1" si="148"/>
        <v>-3691157880.9172292</v>
      </c>
      <c r="L3352" s="444">
        <f t="shared" ca="1" si="149"/>
        <v>-889569049301.05212</v>
      </c>
      <c r="M3352" s="460">
        <f t="shared" si="151"/>
        <v>0.05</v>
      </c>
      <c r="N3352" s="464">
        <f t="shared" si="152"/>
        <v>153069</v>
      </c>
    </row>
    <row r="3353" spans="7:14" ht="11.25" customHeight="1" x14ac:dyDescent="0.25">
      <c r="G3353" s="459"/>
      <c r="H3353" s="459">
        <v>3346</v>
      </c>
      <c r="I3353" s="444">
        <f t="shared" ca="1" si="150"/>
        <v>-889569049301.05212</v>
      </c>
      <c r="J3353" s="444">
        <f t="array" ref="J3353">IFERROR(INDEX('Retirement Calculator'!K:K,MATCH('Lorri 401b'!N3353,'Retirement Calculator'!A:A,0),0),0)</f>
        <v>0</v>
      </c>
      <c r="K3353" s="444">
        <f t="shared" ca="1" si="148"/>
        <v>-3706537705.421051</v>
      </c>
      <c r="L3353" s="444">
        <f t="shared" ca="1" si="149"/>
        <v>-893275587006.47314</v>
      </c>
      <c r="M3353" s="460">
        <f t="shared" si="151"/>
        <v>0.05</v>
      </c>
      <c r="N3353" s="464">
        <f t="shared" si="152"/>
        <v>153097</v>
      </c>
    </row>
    <row r="3354" spans="7:14" ht="11.25" customHeight="1" x14ac:dyDescent="0.25">
      <c r="G3354" s="459"/>
      <c r="H3354" s="459">
        <v>3347</v>
      </c>
      <c r="I3354" s="444">
        <f t="shared" ca="1" si="150"/>
        <v>-893275587006.47314</v>
      </c>
      <c r="J3354" s="444">
        <f t="array" ref="J3354">IFERROR(INDEX('Retirement Calculator'!K:K,MATCH('Lorri 401b'!N3354,'Retirement Calculator'!A:A,0),0),0)</f>
        <v>0</v>
      </c>
      <c r="K3354" s="444">
        <f t="shared" ca="1" si="148"/>
        <v>-3721981612.5269713</v>
      </c>
      <c r="L3354" s="444">
        <f t="shared" ca="1" si="149"/>
        <v>-896997568619.00012</v>
      </c>
      <c r="M3354" s="460">
        <f t="shared" si="151"/>
        <v>0.05</v>
      </c>
      <c r="N3354" s="464">
        <f t="shared" si="152"/>
        <v>153128</v>
      </c>
    </row>
    <row r="3355" spans="7:14" ht="11.25" customHeight="1" x14ac:dyDescent="0.25">
      <c r="G3355" s="459"/>
      <c r="H3355" s="459">
        <v>3348</v>
      </c>
      <c r="I3355" s="444">
        <f t="shared" ca="1" si="150"/>
        <v>-896997568619.00012</v>
      </c>
      <c r="J3355" s="444">
        <f t="array" ref="J3355">IFERROR(INDEX('Retirement Calculator'!K:K,MATCH('Lorri 401b'!N3355,'Retirement Calculator'!A:A,0),0),0)</f>
        <v>0</v>
      </c>
      <c r="K3355" s="444">
        <f t="shared" ca="1" si="148"/>
        <v>-3737489869.2458334</v>
      </c>
      <c r="L3355" s="444">
        <f t="shared" ca="1" si="149"/>
        <v>-900735058488.24597</v>
      </c>
      <c r="M3355" s="460">
        <f t="shared" si="151"/>
        <v>0.05</v>
      </c>
      <c r="N3355" s="464">
        <f t="shared" si="152"/>
        <v>153158</v>
      </c>
    </row>
    <row r="3356" spans="7:14" ht="11.25" customHeight="1" x14ac:dyDescent="0.25">
      <c r="G3356" s="459"/>
      <c r="H3356" s="459">
        <v>3349</v>
      </c>
      <c r="I3356" s="444">
        <f t="shared" ca="1" si="150"/>
        <v>-900735058488.24597</v>
      </c>
      <c r="J3356" s="444">
        <f t="array" ref="J3356">IFERROR(INDEX('Retirement Calculator'!K:K,MATCH('Lorri 401b'!N3356,'Retirement Calculator'!A:A,0),0),0)</f>
        <v>0</v>
      </c>
      <c r="K3356" s="444">
        <f t="shared" ca="1" si="148"/>
        <v>-3753062743.701025</v>
      </c>
      <c r="L3356" s="444">
        <f t="shared" ca="1" si="149"/>
        <v>-904488121231.94702</v>
      </c>
      <c r="M3356" s="460">
        <f t="shared" si="151"/>
        <v>0.05</v>
      </c>
      <c r="N3356" s="464">
        <f t="shared" si="152"/>
        <v>153189</v>
      </c>
    </row>
    <row r="3357" spans="7:14" ht="11.25" customHeight="1" x14ac:dyDescent="0.25">
      <c r="G3357" s="459"/>
      <c r="H3357" s="459">
        <v>3350</v>
      </c>
      <c r="I3357" s="444">
        <f t="shared" ca="1" si="150"/>
        <v>-904488121231.94702</v>
      </c>
      <c r="J3357" s="444">
        <f t="array" ref="J3357">IFERROR(INDEX('Retirement Calculator'!K:K,MATCH('Lorri 401b'!N3357,'Retirement Calculator'!A:A,0),0),0)</f>
        <v>0</v>
      </c>
      <c r="K3357" s="444">
        <f t="shared" ca="1" si="148"/>
        <v>-3768700505.133112</v>
      </c>
      <c r="L3357" s="444">
        <f t="shared" ca="1" si="149"/>
        <v>-908256821737.08008</v>
      </c>
      <c r="M3357" s="460">
        <f t="shared" si="151"/>
        <v>0.05</v>
      </c>
      <c r="N3357" s="464">
        <f t="shared" si="152"/>
        <v>153219</v>
      </c>
    </row>
    <row r="3358" spans="7:14" ht="11.25" customHeight="1" x14ac:dyDescent="0.25">
      <c r="G3358" s="459"/>
      <c r="H3358" s="459">
        <v>3351</v>
      </c>
      <c r="I3358" s="444">
        <f t="shared" ca="1" si="150"/>
        <v>-908256821737.08008</v>
      </c>
      <c r="J3358" s="444">
        <f t="array" ref="J3358">IFERROR(INDEX('Retirement Calculator'!K:K,MATCH('Lorri 401b'!N3358,'Retirement Calculator'!A:A,0),0),0)</f>
        <v>0</v>
      </c>
      <c r="K3358" s="444">
        <f t="shared" ca="1" si="148"/>
        <v>-3784403423.9045005</v>
      </c>
      <c r="L3358" s="444">
        <f t="shared" ca="1" si="149"/>
        <v>-912041225160.98462</v>
      </c>
      <c r="M3358" s="460">
        <f t="shared" si="151"/>
        <v>0.05</v>
      </c>
      <c r="N3358" s="464">
        <f t="shared" si="152"/>
        <v>153250</v>
      </c>
    </row>
    <row r="3359" spans="7:14" ht="11.25" customHeight="1" x14ac:dyDescent="0.25">
      <c r="G3359" s="459"/>
      <c r="H3359" s="459">
        <v>3352</v>
      </c>
      <c r="I3359" s="444">
        <f t="shared" ca="1" si="150"/>
        <v>-912041225160.98462</v>
      </c>
      <c r="J3359" s="444">
        <f t="array" ref="J3359">IFERROR(INDEX('Retirement Calculator'!K:K,MATCH('Lorri 401b'!N3359,'Retirement Calculator'!A:A,0),0),0)</f>
        <v>0</v>
      </c>
      <c r="K3359" s="444">
        <f t="shared" ca="1" si="148"/>
        <v>-3800171771.5041027</v>
      </c>
      <c r="L3359" s="444">
        <f t="shared" ca="1" si="149"/>
        <v>-915841396932.48877</v>
      </c>
      <c r="M3359" s="460">
        <f t="shared" si="151"/>
        <v>0.05</v>
      </c>
      <c r="N3359" s="464">
        <f t="shared" si="152"/>
        <v>153281</v>
      </c>
    </row>
    <row r="3360" spans="7:14" ht="11.25" customHeight="1" x14ac:dyDescent="0.25">
      <c r="G3360" s="459"/>
      <c r="H3360" s="459">
        <v>3353</v>
      </c>
      <c r="I3360" s="444">
        <f t="shared" ca="1" si="150"/>
        <v>-915841396932.48877</v>
      </c>
      <c r="J3360" s="444">
        <f t="array" ref="J3360">IFERROR(INDEX('Retirement Calculator'!K:K,MATCH('Lorri 401b'!N3360,'Retirement Calculator'!A:A,0),0),0)</f>
        <v>0</v>
      </c>
      <c r="K3360" s="444">
        <f t="shared" ca="1" si="148"/>
        <v>-3816005820.5520363</v>
      </c>
      <c r="L3360" s="444">
        <f t="shared" ca="1" si="149"/>
        <v>-919657402753.04077</v>
      </c>
      <c r="M3360" s="460">
        <f t="shared" si="151"/>
        <v>0.05</v>
      </c>
      <c r="N3360" s="464">
        <f t="shared" si="152"/>
        <v>153311</v>
      </c>
    </row>
    <row r="3361" spans="7:14" ht="11.25" customHeight="1" x14ac:dyDescent="0.25">
      <c r="G3361" s="459"/>
      <c r="H3361" s="459">
        <v>3354</v>
      </c>
      <c r="I3361" s="444">
        <f t="shared" ca="1" si="150"/>
        <v>-919657402753.04077</v>
      </c>
      <c r="J3361" s="444">
        <f t="array" ref="J3361">IFERROR(INDEX('Retirement Calculator'!K:K,MATCH('Lorri 401b'!N3361,'Retirement Calculator'!A:A,0),0),0)</f>
        <v>0</v>
      </c>
      <c r="K3361" s="444">
        <f t="shared" ca="1" si="148"/>
        <v>-3831905844.8043361</v>
      </c>
      <c r="L3361" s="444">
        <f t="shared" ca="1" si="149"/>
        <v>-923489308597.84509</v>
      </c>
      <c r="M3361" s="460">
        <f t="shared" si="151"/>
        <v>0.05</v>
      </c>
      <c r="N3361" s="464">
        <f t="shared" si="152"/>
        <v>153342</v>
      </c>
    </row>
    <row r="3362" spans="7:14" ht="11.25" customHeight="1" x14ac:dyDescent="0.25">
      <c r="G3362" s="459"/>
      <c r="H3362" s="459">
        <v>3355</v>
      </c>
      <c r="I3362" s="444">
        <f t="shared" ca="1" si="150"/>
        <v>-923489308597.84509</v>
      </c>
      <c r="J3362" s="444">
        <f t="array" ref="J3362">IFERROR(INDEX('Retirement Calculator'!K:K,MATCH('Lorri 401b'!N3362,'Retirement Calculator'!A:A,0),0),0)</f>
        <v>0</v>
      </c>
      <c r="K3362" s="444">
        <f t="shared" ca="1" si="148"/>
        <v>-3847872119.1576881</v>
      </c>
      <c r="L3362" s="444">
        <f t="shared" ca="1" si="149"/>
        <v>-927337180717.00281</v>
      </c>
      <c r="M3362" s="460">
        <f t="shared" si="151"/>
        <v>0.05</v>
      </c>
      <c r="N3362" s="464">
        <f t="shared" si="152"/>
        <v>153372</v>
      </c>
    </row>
    <row r="3363" spans="7:14" ht="11.25" customHeight="1" x14ac:dyDescent="0.25">
      <c r="G3363" s="459"/>
      <c r="H3363" s="459">
        <v>3356</v>
      </c>
      <c r="I3363" s="444">
        <f t="shared" ca="1" si="150"/>
        <v>-927337180717.00281</v>
      </c>
      <c r="J3363" s="444">
        <f t="array" ref="J3363">IFERROR(INDEX('Retirement Calculator'!K:K,MATCH('Lorri 401b'!N3363,'Retirement Calculator'!A:A,0),0),0)</f>
        <v>0</v>
      </c>
      <c r="K3363" s="444">
        <f t="shared" ca="1" si="148"/>
        <v>-3863904919.6541781</v>
      </c>
      <c r="L3363" s="444">
        <f t="shared" ca="1" si="149"/>
        <v>-931201085636.65698</v>
      </c>
      <c r="M3363" s="460">
        <f t="shared" si="151"/>
        <v>0.05</v>
      </c>
      <c r="N3363" s="464">
        <f t="shared" si="152"/>
        <v>153403</v>
      </c>
    </row>
    <row r="3364" spans="7:14" ht="11.25" customHeight="1" x14ac:dyDescent="0.25">
      <c r="G3364" s="459"/>
      <c r="H3364" s="459">
        <v>3357</v>
      </c>
      <c r="I3364" s="444">
        <f t="shared" ca="1" si="150"/>
        <v>-931201085636.65698</v>
      </c>
      <c r="J3364" s="444">
        <f t="array" ref="J3364">IFERROR(INDEX('Retirement Calculator'!K:K,MATCH('Lorri 401b'!N3364,'Retirement Calculator'!A:A,0),0),0)</f>
        <v>0</v>
      </c>
      <c r="K3364" s="444">
        <f t="shared" ca="1" si="148"/>
        <v>-3880004523.4860706</v>
      </c>
      <c r="L3364" s="444">
        <f t="shared" ca="1" si="149"/>
        <v>-935081090160.14307</v>
      </c>
      <c r="M3364" s="460">
        <f t="shared" si="151"/>
        <v>0.05</v>
      </c>
      <c r="N3364" s="464">
        <f t="shared" si="152"/>
        <v>153434</v>
      </c>
    </row>
    <row r="3365" spans="7:14" ht="11.25" customHeight="1" x14ac:dyDescent="0.25">
      <c r="G3365" s="459"/>
      <c r="H3365" s="459">
        <v>3358</v>
      </c>
      <c r="I3365" s="444">
        <f t="shared" ca="1" si="150"/>
        <v>-935081090160.14307</v>
      </c>
      <c r="J3365" s="444">
        <f t="array" ref="J3365">IFERROR(INDEX('Retirement Calculator'!K:K,MATCH('Lorri 401b'!N3365,'Retirement Calculator'!A:A,0),0),0)</f>
        <v>0</v>
      </c>
      <c r="K3365" s="444">
        <f t="shared" ca="1" si="148"/>
        <v>-3896171209.0005956</v>
      </c>
      <c r="L3365" s="444">
        <f t="shared" ca="1" si="149"/>
        <v>-938977261369.14368</v>
      </c>
      <c r="M3365" s="460">
        <f t="shared" si="151"/>
        <v>0.05</v>
      </c>
      <c r="N3365" s="464">
        <f t="shared" si="152"/>
        <v>153463</v>
      </c>
    </row>
    <row r="3366" spans="7:14" ht="11.25" customHeight="1" x14ac:dyDescent="0.25">
      <c r="G3366" s="459"/>
      <c r="H3366" s="459">
        <v>3359</v>
      </c>
      <c r="I3366" s="444">
        <f t="shared" ca="1" si="150"/>
        <v>-938977261369.14368</v>
      </c>
      <c r="J3366" s="444">
        <f t="array" ref="J3366">IFERROR(INDEX('Retirement Calculator'!K:K,MATCH('Lorri 401b'!N3366,'Retirement Calculator'!A:A,0),0),0)</f>
        <v>0</v>
      </c>
      <c r="K3366" s="444">
        <f t="shared" ca="1" si="148"/>
        <v>-3912405255.7047648</v>
      </c>
      <c r="L3366" s="444">
        <f t="shared" ca="1" si="149"/>
        <v>-942889666624.84839</v>
      </c>
      <c r="M3366" s="460">
        <f t="shared" si="151"/>
        <v>0.05</v>
      </c>
      <c r="N3366" s="464">
        <f t="shared" si="152"/>
        <v>153494</v>
      </c>
    </row>
    <row r="3367" spans="7:14" ht="11.25" customHeight="1" x14ac:dyDescent="0.25">
      <c r="G3367" s="459"/>
      <c r="H3367" s="459">
        <v>3360</v>
      </c>
      <c r="I3367" s="444">
        <f t="shared" ca="1" si="150"/>
        <v>-942889666624.84839</v>
      </c>
      <c r="J3367" s="444">
        <f t="array" ref="J3367">IFERROR(INDEX('Retirement Calculator'!K:K,MATCH('Lorri 401b'!N3367,'Retirement Calculator'!A:A,0),0),0)</f>
        <v>0</v>
      </c>
      <c r="K3367" s="444">
        <f t="shared" ca="1" si="148"/>
        <v>-3928706944.2702022</v>
      </c>
      <c r="L3367" s="444">
        <f t="shared" ca="1" si="149"/>
        <v>-946818373569.11853</v>
      </c>
      <c r="M3367" s="460">
        <f t="shared" si="151"/>
        <v>0.05</v>
      </c>
      <c r="N3367" s="464">
        <f t="shared" si="152"/>
        <v>153524</v>
      </c>
    </row>
    <row r="3368" spans="7:14" ht="11.25" customHeight="1" x14ac:dyDescent="0.25">
      <c r="G3368" s="459"/>
      <c r="H3368" s="459">
        <v>3361</v>
      </c>
      <c r="I3368" s="444">
        <f t="shared" ca="1" si="150"/>
        <v>-946818373569.11853</v>
      </c>
      <c r="J3368" s="444">
        <f t="array" ref="J3368">IFERROR(INDEX('Retirement Calculator'!K:K,MATCH('Lorri 401b'!N3368,'Retirement Calculator'!A:A,0),0),0)</f>
        <v>0</v>
      </c>
      <c r="K3368" s="444">
        <f t="shared" ca="1" si="148"/>
        <v>-3945076556.5379939</v>
      </c>
      <c r="L3368" s="444">
        <f t="shared" ca="1" si="149"/>
        <v>-950763450125.65649</v>
      </c>
      <c r="M3368" s="460">
        <f t="shared" si="151"/>
        <v>0.05</v>
      </c>
      <c r="N3368" s="464">
        <f t="shared" si="152"/>
        <v>153555</v>
      </c>
    </row>
    <row r="3369" spans="7:14" ht="11.25" customHeight="1" x14ac:dyDescent="0.25">
      <c r="G3369" s="459"/>
      <c r="H3369" s="459">
        <v>3362</v>
      </c>
      <c r="I3369" s="444">
        <f t="shared" ca="1" si="150"/>
        <v>-950763450125.65649</v>
      </c>
      <c r="J3369" s="444">
        <f t="array" ref="J3369">IFERROR(INDEX('Retirement Calculator'!K:K,MATCH('Lorri 401b'!N3369,'Retirement Calculator'!A:A,0),0),0)</f>
        <v>0</v>
      </c>
      <c r="K3369" s="444">
        <f t="shared" ca="1" si="148"/>
        <v>-3961514375.5235686</v>
      </c>
      <c r="L3369" s="444">
        <f t="shared" ca="1" si="149"/>
        <v>-954724964501.18005</v>
      </c>
      <c r="M3369" s="460">
        <f t="shared" si="151"/>
        <v>0.05</v>
      </c>
      <c r="N3369" s="464">
        <f t="shared" si="152"/>
        <v>153585</v>
      </c>
    </row>
    <row r="3370" spans="7:14" ht="11.25" customHeight="1" x14ac:dyDescent="0.25">
      <c r="G3370" s="459"/>
      <c r="H3370" s="459">
        <v>3363</v>
      </c>
      <c r="I3370" s="444">
        <f t="shared" ca="1" si="150"/>
        <v>-954724964501.18005</v>
      </c>
      <c r="J3370" s="444">
        <f t="array" ref="J3370">IFERROR(INDEX('Retirement Calculator'!K:K,MATCH('Lorri 401b'!N3370,'Retirement Calculator'!A:A,0),0),0)</f>
        <v>0</v>
      </c>
      <c r="K3370" s="444">
        <f t="shared" ca="1" si="148"/>
        <v>-3978020685.4215841</v>
      </c>
      <c r="L3370" s="444">
        <f t="shared" ca="1" si="149"/>
        <v>-958702985186.60168</v>
      </c>
      <c r="M3370" s="460">
        <f t="shared" si="151"/>
        <v>0.05</v>
      </c>
      <c r="N3370" s="464">
        <f t="shared" si="152"/>
        <v>153616</v>
      </c>
    </row>
    <row r="3371" spans="7:14" ht="11.25" customHeight="1" x14ac:dyDescent="0.25">
      <c r="G3371" s="459"/>
      <c r="H3371" s="459">
        <v>3364</v>
      </c>
      <c r="I3371" s="444">
        <f t="shared" ca="1" si="150"/>
        <v>-958702985186.60168</v>
      </c>
      <c r="J3371" s="444">
        <f t="array" ref="J3371">IFERROR(INDEX('Retirement Calculator'!K:K,MATCH('Lorri 401b'!N3371,'Retirement Calculator'!A:A,0),0),0)</f>
        <v>0</v>
      </c>
      <c r="K3371" s="444">
        <f t="shared" ca="1" si="148"/>
        <v>-3994595771.6108408</v>
      </c>
      <c r="L3371" s="444">
        <f t="shared" ca="1" si="149"/>
        <v>-962697580958.21252</v>
      </c>
      <c r="M3371" s="460">
        <f t="shared" si="151"/>
        <v>0.05</v>
      </c>
      <c r="N3371" s="464">
        <f t="shared" si="152"/>
        <v>153647</v>
      </c>
    </row>
    <row r="3372" spans="7:14" ht="11.25" customHeight="1" x14ac:dyDescent="0.25">
      <c r="G3372" s="459"/>
      <c r="H3372" s="459">
        <v>3365</v>
      </c>
      <c r="I3372" s="444">
        <f t="shared" ca="1" si="150"/>
        <v>-962697580958.21252</v>
      </c>
      <c r="J3372" s="444">
        <f t="array" ref="J3372">IFERROR(INDEX('Retirement Calculator'!K:K,MATCH('Lorri 401b'!N3372,'Retirement Calculator'!A:A,0),0),0)</f>
        <v>0</v>
      </c>
      <c r="K3372" s="444">
        <f t="shared" ca="1" si="148"/>
        <v>-4011239920.6592188</v>
      </c>
      <c r="L3372" s="444">
        <f t="shared" ca="1" si="149"/>
        <v>-966708820878.8717</v>
      </c>
      <c r="M3372" s="460">
        <f t="shared" si="151"/>
        <v>0.05</v>
      </c>
      <c r="N3372" s="464">
        <f t="shared" si="152"/>
        <v>153677</v>
      </c>
    </row>
    <row r="3373" spans="7:14" ht="11.25" customHeight="1" x14ac:dyDescent="0.25">
      <c r="G3373" s="459"/>
      <c r="H3373" s="459">
        <v>3366</v>
      </c>
      <c r="I3373" s="444">
        <f t="shared" ca="1" si="150"/>
        <v>-966708820878.8717</v>
      </c>
      <c r="J3373" s="444">
        <f t="array" ref="J3373">IFERROR(INDEX('Retirement Calculator'!K:K,MATCH('Lorri 401b'!N3373,'Retirement Calculator'!A:A,0),0),0)</f>
        <v>0</v>
      </c>
      <c r="K3373" s="444">
        <f t="shared" ca="1" si="148"/>
        <v>-4027953420.3286319</v>
      </c>
      <c r="L3373" s="444">
        <f t="shared" ca="1" si="149"/>
        <v>-970736774299.20032</v>
      </c>
      <c r="M3373" s="460">
        <f t="shared" si="151"/>
        <v>0.05</v>
      </c>
      <c r="N3373" s="464">
        <f t="shared" si="152"/>
        <v>153708</v>
      </c>
    </row>
    <row r="3374" spans="7:14" ht="11.25" customHeight="1" x14ac:dyDescent="0.25">
      <c r="G3374" s="459"/>
      <c r="H3374" s="459">
        <v>3367</v>
      </c>
      <c r="I3374" s="444">
        <f t="shared" ca="1" si="150"/>
        <v>-970736774299.20032</v>
      </c>
      <c r="J3374" s="444">
        <f t="array" ref="J3374">IFERROR(INDEX('Retirement Calculator'!K:K,MATCH('Lorri 401b'!N3374,'Retirement Calculator'!A:A,0),0),0)</f>
        <v>0</v>
      </c>
      <c r="K3374" s="444">
        <f t="shared" ca="1" si="148"/>
        <v>-4044736559.5800009</v>
      </c>
      <c r="L3374" s="444">
        <f t="shared" ca="1" si="149"/>
        <v>-974781510858.78027</v>
      </c>
      <c r="M3374" s="460">
        <f t="shared" si="151"/>
        <v>0.05</v>
      </c>
      <c r="N3374" s="464">
        <f t="shared" si="152"/>
        <v>153738</v>
      </c>
    </row>
    <row r="3375" spans="7:14" ht="11.25" customHeight="1" x14ac:dyDescent="0.25">
      <c r="G3375" s="459"/>
      <c r="H3375" s="459">
        <v>3368</v>
      </c>
      <c r="I3375" s="444">
        <f t="shared" ca="1" si="150"/>
        <v>-974781510858.78027</v>
      </c>
      <c r="J3375" s="444">
        <f t="array" ref="J3375">IFERROR(INDEX('Retirement Calculator'!K:K,MATCH('Lorri 401b'!N3375,'Retirement Calculator'!A:A,0),0),0)</f>
        <v>0</v>
      </c>
      <c r="K3375" s="444">
        <f t="shared" ca="1" si="148"/>
        <v>-4061589628.5782509</v>
      </c>
      <c r="L3375" s="444">
        <f t="shared" ca="1" si="149"/>
        <v>-978843100487.35852</v>
      </c>
      <c r="M3375" s="460">
        <f t="shared" si="151"/>
        <v>0.05</v>
      </c>
      <c r="N3375" s="464">
        <f t="shared" si="152"/>
        <v>153769</v>
      </c>
    </row>
    <row r="3376" spans="7:14" ht="11.25" customHeight="1" x14ac:dyDescent="0.25">
      <c r="G3376" s="459"/>
      <c r="H3376" s="459">
        <v>3369</v>
      </c>
      <c r="I3376" s="444">
        <f t="shared" ca="1" si="150"/>
        <v>-978843100487.35852</v>
      </c>
      <c r="J3376" s="444">
        <f t="array" ref="J3376">IFERROR(INDEX('Retirement Calculator'!K:K,MATCH('Lorri 401b'!N3376,'Retirement Calculator'!A:A,0),0),0)</f>
        <v>0</v>
      </c>
      <c r="K3376" s="444">
        <f t="shared" ca="1" si="148"/>
        <v>-4078512918.6973271</v>
      </c>
      <c r="L3376" s="444">
        <f t="shared" ca="1" si="149"/>
        <v>-982921613406.05591</v>
      </c>
      <c r="M3376" s="460">
        <f t="shared" si="151"/>
        <v>0.05</v>
      </c>
      <c r="N3376" s="464">
        <f t="shared" si="152"/>
        <v>153800</v>
      </c>
    </row>
    <row r="3377" spans="7:14" ht="11.25" customHeight="1" x14ac:dyDescent="0.25">
      <c r="G3377" s="459"/>
      <c r="H3377" s="459">
        <v>3370</v>
      </c>
      <c r="I3377" s="444">
        <f t="shared" ca="1" si="150"/>
        <v>-982921613406.05591</v>
      </c>
      <c r="J3377" s="444">
        <f t="array" ref="J3377">IFERROR(INDEX('Retirement Calculator'!K:K,MATCH('Lorri 401b'!N3377,'Retirement Calculator'!A:A,0),0),0)</f>
        <v>0</v>
      </c>
      <c r="K3377" s="444">
        <f t="shared" ca="1" si="148"/>
        <v>-4095506722.5252328</v>
      </c>
      <c r="L3377" s="444">
        <f t="shared" ca="1" si="149"/>
        <v>-987017120128.58118</v>
      </c>
      <c r="M3377" s="460">
        <f t="shared" si="151"/>
        <v>0.05</v>
      </c>
      <c r="N3377" s="464">
        <f t="shared" si="152"/>
        <v>153828</v>
      </c>
    </row>
    <row r="3378" spans="7:14" ht="11.25" customHeight="1" x14ac:dyDescent="0.25">
      <c r="G3378" s="459"/>
      <c r="H3378" s="459">
        <v>3371</v>
      </c>
      <c r="I3378" s="444">
        <f t="shared" ca="1" si="150"/>
        <v>-987017120128.58118</v>
      </c>
      <c r="J3378" s="444">
        <f t="array" ref="J3378">IFERROR(INDEX('Retirement Calculator'!K:K,MATCH('Lorri 401b'!N3378,'Retirement Calculator'!A:A,0),0),0)</f>
        <v>0</v>
      </c>
      <c r="K3378" s="444">
        <f t="shared" ca="1" si="148"/>
        <v>-4112571333.8690886</v>
      </c>
      <c r="L3378" s="444">
        <f t="shared" ca="1" si="149"/>
        <v>-991129691462.45032</v>
      </c>
      <c r="M3378" s="460">
        <f t="shared" si="151"/>
        <v>0.05</v>
      </c>
      <c r="N3378" s="464">
        <f t="shared" si="152"/>
        <v>153859</v>
      </c>
    </row>
    <row r="3379" spans="7:14" ht="11.25" customHeight="1" x14ac:dyDescent="0.25">
      <c r="G3379" s="459"/>
      <c r="H3379" s="459">
        <v>3372</v>
      </c>
      <c r="I3379" s="444">
        <f t="shared" ca="1" si="150"/>
        <v>-991129691462.45032</v>
      </c>
      <c r="J3379" s="444">
        <f t="array" ref="J3379">IFERROR(INDEX('Retirement Calculator'!K:K,MATCH('Lorri 401b'!N3379,'Retirement Calculator'!A:A,0),0),0)</f>
        <v>0</v>
      </c>
      <c r="K3379" s="444">
        <f t="shared" ca="1" si="148"/>
        <v>-4129707047.7602096</v>
      </c>
      <c r="L3379" s="444">
        <f t="shared" ca="1" si="149"/>
        <v>-995259398510.21057</v>
      </c>
      <c r="M3379" s="460">
        <f t="shared" si="151"/>
        <v>0.05</v>
      </c>
      <c r="N3379" s="464">
        <f t="shared" si="152"/>
        <v>153889</v>
      </c>
    </row>
    <row r="3380" spans="7:14" ht="11.25" customHeight="1" x14ac:dyDescent="0.25">
      <c r="G3380" s="459"/>
      <c r="H3380" s="459">
        <v>3373</v>
      </c>
      <c r="I3380" s="444">
        <f t="shared" ca="1" si="150"/>
        <v>-995259398510.21057</v>
      </c>
      <c r="J3380" s="444">
        <f t="array" ref="J3380">IFERROR(INDEX('Retirement Calculator'!K:K,MATCH('Lorri 401b'!N3380,'Retirement Calculator'!A:A,0),0),0)</f>
        <v>0</v>
      </c>
      <c r="K3380" s="444">
        <f t="shared" ca="1" si="148"/>
        <v>-4146914160.4592113</v>
      </c>
      <c r="L3380" s="444">
        <f t="shared" ca="1" si="149"/>
        <v>-999406312670.6698</v>
      </c>
      <c r="M3380" s="460">
        <f t="shared" si="151"/>
        <v>0.05</v>
      </c>
      <c r="N3380" s="464">
        <f t="shared" si="152"/>
        <v>153920</v>
      </c>
    </row>
    <row r="3381" spans="7:14" ht="11.25" customHeight="1" x14ac:dyDescent="0.25">
      <c r="G3381" s="459"/>
      <c r="H3381" s="459">
        <v>3374</v>
      </c>
      <c r="I3381" s="444">
        <f t="shared" ca="1" si="150"/>
        <v>-999406312670.6698</v>
      </c>
      <c r="J3381" s="444">
        <f t="array" ref="J3381">IFERROR(INDEX('Retirement Calculator'!K:K,MATCH('Lorri 401b'!N3381,'Retirement Calculator'!A:A,0),0),0)</f>
        <v>0</v>
      </c>
      <c r="K3381" s="444">
        <f t="shared" ca="1" si="148"/>
        <v>-4164192969.4611239</v>
      </c>
      <c r="L3381" s="444">
        <f t="shared" ca="1" si="149"/>
        <v>-1003570505640.131</v>
      </c>
      <c r="M3381" s="460">
        <f t="shared" si="151"/>
        <v>0.05</v>
      </c>
      <c r="N3381" s="464">
        <f t="shared" si="152"/>
        <v>153950</v>
      </c>
    </row>
    <row r="3382" spans="7:14" ht="11.25" customHeight="1" x14ac:dyDescent="0.25">
      <c r="G3382" s="459"/>
      <c r="H3382" s="459">
        <v>3375</v>
      </c>
      <c r="I3382" s="444">
        <f t="shared" ca="1" si="150"/>
        <v>-1003570505640.131</v>
      </c>
      <c r="J3382" s="444">
        <f t="array" ref="J3382">IFERROR(INDEX('Retirement Calculator'!K:K,MATCH('Lorri 401b'!N3382,'Retirement Calculator'!A:A,0),0),0)</f>
        <v>0</v>
      </c>
      <c r="K3382" s="444">
        <f t="shared" ca="1" si="148"/>
        <v>-4181543773.5005455</v>
      </c>
      <c r="L3382" s="444">
        <f t="shared" ca="1" si="149"/>
        <v>-1007752049413.6315</v>
      </c>
      <c r="M3382" s="460">
        <f t="shared" si="151"/>
        <v>0.05</v>
      </c>
      <c r="N3382" s="464">
        <f t="shared" si="152"/>
        <v>153981</v>
      </c>
    </row>
    <row r="3383" spans="7:14" ht="11.25" customHeight="1" x14ac:dyDescent="0.25">
      <c r="G3383" s="459"/>
      <c r="H3383" s="459">
        <v>3376</v>
      </c>
      <c r="I3383" s="444">
        <f t="shared" ca="1" si="150"/>
        <v>-1007752049413.6315</v>
      </c>
      <c r="J3383" s="444">
        <f t="array" ref="J3383">IFERROR(INDEX('Retirement Calculator'!K:K,MATCH('Lorri 401b'!N3383,'Retirement Calculator'!A:A,0),0),0)</f>
        <v>0</v>
      </c>
      <c r="K3383" s="444">
        <f t="shared" ca="1" si="148"/>
        <v>-4198966872.5567975</v>
      </c>
      <c r="L3383" s="444">
        <f t="shared" ca="1" si="149"/>
        <v>-1011951016286.1882</v>
      </c>
      <c r="M3383" s="460">
        <f t="shared" si="151"/>
        <v>0.05</v>
      </c>
      <c r="N3383" s="464">
        <f t="shared" si="152"/>
        <v>154012</v>
      </c>
    </row>
    <row r="3384" spans="7:14" ht="11.25" customHeight="1" x14ac:dyDescent="0.25">
      <c r="G3384" s="459"/>
      <c r="H3384" s="459">
        <v>3377</v>
      </c>
      <c r="I3384" s="444">
        <f t="shared" ca="1" si="150"/>
        <v>-1011951016286.1882</v>
      </c>
      <c r="J3384" s="444">
        <f t="array" ref="J3384">IFERROR(INDEX('Retirement Calculator'!K:K,MATCH('Lorri 401b'!N3384,'Retirement Calculator'!A:A,0),0),0)</f>
        <v>0</v>
      </c>
      <c r="K3384" s="444">
        <f t="shared" ca="1" si="148"/>
        <v>-4216462567.8591175</v>
      </c>
      <c r="L3384" s="444">
        <f t="shared" ca="1" si="149"/>
        <v>-1016167478854.0474</v>
      </c>
      <c r="M3384" s="460">
        <f t="shared" si="151"/>
        <v>0.05</v>
      </c>
      <c r="N3384" s="464">
        <f t="shared" si="152"/>
        <v>154042</v>
      </c>
    </row>
    <row r="3385" spans="7:14" ht="11.25" customHeight="1" x14ac:dyDescent="0.25">
      <c r="G3385" s="459"/>
      <c r="H3385" s="459">
        <v>3378</v>
      </c>
      <c r="I3385" s="444">
        <f t="shared" ca="1" si="150"/>
        <v>-1016167478854.0474</v>
      </c>
      <c r="J3385" s="444">
        <f t="array" ref="J3385">IFERROR(INDEX('Retirement Calculator'!K:K,MATCH('Lorri 401b'!N3385,'Retirement Calculator'!A:A,0),0),0)</f>
        <v>0</v>
      </c>
      <c r="K3385" s="444">
        <f t="shared" ca="1" si="148"/>
        <v>-4234031161.8918638</v>
      </c>
      <c r="L3385" s="444">
        <f t="shared" ca="1" si="149"/>
        <v>-1020401510015.9392</v>
      </c>
      <c r="M3385" s="460">
        <f t="shared" si="151"/>
        <v>0.05</v>
      </c>
      <c r="N3385" s="464">
        <f t="shared" si="152"/>
        <v>154073</v>
      </c>
    </row>
    <row r="3386" spans="7:14" ht="11.25" customHeight="1" x14ac:dyDescent="0.25">
      <c r="G3386" s="459"/>
      <c r="H3386" s="459">
        <v>3379</v>
      </c>
      <c r="I3386" s="444">
        <f t="shared" ca="1" si="150"/>
        <v>-1020401510015.9392</v>
      </c>
      <c r="J3386" s="444">
        <f t="array" ref="J3386">IFERROR(INDEX('Retirement Calculator'!K:K,MATCH('Lorri 401b'!N3386,'Retirement Calculator'!A:A,0),0),0)</f>
        <v>0</v>
      </c>
      <c r="K3386" s="444">
        <f t="shared" ca="1" si="148"/>
        <v>-4251672958.3997459</v>
      </c>
      <c r="L3386" s="444">
        <f t="shared" ca="1" si="149"/>
        <v>-1024653182974.339</v>
      </c>
      <c r="M3386" s="460">
        <f t="shared" si="151"/>
        <v>0.05</v>
      </c>
      <c r="N3386" s="464">
        <f t="shared" si="152"/>
        <v>154103</v>
      </c>
    </row>
    <row r="3387" spans="7:14" ht="11.25" customHeight="1" x14ac:dyDescent="0.25">
      <c r="G3387" s="459"/>
      <c r="H3387" s="459">
        <v>3380</v>
      </c>
      <c r="I3387" s="444">
        <f t="shared" ca="1" si="150"/>
        <v>-1024653182974.339</v>
      </c>
      <c r="J3387" s="444">
        <f t="array" ref="J3387">IFERROR(INDEX('Retirement Calculator'!K:K,MATCH('Lorri 401b'!N3387,'Retirement Calculator'!A:A,0),0),0)</f>
        <v>0</v>
      </c>
      <c r="K3387" s="444">
        <f t="shared" ca="1" si="148"/>
        <v>-4269388262.3930793</v>
      </c>
      <c r="L3387" s="444">
        <f t="shared" ca="1" si="149"/>
        <v>-1028922571236.7321</v>
      </c>
      <c r="M3387" s="460">
        <f t="shared" si="151"/>
        <v>0.05</v>
      </c>
      <c r="N3387" s="464">
        <f t="shared" si="152"/>
        <v>154134</v>
      </c>
    </row>
    <row r="3388" spans="7:14" ht="11.25" customHeight="1" x14ac:dyDescent="0.25">
      <c r="G3388" s="459"/>
      <c r="H3388" s="459">
        <v>3381</v>
      </c>
      <c r="I3388" s="444">
        <f t="shared" ca="1" si="150"/>
        <v>-1028922571236.7321</v>
      </c>
      <c r="J3388" s="444">
        <f t="array" ref="J3388">IFERROR(INDEX('Retirement Calculator'!K:K,MATCH('Lorri 401b'!N3388,'Retirement Calculator'!A:A,0),0),0)</f>
        <v>0</v>
      </c>
      <c r="K3388" s="444">
        <f t="shared" ca="1" si="148"/>
        <v>-4287177380.1530499</v>
      </c>
      <c r="L3388" s="444">
        <f t="shared" ca="1" si="149"/>
        <v>-1033209748616.8851</v>
      </c>
      <c r="M3388" s="460">
        <f t="shared" si="151"/>
        <v>0.05</v>
      </c>
      <c r="N3388" s="464">
        <f t="shared" si="152"/>
        <v>154165</v>
      </c>
    </row>
    <row r="3389" spans="7:14" ht="11.25" customHeight="1" x14ac:dyDescent="0.25">
      <c r="G3389" s="459"/>
      <c r="H3389" s="459">
        <v>3382</v>
      </c>
      <c r="I3389" s="444">
        <f t="shared" ca="1" si="150"/>
        <v>-1033209748616.8851</v>
      </c>
      <c r="J3389" s="444">
        <f t="array" ref="J3389">IFERROR(INDEX('Retirement Calculator'!K:K,MATCH('Lorri 401b'!N3389,'Retirement Calculator'!A:A,0),0),0)</f>
        <v>0</v>
      </c>
      <c r="K3389" s="444">
        <f t="shared" ca="1" si="148"/>
        <v>-4305040619.2370214</v>
      </c>
      <c r="L3389" s="444">
        <f t="shared" ca="1" si="149"/>
        <v>-1037514789236.1222</v>
      </c>
      <c r="M3389" s="460">
        <f t="shared" si="151"/>
        <v>0.05</v>
      </c>
      <c r="N3389" s="464">
        <f t="shared" si="152"/>
        <v>154193</v>
      </c>
    </row>
    <row r="3390" spans="7:14" ht="11.25" customHeight="1" x14ac:dyDescent="0.25">
      <c r="G3390" s="459"/>
      <c r="H3390" s="459">
        <v>3383</v>
      </c>
      <c r="I3390" s="444">
        <f t="shared" ca="1" si="150"/>
        <v>-1037514789236.1222</v>
      </c>
      <c r="J3390" s="444">
        <f t="array" ref="J3390">IFERROR(INDEX('Retirement Calculator'!K:K,MATCH('Lorri 401b'!N3390,'Retirement Calculator'!A:A,0),0),0)</f>
        <v>0</v>
      </c>
      <c r="K3390" s="444">
        <f t="shared" ca="1" si="148"/>
        <v>-4322978288.4838428</v>
      </c>
      <c r="L3390" s="444">
        <f t="shared" ca="1" si="149"/>
        <v>-1041837767524.6061</v>
      </c>
      <c r="M3390" s="460">
        <f t="shared" si="151"/>
        <v>0.05</v>
      </c>
      <c r="N3390" s="464">
        <f t="shared" si="152"/>
        <v>154224</v>
      </c>
    </row>
    <row r="3391" spans="7:14" ht="11.25" customHeight="1" x14ac:dyDescent="0.25">
      <c r="G3391" s="459"/>
      <c r="H3391" s="459">
        <v>3384</v>
      </c>
      <c r="I3391" s="444">
        <f t="shared" ca="1" si="150"/>
        <v>-1041837767524.6061</v>
      </c>
      <c r="J3391" s="444">
        <f t="array" ref="J3391">IFERROR(INDEX('Retirement Calculator'!K:K,MATCH('Lorri 401b'!N3391,'Retirement Calculator'!A:A,0),0),0)</f>
        <v>0</v>
      </c>
      <c r="K3391" s="444">
        <f t="shared" ca="1" si="148"/>
        <v>-4340990698.0191917</v>
      </c>
      <c r="L3391" s="444">
        <f t="shared" ca="1" si="149"/>
        <v>-1046178758222.6252</v>
      </c>
      <c r="M3391" s="460">
        <f t="shared" si="151"/>
        <v>0.05</v>
      </c>
      <c r="N3391" s="464">
        <f t="shared" si="152"/>
        <v>154254</v>
      </c>
    </row>
    <row r="3392" spans="7:14" ht="11.25" customHeight="1" x14ac:dyDescent="0.25">
      <c r="G3392" s="459"/>
      <c r="H3392" s="459">
        <v>3385</v>
      </c>
      <c r="I3392" s="444">
        <f t="shared" ca="1" si="150"/>
        <v>-1046178758222.6252</v>
      </c>
      <c r="J3392" s="444">
        <f t="array" ref="J3392">IFERROR(INDEX('Retirement Calculator'!K:K,MATCH('Lorri 401b'!N3392,'Retirement Calculator'!A:A,0),0),0)</f>
        <v>0</v>
      </c>
      <c r="K3392" s="444">
        <f t="shared" ca="1" si="148"/>
        <v>-4359078159.2609386</v>
      </c>
      <c r="L3392" s="444">
        <f t="shared" ca="1" si="149"/>
        <v>-1050537836381.8862</v>
      </c>
      <c r="M3392" s="460">
        <f t="shared" si="151"/>
        <v>0.05</v>
      </c>
      <c r="N3392" s="464">
        <f t="shared" si="152"/>
        <v>154285</v>
      </c>
    </row>
    <row r="3393" spans="7:14" ht="11.25" customHeight="1" x14ac:dyDescent="0.25">
      <c r="G3393" s="459"/>
      <c r="H3393" s="459">
        <v>3386</v>
      </c>
      <c r="I3393" s="444">
        <f t="shared" ca="1" si="150"/>
        <v>-1050537836381.8862</v>
      </c>
      <c r="J3393" s="444">
        <f t="array" ref="J3393">IFERROR(INDEX('Retirement Calculator'!K:K,MATCH('Lorri 401b'!N3393,'Retirement Calculator'!A:A,0),0),0)</f>
        <v>0</v>
      </c>
      <c r="K3393" s="444">
        <f t="shared" ca="1" si="148"/>
        <v>-4377240984.9245262</v>
      </c>
      <c r="L3393" s="444">
        <f t="shared" ca="1" si="149"/>
        <v>-1054915077366.8108</v>
      </c>
      <c r="M3393" s="460">
        <f t="shared" si="151"/>
        <v>0.05</v>
      </c>
      <c r="N3393" s="464">
        <f t="shared" si="152"/>
        <v>154315</v>
      </c>
    </row>
    <row r="3394" spans="7:14" ht="11.25" customHeight="1" x14ac:dyDescent="0.25">
      <c r="G3394" s="459"/>
      <c r="H3394" s="459">
        <v>3387</v>
      </c>
      <c r="I3394" s="444">
        <f t="shared" ca="1" si="150"/>
        <v>-1054915077366.8108</v>
      </c>
      <c r="J3394" s="444">
        <f t="array" ref="J3394">IFERROR(INDEX('Retirement Calculator'!K:K,MATCH('Lorri 401b'!N3394,'Retirement Calculator'!A:A,0),0),0)</f>
        <v>0</v>
      </c>
      <c r="K3394" s="444">
        <f t="shared" ca="1" si="148"/>
        <v>-4395479489.0283785</v>
      </c>
      <c r="L3394" s="444">
        <f t="shared" ca="1" si="149"/>
        <v>-1059310556855.8391</v>
      </c>
      <c r="M3394" s="460">
        <f t="shared" si="151"/>
        <v>0.05</v>
      </c>
      <c r="N3394" s="464">
        <f t="shared" si="152"/>
        <v>154346</v>
      </c>
    </row>
    <row r="3395" spans="7:14" ht="11.25" customHeight="1" x14ac:dyDescent="0.25">
      <c r="G3395" s="459"/>
      <c r="H3395" s="459">
        <v>3388</v>
      </c>
      <c r="I3395" s="444">
        <f t="shared" ca="1" si="150"/>
        <v>-1059310556855.8391</v>
      </c>
      <c r="J3395" s="444">
        <f t="array" ref="J3395">IFERROR(INDEX('Retirement Calculator'!K:K,MATCH('Lorri 401b'!N3395,'Retirement Calculator'!A:A,0),0),0)</f>
        <v>0</v>
      </c>
      <c r="K3395" s="444">
        <f t="shared" ca="1" si="148"/>
        <v>-4413793986.8993292</v>
      </c>
      <c r="L3395" s="444">
        <f t="shared" ca="1" si="149"/>
        <v>-1063724350842.7384</v>
      </c>
      <c r="M3395" s="460">
        <f t="shared" si="151"/>
        <v>0.05</v>
      </c>
      <c r="N3395" s="464">
        <f t="shared" si="152"/>
        <v>154377</v>
      </c>
    </row>
    <row r="3396" spans="7:14" ht="11.25" customHeight="1" x14ac:dyDescent="0.25">
      <c r="G3396" s="459"/>
      <c r="H3396" s="459">
        <v>3389</v>
      </c>
      <c r="I3396" s="444">
        <f t="shared" ca="1" si="150"/>
        <v>-1063724350842.7384</v>
      </c>
      <c r="J3396" s="444">
        <f t="array" ref="J3396">IFERROR(INDEX('Retirement Calculator'!K:K,MATCH('Lorri 401b'!N3396,'Retirement Calculator'!A:A,0),0),0)</f>
        <v>0</v>
      </c>
      <c r="K3396" s="444">
        <f t="shared" ca="1" si="148"/>
        <v>-4432184795.1780767</v>
      </c>
      <c r="L3396" s="444">
        <f t="shared" ca="1" si="149"/>
        <v>-1068156535637.9165</v>
      </c>
      <c r="M3396" s="460">
        <f t="shared" si="151"/>
        <v>0.05</v>
      </c>
      <c r="N3396" s="464">
        <f t="shared" si="152"/>
        <v>154407</v>
      </c>
    </row>
    <row r="3397" spans="7:14" ht="11.25" customHeight="1" x14ac:dyDescent="0.25">
      <c r="G3397" s="459"/>
      <c r="H3397" s="459">
        <v>3390</v>
      </c>
      <c r="I3397" s="444">
        <f t="shared" ca="1" si="150"/>
        <v>-1068156535637.9165</v>
      </c>
      <c r="J3397" s="444">
        <f t="array" ref="J3397">IFERROR(INDEX('Retirement Calculator'!K:K,MATCH('Lorri 401b'!N3397,'Retirement Calculator'!A:A,0),0),0)</f>
        <v>0</v>
      </c>
      <c r="K3397" s="444">
        <f t="shared" ca="1" si="148"/>
        <v>-4450652231.8246517</v>
      </c>
      <c r="L3397" s="444">
        <f t="shared" ca="1" si="149"/>
        <v>-1072607187869.7412</v>
      </c>
      <c r="M3397" s="460">
        <f t="shared" si="151"/>
        <v>0.05</v>
      </c>
      <c r="N3397" s="464">
        <f t="shared" si="152"/>
        <v>154438</v>
      </c>
    </row>
    <row r="3398" spans="7:14" ht="11.25" customHeight="1" x14ac:dyDescent="0.25">
      <c r="G3398" s="459"/>
      <c r="H3398" s="459">
        <v>3391</v>
      </c>
      <c r="I3398" s="444">
        <f t="shared" ca="1" si="150"/>
        <v>-1072607187869.7412</v>
      </c>
      <c r="J3398" s="444">
        <f t="array" ref="J3398">IFERROR(INDEX('Retirement Calculator'!K:K,MATCH('Lorri 401b'!N3398,'Retirement Calculator'!A:A,0),0),0)</f>
        <v>0</v>
      </c>
      <c r="K3398" s="444">
        <f t="shared" ca="1" si="148"/>
        <v>-4469196616.1239214</v>
      </c>
      <c r="L3398" s="444">
        <f t="shared" ca="1" si="149"/>
        <v>-1077076384485.8651</v>
      </c>
      <c r="M3398" s="460">
        <f t="shared" si="151"/>
        <v>0.05</v>
      </c>
      <c r="N3398" s="464">
        <f t="shared" si="152"/>
        <v>154468</v>
      </c>
    </row>
    <row r="3399" spans="7:14" ht="11.25" customHeight="1" x14ac:dyDescent="0.25">
      <c r="G3399" s="459"/>
      <c r="H3399" s="459">
        <v>3392</v>
      </c>
      <c r="I3399" s="444">
        <f t="shared" ca="1" si="150"/>
        <v>-1077076384485.8651</v>
      </c>
      <c r="J3399" s="444">
        <f t="array" ref="J3399">IFERROR(INDEX('Retirement Calculator'!K:K,MATCH('Lorri 401b'!N3399,'Retirement Calculator'!A:A,0),0),0)</f>
        <v>0</v>
      </c>
      <c r="K3399" s="444">
        <f t="shared" ca="1" si="148"/>
        <v>-4487818268.6911049</v>
      </c>
      <c r="L3399" s="444">
        <f t="shared" ca="1" si="149"/>
        <v>-1081564202754.5563</v>
      </c>
      <c r="M3399" s="460">
        <f t="shared" si="151"/>
        <v>0.05</v>
      </c>
      <c r="N3399" s="464">
        <f t="shared" si="152"/>
        <v>154499</v>
      </c>
    </row>
    <row r="3400" spans="7:14" ht="11.25" customHeight="1" x14ac:dyDescent="0.25">
      <c r="G3400" s="459"/>
      <c r="H3400" s="459">
        <v>3393</v>
      </c>
      <c r="I3400" s="444">
        <f t="shared" ca="1" si="150"/>
        <v>-1081564202754.5563</v>
      </c>
      <c r="J3400" s="444">
        <f t="array" ref="J3400">IFERROR(INDEX('Retirement Calculator'!K:K,MATCH('Lorri 401b'!N3400,'Retirement Calculator'!A:A,0),0),0)</f>
        <v>0</v>
      </c>
      <c r="K3400" s="444">
        <f t="shared" ca="1" si="148"/>
        <v>-4506517511.4773178</v>
      </c>
      <c r="L3400" s="444">
        <f t="shared" ca="1" si="149"/>
        <v>-1086070720266.0336</v>
      </c>
      <c r="M3400" s="460">
        <f t="shared" si="151"/>
        <v>0.05</v>
      </c>
      <c r="N3400" s="464">
        <f t="shared" si="152"/>
        <v>154530</v>
      </c>
    </row>
    <row r="3401" spans="7:14" ht="11.25" customHeight="1" x14ac:dyDescent="0.25">
      <c r="G3401" s="459"/>
      <c r="H3401" s="459">
        <v>3394</v>
      </c>
      <c r="I3401" s="444">
        <f t="shared" ca="1" si="150"/>
        <v>-1086070720266.0336</v>
      </c>
      <c r="J3401" s="444">
        <f t="array" ref="J3401">IFERROR(INDEX('Retirement Calculator'!K:K,MATCH('Lorri 401b'!N3401,'Retirement Calculator'!A:A,0),0),0)</f>
        <v>0</v>
      </c>
      <c r="K3401" s="444">
        <f t="shared" ca="1" si="148"/>
        <v>-4525294667.7751398</v>
      </c>
      <c r="L3401" s="444">
        <f t="shared" ca="1" si="149"/>
        <v>-1090596014933.8087</v>
      </c>
      <c r="M3401" s="460">
        <f t="shared" si="151"/>
        <v>0.05</v>
      </c>
      <c r="N3401" s="464">
        <f t="shared" si="152"/>
        <v>154558</v>
      </c>
    </row>
    <row r="3402" spans="7:14" ht="11.25" customHeight="1" x14ac:dyDescent="0.25">
      <c r="G3402" s="459"/>
      <c r="H3402" s="459">
        <v>3395</v>
      </c>
      <c r="I3402" s="444">
        <f t="shared" ca="1" si="150"/>
        <v>-1090596014933.8087</v>
      </c>
      <c r="J3402" s="444">
        <f t="array" ref="J3402">IFERROR(INDEX('Retirement Calculator'!K:K,MATCH('Lorri 401b'!N3402,'Retirement Calculator'!A:A,0),0),0)</f>
        <v>0</v>
      </c>
      <c r="K3402" s="444">
        <f t="shared" ca="1" si="148"/>
        <v>-4544150062.2242022</v>
      </c>
      <c r="L3402" s="444">
        <f t="shared" ca="1" si="149"/>
        <v>-1095140164996.033</v>
      </c>
      <c r="M3402" s="460">
        <f t="shared" si="151"/>
        <v>0.05</v>
      </c>
      <c r="N3402" s="464">
        <f t="shared" si="152"/>
        <v>154589</v>
      </c>
    </row>
    <row r="3403" spans="7:14" ht="11.25" customHeight="1" x14ac:dyDescent="0.25">
      <c r="G3403" s="459"/>
      <c r="H3403" s="459">
        <v>3396</v>
      </c>
      <c r="I3403" s="444">
        <f t="shared" ca="1" si="150"/>
        <v>-1095140164996.033</v>
      </c>
      <c r="J3403" s="444">
        <f t="array" ref="J3403">IFERROR(INDEX('Retirement Calculator'!K:K,MATCH('Lorri 401b'!N3403,'Retirement Calculator'!A:A,0),0),0)</f>
        <v>0</v>
      </c>
      <c r="K3403" s="444">
        <f t="shared" ca="1" si="148"/>
        <v>-4563084020.8168039</v>
      </c>
      <c r="L3403" s="444">
        <f t="shared" ca="1" si="149"/>
        <v>-1099703249016.8499</v>
      </c>
      <c r="M3403" s="460">
        <f t="shared" si="151"/>
        <v>0.05</v>
      </c>
      <c r="N3403" s="464">
        <f t="shared" si="152"/>
        <v>154619</v>
      </c>
    </row>
    <row r="3404" spans="7:14" ht="11.25" customHeight="1" x14ac:dyDescent="0.25">
      <c r="G3404" s="459"/>
      <c r="H3404" s="459">
        <v>3397</v>
      </c>
      <c r="I3404" s="444">
        <f t="shared" ca="1" si="150"/>
        <v>-1099703249016.8499</v>
      </c>
      <c r="J3404" s="444">
        <f t="array" ref="J3404">IFERROR(INDEX('Retirement Calculator'!K:K,MATCH('Lorri 401b'!N3404,'Retirement Calculator'!A:A,0),0),0)</f>
        <v>0</v>
      </c>
      <c r="K3404" s="444">
        <f t="shared" ca="1" si="148"/>
        <v>-4582096870.9035406</v>
      </c>
      <c r="L3404" s="444">
        <f t="shared" ca="1" si="149"/>
        <v>-1104285345887.7534</v>
      </c>
      <c r="M3404" s="460">
        <f t="shared" si="151"/>
        <v>0.05</v>
      </c>
      <c r="N3404" s="464">
        <f t="shared" si="152"/>
        <v>154650</v>
      </c>
    </row>
    <row r="3405" spans="7:14" ht="11.25" customHeight="1" x14ac:dyDescent="0.25">
      <c r="G3405" s="459"/>
      <c r="H3405" s="459">
        <v>3398</v>
      </c>
      <c r="I3405" s="444">
        <f t="shared" ca="1" si="150"/>
        <v>-1104285345887.7534</v>
      </c>
      <c r="J3405" s="444">
        <f t="array" ref="J3405">IFERROR(INDEX('Retirement Calculator'!K:K,MATCH('Lorri 401b'!N3405,'Retirement Calculator'!A:A,0),0),0)</f>
        <v>0</v>
      </c>
      <c r="K3405" s="444">
        <f t="shared" ca="1" si="148"/>
        <v>-4601188941.1989727</v>
      </c>
      <c r="L3405" s="444">
        <f t="shared" ca="1" si="149"/>
        <v>-1108886534828.9524</v>
      </c>
      <c r="M3405" s="460">
        <f t="shared" si="151"/>
        <v>0.05</v>
      </c>
      <c r="N3405" s="464">
        <f t="shared" si="152"/>
        <v>154680</v>
      </c>
    </row>
    <row r="3406" spans="7:14" ht="11.25" customHeight="1" x14ac:dyDescent="0.25">
      <c r="G3406" s="459"/>
      <c r="H3406" s="459">
        <v>3399</v>
      </c>
      <c r="I3406" s="444">
        <f t="shared" ca="1" si="150"/>
        <v>-1108886534828.9524</v>
      </c>
      <c r="J3406" s="444">
        <f t="array" ref="J3406">IFERROR(INDEX('Retirement Calculator'!K:K,MATCH('Lorri 401b'!N3406,'Retirement Calculator'!A:A,0),0),0)</f>
        <v>0</v>
      </c>
      <c r="K3406" s="444">
        <f t="shared" ca="1" si="148"/>
        <v>-4620360561.787302</v>
      </c>
      <c r="L3406" s="444">
        <f t="shared" ca="1" si="149"/>
        <v>-1113506895390.7397</v>
      </c>
      <c r="M3406" s="460">
        <f t="shared" si="151"/>
        <v>0.05</v>
      </c>
      <c r="N3406" s="464">
        <f t="shared" si="152"/>
        <v>154711</v>
      </c>
    </row>
    <row r="3407" spans="7:14" ht="11.25" customHeight="1" x14ac:dyDescent="0.25">
      <c r="G3407" s="459"/>
      <c r="H3407" s="459">
        <v>3400</v>
      </c>
      <c r="I3407" s="444">
        <f t="shared" ca="1" si="150"/>
        <v>-1113506895390.7397</v>
      </c>
      <c r="J3407" s="444">
        <f t="array" ref="J3407">IFERROR(INDEX('Retirement Calculator'!K:K,MATCH('Lorri 401b'!N3407,'Retirement Calculator'!A:A,0),0),0)</f>
        <v>0</v>
      </c>
      <c r="K3407" s="444">
        <f t="shared" ca="1" si="148"/>
        <v>-4639612064.1280823</v>
      </c>
      <c r="L3407" s="444">
        <f t="shared" ca="1" si="149"/>
        <v>-1118146507454.8679</v>
      </c>
      <c r="M3407" s="460">
        <f t="shared" si="151"/>
        <v>0.05</v>
      </c>
      <c r="N3407" s="464">
        <f t="shared" si="152"/>
        <v>154742</v>
      </c>
    </row>
    <row r="3408" spans="7:14" ht="11.25" customHeight="1" x14ac:dyDescent="0.25">
      <c r="G3408" s="459"/>
      <c r="H3408" s="459">
        <v>3401</v>
      </c>
      <c r="I3408" s="444">
        <f t="shared" ca="1" si="150"/>
        <v>-1118146507454.8679</v>
      </c>
      <c r="J3408" s="444">
        <f t="array" ref="J3408">IFERROR(INDEX('Retirement Calculator'!K:K,MATCH('Lorri 401b'!N3408,'Retirement Calculator'!A:A,0),0),0)</f>
        <v>0</v>
      </c>
      <c r="K3408" s="444">
        <f t="shared" ca="1" si="148"/>
        <v>-4658943781.0619497</v>
      </c>
      <c r="L3408" s="444">
        <f t="shared" ca="1" si="149"/>
        <v>-1122805451235.9299</v>
      </c>
      <c r="M3408" s="460">
        <f t="shared" si="151"/>
        <v>0.05</v>
      </c>
      <c r="N3408" s="464">
        <f t="shared" si="152"/>
        <v>154772</v>
      </c>
    </row>
    <row r="3409" spans="7:14" ht="11.25" customHeight="1" x14ac:dyDescent="0.25">
      <c r="G3409" s="459"/>
      <c r="H3409" s="459">
        <v>3402</v>
      </c>
      <c r="I3409" s="444">
        <f t="shared" ca="1" si="150"/>
        <v>-1122805451235.9299</v>
      </c>
      <c r="J3409" s="444">
        <f t="array" ref="J3409">IFERROR(INDEX('Retirement Calculator'!K:K,MATCH('Lorri 401b'!N3409,'Retirement Calculator'!A:A,0),0),0)</f>
        <v>0</v>
      </c>
      <c r="K3409" s="444">
        <f t="shared" ca="1" si="148"/>
        <v>-4678356046.8163748</v>
      </c>
      <c r="L3409" s="444">
        <f t="shared" ca="1" si="149"/>
        <v>-1127483807282.7463</v>
      </c>
      <c r="M3409" s="460">
        <f t="shared" si="151"/>
        <v>0.05</v>
      </c>
      <c r="N3409" s="464">
        <f t="shared" si="152"/>
        <v>154803</v>
      </c>
    </row>
    <row r="3410" spans="7:14" ht="11.25" customHeight="1" x14ac:dyDescent="0.25">
      <c r="G3410" s="459"/>
      <c r="H3410" s="459">
        <v>3403</v>
      </c>
      <c r="I3410" s="444">
        <f t="shared" ca="1" si="150"/>
        <v>-1127483807282.7463</v>
      </c>
      <c r="J3410" s="444">
        <f t="array" ref="J3410">IFERROR(INDEX('Retirement Calculator'!K:K,MATCH('Lorri 401b'!N3410,'Retirement Calculator'!A:A,0),0),0)</f>
        <v>0</v>
      </c>
      <c r="K3410" s="444">
        <f t="shared" ca="1" si="148"/>
        <v>-4697849197.0114431</v>
      </c>
      <c r="L3410" s="444">
        <f t="shared" ca="1" si="149"/>
        <v>-1132181656479.7578</v>
      </c>
      <c r="M3410" s="460">
        <f t="shared" si="151"/>
        <v>0.05</v>
      </c>
      <c r="N3410" s="464">
        <f t="shared" si="152"/>
        <v>154833</v>
      </c>
    </row>
    <row r="3411" spans="7:14" ht="11.25" customHeight="1" x14ac:dyDescent="0.25">
      <c r="G3411" s="459"/>
      <c r="H3411" s="459">
        <v>3404</v>
      </c>
      <c r="I3411" s="444">
        <f t="shared" ca="1" si="150"/>
        <v>-1132181656479.7578</v>
      </c>
      <c r="J3411" s="444">
        <f t="array" ref="J3411">IFERROR(INDEX('Retirement Calculator'!K:K,MATCH('Lorri 401b'!N3411,'Retirement Calculator'!A:A,0),0),0)</f>
        <v>0</v>
      </c>
      <c r="K3411" s="444">
        <f t="shared" ca="1" si="148"/>
        <v>-4717423568.665657</v>
      </c>
      <c r="L3411" s="444">
        <f t="shared" ca="1" si="149"/>
        <v>-1136899080048.4236</v>
      </c>
      <c r="M3411" s="460">
        <f t="shared" si="151"/>
        <v>0.05</v>
      </c>
      <c r="N3411" s="464">
        <f t="shared" si="152"/>
        <v>154864</v>
      </c>
    </row>
    <row r="3412" spans="7:14" ht="11.25" customHeight="1" x14ac:dyDescent="0.25">
      <c r="G3412" s="459"/>
      <c r="H3412" s="459">
        <v>3405</v>
      </c>
      <c r="I3412" s="444">
        <f t="shared" ca="1" si="150"/>
        <v>-1136899080048.4236</v>
      </c>
      <c r="J3412" s="444">
        <f t="array" ref="J3412">IFERROR(INDEX('Retirement Calculator'!K:K,MATCH('Lorri 401b'!N3412,'Retirement Calculator'!A:A,0),0),0)</f>
        <v>0</v>
      </c>
      <c r="K3412" s="444">
        <f t="shared" ca="1" si="148"/>
        <v>-4737079500.2017651</v>
      </c>
      <c r="L3412" s="444">
        <f t="shared" ca="1" si="149"/>
        <v>-1141636159548.6252</v>
      </c>
      <c r="M3412" s="460">
        <f t="shared" si="151"/>
        <v>0.05</v>
      </c>
      <c r="N3412" s="464">
        <f t="shared" si="152"/>
        <v>154895</v>
      </c>
    </row>
    <row r="3413" spans="7:14" ht="11.25" customHeight="1" x14ac:dyDescent="0.25">
      <c r="G3413" s="459"/>
      <c r="H3413" s="459">
        <v>3406</v>
      </c>
      <c r="I3413" s="444">
        <f t="shared" ca="1" si="150"/>
        <v>-1141636159548.6252</v>
      </c>
      <c r="J3413" s="444">
        <f t="array" ref="J3413">IFERROR(INDEX('Retirement Calculator'!K:K,MATCH('Lorri 401b'!N3413,'Retirement Calculator'!A:A,0),0),0)</f>
        <v>0</v>
      </c>
      <c r="K3413" s="444">
        <f t="shared" ca="1" si="148"/>
        <v>-4756817331.4526052</v>
      </c>
      <c r="L3413" s="444">
        <f t="shared" ca="1" si="149"/>
        <v>-1146392976880.0779</v>
      </c>
      <c r="M3413" s="460">
        <f t="shared" si="151"/>
        <v>0.05</v>
      </c>
      <c r="N3413" s="464">
        <f t="shared" si="152"/>
        <v>154924</v>
      </c>
    </row>
    <row r="3414" spans="7:14" ht="11.25" customHeight="1" x14ac:dyDescent="0.25">
      <c r="G3414" s="459"/>
      <c r="H3414" s="459">
        <v>3407</v>
      </c>
      <c r="I3414" s="444">
        <f t="shared" ca="1" si="150"/>
        <v>-1146392976880.0779</v>
      </c>
      <c r="J3414" s="444">
        <f t="array" ref="J3414">IFERROR(INDEX('Retirement Calculator'!K:K,MATCH('Lorri 401b'!N3414,'Retirement Calculator'!A:A,0),0),0)</f>
        <v>0</v>
      </c>
      <c r="K3414" s="444">
        <f t="shared" ca="1" si="148"/>
        <v>-4776637403.6669912</v>
      </c>
      <c r="L3414" s="444">
        <f t="shared" ca="1" si="149"/>
        <v>-1151169614283.7449</v>
      </c>
      <c r="M3414" s="460">
        <f t="shared" si="151"/>
        <v>0.05</v>
      </c>
      <c r="N3414" s="464">
        <f t="shared" si="152"/>
        <v>154955</v>
      </c>
    </row>
    <row r="3415" spans="7:14" ht="11.25" customHeight="1" x14ac:dyDescent="0.25">
      <c r="G3415" s="459"/>
      <c r="H3415" s="459">
        <v>3408</v>
      </c>
      <c r="I3415" s="444">
        <f t="shared" ca="1" si="150"/>
        <v>-1151169614283.7449</v>
      </c>
      <c r="J3415" s="444">
        <f t="array" ref="J3415">IFERROR(INDEX('Retirement Calculator'!K:K,MATCH('Lorri 401b'!N3415,'Retirement Calculator'!A:A,0),0),0)</f>
        <v>0</v>
      </c>
      <c r="K3415" s="444">
        <f t="shared" ca="1" si="148"/>
        <v>-4796540059.515604</v>
      </c>
      <c r="L3415" s="444">
        <f t="shared" ca="1" si="149"/>
        <v>-1155966154343.2605</v>
      </c>
      <c r="M3415" s="460">
        <f t="shared" si="151"/>
        <v>0.05</v>
      </c>
      <c r="N3415" s="464">
        <f t="shared" si="152"/>
        <v>154985</v>
      </c>
    </row>
    <row r="3416" spans="7:14" ht="11.25" customHeight="1" x14ac:dyDescent="0.25">
      <c r="G3416" s="459"/>
      <c r="H3416" s="459">
        <v>3409</v>
      </c>
      <c r="I3416" s="444">
        <f t="shared" ca="1" si="150"/>
        <v>-1155966154343.2605</v>
      </c>
      <c r="J3416" s="444">
        <f t="array" ref="J3416">IFERROR(INDEX('Retirement Calculator'!K:K,MATCH('Lorri 401b'!N3416,'Retirement Calculator'!A:A,0),0),0)</f>
        <v>0</v>
      </c>
      <c r="K3416" s="444">
        <f t="shared" ca="1" si="148"/>
        <v>-4816525643.0969191</v>
      </c>
      <c r="L3416" s="444">
        <f t="shared" ca="1" si="149"/>
        <v>-1160782679986.3574</v>
      </c>
      <c r="M3416" s="460">
        <f t="shared" si="151"/>
        <v>0.05</v>
      </c>
      <c r="N3416" s="464">
        <f t="shared" si="152"/>
        <v>155016</v>
      </c>
    </row>
    <row r="3417" spans="7:14" ht="11.25" customHeight="1" x14ac:dyDescent="0.25">
      <c r="G3417" s="459"/>
      <c r="H3417" s="459">
        <v>3410</v>
      </c>
      <c r="I3417" s="444">
        <f t="shared" ca="1" si="150"/>
        <v>-1160782679986.3574</v>
      </c>
      <c r="J3417" s="444">
        <f t="array" ref="J3417">IFERROR(INDEX('Retirement Calculator'!K:K,MATCH('Lorri 401b'!N3417,'Retirement Calculator'!A:A,0),0),0)</f>
        <v>0</v>
      </c>
      <c r="K3417" s="444">
        <f t="shared" ca="1" si="148"/>
        <v>-4836594499.9431562</v>
      </c>
      <c r="L3417" s="444">
        <f t="shared" ca="1" si="149"/>
        <v>-1165619274486.3005</v>
      </c>
      <c r="M3417" s="460">
        <f t="shared" si="151"/>
        <v>0.05</v>
      </c>
      <c r="N3417" s="464">
        <f t="shared" si="152"/>
        <v>155046</v>
      </c>
    </row>
    <row r="3418" spans="7:14" ht="11.25" customHeight="1" x14ac:dyDescent="0.25">
      <c r="G3418" s="459"/>
      <c r="H3418" s="459">
        <v>3411</v>
      </c>
      <c r="I3418" s="444">
        <f t="shared" ca="1" si="150"/>
        <v>-1165619274486.3005</v>
      </c>
      <c r="J3418" s="444">
        <f t="array" ref="J3418">IFERROR(INDEX('Retirement Calculator'!K:K,MATCH('Lorri 401b'!N3418,'Retirement Calculator'!A:A,0),0),0)</f>
        <v>0</v>
      </c>
      <c r="K3418" s="444">
        <f t="shared" ca="1" si="148"/>
        <v>-4856746977.0262518</v>
      </c>
      <c r="L3418" s="444">
        <f t="shared" ca="1" si="149"/>
        <v>-1170476021463.3269</v>
      </c>
      <c r="M3418" s="460">
        <f t="shared" si="151"/>
        <v>0.05</v>
      </c>
      <c r="N3418" s="464">
        <f t="shared" si="152"/>
        <v>155077</v>
      </c>
    </row>
    <row r="3419" spans="7:14" ht="11.25" customHeight="1" x14ac:dyDescent="0.25">
      <c r="G3419" s="459"/>
      <c r="H3419" s="459">
        <v>3412</v>
      </c>
      <c r="I3419" s="444">
        <f t="shared" ca="1" si="150"/>
        <v>-1170476021463.3269</v>
      </c>
      <c r="J3419" s="444">
        <f t="array" ref="J3419">IFERROR(INDEX('Retirement Calculator'!K:K,MATCH('Lorri 401b'!N3419,'Retirement Calculator'!A:A,0),0),0)</f>
        <v>0</v>
      </c>
      <c r="K3419" s="444">
        <f t="shared" ca="1" si="148"/>
        <v>-4876983422.7638617</v>
      </c>
      <c r="L3419" s="444">
        <f t="shared" ca="1" si="149"/>
        <v>-1175353004886.0908</v>
      </c>
      <c r="M3419" s="460">
        <f t="shared" si="151"/>
        <v>0.05</v>
      </c>
      <c r="N3419" s="464">
        <f t="shared" si="152"/>
        <v>155108</v>
      </c>
    </row>
    <row r="3420" spans="7:14" ht="11.25" customHeight="1" x14ac:dyDescent="0.25">
      <c r="G3420" s="459"/>
      <c r="H3420" s="459">
        <v>3413</v>
      </c>
      <c r="I3420" s="444">
        <f t="shared" ca="1" si="150"/>
        <v>-1175353004886.0908</v>
      </c>
      <c r="J3420" s="444">
        <f t="array" ref="J3420">IFERROR(INDEX('Retirement Calculator'!K:K,MATCH('Lorri 401b'!N3420,'Retirement Calculator'!A:A,0),0),0)</f>
        <v>0</v>
      </c>
      <c r="K3420" s="444">
        <f t="shared" ca="1" si="148"/>
        <v>-4897304187.0253782</v>
      </c>
      <c r="L3420" s="444">
        <f t="shared" ca="1" si="149"/>
        <v>-1180250309073.1162</v>
      </c>
      <c r="M3420" s="460">
        <f t="shared" si="151"/>
        <v>0.05</v>
      </c>
      <c r="N3420" s="464">
        <f t="shared" si="152"/>
        <v>155138</v>
      </c>
    </row>
    <row r="3421" spans="7:14" ht="11.25" customHeight="1" x14ac:dyDescent="0.25">
      <c r="G3421" s="459"/>
      <c r="H3421" s="459">
        <v>3414</v>
      </c>
      <c r="I3421" s="444">
        <f t="shared" ca="1" si="150"/>
        <v>-1180250309073.1162</v>
      </c>
      <c r="J3421" s="444">
        <f t="array" ref="J3421">IFERROR(INDEX('Retirement Calculator'!K:K,MATCH('Lorri 401b'!N3421,'Retirement Calculator'!A:A,0),0),0)</f>
        <v>0</v>
      </c>
      <c r="K3421" s="444">
        <f t="shared" ca="1" si="148"/>
        <v>-4917709621.1379843</v>
      </c>
      <c r="L3421" s="444">
        <f t="shared" ca="1" si="149"/>
        <v>-1185168018694.2542</v>
      </c>
      <c r="M3421" s="460">
        <f t="shared" si="151"/>
        <v>0.05</v>
      </c>
      <c r="N3421" s="464">
        <f t="shared" si="152"/>
        <v>155169</v>
      </c>
    </row>
    <row r="3422" spans="7:14" ht="11.25" customHeight="1" x14ac:dyDescent="0.25">
      <c r="G3422" s="459"/>
      <c r="H3422" s="459">
        <v>3415</v>
      </c>
      <c r="I3422" s="444">
        <f t="shared" ca="1" si="150"/>
        <v>-1185168018694.2542</v>
      </c>
      <c r="J3422" s="444">
        <f t="array" ref="J3422">IFERROR(INDEX('Retirement Calculator'!K:K,MATCH('Lorri 401b'!N3422,'Retirement Calculator'!A:A,0),0),0)</f>
        <v>0</v>
      </c>
      <c r="K3422" s="444">
        <f t="shared" ca="1" si="148"/>
        <v>-4938200077.8927259</v>
      </c>
      <c r="L3422" s="444">
        <f t="shared" ca="1" si="149"/>
        <v>-1190106218772.147</v>
      </c>
      <c r="M3422" s="460">
        <f t="shared" si="151"/>
        <v>0.05</v>
      </c>
      <c r="N3422" s="464">
        <f t="shared" si="152"/>
        <v>155199</v>
      </c>
    </row>
    <row r="3423" spans="7:14" ht="11.25" customHeight="1" x14ac:dyDescent="0.25">
      <c r="G3423" s="459"/>
      <c r="H3423" s="459">
        <v>3416</v>
      </c>
      <c r="I3423" s="444">
        <f t="shared" ca="1" si="150"/>
        <v>-1190106218772.147</v>
      </c>
      <c r="J3423" s="444">
        <f t="array" ref="J3423">IFERROR(INDEX('Retirement Calculator'!K:K,MATCH('Lorri 401b'!N3423,'Retirement Calculator'!A:A,0),0),0)</f>
        <v>0</v>
      </c>
      <c r="K3423" s="444">
        <f t="shared" ca="1" si="148"/>
        <v>-4958775911.5506124</v>
      </c>
      <c r="L3423" s="444">
        <f t="shared" ca="1" si="149"/>
        <v>-1195064994683.6975</v>
      </c>
      <c r="M3423" s="460">
        <f t="shared" si="151"/>
        <v>0.05</v>
      </c>
      <c r="N3423" s="464">
        <f t="shared" si="152"/>
        <v>155230</v>
      </c>
    </row>
    <row r="3424" spans="7:14" ht="11.25" customHeight="1" x14ac:dyDescent="0.25">
      <c r="G3424" s="459"/>
      <c r="H3424" s="459">
        <v>3417</v>
      </c>
      <c r="I3424" s="444">
        <f t="shared" ca="1" si="150"/>
        <v>-1195064994683.6975</v>
      </c>
      <c r="J3424" s="444">
        <f t="array" ref="J3424">IFERROR(INDEX('Retirement Calculator'!K:K,MATCH('Lorri 401b'!N3424,'Retirement Calculator'!A:A,0),0),0)</f>
        <v>0</v>
      </c>
      <c r="K3424" s="444">
        <f t="shared" ca="1" si="148"/>
        <v>-4979437477.8487396</v>
      </c>
      <c r="L3424" s="444">
        <f t="shared" ca="1" si="149"/>
        <v>-1200044432161.5461</v>
      </c>
      <c r="M3424" s="460">
        <f t="shared" si="151"/>
        <v>0.05</v>
      </c>
      <c r="N3424" s="464">
        <f t="shared" si="152"/>
        <v>155261</v>
      </c>
    </row>
    <row r="3425" spans="7:14" ht="11.25" customHeight="1" x14ac:dyDescent="0.25">
      <c r="G3425" s="459"/>
      <c r="H3425" s="459">
        <v>3418</v>
      </c>
      <c r="I3425" s="444">
        <f t="shared" ca="1" si="150"/>
        <v>-1200044432161.5461</v>
      </c>
      <c r="J3425" s="444">
        <f t="array" ref="J3425">IFERROR(INDEX('Retirement Calculator'!K:K,MATCH('Lorri 401b'!N3425,'Retirement Calculator'!A:A,0),0),0)</f>
        <v>0</v>
      </c>
      <c r="K3425" s="444">
        <f t="shared" ca="1" si="148"/>
        <v>-5000185134.0064421</v>
      </c>
      <c r="L3425" s="444">
        <f t="shared" ca="1" si="149"/>
        <v>-1205044617295.5525</v>
      </c>
      <c r="M3425" s="460">
        <f t="shared" si="151"/>
        <v>0.05</v>
      </c>
      <c r="N3425" s="464">
        <f t="shared" si="152"/>
        <v>155289</v>
      </c>
    </row>
    <row r="3426" spans="7:14" ht="11.25" customHeight="1" x14ac:dyDescent="0.25">
      <c r="G3426" s="459"/>
      <c r="H3426" s="459">
        <v>3419</v>
      </c>
      <c r="I3426" s="444">
        <f t="shared" ca="1" si="150"/>
        <v>-1205044617295.5525</v>
      </c>
      <c r="J3426" s="444">
        <f t="array" ref="J3426">IFERROR(INDEX('Retirement Calculator'!K:K,MATCH('Lorri 401b'!N3426,'Retirement Calculator'!A:A,0),0),0)</f>
        <v>0</v>
      </c>
      <c r="K3426" s="444">
        <f t="shared" ca="1" si="148"/>
        <v>-5021019238.7314682</v>
      </c>
      <c r="L3426" s="444">
        <f t="shared" ca="1" si="149"/>
        <v>-1210065636534.2839</v>
      </c>
      <c r="M3426" s="460">
        <f t="shared" si="151"/>
        <v>0.05</v>
      </c>
      <c r="N3426" s="464">
        <f t="shared" si="152"/>
        <v>155320</v>
      </c>
    </row>
    <row r="3427" spans="7:14" ht="11.25" customHeight="1" x14ac:dyDescent="0.25">
      <c r="G3427" s="459"/>
      <c r="H3427" s="459">
        <v>3420</v>
      </c>
      <c r="I3427" s="444">
        <f t="shared" ca="1" si="150"/>
        <v>-1210065636534.2839</v>
      </c>
      <c r="J3427" s="444">
        <f t="array" ref="J3427">IFERROR(INDEX('Retirement Calculator'!K:K,MATCH('Lorri 401b'!N3427,'Retirement Calculator'!A:A,0),0),0)</f>
        <v>0</v>
      </c>
      <c r="K3427" s="444">
        <f t="shared" ca="1" si="148"/>
        <v>-5041940152.2261829</v>
      </c>
      <c r="L3427" s="444">
        <f t="shared" ca="1" si="149"/>
        <v>-1215107576686.51</v>
      </c>
      <c r="M3427" s="460">
        <f t="shared" si="151"/>
        <v>0.05</v>
      </c>
      <c r="N3427" s="464">
        <f t="shared" si="152"/>
        <v>155350</v>
      </c>
    </row>
    <row r="3428" spans="7:14" ht="11.25" customHeight="1" x14ac:dyDescent="0.25">
      <c r="G3428" s="459"/>
      <c r="H3428" s="459">
        <v>3421</v>
      </c>
      <c r="I3428" s="444">
        <f t="shared" ca="1" si="150"/>
        <v>-1215107576686.51</v>
      </c>
      <c r="J3428" s="444">
        <f t="array" ref="J3428">IFERROR(INDEX('Retirement Calculator'!K:K,MATCH('Lorri 401b'!N3428,'Retirement Calculator'!A:A,0),0),0)</f>
        <v>0</v>
      </c>
      <c r="K3428" s="444">
        <f t="shared" ca="1" si="148"/>
        <v>-5062948236.1937914</v>
      </c>
      <c r="L3428" s="444">
        <f t="shared" ca="1" si="149"/>
        <v>-1220170524922.7039</v>
      </c>
      <c r="M3428" s="460">
        <f t="shared" si="151"/>
        <v>0.05</v>
      </c>
      <c r="N3428" s="464">
        <f t="shared" si="152"/>
        <v>155381</v>
      </c>
    </row>
    <row r="3429" spans="7:14" ht="11.25" customHeight="1" x14ac:dyDescent="0.25">
      <c r="G3429" s="459"/>
      <c r="H3429" s="459">
        <v>3422</v>
      </c>
      <c r="I3429" s="444">
        <f t="shared" ca="1" si="150"/>
        <v>-1220170524922.7039</v>
      </c>
      <c r="J3429" s="444">
        <f t="array" ref="J3429">IFERROR(INDEX('Retirement Calculator'!K:K,MATCH('Lorri 401b'!N3429,'Retirement Calculator'!A:A,0),0),0)</f>
        <v>0</v>
      </c>
      <c r="K3429" s="444">
        <f t="shared" ca="1" si="148"/>
        <v>-5084043853.8445997</v>
      </c>
      <c r="L3429" s="444">
        <f t="shared" ca="1" si="149"/>
        <v>-1225254568776.5483</v>
      </c>
      <c r="M3429" s="460">
        <f t="shared" si="151"/>
        <v>0.05</v>
      </c>
      <c r="N3429" s="464">
        <f t="shared" si="152"/>
        <v>155411</v>
      </c>
    </row>
    <row r="3430" spans="7:14" ht="11.25" customHeight="1" x14ac:dyDescent="0.25">
      <c r="G3430" s="459"/>
      <c r="H3430" s="459">
        <v>3423</v>
      </c>
      <c r="I3430" s="444">
        <f t="shared" ca="1" si="150"/>
        <v>-1225254568776.5483</v>
      </c>
      <c r="J3430" s="444">
        <f t="array" ref="J3430">IFERROR(INDEX('Retirement Calculator'!K:K,MATCH('Lorri 401b'!N3430,'Retirement Calculator'!A:A,0),0),0)</f>
        <v>0</v>
      </c>
      <c r="K3430" s="444">
        <f t="shared" ca="1" si="148"/>
        <v>-5105227369.9022846</v>
      </c>
      <c r="L3430" s="444">
        <f t="shared" ca="1" si="149"/>
        <v>-1230359796146.4507</v>
      </c>
      <c r="M3430" s="460">
        <f t="shared" si="151"/>
        <v>0.05</v>
      </c>
      <c r="N3430" s="464">
        <f t="shared" si="152"/>
        <v>155442</v>
      </c>
    </row>
    <row r="3431" spans="7:14" ht="11.25" customHeight="1" x14ac:dyDescent="0.25">
      <c r="G3431" s="459"/>
      <c r="H3431" s="459">
        <v>3424</v>
      </c>
      <c r="I3431" s="444">
        <f t="shared" ca="1" si="150"/>
        <v>-1230359796146.4507</v>
      </c>
      <c r="J3431" s="444">
        <f t="array" ref="J3431">IFERROR(INDEX('Retirement Calculator'!K:K,MATCH('Lorri 401b'!N3431,'Retirement Calculator'!A:A,0),0),0)</f>
        <v>0</v>
      </c>
      <c r="K3431" s="444">
        <f t="shared" ca="1" si="148"/>
        <v>-5126499150.6102114</v>
      </c>
      <c r="L3431" s="444">
        <f t="shared" ca="1" si="149"/>
        <v>-1235486295297.0608</v>
      </c>
      <c r="M3431" s="460">
        <f t="shared" si="151"/>
        <v>0.05</v>
      </c>
      <c r="N3431" s="464">
        <f t="shared" si="152"/>
        <v>155473</v>
      </c>
    </row>
    <row r="3432" spans="7:14" ht="11.25" customHeight="1" x14ac:dyDescent="0.25">
      <c r="G3432" s="459"/>
      <c r="H3432" s="459">
        <v>3425</v>
      </c>
      <c r="I3432" s="444">
        <f t="shared" ca="1" si="150"/>
        <v>-1235486295297.0608</v>
      </c>
      <c r="J3432" s="444">
        <f t="array" ref="J3432">IFERROR(INDEX('Retirement Calculator'!K:K,MATCH('Lorri 401b'!N3432,'Retirement Calculator'!A:A,0),0),0)</f>
        <v>0</v>
      </c>
      <c r="K3432" s="444">
        <f t="shared" ca="1" si="148"/>
        <v>-5147859563.7377529</v>
      </c>
      <c r="L3432" s="444">
        <f t="shared" ca="1" si="149"/>
        <v>-1240634154860.7986</v>
      </c>
      <c r="M3432" s="460">
        <f t="shared" si="151"/>
        <v>0.05</v>
      </c>
      <c r="N3432" s="464">
        <f t="shared" si="152"/>
        <v>155503</v>
      </c>
    </row>
    <row r="3433" spans="7:14" ht="11.25" customHeight="1" x14ac:dyDescent="0.25">
      <c r="G3433" s="459"/>
      <c r="H3433" s="459">
        <v>3426</v>
      </c>
      <c r="I3433" s="444">
        <f t="shared" ca="1" si="150"/>
        <v>-1240634154860.7986</v>
      </c>
      <c r="J3433" s="444">
        <f t="array" ref="J3433">IFERROR(INDEX('Retirement Calculator'!K:K,MATCH('Lorri 401b'!N3433,'Retirement Calculator'!A:A,0),0),0)</f>
        <v>0</v>
      </c>
      <c r="K3433" s="444">
        <f t="shared" ca="1" si="148"/>
        <v>-5169308978.5866604</v>
      </c>
      <c r="L3433" s="444">
        <f t="shared" ca="1" si="149"/>
        <v>-1245803463839.3853</v>
      </c>
      <c r="M3433" s="460">
        <f t="shared" si="151"/>
        <v>0.05</v>
      </c>
      <c r="N3433" s="464">
        <f t="shared" si="152"/>
        <v>155534</v>
      </c>
    </row>
    <row r="3434" spans="7:14" ht="11.25" customHeight="1" x14ac:dyDescent="0.25">
      <c r="G3434" s="459"/>
      <c r="H3434" s="459">
        <v>3427</v>
      </c>
      <c r="I3434" s="444">
        <f t="shared" ca="1" si="150"/>
        <v>-1245803463839.3853</v>
      </c>
      <c r="J3434" s="444">
        <f t="array" ref="J3434">IFERROR(INDEX('Retirement Calculator'!K:K,MATCH('Lorri 401b'!N3434,'Retirement Calculator'!A:A,0),0),0)</f>
        <v>0</v>
      </c>
      <c r="K3434" s="444">
        <f t="shared" ca="1" si="148"/>
        <v>-5190847765.9974384</v>
      </c>
      <c r="L3434" s="444">
        <f t="shared" ca="1" si="149"/>
        <v>-1250994311605.3828</v>
      </c>
      <c r="M3434" s="460">
        <f t="shared" si="151"/>
        <v>0.05</v>
      </c>
      <c r="N3434" s="464">
        <f t="shared" si="152"/>
        <v>155564</v>
      </c>
    </row>
    <row r="3435" spans="7:14" ht="11.25" customHeight="1" x14ac:dyDescent="0.25">
      <c r="G3435" s="459"/>
      <c r="H3435" s="459">
        <v>3428</v>
      </c>
      <c r="I3435" s="444">
        <f t="shared" ca="1" si="150"/>
        <v>-1250994311605.3828</v>
      </c>
      <c r="J3435" s="444">
        <f t="array" ref="J3435">IFERROR(INDEX('Retirement Calculator'!K:K,MATCH('Lorri 401b'!N3435,'Retirement Calculator'!A:A,0),0),0)</f>
        <v>0</v>
      </c>
      <c r="K3435" s="444">
        <f t="shared" ca="1" si="148"/>
        <v>-5212476298.3557615</v>
      </c>
      <c r="L3435" s="444">
        <f t="shared" ca="1" si="149"/>
        <v>-1256206787903.7385</v>
      </c>
      <c r="M3435" s="460">
        <f t="shared" si="151"/>
        <v>0.05</v>
      </c>
      <c r="N3435" s="464">
        <f t="shared" si="152"/>
        <v>155595</v>
      </c>
    </row>
    <row r="3436" spans="7:14" ht="11.25" customHeight="1" x14ac:dyDescent="0.25">
      <c r="G3436" s="459"/>
      <c r="H3436" s="459">
        <v>3429</v>
      </c>
      <c r="I3436" s="444">
        <f t="shared" ca="1" si="150"/>
        <v>-1256206787903.7385</v>
      </c>
      <c r="J3436" s="444">
        <f t="array" ref="J3436">IFERROR(INDEX('Retirement Calculator'!K:K,MATCH('Lorri 401b'!N3436,'Retirement Calculator'!A:A,0),0),0)</f>
        <v>0</v>
      </c>
      <c r="K3436" s="444">
        <f t="shared" ca="1" si="148"/>
        <v>-5234194949.5989103</v>
      </c>
      <c r="L3436" s="444">
        <f t="shared" ca="1" si="149"/>
        <v>-1261440982853.3374</v>
      </c>
      <c r="M3436" s="460">
        <f t="shared" si="151"/>
        <v>0.05</v>
      </c>
      <c r="N3436" s="464">
        <f t="shared" si="152"/>
        <v>155626</v>
      </c>
    </row>
    <row r="3437" spans="7:14" ht="11.25" customHeight="1" x14ac:dyDescent="0.25">
      <c r="G3437" s="459"/>
      <c r="H3437" s="459">
        <v>3430</v>
      </c>
      <c r="I3437" s="444">
        <f t="shared" ca="1" si="150"/>
        <v>-1261440982853.3374</v>
      </c>
      <c r="J3437" s="444">
        <f t="array" ref="J3437">IFERROR(INDEX('Retirement Calculator'!K:K,MATCH('Lorri 401b'!N3437,'Retirement Calculator'!A:A,0),0),0)</f>
        <v>0</v>
      </c>
      <c r="K3437" s="444">
        <f t="shared" ca="1" si="148"/>
        <v>-5256004095.2222395</v>
      </c>
      <c r="L3437" s="444">
        <f t="shared" ca="1" si="149"/>
        <v>-1266696986948.5596</v>
      </c>
      <c r="M3437" s="460">
        <f t="shared" si="151"/>
        <v>0.05</v>
      </c>
      <c r="N3437" s="464">
        <f t="shared" si="152"/>
        <v>155654</v>
      </c>
    </row>
    <row r="3438" spans="7:14" ht="11.25" customHeight="1" x14ac:dyDescent="0.25">
      <c r="G3438" s="459"/>
      <c r="H3438" s="459">
        <v>3431</v>
      </c>
      <c r="I3438" s="444">
        <f t="shared" ca="1" si="150"/>
        <v>-1266696986948.5596</v>
      </c>
      <c r="J3438" s="444">
        <f t="array" ref="J3438">IFERROR(INDEX('Retirement Calculator'!K:K,MATCH('Lorri 401b'!N3438,'Retirement Calculator'!A:A,0),0),0)</f>
        <v>0</v>
      </c>
      <c r="K3438" s="444">
        <f t="shared" ca="1" si="148"/>
        <v>-5277904112.2856646</v>
      </c>
      <c r="L3438" s="444">
        <f t="shared" ca="1" si="149"/>
        <v>-1271974891060.8452</v>
      </c>
      <c r="M3438" s="460">
        <f t="shared" si="151"/>
        <v>0.05</v>
      </c>
      <c r="N3438" s="464">
        <f t="shared" si="152"/>
        <v>155685</v>
      </c>
    </row>
    <row r="3439" spans="7:14" ht="11.25" customHeight="1" x14ac:dyDescent="0.25">
      <c r="G3439" s="459"/>
      <c r="H3439" s="459">
        <v>3432</v>
      </c>
      <c r="I3439" s="444">
        <f t="shared" ca="1" si="150"/>
        <v>-1271974891060.8452</v>
      </c>
      <c r="J3439" s="444">
        <f t="array" ref="J3439">IFERROR(INDEX('Retirement Calculator'!K:K,MATCH('Lorri 401b'!N3439,'Retirement Calculator'!A:A,0),0),0)</f>
        <v>0</v>
      </c>
      <c r="K3439" s="444">
        <f t="shared" ca="1" si="148"/>
        <v>-5299895379.420188</v>
      </c>
      <c r="L3439" s="444">
        <f t="shared" ca="1" si="149"/>
        <v>-1277274786440.2654</v>
      </c>
      <c r="M3439" s="460">
        <f t="shared" si="151"/>
        <v>0.05</v>
      </c>
      <c r="N3439" s="464">
        <f t="shared" si="152"/>
        <v>155715</v>
      </c>
    </row>
    <row r="3440" spans="7:14" ht="11.25" customHeight="1" x14ac:dyDescent="0.25">
      <c r="G3440" s="459"/>
      <c r="H3440" s="459">
        <v>3433</v>
      </c>
      <c r="I3440" s="444">
        <f t="shared" ca="1" si="150"/>
        <v>-1277274786440.2654</v>
      </c>
      <c r="J3440" s="444">
        <f t="array" ref="J3440">IFERROR(INDEX('Retirement Calculator'!K:K,MATCH('Lorri 401b'!N3440,'Retirement Calculator'!A:A,0),0),0)</f>
        <v>0</v>
      </c>
      <c r="K3440" s="444">
        <f t="shared" ca="1" si="148"/>
        <v>-5321978276.8344393</v>
      </c>
      <c r="L3440" s="444">
        <f t="shared" ca="1" si="149"/>
        <v>-1282596764717.0999</v>
      </c>
      <c r="M3440" s="460">
        <f t="shared" si="151"/>
        <v>0.05</v>
      </c>
      <c r="N3440" s="464">
        <f t="shared" si="152"/>
        <v>155746</v>
      </c>
    </row>
    <row r="3441" spans="7:14" ht="11.25" customHeight="1" x14ac:dyDescent="0.25">
      <c r="G3441" s="459"/>
      <c r="H3441" s="459">
        <v>3434</v>
      </c>
      <c r="I3441" s="444">
        <f t="shared" ca="1" si="150"/>
        <v>-1282596764717.0999</v>
      </c>
      <c r="J3441" s="444">
        <f t="array" ref="J3441">IFERROR(INDEX('Retirement Calculator'!K:K,MATCH('Lorri 401b'!N3441,'Retirement Calculator'!A:A,0),0),0)</f>
        <v>0</v>
      </c>
      <c r="K3441" s="444">
        <f t="shared" ca="1" si="148"/>
        <v>-5344153186.321249</v>
      </c>
      <c r="L3441" s="444">
        <f t="shared" ca="1" si="149"/>
        <v>-1287940917903.4211</v>
      </c>
      <c r="M3441" s="460">
        <f t="shared" si="151"/>
        <v>0.05</v>
      </c>
      <c r="N3441" s="464">
        <f t="shared" si="152"/>
        <v>155776</v>
      </c>
    </row>
    <row r="3442" spans="7:14" ht="11.25" customHeight="1" x14ac:dyDescent="0.25">
      <c r="G3442" s="459"/>
      <c r="H3442" s="459">
        <v>3435</v>
      </c>
      <c r="I3442" s="444">
        <f t="shared" ca="1" si="150"/>
        <v>-1287940917903.4211</v>
      </c>
      <c r="J3442" s="444">
        <f t="array" ref="J3442">IFERROR(INDEX('Retirement Calculator'!K:K,MATCH('Lorri 401b'!N3442,'Retirement Calculator'!A:A,0),0),0)</f>
        <v>0</v>
      </c>
      <c r="K3442" s="444">
        <f t="shared" ca="1" si="148"/>
        <v>-5366420491.2642546</v>
      </c>
      <c r="L3442" s="444">
        <f t="shared" ca="1" si="149"/>
        <v>-1293307338394.6853</v>
      </c>
      <c r="M3442" s="460">
        <f t="shared" si="151"/>
        <v>0.05</v>
      </c>
      <c r="N3442" s="464">
        <f t="shared" si="152"/>
        <v>155807</v>
      </c>
    </row>
    <row r="3443" spans="7:14" ht="11.25" customHeight="1" x14ac:dyDescent="0.25">
      <c r="G3443" s="459"/>
      <c r="H3443" s="459">
        <v>3436</v>
      </c>
      <c r="I3443" s="444">
        <f t="shared" ca="1" si="150"/>
        <v>-1293307338394.6853</v>
      </c>
      <c r="J3443" s="444">
        <f t="array" ref="J3443">IFERROR(INDEX('Retirement Calculator'!K:K,MATCH('Lorri 401b'!N3443,'Retirement Calculator'!A:A,0),0),0)</f>
        <v>0</v>
      </c>
      <c r="K3443" s="444">
        <f t="shared" ca="1" si="148"/>
        <v>-5388780576.6445217</v>
      </c>
      <c r="L3443" s="444">
        <f t="shared" ca="1" si="149"/>
        <v>-1298696118971.3298</v>
      </c>
      <c r="M3443" s="460">
        <f t="shared" si="151"/>
        <v>0.05</v>
      </c>
      <c r="N3443" s="464">
        <f t="shared" si="152"/>
        <v>155838</v>
      </c>
    </row>
    <row r="3444" spans="7:14" ht="11.25" customHeight="1" x14ac:dyDescent="0.25">
      <c r="G3444" s="459"/>
      <c r="H3444" s="459">
        <v>3437</v>
      </c>
      <c r="I3444" s="444">
        <f t="shared" ca="1" si="150"/>
        <v>-1298696118971.3298</v>
      </c>
      <c r="J3444" s="444">
        <f t="array" ref="J3444">IFERROR(INDEX('Retirement Calculator'!K:K,MATCH('Lorri 401b'!N3444,'Retirement Calculator'!A:A,0),0),0)</f>
        <v>0</v>
      </c>
      <c r="K3444" s="444">
        <f t="shared" ca="1" si="148"/>
        <v>-5411233829.0472078</v>
      </c>
      <c r="L3444" s="444">
        <f t="shared" ca="1" si="149"/>
        <v>-1304107352800.377</v>
      </c>
      <c r="M3444" s="460">
        <f t="shared" si="151"/>
        <v>0.05</v>
      </c>
      <c r="N3444" s="464">
        <f t="shared" si="152"/>
        <v>155868</v>
      </c>
    </row>
    <row r="3445" spans="7:14" ht="11.25" customHeight="1" x14ac:dyDescent="0.25">
      <c r="G3445" s="459"/>
      <c r="H3445" s="459">
        <v>3438</v>
      </c>
      <c r="I3445" s="444">
        <f t="shared" ca="1" si="150"/>
        <v>-1304107352800.377</v>
      </c>
      <c r="J3445" s="444">
        <f t="array" ref="J3445">IFERROR(INDEX('Retirement Calculator'!K:K,MATCH('Lorri 401b'!N3445,'Retirement Calculator'!A:A,0),0),0)</f>
        <v>0</v>
      </c>
      <c r="K3445" s="444">
        <f t="shared" ca="1" si="148"/>
        <v>-5433780636.6682377</v>
      </c>
      <c r="L3445" s="444">
        <f t="shared" ca="1" si="149"/>
        <v>-1309541133437.0452</v>
      </c>
      <c r="M3445" s="460">
        <f t="shared" si="151"/>
        <v>0.05</v>
      </c>
      <c r="N3445" s="464">
        <f t="shared" si="152"/>
        <v>155899</v>
      </c>
    </row>
    <row r="3446" spans="7:14" ht="11.25" customHeight="1" x14ac:dyDescent="0.25">
      <c r="G3446" s="459"/>
      <c r="H3446" s="459">
        <v>3439</v>
      </c>
      <c r="I3446" s="444">
        <f t="shared" ca="1" si="150"/>
        <v>-1309541133437.0452</v>
      </c>
      <c r="J3446" s="444">
        <f t="array" ref="J3446">IFERROR(INDEX('Retirement Calculator'!K:K,MATCH('Lorri 401b'!N3446,'Retirement Calculator'!A:A,0),0),0)</f>
        <v>0</v>
      </c>
      <c r="K3446" s="444">
        <f t="shared" ca="1" si="148"/>
        <v>-5456421389.3210211</v>
      </c>
      <c r="L3446" s="444">
        <f t="shared" ca="1" si="149"/>
        <v>-1314997554826.3662</v>
      </c>
      <c r="M3446" s="460">
        <f t="shared" si="151"/>
        <v>0.05</v>
      </c>
      <c r="N3446" s="464">
        <f t="shared" si="152"/>
        <v>155929</v>
      </c>
    </row>
    <row r="3447" spans="7:14" ht="11.25" customHeight="1" x14ac:dyDescent="0.25">
      <c r="G3447" s="459"/>
      <c r="H3447" s="459">
        <v>3440</v>
      </c>
      <c r="I3447" s="444">
        <f t="shared" ca="1" si="150"/>
        <v>-1314997554826.3662</v>
      </c>
      <c r="J3447" s="444">
        <f t="array" ref="J3447">IFERROR(INDEX('Retirement Calculator'!K:K,MATCH('Lorri 401b'!N3447,'Retirement Calculator'!A:A,0),0),0)</f>
        <v>0</v>
      </c>
      <c r="K3447" s="444">
        <f t="shared" ca="1" si="148"/>
        <v>-5479156478.4431925</v>
      </c>
      <c r="L3447" s="444">
        <f t="shared" ca="1" si="149"/>
        <v>-1320476711304.8093</v>
      </c>
      <c r="M3447" s="460">
        <f t="shared" si="151"/>
        <v>0.05</v>
      </c>
      <c r="N3447" s="464">
        <f t="shared" si="152"/>
        <v>155960</v>
      </c>
    </row>
    <row r="3448" spans="7:14" ht="11.25" customHeight="1" x14ac:dyDescent="0.25">
      <c r="G3448" s="459"/>
      <c r="H3448" s="459">
        <v>3441</v>
      </c>
      <c r="I3448" s="444">
        <f t="shared" ca="1" si="150"/>
        <v>-1320476711304.8093</v>
      </c>
      <c r="J3448" s="444">
        <f t="array" ref="J3448">IFERROR(INDEX('Retirement Calculator'!K:K,MATCH('Lorri 401b'!N3448,'Retirement Calculator'!A:A,0),0),0)</f>
        <v>0</v>
      </c>
      <c r="K3448" s="444">
        <f t="shared" ca="1" si="148"/>
        <v>-5501986297.1033726</v>
      </c>
      <c r="L3448" s="444">
        <f t="shared" ca="1" si="149"/>
        <v>-1325978697601.9126</v>
      </c>
      <c r="M3448" s="460">
        <f t="shared" si="151"/>
        <v>0.05</v>
      </c>
      <c r="N3448" s="464">
        <f t="shared" si="152"/>
        <v>155991</v>
      </c>
    </row>
    <row r="3449" spans="7:14" ht="11.25" customHeight="1" x14ac:dyDescent="0.25">
      <c r="G3449" s="459"/>
      <c r="H3449" s="459">
        <v>3442</v>
      </c>
      <c r="I3449" s="444">
        <f t="shared" ca="1" si="150"/>
        <v>-1325978697601.9126</v>
      </c>
      <c r="J3449" s="444">
        <f t="array" ref="J3449">IFERROR(INDEX('Retirement Calculator'!K:K,MATCH('Lorri 401b'!N3449,'Retirement Calculator'!A:A,0),0),0)</f>
        <v>0</v>
      </c>
      <c r="K3449" s="444">
        <f t="shared" ca="1" si="148"/>
        <v>-5524911240.0079689</v>
      </c>
      <c r="L3449" s="444">
        <f t="shared" ca="1" si="149"/>
        <v>-1331503608841.9207</v>
      </c>
      <c r="M3449" s="460">
        <f t="shared" si="151"/>
        <v>0.05</v>
      </c>
      <c r="N3449" s="464">
        <f t="shared" si="152"/>
        <v>156019</v>
      </c>
    </row>
    <row r="3450" spans="7:14" ht="11.25" customHeight="1" x14ac:dyDescent="0.25">
      <c r="G3450" s="459"/>
      <c r="H3450" s="459">
        <v>3443</v>
      </c>
      <c r="I3450" s="444">
        <f t="shared" ca="1" si="150"/>
        <v>-1331503608841.9207</v>
      </c>
      <c r="J3450" s="444">
        <f t="array" ref="J3450">IFERROR(INDEX('Retirement Calculator'!K:K,MATCH('Lorri 401b'!N3450,'Retirement Calculator'!A:A,0),0),0)</f>
        <v>0</v>
      </c>
      <c r="K3450" s="444">
        <f t="shared" ca="1" si="148"/>
        <v>-5547931703.5080023</v>
      </c>
      <c r="L3450" s="444">
        <f t="shared" ca="1" si="149"/>
        <v>-1337051540545.4287</v>
      </c>
      <c r="M3450" s="460">
        <f t="shared" si="151"/>
        <v>0.05</v>
      </c>
      <c r="N3450" s="464">
        <f t="shared" si="152"/>
        <v>156050</v>
      </c>
    </row>
    <row r="3451" spans="7:14" ht="11.25" customHeight="1" x14ac:dyDescent="0.25">
      <c r="G3451" s="459"/>
      <c r="H3451" s="459">
        <v>3444</v>
      </c>
      <c r="I3451" s="444">
        <f t="shared" ca="1" si="150"/>
        <v>-1337051540545.4287</v>
      </c>
      <c r="J3451" s="444">
        <f t="array" ref="J3451">IFERROR(INDEX('Retirement Calculator'!K:K,MATCH('Lorri 401b'!N3451,'Retirement Calculator'!A:A,0),0),0)</f>
        <v>0</v>
      </c>
      <c r="K3451" s="444">
        <f t="shared" ca="1" si="148"/>
        <v>-5571048085.6059532</v>
      </c>
      <c r="L3451" s="444">
        <f t="shared" ca="1" si="149"/>
        <v>-1342622588631.0347</v>
      </c>
      <c r="M3451" s="460">
        <f t="shared" si="151"/>
        <v>0.05</v>
      </c>
      <c r="N3451" s="464">
        <f t="shared" si="152"/>
        <v>156080</v>
      </c>
    </row>
    <row r="3452" spans="7:14" ht="11.25" customHeight="1" x14ac:dyDescent="0.25">
      <c r="G3452" s="459"/>
      <c r="H3452" s="459">
        <v>3445</v>
      </c>
      <c r="I3452" s="444">
        <f t="shared" ca="1" si="150"/>
        <v>-1342622588631.0347</v>
      </c>
      <c r="J3452" s="444">
        <f t="array" ref="J3452">IFERROR(INDEX('Retirement Calculator'!K:K,MATCH('Lorri 401b'!N3452,'Retirement Calculator'!A:A,0),0),0)</f>
        <v>0</v>
      </c>
      <c r="K3452" s="444">
        <f t="shared" ca="1" si="148"/>
        <v>-5594260785.9626446</v>
      </c>
      <c r="L3452" s="444">
        <f t="shared" ca="1" si="149"/>
        <v>-1348216849416.9973</v>
      </c>
      <c r="M3452" s="460">
        <f t="shared" si="151"/>
        <v>0.05</v>
      </c>
      <c r="N3452" s="464">
        <f t="shared" si="152"/>
        <v>156111</v>
      </c>
    </row>
    <row r="3453" spans="7:14" ht="11.25" customHeight="1" x14ac:dyDescent="0.25">
      <c r="G3453" s="459"/>
      <c r="H3453" s="459">
        <v>3446</v>
      </c>
      <c r="I3453" s="444">
        <f t="shared" ca="1" si="150"/>
        <v>-1348216849416.9973</v>
      </c>
      <c r="J3453" s="444">
        <f t="array" ref="J3453">IFERROR(INDEX('Retirement Calculator'!K:K,MATCH('Lorri 401b'!N3453,'Retirement Calculator'!A:A,0),0),0)</f>
        <v>0</v>
      </c>
      <c r="K3453" s="444">
        <f t="shared" ca="1" si="148"/>
        <v>-5617570205.9041557</v>
      </c>
      <c r="L3453" s="444">
        <f t="shared" ca="1" si="149"/>
        <v>-1353834419622.9014</v>
      </c>
      <c r="M3453" s="460">
        <f t="shared" si="151"/>
        <v>0.05</v>
      </c>
      <c r="N3453" s="464">
        <f t="shared" si="152"/>
        <v>156141</v>
      </c>
    </row>
    <row r="3454" spans="7:14" ht="11.25" customHeight="1" x14ac:dyDescent="0.25">
      <c r="G3454" s="459"/>
      <c r="H3454" s="459">
        <v>3447</v>
      </c>
      <c r="I3454" s="444">
        <f t="shared" ca="1" si="150"/>
        <v>-1353834419622.9014</v>
      </c>
      <c r="J3454" s="444">
        <f t="array" ref="J3454">IFERROR(INDEX('Retirement Calculator'!K:K,MATCH('Lorri 401b'!N3454,'Retirement Calculator'!A:A,0),0),0)</f>
        <v>0</v>
      </c>
      <c r="K3454" s="444">
        <f t="shared" ca="1" si="148"/>
        <v>-5640976748.4287558</v>
      </c>
      <c r="L3454" s="444">
        <f t="shared" ca="1" si="149"/>
        <v>-1359475396371.3301</v>
      </c>
      <c r="M3454" s="460">
        <f t="shared" si="151"/>
        <v>0.05</v>
      </c>
      <c r="N3454" s="464">
        <f t="shared" si="152"/>
        <v>156172</v>
      </c>
    </row>
    <row r="3455" spans="7:14" ht="11.25" customHeight="1" x14ac:dyDescent="0.25">
      <c r="G3455" s="459"/>
      <c r="H3455" s="459">
        <v>3448</v>
      </c>
      <c r="I3455" s="444">
        <f t="shared" ca="1" si="150"/>
        <v>-1359475396371.3301</v>
      </c>
      <c r="J3455" s="444">
        <f t="array" ref="J3455">IFERROR(INDEX('Retirement Calculator'!K:K,MATCH('Lorri 401b'!N3455,'Retirement Calculator'!A:A,0),0),0)</f>
        <v>0</v>
      </c>
      <c r="K3455" s="444">
        <f t="shared" ca="1" si="148"/>
        <v>-5664480818.2138748</v>
      </c>
      <c r="L3455" s="444">
        <f t="shared" ca="1" si="149"/>
        <v>-1365139877189.5439</v>
      </c>
      <c r="M3455" s="460">
        <f t="shared" si="151"/>
        <v>0.05</v>
      </c>
      <c r="N3455" s="464">
        <f t="shared" si="152"/>
        <v>156203</v>
      </c>
    </row>
    <row r="3456" spans="7:14" ht="11.25" customHeight="1" x14ac:dyDescent="0.25">
      <c r="G3456" s="459"/>
      <c r="H3456" s="459">
        <v>3449</v>
      </c>
      <c r="I3456" s="444">
        <f t="shared" ca="1" si="150"/>
        <v>-1365139877189.5439</v>
      </c>
      <c r="J3456" s="444">
        <f t="array" ref="J3456">IFERROR(INDEX('Retirement Calculator'!K:K,MATCH('Lorri 401b'!N3456,'Retirement Calculator'!A:A,0),0),0)</f>
        <v>0</v>
      </c>
      <c r="K3456" s="444">
        <f t="shared" ca="1" si="148"/>
        <v>-5688082821.6230993</v>
      </c>
      <c r="L3456" s="444">
        <f t="shared" ca="1" si="149"/>
        <v>-1370827960011.167</v>
      </c>
      <c r="M3456" s="460">
        <f t="shared" si="151"/>
        <v>0.05</v>
      </c>
      <c r="N3456" s="464">
        <f t="shared" si="152"/>
        <v>156233</v>
      </c>
    </row>
    <row r="3457" spans="7:14" ht="11.25" customHeight="1" x14ac:dyDescent="0.25">
      <c r="G3457" s="459"/>
      <c r="H3457" s="459">
        <v>3450</v>
      </c>
      <c r="I3457" s="444">
        <f t="shared" ca="1" si="150"/>
        <v>-1370827960011.167</v>
      </c>
      <c r="J3457" s="444">
        <f t="array" ref="J3457">IFERROR(INDEX('Retirement Calculator'!K:K,MATCH('Lorri 401b'!N3457,'Retirement Calculator'!A:A,0),0),0)</f>
        <v>0</v>
      </c>
      <c r="K3457" s="444">
        <f t="shared" ca="1" si="148"/>
        <v>-5711783166.7131958</v>
      </c>
      <c r="L3457" s="444">
        <f t="shared" ca="1" si="149"/>
        <v>-1376539743177.8801</v>
      </c>
      <c r="M3457" s="460">
        <f t="shared" si="151"/>
        <v>0.05</v>
      </c>
      <c r="N3457" s="464">
        <f t="shared" si="152"/>
        <v>156264</v>
      </c>
    </row>
    <row r="3458" spans="7:14" ht="11.25" customHeight="1" x14ac:dyDescent="0.25">
      <c r="G3458" s="459"/>
      <c r="H3458" s="459">
        <v>3451</v>
      </c>
      <c r="I3458" s="444">
        <f t="shared" ca="1" si="150"/>
        <v>-1376539743177.8801</v>
      </c>
      <c r="J3458" s="444">
        <f t="array" ref="J3458">IFERROR(INDEX('Retirement Calculator'!K:K,MATCH('Lorri 401b'!N3458,'Retirement Calculator'!A:A,0),0),0)</f>
        <v>0</v>
      </c>
      <c r="K3458" s="444">
        <f t="shared" ca="1" si="148"/>
        <v>-5735582263.2411671</v>
      </c>
      <c r="L3458" s="444">
        <f t="shared" ca="1" si="149"/>
        <v>-1382275325441.1213</v>
      </c>
      <c r="M3458" s="460">
        <f t="shared" si="151"/>
        <v>0.05</v>
      </c>
      <c r="N3458" s="464">
        <f t="shared" si="152"/>
        <v>156294</v>
      </c>
    </row>
    <row r="3459" spans="7:14" ht="11.25" customHeight="1" x14ac:dyDescent="0.25">
      <c r="G3459" s="459"/>
      <c r="H3459" s="459">
        <v>3452</v>
      </c>
      <c r="I3459" s="444">
        <f t="shared" ca="1" si="150"/>
        <v>-1382275325441.1213</v>
      </c>
      <c r="J3459" s="444">
        <f t="array" ref="J3459">IFERROR(INDEX('Retirement Calculator'!K:K,MATCH('Lorri 401b'!N3459,'Retirement Calculator'!A:A,0),0),0)</f>
        <v>0</v>
      </c>
      <c r="K3459" s="444">
        <f t="shared" ca="1" si="148"/>
        <v>-5759480522.671339</v>
      </c>
      <c r="L3459" s="444">
        <f t="shared" ca="1" si="149"/>
        <v>-1388034805963.7927</v>
      </c>
      <c r="M3459" s="460">
        <f t="shared" si="151"/>
        <v>0.05</v>
      </c>
      <c r="N3459" s="464">
        <f t="shared" si="152"/>
        <v>156325</v>
      </c>
    </row>
    <row r="3460" spans="7:14" ht="11.25" customHeight="1" x14ac:dyDescent="0.25">
      <c r="G3460" s="459"/>
      <c r="H3460" s="459">
        <v>3453</v>
      </c>
      <c r="I3460" s="444">
        <f t="shared" ca="1" si="150"/>
        <v>-1388034805963.7927</v>
      </c>
      <c r="J3460" s="444">
        <f t="array" ref="J3460">IFERROR(INDEX('Retirement Calculator'!K:K,MATCH('Lorri 401b'!N3460,'Retirement Calculator'!A:A,0),0),0)</f>
        <v>0</v>
      </c>
      <c r="K3460" s="444">
        <f t="shared" ca="1" si="148"/>
        <v>-5783478358.1824694</v>
      </c>
      <c r="L3460" s="444">
        <f t="shared" ca="1" si="149"/>
        <v>-1393818284321.9751</v>
      </c>
      <c r="M3460" s="460">
        <f t="shared" si="151"/>
        <v>0.05</v>
      </c>
      <c r="N3460" s="464">
        <f t="shared" si="152"/>
        <v>156356</v>
      </c>
    </row>
    <row r="3461" spans="7:14" ht="11.25" customHeight="1" x14ac:dyDescent="0.25">
      <c r="G3461" s="459"/>
      <c r="H3461" s="459">
        <v>3454</v>
      </c>
      <c r="I3461" s="444">
        <f t="shared" ca="1" si="150"/>
        <v>-1393818284321.9751</v>
      </c>
      <c r="J3461" s="444">
        <f t="array" ref="J3461">IFERROR(INDEX('Retirement Calculator'!K:K,MATCH('Lorri 401b'!N3461,'Retirement Calculator'!A:A,0),0),0)</f>
        <v>0</v>
      </c>
      <c r="K3461" s="444">
        <f t="shared" ca="1" si="148"/>
        <v>-5807576184.6748962</v>
      </c>
      <c r="L3461" s="444">
        <f t="shared" ca="1" si="149"/>
        <v>-1399625860506.6499</v>
      </c>
      <c r="M3461" s="460">
        <f t="shared" si="151"/>
        <v>0.05</v>
      </c>
      <c r="N3461" s="464">
        <f t="shared" si="152"/>
        <v>156385</v>
      </c>
    </row>
    <row r="3462" spans="7:14" ht="11.25" customHeight="1" x14ac:dyDescent="0.25">
      <c r="G3462" s="459"/>
      <c r="H3462" s="459">
        <v>3455</v>
      </c>
      <c r="I3462" s="444">
        <f t="shared" ca="1" si="150"/>
        <v>-1399625860506.6499</v>
      </c>
      <c r="J3462" s="444">
        <f t="array" ref="J3462">IFERROR(INDEX('Retirement Calculator'!K:K,MATCH('Lorri 401b'!N3462,'Retirement Calculator'!A:A,0),0),0)</f>
        <v>0</v>
      </c>
      <c r="K3462" s="444">
        <f t="shared" ca="1" si="148"/>
        <v>-5831774418.7777081</v>
      </c>
      <c r="L3462" s="444">
        <f t="shared" ca="1" si="149"/>
        <v>-1405457634925.4275</v>
      </c>
      <c r="M3462" s="460">
        <f t="shared" si="151"/>
        <v>0.05</v>
      </c>
      <c r="N3462" s="464">
        <f t="shared" si="152"/>
        <v>156416</v>
      </c>
    </row>
    <row r="3463" spans="7:14" ht="11.25" customHeight="1" x14ac:dyDescent="0.25">
      <c r="G3463" s="459"/>
      <c r="H3463" s="459">
        <v>3456</v>
      </c>
      <c r="I3463" s="444">
        <f t="shared" ca="1" si="150"/>
        <v>-1405457634925.4275</v>
      </c>
      <c r="J3463" s="444">
        <f t="array" ref="J3463">IFERROR(INDEX('Retirement Calculator'!K:K,MATCH('Lorri 401b'!N3463,'Retirement Calculator'!A:A,0),0),0)</f>
        <v>0</v>
      </c>
      <c r="K3463" s="444">
        <f t="shared" ca="1" si="148"/>
        <v>-5856073478.8559475</v>
      </c>
      <c r="L3463" s="444">
        <f t="shared" ca="1" si="149"/>
        <v>-1411313708404.2834</v>
      </c>
      <c r="M3463" s="460">
        <f t="shared" si="151"/>
        <v>0.05</v>
      </c>
      <c r="N3463" s="464">
        <f t="shared" si="152"/>
        <v>156446</v>
      </c>
    </row>
    <row r="3464" spans="7:14" ht="11.25" customHeight="1" x14ac:dyDescent="0.25">
      <c r="G3464" s="459"/>
      <c r="H3464" s="459">
        <v>3457</v>
      </c>
      <c r="I3464" s="444">
        <f t="shared" ca="1" si="150"/>
        <v>-1411313708404.2834</v>
      </c>
      <c r="J3464" s="444">
        <f t="array" ref="J3464">IFERROR(INDEX('Retirement Calculator'!K:K,MATCH('Lorri 401b'!N3464,'Retirement Calculator'!A:A,0),0),0)</f>
        <v>0</v>
      </c>
      <c r="K3464" s="444">
        <f t="shared" ca="1" si="148"/>
        <v>-5880473785.017848</v>
      </c>
      <c r="L3464" s="444">
        <f t="shared" ca="1" si="149"/>
        <v>-1417194182189.3013</v>
      </c>
      <c r="M3464" s="460">
        <f t="shared" si="151"/>
        <v>0.05</v>
      </c>
      <c r="N3464" s="464">
        <f t="shared" si="152"/>
        <v>156477</v>
      </c>
    </row>
    <row r="3465" spans="7:14" ht="11.25" customHeight="1" x14ac:dyDescent="0.25">
      <c r="G3465" s="459"/>
      <c r="H3465" s="459">
        <v>3458</v>
      </c>
      <c r="I3465" s="444">
        <f t="shared" ca="1" si="150"/>
        <v>-1417194182189.3013</v>
      </c>
      <c r="J3465" s="444">
        <f t="array" ref="J3465">IFERROR(INDEX('Retirement Calculator'!K:K,MATCH('Lorri 401b'!N3465,'Retirement Calculator'!A:A,0),0),0)</f>
        <v>0</v>
      </c>
      <c r="K3465" s="444">
        <f t="shared" ca="1" si="148"/>
        <v>-5904975759.1220884</v>
      </c>
      <c r="L3465" s="444">
        <f t="shared" ca="1" si="149"/>
        <v>-1423099157948.4233</v>
      </c>
      <c r="M3465" s="460">
        <f t="shared" si="151"/>
        <v>0.05</v>
      </c>
      <c r="N3465" s="464">
        <f t="shared" si="152"/>
        <v>156507</v>
      </c>
    </row>
    <row r="3466" spans="7:14" ht="11.25" customHeight="1" x14ac:dyDescent="0.25">
      <c r="G3466" s="459"/>
      <c r="H3466" s="459">
        <v>3459</v>
      </c>
      <c r="I3466" s="444">
        <f t="shared" ca="1" si="150"/>
        <v>-1423099157948.4233</v>
      </c>
      <c r="J3466" s="444">
        <f t="array" ref="J3466">IFERROR(INDEX('Retirement Calculator'!K:K,MATCH('Lorri 401b'!N3466,'Retirement Calculator'!A:A,0),0),0)</f>
        <v>0</v>
      </c>
      <c r="K3466" s="444">
        <f t="shared" ca="1" si="148"/>
        <v>-5929579824.7850971</v>
      </c>
      <c r="L3466" s="444">
        <f t="shared" ca="1" si="149"/>
        <v>-1429028737773.2085</v>
      </c>
      <c r="M3466" s="460">
        <f t="shared" si="151"/>
        <v>0.05</v>
      </c>
      <c r="N3466" s="464">
        <f t="shared" si="152"/>
        <v>156538</v>
      </c>
    </row>
    <row r="3467" spans="7:14" ht="11.25" customHeight="1" x14ac:dyDescent="0.25">
      <c r="G3467" s="459"/>
      <c r="H3467" s="459">
        <v>3460</v>
      </c>
      <c r="I3467" s="444">
        <f t="shared" ca="1" si="150"/>
        <v>-1429028737773.2085</v>
      </c>
      <c r="J3467" s="444">
        <f t="array" ref="J3467">IFERROR(INDEX('Retirement Calculator'!K:K,MATCH('Lorri 401b'!N3467,'Retirement Calculator'!A:A,0),0),0)</f>
        <v>0</v>
      </c>
      <c r="K3467" s="444">
        <f t="shared" ca="1" si="148"/>
        <v>-5954286407.3883686</v>
      </c>
      <c r="L3467" s="444">
        <f t="shared" ca="1" si="149"/>
        <v>-1434983024180.5969</v>
      </c>
      <c r="M3467" s="460">
        <f t="shared" si="151"/>
        <v>0.05</v>
      </c>
      <c r="N3467" s="464">
        <f t="shared" si="152"/>
        <v>156569</v>
      </c>
    </row>
    <row r="3468" spans="7:14" ht="11.25" customHeight="1" x14ac:dyDescent="0.25">
      <c r="G3468" s="459"/>
      <c r="H3468" s="459">
        <v>3461</v>
      </c>
      <c r="I3468" s="444">
        <f t="shared" ca="1" si="150"/>
        <v>-1434983024180.5969</v>
      </c>
      <c r="J3468" s="444">
        <f t="array" ref="J3468">IFERROR(INDEX('Retirement Calculator'!K:K,MATCH('Lorri 401b'!N3468,'Retirement Calculator'!A:A,0),0),0)</f>
        <v>0</v>
      </c>
      <c r="K3468" s="444">
        <f t="shared" ca="1" si="148"/>
        <v>-5979095934.0858202</v>
      </c>
      <c r="L3468" s="444">
        <f t="shared" ca="1" si="149"/>
        <v>-1440962120114.6829</v>
      </c>
      <c r="M3468" s="460">
        <f t="shared" si="151"/>
        <v>0.05</v>
      </c>
      <c r="N3468" s="464">
        <f t="shared" si="152"/>
        <v>156599</v>
      </c>
    </row>
    <row r="3469" spans="7:14" ht="11.25" customHeight="1" x14ac:dyDescent="0.25">
      <c r="G3469" s="459"/>
      <c r="H3469" s="459">
        <v>3462</v>
      </c>
      <c r="I3469" s="444">
        <f t="shared" ca="1" si="150"/>
        <v>-1440962120114.6829</v>
      </c>
      <c r="J3469" s="444">
        <f t="array" ref="J3469">IFERROR(INDEX('Retirement Calculator'!K:K,MATCH('Lorri 401b'!N3469,'Retirement Calculator'!A:A,0),0),0)</f>
        <v>0</v>
      </c>
      <c r="K3469" s="444">
        <f t="shared" ca="1" si="148"/>
        <v>-6004008833.8111782</v>
      </c>
      <c r="L3469" s="444">
        <f t="shared" ca="1" si="149"/>
        <v>-1446966128948.4941</v>
      </c>
      <c r="M3469" s="460">
        <f t="shared" si="151"/>
        <v>0.05</v>
      </c>
      <c r="N3469" s="464">
        <f t="shared" si="152"/>
        <v>156630</v>
      </c>
    </row>
    <row r="3470" spans="7:14" ht="11.25" customHeight="1" x14ac:dyDescent="0.25">
      <c r="G3470" s="459"/>
      <c r="H3470" s="459">
        <v>3463</v>
      </c>
      <c r="I3470" s="444">
        <f t="shared" ca="1" si="150"/>
        <v>-1446966128948.4941</v>
      </c>
      <c r="J3470" s="444">
        <f t="array" ref="J3470">IFERROR(INDEX('Retirement Calculator'!K:K,MATCH('Lorri 401b'!N3470,'Retirement Calculator'!A:A,0),0),0)</f>
        <v>0</v>
      </c>
      <c r="K3470" s="444">
        <f t="shared" ca="1" si="148"/>
        <v>-6029025537.2853918</v>
      </c>
      <c r="L3470" s="444">
        <f t="shared" ca="1" si="149"/>
        <v>-1452995154485.7795</v>
      </c>
      <c r="M3470" s="460">
        <f t="shared" si="151"/>
        <v>0.05</v>
      </c>
      <c r="N3470" s="464">
        <f t="shared" si="152"/>
        <v>156660</v>
      </c>
    </row>
    <row r="3471" spans="7:14" ht="11.25" customHeight="1" x14ac:dyDescent="0.25">
      <c r="G3471" s="459"/>
      <c r="H3471" s="459">
        <v>3464</v>
      </c>
      <c r="I3471" s="444">
        <f t="shared" ca="1" si="150"/>
        <v>-1452995154485.7795</v>
      </c>
      <c r="J3471" s="444">
        <f t="array" ref="J3471">IFERROR(INDEX('Retirement Calculator'!K:K,MATCH('Lorri 401b'!N3471,'Retirement Calculator'!A:A,0),0),0)</f>
        <v>0</v>
      </c>
      <c r="K3471" s="444">
        <f t="shared" ca="1" si="148"/>
        <v>-6054146477.0240812</v>
      </c>
      <c r="L3471" s="444">
        <f t="shared" ca="1" si="149"/>
        <v>-1459049300962.8037</v>
      </c>
      <c r="M3471" s="460">
        <f t="shared" si="151"/>
        <v>0.05</v>
      </c>
      <c r="N3471" s="464">
        <f t="shared" si="152"/>
        <v>156691</v>
      </c>
    </row>
    <row r="3472" spans="7:14" ht="11.25" customHeight="1" x14ac:dyDescent="0.25">
      <c r="G3472" s="459"/>
      <c r="H3472" s="459">
        <v>3465</v>
      </c>
      <c r="I3472" s="444">
        <f t="shared" ca="1" si="150"/>
        <v>-1459049300962.8037</v>
      </c>
      <c r="J3472" s="444">
        <f t="array" ref="J3472">IFERROR(INDEX('Retirement Calculator'!K:K,MATCH('Lorri 401b'!N3472,'Retirement Calculator'!A:A,0),0),0)</f>
        <v>0</v>
      </c>
      <c r="K3472" s="444">
        <f t="shared" ca="1" si="148"/>
        <v>-6079372087.3450155</v>
      </c>
      <c r="L3472" s="444">
        <f t="shared" ca="1" si="149"/>
        <v>-1465128673050.1487</v>
      </c>
      <c r="M3472" s="460">
        <f t="shared" si="151"/>
        <v>0.05</v>
      </c>
      <c r="N3472" s="464">
        <f t="shared" si="152"/>
        <v>156722</v>
      </c>
    </row>
    <row r="3473" spans="7:14" ht="11.25" customHeight="1" x14ac:dyDescent="0.25">
      <c r="G3473" s="459"/>
      <c r="H3473" s="459">
        <v>3466</v>
      </c>
      <c r="I3473" s="444">
        <f t="shared" ca="1" si="150"/>
        <v>-1465128673050.1487</v>
      </c>
      <c r="J3473" s="444">
        <f t="array" ref="J3473">IFERROR(INDEX('Retirement Calculator'!K:K,MATCH('Lorri 401b'!N3473,'Retirement Calculator'!A:A,0),0),0)</f>
        <v>0</v>
      </c>
      <c r="K3473" s="444">
        <f t="shared" ca="1" si="148"/>
        <v>-6104702804.3756199</v>
      </c>
      <c r="L3473" s="444">
        <f t="shared" ca="1" si="149"/>
        <v>-1471233375854.5244</v>
      </c>
      <c r="M3473" s="460">
        <f t="shared" si="151"/>
        <v>0.05</v>
      </c>
      <c r="N3473" s="464">
        <f t="shared" si="152"/>
        <v>156750</v>
      </c>
    </row>
    <row r="3474" spans="7:14" ht="11.25" customHeight="1" x14ac:dyDescent="0.25">
      <c r="G3474" s="459"/>
      <c r="H3474" s="459">
        <v>3467</v>
      </c>
      <c r="I3474" s="444">
        <f t="shared" ca="1" si="150"/>
        <v>-1471233375854.5244</v>
      </c>
      <c r="J3474" s="444">
        <f t="array" ref="J3474">IFERROR(INDEX('Retirement Calculator'!K:K,MATCH('Lorri 401b'!N3474,'Retirement Calculator'!A:A,0),0),0)</f>
        <v>0</v>
      </c>
      <c r="K3474" s="444">
        <f t="shared" ca="1" si="148"/>
        <v>-6130139066.0605183</v>
      </c>
      <c r="L3474" s="444">
        <f t="shared" ca="1" si="149"/>
        <v>-1477363514920.585</v>
      </c>
      <c r="M3474" s="460">
        <f t="shared" si="151"/>
        <v>0.05</v>
      </c>
      <c r="N3474" s="464">
        <f t="shared" si="152"/>
        <v>156781</v>
      </c>
    </row>
    <row r="3475" spans="7:14" ht="11.25" customHeight="1" x14ac:dyDescent="0.25">
      <c r="G3475" s="459"/>
      <c r="H3475" s="459">
        <v>3468</v>
      </c>
      <c r="I3475" s="444">
        <f t="shared" ca="1" si="150"/>
        <v>-1477363514920.585</v>
      </c>
      <c r="J3475" s="444">
        <f t="array" ref="J3475">IFERROR(INDEX('Retirement Calculator'!K:K,MATCH('Lorri 401b'!N3475,'Retirement Calculator'!A:A,0),0),0)</f>
        <v>0</v>
      </c>
      <c r="K3475" s="444">
        <f t="shared" ca="1" si="148"/>
        <v>-6155681312.1691036</v>
      </c>
      <c r="L3475" s="444">
        <f t="shared" ca="1" si="149"/>
        <v>-1483519196232.7542</v>
      </c>
      <c r="M3475" s="460">
        <f t="shared" si="151"/>
        <v>0.05</v>
      </c>
      <c r="N3475" s="464">
        <f t="shared" si="152"/>
        <v>156811</v>
      </c>
    </row>
    <row r="3476" spans="7:14" ht="11.25" customHeight="1" x14ac:dyDescent="0.25">
      <c r="G3476" s="459"/>
      <c r="H3476" s="459">
        <v>3469</v>
      </c>
      <c r="I3476" s="444">
        <f t="shared" ca="1" si="150"/>
        <v>-1483519196232.7542</v>
      </c>
      <c r="J3476" s="444">
        <f t="array" ref="J3476">IFERROR(INDEX('Retirement Calculator'!K:K,MATCH('Lorri 401b'!N3476,'Retirement Calculator'!A:A,0),0),0)</f>
        <v>0</v>
      </c>
      <c r="K3476" s="444">
        <f t="shared" ca="1" si="148"/>
        <v>-6181329984.3031425</v>
      </c>
      <c r="L3476" s="444">
        <f t="shared" ca="1" si="149"/>
        <v>-1489700526217.0574</v>
      </c>
      <c r="M3476" s="460">
        <f t="shared" si="151"/>
        <v>0.05</v>
      </c>
      <c r="N3476" s="464">
        <f t="shared" si="152"/>
        <v>156842</v>
      </c>
    </row>
    <row r="3477" spans="7:14" ht="11.25" customHeight="1" x14ac:dyDescent="0.25">
      <c r="G3477" s="459"/>
      <c r="H3477" s="459">
        <v>3470</v>
      </c>
      <c r="I3477" s="444">
        <f t="shared" ca="1" si="150"/>
        <v>-1489700526217.0574</v>
      </c>
      <c r="J3477" s="444">
        <f t="array" ref="J3477">IFERROR(INDEX('Retirement Calculator'!K:K,MATCH('Lorri 401b'!N3477,'Retirement Calculator'!A:A,0),0),0)</f>
        <v>0</v>
      </c>
      <c r="K3477" s="444">
        <f t="shared" ca="1" si="148"/>
        <v>-6207085525.9044056</v>
      </c>
      <c r="L3477" s="444">
        <f t="shared" ca="1" si="149"/>
        <v>-1495907611742.9617</v>
      </c>
      <c r="M3477" s="460">
        <f t="shared" si="151"/>
        <v>0.05</v>
      </c>
      <c r="N3477" s="464">
        <f t="shared" si="152"/>
        <v>156872</v>
      </c>
    </row>
    <row r="3478" spans="7:14" ht="11.25" customHeight="1" x14ac:dyDescent="0.25">
      <c r="G3478" s="459"/>
      <c r="H3478" s="459">
        <v>3471</v>
      </c>
      <c r="I3478" s="444">
        <f t="shared" ca="1" si="150"/>
        <v>-1495907611742.9617</v>
      </c>
      <c r="J3478" s="444">
        <f t="array" ref="J3478">IFERROR(INDEX('Retirement Calculator'!K:K,MATCH('Lorri 401b'!N3478,'Retirement Calculator'!A:A,0),0),0)</f>
        <v>0</v>
      </c>
      <c r="K3478" s="444">
        <f t="shared" ca="1" si="148"/>
        <v>-6232948382.2623405</v>
      </c>
      <c r="L3478" s="444">
        <f t="shared" ca="1" si="149"/>
        <v>-1502140560125.2241</v>
      </c>
      <c r="M3478" s="460">
        <f t="shared" si="151"/>
        <v>0.05</v>
      </c>
      <c r="N3478" s="464">
        <f t="shared" si="152"/>
        <v>156903</v>
      </c>
    </row>
    <row r="3479" spans="7:14" ht="11.25" customHeight="1" x14ac:dyDescent="0.25">
      <c r="G3479" s="459"/>
      <c r="H3479" s="459">
        <v>3472</v>
      </c>
      <c r="I3479" s="444">
        <f t="shared" ca="1" si="150"/>
        <v>-1502140560125.2241</v>
      </c>
      <c r="J3479" s="444">
        <f t="array" ref="J3479">IFERROR(INDEX('Retirement Calculator'!K:K,MATCH('Lorri 401b'!N3479,'Retirement Calculator'!A:A,0),0),0)</f>
        <v>0</v>
      </c>
      <c r="K3479" s="444">
        <f t="shared" ca="1" si="148"/>
        <v>-6258919000.5217667</v>
      </c>
      <c r="L3479" s="444">
        <f t="shared" ca="1" si="149"/>
        <v>-1508399479125.7458</v>
      </c>
      <c r="M3479" s="460">
        <f t="shared" si="151"/>
        <v>0.05</v>
      </c>
      <c r="N3479" s="464">
        <f t="shared" si="152"/>
        <v>156934</v>
      </c>
    </row>
    <row r="3480" spans="7:14" ht="11.25" customHeight="1" x14ac:dyDescent="0.25">
      <c r="G3480" s="459"/>
      <c r="H3480" s="459">
        <v>3473</v>
      </c>
      <c r="I3480" s="444">
        <f t="shared" ca="1" si="150"/>
        <v>-1508399479125.7458</v>
      </c>
      <c r="J3480" s="444">
        <f t="array" ref="J3480">IFERROR(INDEX('Retirement Calculator'!K:K,MATCH('Lorri 401b'!N3480,'Retirement Calculator'!A:A,0),0),0)</f>
        <v>0</v>
      </c>
      <c r="K3480" s="444">
        <f t="shared" ca="1" si="148"/>
        <v>-6284997829.690608</v>
      </c>
      <c r="L3480" s="444">
        <f t="shared" ca="1" si="149"/>
        <v>-1514684476955.4365</v>
      </c>
      <c r="M3480" s="460">
        <f t="shared" si="151"/>
        <v>0.05</v>
      </c>
      <c r="N3480" s="464">
        <f t="shared" si="152"/>
        <v>156964</v>
      </c>
    </row>
    <row r="3481" spans="7:14" ht="11.25" customHeight="1" x14ac:dyDescent="0.25">
      <c r="G3481" s="459"/>
      <c r="H3481" s="459">
        <v>3474</v>
      </c>
      <c r="I3481" s="444">
        <f t="shared" ca="1" si="150"/>
        <v>-1514684476955.4365</v>
      </c>
      <c r="J3481" s="444">
        <f t="array" ref="J3481">IFERROR(INDEX('Retirement Calculator'!K:K,MATCH('Lorri 401b'!N3481,'Retirement Calculator'!A:A,0),0),0)</f>
        <v>0</v>
      </c>
      <c r="K3481" s="444">
        <f t="shared" ca="1" si="148"/>
        <v>-6311185320.6476517</v>
      </c>
      <c r="L3481" s="444">
        <f t="shared" ca="1" si="149"/>
        <v>-1520995662276.0842</v>
      </c>
      <c r="M3481" s="460">
        <f t="shared" si="151"/>
        <v>0.05</v>
      </c>
      <c r="N3481" s="464">
        <f t="shared" si="152"/>
        <v>156995</v>
      </c>
    </row>
    <row r="3482" spans="7:14" ht="11.25" customHeight="1" x14ac:dyDescent="0.25">
      <c r="G3482" s="459"/>
      <c r="H3482" s="459">
        <v>3475</v>
      </c>
      <c r="I3482" s="444">
        <f t="shared" ca="1" si="150"/>
        <v>-1520995662276.0842</v>
      </c>
      <c r="J3482" s="444">
        <f t="array" ref="J3482">IFERROR(INDEX('Retirement Calculator'!K:K,MATCH('Lorri 401b'!N3482,'Retirement Calculator'!A:A,0),0),0)</f>
        <v>0</v>
      </c>
      <c r="K3482" s="444">
        <f t="shared" ca="1" si="148"/>
        <v>-6337481926.1503506</v>
      </c>
      <c r="L3482" s="444">
        <f t="shared" ca="1" si="149"/>
        <v>-1527333144202.2346</v>
      </c>
      <c r="M3482" s="460">
        <f t="shared" si="151"/>
        <v>0.05</v>
      </c>
      <c r="N3482" s="464">
        <f t="shared" si="152"/>
        <v>157025</v>
      </c>
    </row>
    <row r="3483" spans="7:14" ht="11.25" customHeight="1" x14ac:dyDescent="0.25">
      <c r="G3483" s="459"/>
      <c r="H3483" s="459">
        <v>3476</v>
      </c>
      <c r="I3483" s="444">
        <f t="shared" ca="1" si="150"/>
        <v>-1527333144202.2346</v>
      </c>
      <c r="J3483" s="444">
        <f t="array" ref="J3483">IFERROR(INDEX('Retirement Calculator'!K:K,MATCH('Lorri 401b'!N3483,'Retirement Calculator'!A:A,0),0),0)</f>
        <v>0</v>
      </c>
      <c r="K3483" s="444">
        <f t="shared" ca="1" si="148"/>
        <v>-6363888100.8426437</v>
      </c>
      <c r="L3483" s="444">
        <f t="shared" ca="1" si="149"/>
        <v>-1533697032303.0771</v>
      </c>
      <c r="M3483" s="460">
        <f t="shared" si="151"/>
        <v>0.05</v>
      </c>
      <c r="N3483" s="464">
        <f t="shared" si="152"/>
        <v>157056</v>
      </c>
    </row>
    <row r="3484" spans="7:14" ht="11.25" customHeight="1" x14ac:dyDescent="0.25">
      <c r="G3484" s="459"/>
      <c r="H3484" s="459">
        <v>3477</v>
      </c>
      <c r="I3484" s="444">
        <f t="shared" ca="1" si="150"/>
        <v>-1533697032303.0771</v>
      </c>
      <c r="J3484" s="444">
        <f t="array" ref="J3484">IFERROR(INDEX('Retirement Calculator'!K:K,MATCH('Lorri 401b'!N3484,'Retirement Calculator'!A:A,0),0),0)</f>
        <v>0</v>
      </c>
      <c r="K3484" s="444">
        <f t="shared" ca="1" si="148"/>
        <v>-6390404301.2628212</v>
      </c>
      <c r="L3484" s="444">
        <f t="shared" ca="1" si="149"/>
        <v>-1540087436604.3401</v>
      </c>
      <c r="M3484" s="460">
        <f t="shared" si="151"/>
        <v>0.05</v>
      </c>
      <c r="N3484" s="464">
        <f t="shared" si="152"/>
        <v>157087</v>
      </c>
    </row>
    <row r="3485" spans="7:14" ht="11.25" customHeight="1" x14ac:dyDescent="0.25">
      <c r="G3485" s="459"/>
      <c r="H3485" s="459">
        <v>3478</v>
      </c>
      <c r="I3485" s="444">
        <f t="shared" ca="1" si="150"/>
        <v>-1540087436604.3401</v>
      </c>
      <c r="J3485" s="444">
        <f t="array" ref="J3485">IFERROR(INDEX('Retirement Calculator'!K:K,MATCH('Lorri 401b'!N3485,'Retirement Calculator'!A:A,0),0),0)</f>
        <v>0</v>
      </c>
      <c r="K3485" s="444">
        <f t="shared" ca="1" si="148"/>
        <v>-6417030985.8514166</v>
      </c>
      <c r="L3485" s="444">
        <f t="shared" ca="1" si="149"/>
        <v>-1546504467590.1914</v>
      </c>
      <c r="M3485" s="460">
        <f t="shared" si="151"/>
        <v>0.05</v>
      </c>
      <c r="N3485" s="464">
        <f t="shared" si="152"/>
        <v>157115</v>
      </c>
    </row>
    <row r="3486" spans="7:14" ht="11.25" customHeight="1" x14ac:dyDescent="0.25">
      <c r="G3486" s="459"/>
      <c r="H3486" s="459">
        <v>3479</v>
      </c>
      <c r="I3486" s="444">
        <f t="shared" ca="1" si="150"/>
        <v>-1546504467590.1914</v>
      </c>
      <c r="J3486" s="444">
        <f t="array" ref="J3486">IFERROR(INDEX('Retirement Calculator'!K:K,MATCH('Lorri 401b'!N3486,'Retirement Calculator'!A:A,0),0),0)</f>
        <v>0</v>
      </c>
      <c r="K3486" s="444">
        <f t="shared" ca="1" si="148"/>
        <v>-6443768614.9591312</v>
      </c>
      <c r="L3486" s="444">
        <f t="shared" ca="1" si="149"/>
        <v>-1552948236205.1506</v>
      </c>
      <c r="M3486" s="460">
        <f t="shared" si="151"/>
        <v>0.05</v>
      </c>
      <c r="N3486" s="464">
        <f t="shared" si="152"/>
        <v>157146</v>
      </c>
    </row>
    <row r="3487" spans="7:14" ht="11.25" customHeight="1" x14ac:dyDescent="0.25">
      <c r="G3487" s="459"/>
      <c r="H3487" s="459">
        <v>3480</v>
      </c>
      <c r="I3487" s="444">
        <f t="shared" ca="1" si="150"/>
        <v>-1552948236205.1506</v>
      </c>
      <c r="J3487" s="444">
        <f t="array" ref="J3487">IFERROR(INDEX('Retirement Calculator'!K:K,MATCH('Lorri 401b'!N3487,'Retirement Calculator'!A:A,0),0),0)</f>
        <v>0</v>
      </c>
      <c r="K3487" s="444">
        <f t="shared" ca="1" si="148"/>
        <v>-6470617650.8547945</v>
      </c>
      <c r="L3487" s="444">
        <f t="shared" ca="1" si="149"/>
        <v>-1559418853856.0054</v>
      </c>
      <c r="M3487" s="460">
        <f t="shared" si="151"/>
        <v>0.05</v>
      </c>
      <c r="N3487" s="464">
        <f t="shared" si="152"/>
        <v>157176</v>
      </c>
    </row>
    <row r="3488" spans="7:14" ht="11.25" customHeight="1" x14ac:dyDescent="0.25">
      <c r="G3488" s="459"/>
      <c r="H3488" s="459">
        <v>3481</v>
      </c>
      <c r="I3488" s="444">
        <f t="shared" ca="1" si="150"/>
        <v>-1559418853856.0054</v>
      </c>
      <c r="J3488" s="444">
        <f t="array" ref="J3488">IFERROR(INDEX('Retirement Calculator'!K:K,MATCH('Lorri 401b'!N3488,'Retirement Calculator'!A:A,0),0),0)</f>
        <v>0</v>
      </c>
      <c r="K3488" s="444">
        <f t="shared" ca="1" si="148"/>
        <v>-6497578557.7333555</v>
      </c>
      <c r="L3488" s="444">
        <f t="shared" ca="1" si="149"/>
        <v>-1565916432413.7388</v>
      </c>
      <c r="M3488" s="460">
        <f t="shared" si="151"/>
        <v>0.05</v>
      </c>
      <c r="N3488" s="464">
        <f t="shared" si="152"/>
        <v>157207</v>
      </c>
    </row>
    <row r="3489" spans="7:14" ht="11.25" customHeight="1" x14ac:dyDescent="0.25">
      <c r="G3489" s="459"/>
      <c r="H3489" s="459">
        <v>3482</v>
      </c>
      <c r="I3489" s="444">
        <f t="shared" ca="1" si="150"/>
        <v>-1565916432413.7388</v>
      </c>
      <c r="J3489" s="444">
        <f t="array" ref="J3489">IFERROR(INDEX('Retirement Calculator'!K:K,MATCH('Lorri 401b'!N3489,'Retirement Calculator'!A:A,0),0),0)</f>
        <v>0</v>
      </c>
      <c r="K3489" s="444">
        <f t="shared" ca="1" si="148"/>
        <v>-6524651801.7239113</v>
      </c>
      <c r="L3489" s="444">
        <f t="shared" ca="1" si="149"/>
        <v>-1572441084215.4626</v>
      </c>
      <c r="M3489" s="460">
        <f t="shared" si="151"/>
        <v>0.05</v>
      </c>
      <c r="N3489" s="464">
        <f t="shared" si="152"/>
        <v>157237</v>
      </c>
    </row>
    <row r="3490" spans="7:14" ht="11.25" customHeight="1" x14ac:dyDescent="0.25">
      <c r="G3490" s="459"/>
      <c r="H3490" s="459">
        <v>3483</v>
      </c>
      <c r="I3490" s="444">
        <f t="shared" ca="1" si="150"/>
        <v>-1572441084215.4626</v>
      </c>
      <c r="J3490" s="444">
        <f t="array" ref="J3490">IFERROR(INDEX('Retirement Calculator'!K:K,MATCH('Lorri 401b'!N3490,'Retirement Calculator'!A:A,0),0),0)</f>
        <v>0</v>
      </c>
      <c r="K3490" s="444">
        <f t="shared" ca="1" si="148"/>
        <v>-6551837850.8977613</v>
      </c>
      <c r="L3490" s="444">
        <f t="shared" ca="1" si="149"/>
        <v>-1578992922066.3604</v>
      </c>
      <c r="M3490" s="460">
        <f t="shared" si="151"/>
        <v>0.05</v>
      </c>
      <c r="N3490" s="464">
        <f t="shared" si="152"/>
        <v>157268</v>
      </c>
    </row>
    <row r="3491" spans="7:14" ht="11.25" customHeight="1" x14ac:dyDescent="0.25">
      <c r="G3491" s="459"/>
      <c r="H3491" s="459">
        <v>3484</v>
      </c>
      <c r="I3491" s="444">
        <f t="shared" ca="1" si="150"/>
        <v>-1578992922066.3604</v>
      </c>
      <c r="J3491" s="444">
        <f t="array" ref="J3491">IFERROR(INDEX('Retirement Calculator'!K:K,MATCH('Lorri 401b'!N3491,'Retirement Calculator'!A:A,0),0),0)</f>
        <v>0</v>
      </c>
      <c r="K3491" s="444">
        <f t="shared" ca="1" si="148"/>
        <v>-6579137175.2765017</v>
      </c>
      <c r="L3491" s="444">
        <f t="shared" ca="1" si="149"/>
        <v>-1585572059241.637</v>
      </c>
      <c r="M3491" s="460">
        <f t="shared" si="151"/>
        <v>0.05</v>
      </c>
      <c r="N3491" s="464">
        <f t="shared" si="152"/>
        <v>157299</v>
      </c>
    </row>
    <row r="3492" spans="7:14" ht="11.25" customHeight="1" x14ac:dyDescent="0.25">
      <c r="G3492" s="459"/>
      <c r="H3492" s="459">
        <v>3485</v>
      </c>
      <c r="I3492" s="444">
        <f t="shared" ca="1" si="150"/>
        <v>-1585572059241.637</v>
      </c>
      <c r="J3492" s="444">
        <f t="array" ref="J3492">IFERROR(INDEX('Retirement Calculator'!K:K,MATCH('Lorri 401b'!N3492,'Retirement Calculator'!A:A,0),0),0)</f>
        <v>0</v>
      </c>
      <c r="K3492" s="444">
        <f t="shared" ca="1" si="148"/>
        <v>-6606550246.8401537</v>
      </c>
      <c r="L3492" s="444">
        <f t="shared" ca="1" si="149"/>
        <v>-1592178609488.4771</v>
      </c>
      <c r="M3492" s="460">
        <f t="shared" si="151"/>
        <v>0.05</v>
      </c>
      <c r="N3492" s="464">
        <f t="shared" si="152"/>
        <v>157329</v>
      </c>
    </row>
    <row r="3493" spans="7:14" ht="11.25" customHeight="1" x14ac:dyDescent="0.25">
      <c r="G3493" s="459"/>
      <c r="H3493" s="459">
        <v>3486</v>
      </c>
      <c r="I3493" s="444">
        <f t="shared" ca="1" si="150"/>
        <v>-1592178609488.4771</v>
      </c>
      <c r="J3493" s="444">
        <f t="array" ref="J3493">IFERROR(INDEX('Retirement Calculator'!K:K,MATCH('Lorri 401b'!N3493,'Retirement Calculator'!A:A,0),0),0)</f>
        <v>0</v>
      </c>
      <c r="K3493" s="444">
        <f t="shared" ca="1" si="148"/>
        <v>-6634077539.5353212</v>
      </c>
      <c r="L3493" s="444">
        <f t="shared" ca="1" si="149"/>
        <v>-1598812687028.0125</v>
      </c>
      <c r="M3493" s="460">
        <f t="shared" si="151"/>
        <v>0.05</v>
      </c>
      <c r="N3493" s="464">
        <f t="shared" si="152"/>
        <v>157360</v>
      </c>
    </row>
    <row r="3494" spans="7:14" ht="11.25" customHeight="1" x14ac:dyDescent="0.25">
      <c r="G3494" s="459"/>
      <c r="H3494" s="459">
        <v>3487</v>
      </c>
      <c r="I3494" s="444">
        <f t="shared" ca="1" si="150"/>
        <v>-1598812687028.0125</v>
      </c>
      <c r="J3494" s="444">
        <f t="array" ref="J3494">IFERROR(INDEX('Retirement Calculator'!K:K,MATCH('Lorri 401b'!N3494,'Retirement Calculator'!A:A,0),0),0)</f>
        <v>0</v>
      </c>
      <c r="K3494" s="444">
        <f t="shared" ca="1" si="148"/>
        <v>-6661719529.2833853</v>
      </c>
      <c r="L3494" s="444">
        <f t="shared" ca="1" si="149"/>
        <v>-1605474406557.2959</v>
      </c>
      <c r="M3494" s="460">
        <f t="shared" si="151"/>
        <v>0.05</v>
      </c>
      <c r="N3494" s="464">
        <f t="shared" si="152"/>
        <v>157390</v>
      </c>
    </row>
    <row r="3495" spans="7:14" ht="11.25" customHeight="1" x14ac:dyDescent="0.25">
      <c r="G3495" s="459"/>
      <c r="H3495" s="459">
        <v>3488</v>
      </c>
      <c r="I3495" s="444">
        <f t="shared" ca="1" si="150"/>
        <v>-1605474406557.2959</v>
      </c>
      <c r="J3495" s="444">
        <f t="array" ref="J3495">IFERROR(INDEX('Retirement Calculator'!K:K,MATCH('Lorri 401b'!N3495,'Retirement Calculator'!A:A,0),0),0)</f>
        <v>0</v>
      </c>
      <c r="K3495" s="444">
        <f t="shared" ca="1" si="148"/>
        <v>-6689476693.9887333</v>
      </c>
      <c r="L3495" s="444">
        <f t="shared" ca="1" si="149"/>
        <v>-1612163883251.2847</v>
      </c>
      <c r="M3495" s="460">
        <f t="shared" si="151"/>
        <v>0.05</v>
      </c>
      <c r="N3495" s="464">
        <f t="shared" si="152"/>
        <v>157421</v>
      </c>
    </row>
    <row r="3496" spans="7:14" ht="11.25" customHeight="1" x14ac:dyDescent="0.25">
      <c r="G3496" s="459"/>
      <c r="H3496" s="459">
        <v>3489</v>
      </c>
      <c r="I3496" s="444">
        <f t="shared" ca="1" si="150"/>
        <v>-1612163883251.2847</v>
      </c>
      <c r="J3496" s="444">
        <f t="array" ref="J3496">IFERROR(INDEX('Retirement Calculator'!K:K,MATCH('Lorri 401b'!N3496,'Retirement Calculator'!A:A,0),0),0)</f>
        <v>0</v>
      </c>
      <c r="K3496" s="444">
        <f t="shared" ca="1" si="148"/>
        <v>-6717349513.547019</v>
      </c>
      <c r="L3496" s="444">
        <f t="shared" ca="1" si="149"/>
        <v>-1618881232764.8318</v>
      </c>
      <c r="M3496" s="460">
        <f t="shared" si="151"/>
        <v>0.05</v>
      </c>
      <c r="N3496" s="464">
        <f t="shared" si="152"/>
        <v>157452</v>
      </c>
    </row>
    <row r="3497" spans="7:14" ht="11.25" customHeight="1" x14ac:dyDescent="0.25">
      <c r="G3497" s="459"/>
      <c r="H3497" s="459">
        <v>3490</v>
      </c>
      <c r="I3497" s="444">
        <f t="shared" ca="1" si="150"/>
        <v>-1618881232764.8318</v>
      </c>
      <c r="J3497" s="444">
        <f t="array" ref="J3497">IFERROR(INDEX('Retirement Calculator'!K:K,MATCH('Lorri 401b'!N3497,'Retirement Calculator'!A:A,0),0),0)</f>
        <v>0</v>
      </c>
      <c r="K3497" s="444">
        <f t="shared" ca="1" si="148"/>
        <v>-6745338469.853466</v>
      </c>
      <c r="L3497" s="444">
        <f t="shared" ca="1" si="149"/>
        <v>-1625626571234.6853</v>
      </c>
      <c r="M3497" s="460">
        <f t="shared" si="151"/>
        <v>0.05</v>
      </c>
      <c r="N3497" s="464">
        <f t="shared" si="152"/>
        <v>157480</v>
      </c>
    </row>
    <row r="3498" spans="7:14" ht="11.25" customHeight="1" x14ac:dyDescent="0.25">
      <c r="G3498" s="459"/>
      <c r="H3498" s="459">
        <v>3491</v>
      </c>
      <c r="I3498" s="444">
        <f t="shared" ca="1" si="150"/>
        <v>-1625626571234.6853</v>
      </c>
      <c r="J3498" s="444">
        <f t="array" ref="J3498">IFERROR(INDEX('Retirement Calculator'!K:K,MATCH('Lorri 401b'!N3498,'Retirement Calculator'!A:A,0),0),0)</f>
        <v>0</v>
      </c>
      <c r="K3498" s="444">
        <f t="shared" ca="1" si="148"/>
        <v>-6773444046.8111887</v>
      </c>
      <c r="L3498" s="444">
        <f t="shared" ca="1" si="149"/>
        <v>-1632400015281.4966</v>
      </c>
      <c r="M3498" s="460">
        <f t="shared" si="151"/>
        <v>0.05</v>
      </c>
      <c r="N3498" s="464">
        <f t="shared" si="152"/>
        <v>157511</v>
      </c>
    </row>
    <row r="3499" spans="7:14" ht="11.25" customHeight="1" x14ac:dyDescent="0.25">
      <c r="G3499" s="459"/>
      <c r="H3499" s="459">
        <v>3492</v>
      </c>
      <c r="I3499" s="444">
        <f t="shared" ca="1" si="150"/>
        <v>-1632400015281.4966</v>
      </c>
      <c r="J3499" s="444">
        <f t="array" ref="J3499">IFERROR(INDEX('Retirement Calculator'!K:K,MATCH('Lorri 401b'!N3499,'Retirement Calculator'!A:A,0),0),0)</f>
        <v>0</v>
      </c>
      <c r="K3499" s="444">
        <f t="shared" ca="1" si="148"/>
        <v>-6801666730.3395691</v>
      </c>
      <c r="L3499" s="444">
        <f t="shared" ca="1" si="149"/>
        <v>-1639201682011.8362</v>
      </c>
      <c r="M3499" s="460">
        <f t="shared" si="151"/>
        <v>0.05</v>
      </c>
      <c r="N3499" s="464">
        <f t="shared" si="152"/>
        <v>157541</v>
      </c>
    </row>
    <row r="3500" spans="7:14" ht="11.25" customHeight="1" x14ac:dyDescent="0.25">
      <c r="G3500" s="459"/>
      <c r="H3500" s="459">
        <v>3493</v>
      </c>
      <c r="I3500" s="444">
        <f t="shared" ca="1" si="150"/>
        <v>-1639201682011.8362</v>
      </c>
      <c r="J3500" s="444">
        <f t="array" ref="J3500">IFERROR(INDEX('Retirement Calculator'!K:K,MATCH('Lorri 401b'!N3500,'Retirement Calculator'!A:A,0),0),0)</f>
        <v>0</v>
      </c>
      <c r="K3500" s="444">
        <f t="shared" ca="1" si="148"/>
        <v>-6830007008.3826504</v>
      </c>
      <c r="L3500" s="444">
        <f t="shared" ca="1" si="149"/>
        <v>-1646031689020.2188</v>
      </c>
      <c r="M3500" s="460">
        <f t="shared" si="151"/>
        <v>0.05</v>
      </c>
      <c r="N3500" s="464">
        <f t="shared" si="152"/>
        <v>157572</v>
      </c>
    </row>
    <row r="3501" spans="7:14" ht="11.25" customHeight="1" x14ac:dyDescent="0.25">
      <c r="G3501" s="459"/>
      <c r="H3501" s="459">
        <v>3494</v>
      </c>
      <c r="I3501" s="444">
        <f t="shared" ca="1" si="150"/>
        <v>-1646031689020.2188</v>
      </c>
      <c r="J3501" s="444">
        <f t="array" ref="J3501">IFERROR(INDEX('Retirement Calculator'!K:K,MATCH('Lorri 401b'!N3501,'Retirement Calculator'!A:A,0),0),0)</f>
        <v>0</v>
      </c>
      <c r="K3501" s="444">
        <f t="shared" ca="1" si="148"/>
        <v>-6858465370.9175777</v>
      </c>
      <c r="L3501" s="444">
        <f t="shared" ca="1" si="149"/>
        <v>-1652890154391.1362</v>
      </c>
      <c r="M3501" s="460">
        <f t="shared" si="151"/>
        <v>0.05</v>
      </c>
      <c r="N3501" s="464">
        <f t="shared" si="152"/>
        <v>157602</v>
      </c>
    </row>
    <row r="3502" spans="7:14" ht="11.25" customHeight="1" x14ac:dyDescent="0.25">
      <c r="G3502" s="459"/>
      <c r="H3502" s="459">
        <v>3495</v>
      </c>
      <c r="I3502" s="444">
        <f t="shared" ca="1" si="150"/>
        <v>-1652890154391.1362</v>
      </c>
      <c r="J3502" s="444">
        <f t="array" ref="J3502">IFERROR(INDEX('Retirement Calculator'!K:K,MATCH('Lorri 401b'!N3502,'Retirement Calculator'!A:A,0),0),0)</f>
        <v>0</v>
      </c>
      <c r="K3502" s="444">
        <f t="shared" ca="1" si="148"/>
        <v>-6887042309.963068</v>
      </c>
      <c r="L3502" s="444">
        <f t="shared" ca="1" si="149"/>
        <v>-1659777196701.0994</v>
      </c>
      <c r="M3502" s="460">
        <f t="shared" si="151"/>
        <v>0.05</v>
      </c>
      <c r="N3502" s="464">
        <f t="shared" si="152"/>
        <v>157633</v>
      </c>
    </row>
    <row r="3503" spans="7:14" ht="11.25" customHeight="1" x14ac:dyDescent="0.25">
      <c r="G3503" s="459"/>
      <c r="H3503" s="459">
        <v>3496</v>
      </c>
      <c r="I3503" s="444">
        <f t="shared" ca="1" si="150"/>
        <v>-1659777196701.0994</v>
      </c>
      <c r="J3503" s="444">
        <f t="array" ref="J3503">IFERROR(INDEX('Retirement Calculator'!K:K,MATCH('Lorri 401b'!N3503,'Retirement Calculator'!A:A,0),0),0)</f>
        <v>0</v>
      </c>
      <c r="K3503" s="444">
        <f t="shared" ca="1" si="148"/>
        <v>-6915738319.5879135</v>
      </c>
      <c r="L3503" s="444">
        <f t="shared" ca="1" si="149"/>
        <v>-1666692935020.6873</v>
      </c>
      <c r="M3503" s="460">
        <f t="shared" si="151"/>
        <v>0.05</v>
      </c>
      <c r="N3503" s="464">
        <f t="shared" si="152"/>
        <v>157664</v>
      </c>
    </row>
    <row r="3504" spans="7:14" ht="11.25" customHeight="1" x14ac:dyDescent="0.25">
      <c r="G3504" s="459"/>
      <c r="H3504" s="459">
        <v>3497</v>
      </c>
      <c r="I3504" s="444">
        <f t="shared" ca="1" si="150"/>
        <v>-1666692935020.6873</v>
      </c>
      <c r="J3504" s="444">
        <f t="array" ref="J3504">IFERROR(INDEX('Retirement Calculator'!K:K,MATCH('Lorri 401b'!N3504,'Retirement Calculator'!A:A,0),0),0)</f>
        <v>0</v>
      </c>
      <c r="K3504" s="444">
        <f t="shared" ca="1" si="148"/>
        <v>-6944553895.9195299</v>
      </c>
      <c r="L3504" s="444">
        <f t="shared" ca="1" si="149"/>
        <v>-1673637488916.6067</v>
      </c>
      <c r="M3504" s="460">
        <f t="shared" si="151"/>
        <v>0.05</v>
      </c>
      <c r="N3504" s="464">
        <f t="shared" si="152"/>
        <v>157694</v>
      </c>
    </row>
    <row r="3505" spans="7:14" ht="11.25" customHeight="1" x14ac:dyDescent="0.25">
      <c r="G3505" s="459"/>
      <c r="H3505" s="459">
        <v>3498</v>
      </c>
      <c r="I3505" s="444">
        <f t="shared" ca="1" si="150"/>
        <v>-1673637488916.6067</v>
      </c>
      <c r="J3505" s="444">
        <f t="array" ref="J3505">IFERROR(INDEX('Retirement Calculator'!K:K,MATCH('Lorri 401b'!N3505,'Retirement Calculator'!A:A,0),0),0)</f>
        <v>0</v>
      </c>
      <c r="K3505" s="444">
        <f t="shared" ca="1" si="148"/>
        <v>-6973489537.1525278</v>
      </c>
      <c r="L3505" s="444">
        <f t="shared" ca="1" si="149"/>
        <v>-1680610978453.7593</v>
      </c>
      <c r="M3505" s="460">
        <f t="shared" si="151"/>
        <v>0.05</v>
      </c>
      <c r="N3505" s="464">
        <f t="shared" si="152"/>
        <v>157725</v>
      </c>
    </row>
    <row r="3506" spans="7:14" ht="11.25" customHeight="1" x14ac:dyDescent="0.25">
      <c r="G3506" s="459"/>
      <c r="H3506" s="459">
        <v>3499</v>
      </c>
      <c r="I3506" s="444">
        <f t="shared" ca="1" si="150"/>
        <v>-1680610978453.7593</v>
      </c>
      <c r="J3506" s="444">
        <f t="array" ref="J3506">IFERROR(INDEX('Retirement Calculator'!K:K,MATCH('Lorri 401b'!N3506,'Retirement Calculator'!A:A,0),0),0)</f>
        <v>0</v>
      </c>
      <c r="K3506" s="444">
        <f t="shared" ca="1" si="148"/>
        <v>-7002545743.5573301</v>
      </c>
      <c r="L3506" s="444">
        <f t="shared" ca="1" si="149"/>
        <v>-1687613524197.3167</v>
      </c>
      <c r="M3506" s="460">
        <f t="shared" si="151"/>
        <v>0.05</v>
      </c>
      <c r="N3506" s="464">
        <f t="shared" si="152"/>
        <v>157755</v>
      </c>
    </row>
    <row r="3507" spans="7:14" ht="11.25" customHeight="1" x14ac:dyDescent="0.25">
      <c r="G3507" s="459"/>
      <c r="H3507" s="459">
        <v>3500</v>
      </c>
      <c r="I3507" s="444">
        <f t="shared" ca="1" si="150"/>
        <v>-1687613524197.3167</v>
      </c>
      <c r="J3507" s="444">
        <f t="array" ref="J3507">IFERROR(INDEX('Retirement Calculator'!K:K,MATCH('Lorri 401b'!N3507,'Retirement Calculator'!A:A,0),0),0)</f>
        <v>0</v>
      </c>
      <c r="K3507" s="444">
        <f t="shared" ca="1" si="148"/>
        <v>-7031723017.4888191</v>
      </c>
      <c r="L3507" s="444">
        <f t="shared" ca="1" si="149"/>
        <v>-1694645247214.8054</v>
      </c>
      <c r="M3507" s="460">
        <f t="shared" si="151"/>
        <v>0.05</v>
      </c>
      <c r="N3507" s="464">
        <f t="shared" si="152"/>
        <v>157786</v>
      </c>
    </row>
    <row r="3508" spans="7:14" ht="11.25" customHeight="1" x14ac:dyDescent="0.25">
      <c r="G3508" s="459"/>
      <c r="H3508" s="459">
        <v>3501</v>
      </c>
      <c r="I3508" s="444">
        <f t="shared" ca="1" si="150"/>
        <v>-1694645247214.8054</v>
      </c>
      <c r="J3508" s="444">
        <f t="array" ref="J3508">IFERROR(INDEX('Retirement Calculator'!K:K,MATCH('Lorri 401b'!N3508,'Retirement Calculator'!A:A,0),0),0)</f>
        <v>0</v>
      </c>
      <c r="K3508" s="444">
        <f t="shared" ca="1" si="148"/>
        <v>-7061021863.3950224</v>
      </c>
      <c r="L3508" s="444">
        <f t="shared" ca="1" si="149"/>
        <v>-1701706269078.2004</v>
      </c>
      <c r="M3508" s="460">
        <f t="shared" si="151"/>
        <v>0.05</v>
      </c>
      <c r="N3508" s="464">
        <f t="shared" si="152"/>
        <v>157817</v>
      </c>
    </row>
    <row r="3509" spans="7:14" ht="11.25" customHeight="1" x14ac:dyDescent="0.25">
      <c r="G3509" s="459"/>
      <c r="H3509" s="459">
        <v>3502</v>
      </c>
      <c r="I3509" s="444">
        <f t="shared" ca="1" si="150"/>
        <v>-1701706269078.2004</v>
      </c>
      <c r="J3509" s="444">
        <f t="array" ref="J3509">IFERROR(INDEX('Retirement Calculator'!K:K,MATCH('Lorri 401b'!N3509,'Retirement Calculator'!A:A,0),0),0)</f>
        <v>0</v>
      </c>
      <c r="K3509" s="444">
        <f t="shared" ca="1" si="148"/>
        <v>-7090442787.8258352</v>
      </c>
      <c r="L3509" s="444">
        <f t="shared" ca="1" si="149"/>
        <v>-1708796711866.0264</v>
      </c>
      <c r="M3509" s="460">
        <f t="shared" si="151"/>
        <v>0.05</v>
      </c>
      <c r="N3509" s="464">
        <f t="shared" si="152"/>
        <v>157846</v>
      </c>
    </row>
    <row r="3510" spans="7:14" ht="11.25" customHeight="1" x14ac:dyDescent="0.25">
      <c r="G3510" s="459"/>
      <c r="H3510" s="459">
        <v>3503</v>
      </c>
      <c r="I3510" s="444">
        <f t="shared" ca="1" si="150"/>
        <v>-1708796711866.0264</v>
      </c>
      <c r="J3510" s="444">
        <f t="array" ref="J3510">IFERROR(INDEX('Retirement Calculator'!K:K,MATCH('Lorri 401b'!N3510,'Retirement Calculator'!A:A,0),0),0)</f>
        <v>0</v>
      </c>
      <c r="K3510" s="444">
        <f t="shared" ca="1" si="148"/>
        <v>-7119986299.4417763</v>
      </c>
      <c r="L3510" s="444">
        <f t="shared" ca="1" si="149"/>
        <v>-1715916698165.4683</v>
      </c>
      <c r="M3510" s="460">
        <f t="shared" si="151"/>
        <v>0.05</v>
      </c>
      <c r="N3510" s="464">
        <f t="shared" si="152"/>
        <v>157877</v>
      </c>
    </row>
    <row r="3511" spans="7:14" ht="11.25" customHeight="1" x14ac:dyDescent="0.25">
      <c r="G3511" s="459"/>
      <c r="H3511" s="459">
        <v>3504</v>
      </c>
      <c r="I3511" s="444">
        <f t="shared" ca="1" si="150"/>
        <v>-1715916698165.4683</v>
      </c>
      <c r="J3511" s="444">
        <f t="array" ref="J3511">IFERROR(INDEX('Retirement Calculator'!K:K,MATCH('Lorri 401b'!N3511,'Retirement Calculator'!A:A,0),0),0)</f>
        <v>0</v>
      </c>
      <c r="K3511" s="444">
        <f t="shared" ca="1" si="148"/>
        <v>-7149652909.0227852</v>
      </c>
      <c r="L3511" s="444">
        <f t="shared" ca="1" si="149"/>
        <v>-1723066351074.491</v>
      </c>
      <c r="M3511" s="460">
        <f t="shared" si="151"/>
        <v>0.05</v>
      </c>
      <c r="N3511" s="464">
        <f t="shared" si="152"/>
        <v>157907</v>
      </c>
    </row>
    <row r="3512" spans="7:14" ht="11.25" customHeight="1" x14ac:dyDescent="0.25">
      <c r="G3512" s="459"/>
      <c r="H3512" s="459">
        <v>3505</v>
      </c>
      <c r="I3512" s="444">
        <f t="shared" ca="1" si="150"/>
        <v>-1723066351074.491</v>
      </c>
      <c r="J3512" s="444">
        <f t="array" ref="J3512">IFERROR(INDEX('Retirement Calculator'!K:K,MATCH('Lorri 401b'!N3512,'Retirement Calculator'!A:A,0),0),0)</f>
        <v>0</v>
      </c>
      <c r="K3512" s="444">
        <f t="shared" ca="1" si="148"/>
        <v>-7179443129.4770441</v>
      </c>
      <c r="L3512" s="444">
        <f t="shared" ca="1" si="149"/>
        <v>-1730245794203.968</v>
      </c>
      <c r="M3512" s="460">
        <f t="shared" si="151"/>
        <v>0.05</v>
      </c>
      <c r="N3512" s="464">
        <f t="shared" si="152"/>
        <v>157938</v>
      </c>
    </row>
    <row r="3513" spans="7:14" ht="11.25" customHeight="1" x14ac:dyDescent="0.25">
      <c r="G3513" s="459"/>
      <c r="H3513" s="459">
        <v>3506</v>
      </c>
      <c r="I3513" s="444">
        <f t="shared" ca="1" si="150"/>
        <v>-1730245794203.968</v>
      </c>
      <c r="J3513" s="444">
        <f t="array" ref="J3513">IFERROR(INDEX('Retirement Calculator'!K:K,MATCH('Lorri 401b'!N3513,'Retirement Calculator'!A:A,0),0),0)</f>
        <v>0</v>
      </c>
      <c r="K3513" s="444">
        <f t="shared" ca="1" si="148"/>
        <v>-7209357475.8498659</v>
      </c>
      <c r="L3513" s="444">
        <f t="shared" ca="1" si="149"/>
        <v>-1737455151679.8179</v>
      </c>
      <c r="M3513" s="460">
        <f t="shared" si="151"/>
        <v>0.05</v>
      </c>
      <c r="N3513" s="464">
        <f t="shared" si="152"/>
        <v>157968</v>
      </c>
    </row>
    <row r="3514" spans="7:14" ht="11.25" customHeight="1" x14ac:dyDescent="0.25">
      <c r="G3514" s="459"/>
      <c r="H3514" s="459">
        <v>3507</v>
      </c>
      <c r="I3514" s="444">
        <f t="shared" ca="1" si="150"/>
        <v>-1737455151679.8179</v>
      </c>
      <c r="J3514" s="444">
        <f t="array" ref="J3514">IFERROR(INDEX('Retirement Calculator'!K:K,MATCH('Lorri 401b'!N3514,'Retirement Calculator'!A:A,0),0),0)</f>
        <v>0</v>
      </c>
      <c r="K3514" s="444">
        <f t="shared" ca="1" si="148"/>
        <v>-7239396465.3325739</v>
      </c>
      <c r="L3514" s="444">
        <f t="shared" ca="1" si="149"/>
        <v>-1744694548145.1504</v>
      </c>
      <c r="M3514" s="460">
        <f t="shared" si="151"/>
        <v>0.05</v>
      </c>
      <c r="N3514" s="464">
        <f t="shared" si="152"/>
        <v>157999</v>
      </c>
    </row>
    <row r="3515" spans="7:14" ht="11.25" customHeight="1" x14ac:dyDescent="0.25">
      <c r="G3515" s="459"/>
      <c r="H3515" s="459">
        <v>3508</v>
      </c>
      <c r="I3515" s="444">
        <f t="shared" ca="1" si="150"/>
        <v>-1744694548145.1504</v>
      </c>
      <c r="J3515" s="444">
        <f t="array" ref="J3515">IFERROR(INDEX('Retirement Calculator'!K:K,MATCH('Lorri 401b'!N3515,'Retirement Calculator'!A:A,0),0),0)</f>
        <v>0</v>
      </c>
      <c r="K3515" s="444">
        <f t="shared" ca="1" si="148"/>
        <v>-7269560617.2714605</v>
      </c>
      <c r="L3515" s="444">
        <f t="shared" ca="1" si="149"/>
        <v>-1751964108762.4219</v>
      </c>
      <c r="M3515" s="460">
        <f t="shared" si="151"/>
        <v>0.05</v>
      </c>
      <c r="N3515" s="464">
        <f t="shared" si="152"/>
        <v>158030</v>
      </c>
    </row>
    <row r="3516" spans="7:14" ht="11.25" customHeight="1" x14ac:dyDescent="0.25">
      <c r="G3516" s="459"/>
      <c r="H3516" s="459">
        <v>3509</v>
      </c>
      <c r="I3516" s="444">
        <f t="shared" ca="1" si="150"/>
        <v>-1751964108762.4219</v>
      </c>
      <c r="J3516" s="444">
        <f t="array" ref="J3516">IFERROR(INDEX('Retirement Calculator'!K:K,MATCH('Lorri 401b'!N3516,'Retirement Calculator'!A:A,0),0),0)</f>
        <v>0</v>
      </c>
      <c r="K3516" s="444">
        <f t="shared" ca="1" si="148"/>
        <v>-7299850453.1767578</v>
      </c>
      <c r="L3516" s="444">
        <f t="shared" ca="1" si="149"/>
        <v>-1759263959215.5986</v>
      </c>
      <c r="M3516" s="460">
        <f t="shared" si="151"/>
        <v>0.05</v>
      </c>
      <c r="N3516" s="464">
        <f t="shared" si="152"/>
        <v>158060</v>
      </c>
    </row>
    <row r="3517" spans="7:14" ht="11.25" customHeight="1" x14ac:dyDescent="0.25">
      <c r="G3517" s="459"/>
      <c r="H3517" s="459">
        <v>3510</v>
      </c>
      <c r="I3517" s="444">
        <f t="shared" ca="1" si="150"/>
        <v>-1759263959215.5986</v>
      </c>
      <c r="J3517" s="444">
        <f t="array" ref="J3517">IFERROR(INDEX('Retirement Calculator'!K:K,MATCH('Lorri 401b'!N3517,'Retirement Calculator'!A:A,0),0),0)</f>
        <v>0</v>
      </c>
      <c r="K3517" s="444">
        <f t="shared" ca="1" si="148"/>
        <v>-7330266496.7316599</v>
      </c>
      <c r="L3517" s="444">
        <f t="shared" ca="1" si="149"/>
        <v>-1766594225712.3303</v>
      </c>
      <c r="M3517" s="460">
        <f t="shared" si="151"/>
        <v>0.05</v>
      </c>
      <c r="N3517" s="464">
        <f t="shared" si="152"/>
        <v>158091</v>
      </c>
    </row>
    <row r="3518" spans="7:14" ht="11.25" customHeight="1" x14ac:dyDescent="0.25">
      <c r="G3518" s="459"/>
      <c r="H3518" s="459">
        <v>3511</v>
      </c>
      <c r="I3518" s="444">
        <f t="shared" ca="1" si="150"/>
        <v>-1766594225712.3303</v>
      </c>
      <c r="J3518" s="444">
        <f t="array" ref="J3518">IFERROR(INDEX('Retirement Calculator'!K:K,MATCH('Lorri 401b'!N3518,'Retirement Calculator'!A:A,0),0),0)</f>
        <v>0</v>
      </c>
      <c r="K3518" s="444">
        <f t="shared" ca="1" si="148"/>
        <v>-7360809273.8013754</v>
      </c>
      <c r="L3518" s="444">
        <f t="shared" ca="1" si="149"/>
        <v>-1773955034986.1316</v>
      </c>
      <c r="M3518" s="460">
        <f t="shared" si="151"/>
        <v>0.05</v>
      </c>
      <c r="N3518" s="464">
        <f t="shared" si="152"/>
        <v>158121</v>
      </c>
    </row>
    <row r="3519" spans="7:14" ht="11.25" customHeight="1" x14ac:dyDescent="0.25">
      <c r="G3519" s="459"/>
      <c r="H3519" s="459">
        <v>3512</v>
      </c>
      <c r="I3519" s="444">
        <f t="shared" ca="1" si="150"/>
        <v>-1773955034986.1316</v>
      </c>
      <c r="J3519" s="444">
        <f t="array" ref="J3519">IFERROR(INDEX('Retirement Calculator'!K:K,MATCH('Lorri 401b'!N3519,'Retirement Calculator'!A:A,0),0),0)</f>
        <v>0</v>
      </c>
      <c r="K3519" s="444">
        <f t="shared" ca="1" si="148"/>
        <v>-7391479312.442215</v>
      </c>
      <c r="L3519" s="444">
        <f t="shared" ca="1" si="149"/>
        <v>-1781346514298.5737</v>
      </c>
      <c r="M3519" s="460">
        <f t="shared" si="151"/>
        <v>0.05</v>
      </c>
      <c r="N3519" s="464">
        <f t="shared" si="152"/>
        <v>158152</v>
      </c>
    </row>
    <row r="3520" spans="7:14" ht="11.25" customHeight="1" x14ac:dyDescent="0.25">
      <c r="G3520" s="459"/>
      <c r="H3520" s="459">
        <v>3513</v>
      </c>
      <c r="I3520" s="444">
        <f t="shared" ca="1" si="150"/>
        <v>-1781346514298.5737</v>
      </c>
      <c r="J3520" s="444">
        <f t="array" ref="J3520">IFERROR(INDEX('Retirement Calculator'!K:K,MATCH('Lorri 401b'!N3520,'Retirement Calculator'!A:A,0),0),0)</f>
        <v>0</v>
      </c>
      <c r="K3520" s="444">
        <f t="shared" ca="1" si="148"/>
        <v>-7422277142.9107237</v>
      </c>
      <c r="L3520" s="444">
        <f t="shared" ca="1" si="149"/>
        <v>-1788768791441.4844</v>
      </c>
      <c r="M3520" s="460">
        <f t="shared" si="151"/>
        <v>0.05</v>
      </c>
      <c r="N3520" s="464">
        <f t="shared" si="152"/>
        <v>158183</v>
      </c>
    </row>
    <row r="3521" spans="7:14" ht="11.25" customHeight="1" x14ac:dyDescent="0.25">
      <c r="G3521" s="459"/>
      <c r="H3521" s="459">
        <v>3514</v>
      </c>
      <c r="I3521" s="444">
        <f t="shared" ca="1" si="150"/>
        <v>-1788768791441.4844</v>
      </c>
      <c r="J3521" s="444">
        <f t="array" ref="J3521">IFERROR(INDEX('Retirement Calculator'!K:K,MATCH('Lorri 401b'!N3521,'Retirement Calculator'!A:A,0),0),0)</f>
        <v>0</v>
      </c>
      <c r="K3521" s="444">
        <f t="shared" ca="1" si="148"/>
        <v>-7453203297.6728516</v>
      </c>
      <c r="L3521" s="444">
        <f t="shared" ca="1" si="149"/>
        <v>-1796221994739.1572</v>
      </c>
      <c r="M3521" s="460">
        <f t="shared" si="151"/>
        <v>0.05</v>
      </c>
      <c r="N3521" s="464">
        <f t="shared" si="152"/>
        <v>158211</v>
      </c>
    </row>
    <row r="3522" spans="7:14" ht="11.25" customHeight="1" x14ac:dyDescent="0.25">
      <c r="G3522" s="459"/>
      <c r="H3522" s="459">
        <v>3515</v>
      </c>
      <c r="I3522" s="444">
        <f t="shared" ca="1" si="150"/>
        <v>-1796221994739.1572</v>
      </c>
      <c r="J3522" s="444">
        <f t="array" ref="J3522">IFERROR(INDEX('Retirement Calculator'!K:K,MATCH('Lorri 401b'!N3522,'Retirement Calculator'!A:A,0),0),0)</f>
        <v>0</v>
      </c>
      <c r="K3522" s="444">
        <f t="shared" ca="1" si="148"/>
        <v>-7484258311.4131546</v>
      </c>
      <c r="L3522" s="444">
        <f t="shared" ca="1" si="149"/>
        <v>-1803706253050.5703</v>
      </c>
      <c r="M3522" s="460">
        <f t="shared" si="151"/>
        <v>0.05</v>
      </c>
      <c r="N3522" s="464">
        <f t="shared" si="152"/>
        <v>158242</v>
      </c>
    </row>
    <row r="3523" spans="7:14" ht="11.25" customHeight="1" x14ac:dyDescent="0.25">
      <c r="G3523" s="459"/>
      <c r="H3523" s="459">
        <v>3516</v>
      </c>
      <c r="I3523" s="444">
        <f t="shared" ca="1" si="150"/>
        <v>-1803706253050.5703</v>
      </c>
      <c r="J3523" s="444">
        <f t="array" ref="J3523">IFERROR(INDEX('Retirement Calculator'!K:K,MATCH('Lorri 401b'!N3523,'Retirement Calculator'!A:A,0),0),0)</f>
        <v>0</v>
      </c>
      <c r="K3523" s="444">
        <f t="shared" ca="1" si="148"/>
        <v>-7515442721.0440435</v>
      </c>
      <c r="L3523" s="444">
        <f t="shared" ca="1" si="149"/>
        <v>-1811221695771.6143</v>
      </c>
      <c r="M3523" s="460">
        <f t="shared" si="151"/>
        <v>0.05</v>
      </c>
      <c r="N3523" s="464">
        <f t="shared" si="152"/>
        <v>158272</v>
      </c>
    </row>
    <row r="3524" spans="7:14" ht="11.25" customHeight="1" x14ac:dyDescent="0.25">
      <c r="G3524" s="459"/>
      <c r="H3524" s="459">
        <v>3517</v>
      </c>
      <c r="I3524" s="444">
        <f t="shared" ca="1" si="150"/>
        <v>-1811221695771.6143</v>
      </c>
      <c r="J3524" s="444">
        <f t="array" ref="J3524">IFERROR(INDEX('Retirement Calculator'!K:K,MATCH('Lorri 401b'!N3524,'Retirement Calculator'!A:A,0),0),0)</f>
        <v>0</v>
      </c>
      <c r="K3524" s="444">
        <f t="shared" ca="1" si="148"/>
        <v>-7546757065.7150593</v>
      </c>
      <c r="L3524" s="444">
        <f t="shared" ca="1" si="149"/>
        <v>-1818768452837.3293</v>
      </c>
      <c r="M3524" s="460">
        <f t="shared" si="151"/>
        <v>0.05</v>
      </c>
      <c r="N3524" s="464">
        <f t="shared" si="152"/>
        <v>158303</v>
      </c>
    </row>
    <row r="3525" spans="7:14" ht="11.25" customHeight="1" x14ac:dyDescent="0.25">
      <c r="G3525" s="459"/>
      <c r="H3525" s="459">
        <v>3518</v>
      </c>
      <c r="I3525" s="444">
        <f t="shared" ca="1" si="150"/>
        <v>-1818768452837.3293</v>
      </c>
      <c r="J3525" s="444">
        <f t="array" ref="J3525">IFERROR(INDEX('Retirement Calculator'!K:K,MATCH('Lorri 401b'!N3525,'Retirement Calculator'!A:A,0),0),0)</f>
        <v>0</v>
      </c>
      <c r="K3525" s="444">
        <f t="shared" ca="1" si="148"/>
        <v>-7578201886.8222065</v>
      </c>
      <c r="L3525" s="444">
        <f t="shared" ca="1" si="149"/>
        <v>-1826346654724.1516</v>
      </c>
      <c r="M3525" s="460">
        <f t="shared" si="151"/>
        <v>0.05</v>
      </c>
      <c r="N3525" s="464">
        <f t="shared" si="152"/>
        <v>158333</v>
      </c>
    </row>
    <row r="3526" spans="7:14" ht="11.25" customHeight="1" x14ac:dyDescent="0.25">
      <c r="G3526" s="459"/>
      <c r="H3526" s="459">
        <v>3519</v>
      </c>
      <c r="I3526" s="444">
        <f t="shared" ca="1" si="150"/>
        <v>-1826346654724.1516</v>
      </c>
      <c r="J3526" s="444">
        <f t="array" ref="J3526">IFERROR(INDEX('Retirement Calculator'!K:K,MATCH('Lorri 401b'!N3526,'Retirement Calculator'!A:A,0),0),0)</f>
        <v>0</v>
      </c>
      <c r="K3526" s="444">
        <f t="shared" ca="1" si="148"/>
        <v>-7609777728.0172987</v>
      </c>
      <c r="L3526" s="444">
        <f t="shared" ca="1" si="149"/>
        <v>-1833956432452.1689</v>
      </c>
      <c r="M3526" s="460">
        <f t="shared" si="151"/>
        <v>0.05</v>
      </c>
      <c r="N3526" s="464">
        <f t="shared" si="152"/>
        <v>158364</v>
      </c>
    </row>
    <row r="3527" spans="7:14" ht="11.25" customHeight="1" x14ac:dyDescent="0.25">
      <c r="G3527" s="459"/>
      <c r="H3527" s="459">
        <v>3520</v>
      </c>
      <c r="I3527" s="444">
        <f t="shared" ca="1" si="150"/>
        <v>-1833956432452.1689</v>
      </c>
      <c r="J3527" s="444">
        <f t="array" ref="J3527">IFERROR(INDEX('Retirement Calculator'!K:K,MATCH('Lorri 401b'!N3527,'Retirement Calculator'!A:A,0),0),0)</f>
        <v>0</v>
      </c>
      <c r="K3527" s="444">
        <f t="shared" ca="1" si="148"/>
        <v>-7641485135.2173719</v>
      </c>
      <c r="L3527" s="444">
        <f t="shared" ca="1" si="149"/>
        <v>-1841597917587.3862</v>
      </c>
      <c r="M3527" s="460">
        <f t="shared" si="151"/>
        <v>0.05</v>
      </c>
      <c r="N3527" s="464">
        <f t="shared" si="152"/>
        <v>158395</v>
      </c>
    </row>
    <row r="3528" spans="7:14" ht="11.25" customHeight="1" x14ac:dyDescent="0.25">
      <c r="G3528" s="459"/>
      <c r="H3528" s="459">
        <v>3521</v>
      </c>
      <c r="I3528" s="444">
        <f t="shared" ca="1" si="150"/>
        <v>-1841597917587.3862</v>
      </c>
      <c r="J3528" s="444">
        <f t="array" ref="J3528">IFERROR(INDEX('Retirement Calculator'!K:K,MATCH('Lorri 401b'!N3528,'Retirement Calculator'!A:A,0),0),0)</f>
        <v>0</v>
      </c>
      <c r="K3528" s="444">
        <f t="shared" ca="1" si="148"/>
        <v>-7673324656.614109</v>
      </c>
      <c r="L3528" s="444">
        <f t="shared" ca="1" si="149"/>
        <v>-1849271242244.0002</v>
      </c>
      <c r="M3528" s="460">
        <f t="shared" si="151"/>
        <v>0.05</v>
      </c>
      <c r="N3528" s="464">
        <f t="shared" si="152"/>
        <v>158425</v>
      </c>
    </row>
    <row r="3529" spans="7:14" ht="11.25" customHeight="1" x14ac:dyDescent="0.25">
      <c r="G3529" s="459"/>
      <c r="H3529" s="459">
        <v>3522</v>
      </c>
      <c r="I3529" s="444">
        <f t="shared" ca="1" si="150"/>
        <v>-1849271242244.0002</v>
      </c>
      <c r="J3529" s="444">
        <f t="array" ref="J3529">IFERROR(INDEX('Retirement Calculator'!K:K,MATCH('Lorri 401b'!N3529,'Retirement Calculator'!A:A,0),0),0)</f>
        <v>0</v>
      </c>
      <c r="K3529" s="444">
        <f t="shared" ca="1" si="148"/>
        <v>-7705296842.6833334</v>
      </c>
      <c r="L3529" s="444">
        <f t="shared" ca="1" si="149"/>
        <v>-1856976539086.6836</v>
      </c>
      <c r="M3529" s="460">
        <f t="shared" si="151"/>
        <v>0.05</v>
      </c>
      <c r="N3529" s="464">
        <f t="shared" si="152"/>
        <v>158456</v>
      </c>
    </row>
    <row r="3530" spans="7:14" ht="11.25" customHeight="1" x14ac:dyDescent="0.25">
      <c r="G3530" s="459"/>
      <c r="H3530" s="459">
        <v>3523</v>
      </c>
      <c r="I3530" s="444">
        <f t="shared" ca="1" si="150"/>
        <v>-1856976539086.6836</v>
      </c>
      <c r="J3530" s="444">
        <f t="array" ref="J3530">IFERROR(INDEX('Retirement Calculator'!K:K,MATCH('Lorri 401b'!N3530,'Retirement Calculator'!A:A,0),0),0)</f>
        <v>0</v>
      </c>
      <c r="K3530" s="444">
        <f t="shared" ca="1" si="148"/>
        <v>-7737402246.1945152</v>
      </c>
      <c r="L3530" s="444">
        <f t="shared" ca="1" si="149"/>
        <v>-1864713941332.8782</v>
      </c>
      <c r="M3530" s="460">
        <f t="shared" si="151"/>
        <v>0.05</v>
      </c>
      <c r="N3530" s="464">
        <f t="shared" si="152"/>
        <v>158486</v>
      </c>
    </row>
    <row r="3531" spans="7:14" ht="11.25" customHeight="1" x14ac:dyDescent="0.25">
      <c r="G3531" s="459"/>
      <c r="H3531" s="459">
        <v>3524</v>
      </c>
      <c r="I3531" s="444">
        <f t="shared" ca="1" si="150"/>
        <v>-1864713941332.8782</v>
      </c>
      <c r="J3531" s="444">
        <f t="array" ref="J3531">IFERROR(INDEX('Retirement Calculator'!K:K,MATCH('Lorri 401b'!N3531,'Retirement Calculator'!A:A,0),0),0)</f>
        <v>0</v>
      </c>
      <c r="K3531" s="444">
        <f t="shared" ca="1" si="148"/>
        <v>-7769641422.2203264</v>
      </c>
      <c r="L3531" s="444">
        <f t="shared" ca="1" si="149"/>
        <v>-1872483582755.0984</v>
      </c>
      <c r="M3531" s="460">
        <f t="shared" si="151"/>
        <v>0.05</v>
      </c>
      <c r="N3531" s="464">
        <f t="shared" si="152"/>
        <v>158517</v>
      </c>
    </row>
    <row r="3532" spans="7:14" ht="11.25" customHeight="1" x14ac:dyDescent="0.25">
      <c r="G3532" s="459"/>
      <c r="H3532" s="459">
        <v>3525</v>
      </c>
      <c r="I3532" s="444">
        <f t="shared" ca="1" si="150"/>
        <v>-1872483582755.0984</v>
      </c>
      <c r="J3532" s="444">
        <f t="array" ref="J3532">IFERROR(INDEX('Retirement Calculator'!K:K,MATCH('Lorri 401b'!N3532,'Retirement Calculator'!A:A,0),0),0)</f>
        <v>0</v>
      </c>
      <c r="K3532" s="444">
        <f t="shared" ca="1" si="148"/>
        <v>-7802014928.1462431</v>
      </c>
      <c r="L3532" s="444">
        <f t="shared" ca="1" si="149"/>
        <v>-1880285597683.2446</v>
      </c>
      <c r="M3532" s="460">
        <f t="shared" si="151"/>
        <v>0.05</v>
      </c>
      <c r="N3532" s="464">
        <f t="shared" si="152"/>
        <v>158548</v>
      </c>
    </row>
    <row r="3533" spans="7:14" ht="11.25" customHeight="1" x14ac:dyDescent="0.25">
      <c r="G3533" s="459"/>
      <c r="H3533" s="459">
        <v>3526</v>
      </c>
      <c r="I3533" s="444">
        <f t="shared" ca="1" si="150"/>
        <v>-1880285597683.2446</v>
      </c>
      <c r="J3533" s="444">
        <f t="array" ref="J3533">IFERROR(INDEX('Retirement Calculator'!K:K,MATCH('Lorri 401b'!N3533,'Retirement Calculator'!A:A,0),0),0)</f>
        <v>0</v>
      </c>
      <c r="K3533" s="444">
        <f t="shared" ca="1" si="148"/>
        <v>-7834523323.6801844</v>
      </c>
      <c r="L3533" s="444">
        <f t="shared" ca="1" si="149"/>
        <v>-1888120121006.9248</v>
      </c>
      <c r="M3533" s="460">
        <f t="shared" si="151"/>
        <v>0.05</v>
      </c>
      <c r="N3533" s="464">
        <f t="shared" si="152"/>
        <v>158576</v>
      </c>
    </row>
    <row r="3534" spans="7:14" ht="11.25" customHeight="1" x14ac:dyDescent="0.25">
      <c r="G3534" s="459"/>
      <c r="H3534" s="459">
        <v>3527</v>
      </c>
      <c r="I3534" s="444">
        <f t="shared" ca="1" si="150"/>
        <v>-1888120121006.9248</v>
      </c>
      <c r="J3534" s="444">
        <f t="array" ref="J3534">IFERROR(INDEX('Retirement Calculator'!K:K,MATCH('Lorri 401b'!N3534,'Retirement Calculator'!A:A,0),0),0)</f>
        <v>0</v>
      </c>
      <c r="K3534" s="444">
        <f t="shared" ca="1" si="148"/>
        <v>-7867167170.8621864</v>
      </c>
      <c r="L3534" s="444">
        <f t="shared" ca="1" si="149"/>
        <v>-1895987288177.7871</v>
      </c>
      <c r="M3534" s="460">
        <f t="shared" si="151"/>
        <v>0.05</v>
      </c>
      <c r="N3534" s="464">
        <f t="shared" si="152"/>
        <v>158607</v>
      </c>
    </row>
    <row r="3535" spans="7:14" ht="11.25" customHeight="1" x14ac:dyDescent="0.25">
      <c r="G3535" s="459"/>
      <c r="H3535" s="459">
        <v>3528</v>
      </c>
      <c r="I3535" s="444">
        <f t="shared" ca="1" si="150"/>
        <v>-1895987288177.7871</v>
      </c>
      <c r="J3535" s="444">
        <f t="array" ref="J3535">IFERROR(INDEX('Retirement Calculator'!K:K,MATCH('Lorri 401b'!N3535,'Retirement Calculator'!A:A,0),0),0)</f>
        <v>0</v>
      </c>
      <c r="K3535" s="444">
        <f t="shared" ca="1" si="148"/>
        <v>-7899947034.0741129</v>
      </c>
      <c r="L3535" s="444">
        <f t="shared" ca="1" si="149"/>
        <v>-1903887235211.8613</v>
      </c>
      <c r="M3535" s="460">
        <f t="shared" si="151"/>
        <v>0.05</v>
      </c>
      <c r="N3535" s="464">
        <f t="shared" si="152"/>
        <v>158637</v>
      </c>
    </row>
    <row r="3536" spans="7:14" ht="11.25" customHeight="1" x14ac:dyDescent="0.25">
      <c r="G3536" s="459"/>
      <c r="H3536" s="459">
        <v>3529</v>
      </c>
      <c r="I3536" s="444">
        <f t="shared" ca="1" si="150"/>
        <v>-1903887235211.8613</v>
      </c>
      <c r="J3536" s="444">
        <f t="array" ref="J3536">IFERROR(INDEX('Retirement Calculator'!K:K,MATCH('Lorri 401b'!N3536,'Retirement Calculator'!A:A,0),0),0)</f>
        <v>0</v>
      </c>
      <c r="K3536" s="444">
        <f t="shared" ca="1" si="148"/>
        <v>-7932863480.0494232</v>
      </c>
      <c r="L3536" s="444">
        <f t="shared" ca="1" si="149"/>
        <v>-1911820098691.9106</v>
      </c>
      <c r="M3536" s="460">
        <f t="shared" si="151"/>
        <v>0.05</v>
      </c>
      <c r="N3536" s="464">
        <f t="shared" si="152"/>
        <v>158668</v>
      </c>
    </row>
    <row r="3537" spans="7:14" ht="11.25" customHeight="1" x14ac:dyDescent="0.25">
      <c r="G3537" s="459"/>
      <c r="H3537" s="459">
        <v>3530</v>
      </c>
      <c r="I3537" s="444">
        <f t="shared" ca="1" si="150"/>
        <v>-1911820098691.9106</v>
      </c>
      <c r="J3537" s="444">
        <f t="array" ref="J3537">IFERROR(INDEX('Retirement Calculator'!K:K,MATCH('Lorri 401b'!N3537,'Retirement Calculator'!A:A,0),0),0)</f>
        <v>0</v>
      </c>
      <c r="K3537" s="444">
        <f t="shared" ca="1" si="148"/>
        <v>-7965917077.8829613</v>
      </c>
      <c r="L3537" s="444">
        <f t="shared" ca="1" si="149"/>
        <v>-1919786015769.7937</v>
      </c>
      <c r="M3537" s="460">
        <f t="shared" si="151"/>
        <v>0.05</v>
      </c>
      <c r="N3537" s="464">
        <f t="shared" si="152"/>
        <v>158698</v>
      </c>
    </row>
    <row r="3538" spans="7:14" ht="11.25" customHeight="1" x14ac:dyDescent="0.25">
      <c r="G3538" s="459"/>
      <c r="H3538" s="459">
        <v>3531</v>
      </c>
      <c r="I3538" s="444">
        <f t="shared" ca="1" si="150"/>
        <v>-1919786015769.7937</v>
      </c>
      <c r="J3538" s="444">
        <f t="array" ref="J3538">IFERROR(INDEX('Retirement Calculator'!K:K,MATCH('Lorri 401b'!N3538,'Retirement Calculator'!A:A,0),0),0)</f>
        <v>0</v>
      </c>
      <c r="K3538" s="444">
        <f t="shared" ca="1" si="148"/>
        <v>-7999108399.0408058</v>
      </c>
      <c r="L3538" s="444">
        <f t="shared" ca="1" si="149"/>
        <v>-1927785124168.8345</v>
      </c>
      <c r="M3538" s="460">
        <f t="shared" si="151"/>
        <v>0.05</v>
      </c>
      <c r="N3538" s="464">
        <f t="shared" si="152"/>
        <v>158729</v>
      </c>
    </row>
    <row r="3539" spans="7:14" ht="11.25" customHeight="1" x14ac:dyDescent="0.25">
      <c r="G3539" s="459"/>
      <c r="H3539" s="459">
        <v>3532</v>
      </c>
      <c r="I3539" s="444">
        <f t="shared" ca="1" si="150"/>
        <v>-1927785124168.8345</v>
      </c>
      <c r="J3539" s="444">
        <f t="array" ref="J3539">IFERROR(INDEX('Retirement Calculator'!K:K,MATCH('Lorri 401b'!N3539,'Retirement Calculator'!A:A,0),0),0)</f>
        <v>0</v>
      </c>
      <c r="K3539" s="444">
        <f t="shared" ca="1" si="148"/>
        <v>-8032438017.3701429</v>
      </c>
      <c r="L3539" s="444">
        <f t="shared" ca="1" si="149"/>
        <v>-1935817562186.2046</v>
      </c>
      <c r="M3539" s="460">
        <f t="shared" si="151"/>
        <v>0.05</v>
      </c>
      <c r="N3539" s="464">
        <f t="shared" si="152"/>
        <v>158760</v>
      </c>
    </row>
    <row r="3540" spans="7:14" ht="11.25" customHeight="1" x14ac:dyDescent="0.25">
      <c r="G3540" s="459"/>
      <c r="H3540" s="459">
        <v>3533</v>
      </c>
      <c r="I3540" s="444">
        <f t="shared" ca="1" si="150"/>
        <v>-1935817562186.2046</v>
      </c>
      <c r="J3540" s="444">
        <f t="array" ref="J3540">IFERROR(INDEX('Retirement Calculator'!K:K,MATCH('Lorri 401b'!N3540,'Retirement Calculator'!A:A,0),0),0)</f>
        <v>0</v>
      </c>
      <c r="K3540" s="444">
        <f t="shared" ca="1" si="148"/>
        <v>-8065906509.1091871</v>
      </c>
      <c r="L3540" s="444">
        <f t="shared" ca="1" si="149"/>
        <v>-1943883468695.3137</v>
      </c>
      <c r="M3540" s="460">
        <f t="shared" si="151"/>
        <v>0.05</v>
      </c>
      <c r="N3540" s="464">
        <f t="shared" si="152"/>
        <v>158790</v>
      </c>
    </row>
    <row r="3541" spans="7:14" ht="11.25" customHeight="1" x14ac:dyDescent="0.25">
      <c r="G3541" s="459"/>
      <c r="H3541" s="459">
        <v>3534</v>
      </c>
      <c r="I3541" s="444">
        <f t="shared" ca="1" si="150"/>
        <v>-1943883468695.3137</v>
      </c>
      <c r="J3541" s="444">
        <f t="array" ref="J3541">IFERROR(INDEX('Retirement Calculator'!K:K,MATCH('Lorri 401b'!N3541,'Retirement Calculator'!A:A,0),0),0)</f>
        <v>0</v>
      </c>
      <c r="K3541" s="444">
        <f t="shared" ca="1" si="148"/>
        <v>-8099514452.8971415</v>
      </c>
      <c r="L3541" s="444">
        <f t="shared" ca="1" si="149"/>
        <v>-1951982983148.2109</v>
      </c>
      <c r="M3541" s="460">
        <f t="shared" si="151"/>
        <v>0.05</v>
      </c>
      <c r="N3541" s="464">
        <f t="shared" si="152"/>
        <v>158821</v>
      </c>
    </row>
    <row r="3542" spans="7:14" ht="11.25" customHeight="1" x14ac:dyDescent="0.25">
      <c r="G3542" s="459"/>
      <c r="H3542" s="459">
        <v>3535</v>
      </c>
      <c r="I3542" s="444">
        <f t="shared" ca="1" si="150"/>
        <v>-1951982983148.2109</v>
      </c>
      <c r="J3542" s="444">
        <f t="array" ref="J3542">IFERROR(INDEX('Retirement Calculator'!K:K,MATCH('Lorri 401b'!N3542,'Retirement Calculator'!A:A,0),0),0)</f>
        <v>0</v>
      </c>
      <c r="K3542" s="444">
        <f t="shared" ca="1" si="148"/>
        <v>-8133262429.7842121</v>
      </c>
      <c r="L3542" s="444">
        <f t="shared" ca="1" si="149"/>
        <v>-1960116245577.9951</v>
      </c>
      <c r="M3542" s="460">
        <f t="shared" si="151"/>
        <v>0.05</v>
      </c>
      <c r="N3542" s="464">
        <f t="shared" si="152"/>
        <v>158851</v>
      </c>
    </row>
    <row r="3543" spans="7:14" ht="11.25" customHeight="1" x14ac:dyDescent="0.25">
      <c r="G3543" s="459"/>
      <c r="H3543" s="459">
        <v>3536</v>
      </c>
      <c r="I3543" s="444">
        <f t="shared" ca="1" si="150"/>
        <v>-1960116245577.9951</v>
      </c>
      <c r="J3543" s="444">
        <f t="array" ref="J3543">IFERROR(INDEX('Retirement Calculator'!K:K,MATCH('Lorri 401b'!N3543,'Retirement Calculator'!A:A,0),0),0)</f>
        <v>0</v>
      </c>
      <c r="K3543" s="444">
        <f t="shared" ca="1" si="148"/>
        <v>-8167151023.2416458</v>
      </c>
      <c r="L3543" s="444">
        <f t="shared" ca="1" si="149"/>
        <v>-1968283396601.2368</v>
      </c>
      <c r="M3543" s="460">
        <f t="shared" si="151"/>
        <v>0.05</v>
      </c>
      <c r="N3543" s="464">
        <f t="shared" si="152"/>
        <v>158882</v>
      </c>
    </row>
    <row r="3544" spans="7:14" ht="11.25" customHeight="1" x14ac:dyDescent="0.25">
      <c r="G3544" s="459"/>
      <c r="H3544" s="459">
        <v>3537</v>
      </c>
      <c r="I3544" s="444">
        <f t="shared" ca="1" si="150"/>
        <v>-1968283396601.2368</v>
      </c>
      <c r="J3544" s="444">
        <f t="array" ref="J3544">IFERROR(INDEX('Retirement Calculator'!K:K,MATCH('Lorri 401b'!N3544,'Retirement Calculator'!A:A,0),0),0)</f>
        <v>0</v>
      </c>
      <c r="K3544" s="444">
        <f t="shared" ca="1" si="148"/>
        <v>-8201180819.1718206</v>
      </c>
      <c r="L3544" s="444">
        <f t="shared" ca="1" si="149"/>
        <v>-1976484577420.4087</v>
      </c>
      <c r="M3544" s="460">
        <f t="shared" si="151"/>
        <v>0.05</v>
      </c>
      <c r="N3544" s="464">
        <f t="shared" si="152"/>
        <v>158913</v>
      </c>
    </row>
    <row r="3545" spans="7:14" ht="11.25" customHeight="1" x14ac:dyDescent="0.25">
      <c r="G3545" s="459"/>
      <c r="H3545" s="459">
        <v>3538</v>
      </c>
      <c r="I3545" s="444">
        <f t="shared" ca="1" si="150"/>
        <v>-1976484577420.4087</v>
      </c>
      <c r="J3545" s="444">
        <f t="array" ref="J3545">IFERROR(INDEX('Retirement Calculator'!K:K,MATCH('Lorri 401b'!N3545,'Retirement Calculator'!A:A,0),0),0)</f>
        <v>0</v>
      </c>
      <c r="K3545" s="444">
        <f t="shared" ca="1" si="148"/>
        <v>-8235352405.9183683</v>
      </c>
      <c r="L3545" s="444">
        <f t="shared" ca="1" si="149"/>
        <v>-1984719929826.3271</v>
      </c>
      <c r="M3545" s="460">
        <f t="shared" si="151"/>
        <v>0.05</v>
      </c>
      <c r="N3545" s="464">
        <f t="shared" si="152"/>
        <v>158941</v>
      </c>
    </row>
    <row r="3546" spans="7:14" ht="11.25" customHeight="1" x14ac:dyDescent="0.25">
      <c r="G3546" s="459"/>
      <c r="H3546" s="459">
        <v>3539</v>
      </c>
      <c r="I3546" s="444">
        <f t="shared" ca="1" si="150"/>
        <v>-1984719929826.3271</v>
      </c>
      <c r="J3546" s="444">
        <f t="array" ref="J3546">IFERROR(INDEX('Retirement Calculator'!K:K,MATCH('Lorri 401b'!N3546,'Retirement Calculator'!A:A,0),0),0)</f>
        <v>0</v>
      </c>
      <c r="K3546" s="444">
        <f t="shared" ca="1" si="148"/>
        <v>-8269666374.2763643</v>
      </c>
      <c r="L3546" s="444">
        <f t="shared" ca="1" si="149"/>
        <v>-1992989596200.6035</v>
      </c>
      <c r="M3546" s="460">
        <f t="shared" si="151"/>
        <v>0.05</v>
      </c>
      <c r="N3546" s="464">
        <f t="shared" si="152"/>
        <v>158972</v>
      </c>
    </row>
    <row r="3547" spans="7:14" ht="11.25" customHeight="1" x14ac:dyDescent="0.25">
      <c r="G3547" s="459"/>
      <c r="H3547" s="459">
        <v>3540</v>
      </c>
      <c r="I3547" s="444">
        <f t="shared" ca="1" si="150"/>
        <v>-1992989596200.6035</v>
      </c>
      <c r="J3547" s="444">
        <f t="array" ref="J3547">IFERROR(INDEX('Retirement Calculator'!K:K,MATCH('Lorri 401b'!N3547,'Retirement Calculator'!A:A,0),0),0)</f>
        <v>0</v>
      </c>
      <c r="K3547" s="444">
        <f t="shared" ca="1" si="148"/>
        <v>-8304123317.5025148</v>
      </c>
      <c r="L3547" s="444">
        <f t="shared" ca="1" si="149"/>
        <v>-2001293719518.106</v>
      </c>
      <c r="M3547" s="460">
        <f t="shared" si="151"/>
        <v>0.05</v>
      </c>
      <c r="N3547" s="464">
        <f t="shared" si="152"/>
        <v>159002</v>
      </c>
    </row>
    <row r="3548" spans="7:14" ht="11.25" customHeight="1" x14ac:dyDescent="0.25">
      <c r="G3548" s="459"/>
      <c r="H3548" s="459">
        <v>3541</v>
      </c>
      <c r="I3548" s="444">
        <f t="shared" ca="1" si="150"/>
        <v>-2001293719518.106</v>
      </c>
      <c r="J3548" s="444">
        <f t="array" ref="J3548">IFERROR(INDEX('Retirement Calculator'!K:K,MATCH('Lorri 401b'!N3548,'Retirement Calculator'!A:A,0),0),0)</f>
        <v>0</v>
      </c>
      <c r="K3548" s="444">
        <f t="shared" ca="1" si="148"/>
        <v>-8338723831.3254414</v>
      </c>
      <c r="L3548" s="444">
        <f t="shared" ca="1" si="149"/>
        <v>-2009632443349.4314</v>
      </c>
      <c r="M3548" s="460">
        <f t="shared" si="151"/>
        <v>0.05</v>
      </c>
      <c r="N3548" s="464">
        <f t="shared" si="152"/>
        <v>159033</v>
      </c>
    </row>
    <row r="3549" spans="7:14" ht="11.25" customHeight="1" x14ac:dyDescent="0.25">
      <c r="G3549" s="459"/>
      <c r="H3549" s="459">
        <v>3542</v>
      </c>
      <c r="I3549" s="444">
        <f t="shared" ca="1" si="150"/>
        <v>-2009632443349.4314</v>
      </c>
      <c r="J3549" s="444">
        <f t="array" ref="J3549">IFERROR(INDEX('Retirement Calculator'!K:K,MATCH('Lorri 401b'!N3549,'Retirement Calculator'!A:A,0),0),0)</f>
        <v>0</v>
      </c>
      <c r="K3549" s="444">
        <f t="shared" ca="1" si="148"/>
        <v>-8373468513.9559641</v>
      </c>
      <c r="L3549" s="444">
        <f t="shared" ca="1" si="149"/>
        <v>-2018005911863.3875</v>
      </c>
      <c r="M3549" s="460">
        <f t="shared" si="151"/>
        <v>0.05</v>
      </c>
      <c r="N3549" s="464">
        <f t="shared" si="152"/>
        <v>159063</v>
      </c>
    </row>
    <row r="3550" spans="7:14" ht="11.25" customHeight="1" x14ac:dyDescent="0.25">
      <c r="G3550" s="459"/>
      <c r="H3550" s="459">
        <v>3543</v>
      </c>
      <c r="I3550" s="444">
        <f t="shared" ca="1" si="150"/>
        <v>-2018005911863.3875</v>
      </c>
      <c r="J3550" s="444">
        <f t="array" ref="J3550">IFERROR(INDEX('Retirement Calculator'!K:K,MATCH('Lorri 401b'!N3550,'Retirement Calculator'!A:A,0),0),0)</f>
        <v>0</v>
      </c>
      <c r="K3550" s="444">
        <f t="shared" ca="1" si="148"/>
        <v>-8408357966.0974464</v>
      </c>
      <c r="L3550" s="444">
        <f t="shared" ca="1" si="149"/>
        <v>-2026414269829.4849</v>
      </c>
      <c r="M3550" s="460">
        <f t="shared" si="151"/>
        <v>0.05</v>
      </c>
      <c r="N3550" s="464">
        <f t="shared" si="152"/>
        <v>159094</v>
      </c>
    </row>
    <row r="3551" spans="7:14" ht="11.25" customHeight="1" x14ac:dyDescent="0.25">
      <c r="G3551" s="459"/>
      <c r="H3551" s="459">
        <v>3544</v>
      </c>
      <c r="I3551" s="444">
        <f t="shared" ca="1" si="150"/>
        <v>-2026414269829.4849</v>
      </c>
      <c r="J3551" s="444">
        <f t="array" ref="J3551">IFERROR(INDEX('Retirement Calculator'!K:K,MATCH('Lorri 401b'!N3551,'Retirement Calculator'!A:A,0),0),0)</f>
        <v>0</v>
      </c>
      <c r="K3551" s="444">
        <f t="shared" ca="1" si="148"/>
        <v>-8443392790.9561872</v>
      </c>
      <c r="L3551" s="444">
        <f t="shared" ca="1" si="149"/>
        <v>-2034857662620.4412</v>
      </c>
      <c r="M3551" s="460">
        <f t="shared" si="151"/>
        <v>0.05</v>
      </c>
      <c r="N3551" s="464">
        <f t="shared" si="152"/>
        <v>159125</v>
      </c>
    </row>
    <row r="3552" spans="7:14" ht="11.25" customHeight="1" x14ac:dyDescent="0.25">
      <c r="G3552" s="459"/>
      <c r="H3552" s="459">
        <v>3545</v>
      </c>
      <c r="I3552" s="444">
        <f t="shared" ca="1" si="150"/>
        <v>-2034857662620.4412</v>
      </c>
      <c r="J3552" s="444">
        <f t="array" ref="J3552">IFERROR(INDEX('Retirement Calculator'!K:K,MATCH('Lorri 401b'!N3552,'Retirement Calculator'!A:A,0),0),0)</f>
        <v>0</v>
      </c>
      <c r="K3552" s="444">
        <f t="shared" ca="1" si="148"/>
        <v>-8478573594.2518377</v>
      </c>
      <c r="L3552" s="444">
        <f t="shared" ca="1" si="149"/>
        <v>-2043336236214.6931</v>
      </c>
      <c r="M3552" s="460">
        <f t="shared" si="151"/>
        <v>0.05</v>
      </c>
      <c r="N3552" s="464">
        <f t="shared" si="152"/>
        <v>159155</v>
      </c>
    </row>
    <row r="3553" spans="7:14" ht="11.25" customHeight="1" x14ac:dyDescent="0.25">
      <c r="G3553" s="459"/>
      <c r="H3553" s="459">
        <v>3546</v>
      </c>
      <c r="I3553" s="444">
        <f t="shared" ca="1" si="150"/>
        <v>-2043336236214.6931</v>
      </c>
      <c r="J3553" s="444">
        <f t="array" ref="J3553">IFERROR(INDEX('Retirement Calculator'!K:K,MATCH('Lorri 401b'!N3553,'Retirement Calculator'!A:A,0),0),0)</f>
        <v>0</v>
      </c>
      <c r="K3553" s="444">
        <f t="shared" ca="1" si="148"/>
        <v>-8513900984.2278891</v>
      </c>
      <c r="L3553" s="444">
        <f t="shared" ca="1" si="149"/>
        <v>-2051850137198.9209</v>
      </c>
      <c r="M3553" s="460">
        <f t="shared" si="151"/>
        <v>0.05</v>
      </c>
      <c r="N3553" s="464">
        <f t="shared" si="152"/>
        <v>159186</v>
      </c>
    </row>
    <row r="3554" spans="7:14" ht="11.25" customHeight="1" x14ac:dyDescent="0.25">
      <c r="G3554" s="459"/>
      <c r="H3554" s="459">
        <v>3547</v>
      </c>
      <c r="I3554" s="444">
        <f t="shared" ca="1" si="150"/>
        <v>-2051850137198.9209</v>
      </c>
      <c r="J3554" s="444">
        <f t="array" ref="J3554">IFERROR(INDEX('Retirement Calculator'!K:K,MATCH('Lorri 401b'!N3554,'Retirement Calculator'!A:A,0),0),0)</f>
        <v>0</v>
      </c>
      <c r="K3554" s="444">
        <f t="shared" ca="1" si="148"/>
        <v>-8549375571.6621704</v>
      </c>
      <c r="L3554" s="444">
        <f t="shared" ca="1" si="149"/>
        <v>-2060399512770.583</v>
      </c>
      <c r="M3554" s="460">
        <f t="shared" si="151"/>
        <v>0.05</v>
      </c>
      <c r="N3554" s="464">
        <f t="shared" si="152"/>
        <v>159216</v>
      </c>
    </row>
    <row r="3555" spans="7:14" ht="11.25" customHeight="1" x14ac:dyDescent="0.25">
      <c r="G3555" s="459"/>
      <c r="H3555" s="459">
        <v>3548</v>
      </c>
      <c r="I3555" s="444">
        <f t="shared" ca="1" si="150"/>
        <v>-2060399512770.583</v>
      </c>
      <c r="J3555" s="444">
        <f t="array" ref="J3555">IFERROR(INDEX('Retirement Calculator'!K:K,MATCH('Lorri 401b'!N3555,'Retirement Calculator'!A:A,0),0),0)</f>
        <v>0</v>
      </c>
      <c r="K3555" s="444">
        <f t="shared" ca="1" si="148"/>
        <v>-8584997969.8774281</v>
      </c>
      <c r="L3555" s="444">
        <f t="shared" ca="1" si="149"/>
        <v>-2068984510740.4604</v>
      </c>
      <c r="M3555" s="460">
        <f t="shared" si="151"/>
        <v>0.05</v>
      </c>
      <c r="N3555" s="464">
        <f t="shared" si="152"/>
        <v>159247</v>
      </c>
    </row>
    <row r="3556" spans="7:14" ht="11.25" customHeight="1" x14ac:dyDescent="0.25">
      <c r="G3556" s="459"/>
      <c r="H3556" s="459">
        <v>3549</v>
      </c>
      <c r="I3556" s="444">
        <f t="shared" ca="1" si="150"/>
        <v>-2068984510740.4604</v>
      </c>
      <c r="J3556" s="444">
        <f t="array" ref="J3556">IFERROR(INDEX('Retirement Calculator'!K:K,MATCH('Lorri 401b'!N3556,'Retirement Calculator'!A:A,0),0),0)</f>
        <v>0</v>
      </c>
      <c r="K3556" s="444">
        <f t="shared" ca="1" si="148"/>
        <v>-8620768794.7519188</v>
      </c>
      <c r="L3556" s="444">
        <f t="shared" ca="1" si="149"/>
        <v>-2077605279535.2124</v>
      </c>
      <c r="M3556" s="460">
        <f t="shared" si="151"/>
        <v>0.05</v>
      </c>
      <c r="N3556" s="464">
        <f t="shared" si="152"/>
        <v>159278</v>
      </c>
    </row>
    <row r="3557" spans="7:14" ht="11.25" customHeight="1" x14ac:dyDescent="0.25">
      <c r="G3557" s="459"/>
      <c r="H3557" s="459">
        <v>3550</v>
      </c>
      <c r="I3557" s="444">
        <f t="shared" ca="1" si="150"/>
        <v>-2077605279535.2124</v>
      </c>
      <c r="J3557" s="444">
        <f t="array" ref="J3557">IFERROR(INDEX('Retirement Calculator'!K:K,MATCH('Lorri 401b'!N3557,'Retirement Calculator'!A:A,0),0),0)</f>
        <v>0</v>
      </c>
      <c r="K3557" s="444">
        <f t="shared" ca="1" si="148"/>
        <v>-8656688664.730051</v>
      </c>
      <c r="L3557" s="444">
        <f t="shared" ca="1" si="149"/>
        <v>-2086261968199.9424</v>
      </c>
      <c r="M3557" s="460">
        <f t="shared" si="151"/>
        <v>0.05</v>
      </c>
      <c r="N3557" s="464">
        <f t="shared" si="152"/>
        <v>159307</v>
      </c>
    </row>
    <row r="3558" spans="7:14" ht="11.25" customHeight="1" x14ac:dyDescent="0.25">
      <c r="G3558" s="459"/>
      <c r="H3558" s="459">
        <v>3551</v>
      </c>
      <c r="I3558" s="444">
        <f t="shared" ca="1" si="150"/>
        <v>-2086261968199.9424</v>
      </c>
      <c r="J3558" s="444">
        <f t="array" ref="J3558">IFERROR(INDEX('Retirement Calculator'!K:K,MATCH('Lorri 401b'!N3558,'Retirement Calculator'!A:A,0),0),0)</f>
        <v>0</v>
      </c>
      <c r="K3558" s="444">
        <f t="shared" ca="1" si="148"/>
        <v>-8692758200.8330917</v>
      </c>
      <c r="L3558" s="444">
        <f t="shared" ca="1" si="149"/>
        <v>-2094954726400.7754</v>
      </c>
      <c r="M3558" s="460">
        <f t="shared" si="151"/>
        <v>0.05</v>
      </c>
      <c r="N3558" s="464">
        <f t="shared" si="152"/>
        <v>159338</v>
      </c>
    </row>
    <row r="3559" spans="7:14" ht="11.25" customHeight="1" x14ac:dyDescent="0.25">
      <c r="G3559" s="459"/>
      <c r="H3559" s="459">
        <v>3552</v>
      </c>
      <c r="I3559" s="444">
        <f t="shared" ca="1" si="150"/>
        <v>-2094954726400.7754</v>
      </c>
      <c r="J3559" s="444">
        <f t="array" ref="J3559">IFERROR(INDEX('Retirement Calculator'!K:K,MATCH('Lorri 401b'!N3559,'Retirement Calculator'!A:A,0),0),0)</f>
        <v>0</v>
      </c>
      <c r="K3559" s="444">
        <f t="shared" ca="1" si="148"/>
        <v>-8728978026.6698971</v>
      </c>
      <c r="L3559" s="444">
        <f t="shared" ca="1" si="149"/>
        <v>-2103683704427.4453</v>
      </c>
      <c r="M3559" s="460">
        <f t="shared" si="151"/>
        <v>0.05</v>
      </c>
      <c r="N3559" s="464">
        <f t="shared" si="152"/>
        <v>159368</v>
      </c>
    </row>
    <row r="3560" spans="7:14" ht="11.25" customHeight="1" x14ac:dyDescent="0.25">
      <c r="G3560" s="459"/>
      <c r="H3560" s="459">
        <v>3553</v>
      </c>
      <c r="I3560" s="444">
        <f t="shared" ca="1" si="150"/>
        <v>-2103683704427.4453</v>
      </c>
      <c r="J3560" s="444">
        <f t="array" ref="J3560">IFERROR(INDEX('Retirement Calculator'!K:K,MATCH('Lorri 401b'!N3560,'Retirement Calculator'!A:A,0),0),0)</f>
        <v>0</v>
      </c>
      <c r="K3560" s="444">
        <f t="shared" ca="1" si="148"/>
        <v>-8765348768.4476871</v>
      </c>
      <c r="L3560" s="444">
        <f t="shared" ca="1" si="149"/>
        <v>-2112449053195.8931</v>
      </c>
      <c r="M3560" s="460">
        <f t="shared" si="151"/>
        <v>0.05</v>
      </c>
      <c r="N3560" s="464">
        <f t="shared" si="152"/>
        <v>159399</v>
      </c>
    </row>
    <row r="3561" spans="7:14" ht="11.25" customHeight="1" x14ac:dyDescent="0.25">
      <c r="G3561" s="459"/>
      <c r="H3561" s="459">
        <v>3554</v>
      </c>
      <c r="I3561" s="444">
        <f t="shared" ca="1" si="150"/>
        <v>-2112449053195.8931</v>
      </c>
      <c r="J3561" s="444">
        <f t="array" ref="J3561">IFERROR(INDEX('Retirement Calculator'!K:K,MATCH('Lorri 401b'!N3561,'Retirement Calculator'!A:A,0),0),0)</f>
        <v>0</v>
      </c>
      <c r="K3561" s="444">
        <f t="shared" ca="1" si="148"/>
        <v>-8801871054.9828873</v>
      </c>
      <c r="L3561" s="444">
        <f t="shared" ca="1" si="149"/>
        <v>-2121250924250.876</v>
      </c>
      <c r="M3561" s="460">
        <f t="shared" si="151"/>
        <v>0.05</v>
      </c>
      <c r="N3561" s="464">
        <f t="shared" si="152"/>
        <v>159429</v>
      </c>
    </row>
    <row r="3562" spans="7:14" ht="11.25" customHeight="1" x14ac:dyDescent="0.25">
      <c r="G3562" s="459"/>
      <c r="H3562" s="459">
        <v>3555</v>
      </c>
      <c r="I3562" s="444">
        <f t="shared" ca="1" si="150"/>
        <v>-2121250924250.876</v>
      </c>
      <c r="J3562" s="444">
        <f t="array" ref="J3562">IFERROR(INDEX('Retirement Calculator'!K:K,MATCH('Lorri 401b'!N3562,'Retirement Calculator'!A:A,0),0),0)</f>
        <v>0</v>
      </c>
      <c r="K3562" s="444">
        <f t="shared" ca="1" si="148"/>
        <v>-8838545517.7119846</v>
      </c>
      <c r="L3562" s="444">
        <f t="shared" ca="1" si="149"/>
        <v>-2130089469768.5879</v>
      </c>
      <c r="M3562" s="460">
        <f t="shared" si="151"/>
        <v>0.05</v>
      </c>
      <c r="N3562" s="464">
        <f t="shared" si="152"/>
        <v>159460</v>
      </c>
    </row>
    <row r="3563" spans="7:14" ht="11.25" customHeight="1" x14ac:dyDescent="0.25">
      <c r="G3563" s="459"/>
      <c r="H3563" s="459">
        <v>3556</v>
      </c>
      <c r="I3563" s="444">
        <f t="shared" ca="1" si="150"/>
        <v>-2130089469768.5879</v>
      </c>
      <c r="J3563" s="444">
        <f t="array" ref="J3563">IFERROR(INDEX('Retirement Calculator'!K:K,MATCH('Lorri 401b'!N3563,'Retirement Calculator'!A:A,0),0),0)</f>
        <v>0</v>
      </c>
      <c r="K3563" s="444">
        <f t="shared" ca="1" si="148"/>
        <v>-8875372790.7024498</v>
      </c>
      <c r="L3563" s="444">
        <f t="shared" ca="1" si="149"/>
        <v>-2138964842559.2903</v>
      </c>
      <c r="M3563" s="460">
        <f t="shared" si="151"/>
        <v>0.05</v>
      </c>
      <c r="N3563" s="464">
        <f t="shared" si="152"/>
        <v>159491</v>
      </c>
    </row>
    <row r="3564" spans="7:14" ht="11.25" customHeight="1" x14ac:dyDescent="0.25">
      <c r="G3564" s="459"/>
      <c r="H3564" s="459">
        <v>3557</v>
      </c>
      <c r="I3564" s="444">
        <f t="shared" ca="1" si="150"/>
        <v>-2138964842559.2903</v>
      </c>
      <c r="J3564" s="444">
        <f t="array" ref="J3564">IFERROR(INDEX('Retirement Calculator'!K:K,MATCH('Lorri 401b'!N3564,'Retirement Calculator'!A:A,0),0),0)</f>
        <v>0</v>
      </c>
      <c r="K3564" s="444">
        <f t="shared" ca="1" si="148"/>
        <v>-8912353510.6637096</v>
      </c>
      <c r="L3564" s="444">
        <f t="shared" ca="1" si="149"/>
        <v>-2147877196069.9541</v>
      </c>
      <c r="M3564" s="460">
        <f t="shared" si="151"/>
        <v>0.05</v>
      </c>
      <c r="N3564" s="464">
        <f t="shared" si="152"/>
        <v>159521</v>
      </c>
    </row>
    <row r="3565" spans="7:14" ht="11.25" customHeight="1" x14ac:dyDescent="0.25">
      <c r="G3565" s="459"/>
      <c r="H3565" s="459">
        <v>3558</v>
      </c>
      <c r="I3565" s="444">
        <f t="shared" ca="1" si="150"/>
        <v>-2147877196069.9541</v>
      </c>
      <c r="J3565" s="444">
        <f t="array" ref="J3565">IFERROR(INDEX('Retirement Calculator'!K:K,MATCH('Lorri 401b'!N3565,'Retirement Calculator'!A:A,0),0),0)</f>
        <v>0</v>
      </c>
      <c r="K3565" s="444">
        <f t="shared" ca="1" si="148"/>
        <v>-8949488316.9581413</v>
      </c>
      <c r="L3565" s="444">
        <f t="shared" ca="1" si="149"/>
        <v>-2156826684386.9124</v>
      </c>
      <c r="M3565" s="460">
        <f t="shared" si="151"/>
        <v>0.05</v>
      </c>
      <c r="N3565" s="464">
        <f t="shared" si="152"/>
        <v>159552</v>
      </c>
    </row>
    <row r="3566" spans="7:14" ht="11.25" customHeight="1" x14ac:dyDescent="0.25">
      <c r="G3566" s="459"/>
      <c r="H3566" s="459">
        <v>3559</v>
      </c>
      <c r="I3566" s="444">
        <f t="shared" ca="1" si="150"/>
        <v>-2156826684386.9124</v>
      </c>
      <c r="J3566" s="444">
        <f t="array" ref="J3566">IFERROR(INDEX('Retirement Calculator'!K:K,MATCH('Lorri 401b'!N3566,'Retirement Calculator'!A:A,0),0),0)</f>
        <v>0</v>
      </c>
      <c r="K3566" s="444">
        <f t="shared" ca="1" si="148"/>
        <v>-8986777851.6121349</v>
      </c>
      <c r="L3566" s="444">
        <f t="shared" ca="1" si="149"/>
        <v>-2165813462238.5244</v>
      </c>
      <c r="M3566" s="460">
        <f t="shared" si="151"/>
        <v>0.05</v>
      </c>
      <c r="N3566" s="464">
        <f t="shared" si="152"/>
        <v>159582</v>
      </c>
    </row>
    <row r="3567" spans="7:14" ht="11.25" customHeight="1" x14ac:dyDescent="0.25">
      <c r="G3567" s="459"/>
      <c r="H3567" s="459">
        <v>3560</v>
      </c>
      <c r="I3567" s="444">
        <f t="shared" ca="1" si="150"/>
        <v>-2165813462238.5244</v>
      </c>
      <c r="J3567" s="444">
        <f t="array" ref="J3567">IFERROR(INDEX('Retirement Calculator'!K:K,MATCH('Lorri 401b'!N3567,'Retirement Calculator'!A:A,0),0),0)</f>
        <v>0</v>
      </c>
      <c r="K3567" s="444">
        <f t="shared" ca="1" si="148"/>
        <v>-9024222759.3271866</v>
      </c>
      <c r="L3567" s="444">
        <f t="shared" ca="1" si="149"/>
        <v>-2174837684997.8516</v>
      </c>
      <c r="M3567" s="460">
        <f t="shared" si="151"/>
        <v>0.05</v>
      </c>
      <c r="N3567" s="464">
        <f t="shared" si="152"/>
        <v>159613</v>
      </c>
    </row>
    <row r="3568" spans="7:14" ht="11.25" customHeight="1" x14ac:dyDescent="0.25">
      <c r="G3568" s="459"/>
      <c r="H3568" s="459">
        <v>3561</v>
      </c>
      <c r="I3568" s="444">
        <f t="shared" ca="1" si="150"/>
        <v>-2174837684997.8516</v>
      </c>
      <c r="J3568" s="444">
        <f t="array" ref="J3568">IFERROR(INDEX('Retirement Calculator'!K:K,MATCH('Lorri 401b'!N3568,'Retirement Calculator'!A:A,0),0),0)</f>
        <v>0</v>
      </c>
      <c r="K3568" s="444">
        <f t="shared" ca="1" si="148"/>
        <v>-9061823687.4910488</v>
      </c>
      <c r="L3568" s="444">
        <f t="shared" ca="1" si="149"/>
        <v>-2183899508685.3425</v>
      </c>
      <c r="M3568" s="460">
        <f t="shared" si="151"/>
        <v>0.05</v>
      </c>
      <c r="N3568" s="464">
        <f t="shared" si="152"/>
        <v>159644</v>
      </c>
    </row>
    <row r="3569" spans="7:14" ht="11.25" customHeight="1" x14ac:dyDescent="0.25">
      <c r="G3569" s="459"/>
      <c r="H3569" s="459">
        <v>3562</v>
      </c>
      <c r="I3569" s="444">
        <f t="shared" ca="1" si="150"/>
        <v>-2183899508685.3425</v>
      </c>
      <c r="J3569" s="444">
        <f t="array" ref="J3569">IFERROR(INDEX('Retirement Calculator'!K:K,MATCH('Lorri 401b'!N3569,'Retirement Calculator'!A:A,0),0),0)</f>
        <v>0</v>
      </c>
      <c r="K3569" s="444">
        <f t="shared" ca="1" si="148"/>
        <v>-9099581286.1889286</v>
      </c>
      <c r="L3569" s="444">
        <f t="shared" ca="1" si="149"/>
        <v>-2192999089971.5315</v>
      </c>
      <c r="M3569" s="460">
        <f t="shared" si="151"/>
        <v>0.05</v>
      </c>
      <c r="N3569" s="464">
        <f t="shared" si="152"/>
        <v>159672</v>
      </c>
    </row>
    <row r="3570" spans="7:14" ht="11.25" customHeight="1" x14ac:dyDescent="0.25">
      <c r="G3570" s="459"/>
      <c r="H3570" s="459">
        <v>3563</v>
      </c>
      <c r="I3570" s="444">
        <f t="shared" ca="1" si="150"/>
        <v>-2192999089971.5315</v>
      </c>
      <c r="J3570" s="444">
        <f t="array" ref="J3570">IFERROR(INDEX('Retirement Calculator'!K:K,MATCH('Lorri 401b'!N3570,'Retirement Calculator'!A:A,0),0),0)</f>
        <v>0</v>
      </c>
      <c r="K3570" s="444">
        <f t="shared" ca="1" si="148"/>
        <v>-9137496208.2147141</v>
      </c>
      <c r="L3570" s="444">
        <f t="shared" ca="1" si="149"/>
        <v>-2202136586179.7461</v>
      </c>
      <c r="M3570" s="460">
        <f t="shared" si="151"/>
        <v>0.05</v>
      </c>
      <c r="N3570" s="464">
        <f t="shared" si="152"/>
        <v>159703</v>
      </c>
    </row>
    <row r="3571" spans="7:14" ht="11.25" customHeight="1" x14ac:dyDescent="0.25">
      <c r="G3571" s="459"/>
      <c r="H3571" s="459">
        <v>3564</v>
      </c>
      <c r="I3571" s="444">
        <f t="shared" ca="1" si="150"/>
        <v>-2202136586179.7461</v>
      </c>
      <c r="J3571" s="444">
        <f t="array" ref="J3571">IFERROR(INDEX('Retirement Calculator'!K:K,MATCH('Lorri 401b'!N3571,'Retirement Calculator'!A:A,0),0),0)</f>
        <v>0</v>
      </c>
      <c r="K3571" s="444">
        <f t="shared" ca="1" si="148"/>
        <v>-9175569109.0822754</v>
      </c>
      <c r="L3571" s="444">
        <f t="shared" ca="1" si="149"/>
        <v>-2211312155288.8281</v>
      </c>
      <c r="M3571" s="460">
        <f t="shared" si="151"/>
        <v>0.05</v>
      </c>
      <c r="N3571" s="464">
        <f t="shared" si="152"/>
        <v>159733</v>
      </c>
    </row>
    <row r="3572" spans="7:14" ht="11.25" customHeight="1" x14ac:dyDescent="0.25">
      <c r="G3572" s="459"/>
      <c r="H3572" s="459">
        <v>3565</v>
      </c>
      <c r="I3572" s="444">
        <f t="shared" ca="1" si="150"/>
        <v>-2211312155288.8281</v>
      </c>
      <c r="J3572" s="444">
        <f t="array" ref="J3572">IFERROR(INDEX('Retirement Calculator'!K:K,MATCH('Lorri 401b'!N3572,'Retirement Calculator'!A:A,0),0),0)</f>
        <v>0</v>
      </c>
      <c r="K3572" s="444">
        <f t="shared" ca="1" si="148"/>
        <v>-9213800647.0367832</v>
      </c>
      <c r="L3572" s="444">
        <f t="shared" ca="1" si="149"/>
        <v>-2220525955935.8647</v>
      </c>
      <c r="M3572" s="460">
        <f t="shared" si="151"/>
        <v>0.05</v>
      </c>
      <c r="N3572" s="464">
        <f t="shared" si="152"/>
        <v>159764</v>
      </c>
    </row>
    <row r="3573" spans="7:14" ht="11.25" customHeight="1" x14ac:dyDescent="0.25">
      <c r="G3573" s="459"/>
      <c r="H3573" s="459">
        <v>3566</v>
      </c>
      <c r="I3573" s="444">
        <f t="shared" ca="1" si="150"/>
        <v>-2220525955935.8647</v>
      </c>
      <c r="J3573" s="444">
        <f t="array" ref="J3573">IFERROR(INDEX('Retirement Calculator'!K:K,MATCH('Lorri 401b'!N3573,'Retirement Calculator'!A:A,0),0),0)</f>
        <v>0</v>
      </c>
      <c r="K3573" s="444">
        <f t="shared" ca="1" si="148"/>
        <v>-9252191483.066103</v>
      </c>
      <c r="L3573" s="444">
        <f t="shared" ca="1" si="149"/>
        <v>-2229778147418.9307</v>
      </c>
      <c r="M3573" s="460">
        <f t="shared" si="151"/>
        <v>0.05</v>
      </c>
      <c r="N3573" s="464">
        <f t="shared" si="152"/>
        <v>159794</v>
      </c>
    </row>
    <row r="3574" spans="7:14" ht="11.25" customHeight="1" x14ac:dyDescent="0.25">
      <c r="G3574" s="459"/>
      <c r="H3574" s="459">
        <v>3567</v>
      </c>
      <c r="I3574" s="444">
        <f t="shared" ca="1" si="150"/>
        <v>-2229778147418.9307</v>
      </c>
      <c r="J3574" s="444">
        <f t="array" ref="J3574">IFERROR(INDEX('Retirement Calculator'!K:K,MATCH('Lorri 401b'!N3574,'Retirement Calculator'!A:A,0),0),0)</f>
        <v>0</v>
      </c>
      <c r="K3574" s="444">
        <f t="shared" ca="1" si="148"/>
        <v>-9290742280.9122105</v>
      </c>
      <c r="L3574" s="444">
        <f t="shared" ca="1" si="149"/>
        <v>-2239068889699.8428</v>
      </c>
      <c r="M3574" s="460">
        <f t="shared" si="151"/>
        <v>0.05</v>
      </c>
      <c r="N3574" s="464">
        <f t="shared" si="152"/>
        <v>159825</v>
      </c>
    </row>
    <row r="3575" spans="7:14" ht="11.25" customHeight="1" x14ac:dyDescent="0.25">
      <c r="G3575" s="459"/>
      <c r="H3575" s="459">
        <v>3568</v>
      </c>
      <c r="I3575" s="444">
        <f t="shared" ca="1" si="150"/>
        <v>-2239068889699.8428</v>
      </c>
      <c r="J3575" s="444">
        <f t="array" ref="J3575">IFERROR(INDEX('Retirement Calculator'!K:K,MATCH('Lorri 401b'!N3575,'Retirement Calculator'!A:A,0),0),0)</f>
        <v>0</v>
      </c>
      <c r="K3575" s="444">
        <f t="shared" ca="1" si="148"/>
        <v>-9329453707.0826778</v>
      </c>
      <c r="L3575" s="444">
        <f t="shared" ca="1" si="149"/>
        <v>-2248398343406.9253</v>
      </c>
      <c r="M3575" s="460">
        <f t="shared" si="151"/>
        <v>0.05</v>
      </c>
      <c r="N3575" s="464">
        <f t="shared" si="152"/>
        <v>159856</v>
      </c>
    </row>
    <row r="3576" spans="7:14" ht="11.25" customHeight="1" x14ac:dyDescent="0.25">
      <c r="G3576" s="459"/>
      <c r="H3576" s="459">
        <v>3569</v>
      </c>
      <c r="I3576" s="444">
        <f t="shared" ca="1" si="150"/>
        <v>-2248398343406.9253</v>
      </c>
      <c r="J3576" s="444">
        <f t="array" ref="J3576">IFERROR(INDEX('Retirement Calculator'!K:K,MATCH('Lorri 401b'!N3576,'Retirement Calculator'!A:A,0),0),0)</f>
        <v>0</v>
      </c>
      <c r="K3576" s="444">
        <f t="shared" ca="1" si="148"/>
        <v>-9368326430.8621883</v>
      </c>
      <c r="L3576" s="444">
        <f t="shared" ca="1" si="149"/>
        <v>-2257766669837.7876</v>
      </c>
      <c r="M3576" s="460">
        <f t="shared" si="151"/>
        <v>0.05</v>
      </c>
      <c r="N3576" s="464">
        <f t="shared" si="152"/>
        <v>159886</v>
      </c>
    </row>
    <row r="3577" spans="7:14" ht="11.25" customHeight="1" x14ac:dyDescent="0.25">
      <c r="G3577" s="459"/>
      <c r="H3577" s="459">
        <v>3570</v>
      </c>
      <c r="I3577" s="444">
        <f t="shared" ca="1" si="150"/>
        <v>-2257766669837.7876</v>
      </c>
      <c r="J3577" s="444">
        <f t="array" ref="J3577">IFERROR(INDEX('Retirement Calculator'!K:K,MATCH('Lorri 401b'!N3577,'Retirement Calculator'!A:A,0),0),0)</f>
        <v>0</v>
      </c>
      <c r="K3577" s="444">
        <f t="shared" ca="1" si="148"/>
        <v>-9407361124.3241158</v>
      </c>
      <c r="L3577" s="444">
        <f t="shared" ca="1" si="149"/>
        <v>-2267174030962.1118</v>
      </c>
      <c r="M3577" s="460">
        <f t="shared" si="151"/>
        <v>0.05</v>
      </c>
      <c r="N3577" s="464">
        <f t="shared" si="152"/>
        <v>159917</v>
      </c>
    </row>
    <row r="3578" spans="7:14" ht="11.25" customHeight="1" x14ac:dyDescent="0.25">
      <c r="G3578" s="459"/>
      <c r="H3578" s="459">
        <v>3571</v>
      </c>
      <c r="I3578" s="444">
        <f t="shared" ca="1" si="150"/>
        <v>-2267174030962.1118</v>
      </c>
      <c r="J3578" s="444">
        <f t="array" ref="J3578">IFERROR(INDEX('Retirement Calculator'!K:K,MATCH('Lorri 401b'!N3578,'Retirement Calculator'!A:A,0),0),0)</f>
        <v>0</v>
      </c>
      <c r="K3578" s="444">
        <f t="shared" ref="K3578:K3832" ca="1" si="153">IPMT(M3578/12,1,12,-I3578+J3578,,0)</f>
        <v>-9446558462.3421326</v>
      </c>
      <c r="L3578" s="444">
        <f t="shared" ref="L3578:L3832" ca="1" si="154">I3578-J3578+K3578</f>
        <v>-2276620589424.4541</v>
      </c>
      <c r="M3578" s="460">
        <f t="shared" si="151"/>
        <v>0.05</v>
      </c>
      <c r="N3578" s="464">
        <f t="shared" si="152"/>
        <v>159947</v>
      </c>
    </row>
    <row r="3579" spans="7:14" ht="11.25" customHeight="1" x14ac:dyDescent="0.25">
      <c r="G3579" s="459"/>
      <c r="H3579" s="459">
        <v>3572</v>
      </c>
      <c r="I3579" s="444">
        <f t="shared" ref="I3579:I3833" ca="1" si="155">L3578</f>
        <v>-2276620589424.4541</v>
      </c>
      <c r="J3579" s="444">
        <f t="array" ref="J3579">IFERROR(INDEX('Retirement Calculator'!K:K,MATCH('Lorri 401b'!N3579,'Retirement Calculator'!A:A,0),0),0)</f>
        <v>0</v>
      </c>
      <c r="K3579" s="444">
        <f t="shared" ca="1" si="153"/>
        <v>-9485919122.6018925</v>
      </c>
      <c r="L3579" s="444">
        <f t="shared" ca="1" si="154"/>
        <v>-2286106508547.0562</v>
      </c>
      <c r="M3579" s="460">
        <f t="shared" ref="M3579:M3833" si="156">M3578</f>
        <v>0.05</v>
      </c>
      <c r="N3579" s="464">
        <f t="shared" ref="N3579:N3833" si="157">EDATE(N3578,1)</f>
        <v>159978</v>
      </c>
    </row>
    <row r="3580" spans="7:14" ht="11.25" customHeight="1" x14ac:dyDescent="0.25">
      <c r="G3580" s="459"/>
      <c r="H3580" s="459">
        <v>3573</v>
      </c>
      <c r="I3580" s="444">
        <f t="shared" ca="1" si="155"/>
        <v>-2286106508547.0562</v>
      </c>
      <c r="J3580" s="444">
        <f t="array" ref="J3580">IFERROR(INDEX('Retirement Calculator'!K:K,MATCH('Lorri 401b'!N3580,'Retirement Calculator'!A:A,0),0),0)</f>
        <v>0</v>
      </c>
      <c r="K3580" s="444">
        <f t="shared" ca="1" si="153"/>
        <v>-9525443785.6127338</v>
      </c>
      <c r="L3580" s="444">
        <f t="shared" ca="1" si="154"/>
        <v>-2295631952332.6689</v>
      </c>
      <c r="M3580" s="460">
        <f t="shared" si="156"/>
        <v>0.05</v>
      </c>
      <c r="N3580" s="464">
        <f t="shared" si="157"/>
        <v>160009</v>
      </c>
    </row>
    <row r="3581" spans="7:14" ht="11.25" customHeight="1" x14ac:dyDescent="0.25">
      <c r="G3581" s="459"/>
      <c r="H3581" s="459">
        <v>3574</v>
      </c>
      <c r="I3581" s="444">
        <f t="shared" ca="1" si="155"/>
        <v>-2295631952332.6689</v>
      </c>
      <c r="J3581" s="444">
        <f t="array" ref="J3581">IFERROR(INDEX('Retirement Calculator'!K:K,MATCH('Lorri 401b'!N3581,'Retirement Calculator'!A:A,0),0),0)</f>
        <v>0</v>
      </c>
      <c r="K3581" s="444">
        <f t="shared" ca="1" si="153"/>
        <v>-9565133134.7194538</v>
      </c>
      <c r="L3581" s="444">
        <f t="shared" ca="1" si="154"/>
        <v>-2305197085467.3882</v>
      </c>
      <c r="M3581" s="460">
        <f t="shared" si="156"/>
        <v>0.05</v>
      </c>
      <c r="N3581" s="464">
        <f t="shared" si="157"/>
        <v>160037</v>
      </c>
    </row>
    <row r="3582" spans="7:14" ht="11.25" customHeight="1" x14ac:dyDescent="0.25">
      <c r="G3582" s="459"/>
      <c r="H3582" s="459">
        <v>3575</v>
      </c>
      <c r="I3582" s="444">
        <f t="shared" ca="1" si="155"/>
        <v>-2305197085467.3882</v>
      </c>
      <c r="J3582" s="444">
        <f t="array" ref="J3582">IFERROR(INDEX('Retirement Calculator'!K:K,MATCH('Lorri 401b'!N3582,'Retirement Calculator'!A:A,0),0),0)</f>
        <v>0</v>
      </c>
      <c r="K3582" s="444">
        <f t="shared" ca="1" si="153"/>
        <v>-9604987856.1141167</v>
      </c>
      <c r="L3582" s="444">
        <f t="shared" ca="1" si="154"/>
        <v>-2314802073323.5024</v>
      </c>
      <c r="M3582" s="460">
        <f t="shared" si="156"/>
        <v>0.05</v>
      </c>
      <c r="N3582" s="464">
        <f t="shared" si="157"/>
        <v>160068</v>
      </c>
    </row>
    <row r="3583" spans="7:14" ht="11.25" customHeight="1" x14ac:dyDescent="0.25">
      <c r="G3583" s="459"/>
      <c r="H3583" s="459">
        <v>3576</v>
      </c>
      <c r="I3583" s="444">
        <f t="shared" ca="1" si="155"/>
        <v>-2314802073323.5024</v>
      </c>
      <c r="J3583" s="444">
        <f t="array" ref="J3583">IFERROR(INDEX('Retirement Calculator'!K:K,MATCH('Lorri 401b'!N3583,'Retirement Calculator'!A:A,0),0),0)</f>
        <v>0</v>
      </c>
      <c r="K3583" s="444">
        <f t="shared" ca="1" si="153"/>
        <v>-9645008638.8479271</v>
      </c>
      <c r="L3583" s="444">
        <f t="shared" ca="1" si="154"/>
        <v>-2324447081962.3506</v>
      </c>
      <c r="M3583" s="460">
        <f t="shared" si="156"/>
        <v>0.05</v>
      </c>
      <c r="N3583" s="464">
        <f t="shared" si="157"/>
        <v>160098</v>
      </c>
    </row>
    <row r="3584" spans="7:14" ht="11.25" customHeight="1" x14ac:dyDescent="0.25">
      <c r="G3584" s="459"/>
      <c r="H3584" s="459">
        <v>3577</v>
      </c>
      <c r="I3584" s="444">
        <f t="shared" ca="1" si="155"/>
        <v>-2324447081962.3506</v>
      </c>
      <c r="J3584" s="444">
        <f t="array" ref="J3584">IFERROR(INDEX('Retirement Calculator'!K:K,MATCH('Lorri 401b'!N3584,'Retirement Calculator'!A:A,0),0),0)</f>
        <v>0</v>
      </c>
      <c r="K3584" s="444">
        <f t="shared" ca="1" si="153"/>
        <v>-9685196174.8431282</v>
      </c>
      <c r="L3584" s="444">
        <f t="shared" ca="1" si="154"/>
        <v>-2334132278137.1938</v>
      </c>
      <c r="M3584" s="460">
        <f t="shared" si="156"/>
        <v>0.05</v>
      </c>
      <c r="N3584" s="464">
        <f t="shared" si="157"/>
        <v>160129</v>
      </c>
    </row>
    <row r="3585" spans="7:14" ht="11.25" customHeight="1" x14ac:dyDescent="0.25">
      <c r="G3585" s="459"/>
      <c r="H3585" s="459">
        <v>3578</v>
      </c>
      <c r="I3585" s="444">
        <f t="shared" ca="1" si="155"/>
        <v>-2334132278137.1938</v>
      </c>
      <c r="J3585" s="444">
        <f t="array" ref="J3585">IFERROR(INDEX('Retirement Calculator'!K:K,MATCH('Lorri 401b'!N3585,'Retirement Calculator'!A:A,0),0),0)</f>
        <v>0</v>
      </c>
      <c r="K3585" s="444">
        <f t="shared" ca="1" si="153"/>
        <v>-9725551158.904974</v>
      </c>
      <c r="L3585" s="444">
        <f t="shared" ca="1" si="154"/>
        <v>-2343857829296.0986</v>
      </c>
      <c r="M3585" s="460">
        <f t="shared" si="156"/>
        <v>0.05</v>
      </c>
      <c r="N3585" s="464">
        <f t="shared" si="157"/>
        <v>160159</v>
      </c>
    </row>
    <row r="3586" spans="7:14" ht="11.25" customHeight="1" x14ac:dyDescent="0.25">
      <c r="G3586" s="459"/>
      <c r="H3586" s="459">
        <v>3579</v>
      </c>
      <c r="I3586" s="444">
        <f t="shared" ca="1" si="155"/>
        <v>-2343857829296.0986</v>
      </c>
      <c r="J3586" s="444">
        <f t="array" ref="J3586">IFERROR(INDEX('Retirement Calculator'!K:K,MATCH('Lorri 401b'!N3586,'Retirement Calculator'!A:A,0),0),0)</f>
        <v>0</v>
      </c>
      <c r="K3586" s="444">
        <f t="shared" ca="1" si="153"/>
        <v>-9766074288.7337437</v>
      </c>
      <c r="L3586" s="444">
        <f t="shared" ca="1" si="154"/>
        <v>-2353623903584.8325</v>
      </c>
      <c r="M3586" s="460">
        <f t="shared" si="156"/>
        <v>0.05</v>
      </c>
      <c r="N3586" s="464">
        <f t="shared" si="157"/>
        <v>160190</v>
      </c>
    </row>
    <row r="3587" spans="7:14" ht="11.25" customHeight="1" x14ac:dyDescent="0.25">
      <c r="G3587" s="459"/>
      <c r="H3587" s="459">
        <v>3580</v>
      </c>
      <c r="I3587" s="444">
        <f t="shared" ca="1" si="155"/>
        <v>-2353623903584.8325</v>
      </c>
      <c r="J3587" s="444">
        <f t="array" ref="J3587">IFERROR(INDEX('Retirement Calculator'!K:K,MATCH('Lorri 401b'!N3587,'Retirement Calculator'!A:A,0),0),0)</f>
        <v>0</v>
      </c>
      <c r="K3587" s="444">
        <f t="shared" ca="1" si="153"/>
        <v>-9806766264.9368019</v>
      </c>
      <c r="L3587" s="444">
        <f t="shared" ca="1" si="154"/>
        <v>-2363430669849.7695</v>
      </c>
      <c r="M3587" s="460">
        <f t="shared" si="156"/>
        <v>0.05</v>
      </c>
      <c r="N3587" s="464">
        <f t="shared" si="157"/>
        <v>160221</v>
      </c>
    </row>
    <row r="3588" spans="7:14" ht="11.25" customHeight="1" x14ac:dyDescent="0.25">
      <c r="G3588" s="459"/>
      <c r="H3588" s="459">
        <v>3581</v>
      </c>
      <c r="I3588" s="444">
        <f t="shared" ca="1" si="155"/>
        <v>-2363430669849.7695</v>
      </c>
      <c r="J3588" s="444">
        <f t="array" ref="J3588">IFERROR(INDEX('Retirement Calculator'!K:K,MATCH('Lorri 401b'!N3588,'Retirement Calculator'!A:A,0),0),0)</f>
        <v>0</v>
      </c>
      <c r="K3588" s="444">
        <f t="shared" ca="1" si="153"/>
        <v>-9847627791.0407066</v>
      </c>
      <c r="L3588" s="444">
        <f t="shared" ca="1" si="154"/>
        <v>-2373278297640.8101</v>
      </c>
      <c r="M3588" s="460">
        <f t="shared" si="156"/>
        <v>0.05</v>
      </c>
      <c r="N3588" s="464">
        <f t="shared" si="157"/>
        <v>160251</v>
      </c>
    </row>
    <row r="3589" spans="7:14" ht="11.25" customHeight="1" x14ac:dyDescent="0.25">
      <c r="G3589" s="459"/>
      <c r="H3589" s="459">
        <v>3582</v>
      </c>
      <c r="I3589" s="444">
        <f t="shared" ca="1" si="155"/>
        <v>-2373278297640.8101</v>
      </c>
      <c r="J3589" s="444">
        <f t="array" ref="J3589">IFERROR(INDEX('Retirement Calculator'!K:K,MATCH('Lorri 401b'!N3589,'Retirement Calculator'!A:A,0),0),0)</f>
        <v>0</v>
      </c>
      <c r="K3589" s="444">
        <f t="shared" ca="1" si="153"/>
        <v>-9888659573.503376</v>
      </c>
      <c r="L3589" s="444">
        <f t="shared" ca="1" si="154"/>
        <v>-2383166957214.3135</v>
      </c>
      <c r="M3589" s="460">
        <f t="shared" si="156"/>
        <v>0.05</v>
      </c>
      <c r="N3589" s="464">
        <f t="shared" si="157"/>
        <v>160282</v>
      </c>
    </row>
    <row r="3590" spans="7:14" ht="11.25" customHeight="1" x14ac:dyDescent="0.25">
      <c r="G3590" s="459"/>
      <c r="H3590" s="459">
        <v>3583</v>
      </c>
      <c r="I3590" s="444">
        <f t="shared" ca="1" si="155"/>
        <v>-2383166957214.3135</v>
      </c>
      <c r="J3590" s="444">
        <f t="array" ref="J3590">IFERROR(INDEX('Retirement Calculator'!K:K,MATCH('Lorri 401b'!N3590,'Retirement Calculator'!A:A,0),0),0)</f>
        <v>0</v>
      </c>
      <c r="K3590" s="444">
        <f t="shared" ca="1" si="153"/>
        <v>-9929862321.7263069</v>
      </c>
      <c r="L3590" s="444">
        <f t="shared" ca="1" si="154"/>
        <v>-2393096819536.0396</v>
      </c>
      <c r="M3590" s="460">
        <f t="shared" si="156"/>
        <v>0.05</v>
      </c>
      <c r="N3590" s="464">
        <f t="shared" si="157"/>
        <v>160312</v>
      </c>
    </row>
    <row r="3591" spans="7:14" ht="11.25" customHeight="1" x14ac:dyDescent="0.25">
      <c r="G3591" s="459"/>
      <c r="H3591" s="459">
        <v>3584</v>
      </c>
      <c r="I3591" s="444">
        <f t="shared" ca="1" si="155"/>
        <v>-2393096819536.0396</v>
      </c>
      <c r="J3591" s="444">
        <f t="array" ref="J3591">IFERROR(INDEX('Retirement Calculator'!K:K,MATCH('Lorri 401b'!N3591,'Retirement Calculator'!A:A,0),0),0)</f>
        <v>0</v>
      </c>
      <c r="K3591" s="444">
        <f t="shared" ca="1" si="153"/>
        <v>-9971236748.0668316</v>
      </c>
      <c r="L3591" s="444">
        <f t="shared" ca="1" si="154"/>
        <v>-2403068056284.1064</v>
      </c>
      <c r="M3591" s="460">
        <f t="shared" si="156"/>
        <v>0.05</v>
      </c>
      <c r="N3591" s="464">
        <f t="shared" si="157"/>
        <v>160343</v>
      </c>
    </row>
    <row r="3592" spans="7:14" ht="11.25" customHeight="1" x14ac:dyDescent="0.25">
      <c r="G3592" s="459"/>
      <c r="H3592" s="459">
        <v>3585</v>
      </c>
      <c r="I3592" s="444">
        <f t="shared" ca="1" si="155"/>
        <v>-2403068056284.1064</v>
      </c>
      <c r="J3592" s="444">
        <f t="array" ref="J3592">IFERROR(INDEX('Retirement Calculator'!K:K,MATCH('Lorri 401b'!N3592,'Retirement Calculator'!A:A,0),0),0)</f>
        <v>0</v>
      </c>
      <c r="K3592" s="444">
        <f t="shared" ca="1" si="153"/>
        <v>-10012783567.850443</v>
      </c>
      <c r="L3592" s="444">
        <f t="shared" ca="1" si="154"/>
        <v>-2413080839851.957</v>
      </c>
      <c r="M3592" s="460">
        <f t="shared" si="156"/>
        <v>0.05</v>
      </c>
      <c r="N3592" s="464">
        <f t="shared" si="157"/>
        <v>160374</v>
      </c>
    </row>
    <row r="3593" spans="7:14" ht="11.25" customHeight="1" x14ac:dyDescent="0.25">
      <c r="G3593" s="459"/>
      <c r="H3593" s="459">
        <v>3586</v>
      </c>
      <c r="I3593" s="444">
        <f t="shared" ca="1" si="155"/>
        <v>-2413080839851.957</v>
      </c>
      <c r="J3593" s="444">
        <f t="array" ref="J3593">IFERROR(INDEX('Retirement Calculator'!K:K,MATCH('Lorri 401b'!N3593,'Retirement Calculator'!A:A,0),0),0)</f>
        <v>0</v>
      </c>
      <c r="K3593" s="444">
        <f t="shared" ca="1" si="153"/>
        <v>-10054503499.383154</v>
      </c>
      <c r="L3593" s="444">
        <f t="shared" ca="1" si="154"/>
        <v>-2423135343351.3403</v>
      </c>
      <c r="M3593" s="460">
        <f t="shared" si="156"/>
        <v>0.05</v>
      </c>
      <c r="N3593" s="464">
        <f t="shared" si="157"/>
        <v>160402</v>
      </c>
    </row>
    <row r="3594" spans="7:14" ht="11.25" customHeight="1" x14ac:dyDescent="0.25">
      <c r="G3594" s="459"/>
      <c r="H3594" s="459">
        <v>3587</v>
      </c>
      <c r="I3594" s="444">
        <f t="shared" ca="1" si="155"/>
        <v>-2423135343351.3403</v>
      </c>
      <c r="J3594" s="444">
        <f t="array" ref="J3594">IFERROR(INDEX('Retirement Calculator'!K:K,MATCH('Lorri 401b'!N3594,'Retirement Calculator'!A:A,0),0),0)</f>
        <v>0</v>
      </c>
      <c r="K3594" s="444">
        <f t="shared" ca="1" si="153"/>
        <v>-10096397263.963919</v>
      </c>
      <c r="L3594" s="444">
        <f t="shared" ca="1" si="154"/>
        <v>-2433231740615.3042</v>
      </c>
      <c r="M3594" s="460">
        <f t="shared" si="156"/>
        <v>0.05</v>
      </c>
      <c r="N3594" s="464">
        <f t="shared" si="157"/>
        <v>160433</v>
      </c>
    </row>
    <row r="3595" spans="7:14" ht="11.25" customHeight="1" x14ac:dyDescent="0.25">
      <c r="G3595" s="459"/>
      <c r="H3595" s="459">
        <v>3588</v>
      </c>
      <c r="I3595" s="444">
        <f t="shared" ca="1" si="155"/>
        <v>-2433231740615.3042</v>
      </c>
      <c r="J3595" s="444">
        <f t="array" ref="J3595">IFERROR(INDEX('Retirement Calculator'!K:K,MATCH('Lorri 401b'!N3595,'Retirement Calculator'!A:A,0),0),0)</f>
        <v>0</v>
      </c>
      <c r="K3595" s="444">
        <f t="shared" ca="1" si="153"/>
        <v>-10138465585.8971</v>
      </c>
      <c r="L3595" s="444">
        <f t="shared" ca="1" si="154"/>
        <v>-2443370206201.2012</v>
      </c>
      <c r="M3595" s="460">
        <f t="shared" si="156"/>
        <v>0.05</v>
      </c>
      <c r="N3595" s="464">
        <f t="shared" si="157"/>
        <v>160463</v>
      </c>
    </row>
    <row r="3596" spans="7:14" ht="11.25" customHeight="1" x14ac:dyDescent="0.25">
      <c r="G3596" s="459"/>
      <c r="H3596" s="459">
        <v>3589</v>
      </c>
      <c r="I3596" s="444">
        <f t="shared" ca="1" si="155"/>
        <v>-2443370206201.2012</v>
      </c>
      <c r="J3596" s="444">
        <f t="array" ref="J3596">IFERROR(INDEX('Retirement Calculator'!K:K,MATCH('Lorri 401b'!N3596,'Retirement Calculator'!A:A,0),0),0)</f>
        <v>0</v>
      </c>
      <c r="K3596" s="444">
        <f t="shared" ca="1" si="153"/>
        <v>-10180709192.505005</v>
      </c>
      <c r="L3596" s="444">
        <f t="shared" ca="1" si="154"/>
        <v>-2453550915393.7061</v>
      </c>
      <c r="M3596" s="460">
        <f t="shared" si="156"/>
        <v>0.05</v>
      </c>
      <c r="N3596" s="464">
        <f t="shared" si="157"/>
        <v>160494</v>
      </c>
    </row>
    <row r="3597" spans="7:14" ht="11.25" customHeight="1" x14ac:dyDescent="0.25">
      <c r="G3597" s="459"/>
      <c r="H3597" s="459">
        <v>3590</v>
      </c>
      <c r="I3597" s="444">
        <f t="shared" ca="1" si="155"/>
        <v>-2453550915393.7061</v>
      </c>
      <c r="J3597" s="444">
        <f t="array" ref="J3597">IFERROR(INDEX('Retirement Calculator'!K:K,MATCH('Lorri 401b'!N3597,'Retirement Calculator'!A:A,0),0),0)</f>
        <v>0</v>
      </c>
      <c r="K3597" s="444">
        <f t="shared" ca="1" si="153"/>
        <v>-10223128814.140442</v>
      </c>
      <c r="L3597" s="444">
        <f t="shared" ca="1" si="154"/>
        <v>-2463774044207.8467</v>
      </c>
      <c r="M3597" s="460">
        <f t="shared" si="156"/>
        <v>0.05</v>
      </c>
      <c r="N3597" s="464">
        <f t="shared" si="157"/>
        <v>160524</v>
      </c>
    </row>
    <row r="3598" spans="7:14" ht="11.25" customHeight="1" x14ac:dyDescent="0.25">
      <c r="G3598" s="459"/>
      <c r="H3598" s="459">
        <v>3591</v>
      </c>
      <c r="I3598" s="444">
        <f t="shared" ca="1" si="155"/>
        <v>-2463774044207.8467</v>
      </c>
      <c r="J3598" s="444">
        <f t="array" ref="J3598">IFERROR(INDEX('Retirement Calculator'!K:K,MATCH('Lorri 401b'!N3598,'Retirement Calculator'!A:A,0),0),0)</f>
        <v>0</v>
      </c>
      <c r="K3598" s="444">
        <f t="shared" ca="1" si="153"/>
        <v>-10265725184.199362</v>
      </c>
      <c r="L3598" s="444">
        <f t="shared" ca="1" si="154"/>
        <v>-2474039769392.0459</v>
      </c>
      <c r="M3598" s="460">
        <f t="shared" si="156"/>
        <v>0.05</v>
      </c>
      <c r="N3598" s="464">
        <f t="shared" si="157"/>
        <v>160555</v>
      </c>
    </row>
    <row r="3599" spans="7:14" ht="11.25" customHeight="1" x14ac:dyDescent="0.25">
      <c r="G3599" s="459"/>
      <c r="H3599" s="459">
        <v>3592</v>
      </c>
      <c r="I3599" s="444">
        <f t="shared" ca="1" si="155"/>
        <v>-2474039769392.0459</v>
      </c>
      <c r="J3599" s="444">
        <f t="array" ref="J3599">IFERROR(INDEX('Retirement Calculator'!K:K,MATCH('Lorri 401b'!N3599,'Retirement Calculator'!A:A,0),0),0)</f>
        <v>0</v>
      </c>
      <c r="K3599" s="444">
        <f t="shared" ca="1" si="153"/>
        <v>-10308499039.133524</v>
      </c>
      <c r="L3599" s="444">
        <f t="shared" ca="1" si="154"/>
        <v>-2484348268431.1792</v>
      </c>
      <c r="M3599" s="460">
        <f t="shared" si="156"/>
        <v>0.05</v>
      </c>
      <c r="N3599" s="464">
        <f t="shared" si="157"/>
        <v>160586</v>
      </c>
    </row>
    <row r="3600" spans="7:14" ht="11.25" customHeight="1" x14ac:dyDescent="0.25">
      <c r="G3600" s="459"/>
      <c r="H3600" s="459">
        <v>3593</v>
      </c>
      <c r="I3600" s="444">
        <f t="shared" ca="1" si="155"/>
        <v>-2484348268431.1792</v>
      </c>
      <c r="J3600" s="444">
        <f t="array" ref="J3600">IFERROR(INDEX('Retirement Calculator'!K:K,MATCH('Lorri 401b'!N3600,'Retirement Calculator'!A:A,0),0),0)</f>
        <v>0</v>
      </c>
      <c r="K3600" s="444">
        <f t="shared" ca="1" si="153"/>
        <v>-10351451118.463247</v>
      </c>
      <c r="L3600" s="444">
        <f t="shared" ca="1" si="154"/>
        <v>-2494699719549.6426</v>
      </c>
      <c r="M3600" s="460">
        <f t="shared" si="156"/>
        <v>0.05</v>
      </c>
      <c r="N3600" s="464">
        <f t="shared" si="157"/>
        <v>160616</v>
      </c>
    </row>
    <row r="3601" spans="7:14" ht="11.25" customHeight="1" x14ac:dyDescent="0.25">
      <c r="G3601" s="459"/>
      <c r="H3601" s="459">
        <v>3594</v>
      </c>
      <c r="I3601" s="444">
        <f t="shared" ca="1" si="155"/>
        <v>-2494699719549.6426</v>
      </c>
      <c r="J3601" s="444">
        <f t="array" ref="J3601">IFERROR(INDEX('Retirement Calculator'!K:K,MATCH('Lorri 401b'!N3601,'Retirement Calculator'!A:A,0),0),0)</f>
        <v>0</v>
      </c>
      <c r="K3601" s="444">
        <f t="shared" ca="1" si="153"/>
        <v>-10394582164.790176</v>
      </c>
      <c r="L3601" s="444">
        <f t="shared" ca="1" si="154"/>
        <v>-2505094301714.4326</v>
      </c>
      <c r="M3601" s="460">
        <f t="shared" si="156"/>
        <v>0.05</v>
      </c>
      <c r="N3601" s="464">
        <f t="shared" si="157"/>
        <v>160647</v>
      </c>
    </row>
    <row r="3602" spans="7:14" ht="11.25" customHeight="1" x14ac:dyDescent="0.25">
      <c r="G3602" s="459"/>
      <c r="H3602" s="459">
        <v>3595</v>
      </c>
      <c r="I3602" s="444">
        <f t="shared" ca="1" si="155"/>
        <v>-2505094301714.4326</v>
      </c>
      <c r="J3602" s="444">
        <f t="array" ref="J3602">IFERROR(INDEX('Retirement Calculator'!K:K,MATCH('Lorri 401b'!N3602,'Retirement Calculator'!A:A,0),0),0)</f>
        <v>0</v>
      </c>
      <c r="K3602" s="444">
        <f t="shared" ca="1" si="153"/>
        <v>-10437892923.810135</v>
      </c>
      <c r="L3602" s="444">
        <f t="shared" ca="1" si="154"/>
        <v>-2515532194638.2427</v>
      </c>
      <c r="M3602" s="460">
        <f t="shared" si="156"/>
        <v>0.05</v>
      </c>
      <c r="N3602" s="464">
        <f t="shared" si="157"/>
        <v>160677</v>
      </c>
    </row>
    <row r="3603" spans="7:14" ht="11.25" customHeight="1" x14ac:dyDescent="0.25">
      <c r="G3603" s="459"/>
      <c r="H3603" s="459">
        <v>3596</v>
      </c>
      <c r="I3603" s="444">
        <f t="shared" ca="1" si="155"/>
        <v>-2515532194638.2427</v>
      </c>
      <c r="J3603" s="444">
        <f t="array" ref="J3603">IFERROR(INDEX('Retirement Calculator'!K:K,MATCH('Lorri 401b'!N3603,'Retirement Calculator'!A:A,0),0),0)</f>
        <v>0</v>
      </c>
      <c r="K3603" s="444">
        <f t="shared" ca="1" si="153"/>
        <v>-10481384144.326012</v>
      </c>
      <c r="L3603" s="444">
        <f t="shared" ca="1" si="154"/>
        <v>-2526013578782.5688</v>
      </c>
      <c r="M3603" s="460">
        <f t="shared" si="156"/>
        <v>0.05</v>
      </c>
      <c r="N3603" s="464">
        <f t="shared" si="157"/>
        <v>160708</v>
      </c>
    </row>
    <row r="3604" spans="7:14" ht="11.25" customHeight="1" x14ac:dyDescent="0.25">
      <c r="G3604" s="459"/>
      <c r="H3604" s="459">
        <v>3597</v>
      </c>
      <c r="I3604" s="444">
        <f t="shared" ca="1" si="155"/>
        <v>-2526013578782.5688</v>
      </c>
      <c r="J3604" s="444">
        <f t="array" ref="J3604">IFERROR(INDEX('Retirement Calculator'!K:K,MATCH('Lorri 401b'!N3604,'Retirement Calculator'!A:A,0),0),0)</f>
        <v>0</v>
      </c>
      <c r="K3604" s="444">
        <f t="shared" ca="1" si="153"/>
        <v>-10525056578.260704</v>
      </c>
      <c r="L3604" s="444">
        <f t="shared" ca="1" si="154"/>
        <v>-2536538635360.8296</v>
      </c>
      <c r="M3604" s="460">
        <f t="shared" si="156"/>
        <v>0.05</v>
      </c>
      <c r="N3604" s="464">
        <f t="shared" si="157"/>
        <v>160739</v>
      </c>
    </row>
    <row r="3605" spans="7:14" ht="11.25" customHeight="1" x14ac:dyDescent="0.25">
      <c r="G3605" s="459"/>
      <c r="H3605" s="459">
        <v>3598</v>
      </c>
      <c r="I3605" s="444">
        <f t="shared" ca="1" si="155"/>
        <v>-2536538635360.8296</v>
      </c>
      <c r="J3605" s="444">
        <f t="array" ref="J3605">IFERROR(INDEX('Retirement Calculator'!K:K,MATCH('Lorri 401b'!N3605,'Retirement Calculator'!A:A,0),0),0)</f>
        <v>0</v>
      </c>
      <c r="K3605" s="444">
        <f t="shared" ca="1" si="153"/>
        <v>-10568910980.670124</v>
      </c>
      <c r="L3605" s="444">
        <f t="shared" ca="1" si="154"/>
        <v>-2547107546341.4995</v>
      </c>
      <c r="M3605" s="460">
        <f t="shared" si="156"/>
        <v>0.05</v>
      </c>
      <c r="N3605" s="464">
        <f t="shared" si="157"/>
        <v>160768</v>
      </c>
    </row>
    <row r="3606" spans="7:14" ht="11.25" customHeight="1" x14ac:dyDescent="0.25">
      <c r="G3606" s="459"/>
      <c r="H3606" s="459">
        <v>3599</v>
      </c>
      <c r="I3606" s="444">
        <f t="shared" ca="1" si="155"/>
        <v>-2547107546341.4995</v>
      </c>
      <c r="J3606" s="444">
        <f t="array" ref="J3606">IFERROR(INDEX('Retirement Calculator'!K:K,MATCH('Lorri 401b'!N3606,'Retirement Calculator'!A:A,0),0),0)</f>
        <v>0</v>
      </c>
      <c r="K3606" s="444">
        <f t="shared" ca="1" si="153"/>
        <v>-10612948109.756248</v>
      </c>
      <c r="L3606" s="444">
        <f t="shared" ca="1" si="154"/>
        <v>-2557720494451.2559</v>
      </c>
      <c r="M3606" s="460">
        <f t="shared" si="156"/>
        <v>0.05</v>
      </c>
      <c r="N3606" s="464">
        <f t="shared" si="157"/>
        <v>160799</v>
      </c>
    </row>
    <row r="3607" spans="7:14" ht="11.25" customHeight="1" x14ac:dyDescent="0.25">
      <c r="G3607" s="459"/>
      <c r="H3607" s="459">
        <v>3600</v>
      </c>
      <c r="I3607" s="444">
        <f t="shared" ca="1" si="155"/>
        <v>-2557720494451.2559</v>
      </c>
      <c r="J3607" s="444">
        <f t="array" ref="J3607">IFERROR(INDEX('Retirement Calculator'!K:K,MATCH('Lorri 401b'!N3607,'Retirement Calculator'!A:A,0),0),0)</f>
        <v>0</v>
      </c>
      <c r="K3607" s="444">
        <f t="shared" ca="1" si="153"/>
        <v>-10657168726.880232</v>
      </c>
      <c r="L3607" s="444">
        <f t="shared" ca="1" si="154"/>
        <v>-2568377663178.1362</v>
      </c>
      <c r="M3607" s="460">
        <f t="shared" si="156"/>
        <v>0.05</v>
      </c>
      <c r="N3607" s="464">
        <f t="shared" si="157"/>
        <v>160829</v>
      </c>
    </row>
    <row r="3608" spans="7:14" ht="11.25" customHeight="1" x14ac:dyDescent="0.25">
      <c r="G3608" s="459"/>
      <c r="H3608" s="459">
        <v>3601</v>
      </c>
      <c r="I3608" s="444">
        <f t="shared" ca="1" si="155"/>
        <v>-2568377663178.1362</v>
      </c>
      <c r="J3608" s="444">
        <f t="array" ref="J3608">IFERROR(INDEX('Retirement Calculator'!K:K,MATCH('Lorri 401b'!N3608,'Retirement Calculator'!A:A,0),0),0)</f>
        <v>0</v>
      </c>
      <c r="K3608" s="444">
        <f t="shared" ca="1" si="153"/>
        <v>-10701573596.575567</v>
      </c>
      <c r="L3608" s="444">
        <f t="shared" ca="1" si="154"/>
        <v>-2579079236774.7119</v>
      </c>
      <c r="M3608" s="460">
        <f t="shared" si="156"/>
        <v>0.05</v>
      </c>
      <c r="N3608" s="464">
        <f t="shared" si="157"/>
        <v>160860</v>
      </c>
    </row>
    <row r="3609" spans="7:14" ht="11.25" customHeight="1" x14ac:dyDescent="0.25">
      <c r="G3609" s="459"/>
      <c r="H3609" s="459">
        <v>3602</v>
      </c>
      <c r="I3609" s="444">
        <f t="shared" ca="1" si="155"/>
        <v>-2579079236774.7119</v>
      </c>
      <c r="J3609" s="444">
        <f t="array" ref="J3609">IFERROR(INDEX('Retirement Calculator'!K:K,MATCH('Lorri 401b'!N3609,'Retirement Calculator'!A:A,0),0),0)</f>
        <v>0</v>
      </c>
      <c r="K3609" s="444">
        <f t="shared" ca="1" si="153"/>
        <v>-10746163486.5613</v>
      </c>
      <c r="L3609" s="444">
        <f t="shared" ca="1" si="154"/>
        <v>-2589825400261.2734</v>
      </c>
      <c r="M3609" s="460">
        <f t="shared" si="156"/>
        <v>0.05</v>
      </c>
      <c r="N3609" s="464">
        <f t="shared" si="157"/>
        <v>160890</v>
      </c>
    </row>
    <row r="3610" spans="7:14" ht="11.25" customHeight="1" x14ac:dyDescent="0.25">
      <c r="G3610" s="459"/>
      <c r="H3610" s="459">
        <v>3603</v>
      </c>
      <c r="I3610" s="444">
        <f t="shared" ca="1" si="155"/>
        <v>-2589825400261.2734</v>
      </c>
      <c r="J3610" s="444">
        <f t="array" ref="J3610">IFERROR(INDEX('Retirement Calculator'!K:K,MATCH('Lorri 401b'!N3610,'Retirement Calculator'!A:A,0),0),0)</f>
        <v>0</v>
      </c>
      <c r="K3610" s="444">
        <f t="shared" ca="1" si="153"/>
        <v>-10790939167.755306</v>
      </c>
      <c r="L3610" s="444">
        <f t="shared" ca="1" si="154"/>
        <v>-2600616339429.0288</v>
      </c>
      <c r="M3610" s="460">
        <f t="shared" si="156"/>
        <v>0.05</v>
      </c>
      <c r="N3610" s="464">
        <f t="shared" si="157"/>
        <v>160921</v>
      </c>
    </row>
    <row r="3611" spans="7:14" ht="11.25" customHeight="1" x14ac:dyDescent="0.25">
      <c r="G3611" s="459"/>
      <c r="H3611" s="459">
        <v>3604</v>
      </c>
      <c r="I3611" s="444">
        <f t="shared" ca="1" si="155"/>
        <v>-2600616339429.0288</v>
      </c>
      <c r="J3611" s="444">
        <f t="array" ref="J3611">IFERROR(INDEX('Retirement Calculator'!K:K,MATCH('Lorri 401b'!N3611,'Retirement Calculator'!A:A,0),0),0)</f>
        <v>0</v>
      </c>
      <c r="K3611" s="444">
        <f t="shared" ca="1" si="153"/>
        <v>-10835901414.287621</v>
      </c>
      <c r="L3611" s="444">
        <f t="shared" ca="1" si="154"/>
        <v>-2611452240843.3164</v>
      </c>
      <c r="M3611" s="460">
        <f t="shared" si="156"/>
        <v>0.05</v>
      </c>
      <c r="N3611" s="464">
        <f t="shared" si="157"/>
        <v>160952</v>
      </c>
    </row>
    <row r="3612" spans="7:14" ht="11.25" customHeight="1" x14ac:dyDescent="0.25">
      <c r="G3612" s="459"/>
      <c r="H3612" s="459">
        <v>3605</v>
      </c>
      <c r="I3612" s="444">
        <f t="shared" ca="1" si="155"/>
        <v>-2611452240843.3164</v>
      </c>
      <c r="J3612" s="444">
        <f t="array" ref="J3612">IFERROR(INDEX('Retirement Calculator'!K:K,MATCH('Lorri 401b'!N3612,'Retirement Calculator'!A:A,0),0),0)</f>
        <v>0</v>
      </c>
      <c r="K3612" s="444">
        <f t="shared" ca="1" si="153"/>
        <v>-10881051003.513819</v>
      </c>
      <c r="L3612" s="444">
        <f t="shared" ca="1" si="154"/>
        <v>-2622333291846.8301</v>
      </c>
      <c r="M3612" s="460">
        <f t="shared" si="156"/>
        <v>0.05</v>
      </c>
      <c r="N3612" s="464">
        <f t="shared" si="157"/>
        <v>160982</v>
      </c>
    </row>
    <row r="3613" spans="7:14" ht="11.25" customHeight="1" x14ac:dyDescent="0.25">
      <c r="G3613" s="459"/>
      <c r="H3613" s="459">
        <v>3606</v>
      </c>
      <c r="I3613" s="444">
        <f t="shared" ca="1" si="155"/>
        <v>-2622333291846.8301</v>
      </c>
      <c r="J3613" s="444">
        <f t="array" ref="J3613">IFERROR(INDEX('Retirement Calculator'!K:K,MATCH('Lorri 401b'!N3613,'Retirement Calculator'!A:A,0),0),0)</f>
        <v>0</v>
      </c>
      <c r="K3613" s="444">
        <f t="shared" ca="1" si="153"/>
        <v>-10926388716.028458</v>
      </c>
      <c r="L3613" s="444">
        <f t="shared" ca="1" si="154"/>
        <v>-2633259680562.8584</v>
      </c>
      <c r="M3613" s="460">
        <f t="shared" si="156"/>
        <v>0.05</v>
      </c>
      <c r="N3613" s="464">
        <f t="shared" si="157"/>
        <v>161013</v>
      </c>
    </row>
    <row r="3614" spans="7:14" ht="11.25" customHeight="1" x14ac:dyDescent="0.25">
      <c r="G3614" s="459"/>
      <c r="H3614" s="459">
        <v>3607</v>
      </c>
      <c r="I3614" s="444">
        <f t="shared" ca="1" si="155"/>
        <v>-2633259680562.8584</v>
      </c>
      <c r="J3614" s="444">
        <f t="array" ref="J3614">IFERROR(INDEX('Retirement Calculator'!K:K,MATCH('Lorri 401b'!N3614,'Retirement Calculator'!A:A,0),0),0)</f>
        <v>0</v>
      </c>
      <c r="K3614" s="444">
        <f t="shared" ca="1" si="153"/>
        <v>-10971915335.678577</v>
      </c>
      <c r="L3614" s="444">
        <f t="shared" ca="1" si="154"/>
        <v>-2644231595898.5371</v>
      </c>
      <c r="M3614" s="460">
        <f t="shared" si="156"/>
        <v>0.05</v>
      </c>
      <c r="N3614" s="464">
        <f t="shared" si="157"/>
        <v>161043</v>
      </c>
    </row>
    <row r="3615" spans="7:14" ht="11.25" customHeight="1" x14ac:dyDescent="0.25">
      <c r="G3615" s="459"/>
      <c r="H3615" s="459">
        <v>3608</v>
      </c>
      <c r="I3615" s="444">
        <f t="shared" ca="1" si="155"/>
        <v>-2644231595898.5371</v>
      </c>
      <c r="J3615" s="444">
        <f t="array" ref="J3615">IFERROR(INDEX('Retirement Calculator'!K:K,MATCH('Lorri 401b'!N3615,'Retirement Calculator'!A:A,0),0),0)</f>
        <v>0</v>
      </c>
      <c r="K3615" s="444">
        <f t="shared" ca="1" si="153"/>
        <v>-11017631649.577238</v>
      </c>
      <c r="L3615" s="444">
        <f t="shared" ca="1" si="154"/>
        <v>-2655249227548.1143</v>
      </c>
      <c r="M3615" s="460">
        <f t="shared" si="156"/>
        <v>0.05</v>
      </c>
      <c r="N3615" s="464">
        <f t="shared" si="157"/>
        <v>161074</v>
      </c>
    </row>
    <row r="3616" spans="7:14" ht="11.25" customHeight="1" x14ac:dyDescent="0.25">
      <c r="G3616" s="459"/>
      <c r="H3616" s="459">
        <v>3609</v>
      </c>
      <c r="I3616" s="444">
        <f t="shared" ca="1" si="155"/>
        <v>-2655249227548.1143</v>
      </c>
      <c r="J3616" s="444">
        <f t="array" ref="J3616">IFERROR(INDEX('Retirement Calculator'!K:K,MATCH('Lorri 401b'!N3616,'Retirement Calculator'!A:A,0),0),0)</f>
        <v>0</v>
      </c>
      <c r="K3616" s="444">
        <f t="shared" ca="1" si="153"/>
        <v>-11063538448.117142</v>
      </c>
      <c r="L3616" s="444">
        <f t="shared" ca="1" si="154"/>
        <v>-2666312765996.2314</v>
      </c>
      <c r="M3616" s="460">
        <f t="shared" si="156"/>
        <v>0.05</v>
      </c>
      <c r="N3616" s="464">
        <f t="shared" si="157"/>
        <v>161105</v>
      </c>
    </row>
    <row r="3617" spans="7:14" ht="11.25" customHeight="1" x14ac:dyDescent="0.25">
      <c r="G3617" s="459"/>
      <c r="H3617" s="459">
        <v>3610</v>
      </c>
      <c r="I3617" s="444">
        <f t="shared" ca="1" si="155"/>
        <v>-2666312765996.2314</v>
      </c>
      <c r="J3617" s="444">
        <f t="array" ref="J3617">IFERROR(INDEX('Retirement Calculator'!K:K,MATCH('Lorri 401b'!N3617,'Retirement Calculator'!A:A,0),0),0)</f>
        <v>0</v>
      </c>
      <c r="K3617" s="444">
        <f t="shared" ca="1" si="153"/>
        <v>-11109636524.984297</v>
      </c>
      <c r="L3617" s="444">
        <f t="shared" ca="1" si="154"/>
        <v>-2677422402521.2158</v>
      </c>
      <c r="M3617" s="460">
        <f t="shared" si="156"/>
        <v>0.05</v>
      </c>
      <c r="N3617" s="464">
        <f t="shared" si="157"/>
        <v>161133</v>
      </c>
    </row>
    <row r="3618" spans="7:14" ht="11.25" customHeight="1" x14ac:dyDescent="0.25">
      <c r="G3618" s="459"/>
      <c r="H3618" s="459">
        <v>3611</v>
      </c>
      <c r="I3618" s="444">
        <f t="shared" ca="1" si="155"/>
        <v>-2677422402521.2158</v>
      </c>
      <c r="J3618" s="444">
        <f t="array" ref="J3618">IFERROR(INDEX('Retirement Calculator'!K:K,MATCH('Lorri 401b'!N3618,'Retirement Calculator'!A:A,0),0),0)</f>
        <v>0</v>
      </c>
      <c r="K3618" s="444">
        <f t="shared" ca="1" si="153"/>
        <v>-11155926677.171732</v>
      </c>
      <c r="L3618" s="444">
        <f t="shared" ca="1" si="154"/>
        <v>-2688578329198.3877</v>
      </c>
      <c r="M3618" s="460">
        <f t="shared" si="156"/>
        <v>0.05</v>
      </c>
      <c r="N3618" s="464">
        <f t="shared" si="157"/>
        <v>161164</v>
      </c>
    </row>
    <row r="3619" spans="7:14" ht="11.25" customHeight="1" x14ac:dyDescent="0.25">
      <c r="G3619" s="459"/>
      <c r="H3619" s="459">
        <v>3612</v>
      </c>
      <c r="I3619" s="444">
        <f t="shared" ca="1" si="155"/>
        <v>-2688578329198.3877</v>
      </c>
      <c r="J3619" s="444">
        <f t="array" ref="J3619">IFERROR(INDEX('Retirement Calculator'!K:K,MATCH('Lorri 401b'!N3619,'Retirement Calculator'!A:A,0),0),0)</f>
        <v>0</v>
      </c>
      <c r="K3619" s="444">
        <f t="shared" ca="1" si="153"/>
        <v>-11202409704.993282</v>
      </c>
      <c r="L3619" s="444">
        <f t="shared" ca="1" si="154"/>
        <v>-2699780738903.3809</v>
      </c>
      <c r="M3619" s="460">
        <f t="shared" si="156"/>
        <v>0.05</v>
      </c>
      <c r="N3619" s="464">
        <f t="shared" si="157"/>
        <v>161194</v>
      </c>
    </row>
    <row r="3620" spans="7:14" ht="11.25" customHeight="1" x14ac:dyDescent="0.25">
      <c r="G3620" s="459"/>
      <c r="H3620" s="459">
        <v>3613</v>
      </c>
      <c r="I3620" s="444">
        <f t="shared" ca="1" si="155"/>
        <v>-2699780738903.3809</v>
      </c>
      <c r="J3620" s="444">
        <f t="array" ref="J3620">IFERROR(INDEX('Retirement Calculator'!K:K,MATCH('Lorri 401b'!N3620,'Retirement Calculator'!A:A,0),0),0)</f>
        <v>0</v>
      </c>
      <c r="K3620" s="444">
        <f t="shared" ca="1" si="153"/>
        <v>-11249086412.09742</v>
      </c>
      <c r="L3620" s="444">
        <f t="shared" ca="1" si="154"/>
        <v>-2711029825315.4785</v>
      </c>
      <c r="M3620" s="460">
        <f t="shared" si="156"/>
        <v>0.05</v>
      </c>
      <c r="N3620" s="464">
        <f t="shared" si="157"/>
        <v>161225</v>
      </c>
    </row>
    <row r="3621" spans="7:14" ht="11.25" customHeight="1" x14ac:dyDescent="0.25">
      <c r="G3621" s="459"/>
      <c r="H3621" s="459">
        <v>3614</v>
      </c>
      <c r="I3621" s="444">
        <f t="shared" ca="1" si="155"/>
        <v>-2711029825315.4785</v>
      </c>
      <c r="J3621" s="444">
        <f t="array" ref="J3621">IFERROR(INDEX('Retirement Calculator'!K:K,MATCH('Lorri 401b'!N3621,'Retirement Calculator'!A:A,0),0),0)</f>
        <v>0</v>
      </c>
      <c r="K3621" s="444">
        <f t="shared" ca="1" si="153"/>
        <v>-11295957605.481161</v>
      </c>
      <c r="L3621" s="444">
        <f t="shared" ca="1" si="154"/>
        <v>-2722325782920.9595</v>
      </c>
      <c r="M3621" s="460">
        <f t="shared" si="156"/>
        <v>0.05</v>
      </c>
      <c r="N3621" s="464">
        <f t="shared" si="157"/>
        <v>161255</v>
      </c>
    </row>
    <row r="3622" spans="7:14" ht="11.25" customHeight="1" x14ac:dyDescent="0.25">
      <c r="G3622" s="459"/>
      <c r="H3622" s="459">
        <v>3615</v>
      </c>
      <c r="I3622" s="444">
        <f t="shared" ca="1" si="155"/>
        <v>-2722325782920.9595</v>
      </c>
      <c r="J3622" s="444">
        <f t="array" ref="J3622">IFERROR(INDEX('Retirement Calculator'!K:K,MATCH('Lorri 401b'!N3622,'Retirement Calculator'!A:A,0),0),0)</f>
        <v>0</v>
      </c>
      <c r="K3622" s="444">
        <f t="shared" ca="1" si="153"/>
        <v>-11343024095.503998</v>
      </c>
      <c r="L3622" s="444">
        <f t="shared" ca="1" si="154"/>
        <v>-2733668807016.4634</v>
      </c>
      <c r="M3622" s="460">
        <f t="shared" si="156"/>
        <v>0.05</v>
      </c>
      <c r="N3622" s="464">
        <f t="shared" si="157"/>
        <v>161286</v>
      </c>
    </row>
    <row r="3623" spans="7:14" ht="11.25" customHeight="1" x14ac:dyDescent="0.25">
      <c r="G3623" s="459"/>
      <c r="H3623" s="459">
        <v>3616</v>
      </c>
      <c r="I3623" s="444">
        <f t="shared" ca="1" si="155"/>
        <v>-2733668807016.4634</v>
      </c>
      <c r="J3623" s="444">
        <f t="array" ref="J3623">IFERROR(INDEX('Retirement Calculator'!K:K,MATCH('Lorri 401b'!N3623,'Retirement Calculator'!A:A,0),0),0)</f>
        <v>0</v>
      </c>
      <c r="K3623" s="444">
        <f t="shared" ca="1" si="153"/>
        <v>-11390286695.90193</v>
      </c>
      <c r="L3623" s="444">
        <f t="shared" ca="1" si="154"/>
        <v>-2745059093712.3652</v>
      </c>
      <c r="M3623" s="460">
        <f t="shared" si="156"/>
        <v>0.05</v>
      </c>
      <c r="N3623" s="464">
        <f t="shared" si="157"/>
        <v>161317</v>
      </c>
    </row>
    <row r="3624" spans="7:14" ht="11.25" customHeight="1" x14ac:dyDescent="0.25">
      <c r="G3624" s="459"/>
      <c r="H3624" s="459">
        <v>3617</v>
      </c>
      <c r="I3624" s="444">
        <f t="shared" ca="1" si="155"/>
        <v>-2745059093712.3652</v>
      </c>
      <c r="J3624" s="444">
        <f t="array" ref="J3624">IFERROR(INDEX('Retirement Calculator'!K:K,MATCH('Lorri 401b'!N3624,'Retirement Calculator'!A:A,0),0),0)</f>
        <v>0</v>
      </c>
      <c r="K3624" s="444">
        <f t="shared" ca="1" si="153"/>
        <v>-11437746223.801521</v>
      </c>
      <c r="L3624" s="444">
        <f t="shared" ca="1" si="154"/>
        <v>-2756496839936.167</v>
      </c>
      <c r="M3624" s="460">
        <f t="shared" si="156"/>
        <v>0.05</v>
      </c>
      <c r="N3624" s="464">
        <f t="shared" si="157"/>
        <v>161347</v>
      </c>
    </row>
    <row r="3625" spans="7:14" ht="11.25" customHeight="1" x14ac:dyDescent="0.25">
      <c r="G3625" s="459"/>
      <c r="H3625" s="459">
        <v>3618</v>
      </c>
      <c r="I3625" s="444">
        <f t="shared" ca="1" si="155"/>
        <v>-2756496839936.167</v>
      </c>
      <c r="J3625" s="444">
        <f t="array" ref="J3625">IFERROR(INDEX('Retirement Calculator'!K:K,MATCH('Lorri 401b'!N3625,'Retirement Calculator'!A:A,0),0),0)</f>
        <v>0</v>
      </c>
      <c r="K3625" s="444">
        <f t="shared" ca="1" si="153"/>
        <v>-11485403499.73403</v>
      </c>
      <c r="L3625" s="444">
        <f t="shared" ca="1" si="154"/>
        <v>-2767982243435.9009</v>
      </c>
      <c r="M3625" s="460">
        <f t="shared" si="156"/>
        <v>0.05</v>
      </c>
      <c r="N3625" s="464">
        <f t="shared" si="157"/>
        <v>161378</v>
      </c>
    </row>
    <row r="3626" spans="7:14" ht="11.25" customHeight="1" x14ac:dyDescent="0.25">
      <c r="G3626" s="459"/>
      <c r="H3626" s="459">
        <v>3619</v>
      </c>
      <c r="I3626" s="444">
        <f t="shared" ca="1" si="155"/>
        <v>-2767982243435.9009</v>
      </c>
      <c r="J3626" s="444">
        <f t="array" ref="J3626">IFERROR(INDEX('Retirement Calculator'!K:K,MATCH('Lorri 401b'!N3626,'Retirement Calculator'!A:A,0),0),0)</f>
        <v>0</v>
      </c>
      <c r="K3626" s="444">
        <f t="shared" ca="1" si="153"/>
        <v>-11533259347.649588</v>
      </c>
      <c r="L3626" s="444">
        <f t="shared" ca="1" si="154"/>
        <v>-2779515502783.5503</v>
      </c>
      <c r="M3626" s="460">
        <f t="shared" si="156"/>
        <v>0.05</v>
      </c>
      <c r="N3626" s="464">
        <f t="shared" si="157"/>
        <v>161408</v>
      </c>
    </row>
    <row r="3627" spans="7:14" ht="11.25" customHeight="1" x14ac:dyDescent="0.25">
      <c r="G3627" s="459"/>
      <c r="H3627" s="459">
        <v>3620</v>
      </c>
      <c r="I3627" s="444">
        <f t="shared" ca="1" si="155"/>
        <v>-2779515502783.5503</v>
      </c>
      <c r="J3627" s="444">
        <f t="array" ref="J3627">IFERROR(INDEX('Retirement Calculator'!K:K,MATCH('Lorri 401b'!N3627,'Retirement Calculator'!A:A,0),0),0)</f>
        <v>0</v>
      </c>
      <c r="K3627" s="444">
        <f t="shared" ca="1" si="153"/>
        <v>-11581314594.931459</v>
      </c>
      <c r="L3627" s="444">
        <f t="shared" ca="1" si="154"/>
        <v>-2791096817378.4819</v>
      </c>
      <c r="M3627" s="460">
        <f t="shared" si="156"/>
        <v>0.05</v>
      </c>
      <c r="N3627" s="464">
        <f t="shared" si="157"/>
        <v>161439</v>
      </c>
    </row>
    <row r="3628" spans="7:14" ht="11.25" customHeight="1" x14ac:dyDescent="0.25">
      <c r="G3628" s="459"/>
      <c r="H3628" s="459">
        <v>3621</v>
      </c>
      <c r="I3628" s="444">
        <f t="shared" ca="1" si="155"/>
        <v>-2791096817378.4819</v>
      </c>
      <c r="J3628" s="444">
        <f t="array" ref="J3628">IFERROR(INDEX('Retirement Calculator'!K:K,MATCH('Lorri 401b'!N3628,'Retirement Calculator'!A:A,0),0),0)</f>
        <v>0</v>
      </c>
      <c r="K3628" s="444">
        <f t="shared" ca="1" si="153"/>
        <v>-11629570072.410341</v>
      </c>
      <c r="L3628" s="444">
        <f t="shared" ca="1" si="154"/>
        <v>-2802726387450.8921</v>
      </c>
      <c r="M3628" s="460">
        <f t="shared" si="156"/>
        <v>0.05</v>
      </c>
      <c r="N3628" s="464">
        <f t="shared" si="157"/>
        <v>161470</v>
      </c>
    </row>
    <row r="3629" spans="7:14" ht="11.25" customHeight="1" x14ac:dyDescent="0.25">
      <c r="G3629" s="459"/>
      <c r="H3629" s="459">
        <v>3622</v>
      </c>
      <c r="I3629" s="444">
        <f t="shared" ca="1" si="155"/>
        <v>-2802726387450.8921</v>
      </c>
      <c r="J3629" s="444">
        <f t="array" ref="J3629">IFERROR(INDEX('Retirement Calculator'!K:K,MATCH('Lorri 401b'!N3629,'Retirement Calculator'!A:A,0),0),0)</f>
        <v>0</v>
      </c>
      <c r="K3629" s="444">
        <f t="shared" ca="1" si="153"/>
        <v>-11678026614.378717</v>
      </c>
      <c r="L3629" s="444">
        <f t="shared" ca="1" si="154"/>
        <v>-2814404414065.271</v>
      </c>
      <c r="M3629" s="460">
        <f t="shared" si="156"/>
        <v>0.05</v>
      </c>
      <c r="N3629" s="464">
        <f t="shared" si="157"/>
        <v>161498</v>
      </c>
    </row>
    <row r="3630" spans="7:14" ht="11.25" customHeight="1" x14ac:dyDescent="0.25">
      <c r="G3630" s="459"/>
      <c r="H3630" s="459">
        <v>3623</v>
      </c>
      <c r="I3630" s="444">
        <f t="shared" ca="1" si="155"/>
        <v>-2814404414065.271</v>
      </c>
      <c r="J3630" s="444">
        <f t="array" ref="J3630">IFERROR(INDEX('Retirement Calculator'!K:K,MATCH('Lorri 401b'!N3630,'Retirement Calculator'!A:A,0),0),0)</f>
        <v>0</v>
      </c>
      <c r="K3630" s="444">
        <f t="shared" ca="1" si="153"/>
        <v>-11726685058.605295</v>
      </c>
      <c r="L3630" s="444">
        <f t="shared" ca="1" si="154"/>
        <v>-2826131099123.8765</v>
      </c>
      <c r="M3630" s="460">
        <f t="shared" si="156"/>
        <v>0.05</v>
      </c>
      <c r="N3630" s="464">
        <f t="shared" si="157"/>
        <v>161529</v>
      </c>
    </row>
    <row r="3631" spans="7:14" ht="11.25" customHeight="1" x14ac:dyDescent="0.25">
      <c r="G3631" s="459"/>
      <c r="H3631" s="459">
        <v>3624</v>
      </c>
      <c r="I3631" s="444">
        <f t="shared" ca="1" si="155"/>
        <v>-2826131099123.8765</v>
      </c>
      <c r="J3631" s="444">
        <f t="array" ref="J3631">IFERROR(INDEX('Retirement Calculator'!K:K,MATCH('Lorri 401b'!N3631,'Retirement Calculator'!A:A,0),0),0)</f>
        <v>0</v>
      </c>
      <c r="K3631" s="444">
        <f t="shared" ca="1" si="153"/>
        <v>-11775546246.349485</v>
      </c>
      <c r="L3631" s="444">
        <f t="shared" ca="1" si="154"/>
        <v>-2837906645370.2261</v>
      </c>
      <c r="M3631" s="460">
        <f t="shared" si="156"/>
        <v>0.05</v>
      </c>
      <c r="N3631" s="464">
        <f t="shared" si="157"/>
        <v>161559</v>
      </c>
    </row>
    <row r="3632" spans="7:14" ht="11.25" customHeight="1" x14ac:dyDescent="0.25">
      <c r="G3632" s="459"/>
      <c r="H3632" s="459">
        <v>3625</v>
      </c>
      <c r="I3632" s="444">
        <f t="shared" ca="1" si="155"/>
        <v>-2837906645370.2261</v>
      </c>
      <c r="J3632" s="444">
        <f t="array" ref="J3632">IFERROR(INDEX('Retirement Calculator'!K:K,MATCH('Lorri 401b'!N3632,'Retirement Calculator'!A:A,0),0),0)</f>
        <v>0</v>
      </c>
      <c r="K3632" s="444">
        <f t="shared" ca="1" si="153"/>
        <v>-11824611022.375942</v>
      </c>
      <c r="L3632" s="444">
        <f t="shared" ca="1" si="154"/>
        <v>-2849731256392.6021</v>
      </c>
      <c r="M3632" s="460">
        <f t="shared" si="156"/>
        <v>0.05</v>
      </c>
      <c r="N3632" s="464">
        <f t="shared" si="157"/>
        <v>161590</v>
      </c>
    </row>
    <row r="3633" spans="7:14" ht="11.25" customHeight="1" x14ac:dyDescent="0.25">
      <c r="G3633" s="459"/>
      <c r="H3633" s="459">
        <v>3626</v>
      </c>
      <c r="I3633" s="444">
        <f t="shared" ca="1" si="155"/>
        <v>-2849731256392.6021</v>
      </c>
      <c r="J3633" s="444">
        <f t="array" ref="J3633">IFERROR(INDEX('Retirement Calculator'!K:K,MATCH('Lorri 401b'!N3633,'Retirement Calculator'!A:A,0),0),0)</f>
        <v>0</v>
      </c>
      <c r="K3633" s="444">
        <f t="shared" ca="1" si="153"/>
        <v>-11873880234.969175</v>
      </c>
      <c r="L3633" s="444">
        <f t="shared" ca="1" si="154"/>
        <v>-2861605136627.5713</v>
      </c>
      <c r="M3633" s="460">
        <f t="shared" si="156"/>
        <v>0.05</v>
      </c>
      <c r="N3633" s="464">
        <f t="shared" si="157"/>
        <v>161620</v>
      </c>
    </row>
    <row r="3634" spans="7:14" ht="11.25" customHeight="1" x14ac:dyDescent="0.25">
      <c r="G3634" s="459"/>
      <c r="H3634" s="459">
        <v>3627</v>
      </c>
      <c r="I3634" s="444">
        <f t="shared" ca="1" si="155"/>
        <v>-2861605136627.5713</v>
      </c>
      <c r="J3634" s="444">
        <f t="array" ref="J3634">IFERROR(INDEX('Retirement Calculator'!K:K,MATCH('Lorri 401b'!N3634,'Retirement Calculator'!A:A,0),0),0)</f>
        <v>0</v>
      </c>
      <c r="K3634" s="444">
        <f t="shared" ca="1" si="153"/>
        <v>-11923354735.948214</v>
      </c>
      <c r="L3634" s="444">
        <f t="shared" ca="1" si="154"/>
        <v>-2873528491363.5195</v>
      </c>
      <c r="M3634" s="460">
        <f t="shared" si="156"/>
        <v>0.05</v>
      </c>
      <c r="N3634" s="464">
        <f t="shared" si="157"/>
        <v>161651</v>
      </c>
    </row>
    <row r="3635" spans="7:14" ht="11.25" customHeight="1" x14ac:dyDescent="0.25">
      <c r="G3635" s="459"/>
      <c r="H3635" s="459">
        <v>3628</v>
      </c>
      <c r="I3635" s="444">
        <f t="shared" ca="1" si="155"/>
        <v>-2873528491363.5195</v>
      </c>
      <c r="J3635" s="444">
        <f t="array" ref="J3635">IFERROR(INDEX('Retirement Calculator'!K:K,MATCH('Lorri 401b'!N3635,'Retirement Calculator'!A:A,0),0),0)</f>
        <v>0</v>
      </c>
      <c r="K3635" s="444">
        <f t="shared" ca="1" si="153"/>
        <v>-11973035380.681332</v>
      </c>
      <c r="L3635" s="444">
        <f t="shared" ca="1" si="154"/>
        <v>-2885501526744.2007</v>
      </c>
      <c r="M3635" s="460">
        <f t="shared" si="156"/>
        <v>0.05</v>
      </c>
      <c r="N3635" s="464">
        <f t="shared" si="157"/>
        <v>161682</v>
      </c>
    </row>
    <row r="3636" spans="7:14" ht="11.25" customHeight="1" x14ac:dyDescent="0.25">
      <c r="G3636" s="459"/>
      <c r="H3636" s="459">
        <v>3629</v>
      </c>
      <c r="I3636" s="444">
        <f t="shared" ca="1" si="155"/>
        <v>-2885501526744.2007</v>
      </c>
      <c r="J3636" s="444">
        <f t="array" ref="J3636">IFERROR(INDEX('Retirement Calculator'!K:K,MATCH('Lorri 401b'!N3636,'Retirement Calculator'!A:A,0),0),0)</f>
        <v>0</v>
      </c>
      <c r="K3636" s="444">
        <f t="shared" ca="1" si="153"/>
        <v>-12022923028.100836</v>
      </c>
      <c r="L3636" s="444">
        <f t="shared" ca="1" si="154"/>
        <v>-2897524449772.3018</v>
      </c>
      <c r="M3636" s="460">
        <f t="shared" si="156"/>
        <v>0.05</v>
      </c>
      <c r="N3636" s="464">
        <f t="shared" si="157"/>
        <v>161712</v>
      </c>
    </row>
    <row r="3637" spans="7:14" ht="11.25" customHeight="1" x14ac:dyDescent="0.25">
      <c r="G3637" s="459"/>
      <c r="H3637" s="459">
        <v>3630</v>
      </c>
      <c r="I3637" s="444">
        <f t="shared" ca="1" si="155"/>
        <v>-2897524449772.3018</v>
      </c>
      <c r="J3637" s="444">
        <f t="array" ref="J3637">IFERROR(INDEX('Retirement Calculator'!K:K,MATCH('Lorri 401b'!N3637,'Retirement Calculator'!A:A,0),0),0)</f>
        <v>0</v>
      </c>
      <c r="K3637" s="444">
        <f t="shared" ca="1" si="153"/>
        <v>-12073018540.717924</v>
      </c>
      <c r="L3637" s="444">
        <f t="shared" ca="1" si="154"/>
        <v>-2909597468313.0195</v>
      </c>
      <c r="M3637" s="460">
        <f t="shared" si="156"/>
        <v>0.05</v>
      </c>
      <c r="N3637" s="464">
        <f t="shared" si="157"/>
        <v>161743</v>
      </c>
    </row>
    <row r="3638" spans="7:14" ht="11.25" customHeight="1" x14ac:dyDescent="0.25">
      <c r="G3638" s="459"/>
      <c r="H3638" s="459">
        <v>3631</v>
      </c>
      <c r="I3638" s="444">
        <f t="shared" ca="1" si="155"/>
        <v>-2909597468313.0195</v>
      </c>
      <c r="J3638" s="444">
        <f t="array" ref="J3638">IFERROR(INDEX('Retirement Calculator'!K:K,MATCH('Lorri 401b'!N3638,'Retirement Calculator'!A:A,0),0),0)</f>
        <v>0</v>
      </c>
      <c r="K3638" s="444">
        <f t="shared" ca="1" si="153"/>
        <v>-12123322784.637581</v>
      </c>
      <c r="L3638" s="444">
        <f t="shared" ca="1" si="154"/>
        <v>-2921720791097.6572</v>
      </c>
      <c r="M3638" s="460">
        <f t="shared" si="156"/>
        <v>0.05</v>
      </c>
      <c r="N3638" s="464">
        <f t="shared" si="157"/>
        <v>161773</v>
      </c>
    </row>
    <row r="3639" spans="7:14" ht="11.25" customHeight="1" x14ac:dyDescent="0.25">
      <c r="G3639" s="459"/>
      <c r="H3639" s="459">
        <v>3632</v>
      </c>
      <c r="I3639" s="444">
        <f t="shared" ca="1" si="155"/>
        <v>-2921720791097.6572</v>
      </c>
      <c r="J3639" s="444">
        <f t="array" ref="J3639">IFERROR(INDEX('Retirement Calculator'!K:K,MATCH('Lorri 401b'!N3639,'Retirement Calculator'!A:A,0),0),0)</f>
        <v>0</v>
      </c>
      <c r="K3639" s="444">
        <f t="shared" ca="1" si="153"/>
        <v>-12173836629.573572</v>
      </c>
      <c r="L3639" s="444">
        <f t="shared" ca="1" si="154"/>
        <v>-2933894627727.231</v>
      </c>
      <c r="M3639" s="460">
        <f t="shared" si="156"/>
        <v>0.05</v>
      </c>
      <c r="N3639" s="464">
        <f t="shared" si="157"/>
        <v>161804</v>
      </c>
    </row>
    <row r="3640" spans="7:14" ht="11.25" customHeight="1" x14ac:dyDescent="0.25">
      <c r="G3640" s="459"/>
      <c r="H3640" s="459">
        <v>3633</v>
      </c>
      <c r="I3640" s="444">
        <f t="shared" ca="1" si="155"/>
        <v>-2933894627727.231</v>
      </c>
      <c r="J3640" s="444">
        <f t="array" ref="J3640">IFERROR(INDEX('Retirement Calculator'!K:K,MATCH('Lorri 401b'!N3640,'Retirement Calculator'!A:A,0),0),0)</f>
        <v>0</v>
      </c>
      <c r="K3640" s="444">
        <f t="shared" ca="1" si="153"/>
        <v>-12224560948.863462</v>
      </c>
      <c r="L3640" s="444">
        <f t="shared" ca="1" si="154"/>
        <v>-2946119188676.0942</v>
      </c>
      <c r="M3640" s="460">
        <f t="shared" si="156"/>
        <v>0.05</v>
      </c>
      <c r="N3640" s="464">
        <f t="shared" si="157"/>
        <v>161835</v>
      </c>
    </row>
    <row r="3641" spans="7:14" ht="11.25" customHeight="1" x14ac:dyDescent="0.25">
      <c r="G3641" s="459"/>
      <c r="H3641" s="459">
        <v>3634</v>
      </c>
      <c r="I3641" s="444">
        <f t="shared" ca="1" si="155"/>
        <v>-2946119188676.0942</v>
      </c>
      <c r="J3641" s="444">
        <f t="array" ref="J3641">IFERROR(INDEX('Retirement Calculator'!K:K,MATCH('Lorri 401b'!N3641,'Retirement Calculator'!A:A,0),0),0)</f>
        <v>0</v>
      </c>
      <c r="K3641" s="444">
        <f t="shared" ca="1" si="153"/>
        <v>-12275496619.483727</v>
      </c>
      <c r="L3641" s="444">
        <f t="shared" ca="1" si="154"/>
        <v>-2958394685295.5781</v>
      </c>
      <c r="M3641" s="460">
        <f t="shared" si="156"/>
        <v>0.05</v>
      </c>
      <c r="N3641" s="464">
        <f t="shared" si="157"/>
        <v>161863</v>
      </c>
    </row>
    <row r="3642" spans="7:14" ht="11.25" customHeight="1" x14ac:dyDescent="0.25">
      <c r="G3642" s="459"/>
      <c r="H3642" s="459">
        <v>3635</v>
      </c>
      <c r="I3642" s="444">
        <f t="shared" ca="1" si="155"/>
        <v>-2958394685295.5781</v>
      </c>
      <c r="J3642" s="444">
        <f t="array" ref="J3642">IFERROR(INDEX('Retirement Calculator'!K:K,MATCH('Lorri 401b'!N3642,'Retirement Calculator'!A:A,0),0),0)</f>
        <v>0</v>
      </c>
      <c r="K3642" s="444">
        <f t="shared" ca="1" si="153"/>
        <v>-12326644522.064909</v>
      </c>
      <c r="L3642" s="444">
        <f t="shared" ca="1" si="154"/>
        <v>-2970721329817.6431</v>
      </c>
      <c r="M3642" s="460">
        <f t="shared" si="156"/>
        <v>0.05</v>
      </c>
      <c r="N3642" s="464">
        <f t="shared" si="157"/>
        <v>161894</v>
      </c>
    </row>
    <row r="3643" spans="7:14" ht="11.25" customHeight="1" x14ac:dyDescent="0.25">
      <c r="G3643" s="459"/>
      <c r="H3643" s="459">
        <v>3636</v>
      </c>
      <c r="I3643" s="444">
        <f t="shared" ca="1" si="155"/>
        <v>-2970721329817.6431</v>
      </c>
      <c r="J3643" s="444">
        <f t="array" ref="J3643">IFERROR(INDEX('Retirement Calculator'!K:K,MATCH('Lorri 401b'!N3643,'Retirement Calculator'!A:A,0),0),0)</f>
        <v>0</v>
      </c>
      <c r="K3643" s="444">
        <f t="shared" ca="1" si="153"/>
        <v>-12378005540.906845</v>
      </c>
      <c r="L3643" s="444">
        <f t="shared" ca="1" si="154"/>
        <v>-2983099335358.5498</v>
      </c>
      <c r="M3643" s="460">
        <f t="shared" si="156"/>
        <v>0.05</v>
      </c>
      <c r="N3643" s="464">
        <f t="shared" si="157"/>
        <v>161924</v>
      </c>
    </row>
    <row r="3644" spans="7:14" ht="11.25" customHeight="1" x14ac:dyDescent="0.25">
      <c r="G3644" s="459"/>
      <c r="H3644" s="459">
        <v>3637</v>
      </c>
      <c r="I3644" s="444">
        <f t="shared" ca="1" si="155"/>
        <v>-2983099335358.5498</v>
      </c>
      <c r="J3644" s="444">
        <f t="array" ref="J3644">IFERROR(INDEX('Retirement Calculator'!K:K,MATCH('Lorri 401b'!N3644,'Retirement Calculator'!A:A,0),0),0)</f>
        <v>0</v>
      </c>
      <c r="K3644" s="444">
        <f t="shared" ca="1" si="153"/>
        <v>-12429580563.993958</v>
      </c>
      <c r="L3644" s="444">
        <f t="shared" ca="1" si="154"/>
        <v>-2995528915922.5439</v>
      </c>
      <c r="M3644" s="460">
        <f t="shared" si="156"/>
        <v>0.05</v>
      </c>
      <c r="N3644" s="464">
        <f t="shared" si="157"/>
        <v>161955</v>
      </c>
    </row>
    <row r="3645" spans="7:14" ht="11.25" customHeight="1" x14ac:dyDescent="0.25">
      <c r="G3645" s="459"/>
      <c r="H3645" s="459">
        <v>3638</v>
      </c>
      <c r="I3645" s="444">
        <f t="shared" ca="1" si="155"/>
        <v>-2995528915922.5439</v>
      </c>
      <c r="J3645" s="444">
        <f t="array" ref="J3645">IFERROR(INDEX('Retirement Calculator'!K:K,MATCH('Lorri 401b'!N3645,'Retirement Calculator'!A:A,0),0),0)</f>
        <v>0</v>
      </c>
      <c r="K3645" s="444">
        <f t="shared" ca="1" si="153"/>
        <v>-12481370483.010599</v>
      </c>
      <c r="L3645" s="444">
        <f t="shared" ca="1" si="154"/>
        <v>-3008010286405.5547</v>
      </c>
      <c r="M3645" s="460">
        <f t="shared" si="156"/>
        <v>0.05</v>
      </c>
      <c r="N3645" s="464">
        <f t="shared" si="157"/>
        <v>161985</v>
      </c>
    </row>
    <row r="3646" spans="7:14" ht="11.25" customHeight="1" x14ac:dyDescent="0.25">
      <c r="G3646" s="459"/>
      <c r="H3646" s="459">
        <v>3639</v>
      </c>
      <c r="I3646" s="444">
        <f t="shared" ca="1" si="155"/>
        <v>-3008010286405.5547</v>
      </c>
      <c r="J3646" s="444">
        <f t="array" ref="J3646">IFERROR(INDEX('Retirement Calculator'!K:K,MATCH('Lorri 401b'!N3646,'Retirement Calculator'!A:A,0),0),0)</f>
        <v>0</v>
      </c>
      <c r="K3646" s="444">
        <f t="shared" ca="1" si="153"/>
        <v>-12533376193.356478</v>
      </c>
      <c r="L3646" s="444">
        <f t="shared" ca="1" si="154"/>
        <v>-3020543662598.9111</v>
      </c>
      <c r="M3646" s="460">
        <f t="shared" si="156"/>
        <v>0.05</v>
      </c>
      <c r="N3646" s="464">
        <f t="shared" si="157"/>
        <v>162016</v>
      </c>
    </row>
    <row r="3647" spans="7:14" ht="11.25" customHeight="1" x14ac:dyDescent="0.25">
      <c r="G3647" s="459"/>
      <c r="H3647" s="459">
        <v>3640</v>
      </c>
      <c r="I3647" s="444">
        <f t="shared" ca="1" si="155"/>
        <v>-3020543662598.9111</v>
      </c>
      <c r="J3647" s="444">
        <f t="array" ref="J3647">IFERROR(INDEX('Retirement Calculator'!K:K,MATCH('Lorri 401b'!N3647,'Retirement Calculator'!A:A,0),0),0)</f>
        <v>0</v>
      </c>
      <c r="K3647" s="444">
        <f t="shared" ca="1" si="153"/>
        <v>-12585598594.16213</v>
      </c>
      <c r="L3647" s="444">
        <f t="shared" ca="1" si="154"/>
        <v>-3033129261193.0732</v>
      </c>
      <c r="M3647" s="460">
        <f t="shared" si="156"/>
        <v>0.05</v>
      </c>
      <c r="N3647" s="464">
        <f t="shared" si="157"/>
        <v>162047</v>
      </c>
    </row>
    <row r="3648" spans="7:14" ht="11.25" customHeight="1" x14ac:dyDescent="0.25">
      <c r="G3648" s="459"/>
      <c r="H3648" s="459">
        <v>3641</v>
      </c>
      <c r="I3648" s="444">
        <f t="shared" ca="1" si="155"/>
        <v>-3033129261193.0732</v>
      </c>
      <c r="J3648" s="444">
        <f t="array" ref="J3648">IFERROR(INDEX('Retirement Calculator'!K:K,MATCH('Lorri 401b'!N3648,'Retirement Calculator'!A:A,0),0),0)</f>
        <v>0</v>
      </c>
      <c r="K3648" s="444">
        <f t="shared" ca="1" si="153"/>
        <v>-12638038588.304472</v>
      </c>
      <c r="L3648" s="444">
        <f t="shared" ca="1" si="154"/>
        <v>-3045767299781.3779</v>
      </c>
      <c r="M3648" s="460">
        <f t="shared" si="156"/>
        <v>0.05</v>
      </c>
      <c r="N3648" s="464">
        <f t="shared" si="157"/>
        <v>162077</v>
      </c>
    </row>
    <row r="3649" spans="7:14" ht="11.25" customHeight="1" x14ac:dyDescent="0.25">
      <c r="G3649" s="459"/>
      <c r="H3649" s="459">
        <v>3642</v>
      </c>
      <c r="I3649" s="444">
        <f t="shared" ca="1" si="155"/>
        <v>-3045767299781.3779</v>
      </c>
      <c r="J3649" s="444">
        <f t="array" ref="J3649">IFERROR(INDEX('Retirement Calculator'!K:K,MATCH('Lorri 401b'!N3649,'Retirement Calculator'!A:A,0),0),0)</f>
        <v>0</v>
      </c>
      <c r="K3649" s="444">
        <f t="shared" ca="1" si="153"/>
        <v>-12690697082.422407</v>
      </c>
      <c r="L3649" s="444">
        <f t="shared" ca="1" si="154"/>
        <v>-3058457996863.8003</v>
      </c>
      <c r="M3649" s="460">
        <f t="shared" si="156"/>
        <v>0.05</v>
      </c>
      <c r="N3649" s="464">
        <f t="shared" si="157"/>
        <v>162108</v>
      </c>
    </row>
    <row r="3650" spans="7:14" ht="11.25" customHeight="1" x14ac:dyDescent="0.25">
      <c r="G3650" s="459"/>
      <c r="H3650" s="459">
        <v>3643</v>
      </c>
      <c r="I3650" s="444">
        <f t="shared" ca="1" si="155"/>
        <v>-3058457996863.8003</v>
      </c>
      <c r="J3650" s="444">
        <f t="array" ref="J3650">IFERROR(INDEX('Retirement Calculator'!K:K,MATCH('Lorri 401b'!N3650,'Retirement Calculator'!A:A,0),0),0)</f>
        <v>0</v>
      </c>
      <c r="K3650" s="444">
        <f t="shared" ca="1" si="153"/>
        <v>-12743574986.932501</v>
      </c>
      <c r="L3650" s="444">
        <f t="shared" ca="1" si="154"/>
        <v>-3071201571850.7329</v>
      </c>
      <c r="M3650" s="460">
        <f t="shared" si="156"/>
        <v>0.05</v>
      </c>
      <c r="N3650" s="464">
        <f t="shared" si="157"/>
        <v>162138</v>
      </c>
    </row>
    <row r="3651" spans="7:14" ht="11.25" customHeight="1" x14ac:dyDescent="0.25">
      <c r="G3651" s="459"/>
      <c r="H3651" s="459">
        <v>3644</v>
      </c>
      <c r="I3651" s="444">
        <f t="shared" ca="1" si="155"/>
        <v>-3071201571850.7329</v>
      </c>
      <c r="J3651" s="444">
        <f t="array" ref="J3651">IFERROR(INDEX('Retirement Calculator'!K:K,MATCH('Lorri 401b'!N3651,'Retirement Calculator'!A:A,0),0),0)</f>
        <v>0</v>
      </c>
      <c r="K3651" s="444">
        <f t="shared" ca="1" si="153"/>
        <v>-12796673216.04472</v>
      </c>
      <c r="L3651" s="444">
        <f t="shared" ca="1" si="154"/>
        <v>-3083998245066.7778</v>
      </c>
      <c r="M3651" s="460">
        <f t="shared" si="156"/>
        <v>0.05</v>
      </c>
      <c r="N3651" s="464">
        <f t="shared" si="157"/>
        <v>162169</v>
      </c>
    </row>
    <row r="3652" spans="7:14" ht="11.25" customHeight="1" x14ac:dyDescent="0.25">
      <c r="G3652" s="459"/>
      <c r="H3652" s="459">
        <v>3645</v>
      </c>
      <c r="I3652" s="444">
        <f t="shared" ca="1" si="155"/>
        <v>-3083998245066.7778</v>
      </c>
      <c r="J3652" s="444">
        <f t="array" ref="J3652">IFERROR(INDEX('Retirement Calculator'!K:K,MATCH('Lorri 401b'!N3652,'Retirement Calculator'!A:A,0),0),0)</f>
        <v>0</v>
      </c>
      <c r="K3652" s="444">
        <f t="shared" ca="1" si="153"/>
        <v>-12849992687.77824</v>
      </c>
      <c r="L3652" s="444">
        <f t="shared" ca="1" si="154"/>
        <v>-3096848237754.5562</v>
      </c>
      <c r="M3652" s="460">
        <f t="shared" si="156"/>
        <v>0.05</v>
      </c>
      <c r="N3652" s="464">
        <f t="shared" si="157"/>
        <v>162200</v>
      </c>
    </row>
    <row r="3653" spans="7:14" ht="11.25" customHeight="1" x14ac:dyDescent="0.25">
      <c r="G3653" s="459"/>
      <c r="H3653" s="459">
        <v>3646</v>
      </c>
      <c r="I3653" s="444">
        <f t="shared" ca="1" si="155"/>
        <v>-3096848237754.5562</v>
      </c>
      <c r="J3653" s="444">
        <f t="array" ref="J3653">IFERROR(INDEX('Retirement Calculator'!K:K,MATCH('Lorri 401b'!N3653,'Retirement Calculator'!A:A,0),0),0)</f>
        <v>0</v>
      </c>
      <c r="K3653" s="444">
        <f t="shared" ca="1" si="153"/>
        <v>-12903534323.977318</v>
      </c>
      <c r="L3653" s="444">
        <f t="shared" ca="1" si="154"/>
        <v>-3109751772078.5337</v>
      </c>
      <c r="M3653" s="460">
        <f t="shared" si="156"/>
        <v>0.05</v>
      </c>
      <c r="N3653" s="464">
        <f t="shared" si="157"/>
        <v>162229</v>
      </c>
    </row>
    <row r="3654" spans="7:14" ht="11.25" customHeight="1" x14ac:dyDescent="0.25">
      <c r="G3654" s="459"/>
      <c r="H3654" s="459">
        <v>3647</v>
      </c>
      <c r="I3654" s="444">
        <f t="shared" ca="1" si="155"/>
        <v>-3109751772078.5337</v>
      </c>
      <c r="J3654" s="444">
        <f t="array" ref="J3654">IFERROR(INDEX('Retirement Calculator'!K:K,MATCH('Lorri 401b'!N3654,'Retirement Calculator'!A:A,0),0),0)</f>
        <v>0</v>
      </c>
      <c r="K3654" s="444">
        <f t="shared" ca="1" si="153"/>
        <v>-12957299050.327223</v>
      </c>
      <c r="L3654" s="444">
        <f t="shared" ca="1" si="154"/>
        <v>-3122709071128.8608</v>
      </c>
      <c r="M3654" s="460">
        <f t="shared" si="156"/>
        <v>0.05</v>
      </c>
      <c r="N3654" s="464">
        <f t="shared" si="157"/>
        <v>162260</v>
      </c>
    </row>
    <row r="3655" spans="7:14" ht="11.25" customHeight="1" x14ac:dyDescent="0.25">
      <c r="G3655" s="459"/>
      <c r="H3655" s="459">
        <v>3648</v>
      </c>
      <c r="I3655" s="444">
        <f t="shared" ca="1" si="155"/>
        <v>-3122709071128.8608</v>
      </c>
      <c r="J3655" s="444">
        <f t="array" ref="J3655">IFERROR(INDEX('Retirement Calculator'!K:K,MATCH('Lorri 401b'!N3655,'Retirement Calculator'!A:A,0),0),0)</f>
        <v>0</v>
      </c>
      <c r="K3655" s="444">
        <f t="shared" ca="1" si="153"/>
        <v>-13011287796.370253</v>
      </c>
      <c r="L3655" s="444">
        <f t="shared" ca="1" si="154"/>
        <v>-3135720358925.231</v>
      </c>
      <c r="M3655" s="460">
        <f t="shared" si="156"/>
        <v>0.05</v>
      </c>
      <c r="N3655" s="464">
        <f t="shared" si="157"/>
        <v>162290</v>
      </c>
    </row>
    <row r="3656" spans="7:14" ht="11.25" customHeight="1" x14ac:dyDescent="0.25">
      <c r="G3656" s="459"/>
      <c r="H3656" s="459">
        <v>3649</v>
      </c>
      <c r="I3656" s="444">
        <f t="shared" ca="1" si="155"/>
        <v>-3135720358925.231</v>
      </c>
      <c r="J3656" s="444">
        <f t="array" ref="J3656">IFERROR(INDEX('Retirement Calculator'!K:K,MATCH('Lorri 401b'!N3656,'Retirement Calculator'!A:A,0),0),0)</f>
        <v>0</v>
      </c>
      <c r="K3656" s="444">
        <f t="shared" ca="1" si="153"/>
        <v>-13065501495.521795</v>
      </c>
      <c r="L3656" s="444">
        <f t="shared" ca="1" si="154"/>
        <v>-3148785860420.7529</v>
      </c>
      <c r="M3656" s="460">
        <f t="shared" si="156"/>
        <v>0.05</v>
      </c>
      <c r="N3656" s="464">
        <f t="shared" si="157"/>
        <v>162321</v>
      </c>
    </row>
    <row r="3657" spans="7:14" ht="11.25" customHeight="1" x14ac:dyDescent="0.25">
      <c r="G3657" s="459"/>
      <c r="H3657" s="459">
        <v>3650</v>
      </c>
      <c r="I3657" s="444">
        <f t="shared" ca="1" si="155"/>
        <v>-3148785860420.7529</v>
      </c>
      <c r="J3657" s="444">
        <f t="array" ref="J3657">IFERROR(INDEX('Retirement Calculator'!K:K,MATCH('Lorri 401b'!N3657,'Retirement Calculator'!A:A,0),0),0)</f>
        <v>0</v>
      </c>
      <c r="K3657" s="444">
        <f t="shared" ca="1" si="153"/>
        <v>-13119941085.08647</v>
      </c>
      <c r="L3657" s="444">
        <f t="shared" ca="1" si="154"/>
        <v>-3161905801505.8394</v>
      </c>
      <c r="M3657" s="460">
        <f t="shared" si="156"/>
        <v>0.05</v>
      </c>
      <c r="N3657" s="464">
        <f t="shared" si="157"/>
        <v>162351</v>
      </c>
    </row>
    <row r="3658" spans="7:14" ht="11.25" customHeight="1" x14ac:dyDescent="0.25">
      <c r="G3658" s="459"/>
      <c r="H3658" s="459">
        <v>3651</v>
      </c>
      <c r="I3658" s="444">
        <f t="shared" ca="1" si="155"/>
        <v>-3161905801505.8394</v>
      </c>
      <c r="J3658" s="444">
        <f t="array" ref="J3658">IFERROR(INDEX('Retirement Calculator'!K:K,MATCH('Lorri 401b'!N3658,'Retirement Calculator'!A:A,0),0),0)</f>
        <v>0</v>
      </c>
      <c r="K3658" s="444">
        <f t="shared" ca="1" si="153"/>
        <v>-13174607506.27433</v>
      </c>
      <c r="L3658" s="444">
        <f t="shared" ca="1" si="154"/>
        <v>-3175080409012.1138</v>
      </c>
      <c r="M3658" s="460">
        <f t="shared" si="156"/>
        <v>0.05</v>
      </c>
      <c r="N3658" s="464">
        <f t="shared" si="157"/>
        <v>162382</v>
      </c>
    </row>
    <row r="3659" spans="7:14" ht="11.25" customHeight="1" x14ac:dyDescent="0.25">
      <c r="G3659" s="459"/>
      <c r="H3659" s="459">
        <v>3652</v>
      </c>
      <c r="I3659" s="444">
        <f t="shared" ca="1" si="155"/>
        <v>-3175080409012.1138</v>
      </c>
      <c r="J3659" s="444">
        <f t="array" ref="J3659">IFERROR(INDEX('Retirement Calculator'!K:K,MATCH('Lorri 401b'!N3659,'Retirement Calculator'!A:A,0),0),0)</f>
        <v>0</v>
      </c>
      <c r="K3659" s="444">
        <f t="shared" ca="1" si="153"/>
        <v>-13229501704.21714</v>
      </c>
      <c r="L3659" s="444">
        <f t="shared" ca="1" si="154"/>
        <v>-3188309910716.3311</v>
      </c>
      <c r="M3659" s="460">
        <f t="shared" si="156"/>
        <v>0.05</v>
      </c>
      <c r="N3659" s="464">
        <f t="shared" si="157"/>
        <v>162413</v>
      </c>
    </row>
    <row r="3660" spans="7:14" ht="11.25" customHeight="1" x14ac:dyDescent="0.25">
      <c r="G3660" s="459"/>
      <c r="H3660" s="459">
        <v>3653</v>
      </c>
      <c r="I3660" s="444">
        <f t="shared" ca="1" si="155"/>
        <v>-3188309910716.3311</v>
      </c>
      <c r="J3660" s="444">
        <f t="array" ref="J3660">IFERROR(INDEX('Retirement Calculator'!K:K,MATCH('Lorri 401b'!N3660,'Retirement Calculator'!A:A,0),0),0)</f>
        <v>0</v>
      </c>
      <c r="K3660" s="444">
        <f t="shared" ca="1" si="153"/>
        <v>-13284624627.984713</v>
      </c>
      <c r="L3660" s="444">
        <f t="shared" ca="1" si="154"/>
        <v>-3201594535344.3159</v>
      </c>
      <c r="M3660" s="460">
        <f t="shared" si="156"/>
        <v>0.05</v>
      </c>
      <c r="N3660" s="464">
        <f t="shared" si="157"/>
        <v>162443</v>
      </c>
    </row>
    <row r="3661" spans="7:14" ht="11.25" customHeight="1" x14ac:dyDescent="0.25">
      <c r="G3661" s="459"/>
      <c r="H3661" s="459">
        <v>3654</v>
      </c>
      <c r="I3661" s="444">
        <f t="shared" ca="1" si="155"/>
        <v>-3201594535344.3159</v>
      </c>
      <c r="J3661" s="444">
        <f t="array" ref="J3661">IFERROR(INDEX('Retirement Calculator'!K:K,MATCH('Lorri 401b'!N3661,'Retirement Calculator'!A:A,0),0),0)</f>
        <v>0</v>
      </c>
      <c r="K3661" s="444">
        <f t="shared" ca="1" si="153"/>
        <v>-13339977230.601316</v>
      </c>
      <c r="L3661" s="444">
        <f t="shared" ca="1" si="154"/>
        <v>-3214934512574.917</v>
      </c>
      <c r="M3661" s="460">
        <f t="shared" si="156"/>
        <v>0.05</v>
      </c>
      <c r="N3661" s="464">
        <f t="shared" si="157"/>
        <v>162474</v>
      </c>
    </row>
    <row r="3662" spans="7:14" ht="11.25" customHeight="1" x14ac:dyDescent="0.25">
      <c r="G3662" s="459"/>
      <c r="H3662" s="459">
        <v>3655</v>
      </c>
      <c r="I3662" s="444">
        <f t="shared" ca="1" si="155"/>
        <v>-3214934512574.917</v>
      </c>
      <c r="J3662" s="444">
        <f t="array" ref="J3662">IFERROR(INDEX('Retirement Calculator'!K:K,MATCH('Lorri 401b'!N3662,'Retirement Calculator'!A:A,0),0),0)</f>
        <v>0</v>
      </c>
      <c r="K3662" s="444">
        <f t="shared" ca="1" si="153"/>
        <v>-13395560469.062155</v>
      </c>
      <c r="L3662" s="444">
        <f t="shared" ca="1" si="154"/>
        <v>-3228330073043.979</v>
      </c>
      <c r="M3662" s="460">
        <f t="shared" si="156"/>
        <v>0.05</v>
      </c>
      <c r="N3662" s="464">
        <f t="shared" si="157"/>
        <v>162504</v>
      </c>
    </row>
    <row r="3663" spans="7:14" ht="11.25" customHeight="1" x14ac:dyDescent="0.25">
      <c r="G3663" s="459"/>
      <c r="H3663" s="459">
        <v>3656</v>
      </c>
      <c r="I3663" s="444">
        <f t="shared" ca="1" si="155"/>
        <v>-3228330073043.979</v>
      </c>
      <c r="J3663" s="444">
        <f t="array" ref="J3663">IFERROR(INDEX('Retirement Calculator'!K:K,MATCH('Lorri 401b'!N3663,'Retirement Calculator'!A:A,0),0),0)</f>
        <v>0</v>
      </c>
      <c r="K3663" s="444">
        <f t="shared" ca="1" si="153"/>
        <v>-13451375304.349913</v>
      </c>
      <c r="L3663" s="444">
        <f t="shared" ca="1" si="154"/>
        <v>-3241781448348.3291</v>
      </c>
      <c r="M3663" s="460">
        <f t="shared" si="156"/>
        <v>0.05</v>
      </c>
      <c r="N3663" s="464">
        <f t="shared" si="157"/>
        <v>162535</v>
      </c>
    </row>
    <row r="3664" spans="7:14" ht="11.25" customHeight="1" x14ac:dyDescent="0.25">
      <c r="G3664" s="459"/>
      <c r="H3664" s="459">
        <v>3657</v>
      </c>
      <c r="I3664" s="444">
        <f t="shared" ca="1" si="155"/>
        <v>-3241781448348.3291</v>
      </c>
      <c r="J3664" s="444">
        <f t="array" ref="J3664">IFERROR(INDEX('Retirement Calculator'!K:K,MATCH('Lorri 401b'!N3664,'Retirement Calculator'!A:A,0),0),0)</f>
        <v>0</v>
      </c>
      <c r="K3664" s="444">
        <f t="shared" ca="1" si="153"/>
        <v>-13507422701.45137</v>
      </c>
      <c r="L3664" s="444">
        <f t="shared" ca="1" si="154"/>
        <v>-3255288871049.7803</v>
      </c>
      <c r="M3664" s="460">
        <f t="shared" si="156"/>
        <v>0.05</v>
      </c>
      <c r="N3664" s="464">
        <f t="shared" si="157"/>
        <v>162566</v>
      </c>
    </row>
    <row r="3665" spans="7:14" ht="11.25" customHeight="1" x14ac:dyDescent="0.25">
      <c r="G3665" s="459"/>
      <c r="H3665" s="459">
        <v>3658</v>
      </c>
      <c r="I3665" s="444">
        <f t="shared" ca="1" si="155"/>
        <v>-3255288871049.7803</v>
      </c>
      <c r="J3665" s="444">
        <f t="array" ref="J3665">IFERROR(INDEX('Retirement Calculator'!K:K,MATCH('Lorri 401b'!N3665,'Retirement Calculator'!A:A,0),0),0)</f>
        <v>0</v>
      </c>
      <c r="K3665" s="444">
        <f t="shared" ca="1" si="153"/>
        <v>-13563703629.374084</v>
      </c>
      <c r="L3665" s="444">
        <f t="shared" ca="1" si="154"/>
        <v>-3268852574679.1543</v>
      </c>
      <c r="M3665" s="460">
        <f t="shared" si="156"/>
        <v>0.05</v>
      </c>
      <c r="N3665" s="464">
        <f t="shared" si="157"/>
        <v>162594</v>
      </c>
    </row>
    <row r="3666" spans="7:14" ht="11.25" customHeight="1" x14ac:dyDescent="0.25">
      <c r="G3666" s="459"/>
      <c r="H3666" s="459">
        <v>3659</v>
      </c>
      <c r="I3666" s="444">
        <f t="shared" ca="1" si="155"/>
        <v>-3268852574679.1543</v>
      </c>
      <c r="J3666" s="444">
        <f t="array" ref="J3666">IFERROR(INDEX('Retirement Calculator'!K:K,MATCH('Lorri 401b'!N3666,'Retirement Calculator'!A:A,0),0),0)</f>
        <v>0</v>
      </c>
      <c r="K3666" s="444">
        <f t="shared" ca="1" si="153"/>
        <v>-13620219061.163143</v>
      </c>
      <c r="L3666" s="444">
        <f t="shared" ca="1" si="154"/>
        <v>-3282472793740.3174</v>
      </c>
      <c r="M3666" s="460">
        <f t="shared" si="156"/>
        <v>0.05</v>
      </c>
      <c r="N3666" s="464">
        <f t="shared" si="157"/>
        <v>162625</v>
      </c>
    </row>
    <row r="3667" spans="7:14" ht="11.25" customHeight="1" x14ac:dyDescent="0.25">
      <c r="G3667" s="459"/>
      <c r="H3667" s="459">
        <v>3660</v>
      </c>
      <c r="I3667" s="444">
        <f t="shared" ca="1" si="155"/>
        <v>-3282472793740.3174</v>
      </c>
      <c r="J3667" s="444">
        <f t="array" ref="J3667">IFERROR(INDEX('Retirement Calculator'!K:K,MATCH('Lorri 401b'!N3667,'Retirement Calculator'!A:A,0),0),0)</f>
        <v>0</v>
      </c>
      <c r="K3667" s="444">
        <f t="shared" ca="1" si="153"/>
        <v>-13676969973.91799</v>
      </c>
      <c r="L3667" s="444">
        <f t="shared" ca="1" si="154"/>
        <v>-3296149763714.2354</v>
      </c>
      <c r="M3667" s="460">
        <f t="shared" si="156"/>
        <v>0.05</v>
      </c>
      <c r="N3667" s="464">
        <f t="shared" si="157"/>
        <v>162655</v>
      </c>
    </row>
    <row r="3668" spans="7:14" ht="11.25" customHeight="1" x14ac:dyDescent="0.25">
      <c r="G3668" s="459"/>
      <c r="H3668" s="459">
        <v>3661</v>
      </c>
      <c r="I3668" s="444">
        <f t="shared" ca="1" si="155"/>
        <v>-3296149763714.2354</v>
      </c>
      <c r="J3668" s="444">
        <f t="array" ref="J3668">IFERROR(INDEX('Retirement Calculator'!K:K,MATCH('Lorri 401b'!N3668,'Retirement Calculator'!A:A,0),0),0)</f>
        <v>0</v>
      </c>
      <c r="K3668" s="444">
        <f t="shared" ca="1" si="153"/>
        <v>-13733957348.809315</v>
      </c>
      <c r="L3668" s="444">
        <f t="shared" ca="1" si="154"/>
        <v>-3309883721063.0444</v>
      </c>
      <c r="M3668" s="460">
        <f t="shared" si="156"/>
        <v>0.05</v>
      </c>
      <c r="N3668" s="464">
        <f t="shared" si="157"/>
        <v>162686</v>
      </c>
    </row>
    <row r="3669" spans="7:14" ht="11.25" customHeight="1" x14ac:dyDescent="0.25">
      <c r="G3669" s="459"/>
      <c r="H3669" s="459">
        <v>3662</v>
      </c>
      <c r="I3669" s="444">
        <f t="shared" ca="1" si="155"/>
        <v>-3309883721063.0444</v>
      </c>
      <c r="J3669" s="444">
        <f t="array" ref="J3669">IFERROR(INDEX('Retirement Calculator'!K:K,MATCH('Lorri 401b'!N3669,'Retirement Calculator'!A:A,0),0),0)</f>
        <v>0</v>
      </c>
      <c r="K3669" s="444">
        <f t="shared" ca="1" si="153"/>
        <v>-13791182171.096018</v>
      </c>
      <c r="L3669" s="444">
        <f t="shared" ca="1" si="154"/>
        <v>-3323674903234.1406</v>
      </c>
      <c r="M3669" s="460">
        <f t="shared" si="156"/>
        <v>0.05</v>
      </c>
      <c r="N3669" s="464">
        <f t="shared" si="157"/>
        <v>162716</v>
      </c>
    </row>
    <row r="3670" spans="7:14" ht="11.25" customHeight="1" x14ac:dyDescent="0.25">
      <c r="G3670" s="459"/>
      <c r="H3670" s="459">
        <v>3663</v>
      </c>
      <c r="I3670" s="444">
        <f t="shared" ca="1" si="155"/>
        <v>-3323674903234.1406</v>
      </c>
      <c r="J3670" s="444">
        <f t="array" ref="J3670">IFERROR(INDEX('Retirement Calculator'!K:K,MATCH('Lorri 401b'!N3670,'Retirement Calculator'!A:A,0),0),0)</f>
        <v>0</v>
      </c>
      <c r="K3670" s="444">
        <f t="shared" ca="1" si="153"/>
        <v>-13848645430.142252</v>
      </c>
      <c r="L3670" s="444">
        <f t="shared" ca="1" si="154"/>
        <v>-3337523548664.2827</v>
      </c>
      <c r="M3670" s="460">
        <f t="shared" si="156"/>
        <v>0.05</v>
      </c>
      <c r="N3670" s="464">
        <f t="shared" si="157"/>
        <v>162747</v>
      </c>
    </row>
    <row r="3671" spans="7:14" ht="11.25" customHeight="1" x14ac:dyDescent="0.25">
      <c r="G3671" s="459"/>
      <c r="H3671" s="459">
        <v>3664</v>
      </c>
      <c r="I3671" s="444">
        <f t="shared" ca="1" si="155"/>
        <v>-3337523548664.2827</v>
      </c>
      <c r="J3671" s="444">
        <f t="array" ref="J3671">IFERROR(INDEX('Retirement Calculator'!K:K,MATCH('Lorri 401b'!N3671,'Retirement Calculator'!A:A,0),0),0)</f>
        <v>0</v>
      </c>
      <c r="K3671" s="444">
        <f t="shared" ca="1" si="153"/>
        <v>-13906348119.434511</v>
      </c>
      <c r="L3671" s="444">
        <f t="shared" ca="1" si="154"/>
        <v>-3351429896783.7173</v>
      </c>
      <c r="M3671" s="460">
        <f t="shared" si="156"/>
        <v>0.05</v>
      </c>
      <c r="N3671" s="464">
        <f t="shared" si="157"/>
        <v>162778</v>
      </c>
    </row>
    <row r="3672" spans="7:14" ht="11.25" customHeight="1" x14ac:dyDescent="0.25">
      <c r="G3672" s="459"/>
      <c r="H3672" s="459">
        <v>3665</v>
      </c>
      <c r="I3672" s="444">
        <f t="shared" ca="1" si="155"/>
        <v>-3351429896783.7173</v>
      </c>
      <c r="J3672" s="444">
        <f t="array" ref="J3672">IFERROR(INDEX('Retirement Calculator'!K:K,MATCH('Lorri 401b'!N3672,'Retirement Calculator'!A:A,0),0),0)</f>
        <v>0</v>
      </c>
      <c r="K3672" s="444">
        <f t="shared" ca="1" si="153"/>
        <v>-13964291236.598822</v>
      </c>
      <c r="L3672" s="444">
        <f t="shared" ca="1" si="154"/>
        <v>-3365394188020.3159</v>
      </c>
      <c r="M3672" s="460">
        <f t="shared" si="156"/>
        <v>0.05</v>
      </c>
      <c r="N3672" s="464">
        <f t="shared" si="157"/>
        <v>162808</v>
      </c>
    </row>
    <row r="3673" spans="7:14" ht="11.25" customHeight="1" x14ac:dyDescent="0.25">
      <c r="G3673" s="459"/>
      <c r="H3673" s="459">
        <v>3666</v>
      </c>
      <c r="I3673" s="444">
        <f t="shared" ca="1" si="155"/>
        <v>-3365394188020.3159</v>
      </c>
      <c r="J3673" s="444">
        <f t="array" ref="J3673">IFERROR(INDEX('Retirement Calculator'!K:K,MATCH('Lorri 401b'!N3673,'Retirement Calculator'!A:A,0),0),0)</f>
        <v>0</v>
      </c>
      <c r="K3673" s="444">
        <f t="shared" ca="1" si="153"/>
        <v>-14022475783.417982</v>
      </c>
      <c r="L3673" s="444">
        <f t="shared" ca="1" si="154"/>
        <v>-3379416663803.7339</v>
      </c>
      <c r="M3673" s="460">
        <f t="shared" si="156"/>
        <v>0.05</v>
      </c>
      <c r="N3673" s="464">
        <f t="shared" si="157"/>
        <v>162839</v>
      </c>
    </row>
    <row r="3674" spans="7:14" ht="11.25" customHeight="1" x14ac:dyDescent="0.25">
      <c r="G3674" s="459"/>
      <c r="H3674" s="459">
        <v>3667</v>
      </c>
      <c r="I3674" s="444">
        <f t="shared" ca="1" si="155"/>
        <v>-3379416663803.7339</v>
      </c>
      <c r="J3674" s="444">
        <f t="array" ref="J3674">IFERROR(INDEX('Retirement Calculator'!K:K,MATCH('Lorri 401b'!N3674,'Retirement Calculator'!A:A,0),0),0)</f>
        <v>0</v>
      </c>
      <c r="K3674" s="444">
        <f t="shared" ca="1" si="153"/>
        <v>-14080902765.84889</v>
      </c>
      <c r="L3674" s="444">
        <f t="shared" ca="1" si="154"/>
        <v>-3393497566569.583</v>
      </c>
      <c r="M3674" s="460">
        <f t="shared" si="156"/>
        <v>0.05</v>
      </c>
      <c r="N3674" s="464">
        <f t="shared" si="157"/>
        <v>162869</v>
      </c>
    </row>
    <row r="3675" spans="7:14" ht="11.25" customHeight="1" x14ac:dyDescent="0.25">
      <c r="G3675" s="459"/>
      <c r="H3675" s="459">
        <v>3668</v>
      </c>
      <c r="I3675" s="444">
        <f t="shared" ca="1" si="155"/>
        <v>-3393497566569.583</v>
      </c>
      <c r="J3675" s="444">
        <f t="array" ref="J3675">IFERROR(INDEX('Retirement Calculator'!K:K,MATCH('Lorri 401b'!N3675,'Retirement Calculator'!A:A,0),0),0)</f>
        <v>0</v>
      </c>
      <c r="K3675" s="444">
        <f t="shared" ca="1" si="153"/>
        <v>-14139573194.039928</v>
      </c>
      <c r="L3675" s="444">
        <f t="shared" ca="1" si="154"/>
        <v>-3407637139763.623</v>
      </c>
      <c r="M3675" s="460">
        <f t="shared" si="156"/>
        <v>0.05</v>
      </c>
      <c r="N3675" s="464">
        <f t="shared" si="157"/>
        <v>162900</v>
      </c>
    </row>
    <row r="3676" spans="7:14" ht="11.25" customHeight="1" x14ac:dyDescent="0.25">
      <c r="G3676" s="459"/>
      <c r="H3676" s="459">
        <v>3669</v>
      </c>
      <c r="I3676" s="444">
        <f t="shared" ca="1" si="155"/>
        <v>-3407637139763.623</v>
      </c>
      <c r="J3676" s="444">
        <f t="array" ref="J3676">IFERROR(INDEX('Retirement Calculator'!K:K,MATCH('Lorri 401b'!N3676,'Retirement Calculator'!A:A,0),0),0)</f>
        <v>0</v>
      </c>
      <c r="K3676" s="444">
        <f t="shared" ca="1" si="153"/>
        <v>-14198488082.348429</v>
      </c>
      <c r="L3676" s="444">
        <f t="shared" ca="1" si="154"/>
        <v>-3421835627845.9717</v>
      </c>
      <c r="M3676" s="460">
        <f t="shared" si="156"/>
        <v>0.05</v>
      </c>
      <c r="N3676" s="464">
        <f t="shared" si="157"/>
        <v>162931</v>
      </c>
    </row>
    <row r="3677" spans="7:14" ht="11.25" customHeight="1" x14ac:dyDescent="0.25">
      <c r="G3677" s="459"/>
      <c r="H3677" s="459">
        <v>3670</v>
      </c>
      <c r="I3677" s="444">
        <f t="shared" ca="1" si="155"/>
        <v>-3421835627845.9717</v>
      </c>
      <c r="J3677" s="444">
        <f t="array" ref="J3677">IFERROR(INDEX('Retirement Calculator'!K:K,MATCH('Lorri 401b'!N3677,'Retirement Calculator'!A:A,0),0),0)</f>
        <v>0</v>
      </c>
      <c r="K3677" s="444">
        <f t="shared" ca="1" si="153"/>
        <v>-14257648449.358215</v>
      </c>
      <c r="L3677" s="444">
        <f t="shared" ca="1" si="154"/>
        <v>-3436093276295.3301</v>
      </c>
      <c r="M3677" s="460">
        <f t="shared" si="156"/>
        <v>0.05</v>
      </c>
      <c r="N3677" s="464">
        <f t="shared" si="157"/>
        <v>162959</v>
      </c>
    </row>
    <row r="3678" spans="7:14" ht="11.25" customHeight="1" x14ac:dyDescent="0.25">
      <c r="G3678" s="459"/>
      <c r="H3678" s="459">
        <v>3671</v>
      </c>
      <c r="I3678" s="444">
        <f t="shared" ca="1" si="155"/>
        <v>-3436093276295.3301</v>
      </c>
      <c r="J3678" s="444">
        <f t="array" ref="J3678">IFERROR(INDEX('Retirement Calculator'!K:K,MATCH('Lorri 401b'!N3678,'Retirement Calculator'!A:A,0),0),0)</f>
        <v>0</v>
      </c>
      <c r="K3678" s="444">
        <f t="shared" ca="1" si="153"/>
        <v>-14317055317.897209</v>
      </c>
      <c r="L3678" s="444">
        <f t="shared" ca="1" si="154"/>
        <v>-3450410331613.2271</v>
      </c>
      <c r="M3678" s="460">
        <f t="shared" si="156"/>
        <v>0.05</v>
      </c>
      <c r="N3678" s="464">
        <f t="shared" si="157"/>
        <v>162990</v>
      </c>
    </row>
    <row r="3679" spans="7:14" ht="11.25" customHeight="1" x14ac:dyDescent="0.25">
      <c r="G3679" s="459"/>
      <c r="H3679" s="459">
        <v>3672</v>
      </c>
      <c r="I3679" s="444">
        <f t="shared" ca="1" si="155"/>
        <v>-3450410331613.2271</v>
      </c>
      <c r="J3679" s="444">
        <f t="array" ref="J3679">IFERROR(INDEX('Retirement Calculator'!K:K,MATCH('Lorri 401b'!N3679,'Retirement Calculator'!A:A,0),0),0)</f>
        <v>0</v>
      </c>
      <c r="K3679" s="444">
        <f t="shared" ca="1" si="153"/>
        <v>-14376709715.055113</v>
      </c>
      <c r="L3679" s="444">
        <f t="shared" ca="1" si="154"/>
        <v>-3464787041328.2822</v>
      </c>
      <c r="M3679" s="460">
        <f t="shared" si="156"/>
        <v>0.05</v>
      </c>
      <c r="N3679" s="464">
        <f t="shared" si="157"/>
        <v>163020</v>
      </c>
    </row>
    <row r="3680" spans="7:14" ht="11.25" customHeight="1" x14ac:dyDescent="0.25">
      <c r="G3680" s="459"/>
      <c r="H3680" s="459">
        <v>3673</v>
      </c>
      <c r="I3680" s="444">
        <f t="shared" ca="1" si="155"/>
        <v>-3464787041328.2822</v>
      </c>
      <c r="J3680" s="444">
        <f t="array" ref="J3680">IFERROR(INDEX('Retirement Calculator'!K:K,MATCH('Lorri 401b'!N3680,'Retirement Calculator'!A:A,0),0),0)</f>
        <v>0</v>
      </c>
      <c r="K3680" s="444">
        <f t="shared" ca="1" si="153"/>
        <v>-14436612672.201174</v>
      </c>
      <c r="L3680" s="444">
        <f t="shared" ca="1" si="154"/>
        <v>-3479223654000.4834</v>
      </c>
      <c r="M3680" s="460">
        <f t="shared" si="156"/>
        <v>0.05</v>
      </c>
      <c r="N3680" s="464">
        <f t="shared" si="157"/>
        <v>163051</v>
      </c>
    </row>
    <row r="3681" spans="7:14" ht="11.25" customHeight="1" x14ac:dyDescent="0.25">
      <c r="G3681" s="459"/>
      <c r="H3681" s="459">
        <v>3674</v>
      </c>
      <c r="I3681" s="444">
        <f t="shared" ca="1" si="155"/>
        <v>-3479223654000.4834</v>
      </c>
      <c r="J3681" s="444">
        <f t="array" ref="J3681">IFERROR(INDEX('Retirement Calculator'!K:K,MATCH('Lorri 401b'!N3681,'Retirement Calculator'!A:A,0),0),0)</f>
        <v>0</v>
      </c>
      <c r="K3681" s="444">
        <f t="shared" ca="1" si="153"/>
        <v>-14496765225.002014</v>
      </c>
      <c r="L3681" s="444">
        <f t="shared" ca="1" si="154"/>
        <v>-3493720419225.4854</v>
      </c>
      <c r="M3681" s="460">
        <f t="shared" si="156"/>
        <v>0.05</v>
      </c>
      <c r="N3681" s="464">
        <f t="shared" si="157"/>
        <v>163081</v>
      </c>
    </row>
    <row r="3682" spans="7:14" ht="11.25" customHeight="1" x14ac:dyDescent="0.25">
      <c r="G3682" s="459"/>
      <c r="H3682" s="459">
        <v>3675</v>
      </c>
      <c r="I3682" s="444">
        <f t="shared" ca="1" si="155"/>
        <v>-3493720419225.4854</v>
      </c>
      <c r="J3682" s="444">
        <f t="array" ref="J3682">IFERROR(INDEX('Retirement Calculator'!K:K,MATCH('Lorri 401b'!N3682,'Retirement Calculator'!A:A,0),0),0)</f>
        <v>0</v>
      </c>
      <c r="K3682" s="444">
        <f t="shared" ca="1" si="153"/>
        <v>-14557168413.439522</v>
      </c>
      <c r="L3682" s="444">
        <f t="shared" ca="1" si="154"/>
        <v>-3508277587638.9248</v>
      </c>
      <c r="M3682" s="460">
        <f t="shared" si="156"/>
        <v>0.05</v>
      </c>
      <c r="N3682" s="464">
        <f t="shared" si="157"/>
        <v>163112</v>
      </c>
    </row>
    <row r="3683" spans="7:14" ht="11.25" customHeight="1" x14ac:dyDescent="0.25">
      <c r="G3683" s="459"/>
      <c r="H3683" s="459">
        <v>3676</v>
      </c>
      <c r="I3683" s="444">
        <f t="shared" ca="1" si="155"/>
        <v>-3508277587638.9248</v>
      </c>
      <c r="J3683" s="444">
        <f t="array" ref="J3683">IFERROR(INDEX('Retirement Calculator'!K:K,MATCH('Lorri 401b'!N3683,'Retirement Calculator'!A:A,0),0),0)</f>
        <v>0</v>
      </c>
      <c r="K3683" s="444">
        <f t="shared" ca="1" si="153"/>
        <v>-14617823281.828854</v>
      </c>
      <c r="L3683" s="444">
        <f t="shared" ca="1" si="154"/>
        <v>-3522895410920.7534</v>
      </c>
      <c r="M3683" s="460">
        <f t="shared" si="156"/>
        <v>0.05</v>
      </c>
      <c r="N3683" s="464">
        <f t="shared" si="157"/>
        <v>163143</v>
      </c>
    </row>
    <row r="3684" spans="7:14" ht="11.25" customHeight="1" x14ac:dyDescent="0.25">
      <c r="G3684" s="459"/>
      <c r="H3684" s="459">
        <v>3677</v>
      </c>
      <c r="I3684" s="444">
        <f t="shared" ca="1" si="155"/>
        <v>-3522895410920.7534</v>
      </c>
      <c r="J3684" s="444">
        <f t="array" ref="J3684">IFERROR(INDEX('Retirement Calculator'!K:K,MATCH('Lorri 401b'!N3684,'Retirement Calculator'!A:A,0),0),0)</f>
        <v>0</v>
      </c>
      <c r="K3684" s="444">
        <f t="shared" ca="1" si="153"/>
        <v>-14678730878.836473</v>
      </c>
      <c r="L3684" s="444">
        <f t="shared" ca="1" si="154"/>
        <v>-3537574141799.5898</v>
      </c>
      <c r="M3684" s="460">
        <f t="shared" si="156"/>
        <v>0.05</v>
      </c>
      <c r="N3684" s="464">
        <f t="shared" si="157"/>
        <v>163173</v>
      </c>
    </row>
    <row r="3685" spans="7:14" ht="11.25" customHeight="1" x14ac:dyDescent="0.25">
      <c r="G3685" s="459"/>
      <c r="H3685" s="459">
        <v>3678</v>
      </c>
      <c r="I3685" s="444">
        <f t="shared" ca="1" si="155"/>
        <v>-3537574141799.5898</v>
      </c>
      <c r="J3685" s="444">
        <f t="array" ref="J3685">IFERROR(INDEX('Retirement Calculator'!K:K,MATCH('Lorri 401b'!N3685,'Retirement Calculator'!A:A,0),0),0)</f>
        <v>0</v>
      </c>
      <c r="K3685" s="444">
        <f t="shared" ca="1" si="153"/>
        <v>-14739892257.498291</v>
      </c>
      <c r="L3685" s="444">
        <f t="shared" ca="1" si="154"/>
        <v>-3552314034057.0879</v>
      </c>
      <c r="M3685" s="460">
        <f t="shared" si="156"/>
        <v>0.05</v>
      </c>
      <c r="N3685" s="464">
        <f t="shared" si="157"/>
        <v>163204</v>
      </c>
    </row>
    <row r="3686" spans="7:14" ht="11.25" customHeight="1" x14ac:dyDescent="0.25">
      <c r="G3686" s="459"/>
      <c r="H3686" s="459">
        <v>3679</v>
      </c>
      <c r="I3686" s="444">
        <f t="shared" ca="1" si="155"/>
        <v>-3552314034057.0879</v>
      </c>
      <c r="J3686" s="444">
        <f t="array" ref="J3686">IFERROR(INDEX('Retirement Calculator'!K:K,MATCH('Lorri 401b'!N3686,'Retirement Calculator'!A:A,0),0),0)</f>
        <v>0</v>
      </c>
      <c r="K3686" s="444">
        <f t="shared" ca="1" si="153"/>
        <v>-14801308475.237865</v>
      </c>
      <c r="L3686" s="444">
        <f t="shared" ca="1" si="154"/>
        <v>-3567115342532.3257</v>
      </c>
      <c r="M3686" s="460">
        <f t="shared" si="156"/>
        <v>0.05</v>
      </c>
      <c r="N3686" s="464">
        <f t="shared" si="157"/>
        <v>163234</v>
      </c>
    </row>
    <row r="3687" spans="7:14" ht="11.25" customHeight="1" x14ac:dyDescent="0.25">
      <c r="G3687" s="459"/>
      <c r="H3687" s="459">
        <v>3680</v>
      </c>
      <c r="I3687" s="444">
        <f t="shared" ca="1" si="155"/>
        <v>-3567115342532.3257</v>
      </c>
      <c r="J3687" s="444">
        <f t="array" ref="J3687">IFERROR(INDEX('Retirement Calculator'!K:K,MATCH('Lorri 401b'!N3687,'Retirement Calculator'!A:A,0),0),0)</f>
        <v>0</v>
      </c>
      <c r="K3687" s="444">
        <f t="shared" ca="1" si="153"/>
        <v>-14862980593.884691</v>
      </c>
      <c r="L3687" s="444">
        <f t="shared" ca="1" si="154"/>
        <v>-3581978323126.2104</v>
      </c>
      <c r="M3687" s="460">
        <f t="shared" si="156"/>
        <v>0.05</v>
      </c>
      <c r="N3687" s="464">
        <f t="shared" si="157"/>
        <v>163265</v>
      </c>
    </row>
    <row r="3688" spans="7:14" ht="11.25" customHeight="1" x14ac:dyDescent="0.25">
      <c r="G3688" s="459"/>
      <c r="H3688" s="459">
        <v>3681</v>
      </c>
      <c r="I3688" s="444">
        <f t="shared" ca="1" si="155"/>
        <v>-3581978323126.2104</v>
      </c>
      <c r="J3688" s="444">
        <f t="array" ref="J3688">IFERROR(INDEX('Retirement Calculator'!K:K,MATCH('Lorri 401b'!N3688,'Retirement Calculator'!A:A,0),0),0)</f>
        <v>0</v>
      </c>
      <c r="K3688" s="444">
        <f t="shared" ca="1" si="153"/>
        <v>-14924909679.692543</v>
      </c>
      <c r="L3688" s="444">
        <f t="shared" ca="1" si="154"/>
        <v>-3596903232805.9028</v>
      </c>
      <c r="M3688" s="460">
        <f t="shared" si="156"/>
        <v>0.05</v>
      </c>
      <c r="N3688" s="464">
        <f t="shared" si="157"/>
        <v>163296</v>
      </c>
    </row>
    <row r="3689" spans="7:14" ht="11.25" customHeight="1" x14ac:dyDescent="0.25">
      <c r="G3689" s="459"/>
      <c r="H3689" s="459">
        <v>3682</v>
      </c>
      <c r="I3689" s="444">
        <f t="shared" ca="1" si="155"/>
        <v>-3596903232805.9028</v>
      </c>
      <c r="J3689" s="444">
        <f t="array" ref="J3689">IFERROR(INDEX('Retirement Calculator'!K:K,MATCH('Lorri 401b'!N3689,'Retirement Calculator'!A:A,0),0),0)</f>
        <v>0</v>
      </c>
      <c r="K3689" s="444">
        <f t="shared" ca="1" si="153"/>
        <v>-14987096803.357931</v>
      </c>
      <c r="L3689" s="444">
        <f t="shared" ca="1" si="154"/>
        <v>-3611890329609.2607</v>
      </c>
      <c r="M3689" s="460">
        <f t="shared" si="156"/>
        <v>0.05</v>
      </c>
      <c r="N3689" s="464">
        <f t="shared" si="157"/>
        <v>163324</v>
      </c>
    </row>
    <row r="3690" spans="7:14" ht="11.25" customHeight="1" x14ac:dyDescent="0.25">
      <c r="G3690" s="459"/>
      <c r="H3690" s="459">
        <v>3683</v>
      </c>
      <c r="I3690" s="444">
        <f t="shared" ca="1" si="155"/>
        <v>-3611890329609.2607</v>
      </c>
      <c r="J3690" s="444">
        <f t="array" ref="J3690">IFERROR(INDEX('Retirement Calculator'!K:K,MATCH('Lorri 401b'!N3690,'Retirement Calculator'!A:A,0),0),0)</f>
        <v>0</v>
      </c>
      <c r="K3690" s="444">
        <f t="shared" ca="1" si="153"/>
        <v>-15049543040.038584</v>
      </c>
      <c r="L3690" s="444">
        <f t="shared" ca="1" si="154"/>
        <v>-3626939872649.2993</v>
      </c>
      <c r="M3690" s="460">
        <f t="shared" si="156"/>
        <v>0.05</v>
      </c>
      <c r="N3690" s="464">
        <f t="shared" si="157"/>
        <v>163355</v>
      </c>
    </row>
    <row r="3691" spans="7:14" ht="11.25" customHeight="1" x14ac:dyDescent="0.25">
      <c r="G3691" s="459"/>
      <c r="H3691" s="459">
        <v>3684</v>
      </c>
      <c r="I3691" s="444">
        <f t="shared" ca="1" si="155"/>
        <v>-3626939872649.2993</v>
      </c>
      <c r="J3691" s="444">
        <f t="array" ref="J3691">IFERROR(INDEX('Retirement Calculator'!K:K,MATCH('Lorri 401b'!N3691,'Retirement Calculator'!A:A,0),0),0)</f>
        <v>0</v>
      </c>
      <c r="K3691" s="444">
        <f t="shared" ca="1" si="153"/>
        <v>-15112249469.37208</v>
      </c>
      <c r="L3691" s="444">
        <f t="shared" ca="1" si="154"/>
        <v>-3642052122118.6714</v>
      </c>
      <c r="M3691" s="460">
        <f t="shared" si="156"/>
        <v>0.05</v>
      </c>
      <c r="N3691" s="464">
        <f t="shared" si="157"/>
        <v>163385</v>
      </c>
    </row>
    <row r="3692" spans="7:14" ht="11.25" customHeight="1" x14ac:dyDescent="0.25">
      <c r="G3692" s="459"/>
      <c r="H3692" s="459">
        <v>3685</v>
      </c>
      <c r="I3692" s="444">
        <f t="shared" ca="1" si="155"/>
        <v>-3642052122118.6714</v>
      </c>
      <c r="J3692" s="444">
        <f t="array" ref="J3692">IFERROR(INDEX('Retirement Calculator'!K:K,MATCH('Lorri 401b'!N3692,'Retirement Calculator'!A:A,0),0),0)</f>
        <v>0</v>
      </c>
      <c r="K3692" s="444">
        <f t="shared" ca="1" si="153"/>
        <v>-15175217175.494461</v>
      </c>
      <c r="L3692" s="444">
        <f t="shared" ca="1" si="154"/>
        <v>-3657227339294.166</v>
      </c>
      <c r="M3692" s="460">
        <f t="shared" si="156"/>
        <v>0.05</v>
      </c>
      <c r="N3692" s="464">
        <f t="shared" si="157"/>
        <v>163416</v>
      </c>
    </row>
    <row r="3693" spans="7:14" ht="11.25" customHeight="1" x14ac:dyDescent="0.25">
      <c r="G3693" s="459"/>
      <c r="H3693" s="459">
        <v>3686</v>
      </c>
      <c r="I3693" s="444">
        <f t="shared" ca="1" si="155"/>
        <v>-3657227339294.166</v>
      </c>
      <c r="J3693" s="444">
        <f t="array" ref="J3693">IFERROR(INDEX('Retirement Calculator'!K:K,MATCH('Lorri 401b'!N3693,'Retirement Calculator'!A:A,0),0),0)</f>
        <v>0</v>
      </c>
      <c r="K3693" s="444">
        <f t="shared" ca="1" si="153"/>
        <v>-15238447247.059027</v>
      </c>
      <c r="L3693" s="444">
        <f t="shared" ca="1" si="154"/>
        <v>-3672465786541.2251</v>
      </c>
      <c r="M3693" s="460">
        <f t="shared" si="156"/>
        <v>0.05</v>
      </c>
      <c r="N3693" s="464">
        <f t="shared" si="157"/>
        <v>163446</v>
      </c>
    </row>
    <row r="3694" spans="7:14" ht="11.25" customHeight="1" x14ac:dyDescent="0.25">
      <c r="G3694" s="459"/>
      <c r="H3694" s="459">
        <v>3687</v>
      </c>
      <c r="I3694" s="444">
        <f t="shared" ca="1" si="155"/>
        <v>-3672465786541.2251</v>
      </c>
      <c r="J3694" s="444">
        <f t="array" ref="J3694">IFERROR(INDEX('Retirement Calculator'!K:K,MATCH('Lorri 401b'!N3694,'Retirement Calculator'!A:A,0),0),0)</f>
        <v>0</v>
      </c>
      <c r="K3694" s="444">
        <f t="shared" ca="1" si="153"/>
        <v>-15301940777.255104</v>
      </c>
      <c r="L3694" s="444">
        <f t="shared" ca="1" si="154"/>
        <v>-3687767727318.48</v>
      </c>
      <c r="M3694" s="460">
        <f t="shared" si="156"/>
        <v>0.05</v>
      </c>
      <c r="N3694" s="464">
        <f t="shared" si="157"/>
        <v>163477</v>
      </c>
    </row>
    <row r="3695" spans="7:14" ht="11.25" customHeight="1" x14ac:dyDescent="0.25">
      <c r="G3695" s="459"/>
      <c r="H3695" s="459">
        <v>3688</v>
      </c>
      <c r="I3695" s="444">
        <f t="shared" ca="1" si="155"/>
        <v>-3687767727318.48</v>
      </c>
      <c r="J3695" s="444">
        <f t="array" ref="J3695">IFERROR(INDEX('Retirement Calculator'!K:K,MATCH('Lorri 401b'!N3695,'Retirement Calculator'!A:A,0),0),0)</f>
        <v>0</v>
      </c>
      <c r="K3695" s="444">
        <f t="shared" ca="1" si="153"/>
        <v>-15365698863.827</v>
      </c>
      <c r="L3695" s="444">
        <f t="shared" ca="1" si="154"/>
        <v>-3703133426182.3071</v>
      </c>
      <c r="M3695" s="460">
        <f t="shared" si="156"/>
        <v>0.05</v>
      </c>
      <c r="N3695" s="464">
        <f t="shared" si="157"/>
        <v>163508</v>
      </c>
    </row>
    <row r="3696" spans="7:14" ht="11.25" customHeight="1" x14ac:dyDescent="0.25">
      <c r="G3696" s="459"/>
      <c r="H3696" s="459">
        <v>3689</v>
      </c>
      <c r="I3696" s="444">
        <f t="shared" ca="1" si="155"/>
        <v>-3703133426182.3071</v>
      </c>
      <c r="J3696" s="444">
        <f t="array" ref="J3696">IFERROR(INDEX('Retirement Calculator'!K:K,MATCH('Lorri 401b'!N3696,'Retirement Calculator'!A:A,0),0),0)</f>
        <v>0</v>
      </c>
      <c r="K3696" s="444">
        <f t="shared" ca="1" si="153"/>
        <v>-15429722609.092947</v>
      </c>
      <c r="L3696" s="444">
        <f t="shared" ca="1" si="154"/>
        <v>-3718563148791.3999</v>
      </c>
      <c r="M3696" s="460">
        <f t="shared" si="156"/>
        <v>0.05</v>
      </c>
      <c r="N3696" s="464">
        <f t="shared" si="157"/>
        <v>163538</v>
      </c>
    </row>
    <row r="3697" spans="7:14" ht="11.25" customHeight="1" x14ac:dyDescent="0.25">
      <c r="G3697" s="459"/>
      <c r="H3697" s="459">
        <v>3690</v>
      </c>
      <c r="I3697" s="444">
        <f t="shared" ca="1" si="155"/>
        <v>-3718563148791.3999</v>
      </c>
      <c r="J3697" s="444">
        <f t="array" ref="J3697">IFERROR(INDEX('Retirement Calculator'!K:K,MATCH('Lorri 401b'!N3697,'Retirement Calculator'!A:A,0),0),0)</f>
        <v>0</v>
      </c>
      <c r="K3697" s="444">
        <f t="shared" ca="1" si="153"/>
        <v>-15494013119.964167</v>
      </c>
      <c r="L3697" s="444">
        <f t="shared" ca="1" si="154"/>
        <v>-3734057161911.3643</v>
      </c>
      <c r="M3697" s="460">
        <f t="shared" si="156"/>
        <v>0.05</v>
      </c>
      <c r="N3697" s="464">
        <f t="shared" si="157"/>
        <v>163569</v>
      </c>
    </row>
    <row r="3698" spans="7:14" ht="11.25" customHeight="1" x14ac:dyDescent="0.25">
      <c r="G3698" s="459"/>
      <c r="H3698" s="459">
        <v>3691</v>
      </c>
      <c r="I3698" s="444">
        <f t="shared" ca="1" si="155"/>
        <v>-3734057161911.3643</v>
      </c>
      <c r="J3698" s="444">
        <f t="array" ref="J3698">IFERROR(INDEX('Retirement Calculator'!K:K,MATCH('Lorri 401b'!N3698,'Retirement Calculator'!A:A,0),0),0)</f>
        <v>0</v>
      </c>
      <c r="K3698" s="444">
        <f t="shared" ca="1" si="153"/>
        <v>-15558571507.96402</v>
      </c>
      <c r="L3698" s="444">
        <f t="shared" ca="1" si="154"/>
        <v>-3749615733419.3281</v>
      </c>
      <c r="M3698" s="460">
        <f t="shared" si="156"/>
        <v>0.05</v>
      </c>
      <c r="N3698" s="464">
        <f t="shared" si="157"/>
        <v>163599</v>
      </c>
    </row>
    <row r="3699" spans="7:14" ht="11.25" customHeight="1" x14ac:dyDescent="0.25">
      <c r="G3699" s="459"/>
      <c r="H3699" s="459">
        <v>3692</v>
      </c>
      <c r="I3699" s="444">
        <f t="shared" ca="1" si="155"/>
        <v>-3749615733419.3281</v>
      </c>
      <c r="J3699" s="444">
        <f t="array" ref="J3699">IFERROR(INDEX('Retirement Calculator'!K:K,MATCH('Lorri 401b'!N3699,'Retirement Calculator'!A:A,0),0),0)</f>
        <v>0</v>
      </c>
      <c r="K3699" s="444">
        <f t="shared" ca="1" si="153"/>
        <v>-15623398889.247198</v>
      </c>
      <c r="L3699" s="444">
        <f t="shared" ca="1" si="154"/>
        <v>-3765239132308.5752</v>
      </c>
      <c r="M3699" s="460">
        <f t="shared" si="156"/>
        <v>0.05</v>
      </c>
      <c r="N3699" s="464">
        <f t="shared" si="157"/>
        <v>163630</v>
      </c>
    </row>
    <row r="3700" spans="7:14" ht="11.25" customHeight="1" x14ac:dyDescent="0.25">
      <c r="G3700" s="459"/>
      <c r="H3700" s="459">
        <v>3693</v>
      </c>
      <c r="I3700" s="444">
        <f t="shared" ca="1" si="155"/>
        <v>-3765239132308.5752</v>
      </c>
      <c r="J3700" s="444">
        <f t="array" ref="J3700">IFERROR(INDEX('Retirement Calculator'!K:K,MATCH('Lorri 401b'!N3700,'Retirement Calculator'!A:A,0),0),0)</f>
        <v>0</v>
      </c>
      <c r="K3700" s="444">
        <f t="shared" ca="1" si="153"/>
        <v>-15688496384.619062</v>
      </c>
      <c r="L3700" s="444">
        <f t="shared" ca="1" si="154"/>
        <v>-3780927628693.1943</v>
      </c>
      <c r="M3700" s="460">
        <f t="shared" si="156"/>
        <v>0.05</v>
      </c>
      <c r="N3700" s="464">
        <f t="shared" si="157"/>
        <v>163661</v>
      </c>
    </row>
    <row r="3701" spans="7:14" ht="11.25" customHeight="1" x14ac:dyDescent="0.25">
      <c r="G3701" s="459"/>
      <c r="H3701" s="459">
        <v>3694</v>
      </c>
      <c r="I3701" s="444">
        <f t="shared" ca="1" si="155"/>
        <v>-3780927628693.1943</v>
      </c>
      <c r="J3701" s="444">
        <f t="array" ref="J3701">IFERROR(INDEX('Retirement Calculator'!K:K,MATCH('Lorri 401b'!N3701,'Retirement Calculator'!A:A,0),0),0)</f>
        <v>0</v>
      </c>
      <c r="K3701" s="444">
        <f t="shared" ca="1" si="153"/>
        <v>-15753865119.554976</v>
      </c>
      <c r="L3701" s="444">
        <f t="shared" ca="1" si="154"/>
        <v>-3796681493812.7495</v>
      </c>
      <c r="M3701" s="460">
        <f t="shared" si="156"/>
        <v>0.05</v>
      </c>
      <c r="N3701" s="464">
        <f t="shared" si="157"/>
        <v>163690</v>
      </c>
    </row>
    <row r="3702" spans="7:14" ht="11.25" customHeight="1" x14ac:dyDescent="0.25">
      <c r="G3702" s="459"/>
      <c r="H3702" s="459">
        <v>3695</v>
      </c>
      <c r="I3702" s="444">
        <f t="shared" ca="1" si="155"/>
        <v>-3796681493812.7495</v>
      </c>
      <c r="J3702" s="444">
        <f t="array" ref="J3702">IFERROR(INDEX('Retirement Calculator'!K:K,MATCH('Lorri 401b'!N3702,'Retirement Calculator'!A:A,0),0),0)</f>
        <v>0</v>
      </c>
      <c r="K3702" s="444">
        <f t="shared" ca="1" si="153"/>
        <v>-15819506224.219791</v>
      </c>
      <c r="L3702" s="444">
        <f t="shared" ca="1" si="154"/>
        <v>-3812501000036.9692</v>
      </c>
      <c r="M3702" s="460">
        <f t="shared" si="156"/>
        <v>0.05</v>
      </c>
      <c r="N3702" s="464">
        <f t="shared" si="157"/>
        <v>163721</v>
      </c>
    </row>
    <row r="3703" spans="7:14" ht="11.25" customHeight="1" x14ac:dyDescent="0.25">
      <c r="G3703" s="459"/>
      <c r="H3703" s="459">
        <v>3696</v>
      </c>
      <c r="I3703" s="444">
        <f t="shared" ca="1" si="155"/>
        <v>-3812501000036.9692</v>
      </c>
      <c r="J3703" s="444">
        <f t="array" ref="J3703">IFERROR(INDEX('Retirement Calculator'!K:K,MATCH('Lorri 401b'!N3703,'Retirement Calculator'!A:A,0),0),0)</f>
        <v>0</v>
      </c>
      <c r="K3703" s="444">
        <f t="shared" ca="1" si="153"/>
        <v>-15885420833.48737</v>
      </c>
      <c r="L3703" s="444">
        <f t="shared" ca="1" si="154"/>
        <v>-3828386420870.4565</v>
      </c>
      <c r="M3703" s="460">
        <f t="shared" si="156"/>
        <v>0.05</v>
      </c>
      <c r="N3703" s="464">
        <f t="shared" si="157"/>
        <v>163751</v>
      </c>
    </row>
    <row r="3704" spans="7:14" ht="11.25" customHeight="1" x14ac:dyDescent="0.25">
      <c r="G3704" s="459"/>
      <c r="H3704" s="459">
        <v>3697</v>
      </c>
      <c r="I3704" s="444">
        <f t="shared" ca="1" si="155"/>
        <v>-3828386420870.4565</v>
      </c>
      <c r="J3704" s="444">
        <f t="array" ref="J3704">IFERROR(INDEX('Retirement Calculator'!K:K,MATCH('Lorri 401b'!N3704,'Retirement Calculator'!A:A,0),0),0)</f>
        <v>0</v>
      </c>
      <c r="K3704" s="444">
        <f t="shared" ca="1" si="153"/>
        <v>-15951610086.960238</v>
      </c>
      <c r="L3704" s="444">
        <f t="shared" ca="1" si="154"/>
        <v>-3844338030957.417</v>
      </c>
      <c r="M3704" s="460">
        <f t="shared" si="156"/>
        <v>0.05</v>
      </c>
      <c r="N3704" s="464">
        <f t="shared" si="157"/>
        <v>163782</v>
      </c>
    </row>
    <row r="3705" spans="7:14" ht="11.25" customHeight="1" x14ac:dyDescent="0.25">
      <c r="G3705" s="459"/>
      <c r="H3705" s="459">
        <v>3698</v>
      </c>
      <c r="I3705" s="444">
        <f t="shared" ca="1" si="155"/>
        <v>-3844338030957.417</v>
      </c>
      <c r="J3705" s="444">
        <f t="array" ref="J3705">IFERROR(INDEX('Retirement Calculator'!K:K,MATCH('Lorri 401b'!N3705,'Retirement Calculator'!A:A,0),0),0)</f>
        <v>0</v>
      </c>
      <c r="K3705" s="444">
        <f t="shared" ca="1" si="153"/>
        <v>-16018075128.989235</v>
      </c>
      <c r="L3705" s="444">
        <f t="shared" ca="1" si="154"/>
        <v>-3860356106086.4063</v>
      </c>
      <c r="M3705" s="460">
        <f t="shared" si="156"/>
        <v>0.05</v>
      </c>
      <c r="N3705" s="464">
        <f t="shared" si="157"/>
        <v>163812</v>
      </c>
    </row>
    <row r="3706" spans="7:14" ht="11.25" customHeight="1" x14ac:dyDescent="0.25">
      <c r="G3706" s="459"/>
      <c r="H3706" s="459">
        <v>3699</v>
      </c>
      <c r="I3706" s="444">
        <f t="shared" ca="1" si="155"/>
        <v>-3860356106086.4063</v>
      </c>
      <c r="J3706" s="444">
        <f t="array" ref="J3706">IFERROR(INDEX('Retirement Calculator'!K:K,MATCH('Lorri 401b'!N3706,'Retirement Calculator'!A:A,0),0),0)</f>
        <v>0</v>
      </c>
      <c r="K3706" s="444">
        <f t="shared" ca="1" si="153"/>
        <v>-16084817108.693359</v>
      </c>
      <c r="L3706" s="444">
        <f t="shared" ca="1" si="154"/>
        <v>-3876440923195.0996</v>
      </c>
      <c r="M3706" s="460">
        <f t="shared" si="156"/>
        <v>0.05</v>
      </c>
      <c r="N3706" s="464">
        <f t="shared" si="157"/>
        <v>163843</v>
      </c>
    </row>
    <row r="3707" spans="7:14" ht="11.25" customHeight="1" x14ac:dyDescent="0.25">
      <c r="G3707" s="459"/>
      <c r="H3707" s="459">
        <v>3700</v>
      </c>
      <c r="I3707" s="444">
        <f t="shared" ca="1" si="155"/>
        <v>-3876440923195.0996</v>
      </c>
      <c r="J3707" s="444">
        <f t="array" ref="J3707">IFERROR(INDEX('Retirement Calculator'!K:K,MATCH('Lorri 401b'!N3707,'Retirement Calculator'!A:A,0),0),0)</f>
        <v>0</v>
      </c>
      <c r="K3707" s="444">
        <f t="shared" ca="1" si="153"/>
        <v>-16151837179.97958</v>
      </c>
      <c r="L3707" s="444">
        <f t="shared" ca="1" si="154"/>
        <v>-3892592760375.0791</v>
      </c>
      <c r="M3707" s="460">
        <f t="shared" si="156"/>
        <v>0.05</v>
      </c>
      <c r="N3707" s="464">
        <f t="shared" si="157"/>
        <v>163874</v>
      </c>
    </row>
    <row r="3708" spans="7:14" ht="11.25" customHeight="1" x14ac:dyDescent="0.25">
      <c r="G3708" s="459"/>
      <c r="H3708" s="459">
        <v>3701</v>
      </c>
      <c r="I3708" s="444">
        <f t="shared" ca="1" si="155"/>
        <v>-3892592760375.0791</v>
      </c>
      <c r="J3708" s="444">
        <f t="array" ref="J3708">IFERROR(INDEX('Retirement Calculator'!K:K,MATCH('Lorri 401b'!N3708,'Retirement Calculator'!A:A,0),0),0)</f>
        <v>0</v>
      </c>
      <c r="K3708" s="444">
        <f t="shared" ca="1" si="153"/>
        <v>-16219136501.56283</v>
      </c>
      <c r="L3708" s="444">
        <f t="shared" ca="1" si="154"/>
        <v>-3908811896876.6421</v>
      </c>
      <c r="M3708" s="460">
        <f t="shared" si="156"/>
        <v>0.05</v>
      </c>
      <c r="N3708" s="464">
        <f t="shared" si="157"/>
        <v>163904</v>
      </c>
    </row>
    <row r="3709" spans="7:14" ht="11.25" customHeight="1" x14ac:dyDescent="0.25">
      <c r="G3709" s="459"/>
      <c r="H3709" s="459">
        <v>3702</v>
      </c>
      <c r="I3709" s="444">
        <f t="shared" ca="1" si="155"/>
        <v>-3908811896876.6421</v>
      </c>
      <c r="J3709" s="444">
        <f t="array" ref="J3709">IFERROR(INDEX('Retirement Calculator'!K:K,MATCH('Lorri 401b'!N3709,'Retirement Calculator'!A:A,0),0),0)</f>
        <v>0</v>
      </c>
      <c r="K3709" s="444">
        <f t="shared" ca="1" si="153"/>
        <v>-16286716236.986008</v>
      </c>
      <c r="L3709" s="444">
        <f t="shared" ca="1" si="154"/>
        <v>-3925098613113.6279</v>
      </c>
      <c r="M3709" s="460">
        <f t="shared" si="156"/>
        <v>0.05</v>
      </c>
      <c r="N3709" s="464">
        <f t="shared" si="157"/>
        <v>163935</v>
      </c>
    </row>
    <row r="3710" spans="7:14" ht="11.25" customHeight="1" x14ac:dyDescent="0.25">
      <c r="G3710" s="459"/>
      <c r="H3710" s="459">
        <v>3703</v>
      </c>
      <c r="I3710" s="444">
        <f t="shared" ca="1" si="155"/>
        <v>-3925098613113.6279</v>
      </c>
      <c r="J3710" s="444">
        <f t="array" ref="J3710">IFERROR(INDEX('Retirement Calculator'!K:K,MATCH('Lorri 401b'!N3710,'Retirement Calculator'!A:A,0),0),0)</f>
        <v>0</v>
      </c>
      <c r="K3710" s="444">
        <f t="shared" ca="1" si="153"/>
        <v>-16354577554.640116</v>
      </c>
      <c r="L3710" s="444">
        <f t="shared" ca="1" si="154"/>
        <v>-3941453190668.2681</v>
      </c>
      <c r="M3710" s="460">
        <f t="shared" si="156"/>
        <v>0.05</v>
      </c>
      <c r="N3710" s="464">
        <f t="shared" si="157"/>
        <v>163965</v>
      </c>
    </row>
    <row r="3711" spans="7:14" ht="11.25" customHeight="1" x14ac:dyDescent="0.25">
      <c r="G3711" s="459"/>
      <c r="H3711" s="459">
        <v>3704</v>
      </c>
      <c r="I3711" s="444">
        <f t="shared" ca="1" si="155"/>
        <v>-3941453190668.2681</v>
      </c>
      <c r="J3711" s="444">
        <f t="array" ref="J3711">IFERROR(INDEX('Retirement Calculator'!K:K,MATCH('Lorri 401b'!N3711,'Retirement Calculator'!A:A,0),0),0)</f>
        <v>0</v>
      </c>
      <c r="K3711" s="444">
        <f t="shared" ca="1" si="153"/>
        <v>-16422721627.784451</v>
      </c>
      <c r="L3711" s="444">
        <f t="shared" ca="1" si="154"/>
        <v>-3957875912296.0527</v>
      </c>
      <c r="M3711" s="460">
        <f t="shared" si="156"/>
        <v>0.05</v>
      </c>
      <c r="N3711" s="464">
        <f t="shared" si="157"/>
        <v>163996</v>
      </c>
    </row>
    <row r="3712" spans="7:14" ht="11.25" customHeight="1" x14ac:dyDescent="0.25">
      <c r="G3712" s="459"/>
      <c r="H3712" s="459">
        <v>3705</v>
      </c>
      <c r="I3712" s="444">
        <f t="shared" ca="1" si="155"/>
        <v>-3957875912296.0527</v>
      </c>
      <c r="J3712" s="444">
        <f t="array" ref="J3712">IFERROR(INDEX('Retirement Calculator'!K:K,MATCH('Lorri 401b'!N3712,'Retirement Calculator'!A:A,0),0),0)</f>
        <v>0</v>
      </c>
      <c r="K3712" s="444">
        <f t="shared" ca="1" si="153"/>
        <v>-16491149634.566887</v>
      </c>
      <c r="L3712" s="444">
        <f t="shared" ca="1" si="154"/>
        <v>-3974367061930.6196</v>
      </c>
      <c r="M3712" s="460">
        <f t="shared" si="156"/>
        <v>0.05</v>
      </c>
      <c r="N3712" s="464">
        <f t="shared" si="157"/>
        <v>164027</v>
      </c>
    </row>
    <row r="3713" spans="7:14" ht="11.25" customHeight="1" x14ac:dyDescent="0.25">
      <c r="G3713" s="459"/>
      <c r="H3713" s="459">
        <v>3706</v>
      </c>
      <c r="I3713" s="444">
        <f t="shared" ca="1" si="155"/>
        <v>-3974367061930.6196</v>
      </c>
      <c r="J3713" s="444">
        <f t="array" ref="J3713">IFERROR(INDEX('Retirement Calculator'!K:K,MATCH('Lorri 401b'!N3713,'Retirement Calculator'!A:A,0),0),0)</f>
        <v>0</v>
      </c>
      <c r="K3713" s="444">
        <f t="shared" ca="1" si="153"/>
        <v>-16559862758.044249</v>
      </c>
      <c r="L3713" s="444">
        <f t="shared" ca="1" si="154"/>
        <v>-3990926924688.6641</v>
      </c>
      <c r="M3713" s="460">
        <f t="shared" si="156"/>
        <v>0.05</v>
      </c>
      <c r="N3713" s="464">
        <f t="shared" si="157"/>
        <v>164055</v>
      </c>
    </row>
    <row r="3714" spans="7:14" ht="11.25" customHeight="1" x14ac:dyDescent="0.25">
      <c r="G3714" s="459"/>
      <c r="H3714" s="459">
        <v>3707</v>
      </c>
      <c r="I3714" s="444">
        <f t="shared" ca="1" si="155"/>
        <v>-3990926924688.6641</v>
      </c>
      <c r="J3714" s="444">
        <f t="array" ref="J3714">IFERROR(INDEX('Retirement Calculator'!K:K,MATCH('Lorri 401b'!N3714,'Retirement Calculator'!A:A,0),0),0)</f>
        <v>0</v>
      </c>
      <c r="K3714" s="444">
        <f t="shared" ca="1" si="153"/>
        <v>-16628862186.202766</v>
      </c>
      <c r="L3714" s="444">
        <f t="shared" ca="1" si="154"/>
        <v>-4007555786874.8667</v>
      </c>
      <c r="M3714" s="460">
        <f t="shared" si="156"/>
        <v>0.05</v>
      </c>
      <c r="N3714" s="464">
        <f t="shared" si="157"/>
        <v>164086</v>
      </c>
    </row>
    <row r="3715" spans="7:14" ht="11.25" customHeight="1" x14ac:dyDescent="0.25">
      <c r="G3715" s="459"/>
      <c r="H3715" s="459">
        <v>3708</v>
      </c>
      <c r="I3715" s="444">
        <f t="shared" ca="1" si="155"/>
        <v>-4007555786874.8667</v>
      </c>
      <c r="J3715" s="444">
        <f t="array" ref="J3715">IFERROR(INDEX('Retirement Calculator'!K:K,MATCH('Lorri 401b'!N3715,'Retirement Calculator'!A:A,0),0),0)</f>
        <v>0</v>
      </c>
      <c r="K3715" s="444">
        <f t="shared" ca="1" si="153"/>
        <v>-16698149111.978609</v>
      </c>
      <c r="L3715" s="444">
        <f t="shared" ca="1" si="154"/>
        <v>-4024253935986.8452</v>
      </c>
      <c r="M3715" s="460">
        <f t="shared" si="156"/>
        <v>0.05</v>
      </c>
      <c r="N3715" s="464">
        <f t="shared" si="157"/>
        <v>164116</v>
      </c>
    </row>
    <row r="3716" spans="7:14" ht="11.25" customHeight="1" x14ac:dyDescent="0.25">
      <c r="G3716" s="459"/>
      <c r="H3716" s="459">
        <v>3709</v>
      </c>
      <c r="I3716" s="444">
        <f t="shared" ca="1" si="155"/>
        <v>-4024253935986.8452</v>
      </c>
      <c r="J3716" s="444">
        <f t="array" ref="J3716">IFERROR(INDEX('Retirement Calculator'!K:K,MATCH('Lorri 401b'!N3716,'Retirement Calculator'!A:A,0),0),0)</f>
        <v>0</v>
      </c>
      <c r="K3716" s="444">
        <f t="shared" ca="1" si="153"/>
        <v>-16767724733.278521</v>
      </c>
      <c r="L3716" s="444">
        <f t="shared" ca="1" si="154"/>
        <v>-4041021660720.1235</v>
      </c>
      <c r="M3716" s="460">
        <f t="shared" si="156"/>
        <v>0.05</v>
      </c>
      <c r="N3716" s="464">
        <f t="shared" si="157"/>
        <v>164147</v>
      </c>
    </row>
    <row r="3717" spans="7:14" ht="11.25" customHeight="1" x14ac:dyDescent="0.25">
      <c r="G3717" s="459"/>
      <c r="H3717" s="459">
        <v>3710</v>
      </c>
      <c r="I3717" s="444">
        <f t="shared" ca="1" si="155"/>
        <v>-4041021660720.1235</v>
      </c>
      <c r="J3717" s="444">
        <f t="array" ref="J3717">IFERROR(INDEX('Retirement Calculator'!K:K,MATCH('Lorri 401b'!N3717,'Retirement Calculator'!A:A,0),0),0)</f>
        <v>0</v>
      </c>
      <c r="K3717" s="444">
        <f t="shared" ca="1" si="153"/>
        <v>-16837590253.000515</v>
      </c>
      <c r="L3717" s="444">
        <f t="shared" ca="1" si="154"/>
        <v>-4057859250973.124</v>
      </c>
      <c r="M3717" s="460">
        <f t="shared" si="156"/>
        <v>0.05</v>
      </c>
      <c r="N3717" s="464">
        <f t="shared" si="157"/>
        <v>164177</v>
      </c>
    </row>
    <row r="3718" spans="7:14" ht="11.25" customHeight="1" x14ac:dyDescent="0.25">
      <c r="G3718" s="459"/>
      <c r="H3718" s="459">
        <v>3711</v>
      </c>
      <c r="I3718" s="444">
        <f t="shared" ca="1" si="155"/>
        <v>-4057859250973.124</v>
      </c>
      <c r="J3718" s="444">
        <f t="array" ref="J3718">IFERROR(INDEX('Retirement Calculator'!K:K,MATCH('Lorri 401b'!N3718,'Retirement Calculator'!A:A,0),0),0)</f>
        <v>0</v>
      </c>
      <c r="K3718" s="444">
        <f t="shared" ca="1" si="153"/>
        <v>-16907746879.054684</v>
      </c>
      <c r="L3718" s="444">
        <f t="shared" ca="1" si="154"/>
        <v>-4074766997852.1787</v>
      </c>
      <c r="M3718" s="460">
        <f t="shared" si="156"/>
        <v>0.05</v>
      </c>
      <c r="N3718" s="464">
        <f t="shared" si="157"/>
        <v>164208</v>
      </c>
    </row>
    <row r="3719" spans="7:14" ht="11.25" customHeight="1" x14ac:dyDescent="0.25">
      <c r="G3719" s="459"/>
      <c r="H3719" s="459">
        <v>3712</v>
      </c>
      <c r="I3719" s="444">
        <f t="shared" ca="1" si="155"/>
        <v>-4074766997852.1787</v>
      </c>
      <c r="J3719" s="444">
        <f t="array" ref="J3719">IFERROR(INDEX('Retirement Calculator'!K:K,MATCH('Lorri 401b'!N3719,'Retirement Calculator'!A:A,0),0),0)</f>
        <v>0</v>
      </c>
      <c r="K3719" s="444">
        <f t="shared" ca="1" si="153"/>
        <v>-16978195824.384077</v>
      </c>
      <c r="L3719" s="444">
        <f t="shared" ca="1" si="154"/>
        <v>-4091745193676.563</v>
      </c>
      <c r="M3719" s="460">
        <f t="shared" si="156"/>
        <v>0.05</v>
      </c>
      <c r="N3719" s="464">
        <f t="shared" si="157"/>
        <v>164239</v>
      </c>
    </row>
    <row r="3720" spans="7:14" ht="11.25" customHeight="1" x14ac:dyDescent="0.25">
      <c r="G3720" s="459"/>
      <c r="H3720" s="459">
        <v>3713</v>
      </c>
      <c r="I3720" s="444">
        <f t="shared" ca="1" si="155"/>
        <v>-4091745193676.563</v>
      </c>
      <c r="J3720" s="444">
        <f t="array" ref="J3720">IFERROR(INDEX('Retirement Calculator'!K:K,MATCH('Lorri 401b'!N3720,'Retirement Calculator'!A:A,0),0),0)</f>
        <v>0</v>
      </c>
      <c r="K3720" s="444">
        <f t="shared" ca="1" si="153"/>
        <v>-17048938306.98568</v>
      </c>
      <c r="L3720" s="444">
        <f t="shared" ca="1" si="154"/>
        <v>-4108794131983.5488</v>
      </c>
      <c r="M3720" s="460">
        <f t="shared" si="156"/>
        <v>0.05</v>
      </c>
      <c r="N3720" s="464">
        <f t="shared" si="157"/>
        <v>164269</v>
      </c>
    </row>
    <row r="3721" spans="7:14" ht="11.25" customHeight="1" x14ac:dyDescent="0.25">
      <c r="G3721" s="459"/>
      <c r="H3721" s="459">
        <v>3714</v>
      </c>
      <c r="I3721" s="444">
        <f t="shared" ca="1" si="155"/>
        <v>-4108794131983.5488</v>
      </c>
      <c r="J3721" s="444">
        <f t="array" ref="J3721">IFERROR(INDEX('Retirement Calculator'!K:K,MATCH('Lorri 401b'!N3721,'Retirement Calculator'!A:A,0),0),0)</f>
        <v>0</v>
      </c>
      <c r="K3721" s="444">
        <f t="shared" ca="1" si="153"/>
        <v>-17119975549.931454</v>
      </c>
      <c r="L3721" s="444">
        <f t="shared" ca="1" si="154"/>
        <v>-4125914107533.4805</v>
      </c>
      <c r="M3721" s="460">
        <f t="shared" si="156"/>
        <v>0.05</v>
      </c>
      <c r="N3721" s="464">
        <f t="shared" si="157"/>
        <v>164300</v>
      </c>
    </row>
    <row r="3722" spans="7:14" ht="11.25" customHeight="1" x14ac:dyDescent="0.25">
      <c r="G3722" s="459"/>
      <c r="H3722" s="459">
        <v>3715</v>
      </c>
      <c r="I3722" s="444">
        <f t="shared" ca="1" si="155"/>
        <v>-4125914107533.4805</v>
      </c>
      <c r="J3722" s="444">
        <f t="array" ref="J3722">IFERROR(INDEX('Retirement Calculator'!K:K,MATCH('Lorri 401b'!N3722,'Retirement Calculator'!A:A,0),0),0)</f>
        <v>0</v>
      </c>
      <c r="K3722" s="444">
        <f t="shared" ca="1" si="153"/>
        <v>-17191308781.389503</v>
      </c>
      <c r="L3722" s="444">
        <f t="shared" ca="1" si="154"/>
        <v>-4143105416314.8701</v>
      </c>
      <c r="M3722" s="460">
        <f t="shared" si="156"/>
        <v>0.05</v>
      </c>
      <c r="N3722" s="464">
        <f t="shared" si="157"/>
        <v>164330</v>
      </c>
    </row>
    <row r="3723" spans="7:14" ht="11.25" customHeight="1" x14ac:dyDescent="0.25">
      <c r="G3723" s="459"/>
      <c r="H3723" s="459">
        <v>3716</v>
      </c>
      <c r="I3723" s="444">
        <f t="shared" ca="1" si="155"/>
        <v>-4143105416314.8701</v>
      </c>
      <c r="J3723" s="444">
        <f t="array" ref="J3723">IFERROR(INDEX('Retirement Calculator'!K:K,MATCH('Lorri 401b'!N3723,'Retirement Calculator'!A:A,0),0),0)</f>
        <v>0</v>
      </c>
      <c r="K3723" s="444">
        <f t="shared" ca="1" si="153"/>
        <v>-17262939234.64529</v>
      </c>
      <c r="L3723" s="444">
        <f t="shared" ca="1" si="154"/>
        <v>-4160368355549.5156</v>
      </c>
      <c r="M3723" s="460">
        <f t="shared" si="156"/>
        <v>0.05</v>
      </c>
      <c r="N3723" s="464">
        <f t="shared" si="157"/>
        <v>164361</v>
      </c>
    </row>
    <row r="3724" spans="7:14" ht="11.25" customHeight="1" x14ac:dyDescent="0.25">
      <c r="G3724" s="459"/>
      <c r="H3724" s="459">
        <v>3717</v>
      </c>
      <c r="I3724" s="444">
        <f t="shared" ca="1" si="155"/>
        <v>-4160368355549.5156</v>
      </c>
      <c r="J3724" s="444">
        <f t="array" ref="J3724">IFERROR(INDEX('Retirement Calculator'!K:K,MATCH('Lorri 401b'!N3724,'Retirement Calculator'!A:A,0),0),0)</f>
        <v>0</v>
      </c>
      <c r="K3724" s="444">
        <f t="shared" ca="1" si="153"/>
        <v>-17334868148.122982</v>
      </c>
      <c r="L3724" s="444">
        <f t="shared" ca="1" si="154"/>
        <v>-4177703223697.6387</v>
      </c>
      <c r="M3724" s="460">
        <f t="shared" si="156"/>
        <v>0.05</v>
      </c>
      <c r="N3724" s="464">
        <f t="shared" si="157"/>
        <v>164392</v>
      </c>
    </row>
    <row r="3725" spans="7:14" ht="11.25" customHeight="1" x14ac:dyDescent="0.25">
      <c r="G3725" s="459"/>
      <c r="H3725" s="459">
        <v>3718</v>
      </c>
      <c r="I3725" s="444">
        <f t="shared" ca="1" si="155"/>
        <v>-4177703223697.6387</v>
      </c>
      <c r="J3725" s="444">
        <f t="array" ref="J3725">IFERROR(INDEX('Retirement Calculator'!K:K,MATCH('Lorri 401b'!N3725,'Retirement Calculator'!A:A,0),0),0)</f>
        <v>0</v>
      </c>
      <c r="K3725" s="444">
        <f t="shared" ca="1" si="153"/>
        <v>-17407096765.406826</v>
      </c>
      <c r="L3725" s="444">
        <f t="shared" ca="1" si="154"/>
        <v>-4195110320463.0454</v>
      </c>
      <c r="M3725" s="460">
        <f t="shared" si="156"/>
        <v>0.05</v>
      </c>
      <c r="N3725" s="464">
        <f t="shared" si="157"/>
        <v>164420</v>
      </c>
    </row>
    <row r="3726" spans="7:14" ht="11.25" customHeight="1" x14ac:dyDescent="0.25">
      <c r="G3726" s="459"/>
      <c r="H3726" s="459">
        <v>3719</v>
      </c>
      <c r="I3726" s="444">
        <f t="shared" ca="1" si="155"/>
        <v>-4195110320463.0454</v>
      </c>
      <c r="J3726" s="444">
        <f t="array" ref="J3726">IFERROR(INDEX('Retirement Calculator'!K:K,MATCH('Lorri 401b'!N3726,'Retirement Calculator'!A:A,0),0),0)</f>
        <v>0</v>
      </c>
      <c r="K3726" s="444">
        <f t="shared" ca="1" si="153"/>
        <v>-17479626335.262688</v>
      </c>
      <c r="L3726" s="444">
        <f t="shared" ca="1" si="154"/>
        <v>-4212589946798.3081</v>
      </c>
      <c r="M3726" s="460">
        <f t="shared" si="156"/>
        <v>0.05</v>
      </c>
      <c r="N3726" s="464">
        <f t="shared" si="157"/>
        <v>164451</v>
      </c>
    </row>
    <row r="3727" spans="7:14" ht="11.25" customHeight="1" x14ac:dyDescent="0.25">
      <c r="G3727" s="459"/>
      <c r="H3727" s="459">
        <v>3720</v>
      </c>
      <c r="I3727" s="444">
        <f t="shared" ca="1" si="155"/>
        <v>-4212589946798.3081</v>
      </c>
      <c r="J3727" s="444">
        <f t="array" ref="J3727">IFERROR(INDEX('Retirement Calculator'!K:K,MATCH('Lorri 401b'!N3727,'Retirement Calculator'!A:A,0),0),0)</f>
        <v>0</v>
      </c>
      <c r="K3727" s="444">
        <f t="shared" ca="1" si="153"/>
        <v>-17552458111.659618</v>
      </c>
      <c r="L3727" s="444">
        <f t="shared" ca="1" si="154"/>
        <v>-4230142404909.9678</v>
      </c>
      <c r="M3727" s="460">
        <f t="shared" si="156"/>
        <v>0.05</v>
      </c>
      <c r="N3727" s="464">
        <f t="shared" si="157"/>
        <v>164481</v>
      </c>
    </row>
    <row r="3728" spans="7:14" ht="11.25" customHeight="1" x14ac:dyDescent="0.25">
      <c r="G3728" s="459"/>
      <c r="H3728" s="459">
        <v>3721</v>
      </c>
      <c r="I3728" s="444">
        <f t="shared" ca="1" si="155"/>
        <v>-4230142404909.9678</v>
      </c>
      <c r="J3728" s="444">
        <f t="array" ref="J3728">IFERROR(INDEX('Retirement Calculator'!K:K,MATCH('Lorri 401b'!N3728,'Retirement Calculator'!A:A,0),0),0)</f>
        <v>0</v>
      </c>
      <c r="K3728" s="444">
        <f t="shared" ca="1" si="153"/>
        <v>-17625593353.791531</v>
      </c>
      <c r="L3728" s="444">
        <f t="shared" ca="1" si="154"/>
        <v>-4247767998263.7593</v>
      </c>
      <c r="M3728" s="460">
        <f t="shared" si="156"/>
        <v>0.05</v>
      </c>
      <c r="N3728" s="464">
        <f t="shared" si="157"/>
        <v>164512</v>
      </c>
    </row>
    <row r="3729" spans="7:14" ht="11.25" customHeight="1" x14ac:dyDescent="0.25">
      <c r="G3729" s="459"/>
      <c r="H3729" s="459">
        <v>3722</v>
      </c>
      <c r="I3729" s="444">
        <f t="shared" ca="1" si="155"/>
        <v>-4247767998263.7593</v>
      </c>
      <c r="J3729" s="444">
        <f t="array" ref="J3729">IFERROR(INDEX('Retirement Calculator'!K:K,MATCH('Lorri 401b'!N3729,'Retirement Calculator'!A:A,0),0),0)</f>
        <v>0</v>
      </c>
      <c r="K3729" s="444">
        <f t="shared" ca="1" si="153"/>
        <v>-17699033326.098995</v>
      </c>
      <c r="L3729" s="444">
        <f t="shared" ca="1" si="154"/>
        <v>-4265467031589.8584</v>
      </c>
      <c r="M3729" s="460">
        <f t="shared" si="156"/>
        <v>0.05</v>
      </c>
      <c r="N3729" s="464">
        <f t="shared" si="157"/>
        <v>164542</v>
      </c>
    </row>
    <row r="3730" spans="7:14" ht="11.25" customHeight="1" x14ac:dyDescent="0.25">
      <c r="G3730" s="459"/>
      <c r="H3730" s="459">
        <v>3723</v>
      </c>
      <c r="I3730" s="444">
        <f t="shared" ca="1" si="155"/>
        <v>-4265467031589.8584</v>
      </c>
      <c r="J3730" s="444">
        <f t="array" ref="J3730">IFERROR(INDEX('Retirement Calculator'!K:K,MATCH('Lorri 401b'!N3730,'Retirement Calculator'!A:A,0),0),0)</f>
        <v>0</v>
      </c>
      <c r="K3730" s="444">
        <f t="shared" ca="1" si="153"/>
        <v>-17772779298.291077</v>
      </c>
      <c r="L3730" s="444">
        <f t="shared" ca="1" si="154"/>
        <v>-4283239810888.1494</v>
      </c>
      <c r="M3730" s="460">
        <f t="shared" si="156"/>
        <v>0.05</v>
      </c>
      <c r="N3730" s="464">
        <f t="shared" si="157"/>
        <v>164573</v>
      </c>
    </row>
    <row r="3731" spans="7:14" ht="11.25" customHeight="1" x14ac:dyDescent="0.25">
      <c r="G3731" s="459"/>
      <c r="H3731" s="459">
        <v>3724</v>
      </c>
      <c r="I3731" s="444">
        <f t="shared" ca="1" si="155"/>
        <v>-4283239810888.1494</v>
      </c>
      <c r="J3731" s="444">
        <f t="array" ref="J3731">IFERROR(INDEX('Retirement Calculator'!K:K,MATCH('Lorri 401b'!N3731,'Retirement Calculator'!A:A,0),0),0)</f>
        <v>0</v>
      </c>
      <c r="K3731" s="444">
        <f t="shared" ca="1" si="153"/>
        <v>-17846832545.36729</v>
      </c>
      <c r="L3731" s="444">
        <f t="shared" ca="1" si="154"/>
        <v>-4301086643433.5166</v>
      </c>
      <c r="M3731" s="460">
        <f t="shared" si="156"/>
        <v>0.05</v>
      </c>
      <c r="N3731" s="464">
        <f t="shared" si="157"/>
        <v>164604</v>
      </c>
    </row>
    <row r="3732" spans="7:14" ht="11.25" customHeight="1" x14ac:dyDescent="0.25">
      <c r="G3732" s="459"/>
      <c r="H3732" s="459">
        <v>3725</v>
      </c>
      <c r="I3732" s="444">
        <f t="shared" ca="1" si="155"/>
        <v>-4301086643433.5166</v>
      </c>
      <c r="J3732" s="444">
        <f t="array" ref="J3732">IFERROR(INDEX('Retirement Calculator'!K:K,MATCH('Lorri 401b'!N3732,'Retirement Calculator'!A:A,0),0),0)</f>
        <v>0</v>
      </c>
      <c r="K3732" s="444">
        <f t="shared" ca="1" si="153"/>
        <v>-17921194347.639652</v>
      </c>
      <c r="L3732" s="444">
        <f t="shared" ca="1" si="154"/>
        <v>-4319007837781.1563</v>
      </c>
      <c r="M3732" s="460">
        <f t="shared" si="156"/>
        <v>0.05</v>
      </c>
      <c r="N3732" s="464">
        <f t="shared" si="157"/>
        <v>164634</v>
      </c>
    </row>
    <row r="3733" spans="7:14" ht="11.25" customHeight="1" x14ac:dyDescent="0.25">
      <c r="G3733" s="459"/>
      <c r="H3733" s="459">
        <v>3726</v>
      </c>
      <c r="I3733" s="444">
        <f t="shared" ca="1" si="155"/>
        <v>-4319007837781.1563</v>
      </c>
      <c r="J3733" s="444">
        <f t="array" ref="J3733">IFERROR(INDEX('Retirement Calculator'!K:K,MATCH('Lorri 401b'!N3733,'Retirement Calculator'!A:A,0),0),0)</f>
        <v>0</v>
      </c>
      <c r="K3733" s="444">
        <f t="shared" ca="1" si="153"/>
        <v>-17995865990.754818</v>
      </c>
      <c r="L3733" s="444">
        <f t="shared" ca="1" si="154"/>
        <v>-4337003703771.9111</v>
      </c>
      <c r="M3733" s="460">
        <f t="shared" si="156"/>
        <v>0.05</v>
      </c>
      <c r="N3733" s="464">
        <f t="shared" si="157"/>
        <v>164665</v>
      </c>
    </row>
    <row r="3734" spans="7:14" ht="11.25" customHeight="1" x14ac:dyDescent="0.25">
      <c r="G3734" s="459"/>
      <c r="H3734" s="459">
        <v>3727</v>
      </c>
      <c r="I3734" s="444">
        <f t="shared" ca="1" si="155"/>
        <v>-4337003703771.9111</v>
      </c>
      <c r="J3734" s="444">
        <f t="array" ref="J3734">IFERROR(INDEX('Retirement Calculator'!K:K,MATCH('Lorri 401b'!N3734,'Retirement Calculator'!A:A,0),0),0)</f>
        <v>0</v>
      </c>
      <c r="K3734" s="444">
        <f t="shared" ca="1" si="153"/>
        <v>-18070848765.716297</v>
      </c>
      <c r="L3734" s="444">
        <f t="shared" ca="1" si="154"/>
        <v>-4355074552537.6274</v>
      </c>
      <c r="M3734" s="460">
        <f t="shared" si="156"/>
        <v>0.05</v>
      </c>
      <c r="N3734" s="464">
        <f t="shared" si="157"/>
        <v>164695</v>
      </c>
    </row>
    <row r="3735" spans="7:14" ht="11.25" customHeight="1" x14ac:dyDescent="0.25">
      <c r="G3735" s="459"/>
      <c r="H3735" s="459">
        <v>3728</v>
      </c>
      <c r="I3735" s="444">
        <f t="shared" ca="1" si="155"/>
        <v>-4355074552537.6274</v>
      </c>
      <c r="J3735" s="444">
        <f t="array" ref="J3735">IFERROR(INDEX('Retirement Calculator'!K:K,MATCH('Lorri 401b'!N3735,'Retirement Calculator'!A:A,0),0),0)</f>
        <v>0</v>
      </c>
      <c r="K3735" s="444">
        <f t="shared" ca="1" si="153"/>
        <v>-18146143968.90678</v>
      </c>
      <c r="L3735" s="444">
        <f t="shared" ca="1" si="154"/>
        <v>-4373220696506.5342</v>
      </c>
      <c r="M3735" s="460">
        <f t="shared" si="156"/>
        <v>0.05</v>
      </c>
      <c r="N3735" s="464">
        <f t="shared" si="157"/>
        <v>164726</v>
      </c>
    </row>
    <row r="3736" spans="7:14" ht="11.25" customHeight="1" x14ac:dyDescent="0.25">
      <c r="G3736" s="459"/>
      <c r="H3736" s="459">
        <v>3729</v>
      </c>
      <c r="I3736" s="444">
        <f t="shared" ca="1" si="155"/>
        <v>-4373220696506.5342</v>
      </c>
      <c r="J3736" s="444">
        <f t="array" ref="J3736">IFERROR(INDEX('Retirement Calculator'!K:K,MATCH('Lorri 401b'!N3736,'Retirement Calculator'!A:A,0),0),0)</f>
        <v>0</v>
      </c>
      <c r="K3736" s="444">
        <f t="shared" ca="1" si="153"/>
        <v>-18221752902.110558</v>
      </c>
      <c r="L3736" s="444">
        <f t="shared" ca="1" si="154"/>
        <v>-4391442449408.6445</v>
      </c>
      <c r="M3736" s="460">
        <f t="shared" si="156"/>
        <v>0.05</v>
      </c>
      <c r="N3736" s="464">
        <f t="shared" si="157"/>
        <v>164757</v>
      </c>
    </row>
    <row r="3737" spans="7:14" ht="11.25" customHeight="1" x14ac:dyDescent="0.25">
      <c r="G3737" s="459"/>
      <c r="H3737" s="459">
        <v>3730</v>
      </c>
      <c r="I3737" s="444">
        <f t="shared" ca="1" si="155"/>
        <v>-4391442449408.6445</v>
      </c>
      <c r="J3737" s="444">
        <f t="array" ref="J3737">IFERROR(INDEX('Retirement Calculator'!K:K,MATCH('Lorri 401b'!N3737,'Retirement Calculator'!A:A,0),0),0)</f>
        <v>0</v>
      </c>
      <c r="K3737" s="444">
        <f t="shared" ca="1" si="153"/>
        <v>-18297676872.536018</v>
      </c>
      <c r="L3737" s="444">
        <f t="shared" ca="1" si="154"/>
        <v>-4409740126281.1807</v>
      </c>
      <c r="M3737" s="460">
        <f t="shared" si="156"/>
        <v>0.05</v>
      </c>
      <c r="N3737" s="464">
        <f t="shared" si="157"/>
        <v>164785</v>
      </c>
    </row>
    <row r="3738" spans="7:14" ht="11.25" customHeight="1" x14ac:dyDescent="0.25">
      <c r="G3738" s="459"/>
      <c r="H3738" s="459">
        <v>3731</v>
      </c>
      <c r="I3738" s="444">
        <f t="shared" ca="1" si="155"/>
        <v>-4409740126281.1807</v>
      </c>
      <c r="J3738" s="444">
        <f t="array" ref="J3738">IFERROR(INDEX('Retirement Calculator'!K:K,MATCH('Lorri 401b'!N3738,'Retirement Calculator'!A:A,0),0),0)</f>
        <v>0</v>
      </c>
      <c r="K3738" s="444">
        <f t="shared" ca="1" si="153"/>
        <v>-18373917192.838253</v>
      </c>
      <c r="L3738" s="444">
        <f t="shared" ca="1" si="154"/>
        <v>-4428114043474.0186</v>
      </c>
      <c r="M3738" s="460">
        <f t="shared" si="156"/>
        <v>0.05</v>
      </c>
      <c r="N3738" s="464">
        <f t="shared" si="157"/>
        <v>164816</v>
      </c>
    </row>
    <row r="3739" spans="7:14" ht="11.25" customHeight="1" x14ac:dyDescent="0.25">
      <c r="G3739" s="459"/>
      <c r="H3739" s="459">
        <v>3732</v>
      </c>
      <c r="I3739" s="444">
        <f t="shared" ca="1" si="155"/>
        <v>-4428114043474.0186</v>
      </c>
      <c r="J3739" s="444">
        <f t="array" ref="J3739">IFERROR(INDEX('Retirement Calculator'!K:K,MATCH('Lorri 401b'!N3739,'Retirement Calculator'!A:A,0),0),0)</f>
        <v>0</v>
      </c>
      <c r="K3739" s="444">
        <f t="shared" ca="1" si="153"/>
        <v>-18450475181.141743</v>
      </c>
      <c r="L3739" s="444">
        <f t="shared" ca="1" si="154"/>
        <v>-4446564518655.1602</v>
      </c>
      <c r="M3739" s="460">
        <f t="shared" si="156"/>
        <v>0.05</v>
      </c>
      <c r="N3739" s="464">
        <f t="shared" si="157"/>
        <v>164846</v>
      </c>
    </row>
    <row r="3740" spans="7:14" ht="11.25" customHeight="1" x14ac:dyDescent="0.25">
      <c r="G3740" s="459"/>
      <c r="H3740" s="459">
        <v>3733</v>
      </c>
      <c r="I3740" s="444">
        <f t="shared" ca="1" si="155"/>
        <v>-4446564518655.1602</v>
      </c>
      <c r="J3740" s="444">
        <f t="array" ref="J3740">IFERROR(INDEX('Retirement Calculator'!K:K,MATCH('Lorri 401b'!N3740,'Retirement Calculator'!A:A,0),0),0)</f>
        <v>0</v>
      </c>
      <c r="K3740" s="444">
        <f t="shared" ca="1" si="153"/>
        <v>-18527352161.063168</v>
      </c>
      <c r="L3740" s="444">
        <f t="shared" ca="1" si="154"/>
        <v>-4465091870816.2236</v>
      </c>
      <c r="M3740" s="460">
        <f t="shared" si="156"/>
        <v>0.05</v>
      </c>
      <c r="N3740" s="464">
        <f t="shared" si="157"/>
        <v>164877</v>
      </c>
    </row>
    <row r="3741" spans="7:14" ht="11.25" customHeight="1" x14ac:dyDescent="0.25">
      <c r="G3741" s="459"/>
      <c r="H3741" s="459">
        <v>3734</v>
      </c>
      <c r="I3741" s="444">
        <f t="shared" ca="1" si="155"/>
        <v>-4465091870816.2236</v>
      </c>
      <c r="J3741" s="444">
        <f t="array" ref="J3741">IFERROR(INDEX('Retirement Calculator'!K:K,MATCH('Lorri 401b'!N3741,'Retirement Calculator'!A:A,0),0),0)</f>
        <v>0</v>
      </c>
      <c r="K3741" s="444">
        <f t="shared" ca="1" si="153"/>
        <v>-18604549461.734264</v>
      </c>
      <c r="L3741" s="444">
        <f t="shared" ca="1" si="154"/>
        <v>-4483696420277.958</v>
      </c>
      <c r="M3741" s="460">
        <f t="shared" si="156"/>
        <v>0.05</v>
      </c>
      <c r="N3741" s="464">
        <f t="shared" si="157"/>
        <v>164907</v>
      </c>
    </row>
    <row r="3742" spans="7:14" ht="11.25" customHeight="1" x14ac:dyDescent="0.25">
      <c r="G3742" s="459"/>
      <c r="H3742" s="459">
        <v>3735</v>
      </c>
      <c r="I3742" s="444">
        <f t="shared" ca="1" si="155"/>
        <v>-4483696420277.958</v>
      </c>
      <c r="J3742" s="444">
        <f t="array" ref="J3742">IFERROR(INDEX('Retirement Calculator'!K:K,MATCH('Lorri 401b'!N3742,'Retirement Calculator'!A:A,0),0),0)</f>
        <v>0</v>
      </c>
      <c r="K3742" s="444">
        <f t="shared" ca="1" si="153"/>
        <v>-18682068417.824825</v>
      </c>
      <c r="L3742" s="444">
        <f t="shared" ca="1" si="154"/>
        <v>-4502378488695.7832</v>
      </c>
      <c r="M3742" s="460">
        <f t="shared" si="156"/>
        <v>0.05</v>
      </c>
      <c r="N3742" s="464">
        <f t="shared" si="157"/>
        <v>164938</v>
      </c>
    </row>
    <row r="3743" spans="7:14" ht="11.25" customHeight="1" x14ac:dyDescent="0.25">
      <c r="G3743" s="459"/>
      <c r="H3743" s="459">
        <v>3736</v>
      </c>
      <c r="I3743" s="444">
        <f t="shared" ca="1" si="155"/>
        <v>-4502378488695.7832</v>
      </c>
      <c r="J3743" s="444">
        <f t="array" ref="J3743">IFERROR(INDEX('Retirement Calculator'!K:K,MATCH('Lorri 401b'!N3743,'Retirement Calculator'!A:A,0),0),0)</f>
        <v>0</v>
      </c>
      <c r="K3743" s="444">
        <f t="shared" ca="1" si="153"/>
        <v>-18759910369.565762</v>
      </c>
      <c r="L3743" s="444">
        <f t="shared" ca="1" si="154"/>
        <v>-4521138399065.3486</v>
      </c>
      <c r="M3743" s="460">
        <f t="shared" si="156"/>
        <v>0.05</v>
      </c>
      <c r="N3743" s="464">
        <f t="shared" si="157"/>
        <v>164969</v>
      </c>
    </row>
    <row r="3744" spans="7:14" ht="11.25" customHeight="1" x14ac:dyDescent="0.25">
      <c r="G3744" s="459"/>
      <c r="H3744" s="459">
        <v>3737</v>
      </c>
      <c r="I3744" s="444">
        <f t="shared" ca="1" si="155"/>
        <v>-4521138399065.3486</v>
      </c>
      <c r="J3744" s="444">
        <f t="array" ref="J3744">IFERROR(INDEX('Retirement Calculator'!K:K,MATCH('Lorri 401b'!N3744,'Retirement Calculator'!A:A,0),0),0)</f>
        <v>0</v>
      </c>
      <c r="K3744" s="444">
        <f t="shared" ca="1" si="153"/>
        <v>-18838076662.772285</v>
      </c>
      <c r="L3744" s="444">
        <f t="shared" ca="1" si="154"/>
        <v>-4539976475728.1211</v>
      </c>
      <c r="M3744" s="460">
        <f t="shared" si="156"/>
        <v>0.05</v>
      </c>
      <c r="N3744" s="464">
        <f t="shared" si="157"/>
        <v>164999</v>
      </c>
    </row>
    <row r="3745" spans="7:14" ht="11.25" customHeight="1" x14ac:dyDescent="0.25">
      <c r="G3745" s="459"/>
      <c r="H3745" s="459">
        <v>3738</v>
      </c>
      <c r="I3745" s="444">
        <f t="shared" ca="1" si="155"/>
        <v>-4539976475728.1211</v>
      </c>
      <c r="J3745" s="444">
        <f t="array" ref="J3745">IFERROR(INDEX('Retirement Calculator'!K:K,MATCH('Lorri 401b'!N3745,'Retirement Calculator'!A:A,0),0),0)</f>
        <v>0</v>
      </c>
      <c r="K3745" s="444">
        <f t="shared" ca="1" si="153"/>
        <v>-18916568648.867172</v>
      </c>
      <c r="L3745" s="444">
        <f t="shared" ca="1" si="154"/>
        <v>-4558893044376.9883</v>
      </c>
      <c r="M3745" s="460">
        <f t="shared" si="156"/>
        <v>0.05</v>
      </c>
      <c r="N3745" s="464">
        <f t="shared" si="157"/>
        <v>165030</v>
      </c>
    </row>
    <row r="3746" spans="7:14" ht="11.25" customHeight="1" x14ac:dyDescent="0.25">
      <c r="G3746" s="459"/>
      <c r="H3746" s="459">
        <v>3739</v>
      </c>
      <c r="I3746" s="444">
        <f t="shared" ca="1" si="155"/>
        <v>-4558893044376.9883</v>
      </c>
      <c r="J3746" s="444">
        <f t="array" ref="J3746">IFERROR(INDEX('Retirement Calculator'!K:K,MATCH('Lorri 401b'!N3746,'Retirement Calculator'!A:A,0),0),0)</f>
        <v>0</v>
      </c>
      <c r="K3746" s="444">
        <f t="shared" ca="1" si="153"/>
        <v>-18995387684.904118</v>
      </c>
      <c r="L3746" s="444">
        <f t="shared" ca="1" si="154"/>
        <v>-4577888432061.8926</v>
      </c>
      <c r="M3746" s="460">
        <f t="shared" si="156"/>
        <v>0.05</v>
      </c>
      <c r="N3746" s="464">
        <f t="shared" si="157"/>
        <v>165060</v>
      </c>
    </row>
    <row r="3747" spans="7:14" ht="11.25" customHeight="1" x14ac:dyDescent="0.25">
      <c r="G3747" s="459"/>
      <c r="H3747" s="459">
        <v>3740</v>
      </c>
      <c r="I3747" s="444">
        <f t="shared" ca="1" si="155"/>
        <v>-4577888432061.8926</v>
      </c>
      <c r="J3747" s="444">
        <f t="array" ref="J3747">IFERROR(INDEX('Retirement Calculator'!K:K,MATCH('Lorri 401b'!N3747,'Retirement Calculator'!A:A,0),0),0)</f>
        <v>0</v>
      </c>
      <c r="K3747" s="444">
        <f t="shared" ca="1" si="153"/>
        <v>-19074535133.591217</v>
      </c>
      <c r="L3747" s="444">
        <f t="shared" ca="1" si="154"/>
        <v>-4596962967195.4834</v>
      </c>
      <c r="M3747" s="460">
        <f t="shared" si="156"/>
        <v>0.05</v>
      </c>
      <c r="N3747" s="464">
        <f t="shared" si="157"/>
        <v>165091</v>
      </c>
    </row>
    <row r="3748" spans="7:14" ht="11.25" customHeight="1" x14ac:dyDescent="0.25">
      <c r="G3748" s="459"/>
      <c r="H3748" s="459">
        <v>3741</v>
      </c>
      <c r="I3748" s="444">
        <f t="shared" ca="1" si="155"/>
        <v>-4596962967195.4834</v>
      </c>
      <c r="J3748" s="444">
        <f t="array" ref="J3748">IFERROR(INDEX('Retirement Calculator'!K:K,MATCH('Lorri 401b'!N3748,'Retirement Calculator'!A:A,0),0),0)</f>
        <v>0</v>
      </c>
      <c r="K3748" s="444">
        <f t="shared" ca="1" si="153"/>
        <v>-19154012363.314514</v>
      </c>
      <c r="L3748" s="444">
        <f t="shared" ca="1" si="154"/>
        <v>-4616116979558.7979</v>
      </c>
      <c r="M3748" s="460">
        <f t="shared" si="156"/>
        <v>0.05</v>
      </c>
      <c r="N3748" s="464">
        <f t="shared" si="157"/>
        <v>165122</v>
      </c>
    </row>
    <row r="3749" spans="7:14" ht="11.25" customHeight="1" x14ac:dyDescent="0.25">
      <c r="G3749" s="459"/>
      <c r="H3749" s="459">
        <v>3742</v>
      </c>
      <c r="I3749" s="444">
        <f t="shared" ca="1" si="155"/>
        <v>-4616116979558.7979</v>
      </c>
      <c r="J3749" s="444">
        <f t="array" ref="J3749">IFERROR(INDEX('Retirement Calculator'!K:K,MATCH('Lorri 401b'!N3749,'Retirement Calculator'!A:A,0),0),0)</f>
        <v>0</v>
      </c>
      <c r="K3749" s="444">
        <f t="shared" ca="1" si="153"/>
        <v>-19233820748.161659</v>
      </c>
      <c r="L3749" s="444">
        <f t="shared" ca="1" si="154"/>
        <v>-4635350800306.96</v>
      </c>
      <c r="M3749" s="460">
        <f t="shared" si="156"/>
        <v>0.05</v>
      </c>
      <c r="N3749" s="464">
        <f t="shared" si="157"/>
        <v>165151</v>
      </c>
    </row>
    <row r="3750" spans="7:14" ht="11.25" customHeight="1" x14ac:dyDescent="0.25">
      <c r="G3750" s="459"/>
      <c r="H3750" s="459">
        <v>3743</v>
      </c>
      <c r="I3750" s="444">
        <f t="shared" ca="1" si="155"/>
        <v>-4635350800306.96</v>
      </c>
      <c r="J3750" s="444">
        <f t="array" ref="J3750">IFERROR(INDEX('Retirement Calculator'!K:K,MATCH('Lorri 401b'!N3750,'Retirement Calculator'!A:A,0),0),0)</f>
        <v>0</v>
      </c>
      <c r="K3750" s="444">
        <f t="shared" ca="1" si="153"/>
        <v>-19313961667.945667</v>
      </c>
      <c r="L3750" s="444">
        <f t="shared" ca="1" si="154"/>
        <v>-4654664761974.9053</v>
      </c>
      <c r="M3750" s="460">
        <f t="shared" si="156"/>
        <v>0.05</v>
      </c>
      <c r="N3750" s="464">
        <f t="shared" si="157"/>
        <v>165182</v>
      </c>
    </row>
    <row r="3751" spans="7:14" ht="11.25" customHeight="1" x14ac:dyDescent="0.25">
      <c r="G3751" s="459"/>
      <c r="H3751" s="459">
        <v>3744</v>
      </c>
      <c r="I3751" s="444">
        <f t="shared" ca="1" si="155"/>
        <v>-4654664761974.9053</v>
      </c>
      <c r="J3751" s="444">
        <f t="array" ref="J3751">IFERROR(INDEX('Retirement Calculator'!K:K,MATCH('Lorri 401b'!N3751,'Retirement Calculator'!A:A,0),0),0)</f>
        <v>0</v>
      </c>
      <c r="K3751" s="444">
        <f t="shared" ca="1" si="153"/>
        <v>-19394436508.228771</v>
      </c>
      <c r="L3751" s="444">
        <f t="shared" ca="1" si="154"/>
        <v>-4674059198483.1338</v>
      </c>
      <c r="M3751" s="460">
        <f t="shared" si="156"/>
        <v>0.05</v>
      </c>
      <c r="N3751" s="464">
        <f t="shared" si="157"/>
        <v>165212</v>
      </c>
    </row>
    <row r="3752" spans="7:14" ht="11.25" customHeight="1" x14ac:dyDescent="0.25">
      <c r="G3752" s="459"/>
      <c r="H3752" s="459">
        <v>3745</v>
      </c>
      <c r="I3752" s="444">
        <f t="shared" ca="1" si="155"/>
        <v>-4674059198483.1338</v>
      </c>
      <c r="J3752" s="444">
        <f t="array" ref="J3752">IFERROR(INDEX('Retirement Calculator'!K:K,MATCH('Lorri 401b'!N3752,'Retirement Calculator'!A:A,0),0),0)</f>
        <v>0</v>
      </c>
      <c r="K3752" s="444">
        <f t="shared" ca="1" si="153"/>
        <v>-19475246660.34639</v>
      </c>
      <c r="L3752" s="444">
        <f t="shared" ca="1" si="154"/>
        <v>-4693534445143.4805</v>
      </c>
      <c r="M3752" s="460">
        <f t="shared" si="156"/>
        <v>0.05</v>
      </c>
      <c r="N3752" s="464">
        <f t="shared" si="157"/>
        <v>165243</v>
      </c>
    </row>
    <row r="3753" spans="7:14" ht="11.25" customHeight="1" x14ac:dyDescent="0.25">
      <c r="G3753" s="459"/>
      <c r="H3753" s="459">
        <v>3746</v>
      </c>
      <c r="I3753" s="444">
        <f t="shared" ca="1" si="155"/>
        <v>-4693534445143.4805</v>
      </c>
      <c r="J3753" s="444">
        <f t="array" ref="J3753">IFERROR(INDEX('Retirement Calculator'!K:K,MATCH('Lorri 401b'!N3753,'Retirement Calculator'!A:A,0),0),0)</f>
        <v>0</v>
      </c>
      <c r="K3753" s="444">
        <f t="shared" ca="1" si="153"/>
        <v>-19556393521.431168</v>
      </c>
      <c r="L3753" s="444">
        <f t="shared" ca="1" si="154"/>
        <v>-4713090838664.9121</v>
      </c>
      <c r="M3753" s="460">
        <f t="shared" si="156"/>
        <v>0.05</v>
      </c>
      <c r="N3753" s="464">
        <f t="shared" si="157"/>
        <v>165273</v>
      </c>
    </row>
    <row r="3754" spans="7:14" ht="11.25" customHeight="1" x14ac:dyDescent="0.25">
      <c r="G3754" s="459"/>
      <c r="H3754" s="459">
        <v>3747</v>
      </c>
      <c r="I3754" s="444">
        <f t="shared" ca="1" si="155"/>
        <v>-4713090838664.9121</v>
      </c>
      <c r="J3754" s="444">
        <f t="array" ref="J3754">IFERROR(INDEX('Retirement Calculator'!K:K,MATCH('Lorri 401b'!N3754,'Retirement Calculator'!A:A,0),0),0)</f>
        <v>0</v>
      </c>
      <c r="K3754" s="444">
        <f t="shared" ca="1" si="153"/>
        <v>-19637878494.437134</v>
      </c>
      <c r="L3754" s="444">
        <f t="shared" ca="1" si="154"/>
        <v>-4732728717159.3496</v>
      </c>
      <c r="M3754" s="460">
        <f t="shared" si="156"/>
        <v>0.05</v>
      </c>
      <c r="N3754" s="464">
        <f t="shared" si="157"/>
        <v>165304</v>
      </c>
    </row>
    <row r="3755" spans="7:14" ht="11.25" customHeight="1" x14ac:dyDescent="0.25">
      <c r="G3755" s="459"/>
      <c r="H3755" s="459">
        <v>3748</v>
      </c>
      <c r="I3755" s="444">
        <f t="shared" ca="1" si="155"/>
        <v>-4732728717159.3496</v>
      </c>
      <c r="J3755" s="444">
        <f t="array" ref="J3755">IFERROR(INDEX('Retirement Calculator'!K:K,MATCH('Lorri 401b'!N3755,'Retirement Calculator'!A:A,0),0),0)</f>
        <v>0</v>
      </c>
      <c r="K3755" s="444">
        <f t="shared" ca="1" si="153"/>
        <v>-19719702988.163956</v>
      </c>
      <c r="L3755" s="444">
        <f t="shared" ca="1" si="154"/>
        <v>-4752448420147.5137</v>
      </c>
      <c r="M3755" s="460">
        <f t="shared" si="156"/>
        <v>0.05</v>
      </c>
      <c r="N3755" s="464">
        <f t="shared" si="157"/>
        <v>165335</v>
      </c>
    </row>
    <row r="3756" spans="7:14" ht="11.25" customHeight="1" x14ac:dyDescent="0.25">
      <c r="G3756" s="459"/>
      <c r="H3756" s="459">
        <v>3749</v>
      </c>
      <c r="I3756" s="444">
        <f t="shared" ca="1" si="155"/>
        <v>-4752448420147.5137</v>
      </c>
      <c r="J3756" s="444">
        <f t="array" ref="J3756">IFERROR(INDEX('Retirement Calculator'!K:K,MATCH('Lorri 401b'!N3756,'Retirement Calculator'!A:A,0),0),0)</f>
        <v>0</v>
      </c>
      <c r="K3756" s="444">
        <f t="shared" ca="1" si="153"/>
        <v>-19801868417.281307</v>
      </c>
      <c r="L3756" s="444">
        <f t="shared" ca="1" si="154"/>
        <v>-4772250288564.7949</v>
      </c>
      <c r="M3756" s="460">
        <f t="shared" si="156"/>
        <v>0.05</v>
      </c>
      <c r="N3756" s="464">
        <f t="shared" si="157"/>
        <v>165365</v>
      </c>
    </row>
    <row r="3757" spans="7:14" ht="11.25" customHeight="1" x14ac:dyDescent="0.25">
      <c r="G3757" s="459"/>
      <c r="H3757" s="459">
        <v>3750</v>
      </c>
      <c r="I3757" s="444">
        <f t="shared" ca="1" si="155"/>
        <v>-4772250288564.7949</v>
      </c>
      <c r="J3757" s="444">
        <f t="array" ref="J3757">IFERROR(INDEX('Retirement Calculator'!K:K,MATCH('Lorri 401b'!N3757,'Retirement Calculator'!A:A,0),0),0)</f>
        <v>0</v>
      </c>
      <c r="K3757" s="444">
        <f t="shared" ca="1" si="153"/>
        <v>-19884376202.353313</v>
      </c>
      <c r="L3757" s="444">
        <f t="shared" ca="1" si="154"/>
        <v>-4792134664767.1484</v>
      </c>
      <c r="M3757" s="460">
        <f t="shared" si="156"/>
        <v>0.05</v>
      </c>
      <c r="N3757" s="464">
        <f t="shared" si="157"/>
        <v>165396</v>
      </c>
    </row>
    <row r="3758" spans="7:14" ht="11.25" customHeight="1" x14ac:dyDescent="0.25">
      <c r="G3758" s="459"/>
      <c r="H3758" s="459">
        <v>3751</v>
      </c>
      <c r="I3758" s="444">
        <f t="shared" ca="1" si="155"/>
        <v>-4792134664767.1484</v>
      </c>
      <c r="J3758" s="444">
        <f t="array" ref="J3758">IFERROR(INDEX('Retirement Calculator'!K:K,MATCH('Lorri 401b'!N3758,'Retirement Calculator'!A:A,0),0),0)</f>
        <v>0</v>
      </c>
      <c r="K3758" s="444">
        <f t="shared" ca="1" si="153"/>
        <v>-19967227769.863117</v>
      </c>
      <c r="L3758" s="444">
        <f t="shared" ca="1" si="154"/>
        <v>-4812101892537.0117</v>
      </c>
      <c r="M3758" s="460">
        <f t="shared" si="156"/>
        <v>0.05</v>
      </c>
      <c r="N3758" s="464">
        <f t="shared" si="157"/>
        <v>165426</v>
      </c>
    </row>
    <row r="3759" spans="7:14" ht="11.25" customHeight="1" x14ac:dyDescent="0.25">
      <c r="G3759" s="459"/>
      <c r="H3759" s="459">
        <v>3752</v>
      </c>
      <c r="I3759" s="444">
        <f t="shared" ca="1" si="155"/>
        <v>-4812101892537.0117</v>
      </c>
      <c r="J3759" s="444">
        <f t="array" ref="J3759">IFERROR(INDEX('Retirement Calculator'!K:K,MATCH('Lorri 401b'!N3759,'Retirement Calculator'!A:A,0),0),0)</f>
        <v>0</v>
      </c>
      <c r="K3759" s="444">
        <f t="shared" ca="1" si="153"/>
        <v>-20050424552.237549</v>
      </c>
      <c r="L3759" s="444">
        <f t="shared" ca="1" si="154"/>
        <v>-4832152317089.249</v>
      </c>
      <c r="M3759" s="460">
        <f t="shared" si="156"/>
        <v>0.05</v>
      </c>
      <c r="N3759" s="464">
        <f t="shared" si="157"/>
        <v>165457</v>
      </c>
    </row>
    <row r="3760" spans="7:14" ht="11.25" customHeight="1" x14ac:dyDescent="0.25">
      <c r="G3760" s="459"/>
      <c r="H3760" s="459">
        <v>3753</v>
      </c>
      <c r="I3760" s="444">
        <f t="shared" ca="1" si="155"/>
        <v>-4832152317089.249</v>
      </c>
      <c r="J3760" s="444">
        <f t="array" ref="J3760">IFERROR(INDEX('Retirement Calculator'!K:K,MATCH('Lorri 401b'!N3760,'Retirement Calculator'!A:A,0),0),0)</f>
        <v>0</v>
      </c>
      <c r="K3760" s="444">
        <f t="shared" ca="1" si="153"/>
        <v>-20133967987.871872</v>
      </c>
      <c r="L3760" s="444">
        <f t="shared" ca="1" si="154"/>
        <v>-4852286285077.1211</v>
      </c>
      <c r="M3760" s="460">
        <f t="shared" si="156"/>
        <v>0.05</v>
      </c>
      <c r="N3760" s="464">
        <f t="shared" si="157"/>
        <v>165488</v>
      </c>
    </row>
    <row r="3761" spans="7:14" ht="11.25" customHeight="1" x14ac:dyDescent="0.25">
      <c r="G3761" s="459"/>
      <c r="H3761" s="459">
        <v>3754</v>
      </c>
      <c r="I3761" s="444">
        <f t="shared" ca="1" si="155"/>
        <v>-4852286285077.1211</v>
      </c>
      <c r="J3761" s="444">
        <f t="array" ref="J3761">IFERROR(INDEX('Retirement Calculator'!K:K,MATCH('Lorri 401b'!N3761,'Retirement Calculator'!A:A,0),0),0)</f>
        <v>0</v>
      </c>
      <c r="K3761" s="444">
        <f t="shared" ca="1" si="153"/>
        <v>-20217859521.154671</v>
      </c>
      <c r="L3761" s="444">
        <f t="shared" ca="1" si="154"/>
        <v>-4872504144598.2754</v>
      </c>
      <c r="M3761" s="460">
        <f t="shared" si="156"/>
        <v>0.05</v>
      </c>
      <c r="N3761" s="464">
        <f t="shared" si="157"/>
        <v>165516</v>
      </c>
    </row>
    <row r="3762" spans="7:14" ht="11.25" customHeight="1" x14ac:dyDescent="0.25">
      <c r="G3762" s="459"/>
      <c r="H3762" s="459">
        <v>3755</v>
      </c>
      <c r="I3762" s="444">
        <f t="shared" ca="1" si="155"/>
        <v>-4872504144598.2754</v>
      </c>
      <c r="J3762" s="444">
        <f t="array" ref="J3762">IFERROR(INDEX('Retirement Calculator'!K:K,MATCH('Lorri 401b'!N3762,'Retirement Calculator'!A:A,0),0),0)</f>
        <v>0</v>
      </c>
      <c r="K3762" s="444">
        <f t="shared" ca="1" si="153"/>
        <v>-20302100602.492813</v>
      </c>
      <c r="L3762" s="444">
        <f t="shared" ca="1" si="154"/>
        <v>-4892806245200.7686</v>
      </c>
      <c r="M3762" s="460">
        <f t="shared" si="156"/>
        <v>0.05</v>
      </c>
      <c r="N3762" s="464">
        <f t="shared" si="157"/>
        <v>165547</v>
      </c>
    </row>
    <row r="3763" spans="7:14" ht="11.25" customHeight="1" x14ac:dyDescent="0.25">
      <c r="G3763" s="459"/>
      <c r="H3763" s="459">
        <v>3756</v>
      </c>
      <c r="I3763" s="444">
        <f t="shared" ca="1" si="155"/>
        <v>-4892806245200.7686</v>
      </c>
      <c r="J3763" s="444">
        <f t="array" ref="J3763">IFERROR(INDEX('Retirement Calculator'!K:K,MATCH('Lorri 401b'!N3763,'Retirement Calculator'!A:A,0),0),0)</f>
        <v>0</v>
      </c>
      <c r="K3763" s="444">
        <f t="shared" ca="1" si="153"/>
        <v>-20386692688.336536</v>
      </c>
      <c r="L3763" s="444">
        <f t="shared" ca="1" si="154"/>
        <v>-4913192937889.1055</v>
      </c>
      <c r="M3763" s="460">
        <f t="shared" si="156"/>
        <v>0.05</v>
      </c>
      <c r="N3763" s="464">
        <f t="shared" si="157"/>
        <v>165577</v>
      </c>
    </row>
    <row r="3764" spans="7:14" ht="11.25" customHeight="1" x14ac:dyDescent="0.25">
      <c r="G3764" s="459"/>
      <c r="H3764" s="459">
        <v>3757</v>
      </c>
      <c r="I3764" s="444">
        <f t="shared" ca="1" si="155"/>
        <v>-4913192937889.1055</v>
      </c>
      <c r="J3764" s="444">
        <f t="array" ref="J3764">IFERROR(INDEX('Retirement Calculator'!K:K,MATCH('Lorri 401b'!N3764,'Retirement Calculator'!A:A,0),0),0)</f>
        <v>0</v>
      </c>
      <c r="K3764" s="444">
        <f t="shared" ca="1" si="153"/>
        <v>-20471637241.204605</v>
      </c>
      <c r="L3764" s="444">
        <f t="shared" ca="1" si="154"/>
        <v>-4933664575130.3105</v>
      </c>
      <c r="M3764" s="460">
        <f t="shared" si="156"/>
        <v>0.05</v>
      </c>
      <c r="N3764" s="464">
        <f t="shared" si="157"/>
        <v>165608</v>
      </c>
    </row>
    <row r="3765" spans="7:14" ht="11.25" customHeight="1" x14ac:dyDescent="0.25">
      <c r="G3765" s="459"/>
      <c r="H3765" s="459">
        <v>3758</v>
      </c>
      <c r="I3765" s="444">
        <f t="shared" ca="1" si="155"/>
        <v>-4933664575130.3105</v>
      </c>
      <c r="J3765" s="444">
        <f t="array" ref="J3765">IFERROR(INDEX('Retirement Calculator'!K:K,MATCH('Lorri 401b'!N3765,'Retirement Calculator'!A:A,0),0),0)</f>
        <v>0</v>
      </c>
      <c r="K3765" s="444">
        <f t="shared" ca="1" si="153"/>
        <v>-20556935729.709625</v>
      </c>
      <c r="L3765" s="444">
        <f t="shared" ca="1" si="154"/>
        <v>-4954221510860.0205</v>
      </c>
      <c r="M3765" s="460">
        <f t="shared" si="156"/>
        <v>0.05</v>
      </c>
      <c r="N3765" s="464">
        <f t="shared" si="157"/>
        <v>165638</v>
      </c>
    </row>
    <row r="3766" spans="7:14" ht="11.25" customHeight="1" x14ac:dyDescent="0.25">
      <c r="G3766" s="459"/>
      <c r="H3766" s="459">
        <v>3759</v>
      </c>
      <c r="I3766" s="444">
        <f t="shared" ca="1" si="155"/>
        <v>-4954221510860.0205</v>
      </c>
      <c r="J3766" s="444">
        <f t="array" ref="J3766">IFERROR(INDEX('Retirement Calculator'!K:K,MATCH('Lorri 401b'!N3766,'Retirement Calculator'!A:A,0),0),0)</f>
        <v>0</v>
      </c>
      <c r="K3766" s="444">
        <f t="shared" ca="1" si="153"/>
        <v>-20642589628.58342</v>
      </c>
      <c r="L3766" s="444">
        <f t="shared" ca="1" si="154"/>
        <v>-4974864100488.6035</v>
      </c>
      <c r="M3766" s="460">
        <f t="shared" si="156"/>
        <v>0.05</v>
      </c>
      <c r="N3766" s="464">
        <f t="shared" si="157"/>
        <v>165669</v>
      </c>
    </row>
    <row r="3767" spans="7:14" ht="11.25" customHeight="1" x14ac:dyDescent="0.25">
      <c r="G3767" s="459"/>
      <c r="H3767" s="459">
        <v>3760</v>
      </c>
      <c r="I3767" s="444">
        <f t="shared" ca="1" si="155"/>
        <v>-4974864100488.6035</v>
      </c>
      <c r="J3767" s="444">
        <f t="array" ref="J3767">IFERROR(INDEX('Retirement Calculator'!K:K,MATCH('Lorri 401b'!N3767,'Retirement Calculator'!A:A,0),0),0)</f>
        <v>0</v>
      </c>
      <c r="K3767" s="444">
        <f t="shared" ca="1" si="153"/>
        <v>-20728600418.702515</v>
      </c>
      <c r="L3767" s="444">
        <f t="shared" ca="1" si="154"/>
        <v>-4995592700907.3057</v>
      </c>
      <c r="M3767" s="460">
        <f t="shared" si="156"/>
        <v>0.05</v>
      </c>
      <c r="N3767" s="464">
        <f t="shared" si="157"/>
        <v>165700</v>
      </c>
    </row>
    <row r="3768" spans="7:14" ht="11.25" customHeight="1" x14ac:dyDescent="0.25">
      <c r="G3768" s="459"/>
      <c r="H3768" s="459">
        <v>3761</v>
      </c>
      <c r="I3768" s="444">
        <f t="shared" ca="1" si="155"/>
        <v>-4995592700907.3057</v>
      </c>
      <c r="J3768" s="444">
        <f t="array" ref="J3768">IFERROR(INDEX('Retirement Calculator'!K:K,MATCH('Lorri 401b'!N3768,'Retirement Calculator'!A:A,0),0),0)</f>
        <v>0</v>
      </c>
      <c r="K3768" s="444">
        <f t="shared" ca="1" si="153"/>
        <v>-20814969587.113773</v>
      </c>
      <c r="L3768" s="444">
        <f t="shared" ca="1" si="154"/>
        <v>-5016407670494.4199</v>
      </c>
      <c r="M3768" s="460">
        <f t="shared" si="156"/>
        <v>0.05</v>
      </c>
      <c r="N3768" s="464">
        <f t="shared" si="157"/>
        <v>165730</v>
      </c>
    </row>
    <row r="3769" spans="7:14" ht="11.25" customHeight="1" x14ac:dyDescent="0.25">
      <c r="G3769" s="459"/>
      <c r="H3769" s="459">
        <v>3762</v>
      </c>
      <c r="I3769" s="444">
        <f t="shared" ca="1" si="155"/>
        <v>-5016407670494.4199</v>
      </c>
      <c r="J3769" s="444">
        <f t="array" ref="J3769">IFERROR(INDEX('Retirement Calculator'!K:K,MATCH('Lorri 401b'!N3769,'Retirement Calculator'!A:A,0),0),0)</f>
        <v>0</v>
      </c>
      <c r="K3769" s="444">
        <f t="shared" ca="1" si="153"/>
        <v>-20901698627.060081</v>
      </c>
      <c r="L3769" s="444">
        <f t="shared" ca="1" si="154"/>
        <v>-5037309369121.4805</v>
      </c>
      <c r="M3769" s="460">
        <f t="shared" si="156"/>
        <v>0.05</v>
      </c>
      <c r="N3769" s="464">
        <f t="shared" si="157"/>
        <v>165761</v>
      </c>
    </row>
    <row r="3770" spans="7:14" ht="11.25" customHeight="1" x14ac:dyDescent="0.25">
      <c r="G3770" s="459"/>
      <c r="H3770" s="459">
        <v>3763</v>
      </c>
      <c r="I3770" s="444">
        <f t="shared" ca="1" si="155"/>
        <v>-5037309369121.4805</v>
      </c>
      <c r="J3770" s="444">
        <f t="array" ref="J3770">IFERROR(INDEX('Retirement Calculator'!K:K,MATCH('Lorri 401b'!N3770,'Retirement Calculator'!A:A,0),0),0)</f>
        <v>0</v>
      </c>
      <c r="K3770" s="444">
        <f t="shared" ca="1" si="153"/>
        <v>-20988789038.006168</v>
      </c>
      <c r="L3770" s="444">
        <f t="shared" ca="1" si="154"/>
        <v>-5058298158159.4863</v>
      </c>
      <c r="M3770" s="460">
        <f t="shared" si="156"/>
        <v>0.05</v>
      </c>
      <c r="N3770" s="464">
        <f t="shared" si="157"/>
        <v>165791</v>
      </c>
    </row>
    <row r="3771" spans="7:14" ht="11.25" customHeight="1" x14ac:dyDescent="0.25">
      <c r="G3771" s="459"/>
      <c r="H3771" s="459">
        <v>3764</v>
      </c>
      <c r="I3771" s="444">
        <f t="shared" ca="1" si="155"/>
        <v>-5058298158159.4863</v>
      </c>
      <c r="J3771" s="444">
        <f t="array" ref="J3771">IFERROR(INDEX('Retirement Calculator'!K:K,MATCH('Lorri 401b'!N3771,'Retirement Calculator'!A:A,0),0),0)</f>
        <v>0</v>
      </c>
      <c r="K3771" s="444">
        <f t="shared" ca="1" si="153"/>
        <v>-21076242325.664528</v>
      </c>
      <c r="L3771" s="444">
        <f t="shared" ca="1" si="154"/>
        <v>-5079374400485.1504</v>
      </c>
      <c r="M3771" s="460">
        <f t="shared" si="156"/>
        <v>0.05</v>
      </c>
      <c r="N3771" s="464">
        <f t="shared" si="157"/>
        <v>165822</v>
      </c>
    </row>
    <row r="3772" spans="7:14" ht="11.25" customHeight="1" x14ac:dyDescent="0.25">
      <c r="G3772" s="459"/>
      <c r="H3772" s="459">
        <v>3765</v>
      </c>
      <c r="I3772" s="444">
        <f t="shared" ca="1" si="155"/>
        <v>-5079374400485.1504</v>
      </c>
      <c r="J3772" s="444">
        <f t="array" ref="J3772">IFERROR(INDEX('Retirement Calculator'!K:K,MATCH('Lorri 401b'!N3772,'Retirement Calculator'!A:A,0),0),0)</f>
        <v>0</v>
      </c>
      <c r="K3772" s="444">
        <f t="shared" ca="1" si="153"/>
        <v>-21164060002.021461</v>
      </c>
      <c r="L3772" s="444">
        <f t="shared" ca="1" si="154"/>
        <v>-5100538460487.1719</v>
      </c>
      <c r="M3772" s="460">
        <f t="shared" si="156"/>
        <v>0.05</v>
      </c>
      <c r="N3772" s="464">
        <f t="shared" si="157"/>
        <v>165853</v>
      </c>
    </row>
    <row r="3773" spans="7:14" ht="11.25" customHeight="1" x14ac:dyDescent="0.25">
      <c r="G3773" s="459"/>
      <c r="H3773" s="459">
        <v>3766</v>
      </c>
      <c r="I3773" s="444">
        <f t="shared" ca="1" si="155"/>
        <v>-5100538460487.1719</v>
      </c>
      <c r="J3773" s="444">
        <f t="array" ref="J3773">IFERROR(INDEX('Retirement Calculator'!K:K,MATCH('Lorri 401b'!N3773,'Retirement Calculator'!A:A,0),0),0)</f>
        <v>0</v>
      </c>
      <c r="K3773" s="444">
        <f t="shared" ca="1" si="153"/>
        <v>-21252243585.363216</v>
      </c>
      <c r="L3773" s="444">
        <f t="shared" ca="1" si="154"/>
        <v>-5121790704072.5352</v>
      </c>
      <c r="M3773" s="460">
        <f t="shared" si="156"/>
        <v>0.05</v>
      </c>
      <c r="N3773" s="464">
        <f t="shared" si="157"/>
        <v>165881</v>
      </c>
    </row>
    <row r="3774" spans="7:14" ht="11.25" customHeight="1" x14ac:dyDescent="0.25">
      <c r="G3774" s="459"/>
      <c r="H3774" s="459">
        <v>3767</v>
      </c>
      <c r="I3774" s="444">
        <f t="shared" ca="1" si="155"/>
        <v>-5121790704072.5352</v>
      </c>
      <c r="J3774" s="444">
        <f t="array" ref="J3774">IFERROR(INDEX('Retirement Calculator'!K:K,MATCH('Lorri 401b'!N3774,'Retirement Calculator'!A:A,0),0),0)</f>
        <v>0</v>
      </c>
      <c r="K3774" s="444">
        <f t="shared" ca="1" si="153"/>
        <v>-21340794600.302231</v>
      </c>
      <c r="L3774" s="444">
        <f t="shared" ca="1" si="154"/>
        <v>-5143131498672.8369</v>
      </c>
      <c r="M3774" s="460">
        <f t="shared" si="156"/>
        <v>0.05</v>
      </c>
      <c r="N3774" s="464">
        <f t="shared" si="157"/>
        <v>165912</v>
      </c>
    </row>
    <row r="3775" spans="7:14" ht="11.25" customHeight="1" x14ac:dyDescent="0.25">
      <c r="G3775" s="459"/>
      <c r="H3775" s="459">
        <v>3768</v>
      </c>
      <c r="I3775" s="444">
        <f t="shared" ca="1" si="155"/>
        <v>-5143131498672.8369</v>
      </c>
      <c r="J3775" s="444">
        <f t="array" ref="J3775">IFERROR(INDEX('Retirement Calculator'!K:K,MATCH('Lorri 401b'!N3775,'Retirement Calculator'!A:A,0),0),0)</f>
        <v>0</v>
      </c>
      <c r="K3775" s="444">
        <f t="shared" ca="1" si="153"/>
        <v>-21429714577.803486</v>
      </c>
      <c r="L3775" s="444">
        <f t="shared" ca="1" si="154"/>
        <v>-5164561213250.6406</v>
      </c>
      <c r="M3775" s="460">
        <f t="shared" si="156"/>
        <v>0.05</v>
      </c>
      <c r="N3775" s="464">
        <f t="shared" si="157"/>
        <v>165942</v>
      </c>
    </row>
    <row r="3776" spans="7:14" ht="11.25" customHeight="1" x14ac:dyDescent="0.25">
      <c r="G3776" s="459"/>
      <c r="H3776" s="459">
        <v>3769</v>
      </c>
      <c r="I3776" s="444">
        <f t="shared" ca="1" si="155"/>
        <v>-5164561213250.6406</v>
      </c>
      <c r="J3776" s="444">
        <f t="array" ref="J3776">IFERROR(INDEX('Retirement Calculator'!K:K,MATCH('Lorri 401b'!N3776,'Retirement Calculator'!A:A,0),0),0)</f>
        <v>0</v>
      </c>
      <c r="K3776" s="444">
        <f t="shared" ca="1" si="153"/>
        <v>-21519005055.211002</v>
      </c>
      <c r="L3776" s="444">
        <f t="shared" ca="1" si="154"/>
        <v>-5186080218305.8516</v>
      </c>
      <c r="M3776" s="460">
        <f t="shared" si="156"/>
        <v>0.05</v>
      </c>
      <c r="N3776" s="464">
        <f t="shared" si="157"/>
        <v>165973</v>
      </c>
    </row>
    <row r="3777" spans="7:14" ht="11.25" customHeight="1" x14ac:dyDescent="0.25">
      <c r="G3777" s="459"/>
      <c r="H3777" s="459">
        <v>3770</v>
      </c>
      <c r="I3777" s="444">
        <f t="shared" ca="1" si="155"/>
        <v>-5186080218305.8516</v>
      </c>
      <c r="J3777" s="444">
        <f t="array" ref="J3777">IFERROR(INDEX('Retirement Calculator'!K:K,MATCH('Lorri 401b'!N3777,'Retirement Calculator'!A:A,0),0),0)</f>
        <v>0</v>
      </c>
      <c r="K3777" s="444">
        <f t="shared" ca="1" si="153"/>
        <v>-21608667576.27438</v>
      </c>
      <c r="L3777" s="444">
        <f t="shared" ca="1" si="154"/>
        <v>-5207688885882.126</v>
      </c>
      <c r="M3777" s="460">
        <f t="shared" si="156"/>
        <v>0.05</v>
      </c>
      <c r="N3777" s="464">
        <f t="shared" si="157"/>
        <v>166003</v>
      </c>
    </row>
    <row r="3778" spans="7:14" ht="11.25" customHeight="1" x14ac:dyDescent="0.25">
      <c r="G3778" s="459"/>
      <c r="H3778" s="459">
        <v>3771</v>
      </c>
      <c r="I3778" s="444">
        <f t="shared" ca="1" si="155"/>
        <v>-5207688885882.126</v>
      </c>
      <c r="J3778" s="444">
        <f t="array" ref="J3778">IFERROR(INDEX('Retirement Calculator'!K:K,MATCH('Lorri 401b'!N3778,'Retirement Calculator'!A:A,0),0),0)</f>
        <v>0</v>
      </c>
      <c r="K3778" s="444">
        <f t="shared" ca="1" si="153"/>
        <v>-21698703691.175526</v>
      </c>
      <c r="L3778" s="444">
        <f t="shared" ca="1" si="154"/>
        <v>-5229387589573.3018</v>
      </c>
      <c r="M3778" s="460">
        <f t="shared" si="156"/>
        <v>0.05</v>
      </c>
      <c r="N3778" s="464">
        <f t="shared" si="157"/>
        <v>166034</v>
      </c>
    </row>
    <row r="3779" spans="7:14" ht="11.25" customHeight="1" x14ac:dyDescent="0.25">
      <c r="G3779" s="459"/>
      <c r="H3779" s="459">
        <v>3772</v>
      </c>
      <c r="I3779" s="444">
        <f t="shared" ca="1" si="155"/>
        <v>-5229387589573.3018</v>
      </c>
      <c r="J3779" s="444">
        <f t="array" ref="J3779">IFERROR(INDEX('Retirement Calculator'!K:K,MATCH('Lorri 401b'!N3779,'Retirement Calculator'!A:A,0),0),0)</f>
        <v>0</v>
      </c>
      <c r="K3779" s="444">
        <f t="shared" ca="1" si="153"/>
        <v>-21789114956.555424</v>
      </c>
      <c r="L3779" s="444">
        <f t="shared" ca="1" si="154"/>
        <v>-5251176704529.8574</v>
      </c>
      <c r="M3779" s="460">
        <f t="shared" si="156"/>
        <v>0.05</v>
      </c>
      <c r="N3779" s="464">
        <f t="shared" si="157"/>
        <v>166065</v>
      </c>
    </row>
    <row r="3780" spans="7:14" ht="11.25" customHeight="1" x14ac:dyDescent="0.25">
      <c r="G3780" s="459"/>
      <c r="H3780" s="459">
        <v>3773</v>
      </c>
      <c r="I3780" s="444">
        <f t="shared" ca="1" si="155"/>
        <v>-5251176704529.8574</v>
      </c>
      <c r="J3780" s="444">
        <f t="array" ref="J3780">IFERROR(INDEX('Retirement Calculator'!K:K,MATCH('Lorri 401b'!N3780,'Retirement Calculator'!A:A,0),0),0)</f>
        <v>0</v>
      </c>
      <c r="K3780" s="444">
        <f t="shared" ca="1" si="153"/>
        <v>-21879902935.541073</v>
      </c>
      <c r="L3780" s="444">
        <f t="shared" ca="1" si="154"/>
        <v>-5273056607465.3984</v>
      </c>
      <c r="M3780" s="460">
        <f t="shared" si="156"/>
        <v>0.05</v>
      </c>
      <c r="N3780" s="464">
        <f t="shared" si="157"/>
        <v>166095</v>
      </c>
    </row>
    <row r="3781" spans="7:14" ht="11.25" customHeight="1" x14ac:dyDescent="0.25">
      <c r="G3781" s="459"/>
      <c r="H3781" s="459">
        <v>3774</v>
      </c>
      <c r="I3781" s="444">
        <f t="shared" ca="1" si="155"/>
        <v>-5273056607465.3984</v>
      </c>
      <c r="J3781" s="444">
        <f t="array" ref="J3781">IFERROR(INDEX('Retirement Calculator'!K:K,MATCH('Lorri 401b'!N3781,'Retirement Calculator'!A:A,0),0),0)</f>
        <v>0</v>
      </c>
      <c r="K3781" s="444">
        <f t="shared" ca="1" si="153"/>
        <v>-21971069197.772491</v>
      </c>
      <c r="L3781" s="444">
        <f t="shared" ca="1" si="154"/>
        <v>-5295027676663.1709</v>
      </c>
      <c r="M3781" s="460">
        <f t="shared" si="156"/>
        <v>0.05</v>
      </c>
      <c r="N3781" s="464">
        <f t="shared" si="157"/>
        <v>166126</v>
      </c>
    </row>
    <row r="3782" spans="7:14" ht="11.25" customHeight="1" x14ac:dyDescent="0.25">
      <c r="G3782" s="459"/>
      <c r="H3782" s="459">
        <v>3775</v>
      </c>
      <c r="I3782" s="444">
        <f t="shared" ca="1" si="155"/>
        <v>-5295027676663.1709</v>
      </c>
      <c r="J3782" s="444">
        <f t="array" ref="J3782">IFERROR(INDEX('Retirement Calculator'!K:K,MATCH('Lorri 401b'!N3782,'Retirement Calculator'!A:A,0),0),0)</f>
        <v>0</v>
      </c>
      <c r="K3782" s="444">
        <f t="shared" ca="1" si="153"/>
        <v>-22062615319.429878</v>
      </c>
      <c r="L3782" s="444">
        <f t="shared" ca="1" si="154"/>
        <v>-5317090291982.6006</v>
      </c>
      <c r="M3782" s="460">
        <f t="shared" si="156"/>
        <v>0.05</v>
      </c>
      <c r="N3782" s="464">
        <f t="shared" si="157"/>
        <v>166156</v>
      </c>
    </row>
    <row r="3783" spans="7:14" ht="11.25" customHeight="1" x14ac:dyDescent="0.25">
      <c r="G3783" s="459"/>
      <c r="H3783" s="459">
        <v>3776</v>
      </c>
      <c r="I3783" s="444">
        <f t="shared" ca="1" si="155"/>
        <v>-5317090291982.6006</v>
      </c>
      <c r="J3783" s="444">
        <f t="array" ref="J3783">IFERROR(INDEX('Retirement Calculator'!K:K,MATCH('Lorri 401b'!N3783,'Retirement Calculator'!A:A,0),0),0)</f>
        <v>0</v>
      </c>
      <c r="K3783" s="444">
        <f t="shared" ca="1" si="153"/>
        <v>-22154542883.260834</v>
      </c>
      <c r="L3783" s="444">
        <f t="shared" ca="1" si="154"/>
        <v>-5339244834865.8613</v>
      </c>
      <c r="M3783" s="460">
        <f t="shared" si="156"/>
        <v>0.05</v>
      </c>
      <c r="N3783" s="464">
        <f t="shared" si="157"/>
        <v>166187</v>
      </c>
    </row>
    <row r="3784" spans="7:14" ht="11.25" customHeight="1" x14ac:dyDescent="0.25">
      <c r="G3784" s="459"/>
      <c r="H3784" s="459">
        <v>3777</v>
      </c>
      <c r="I3784" s="444">
        <f t="shared" ca="1" si="155"/>
        <v>-5339244834865.8613</v>
      </c>
      <c r="J3784" s="444">
        <f t="array" ref="J3784">IFERROR(INDEX('Retirement Calculator'!K:K,MATCH('Lorri 401b'!N3784,'Retirement Calculator'!A:A,0),0),0)</f>
        <v>0</v>
      </c>
      <c r="K3784" s="444">
        <f t="shared" ca="1" si="153"/>
        <v>-22246853478.607754</v>
      </c>
      <c r="L3784" s="444">
        <f t="shared" ca="1" si="154"/>
        <v>-5361491688344.4688</v>
      </c>
      <c r="M3784" s="460">
        <f t="shared" si="156"/>
        <v>0.05</v>
      </c>
      <c r="N3784" s="464">
        <f t="shared" si="157"/>
        <v>166218</v>
      </c>
    </row>
    <row r="3785" spans="7:14" ht="11.25" customHeight="1" x14ac:dyDescent="0.25">
      <c r="G3785" s="459"/>
      <c r="H3785" s="459">
        <v>3778</v>
      </c>
      <c r="I3785" s="444">
        <f t="shared" ca="1" si="155"/>
        <v>-5361491688344.4688</v>
      </c>
      <c r="J3785" s="444">
        <f t="array" ref="J3785">IFERROR(INDEX('Retirement Calculator'!K:K,MATCH('Lorri 401b'!N3785,'Retirement Calculator'!A:A,0),0),0)</f>
        <v>0</v>
      </c>
      <c r="K3785" s="444">
        <f t="shared" ca="1" si="153"/>
        <v>-22339548701.435287</v>
      </c>
      <c r="L3785" s="444">
        <f t="shared" ca="1" si="154"/>
        <v>-5383831237045.9043</v>
      </c>
      <c r="M3785" s="460">
        <f t="shared" si="156"/>
        <v>0.05</v>
      </c>
      <c r="N3785" s="464">
        <f t="shared" si="157"/>
        <v>166246</v>
      </c>
    </row>
    <row r="3786" spans="7:14" ht="11.25" customHeight="1" x14ac:dyDescent="0.25">
      <c r="G3786" s="459"/>
      <c r="H3786" s="459">
        <v>3779</v>
      </c>
      <c r="I3786" s="444">
        <f t="shared" ca="1" si="155"/>
        <v>-5383831237045.9043</v>
      </c>
      <c r="J3786" s="444">
        <f t="array" ref="J3786">IFERROR(INDEX('Retirement Calculator'!K:K,MATCH('Lorri 401b'!N3786,'Retirement Calculator'!A:A,0),0),0)</f>
        <v>0</v>
      </c>
      <c r="K3786" s="444">
        <f t="shared" ca="1" si="153"/>
        <v>-22432630154.357933</v>
      </c>
      <c r="L3786" s="444">
        <f t="shared" ca="1" si="154"/>
        <v>-5406263867200.2627</v>
      </c>
      <c r="M3786" s="460">
        <f t="shared" si="156"/>
        <v>0.05</v>
      </c>
      <c r="N3786" s="464">
        <f t="shared" si="157"/>
        <v>166277</v>
      </c>
    </row>
    <row r="3787" spans="7:14" ht="11.25" customHeight="1" x14ac:dyDescent="0.25">
      <c r="G3787" s="459"/>
      <c r="H3787" s="459">
        <v>3780</v>
      </c>
      <c r="I3787" s="444">
        <f t="shared" ca="1" si="155"/>
        <v>-5406263867200.2627</v>
      </c>
      <c r="J3787" s="444">
        <f t="array" ref="J3787">IFERROR(INDEX('Retirement Calculator'!K:K,MATCH('Lorri 401b'!N3787,'Retirement Calculator'!A:A,0),0),0)</f>
        <v>0</v>
      </c>
      <c r="K3787" s="444">
        <f t="shared" ca="1" si="153"/>
        <v>-22526099446.667763</v>
      </c>
      <c r="L3787" s="444">
        <f t="shared" ca="1" si="154"/>
        <v>-5428789966646.9307</v>
      </c>
      <c r="M3787" s="460">
        <f t="shared" si="156"/>
        <v>0.05</v>
      </c>
      <c r="N3787" s="464">
        <f t="shared" si="157"/>
        <v>166307</v>
      </c>
    </row>
    <row r="3788" spans="7:14" ht="11.25" customHeight="1" x14ac:dyDescent="0.25">
      <c r="G3788" s="459"/>
      <c r="H3788" s="459">
        <v>3781</v>
      </c>
      <c r="I3788" s="444">
        <f t="shared" ca="1" si="155"/>
        <v>-5428789966646.9307</v>
      </c>
      <c r="J3788" s="444">
        <f t="array" ref="J3788">IFERROR(INDEX('Retirement Calculator'!K:K,MATCH('Lorri 401b'!N3788,'Retirement Calculator'!A:A,0),0),0)</f>
        <v>0</v>
      </c>
      <c r="K3788" s="444">
        <f t="shared" ca="1" si="153"/>
        <v>-22619958194.362209</v>
      </c>
      <c r="L3788" s="444">
        <f t="shared" ca="1" si="154"/>
        <v>-5451409924841.293</v>
      </c>
      <c r="M3788" s="460">
        <f t="shared" si="156"/>
        <v>0.05</v>
      </c>
      <c r="N3788" s="464">
        <f t="shared" si="157"/>
        <v>166338</v>
      </c>
    </row>
    <row r="3789" spans="7:14" ht="11.25" customHeight="1" x14ac:dyDescent="0.25">
      <c r="G3789" s="459"/>
      <c r="H3789" s="459">
        <v>3782</v>
      </c>
      <c r="I3789" s="444">
        <f t="shared" ca="1" si="155"/>
        <v>-5451409924841.293</v>
      </c>
      <c r="J3789" s="444">
        <f t="array" ref="J3789">IFERROR(INDEX('Retirement Calculator'!K:K,MATCH('Lorri 401b'!N3789,'Retirement Calculator'!A:A,0),0),0)</f>
        <v>0</v>
      </c>
      <c r="K3789" s="444">
        <f t="shared" ca="1" si="153"/>
        <v>-22714208020.172054</v>
      </c>
      <c r="L3789" s="444">
        <f t="shared" ca="1" si="154"/>
        <v>-5474124132861.4648</v>
      </c>
      <c r="M3789" s="460">
        <f t="shared" si="156"/>
        <v>0.05</v>
      </c>
      <c r="N3789" s="464">
        <f t="shared" si="157"/>
        <v>166368</v>
      </c>
    </row>
    <row r="3790" spans="7:14" ht="11.25" customHeight="1" x14ac:dyDescent="0.25">
      <c r="G3790" s="459"/>
      <c r="H3790" s="459">
        <v>3783</v>
      </c>
      <c r="I3790" s="444">
        <f t="shared" ca="1" si="155"/>
        <v>-5474124132861.4648</v>
      </c>
      <c r="J3790" s="444">
        <f t="array" ref="J3790">IFERROR(INDEX('Retirement Calculator'!K:K,MATCH('Lorri 401b'!N3790,'Retirement Calculator'!A:A,0),0),0)</f>
        <v>0</v>
      </c>
      <c r="K3790" s="444">
        <f t="shared" ca="1" si="153"/>
        <v>-22808850553.589436</v>
      </c>
      <c r="L3790" s="444">
        <f t="shared" ca="1" si="154"/>
        <v>-5496932983415.0547</v>
      </c>
      <c r="M3790" s="460">
        <f t="shared" si="156"/>
        <v>0.05</v>
      </c>
      <c r="N3790" s="464">
        <f t="shared" si="157"/>
        <v>166399</v>
      </c>
    </row>
    <row r="3791" spans="7:14" ht="11.25" customHeight="1" x14ac:dyDescent="0.25">
      <c r="G3791" s="459"/>
      <c r="H3791" s="459">
        <v>3784</v>
      </c>
      <c r="I3791" s="444">
        <f t="shared" ca="1" si="155"/>
        <v>-5496932983415.0547</v>
      </c>
      <c r="J3791" s="444">
        <f t="array" ref="J3791">IFERROR(INDEX('Retirement Calculator'!K:K,MATCH('Lorri 401b'!N3791,'Retirement Calculator'!A:A,0),0),0)</f>
        <v>0</v>
      </c>
      <c r="K3791" s="444">
        <f t="shared" ca="1" si="153"/>
        <v>-22903887430.896061</v>
      </c>
      <c r="L3791" s="444">
        <f t="shared" ca="1" si="154"/>
        <v>-5519836870845.9512</v>
      </c>
      <c r="M3791" s="460">
        <f t="shared" si="156"/>
        <v>0.05</v>
      </c>
      <c r="N3791" s="464">
        <f t="shared" si="157"/>
        <v>166430</v>
      </c>
    </row>
    <row r="3792" spans="7:14" ht="11.25" customHeight="1" x14ac:dyDescent="0.25">
      <c r="G3792" s="459"/>
      <c r="H3792" s="459">
        <v>3785</v>
      </c>
      <c r="I3792" s="444">
        <f t="shared" ca="1" si="155"/>
        <v>-5519836870845.9512</v>
      </c>
      <c r="J3792" s="444">
        <f t="array" ref="J3792">IFERROR(INDEX('Retirement Calculator'!K:K,MATCH('Lorri 401b'!N3792,'Retirement Calculator'!A:A,0),0),0)</f>
        <v>0</v>
      </c>
      <c r="K3792" s="444">
        <f t="shared" ca="1" si="153"/>
        <v>-22999320295.191463</v>
      </c>
      <c r="L3792" s="444">
        <f t="shared" ca="1" si="154"/>
        <v>-5542836191141.1426</v>
      </c>
      <c r="M3792" s="460">
        <f t="shared" si="156"/>
        <v>0.05</v>
      </c>
      <c r="N3792" s="464">
        <f t="shared" si="157"/>
        <v>166460</v>
      </c>
    </row>
    <row r="3793" spans="7:14" ht="11.25" customHeight="1" x14ac:dyDescent="0.25">
      <c r="G3793" s="459"/>
      <c r="H3793" s="459">
        <v>3786</v>
      </c>
      <c r="I3793" s="444">
        <f t="shared" ca="1" si="155"/>
        <v>-5542836191141.1426</v>
      </c>
      <c r="J3793" s="444">
        <f t="array" ref="J3793">IFERROR(INDEX('Retirement Calculator'!K:K,MATCH('Lorri 401b'!N3793,'Retirement Calculator'!A:A,0),0),0)</f>
        <v>0</v>
      </c>
      <c r="K3793" s="444">
        <f t="shared" ca="1" si="153"/>
        <v>-23095150796.421429</v>
      </c>
      <c r="L3793" s="444">
        <f t="shared" ca="1" si="154"/>
        <v>-5565931341937.5645</v>
      </c>
      <c r="M3793" s="460">
        <f t="shared" si="156"/>
        <v>0.05</v>
      </c>
      <c r="N3793" s="464">
        <f t="shared" si="157"/>
        <v>166491</v>
      </c>
    </row>
    <row r="3794" spans="7:14" ht="11.25" customHeight="1" x14ac:dyDescent="0.25">
      <c r="G3794" s="459"/>
      <c r="H3794" s="459">
        <v>3787</v>
      </c>
      <c r="I3794" s="444">
        <f t="shared" ca="1" si="155"/>
        <v>-5565931341937.5645</v>
      </c>
      <c r="J3794" s="444">
        <f t="array" ref="J3794">IFERROR(INDEX('Retirement Calculator'!K:K,MATCH('Lorri 401b'!N3794,'Retirement Calculator'!A:A,0),0),0)</f>
        <v>0</v>
      </c>
      <c r="K3794" s="444">
        <f t="shared" ca="1" si="153"/>
        <v>-23191380591.406517</v>
      </c>
      <c r="L3794" s="444">
        <f t="shared" ca="1" si="154"/>
        <v>-5589122722528.9707</v>
      </c>
      <c r="M3794" s="460">
        <f t="shared" si="156"/>
        <v>0.05</v>
      </c>
      <c r="N3794" s="464">
        <f t="shared" si="157"/>
        <v>166521</v>
      </c>
    </row>
    <row r="3795" spans="7:14" ht="11.25" customHeight="1" x14ac:dyDescent="0.25">
      <c r="G3795" s="459"/>
      <c r="H3795" s="459">
        <v>3788</v>
      </c>
      <c r="I3795" s="444">
        <f t="shared" ca="1" si="155"/>
        <v>-5589122722528.9707</v>
      </c>
      <c r="J3795" s="444">
        <f t="array" ref="J3795">IFERROR(INDEX('Retirement Calculator'!K:K,MATCH('Lorri 401b'!N3795,'Retirement Calculator'!A:A,0),0),0)</f>
        <v>0</v>
      </c>
      <c r="K3795" s="444">
        <f t="shared" ca="1" si="153"/>
        <v>-23288011343.870712</v>
      </c>
      <c r="L3795" s="444">
        <f t="shared" ca="1" si="154"/>
        <v>-5612410733872.8418</v>
      </c>
      <c r="M3795" s="460">
        <f t="shared" si="156"/>
        <v>0.05</v>
      </c>
      <c r="N3795" s="464">
        <f t="shared" si="157"/>
        <v>166552</v>
      </c>
    </row>
    <row r="3796" spans="7:14" ht="11.25" customHeight="1" x14ac:dyDescent="0.25">
      <c r="G3796" s="459"/>
      <c r="H3796" s="459">
        <v>3789</v>
      </c>
      <c r="I3796" s="444">
        <f t="shared" ca="1" si="155"/>
        <v>-5612410733872.8418</v>
      </c>
      <c r="J3796" s="444">
        <f t="array" ref="J3796">IFERROR(INDEX('Retirement Calculator'!K:K,MATCH('Lorri 401b'!N3796,'Retirement Calculator'!A:A,0),0),0)</f>
        <v>0</v>
      </c>
      <c r="K3796" s="444">
        <f t="shared" ca="1" si="153"/>
        <v>-23385044724.470173</v>
      </c>
      <c r="L3796" s="444">
        <f t="shared" ca="1" si="154"/>
        <v>-5635795778597.3115</v>
      </c>
      <c r="M3796" s="460">
        <f t="shared" si="156"/>
        <v>0.05</v>
      </c>
      <c r="N3796" s="464">
        <f t="shared" si="157"/>
        <v>166583</v>
      </c>
    </row>
    <row r="3797" spans="7:14" ht="11.25" customHeight="1" x14ac:dyDescent="0.25">
      <c r="G3797" s="459"/>
      <c r="H3797" s="459">
        <v>3790</v>
      </c>
      <c r="I3797" s="444">
        <f t="shared" ca="1" si="155"/>
        <v>-5635795778597.3115</v>
      </c>
      <c r="J3797" s="444">
        <f t="array" ref="J3797">IFERROR(INDEX('Retirement Calculator'!K:K,MATCH('Lorri 401b'!N3797,'Retirement Calculator'!A:A,0),0),0)</f>
        <v>0</v>
      </c>
      <c r="K3797" s="444">
        <f t="shared" ca="1" si="153"/>
        <v>-23482482410.822132</v>
      </c>
      <c r="L3797" s="444">
        <f t="shared" ca="1" si="154"/>
        <v>-5659278261008.1338</v>
      </c>
      <c r="M3797" s="460">
        <f t="shared" si="156"/>
        <v>0.05</v>
      </c>
      <c r="N3797" s="464">
        <f t="shared" si="157"/>
        <v>166612</v>
      </c>
    </row>
    <row r="3798" spans="7:14" ht="11.25" customHeight="1" x14ac:dyDescent="0.25">
      <c r="G3798" s="459"/>
      <c r="H3798" s="459">
        <v>3791</v>
      </c>
      <c r="I3798" s="444">
        <f t="shared" ca="1" si="155"/>
        <v>-5659278261008.1338</v>
      </c>
      <c r="J3798" s="444">
        <f t="array" ref="J3798">IFERROR(INDEX('Retirement Calculator'!K:K,MATCH('Lorri 401b'!N3798,'Retirement Calculator'!A:A,0),0),0)</f>
        <v>0</v>
      </c>
      <c r="K3798" s="444">
        <f t="shared" ca="1" si="153"/>
        <v>-23580326087.53389</v>
      </c>
      <c r="L3798" s="444">
        <f t="shared" ca="1" si="154"/>
        <v>-5682858587095.668</v>
      </c>
      <c r="M3798" s="460">
        <f t="shared" si="156"/>
        <v>0.05</v>
      </c>
      <c r="N3798" s="464">
        <f t="shared" si="157"/>
        <v>166643</v>
      </c>
    </row>
    <row r="3799" spans="7:14" ht="11.25" customHeight="1" x14ac:dyDescent="0.25">
      <c r="G3799" s="459"/>
      <c r="H3799" s="459">
        <v>3792</v>
      </c>
      <c r="I3799" s="444">
        <f t="shared" ca="1" si="155"/>
        <v>-5682858587095.668</v>
      </c>
      <c r="J3799" s="444">
        <f t="array" ref="J3799">IFERROR(INDEX('Retirement Calculator'!K:K,MATCH('Lorri 401b'!N3799,'Retirement Calculator'!A:A,0),0),0)</f>
        <v>0</v>
      </c>
      <c r="K3799" s="444">
        <f t="shared" ca="1" si="153"/>
        <v>-23678577446.231949</v>
      </c>
      <c r="L3799" s="444">
        <f t="shared" ca="1" si="154"/>
        <v>-5706537164541.9004</v>
      </c>
      <c r="M3799" s="460">
        <f t="shared" si="156"/>
        <v>0.05</v>
      </c>
      <c r="N3799" s="464">
        <f t="shared" si="157"/>
        <v>166673</v>
      </c>
    </row>
    <row r="3800" spans="7:14" ht="11.25" customHeight="1" x14ac:dyDescent="0.25">
      <c r="G3800" s="459"/>
      <c r="H3800" s="459">
        <v>3793</v>
      </c>
      <c r="I3800" s="444">
        <f t="shared" ca="1" si="155"/>
        <v>-5706537164541.9004</v>
      </c>
      <c r="J3800" s="444">
        <f t="array" ref="J3800">IFERROR(INDEX('Retirement Calculator'!K:K,MATCH('Lorri 401b'!N3800,'Retirement Calculator'!A:A,0),0),0)</f>
        <v>0</v>
      </c>
      <c r="K3800" s="444">
        <f t="shared" ca="1" si="153"/>
        <v>-23777238185.591251</v>
      </c>
      <c r="L3800" s="444">
        <f t="shared" ca="1" si="154"/>
        <v>-5730314402727.4912</v>
      </c>
      <c r="M3800" s="460">
        <f t="shared" si="156"/>
        <v>0.05</v>
      </c>
      <c r="N3800" s="464">
        <f t="shared" si="157"/>
        <v>166704</v>
      </c>
    </row>
    <row r="3801" spans="7:14" ht="11.25" customHeight="1" x14ac:dyDescent="0.25">
      <c r="G3801" s="459"/>
      <c r="H3801" s="459">
        <v>3794</v>
      </c>
      <c r="I3801" s="444">
        <f t="shared" ca="1" si="155"/>
        <v>-5730314402727.4912</v>
      </c>
      <c r="J3801" s="444">
        <f t="array" ref="J3801">IFERROR(INDEX('Retirement Calculator'!K:K,MATCH('Lorri 401b'!N3801,'Retirement Calculator'!A:A,0),0),0)</f>
        <v>0</v>
      </c>
      <c r="K3801" s="444">
        <f t="shared" ca="1" si="153"/>
        <v>-23876310011.364548</v>
      </c>
      <c r="L3801" s="444">
        <f t="shared" ca="1" si="154"/>
        <v>-5754190712738.8555</v>
      </c>
      <c r="M3801" s="460">
        <f t="shared" si="156"/>
        <v>0.05</v>
      </c>
      <c r="N3801" s="464">
        <f t="shared" si="157"/>
        <v>166734</v>
      </c>
    </row>
    <row r="3802" spans="7:14" ht="11.25" customHeight="1" x14ac:dyDescent="0.25">
      <c r="G3802" s="459"/>
      <c r="H3802" s="459">
        <v>3795</v>
      </c>
      <c r="I3802" s="444">
        <f t="shared" ca="1" si="155"/>
        <v>-5754190712738.8555</v>
      </c>
      <c r="J3802" s="444">
        <f t="array" ref="J3802">IFERROR(INDEX('Retirement Calculator'!K:K,MATCH('Lorri 401b'!N3802,'Retirement Calculator'!A:A,0),0),0)</f>
        <v>0</v>
      </c>
      <c r="K3802" s="444">
        <f t="shared" ca="1" si="153"/>
        <v>-23975794636.411896</v>
      </c>
      <c r="L3802" s="444">
        <f t="shared" ca="1" si="154"/>
        <v>-5778166507375.2676</v>
      </c>
      <c r="M3802" s="460">
        <f t="shared" si="156"/>
        <v>0.05</v>
      </c>
      <c r="N3802" s="464">
        <f t="shared" si="157"/>
        <v>166765</v>
      </c>
    </row>
    <row r="3803" spans="7:14" ht="11.25" customHeight="1" x14ac:dyDescent="0.25">
      <c r="G3803" s="459"/>
      <c r="H3803" s="459">
        <v>3796</v>
      </c>
      <c r="I3803" s="444">
        <f t="shared" ca="1" si="155"/>
        <v>-5778166507375.2676</v>
      </c>
      <c r="J3803" s="444">
        <f t="array" ref="J3803">IFERROR(INDEX('Retirement Calculator'!K:K,MATCH('Lorri 401b'!N3803,'Retirement Calculator'!A:A,0),0),0)</f>
        <v>0</v>
      </c>
      <c r="K3803" s="444">
        <f t="shared" ca="1" si="153"/>
        <v>-24075693780.730282</v>
      </c>
      <c r="L3803" s="444">
        <f t="shared" ca="1" si="154"/>
        <v>-5802242201155.998</v>
      </c>
      <c r="M3803" s="460">
        <f t="shared" si="156"/>
        <v>0.05</v>
      </c>
      <c r="N3803" s="464">
        <f t="shared" si="157"/>
        <v>166796</v>
      </c>
    </row>
    <row r="3804" spans="7:14" ht="11.25" customHeight="1" x14ac:dyDescent="0.25">
      <c r="G3804" s="459"/>
      <c r="H3804" s="459">
        <v>3797</v>
      </c>
      <c r="I3804" s="444">
        <f t="shared" ca="1" si="155"/>
        <v>-5802242201155.998</v>
      </c>
      <c r="J3804" s="444">
        <f t="array" ref="J3804">IFERROR(INDEX('Retirement Calculator'!K:K,MATCH('Lorri 401b'!N3804,'Retirement Calculator'!A:A,0),0),0)</f>
        <v>0</v>
      </c>
      <c r="K3804" s="444">
        <f t="shared" ca="1" si="153"/>
        <v>-24176009171.483326</v>
      </c>
      <c r="L3804" s="444">
        <f t="shared" ca="1" si="154"/>
        <v>-5826418210327.4814</v>
      </c>
      <c r="M3804" s="460">
        <f t="shared" si="156"/>
        <v>0.05</v>
      </c>
      <c r="N3804" s="464">
        <f t="shared" si="157"/>
        <v>166826</v>
      </c>
    </row>
    <row r="3805" spans="7:14" ht="11.25" customHeight="1" x14ac:dyDescent="0.25">
      <c r="G3805" s="459"/>
      <c r="H3805" s="459">
        <v>3798</v>
      </c>
      <c r="I3805" s="444">
        <f t="shared" ca="1" si="155"/>
        <v>-5826418210327.4814</v>
      </c>
      <c r="J3805" s="444">
        <f t="array" ref="J3805">IFERROR(INDEX('Retirement Calculator'!K:K,MATCH('Lorri 401b'!N3805,'Retirement Calculator'!A:A,0),0),0)</f>
        <v>0</v>
      </c>
      <c r="K3805" s="444">
        <f t="shared" ca="1" si="153"/>
        <v>-24276742543.031174</v>
      </c>
      <c r="L3805" s="444">
        <f t="shared" ca="1" si="154"/>
        <v>-5850694952870.5127</v>
      </c>
      <c r="M3805" s="460">
        <f t="shared" si="156"/>
        <v>0.05</v>
      </c>
      <c r="N3805" s="464">
        <f t="shared" si="157"/>
        <v>166857</v>
      </c>
    </row>
    <row r="3806" spans="7:14" ht="11.25" customHeight="1" x14ac:dyDescent="0.25">
      <c r="G3806" s="459"/>
      <c r="H3806" s="459">
        <v>3799</v>
      </c>
      <c r="I3806" s="444">
        <f t="shared" ca="1" si="155"/>
        <v>-5850694952870.5127</v>
      </c>
      <c r="J3806" s="444">
        <f t="array" ref="J3806">IFERROR(INDEX('Retirement Calculator'!K:K,MATCH('Lorri 401b'!N3806,'Retirement Calculator'!A:A,0),0),0)</f>
        <v>0</v>
      </c>
      <c r="K3806" s="444">
        <f t="shared" ca="1" si="153"/>
        <v>-24377895636.960468</v>
      </c>
      <c r="L3806" s="444">
        <f t="shared" ca="1" si="154"/>
        <v>-5875072848507.4736</v>
      </c>
      <c r="M3806" s="460">
        <f t="shared" si="156"/>
        <v>0.05</v>
      </c>
      <c r="N3806" s="464">
        <f t="shared" si="157"/>
        <v>166887</v>
      </c>
    </row>
    <row r="3807" spans="7:14" ht="11.25" customHeight="1" x14ac:dyDescent="0.25">
      <c r="G3807" s="459"/>
      <c r="H3807" s="459">
        <v>3800</v>
      </c>
      <c r="I3807" s="444">
        <f t="shared" ca="1" si="155"/>
        <v>-5875072848507.4736</v>
      </c>
      <c r="J3807" s="444">
        <f t="array" ref="J3807">IFERROR(INDEX('Retirement Calculator'!K:K,MATCH('Lorri 401b'!N3807,'Retirement Calculator'!A:A,0),0),0)</f>
        <v>0</v>
      </c>
      <c r="K3807" s="444">
        <f t="shared" ca="1" si="153"/>
        <v>-24479470202.114471</v>
      </c>
      <c r="L3807" s="444">
        <f t="shared" ca="1" si="154"/>
        <v>-5899552318709.5879</v>
      </c>
      <c r="M3807" s="460">
        <f t="shared" si="156"/>
        <v>0.05</v>
      </c>
      <c r="N3807" s="464">
        <f t="shared" si="157"/>
        <v>166918</v>
      </c>
    </row>
    <row r="3808" spans="7:14" ht="11.25" customHeight="1" x14ac:dyDescent="0.25">
      <c r="G3808" s="459"/>
      <c r="H3808" s="459">
        <v>3801</v>
      </c>
      <c r="I3808" s="444">
        <f t="shared" ca="1" si="155"/>
        <v>-5899552318709.5879</v>
      </c>
      <c r="J3808" s="444">
        <f t="array" ref="J3808">IFERROR(INDEX('Retirement Calculator'!K:K,MATCH('Lorri 401b'!N3808,'Retirement Calculator'!A:A,0),0),0)</f>
        <v>0</v>
      </c>
      <c r="K3808" s="444">
        <f t="shared" ca="1" si="153"/>
        <v>-24581467994.623283</v>
      </c>
      <c r="L3808" s="444">
        <f t="shared" ca="1" si="154"/>
        <v>-5924133786704.2109</v>
      </c>
      <c r="M3808" s="460">
        <f t="shared" si="156"/>
        <v>0.05</v>
      </c>
      <c r="N3808" s="464">
        <f t="shared" si="157"/>
        <v>166949</v>
      </c>
    </row>
    <row r="3809" spans="7:14" ht="11.25" customHeight="1" x14ac:dyDescent="0.25">
      <c r="G3809" s="459"/>
      <c r="H3809" s="459">
        <v>3802</v>
      </c>
      <c r="I3809" s="444">
        <f t="shared" ca="1" si="155"/>
        <v>-5924133786704.2109</v>
      </c>
      <c r="J3809" s="444">
        <f t="array" ref="J3809">IFERROR(INDEX('Retirement Calculator'!K:K,MATCH('Lorri 401b'!N3809,'Retirement Calculator'!A:A,0),0),0)</f>
        <v>0</v>
      </c>
      <c r="K3809" s="444">
        <f t="shared" ca="1" si="153"/>
        <v>-24683890777.934212</v>
      </c>
      <c r="L3809" s="444">
        <f t="shared" ca="1" si="154"/>
        <v>-5948817677482.1455</v>
      </c>
      <c r="M3809" s="460">
        <f t="shared" si="156"/>
        <v>0.05</v>
      </c>
      <c r="N3809" s="464">
        <f t="shared" si="157"/>
        <v>166977</v>
      </c>
    </row>
    <row r="3810" spans="7:14" ht="11.25" customHeight="1" x14ac:dyDescent="0.25">
      <c r="G3810" s="459"/>
      <c r="H3810" s="459">
        <v>3803</v>
      </c>
      <c r="I3810" s="444">
        <f t="shared" ca="1" si="155"/>
        <v>-5948817677482.1455</v>
      </c>
      <c r="J3810" s="444">
        <f t="array" ref="J3810">IFERROR(INDEX('Retirement Calculator'!K:K,MATCH('Lorri 401b'!N3810,'Retirement Calculator'!A:A,0),0),0)</f>
        <v>0</v>
      </c>
      <c r="K3810" s="444">
        <f t="shared" ca="1" si="153"/>
        <v>-24786740322.842274</v>
      </c>
      <c r="L3810" s="444">
        <f t="shared" ca="1" si="154"/>
        <v>-5973604417804.9873</v>
      </c>
      <c r="M3810" s="460">
        <f t="shared" si="156"/>
        <v>0.05</v>
      </c>
      <c r="N3810" s="464">
        <f t="shared" si="157"/>
        <v>167008</v>
      </c>
    </row>
    <row r="3811" spans="7:14" ht="11.25" customHeight="1" x14ac:dyDescent="0.25">
      <c r="G3811" s="459"/>
      <c r="H3811" s="459">
        <v>3804</v>
      </c>
      <c r="I3811" s="444">
        <f t="shared" ca="1" si="155"/>
        <v>-5973604417804.9873</v>
      </c>
      <c r="J3811" s="444">
        <f t="array" ref="J3811">IFERROR(INDEX('Retirement Calculator'!K:K,MATCH('Lorri 401b'!N3811,'Retirement Calculator'!A:A,0),0),0)</f>
        <v>0</v>
      </c>
      <c r="K3811" s="444">
        <f t="shared" ca="1" si="153"/>
        <v>-24890018407.520779</v>
      </c>
      <c r="L3811" s="444">
        <f t="shared" ca="1" si="154"/>
        <v>-5998494436212.5078</v>
      </c>
      <c r="M3811" s="460">
        <f t="shared" si="156"/>
        <v>0.05</v>
      </c>
      <c r="N3811" s="464">
        <f t="shared" si="157"/>
        <v>167038</v>
      </c>
    </row>
    <row r="3812" spans="7:14" ht="11.25" customHeight="1" x14ac:dyDescent="0.25">
      <c r="G3812" s="459"/>
      <c r="H3812" s="459">
        <v>3805</v>
      </c>
      <c r="I3812" s="444">
        <f t="shared" ca="1" si="155"/>
        <v>-5998494436212.5078</v>
      </c>
      <c r="J3812" s="444">
        <f t="array" ref="J3812">IFERROR(INDEX('Retirement Calculator'!K:K,MATCH('Lorri 401b'!N3812,'Retirement Calculator'!A:A,0),0),0)</f>
        <v>0</v>
      </c>
      <c r="K3812" s="444">
        <f t="shared" ca="1" si="153"/>
        <v>-24993726817.552116</v>
      </c>
      <c r="L3812" s="444">
        <f t="shared" ca="1" si="154"/>
        <v>-6023488163030.0596</v>
      </c>
      <c r="M3812" s="460">
        <f t="shared" si="156"/>
        <v>0.05</v>
      </c>
      <c r="N3812" s="464">
        <f t="shared" si="157"/>
        <v>167069</v>
      </c>
    </row>
    <row r="3813" spans="7:14" ht="11.25" customHeight="1" x14ac:dyDescent="0.25">
      <c r="G3813" s="459"/>
      <c r="H3813" s="459">
        <v>3806</v>
      </c>
      <c r="I3813" s="444">
        <f t="shared" ca="1" si="155"/>
        <v>-6023488163030.0596</v>
      </c>
      <c r="J3813" s="444">
        <f t="array" ref="J3813">IFERROR(INDEX('Retirement Calculator'!K:K,MATCH('Lorri 401b'!N3813,'Retirement Calculator'!A:A,0),0),0)</f>
        <v>0</v>
      </c>
      <c r="K3813" s="444">
        <f t="shared" ca="1" si="153"/>
        <v>-25097867345.95858</v>
      </c>
      <c r="L3813" s="444">
        <f t="shared" ca="1" si="154"/>
        <v>-6048586030376.0186</v>
      </c>
      <c r="M3813" s="460">
        <f t="shared" si="156"/>
        <v>0.05</v>
      </c>
      <c r="N3813" s="464">
        <f t="shared" si="157"/>
        <v>167099</v>
      </c>
    </row>
    <row r="3814" spans="7:14" ht="11.25" customHeight="1" x14ac:dyDescent="0.25">
      <c r="G3814" s="459"/>
      <c r="H3814" s="459">
        <v>3807</v>
      </c>
      <c r="I3814" s="444">
        <f t="shared" ca="1" si="155"/>
        <v>-6048586030376.0186</v>
      </c>
      <c r="J3814" s="444">
        <f t="array" ref="J3814">IFERROR(INDEX('Retirement Calculator'!K:K,MATCH('Lorri 401b'!N3814,'Retirement Calculator'!A:A,0),0),0)</f>
        <v>0</v>
      </c>
      <c r="K3814" s="444">
        <f t="shared" ca="1" si="153"/>
        <v>-25202441793.23341</v>
      </c>
      <c r="L3814" s="444">
        <f t="shared" ca="1" si="154"/>
        <v>-6073788472169.252</v>
      </c>
      <c r="M3814" s="460">
        <f t="shared" si="156"/>
        <v>0.05</v>
      </c>
      <c r="N3814" s="464">
        <f t="shared" si="157"/>
        <v>167130</v>
      </c>
    </row>
    <row r="3815" spans="7:14" ht="11.25" customHeight="1" x14ac:dyDescent="0.25">
      <c r="G3815" s="459"/>
      <c r="H3815" s="459">
        <v>3808</v>
      </c>
      <c r="I3815" s="444">
        <f t="shared" ca="1" si="155"/>
        <v>-6073788472169.252</v>
      </c>
      <c r="J3815" s="444">
        <f t="array" ref="J3815">IFERROR(INDEX('Retirement Calculator'!K:K,MATCH('Lorri 401b'!N3815,'Retirement Calculator'!A:A,0),0),0)</f>
        <v>0</v>
      </c>
      <c r="K3815" s="444">
        <f t="shared" ca="1" si="153"/>
        <v>-25307451967.371883</v>
      </c>
      <c r="L3815" s="444">
        <f t="shared" ca="1" si="154"/>
        <v>-6099095924136.624</v>
      </c>
      <c r="M3815" s="460">
        <f t="shared" si="156"/>
        <v>0.05</v>
      </c>
      <c r="N3815" s="464">
        <f t="shared" si="157"/>
        <v>167161</v>
      </c>
    </row>
    <row r="3816" spans="7:14" ht="11.25" customHeight="1" x14ac:dyDescent="0.25">
      <c r="G3816" s="459"/>
      <c r="H3816" s="459">
        <v>3809</v>
      </c>
      <c r="I3816" s="444">
        <f t="shared" ca="1" si="155"/>
        <v>-6099095924136.624</v>
      </c>
      <c r="J3816" s="444">
        <f t="array" ref="J3816">IFERROR(INDEX('Retirement Calculator'!K:K,MATCH('Lorri 401b'!N3816,'Retirement Calculator'!A:A,0),0),0)</f>
        <v>0</v>
      </c>
      <c r="K3816" s="444">
        <f t="shared" ca="1" si="153"/>
        <v>-25412899683.902599</v>
      </c>
      <c r="L3816" s="444">
        <f t="shared" ca="1" si="154"/>
        <v>-6124508823820.5264</v>
      </c>
      <c r="M3816" s="460">
        <f t="shared" si="156"/>
        <v>0.05</v>
      </c>
      <c r="N3816" s="464">
        <f t="shared" si="157"/>
        <v>167191</v>
      </c>
    </row>
    <row r="3817" spans="7:14" ht="11.25" customHeight="1" x14ac:dyDescent="0.25">
      <c r="G3817" s="459"/>
      <c r="H3817" s="459">
        <v>3810</v>
      </c>
      <c r="I3817" s="444">
        <f t="shared" ca="1" si="155"/>
        <v>-6124508823820.5264</v>
      </c>
      <c r="J3817" s="444">
        <f t="array" ref="J3817">IFERROR(INDEX('Retirement Calculator'!K:K,MATCH('Lorri 401b'!N3817,'Retirement Calculator'!A:A,0),0),0)</f>
        <v>0</v>
      </c>
      <c r="K3817" s="444">
        <f t="shared" ca="1" si="153"/>
        <v>-25518786765.918861</v>
      </c>
      <c r="L3817" s="444">
        <f t="shared" ca="1" si="154"/>
        <v>-6150027610586.4453</v>
      </c>
      <c r="M3817" s="460">
        <f t="shared" si="156"/>
        <v>0.05</v>
      </c>
      <c r="N3817" s="464">
        <f t="shared" si="157"/>
        <v>167222</v>
      </c>
    </row>
    <row r="3818" spans="7:14" ht="11.25" customHeight="1" x14ac:dyDescent="0.25">
      <c r="G3818" s="459"/>
      <c r="H3818" s="459">
        <v>3811</v>
      </c>
      <c r="I3818" s="444">
        <f t="shared" ca="1" si="155"/>
        <v>-6150027610586.4453</v>
      </c>
      <c r="J3818" s="444">
        <f t="array" ref="J3818">IFERROR(INDEX('Retirement Calculator'!K:K,MATCH('Lorri 401b'!N3818,'Retirement Calculator'!A:A,0),0),0)</f>
        <v>0</v>
      </c>
      <c r="K3818" s="444">
        <f t="shared" ca="1" si="153"/>
        <v>-25625115044.110188</v>
      </c>
      <c r="L3818" s="444">
        <f t="shared" ca="1" si="154"/>
        <v>-6175652725630.5557</v>
      </c>
      <c r="M3818" s="460">
        <f t="shared" si="156"/>
        <v>0.05</v>
      </c>
      <c r="N3818" s="464">
        <f t="shared" si="157"/>
        <v>167252</v>
      </c>
    </row>
    <row r="3819" spans="7:14" ht="11.25" customHeight="1" x14ac:dyDescent="0.25">
      <c r="G3819" s="459"/>
      <c r="H3819" s="459">
        <v>3812</v>
      </c>
      <c r="I3819" s="444">
        <f t="shared" ca="1" si="155"/>
        <v>-6175652725630.5557</v>
      </c>
      <c r="J3819" s="444">
        <f t="array" ref="J3819">IFERROR(INDEX('Retirement Calculator'!K:K,MATCH('Lorri 401b'!N3819,'Retirement Calculator'!A:A,0),0),0)</f>
        <v>0</v>
      </c>
      <c r="K3819" s="444">
        <f t="shared" ca="1" si="153"/>
        <v>-25731886356.793983</v>
      </c>
      <c r="L3819" s="444">
        <f t="shared" ca="1" si="154"/>
        <v>-6201384611987.3496</v>
      </c>
      <c r="M3819" s="460">
        <f t="shared" si="156"/>
        <v>0.05</v>
      </c>
      <c r="N3819" s="464">
        <f t="shared" si="157"/>
        <v>167283</v>
      </c>
    </row>
    <row r="3820" spans="7:14" ht="11.25" customHeight="1" x14ac:dyDescent="0.25">
      <c r="G3820" s="459"/>
      <c r="H3820" s="459">
        <v>3813</v>
      </c>
      <c r="I3820" s="444">
        <f t="shared" ca="1" si="155"/>
        <v>-6201384611987.3496</v>
      </c>
      <c r="J3820" s="444">
        <f t="array" ref="J3820">IFERROR(INDEX('Retirement Calculator'!K:K,MATCH('Lorri 401b'!N3820,'Retirement Calculator'!A:A,0),0),0)</f>
        <v>0</v>
      </c>
      <c r="K3820" s="444">
        <f t="shared" ca="1" si="153"/>
        <v>-25839102549.947289</v>
      </c>
      <c r="L3820" s="444">
        <f t="shared" ca="1" si="154"/>
        <v>-6227223714537.2969</v>
      </c>
      <c r="M3820" s="460">
        <f t="shared" si="156"/>
        <v>0.05</v>
      </c>
      <c r="N3820" s="464">
        <f t="shared" si="157"/>
        <v>167314</v>
      </c>
    </row>
    <row r="3821" spans="7:14" ht="11.25" customHeight="1" x14ac:dyDescent="0.25">
      <c r="G3821" s="459"/>
      <c r="H3821" s="459">
        <v>3814</v>
      </c>
      <c r="I3821" s="444">
        <f t="shared" ca="1" si="155"/>
        <v>-6227223714537.2969</v>
      </c>
      <c r="J3821" s="444">
        <f t="array" ref="J3821">IFERROR(INDEX('Retirement Calculator'!K:K,MATCH('Lorri 401b'!N3821,'Retirement Calculator'!A:A,0),0),0)</f>
        <v>0</v>
      </c>
      <c r="K3821" s="444">
        <f t="shared" ca="1" si="153"/>
        <v>-25946765477.238735</v>
      </c>
      <c r="L3821" s="444">
        <f t="shared" ca="1" si="154"/>
        <v>-6253170480014.5352</v>
      </c>
      <c r="M3821" s="460">
        <f t="shared" si="156"/>
        <v>0.05</v>
      </c>
      <c r="N3821" s="464">
        <f t="shared" si="157"/>
        <v>167342</v>
      </c>
    </row>
    <row r="3822" spans="7:14" ht="11.25" customHeight="1" x14ac:dyDescent="0.25">
      <c r="G3822" s="459"/>
      <c r="H3822" s="459">
        <v>3815</v>
      </c>
      <c r="I3822" s="444">
        <f t="shared" ca="1" si="155"/>
        <v>-6253170480014.5352</v>
      </c>
      <c r="J3822" s="444">
        <f t="array" ref="J3822">IFERROR(INDEX('Retirement Calculator'!K:K,MATCH('Lorri 401b'!N3822,'Retirement Calculator'!A:A,0),0),0)</f>
        <v>0</v>
      </c>
      <c r="K3822" s="444">
        <f t="shared" ca="1" si="153"/>
        <v>-26054877000.060562</v>
      </c>
      <c r="L3822" s="444">
        <f t="shared" ca="1" si="154"/>
        <v>-6279225357014.5957</v>
      </c>
      <c r="M3822" s="460">
        <f t="shared" si="156"/>
        <v>0.05</v>
      </c>
      <c r="N3822" s="464">
        <f t="shared" si="157"/>
        <v>167373</v>
      </c>
    </row>
    <row r="3823" spans="7:14" ht="11.25" customHeight="1" x14ac:dyDescent="0.25">
      <c r="G3823" s="459"/>
      <c r="H3823" s="459">
        <v>3816</v>
      </c>
      <c r="I3823" s="444">
        <f t="shared" ca="1" si="155"/>
        <v>-6279225357014.5957</v>
      </c>
      <c r="J3823" s="444">
        <f t="array" ref="J3823">IFERROR(INDEX('Retirement Calculator'!K:K,MATCH('Lorri 401b'!N3823,'Retirement Calculator'!A:A,0),0),0)</f>
        <v>0</v>
      </c>
      <c r="K3823" s="444">
        <f t="shared" ca="1" si="153"/>
        <v>-26163438987.560814</v>
      </c>
      <c r="L3823" s="444">
        <f t="shared" ca="1" si="154"/>
        <v>-6305388796002.1563</v>
      </c>
      <c r="M3823" s="460">
        <f t="shared" si="156"/>
        <v>0.05</v>
      </c>
      <c r="N3823" s="464">
        <f t="shared" si="157"/>
        <v>167403</v>
      </c>
    </row>
    <row r="3824" spans="7:14" ht="11.25" customHeight="1" x14ac:dyDescent="0.25">
      <c r="G3824" s="459"/>
      <c r="H3824" s="459">
        <v>3817</v>
      </c>
      <c r="I3824" s="444">
        <f t="shared" ca="1" si="155"/>
        <v>-6305388796002.1563</v>
      </c>
      <c r="J3824" s="444">
        <f t="array" ref="J3824">IFERROR(INDEX('Retirement Calculator'!K:K,MATCH('Lorri 401b'!N3824,'Retirement Calculator'!A:A,0),0),0)</f>
        <v>0</v>
      </c>
      <c r="K3824" s="444">
        <f t="shared" ca="1" si="153"/>
        <v>-26272453316.675652</v>
      </c>
      <c r="L3824" s="444">
        <f t="shared" ca="1" si="154"/>
        <v>-6331661249318.832</v>
      </c>
      <c r="M3824" s="460">
        <f t="shared" si="156"/>
        <v>0.05</v>
      </c>
      <c r="N3824" s="464">
        <f t="shared" si="157"/>
        <v>167434</v>
      </c>
    </row>
    <row r="3825" spans="7:14" ht="11.25" customHeight="1" x14ac:dyDescent="0.25">
      <c r="G3825" s="459"/>
      <c r="H3825" s="459">
        <v>3818</v>
      </c>
      <c r="I3825" s="444">
        <f t="shared" ca="1" si="155"/>
        <v>-6331661249318.832</v>
      </c>
      <c r="J3825" s="444">
        <f t="array" ref="J3825">IFERROR(INDEX('Retirement Calculator'!K:K,MATCH('Lorri 401b'!N3825,'Retirement Calculator'!A:A,0),0),0)</f>
        <v>0</v>
      </c>
      <c r="K3825" s="444">
        <f t="shared" ca="1" si="153"/>
        <v>-26381921872.1618</v>
      </c>
      <c r="L3825" s="444">
        <f t="shared" ca="1" si="154"/>
        <v>-6358043171190.9941</v>
      </c>
      <c r="M3825" s="460">
        <f t="shared" si="156"/>
        <v>0.05</v>
      </c>
      <c r="N3825" s="464">
        <f t="shared" si="157"/>
        <v>167464</v>
      </c>
    </row>
    <row r="3826" spans="7:14" ht="11.25" customHeight="1" x14ac:dyDescent="0.25">
      <c r="G3826" s="459"/>
      <c r="H3826" s="459">
        <v>3819</v>
      </c>
      <c r="I3826" s="444">
        <f t="shared" ca="1" si="155"/>
        <v>-6358043171190.9941</v>
      </c>
      <c r="J3826" s="444">
        <f t="array" ref="J3826">IFERROR(INDEX('Retirement Calculator'!K:K,MATCH('Lorri 401b'!N3826,'Retirement Calculator'!A:A,0),0),0)</f>
        <v>0</v>
      </c>
      <c r="K3826" s="444">
        <f t="shared" ca="1" si="153"/>
        <v>-26491846546.629143</v>
      </c>
      <c r="L3826" s="444">
        <f t="shared" ca="1" si="154"/>
        <v>-6384535017737.623</v>
      </c>
      <c r="M3826" s="460">
        <f t="shared" si="156"/>
        <v>0.05</v>
      </c>
      <c r="N3826" s="464">
        <f t="shared" si="157"/>
        <v>167495</v>
      </c>
    </row>
    <row r="3827" spans="7:14" ht="11.25" customHeight="1" x14ac:dyDescent="0.25">
      <c r="G3827" s="459"/>
      <c r="H3827" s="459">
        <v>3820</v>
      </c>
      <c r="I3827" s="444">
        <f t="shared" ca="1" si="155"/>
        <v>-6384535017737.623</v>
      </c>
      <c r="J3827" s="444">
        <f t="array" ref="J3827">IFERROR(INDEX('Retirement Calculator'!K:K,MATCH('Lorri 401b'!N3827,'Retirement Calculator'!A:A,0),0),0)</f>
        <v>0</v>
      </c>
      <c r="K3827" s="444">
        <f t="shared" ca="1" si="153"/>
        <v>-26602229240.573429</v>
      </c>
      <c r="L3827" s="444">
        <f t="shared" ca="1" si="154"/>
        <v>-6411137246978.1963</v>
      </c>
      <c r="M3827" s="460">
        <f t="shared" si="156"/>
        <v>0.05</v>
      </c>
      <c r="N3827" s="464">
        <f t="shared" si="157"/>
        <v>167526</v>
      </c>
    </row>
    <row r="3828" spans="7:14" ht="11.25" customHeight="1" x14ac:dyDescent="0.25">
      <c r="G3828" s="459"/>
      <c r="H3828" s="459">
        <v>3821</v>
      </c>
      <c r="I3828" s="444">
        <f t="shared" ca="1" si="155"/>
        <v>-6411137246978.1963</v>
      </c>
      <c r="J3828" s="444">
        <f t="array" ref="J3828">IFERROR(INDEX('Retirement Calculator'!K:K,MATCH('Lorri 401b'!N3828,'Retirement Calculator'!A:A,0),0),0)</f>
        <v>0</v>
      </c>
      <c r="K3828" s="444">
        <f t="shared" ca="1" si="153"/>
        <v>-26713071862.409149</v>
      </c>
      <c r="L3828" s="444">
        <f t="shared" ca="1" si="154"/>
        <v>-6437850318840.6055</v>
      </c>
      <c r="M3828" s="460">
        <f t="shared" si="156"/>
        <v>0.05</v>
      </c>
      <c r="N3828" s="464">
        <f t="shared" si="157"/>
        <v>167556</v>
      </c>
    </row>
    <row r="3829" spans="7:14" ht="11.25" customHeight="1" x14ac:dyDescent="0.25">
      <c r="G3829" s="459"/>
      <c r="H3829" s="459">
        <v>3822</v>
      </c>
      <c r="I3829" s="444">
        <f t="shared" ca="1" si="155"/>
        <v>-6437850318840.6055</v>
      </c>
      <c r="J3829" s="444">
        <f t="array" ref="J3829">IFERROR(INDEX('Retirement Calculator'!K:K,MATCH('Lorri 401b'!N3829,'Retirement Calculator'!A:A,0),0),0)</f>
        <v>0</v>
      </c>
      <c r="K3829" s="444">
        <f t="shared" ca="1" si="153"/>
        <v>-26824376328.502522</v>
      </c>
      <c r="L3829" s="444">
        <f t="shared" ca="1" si="154"/>
        <v>-6464674695169.1084</v>
      </c>
      <c r="M3829" s="460">
        <f t="shared" si="156"/>
        <v>0.05</v>
      </c>
      <c r="N3829" s="464">
        <f t="shared" si="157"/>
        <v>167587</v>
      </c>
    </row>
    <row r="3830" spans="7:14" ht="11.25" customHeight="1" x14ac:dyDescent="0.25">
      <c r="G3830" s="459"/>
      <c r="H3830" s="459">
        <v>3823</v>
      </c>
      <c r="I3830" s="444">
        <f t="shared" ca="1" si="155"/>
        <v>-6464674695169.1084</v>
      </c>
      <c r="J3830" s="444">
        <f t="array" ref="J3830">IFERROR(INDEX('Retirement Calculator'!K:K,MATCH('Lorri 401b'!N3830,'Retirement Calculator'!A:A,0),0),0)</f>
        <v>0</v>
      </c>
      <c r="K3830" s="444">
        <f t="shared" ca="1" si="153"/>
        <v>-26936144563.204617</v>
      </c>
      <c r="L3830" s="444">
        <f t="shared" ca="1" si="154"/>
        <v>-6491610839732.3135</v>
      </c>
      <c r="M3830" s="460">
        <f t="shared" si="156"/>
        <v>0.05</v>
      </c>
      <c r="N3830" s="464">
        <f t="shared" si="157"/>
        <v>167617</v>
      </c>
    </row>
    <row r="3831" spans="7:14" ht="11.25" customHeight="1" x14ac:dyDescent="0.25">
      <c r="G3831" s="459"/>
      <c r="H3831" s="459">
        <v>3824</v>
      </c>
      <c r="I3831" s="444">
        <f t="shared" ca="1" si="155"/>
        <v>-6491610839732.3135</v>
      </c>
      <c r="J3831" s="444">
        <f t="array" ref="J3831">IFERROR(INDEX('Retirement Calculator'!K:K,MATCH('Lorri 401b'!N3831,'Retirement Calculator'!A:A,0),0),0)</f>
        <v>0</v>
      </c>
      <c r="K3831" s="444">
        <f t="shared" ca="1" si="153"/>
        <v>-27048378498.88464</v>
      </c>
      <c r="L3831" s="444">
        <f t="shared" ca="1" si="154"/>
        <v>-6518659218231.1982</v>
      </c>
      <c r="M3831" s="460">
        <f t="shared" si="156"/>
        <v>0.05</v>
      </c>
      <c r="N3831" s="464">
        <f t="shared" si="157"/>
        <v>167648</v>
      </c>
    </row>
    <row r="3832" spans="7:14" ht="11.25" customHeight="1" x14ac:dyDescent="0.25">
      <c r="G3832" s="459"/>
      <c r="H3832" s="459">
        <v>3825</v>
      </c>
      <c r="I3832" s="444">
        <f t="shared" ca="1" si="155"/>
        <v>-6518659218231.1982</v>
      </c>
      <c r="J3832" s="444">
        <f t="array" ref="J3832">IFERROR(INDEX('Retirement Calculator'!K:K,MATCH('Lorri 401b'!N3832,'Retirement Calculator'!A:A,0),0),0)</f>
        <v>0</v>
      </c>
      <c r="K3832" s="444">
        <f t="shared" ca="1" si="153"/>
        <v>-27161080075.963326</v>
      </c>
      <c r="L3832" s="444">
        <f t="shared" ca="1" si="154"/>
        <v>-6545820298307.1611</v>
      </c>
      <c r="M3832" s="460">
        <f t="shared" si="156"/>
        <v>0.05</v>
      </c>
      <c r="N3832" s="464">
        <f t="shared" si="157"/>
        <v>167679</v>
      </c>
    </row>
    <row r="3833" spans="7:14" ht="11.25" customHeight="1" x14ac:dyDescent="0.25">
      <c r="G3833" s="459"/>
      <c r="H3833" s="459">
        <v>3826</v>
      </c>
      <c r="I3833" s="444">
        <f t="shared" ca="1" si="155"/>
        <v>-6545820298307.1611</v>
      </c>
      <c r="J3833" s="444">
        <f t="array" ref="J3833">IFERROR(INDEX('Retirement Calculator'!K:K,MATCH('Lorri 401b'!N3833,'Retirement Calculator'!A:A,0),0),0)</f>
        <v>0</v>
      </c>
      <c r="K3833" s="444">
        <f t="shared" ref="K3833:K4087" ca="1" si="158">IPMT(M3833/12,1,12,-I3833+J3833,,0)</f>
        <v>-27274251242.946503</v>
      </c>
      <c r="L3833" s="444">
        <f t="shared" ref="L3833:L4087" ca="1" si="159">I3833-J3833+K3833</f>
        <v>-6573094549550.1074</v>
      </c>
      <c r="M3833" s="460">
        <f t="shared" si="156"/>
        <v>0.05</v>
      </c>
      <c r="N3833" s="464">
        <f t="shared" si="157"/>
        <v>167707</v>
      </c>
    </row>
    <row r="3834" spans="7:14" ht="11.25" customHeight="1" x14ac:dyDescent="0.25">
      <c r="G3834" s="459"/>
      <c r="H3834" s="459">
        <v>3827</v>
      </c>
      <c r="I3834" s="444">
        <f t="shared" ref="I3834:I4088" ca="1" si="160">L3833</f>
        <v>-6573094549550.1074</v>
      </c>
      <c r="J3834" s="444">
        <f t="array" ref="J3834">IFERROR(INDEX('Retirement Calculator'!K:K,MATCH('Lorri 401b'!N3834,'Retirement Calculator'!A:A,0),0),0)</f>
        <v>0</v>
      </c>
      <c r="K3834" s="444">
        <f t="shared" ca="1" si="158"/>
        <v>-27387893956.458782</v>
      </c>
      <c r="L3834" s="444">
        <f t="shared" ca="1" si="159"/>
        <v>-6600482443506.5664</v>
      </c>
      <c r="M3834" s="460">
        <f t="shared" ref="M3834:M4088" si="161">M3833</f>
        <v>0.05</v>
      </c>
      <c r="N3834" s="464">
        <f t="shared" ref="N3834:N4088" si="162">EDATE(N3833,1)</f>
        <v>167738</v>
      </c>
    </row>
    <row r="3835" spans="7:14" ht="11.25" customHeight="1" x14ac:dyDescent="0.25">
      <c r="G3835" s="459"/>
      <c r="H3835" s="459">
        <v>3828</v>
      </c>
      <c r="I3835" s="444">
        <f t="shared" ca="1" si="160"/>
        <v>-6600482443506.5664</v>
      </c>
      <c r="J3835" s="444">
        <f t="array" ref="J3835">IFERROR(INDEX('Retirement Calculator'!K:K,MATCH('Lorri 401b'!N3835,'Retirement Calculator'!A:A,0),0),0)</f>
        <v>0</v>
      </c>
      <c r="K3835" s="444">
        <f t="shared" ca="1" si="158"/>
        <v>-27502010181.277359</v>
      </c>
      <c r="L3835" s="444">
        <f t="shared" ca="1" si="159"/>
        <v>-6627984453687.8438</v>
      </c>
      <c r="M3835" s="460">
        <f t="shared" si="161"/>
        <v>0.05</v>
      </c>
      <c r="N3835" s="464">
        <f t="shared" si="162"/>
        <v>167768</v>
      </c>
    </row>
    <row r="3836" spans="7:14" ht="11.25" customHeight="1" x14ac:dyDescent="0.25">
      <c r="G3836" s="459"/>
      <c r="H3836" s="459">
        <v>3829</v>
      </c>
      <c r="I3836" s="444">
        <f t="shared" ca="1" si="160"/>
        <v>-6627984453687.8438</v>
      </c>
      <c r="J3836" s="444">
        <f t="array" ref="J3836">IFERROR(INDEX('Retirement Calculator'!K:K,MATCH('Lorri 401b'!N3836,'Retirement Calculator'!A:A,0),0),0)</f>
        <v>0</v>
      </c>
      <c r="K3836" s="444">
        <f t="shared" ca="1" si="158"/>
        <v>-27616601890.366016</v>
      </c>
      <c r="L3836" s="444">
        <f t="shared" ca="1" si="159"/>
        <v>-6655601055578.21</v>
      </c>
      <c r="M3836" s="460">
        <f t="shared" si="161"/>
        <v>0.05</v>
      </c>
      <c r="N3836" s="464">
        <f t="shared" si="162"/>
        <v>167799</v>
      </c>
    </row>
    <row r="3837" spans="7:14" ht="11.25" customHeight="1" x14ac:dyDescent="0.25">
      <c r="G3837" s="459"/>
      <c r="H3837" s="459">
        <v>3830</v>
      </c>
      <c r="I3837" s="444">
        <f t="shared" ca="1" si="160"/>
        <v>-6655601055578.21</v>
      </c>
      <c r="J3837" s="444">
        <f t="array" ref="J3837">IFERROR(INDEX('Retirement Calculator'!K:K,MATCH('Lorri 401b'!N3837,'Retirement Calculator'!A:A,0),0),0)</f>
        <v>0</v>
      </c>
      <c r="K3837" s="444">
        <f t="shared" ca="1" si="158"/>
        <v>-27731671064.909206</v>
      </c>
      <c r="L3837" s="444">
        <f t="shared" ca="1" si="159"/>
        <v>-6683332726643.1191</v>
      </c>
      <c r="M3837" s="460">
        <f t="shared" si="161"/>
        <v>0.05</v>
      </c>
      <c r="N3837" s="464">
        <f t="shared" si="162"/>
        <v>167829</v>
      </c>
    </row>
    <row r="3838" spans="7:14" ht="11.25" customHeight="1" x14ac:dyDescent="0.25">
      <c r="G3838" s="459"/>
      <c r="H3838" s="459">
        <v>3831</v>
      </c>
      <c r="I3838" s="444">
        <f t="shared" ca="1" si="160"/>
        <v>-6683332726643.1191</v>
      </c>
      <c r="J3838" s="444">
        <f t="array" ref="J3838">IFERROR(INDEX('Retirement Calculator'!K:K,MATCH('Lorri 401b'!N3838,'Retirement Calculator'!A:A,0),0),0)</f>
        <v>0</v>
      </c>
      <c r="K3838" s="444">
        <f t="shared" ca="1" si="158"/>
        <v>-27847219694.346329</v>
      </c>
      <c r="L3838" s="444">
        <f t="shared" ca="1" si="159"/>
        <v>-6711179946337.4658</v>
      </c>
      <c r="M3838" s="460">
        <f t="shared" si="161"/>
        <v>0.05</v>
      </c>
      <c r="N3838" s="464">
        <f t="shared" si="162"/>
        <v>167860</v>
      </c>
    </row>
    <row r="3839" spans="7:14" ht="11.25" customHeight="1" x14ac:dyDescent="0.25">
      <c r="G3839" s="459"/>
      <c r="H3839" s="459">
        <v>3832</v>
      </c>
      <c r="I3839" s="444">
        <f t="shared" ca="1" si="160"/>
        <v>-6711179946337.4658</v>
      </c>
      <c r="J3839" s="444">
        <f t="array" ref="J3839">IFERROR(INDEX('Retirement Calculator'!K:K,MATCH('Lorri 401b'!N3839,'Retirement Calculator'!A:A,0),0),0)</f>
        <v>0</v>
      </c>
      <c r="K3839" s="444">
        <f t="shared" ca="1" si="158"/>
        <v>-27963249776.406109</v>
      </c>
      <c r="L3839" s="444">
        <f t="shared" ca="1" si="159"/>
        <v>-6739143196113.8721</v>
      </c>
      <c r="M3839" s="460">
        <f t="shared" si="161"/>
        <v>0.05</v>
      </c>
      <c r="N3839" s="464">
        <f t="shared" si="162"/>
        <v>167891</v>
      </c>
    </row>
    <row r="3840" spans="7:14" ht="11.25" customHeight="1" x14ac:dyDescent="0.25">
      <c r="G3840" s="459"/>
      <c r="H3840" s="459">
        <v>3833</v>
      </c>
      <c r="I3840" s="444">
        <f t="shared" ca="1" si="160"/>
        <v>-6739143196113.8721</v>
      </c>
      <c r="J3840" s="444">
        <f t="array" ref="J3840">IFERROR(INDEX('Retirement Calculator'!K:K,MATCH('Lorri 401b'!N3840,'Retirement Calculator'!A:A,0),0),0)</f>
        <v>0</v>
      </c>
      <c r="K3840" s="444">
        <f t="shared" ca="1" si="158"/>
        <v>-28079763317.141132</v>
      </c>
      <c r="L3840" s="444">
        <f t="shared" ca="1" si="159"/>
        <v>-6767222959431.0137</v>
      </c>
      <c r="M3840" s="460">
        <f t="shared" si="161"/>
        <v>0.05</v>
      </c>
      <c r="N3840" s="464">
        <f t="shared" si="162"/>
        <v>167921</v>
      </c>
    </row>
    <row r="3841" spans="7:14" ht="11.25" customHeight="1" x14ac:dyDescent="0.25">
      <c r="G3841" s="459"/>
      <c r="H3841" s="459">
        <v>3834</v>
      </c>
      <c r="I3841" s="444">
        <f t="shared" ca="1" si="160"/>
        <v>-6767222959431.0137</v>
      </c>
      <c r="J3841" s="444">
        <f t="array" ref="J3841">IFERROR(INDEX('Retirement Calculator'!K:K,MATCH('Lorri 401b'!N3841,'Retirement Calculator'!A:A,0),0),0)</f>
        <v>0</v>
      </c>
      <c r="K3841" s="444">
        <f t="shared" ca="1" si="158"/>
        <v>-28196762330.962555</v>
      </c>
      <c r="L3841" s="444">
        <f t="shared" ca="1" si="159"/>
        <v>-6795419721761.9766</v>
      </c>
      <c r="M3841" s="460">
        <f t="shared" si="161"/>
        <v>0.05</v>
      </c>
      <c r="N3841" s="464">
        <f t="shared" si="162"/>
        <v>167952</v>
      </c>
    </row>
    <row r="3842" spans="7:14" ht="11.25" customHeight="1" x14ac:dyDescent="0.25">
      <c r="G3842" s="459"/>
      <c r="H3842" s="459">
        <v>3835</v>
      </c>
      <c r="I3842" s="444">
        <f t="shared" ca="1" si="160"/>
        <v>-6795419721761.9766</v>
      </c>
      <c r="J3842" s="444">
        <f t="array" ref="J3842">IFERROR(INDEX('Retirement Calculator'!K:K,MATCH('Lorri 401b'!N3842,'Retirement Calculator'!A:A,0),0),0)</f>
        <v>0</v>
      </c>
      <c r="K3842" s="444">
        <f t="shared" ca="1" si="158"/>
        <v>-28314248840.6749</v>
      </c>
      <c r="L3842" s="444">
        <f t="shared" ca="1" si="159"/>
        <v>-6823733970602.6514</v>
      </c>
      <c r="M3842" s="460">
        <f t="shared" si="161"/>
        <v>0.05</v>
      </c>
      <c r="N3842" s="464">
        <f t="shared" si="162"/>
        <v>167982</v>
      </c>
    </row>
    <row r="3843" spans="7:14" ht="11.25" customHeight="1" x14ac:dyDescent="0.25">
      <c r="G3843" s="459"/>
      <c r="H3843" s="459">
        <v>3836</v>
      </c>
      <c r="I3843" s="444">
        <f t="shared" ca="1" si="160"/>
        <v>-6823733970602.6514</v>
      </c>
      <c r="J3843" s="444">
        <f t="array" ref="J3843">IFERROR(INDEX('Retirement Calculator'!K:K,MATCH('Lorri 401b'!N3843,'Retirement Calculator'!A:A,0),0),0)</f>
        <v>0</v>
      </c>
      <c r="K3843" s="444">
        <f t="shared" ca="1" si="158"/>
        <v>-28432224877.511047</v>
      </c>
      <c r="L3843" s="444">
        <f t="shared" ca="1" si="159"/>
        <v>-6852166195480.1621</v>
      </c>
      <c r="M3843" s="460">
        <f t="shared" si="161"/>
        <v>0.05</v>
      </c>
      <c r="N3843" s="464">
        <f t="shared" si="162"/>
        <v>168013</v>
      </c>
    </row>
    <row r="3844" spans="7:14" ht="11.25" customHeight="1" x14ac:dyDescent="0.25">
      <c r="G3844" s="459"/>
      <c r="H3844" s="459">
        <v>3837</v>
      </c>
      <c r="I3844" s="444">
        <f t="shared" ca="1" si="160"/>
        <v>-6852166195480.1621</v>
      </c>
      <c r="J3844" s="444">
        <f t="array" ref="J3844">IFERROR(INDEX('Retirement Calculator'!K:K,MATCH('Lorri 401b'!N3844,'Retirement Calculator'!A:A,0),0),0)</f>
        <v>0</v>
      </c>
      <c r="K3844" s="444">
        <f t="shared" ca="1" si="158"/>
        <v>-28550692481.167343</v>
      </c>
      <c r="L3844" s="444">
        <f t="shared" ca="1" si="159"/>
        <v>-6880716887961.3291</v>
      </c>
      <c r="M3844" s="460">
        <f t="shared" si="161"/>
        <v>0.05</v>
      </c>
      <c r="N3844" s="464">
        <f t="shared" si="162"/>
        <v>168044</v>
      </c>
    </row>
    <row r="3845" spans="7:14" ht="11.25" customHeight="1" x14ac:dyDescent="0.25">
      <c r="G3845" s="459"/>
      <c r="H3845" s="459">
        <v>3838</v>
      </c>
      <c r="I3845" s="444">
        <f t="shared" ca="1" si="160"/>
        <v>-6880716887961.3291</v>
      </c>
      <c r="J3845" s="444">
        <f t="array" ref="J3845">IFERROR(INDEX('Retirement Calculator'!K:K,MATCH('Lorri 401b'!N3845,'Retirement Calculator'!A:A,0),0),0)</f>
        <v>0</v>
      </c>
      <c r="K3845" s="444">
        <f t="shared" ca="1" si="158"/>
        <v>-28669653699.838867</v>
      </c>
      <c r="L3845" s="444">
        <f t="shared" ca="1" si="159"/>
        <v>-6909386541661.168</v>
      </c>
      <c r="M3845" s="460">
        <f t="shared" si="161"/>
        <v>0.05</v>
      </c>
      <c r="N3845" s="464">
        <f t="shared" si="162"/>
        <v>168073</v>
      </c>
    </row>
    <row r="3846" spans="7:14" ht="11.25" customHeight="1" x14ac:dyDescent="0.25">
      <c r="G3846" s="459"/>
      <c r="H3846" s="459">
        <v>3839</v>
      </c>
      <c r="I3846" s="444">
        <f t="shared" ca="1" si="160"/>
        <v>-6909386541661.168</v>
      </c>
      <c r="J3846" s="444">
        <f t="array" ref="J3846">IFERROR(INDEX('Retirement Calculator'!K:K,MATCH('Lorri 401b'!N3846,'Retirement Calculator'!A:A,0),0),0)</f>
        <v>0</v>
      </c>
      <c r="K3846" s="444">
        <f t="shared" ca="1" si="158"/>
        <v>-28789110590.254868</v>
      </c>
      <c r="L3846" s="444">
        <f t="shared" ca="1" si="159"/>
        <v>-6938175652251.4229</v>
      </c>
      <c r="M3846" s="460">
        <f t="shared" si="161"/>
        <v>0.05</v>
      </c>
      <c r="N3846" s="464">
        <f t="shared" si="162"/>
        <v>168104</v>
      </c>
    </row>
    <row r="3847" spans="7:14" ht="11.25" customHeight="1" x14ac:dyDescent="0.25">
      <c r="G3847" s="459"/>
      <c r="H3847" s="459">
        <v>3840</v>
      </c>
      <c r="I3847" s="444">
        <f t="shared" ca="1" si="160"/>
        <v>-6938175652251.4229</v>
      </c>
      <c r="J3847" s="444">
        <f t="array" ref="J3847">IFERROR(INDEX('Retirement Calculator'!K:K,MATCH('Lorri 401b'!N3847,'Retirement Calculator'!A:A,0),0),0)</f>
        <v>0</v>
      </c>
      <c r="K3847" s="444">
        <f t="shared" ca="1" si="158"/>
        <v>-28909065217.71426</v>
      </c>
      <c r="L3847" s="444">
        <f t="shared" ca="1" si="159"/>
        <v>-6967084717469.1367</v>
      </c>
      <c r="M3847" s="460">
        <f t="shared" si="161"/>
        <v>0.05</v>
      </c>
      <c r="N3847" s="464">
        <f t="shared" si="162"/>
        <v>168134</v>
      </c>
    </row>
    <row r="3848" spans="7:14" ht="11.25" customHeight="1" x14ac:dyDescent="0.25">
      <c r="G3848" s="459"/>
      <c r="H3848" s="459">
        <v>3841</v>
      </c>
      <c r="I3848" s="444">
        <f t="shared" ca="1" si="160"/>
        <v>-6967084717469.1367</v>
      </c>
      <c r="J3848" s="444">
        <f t="array" ref="J3848">IFERROR(INDEX('Retirement Calculator'!K:K,MATCH('Lorri 401b'!N3848,'Retirement Calculator'!A:A,0),0),0)</f>
        <v>0</v>
      </c>
      <c r="K3848" s="444">
        <f t="shared" ca="1" si="158"/>
        <v>-29029519656.121403</v>
      </c>
      <c r="L3848" s="444">
        <f t="shared" ca="1" si="159"/>
        <v>-6996114237125.2578</v>
      </c>
      <c r="M3848" s="460">
        <f t="shared" si="161"/>
        <v>0.05</v>
      </c>
      <c r="N3848" s="464">
        <f t="shared" si="162"/>
        <v>168165</v>
      </c>
    </row>
    <row r="3849" spans="7:14" ht="11.25" customHeight="1" x14ac:dyDescent="0.25">
      <c r="G3849" s="459"/>
      <c r="H3849" s="459">
        <v>3842</v>
      </c>
      <c r="I3849" s="444">
        <f t="shared" ca="1" si="160"/>
        <v>-6996114237125.2578</v>
      </c>
      <c r="J3849" s="444">
        <f t="array" ref="J3849">IFERROR(INDEX('Retirement Calculator'!K:K,MATCH('Lorri 401b'!N3849,'Retirement Calculator'!A:A,0),0),0)</f>
        <v>0</v>
      </c>
      <c r="K3849" s="444">
        <f t="shared" ca="1" si="158"/>
        <v>-29150475988.021904</v>
      </c>
      <c r="L3849" s="444">
        <f t="shared" ca="1" si="159"/>
        <v>-7025264713113.2793</v>
      </c>
      <c r="M3849" s="460">
        <f t="shared" si="161"/>
        <v>0.05</v>
      </c>
      <c r="N3849" s="464">
        <f t="shared" si="162"/>
        <v>168195</v>
      </c>
    </row>
    <row r="3850" spans="7:14" ht="11.25" customHeight="1" x14ac:dyDescent="0.25">
      <c r="G3850" s="459"/>
      <c r="H3850" s="459">
        <v>3843</v>
      </c>
      <c r="I3850" s="444">
        <f t="shared" ca="1" si="160"/>
        <v>-7025264713113.2793</v>
      </c>
      <c r="J3850" s="444">
        <f t="array" ref="J3850">IFERROR(INDEX('Retirement Calculator'!K:K,MATCH('Lorri 401b'!N3850,'Retirement Calculator'!A:A,0),0),0)</f>
        <v>0</v>
      </c>
      <c r="K3850" s="444">
        <f t="shared" ca="1" si="158"/>
        <v>-29271936304.638668</v>
      </c>
      <c r="L3850" s="444">
        <f t="shared" ca="1" si="159"/>
        <v>-7054536649417.918</v>
      </c>
      <c r="M3850" s="460">
        <f t="shared" si="161"/>
        <v>0.05</v>
      </c>
      <c r="N3850" s="464">
        <f t="shared" si="162"/>
        <v>168226</v>
      </c>
    </row>
    <row r="3851" spans="7:14" ht="11.25" customHeight="1" x14ac:dyDescent="0.25">
      <c r="G3851" s="459"/>
      <c r="H3851" s="459">
        <v>3844</v>
      </c>
      <c r="I3851" s="444">
        <f t="shared" ca="1" si="160"/>
        <v>-7054536649417.918</v>
      </c>
      <c r="J3851" s="444">
        <f t="array" ref="J3851">IFERROR(INDEX('Retirement Calculator'!K:K,MATCH('Lorri 401b'!N3851,'Retirement Calculator'!A:A,0),0),0)</f>
        <v>0</v>
      </c>
      <c r="K3851" s="444">
        <f t="shared" ca="1" si="158"/>
        <v>-29393902705.90799</v>
      </c>
      <c r="L3851" s="444">
        <f t="shared" ca="1" si="159"/>
        <v>-7083930552123.8262</v>
      </c>
      <c r="M3851" s="460">
        <f t="shared" si="161"/>
        <v>0.05</v>
      </c>
      <c r="N3851" s="464">
        <f t="shared" si="162"/>
        <v>168257</v>
      </c>
    </row>
    <row r="3852" spans="7:14" ht="11.25" customHeight="1" x14ac:dyDescent="0.25">
      <c r="G3852" s="459"/>
      <c r="H3852" s="459">
        <v>3845</v>
      </c>
      <c r="I3852" s="444">
        <f t="shared" ca="1" si="160"/>
        <v>-7083930552123.8262</v>
      </c>
      <c r="J3852" s="444">
        <f t="array" ref="J3852">IFERROR(INDEX('Retirement Calculator'!K:K,MATCH('Lorri 401b'!N3852,'Retirement Calculator'!A:A,0),0),0)</f>
        <v>0</v>
      </c>
      <c r="K3852" s="444">
        <f t="shared" ca="1" si="158"/>
        <v>-29516377300.515942</v>
      </c>
      <c r="L3852" s="444">
        <f t="shared" ca="1" si="159"/>
        <v>-7113446929424.3418</v>
      </c>
      <c r="M3852" s="460">
        <f t="shared" si="161"/>
        <v>0.05</v>
      </c>
      <c r="N3852" s="464">
        <f t="shared" si="162"/>
        <v>168287</v>
      </c>
    </row>
    <row r="3853" spans="7:14" ht="11.25" customHeight="1" x14ac:dyDescent="0.25">
      <c r="G3853" s="459"/>
      <c r="H3853" s="459">
        <v>3846</v>
      </c>
      <c r="I3853" s="444">
        <f t="shared" ca="1" si="160"/>
        <v>-7113446929424.3418</v>
      </c>
      <c r="J3853" s="444">
        <f t="array" ref="J3853">IFERROR(INDEX('Retirement Calculator'!K:K,MATCH('Lorri 401b'!N3853,'Retirement Calculator'!A:A,0),0),0)</f>
        <v>0</v>
      </c>
      <c r="K3853" s="444">
        <f t="shared" ca="1" si="158"/>
        <v>-29639362205.934757</v>
      </c>
      <c r="L3853" s="444">
        <f t="shared" ca="1" si="159"/>
        <v>-7143086291630.2764</v>
      </c>
      <c r="M3853" s="460">
        <f t="shared" si="161"/>
        <v>0.05</v>
      </c>
      <c r="N3853" s="464">
        <f t="shared" si="162"/>
        <v>168318</v>
      </c>
    </row>
    <row r="3854" spans="7:14" ht="11.25" customHeight="1" x14ac:dyDescent="0.25">
      <c r="G3854" s="459"/>
      <c r="H3854" s="459">
        <v>3847</v>
      </c>
      <c r="I3854" s="444">
        <f t="shared" ca="1" si="160"/>
        <v>-7143086291630.2764</v>
      </c>
      <c r="J3854" s="444">
        <f t="array" ref="J3854">IFERROR(INDEX('Retirement Calculator'!K:K,MATCH('Lorri 401b'!N3854,'Retirement Calculator'!A:A,0),0),0)</f>
        <v>0</v>
      </c>
      <c r="K3854" s="444">
        <f t="shared" ca="1" si="158"/>
        <v>-29762859548.459488</v>
      </c>
      <c r="L3854" s="444">
        <f t="shared" ca="1" si="159"/>
        <v>-7172849151178.7363</v>
      </c>
      <c r="M3854" s="460">
        <f t="shared" si="161"/>
        <v>0.05</v>
      </c>
      <c r="N3854" s="464">
        <f t="shared" si="162"/>
        <v>168348</v>
      </c>
    </row>
    <row r="3855" spans="7:14" ht="11.25" customHeight="1" x14ac:dyDescent="0.25">
      <c r="G3855" s="459"/>
      <c r="H3855" s="459">
        <v>3848</v>
      </c>
      <c r="I3855" s="444">
        <f t="shared" ca="1" si="160"/>
        <v>-7172849151178.7363</v>
      </c>
      <c r="J3855" s="444">
        <f t="array" ref="J3855">IFERROR(INDEX('Retirement Calculator'!K:K,MATCH('Lorri 401b'!N3855,'Retirement Calculator'!A:A,0),0),0)</f>
        <v>0</v>
      </c>
      <c r="K3855" s="444">
        <f t="shared" ca="1" si="158"/>
        <v>-29886871463.244736</v>
      </c>
      <c r="L3855" s="444">
        <f t="shared" ca="1" si="159"/>
        <v>-7202736022641.9814</v>
      </c>
      <c r="M3855" s="460">
        <f t="shared" si="161"/>
        <v>0.05</v>
      </c>
      <c r="N3855" s="464">
        <f t="shared" si="162"/>
        <v>168379</v>
      </c>
    </row>
    <row r="3856" spans="7:14" ht="11.25" customHeight="1" x14ac:dyDescent="0.25">
      <c r="G3856" s="459"/>
      <c r="H3856" s="459">
        <v>3849</v>
      </c>
      <c r="I3856" s="444">
        <f t="shared" ca="1" si="160"/>
        <v>-7202736022641.9814</v>
      </c>
      <c r="J3856" s="444">
        <f t="array" ref="J3856">IFERROR(INDEX('Retirement Calculator'!K:K,MATCH('Lorri 401b'!N3856,'Retirement Calculator'!A:A,0),0),0)</f>
        <v>0</v>
      </c>
      <c r="K3856" s="444">
        <f t="shared" ca="1" si="158"/>
        <v>-30011400094.341595</v>
      </c>
      <c r="L3856" s="444">
        <f t="shared" ca="1" si="159"/>
        <v>-7232747422736.3232</v>
      </c>
      <c r="M3856" s="460">
        <f t="shared" si="161"/>
        <v>0.05</v>
      </c>
      <c r="N3856" s="464">
        <f t="shared" si="162"/>
        <v>168410</v>
      </c>
    </row>
    <row r="3857" spans="7:14" ht="11.25" customHeight="1" x14ac:dyDescent="0.25">
      <c r="G3857" s="459"/>
      <c r="H3857" s="459">
        <v>3850</v>
      </c>
      <c r="I3857" s="444">
        <f t="shared" ca="1" si="160"/>
        <v>-7232747422736.3232</v>
      </c>
      <c r="J3857" s="444">
        <f t="array" ref="J3857">IFERROR(INDEX('Retirement Calculator'!K:K,MATCH('Lorri 401b'!N3857,'Retirement Calculator'!A:A,0),0),0)</f>
        <v>0</v>
      </c>
      <c r="K3857" s="444">
        <f t="shared" ca="1" si="158"/>
        <v>-30136447594.734684</v>
      </c>
      <c r="L3857" s="444">
        <f t="shared" ca="1" si="159"/>
        <v>-7262883870331.0576</v>
      </c>
      <c r="M3857" s="460">
        <f t="shared" si="161"/>
        <v>0.05</v>
      </c>
      <c r="N3857" s="464">
        <f t="shared" si="162"/>
        <v>168438</v>
      </c>
    </row>
    <row r="3858" spans="7:14" ht="11.25" customHeight="1" x14ac:dyDescent="0.25">
      <c r="G3858" s="459"/>
      <c r="H3858" s="459">
        <v>3851</v>
      </c>
      <c r="I3858" s="444">
        <f t="shared" ca="1" si="160"/>
        <v>-7262883870331.0576</v>
      </c>
      <c r="J3858" s="444">
        <f t="array" ref="J3858">IFERROR(INDEX('Retirement Calculator'!K:K,MATCH('Lorri 401b'!N3858,'Retirement Calculator'!A:A,0),0),0)</f>
        <v>0</v>
      </c>
      <c r="K3858" s="444">
        <f t="shared" ca="1" si="158"/>
        <v>-30262016126.379406</v>
      </c>
      <c r="L3858" s="444">
        <f t="shared" ca="1" si="159"/>
        <v>-7293145886457.4375</v>
      </c>
      <c r="M3858" s="460">
        <f t="shared" si="161"/>
        <v>0.05</v>
      </c>
      <c r="N3858" s="464">
        <f t="shared" si="162"/>
        <v>168469</v>
      </c>
    </row>
    <row r="3859" spans="7:14" ht="11.25" customHeight="1" x14ac:dyDescent="0.25">
      <c r="G3859" s="459"/>
      <c r="H3859" s="459">
        <v>3852</v>
      </c>
      <c r="I3859" s="444">
        <f t="shared" ca="1" si="160"/>
        <v>-7293145886457.4375</v>
      </c>
      <c r="J3859" s="444">
        <f t="array" ref="J3859">IFERROR(INDEX('Retirement Calculator'!K:K,MATCH('Lorri 401b'!N3859,'Retirement Calculator'!A:A,0),0),0)</f>
        <v>0</v>
      </c>
      <c r="K3859" s="444">
        <f t="shared" ca="1" si="158"/>
        <v>-30388107860.239323</v>
      </c>
      <c r="L3859" s="444">
        <f t="shared" ca="1" si="159"/>
        <v>-7323533994317.6768</v>
      </c>
      <c r="M3859" s="460">
        <f t="shared" si="161"/>
        <v>0.05</v>
      </c>
      <c r="N3859" s="464">
        <f t="shared" si="162"/>
        <v>168499</v>
      </c>
    </row>
    <row r="3860" spans="7:14" ht="11.25" customHeight="1" x14ac:dyDescent="0.25">
      <c r="G3860" s="459"/>
      <c r="H3860" s="459">
        <v>3853</v>
      </c>
      <c r="I3860" s="444">
        <f t="shared" ca="1" si="160"/>
        <v>-7323533994317.6768</v>
      </c>
      <c r="J3860" s="444">
        <f t="array" ref="J3860">IFERROR(INDEX('Retirement Calculator'!K:K,MATCH('Lorri 401b'!N3860,'Retirement Calculator'!A:A,0),0),0)</f>
        <v>0</v>
      </c>
      <c r="K3860" s="444">
        <f t="shared" ca="1" si="158"/>
        <v>-30514724976.323654</v>
      </c>
      <c r="L3860" s="444">
        <f t="shared" ca="1" si="159"/>
        <v>-7354048719294</v>
      </c>
      <c r="M3860" s="460">
        <f t="shared" si="161"/>
        <v>0.05</v>
      </c>
      <c r="N3860" s="464">
        <f t="shared" si="162"/>
        <v>168530</v>
      </c>
    </row>
    <row r="3861" spans="7:14" ht="11.25" customHeight="1" x14ac:dyDescent="0.25">
      <c r="G3861" s="459"/>
      <c r="H3861" s="459">
        <v>3854</v>
      </c>
      <c r="I3861" s="444">
        <f t="shared" ca="1" si="160"/>
        <v>-7354048719294</v>
      </c>
      <c r="J3861" s="444">
        <f t="array" ref="J3861">IFERROR(INDEX('Retirement Calculator'!K:K,MATCH('Lorri 401b'!N3861,'Retirement Calculator'!A:A,0),0),0)</f>
        <v>0</v>
      </c>
      <c r="K3861" s="444">
        <f t="shared" ca="1" si="158"/>
        <v>-30641869663.724995</v>
      </c>
      <c r="L3861" s="444">
        <f t="shared" ca="1" si="159"/>
        <v>-7384690588957.7246</v>
      </c>
      <c r="M3861" s="460">
        <f t="shared" si="161"/>
        <v>0.05</v>
      </c>
      <c r="N3861" s="464">
        <f t="shared" si="162"/>
        <v>168560</v>
      </c>
    </row>
    <row r="3862" spans="7:14" ht="11.25" customHeight="1" x14ac:dyDescent="0.25">
      <c r="G3862" s="459"/>
      <c r="H3862" s="459">
        <v>3855</v>
      </c>
      <c r="I3862" s="444">
        <f t="shared" ca="1" si="160"/>
        <v>-7384690588957.7246</v>
      </c>
      <c r="J3862" s="444">
        <f t="array" ref="J3862">IFERROR(INDEX('Retirement Calculator'!K:K,MATCH('Lorri 401b'!N3862,'Retirement Calculator'!A:A,0),0),0)</f>
        <v>0</v>
      </c>
      <c r="K3862" s="444">
        <f t="shared" ca="1" si="158"/>
        <v>-30769544120.657185</v>
      </c>
      <c r="L3862" s="444">
        <f t="shared" ca="1" si="159"/>
        <v>-7415460133078.3818</v>
      </c>
      <c r="M3862" s="460">
        <f t="shared" si="161"/>
        <v>0.05</v>
      </c>
      <c r="N3862" s="464">
        <f t="shared" si="162"/>
        <v>168591</v>
      </c>
    </row>
    <row r="3863" spans="7:14" ht="11.25" customHeight="1" x14ac:dyDescent="0.25">
      <c r="G3863" s="459"/>
      <c r="H3863" s="459">
        <v>3856</v>
      </c>
      <c r="I3863" s="444">
        <f t="shared" ca="1" si="160"/>
        <v>-7415460133078.3818</v>
      </c>
      <c r="J3863" s="444">
        <f t="array" ref="J3863">IFERROR(INDEX('Retirement Calculator'!K:K,MATCH('Lorri 401b'!N3863,'Retirement Calculator'!A:A,0),0),0)</f>
        <v>0</v>
      </c>
      <c r="K3863" s="444">
        <f t="shared" ca="1" si="158"/>
        <v>-30897750554.493256</v>
      </c>
      <c r="L3863" s="444">
        <f t="shared" ca="1" si="159"/>
        <v>-7446357883632.875</v>
      </c>
      <c r="M3863" s="460">
        <f t="shared" si="161"/>
        <v>0.05</v>
      </c>
      <c r="N3863" s="464">
        <f t="shared" si="162"/>
        <v>168622</v>
      </c>
    </row>
    <row r="3864" spans="7:14" ht="11.25" customHeight="1" x14ac:dyDescent="0.25">
      <c r="G3864" s="459"/>
      <c r="H3864" s="459">
        <v>3857</v>
      </c>
      <c r="I3864" s="444">
        <f t="shared" ca="1" si="160"/>
        <v>-7446357883632.875</v>
      </c>
      <c r="J3864" s="444">
        <f t="array" ref="J3864">IFERROR(INDEX('Retirement Calculator'!K:K,MATCH('Lorri 401b'!N3864,'Retirement Calculator'!A:A,0),0),0)</f>
        <v>0</v>
      </c>
      <c r="K3864" s="444">
        <f t="shared" ca="1" si="158"/>
        <v>-31026491181.80365</v>
      </c>
      <c r="L3864" s="444">
        <f t="shared" ca="1" si="159"/>
        <v>-7477384374814.6787</v>
      </c>
      <c r="M3864" s="460">
        <f t="shared" si="161"/>
        <v>0.05</v>
      </c>
      <c r="N3864" s="464">
        <f t="shared" si="162"/>
        <v>168652</v>
      </c>
    </row>
    <row r="3865" spans="7:14" ht="11.25" customHeight="1" x14ac:dyDescent="0.25">
      <c r="G3865" s="459"/>
      <c r="H3865" s="459">
        <v>3858</v>
      </c>
      <c r="I3865" s="444">
        <f t="shared" ca="1" si="160"/>
        <v>-7477384374814.6787</v>
      </c>
      <c r="J3865" s="444">
        <f t="array" ref="J3865">IFERROR(INDEX('Retirement Calculator'!K:K,MATCH('Lorri 401b'!N3865,'Retirement Calculator'!A:A,0),0),0)</f>
        <v>0</v>
      </c>
      <c r="K3865" s="444">
        <f t="shared" ca="1" si="158"/>
        <v>-31155768228.394493</v>
      </c>
      <c r="L3865" s="444">
        <f t="shared" ca="1" si="159"/>
        <v>-7508540143043.0732</v>
      </c>
      <c r="M3865" s="460">
        <f t="shared" si="161"/>
        <v>0.05</v>
      </c>
      <c r="N3865" s="464">
        <f t="shared" si="162"/>
        <v>168683</v>
      </c>
    </row>
    <row r="3866" spans="7:14" ht="11.25" customHeight="1" x14ac:dyDescent="0.25">
      <c r="G3866" s="459"/>
      <c r="H3866" s="459">
        <v>3859</v>
      </c>
      <c r="I3866" s="444">
        <f t="shared" ca="1" si="160"/>
        <v>-7508540143043.0732</v>
      </c>
      <c r="J3866" s="444">
        <f t="array" ref="J3866">IFERROR(INDEX('Retirement Calculator'!K:K,MATCH('Lorri 401b'!N3866,'Retirement Calculator'!A:A,0),0),0)</f>
        <v>0</v>
      </c>
      <c r="K3866" s="444">
        <f t="shared" ca="1" si="158"/>
        <v>-31285583929.346138</v>
      </c>
      <c r="L3866" s="444">
        <f t="shared" ca="1" si="159"/>
        <v>-7539825726972.4189</v>
      </c>
      <c r="M3866" s="460">
        <f t="shared" si="161"/>
        <v>0.05</v>
      </c>
      <c r="N3866" s="464">
        <f t="shared" si="162"/>
        <v>168713</v>
      </c>
    </row>
    <row r="3867" spans="7:14" ht="11.25" customHeight="1" x14ac:dyDescent="0.25">
      <c r="G3867" s="459"/>
      <c r="H3867" s="459">
        <v>3860</v>
      </c>
      <c r="I3867" s="444">
        <f t="shared" ca="1" si="160"/>
        <v>-7539825726972.4189</v>
      </c>
      <c r="J3867" s="444">
        <f t="array" ref="J3867">IFERROR(INDEX('Retirement Calculator'!K:K,MATCH('Lorri 401b'!N3867,'Retirement Calculator'!A:A,0),0),0)</f>
        <v>0</v>
      </c>
      <c r="K3867" s="444">
        <f t="shared" ca="1" si="158"/>
        <v>-31415940529.051746</v>
      </c>
      <c r="L3867" s="444">
        <f t="shared" ca="1" si="159"/>
        <v>-7571241667501.4707</v>
      </c>
      <c r="M3867" s="460">
        <f t="shared" si="161"/>
        <v>0.05</v>
      </c>
      <c r="N3867" s="464">
        <f t="shared" si="162"/>
        <v>168744</v>
      </c>
    </row>
    <row r="3868" spans="7:14" ht="11.25" customHeight="1" x14ac:dyDescent="0.25">
      <c r="G3868" s="459"/>
      <c r="H3868" s="459">
        <v>3861</v>
      </c>
      <c r="I3868" s="444">
        <f t="shared" ca="1" si="160"/>
        <v>-7571241667501.4707</v>
      </c>
      <c r="J3868" s="444">
        <f t="array" ref="J3868">IFERROR(INDEX('Retirement Calculator'!K:K,MATCH('Lorri 401b'!N3868,'Retirement Calculator'!A:A,0),0),0)</f>
        <v>0</v>
      </c>
      <c r="K3868" s="444">
        <f t="shared" ca="1" si="158"/>
        <v>-31546840281.256126</v>
      </c>
      <c r="L3868" s="444">
        <f t="shared" ca="1" si="159"/>
        <v>-7602788507782.7266</v>
      </c>
      <c r="M3868" s="460">
        <f t="shared" si="161"/>
        <v>0.05</v>
      </c>
      <c r="N3868" s="464">
        <f t="shared" si="162"/>
        <v>168775</v>
      </c>
    </row>
    <row r="3869" spans="7:14" ht="11.25" customHeight="1" x14ac:dyDescent="0.25">
      <c r="G3869" s="459"/>
      <c r="H3869" s="459">
        <v>3862</v>
      </c>
      <c r="I3869" s="444">
        <f t="shared" ca="1" si="160"/>
        <v>-7602788507782.7266</v>
      </c>
      <c r="J3869" s="444">
        <f t="array" ref="J3869">IFERROR(INDEX('Retirement Calculator'!K:K,MATCH('Lorri 401b'!N3869,'Retirement Calculator'!A:A,0),0),0)</f>
        <v>0</v>
      </c>
      <c r="K3869" s="444">
        <f t="shared" ca="1" si="158"/>
        <v>-31678285449.094692</v>
      </c>
      <c r="L3869" s="444">
        <f t="shared" ca="1" si="159"/>
        <v>-7634466793231.8213</v>
      </c>
      <c r="M3869" s="460">
        <f t="shared" si="161"/>
        <v>0.05</v>
      </c>
      <c r="N3869" s="464">
        <f t="shared" si="162"/>
        <v>168803</v>
      </c>
    </row>
    <row r="3870" spans="7:14" ht="11.25" customHeight="1" x14ac:dyDescent="0.25">
      <c r="G3870" s="459"/>
      <c r="H3870" s="459">
        <v>3863</v>
      </c>
      <c r="I3870" s="444">
        <f t="shared" ca="1" si="160"/>
        <v>-7634466793231.8213</v>
      </c>
      <c r="J3870" s="444">
        <f t="array" ref="J3870">IFERROR(INDEX('Retirement Calculator'!K:K,MATCH('Lorri 401b'!N3870,'Retirement Calculator'!A:A,0),0),0)</f>
        <v>0</v>
      </c>
      <c r="K3870" s="444">
        <f t="shared" ca="1" si="158"/>
        <v>-31810278305.132584</v>
      </c>
      <c r="L3870" s="444">
        <f t="shared" ca="1" si="159"/>
        <v>-7666277071536.9541</v>
      </c>
      <c r="M3870" s="460">
        <f t="shared" si="161"/>
        <v>0.05</v>
      </c>
      <c r="N3870" s="464">
        <f t="shared" si="162"/>
        <v>168834</v>
      </c>
    </row>
    <row r="3871" spans="7:14" ht="11.25" customHeight="1" x14ac:dyDescent="0.25">
      <c r="G3871" s="459"/>
      <c r="H3871" s="459">
        <v>3864</v>
      </c>
      <c r="I3871" s="444">
        <f t="shared" ca="1" si="160"/>
        <v>-7666277071536.9541</v>
      </c>
      <c r="J3871" s="444">
        <f t="array" ref="J3871">IFERROR(INDEX('Retirement Calculator'!K:K,MATCH('Lorri 401b'!N3871,'Retirement Calculator'!A:A,0),0),0)</f>
        <v>0</v>
      </c>
      <c r="K3871" s="444">
        <f t="shared" ca="1" si="158"/>
        <v>-31942821131.40398</v>
      </c>
      <c r="L3871" s="444">
        <f t="shared" ca="1" si="159"/>
        <v>-7698219892668.3584</v>
      </c>
      <c r="M3871" s="460">
        <f t="shared" si="161"/>
        <v>0.05</v>
      </c>
      <c r="N3871" s="464">
        <f t="shared" si="162"/>
        <v>168864</v>
      </c>
    </row>
    <row r="3872" spans="7:14" ht="11.25" customHeight="1" x14ac:dyDescent="0.25">
      <c r="G3872" s="459"/>
      <c r="H3872" s="459">
        <v>3865</v>
      </c>
      <c r="I3872" s="444">
        <f t="shared" ca="1" si="160"/>
        <v>-7698219892668.3584</v>
      </c>
      <c r="J3872" s="444">
        <f t="array" ref="J3872">IFERROR(INDEX('Retirement Calculator'!K:K,MATCH('Lorri 401b'!N3872,'Retirement Calculator'!A:A,0),0),0)</f>
        <v>0</v>
      </c>
      <c r="K3872" s="444">
        <f t="shared" ca="1" si="158"/>
        <v>-32075916219.451492</v>
      </c>
      <c r="L3872" s="444">
        <f t="shared" ca="1" si="159"/>
        <v>-7730295808887.8096</v>
      </c>
      <c r="M3872" s="460">
        <f t="shared" si="161"/>
        <v>0.05</v>
      </c>
      <c r="N3872" s="464">
        <f t="shared" si="162"/>
        <v>168895</v>
      </c>
    </row>
    <row r="3873" spans="7:14" ht="11.25" customHeight="1" x14ac:dyDescent="0.25">
      <c r="G3873" s="459"/>
      <c r="H3873" s="459">
        <v>3866</v>
      </c>
      <c r="I3873" s="444">
        <f t="shared" ca="1" si="160"/>
        <v>-7730295808887.8096</v>
      </c>
      <c r="J3873" s="444">
        <f t="array" ref="J3873">IFERROR(INDEX('Retirement Calculator'!K:K,MATCH('Lorri 401b'!N3873,'Retirement Calculator'!A:A,0),0),0)</f>
        <v>0</v>
      </c>
      <c r="K3873" s="444">
        <f t="shared" ca="1" si="158"/>
        <v>-32209565870.365871</v>
      </c>
      <c r="L3873" s="444">
        <f t="shared" ca="1" si="159"/>
        <v>-7762505374758.1758</v>
      </c>
      <c r="M3873" s="460">
        <f t="shared" si="161"/>
        <v>0.05</v>
      </c>
      <c r="N3873" s="464">
        <f t="shared" si="162"/>
        <v>168925</v>
      </c>
    </row>
    <row r="3874" spans="7:14" ht="11.25" customHeight="1" x14ac:dyDescent="0.25">
      <c r="G3874" s="459"/>
      <c r="H3874" s="459">
        <v>3867</v>
      </c>
      <c r="I3874" s="444">
        <f t="shared" ca="1" si="160"/>
        <v>-7762505374758.1758</v>
      </c>
      <c r="J3874" s="444">
        <f t="array" ref="J3874">IFERROR(INDEX('Retirement Calculator'!K:K,MATCH('Lorri 401b'!N3874,'Retirement Calculator'!A:A,0),0),0)</f>
        <v>0</v>
      </c>
      <c r="K3874" s="444">
        <f t="shared" ca="1" si="158"/>
        <v>-32343772394.825737</v>
      </c>
      <c r="L3874" s="444">
        <f t="shared" ca="1" si="159"/>
        <v>-7794849147153.002</v>
      </c>
      <c r="M3874" s="460">
        <f t="shared" si="161"/>
        <v>0.05</v>
      </c>
      <c r="N3874" s="464">
        <f t="shared" si="162"/>
        <v>168956</v>
      </c>
    </row>
    <row r="3875" spans="7:14" ht="11.25" customHeight="1" x14ac:dyDescent="0.25">
      <c r="G3875" s="459"/>
      <c r="H3875" s="459">
        <v>3868</v>
      </c>
      <c r="I3875" s="444">
        <f t="shared" ca="1" si="160"/>
        <v>-7794849147153.002</v>
      </c>
      <c r="J3875" s="444">
        <f t="array" ref="J3875">IFERROR(INDEX('Retirement Calculator'!K:K,MATCH('Lorri 401b'!N3875,'Retirement Calculator'!A:A,0),0),0)</f>
        <v>0</v>
      </c>
      <c r="K3875" s="444">
        <f t="shared" ca="1" si="158"/>
        <v>-32478538113.137505</v>
      </c>
      <c r="L3875" s="444">
        <f t="shared" ca="1" si="159"/>
        <v>-7827327685266.1396</v>
      </c>
      <c r="M3875" s="460">
        <f t="shared" si="161"/>
        <v>0.05</v>
      </c>
      <c r="N3875" s="464">
        <f t="shared" si="162"/>
        <v>168987</v>
      </c>
    </row>
    <row r="3876" spans="7:14" ht="11.25" customHeight="1" x14ac:dyDescent="0.25">
      <c r="G3876" s="459"/>
      <c r="H3876" s="459">
        <v>3869</v>
      </c>
      <c r="I3876" s="444">
        <f t="shared" ca="1" si="160"/>
        <v>-7827327685266.1396</v>
      </c>
      <c r="J3876" s="444">
        <f t="array" ref="J3876">IFERROR(INDEX('Retirement Calculator'!K:K,MATCH('Lorri 401b'!N3876,'Retirement Calculator'!A:A,0),0),0)</f>
        <v>0</v>
      </c>
      <c r="K3876" s="444">
        <f t="shared" ca="1" si="158"/>
        <v>-32613865355.275585</v>
      </c>
      <c r="L3876" s="444">
        <f t="shared" ca="1" si="159"/>
        <v>-7859941550621.415</v>
      </c>
      <c r="M3876" s="460">
        <f t="shared" si="161"/>
        <v>0.05</v>
      </c>
      <c r="N3876" s="464">
        <f t="shared" si="162"/>
        <v>169017</v>
      </c>
    </row>
    <row r="3877" spans="7:14" ht="11.25" customHeight="1" x14ac:dyDescent="0.25">
      <c r="G3877" s="459"/>
      <c r="H3877" s="459">
        <v>3870</v>
      </c>
      <c r="I3877" s="444">
        <f t="shared" ca="1" si="160"/>
        <v>-7859941550621.415</v>
      </c>
      <c r="J3877" s="444">
        <f t="array" ref="J3877">IFERROR(INDEX('Retirement Calculator'!K:K,MATCH('Lorri 401b'!N3877,'Retirement Calculator'!A:A,0),0),0)</f>
        <v>0</v>
      </c>
      <c r="K3877" s="444">
        <f t="shared" ca="1" si="158"/>
        <v>-32749756460.922565</v>
      </c>
      <c r="L3877" s="444">
        <f t="shared" ca="1" si="159"/>
        <v>-7892691307082.3379</v>
      </c>
      <c r="M3877" s="460">
        <f t="shared" si="161"/>
        <v>0.05</v>
      </c>
      <c r="N3877" s="464">
        <f t="shared" si="162"/>
        <v>169048</v>
      </c>
    </row>
    <row r="3878" spans="7:14" ht="11.25" customHeight="1" x14ac:dyDescent="0.25">
      <c r="G3878" s="459"/>
      <c r="H3878" s="459">
        <v>3871</v>
      </c>
      <c r="I3878" s="444">
        <f t="shared" ca="1" si="160"/>
        <v>-7892691307082.3379</v>
      </c>
      <c r="J3878" s="444">
        <f t="array" ref="J3878">IFERROR(INDEX('Retirement Calculator'!K:K,MATCH('Lorri 401b'!N3878,'Retirement Calculator'!A:A,0),0),0)</f>
        <v>0</v>
      </c>
      <c r="K3878" s="444">
        <f t="shared" ca="1" si="158"/>
        <v>-32886213779.509735</v>
      </c>
      <c r="L3878" s="444">
        <f t="shared" ca="1" si="159"/>
        <v>-7925577520861.8477</v>
      </c>
      <c r="M3878" s="460">
        <f t="shared" si="161"/>
        <v>0.05</v>
      </c>
      <c r="N3878" s="464">
        <f t="shared" si="162"/>
        <v>169078</v>
      </c>
    </row>
    <row r="3879" spans="7:14" ht="11.25" customHeight="1" x14ac:dyDescent="0.25">
      <c r="G3879" s="459"/>
      <c r="H3879" s="459">
        <v>3872</v>
      </c>
      <c r="I3879" s="444">
        <f t="shared" ca="1" si="160"/>
        <v>-7925577520861.8477</v>
      </c>
      <c r="J3879" s="444">
        <f t="array" ref="J3879">IFERROR(INDEX('Retirement Calculator'!K:K,MATCH('Lorri 401b'!N3879,'Retirement Calculator'!A:A,0),0),0)</f>
        <v>0</v>
      </c>
      <c r="K3879" s="444">
        <f t="shared" ca="1" si="158"/>
        <v>-33023239670.257698</v>
      </c>
      <c r="L3879" s="444">
        <f t="shared" ca="1" si="159"/>
        <v>-7958600760532.1055</v>
      </c>
      <c r="M3879" s="460">
        <f t="shared" si="161"/>
        <v>0.05</v>
      </c>
      <c r="N3879" s="464">
        <f t="shared" si="162"/>
        <v>169109</v>
      </c>
    </row>
    <row r="3880" spans="7:14" ht="11.25" customHeight="1" x14ac:dyDescent="0.25">
      <c r="G3880" s="459"/>
      <c r="H3880" s="459">
        <v>3873</v>
      </c>
      <c r="I3880" s="444">
        <f t="shared" ca="1" si="160"/>
        <v>-7958600760532.1055</v>
      </c>
      <c r="J3880" s="444">
        <f t="array" ref="J3880">IFERROR(INDEX('Retirement Calculator'!K:K,MATCH('Lorri 401b'!N3880,'Retirement Calculator'!A:A,0),0),0)</f>
        <v>0</v>
      </c>
      <c r="K3880" s="444">
        <f t="shared" ca="1" si="158"/>
        <v>-33160836502.217102</v>
      </c>
      <c r="L3880" s="444">
        <f t="shared" ca="1" si="159"/>
        <v>-7991761597034.3223</v>
      </c>
      <c r="M3880" s="460">
        <f t="shared" si="161"/>
        <v>0.05</v>
      </c>
      <c r="N3880" s="464">
        <f t="shared" si="162"/>
        <v>169140</v>
      </c>
    </row>
    <row r="3881" spans="7:14" ht="11.25" customHeight="1" x14ac:dyDescent="0.25">
      <c r="G3881" s="459"/>
      <c r="H3881" s="459">
        <v>3874</v>
      </c>
      <c r="I3881" s="444">
        <f t="shared" ca="1" si="160"/>
        <v>-7991761597034.3223</v>
      </c>
      <c r="J3881" s="444">
        <f t="array" ref="J3881">IFERROR(INDEX('Retirement Calculator'!K:K,MATCH('Lorri 401b'!N3881,'Retirement Calculator'!A:A,0),0),0)</f>
        <v>0</v>
      </c>
      <c r="K3881" s="444">
        <f t="shared" ca="1" si="158"/>
        <v>-33299006654.309677</v>
      </c>
      <c r="L3881" s="444">
        <f t="shared" ca="1" si="159"/>
        <v>-8025060603688.6318</v>
      </c>
      <c r="M3881" s="460">
        <f t="shared" si="161"/>
        <v>0.05</v>
      </c>
      <c r="N3881" s="464">
        <f t="shared" si="162"/>
        <v>169168</v>
      </c>
    </row>
    <row r="3882" spans="7:14" ht="11.25" customHeight="1" x14ac:dyDescent="0.25">
      <c r="G3882" s="459"/>
      <c r="H3882" s="459">
        <v>3875</v>
      </c>
      <c r="I3882" s="444">
        <f t="shared" ca="1" si="160"/>
        <v>-8025060603688.6318</v>
      </c>
      <c r="J3882" s="444">
        <f t="array" ref="J3882">IFERROR(INDEX('Retirement Calculator'!K:K,MATCH('Lorri 401b'!N3882,'Retirement Calculator'!A:A,0),0),0)</f>
        <v>0</v>
      </c>
      <c r="K3882" s="444">
        <f t="shared" ca="1" si="158"/>
        <v>-33437752515.369293</v>
      </c>
      <c r="L3882" s="444">
        <f t="shared" ca="1" si="159"/>
        <v>-8058498356204.001</v>
      </c>
      <c r="M3882" s="460">
        <f t="shared" si="161"/>
        <v>0.05</v>
      </c>
      <c r="N3882" s="464">
        <f t="shared" si="162"/>
        <v>169199</v>
      </c>
    </row>
    <row r="3883" spans="7:14" ht="11.25" customHeight="1" x14ac:dyDescent="0.25">
      <c r="G3883" s="459"/>
      <c r="H3883" s="459">
        <v>3876</v>
      </c>
      <c r="I3883" s="444">
        <f t="shared" ca="1" si="160"/>
        <v>-8058498356204.001</v>
      </c>
      <c r="J3883" s="444">
        <f t="array" ref="J3883">IFERROR(INDEX('Retirement Calculator'!K:K,MATCH('Lorri 401b'!N3883,'Retirement Calculator'!A:A,0),0),0)</f>
        <v>0</v>
      </c>
      <c r="K3883" s="444">
        <f t="shared" ca="1" si="158"/>
        <v>-33577076484.183338</v>
      </c>
      <c r="L3883" s="444">
        <f t="shared" ca="1" si="159"/>
        <v>-8092075432688.1846</v>
      </c>
      <c r="M3883" s="460">
        <f t="shared" si="161"/>
        <v>0.05</v>
      </c>
      <c r="N3883" s="464">
        <f t="shared" si="162"/>
        <v>169229</v>
      </c>
    </row>
    <row r="3884" spans="7:14" ht="11.25" customHeight="1" x14ac:dyDescent="0.25">
      <c r="G3884" s="459"/>
      <c r="H3884" s="459">
        <v>3877</v>
      </c>
      <c r="I3884" s="444">
        <f t="shared" ca="1" si="160"/>
        <v>-8092075432688.1846</v>
      </c>
      <c r="J3884" s="444">
        <f t="array" ref="J3884">IFERROR(INDEX('Retirement Calculator'!K:K,MATCH('Lorri 401b'!N3884,'Retirement Calculator'!A:A,0),0),0)</f>
        <v>0</v>
      </c>
      <c r="K3884" s="444">
        <f t="shared" ca="1" si="158"/>
        <v>-33716980969.534103</v>
      </c>
      <c r="L3884" s="444">
        <f t="shared" ca="1" si="159"/>
        <v>-8125792413657.7188</v>
      </c>
      <c r="M3884" s="460">
        <f t="shared" si="161"/>
        <v>0.05</v>
      </c>
      <c r="N3884" s="464">
        <f t="shared" si="162"/>
        <v>169260</v>
      </c>
    </row>
    <row r="3885" spans="7:14" ht="11.25" customHeight="1" x14ac:dyDescent="0.25">
      <c r="G3885" s="459"/>
      <c r="H3885" s="459">
        <v>3878</v>
      </c>
      <c r="I3885" s="444">
        <f t="shared" ca="1" si="160"/>
        <v>-8125792413657.7188</v>
      </c>
      <c r="J3885" s="444">
        <f t="array" ref="J3885">IFERROR(INDEX('Retirement Calculator'!K:K,MATCH('Lorri 401b'!N3885,'Retirement Calculator'!A:A,0),0),0)</f>
        <v>0</v>
      </c>
      <c r="K3885" s="444">
        <f t="shared" ca="1" si="158"/>
        <v>-33857468390.240498</v>
      </c>
      <c r="L3885" s="444">
        <f t="shared" ca="1" si="159"/>
        <v>-8159649882047.959</v>
      </c>
      <c r="M3885" s="460">
        <f t="shared" si="161"/>
        <v>0.05</v>
      </c>
      <c r="N3885" s="464">
        <f t="shared" si="162"/>
        <v>169290</v>
      </c>
    </row>
    <row r="3886" spans="7:14" ht="11.25" customHeight="1" x14ac:dyDescent="0.25">
      <c r="G3886" s="459"/>
      <c r="H3886" s="459">
        <v>3879</v>
      </c>
      <c r="I3886" s="444">
        <f t="shared" ca="1" si="160"/>
        <v>-8159649882047.959</v>
      </c>
      <c r="J3886" s="444">
        <f t="array" ref="J3886">IFERROR(INDEX('Retirement Calculator'!K:K,MATCH('Lorri 401b'!N3886,'Retirement Calculator'!A:A,0),0),0)</f>
        <v>0</v>
      </c>
      <c r="K3886" s="444">
        <f t="shared" ca="1" si="158"/>
        <v>-33998541175.199833</v>
      </c>
      <c r="L3886" s="444">
        <f t="shared" ca="1" si="159"/>
        <v>-8193648423223.1592</v>
      </c>
      <c r="M3886" s="460">
        <f t="shared" si="161"/>
        <v>0.05</v>
      </c>
      <c r="N3886" s="464">
        <f t="shared" si="162"/>
        <v>169321</v>
      </c>
    </row>
    <row r="3887" spans="7:14" ht="11.25" customHeight="1" x14ac:dyDescent="0.25">
      <c r="G3887" s="459"/>
      <c r="H3887" s="459">
        <v>3880</v>
      </c>
      <c r="I3887" s="444">
        <f t="shared" ca="1" si="160"/>
        <v>-8193648423223.1592</v>
      </c>
      <c r="J3887" s="444">
        <f t="array" ref="J3887">IFERROR(INDEX('Retirement Calculator'!K:K,MATCH('Lorri 401b'!N3887,'Retirement Calculator'!A:A,0),0),0)</f>
        <v>0</v>
      </c>
      <c r="K3887" s="444">
        <f t="shared" ca="1" si="158"/>
        <v>-34140201763.429829</v>
      </c>
      <c r="L3887" s="444">
        <f t="shared" ca="1" si="159"/>
        <v>-8227788624986.5889</v>
      </c>
      <c r="M3887" s="460">
        <f t="shared" si="161"/>
        <v>0.05</v>
      </c>
      <c r="N3887" s="464">
        <f t="shared" si="162"/>
        <v>169352</v>
      </c>
    </row>
    <row r="3888" spans="7:14" ht="11.25" customHeight="1" x14ac:dyDescent="0.25">
      <c r="G3888" s="459"/>
      <c r="H3888" s="459">
        <v>3881</v>
      </c>
      <c r="I3888" s="444">
        <f t="shared" ca="1" si="160"/>
        <v>-8227788624986.5889</v>
      </c>
      <c r="J3888" s="444">
        <f t="array" ref="J3888">IFERROR(INDEX('Retirement Calculator'!K:K,MATCH('Lorri 401b'!N3888,'Retirement Calculator'!A:A,0),0),0)</f>
        <v>0</v>
      </c>
      <c r="K3888" s="444">
        <f t="shared" ca="1" si="158"/>
        <v>-34282452604.110783</v>
      </c>
      <c r="L3888" s="444">
        <f t="shared" ca="1" si="159"/>
        <v>-8262071077590.6992</v>
      </c>
      <c r="M3888" s="460">
        <f t="shared" si="161"/>
        <v>0.05</v>
      </c>
      <c r="N3888" s="464">
        <f t="shared" si="162"/>
        <v>169382</v>
      </c>
    </row>
    <row r="3889" spans="7:14" ht="11.25" customHeight="1" x14ac:dyDescent="0.25">
      <c r="G3889" s="459"/>
      <c r="H3889" s="459">
        <v>3882</v>
      </c>
      <c r="I3889" s="444">
        <f t="shared" ca="1" si="160"/>
        <v>-8262071077590.6992</v>
      </c>
      <c r="J3889" s="444">
        <f t="array" ref="J3889">IFERROR(INDEX('Retirement Calculator'!K:K,MATCH('Lorri 401b'!N3889,'Retirement Calculator'!A:A,0),0),0)</f>
        <v>0</v>
      </c>
      <c r="K3889" s="444">
        <f t="shared" ca="1" si="158"/>
        <v>-34425296156.627914</v>
      </c>
      <c r="L3889" s="444">
        <f t="shared" ca="1" si="159"/>
        <v>-8296496373747.3271</v>
      </c>
      <c r="M3889" s="460">
        <f t="shared" si="161"/>
        <v>0.05</v>
      </c>
      <c r="N3889" s="464">
        <f t="shared" si="162"/>
        <v>169413</v>
      </c>
    </row>
    <row r="3890" spans="7:14" ht="11.25" customHeight="1" x14ac:dyDescent="0.25">
      <c r="G3890" s="459"/>
      <c r="H3890" s="459">
        <v>3883</v>
      </c>
      <c r="I3890" s="444">
        <f t="shared" ca="1" si="160"/>
        <v>-8296496373747.3271</v>
      </c>
      <c r="J3890" s="444">
        <f t="array" ref="J3890">IFERROR(INDEX('Retirement Calculator'!K:K,MATCH('Lorri 401b'!N3890,'Retirement Calculator'!A:A,0),0),0)</f>
        <v>0</v>
      </c>
      <c r="K3890" s="444">
        <f t="shared" ca="1" si="158"/>
        <v>-34568734890.613869</v>
      </c>
      <c r="L3890" s="444">
        <f t="shared" ca="1" si="159"/>
        <v>-8331065108637.9414</v>
      </c>
      <c r="M3890" s="460">
        <f t="shared" si="161"/>
        <v>0.05</v>
      </c>
      <c r="N3890" s="464">
        <f t="shared" si="162"/>
        <v>169443</v>
      </c>
    </row>
    <row r="3891" spans="7:14" ht="11.25" customHeight="1" x14ac:dyDescent="0.25">
      <c r="G3891" s="459"/>
      <c r="H3891" s="459">
        <v>3884</v>
      </c>
      <c r="I3891" s="444">
        <f t="shared" ca="1" si="160"/>
        <v>-8331065108637.9414</v>
      </c>
      <c r="J3891" s="444">
        <f t="array" ref="J3891">IFERROR(INDEX('Retirement Calculator'!K:K,MATCH('Lorri 401b'!N3891,'Retirement Calculator'!A:A,0),0),0)</f>
        <v>0</v>
      </c>
      <c r="K3891" s="444">
        <f t="shared" ca="1" si="158"/>
        <v>-34712771285.991425</v>
      </c>
      <c r="L3891" s="444">
        <f t="shared" ca="1" si="159"/>
        <v>-8365777879923.9326</v>
      </c>
      <c r="M3891" s="460">
        <f t="shared" si="161"/>
        <v>0.05</v>
      </c>
      <c r="N3891" s="464">
        <f t="shared" si="162"/>
        <v>169474</v>
      </c>
    </row>
    <row r="3892" spans="7:14" ht="11.25" customHeight="1" x14ac:dyDescent="0.25">
      <c r="G3892" s="459"/>
      <c r="H3892" s="459">
        <v>3885</v>
      </c>
      <c r="I3892" s="444">
        <f t="shared" ca="1" si="160"/>
        <v>-8365777879923.9326</v>
      </c>
      <c r="J3892" s="444">
        <f t="array" ref="J3892">IFERROR(INDEX('Retirement Calculator'!K:K,MATCH('Lorri 401b'!N3892,'Retirement Calculator'!A:A,0),0),0)</f>
        <v>0</v>
      </c>
      <c r="K3892" s="444">
        <f t="shared" ca="1" si="158"/>
        <v>-34857407833.016388</v>
      </c>
      <c r="L3892" s="444">
        <f t="shared" ca="1" si="159"/>
        <v>-8400635287756.9492</v>
      </c>
      <c r="M3892" s="460">
        <f t="shared" si="161"/>
        <v>0.05</v>
      </c>
      <c r="N3892" s="464">
        <f t="shared" si="162"/>
        <v>169505</v>
      </c>
    </row>
    <row r="3893" spans="7:14" ht="11.25" customHeight="1" x14ac:dyDescent="0.25">
      <c r="G3893" s="459"/>
      <c r="H3893" s="459">
        <v>3886</v>
      </c>
      <c r="I3893" s="444">
        <f t="shared" ca="1" si="160"/>
        <v>-8400635287756.9492</v>
      </c>
      <c r="J3893" s="444">
        <f t="array" ref="J3893">IFERROR(INDEX('Retirement Calculator'!K:K,MATCH('Lorri 401b'!N3893,'Retirement Calculator'!A:A,0),0),0)</f>
        <v>0</v>
      </c>
      <c r="K3893" s="444">
        <f t="shared" ca="1" si="158"/>
        <v>-35002647032.320618</v>
      </c>
      <c r="L3893" s="444">
        <f t="shared" ca="1" si="159"/>
        <v>-8435637934789.2695</v>
      </c>
      <c r="M3893" s="460">
        <f t="shared" si="161"/>
        <v>0.05</v>
      </c>
      <c r="N3893" s="464">
        <f t="shared" si="162"/>
        <v>169534</v>
      </c>
    </row>
    <row r="3894" spans="7:14" ht="11.25" customHeight="1" x14ac:dyDescent="0.25">
      <c r="G3894" s="459"/>
      <c r="H3894" s="459">
        <v>3887</v>
      </c>
      <c r="I3894" s="444">
        <f t="shared" ca="1" si="160"/>
        <v>-8435637934789.2695</v>
      </c>
      <c r="J3894" s="444">
        <f t="array" ref="J3894">IFERROR(INDEX('Retirement Calculator'!K:K,MATCH('Lorri 401b'!N3894,'Retirement Calculator'!A:A,0),0),0)</f>
        <v>0</v>
      </c>
      <c r="K3894" s="444">
        <f t="shared" ca="1" si="158"/>
        <v>-35148491394.955292</v>
      </c>
      <c r="L3894" s="444">
        <f t="shared" ca="1" si="159"/>
        <v>-8470786426184.2246</v>
      </c>
      <c r="M3894" s="460">
        <f t="shared" si="161"/>
        <v>0.05</v>
      </c>
      <c r="N3894" s="464">
        <f t="shared" si="162"/>
        <v>169565</v>
      </c>
    </row>
    <row r="3895" spans="7:14" ht="11.25" customHeight="1" x14ac:dyDescent="0.25">
      <c r="G3895" s="459"/>
      <c r="H3895" s="459">
        <v>3888</v>
      </c>
      <c r="I3895" s="444">
        <f t="shared" ca="1" si="160"/>
        <v>-8470786426184.2246</v>
      </c>
      <c r="J3895" s="444">
        <f t="array" ref="J3895">IFERROR(INDEX('Retirement Calculator'!K:K,MATCH('Lorri 401b'!N3895,'Retirement Calculator'!A:A,0),0),0)</f>
        <v>0</v>
      </c>
      <c r="K3895" s="444">
        <f t="shared" ca="1" si="158"/>
        <v>-35294943442.434265</v>
      </c>
      <c r="L3895" s="444">
        <f t="shared" ca="1" si="159"/>
        <v>-8506081369626.6592</v>
      </c>
      <c r="M3895" s="460">
        <f t="shared" si="161"/>
        <v>0.05</v>
      </c>
      <c r="N3895" s="464">
        <f t="shared" si="162"/>
        <v>169595</v>
      </c>
    </row>
    <row r="3896" spans="7:14" ht="11.25" customHeight="1" x14ac:dyDescent="0.25">
      <c r="G3896" s="459"/>
      <c r="H3896" s="459">
        <v>3889</v>
      </c>
      <c r="I3896" s="444">
        <f t="shared" ca="1" si="160"/>
        <v>-8506081369626.6592</v>
      </c>
      <c r="J3896" s="444">
        <f t="array" ref="J3896">IFERROR(INDEX('Retirement Calculator'!K:K,MATCH('Lorri 401b'!N3896,'Retirement Calculator'!A:A,0),0),0)</f>
        <v>0</v>
      </c>
      <c r="K3896" s="444">
        <f t="shared" ca="1" si="158"/>
        <v>-35442005706.777748</v>
      </c>
      <c r="L3896" s="444">
        <f t="shared" ca="1" si="159"/>
        <v>-8541523375333.4365</v>
      </c>
      <c r="M3896" s="460">
        <f t="shared" si="161"/>
        <v>0.05</v>
      </c>
      <c r="N3896" s="464">
        <f t="shared" si="162"/>
        <v>169626</v>
      </c>
    </row>
    <row r="3897" spans="7:14" ht="11.25" customHeight="1" x14ac:dyDescent="0.25">
      <c r="G3897" s="459"/>
      <c r="H3897" s="459">
        <v>3890</v>
      </c>
      <c r="I3897" s="444">
        <f t="shared" ca="1" si="160"/>
        <v>-8541523375333.4365</v>
      </c>
      <c r="J3897" s="444">
        <f t="array" ref="J3897">IFERROR(INDEX('Retirement Calculator'!K:K,MATCH('Lorri 401b'!N3897,'Retirement Calculator'!A:A,0),0),0)</f>
        <v>0</v>
      </c>
      <c r="K3897" s="444">
        <f t="shared" ca="1" si="158"/>
        <v>-35589680730.555984</v>
      </c>
      <c r="L3897" s="444">
        <f t="shared" ca="1" si="159"/>
        <v>-8577113056063.9922</v>
      </c>
      <c r="M3897" s="460">
        <f t="shared" si="161"/>
        <v>0.05</v>
      </c>
      <c r="N3897" s="464">
        <f t="shared" si="162"/>
        <v>169656</v>
      </c>
    </row>
    <row r="3898" spans="7:14" ht="11.25" customHeight="1" x14ac:dyDescent="0.25">
      <c r="G3898" s="459"/>
      <c r="H3898" s="459">
        <v>3891</v>
      </c>
      <c r="I3898" s="444">
        <f t="shared" ca="1" si="160"/>
        <v>-8577113056063.9922</v>
      </c>
      <c r="J3898" s="444">
        <f t="array" ref="J3898">IFERROR(INDEX('Retirement Calculator'!K:K,MATCH('Lorri 401b'!N3898,'Retirement Calculator'!A:A,0),0),0)</f>
        <v>0</v>
      </c>
      <c r="K3898" s="444">
        <f t="shared" ca="1" si="158"/>
        <v>-35737971066.933304</v>
      </c>
      <c r="L3898" s="444">
        <f t="shared" ca="1" si="159"/>
        <v>-8612851027130.9258</v>
      </c>
      <c r="M3898" s="460">
        <f t="shared" si="161"/>
        <v>0.05</v>
      </c>
      <c r="N3898" s="464">
        <f t="shared" si="162"/>
        <v>169687</v>
      </c>
    </row>
    <row r="3899" spans="7:14" ht="11.25" customHeight="1" x14ac:dyDescent="0.25">
      <c r="G3899" s="459"/>
      <c r="H3899" s="459">
        <v>3892</v>
      </c>
      <c r="I3899" s="444">
        <f t="shared" ca="1" si="160"/>
        <v>-8612851027130.9258</v>
      </c>
      <c r="J3899" s="444">
        <f t="array" ref="J3899">IFERROR(INDEX('Retirement Calculator'!K:K,MATCH('Lorri 401b'!N3899,'Retirement Calculator'!A:A,0),0),0)</f>
        <v>0</v>
      </c>
      <c r="K3899" s="444">
        <f t="shared" ca="1" si="158"/>
        <v>-35886879279.712189</v>
      </c>
      <c r="L3899" s="444">
        <f t="shared" ca="1" si="159"/>
        <v>-8648737906410.6377</v>
      </c>
      <c r="M3899" s="460">
        <f t="shared" si="161"/>
        <v>0.05</v>
      </c>
      <c r="N3899" s="464">
        <f t="shared" si="162"/>
        <v>169718</v>
      </c>
    </row>
    <row r="3900" spans="7:14" ht="11.25" customHeight="1" x14ac:dyDescent="0.25">
      <c r="G3900" s="459"/>
      <c r="H3900" s="459">
        <v>3893</v>
      </c>
      <c r="I3900" s="444">
        <f t="shared" ca="1" si="160"/>
        <v>-8648737906410.6377</v>
      </c>
      <c r="J3900" s="444">
        <f t="array" ref="J3900">IFERROR(INDEX('Retirement Calculator'!K:K,MATCH('Lorri 401b'!N3900,'Retirement Calculator'!A:A,0),0),0)</f>
        <v>0</v>
      </c>
      <c r="K3900" s="444">
        <f t="shared" ca="1" si="158"/>
        <v>-36036407943.377655</v>
      </c>
      <c r="L3900" s="444">
        <f t="shared" ca="1" si="159"/>
        <v>-8684774314354.0156</v>
      </c>
      <c r="M3900" s="460">
        <f t="shared" si="161"/>
        <v>0.05</v>
      </c>
      <c r="N3900" s="464">
        <f t="shared" si="162"/>
        <v>169748</v>
      </c>
    </row>
    <row r="3901" spans="7:14" ht="11.25" customHeight="1" x14ac:dyDescent="0.25">
      <c r="G3901" s="459"/>
      <c r="H3901" s="459">
        <v>3894</v>
      </c>
      <c r="I3901" s="444">
        <f t="shared" ca="1" si="160"/>
        <v>-8684774314354.0156</v>
      </c>
      <c r="J3901" s="444">
        <f t="array" ref="J3901">IFERROR(INDEX('Retirement Calculator'!K:K,MATCH('Lorri 401b'!N3901,'Retirement Calculator'!A:A,0),0),0)</f>
        <v>0</v>
      </c>
      <c r="K3901" s="444">
        <f t="shared" ca="1" si="158"/>
        <v>-36186559643.141731</v>
      </c>
      <c r="L3901" s="444">
        <f t="shared" ca="1" si="159"/>
        <v>-8720960873997.1572</v>
      </c>
      <c r="M3901" s="460">
        <f t="shared" si="161"/>
        <v>0.05</v>
      </c>
      <c r="N3901" s="464">
        <f t="shared" si="162"/>
        <v>169779</v>
      </c>
    </row>
    <row r="3902" spans="7:14" ht="11.25" customHeight="1" x14ac:dyDescent="0.25">
      <c r="G3902" s="459"/>
      <c r="H3902" s="459">
        <v>3895</v>
      </c>
      <c r="I3902" s="444">
        <f t="shared" ca="1" si="160"/>
        <v>-8720960873997.1572</v>
      </c>
      <c r="J3902" s="444">
        <f t="array" ref="J3902">IFERROR(INDEX('Retirement Calculator'!K:K,MATCH('Lorri 401b'!N3902,'Retirement Calculator'!A:A,0),0),0)</f>
        <v>0</v>
      </c>
      <c r="K3902" s="444">
        <f t="shared" ca="1" si="158"/>
        <v>-36337336974.988152</v>
      </c>
      <c r="L3902" s="444">
        <f t="shared" ca="1" si="159"/>
        <v>-8757298210972.1455</v>
      </c>
      <c r="M3902" s="460">
        <f t="shared" si="161"/>
        <v>0.05</v>
      </c>
      <c r="N3902" s="464">
        <f t="shared" si="162"/>
        <v>169809</v>
      </c>
    </row>
    <row r="3903" spans="7:14" ht="11.25" customHeight="1" x14ac:dyDescent="0.25">
      <c r="G3903" s="459"/>
      <c r="H3903" s="459">
        <v>3896</v>
      </c>
      <c r="I3903" s="444">
        <f t="shared" ca="1" si="160"/>
        <v>-8757298210972.1455</v>
      </c>
      <c r="J3903" s="444">
        <f t="array" ref="J3903">IFERROR(INDEX('Retirement Calculator'!K:K,MATCH('Lorri 401b'!N3903,'Retirement Calculator'!A:A,0),0),0)</f>
        <v>0</v>
      </c>
      <c r="K3903" s="444">
        <f t="shared" ca="1" si="158"/>
        <v>-36488742545.71727</v>
      </c>
      <c r="L3903" s="444">
        <f t="shared" ca="1" si="159"/>
        <v>-8793786953517.8623</v>
      </c>
      <c r="M3903" s="460">
        <f t="shared" si="161"/>
        <v>0.05</v>
      </c>
      <c r="N3903" s="464">
        <f t="shared" si="162"/>
        <v>169840</v>
      </c>
    </row>
    <row r="3904" spans="7:14" ht="11.25" customHeight="1" x14ac:dyDescent="0.25">
      <c r="G3904" s="459"/>
      <c r="H3904" s="459">
        <v>3897</v>
      </c>
      <c r="I3904" s="444">
        <f t="shared" ca="1" si="160"/>
        <v>-8793786953517.8623</v>
      </c>
      <c r="J3904" s="444">
        <f t="array" ref="J3904">IFERROR(INDEX('Retirement Calculator'!K:K,MATCH('Lorri 401b'!N3904,'Retirement Calculator'!A:A,0),0),0)</f>
        <v>0</v>
      </c>
      <c r="K3904" s="444">
        <f t="shared" ca="1" si="158"/>
        <v>-36640778972.991089</v>
      </c>
      <c r="L3904" s="444">
        <f t="shared" ca="1" si="159"/>
        <v>-8830427732490.8535</v>
      </c>
      <c r="M3904" s="460">
        <f t="shared" si="161"/>
        <v>0.05</v>
      </c>
      <c r="N3904" s="464">
        <f t="shared" si="162"/>
        <v>169871</v>
      </c>
    </row>
    <row r="3905" spans="7:14" ht="11.25" customHeight="1" x14ac:dyDescent="0.25">
      <c r="G3905" s="459"/>
      <c r="H3905" s="459">
        <v>3898</v>
      </c>
      <c r="I3905" s="444">
        <f t="shared" ca="1" si="160"/>
        <v>-8830427732490.8535</v>
      </c>
      <c r="J3905" s="444">
        <f t="array" ref="J3905">IFERROR(INDEX('Retirement Calculator'!K:K,MATCH('Lorri 401b'!N3905,'Retirement Calculator'!A:A,0),0),0)</f>
        <v>0</v>
      </c>
      <c r="K3905" s="444">
        <f t="shared" ca="1" si="158"/>
        <v>-36793448885.378555</v>
      </c>
      <c r="L3905" s="444">
        <f t="shared" ca="1" si="159"/>
        <v>-8867221181376.2324</v>
      </c>
      <c r="M3905" s="460">
        <f t="shared" si="161"/>
        <v>0.05</v>
      </c>
      <c r="N3905" s="464">
        <f t="shared" si="162"/>
        <v>169899</v>
      </c>
    </row>
    <row r="3906" spans="7:14" ht="11.25" customHeight="1" x14ac:dyDescent="0.25">
      <c r="G3906" s="459"/>
      <c r="H3906" s="459">
        <v>3899</v>
      </c>
      <c r="I3906" s="444">
        <f t="shared" ca="1" si="160"/>
        <v>-8867221181376.2324</v>
      </c>
      <c r="J3906" s="444">
        <f t="array" ref="J3906">IFERROR(INDEX('Retirement Calculator'!K:K,MATCH('Lorri 401b'!N3906,'Retirement Calculator'!A:A,0),0),0)</f>
        <v>0</v>
      </c>
      <c r="K3906" s="444">
        <f t="shared" ca="1" si="158"/>
        <v>-36946754922.40097</v>
      </c>
      <c r="L3906" s="444">
        <f t="shared" ca="1" si="159"/>
        <v>-8904167936298.6328</v>
      </c>
      <c r="M3906" s="460">
        <f t="shared" si="161"/>
        <v>0.05</v>
      </c>
      <c r="N3906" s="464">
        <f t="shared" si="162"/>
        <v>169930</v>
      </c>
    </row>
    <row r="3907" spans="7:14" ht="11.25" customHeight="1" x14ac:dyDescent="0.25">
      <c r="G3907" s="459"/>
      <c r="H3907" s="459">
        <v>3900</v>
      </c>
      <c r="I3907" s="444">
        <f t="shared" ca="1" si="160"/>
        <v>-8904167936298.6328</v>
      </c>
      <c r="J3907" s="444">
        <f t="array" ref="J3907">IFERROR(INDEX('Retirement Calculator'!K:K,MATCH('Lorri 401b'!N3907,'Retirement Calculator'!A:A,0),0),0)</f>
        <v>0</v>
      </c>
      <c r="K3907" s="444">
        <f t="shared" ca="1" si="158"/>
        <v>-37100699734.577637</v>
      </c>
      <c r="L3907" s="444">
        <f t="shared" ca="1" si="159"/>
        <v>-8941268636033.2109</v>
      </c>
      <c r="M3907" s="460">
        <f t="shared" si="161"/>
        <v>0.05</v>
      </c>
      <c r="N3907" s="464">
        <f t="shared" si="162"/>
        <v>169960</v>
      </c>
    </row>
    <row r="3908" spans="7:14" ht="11.25" customHeight="1" x14ac:dyDescent="0.25">
      <c r="G3908" s="459"/>
      <c r="H3908" s="459">
        <v>3901</v>
      </c>
      <c r="I3908" s="444">
        <f t="shared" ca="1" si="160"/>
        <v>-8941268636033.2109</v>
      </c>
      <c r="J3908" s="444">
        <f t="array" ref="J3908">IFERROR(INDEX('Retirement Calculator'!K:K,MATCH('Lorri 401b'!N3908,'Retirement Calculator'!A:A,0),0),0)</f>
        <v>0</v>
      </c>
      <c r="K3908" s="444">
        <f t="shared" ca="1" si="158"/>
        <v>-37255285983.47171</v>
      </c>
      <c r="L3908" s="444">
        <f t="shared" ca="1" si="159"/>
        <v>-8978523922016.6836</v>
      </c>
      <c r="M3908" s="460">
        <f t="shared" si="161"/>
        <v>0.05</v>
      </c>
      <c r="N3908" s="464">
        <f t="shared" si="162"/>
        <v>169991</v>
      </c>
    </row>
    <row r="3909" spans="7:14" ht="11.25" customHeight="1" x14ac:dyDescent="0.25">
      <c r="G3909" s="459"/>
      <c r="H3909" s="459">
        <v>3902</v>
      </c>
      <c r="I3909" s="444">
        <f t="shared" ca="1" si="160"/>
        <v>-8978523922016.6836</v>
      </c>
      <c r="J3909" s="444">
        <f t="array" ref="J3909">IFERROR(INDEX('Retirement Calculator'!K:K,MATCH('Lorri 401b'!N3909,'Retirement Calculator'!A:A,0),0),0)</f>
        <v>0</v>
      </c>
      <c r="K3909" s="444">
        <f t="shared" ca="1" si="158"/>
        <v>-37410516341.736183</v>
      </c>
      <c r="L3909" s="444">
        <f t="shared" ca="1" si="159"/>
        <v>-9015934438358.4199</v>
      </c>
      <c r="M3909" s="460">
        <f t="shared" si="161"/>
        <v>0.05</v>
      </c>
      <c r="N3909" s="464">
        <f t="shared" si="162"/>
        <v>170021</v>
      </c>
    </row>
    <row r="3910" spans="7:14" ht="11.25" customHeight="1" x14ac:dyDescent="0.25">
      <c r="G3910" s="459"/>
      <c r="H3910" s="459">
        <v>3903</v>
      </c>
      <c r="I3910" s="444">
        <f t="shared" ca="1" si="160"/>
        <v>-9015934438358.4199</v>
      </c>
      <c r="J3910" s="444">
        <f t="array" ref="J3910">IFERROR(INDEX('Retirement Calculator'!K:K,MATCH('Lorri 401b'!N3910,'Retirement Calculator'!A:A,0),0),0)</f>
        <v>0</v>
      </c>
      <c r="K3910" s="444">
        <f t="shared" ca="1" si="158"/>
        <v>-37566393493.16008</v>
      </c>
      <c r="L3910" s="444">
        <f t="shared" ca="1" si="159"/>
        <v>-9053500831851.5801</v>
      </c>
      <c r="M3910" s="460">
        <f t="shared" si="161"/>
        <v>0.05</v>
      </c>
      <c r="N3910" s="464">
        <f t="shared" si="162"/>
        <v>170052</v>
      </c>
    </row>
    <row r="3911" spans="7:14" ht="11.25" customHeight="1" x14ac:dyDescent="0.25">
      <c r="G3911" s="459"/>
      <c r="H3911" s="459">
        <v>3904</v>
      </c>
      <c r="I3911" s="444">
        <f t="shared" ca="1" si="160"/>
        <v>-9053500831851.5801</v>
      </c>
      <c r="J3911" s="444">
        <f t="array" ref="J3911">IFERROR(INDEX('Retirement Calculator'!K:K,MATCH('Lorri 401b'!N3911,'Retirement Calculator'!A:A,0),0),0)</f>
        <v>0</v>
      </c>
      <c r="K3911" s="444">
        <f t="shared" ca="1" si="158"/>
        <v>-37722920132.71492</v>
      </c>
      <c r="L3911" s="444">
        <f t="shared" ca="1" si="159"/>
        <v>-9091223751984.2949</v>
      </c>
      <c r="M3911" s="460">
        <f t="shared" si="161"/>
        <v>0.05</v>
      </c>
      <c r="N3911" s="464">
        <f t="shared" si="162"/>
        <v>170083</v>
      </c>
    </row>
    <row r="3912" spans="7:14" ht="11.25" customHeight="1" x14ac:dyDescent="0.25">
      <c r="G3912" s="459"/>
      <c r="H3912" s="459">
        <v>3905</v>
      </c>
      <c r="I3912" s="444">
        <f t="shared" ca="1" si="160"/>
        <v>-9091223751984.2949</v>
      </c>
      <c r="J3912" s="444">
        <f t="array" ref="J3912">IFERROR(INDEX('Retirement Calculator'!K:K,MATCH('Lorri 401b'!N3912,'Retirement Calculator'!A:A,0),0),0)</f>
        <v>0</v>
      </c>
      <c r="K3912" s="444">
        <f t="shared" ca="1" si="158"/>
        <v>-37880098966.601227</v>
      </c>
      <c r="L3912" s="444">
        <f t="shared" ca="1" si="159"/>
        <v>-9129103850950.8965</v>
      </c>
      <c r="M3912" s="460">
        <f t="shared" si="161"/>
        <v>0.05</v>
      </c>
      <c r="N3912" s="464">
        <f t="shared" si="162"/>
        <v>170113</v>
      </c>
    </row>
    <row r="3913" spans="7:14" ht="11.25" customHeight="1" x14ac:dyDescent="0.25">
      <c r="G3913" s="459"/>
      <c r="H3913" s="459">
        <v>3906</v>
      </c>
      <c r="I3913" s="444">
        <f t="shared" ca="1" si="160"/>
        <v>-9129103850950.8965</v>
      </c>
      <c r="J3913" s="444">
        <f t="array" ref="J3913">IFERROR(INDEX('Retirement Calculator'!K:K,MATCH('Lorri 401b'!N3913,'Retirement Calculator'!A:A,0),0),0)</f>
        <v>0</v>
      </c>
      <c r="K3913" s="444">
        <f t="shared" ca="1" si="158"/>
        <v>-38037932712.295403</v>
      </c>
      <c r="L3913" s="444">
        <f t="shared" ca="1" si="159"/>
        <v>-9167141783663.1914</v>
      </c>
      <c r="M3913" s="460">
        <f t="shared" si="161"/>
        <v>0.05</v>
      </c>
      <c r="N3913" s="464">
        <f t="shared" si="162"/>
        <v>170144</v>
      </c>
    </row>
    <row r="3914" spans="7:14" ht="11.25" customHeight="1" x14ac:dyDescent="0.25">
      <c r="G3914" s="459"/>
      <c r="H3914" s="459">
        <v>3907</v>
      </c>
      <c r="I3914" s="444">
        <f t="shared" ca="1" si="160"/>
        <v>-9167141783663.1914</v>
      </c>
      <c r="J3914" s="444">
        <f t="array" ref="J3914">IFERROR(INDEX('Retirement Calculator'!K:K,MATCH('Lorri 401b'!N3914,'Retirement Calculator'!A:A,0),0),0)</f>
        <v>0</v>
      </c>
      <c r="K3914" s="444">
        <f t="shared" ca="1" si="158"/>
        <v>-38196424098.596634</v>
      </c>
      <c r="L3914" s="444">
        <f t="shared" ca="1" si="159"/>
        <v>-9205338207761.7871</v>
      </c>
      <c r="M3914" s="460">
        <f t="shared" si="161"/>
        <v>0.05</v>
      </c>
      <c r="N3914" s="464">
        <f t="shared" si="162"/>
        <v>170174</v>
      </c>
    </row>
    <row r="3915" spans="7:14" ht="11.25" customHeight="1" x14ac:dyDescent="0.25">
      <c r="G3915" s="459"/>
      <c r="H3915" s="459">
        <v>3908</v>
      </c>
      <c r="I3915" s="444">
        <f t="shared" ca="1" si="160"/>
        <v>-9205338207761.7871</v>
      </c>
      <c r="J3915" s="444">
        <f t="array" ref="J3915">IFERROR(INDEX('Retirement Calculator'!K:K,MATCH('Lorri 401b'!N3915,'Retirement Calculator'!A:A,0),0),0)</f>
        <v>0</v>
      </c>
      <c r="K3915" s="444">
        <f t="shared" ca="1" si="158"/>
        <v>-38355575865.67411</v>
      </c>
      <c r="L3915" s="444">
        <f t="shared" ca="1" si="159"/>
        <v>-9243693783627.4609</v>
      </c>
      <c r="M3915" s="460">
        <f t="shared" si="161"/>
        <v>0.05</v>
      </c>
      <c r="N3915" s="464">
        <f t="shared" si="162"/>
        <v>170205</v>
      </c>
    </row>
    <row r="3916" spans="7:14" ht="11.25" customHeight="1" x14ac:dyDescent="0.25">
      <c r="G3916" s="459"/>
      <c r="H3916" s="459">
        <v>3909</v>
      </c>
      <c r="I3916" s="444">
        <f t="shared" ca="1" si="160"/>
        <v>-9243693783627.4609</v>
      </c>
      <c r="J3916" s="444">
        <f t="array" ref="J3916">IFERROR(INDEX('Retirement Calculator'!K:K,MATCH('Lorri 401b'!N3916,'Retirement Calculator'!A:A,0),0),0)</f>
        <v>0</v>
      </c>
      <c r="K3916" s="444">
        <f t="shared" ca="1" si="158"/>
        <v>-38515390765.114418</v>
      </c>
      <c r="L3916" s="444">
        <f t="shared" ca="1" si="159"/>
        <v>-9282209174392.5762</v>
      </c>
      <c r="M3916" s="460">
        <f t="shared" si="161"/>
        <v>0.05</v>
      </c>
      <c r="N3916" s="464">
        <f t="shared" si="162"/>
        <v>170236</v>
      </c>
    </row>
    <row r="3917" spans="7:14" ht="11.25" customHeight="1" x14ac:dyDescent="0.25">
      <c r="G3917" s="459"/>
      <c r="H3917" s="459">
        <v>3910</v>
      </c>
      <c r="I3917" s="444">
        <f t="shared" ca="1" si="160"/>
        <v>-9282209174392.5762</v>
      </c>
      <c r="J3917" s="444">
        <f t="array" ref="J3917">IFERROR(INDEX('Retirement Calculator'!K:K,MATCH('Lorri 401b'!N3917,'Retirement Calculator'!A:A,0),0),0)</f>
        <v>0</v>
      </c>
      <c r="K3917" s="444">
        <f t="shared" ca="1" si="158"/>
        <v>-38675871559.96907</v>
      </c>
      <c r="L3917" s="444">
        <f t="shared" ca="1" si="159"/>
        <v>-9320885045952.5449</v>
      </c>
      <c r="M3917" s="460">
        <f t="shared" si="161"/>
        <v>0.05</v>
      </c>
      <c r="N3917" s="464">
        <f t="shared" si="162"/>
        <v>170264</v>
      </c>
    </row>
    <row r="3918" spans="7:14" ht="11.25" customHeight="1" x14ac:dyDescent="0.25">
      <c r="G3918" s="459"/>
      <c r="H3918" s="459">
        <v>3911</v>
      </c>
      <c r="I3918" s="444">
        <f t="shared" ca="1" si="160"/>
        <v>-9320885045952.5449</v>
      </c>
      <c r="J3918" s="444">
        <f t="array" ref="J3918">IFERROR(INDEX('Retirement Calculator'!K:K,MATCH('Lorri 401b'!N3918,'Retirement Calculator'!A:A,0),0),0)</f>
        <v>0</v>
      </c>
      <c r="K3918" s="444">
        <f t="shared" ca="1" si="158"/>
        <v>-38837021024.802269</v>
      </c>
      <c r="L3918" s="444">
        <f t="shared" ca="1" si="159"/>
        <v>-9359722066977.3477</v>
      </c>
      <c r="M3918" s="460">
        <f t="shared" si="161"/>
        <v>0.05</v>
      </c>
      <c r="N3918" s="464">
        <f t="shared" si="162"/>
        <v>170295</v>
      </c>
    </row>
    <row r="3919" spans="7:14" ht="11.25" customHeight="1" x14ac:dyDescent="0.25">
      <c r="G3919" s="459"/>
      <c r="H3919" s="459">
        <v>3912</v>
      </c>
      <c r="I3919" s="444">
        <f t="shared" ca="1" si="160"/>
        <v>-9359722066977.3477</v>
      </c>
      <c r="J3919" s="444">
        <f t="array" ref="J3919">IFERROR(INDEX('Retirement Calculator'!K:K,MATCH('Lorri 401b'!N3919,'Retirement Calculator'!A:A,0),0),0)</f>
        <v>0</v>
      </c>
      <c r="K3919" s="444">
        <f t="shared" ca="1" si="158"/>
        <v>-38998841945.738945</v>
      </c>
      <c r="L3919" s="444">
        <f t="shared" ca="1" si="159"/>
        <v>-9398720908923.0859</v>
      </c>
      <c r="M3919" s="460">
        <f t="shared" si="161"/>
        <v>0.05</v>
      </c>
      <c r="N3919" s="464">
        <f t="shared" si="162"/>
        <v>170325</v>
      </c>
    </row>
    <row r="3920" spans="7:14" ht="11.25" customHeight="1" x14ac:dyDescent="0.25">
      <c r="G3920" s="459"/>
      <c r="H3920" s="459">
        <v>3913</v>
      </c>
      <c r="I3920" s="444">
        <f t="shared" ca="1" si="160"/>
        <v>-9398720908923.0859</v>
      </c>
      <c r="J3920" s="444">
        <f t="array" ref="J3920">IFERROR(INDEX('Retirement Calculator'!K:K,MATCH('Lorri 401b'!N3920,'Retirement Calculator'!A:A,0),0),0)</f>
        <v>0</v>
      </c>
      <c r="K3920" s="444">
        <f t="shared" ca="1" si="158"/>
        <v>-39161337120.512856</v>
      </c>
      <c r="L3920" s="444">
        <f t="shared" ca="1" si="159"/>
        <v>-9437882246043.5996</v>
      </c>
      <c r="M3920" s="460">
        <f t="shared" si="161"/>
        <v>0.05</v>
      </c>
      <c r="N3920" s="464">
        <f t="shared" si="162"/>
        <v>170356</v>
      </c>
    </row>
    <row r="3921" spans="7:14" ht="11.25" customHeight="1" x14ac:dyDescent="0.25">
      <c r="G3921" s="459"/>
      <c r="H3921" s="459">
        <v>3914</v>
      </c>
      <c r="I3921" s="444">
        <f t="shared" ca="1" si="160"/>
        <v>-9437882246043.5996</v>
      </c>
      <c r="J3921" s="444">
        <f t="array" ref="J3921">IFERROR(INDEX('Retirement Calculator'!K:K,MATCH('Lorri 401b'!N3921,'Retirement Calculator'!A:A,0),0),0)</f>
        <v>0</v>
      </c>
      <c r="K3921" s="444">
        <f t="shared" ca="1" si="158"/>
        <v>-39324509358.514999</v>
      </c>
      <c r="L3921" s="444">
        <f t="shared" ca="1" si="159"/>
        <v>-9477206755402.1152</v>
      </c>
      <c r="M3921" s="460">
        <f t="shared" si="161"/>
        <v>0.05</v>
      </c>
      <c r="N3921" s="464">
        <f t="shared" si="162"/>
        <v>170386</v>
      </c>
    </row>
    <row r="3922" spans="7:14" ht="11.25" customHeight="1" x14ac:dyDescent="0.25">
      <c r="G3922" s="459"/>
      <c r="H3922" s="459">
        <v>3915</v>
      </c>
      <c r="I3922" s="444">
        <f t="shared" ca="1" si="160"/>
        <v>-9477206755402.1152</v>
      </c>
      <c r="J3922" s="444">
        <f t="array" ref="J3922">IFERROR(INDEX('Retirement Calculator'!K:K,MATCH('Lorri 401b'!N3922,'Retirement Calculator'!A:A,0),0),0)</f>
        <v>0</v>
      </c>
      <c r="K3922" s="444">
        <f t="shared" ca="1" si="158"/>
        <v>-39488361480.842148</v>
      </c>
      <c r="L3922" s="444">
        <f t="shared" ca="1" si="159"/>
        <v>-9516695116882.957</v>
      </c>
      <c r="M3922" s="460">
        <f t="shared" si="161"/>
        <v>0.05</v>
      </c>
      <c r="N3922" s="464">
        <f t="shared" si="162"/>
        <v>170417</v>
      </c>
    </row>
    <row r="3923" spans="7:14" ht="11.25" customHeight="1" x14ac:dyDescent="0.25">
      <c r="G3923" s="459"/>
      <c r="H3923" s="459">
        <v>3916</v>
      </c>
      <c r="I3923" s="444">
        <f t="shared" ca="1" si="160"/>
        <v>-9516695116882.957</v>
      </c>
      <c r="J3923" s="444">
        <f t="array" ref="J3923">IFERROR(INDEX('Retirement Calculator'!K:K,MATCH('Lorri 401b'!N3923,'Retirement Calculator'!A:A,0),0),0)</f>
        <v>0</v>
      </c>
      <c r="K3923" s="444">
        <f t="shared" ca="1" si="158"/>
        <v>-39652896320.345657</v>
      </c>
      <c r="L3923" s="444">
        <f t="shared" ca="1" si="159"/>
        <v>-9556348013203.3027</v>
      </c>
      <c r="M3923" s="460">
        <f t="shared" si="161"/>
        <v>0.05</v>
      </c>
      <c r="N3923" s="464">
        <f t="shared" si="162"/>
        <v>170448</v>
      </c>
    </row>
    <row r="3924" spans="7:14" ht="11.25" customHeight="1" x14ac:dyDescent="0.25">
      <c r="G3924" s="459"/>
      <c r="H3924" s="459">
        <v>3917</v>
      </c>
      <c r="I3924" s="444">
        <f t="shared" ca="1" si="160"/>
        <v>-9556348013203.3027</v>
      </c>
      <c r="J3924" s="444">
        <f t="array" ref="J3924">IFERROR(INDEX('Retirement Calculator'!K:K,MATCH('Lorri 401b'!N3924,'Retirement Calculator'!A:A,0),0),0)</f>
        <v>0</v>
      </c>
      <c r="K3924" s="444">
        <f t="shared" ca="1" si="158"/>
        <v>-39818116721.680428</v>
      </c>
      <c r="L3924" s="444">
        <f t="shared" ca="1" si="159"/>
        <v>-9596166129924.9824</v>
      </c>
      <c r="M3924" s="460">
        <f t="shared" si="161"/>
        <v>0.05</v>
      </c>
      <c r="N3924" s="464">
        <f t="shared" si="162"/>
        <v>170478</v>
      </c>
    </row>
    <row r="3925" spans="7:14" ht="11.25" customHeight="1" x14ac:dyDescent="0.25">
      <c r="G3925" s="459"/>
      <c r="H3925" s="459">
        <v>3918</v>
      </c>
      <c r="I3925" s="444">
        <f t="shared" ca="1" si="160"/>
        <v>-9596166129924.9824</v>
      </c>
      <c r="J3925" s="444">
        <f t="array" ref="J3925">IFERROR(INDEX('Retirement Calculator'!K:K,MATCH('Lorri 401b'!N3925,'Retirement Calculator'!A:A,0),0),0)</f>
        <v>0</v>
      </c>
      <c r="K3925" s="444">
        <f t="shared" ca="1" si="158"/>
        <v>-39984025541.354095</v>
      </c>
      <c r="L3925" s="444">
        <f t="shared" ca="1" si="159"/>
        <v>-9636150155466.3359</v>
      </c>
      <c r="M3925" s="460">
        <f t="shared" si="161"/>
        <v>0.05</v>
      </c>
      <c r="N3925" s="464">
        <f t="shared" si="162"/>
        <v>170509</v>
      </c>
    </row>
    <row r="3926" spans="7:14" ht="11.25" customHeight="1" x14ac:dyDescent="0.25">
      <c r="G3926" s="459"/>
      <c r="H3926" s="459">
        <v>3919</v>
      </c>
      <c r="I3926" s="444">
        <f t="shared" ca="1" si="160"/>
        <v>-9636150155466.3359</v>
      </c>
      <c r="J3926" s="444">
        <f t="array" ref="J3926">IFERROR(INDEX('Retirement Calculator'!K:K,MATCH('Lorri 401b'!N3926,'Retirement Calculator'!A:A,0),0),0)</f>
        <v>0</v>
      </c>
      <c r="K3926" s="444">
        <f t="shared" ca="1" si="158"/>
        <v>-40150625647.776398</v>
      </c>
      <c r="L3926" s="444">
        <f t="shared" ca="1" si="159"/>
        <v>-9676300781114.1133</v>
      </c>
      <c r="M3926" s="460">
        <f t="shared" si="161"/>
        <v>0.05</v>
      </c>
      <c r="N3926" s="464">
        <f t="shared" si="162"/>
        <v>170539</v>
      </c>
    </row>
    <row r="3927" spans="7:14" ht="11.25" customHeight="1" x14ac:dyDescent="0.25">
      <c r="G3927" s="459"/>
      <c r="H3927" s="459">
        <v>3920</v>
      </c>
      <c r="I3927" s="444">
        <f t="shared" ca="1" si="160"/>
        <v>-9676300781114.1133</v>
      </c>
      <c r="J3927" s="444">
        <f t="array" ref="J3927">IFERROR(INDEX('Retirement Calculator'!K:K,MATCH('Lorri 401b'!N3927,'Retirement Calculator'!A:A,0),0),0)</f>
        <v>0</v>
      </c>
      <c r="K3927" s="444">
        <f t="shared" ca="1" si="158"/>
        <v>-40317919921.308807</v>
      </c>
      <c r="L3927" s="444">
        <f t="shared" ca="1" si="159"/>
        <v>-9716618701035.4219</v>
      </c>
      <c r="M3927" s="460">
        <f t="shared" si="161"/>
        <v>0.05</v>
      </c>
      <c r="N3927" s="464">
        <f t="shared" si="162"/>
        <v>170570</v>
      </c>
    </row>
    <row r="3928" spans="7:14" ht="11.25" customHeight="1" x14ac:dyDescent="0.25">
      <c r="G3928" s="459"/>
      <c r="H3928" s="459">
        <v>3921</v>
      </c>
      <c r="I3928" s="444">
        <f t="shared" ca="1" si="160"/>
        <v>-9716618701035.4219</v>
      </c>
      <c r="J3928" s="444">
        <f t="array" ref="J3928">IFERROR(INDEX('Retirement Calculator'!K:K,MATCH('Lorri 401b'!N3928,'Retirement Calculator'!A:A,0),0),0)</f>
        <v>0</v>
      </c>
      <c r="K3928" s="444">
        <f t="shared" ca="1" si="158"/>
        <v>-40485911254.314255</v>
      </c>
      <c r="L3928" s="444">
        <f t="shared" ca="1" si="159"/>
        <v>-9757104612289.7363</v>
      </c>
      <c r="M3928" s="460">
        <f t="shared" si="161"/>
        <v>0.05</v>
      </c>
      <c r="N3928" s="464">
        <f t="shared" si="162"/>
        <v>170601</v>
      </c>
    </row>
    <row r="3929" spans="7:14" ht="11.25" customHeight="1" x14ac:dyDescent="0.25">
      <c r="G3929" s="459"/>
      <c r="H3929" s="459">
        <v>3922</v>
      </c>
      <c r="I3929" s="444">
        <f t="shared" ca="1" si="160"/>
        <v>-9757104612289.7363</v>
      </c>
      <c r="J3929" s="444">
        <f t="array" ref="J3929">IFERROR(INDEX('Retirement Calculator'!K:K,MATCH('Lorri 401b'!N3929,'Retirement Calculator'!A:A,0),0),0)</f>
        <v>0</v>
      </c>
      <c r="K3929" s="444">
        <f t="shared" ca="1" si="158"/>
        <v>-40654602551.207237</v>
      </c>
      <c r="L3929" s="444">
        <f t="shared" ca="1" si="159"/>
        <v>-9797759214840.9434</v>
      </c>
      <c r="M3929" s="460">
        <f t="shared" si="161"/>
        <v>0.05</v>
      </c>
      <c r="N3929" s="464">
        <f t="shared" si="162"/>
        <v>170629</v>
      </c>
    </row>
    <row r="3930" spans="7:14" ht="11.25" customHeight="1" x14ac:dyDescent="0.25">
      <c r="G3930" s="459"/>
      <c r="H3930" s="459">
        <v>3923</v>
      </c>
      <c r="I3930" s="444">
        <f t="shared" ca="1" si="160"/>
        <v>-9797759214840.9434</v>
      </c>
      <c r="J3930" s="444">
        <f t="array" ref="J3930">IFERROR(INDEX('Retirement Calculator'!K:K,MATCH('Lorri 401b'!N3930,'Retirement Calculator'!A:A,0),0),0)</f>
        <v>0</v>
      </c>
      <c r="K3930" s="444">
        <f t="shared" ca="1" si="158"/>
        <v>-40823996728.503929</v>
      </c>
      <c r="L3930" s="444">
        <f t="shared" ca="1" si="159"/>
        <v>-9838583211569.4473</v>
      </c>
      <c r="M3930" s="460">
        <f t="shared" si="161"/>
        <v>0.05</v>
      </c>
      <c r="N3930" s="464">
        <f t="shared" si="162"/>
        <v>170660</v>
      </c>
    </row>
    <row r="3931" spans="7:14" ht="11.25" customHeight="1" x14ac:dyDescent="0.25">
      <c r="G3931" s="459"/>
      <c r="H3931" s="459">
        <v>3924</v>
      </c>
      <c r="I3931" s="444">
        <f t="shared" ca="1" si="160"/>
        <v>-9838583211569.4473</v>
      </c>
      <c r="J3931" s="444">
        <f t="array" ref="J3931">IFERROR(INDEX('Retirement Calculator'!K:K,MATCH('Lorri 401b'!N3931,'Retirement Calculator'!A:A,0),0),0)</f>
        <v>0</v>
      </c>
      <c r="K3931" s="444">
        <f t="shared" ca="1" si="158"/>
        <v>-40994096714.872696</v>
      </c>
      <c r="L3931" s="444">
        <f t="shared" ca="1" si="159"/>
        <v>-9879577308284.3203</v>
      </c>
      <c r="M3931" s="460">
        <f t="shared" si="161"/>
        <v>0.05</v>
      </c>
      <c r="N3931" s="464">
        <f t="shared" si="162"/>
        <v>170690</v>
      </c>
    </row>
    <row r="3932" spans="7:14" ht="11.25" customHeight="1" x14ac:dyDescent="0.25">
      <c r="G3932" s="459"/>
      <c r="H3932" s="459">
        <v>3925</v>
      </c>
      <c r="I3932" s="444">
        <f t="shared" ca="1" si="160"/>
        <v>-9879577308284.3203</v>
      </c>
      <c r="J3932" s="444">
        <f t="array" ref="J3932">IFERROR(INDEX('Retirement Calculator'!K:K,MATCH('Lorri 401b'!N3932,'Retirement Calculator'!A:A,0),0),0)</f>
        <v>0</v>
      </c>
      <c r="K3932" s="444">
        <f t="shared" ca="1" si="158"/>
        <v>-41164905451.184669</v>
      </c>
      <c r="L3932" s="444">
        <f t="shared" ca="1" si="159"/>
        <v>-9920742213735.5059</v>
      </c>
      <c r="M3932" s="460">
        <f t="shared" si="161"/>
        <v>0.05</v>
      </c>
      <c r="N3932" s="464">
        <f t="shared" si="162"/>
        <v>170721</v>
      </c>
    </row>
    <row r="3933" spans="7:14" ht="11.25" customHeight="1" x14ac:dyDescent="0.25">
      <c r="G3933" s="459"/>
      <c r="H3933" s="459">
        <v>3926</v>
      </c>
      <c r="I3933" s="444">
        <f t="shared" ca="1" si="160"/>
        <v>-9920742213735.5059</v>
      </c>
      <c r="J3933" s="444">
        <f t="array" ref="J3933">IFERROR(INDEX('Retirement Calculator'!K:K,MATCH('Lorri 401b'!N3933,'Retirement Calculator'!A:A,0),0),0)</f>
        <v>0</v>
      </c>
      <c r="K3933" s="444">
        <f t="shared" ca="1" si="158"/>
        <v>-41336425890.564606</v>
      </c>
      <c r="L3933" s="444">
        <f t="shared" ca="1" si="159"/>
        <v>-9962078639626.0703</v>
      </c>
      <c r="M3933" s="460">
        <f t="shared" si="161"/>
        <v>0.05</v>
      </c>
      <c r="N3933" s="464">
        <f t="shared" si="162"/>
        <v>170751</v>
      </c>
    </row>
    <row r="3934" spans="7:14" ht="11.25" customHeight="1" x14ac:dyDescent="0.25">
      <c r="G3934" s="459"/>
      <c r="H3934" s="459">
        <v>3927</v>
      </c>
      <c r="I3934" s="444">
        <f t="shared" ca="1" si="160"/>
        <v>-9962078639626.0703</v>
      </c>
      <c r="J3934" s="444">
        <f t="array" ref="J3934">IFERROR(INDEX('Retirement Calculator'!K:K,MATCH('Lorri 401b'!N3934,'Retirement Calculator'!A:A,0),0),0)</f>
        <v>0</v>
      </c>
      <c r="K3934" s="444">
        <f t="shared" ca="1" si="158"/>
        <v>-41508660998.441956</v>
      </c>
      <c r="L3934" s="444">
        <f t="shared" ca="1" si="159"/>
        <v>-10003587300624.512</v>
      </c>
      <c r="M3934" s="460">
        <f t="shared" si="161"/>
        <v>0.05</v>
      </c>
      <c r="N3934" s="464">
        <f t="shared" si="162"/>
        <v>170782</v>
      </c>
    </row>
    <row r="3935" spans="7:14" ht="11.25" customHeight="1" x14ac:dyDescent="0.25">
      <c r="G3935" s="459"/>
      <c r="H3935" s="459">
        <v>3928</v>
      </c>
      <c r="I3935" s="444">
        <f t="shared" ca="1" si="160"/>
        <v>-10003587300624.512</v>
      </c>
      <c r="J3935" s="444">
        <f t="array" ref="J3935">IFERROR(INDEX('Retirement Calculator'!K:K,MATCH('Lorri 401b'!N3935,'Retirement Calculator'!A:A,0),0),0)</f>
        <v>0</v>
      </c>
      <c r="K3935" s="444">
        <f t="shared" ca="1" si="158"/>
        <v>-41681613752.602135</v>
      </c>
      <c r="L3935" s="444">
        <f t="shared" ca="1" si="159"/>
        <v>-10045268914377.113</v>
      </c>
      <c r="M3935" s="460">
        <f t="shared" si="161"/>
        <v>0.05</v>
      </c>
      <c r="N3935" s="464">
        <f t="shared" si="162"/>
        <v>170813</v>
      </c>
    </row>
    <row r="3936" spans="7:14" ht="11.25" customHeight="1" x14ac:dyDescent="0.25">
      <c r="G3936" s="459"/>
      <c r="H3936" s="459">
        <v>3929</v>
      </c>
      <c r="I3936" s="444">
        <f t="shared" ca="1" si="160"/>
        <v>-10045268914377.113</v>
      </c>
      <c r="J3936" s="444">
        <f t="array" ref="J3936">IFERROR(INDEX('Retirement Calculator'!K:K,MATCH('Lorri 401b'!N3936,'Retirement Calculator'!A:A,0),0),0)</f>
        <v>0</v>
      </c>
      <c r="K3936" s="444">
        <f t="shared" ca="1" si="158"/>
        <v>-41855287143.237968</v>
      </c>
      <c r="L3936" s="444">
        <f t="shared" ca="1" si="159"/>
        <v>-10087124201520.352</v>
      </c>
      <c r="M3936" s="460">
        <f t="shared" si="161"/>
        <v>0.05</v>
      </c>
      <c r="N3936" s="464">
        <f t="shared" si="162"/>
        <v>170843</v>
      </c>
    </row>
    <row r="3937" spans="7:14" ht="11.25" customHeight="1" x14ac:dyDescent="0.25">
      <c r="G3937" s="459"/>
      <c r="H3937" s="459">
        <v>3930</v>
      </c>
      <c r="I3937" s="444">
        <f t="shared" ca="1" si="160"/>
        <v>-10087124201520.352</v>
      </c>
      <c r="J3937" s="444">
        <f t="array" ref="J3937">IFERROR(INDEX('Retirement Calculator'!K:K,MATCH('Lorri 401b'!N3937,'Retirement Calculator'!A:A,0),0),0)</f>
        <v>0</v>
      </c>
      <c r="K3937" s="444">
        <f t="shared" ca="1" si="158"/>
        <v>-42029684173.001465</v>
      </c>
      <c r="L3937" s="444">
        <f t="shared" ca="1" si="159"/>
        <v>-10129153885693.354</v>
      </c>
      <c r="M3937" s="460">
        <f t="shared" si="161"/>
        <v>0.05</v>
      </c>
      <c r="N3937" s="464">
        <f t="shared" si="162"/>
        <v>170874</v>
      </c>
    </row>
    <row r="3938" spans="7:14" ht="11.25" customHeight="1" x14ac:dyDescent="0.25">
      <c r="G3938" s="459"/>
      <c r="H3938" s="459">
        <v>3931</v>
      </c>
      <c r="I3938" s="444">
        <f t="shared" ca="1" si="160"/>
        <v>-10129153885693.354</v>
      </c>
      <c r="J3938" s="444">
        <f t="array" ref="J3938">IFERROR(INDEX('Retirement Calculator'!K:K,MATCH('Lorri 401b'!N3938,'Retirement Calculator'!A:A,0),0),0)</f>
        <v>0</v>
      </c>
      <c r="K3938" s="444">
        <f t="shared" ca="1" si="158"/>
        <v>-42204807857.055641</v>
      </c>
      <c r="L3938" s="444">
        <f t="shared" ca="1" si="159"/>
        <v>-10171358693550.408</v>
      </c>
      <c r="M3938" s="460">
        <f t="shared" si="161"/>
        <v>0.05</v>
      </c>
      <c r="N3938" s="464">
        <f t="shared" si="162"/>
        <v>170904</v>
      </c>
    </row>
    <row r="3939" spans="7:14" ht="11.25" customHeight="1" x14ac:dyDescent="0.25">
      <c r="G3939" s="459"/>
      <c r="H3939" s="459">
        <v>3932</v>
      </c>
      <c r="I3939" s="444">
        <f t="shared" ca="1" si="160"/>
        <v>-10171358693550.408</v>
      </c>
      <c r="J3939" s="444">
        <f t="array" ref="J3939">IFERROR(INDEX('Retirement Calculator'!K:K,MATCH('Lorri 401b'!N3939,'Retirement Calculator'!A:A,0),0),0)</f>
        <v>0</v>
      </c>
      <c r="K3939" s="444">
        <f t="shared" ca="1" si="158"/>
        <v>-42380661223.126701</v>
      </c>
      <c r="L3939" s="444">
        <f t="shared" ca="1" si="159"/>
        <v>-10213739354773.535</v>
      </c>
      <c r="M3939" s="460">
        <f t="shared" si="161"/>
        <v>0.05</v>
      </c>
      <c r="N3939" s="464">
        <f t="shared" si="162"/>
        <v>170935</v>
      </c>
    </row>
    <row r="3940" spans="7:14" ht="11.25" customHeight="1" x14ac:dyDescent="0.25">
      <c r="G3940" s="459"/>
      <c r="H3940" s="459">
        <v>3933</v>
      </c>
      <c r="I3940" s="444">
        <f t="shared" ca="1" si="160"/>
        <v>-10213739354773.535</v>
      </c>
      <c r="J3940" s="444">
        <f t="array" ref="J3940">IFERROR(INDEX('Retirement Calculator'!K:K,MATCH('Lorri 401b'!N3940,'Retirement Calculator'!A:A,0),0),0)</f>
        <v>0</v>
      </c>
      <c r="K3940" s="444">
        <f t="shared" ca="1" si="158"/>
        <v>-42557247311.556396</v>
      </c>
      <c r="L3940" s="444">
        <f t="shared" ca="1" si="159"/>
        <v>-10256296602085.092</v>
      </c>
      <c r="M3940" s="460">
        <f t="shared" si="161"/>
        <v>0.05</v>
      </c>
      <c r="N3940" s="464">
        <f t="shared" si="162"/>
        <v>170966</v>
      </c>
    </row>
    <row r="3941" spans="7:14" ht="11.25" customHeight="1" x14ac:dyDescent="0.25">
      <c r="G3941" s="459"/>
      <c r="H3941" s="459">
        <v>3934</v>
      </c>
      <c r="I3941" s="444">
        <f t="shared" ca="1" si="160"/>
        <v>-10256296602085.092</v>
      </c>
      <c r="J3941" s="444">
        <f t="array" ref="J3941">IFERROR(INDEX('Retirement Calculator'!K:K,MATCH('Lorri 401b'!N3941,'Retirement Calculator'!A:A,0),0),0)</f>
        <v>0</v>
      </c>
      <c r="K3941" s="444">
        <f t="shared" ca="1" si="158"/>
        <v>-42734569175.354546</v>
      </c>
      <c r="L3941" s="444">
        <f t="shared" ca="1" si="159"/>
        <v>-10299031171260.447</v>
      </c>
      <c r="M3941" s="460">
        <f t="shared" si="161"/>
        <v>0.05</v>
      </c>
      <c r="N3941" s="464">
        <f t="shared" si="162"/>
        <v>170995</v>
      </c>
    </row>
    <row r="3942" spans="7:14" ht="11.25" customHeight="1" x14ac:dyDescent="0.25">
      <c r="G3942" s="459"/>
      <c r="H3942" s="459">
        <v>3935</v>
      </c>
      <c r="I3942" s="444">
        <f t="shared" ca="1" si="160"/>
        <v>-10299031171260.447</v>
      </c>
      <c r="J3942" s="444">
        <f t="array" ref="J3942">IFERROR(INDEX('Retirement Calculator'!K:K,MATCH('Lorri 401b'!N3942,'Retirement Calculator'!A:A,0),0),0)</f>
        <v>0</v>
      </c>
      <c r="K3942" s="444">
        <f t="shared" ca="1" si="158"/>
        <v>-42912629880.251862</v>
      </c>
      <c r="L3942" s="444">
        <f t="shared" ca="1" si="159"/>
        <v>-10341943801140.699</v>
      </c>
      <c r="M3942" s="460">
        <f t="shared" si="161"/>
        <v>0.05</v>
      </c>
      <c r="N3942" s="464">
        <f t="shared" si="162"/>
        <v>171026</v>
      </c>
    </row>
    <row r="3943" spans="7:14" ht="11.25" customHeight="1" x14ac:dyDescent="0.25">
      <c r="G3943" s="459"/>
      <c r="H3943" s="459">
        <v>3936</v>
      </c>
      <c r="I3943" s="444">
        <f t="shared" ca="1" si="160"/>
        <v>-10341943801140.699</v>
      </c>
      <c r="J3943" s="444">
        <f t="array" ref="J3943">IFERROR(INDEX('Retirement Calculator'!K:K,MATCH('Lorri 401b'!N3943,'Retirement Calculator'!A:A,0),0),0)</f>
        <v>0</v>
      </c>
      <c r="K3943" s="444">
        <f t="shared" ca="1" si="158"/>
        <v>-43091432504.752914</v>
      </c>
      <c r="L3943" s="444">
        <f t="shared" ca="1" si="159"/>
        <v>-10385035233645.451</v>
      </c>
      <c r="M3943" s="460">
        <f t="shared" si="161"/>
        <v>0.05</v>
      </c>
      <c r="N3943" s="464">
        <f t="shared" si="162"/>
        <v>171056</v>
      </c>
    </row>
    <row r="3944" spans="7:14" ht="11.25" customHeight="1" x14ac:dyDescent="0.25">
      <c r="G3944" s="459"/>
      <c r="H3944" s="459">
        <v>3937</v>
      </c>
      <c r="I3944" s="444">
        <f t="shared" ca="1" si="160"/>
        <v>-10385035233645.451</v>
      </c>
      <c r="J3944" s="444">
        <f t="array" ref="J3944">IFERROR(INDEX('Retirement Calculator'!K:K,MATCH('Lorri 401b'!N3944,'Retirement Calculator'!A:A,0),0),0)</f>
        <v>0</v>
      </c>
      <c r="K3944" s="444">
        <f t="shared" ca="1" si="158"/>
        <v>-43270980140.189377</v>
      </c>
      <c r="L3944" s="444">
        <f t="shared" ca="1" si="159"/>
        <v>-10428306213785.641</v>
      </c>
      <c r="M3944" s="460">
        <f t="shared" si="161"/>
        <v>0.05</v>
      </c>
      <c r="N3944" s="464">
        <f t="shared" si="162"/>
        <v>171087</v>
      </c>
    </row>
    <row r="3945" spans="7:14" ht="11.25" customHeight="1" x14ac:dyDescent="0.25">
      <c r="G3945" s="459"/>
      <c r="H3945" s="459">
        <v>3938</v>
      </c>
      <c r="I3945" s="444">
        <f t="shared" ca="1" si="160"/>
        <v>-10428306213785.641</v>
      </c>
      <c r="J3945" s="444">
        <f t="array" ref="J3945">IFERROR(INDEX('Retirement Calculator'!K:K,MATCH('Lorri 401b'!N3945,'Retirement Calculator'!A:A,0),0),0)</f>
        <v>0</v>
      </c>
      <c r="K3945" s="444">
        <f t="shared" ca="1" si="158"/>
        <v>-43451275890.773499</v>
      </c>
      <c r="L3945" s="444">
        <f t="shared" ca="1" si="159"/>
        <v>-10471757489676.414</v>
      </c>
      <c r="M3945" s="460">
        <f t="shared" si="161"/>
        <v>0.05</v>
      </c>
      <c r="N3945" s="464">
        <f t="shared" si="162"/>
        <v>171117</v>
      </c>
    </row>
    <row r="3946" spans="7:14" ht="11.25" customHeight="1" x14ac:dyDescent="0.25">
      <c r="G3946" s="459"/>
      <c r="H3946" s="459">
        <v>3939</v>
      </c>
      <c r="I3946" s="444">
        <f t="shared" ca="1" si="160"/>
        <v>-10471757489676.414</v>
      </c>
      <c r="J3946" s="444">
        <f t="array" ref="J3946">IFERROR(INDEX('Retirement Calculator'!K:K,MATCH('Lorri 401b'!N3946,'Retirement Calculator'!A:A,0),0),0)</f>
        <v>0</v>
      </c>
      <c r="K3946" s="444">
        <f t="shared" ca="1" si="158"/>
        <v>-43632322873.651726</v>
      </c>
      <c r="L3946" s="444">
        <f t="shared" ca="1" si="159"/>
        <v>-10515389812550.066</v>
      </c>
      <c r="M3946" s="460">
        <f t="shared" si="161"/>
        <v>0.05</v>
      </c>
      <c r="N3946" s="464">
        <f t="shared" si="162"/>
        <v>171148</v>
      </c>
    </row>
    <row r="3947" spans="7:14" ht="11.25" customHeight="1" x14ac:dyDescent="0.25">
      <c r="G3947" s="459"/>
      <c r="H3947" s="459">
        <v>3940</v>
      </c>
      <c r="I3947" s="444">
        <f t="shared" ca="1" si="160"/>
        <v>-10515389812550.066</v>
      </c>
      <c r="J3947" s="444">
        <f t="array" ref="J3947">IFERROR(INDEX('Retirement Calculator'!K:K,MATCH('Lorri 401b'!N3947,'Retirement Calculator'!A:A,0),0),0)</f>
        <v>0</v>
      </c>
      <c r="K3947" s="444">
        <f t="shared" ca="1" si="158"/>
        <v>-43814124218.958611</v>
      </c>
      <c r="L3947" s="444">
        <f t="shared" ca="1" si="159"/>
        <v>-10559203936769.025</v>
      </c>
      <c r="M3947" s="460">
        <f t="shared" si="161"/>
        <v>0.05</v>
      </c>
      <c r="N3947" s="464">
        <f t="shared" si="162"/>
        <v>171179</v>
      </c>
    </row>
    <row r="3948" spans="7:14" ht="11.25" customHeight="1" x14ac:dyDescent="0.25">
      <c r="G3948" s="459"/>
      <c r="H3948" s="459">
        <v>3941</v>
      </c>
      <c r="I3948" s="444">
        <f t="shared" ca="1" si="160"/>
        <v>-10559203936769.025</v>
      </c>
      <c r="J3948" s="444">
        <f t="array" ref="J3948">IFERROR(INDEX('Retirement Calculator'!K:K,MATCH('Lorri 401b'!N3948,'Retirement Calculator'!A:A,0),0),0)</f>
        <v>0</v>
      </c>
      <c r="K3948" s="444">
        <f t="shared" ca="1" si="158"/>
        <v>-43996683069.870941</v>
      </c>
      <c r="L3948" s="444">
        <f t="shared" ca="1" si="159"/>
        <v>-10603200619838.896</v>
      </c>
      <c r="M3948" s="460">
        <f t="shared" si="161"/>
        <v>0.05</v>
      </c>
      <c r="N3948" s="464">
        <f t="shared" si="162"/>
        <v>171209</v>
      </c>
    </row>
    <row r="3949" spans="7:14" ht="11.25" customHeight="1" x14ac:dyDescent="0.25">
      <c r="G3949" s="459"/>
      <c r="H3949" s="459">
        <v>3942</v>
      </c>
      <c r="I3949" s="444">
        <f t="shared" ca="1" si="160"/>
        <v>-10603200619838.896</v>
      </c>
      <c r="J3949" s="444">
        <f t="array" ref="J3949">IFERROR(INDEX('Retirement Calculator'!K:K,MATCH('Lorri 401b'!N3949,'Retirement Calculator'!A:A,0),0),0)</f>
        <v>0</v>
      </c>
      <c r="K3949" s="444">
        <f t="shared" ca="1" si="158"/>
        <v>-44180002582.662071</v>
      </c>
      <c r="L3949" s="444">
        <f t="shared" ca="1" si="159"/>
        <v>-10647380622421.559</v>
      </c>
      <c r="M3949" s="460">
        <f t="shared" si="161"/>
        <v>0.05</v>
      </c>
      <c r="N3949" s="464">
        <f t="shared" si="162"/>
        <v>171240</v>
      </c>
    </row>
    <row r="3950" spans="7:14" ht="11.25" customHeight="1" x14ac:dyDescent="0.25">
      <c r="G3950" s="459"/>
      <c r="H3950" s="459">
        <v>3943</v>
      </c>
      <c r="I3950" s="444">
        <f t="shared" ca="1" si="160"/>
        <v>-10647380622421.559</v>
      </c>
      <c r="J3950" s="444">
        <f t="array" ref="J3950">IFERROR(INDEX('Retirement Calculator'!K:K,MATCH('Lorri 401b'!N3950,'Retirement Calculator'!A:A,0),0),0)</f>
        <v>0</v>
      </c>
      <c r="K3950" s="444">
        <f t="shared" ca="1" si="158"/>
        <v>-44364085926.756493</v>
      </c>
      <c r="L3950" s="444">
        <f t="shared" ca="1" si="159"/>
        <v>-10691744708348.314</v>
      </c>
      <c r="M3950" s="460">
        <f t="shared" si="161"/>
        <v>0.05</v>
      </c>
      <c r="N3950" s="464">
        <f t="shared" si="162"/>
        <v>171270</v>
      </c>
    </row>
    <row r="3951" spans="7:14" ht="11.25" customHeight="1" x14ac:dyDescent="0.25">
      <c r="G3951" s="459"/>
      <c r="H3951" s="459">
        <v>3944</v>
      </c>
      <c r="I3951" s="444">
        <f t="shared" ca="1" si="160"/>
        <v>-10691744708348.314</v>
      </c>
      <c r="J3951" s="444">
        <f t="array" ref="J3951">IFERROR(INDEX('Retirement Calculator'!K:K,MATCH('Lorri 401b'!N3951,'Retirement Calculator'!A:A,0),0),0)</f>
        <v>0</v>
      </c>
      <c r="K3951" s="444">
        <f t="shared" ca="1" si="158"/>
        <v>-44548936284.784645</v>
      </c>
      <c r="L3951" s="444">
        <f t="shared" ca="1" si="159"/>
        <v>-10736293644633.1</v>
      </c>
      <c r="M3951" s="460">
        <f t="shared" si="161"/>
        <v>0.05</v>
      </c>
      <c r="N3951" s="464">
        <f t="shared" si="162"/>
        <v>171301</v>
      </c>
    </row>
    <row r="3952" spans="7:14" ht="11.25" customHeight="1" x14ac:dyDescent="0.25">
      <c r="G3952" s="459"/>
      <c r="H3952" s="459">
        <v>3945</v>
      </c>
      <c r="I3952" s="444">
        <f t="shared" ca="1" si="160"/>
        <v>-10736293644633.1</v>
      </c>
      <c r="J3952" s="444">
        <f t="array" ref="J3952">IFERROR(INDEX('Retirement Calculator'!K:K,MATCH('Lorri 401b'!N3952,'Retirement Calculator'!A:A,0),0),0)</f>
        <v>0</v>
      </c>
      <c r="K3952" s="444">
        <f t="shared" ca="1" si="158"/>
        <v>-44734556852.637917</v>
      </c>
      <c r="L3952" s="444">
        <f t="shared" ca="1" si="159"/>
        <v>-10781028201485.738</v>
      </c>
      <c r="M3952" s="460">
        <f t="shared" si="161"/>
        <v>0.05</v>
      </c>
      <c r="N3952" s="464">
        <f t="shared" si="162"/>
        <v>171332</v>
      </c>
    </row>
    <row r="3953" spans="7:14" ht="11.25" customHeight="1" x14ac:dyDescent="0.25">
      <c r="G3953" s="459"/>
      <c r="H3953" s="459">
        <v>3946</v>
      </c>
      <c r="I3953" s="444">
        <f t="shared" ca="1" si="160"/>
        <v>-10781028201485.738</v>
      </c>
      <c r="J3953" s="444">
        <f t="array" ref="J3953">IFERROR(INDEX('Retirement Calculator'!K:K,MATCH('Lorri 401b'!N3953,'Retirement Calculator'!A:A,0),0),0)</f>
        <v>0</v>
      </c>
      <c r="K3953" s="444">
        <f t="shared" ca="1" si="158"/>
        <v>-44920950839.523911</v>
      </c>
      <c r="L3953" s="444">
        <f t="shared" ca="1" si="159"/>
        <v>-10825949152325.262</v>
      </c>
      <c r="M3953" s="460">
        <f t="shared" si="161"/>
        <v>0.05</v>
      </c>
      <c r="N3953" s="464">
        <f t="shared" si="162"/>
        <v>171360</v>
      </c>
    </row>
    <row r="3954" spans="7:14" ht="11.25" customHeight="1" x14ac:dyDescent="0.25">
      <c r="G3954" s="459"/>
      <c r="H3954" s="459">
        <v>3947</v>
      </c>
      <c r="I3954" s="444">
        <f t="shared" ca="1" si="160"/>
        <v>-10825949152325.262</v>
      </c>
      <c r="J3954" s="444">
        <f t="array" ref="J3954">IFERROR(INDEX('Retirement Calculator'!K:K,MATCH('Lorri 401b'!N3954,'Retirement Calculator'!A:A,0),0),0)</f>
        <v>0</v>
      </c>
      <c r="K3954" s="444">
        <f t="shared" ca="1" si="158"/>
        <v>-45108121468.021927</v>
      </c>
      <c r="L3954" s="444">
        <f t="shared" ca="1" si="159"/>
        <v>-10871057273793.283</v>
      </c>
      <c r="M3954" s="460">
        <f t="shared" si="161"/>
        <v>0.05</v>
      </c>
      <c r="N3954" s="464">
        <f t="shared" si="162"/>
        <v>171391</v>
      </c>
    </row>
    <row r="3955" spans="7:14" ht="11.25" customHeight="1" x14ac:dyDescent="0.25">
      <c r="G3955" s="459"/>
      <c r="H3955" s="459">
        <v>3948</v>
      </c>
      <c r="I3955" s="444">
        <f t="shared" ca="1" si="160"/>
        <v>-10871057273793.283</v>
      </c>
      <c r="J3955" s="444">
        <f t="array" ref="J3955">IFERROR(INDEX('Retirement Calculator'!K:K,MATCH('Lorri 401b'!N3955,'Retirement Calculator'!A:A,0),0),0)</f>
        <v>0</v>
      </c>
      <c r="K3955" s="444">
        <f t="shared" ca="1" si="158"/>
        <v>-45296071974.13868</v>
      </c>
      <c r="L3955" s="444">
        <f t="shared" ca="1" si="159"/>
        <v>-10916353345767.422</v>
      </c>
      <c r="M3955" s="460">
        <f t="shared" si="161"/>
        <v>0.05</v>
      </c>
      <c r="N3955" s="464">
        <f t="shared" si="162"/>
        <v>171421</v>
      </c>
    </row>
    <row r="3956" spans="7:14" ht="11.25" customHeight="1" x14ac:dyDescent="0.25">
      <c r="G3956" s="459"/>
      <c r="H3956" s="459">
        <v>3949</v>
      </c>
      <c r="I3956" s="444">
        <f t="shared" ca="1" si="160"/>
        <v>-10916353345767.422</v>
      </c>
      <c r="J3956" s="444">
        <f t="array" ref="J3956">IFERROR(INDEX('Retirement Calculator'!K:K,MATCH('Lorri 401b'!N3956,'Retirement Calculator'!A:A,0),0),0)</f>
        <v>0</v>
      </c>
      <c r="K3956" s="444">
        <f t="shared" ca="1" si="158"/>
        <v>-45484805607.364258</v>
      </c>
      <c r="L3956" s="444">
        <f t="shared" ca="1" si="159"/>
        <v>-10961838151374.785</v>
      </c>
      <c r="M3956" s="460">
        <f t="shared" si="161"/>
        <v>0.05</v>
      </c>
      <c r="N3956" s="464">
        <f t="shared" si="162"/>
        <v>171452</v>
      </c>
    </row>
    <row r="3957" spans="7:14" ht="11.25" customHeight="1" x14ac:dyDescent="0.25">
      <c r="G3957" s="459"/>
      <c r="H3957" s="459">
        <v>3950</v>
      </c>
      <c r="I3957" s="444">
        <f t="shared" ca="1" si="160"/>
        <v>-10961838151374.785</v>
      </c>
      <c r="J3957" s="444">
        <f t="array" ref="J3957">IFERROR(INDEX('Retirement Calculator'!K:K,MATCH('Lorri 401b'!N3957,'Retirement Calculator'!A:A,0),0),0)</f>
        <v>0</v>
      </c>
      <c r="K3957" s="444">
        <f t="shared" ca="1" si="158"/>
        <v>-45674325630.728271</v>
      </c>
      <c r="L3957" s="444">
        <f t="shared" ca="1" si="159"/>
        <v>-11007512477005.514</v>
      </c>
      <c r="M3957" s="460">
        <f t="shared" si="161"/>
        <v>0.05</v>
      </c>
      <c r="N3957" s="464">
        <f t="shared" si="162"/>
        <v>171482</v>
      </c>
    </row>
    <row r="3958" spans="7:14" ht="11.25" customHeight="1" x14ac:dyDescent="0.25">
      <c r="G3958" s="459"/>
      <c r="H3958" s="459">
        <v>3951</v>
      </c>
      <c r="I3958" s="444">
        <f t="shared" ca="1" si="160"/>
        <v>-11007512477005.514</v>
      </c>
      <c r="J3958" s="444">
        <f t="array" ref="J3958">IFERROR(INDEX('Retirement Calculator'!K:K,MATCH('Lorri 401b'!N3958,'Retirement Calculator'!A:A,0),0),0)</f>
        <v>0</v>
      </c>
      <c r="K3958" s="444">
        <f t="shared" ca="1" si="158"/>
        <v>-45864635320.856308</v>
      </c>
      <c r="L3958" s="444">
        <f t="shared" ca="1" si="159"/>
        <v>-11053377112326.369</v>
      </c>
      <c r="M3958" s="460">
        <f t="shared" si="161"/>
        <v>0.05</v>
      </c>
      <c r="N3958" s="464">
        <f t="shared" si="162"/>
        <v>171513</v>
      </c>
    </row>
    <row r="3959" spans="7:14" ht="11.25" customHeight="1" x14ac:dyDescent="0.25">
      <c r="G3959" s="459"/>
      <c r="H3959" s="459">
        <v>3952</v>
      </c>
      <c r="I3959" s="444">
        <f t="shared" ca="1" si="160"/>
        <v>-11053377112326.369</v>
      </c>
      <c r="J3959" s="444">
        <f t="array" ref="J3959">IFERROR(INDEX('Retirement Calculator'!K:K,MATCH('Lorri 401b'!N3959,'Retirement Calculator'!A:A,0),0),0)</f>
        <v>0</v>
      </c>
      <c r="K3959" s="444">
        <f t="shared" ca="1" si="158"/>
        <v>-46055737968.026535</v>
      </c>
      <c r="L3959" s="444">
        <f t="shared" ca="1" si="159"/>
        <v>-11099432850294.396</v>
      </c>
      <c r="M3959" s="460">
        <f t="shared" si="161"/>
        <v>0.05</v>
      </c>
      <c r="N3959" s="464">
        <f t="shared" si="162"/>
        <v>171544</v>
      </c>
    </row>
    <row r="3960" spans="7:14" ht="11.25" customHeight="1" x14ac:dyDescent="0.25">
      <c r="G3960" s="459"/>
      <c r="H3960" s="459">
        <v>3953</v>
      </c>
      <c r="I3960" s="444">
        <f t="shared" ca="1" si="160"/>
        <v>-11099432850294.396</v>
      </c>
      <c r="J3960" s="444">
        <f t="array" ref="J3960">IFERROR(INDEX('Retirement Calculator'!K:K,MATCH('Lorri 401b'!N3960,'Retirement Calculator'!A:A,0),0),0)</f>
        <v>0</v>
      </c>
      <c r="K3960" s="444">
        <f t="shared" ca="1" si="158"/>
        <v>-46247636876.226654</v>
      </c>
      <c r="L3960" s="444">
        <f t="shared" ca="1" si="159"/>
        <v>-11145680487170.623</v>
      </c>
      <c r="M3960" s="460">
        <f t="shared" si="161"/>
        <v>0.05</v>
      </c>
      <c r="N3960" s="464">
        <f t="shared" si="162"/>
        <v>171574</v>
      </c>
    </row>
    <row r="3961" spans="7:14" ht="11.25" customHeight="1" x14ac:dyDescent="0.25">
      <c r="G3961" s="459"/>
      <c r="H3961" s="459">
        <v>3954</v>
      </c>
      <c r="I3961" s="444">
        <f t="shared" ca="1" si="160"/>
        <v>-11145680487170.623</v>
      </c>
      <c r="J3961" s="444">
        <f t="array" ref="J3961">IFERROR(INDEX('Retirement Calculator'!K:K,MATCH('Lorri 401b'!N3961,'Retirement Calculator'!A:A,0),0),0)</f>
        <v>0</v>
      </c>
      <c r="K3961" s="444">
        <f t="shared" ca="1" si="158"/>
        <v>-46440335363.21093</v>
      </c>
      <c r="L3961" s="444">
        <f t="shared" ca="1" si="159"/>
        <v>-11192120822533.834</v>
      </c>
      <c r="M3961" s="460">
        <f t="shared" si="161"/>
        <v>0.05</v>
      </c>
      <c r="N3961" s="464">
        <f t="shared" si="162"/>
        <v>171605</v>
      </c>
    </row>
    <row r="3962" spans="7:14" ht="11.25" customHeight="1" x14ac:dyDescent="0.25">
      <c r="G3962" s="459"/>
      <c r="H3962" s="459">
        <v>3955</v>
      </c>
      <c r="I3962" s="444">
        <f t="shared" ca="1" si="160"/>
        <v>-11192120822533.834</v>
      </c>
      <c r="J3962" s="444">
        <f t="array" ref="J3962">IFERROR(INDEX('Retirement Calculator'!K:K,MATCH('Lorri 401b'!N3962,'Retirement Calculator'!A:A,0),0),0)</f>
        <v>0</v>
      </c>
      <c r="K3962" s="444">
        <f t="shared" ca="1" si="158"/>
        <v>-46633836760.55764</v>
      </c>
      <c r="L3962" s="444">
        <f t="shared" ca="1" si="159"/>
        <v>-11238754659294.393</v>
      </c>
      <c r="M3962" s="460">
        <f t="shared" si="161"/>
        <v>0.05</v>
      </c>
      <c r="N3962" s="464">
        <f t="shared" si="162"/>
        <v>171635</v>
      </c>
    </row>
    <row r="3963" spans="7:14" ht="11.25" customHeight="1" x14ac:dyDescent="0.25">
      <c r="G3963" s="459"/>
      <c r="H3963" s="459">
        <v>3956</v>
      </c>
      <c r="I3963" s="444">
        <f t="shared" ca="1" si="160"/>
        <v>-11238754659294.393</v>
      </c>
      <c r="J3963" s="444">
        <f t="array" ref="J3963">IFERROR(INDEX('Retirement Calculator'!K:K,MATCH('Lorri 401b'!N3963,'Retirement Calculator'!A:A,0),0),0)</f>
        <v>0</v>
      </c>
      <c r="K3963" s="444">
        <f t="shared" ca="1" si="158"/>
        <v>-46828144413.726639</v>
      </c>
      <c r="L3963" s="444">
        <f t="shared" ca="1" si="159"/>
        <v>-11285582803708.119</v>
      </c>
      <c r="M3963" s="460">
        <f t="shared" si="161"/>
        <v>0.05</v>
      </c>
      <c r="N3963" s="464">
        <f t="shared" si="162"/>
        <v>171666</v>
      </c>
    </row>
    <row r="3964" spans="7:14" ht="11.25" customHeight="1" x14ac:dyDescent="0.25">
      <c r="G3964" s="459"/>
      <c r="H3964" s="459">
        <v>3957</v>
      </c>
      <c r="I3964" s="444">
        <f t="shared" ca="1" si="160"/>
        <v>-11285582803708.119</v>
      </c>
      <c r="J3964" s="444">
        <f t="array" ref="J3964">IFERROR(INDEX('Retirement Calculator'!K:K,MATCH('Lorri 401b'!N3964,'Retirement Calculator'!A:A,0),0),0)</f>
        <v>0</v>
      </c>
      <c r="K3964" s="444">
        <f t="shared" ca="1" si="158"/>
        <v>-47023261682.117165</v>
      </c>
      <c r="L3964" s="444">
        <f t="shared" ca="1" si="159"/>
        <v>-11332606065390.236</v>
      </c>
      <c r="M3964" s="460">
        <f t="shared" si="161"/>
        <v>0.05</v>
      </c>
      <c r="N3964" s="464">
        <f t="shared" si="162"/>
        <v>171697</v>
      </c>
    </row>
    <row r="3965" spans="7:14" ht="11.25" customHeight="1" x14ac:dyDescent="0.25">
      <c r="G3965" s="459"/>
      <c r="H3965" s="459">
        <v>3958</v>
      </c>
      <c r="I3965" s="444">
        <f t="shared" ca="1" si="160"/>
        <v>-11332606065390.236</v>
      </c>
      <c r="J3965" s="444">
        <f t="array" ref="J3965">IFERROR(INDEX('Retirement Calculator'!K:K,MATCH('Lorri 401b'!N3965,'Retirement Calculator'!A:A,0),0),0)</f>
        <v>0</v>
      </c>
      <c r="K3965" s="444">
        <f t="shared" ca="1" si="158"/>
        <v>-47219191939.125984</v>
      </c>
      <c r="L3965" s="444">
        <f t="shared" ca="1" si="159"/>
        <v>-11379825257329.363</v>
      </c>
      <c r="M3965" s="460">
        <f t="shared" si="161"/>
        <v>0.05</v>
      </c>
      <c r="N3965" s="464">
        <f t="shared" si="162"/>
        <v>171725</v>
      </c>
    </row>
    <row r="3966" spans="7:14" ht="11.25" customHeight="1" x14ac:dyDescent="0.25">
      <c r="G3966" s="459"/>
      <c r="H3966" s="459">
        <v>3959</v>
      </c>
      <c r="I3966" s="444">
        <f t="shared" ca="1" si="160"/>
        <v>-11379825257329.363</v>
      </c>
      <c r="J3966" s="444">
        <f t="array" ref="J3966">IFERROR(INDEX('Retirement Calculator'!K:K,MATCH('Lorri 401b'!N3966,'Retirement Calculator'!A:A,0),0),0)</f>
        <v>0</v>
      </c>
      <c r="K3966" s="444">
        <f t="shared" ca="1" si="158"/>
        <v>-47415938572.205681</v>
      </c>
      <c r="L3966" s="444">
        <f t="shared" ca="1" si="159"/>
        <v>-11427241195901.568</v>
      </c>
      <c r="M3966" s="460">
        <f t="shared" si="161"/>
        <v>0.05</v>
      </c>
      <c r="N3966" s="464">
        <f t="shared" si="162"/>
        <v>171756</v>
      </c>
    </row>
    <row r="3967" spans="7:14" ht="11.25" customHeight="1" x14ac:dyDescent="0.25">
      <c r="G3967" s="459"/>
      <c r="H3967" s="459">
        <v>3960</v>
      </c>
      <c r="I3967" s="444">
        <f t="shared" ca="1" si="160"/>
        <v>-11427241195901.568</v>
      </c>
      <c r="J3967" s="444">
        <f t="array" ref="J3967">IFERROR(INDEX('Retirement Calculator'!K:K,MATCH('Lorri 401b'!N3967,'Retirement Calculator'!A:A,0),0),0)</f>
        <v>0</v>
      </c>
      <c r="K3967" s="444">
        <f t="shared" ca="1" si="158"/>
        <v>-47613504982.923203</v>
      </c>
      <c r="L3967" s="444">
        <f t="shared" ca="1" si="159"/>
        <v>-11474854700884.492</v>
      </c>
      <c r="M3967" s="460">
        <f t="shared" si="161"/>
        <v>0.05</v>
      </c>
      <c r="N3967" s="464">
        <f t="shared" si="162"/>
        <v>171786</v>
      </c>
    </row>
    <row r="3968" spans="7:14" ht="11.25" customHeight="1" x14ac:dyDescent="0.25">
      <c r="G3968" s="459"/>
      <c r="H3968" s="459">
        <v>3961</v>
      </c>
      <c r="I3968" s="444">
        <f t="shared" ca="1" si="160"/>
        <v>-11474854700884.492</v>
      </c>
      <c r="J3968" s="444">
        <f t="array" ref="J3968">IFERROR(INDEX('Retirement Calculator'!K:K,MATCH('Lorri 401b'!N3968,'Retirement Calculator'!A:A,0),0),0)</f>
        <v>0</v>
      </c>
      <c r="K3968" s="444">
        <f t="shared" ca="1" si="158"/>
        <v>-47811894587.018715</v>
      </c>
      <c r="L3968" s="444">
        <f t="shared" ca="1" si="159"/>
        <v>-11522666595471.512</v>
      </c>
      <c r="M3968" s="460">
        <f t="shared" si="161"/>
        <v>0.05</v>
      </c>
      <c r="N3968" s="464">
        <f t="shared" si="162"/>
        <v>171817</v>
      </c>
    </row>
    <row r="3969" spans="7:14" ht="11.25" customHeight="1" x14ac:dyDescent="0.25">
      <c r="G3969" s="459"/>
      <c r="H3969" s="459">
        <v>3962</v>
      </c>
      <c r="I3969" s="444">
        <f t="shared" ca="1" si="160"/>
        <v>-11522666595471.512</v>
      </c>
      <c r="J3969" s="444">
        <f t="array" ref="J3969">IFERROR(INDEX('Retirement Calculator'!K:K,MATCH('Lorri 401b'!N3969,'Retirement Calculator'!A:A,0),0),0)</f>
        <v>0</v>
      </c>
      <c r="K3969" s="444">
        <f t="shared" ca="1" si="158"/>
        <v>-48011110814.46463</v>
      </c>
      <c r="L3969" s="444">
        <f t="shared" ca="1" si="159"/>
        <v>-11570677706285.977</v>
      </c>
      <c r="M3969" s="460">
        <f t="shared" si="161"/>
        <v>0.05</v>
      </c>
      <c r="N3969" s="464">
        <f t="shared" si="162"/>
        <v>171847</v>
      </c>
    </row>
    <row r="3970" spans="7:14" ht="11.25" customHeight="1" x14ac:dyDescent="0.25">
      <c r="G3970" s="459"/>
      <c r="H3970" s="459">
        <v>3963</v>
      </c>
      <c r="I3970" s="444">
        <f t="shared" ca="1" si="160"/>
        <v>-11570677706285.977</v>
      </c>
      <c r="J3970" s="444">
        <f t="array" ref="J3970">IFERROR(INDEX('Retirement Calculator'!K:K,MATCH('Lorri 401b'!N3970,'Retirement Calculator'!A:A,0),0),0)</f>
        <v>0</v>
      </c>
      <c r="K3970" s="444">
        <f t="shared" ca="1" si="158"/>
        <v>-48211157109.524902</v>
      </c>
      <c r="L3970" s="444">
        <f t="shared" ca="1" si="159"/>
        <v>-11618888863395.502</v>
      </c>
      <c r="M3970" s="460">
        <f t="shared" si="161"/>
        <v>0.05</v>
      </c>
      <c r="N3970" s="464">
        <f t="shared" si="162"/>
        <v>171878</v>
      </c>
    </row>
    <row r="3971" spans="7:14" ht="11.25" customHeight="1" x14ac:dyDescent="0.25">
      <c r="G3971" s="459"/>
      <c r="H3971" s="459">
        <v>3964</v>
      </c>
      <c r="I3971" s="444">
        <f t="shared" ca="1" si="160"/>
        <v>-11618888863395.502</v>
      </c>
      <c r="J3971" s="444">
        <f t="array" ref="J3971">IFERROR(INDEX('Retirement Calculator'!K:K,MATCH('Lorri 401b'!N3971,'Retirement Calculator'!A:A,0),0),0)</f>
        <v>0</v>
      </c>
      <c r="K3971" s="444">
        <f t="shared" ca="1" si="158"/>
        <v>-48412036930.81459</v>
      </c>
      <c r="L3971" s="444">
        <f t="shared" ca="1" si="159"/>
        <v>-11667300900326.316</v>
      </c>
      <c r="M3971" s="460">
        <f t="shared" si="161"/>
        <v>0.05</v>
      </c>
      <c r="N3971" s="464">
        <f t="shared" si="162"/>
        <v>171909</v>
      </c>
    </row>
    <row r="3972" spans="7:14" ht="11.25" customHeight="1" x14ac:dyDescent="0.25">
      <c r="G3972" s="459"/>
      <c r="H3972" s="459">
        <v>3965</v>
      </c>
      <c r="I3972" s="444">
        <f t="shared" ca="1" si="160"/>
        <v>-11667300900326.316</v>
      </c>
      <c r="J3972" s="444">
        <f t="array" ref="J3972">IFERROR(INDEX('Retirement Calculator'!K:K,MATCH('Lorri 401b'!N3972,'Retirement Calculator'!A:A,0),0),0)</f>
        <v>0</v>
      </c>
      <c r="K3972" s="444">
        <f t="shared" ca="1" si="158"/>
        <v>-48613753751.35965</v>
      </c>
      <c r="L3972" s="444">
        <f t="shared" ca="1" si="159"/>
        <v>-11715914654077.676</v>
      </c>
      <c r="M3972" s="460">
        <f t="shared" si="161"/>
        <v>0.05</v>
      </c>
      <c r="N3972" s="464">
        <f t="shared" si="162"/>
        <v>171939</v>
      </c>
    </row>
    <row r="3973" spans="7:14" ht="11.25" customHeight="1" x14ac:dyDescent="0.25">
      <c r="G3973" s="459"/>
      <c r="H3973" s="459">
        <v>3966</v>
      </c>
      <c r="I3973" s="444">
        <f t="shared" ca="1" si="160"/>
        <v>-11715914654077.676</v>
      </c>
      <c r="J3973" s="444">
        <f t="array" ref="J3973">IFERROR(INDEX('Retirement Calculator'!K:K,MATCH('Lorri 401b'!N3973,'Retirement Calculator'!A:A,0),0),0)</f>
        <v>0</v>
      </c>
      <c r="K3973" s="444">
        <f t="shared" ca="1" si="158"/>
        <v>-48816311058.656982</v>
      </c>
      <c r="L3973" s="444">
        <f t="shared" ca="1" si="159"/>
        <v>-11764730965136.332</v>
      </c>
      <c r="M3973" s="460">
        <f t="shared" si="161"/>
        <v>0.05</v>
      </c>
      <c r="N3973" s="464">
        <f t="shared" si="162"/>
        <v>171970</v>
      </c>
    </row>
    <row r="3974" spans="7:14" ht="11.25" customHeight="1" x14ac:dyDescent="0.25">
      <c r="G3974" s="459"/>
      <c r="H3974" s="459">
        <v>3967</v>
      </c>
      <c r="I3974" s="444">
        <f t="shared" ca="1" si="160"/>
        <v>-11764730965136.332</v>
      </c>
      <c r="J3974" s="444">
        <f t="array" ref="J3974">IFERROR(INDEX('Retirement Calculator'!K:K,MATCH('Lorri 401b'!N3974,'Retirement Calculator'!A:A,0),0),0)</f>
        <v>0</v>
      </c>
      <c r="K3974" s="444">
        <f t="shared" ca="1" si="158"/>
        <v>-49019712354.734718</v>
      </c>
      <c r="L3974" s="444">
        <f t="shared" ca="1" si="159"/>
        <v>-11813750677491.066</v>
      </c>
      <c r="M3974" s="460">
        <f t="shared" si="161"/>
        <v>0.05</v>
      </c>
      <c r="N3974" s="464">
        <f t="shared" si="162"/>
        <v>172000</v>
      </c>
    </row>
    <row r="3975" spans="7:14" ht="11.25" customHeight="1" x14ac:dyDescent="0.25">
      <c r="G3975" s="459"/>
      <c r="H3975" s="459">
        <v>3968</v>
      </c>
      <c r="I3975" s="444">
        <f t="shared" ca="1" si="160"/>
        <v>-11813750677491.066</v>
      </c>
      <c r="J3975" s="444">
        <f t="array" ref="J3975">IFERROR(INDEX('Retirement Calculator'!K:K,MATCH('Lorri 401b'!N3975,'Retirement Calculator'!A:A,0),0),0)</f>
        <v>0</v>
      </c>
      <c r="K3975" s="444">
        <f t="shared" ca="1" si="158"/>
        <v>-49223961156.212776</v>
      </c>
      <c r="L3975" s="444">
        <f t="shared" ca="1" si="159"/>
        <v>-11862974638647.279</v>
      </c>
      <c r="M3975" s="460">
        <f t="shared" si="161"/>
        <v>0.05</v>
      </c>
      <c r="N3975" s="464">
        <f t="shared" si="162"/>
        <v>172031</v>
      </c>
    </row>
    <row r="3976" spans="7:14" ht="11.25" customHeight="1" x14ac:dyDescent="0.25">
      <c r="G3976" s="459"/>
      <c r="H3976" s="459">
        <v>3969</v>
      </c>
      <c r="I3976" s="444">
        <f t="shared" ca="1" si="160"/>
        <v>-11862974638647.279</v>
      </c>
      <c r="J3976" s="444">
        <f t="array" ref="J3976">IFERROR(INDEX('Retirement Calculator'!K:K,MATCH('Lorri 401b'!N3976,'Retirement Calculator'!A:A,0),0),0)</f>
        <v>0</v>
      </c>
      <c r="K3976" s="444">
        <f t="shared" ca="1" si="158"/>
        <v>-49429060994.363663</v>
      </c>
      <c r="L3976" s="444">
        <f t="shared" ca="1" si="159"/>
        <v>-11912403699641.643</v>
      </c>
      <c r="M3976" s="460">
        <f t="shared" si="161"/>
        <v>0.05</v>
      </c>
      <c r="N3976" s="464">
        <f t="shared" si="162"/>
        <v>172062</v>
      </c>
    </row>
    <row r="3977" spans="7:14" ht="11.25" customHeight="1" x14ac:dyDescent="0.25">
      <c r="G3977" s="459"/>
      <c r="H3977" s="459">
        <v>3970</v>
      </c>
      <c r="I3977" s="444">
        <f t="shared" ca="1" si="160"/>
        <v>-11912403699641.643</v>
      </c>
      <c r="J3977" s="444">
        <f t="array" ref="J3977">IFERROR(INDEX('Retirement Calculator'!K:K,MATCH('Lorri 401b'!N3977,'Retirement Calculator'!A:A,0),0),0)</f>
        <v>0</v>
      </c>
      <c r="K3977" s="444">
        <f t="shared" ca="1" si="158"/>
        <v>-49635015415.173508</v>
      </c>
      <c r="L3977" s="444">
        <f t="shared" ca="1" si="159"/>
        <v>-11962038715056.816</v>
      </c>
      <c r="M3977" s="460">
        <f t="shared" si="161"/>
        <v>0.05</v>
      </c>
      <c r="N3977" s="464">
        <f t="shared" si="162"/>
        <v>172090</v>
      </c>
    </row>
    <row r="3978" spans="7:14" ht="11.25" customHeight="1" x14ac:dyDescent="0.25">
      <c r="G3978" s="459"/>
      <c r="H3978" s="459">
        <v>3971</v>
      </c>
      <c r="I3978" s="444">
        <f t="shared" ca="1" si="160"/>
        <v>-11962038715056.816</v>
      </c>
      <c r="J3978" s="444">
        <f t="array" ref="J3978">IFERROR(INDEX('Retirement Calculator'!K:K,MATCH('Lorri 401b'!N3978,'Retirement Calculator'!A:A,0),0),0)</f>
        <v>0</v>
      </c>
      <c r="K3978" s="444">
        <f t="shared" ca="1" si="158"/>
        <v>-49841827979.403404</v>
      </c>
      <c r="L3978" s="444">
        <f t="shared" ca="1" si="159"/>
        <v>-12011880543036.221</v>
      </c>
      <c r="M3978" s="460">
        <f t="shared" si="161"/>
        <v>0.05</v>
      </c>
      <c r="N3978" s="464">
        <f t="shared" si="162"/>
        <v>172121</v>
      </c>
    </row>
    <row r="3979" spans="7:14" ht="11.25" customHeight="1" x14ac:dyDescent="0.25">
      <c r="G3979" s="459"/>
      <c r="H3979" s="459">
        <v>3972</v>
      </c>
      <c r="I3979" s="444">
        <f t="shared" ca="1" si="160"/>
        <v>-12011880543036.221</v>
      </c>
      <c r="J3979" s="444">
        <f t="array" ref="J3979">IFERROR(INDEX('Retirement Calculator'!K:K,MATCH('Lorri 401b'!N3979,'Retirement Calculator'!A:A,0),0),0)</f>
        <v>0</v>
      </c>
      <c r="K3979" s="444">
        <f t="shared" ca="1" si="158"/>
        <v>-50049502262.650917</v>
      </c>
      <c r="L3979" s="444">
        <f t="shared" ca="1" si="159"/>
        <v>-12061930045298.871</v>
      </c>
      <c r="M3979" s="460">
        <f t="shared" si="161"/>
        <v>0.05</v>
      </c>
      <c r="N3979" s="464">
        <f t="shared" si="162"/>
        <v>172151</v>
      </c>
    </row>
    <row r="3980" spans="7:14" ht="11.25" customHeight="1" x14ac:dyDescent="0.25">
      <c r="G3980" s="459"/>
      <c r="H3980" s="459">
        <v>3973</v>
      </c>
      <c r="I3980" s="444">
        <f t="shared" ca="1" si="160"/>
        <v>-12061930045298.871</v>
      </c>
      <c r="J3980" s="444">
        <f t="array" ref="J3980">IFERROR(INDEX('Retirement Calculator'!K:K,MATCH('Lorri 401b'!N3980,'Retirement Calculator'!A:A,0),0),0)</f>
        <v>0</v>
      </c>
      <c r="K3980" s="444">
        <f t="shared" ca="1" si="158"/>
        <v>-50258041855.411964</v>
      </c>
      <c r="L3980" s="444">
        <f t="shared" ca="1" si="159"/>
        <v>-12112188087154.283</v>
      </c>
      <c r="M3980" s="460">
        <f t="shared" si="161"/>
        <v>0.05</v>
      </c>
      <c r="N3980" s="464">
        <f t="shared" si="162"/>
        <v>172182</v>
      </c>
    </row>
    <row r="3981" spans="7:14" ht="11.25" customHeight="1" x14ac:dyDescent="0.25">
      <c r="G3981" s="459"/>
      <c r="H3981" s="459">
        <v>3974</v>
      </c>
      <c r="I3981" s="444">
        <f t="shared" ca="1" si="160"/>
        <v>-12112188087154.283</v>
      </c>
      <c r="J3981" s="444">
        <f t="array" ref="J3981">IFERROR(INDEX('Retirement Calculator'!K:K,MATCH('Lorri 401b'!N3981,'Retirement Calculator'!A:A,0),0),0)</f>
        <v>0</v>
      </c>
      <c r="K3981" s="444">
        <f t="shared" ca="1" si="158"/>
        <v>-50467450363.142845</v>
      </c>
      <c r="L3981" s="444">
        <f t="shared" ca="1" si="159"/>
        <v>-12162655537517.426</v>
      </c>
      <c r="M3981" s="460">
        <f t="shared" si="161"/>
        <v>0.05</v>
      </c>
      <c r="N3981" s="464">
        <f t="shared" si="162"/>
        <v>172212</v>
      </c>
    </row>
    <row r="3982" spans="7:14" ht="11.25" customHeight="1" x14ac:dyDescent="0.25">
      <c r="G3982" s="459"/>
      <c r="H3982" s="459">
        <v>3975</v>
      </c>
      <c r="I3982" s="444">
        <f t="shared" ca="1" si="160"/>
        <v>-12162655537517.426</v>
      </c>
      <c r="J3982" s="444">
        <f t="array" ref="J3982">IFERROR(INDEX('Retirement Calculator'!K:K,MATCH('Lorri 401b'!N3982,'Retirement Calculator'!A:A,0),0),0)</f>
        <v>0</v>
      </c>
      <c r="K3982" s="444">
        <f t="shared" ca="1" si="158"/>
        <v>-50677731406.322609</v>
      </c>
      <c r="L3982" s="444">
        <f t="shared" ca="1" si="159"/>
        <v>-12213333268923.748</v>
      </c>
      <c r="M3982" s="460">
        <f t="shared" si="161"/>
        <v>0.05</v>
      </c>
      <c r="N3982" s="464">
        <f t="shared" si="162"/>
        <v>172243</v>
      </c>
    </row>
    <row r="3983" spans="7:14" ht="11.25" customHeight="1" x14ac:dyDescent="0.25">
      <c r="G3983" s="459"/>
      <c r="H3983" s="459">
        <v>3976</v>
      </c>
      <c r="I3983" s="444">
        <f t="shared" ca="1" si="160"/>
        <v>-12213333268923.748</v>
      </c>
      <c r="J3983" s="444">
        <f t="array" ref="J3983">IFERROR(INDEX('Retirement Calculator'!K:K,MATCH('Lorri 401b'!N3983,'Retirement Calculator'!A:A,0),0),0)</f>
        <v>0</v>
      </c>
      <c r="K3983" s="444">
        <f t="shared" ca="1" si="158"/>
        <v>-50888888620.515617</v>
      </c>
      <c r="L3983" s="444">
        <f t="shared" ca="1" si="159"/>
        <v>-12264222157544.264</v>
      </c>
      <c r="M3983" s="460">
        <f t="shared" si="161"/>
        <v>0.05</v>
      </c>
      <c r="N3983" s="464">
        <f t="shared" si="162"/>
        <v>172274</v>
      </c>
    </row>
    <row r="3984" spans="7:14" ht="11.25" customHeight="1" x14ac:dyDescent="0.25">
      <c r="G3984" s="459"/>
      <c r="H3984" s="459">
        <v>3977</v>
      </c>
      <c r="I3984" s="444">
        <f t="shared" ca="1" si="160"/>
        <v>-12264222157544.264</v>
      </c>
      <c r="J3984" s="444">
        <f t="array" ref="J3984">IFERROR(INDEX('Retirement Calculator'!K:K,MATCH('Lorri 401b'!N3984,'Retirement Calculator'!A:A,0),0),0)</f>
        <v>0</v>
      </c>
      <c r="K3984" s="444">
        <f t="shared" ca="1" si="158"/>
        <v>-51100925656.434433</v>
      </c>
      <c r="L3984" s="444">
        <f t="shared" ca="1" si="159"/>
        <v>-12315323083200.697</v>
      </c>
      <c r="M3984" s="460">
        <f t="shared" si="161"/>
        <v>0.05</v>
      </c>
      <c r="N3984" s="464">
        <f t="shared" si="162"/>
        <v>172304</v>
      </c>
    </row>
    <row r="3985" spans="7:14" ht="11.25" customHeight="1" x14ac:dyDescent="0.25">
      <c r="G3985" s="459"/>
      <c r="H3985" s="459">
        <v>3978</v>
      </c>
      <c r="I3985" s="444">
        <f t="shared" ca="1" si="160"/>
        <v>-12315323083200.697</v>
      </c>
      <c r="J3985" s="444">
        <f t="array" ref="J3985">IFERROR(INDEX('Retirement Calculator'!K:K,MATCH('Lorri 401b'!N3985,'Retirement Calculator'!A:A,0),0),0)</f>
        <v>0</v>
      </c>
      <c r="K3985" s="444">
        <f t="shared" ca="1" si="158"/>
        <v>-51313846180.002907</v>
      </c>
      <c r="L3985" s="444">
        <f t="shared" ca="1" si="159"/>
        <v>-12366636929380.699</v>
      </c>
      <c r="M3985" s="460">
        <f t="shared" si="161"/>
        <v>0.05</v>
      </c>
      <c r="N3985" s="464">
        <f t="shared" si="162"/>
        <v>172335</v>
      </c>
    </row>
    <row r="3986" spans="7:14" ht="11.25" customHeight="1" x14ac:dyDescent="0.25">
      <c r="G3986" s="459"/>
      <c r="H3986" s="459">
        <v>3979</v>
      </c>
      <c r="I3986" s="444">
        <f t="shared" ca="1" si="160"/>
        <v>-12366636929380.699</v>
      </c>
      <c r="J3986" s="444">
        <f t="array" ref="J3986">IFERROR(INDEX('Retirement Calculator'!K:K,MATCH('Lorri 401b'!N3986,'Retirement Calculator'!A:A,0),0),0)</f>
        <v>0</v>
      </c>
      <c r="K3986" s="444">
        <f t="shared" ca="1" si="158"/>
        <v>-51527653872.419579</v>
      </c>
      <c r="L3986" s="444">
        <f t="shared" ca="1" si="159"/>
        <v>-12418164583253.119</v>
      </c>
      <c r="M3986" s="460">
        <f t="shared" si="161"/>
        <v>0.05</v>
      </c>
      <c r="N3986" s="464">
        <f t="shared" si="162"/>
        <v>172365</v>
      </c>
    </row>
    <row r="3987" spans="7:14" ht="11.25" customHeight="1" x14ac:dyDescent="0.25">
      <c r="G3987" s="459"/>
      <c r="H3987" s="459">
        <v>3980</v>
      </c>
      <c r="I3987" s="444">
        <f t="shared" ca="1" si="160"/>
        <v>-12418164583253.119</v>
      </c>
      <c r="J3987" s="444">
        <f t="array" ref="J3987">IFERROR(INDEX('Retirement Calculator'!K:K,MATCH('Lorri 401b'!N3987,'Retirement Calculator'!A:A,0),0),0)</f>
        <v>0</v>
      </c>
      <c r="K3987" s="444">
        <f t="shared" ca="1" si="158"/>
        <v>-51742352430.221329</v>
      </c>
      <c r="L3987" s="444">
        <f t="shared" ca="1" si="159"/>
        <v>-12469906935683.34</v>
      </c>
      <c r="M3987" s="460">
        <f t="shared" si="161"/>
        <v>0.05</v>
      </c>
      <c r="N3987" s="464">
        <f t="shared" si="162"/>
        <v>172396</v>
      </c>
    </row>
    <row r="3988" spans="7:14" ht="11.25" customHeight="1" x14ac:dyDescent="0.25">
      <c r="G3988" s="459"/>
      <c r="H3988" s="459">
        <v>3981</v>
      </c>
      <c r="I3988" s="444">
        <f t="shared" ca="1" si="160"/>
        <v>-12469906935683.34</v>
      </c>
      <c r="J3988" s="444">
        <f t="array" ref="J3988">IFERROR(INDEX('Retirement Calculator'!K:K,MATCH('Lorri 401b'!N3988,'Retirement Calculator'!A:A,0),0),0)</f>
        <v>0</v>
      </c>
      <c r="K3988" s="444">
        <f t="shared" ca="1" si="158"/>
        <v>-51957945565.347252</v>
      </c>
      <c r="L3988" s="444">
        <f t="shared" ca="1" si="159"/>
        <v>-12521864881248.688</v>
      </c>
      <c r="M3988" s="460">
        <f t="shared" si="161"/>
        <v>0.05</v>
      </c>
      <c r="N3988" s="464">
        <f t="shared" si="162"/>
        <v>172427</v>
      </c>
    </row>
    <row r="3989" spans="7:14" ht="11.25" customHeight="1" x14ac:dyDescent="0.25">
      <c r="G3989" s="459"/>
      <c r="H3989" s="459">
        <v>3982</v>
      </c>
      <c r="I3989" s="444">
        <f t="shared" ca="1" si="160"/>
        <v>-12521864881248.688</v>
      </c>
      <c r="J3989" s="444">
        <f t="array" ref="J3989">IFERROR(INDEX('Retirement Calculator'!K:K,MATCH('Lorri 401b'!N3989,'Retirement Calculator'!A:A,0),0),0)</f>
        <v>0</v>
      </c>
      <c r="K3989" s="444">
        <f t="shared" ca="1" si="158"/>
        <v>-52174437005.202866</v>
      </c>
      <c r="L3989" s="444">
        <f t="shared" ca="1" si="159"/>
        <v>-12574039318253.891</v>
      </c>
      <c r="M3989" s="460">
        <f t="shared" si="161"/>
        <v>0.05</v>
      </c>
      <c r="N3989" s="464">
        <f t="shared" si="162"/>
        <v>172456</v>
      </c>
    </row>
    <row r="3990" spans="7:14" ht="11.25" customHeight="1" x14ac:dyDescent="0.25">
      <c r="G3990" s="459"/>
      <c r="H3990" s="459">
        <v>3983</v>
      </c>
      <c r="I3990" s="444">
        <f t="shared" ca="1" si="160"/>
        <v>-12574039318253.891</v>
      </c>
      <c r="J3990" s="444">
        <f t="array" ref="J3990">IFERROR(INDEX('Retirement Calculator'!K:K,MATCH('Lorri 401b'!N3990,'Retirement Calculator'!A:A,0),0),0)</f>
        <v>0</v>
      </c>
      <c r="K3990" s="444">
        <f t="shared" ca="1" si="158"/>
        <v>-52391830492.724541</v>
      </c>
      <c r="L3990" s="444">
        <f t="shared" ca="1" si="159"/>
        <v>-12626431148746.615</v>
      </c>
      <c r="M3990" s="460">
        <f t="shared" si="161"/>
        <v>0.05</v>
      </c>
      <c r="N3990" s="464">
        <f t="shared" si="162"/>
        <v>172487</v>
      </c>
    </row>
    <row r="3991" spans="7:14" ht="11.25" customHeight="1" x14ac:dyDescent="0.25">
      <c r="G3991" s="459"/>
      <c r="H3991" s="459">
        <v>3984</v>
      </c>
      <c r="I3991" s="444">
        <f t="shared" ca="1" si="160"/>
        <v>-12626431148746.615</v>
      </c>
      <c r="J3991" s="444">
        <f t="array" ref="J3991">IFERROR(INDEX('Retirement Calculator'!K:K,MATCH('Lorri 401b'!N3991,'Retirement Calculator'!A:A,0),0),0)</f>
        <v>0</v>
      </c>
      <c r="K3991" s="444">
        <f t="shared" ca="1" si="158"/>
        <v>-52610129786.444229</v>
      </c>
      <c r="L3991" s="444">
        <f t="shared" ca="1" si="159"/>
        <v>-12679041278533.059</v>
      </c>
      <c r="M3991" s="460">
        <f t="shared" si="161"/>
        <v>0.05</v>
      </c>
      <c r="N3991" s="464">
        <f t="shared" si="162"/>
        <v>172517</v>
      </c>
    </row>
    <row r="3992" spans="7:14" ht="11.25" customHeight="1" x14ac:dyDescent="0.25">
      <c r="G3992" s="459"/>
      <c r="H3992" s="459">
        <v>3985</v>
      </c>
      <c r="I3992" s="444">
        <f t="shared" ca="1" si="160"/>
        <v>-12679041278533.059</v>
      </c>
      <c r="J3992" s="444">
        <f t="array" ref="J3992">IFERROR(INDEX('Retirement Calculator'!K:K,MATCH('Lorri 401b'!N3992,'Retirement Calculator'!A:A,0),0),0)</f>
        <v>0</v>
      </c>
      <c r="K3992" s="444">
        <f t="shared" ca="1" si="158"/>
        <v>-52829338660.554413</v>
      </c>
      <c r="L3992" s="444">
        <f t="shared" ca="1" si="159"/>
        <v>-12731870617193.613</v>
      </c>
      <c r="M3992" s="460">
        <f t="shared" si="161"/>
        <v>0.05</v>
      </c>
      <c r="N3992" s="464">
        <f t="shared" si="162"/>
        <v>172548</v>
      </c>
    </row>
    <row r="3993" spans="7:14" ht="11.25" customHeight="1" x14ac:dyDescent="0.25">
      <c r="G3993" s="459"/>
      <c r="H3993" s="459">
        <v>3986</v>
      </c>
      <c r="I3993" s="444">
        <f t="shared" ca="1" si="160"/>
        <v>-12731870617193.613</v>
      </c>
      <c r="J3993" s="444">
        <f t="array" ref="J3993">IFERROR(INDEX('Retirement Calculator'!K:K,MATCH('Lorri 401b'!N3993,'Retirement Calculator'!A:A,0),0),0)</f>
        <v>0</v>
      </c>
      <c r="K3993" s="444">
        <f t="shared" ca="1" si="158"/>
        <v>-53049460904.973389</v>
      </c>
      <c r="L3993" s="444">
        <f t="shared" ca="1" si="159"/>
        <v>-12784920078098.586</v>
      </c>
      <c r="M3993" s="460">
        <f t="shared" si="161"/>
        <v>0.05</v>
      </c>
      <c r="N3993" s="464">
        <f t="shared" si="162"/>
        <v>172578</v>
      </c>
    </row>
    <row r="3994" spans="7:14" ht="11.25" customHeight="1" x14ac:dyDescent="0.25">
      <c r="G3994" s="459"/>
      <c r="H3994" s="459">
        <v>3987</v>
      </c>
      <c r="I3994" s="444">
        <f t="shared" ca="1" si="160"/>
        <v>-12784920078098.586</v>
      </c>
      <c r="J3994" s="444">
        <f t="array" ref="J3994">IFERROR(INDEX('Retirement Calculator'!K:K,MATCH('Lorri 401b'!N3994,'Retirement Calculator'!A:A,0),0),0)</f>
        <v>0</v>
      </c>
      <c r="K3994" s="444">
        <f t="shared" ca="1" si="158"/>
        <v>-53270500325.410774</v>
      </c>
      <c r="L3994" s="444">
        <f t="shared" ca="1" si="159"/>
        <v>-12838190578423.996</v>
      </c>
      <c r="M3994" s="460">
        <f t="shared" si="161"/>
        <v>0.05</v>
      </c>
      <c r="N3994" s="464">
        <f t="shared" si="162"/>
        <v>172609</v>
      </c>
    </row>
    <row r="3995" spans="7:14" ht="11.25" customHeight="1" x14ac:dyDescent="0.25">
      <c r="G3995" s="459"/>
      <c r="H3995" s="459">
        <v>3988</v>
      </c>
      <c r="I3995" s="444">
        <f t="shared" ca="1" si="160"/>
        <v>-12838190578423.996</v>
      </c>
      <c r="J3995" s="444">
        <f t="array" ref="J3995">IFERROR(INDEX('Retirement Calculator'!K:K,MATCH('Lorri 401b'!N3995,'Retirement Calculator'!A:A,0),0),0)</f>
        <v>0</v>
      </c>
      <c r="K3995" s="444">
        <f t="shared" ca="1" si="158"/>
        <v>-53492460743.433319</v>
      </c>
      <c r="L3995" s="444">
        <f t="shared" ca="1" si="159"/>
        <v>-12891683039167.43</v>
      </c>
      <c r="M3995" s="460">
        <f t="shared" si="161"/>
        <v>0.05</v>
      </c>
      <c r="N3995" s="464">
        <f t="shared" si="162"/>
        <v>172640</v>
      </c>
    </row>
    <row r="3996" spans="7:14" ht="11.25" customHeight="1" x14ac:dyDescent="0.25">
      <c r="G3996" s="459"/>
      <c r="H3996" s="459">
        <v>3989</v>
      </c>
      <c r="I3996" s="444">
        <f t="shared" ca="1" si="160"/>
        <v>-12891683039167.43</v>
      </c>
      <c r="J3996" s="444">
        <f t="array" ref="J3996">IFERROR(INDEX('Retirement Calculator'!K:K,MATCH('Lorri 401b'!N3996,'Retirement Calculator'!A:A,0),0),0)</f>
        <v>0</v>
      </c>
      <c r="K3996" s="444">
        <f t="shared" ca="1" si="158"/>
        <v>-53715345996.53096</v>
      </c>
      <c r="L3996" s="444">
        <f t="shared" ca="1" si="159"/>
        <v>-12945398385163.961</v>
      </c>
      <c r="M3996" s="460">
        <f t="shared" si="161"/>
        <v>0.05</v>
      </c>
      <c r="N3996" s="464">
        <f t="shared" si="162"/>
        <v>172670</v>
      </c>
    </row>
    <row r="3997" spans="7:14" ht="11.25" customHeight="1" x14ac:dyDescent="0.25">
      <c r="G3997" s="459"/>
      <c r="H3997" s="459">
        <v>3990</v>
      </c>
      <c r="I3997" s="444">
        <f t="shared" ca="1" si="160"/>
        <v>-12945398385163.961</v>
      </c>
      <c r="J3997" s="444">
        <f t="array" ref="J3997">IFERROR(INDEX('Retirement Calculator'!K:K,MATCH('Lorri 401b'!N3997,'Retirement Calculator'!A:A,0),0),0)</f>
        <v>0</v>
      </c>
      <c r="K3997" s="444">
        <f t="shared" ca="1" si="158"/>
        <v>-53939159938.183167</v>
      </c>
      <c r="L3997" s="444">
        <f t="shared" ca="1" si="159"/>
        <v>-12999337545102.145</v>
      </c>
      <c r="M3997" s="460">
        <f t="shared" si="161"/>
        <v>0.05</v>
      </c>
      <c r="N3997" s="464">
        <f t="shared" si="162"/>
        <v>172701</v>
      </c>
    </row>
    <row r="3998" spans="7:14" ht="11.25" customHeight="1" x14ac:dyDescent="0.25">
      <c r="G3998" s="459"/>
      <c r="H3998" s="459">
        <v>3991</v>
      </c>
      <c r="I3998" s="444">
        <f t="shared" ca="1" si="160"/>
        <v>-12999337545102.145</v>
      </c>
      <c r="J3998" s="444">
        <f t="array" ref="J3998">IFERROR(INDEX('Retirement Calculator'!K:K,MATCH('Lorri 401b'!N3998,'Retirement Calculator'!A:A,0),0),0)</f>
        <v>0</v>
      </c>
      <c r="K3998" s="444">
        <f t="shared" ca="1" si="158"/>
        <v>-54163906437.925598</v>
      </c>
      <c r="L3998" s="444">
        <f t="shared" ca="1" si="159"/>
        <v>-13053501451540.07</v>
      </c>
      <c r="M3998" s="460">
        <f t="shared" si="161"/>
        <v>0.05</v>
      </c>
      <c r="N3998" s="464">
        <f t="shared" si="162"/>
        <v>172731</v>
      </c>
    </row>
    <row r="3999" spans="7:14" ht="11.25" customHeight="1" x14ac:dyDescent="0.25">
      <c r="G3999" s="459"/>
      <c r="H3999" s="459">
        <v>3992</v>
      </c>
      <c r="I3999" s="444">
        <f t="shared" ca="1" si="160"/>
        <v>-13053501451540.07</v>
      </c>
      <c r="J3999" s="444">
        <f t="array" ref="J3999">IFERROR(INDEX('Retirement Calculator'!K:K,MATCH('Lorri 401b'!N3999,'Retirement Calculator'!A:A,0),0),0)</f>
        <v>0</v>
      </c>
      <c r="K3999" s="444">
        <f t="shared" ca="1" si="158"/>
        <v>-54389589381.416962</v>
      </c>
      <c r="L3999" s="444">
        <f t="shared" ca="1" si="159"/>
        <v>-13107891040921.486</v>
      </c>
      <c r="M3999" s="460">
        <f t="shared" si="161"/>
        <v>0.05</v>
      </c>
      <c r="N3999" s="464">
        <f t="shared" si="162"/>
        <v>172762</v>
      </c>
    </row>
    <row r="4000" spans="7:14" ht="11.25" customHeight="1" x14ac:dyDescent="0.25">
      <c r="G4000" s="459"/>
      <c r="H4000" s="459">
        <v>3993</v>
      </c>
      <c r="I4000" s="444">
        <f t="shared" ca="1" si="160"/>
        <v>-13107891040921.486</v>
      </c>
      <c r="J4000" s="444">
        <f t="array" ref="J4000">IFERROR(INDEX('Retirement Calculator'!K:K,MATCH('Lorri 401b'!N4000,'Retirement Calculator'!A:A,0),0),0)</f>
        <v>0</v>
      </c>
      <c r="K4000" s="444">
        <f t="shared" ca="1" si="158"/>
        <v>-54616212670.506195</v>
      </c>
      <c r="L4000" s="444">
        <f t="shared" ca="1" si="159"/>
        <v>-13162507253591.992</v>
      </c>
      <c r="M4000" s="460">
        <f t="shared" si="161"/>
        <v>0.05</v>
      </c>
      <c r="N4000" s="464">
        <f t="shared" si="162"/>
        <v>172793</v>
      </c>
    </row>
    <row r="4001" spans="7:14" ht="11.25" customHeight="1" x14ac:dyDescent="0.25">
      <c r="G4001" s="459"/>
      <c r="H4001" s="459">
        <v>3994</v>
      </c>
      <c r="I4001" s="444">
        <f t="shared" ca="1" si="160"/>
        <v>-13162507253591.992</v>
      </c>
      <c r="J4001" s="444">
        <f t="array" ref="J4001">IFERROR(INDEX('Retirement Calculator'!K:K,MATCH('Lorri 401b'!N4001,'Retirement Calculator'!A:A,0),0),0)</f>
        <v>0</v>
      </c>
      <c r="K4001" s="444">
        <f t="shared" ca="1" si="158"/>
        <v>-54843780223.299965</v>
      </c>
      <c r="L4001" s="444">
        <f t="shared" ca="1" si="159"/>
        <v>-13217351033815.293</v>
      </c>
      <c r="M4001" s="460">
        <f t="shared" si="161"/>
        <v>0.05</v>
      </c>
      <c r="N4001" s="464">
        <f t="shared" si="162"/>
        <v>172821</v>
      </c>
    </row>
    <row r="4002" spans="7:14" ht="11.25" customHeight="1" x14ac:dyDescent="0.25">
      <c r="G4002" s="459"/>
      <c r="H4002" s="459">
        <v>3995</v>
      </c>
      <c r="I4002" s="444">
        <f t="shared" ca="1" si="160"/>
        <v>-13217351033815.293</v>
      </c>
      <c r="J4002" s="444">
        <f t="array" ref="J4002">IFERROR(INDEX('Retirement Calculator'!K:K,MATCH('Lorri 401b'!N4002,'Retirement Calculator'!A:A,0),0),0)</f>
        <v>0</v>
      </c>
      <c r="K4002" s="444">
        <f t="shared" ca="1" si="158"/>
        <v>-55072295974.230385</v>
      </c>
      <c r="L4002" s="444">
        <f t="shared" ca="1" si="159"/>
        <v>-13272423329789.523</v>
      </c>
      <c r="M4002" s="460">
        <f t="shared" si="161"/>
        <v>0.05</v>
      </c>
      <c r="N4002" s="464">
        <f t="shared" si="162"/>
        <v>172852</v>
      </c>
    </row>
    <row r="4003" spans="7:14" ht="11.25" customHeight="1" x14ac:dyDescent="0.25">
      <c r="G4003" s="459"/>
      <c r="H4003" s="459">
        <v>3996</v>
      </c>
      <c r="I4003" s="444">
        <f t="shared" ca="1" si="160"/>
        <v>-13272423329789.523</v>
      </c>
      <c r="J4003" s="444">
        <f t="array" ref="J4003">IFERROR(INDEX('Retirement Calculator'!K:K,MATCH('Lorri 401b'!N4003,'Retirement Calculator'!A:A,0),0),0)</f>
        <v>0</v>
      </c>
      <c r="K4003" s="444">
        <f t="shared" ca="1" si="158"/>
        <v>-55301763874.123016</v>
      </c>
      <c r="L4003" s="444">
        <f t="shared" ca="1" si="159"/>
        <v>-13327725093663.646</v>
      </c>
      <c r="M4003" s="460">
        <f t="shared" si="161"/>
        <v>0.05</v>
      </c>
      <c r="N4003" s="464">
        <f t="shared" si="162"/>
        <v>172882</v>
      </c>
    </row>
    <row r="4004" spans="7:14" ht="11.25" customHeight="1" x14ac:dyDescent="0.25">
      <c r="G4004" s="459"/>
      <c r="H4004" s="459">
        <v>3997</v>
      </c>
      <c r="I4004" s="444">
        <f t="shared" ca="1" si="160"/>
        <v>-13327725093663.646</v>
      </c>
      <c r="J4004" s="444">
        <f t="array" ref="J4004">IFERROR(INDEX('Retirement Calculator'!K:K,MATCH('Lorri 401b'!N4004,'Retirement Calculator'!A:A,0),0),0)</f>
        <v>0</v>
      </c>
      <c r="K4004" s="444">
        <f t="shared" ca="1" si="158"/>
        <v>-55532187890.26519</v>
      </c>
      <c r="L4004" s="444">
        <f t="shared" ca="1" si="159"/>
        <v>-13383257281553.912</v>
      </c>
      <c r="M4004" s="460">
        <f t="shared" si="161"/>
        <v>0.05</v>
      </c>
      <c r="N4004" s="464">
        <f t="shared" si="162"/>
        <v>172913</v>
      </c>
    </row>
    <row r="4005" spans="7:14" ht="11.25" customHeight="1" x14ac:dyDescent="0.25">
      <c r="G4005" s="459"/>
      <c r="H4005" s="459">
        <v>3998</v>
      </c>
      <c r="I4005" s="444">
        <f t="shared" ca="1" si="160"/>
        <v>-13383257281553.912</v>
      </c>
      <c r="J4005" s="444">
        <f t="array" ref="J4005">IFERROR(INDEX('Retirement Calculator'!K:K,MATCH('Lorri 401b'!N4005,'Retirement Calculator'!A:A,0),0),0)</f>
        <v>0</v>
      </c>
      <c r="K4005" s="444">
        <f t="shared" ca="1" si="158"/>
        <v>-55763572006.474632</v>
      </c>
      <c r="L4005" s="444">
        <f t="shared" ca="1" si="159"/>
        <v>-13439020853560.387</v>
      </c>
      <c r="M4005" s="460">
        <f t="shared" si="161"/>
        <v>0.05</v>
      </c>
      <c r="N4005" s="464">
        <f t="shared" si="162"/>
        <v>172943</v>
      </c>
    </row>
    <row r="4006" spans="7:14" ht="11.25" customHeight="1" x14ac:dyDescent="0.25">
      <c r="G4006" s="459"/>
      <c r="H4006" s="459">
        <v>3999</v>
      </c>
      <c r="I4006" s="444">
        <f t="shared" ca="1" si="160"/>
        <v>-13439020853560.387</v>
      </c>
      <c r="J4006" s="444">
        <f t="array" ref="J4006">IFERROR(INDEX('Retirement Calculator'!K:K,MATCH('Lorri 401b'!N4006,'Retirement Calculator'!A:A,0),0),0)</f>
        <v>0</v>
      </c>
      <c r="K4006" s="444">
        <f t="shared" ca="1" si="158"/>
        <v>-55995920223.168274</v>
      </c>
      <c r="L4006" s="444">
        <f t="shared" ca="1" si="159"/>
        <v>-13495016773783.555</v>
      </c>
      <c r="M4006" s="460">
        <f t="shared" si="161"/>
        <v>0.05</v>
      </c>
      <c r="N4006" s="464">
        <f t="shared" si="162"/>
        <v>172974</v>
      </c>
    </row>
    <row r="4007" spans="7:14" ht="11.25" customHeight="1" x14ac:dyDescent="0.25">
      <c r="G4007" s="459"/>
      <c r="H4007" s="459">
        <v>4000</v>
      </c>
      <c r="I4007" s="444">
        <f t="shared" ca="1" si="160"/>
        <v>-13495016773783.555</v>
      </c>
      <c r="J4007" s="444">
        <f t="array" ref="J4007">IFERROR(INDEX('Retirement Calculator'!K:K,MATCH('Lorri 401b'!N4007,'Retirement Calculator'!A:A,0),0),0)</f>
        <v>0</v>
      </c>
      <c r="K4007" s="444">
        <f t="shared" ca="1" si="158"/>
        <v>-56229236557.43148</v>
      </c>
      <c r="L4007" s="444">
        <f t="shared" ca="1" si="159"/>
        <v>-13551246010340.986</v>
      </c>
      <c r="M4007" s="460">
        <f t="shared" si="161"/>
        <v>0.05</v>
      </c>
      <c r="N4007" s="464">
        <f t="shared" si="162"/>
        <v>173005</v>
      </c>
    </row>
    <row r="4008" spans="7:14" ht="11.25" customHeight="1" x14ac:dyDescent="0.25">
      <c r="G4008" s="459"/>
      <c r="H4008" s="459">
        <v>4001</v>
      </c>
      <c r="I4008" s="444">
        <f t="shared" ca="1" si="160"/>
        <v>-13551246010340.986</v>
      </c>
      <c r="J4008" s="444">
        <f t="array" ref="J4008">IFERROR(INDEX('Retirement Calculator'!K:K,MATCH('Lorri 401b'!N4008,'Retirement Calculator'!A:A,0),0),0)</f>
        <v>0</v>
      </c>
      <c r="K4008" s="444">
        <f t="shared" ca="1" si="158"/>
        <v>-56463525043.08744</v>
      </c>
      <c r="L4008" s="444">
        <f t="shared" ca="1" si="159"/>
        <v>-13607709535384.074</v>
      </c>
      <c r="M4008" s="460">
        <f t="shared" si="161"/>
        <v>0.05</v>
      </c>
      <c r="N4008" s="464">
        <f t="shared" si="162"/>
        <v>173035</v>
      </c>
    </row>
    <row r="4009" spans="7:14" ht="11.25" customHeight="1" x14ac:dyDescent="0.25">
      <c r="G4009" s="459"/>
      <c r="H4009" s="459">
        <v>4002</v>
      </c>
      <c r="I4009" s="444">
        <f t="shared" ca="1" si="160"/>
        <v>-13607709535384.074</v>
      </c>
      <c r="J4009" s="444">
        <f t="array" ref="J4009">IFERROR(INDEX('Retirement Calculator'!K:K,MATCH('Lorri 401b'!N4009,'Retirement Calculator'!A:A,0),0),0)</f>
        <v>0</v>
      </c>
      <c r="K4009" s="444">
        <f t="shared" ca="1" si="158"/>
        <v>-56698789730.766975</v>
      </c>
      <c r="L4009" s="444">
        <f t="shared" ca="1" si="159"/>
        <v>-13664408325114.842</v>
      </c>
      <c r="M4009" s="460">
        <f t="shared" si="161"/>
        <v>0.05</v>
      </c>
      <c r="N4009" s="464">
        <f t="shared" si="162"/>
        <v>173066</v>
      </c>
    </row>
    <row r="4010" spans="7:14" ht="11.25" customHeight="1" x14ac:dyDescent="0.25">
      <c r="G4010" s="459"/>
      <c r="H4010" s="459">
        <v>4003</v>
      </c>
      <c r="I4010" s="444">
        <f t="shared" ca="1" si="160"/>
        <v>-13664408325114.842</v>
      </c>
      <c r="J4010" s="444">
        <f t="array" ref="J4010">IFERROR(INDEX('Retirement Calculator'!K:K,MATCH('Lorri 401b'!N4010,'Retirement Calculator'!A:A,0),0),0)</f>
        <v>0</v>
      </c>
      <c r="K4010" s="444">
        <f t="shared" ca="1" si="158"/>
        <v>-56935034687.978508</v>
      </c>
      <c r="L4010" s="444">
        <f t="shared" ca="1" si="159"/>
        <v>-13721343359802.82</v>
      </c>
      <c r="M4010" s="460">
        <f t="shared" si="161"/>
        <v>0.05</v>
      </c>
      <c r="N4010" s="464">
        <f t="shared" si="162"/>
        <v>173096</v>
      </c>
    </row>
    <row r="4011" spans="7:14" ht="11.25" customHeight="1" x14ac:dyDescent="0.25">
      <c r="G4011" s="459"/>
      <c r="H4011" s="459">
        <v>4004</v>
      </c>
      <c r="I4011" s="444">
        <f t="shared" ca="1" si="160"/>
        <v>-13721343359802.82</v>
      </c>
      <c r="J4011" s="444">
        <f t="array" ref="J4011">IFERROR(INDEX('Retirement Calculator'!K:K,MATCH('Lorri 401b'!N4011,'Retirement Calculator'!A:A,0),0),0)</f>
        <v>0</v>
      </c>
      <c r="K4011" s="444">
        <f t="shared" ca="1" si="158"/>
        <v>-57172263999.178406</v>
      </c>
      <c r="L4011" s="444">
        <f t="shared" ca="1" si="159"/>
        <v>-13778515623801.998</v>
      </c>
      <c r="M4011" s="460">
        <f t="shared" si="161"/>
        <v>0.05</v>
      </c>
      <c r="N4011" s="464">
        <f t="shared" si="162"/>
        <v>173127</v>
      </c>
    </row>
    <row r="4012" spans="7:14" ht="11.25" customHeight="1" x14ac:dyDescent="0.25">
      <c r="G4012" s="459"/>
      <c r="H4012" s="459">
        <v>4005</v>
      </c>
      <c r="I4012" s="444">
        <f t="shared" ca="1" si="160"/>
        <v>-13778515623801.998</v>
      </c>
      <c r="J4012" s="444">
        <f t="array" ref="J4012">IFERROR(INDEX('Retirement Calculator'!K:K,MATCH('Lorri 401b'!N4012,'Retirement Calculator'!A:A,0),0),0)</f>
        <v>0</v>
      </c>
      <c r="K4012" s="444">
        <f t="shared" ca="1" si="158"/>
        <v>-57410481765.84166</v>
      </c>
      <c r="L4012" s="444">
        <f t="shared" ca="1" si="159"/>
        <v>-13835926105567.84</v>
      </c>
      <c r="M4012" s="460">
        <f t="shared" si="161"/>
        <v>0.05</v>
      </c>
      <c r="N4012" s="464">
        <f t="shared" si="162"/>
        <v>173158</v>
      </c>
    </row>
    <row r="4013" spans="7:14" ht="11.25" customHeight="1" x14ac:dyDescent="0.25">
      <c r="G4013" s="459"/>
      <c r="H4013" s="459">
        <v>4006</v>
      </c>
      <c r="I4013" s="444">
        <f t="shared" ca="1" si="160"/>
        <v>-13835926105567.84</v>
      </c>
      <c r="J4013" s="444">
        <f t="array" ref="J4013">IFERROR(INDEX('Retirement Calculator'!K:K,MATCH('Lorri 401b'!N4013,'Retirement Calculator'!A:A,0),0),0)</f>
        <v>0</v>
      </c>
      <c r="K4013" s="444">
        <f t="shared" ca="1" si="158"/>
        <v>-57649692106.532661</v>
      </c>
      <c r="L4013" s="444">
        <f t="shared" ca="1" si="159"/>
        <v>-13893575797674.373</v>
      </c>
      <c r="M4013" s="460">
        <f t="shared" si="161"/>
        <v>0.05</v>
      </c>
      <c r="N4013" s="464">
        <f t="shared" si="162"/>
        <v>173186</v>
      </c>
    </row>
    <row r="4014" spans="7:14" ht="11.25" customHeight="1" x14ac:dyDescent="0.25">
      <c r="G4014" s="459"/>
      <c r="H4014" s="459">
        <v>4007</v>
      </c>
      <c r="I4014" s="444">
        <f t="shared" ca="1" si="160"/>
        <v>-13893575797674.373</v>
      </c>
      <c r="J4014" s="444">
        <f t="array" ref="J4014">IFERROR(INDEX('Retirement Calculator'!K:K,MATCH('Lorri 401b'!N4014,'Retirement Calculator'!A:A,0),0),0)</f>
        <v>0</v>
      </c>
      <c r="K4014" s="444">
        <f t="shared" ca="1" si="158"/>
        <v>-57889899156.976555</v>
      </c>
      <c r="L4014" s="444">
        <f t="shared" ca="1" si="159"/>
        <v>-13951465696831.35</v>
      </c>
      <c r="M4014" s="460">
        <f t="shared" si="161"/>
        <v>0.05</v>
      </c>
      <c r="N4014" s="464">
        <f t="shared" si="162"/>
        <v>173217</v>
      </c>
    </row>
    <row r="4015" spans="7:14" ht="11.25" customHeight="1" x14ac:dyDescent="0.25">
      <c r="G4015" s="459"/>
      <c r="H4015" s="459">
        <v>4008</v>
      </c>
      <c r="I4015" s="444">
        <f t="shared" ca="1" si="160"/>
        <v>-13951465696831.35</v>
      </c>
      <c r="J4015" s="444">
        <f t="array" ref="J4015">IFERROR(INDEX('Retirement Calculator'!K:K,MATCH('Lorri 401b'!N4015,'Retirement Calculator'!A:A,0),0),0)</f>
        <v>0</v>
      </c>
      <c r="K4015" s="444">
        <f t="shared" ca="1" si="158"/>
        <v>-58131107070.130615</v>
      </c>
      <c r="L4015" s="444">
        <f t="shared" ca="1" si="159"/>
        <v>-14009596803901.48</v>
      </c>
      <c r="M4015" s="460">
        <f t="shared" si="161"/>
        <v>0.05</v>
      </c>
      <c r="N4015" s="464">
        <f t="shared" si="162"/>
        <v>173247</v>
      </c>
    </row>
    <row r="4016" spans="7:14" ht="11.25" customHeight="1" x14ac:dyDescent="0.25">
      <c r="G4016" s="459"/>
      <c r="H4016" s="459">
        <v>4009</v>
      </c>
      <c r="I4016" s="444">
        <f t="shared" ca="1" si="160"/>
        <v>-14009596803901.48</v>
      </c>
      <c r="J4016" s="444">
        <f t="array" ref="J4016">IFERROR(INDEX('Retirement Calculator'!K:K,MATCH('Lorri 401b'!N4016,'Retirement Calculator'!A:A,0),0),0)</f>
        <v>0</v>
      </c>
      <c r="K4016" s="444">
        <f t="shared" ca="1" si="158"/>
        <v>-58373320016.256165</v>
      </c>
      <c r="L4016" s="444">
        <f t="shared" ca="1" si="159"/>
        <v>-14067970123917.736</v>
      </c>
      <c r="M4016" s="460">
        <f t="shared" si="161"/>
        <v>0.05</v>
      </c>
      <c r="N4016" s="464">
        <f t="shared" si="162"/>
        <v>173278</v>
      </c>
    </row>
    <row r="4017" spans="7:14" ht="11.25" customHeight="1" x14ac:dyDescent="0.25">
      <c r="G4017" s="459"/>
      <c r="H4017" s="459">
        <v>4010</v>
      </c>
      <c r="I4017" s="444">
        <f t="shared" ca="1" si="160"/>
        <v>-14067970123917.736</v>
      </c>
      <c r="J4017" s="444">
        <f t="array" ref="J4017">IFERROR(INDEX('Retirement Calculator'!K:K,MATCH('Lorri 401b'!N4017,'Retirement Calculator'!A:A,0),0),0)</f>
        <v>0</v>
      </c>
      <c r="K4017" s="444">
        <f t="shared" ca="1" si="158"/>
        <v>-58616542182.99057</v>
      </c>
      <c r="L4017" s="444">
        <f t="shared" ca="1" si="159"/>
        <v>-14126586666100.727</v>
      </c>
      <c r="M4017" s="460">
        <f t="shared" si="161"/>
        <v>0.05</v>
      </c>
      <c r="N4017" s="464">
        <f t="shared" si="162"/>
        <v>173308</v>
      </c>
    </row>
    <row r="4018" spans="7:14" ht="11.25" customHeight="1" x14ac:dyDescent="0.25">
      <c r="G4018" s="459"/>
      <c r="H4018" s="459">
        <v>4011</v>
      </c>
      <c r="I4018" s="444">
        <f t="shared" ca="1" si="160"/>
        <v>-14126586666100.727</v>
      </c>
      <c r="J4018" s="444">
        <f t="array" ref="J4018">IFERROR(INDEX('Retirement Calculator'!K:K,MATCH('Lorri 401b'!N4018,'Retirement Calculator'!A:A,0),0),0)</f>
        <v>0</v>
      </c>
      <c r="K4018" s="444">
        <f t="shared" ca="1" si="158"/>
        <v>-58860777775.419693</v>
      </c>
      <c r="L4018" s="444">
        <f t="shared" ca="1" si="159"/>
        <v>-14185447443876.146</v>
      </c>
      <c r="M4018" s="460">
        <f t="shared" si="161"/>
        <v>0.05</v>
      </c>
      <c r="N4018" s="464">
        <f t="shared" si="162"/>
        <v>173339</v>
      </c>
    </row>
    <row r="4019" spans="7:14" ht="11.25" customHeight="1" x14ac:dyDescent="0.25">
      <c r="G4019" s="459"/>
      <c r="H4019" s="459">
        <v>4012</v>
      </c>
      <c r="I4019" s="444">
        <f t="shared" ca="1" si="160"/>
        <v>-14185447443876.146</v>
      </c>
      <c r="J4019" s="444">
        <f t="array" ref="J4019">IFERROR(INDEX('Retirement Calculator'!K:K,MATCH('Lorri 401b'!N4019,'Retirement Calculator'!A:A,0),0),0)</f>
        <v>0</v>
      </c>
      <c r="K4019" s="444">
        <f t="shared" ca="1" si="158"/>
        <v>-59106031016.15062</v>
      </c>
      <c r="L4019" s="444">
        <f t="shared" ca="1" si="159"/>
        <v>-14244553474892.297</v>
      </c>
      <c r="M4019" s="460">
        <f t="shared" si="161"/>
        <v>0.05</v>
      </c>
      <c r="N4019" s="464">
        <f t="shared" si="162"/>
        <v>173370</v>
      </c>
    </row>
    <row r="4020" spans="7:14" ht="11.25" customHeight="1" x14ac:dyDescent="0.25">
      <c r="G4020" s="459"/>
      <c r="H4020" s="459">
        <v>4013</v>
      </c>
      <c r="I4020" s="444">
        <f t="shared" ca="1" si="160"/>
        <v>-14244553474892.297</v>
      </c>
      <c r="J4020" s="444">
        <f t="array" ref="J4020">IFERROR(INDEX('Retirement Calculator'!K:K,MATCH('Lorri 401b'!N4020,'Retirement Calculator'!A:A,0),0),0)</f>
        <v>0</v>
      </c>
      <c r="K4020" s="444">
        <f t="shared" ca="1" si="158"/>
        <v>-59352306145.384567</v>
      </c>
      <c r="L4020" s="444">
        <f t="shared" ca="1" si="159"/>
        <v>-14303905781037.682</v>
      </c>
      <c r="M4020" s="460">
        <f t="shared" si="161"/>
        <v>0.05</v>
      </c>
      <c r="N4020" s="464">
        <f t="shared" si="162"/>
        <v>173400</v>
      </c>
    </row>
    <row r="4021" spans="7:14" ht="11.25" customHeight="1" x14ac:dyDescent="0.25">
      <c r="G4021" s="459"/>
      <c r="H4021" s="459">
        <v>4014</v>
      </c>
      <c r="I4021" s="444">
        <f t="shared" ca="1" si="160"/>
        <v>-14303905781037.682</v>
      </c>
      <c r="J4021" s="444">
        <f t="array" ref="J4021">IFERROR(INDEX('Retirement Calculator'!K:K,MATCH('Lorri 401b'!N4021,'Retirement Calculator'!A:A,0),0),0)</f>
        <v>0</v>
      </c>
      <c r="K4021" s="444">
        <f t="shared" ca="1" si="158"/>
        <v>-59599607420.990341</v>
      </c>
      <c r="L4021" s="444">
        <f t="shared" ca="1" si="159"/>
        <v>-14363505388458.672</v>
      </c>
      <c r="M4021" s="460">
        <f t="shared" si="161"/>
        <v>0.05</v>
      </c>
      <c r="N4021" s="464">
        <f t="shared" si="162"/>
        <v>173431</v>
      </c>
    </row>
    <row r="4022" spans="7:14" ht="11.25" customHeight="1" x14ac:dyDescent="0.25">
      <c r="G4022" s="459"/>
      <c r="H4022" s="459">
        <v>4015</v>
      </c>
      <c r="I4022" s="444">
        <f t="shared" ca="1" si="160"/>
        <v>-14363505388458.672</v>
      </c>
      <c r="J4022" s="444">
        <f t="array" ref="J4022">IFERROR(INDEX('Retirement Calculator'!K:K,MATCH('Lorri 401b'!N4022,'Retirement Calculator'!A:A,0),0),0)</f>
        <v>0</v>
      </c>
      <c r="K4022" s="444">
        <f t="shared" ca="1" si="158"/>
        <v>-59847939118.577797</v>
      </c>
      <c r="L4022" s="444">
        <f t="shared" ca="1" si="159"/>
        <v>-14423353327577.25</v>
      </c>
      <c r="M4022" s="460">
        <f t="shared" si="161"/>
        <v>0.05</v>
      </c>
      <c r="N4022" s="464">
        <f t="shared" si="162"/>
        <v>173461</v>
      </c>
    </row>
    <row r="4023" spans="7:14" ht="11.25" customHeight="1" x14ac:dyDescent="0.25">
      <c r="G4023" s="459"/>
      <c r="H4023" s="459">
        <v>4016</v>
      </c>
      <c r="I4023" s="444">
        <f t="shared" ca="1" si="160"/>
        <v>-14423353327577.25</v>
      </c>
      <c r="J4023" s="444">
        <f t="array" ref="J4023">IFERROR(INDEX('Retirement Calculator'!K:K,MATCH('Lorri 401b'!N4023,'Retirement Calculator'!A:A,0),0),0)</f>
        <v>0</v>
      </c>
      <c r="K4023" s="444">
        <f t="shared" ca="1" si="158"/>
        <v>-60097305531.571869</v>
      </c>
      <c r="L4023" s="444">
        <f t="shared" ca="1" si="159"/>
        <v>-14483450633108.822</v>
      </c>
      <c r="M4023" s="460">
        <f t="shared" si="161"/>
        <v>0.05</v>
      </c>
      <c r="N4023" s="464">
        <f t="shared" si="162"/>
        <v>173492</v>
      </c>
    </row>
    <row r="4024" spans="7:14" ht="11.25" customHeight="1" x14ac:dyDescent="0.25">
      <c r="G4024" s="459"/>
      <c r="H4024" s="459">
        <v>4017</v>
      </c>
      <c r="I4024" s="444">
        <f t="shared" ca="1" si="160"/>
        <v>-14483450633108.822</v>
      </c>
      <c r="J4024" s="444">
        <f t="array" ref="J4024">IFERROR(INDEX('Retirement Calculator'!K:K,MATCH('Lorri 401b'!N4024,'Retirement Calculator'!A:A,0),0),0)</f>
        <v>0</v>
      </c>
      <c r="K4024" s="444">
        <f t="shared" ca="1" si="158"/>
        <v>-60347710971.286766</v>
      </c>
      <c r="L4024" s="444">
        <f t="shared" ca="1" si="159"/>
        <v>-14543798344080.109</v>
      </c>
      <c r="M4024" s="460">
        <f t="shared" si="161"/>
        <v>0.05</v>
      </c>
      <c r="N4024" s="464">
        <f t="shared" si="162"/>
        <v>173523</v>
      </c>
    </row>
    <row r="4025" spans="7:14" ht="11.25" customHeight="1" x14ac:dyDescent="0.25">
      <c r="G4025" s="459"/>
      <c r="H4025" s="459">
        <v>4018</v>
      </c>
      <c r="I4025" s="444">
        <f t="shared" ca="1" si="160"/>
        <v>-14543798344080.109</v>
      </c>
      <c r="J4025" s="444">
        <f t="array" ref="J4025">IFERROR(INDEX('Retirement Calculator'!K:K,MATCH('Lorri 401b'!N4025,'Retirement Calculator'!A:A,0),0),0)</f>
        <v>0</v>
      </c>
      <c r="K4025" s="444">
        <f t="shared" ca="1" si="158"/>
        <v>-60599159767.000458</v>
      </c>
      <c r="L4025" s="444">
        <f t="shared" ca="1" si="159"/>
        <v>-14604397503847.109</v>
      </c>
      <c r="M4025" s="460">
        <f t="shared" si="161"/>
        <v>0.05</v>
      </c>
      <c r="N4025" s="464">
        <f t="shared" si="162"/>
        <v>173551</v>
      </c>
    </row>
    <row r="4026" spans="7:14" ht="11.25" customHeight="1" x14ac:dyDescent="0.25">
      <c r="G4026" s="459"/>
      <c r="H4026" s="459">
        <v>4019</v>
      </c>
      <c r="I4026" s="444">
        <f t="shared" ca="1" si="160"/>
        <v>-14604397503847.109</v>
      </c>
      <c r="J4026" s="444">
        <f t="array" ref="J4026">IFERROR(INDEX('Retirement Calculator'!K:K,MATCH('Lorri 401b'!N4026,'Retirement Calculator'!A:A,0),0),0)</f>
        <v>0</v>
      </c>
      <c r="K4026" s="444">
        <f t="shared" ca="1" si="158"/>
        <v>-60851656266.029625</v>
      </c>
      <c r="L4026" s="444">
        <f t="shared" ca="1" si="159"/>
        <v>-14665249160113.139</v>
      </c>
      <c r="M4026" s="460">
        <f t="shared" si="161"/>
        <v>0.05</v>
      </c>
      <c r="N4026" s="464">
        <f t="shared" si="162"/>
        <v>173582</v>
      </c>
    </row>
    <row r="4027" spans="7:14" ht="11.25" customHeight="1" x14ac:dyDescent="0.25">
      <c r="G4027" s="459"/>
      <c r="H4027" s="459">
        <v>4020</v>
      </c>
      <c r="I4027" s="444">
        <f t="shared" ca="1" si="160"/>
        <v>-14665249160113.139</v>
      </c>
      <c r="J4027" s="444">
        <f t="array" ref="J4027">IFERROR(INDEX('Retirement Calculator'!K:K,MATCH('Lorri 401b'!N4027,'Retirement Calculator'!A:A,0),0),0)</f>
        <v>0</v>
      </c>
      <c r="K4027" s="444">
        <f t="shared" ca="1" si="158"/>
        <v>-61105204833.804749</v>
      </c>
      <c r="L4027" s="444">
        <f t="shared" ca="1" si="159"/>
        <v>-14726354364946.943</v>
      </c>
      <c r="M4027" s="460">
        <f t="shared" si="161"/>
        <v>0.05</v>
      </c>
      <c r="N4027" s="464">
        <f t="shared" si="162"/>
        <v>173612</v>
      </c>
    </row>
    <row r="4028" spans="7:14" ht="11.25" customHeight="1" x14ac:dyDescent="0.25">
      <c r="G4028" s="459"/>
      <c r="H4028" s="459">
        <v>4021</v>
      </c>
      <c r="I4028" s="444">
        <f t="shared" ca="1" si="160"/>
        <v>-14726354364946.943</v>
      </c>
      <c r="J4028" s="444">
        <f t="array" ref="J4028">IFERROR(INDEX('Retirement Calculator'!K:K,MATCH('Lorri 401b'!N4028,'Retirement Calculator'!A:A,0),0),0)</f>
        <v>0</v>
      </c>
      <c r="K4028" s="444">
        <f t="shared" ca="1" si="158"/>
        <v>-61359809853.945595</v>
      </c>
      <c r="L4028" s="444">
        <f t="shared" ca="1" si="159"/>
        <v>-14787714174800.889</v>
      </c>
      <c r="M4028" s="460">
        <f t="shared" si="161"/>
        <v>0.05</v>
      </c>
      <c r="N4028" s="464">
        <f t="shared" si="162"/>
        <v>173643</v>
      </c>
    </row>
    <row r="4029" spans="7:14" ht="11.25" customHeight="1" x14ac:dyDescent="0.25">
      <c r="G4029" s="459"/>
      <c r="H4029" s="459">
        <v>4022</v>
      </c>
      <c r="I4029" s="444">
        <f t="shared" ca="1" si="160"/>
        <v>-14787714174800.889</v>
      </c>
      <c r="J4029" s="444">
        <f t="array" ref="J4029">IFERROR(INDEX('Retirement Calculator'!K:K,MATCH('Lorri 401b'!N4029,'Retirement Calculator'!A:A,0),0),0)</f>
        <v>0</v>
      </c>
      <c r="K4029" s="444">
        <f t="shared" ca="1" si="158"/>
        <v>-61615475728.337036</v>
      </c>
      <c r="L4029" s="444">
        <f t="shared" ca="1" si="159"/>
        <v>-14849329650529.227</v>
      </c>
      <c r="M4029" s="460">
        <f t="shared" si="161"/>
        <v>0.05</v>
      </c>
      <c r="N4029" s="464">
        <f t="shared" si="162"/>
        <v>173673</v>
      </c>
    </row>
    <row r="4030" spans="7:14" ht="11.25" customHeight="1" x14ac:dyDescent="0.25">
      <c r="G4030" s="459"/>
      <c r="H4030" s="459">
        <v>4023</v>
      </c>
      <c r="I4030" s="444">
        <f t="shared" ca="1" si="160"/>
        <v>-14849329650529.227</v>
      </c>
      <c r="J4030" s="444">
        <f t="array" ref="J4030">IFERROR(INDEX('Retirement Calculator'!K:K,MATCH('Lorri 401b'!N4030,'Retirement Calculator'!A:A,0),0),0)</f>
        <v>0</v>
      </c>
      <c r="K4030" s="444">
        <f t="shared" ca="1" si="158"/>
        <v>-61872206877.205109</v>
      </c>
      <c r="L4030" s="444">
        <f t="shared" ca="1" si="159"/>
        <v>-14911201857406.432</v>
      </c>
      <c r="M4030" s="460">
        <f t="shared" si="161"/>
        <v>0.05</v>
      </c>
      <c r="N4030" s="464">
        <f t="shared" si="162"/>
        <v>173704</v>
      </c>
    </row>
    <row r="4031" spans="7:14" ht="11.25" customHeight="1" x14ac:dyDescent="0.25">
      <c r="G4031" s="459"/>
      <c r="H4031" s="459">
        <v>4024</v>
      </c>
      <c r="I4031" s="444">
        <f t="shared" ca="1" si="160"/>
        <v>-14911201857406.432</v>
      </c>
      <c r="J4031" s="444">
        <f t="array" ref="J4031">IFERROR(INDEX('Retirement Calculator'!K:K,MATCH('Lorri 401b'!N4031,'Retirement Calculator'!A:A,0),0),0)</f>
        <v>0</v>
      </c>
      <c r="K4031" s="444">
        <f t="shared" ca="1" si="158"/>
        <v>-62130007739.193466</v>
      </c>
      <c r="L4031" s="444">
        <f t="shared" ca="1" si="159"/>
        <v>-14973331865145.625</v>
      </c>
      <c r="M4031" s="460">
        <f t="shared" si="161"/>
        <v>0.05</v>
      </c>
      <c r="N4031" s="464">
        <f t="shared" si="162"/>
        <v>173735</v>
      </c>
    </row>
    <row r="4032" spans="7:14" ht="11.25" customHeight="1" x14ac:dyDescent="0.25">
      <c r="G4032" s="459"/>
      <c r="H4032" s="459">
        <v>4025</v>
      </c>
      <c r="I4032" s="444">
        <f t="shared" ca="1" si="160"/>
        <v>-14973331865145.625</v>
      </c>
      <c r="J4032" s="444">
        <f t="array" ref="J4032">IFERROR(INDEX('Retirement Calculator'!K:K,MATCH('Lorri 401b'!N4032,'Retirement Calculator'!A:A,0),0),0)</f>
        <v>0</v>
      </c>
      <c r="K4032" s="444">
        <f t="shared" ca="1" si="158"/>
        <v>-62388882771.440102</v>
      </c>
      <c r="L4032" s="444">
        <f t="shared" ca="1" si="159"/>
        <v>-15035720747917.064</v>
      </c>
      <c r="M4032" s="460">
        <f t="shared" si="161"/>
        <v>0.05</v>
      </c>
      <c r="N4032" s="464">
        <f t="shared" si="162"/>
        <v>173765</v>
      </c>
    </row>
    <row r="4033" spans="7:14" ht="11.25" customHeight="1" x14ac:dyDescent="0.25">
      <c r="G4033" s="459"/>
      <c r="H4033" s="459">
        <v>4026</v>
      </c>
      <c r="I4033" s="444">
        <f t="shared" ca="1" si="160"/>
        <v>-15035720747917.064</v>
      </c>
      <c r="J4033" s="444">
        <f t="array" ref="J4033">IFERROR(INDEX('Retirement Calculator'!K:K,MATCH('Lorri 401b'!N4033,'Retirement Calculator'!A:A,0),0),0)</f>
        <v>0</v>
      </c>
      <c r="K4033" s="444">
        <f t="shared" ca="1" si="158"/>
        <v>-62648836449.654434</v>
      </c>
      <c r="L4033" s="444">
        <f t="shared" ca="1" si="159"/>
        <v>-15098369584366.719</v>
      </c>
      <c r="M4033" s="460">
        <f t="shared" si="161"/>
        <v>0.05</v>
      </c>
      <c r="N4033" s="464">
        <f t="shared" si="162"/>
        <v>173796</v>
      </c>
    </row>
    <row r="4034" spans="7:14" ht="11.25" customHeight="1" x14ac:dyDescent="0.25">
      <c r="G4034" s="459"/>
      <c r="H4034" s="459">
        <v>4027</v>
      </c>
      <c r="I4034" s="444">
        <f t="shared" ca="1" si="160"/>
        <v>-15098369584366.719</v>
      </c>
      <c r="J4034" s="444">
        <f t="array" ref="J4034">IFERROR(INDEX('Retirement Calculator'!K:K,MATCH('Lorri 401b'!N4034,'Retirement Calculator'!A:A,0),0),0)</f>
        <v>0</v>
      </c>
      <c r="K4034" s="444">
        <f t="shared" ca="1" si="158"/>
        <v>-62909873268.194649</v>
      </c>
      <c r="L4034" s="444">
        <f t="shared" ca="1" si="159"/>
        <v>-15161279457634.914</v>
      </c>
      <c r="M4034" s="460">
        <f t="shared" si="161"/>
        <v>0.05</v>
      </c>
      <c r="N4034" s="464">
        <f t="shared" si="162"/>
        <v>173826</v>
      </c>
    </row>
    <row r="4035" spans="7:14" ht="11.25" customHeight="1" x14ac:dyDescent="0.25">
      <c r="G4035" s="459"/>
      <c r="H4035" s="459">
        <v>4028</v>
      </c>
      <c r="I4035" s="444">
        <f t="shared" ca="1" si="160"/>
        <v>-15161279457634.914</v>
      </c>
      <c r="J4035" s="444">
        <f t="array" ref="J4035">IFERROR(INDEX('Retirement Calculator'!K:K,MATCH('Lorri 401b'!N4035,'Retirement Calculator'!A:A,0),0),0)</f>
        <v>0</v>
      </c>
      <c r="K4035" s="444">
        <f t="shared" ca="1" si="158"/>
        <v>-63171997740.145477</v>
      </c>
      <c r="L4035" s="444">
        <f t="shared" ca="1" si="159"/>
        <v>-15224451455375.059</v>
      </c>
      <c r="M4035" s="460">
        <f t="shared" si="161"/>
        <v>0.05</v>
      </c>
      <c r="N4035" s="464">
        <f t="shared" si="162"/>
        <v>173857</v>
      </c>
    </row>
    <row r="4036" spans="7:14" ht="11.25" customHeight="1" x14ac:dyDescent="0.25">
      <c r="G4036" s="459"/>
      <c r="H4036" s="459">
        <v>4029</v>
      </c>
      <c r="I4036" s="444">
        <f t="shared" ca="1" si="160"/>
        <v>-15224451455375.059</v>
      </c>
      <c r="J4036" s="444">
        <f t="array" ref="J4036">IFERROR(INDEX('Retirement Calculator'!K:K,MATCH('Lorri 401b'!N4036,'Retirement Calculator'!A:A,0),0),0)</f>
        <v>0</v>
      </c>
      <c r="K4036" s="444">
        <f t="shared" ca="1" si="158"/>
        <v>-63435214397.39608</v>
      </c>
      <c r="L4036" s="444">
        <f t="shared" ca="1" si="159"/>
        <v>-15287886669772.455</v>
      </c>
      <c r="M4036" s="460">
        <f t="shared" si="161"/>
        <v>0.05</v>
      </c>
      <c r="N4036" s="464">
        <f t="shared" si="162"/>
        <v>173888</v>
      </c>
    </row>
    <row r="4037" spans="7:14" ht="11.25" customHeight="1" x14ac:dyDescent="0.25">
      <c r="G4037" s="459"/>
      <c r="H4037" s="459">
        <v>4030</v>
      </c>
      <c r="I4037" s="444">
        <f t="shared" ca="1" si="160"/>
        <v>-15287886669772.455</v>
      </c>
      <c r="J4037" s="444">
        <f t="array" ref="J4037">IFERROR(INDEX('Retirement Calculator'!K:K,MATCH('Lorri 401b'!N4037,'Retirement Calculator'!A:A,0),0),0)</f>
        <v>0</v>
      </c>
      <c r="K4037" s="444">
        <f t="shared" ca="1" si="158"/>
        <v>-63699527790.718559</v>
      </c>
      <c r="L4037" s="444">
        <f t="shared" ca="1" si="159"/>
        <v>-15351586197563.174</v>
      </c>
      <c r="M4037" s="460">
        <f t="shared" si="161"/>
        <v>0.05</v>
      </c>
      <c r="N4037" s="464">
        <f t="shared" si="162"/>
        <v>173917</v>
      </c>
    </row>
    <row r="4038" spans="7:14" ht="11.25" customHeight="1" x14ac:dyDescent="0.25">
      <c r="G4038" s="459"/>
      <c r="H4038" s="459">
        <v>4031</v>
      </c>
      <c r="I4038" s="444">
        <f t="shared" ca="1" si="160"/>
        <v>-15351586197563.174</v>
      </c>
      <c r="J4038" s="444">
        <f t="array" ref="J4038">IFERROR(INDEX('Retirement Calculator'!K:K,MATCH('Lorri 401b'!N4038,'Retirement Calculator'!A:A,0),0),0)</f>
        <v>0</v>
      </c>
      <c r="K4038" s="444">
        <f t="shared" ca="1" si="158"/>
        <v>-63964942489.84655</v>
      </c>
      <c r="L4038" s="444">
        <f t="shared" ca="1" si="159"/>
        <v>-15415551140053.02</v>
      </c>
      <c r="M4038" s="460">
        <f t="shared" si="161"/>
        <v>0.05</v>
      </c>
      <c r="N4038" s="464">
        <f t="shared" si="162"/>
        <v>173948</v>
      </c>
    </row>
    <row r="4039" spans="7:14" ht="11.25" customHeight="1" x14ac:dyDescent="0.25">
      <c r="G4039" s="459"/>
      <c r="H4039" s="459">
        <v>4032</v>
      </c>
      <c r="I4039" s="444">
        <f t="shared" ca="1" si="160"/>
        <v>-15415551140053.02</v>
      </c>
      <c r="J4039" s="444">
        <f t="array" ref="J4039">IFERROR(INDEX('Retirement Calculator'!K:K,MATCH('Lorri 401b'!N4039,'Retirement Calculator'!A:A,0),0),0)</f>
        <v>0</v>
      </c>
      <c r="K4039" s="444">
        <f t="shared" ca="1" si="158"/>
        <v>-64231463083.554253</v>
      </c>
      <c r="L4039" s="444">
        <f t="shared" ca="1" si="159"/>
        <v>-15479782603136.574</v>
      </c>
      <c r="M4039" s="460">
        <f t="shared" si="161"/>
        <v>0.05</v>
      </c>
      <c r="N4039" s="464">
        <f t="shared" si="162"/>
        <v>173978</v>
      </c>
    </row>
    <row r="4040" spans="7:14" ht="11.25" customHeight="1" x14ac:dyDescent="0.25">
      <c r="G4040" s="459"/>
      <c r="H4040" s="459">
        <v>4033</v>
      </c>
      <c r="I4040" s="444">
        <f t="shared" ca="1" si="160"/>
        <v>-15479782603136.574</v>
      </c>
      <c r="J4040" s="444">
        <f t="array" ref="J4040">IFERROR(INDEX('Retirement Calculator'!K:K,MATCH('Lorri 401b'!N4040,'Retirement Calculator'!A:A,0),0),0)</f>
        <v>0</v>
      </c>
      <c r="K4040" s="444">
        <f t="shared" ca="1" si="158"/>
        <v>-64499094179.735725</v>
      </c>
      <c r="L4040" s="444">
        <f t="shared" ca="1" si="159"/>
        <v>-15544281697316.311</v>
      </c>
      <c r="M4040" s="460">
        <f t="shared" si="161"/>
        <v>0.05</v>
      </c>
      <c r="N4040" s="464">
        <f t="shared" si="162"/>
        <v>174009</v>
      </c>
    </row>
    <row r="4041" spans="7:14" ht="11.25" customHeight="1" x14ac:dyDescent="0.25">
      <c r="G4041" s="459"/>
      <c r="H4041" s="459">
        <v>4034</v>
      </c>
      <c r="I4041" s="444">
        <f t="shared" ca="1" si="160"/>
        <v>-15544281697316.311</v>
      </c>
      <c r="J4041" s="444">
        <f t="array" ref="J4041">IFERROR(INDEX('Retirement Calculator'!K:K,MATCH('Lorri 401b'!N4041,'Retirement Calculator'!A:A,0),0),0)</f>
        <v>0</v>
      </c>
      <c r="K4041" s="444">
        <f t="shared" ca="1" si="158"/>
        <v>-64767840405.484619</v>
      </c>
      <c r="L4041" s="444">
        <f t="shared" ca="1" si="159"/>
        <v>-15609049537721.795</v>
      </c>
      <c r="M4041" s="460">
        <f t="shared" si="161"/>
        <v>0.05</v>
      </c>
      <c r="N4041" s="464">
        <f t="shared" si="162"/>
        <v>174039</v>
      </c>
    </row>
    <row r="4042" spans="7:14" ht="11.25" customHeight="1" x14ac:dyDescent="0.25">
      <c r="G4042" s="459"/>
      <c r="H4042" s="459">
        <v>4035</v>
      </c>
      <c r="I4042" s="444">
        <f t="shared" ca="1" si="160"/>
        <v>-15609049537721.795</v>
      </c>
      <c r="J4042" s="444">
        <f t="array" ref="J4042">IFERROR(INDEX('Retirement Calculator'!K:K,MATCH('Lorri 401b'!N4042,'Retirement Calculator'!A:A,0),0),0)</f>
        <v>0</v>
      </c>
      <c r="K4042" s="444">
        <f t="shared" ca="1" si="158"/>
        <v>-65037706407.174133</v>
      </c>
      <c r="L4042" s="444">
        <f t="shared" ca="1" si="159"/>
        <v>-15674087244128.969</v>
      </c>
      <c r="M4042" s="460">
        <f t="shared" si="161"/>
        <v>0.05</v>
      </c>
      <c r="N4042" s="464">
        <f t="shared" si="162"/>
        <v>174070</v>
      </c>
    </row>
    <row r="4043" spans="7:14" ht="11.25" customHeight="1" x14ac:dyDescent="0.25">
      <c r="G4043" s="459"/>
      <c r="H4043" s="459">
        <v>4036</v>
      </c>
      <c r="I4043" s="444">
        <f t="shared" ca="1" si="160"/>
        <v>-15674087244128.969</v>
      </c>
      <c r="J4043" s="444">
        <f t="array" ref="J4043">IFERROR(INDEX('Retirement Calculator'!K:K,MATCH('Lorri 401b'!N4043,'Retirement Calculator'!A:A,0),0),0)</f>
        <v>0</v>
      </c>
      <c r="K4043" s="444">
        <f t="shared" ca="1" si="158"/>
        <v>-65308696850.537369</v>
      </c>
      <c r="L4043" s="444">
        <f t="shared" ca="1" si="159"/>
        <v>-15739395940979.506</v>
      </c>
      <c r="M4043" s="460">
        <f t="shared" si="161"/>
        <v>0.05</v>
      </c>
      <c r="N4043" s="464">
        <f t="shared" si="162"/>
        <v>174101</v>
      </c>
    </row>
    <row r="4044" spans="7:14" ht="11.25" customHeight="1" x14ac:dyDescent="0.25">
      <c r="G4044" s="459"/>
      <c r="H4044" s="459">
        <v>4037</v>
      </c>
      <c r="I4044" s="444">
        <f t="shared" ca="1" si="160"/>
        <v>-15739395940979.506</v>
      </c>
      <c r="J4044" s="444">
        <f t="array" ref="J4044">IFERROR(INDEX('Retirement Calculator'!K:K,MATCH('Lorri 401b'!N4044,'Retirement Calculator'!A:A,0),0),0)</f>
        <v>0</v>
      </c>
      <c r="K4044" s="444">
        <f t="shared" ca="1" si="158"/>
        <v>-65580816420.74794</v>
      </c>
      <c r="L4044" s="444">
        <f t="shared" ca="1" si="159"/>
        <v>-15804976757400.254</v>
      </c>
      <c r="M4044" s="460">
        <f t="shared" si="161"/>
        <v>0.05</v>
      </c>
      <c r="N4044" s="464">
        <f t="shared" si="162"/>
        <v>174131</v>
      </c>
    </row>
    <row r="4045" spans="7:14" ht="11.25" customHeight="1" x14ac:dyDescent="0.25">
      <c r="G4045" s="459"/>
      <c r="H4045" s="459">
        <v>4038</v>
      </c>
      <c r="I4045" s="444">
        <f t="shared" ca="1" si="160"/>
        <v>-15804976757400.254</v>
      </c>
      <c r="J4045" s="444">
        <f t="array" ref="J4045">IFERROR(INDEX('Retirement Calculator'!K:K,MATCH('Lorri 401b'!N4045,'Retirement Calculator'!A:A,0),0),0)</f>
        <v>0</v>
      </c>
      <c r="K4045" s="444">
        <f t="shared" ca="1" si="158"/>
        <v>-65854069822.50106</v>
      </c>
      <c r="L4045" s="444">
        <f t="shared" ca="1" si="159"/>
        <v>-15870830827222.756</v>
      </c>
      <c r="M4045" s="460">
        <f t="shared" si="161"/>
        <v>0.05</v>
      </c>
      <c r="N4045" s="464">
        <f t="shared" si="162"/>
        <v>174162</v>
      </c>
    </row>
    <row r="4046" spans="7:14" ht="11.25" customHeight="1" x14ac:dyDescent="0.25">
      <c r="G4046" s="459"/>
      <c r="H4046" s="459">
        <v>4039</v>
      </c>
      <c r="I4046" s="444">
        <f t="shared" ca="1" si="160"/>
        <v>-15870830827222.756</v>
      </c>
      <c r="J4046" s="444">
        <f t="array" ref="J4046">IFERROR(INDEX('Retirement Calculator'!K:K,MATCH('Lorri 401b'!N4046,'Retirement Calculator'!A:A,0),0),0)</f>
        <v>0</v>
      </c>
      <c r="K4046" s="444">
        <f t="shared" ca="1" si="158"/>
        <v>-66128461780.094818</v>
      </c>
      <c r="L4046" s="444">
        <f t="shared" ca="1" si="159"/>
        <v>-15936959289002.852</v>
      </c>
      <c r="M4046" s="460">
        <f t="shared" si="161"/>
        <v>0.05</v>
      </c>
      <c r="N4046" s="464">
        <f t="shared" si="162"/>
        <v>174192</v>
      </c>
    </row>
    <row r="4047" spans="7:14" ht="11.25" customHeight="1" x14ac:dyDescent="0.25">
      <c r="G4047" s="459"/>
      <c r="H4047" s="459">
        <v>4040</v>
      </c>
      <c r="I4047" s="444">
        <f t="shared" ca="1" si="160"/>
        <v>-15936959289002.852</v>
      </c>
      <c r="J4047" s="444">
        <f t="array" ref="J4047">IFERROR(INDEX('Retirement Calculator'!K:K,MATCH('Lorri 401b'!N4047,'Retirement Calculator'!A:A,0),0),0)</f>
        <v>0</v>
      </c>
      <c r="K4047" s="444">
        <f t="shared" ca="1" si="158"/>
        <v>-66403997037.511879</v>
      </c>
      <c r="L4047" s="444">
        <f t="shared" ca="1" si="159"/>
        <v>-16003363286040.363</v>
      </c>
      <c r="M4047" s="460">
        <f t="shared" si="161"/>
        <v>0.05</v>
      </c>
      <c r="N4047" s="464">
        <f t="shared" si="162"/>
        <v>174223</v>
      </c>
    </row>
    <row r="4048" spans="7:14" ht="11.25" customHeight="1" x14ac:dyDescent="0.25">
      <c r="G4048" s="459"/>
      <c r="H4048" s="459">
        <v>4041</v>
      </c>
      <c r="I4048" s="444">
        <f t="shared" ca="1" si="160"/>
        <v>-16003363286040.363</v>
      </c>
      <c r="J4048" s="444">
        <f t="array" ref="J4048">IFERROR(INDEX('Retirement Calculator'!K:K,MATCH('Lorri 401b'!N4048,'Retirement Calculator'!A:A,0),0),0)</f>
        <v>0</v>
      </c>
      <c r="K4048" s="444">
        <f t="shared" ca="1" si="158"/>
        <v>-66680680358.501511</v>
      </c>
      <c r="L4048" s="444">
        <f t="shared" ca="1" si="159"/>
        <v>-16070043966398.865</v>
      </c>
      <c r="M4048" s="460">
        <f t="shared" si="161"/>
        <v>0.05</v>
      </c>
      <c r="N4048" s="464">
        <f t="shared" si="162"/>
        <v>174254</v>
      </c>
    </row>
    <row r="4049" spans="7:14" ht="11.25" customHeight="1" x14ac:dyDescent="0.25">
      <c r="G4049" s="459"/>
      <c r="H4049" s="459">
        <v>4042</v>
      </c>
      <c r="I4049" s="444">
        <f t="shared" ca="1" si="160"/>
        <v>-16070043966398.865</v>
      </c>
      <c r="J4049" s="444">
        <f t="array" ref="J4049">IFERROR(INDEX('Retirement Calculator'!K:K,MATCH('Lorri 401b'!N4049,'Retirement Calculator'!A:A,0),0),0)</f>
        <v>0</v>
      </c>
      <c r="K4049" s="444">
        <f t="shared" ca="1" si="158"/>
        <v>-66958516526.661949</v>
      </c>
      <c r="L4049" s="444">
        <f t="shared" ca="1" si="159"/>
        <v>-16137002482925.527</v>
      </c>
      <c r="M4049" s="460">
        <f t="shared" si="161"/>
        <v>0.05</v>
      </c>
      <c r="N4049" s="464">
        <f t="shared" si="162"/>
        <v>174282</v>
      </c>
    </row>
    <row r="4050" spans="7:14" ht="11.25" customHeight="1" x14ac:dyDescent="0.25">
      <c r="G4050" s="459"/>
      <c r="H4050" s="459">
        <v>4043</v>
      </c>
      <c r="I4050" s="444">
        <f t="shared" ca="1" si="160"/>
        <v>-16137002482925.527</v>
      </c>
      <c r="J4050" s="444">
        <f t="array" ref="J4050">IFERROR(INDEX('Retirement Calculator'!K:K,MATCH('Lorri 401b'!N4050,'Retirement Calculator'!A:A,0),0),0)</f>
        <v>0</v>
      </c>
      <c r="K4050" s="444">
        <f t="shared" ca="1" si="158"/>
        <v>-67237510345.523018</v>
      </c>
      <c r="L4050" s="444">
        <f t="shared" ca="1" si="159"/>
        <v>-16204239993271.051</v>
      </c>
      <c r="M4050" s="460">
        <f t="shared" si="161"/>
        <v>0.05</v>
      </c>
      <c r="N4050" s="464">
        <f t="shared" si="162"/>
        <v>174313</v>
      </c>
    </row>
    <row r="4051" spans="7:14" ht="11.25" customHeight="1" x14ac:dyDescent="0.25">
      <c r="G4051" s="459"/>
      <c r="H4051" s="459">
        <v>4044</v>
      </c>
      <c r="I4051" s="444">
        <f t="shared" ca="1" si="160"/>
        <v>-16204239993271.051</v>
      </c>
      <c r="J4051" s="444">
        <f t="array" ref="J4051">IFERROR(INDEX('Retirement Calculator'!K:K,MATCH('Lorri 401b'!N4051,'Retirement Calculator'!A:A,0),0),0)</f>
        <v>0</v>
      </c>
      <c r="K4051" s="444">
        <f t="shared" ca="1" si="158"/>
        <v>-67517666638.629372</v>
      </c>
      <c r="L4051" s="444">
        <f t="shared" ca="1" si="159"/>
        <v>-16271757659909.68</v>
      </c>
      <c r="M4051" s="460">
        <f t="shared" si="161"/>
        <v>0.05</v>
      </c>
      <c r="N4051" s="464">
        <f t="shared" si="162"/>
        <v>174343</v>
      </c>
    </row>
    <row r="4052" spans="7:14" ht="11.25" customHeight="1" x14ac:dyDescent="0.25">
      <c r="G4052" s="459"/>
      <c r="H4052" s="459">
        <v>4045</v>
      </c>
      <c r="I4052" s="444">
        <f t="shared" ca="1" si="160"/>
        <v>-16271757659909.68</v>
      </c>
      <c r="J4052" s="444">
        <f t="array" ref="J4052">IFERROR(INDEX('Retirement Calculator'!K:K,MATCH('Lorri 401b'!N4052,'Retirement Calculator'!A:A,0),0),0)</f>
        <v>0</v>
      </c>
      <c r="K4052" s="444">
        <f t="shared" ca="1" si="158"/>
        <v>-67798990249.623665</v>
      </c>
      <c r="L4052" s="444">
        <f t="shared" ca="1" si="159"/>
        <v>-16339556650159.303</v>
      </c>
      <c r="M4052" s="460">
        <f t="shared" si="161"/>
        <v>0.05</v>
      </c>
      <c r="N4052" s="464">
        <f t="shared" si="162"/>
        <v>174374</v>
      </c>
    </row>
    <row r="4053" spans="7:14" ht="11.25" customHeight="1" x14ac:dyDescent="0.25">
      <c r="G4053" s="459"/>
      <c r="H4053" s="459">
        <v>4046</v>
      </c>
      <c r="I4053" s="444">
        <f t="shared" ca="1" si="160"/>
        <v>-16339556650159.303</v>
      </c>
      <c r="J4053" s="444">
        <f t="array" ref="J4053">IFERROR(INDEX('Retirement Calculator'!K:K,MATCH('Lorri 401b'!N4053,'Retirement Calculator'!A:A,0),0),0)</f>
        <v>0</v>
      </c>
      <c r="K4053" s="444">
        <f t="shared" ca="1" si="158"/>
        <v>-68081486042.330437</v>
      </c>
      <c r="L4053" s="444">
        <f t="shared" ca="1" si="159"/>
        <v>-16407638136201.633</v>
      </c>
      <c r="M4053" s="460">
        <f t="shared" si="161"/>
        <v>0.05</v>
      </c>
      <c r="N4053" s="464">
        <f t="shared" si="162"/>
        <v>174404</v>
      </c>
    </row>
    <row r="4054" spans="7:14" ht="11.25" customHeight="1" x14ac:dyDescent="0.25">
      <c r="G4054" s="459"/>
      <c r="H4054" s="459">
        <v>4047</v>
      </c>
      <c r="I4054" s="444">
        <f t="shared" ca="1" si="160"/>
        <v>-16407638136201.633</v>
      </c>
      <c r="J4054" s="444">
        <f t="array" ref="J4054">IFERROR(INDEX('Retirement Calculator'!K:K,MATCH('Lorri 401b'!N4054,'Retirement Calculator'!A:A,0),0),0)</f>
        <v>0</v>
      </c>
      <c r="K4054" s="444">
        <f t="shared" ca="1" si="158"/>
        <v>-68365158900.840134</v>
      </c>
      <c r="L4054" s="444">
        <f t="shared" ca="1" si="159"/>
        <v>-16476003295102.473</v>
      </c>
      <c r="M4054" s="460">
        <f t="shared" si="161"/>
        <v>0.05</v>
      </c>
      <c r="N4054" s="464">
        <f t="shared" si="162"/>
        <v>174435</v>
      </c>
    </row>
    <row r="4055" spans="7:14" ht="11.25" customHeight="1" x14ac:dyDescent="0.25">
      <c r="G4055" s="459"/>
      <c r="H4055" s="459">
        <v>4048</v>
      </c>
      <c r="I4055" s="444">
        <f t="shared" ca="1" si="160"/>
        <v>-16476003295102.473</v>
      </c>
      <c r="J4055" s="444">
        <f t="array" ref="J4055">IFERROR(INDEX('Retirement Calculator'!K:K,MATCH('Lorri 401b'!N4055,'Retirement Calculator'!A:A,0),0),0)</f>
        <v>0</v>
      </c>
      <c r="K4055" s="444">
        <f t="shared" ca="1" si="158"/>
        <v>-68650013729.593636</v>
      </c>
      <c r="L4055" s="444">
        <f t="shared" ca="1" si="159"/>
        <v>-16544653308832.066</v>
      </c>
      <c r="M4055" s="460">
        <f t="shared" si="161"/>
        <v>0.05</v>
      </c>
      <c r="N4055" s="464">
        <f t="shared" si="162"/>
        <v>174466</v>
      </c>
    </row>
    <row r="4056" spans="7:14" ht="11.25" customHeight="1" x14ac:dyDescent="0.25">
      <c r="G4056" s="459"/>
      <c r="H4056" s="459">
        <v>4049</v>
      </c>
      <c r="I4056" s="444">
        <f t="shared" ca="1" si="160"/>
        <v>-16544653308832.066</v>
      </c>
      <c r="J4056" s="444">
        <f t="array" ref="J4056">IFERROR(INDEX('Retirement Calculator'!K:K,MATCH('Lorri 401b'!N4056,'Retirement Calculator'!A:A,0),0),0)</f>
        <v>0</v>
      </c>
      <c r="K4056" s="444">
        <f t="shared" ca="1" si="158"/>
        <v>-68936055453.466949</v>
      </c>
      <c r="L4056" s="444">
        <f t="shared" ca="1" si="159"/>
        <v>-16613589364285.533</v>
      </c>
      <c r="M4056" s="460">
        <f t="shared" si="161"/>
        <v>0.05</v>
      </c>
      <c r="N4056" s="464">
        <f t="shared" si="162"/>
        <v>174496</v>
      </c>
    </row>
    <row r="4057" spans="7:14" ht="11.25" customHeight="1" x14ac:dyDescent="0.25">
      <c r="G4057" s="459"/>
      <c r="H4057" s="459">
        <v>4050</v>
      </c>
      <c r="I4057" s="444">
        <f t="shared" ca="1" si="160"/>
        <v>-16613589364285.533</v>
      </c>
      <c r="J4057" s="444">
        <f t="array" ref="J4057">IFERROR(INDEX('Retirement Calculator'!K:K,MATCH('Lorri 401b'!N4057,'Retirement Calculator'!A:A,0),0),0)</f>
        <v>0</v>
      </c>
      <c r="K4057" s="444">
        <f t="shared" ca="1" si="158"/>
        <v>-69223289017.856384</v>
      </c>
      <c r="L4057" s="444">
        <f t="shared" ca="1" si="159"/>
        <v>-16682812653303.389</v>
      </c>
      <c r="M4057" s="460">
        <f t="shared" si="161"/>
        <v>0.05</v>
      </c>
      <c r="N4057" s="464">
        <f t="shared" si="162"/>
        <v>174527</v>
      </c>
    </row>
    <row r="4058" spans="7:14" ht="11.25" customHeight="1" x14ac:dyDescent="0.25">
      <c r="G4058" s="459"/>
      <c r="H4058" s="459">
        <v>4051</v>
      </c>
      <c r="I4058" s="444">
        <f t="shared" ca="1" si="160"/>
        <v>-16682812653303.389</v>
      </c>
      <c r="J4058" s="444">
        <f t="array" ref="J4058">IFERROR(INDEX('Retirement Calculator'!K:K,MATCH('Lorri 401b'!N4058,'Retirement Calculator'!A:A,0),0),0)</f>
        <v>0</v>
      </c>
      <c r="K4058" s="444">
        <f t="shared" ca="1" si="158"/>
        <v>-69511719388.764114</v>
      </c>
      <c r="L4058" s="444">
        <f t="shared" ca="1" si="159"/>
        <v>-16752324372692.152</v>
      </c>
      <c r="M4058" s="460">
        <f t="shared" si="161"/>
        <v>0.05</v>
      </c>
      <c r="N4058" s="464">
        <f t="shared" si="162"/>
        <v>174557</v>
      </c>
    </row>
    <row r="4059" spans="7:14" ht="11.25" customHeight="1" x14ac:dyDescent="0.25">
      <c r="G4059" s="459"/>
      <c r="H4059" s="459">
        <v>4052</v>
      </c>
      <c r="I4059" s="444">
        <f t="shared" ca="1" si="160"/>
        <v>-16752324372692.152</v>
      </c>
      <c r="J4059" s="444">
        <f t="array" ref="J4059">IFERROR(INDEX('Retirement Calculator'!K:K,MATCH('Lorri 401b'!N4059,'Retirement Calculator'!A:A,0),0),0)</f>
        <v>0</v>
      </c>
      <c r="K4059" s="444">
        <f t="shared" ca="1" si="158"/>
        <v>-69801351552.883972</v>
      </c>
      <c r="L4059" s="444">
        <f t="shared" ca="1" si="159"/>
        <v>-16822125724245.037</v>
      </c>
      <c r="M4059" s="460">
        <f t="shared" si="161"/>
        <v>0.05</v>
      </c>
      <c r="N4059" s="464">
        <f t="shared" si="162"/>
        <v>174588</v>
      </c>
    </row>
    <row r="4060" spans="7:14" ht="11.25" customHeight="1" x14ac:dyDescent="0.25">
      <c r="G4060" s="459"/>
      <c r="H4060" s="459">
        <v>4053</v>
      </c>
      <c r="I4060" s="444">
        <f t="shared" ca="1" si="160"/>
        <v>-16822125724245.037</v>
      </c>
      <c r="J4060" s="444">
        <f t="array" ref="J4060">IFERROR(INDEX('Retirement Calculator'!K:K,MATCH('Lorri 401b'!N4060,'Retirement Calculator'!A:A,0),0),0)</f>
        <v>0</v>
      </c>
      <c r="K4060" s="444">
        <f t="shared" ca="1" si="158"/>
        <v>-70092190517.687653</v>
      </c>
      <c r="L4060" s="444">
        <f t="shared" ca="1" si="159"/>
        <v>-16892217914762.725</v>
      </c>
      <c r="M4060" s="460">
        <f t="shared" si="161"/>
        <v>0.05</v>
      </c>
      <c r="N4060" s="464">
        <f t="shared" si="162"/>
        <v>174619</v>
      </c>
    </row>
    <row r="4061" spans="7:14" ht="11.25" customHeight="1" x14ac:dyDescent="0.25">
      <c r="G4061" s="459"/>
      <c r="H4061" s="459">
        <v>4054</v>
      </c>
      <c r="I4061" s="444">
        <f t="shared" ca="1" si="160"/>
        <v>-16892217914762.725</v>
      </c>
      <c r="J4061" s="444">
        <f t="array" ref="J4061">IFERROR(INDEX('Retirement Calculator'!K:K,MATCH('Lorri 401b'!N4061,'Retirement Calculator'!A:A,0),0),0)</f>
        <v>0</v>
      </c>
      <c r="K4061" s="444">
        <f t="shared" ca="1" si="158"/>
        <v>-70384241311.511353</v>
      </c>
      <c r="L4061" s="444">
        <f t="shared" ca="1" si="159"/>
        <v>-16962602156074.236</v>
      </c>
      <c r="M4061" s="460">
        <f t="shared" si="161"/>
        <v>0.05</v>
      </c>
      <c r="N4061" s="464">
        <f t="shared" si="162"/>
        <v>174647</v>
      </c>
    </row>
    <row r="4062" spans="7:14" ht="11.25" customHeight="1" x14ac:dyDescent="0.25">
      <c r="G4062" s="459"/>
      <c r="H4062" s="459">
        <v>4055</v>
      </c>
      <c r="I4062" s="444">
        <f t="shared" ca="1" si="160"/>
        <v>-16962602156074.236</v>
      </c>
      <c r="J4062" s="444">
        <f t="array" ref="J4062">IFERROR(INDEX('Retirement Calculator'!K:K,MATCH('Lorri 401b'!N4062,'Retirement Calculator'!A:A,0),0),0)</f>
        <v>0</v>
      </c>
      <c r="K4062" s="444">
        <f t="shared" ca="1" si="158"/>
        <v>-70677508983.642654</v>
      </c>
      <c r="L4062" s="444">
        <f t="shared" ca="1" si="159"/>
        <v>-17033279665057.879</v>
      </c>
      <c r="M4062" s="460">
        <f t="shared" si="161"/>
        <v>0.05</v>
      </c>
      <c r="N4062" s="464">
        <f t="shared" si="162"/>
        <v>174678</v>
      </c>
    </row>
    <row r="4063" spans="7:14" ht="11.25" customHeight="1" x14ac:dyDescent="0.25">
      <c r="G4063" s="459"/>
      <c r="H4063" s="459">
        <v>4056</v>
      </c>
      <c r="I4063" s="444">
        <f t="shared" ca="1" si="160"/>
        <v>-17033279665057.879</v>
      </c>
      <c r="J4063" s="444">
        <f t="array" ref="J4063">IFERROR(INDEX('Retirement Calculator'!K:K,MATCH('Lorri 401b'!N4063,'Retirement Calculator'!A:A,0),0),0)</f>
        <v>0</v>
      </c>
      <c r="K4063" s="444">
        <f t="shared" ca="1" si="158"/>
        <v>-70971998604.407822</v>
      </c>
      <c r="L4063" s="444">
        <f t="shared" ca="1" si="159"/>
        <v>-17104251663662.287</v>
      </c>
      <c r="M4063" s="460">
        <f t="shared" si="161"/>
        <v>0.05</v>
      </c>
      <c r="N4063" s="464">
        <f t="shared" si="162"/>
        <v>174708</v>
      </c>
    </row>
    <row r="4064" spans="7:14" ht="11.25" customHeight="1" x14ac:dyDescent="0.25">
      <c r="G4064" s="459"/>
      <c r="H4064" s="459">
        <v>4057</v>
      </c>
      <c r="I4064" s="444">
        <f t="shared" ca="1" si="160"/>
        <v>-17104251663662.287</v>
      </c>
      <c r="J4064" s="444">
        <f t="array" ref="J4064">IFERROR(INDEX('Retirement Calculator'!K:K,MATCH('Lorri 401b'!N4064,'Retirement Calculator'!A:A,0),0),0)</f>
        <v>0</v>
      </c>
      <c r="K4064" s="444">
        <f t="shared" ca="1" si="158"/>
        <v>-71267715265.259521</v>
      </c>
      <c r="L4064" s="444">
        <f t="shared" ca="1" si="159"/>
        <v>-17175519378927.547</v>
      </c>
      <c r="M4064" s="460">
        <f t="shared" si="161"/>
        <v>0.05</v>
      </c>
      <c r="N4064" s="464">
        <f t="shared" si="162"/>
        <v>174739</v>
      </c>
    </row>
    <row r="4065" spans="7:14" ht="11.25" customHeight="1" x14ac:dyDescent="0.25">
      <c r="G4065" s="459"/>
      <c r="H4065" s="459">
        <v>4058</v>
      </c>
      <c r="I4065" s="444">
        <f t="shared" ca="1" si="160"/>
        <v>-17175519378927.547</v>
      </c>
      <c r="J4065" s="444">
        <f t="array" ref="J4065">IFERROR(INDEX('Retirement Calculator'!K:K,MATCH('Lorri 401b'!N4065,'Retirement Calculator'!A:A,0),0),0)</f>
        <v>0</v>
      </c>
      <c r="K4065" s="444">
        <f t="shared" ca="1" si="158"/>
        <v>-71564664078.864777</v>
      </c>
      <c r="L4065" s="444">
        <f t="shared" ca="1" si="159"/>
        <v>-17247084043006.412</v>
      </c>
      <c r="M4065" s="460">
        <f t="shared" si="161"/>
        <v>0.05</v>
      </c>
      <c r="N4065" s="464">
        <f t="shared" si="162"/>
        <v>174769</v>
      </c>
    </row>
    <row r="4066" spans="7:14" ht="11.25" customHeight="1" x14ac:dyDescent="0.25">
      <c r="G4066" s="459"/>
      <c r="H4066" s="459">
        <v>4059</v>
      </c>
      <c r="I4066" s="444">
        <f t="shared" ca="1" si="160"/>
        <v>-17247084043006.412</v>
      </c>
      <c r="J4066" s="444">
        <f t="array" ref="J4066">IFERROR(INDEX('Retirement Calculator'!K:K,MATCH('Lorri 401b'!N4066,'Retirement Calculator'!A:A,0),0),0)</f>
        <v>0</v>
      </c>
      <c r="K4066" s="444">
        <f t="shared" ca="1" si="158"/>
        <v>-71862850179.193375</v>
      </c>
      <c r="L4066" s="444">
        <f t="shared" ca="1" si="159"/>
        <v>-17318946893185.605</v>
      </c>
      <c r="M4066" s="460">
        <f t="shared" si="161"/>
        <v>0.05</v>
      </c>
      <c r="N4066" s="464">
        <f t="shared" si="162"/>
        <v>174800</v>
      </c>
    </row>
    <row r="4067" spans="7:14" ht="11.25" customHeight="1" x14ac:dyDescent="0.25">
      <c r="G4067" s="459"/>
      <c r="H4067" s="459">
        <v>4060</v>
      </c>
      <c r="I4067" s="444">
        <f t="shared" ca="1" si="160"/>
        <v>-17318946893185.605</v>
      </c>
      <c r="J4067" s="444">
        <f t="array" ref="J4067">IFERROR(INDEX('Retirement Calculator'!K:K,MATCH('Lorri 401b'!N4067,'Retirement Calculator'!A:A,0),0),0)</f>
        <v>0</v>
      </c>
      <c r="K4067" s="444">
        <f t="shared" ca="1" si="158"/>
        <v>-72162278721.606689</v>
      </c>
      <c r="L4067" s="444">
        <f t="shared" ca="1" si="159"/>
        <v>-17391109171907.213</v>
      </c>
      <c r="M4067" s="460">
        <f t="shared" si="161"/>
        <v>0.05</v>
      </c>
      <c r="N4067" s="464">
        <f t="shared" si="162"/>
        <v>174831</v>
      </c>
    </row>
    <row r="4068" spans="7:14" ht="11.25" customHeight="1" x14ac:dyDescent="0.25">
      <c r="G4068" s="459"/>
      <c r="H4068" s="459">
        <v>4061</v>
      </c>
      <c r="I4068" s="444">
        <f t="shared" ca="1" si="160"/>
        <v>-17391109171907.213</v>
      </c>
      <c r="J4068" s="444">
        <f t="array" ref="J4068">IFERROR(INDEX('Retirement Calculator'!K:K,MATCH('Lorri 401b'!N4068,'Retirement Calculator'!A:A,0),0),0)</f>
        <v>0</v>
      </c>
      <c r="K4068" s="444">
        <f t="shared" ca="1" si="158"/>
        <v>-72462954882.946716</v>
      </c>
      <c r="L4068" s="444">
        <f t="shared" ca="1" si="159"/>
        <v>-17463572126790.16</v>
      </c>
      <c r="M4068" s="460">
        <f t="shared" si="161"/>
        <v>0.05</v>
      </c>
      <c r="N4068" s="464">
        <f t="shared" si="162"/>
        <v>174861</v>
      </c>
    </row>
    <row r="4069" spans="7:14" ht="11.25" customHeight="1" x14ac:dyDescent="0.25">
      <c r="G4069" s="459"/>
      <c r="H4069" s="459">
        <v>4062</v>
      </c>
      <c r="I4069" s="444">
        <f t="shared" ca="1" si="160"/>
        <v>-17463572126790.16</v>
      </c>
      <c r="J4069" s="444">
        <f t="array" ref="J4069">IFERROR(INDEX('Retirement Calculator'!K:K,MATCH('Lorri 401b'!N4069,'Retirement Calculator'!A:A,0),0),0)</f>
        <v>0</v>
      </c>
      <c r="K4069" s="444">
        <f t="shared" ca="1" si="158"/>
        <v>-72764883861.625671</v>
      </c>
      <c r="L4069" s="444">
        <f t="shared" ca="1" si="159"/>
        <v>-17536337010651.785</v>
      </c>
      <c r="M4069" s="460">
        <f t="shared" si="161"/>
        <v>0.05</v>
      </c>
      <c r="N4069" s="464">
        <f t="shared" si="162"/>
        <v>174892</v>
      </c>
    </row>
    <row r="4070" spans="7:14" ht="11.25" customHeight="1" x14ac:dyDescent="0.25">
      <c r="G4070" s="459"/>
      <c r="H4070" s="459">
        <v>4063</v>
      </c>
      <c r="I4070" s="444">
        <f t="shared" ca="1" si="160"/>
        <v>-17536337010651.785</v>
      </c>
      <c r="J4070" s="444">
        <f t="array" ref="J4070">IFERROR(INDEX('Retirement Calculator'!K:K,MATCH('Lorri 401b'!N4070,'Retirement Calculator'!A:A,0),0),0)</f>
        <v>0</v>
      </c>
      <c r="K4070" s="444">
        <f t="shared" ca="1" si="158"/>
        <v>-73068070877.715775</v>
      </c>
      <c r="L4070" s="444">
        <f t="shared" ca="1" si="159"/>
        <v>-17609405081529.5</v>
      </c>
      <c r="M4070" s="460">
        <f t="shared" si="161"/>
        <v>0.05</v>
      </c>
      <c r="N4070" s="464">
        <f t="shared" si="162"/>
        <v>174922</v>
      </c>
    </row>
    <row r="4071" spans="7:14" ht="11.25" customHeight="1" x14ac:dyDescent="0.25">
      <c r="G4071" s="459"/>
      <c r="H4071" s="459">
        <v>4064</v>
      </c>
      <c r="I4071" s="444">
        <f t="shared" ca="1" si="160"/>
        <v>-17609405081529.5</v>
      </c>
      <c r="J4071" s="444">
        <f t="array" ref="J4071">IFERROR(INDEX('Retirement Calculator'!K:K,MATCH('Lorri 401b'!N4071,'Retirement Calculator'!A:A,0),0),0)</f>
        <v>0</v>
      </c>
      <c r="K4071" s="444">
        <f t="shared" ca="1" si="158"/>
        <v>-73372521173.039581</v>
      </c>
      <c r="L4071" s="444">
        <f t="shared" ca="1" si="159"/>
        <v>-17682777602702.539</v>
      </c>
      <c r="M4071" s="460">
        <f t="shared" si="161"/>
        <v>0.05</v>
      </c>
      <c r="N4071" s="464">
        <f t="shared" si="162"/>
        <v>174953</v>
      </c>
    </row>
    <row r="4072" spans="7:14" ht="11.25" customHeight="1" x14ac:dyDescent="0.25">
      <c r="G4072" s="459"/>
      <c r="H4072" s="459">
        <v>4065</v>
      </c>
      <c r="I4072" s="444">
        <f t="shared" ca="1" si="160"/>
        <v>-17682777602702.539</v>
      </c>
      <c r="J4072" s="444">
        <f t="array" ref="J4072">IFERROR(INDEX('Retirement Calculator'!K:K,MATCH('Lorri 401b'!N4072,'Retirement Calculator'!A:A,0),0),0)</f>
        <v>0</v>
      </c>
      <c r="K4072" s="444">
        <f t="shared" ca="1" si="158"/>
        <v>-73678240011.260574</v>
      </c>
      <c r="L4072" s="444">
        <f t="shared" ca="1" si="159"/>
        <v>-17756455842713.801</v>
      </c>
      <c r="M4072" s="460">
        <f t="shared" si="161"/>
        <v>0.05</v>
      </c>
      <c r="N4072" s="464">
        <f t="shared" si="162"/>
        <v>174984</v>
      </c>
    </row>
    <row r="4073" spans="7:14" ht="11.25" customHeight="1" x14ac:dyDescent="0.25">
      <c r="G4073" s="459"/>
      <c r="H4073" s="459">
        <v>4066</v>
      </c>
      <c r="I4073" s="444">
        <f t="shared" ca="1" si="160"/>
        <v>-17756455842713.801</v>
      </c>
      <c r="J4073" s="444">
        <f t="array" ref="J4073">IFERROR(INDEX('Retirement Calculator'!K:K,MATCH('Lorri 401b'!N4073,'Retirement Calculator'!A:A,0),0),0)</f>
        <v>0</v>
      </c>
      <c r="K4073" s="444">
        <f t="shared" ca="1" si="158"/>
        <v>-73985232677.974167</v>
      </c>
      <c r="L4073" s="444">
        <f t="shared" ca="1" si="159"/>
        <v>-17830441075391.773</v>
      </c>
      <c r="M4073" s="460">
        <f t="shared" si="161"/>
        <v>0.05</v>
      </c>
      <c r="N4073" s="464">
        <f t="shared" si="162"/>
        <v>175012</v>
      </c>
    </row>
    <row r="4074" spans="7:14" ht="11.25" customHeight="1" x14ac:dyDescent="0.25">
      <c r="G4074" s="459"/>
      <c r="H4074" s="459">
        <v>4067</v>
      </c>
      <c r="I4074" s="444">
        <f t="shared" ca="1" si="160"/>
        <v>-17830441075391.773</v>
      </c>
      <c r="J4074" s="444">
        <f t="array" ref="J4074">IFERROR(INDEX('Retirement Calculator'!K:K,MATCH('Lorri 401b'!N4074,'Retirement Calculator'!A:A,0),0),0)</f>
        <v>0</v>
      </c>
      <c r="K4074" s="444">
        <f t="shared" ca="1" si="158"/>
        <v>-74293504480.799057</v>
      </c>
      <c r="L4074" s="444">
        <f t="shared" ca="1" si="159"/>
        <v>-17904734579872.574</v>
      </c>
      <c r="M4074" s="460">
        <f t="shared" si="161"/>
        <v>0.05</v>
      </c>
      <c r="N4074" s="464">
        <f t="shared" si="162"/>
        <v>175043</v>
      </c>
    </row>
    <row r="4075" spans="7:14" ht="11.25" customHeight="1" x14ac:dyDescent="0.25">
      <c r="G4075" s="459"/>
      <c r="H4075" s="459">
        <v>4068</v>
      </c>
      <c r="I4075" s="444">
        <f t="shared" ca="1" si="160"/>
        <v>-17904734579872.574</v>
      </c>
      <c r="J4075" s="444">
        <f t="array" ref="J4075">IFERROR(INDEX('Retirement Calculator'!K:K,MATCH('Lorri 401b'!N4075,'Retirement Calculator'!A:A,0),0),0)</f>
        <v>0</v>
      </c>
      <c r="K4075" s="444">
        <f t="shared" ca="1" si="158"/>
        <v>-74603060749.469055</v>
      </c>
      <c r="L4075" s="444">
        <f t="shared" ca="1" si="159"/>
        <v>-17979337640622.043</v>
      </c>
      <c r="M4075" s="460">
        <f t="shared" si="161"/>
        <v>0.05</v>
      </c>
      <c r="N4075" s="464">
        <f t="shared" si="162"/>
        <v>175073</v>
      </c>
    </row>
    <row r="4076" spans="7:14" ht="11.25" customHeight="1" x14ac:dyDescent="0.25">
      <c r="G4076" s="459"/>
      <c r="H4076" s="459">
        <v>4069</v>
      </c>
      <c r="I4076" s="444">
        <f t="shared" ca="1" si="160"/>
        <v>-17979337640622.043</v>
      </c>
      <c r="J4076" s="444">
        <f t="array" ref="J4076">IFERROR(INDEX('Retirement Calculator'!K:K,MATCH('Lorri 401b'!N4076,'Retirement Calculator'!A:A,0),0),0)</f>
        <v>0</v>
      </c>
      <c r="K4076" s="444">
        <f t="shared" ca="1" si="158"/>
        <v>-74913906835.925171</v>
      </c>
      <c r="L4076" s="444">
        <f t="shared" ca="1" si="159"/>
        <v>-18054251547457.969</v>
      </c>
      <c r="M4076" s="460">
        <f t="shared" si="161"/>
        <v>0.05</v>
      </c>
      <c r="N4076" s="464">
        <f t="shared" si="162"/>
        <v>175104</v>
      </c>
    </row>
    <row r="4077" spans="7:14" ht="11.25" customHeight="1" x14ac:dyDescent="0.25">
      <c r="G4077" s="459"/>
      <c r="H4077" s="459">
        <v>4070</v>
      </c>
      <c r="I4077" s="444">
        <f t="shared" ca="1" si="160"/>
        <v>-18054251547457.969</v>
      </c>
      <c r="J4077" s="444">
        <f t="array" ref="J4077">IFERROR(INDEX('Retirement Calculator'!K:K,MATCH('Lorri 401b'!N4077,'Retirement Calculator'!A:A,0),0),0)</f>
        <v>0</v>
      </c>
      <c r="K4077" s="444">
        <f t="shared" ca="1" si="158"/>
        <v>-75226048114.408203</v>
      </c>
      <c r="L4077" s="444">
        <f t="shared" ca="1" si="159"/>
        <v>-18129477595572.375</v>
      </c>
      <c r="M4077" s="460">
        <f t="shared" si="161"/>
        <v>0.05</v>
      </c>
      <c r="N4077" s="464">
        <f t="shared" si="162"/>
        <v>175134</v>
      </c>
    </row>
    <row r="4078" spans="7:14" ht="11.25" customHeight="1" x14ac:dyDescent="0.25">
      <c r="G4078" s="459"/>
      <c r="H4078" s="459">
        <v>4071</v>
      </c>
      <c r="I4078" s="444">
        <f t="shared" ca="1" si="160"/>
        <v>-18129477595572.375</v>
      </c>
      <c r="J4078" s="444">
        <f t="array" ref="J4078">IFERROR(INDEX('Retirement Calculator'!K:K,MATCH('Lorri 401b'!N4078,'Retirement Calculator'!A:A,0),0),0)</f>
        <v>0</v>
      </c>
      <c r="K4078" s="444">
        <f t="shared" ca="1" si="158"/>
        <v>-75539489981.551559</v>
      </c>
      <c r="L4078" s="444">
        <f t="shared" ca="1" si="159"/>
        <v>-18205017085553.926</v>
      </c>
      <c r="M4078" s="460">
        <f t="shared" si="161"/>
        <v>0.05</v>
      </c>
      <c r="N4078" s="464">
        <f t="shared" si="162"/>
        <v>175165</v>
      </c>
    </row>
    <row r="4079" spans="7:14" ht="11.25" customHeight="1" x14ac:dyDescent="0.25">
      <c r="G4079" s="459"/>
      <c r="H4079" s="459">
        <v>4072</v>
      </c>
      <c r="I4079" s="444">
        <f t="shared" ca="1" si="160"/>
        <v>-18205017085553.926</v>
      </c>
      <c r="J4079" s="444">
        <f t="array" ref="J4079">IFERROR(INDEX('Retirement Calculator'!K:K,MATCH('Lorri 401b'!N4079,'Retirement Calculator'!A:A,0),0),0)</f>
        <v>0</v>
      </c>
      <c r="K4079" s="444">
        <f t="shared" ca="1" si="158"/>
        <v>-75854237856.474686</v>
      </c>
      <c r="L4079" s="444">
        <f t="shared" ca="1" si="159"/>
        <v>-18280871323410.402</v>
      </c>
      <c r="M4079" s="460">
        <f t="shared" si="161"/>
        <v>0.05</v>
      </c>
      <c r="N4079" s="464">
        <f t="shared" si="162"/>
        <v>175196</v>
      </c>
    </row>
    <row r="4080" spans="7:14" ht="11.25" customHeight="1" x14ac:dyDescent="0.25">
      <c r="G4080" s="459"/>
      <c r="H4080" s="459">
        <v>4073</v>
      </c>
      <c r="I4080" s="444">
        <f t="shared" ca="1" si="160"/>
        <v>-18280871323410.402</v>
      </c>
      <c r="J4080" s="444">
        <f t="array" ref="J4080">IFERROR(INDEX('Retirement Calculator'!K:K,MATCH('Lorri 401b'!N4080,'Retirement Calculator'!A:A,0),0),0)</f>
        <v>0</v>
      </c>
      <c r="K4080" s="444">
        <f t="shared" ca="1" si="158"/>
        <v>-76170297180.876678</v>
      </c>
      <c r="L4080" s="444">
        <f t="shared" ca="1" si="159"/>
        <v>-18357041620591.277</v>
      </c>
      <c r="M4080" s="460">
        <f t="shared" si="161"/>
        <v>0.05</v>
      </c>
      <c r="N4080" s="464">
        <f t="shared" si="162"/>
        <v>175226</v>
      </c>
    </row>
    <row r="4081" spans="7:14" ht="11.25" customHeight="1" x14ac:dyDescent="0.25">
      <c r="G4081" s="459"/>
      <c r="H4081" s="459">
        <v>4074</v>
      </c>
      <c r="I4081" s="444">
        <f t="shared" ca="1" si="160"/>
        <v>-18357041620591.277</v>
      </c>
      <c r="J4081" s="444">
        <f t="array" ref="J4081">IFERROR(INDEX('Retirement Calculator'!K:K,MATCH('Lorri 401b'!N4081,'Retirement Calculator'!A:A,0),0),0)</f>
        <v>0</v>
      </c>
      <c r="K4081" s="444">
        <f t="shared" ca="1" si="158"/>
        <v>-76487673419.130325</v>
      </c>
      <c r="L4081" s="444">
        <f t="shared" ca="1" si="159"/>
        <v>-18433529294010.406</v>
      </c>
      <c r="M4081" s="460">
        <f t="shared" si="161"/>
        <v>0.05</v>
      </c>
      <c r="N4081" s="464">
        <f t="shared" si="162"/>
        <v>175257</v>
      </c>
    </row>
    <row r="4082" spans="7:14" ht="11.25" customHeight="1" x14ac:dyDescent="0.25">
      <c r="G4082" s="459"/>
      <c r="H4082" s="459">
        <v>4075</v>
      </c>
      <c r="I4082" s="444">
        <f t="shared" ca="1" si="160"/>
        <v>-18433529294010.406</v>
      </c>
      <c r="J4082" s="444">
        <f t="array" ref="J4082">IFERROR(INDEX('Retirement Calculator'!K:K,MATCH('Lorri 401b'!N4082,'Retirement Calculator'!A:A,0),0),0)</f>
        <v>0</v>
      </c>
      <c r="K4082" s="444">
        <f t="shared" ca="1" si="158"/>
        <v>-76806372058.376694</v>
      </c>
      <c r="L4082" s="444">
        <f t="shared" ca="1" si="159"/>
        <v>-18510335666068.781</v>
      </c>
      <c r="M4082" s="460">
        <f t="shared" si="161"/>
        <v>0.05</v>
      </c>
      <c r="N4082" s="464">
        <f t="shared" si="162"/>
        <v>175287</v>
      </c>
    </row>
    <row r="4083" spans="7:14" ht="11.25" customHeight="1" x14ac:dyDescent="0.25">
      <c r="G4083" s="459"/>
      <c r="H4083" s="459">
        <v>4076</v>
      </c>
      <c r="I4083" s="444">
        <f t="shared" ca="1" si="160"/>
        <v>-18510335666068.781</v>
      </c>
      <c r="J4083" s="444">
        <f t="array" ref="J4083">IFERROR(INDEX('Retirement Calculator'!K:K,MATCH('Lorri 401b'!N4083,'Retirement Calculator'!A:A,0),0),0)</f>
        <v>0</v>
      </c>
      <c r="K4083" s="444">
        <f t="shared" ca="1" si="158"/>
        <v>-77126398608.619919</v>
      </c>
      <c r="L4083" s="444">
        <f t="shared" ca="1" si="159"/>
        <v>-18587462064677.402</v>
      </c>
      <c r="M4083" s="460">
        <f t="shared" si="161"/>
        <v>0.05</v>
      </c>
      <c r="N4083" s="464">
        <f t="shared" si="162"/>
        <v>175318</v>
      </c>
    </row>
    <row r="4084" spans="7:14" ht="11.25" customHeight="1" x14ac:dyDescent="0.25">
      <c r="G4084" s="459"/>
      <c r="H4084" s="459">
        <v>4077</v>
      </c>
      <c r="I4084" s="444">
        <f t="shared" ca="1" si="160"/>
        <v>-18587462064677.402</v>
      </c>
      <c r="J4084" s="444">
        <f t="array" ref="J4084">IFERROR(INDEX('Retirement Calculator'!K:K,MATCH('Lorri 401b'!N4084,'Retirement Calculator'!A:A,0),0),0)</f>
        <v>0</v>
      </c>
      <c r="K4084" s="444">
        <f t="shared" ca="1" si="158"/>
        <v>-77447758602.82251</v>
      </c>
      <c r="L4084" s="444">
        <f t="shared" ca="1" si="159"/>
        <v>-18664909823280.227</v>
      </c>
      <c r="M4084" s="460">
        <f t="shared" si="161"/>
        <v>0.05</v>
      </c>
      <c r="N4084" s="464">
        <f t="shared" si="162"/>
        <v>175349</v>
      </c>
    </row>
    <row r="4085" spans="7:14" ht="11.25" customHeight="1" x14ac:dyDescent="0.25">
      <c r="G4085" s="459"/>
      <c r="H4085" s="459">
        <v>4078</v>
      </c>
      <c r="I4085" s="444">
        <f t="shared" ca="1" si="160"/>
        <v>-18664909823280.227</v>
      </c>
      <c r="J4085" s="444">
        <f t="array" ref="J4085">IFERROR(INDEX('Retirement Calculator'!K:K,MATCH('Lorri 401b'!N4085,'Retirement Calculator'!A:A,0),0),0)</f>
        <v>0</v>
      </c>
      <c r="K4085" s="444">
        <f t="shared" ca="1" si="158"/>
        <v>-77770457597.000946</v>
      </c>
      <c r="L4085" s="444">
        <f t="shared" ca="1" si="159"/>
        <v>-18742680280877.227</v>
      </c>
      <c r="M4085" s="460">
        <f t="shared" si="161"/>
        <v>0.05</v>
      </c>
      <c r="N4085" s="464">
        <f t="shared" si="162"/>
        <v>175378</v>
      </c>
    </row>
    <row r="4086" spans="7:14" ht="11.25" customHeight="1" x14ac:dyDescent="0.25">
      <c r="G4086" s="459"/>
      <c r="H4086" s="459">
        <v>4079</v>
      </c>
      <c r="I4086" s="444">
        <f t="shared" ca="1" si="160"/>
        <v>-18742680280877.227</v>
      </c>
      <c r="J4086" s="444">
        <f t="array" ref="J4086">IFERROR(INDEX('Retirement Calculator'!K:K,MATCH('Lorri 401b'!N4086,'Retirement Calculator'!A:A,0),0),0)</f>
        <v>0</v>
      </c>
      <c r="K4086" s="444">
        <f t="shared" ca="1" si="158"/>
        <v>-78094501170.321777</v>
      </c>
      <c r="L4086" s="444">
        <f t="shared" ca="1" si="159"/>
        <v>-18820774782047.547</v>
      </c>
      <c r="M4086" s="460">
        <f t="shared" si="161"/>
        <v>0.05</v>
      </c>
      <c r="N4086" s="464">
        <f t="shared" si="162"/>
        <v>175409</v>
      </c>
    </row>
    <row r="4087" spans="7:14" ht="11.25" customHeight="1" x14ac:dyDescent="0.25">
      <c r="G4087" s="459"/>
      <c r="H4087" s="459">
        <v>4080</v>
      </c>
      <c r="I4087" s="444">
        <f t="shared" ca="1" si="160"/>
        <v>-18820774782047.547</v>
      </c>
      <c r="J4087" s="444">
        <f t="array" ref="J4087">IFERROR(INDEX('Retirement Calculator'!K:K,MATCH('Lorri 401b'!N4087,'Retirement Calculator'!A:A,0),0),0)</f>
        <v>0</v>
      </c>
      <c r="K4087" s="444">
        <f t="shared" ca="1" si="158"/>
        <v>-78419894925.198105</v>
      </c>
      <c r="L4087" s="444">
        <f t="shared" ca="1" si="159"/>
        <v>-18899194676972.746</v>
      </c>
      <c r="M4087" s="460">
        <f t="shared" si="161"/>
        <v>0.05</v>
      </c>
      <c r="N4087" s="464">
        <f t="shared" si="162"/>
        <v>175439</v>
      </c>
    </row>
    <row r="4088" spans="7:14" ht="11.25" customHeight="1" x14ac:dyDescent="0.25">
      <c r="G4088" s="459"/>
      <c r="H4088" s="459">
        <v>4081</v>
      </c>
      <c r="I4088" s="444">
        <f t="shared" ca="1" si="160"/>
        <v>-18899194676972.746</v>
      </c>
      <c r="J4088" s="444">
        <f t="array" ref="J4088">IFERROR(INDEX('Retirement Calculator'!K:K,MATCH('Lorri 401b'!N4088,'Retirement Calculator'!A:A,0),0),0)</f>
        <v>0</v>
      </c>
      <c r="K4088" s="444">
        <f t="shared" ref="K4088:K4342" ca="1" si="163">IPMT(M4088/12,1,12,-I4088+J4088,,0)</f>
        <v>-78746644487.386444</v>
      </c>
      <c r="L4088" s="444">
        <f t="shared" ref="L4088:L4342" ca="1" si="164">I4088-J4088+K4088</f>
        <v>-18977941321460.133</v>
      </c>
      <c r="M4088" s="460">
        <f t="shared" si="161"/>
        <v>0.05</v>
      </c>
      <c r="N4088" s="464">
        <f t="shared" si="162"/>
        <v>175470</v>
      </c>
    </row>
    <row r="4089" spans="7:14" ht="11.25" customHeight="1" x14ac:dyDescent="0.25">
      <c r="G4089" s="459"/>
      <c r="H4089" s="459">
        <v>4082</v>
      </c>
      <c r="I4089" s="444">
        <f t="shared" ref="I4089:I4343" ca="1" si="165">L4088</f>
        <v>-18977941321460.133</v>
      </c>
      <c r="J4089" s="444">
        <f t="array" ref="J4089">IFERROR(INDEX('Retirement Calculator'!K:K,MATCH('Lorri 401b'!N4089,'Retirement Calculator'!A:A,0),0),0)</f>
        <v>0</v>
      </c>
      <c r="K4089" s="444">
        <f t="shared" ca="1" si="163"/>
        <v>-79074755506.083893</v>
      </c>
      <c r="L4089" s="444">
        <f t="shared" ca="1" si="164"/>
        <v>-19057016076966.215</v>
      </c>
      <c r="M4089" s="460">
        <f t="shared" ref="M4089:M4343" si="166">M4088</f>
        <v>0.05</v>
      </c>
      <c r="N4089" s="464">
        <f t="shared" ref="N4089:N4343" si="167">EDATE(N4088,1)</f>
        <v>175500</v>
      </c>
    </row>
    <row r="4090" spans="7:14" ht="11.25" customHeight="1" x14ac:dyDescent="0.25">
      <c r="G4090" s="459"/>
      <c r="H4090" s="459">
        <v>4083</v>
      </c>
      <c r="I4090" s="444">
        <f t="shared" ca="1" si="165"/>
        <v>-19057016076966.215</v>
      </c>
      <c r="J4090" s="444">
        <f t="array" ref="J4090">IFERROR(INDEX('Retirement Calculator'!K:K,MATCH('Lorri 401b'!N4090,'Retirement Calculator'!A:A,0),0),0)</f>
        <v>0</v>
      </c>
      <c r="K4090" s="444">
        <f t="shared" ca="1" si="163"/>
        <v>-79404233654.025894</v>
      </c>
      <c r="L4090" s="444">
        <f t="shared" ca="1" si="164"/>
        <v>-19136420310620.242</v>
      </c>
      <c r="M4090" s="460">
        <f t="shared" si="166"/>
        <v>0.05</v>
      </c>
      <c r="N4090" s="464">
        <f t="shared" si="167"/>
        <v>175531</v>
      </c>
    </row>
    <row r="4091" spans="7:14" ht="11.25" customHeight="1" x14ac:dyDescent="0.25">
      <c r="G4091" s="459"/>
      <c r="H4091" s="459">
        <v>4084</v>
      </c>
      <c r="I4091" s="444">
        <f t="shared" ca="1" si="165"/>
        <v>-19136420310620.242</v>
      </c>
      <c r="J4091" s="444">
        <f t="array" ref="J4091">IFERROR(INDEX('Retirement Calculator'!K:K,MATCH('Lorri 401b'!N4091,'Retirement Calculator'!A:A,0),0),0)</f>
        <v>0</v>
      </c>
      <c r="K4091" s="444">
        <f t="shared" ca="1" si="163"/>
        <v>-79735084627.584335</v>
      </c>
      <c r="L4091" s="444">
        <f t="shared" ca="1" si="164"/>
        <v>-19216155395247.828</v>
      </c>
      <c r="M4091" s="460">
        <f t="shared" si="166"/>
        <v>0.05</v>
      </c>
      <c r="N4091" s="464">
        <f t="shared" si="167"/>
        <v>175562</v>
      </c>
    </row>
    <row r="4092" spans="7:14" ht="11.25" customHeight="1" x14ac:dyDescent="0.25">
      <c r="G4092" s="459"/>
      <c r="H4092" s="459">
        <v>4085</v>
      </c>
      <c r="I4092" s="444">
        <f t="shared" ca="1" si="165"/>
        <v>-19216155395247.828</v>
      </c>
      <c r="J4092" s="444">
        <f t="array" ref="J4092">IFERROR(INDEX('Retirement Calculator'!K:K,MATCH('Lorri 401b'!N4092,'Retirement Calculator'!A:A,0),0),0)</f>
        <v>0</v>
      </c>
      <c r="K4092" s="444">
        <f t="shared" ca="1" si="163"/>
        <v>-80067314146.865952</v>
      </c>
      <c r="L4092" s="444">
        <f t="shared" ca="1" si="164"/>
        <v>-19296222709394.695</v>
      </c>
      <c r="M4092" s="460">
        <f t="shared" si="166"/>
        <v>0.05</v>
      </c>
      <c r="N4092" s="464">
        <f t="shared" si="167"/>
        <v>175592</v>
      </c>
    </row>
    <row r="4093" spans="7:14" ht="11.25" customHeight="1" x14ac:dyDescent="0.25">
      <c r="G4093" s="459"/>
      <c r="H4093" s="459">
        <v>4086</v>
      </c>
      <c r="I4093" s="444">
        <f t="shared" ca="1" si="165"/>
        <v>-19296222709394.695</v>
      </c>
      <c r="J4093" s="444">
        <f t="array" ref="J4093">IFERROR(INDEX('Retirement Calculator'!K:K,MATCH('Lorri 401b'!N4093,'Retirement Calculator'!A:A,0),0),0)</f>
        <v>0</v>
      </c>
      <c r="K4093" s="444">
        <f t="shared" ca="1" si="163"/>
        <v>-80400927955.811234</v>
      </c>
      <c r="L4093" s="444">
        <f t="shared" ca="1" si="164"/>
        <v>-19376623637350.508</v>
      </c>
      <c r="M4093" s="460">
        <f t="shared" si="166"/>
        <v>0.05</v>
      </c>
      <c r="N4093" s="464">
        <f t="shared" si="167"/>
        <v>175623</v>
      </c>
    </row>
    <row r="4094" spans="7:14" ht="11.25" customHeight="1" x14ac:dyDescent="0.25">
      <c r="G4094" s="459"/>
      <c r="H4094" s="459">
        <v>4087</v>
      </c>
      <c r="I4094" s="444">
        <f t="shared" ca="1" si="165"/>
        <v>-19376623637350.508</v>
      </c>
      <c r="J4094" s="444">
        <f t="array" ref="J4094">IFERROR(INDEX('Retirement Calculator'!K:K,MATCH('Lorri 401b'!N4094,'Retirement Calculator'!A:A,0),0),0)</f>
        <v>0</v>
      </c>
      <c r="K4094" s="444">
        <f t="shared" ca="1" si="163"/>
        <v>-80735931822.293777</v>
      </c>
      <c r="L4094" s="444">
        <f t="shared" ca="1" si="164"/>
        <v>-19457359569172.801</v>
      </c>
      <c r="M4094" s="460">
        <f t="shared" si="166"/>
        <v>0.05</v>
      </c>
      <c r="N4094" s="464">
        <f t="shared" si="167"/>
        <v>175653</v>
      </c>
    </row>
    <row r="4095" spans="7:14" ht="11.25" customHeight="1" x14ac:dyDescent="0.25">
      <c r="G4095" s="459"/>
      <c r="H4095" s="459">
        <v>4088</v>
      </c>
      <c r="I4095" s="444">
        <f t="shared" ca="1" si="165"/>
        <v>-19457359569172.801</v>
      </c>
      <c r="J4095" s="444">
        <f t="array" ref="J4095">IFERROR(INDEX('Retirement Calculator'!K:K,MATCH('Lorri 401b'!N4095,'Retirement Calculator'!A:A,0),0),0)</f>
        <v>0</v>
      </c>
      <c r="K4095" s="444">
        <f t="shared" ca="1" si="163"/>
        <v>-81072331538.220001</v>
      </c>
      <c r="L4095" s="444">
        <f t="shared" ca="1" si="164"/>
        <v>-19538431900711.02</v>
      </c>
      <c r="M4095" s="460">
        <f t="shared" si="166"/>
        <v>0.05</v>
      </c>
      <c r="N4095" s="464">
        <f t="shared" si="167"/>
        <v>175684</v>
      </c>
    </row>
    <row r="4096" spans="7:14" ht="11.25" customHeight="1" x14ac:dyDescent="0.25">
      <c r="G4096" s="459"/>
      <c r="H4096" s="459">
        <v>4089</v>
      </c>
      <c r="I4096" s="444">
        <f t="shared" ca="1" si="165"/>
        <v>-19538431900711.02</v>
      </c>
      <c r="J4096" s="444">
        <f t="array" ref="J4096">IFERROR(INDEX('Retirement Calculator'!K:K,MATCH('Lorri 401b'!N4096,'Retirement Calculator'!A:A,0),0),0)</f>
        <v>0</v>
      </c>
      <c r="K4096" s="444">
        <f t="shared" ca="1" si="163"/>
        <v>-81410132919.629242</v>
      </c>
      <c r="L4096" s="444">
        <f t="shared" ca="1" si="164"/>
        <v>-19619842033630.648</v>
      </c>
      <c r="M4096" s="460">
        <f t="shared" si="166"/>
        <v>0.05</v>
      </c>
      <c r="N4096" s="464">
        <f t="shared" si="167"/>
        <v>175715</v>
      </c>
    </row>
    <row r="4097" spans="7:14" ht="11.25" customHeight="1" x14ac:dyDescent="0.25">
      <c r="G4097" s="459"/>
      <c r="H4097" s="459">
        <v>4090</v>
      </c>
      <c r="I4097" s="444">
        <f t="shared" ca="1" si="165"/>
        <v>-19619842033630.648</v>
      </c>
      <c r="J4097" s="444">
        <f t="array" ref="J4097">IFERROR(INDEX('Retirement Calculator'!K:K,MATCH('Lorri 401b'!N4097,'Retirement Calculator'!A:A,0),0),0)</f>
        <v>0</v>
      </c>
      <c r="K4097" s="444">
        <f t="shared" ca="1" si="163"/>
        <v>-81749341806.794373</v>
      </c>
      <c r="L4097" s="444">
        <f t="shared" ca="1" si="164"/>
        <v>-19701591375437.441</v>
      </c>
      <c r="M4097" s="460">
        <f t="shared" si="166"/>
        <v>0.05</v>
      </c>
      <c r="N4097" s="464">
        <f t="shared" si="167"/>
        <v>175743</v>
      </c>
    </row>
    <row r="4098" spans="7:14" ht="11.25" customHeight="1" x14ac:dyDescent="0.25">
      <c r="G4098" s="459"/>
      <c r="H4098" s="459">
        <v>4091</v>
      </c>
      <c r="I4098" s="444">
        <f t="shared" ca="1" si="165"/>
        <v>-19701591375437.441</v>
      </c>
      <c r="J4098" s="444">
        <f t="array" ref="J4098">IFERROR(INDEX('Retirement Calculator'!K:K,MATCH('Lorri 401b'!N4098,'Retirement Calculator'!A:A,0),0),0)</f>
        <v>0</v>
      </c>
      <c r="K4098" s="444">
        <f t="shared" ca="1" si="163"/>
        <v>-82089964064.322678</v>
      </c>
      <c r="L4098" s="444">
        <f t="shared" ca="1" si="164"/>
        <v>-19783681339501.766</v>
      </c>
      <c r="M4098" s="460">
        <f t="shared" si="166"/>
        <v>0.05</v>
      </c>
      <c r="N4098" s="464">
        <f t="shared" si="167"/>
        <v>175774</v>
      </c>
    </row>
    <row r="4099" spans="7:14" ht="11.25" customHeight="1" x14ac:dyDescent="0.25">
      <c r="G4099" s="459"/>
      <c r="H4099" s="459">
        <v>4092</v>
      </c>
      <c r="I4099" s="444">
        <f t="shared" ca="1" si="165"/>
        <v>-19783681339501.766</v>
      </c>
      <c r="J4099" s="444">
        <f t="array" ref="J4099">IFERROR(INDEX('Retirement Calculator'!K:K,MATCH('Lorri 401b'!N4099,'Retirement Calculator'!A:A,0),0),0)</f>
        <v>0</v>
      </c>
      <c r="K4099" s="444">
        <f t="shared" ca="1" si="163"/>
        <v>-82432005581.257355</v>
      </c>
      <c r="L4099" s="444">
        <f t="shared" ca="1" si="164"/>
        <v>-19866113345083.023</v>
      </c>
      <c r="M4099" s="460">
        <f t="shared" si="166"/>
        <v>0.05</v>
      </c>
      <c r="N4099" s="464">
        <f t="shared" si="167"/>
        <v>175804</v>
      </c>
    </row>
    <row r="4100" spans="7:14" ht="11.25" customHeight="1" x14ac:dyDescent="0.25">
      <c r="G4100" s="459"/>
      <c r="H4100" s="459">
        <v>4093</v>
      </c>
      <c r="I4100" s="444">
        <f t="shared" ca="1" si="165"/>
        <v>-19866113345083.023</v>
      </c>
      <c r="J4100" s="444">
        <f t="array" ref="J4100">IFERROR(INDEX('Retirement Calculator'!K:K,MATCH('Lorri 401b'!N4100,'Retirement Calculator'!A:A,0),0),0)</f>
        <v>0</v>
      </c>
      <c r="K4100" s="444">
        <f t="shared" ca="1" si="163"/>
        <v>-82775472271.17926</v>
      </c>
      <c r="L4100" s="444">
        <f t="shared" ca="1" si="164"/>
        <v>-19948888817354.203</v>
      </c>
      <c r="M4100" s="460">
        <f t="shared" si="166"/>
        <v>0.05</v>
      </c>
      <c r="N4100" s="464">
        <f t="shared" si="167"/>
        <v>175835</v>
      </c>
    </row>
    <row r="4101" spans="7:14" ht="11.25" customHeight="1" x14ac:dyDescent="0.25">
      <c r="G4101" s="459"/>
      <c r="H4101" s="459">
        <v>4094</v>
      </c>
      <c r="I4101" s="444">
        <f t="shared" ca="1" si="165"/>
        <v>-19948888817354.203</v>
      </c>
      <c r="J4101" s="444">
        <f t="array" ref="J4101">IFERROR(INDEX('Retirement Calculator'!K:K,MATCH('Lorri 401b'!N4101,'Retirement Calculator'!A:A,0),0),0)</f>
        <v>0</v>
      </c>
      <c r="K4101" s="444">
        <f t="shared" ca="1" si="163"/>
        <v>-83120370072.309174</v>
      </c>
      <c r="L4101" s="444">
        <f t="shared" ca="1" si="164"/>
        <v>-20032009187426.512</v>
      </c>
      <c r="M4101" s="460">
        <f t="shared" si="166"/>
        <v>0.05</v>
      </c>
      <c r="N4101" s="464">
        <f t="shared" si="167"/>
        <v>175865</v>
      </c>
    </row>
    <row r="4102" spans="7:14" ht="11.25" customHeight="1" x14ac:dyDescent="0.25">
      <c r="G4102" s="459"/>
      <c r="H4102" s="459">
        <v>4095</v>
      </c>
      <c r="I4102" s="444">
        <f t="shared" ca="1" si="165"/>
        <v>-20032009187426.512</v>
      </c>
      <c r="J4102" s="444">
        <f t="array" ref="J4102">IFERROR(INDEX('Retirement Calculator'!K:K,MATCH('Lorri 401b'!N4102,'Retirement Calculator'!A:A,0),0),0)</f>
        <v>0</v>
      </c>
      <c r="K4102" s="444">
        <f t="shared" ca="1" si="163"/>
        <v>-83466704947.610458</v>
      </c>
      <c r="L4102" s="444">
        <f t="shared" ca="1" si="164"/>
        <v>-20115475892374.121</v>
      </c>
      <c r="M4102" s="460">
        <f t="shared" si="166"/>
        <v>0.05</v>
      </c>
      <c r="N4102" s="464">
        <f t="shared" si="167"/>
        <v>175896</v>
      </c>
    </row>
    <row r="4103" spans="7:14" ht="11.25" customHeight="1" x14ac:dyDescent="0.25">
      <c r="G4103" s="459"/>
      <c r="H4103" s="459">
        <v>4096</v>
      </c>
      <c r="I4103" s="444">
        <f t="shared" ca="1" si="165"/>
        <v>-20115475892374.121</v>
      </c>
      <c r="J4103" s="444">
        <f t="array" ref="J4103">IFERROR(INDEX('Retirement Calculator'!K:K,MATCH('Lorri 401b'!N4103,'Retirement Calculator'!A:A,0),0),0)</f>
        <v>0</v>
      </c>
      <c r="K4103" s="444">
        <f t="shared" ca="1" si="163"/>
        <v>-83814482884.892166</v>
      </c>
      <c r="L4103" s="444">
        <f t="shared" ca="1" si="164"/>
        <v>-20199290375259.012</v>
      </c>
      <c r="M4103" s="460">
        <f t="shared" si="166"/>
        <v>0.05</v>
      </c>
      <c r="N4103" s="464">
        <f t="shared" si="167"/>
        <v>175927</v>
      </c>
    </row>
    <row r="4104" spans="7:14" ht="11.25" customHeight="1" x14ac:dyDescent="0.25">
      <c r="G4104" s="459"/>
      <c r="H4104" s="459">
        <v>4097</v>
      </c>
      <c r="I4104" s="444">
        <f t="shared" ca="1" si="165"/>
        <v>-20199290375259.012</v>
      </c>
      <c r="J4104" s="444">
        <f t="array" ref="J4104">IFERROR(INDEX('Retirement Calculator'!K:K,MATCH('Lorri 401b'!N4104,'Retirement Calculator'!A:A,0),0),0)</f>
        <v>0</v>
      </c>
      <c r="K4104" s="444">
        <f t="shared" ca="1" si="163"/>
        <v>-84163709896.912552</v>
      </c>
      <c r="L4104" s="444">
        <f t="shared" ca="1" si="164"/>
        <v>-20283454085155.926</v>
      </c>
      <c r="M4104" s="460">
        <f t="shared" si="166"/>
        <v>0.05</v>
      </c>
      <c r="N4104" s="464">
        <f t="shared" si="167"/>
        <v>175957</v>
      </c>
    </row>
    <row r="4105" spans="7:14" ht="11.25" customHeight="1" x14ac:dyDescent="0.25">
      <c r="G4105" s="459"/>
      <c r="H4105" s="459">
        <v>4098</v>
      </c>
      <c r="I4105" s="444">
        <f t="shared" ca="1" si="165"/>
        <v>-20283454085155.926</v>
      </c>
      <c r="J4105" s="444">
        <f t="array" ref="J4105">IFERROR(INDEX('Retirement Calculator'!K:K,MATCH('Lorri 401b'!N4105,'Retirement Calculator'!A:A,0),0),0)</f>
        <v>0</v>
      </c>
      <c r="K4105" s="444">
        <f t="shared" ca="1" si="163"/>
        <v>-84514392021.483017</v>
      </c>
      <c r="L4105" s="444">
        <f t="shared" ca="1" si="164"/>
        <v>-20367968477177.41</v>
      </c>
      <c r="M4105" s="460">
        <f t="shared" si="166"/>
        <v>0.05</v>
      </c>
      <c r="N4105" s="464">
        <f t="shared" si="167"/>
        <v>175988</v>
      </c>
    </row>
    <row r="4106" spans="7:14" ht="11.25" customHeight="1" x14ac:dyDescent="0.25">
      <c r="G4106" s="459"/>
      <c r="H4106" s="459">
        <v>4099</v>
      </c>
      <c r="I4106" s="444">
        <f t="shared" ca="1" si="165"/>
        <v>-20367968477177.41</v>
      </c>
      <c r="J4106" s="444">
        <f t="array" ref="J4106">IFERROR(INDEX('Retirement Calculator'!K:K,MATCH('Lorri 401b'!N4106,'Retirement Calculator'!A:A,0),0),0)</f>
        <v>0</v>
      </c>
      <c r="K4106" s="444">
        <f t="shared" ca="1" si="163"/>
        <v>-84866535321.57254</v>
      </c>
      <c r="L4106" s="444">
        <f t="shared" ca="1" si="164"/>
        <v>-20452835012498.984</v>
      </c>
      <c r="M4106" s="460">
        <f t="shared" si="166"/>
        <v>0.05</v>
      </c>
      <c r="N4106" s="464">
        <f t="shared" si="167"/>
        <v>176018</v>
      </c>
    </row>
    <row r="4107" spans="7:14" ht="11.25" customHeight="1" x14ac:dyDescent="0.25">
      <c r="G4107" s="459"/>
      <c r="H4107" s="459">
        <v>4100</v>
      </c>
      <c r="I4107" s="444">
        <f t="shared" ca="1" si="165"/>
        <v>-20452835012498.984</v>
      </c>
      <c r="J4107" s="444">
        <f t="array" ref="J4107">IFERROR(INDEX('Retirement Calculator'!K:K,MATCH('Lorri 401b'!N4107,'Retirement Calculator'!A:A,0),0),0)</f>
        <v>0</v>
      </c>
      <c r="K4107" s="444">
        <f t="shared" ca="1" si="163"/>
        <v>-85220145885.41243</v>
      </c>
      <c r="L4107" s="444">
        <f t="shared" ca="1" si="164"/>
        <v>-20538055158384.398</v>
      </c>
      <c r="M4107" s="460">
        <f t="shared" si="166"/>
        <v>0.05</v>
      </c>
      <c r="N4107" s="464">
        <f t="shared" si="167"/>
        <v>176049</v>
      </c>
    </row>
    <row r="4108" spans="7:14" ht="11.25" customHeight="1" x14ac:dyDescent="0.25">
      <c r="G4108" s="459"/>
      <c r="H4108" s="459">
        <v>4101</v>
      </c>
      <c r="I4108" s="444">
        <f t="shared" ca="1" si="165"/>
        <v>-20538055158384.398</v>
      </c>
      <c r="J4108" s="444">
        <f t="array" ref="J4108">IFERROR(INDEX('Retirement Calculator'!K:K,MATCH('Lorri 401b'!N4108,'Retirement Calculator'!A:A,0),0),0)</f>
        <v>0</v>
      </c>
      <c r="K4108" s="444">
        <f t="shared" ca="1" si="163"/>
        <v>-85575229826.601654</v>
      </c>
      <c r="L4108" s="444">
        <f t="shared" ca="1" si="164"/>
        <v>-20623630388211</v>
      </c>
      <c r="M4108" s="460">
        <f t="shared" si="166"/>
        <v>0.05</v>
      </c>
      <c r="N4108" s="464">
        <f t="shared" si="167"/>
        <v>176080</v>
      </c>
    </row>
    <row r="4109" spans="7:14" ht="11.25" customHeight="1" x14ac:dyDescent="0.25">
      <c r="G4109" s="459"/>
      <c r="H4109" s="459">
        <v>4102</v>
      </c>
      <c r="I4109" s="444">
        <f t="shared" ca="1" si="165"/>
        <v>-20623630388211</v>
      </c>
      <c r="J4109" s="444">
        <f t="array" ref="J4109">IFERROR(INDEX('Retirement Calculator'!K:K,MATCH('Lorri 401b'!N4109,'Retirement Calculator'!A:A,0),0),0)</f>
        <v>0</v>
      </c>
      <c r="K4109" s="444">
        <f t="shared" ca="1" si="163"/>
        <v>-85931793284.212494</v>
      </c>
      <c r="L4109" s="444">
        <f t="shared" ca="1" si="164"/>
        <v>-20709562181495.211</v>
      </c>
      <c r="M4109" s="460">
        <f t="shared" si="166"/>
        <v>0.05</v>
      </c>
      <c r="N4109" s="464">
        <f t="shared" si="167"/>
        <v>176108</v>
      </c>
    </row>
    <row r="4110" spans="7:14" ht="11.25" customHeight="1" x14ac:dyDescent="0.25">
      <c r="G4110" s="459"/>
      <c r="H4110" s="459">
        <v>4103</v>
      </c>
      <c r="I4110" s="444">
        <f t="shared" ca="1" si="165"/>
        <v>-20709562181495.211</v>
      </c>
      <c r="J4110" s="444">
        <f t="array" ref="J4110">IFERROR(INDEX('Retirement Calculator'!K:K,MATCH('Lorri 401b'!N4110,'Retirement Calculator'!A:A,0),0),0)</f>
        <v>0</v>
      </c>
      <c r="K4110" s="444">
        <f t="shared" ca="1" si="163"/>
        <v>-86289842422.896713</v>
      </c>
      <c r="L4110" s="444">
        <f t="shared" ca="1" si="164"/>
        <v>-20795852023918.109</v>
      </c>
      <c r="M4110" s="460">
        <f t="shared" si="166"/>
        <v>0.05</v>
      </c>
      <c r="N4110" s="464">
        <f t="shared" si="167"/>
        <v>176139</v>
      </c>
    </row>
    <row r="4111" spans="7:14" ht="11.25" customHeight="1" x14ac:dyDescent="0.25">
      <c r="G4111" s="459"/>
      <c r="H4111" s="459">
        <v>4104</v>
      </c>
      <c r="I4111" s="444">
        <f t="shared" ca="1" si="165"/>
        <v>-20795852023918.109</v>
      </c>
      <c r="J4111" s="444">
        <f t="array" ref="J4111">IFERROR(INDEX('Retirement Calculator'!K:K,MATCH('Lorri 401b'!N4111,'Retirement Calculator'!A:A,0),0),0)</f>
        <v>0</v>
      </c>
      <c r="K4111" s="444">
        <f t="shared" ca="1" si="163"/>
        <v>-86649383432.992126</v>
      </c>
      <c r="L4111" s="444">
        <f t="shared" ca="1" si="164"/>
        <v>-20882501407351.102</v>
      </c>
      <c r="M4111" s="460">
        <f t="shared" si="166"/>
        <v>0.05</v>
      </c>
      <c r="N4111" s="464">
        <f t="shared" si="167"/>
        <v>176169</v>
      </c>
    </row>
    <row r="4112" spans="7:14" ht="11.25" customHeight="1" x14ac:dyDescent="0.25">
      <c r="G4112" s="459"/>
      <c r="H4112" s="459">
        <v>4105</v>
      </c>
      <c r="I4112" s="444">
        <f t="shared" ca="1" si="165"/>
        <v>-20882501407351.102</v>
      </c>
      <c r="J4112" s="444">
        <f t="array" ref="J4112">IFERROR(INDEX('Retirement Calculator'!K:K,MATCH('Lorri 401b'!N4112,'Retirement Calculator'!A:A,0),0),0)</f>
        <v>0</v>
      </c>
      <c r="K4112" s="444">
        <f t="shared" ca="1" si="163"/>
        <v>-87010422530.629593</v>
      </c>
      <c r="L4112" s="444">
        <f t="shared" ca="1" si="164"/>
        <v>-20969511829881.73</v>
      </c>
      <c r="M4112" s="460">
        <f t="shared" si="166"/>
        <v>0.05</v>
      </c>
      <c r="N4112" s="464">
        <f t="shared" si="167"/>
        <v>176200</v>
      </c>
    </row>
    <row r="4113" spans="7:14" ht="11.25" customHeight="1" x14ac:dyDescent="0.25">
      <c r="G4113" s="459"/>
      <c r="H4113" s="459">
        <v>4106</v>
      </c>
      <c r="I4113" s="444">
        <f t="shared" ca="1" si="165"/>
        <v>-20969511829881.73</v>
      </c>
      <c r="J4113" s="444">
        <f t="array" ref="J4113">IFERROR(INDEX('Retirement Calculator'!K:K,MATCH('Lorri 401b'!N4113,'Retirement Calculator'!A:A,0),0),0)</f>
        <v>0</v>
      </c>
      <c r="K4113" s="444">
        <f t="shared" ca="1" si="163"/>
        <v>-87372965957.840546</v>
      </c>
      <c r="L4113" s="444">
        <f t="shared" ca="1" si="164"/>
        <v>-21056884795839.57</v>
      </c>
      <c r="M4113" s="460">
        <f t="shared" si="166"/>
        <v>0.05</v>
      </c>
      <c r="N4113" s="464">
        <f t="shared" si="167"/>
        <v>176230</v>
      </c>
    </row>
    <row r="4114" spans="7:14" ht="11.25" customHeight="1" x14ac:dyDescent="0.25">
      <c r="G4114" s="459"/>
      <c r="H4114" s="459">
        <v>4107</v>
      </c>
      <c r="I4114" s="444">
        <f t="shared" ca="1" si="165"/>
        <v>-21056884795839.57</v>
      </c>
      <c r="J4114" s="444">
        <f t="array" ref="J4114">IFERROR(INDEX('Retirement Calculator'!K:K,MATCH('Lorri 401b'!N4114,'Retirement Calculator'!A:A,0),0),0)</f>
        <v>0</v>
      </c>
      <c r="K4114" s="444">
        <f t="shared" ca="1" si="163"/>
        <v>-87737019982.664871</v>
      </c>
      <c r="L4114" s="444">
        <f t="shared" ca="1" si="164"/>
        <v>-21144621815822.234</v>
      </c>
      <c r="M4114" s="460">
        <f t="shared" si="166"/>
        <v>0.05</v>
      </c>
      <c r="N4114" s="464">
        <f t="shared" si="167"/>
        <v>176261</v>
      </c>
    </row>
    <row r="4115" spans="7:14" ht="11.25" customHeight="1" x14ac:dyDescent="0.25">
      <c r="G4115" s="459"/>
      <c r="H4115" s="459">
        <v>4108</v>
      </c>
      <c r="I4115" s="444">
        <f t="shared" ca="1" si="165"/>
        <v>-21144621815822.234</v>
      </c>
      <c r="J4115" s="444">
        <f t="array" ref="J4115">IFERROR(INDEX('Retirement Calculator'!K:K,MATCH('Lorri 401b'!N4115,'Retirement Calculator'!A:A,0),0),0)</f>
        <v>0</v>
      </c>
      <c r="K4115" s="444">
        <f t="shared" ca="1" si="163"/>
        <v>-88102590899.259308</v>
      </c>
      <c r="L4115" s="444">
        <f t="shared" ca="1" si="164"/>
        <v>-21232724406721.492</v>
      </c>
      <c r="M4115" s="460">
        <f t="shared" si="166"/>
        <v>0.05</v>
      </c>
      <c r="N4115" s="464">
        <f t="shared" si="167"/>
        <v>176292</v>
      </c>
    </row>
    <row r="4116" spans="7:14" ht="11.25" customHeight="1" x14ac:dyDescent="0.25">
      <c r="G4116" s="459"/>
      <c r="H4116" s="459">
        <v>4109</v>
      </c>
      <c r="I4116" s="444">
        <f t="shared" ca="1" si="165"/>
        <v>-21232724406721.492</v>
      </c>
      <c r="J4116" s="444">
        <f t="array" ref="J4116">IFERROR(INDEX('Retirement Calculator'!K:K,MATCH('Lorri 401b'!N4116,'Retirement Calculator'!A:A,0),0),0)</f>
        <v>0</v>
      </c>
      <c r="K4116" s="444">
        <f t="shared" ca="1" si="163"/>
        <v>-88469685028.00621</v>
      </c>
      <c r="L4116" s="444">
        <f t="shared" ca="1" si="164"/>
        <v>-21321194091749.5</v>
      </c>
      <c r="M4116" s="460">
        <f t="shared" si="166"/>
        <v>0.05</v>
      </c>
      <c r="N4116" s="464">
        <f t="shared" si="167"/>
        <v>176322</v>
      </c>
    </row>
    <row r="4117" spans="7:14" ht="11.25" customHeight="1" x14ac:dyDescent="0.25">
      <c r="G4117" s="459"/>
      <c r="H4117" s="459">
        <v>4110</v>
      </c>
      <c r="I4117" s="444">
        <f t="shared" ca="1" si="165"/>
        <v>-21321194091749.5</v>
      </c>
      <c r="J4117" s="444">
        <f t="array" ref="J4117">IFERROR(INDEX('Retirement Calculator'!K:K,MATCH('Lorri 401b'!N4117,'Retirement Calculator'!A:A,0),0),0)</f>
        <v>0</v>
      </c>
      <c r="K4117" s="444">
        <f t="shared" ca="1" si="163"/>
        <v>-88838308715.62291</v>
      </c>
      <c r="L4117" s="444">
        <f t="shared" ca="1" si="164"/>
        <v>-21410032400465.121</v>
      </c>
      <c r="M4117" s="460">
        <f t="shared" si="166"/>
        <v>0.05</v>
      </c>
      <c r="N4117" s="464">
        <f t="shared" si="167"/>
        <v>176353</v>
      </c>
    </row>
    <row r="4118" spans="7:14" ht="11.25" customHeight="1" x14ac:dyDescent="0.25">
      <c r="G4118" s="459"/>
      <c r="H4118" s="459">
        <v>4111</v>
      </c>
      <c r="I4118" s="444">
        <f t="shared" ca="1" si="165"/>
        <v>-21410032400465.121</v>
      </c>
      <c r="J4118" s="444">
        <f t="array" ref="J4118">IFERROR(INDEX('Retirement Calculator'!K:K,MATCH('Lorri 401b'!N4118,'Retirement Calculator'!A:A,0),0),0)</f>
        <v>0</v>
      </c>
      <c r="K4118" s="444">
        <f t="shared" ca="1" si="163"/>
        <v>-89208468335.271332</v>
      </c>
      <c r="L4118" s="444">
        <f t="shared" ca="1" si="164"/>
        <v>-21499240868800.391</v>
      </c>
      <c r="M4118" s="460">
        <f t="shared" si="166"/>
        <v>0.05</v>
      </c>
      <c r="N4118" s="464">
        <f t="shared" si="167"/>
        <v>176383</v>
      </c>
    </row>
    <row r="4119" spans="7:14" ht="11.25" customHeight="1" x14ac:dyDescent="0.25">
      <c r="G4119" s="459"/>
      <c r="H4119" s="459">
        <v>4112</v>
      </c>
      <c r="I4119" s="444">
        <f t="shared" ca="1" si="165"/>
        <v>-21499240868800.391</v>
      </c>
      <c r="J4119" s="444">
        <f t="array" ref="J4119">IFERROR(INDEX('Retirement Calculator'!K:K,MATCH('Lorri 401b'!N4119,'Retirement Calculator'!A:A,0),0),0)</f>
        <v>0</v>
      </c>
      <c r="K4119" s="444">
        <f t="shared" ca="1" si="163"/>
        <v>-89580170286.668289</v>
      </c>
      <c r="L4119" s="444">
        <f t="shared" ca="1" si="164"/>
        <v>-21588821039087.059</v>
      </c>
      <c r="M4119" s="460">
        <f t="shared" si="166"/>
        <v>0.05</v>
      </c>
      <c r="N4119" s="464">
        <f t="shared" si="167"/>
        <v>176414</v>
      </c>
    </row>
    <row r="4120" spans="7:14" ht="11.25" customHeight="1" x14ac:dyDescent="0.25">
      <c r="G4120" s="459"/>
      <c r="H4120" s="459">
        <v>4113</v>
      </c>
      <c r="I4120" s="444">
        <f t="shared" ca="1" si="165"/>
        <v>-21588821039087.059</v>
      </c>
      <c r="J4120" s="444">
        <f t="array" ref="J4120">IFERROR(INDEX('Retirement Calculator'!K:K,MATCH('Lorri 401b'!N4120,'Retirement Calculator'!A:A,0),0),0)</f>
        <v>0</v>
      </c>
      <c r="K4120" s="444">
        <f t="shared" ca="1" si="163"/>
        <v>-89953420996.196075</v>
      </c>
      <c r="L4120" s="444">
        <f t="shared" ca="1" si="164"/>
        <v>-21678774460083.254</v>
      </c>
      <c r="M4120" s="460">
        <f t="shared" si="166"/>
        <v>0.05</v>
      </c>
      <c r="N4120" s="464">
        <f t="shared" si="167"/>
        <v>176445</v>
      </c>
    </row>
    <row r="4121" spans="7:14" ht="11.25" customHeight="1" x14ac:dyDescent="0.25">
      <c r="G4121" s="459"/>
      <c r="H4121" s="459">
        <v>4114</v>
      </c>
      <c r="I4121" s="444">
        <f t="shared" ca="1" si="165"/>
        <v>-21678774460083.254</v>
      </c>
      <c r="J4121" s="444">
        <f t="array" ref="J4121">IFERROR(INDEX('Retirement Calculator'!K:K,MATCH('Lorri 401b'!N4121,'Retirement Calculator'!A:A,0),0),0)</f>
        <v>0</v>
      </c>
      <c r="K4121" s="444">
        <f t="shared" ca="1" si="163"/>
        <v>-90328226917.01355</v>
      </c>
      <c r="L4121" s="444">
        <f t="shared" ca="1" si="164"/>
        <v>-21769102687000.266</v>
      </c>
      <c r="M4121" s="460">
        <f t="shared" si="166"/>
        <v>0.05</v>
      </c>
      <c r="N4121" s="464">
        <f t="shared" si="167"/>
        <v>176473</v>
      </c>
    </row>
    <row r="4122" spans="7:14" ht="11.25" customHeight="1" x14ac:dyDescent="0.25">
      <c r="G4122" s="459"/>
      <c r="H4122" s="459">
        <v>4115</v>
      </c>
      <c r="I4122" s="444">
        <f t="shared" ca="1" si="165"/>
        <v>-21769102687000.266</v>
      </c>
      <c r="J4122" s="444">
        <f t="array" ref="J4122">IFERROR(INDEX('Retirement Calculator'!K:K,MATCH('Lorri 401b'!N4122,'Retirement Calculator'!A:A,0),0),0)</f>
        <v>0</v>
      </c>
      <c r="K4122" s="444">
        <f t="shared" ca="1" si="163"/>
        <v>-90704594529.16777</v>
      </c>
      <c r="L4122" s="444">
        <f t="shared" ca="1" si="164"/>
        <v>-21859807281529.434</v>
      </c>
      <c r="M4122" s="460">
        <f t="shared" si="166"/>
        <v>0.05</v>
      </c>
      <c r="N4122" s="464">
        <f t="shared" si="167"/>
        <v>176504</v>
      </c>
    </row>
    <row r="4123" spans="7:14" ht="11.25" customHeight="1" x14ac:dyDescent="0.25">
      <c r="G4123" s="459"/>
      <c r="H4123" s="459">
        <v>4116</v>
      </c>
      <c r="I4123" s="444">
        <f t="shared" ca="1" si="165"/>
        <v>-21859807281529.434</v>
      </c>
      <c r="J4123" s="444">
        <f t="array" ref="J4123">IFERROR(INDEX('Retirement Calculator'!K:K,MATCH('Lorri 401b'!N4123,'Retirement Calculator'!A:A,0),0),0)</f>
        <v>0</v>
      </c>
      <c r="K4123" s="444">
        <f t="shared" ca="1" si="163"/>
        <v>-91082530339.705978</v>
      </c>
      <c r="L4123" s="444">
        <f t="shared" ca="1" si="164"/>
        <v>-21950889811869.141</v>
      </c>
      <c r="M4123" s="460">
        <f t="shared" si="166"/>
        <v>0.05</v>
      </c>
      <c r="N4123" s="464">
        <f t="shared" si="167"/>
        <v>176534</v>
      </c>
    </row>
    <row r="4124" spans="7:14" ht="11.25" customHeight="1" x14ac:dyDescent="0.25">
      <c r="G4124" s="459"/>
      <c r="H4124" s="459">
        <v>4117</v>
      </c>
      <c r="I4124" s="444">
        <f t="shared" ca="1" si="165"/>
        <v>-21950889811869.141</v>
      </c>
      <c r="J4124" s="444">
        <f t="array" ref="J4124">IFERROR(INDEX('Retirement Calculator'!K:K,MATCH('Lorri 401b'!N4124,'Retirement Calculator'!A:A,0),0),0)</f>
        <v>0</v>
      </c>
      <c r="K4124" s="444">
        <f t="shared" ca="1" si="163"/>
        <v>-91462040882.788086</v>
      </c>
      <c r="L4124" s="444">
        <f t="shared" ca="1" si="164"/>
        <v>-22042351852751.93</v>
      </c>
      <c r="M4124" s="460">
        <f t="shared" si="166"/>
        <v>0.05</v>
      </c>
      <c r="N4124" s="464">
        <f t="shared" si="167"/>
        <v>176565</v>
      </c>
    </row>
    <row r="4125" spans="7:14" ht="11.25" customHeight="1" x14ac:dyDescent="0.25">
      <c r="G4125" s="459"/>
      <c r="H4125" s="459">
        <v>4118</v>
      </c>
      <c r="I4125" s="444">
        <f t="shared" ca="1" si="165"/>
        <v>-22042351852751.93</v>
      </c>
      <c r="J4125" s="444">
        <f t="array" ref="J4125">IFERROR(INDEX('Retirement Calculator'!K:K,MATCH('Lorri 401b'!N4125,'Retirement Calculator'!A:A,0),0),0)</f>
        <v>0</v>
      </c>
      <c r="K4125" s="444">
        <f t="shared" ca="1" si="163"/>
        <v>-91843132719.799713</v>
      </c>
      <c r="L4125" s="444">
        <f t="shared" ca="1" si="164"/>
        <v>-22134194985471.73</v>
      </c>
      <c r="M4125" s="460">
        <f t="shared" si="166"/>
        <v>0.05</v>
      </c>
      <c r="N4125" s="464">
        <f t="shared" si="167"/>
        <v>176595</v>
      </c>
    </row>
    <row r="4126" spans="7:14" ht="11.25" customHeight="1" x14ac:dyDescent="0.25">
      <c r="G4126" s="459"/>
      <c r="H4126" s="459">
        <v>4119</v>
      </c>
      <c r="I4126" s="444">
        <f t="shared" ca="1" si="165"/>
        <v>-22134194985471.73</v>
      </c>
      <c r="J4126" s="444">
        <f t="array" ref="J4126">IFERROR(INDEX('Retirement Calculator'!K:K,MATCH('Lorri 401b'!N4126,'Retirement Calculator'!A:A,0),0),0)</f>
        <v>0</v>
      </c>
      <c r="K4126" s="444">
        <f t="shared" ca="1" si="163"/>
        <v>-92225812439.465546</v>
      </c>
      <c r="L4126" s="444">
        <f t="shared" ca="1" si="164"/>
        <v>-22226420797911.195</v>
      </c>
      <c r="M4126" s="460">
        <f t="shared" si="166"/>
        <v>0.05</v>
      </c>
      <c r="N4126" s="464">
        <f t="shared" si="167"/>
        <v>176626</v>
      </c>
    </row>
    <row r="4127" spans="7:14" ht="11.25" customHeight="1" x14ac:dyDescent="0.25">
      <c r="G4127" s="459"/>
      <c r="H4127" s="459">
        <v>4120</v>
      </c>
      <c r="I4127" s="444">
        <f t="shared" ca="1" si="165"/>
        <v>-22226420797911.195</v>
      </c>
      <c r="J4127" s="444">
        <f t="array" ref="J4127">IFERROR(INDEX('Retirement Calculator'!K:K,MATCH('Lorri 401b'!N4127,'Retirement Calculator'!A:A,0),0),0)</f>
        <v>0</v>
      </c>
      <c r="K4127" s="444">
        <f t="shared" ca="1" si="163"/>
        <v>-92610086657.963318</v>
      </c>
      <c r="L4127" s="444">
        <f t="shared" ca="1" si="164"/>
        <v>-22319030884569.16</v>
      </c>
      <c r="M4127" s="460">
        <f t="shared" si="166"/>
        <v>0.05</v>
      </c>
      <c r="N4127" s="464">
        <f t="shared" si="167"/>
        <v>176657</v>
      </c>
    </row>
    <row r="4128" spans="7:14" ht="11.25" customHeight="1" x14ac:dyDescent="0.25">
      <c r="G4128" s="459"/>
      <c r="H4128" s="459">
        <v>4121</v>
      </c>
      <c r="I4128" s="444">
        <f t="shared" ca="1" si="165"/>
        <v>-22319030884569.16</v>
      </c>
      <c r="J4128" s="444">
        <f t="array" ref="J4128">IFERROR(INDEX('Retirement Calculator'!K:K,MATCH('Lorri 401b'!N4128,'Retirement Calculator'!A:A,0),0),0)</f>
        <v>0</v>
      </c>
      <c r="K4128" s="444">
        <f t="shared" ca="1" si="163"/>
        <v>-92995962019.038162</v>
      </c>
      <c r="L4128" s="444">
        <f t="shared" ca="1" si="164"/>
        <v>-22412026846588.199</v>
      </c>
      <c r="M4128" s="460">
        <f t="shared" si="166"/>
        <v>0.05</v>
      </c>
      <c r="N4128" s="464">
        <f t="shared" si="167"/>
        <v>176687</v>
      </c>
    </row>
    <row r="4129" spans="7:14" ht="11.25" customHeight="1" x14ac:dyDescent="0.25">
      <c r="G4129" s="459"/>
      <c r="H4129" s="459">
        <v>4122</v>
      </c>
      <c r="I4129" s="444">
        <f t="shared" ca="1" si="165"/>
        <v>-22412026846588.199</v>
      </c>
      <c r="J4129" s="444">
        <f t="array" ref="J4129">IFERROR(INDEX('Retirement Calculator'!K:K,MATCH('Lorri 401b'!N4129,'Retirement Calculator'!A:A,0),0),0)</f>
        <v>0</v>
      </c>
      <c r="K4129" s="444">
        <f t="shared" ca="1" si="163"/>
        <v>-93383445194.117493</v>
      </c>
      <c r="L4129" s="444">
        <f t="shared" ca="1" si="164"/>
        <v>-22505410291782.316</v>
      </c>
      <c r="M4129" s="460">
        <f t="shared" si="166"/>
        <v>0.05</v>
      </c>
      <c r="N4129" s="464">
        <f t="shared" si="167"/>
        <v>176718</v>
      </c>
    </row>
    <row r="4130" spans="7:14" ht="11.25" customHeight="1" x14ac:dyDescent="0.25">
      <c r="G4130" s="459"/>
      <c r="H4130" s="459">
        <v>4123</v>
      </c>
      <c r="I4130" s="444">
        <f t="shared" ca="1" si="165"/>
        <v>-22505410291782.316</v>
      </c>
      <c r="J4130" s="444">
        <f t="array" ref="J4130">IFERROR(INDEX('Retirement Calculator'!K:K,MATCH('Lorri 401b'!N4130,'Retirement Calculator'!A:A,0),0),0)</f>
        <v>0</v>
      </c>
      <c r="K4130" s="444">
        <f t="shared" ca="1" si="163"/>
        <v>-93772542882.426315</v>
      </c>
      <c r="L4130" s="444">
        <f t="shared" ca="1" si="164"/>
        <v>-22599182834664.742</v>
      </c>
      <c r="M4130" s="460">
        <f t="shared" si="166"/>
        <v>0.05</v>
      </c>
      <c r="N4130" s="464">
        <f t="shared" si="167"/>
        <v>176748</v>
      </c>
    </row>
    <row r="4131" spans="7:14" ht="11.25" customHeight="1" x14ac:dyDescent="0.25">
      <c r="G4131" s="459"/>
      <c r="H4131" s="459">
        <v>4124</v>
      </c>
      <c r="I4131" s="444">
        <f t="shared" ca="1" si="165"/>
        <v>-22599182834664.742</v>
      </c>
      <c r="J4131" s="444">
        <f t="array" ref="J4131">IFERROR(INDEX('Retirement Calculator'!K:K,MATCH('Lorri 401b'!N4131,'Retirement Calculator'!A:A,0),0),0)</f>
        <v>0</v>
      </c>
      <c r="K4131" s="444">
        <f t="shared" ca="1" si="163"/>
        <v>-94163261811.103088</v>
      </c>
      <c r="L4131" s="444">
        <f t="shared" ca="1" si="164"/>
        <v>-22693346096475.844</v>
      </c>
      <c r="M4131" s="460">
        <f t="shared" si="166"/>
        <v>0.05</v>
      </c>
      <c r="N4131" s="464">
        <f t="shared" si="167"/>
        <v>176779</v>
      </c>
    </row>
    <row r="4132" spans="7:14" ht="11.25" customHeight="1" x14ac:dyDescent="0.25">
      <c r="G4132" s="459"/>
      <c r="H4132" s="459">
        <v>4125</v>
      </c>
      <c r="I4132" s="444">
        <f t="shared" ca="1" si="165"/>
        <v>-22693346096475.844</v>
      </c>
      <c r="J4132" s="444">
        <f t="array" ref="J4132">IFERROR(INDEX('Retirement Calculator'!K:K,MATCH('Lorri 401b'!N4132,'Retirement Calculator'!A:A,0),0),0)</f>
        <v>0</v>
      </c>
      <c r="K4132" s="444">
        <f t="shared" ca="1" si="163"/>
        <v>-94555608735.31601</v>
      </c>
      <c r="L4132" s="444">
        <f t="shared" ca="1" si="164"/>
        <v>-22787901705211.16</v>
      </c>
      <c r="M4132" s="460">
        <f t="shared" si="166"/>
        <v>0.05</v>
      </c>
      <c r="N4132" s="464">
        <f t="shared" si="167"/>
        <v>176810</v>
      </c>
    </row>
    <row r="4133" spans="7:14" ht="11.25" customHeight="1" x14ac:dyDescent="0.25">
      <c r="G4133" s="459"/>
      <c r="H4133" s="459">
        <v>4126</v>
      </c>
      <c r="I4133" s="444">
        <f t="shared" ca="1" si="165"/>
        <v>-22787901705211.16</v>
      </c>
      <c r="J4133" s="444">
        <f t="array" ref="J4133">IFERROR(INDEX('Retirement Calculator'!K:K,MATCH('Lorri 401b'!N4133,'Retirement Calculator'!A:A,0),0),0)</f>
        <v>0</v>
      </c>
      <c r="K4133" s="444">
        <f t="shared" ca="1" si="163"/>
        <v>-94949590438.379837</v>
      </c>
      <c r="L4133" s="444">
        <f t="shared" ca="1" si="164"/>
        <v>-22882851295649.539</v>
      </c>
      <c r="M4133" s="460">
        <f t="shared" si="166"/>
        <v>0.05</v>
      </c>
      <c r="N4133" s="464">
        <f t="shared" si="167"/>
        <v>176839</v>
      </c>
    </row>
    <row r="4134" spans="7:14" ht="11.25" customHeight="1" x14ac:dyDescent="0.25">
      <c r="G4134" s="459"/>
      <c r="H4134" s="459">
        <v>4127</v>
      </c>
      <c r="I4134" s="444">
        <f t="shared" ca="1" si="165"/>
        <v>-22882851295649.539</v>
      </c>
      <c r="J4134" s="444">
        <f t="array" ref="J4134">IFERROR(INDEX('Retirement Calculator'!K:K,MATCH('Lorri 401b'!N4134,'Retirement Calculator'!A:A,0),0),0)</f>
        <v>0</v>
      </c>
      <c r="K4134" s="444">
        <f t="shared" ca="1" si="163"/>
        <v>-95345213731.873077</v>
      </c>
      <c r="L4134" s="444">
        <f t="shared" ca="1" si="164"/>
        <v>-22978196509381.414</v>
      </c>
      <c r="M4134" s="460">
        <f t="shared" si="166"/>
        <v>0.05</v>
      </c>
      <c r="N4134" s="464">
        <f t="shared" si="167"/>
        <v>176870</v>
      </c>
    </row>
    <row r="4135" spans="7:14" ht="11.25" customHeight="1" x14ac:dyDescent="0.25">
      <c r="G4135" s="459"/>
      <c r="H4135" s="459">
        <v>4128</v>
      </c>
      <c r="I4135" s="444">
        <f t="shared" ca="1" si="165"/>
        <v>-22978196509381.414</v>
      </c>
      <c r="J4135" s="444">
        <f t="array" ref="J4135">IFERROR(INDEX('Retirement Calculator'!K:K,MATCH('Lorri 401b'!N4135,'Retirement Calculator'!A:A,0),0),0)</f>
        <v>0</v>
      </c>
      <c r="K4135" s="444">
        <f t="shared" ca="1" si="163"/>
        <v>-95742485455.75589</v>
      </c>
      <c r="L4135" s="444">
        <f t="shared" ca="1" si="164"/>
        <v>-23073938994837.172</v>
      </c>
      <c r="M4135" s="460">
        <f t="shared" si="166"/>
        <v>0.05</v>
      </c>
      <c r="N4135" s="464">
        <f t="shared" si="167"/>
        <v>176900</v>
      </c>
    </row>
    <row r="4136" spans="7:14" ht="11.25" customHeight="1" x14ac:dyDescent="0.25">
      <c r="G4136" s="459"/>
      <c r="H4136" s="459">
        <v>4129</v>
      </c>
      <c r="I4136" s="444">
        <f t="shared" ca="1" si="165"/>
        <v>-23073938994837.172</v>
      </c>
      <c r="J4136" s="444">
        <f t="array" ref="J4136">IFERROR(INDEX('Retirement Calculator'!K:K,MATCH('Lorri 401b'!N4136,'Retirement Calculator'!A:A,0),0),0)</f>
        <v>0</v>
      </c>
      <c r="K4136" s="444">
        <f t="shared" ca="1" si="163"/>
        <v>-96141412478.48822</v>
      </c>
      <c r="L4136" s="444">
        <f t="shared" ca="1" si="164"/>
        <v>-23170080407315.66</v>
      </c>
      <c r="M4136" s="460">
        <f t="shared" si="166"/>
        <v>0.05</v>
      </c>
      <c r="N4136" s="464">
        <f t="shared" si="167"/>
        <v>176931</v>
      </c>
    </row>
    <row r="4137" spans="7:14" ht="11.25" customHeight="1" x14ac:dyDescent="0.25">
      <c r="G4137" s="459"/>
      <c r="H4137" s="459">
        <v>4130</v>
      </c>
      <c r="I4137" s="444">
        <f t="shared" ca="1" si="165"/>
        <v>-23170080407315.66</v>
      </c>
      <c r="J4137" s="444">
        <f t="array" ref="J4137">IFERROR(INDEX('Retirement Calculator'!K:K,MATCH('Lorri 401b'!N4137,'Retirement Calculator'!A:A,0),0),0)</f>
        <v>0</v>
      </c>
      <c r="K4137" s="444">
        <f t="shared" ca="1" si="163"/>
        <v>-96542001697.14859</v>
      </c>
      <c r="L4137" s="444">
        <f t="shared" ca="1" si="164"/>
        <v>-23266622409012.809</v>
      </c>
      <c r="M4137" s="460">
        <f t="shared" si="166"/>
        <v>0.05</v>
      </c>
      <c r="N4137" s="464">
        <f t="shared" si="167"/>
        <v>176961</v>
      </c>
    </row>
    <row r="4138" spans="7:14" ht="11.25" customHeight="1" x14ac:dyDescent="0.25">
      <c r="G4138" s="459"/>
      <c r="H4138" s="459">
        <v>4131</v>
      </c>
      <c r="I4138" s="444">
        <f t="shared" ca="1" si="165"/>
        <v>-23266622409012.809</v>
      </c>
      <c r="J4138" s="444">
        <f t="array" ref="J4138">IFERROR(INDEX('Retirement Calculator'!K:K,MATCH('Lorri 401b'!N4138,'Retirement Calculator'!A:A,0),0),0)</f>
        <v>0</v>
      </c>
      <c r="K4138" s="444">
        <f t="shared" ca="1" si="163"/>
        <v>-96944260037.553375</v>
      </c>
      <c r="L4138" s="444">
        <f t="shared" ca="1" si="164"/>
        <v>-23363566669050.363</v>
      </c>
      <c r="M4138" s="460">
        <f t="shared" si="166"/>
        <v>0.05</v>
      </c>
      <c r="N4138" s="464">
        <f t="shared" si="167"/>
        <v>176992</v>
      </c>
    </row>
    <row r="4139" spans="7:14" ht="11.25" customHeight="1" x14ac:dyDescent="0.25">
      <c r="G4139" s="459"/>
      <c r="H4139" s="459">
        <v>4132</v>
      </c>
      <c r="I4139" s="444">
        <f t="shared" ca="1" si="165"/>
        <v>-23363566669050.363</v>
      </c>
      <c r="J4139" s="444">
        <f t="array" ref="J4139">IFERROR(INDEX('Retirement Calculator'!K:K,MATCH('Lorri 401b'!N4139,'Retirement Calculator'!A:A,0),0),0)</f>
        <v>0</v>
      </c>
      <c r="K4139" s="444">
        <f t="shared" ca="1" si="163"/>
        <v>-97348194454.376511</v>
      </c>
      <c r="L4139" s="444">
        <f t="shared" ca="1" si="164"/>
        <v>-23460914863504.738</v>
      </c>
      <c r="M4139" s="460">
        <f t="shared" si="166"/>
        <v>0.05</v>
      </c>
      <c r="N4139" s="464">
        <f t="shared" si="167"/>
        <v>177023</v>
      </c>
    </row>
    <row r="4140" spans="7:14" ht="11.25" customHeight="1" x14ac:dyDescent="0.25">
      <c r="G4140" s="459"/>
      <c r="H4140" s="459">
        <v>4133</v>
      </c>
      <c r="I4140" s="444">
        <f t="shared" ca="1" si="165"/>
        <v>-23460914863504.738</v>
      </c>
      <c r="J4140" s="444">
        <f t="array" ref="J4140">IFERROR(INDEX('Retirement Calculator'!K:K,MATCH('Lorri 401b'!N4140,'Retirement Calculator'!A:A,0),0),0)</f>
        <v>0</v>
      </c>
      <c r="K4140" s="444">
        <f t="shared" ca="1" si="163"/>
        <v>-97753811931.269745</v>
      </c>
      <c r="L4140" s="444">
        <f t="shared" ca="1" si="164"/>
        <v>-23558668675436.008</v>
      </c>
      <c r="M4140" s="460">
        <f t="shared" si="166"/>
        <v>0.05</v>
      </c>
      <c r="N4140" s="464">
        <f t="shared" si="167"/>
        <v>177053</v>
      </c>
    </row>
    <row r="4141" spans="7:14" ht="11.25" customHeight="1" x14ac:dyDescent="0.25">
      <c r="G4141" s="459"/>
      <c r="H4141" s="459">
        <v>4134</v>
      </c>
      <c r="I4141" s="444">
        <f t="shared" ca="1" si="165"/>
        <v>-23558668675436.008</v>
      </c>
      <c r="J4141" s="444">
        <f t="array" ref="J4141">IFERROR(INDEX('Retirement Calculator'!K:K,MATCH('Lorri 401b'!N4141,'Retirement Calculator'!A:A,0),0),0)</f>
        <v>0</v>
      </c>
      <c r="K4141" s="444">
        <f t="shared" ca="1" si="163"/>
        <v>-98161119480.983368</v>
      </c>
      <c r="L4141" s="444">
        <f t="shared" ca="1" si="164"/>
        <v>-23656829794916.992</v>
      </c>
      <c r="M4141" s="460">
        <f t="shared" si="166"/>
        <v>0.05</v>
      </c>
      <c r="N4141" s="464">
        <f t="shared" si="167"/>
        <v>177084</v>
      </c>
    </row>
    <row r="4142" spans="7:14" ht="11.25" customHeight="1" x14ac:dyDescent="0.25">
      <c r="G4142" s="459"/>
      <c r="H4142" s="459">
        <v>4135</v>
      </c>
      <c r="I4142" s="444">
        <f t="shared" ca="1" si="165"/>
        <v>-23656829794916.992</v>
      </c>
      <c r="J4142" s="444">
        <f t="array" ref="J4142">IFERROR(INDEX('Retirement Calculator'!K:K,MATCH('Lorri 401b'!N4142,'Retirement Calculator'!A:A,0),0),0)</f>
        <v>0</v>
      </c>
      <c r="K4142" s="444">
        <f t="shared" ca="1" si="163"/>
        <v>-98570124145.487473</v>
      </c>
      <c r="L4142" s="444">
        <f t="shared" ca="1" si="164"/>
        <v>-23755399919062.48</v>
      </c>
      <c r="M4142" s="460">
        <f t="shared" si="166"/>
        <v>0.05</v>
      </c>
      <c r="N4142" s="464">
        <f t="shared" si="167"/>
        <v>177114</v>
      </c>
    </row>
    <row r="4143" spans="7:14" ht="11.25" customHeight="1" x14ac:dyDescent="0.25">
      <c r="G4143" s="459"/>
      <c r="H4143" s="459">
        <v>4136</v>
      </c>
      <c r="I4143" s="444">
        <f t="shared" ca="1" si="165"/>
        <v>-23755399919062.48</v>
      </c>
      <c r="J4143" s="444">
        <f t="array" ref="J4143">IFERROR(INDEX('Retirement Calculator'!K:K,MATCH('Lorri 401b'!N4143,'Retirement Calculator'!A:A,0),0),0)</f>
        <v>0</v>
      </c>
      <c r="K4143" s="444">
        <f t="shared" ca="1" si="163"/>
        <v>-98980832996.093674</v>
      </c>
      <c r="L4143" s="444">
        <f t="shared" ca="1" si="164"/>
        <v>-23854380752058.574</v>
      </c>
      <c r="M4143" s="460">
        <f t="shared" si="166"/>
        <v>0.05</v>
      </c>
      <c r="N4143" s="464">
        <f t="shared" si="167"/>
        <v>177145</v>
      </c>
    </row>
    <row r="4144" spans="7:14" ht="11.25" customHeight="1" x14ac:dyDescent="0.25">
      <c r="G4144" s="459"/>
      <c r="H4144" s="459">
        <v>4137</v>
      </c>
      <c r="I4144" s="444">
        <f t="shared" ca="1" si="165"/>
        <v>-23854380752058.574</v>
      </c>
      <c r="J4144" s="444">
        <f t="array" ref="J4144">IFERROR(INDEX('Retirement Calculator'!K:K,MATCH('Lorri 401b'!N4144,'Retirement Calculator'!A:A,0),0),0)</f>
        <v>0</v>
      </c>
      <c r="K4144" s="444">
        <f t="shared" ca="1" si="163"/>
        <v>-99393253133.577393</v>
      </c>
      <c r="L4144" s="444">
        <f t="shared" ca="1" si="164"/>
        <v>-23953774005192.152</v>
      </c>
      <c r="M4144" s="460">
        <f t="shared" si="166"/>
        <v>0.05</v>
      </c>
      <c r="N4144" s="464">
        <f t="shared" si="167"/>
        <v>177176</v>
      </c>
    </row>
    <row r="4145" spans="7:14" ht="11.25" customHeight="1" x14ac:dyDescent="0.25">
      <c r="G4145" s="459"/>
      <c r="H4145" s="459">
        <v>4138</v>
      </c>
      <c r="I4145" s="444">
        <f t="shared" ca="1" si="165"/>
        <v>-23953774005192.152</v>
      </c>
      <c r="J4145" s="444">
        <f t="array" ref="J4145">IFERROR(INDEX('Retirement Calculator'!K:K,MATCH('Lorri 401b'!N4145,'Retirement Calculator'!A:A,0),0),0)</f>
        <v>0</v>
      </c>
      <c r="K4145" s="444">
        <f t="shared" ca="1" si="163"/>
        <v>-99807391688.300629</v>
      </c>
      <c r="L4145" s="444">
        <f t="shared" ca="1" si="164"/>
        <v>-24053581396880.453</v>
      </c>
      <c r="M4145" s="460">
        <f t="shared" si="166"/>
        <v>0.05</v>
      </c>
      <c r="N4145" s="464">
        <f t="shared" si="167"/>
        <v>177204</v>
      </c>
    </row>
    <row r="4146" spans="7:14" ht="11.25" customHeight="1" x14ac:dyDescent="0.25">
      <c r="G4146" s="459"/>
      <c r="H4146" s="459">
        <v>4139</v>
      </c>
      <c r="I4146" s="444">
        <f t="shared" ca="1" si="165"/>
        <v>-24053581396880.453</v>
      </c>
      <c r="J4146" s="444">
        <f t="array" ref="J4146">IFERROR(INDEX('Retirement Calculator'!K:K,MATCH('Lorri 401b'!N4146,'Retirement Calculator'!A:A,0),0),0)</f>
        <v>0</v>
      </c>
      <c r="K4146" s="444">
        <f t="shared" ca="1" si="163"/>
        <v>-100223255820.33522</v>
      </c>
      <c r="L4146" s="444">
        <f t="shared" ca="1" si="164"/>
        <v>-24153804652700.789</v>
      </c>
      <c r="M4146" s="460">
        <f t="shared" si="166"/>
        <v>0.05</v>
      </c>
      <c r="N4146" s="464">
        <f t="shared" si="167"/>
        <v>177235</v>
      </c>
    </row>
    <row r="4147" spans="7:14" ht="11.25" customHeight="1" x14ac:dyDescent="0.25">
      <c r="G4147" s="459"/>
      <c r="H4147" s="459">
        <v>4140</v>
      </c>
      <c r="I4147" s="444">
        <f t="shared" ca="1" si="165"/>
        <v>-24153804652700.789</v>
      </c>
      <c r="J4147" s="444">
        <f t="array" ref="J4147">IFERROR(INDEX('Retirement Calculator'!K:K,MATCH('Lorri 401b'!N4147,'Retirement Calculator'!A:A,0),0),0)</f>
        <v>0</v>
      </c>
      <c r="K4147" s="444">
        <f t="shared" ca="1" si="163"/>
        <v>-100640852719.58662</v>
      </c>
      <c r="L4147" s="444">
        <f t="shared" ca="1" si="164"/>
        <v>-24254445505420.375</v>
      </c>
      <c r="M4147" s="460">
        <f t="shared" si="166"/>
        <v>0.05</v>
      </c>
      <c r="N4147" s="464">
        <f t="shared" si="167"/>
        <v>177265</v>
      </c>
    </row>
    <row r="4148" spans="7:14" ht="11.25" customHeight="1" x14ac:dyDescent="0.25">
      <c r="G4148" s="459"/>
      <c r="H4148" s="459">
        <v>4141</v>
      </c>
      <c r="I4148" s="444">
        <f t="shared" ca="1" si="165"/>
        <v>-24254445505420.375</v>
      </c>
      <c r="J4148" s="444">
        <f t="array" ref="J4148">IFERROR(INDEX('Retirement Calculator'!K:K,MATCH('Lorri 401b'!N4148,'Retirement Calculator'!A:A,0),0),0)</f>
        <v>0</v>
      </c>
      <c r="K4148" s="444">
        <f t="shared" ca="1" si="163"/>
        <v>-101060189605.91823</v>
      </c>
      <c r="L4148" s="444">
        <f t="shared" ca="1" si="164"/>
        <v>-24355505695026.293</v>
      </c>
      <c r="M4148" s="460">
        <f t="shared" si="166"/>
        <v>0.05</v>
      </c>
      <c r="N4148" s="464">
        <f t="shared" si="167"/>
        <v>177296</v>
      </c>
    </row>
    <row r="4149" spans="7:14" ht="11.25" customHeight="1" x14ac:dyDescent="0.25">
      <c r="G4149" s="459"/>
      <c r="H4149" s="459">
        <v>4142</v>
      </c>
      <c r="I4149" s="444">
        <f t="shared" ca="1" si="165"/>
        <v>-24355505695026.293</v>
      </c>
      <c r="J4149" s="444">
        <f t="array" ref="J4149">IFERROR(INDEX('Retirement Calculator'!K:K,MATCH('Lorri 401b'!N4149,'Retirement Calculator'!A:A,0),0),0)</f>
        <v>0</v>
      </c>
      <c r="K4149" s="444">
        <f t="shared" ca="1" si="163"/>
        <v>-101481273729.27621</v>
      </c>
      <c r="L4149" s="444">
        <f t="shared" ca="1" si="164"/>
        <v>-24456986968755.57</v>
      </c>
      <c r="M4149" s="460">
        <f t="shared" si="166"/>
        <v>0.05</v>
      </c>
      <c r="N4149" s="464">
        <f t="shared" si="167"/>
        <v>177326</v>
      </c>
    </row>
    <row r="4150" spans="7:14" ht="11.25" customHeight="1" x14ac:dyDescent="0.25">
      <c r="G4150" s="459"/>
      <c r="H4150" s="459">
        <v>4143</v>
      </c>
      <c r="I4150" s="444">
        <f t="shared" ca="1" si="165"/>
        <v>-24456986968755.57</v>
      </c>
      <c r="J4150" s="444">
        <f t="array" ref="J4150">IFERROR(INDEX('Retirement Calculator'!K:K,MATCH('Lorri 401b'!N4150,'Retirement Calculator'!A:A,0),0),0)</f>
        <v>0</v>
      </c>
      <c r="K4150" s="444">
        <f t="shared" ca="1" si="163"/>
        <v>-101904112369.81488</v>
      </c>
      <c r="L4150" s="444">
        <f t="shared" ca="1" si="164"/>
        <v>-24558891081125.387</v>
      </c>
      <c r="M4150" s="460">
        <f t="shared" si="166"/>
        <v>0.05</v>
      </c>
      <c r="N4150" s="464">
        <f t="shared" si="167"/>
        <v>177357</v>
      </c>
    </row>
    <row r="4151" spans="7:14" ht="11.25" customHeight="1" x14ac:dyDescent="0.25">
      <c r="G4151" s="459"/>
      <c r="H4151" s="459">
        <v>4144</v>
      </c>
      <c r="I4151" s="444">
        <f t="shared" ca="1" si="165"/>
        <v>-24558891081125.387</v>
      </c>
      <c r="J4151" s="444">
        <f t="array" ref="J4151">IFERROR(INDEX('Retirement Calculator'!K:K,MATCH('Lorri 401b'!N4151,'Retirement Calculator'!A:A,0),0),0)</f>
        <v>0</v>
      </c>
      <c r="K4151" s="444">
        <f t="shared" ca="1" si="163"/>
        <v>-102328712838.02245</v>
      </c>
      <c r="L4151" s="444">
        <f t="shared" ca="1" si="164"/>
        <v>-24661219793963.41</v>
      </c>
      <c r="M4151" s="460">
        <f t="shared" si="166"/>
        <v>0.05</v>
      </c>
      <c r="N4151" s="464">
        <f t="shared" si="167"/>
        <v>177388</v>
      </c>
    </row>
    <row r="4152" spans="7:14" ht="11.25" customHeight="1" x14ac:dyDescent="0.25">
      <c r="G4152" s="459"/>
      <c r="H4152" s="459">
        <v>4145</v>
      </c>
      <c r="I4152" s="444">
        <f t="shared" ca="1" si="165"/>
        <v>-24661219793963.41</v>
      </c>
      <c r="J4152" s="444">
        <f t="array" ref="J4152">IFERROR(INDEX('Retirement Calculator'!K:K,MATCH('Lorri 401b'!N4152,'Retirement Calculator'!A:A,0),0),0)</f>
        <v>0</v>
      </c>
      <c r="K4152" s="444">
        <f t="shared" ca="1" si="163"/>
        <v>-102755082474.84753</v>
      </c>
      <c r="L4152" s="444">
        <f t="shared" ca="1" si="164"/>
        <v>-24763974876438.258</v>
      </c>
      <c r="M4152" s="460">
        <f t="shared" si="166"/>
        <v>0.05</v>
      </c>
      <c r="N4152" s="464">
        <f t="shared" si="167"/>
        <v>177418</v>
      </c>
    </row>
    <row r="4153" spans="7:14" ht="11.25" customHeight="1" x14ac:dyDescent="0.25">
      <c r="G4153" s="459"/>
      <c r="H4153" s="459">
        <v>4146</v>
      </c>
      <c r="I4153" s="444">
        <f t="shared" ca="1" si="165"/>
        <v>-24763974876438.258</v>
      </c>
      <c r="J4153" s="444">
        <f t="array" ref="J4153">IFERROR(INDEX('Retirement Calculator'!K:K,MATCH('Lorri 401b'!N4153,'Retirement Calculator'!A:A,0),0),0)</f>
        <v>0</v>
      </c>
      <c r="K4153" s="444">
        <f t="shared" ca="1" si="163"/>
        <v>-103183228651.82608</v>
      </c>
      <c r="L4153" s="444">
        <f t="shared" ca="1" si="164"/>
        <v>-24867158105090.082</v>
      </c>
      <c r="M4153" s="460">
        <f t="shared" si="166"/>
        <v>0.05</v>
      </c>
      <c r="N4153" s="464">
        <f t="shared" si="167"/>
        <v>177449</v>
      </c>
    </row>
    <row r="4154" spans="7:14" ht="11.25" customHeight="1" x14ac:dyDescent="0.25">
      <c r="G4154" s="459"/>
      <c r="H4154" s="459">
        <v>4147</v>
      </c>
      <c r="I4154" s="444">
        <f t="shared" ca="1" si="165"/>
        <v>-24867158105090.082</v>
      </c>
      <c r="J4154" s="444">
        <f t="array" ref="J4154">IFERROR(INDEX('Retirement Calculator'!K:K,MATCH('Lorri 401b'!N4154,'Retirement Calculator'!A:A,0),0),0)</f>
        <v>0</v>
      </c>
      <c r="K4154" s="444">
        <f t="shared" ca="1" si="163"/>
        <v>-103613158771.20868</v>
      </c>
      <c r="L4154" s="444">
        <f t="shared" ca="1" si="164"/>
        <v>-24970771263861.289</v>
      </c>
      <c r="M4154" s="460">
        <f t="shared" si="166"/>
        <v>0.05</v>
      </c>
      <c r="N4154" s="464">
        <f t="shared" si="167"/>
        <v>177479</v>
      </c>
    </row>
    <row r="4155" spans="7:14" ht="11.25" customHeight="1" x14ac:dyDescent="0.25">
      <c r="G4155" s="459"/>
      <c r="H4155" s="459">
        <v>4148</v>
      </c>
      <c r="I4155" s="444">
        <f t="shared" ca="1" si="165"/>
        <v>-24970771263861.289</v>
      </c>
      <c r="J4155" s="444">
        <f t="array" ref="J4155">IFERROR(INDEX('Retirement Calculator'!K:K,MATCH('Lorri 401b'!N4155,'Retirement Calculator'!A:A,0),0),0)</f>
        <v>0</v>
      </c>
      <c r="K4155" s="444">
        <f t="shared" ca="1" si="163"/>
        <v>-104044880266.0887</v>
      </c>
      <c r="L4155" s="444">
        <f t="shared" ca="1" si="164"/>
        <v>-25074816144127.379</v>
      </c>
      <c r="M4155" s="460">
        <f t="shared" si="166"/>
        <v>0.05</v>
      </c>
      <c r="N4155" s="464">
        <f t="shared" si="167"/>
        <v>177510</v>
      </c>
    </row>
    <row r="4156" spans="7:14" ht="11.25" customHeight="1" x14ac:dyDescent="0.25">
      <c r="G4156" s="459"/>
      <c r="H4156" s="459">
        <v>4149</v>
      </c>
      <c r="I4156" s="444">
        <f t="shared" ca="1" si="165"/>
        <v>-25074816144127.379</v>
      </c>
      <c r="J4156" s="444">
        <f t="array" ref="J4156">IFERROR(INDEX('Retirement Calculator'!K:K,MATCH('Lorri 401b'!N4156,'Retirement Calculator'!A:A,0),0),0)</f>
        <v>0</v>
      </c>
      <c r="K4156" s="444">
        <f t="shared" ca="1" si="163"/>
        <v>-104478400600.53075</v>
      </c>
      <c r="L4156" s="444">
        <f t="shared" ca="1" si="164"/>
        <v>-25179294544727.91</v>
      </c>
      <c r="M4156" s="460">
        <f t="shared" si="166"/>
        <v>0.05</v>
      </c>
      <c r="N4156" s="464">
        <f t="shared" si="167"/>
        <v>177541</v>
      </c>
    </row>
    <row r="4157" spans="7:14" ht="11.25" customHeight="1" x14ac:dyDescent="0.25">
      <c r="G4157" s="459"/>
      <c r="H4157" s="459">
        <v>4150</v>
      </c>
      <c r="I4157" s="444">
        <f t="shared" ca="1" si="165"/>
        <v>-25179294544727.91</v>
      </c>
      <c r="J4157" s="444">
        <f t="array" ref="J4157">IFERROR(INDEX('Retirement Calculator'!K:K,MATCH('Lorri 401b'!N4157,'Retirement Calculator'!A:A,0),0),0)</f>
        <v>0</v>
      </c>
      <c r="K4157" s="444">
        <f t="shared" ca="1" si="163"/>
        <v>-104913727269.69963</v>
      </c>
      <c r="L4157" s="444">
        <f t="shared" ca="1" si="164"/>
        <v>-25284208271997.609</v>
      </c>
      <c r="M4157" s="460">
        <f t="shared" si="166"/>
        <v>0.05</v>
      </c>
      <c r="N4157" s="464">
        <f t="shared" si="167"/>
        <v>177569</v>
      </c>
    </row>
    <row r="4158" spans="7:14" ht="11.25" customHeight="1" x14ac:dyDescent="0.25">
      <c r="G4158" s="459"/>
      <c r="H4158" s="459">
        <v>4151</v>
      </c>
      <c r="I4158" s="444">
        <f t="shared" ca="1" si="165"/>
        <v>-25284208271997.609</v>
      </c>
      <c r="J4158" s="444">
        <f t="array" ref="J4158">IFERROR(INDEX('Retirement Calculator'!K:K,MATCH('Lorri 401b'!N4158,'Retirement Calculator'!A:A,0),0),0)</f>
        <v>0</v>
      </c>
      <c r="K4158" s="444">
        <f t="shared" ca="1" si="163"/>
        <v>-105350867799.99004</v>
      </c>
      <c r="L4158" s="444">
        <f t="shared" ca="1" si="164"/>
        <v>-25389559139797.598</v>
      </c>
      <c r="M4158" s="460">
        <f t="shared" si="166"/>
        <v>0.05</v>
      </c>
      <c r="N4158" s="464">
        <f t="shared" si="167"/>
        <v>177600</v>
      </c>
    </row>
    <row r="4159" spans="7:14" ht="11.25" customHeight="1" x14ac:dyDescent="0.25">
      <c r="G4159" s="459"/>
      <c r="H4159" s="459">
        <v>4152</v>
      </c>
      <c r="I4159" s="444">
        <f t="shared" ca="1" si="165"/>
        <v>-25389559139797.598</v>
      </c>
      <c r="J4159" s="444">
        <f t="array" ref="J4159">IFERROR(INDEX('Retirement Calculator'!K:K,MATCH('Lorri 401b'!N4159,'Retirement Calculator'!A:A,0),0),0)</f>
        <v>0</v>
      </c>
      <c r="K4159" s="444">
        <f t="shared" ca="1" si="163"/>
        <v>-105789829749.15666</v>
      </c>
      <c r="L4159" s="444">
        <f t="shared" ca="1" si="164"/>
        <v>-25495348969546.754</v>
      </c>
      <c r="M4159" s="460">
        <f t="shared" si="166"/>
        <v>0.05</v>
      </c>
      <c r="N4159" s="464">
        <f t="shared" si="167"/>
        <v>177630</v>
      </c>
    </row>
    <row r="4160" spans="7:14" ht="11.25" customHeight="1" x14ac:dyDescent="0.25">
      <c r="G4160" s="459"/>
      <c r="H4160" s="459">
        <v>4153</v>
      </c>
      <c r="I4160" s="444">
        <f t="shared" ca="1" si="165"/>
        <v>-25495348969546.754</v>
      </c>
      <c r="J4160" s="444">
        <f t="array" ref="J4160">IFERROR(INDEX('Retirement Calculator'!K:K,MATCH('Lorri 401b'!N4160,'Retirement Calculator'!A:A,0),0),0)</f>
        <v>0</v>
      </c>
      <c r="K4160" s="444">
        <f t="shared" ca="1" si="163"/>
        <v>-106230620706.44481</v>
      </c>
      <c r="L4160" s="444">
        <f t="shared" ca="1" si="164"/>
        <v>-25601579590253.199</v>
      </c>
      <c r="M4160" s="460">
        <f t="shared" si="166"/>
        <v>0.05</v>
      </c>
      <c r="N4160" s="464">
        <f t="shared" si="167"/>
        <v>177661</v>
      </c>
    </row>
    <row r="4161" spans="7:14" ht="11.25" customHeight="1" x14ac:dyDescent="0.25">
      <c r="G4161" s="459"/>
      <c r="H4161" s="459">
        <v>4154</v>
      </c>
      <c r="I4161" s="444">
        <f t="shared" ca="1" si="165"/>
        <v>-25601579590253.199</v>
      </c>
      <c r="J4161" s="444">
        <f t="array" ref="J4161">IFERROR(INDEX('Retirement Calculator'!K:K,MATCH('Lorri 401b'!N4161,'Retirement Calculator'!A:A,0),0),0)</f>
        <v>0</v>
      </c>
      <c r="K4161" s="444">
        <f t="shared" ca="1" si="163"/>
        <v>-106673248292.72166</v>
      </c>
      <c r="L4161" s="444">
        <f t="shared" ca="1" si="164"/>
        <v>-25708252838545.922</v>
      </c>
      <c r="M4161" s="460">
        <f t="shared" si="166"/>
        <v>0.05</v>
      </c>
      <c r="N4161" s="464">
        <f t="shared" si="167"/>
        <v>177691</v>
      </c>
    </row>
    <row r="4162" spans="7:14" ht="11.25" customHeight="1" x14ac:dyDescent="0.25">
      <c r="G4162" s="459"/>
      <c r="H4162" s="459">
        <v>4155</v>
      </c>
      <c r="I4162" s="444">
        <f t="shared" ca="1" si="165"/>
        <v>-25708252838545.922</v>
      </c>
      <c r="J4162" s="444">
        <f t="array" ref="J4162">IFERROR(INDEX('Retirement Calculator'!K:K,MATCH('Lorri 401b'!N4162,'Retirement Calculator'!A:A,0),0),0)</f>
        <v>0</v>
      </c>
      <c r="K4162" s="444">
        <f t="shared" ca="1" si="163"/>
        <v>-107117720160.608</v>
      </c>
      <c r="L4162" s="444">
        <f t="shared" ca="1" si="164"/>
        <v>-25815370558706.531</v>
      </c>
      <c r="M4162" s="460">
        <f t="shared" si="166"/>
        <v>0.05</v>
      </c>
      <c r="N4162" s="464">
        <f t="shared" si="167"/>
        <v>177722</v>
      </c>
    </row>
    <row r="4163" spans="7:14" ht="11.25" customHeight="1" x14ac:dyDescent="0.25">
      <c r="G4163" s="459"/>
      <c r="H4163" s="459">
        <v>4156</v>
      </c>
      <c r="I4163" s="444">
        <f t="shared" ca="1" si="165"/>
        <v>-25815370558706.531</v>
      </c>
      <c r="J4163" s="444">
        <f t="array" ref="J4163">IFERROR(INDEX('Retirement Calculator'!K:K,MATCH('Lorri 401b'!N4163,'Retirement Calculator'!A:A,0),0),0)</f>
        <v>0</v>
      </c>
      <c r="K4163" s="444">
        <f t="shared" ca="1" si="163"/>
        <v>-107564043994.61055</v>
      </c>
      <c r="L4163" s="444">
        <f t="shared" ca="1" si="164"/>
        <v>-25922934602701.141</v>
      </c>
      <c r="M4163" s="460">
        <f t="shared" si="166"/>
        <v>0.05</v>
      </c>
      <c r="N4163" s="464">
        <f t="shared" si="167"/>
        <v>177753</v>
      </c>
    </row>
    <row r="4164" spans="7:14" ht="11.25" customHeight="1" x14ac:dyDescent="0.25">
      <c r="G4164" s="459"/>
      <c r="H4164" s="459">
        <v>4157</v>
      </c>
      <c r="I4164" s="444">
        <f t="shared" ca="1" si="165"/>
        <v>-25922934602701.141</v>
      </c>
      <c r="J4164" s="444">
        <f t="array" ref="J4164">IFERROR(INDEX('Retirement Calculator'!K:K,MATCH('Lorri 401b'!N4164,'Retirement Calculator'!A:A,0),0),0)</f>
        <v>0</v>
      </c>
      <c r="K4164" s="444">
        <f t="shared" ca="1" si="163"/>
        <v>-108012227511.25475</v>
      </c>
      <c r="L4164" s="444">
        <f t="shared" ca="1" si="164"/>
        <v>-26030946830212.395</v>
      </c>
      <c r="M4164" s="460">
        <f t="shared" si="166"/>
        <v>0.05</v>
      </c>
      <c r="N4164" s="464">
        <f t="shared" si="167"/>
        <v>177783</v>
      </c>
    </row>
    <row r="4165" spans="7:14" ht="11.25" customHeight="1" x14ac:dyDescent="0.25">
      <c r="G4165" s="459"/>
      <c r="H4165" s="459">
        <v>4158</v>
      </c>
      <c r="I4165" s="444">
        <f t="shared" ca="1" si="165"/>
        <v>-26030946830212.395</v>
      </c>
      <c r="J4165" s="444">
        <f t="array" ref="J4165">IFERROR(INDEX('Retirement Calculator'!K:K,MATCH('Lorri 401b'!N4165,'Retirement Calculator'!A:A,0),0),0)</f>
        <v>0</v>
      </c>
      <c r="K4165" s="444">
        <f t="shared" ca="1" si="163"/>
        <v>-108462278459.21831</v>
      </c>
      <c r="L4165" s="444">
        <f t="shared" ca="1" si="164"/>
        <v>-26139409108671.613</v>
      </c>
      <c r="M4165" s="460">
        <f t="shared" si="166"/>
        <v>0.05</v>
      </c>
      <c r="N4165" s="464">
        <f t="shared" si="167"/>
        <v>177814</v>
      </c>
    </row>
    <row r="4166" spans="7:14" ht="11.25" customHeight="1" x14ac:dyDescent="0.25">
      <c r="G4166" s="459"/>
      <c r="H4166" s="459">
        <v>4159</v>
      </c>
      <c r="I4166" s="444">
        <f t="shared" ca="1" si="165"/>
        <v>-26139409108671.613</v>
      </c>
      <c r="J4166" s="444">
        <f t="array" ref="J4166">IFERROR(INDEX('Retirement Calculator'!K:K,MATCH('Lorri 401b'!N4166,'Retirement Calculator'!A:A,0),0),0)</f>
        <v>0</v>
      </c>
      <c r="K4166" s="444">
        <f t="shared" ca="1" si="163"/>
        <v>-108914204619.46506</v>
      </c>
      <c r="L4166" s="444">
        <f t="shared" ca="1" si="164"/>
        <v>-26248323313291.078</v>
      </c>
      <c r="M4166" s="460">
        <f t="shared" si="166"/>
        <v>0.05</v>
      </c>
      <c r="N4166" s="464">
        <f t="shared" si="167"/>
        <v>177844</v>
      </c>
    </row>
    <row r="4167" spans="7:14" ht="11.25" customHeight="1" x14ac:dyDescent="0.25">
      <c r="G4167" s="459"/>
      <c r="H4167" s="459">
        <v>4160</v>
      </c>
      <c r="I4167" s="444">
        <f t="shared" ca="1" si="165"/>
        <v>-26248323313291.078</v>
      </c>
      <c r="J4167" s="444">
        <f t="array" ref="J4167">IFERROR(INDEX('Retirement Calculator'!K:K,MATCH('Lorri 401b'!N4167,'Retirement Calculator'!A:A,0),0),0)</f>
        <v>0</v>
      </c>
      <c r="K4167" s="444">
        <f t="shared" ca="1" si="163"/>
        <v>-109368013805.37949</v>
      </c>
      <c r="L4167" s="444">
        <f t="shared" ca="1" si="164"/>
        <v>-26357691327096.457</v>
      </c>
      <c r="M4167" s="460">
        <f t="shared" si="166"/>
        <v>0.05</v>
      </c>
      <c r="N4167" s="464">
        <f t="shared" si="167"/>
        <v>177875</v>
      </c>
    </row>
    <row r="4168" spans="7:14" ht="11.25" customHeight="1" x14ac:dyDescent="0.25">
      <c r="G4168" s="459"/>
      <c r="H4168" s="459">
        <v>4161</v>
      </c>
      <c r="I4168" s="444">
        <f t="shared" ca="1" si="165"/>
        <v>-26357691327096.457</v>
      </c>
      <c r="J4168" s="444">
        <f t="array" ref="J4168">IFERROR(INDEX('Retirement Calculator'!K:K,MATCH('Lorri 401b'!N4168,'Retirement Calculator'!A:A,0),0),0)</f>
        <v>0</v>
      </c>
      <c r="K4168" s="444">
        <f t="shared" ca="1" si="163"/>
        <v>-109823713862.9019</v>
      </c>
      <c r="L4168" s="444">
        <f t="shared" ca="1" si="164"/>
        <v>-26467515040959.359</v>
      </c>
      <c r="M4168" s="460">
        <f t="shared" si="166"/>
        <v>0.05</v>
      </c>
      <c r="N4168" s="464">
        <f t="shared" si="167"/>
        <v>177906</v>
      </c>
    </row>
    <row r="4169" spans="7:14" ht="11.25" customHeight="1" x14ac:dyDescent="0.25">
      <c r="G4169" s="459"/>
      <c r="H4169" s="459">
        <v>4162</v>
      </c>
      <c r="I4169" s="444">
        <f t="shared" ca="1" si="165"/>
        <v>-26467515040959.359</v>
      </c>
      <c r="J4169" s="444">
        <f t="array" ref="J4169">IFERROR(INDEX('Retirement Calculator'!K:K,MATCH('Lorri 401b'!N4169,'Retirement Calculator'!A:A,0),0),0)</f>
        <v>0</v>
      </c>
      <c r="K4169" s="444">
        <f t="shared" ca="1" si="163"/>
        <v>-110281312670.664</v>
      </c>
      <c r="L4169" s="444">
        <f t="shared" ca="1" si="164"/>
        <v>-26577796353630.023</v>
      </c>
      <c r="M4169" s="460">
        <f t="shared" si="166"/>
        <v>0.05</v>
      </c>
      <c r="N4169" s="464">
        <f t="shared" si="167"/>
        <v>177934</v>
      </c>
    </row>
    <row r="4170" spans="7:14" ht="11.25" customHeight="1" x14ac:dyDescent="0.25">
      <c r="G4170" s="459"/>
      <c r="H4170" s="459">
        <v>4163</v>
      </c>
      <c r="I4170" s="444">
        <f t="shared" ca="1" si="165"/>
        <v>-26577796353630.023</v>
      </c>
      <c r="J4170" s="444">
        <f t="array" ref="J4170">IFERROR(INDEX('Retirement Calculator'!K:K,MATCH('Lorri 401b'!N4170,'Retirement Calculator'!A:A,0),0),0)</f>
        <v>0</v>
      </c>
      <c r="K4170" s="444">
        <f t="shared" ca="1" si="163"/>
        <v>-110740818140.12509</v>
      </c>
      <c r="L4170" s="444">
        <f t="shared" ca="1" si="164"/>
        <v>-26688537171770.148</v>
      </c>
      <c r="M4170" s="460">
        <f t="shared" si="166"/>
        <v>0.05</v>
      </c>
      <c r="N4170" s="464">
        <f t="shared" si="167"/>
        <v>177965</v>
      </c>
    </row>
    <row r="4171" spans="7:14" ht="11.25" customHeight="1" x14ac:dyDescent="0.25">
      <c r="G4171" s="459"/>
      <c r="H4171" s="459">
        <v>4164</v>
      </c>
      <c r="I4171" s="444">
        <f t="shared" ca="1" si="165"/>
        <v>-26688537171770.148</v>
      </c>
      <c r="J4171" s="444">
        <f t="array" ref="J4171">IFERROR(INDEX('Retirement Calculator'!K:K,MATCH('Lorri 401b'!N4171,'Retirement Calculator'!A:A,0),0),0)</f>
        <v>0</v>
      </c>
      <c r="K4171" s="444">
        <f t="shared" ca="1" si="163"/>
        <v>-111202238215.70895</v>
      </c>
      <c r="L4171" s="444">
        <f t="shared" ca="1" si="164"/>
        <v>-26799739409985.855</v>
      </c>
      <c r="M4171" s="460">
        <f t="shared" si="166"/>
        <v>0.05</v>
      </c>
      <c r="N4171" s="464">
        <f t="shared" si="167"/>
        <v>177995</v>
      </c>
    </row>
    <row r="4172" spans="7:14" ht="11.25" customHeight="1" x14ac:dyDescent="0.25">
      <c r="G4172" s="459"/>
      <c r="H4172" s="459">
        <v>4165</v>
      </c>
      <c r="I4172" s="444">
        <f t="shared" ca="1" si="165"/>
        <v>-26799739409985.855</v>
      </c>
      <c r="J4172" s="444">
        <f t="array" ref="J4172">IFERROR(INDEX('Retirement Calculator'!K:K,MATCH('Lorri 401b'!N4172,'Retirement Calculator'!A:A,0),0),0)</f>
        <v>0</v>
      </c>
      <c r="K4172" s="444">
        <f t="shared" ca="1" si="163"/>
        <v>-111665580874.94106</v>
      </c>
      <c r="L4172" s="444">
        <f t="shared" ca="1" si="164"/>
        <v>-26911404990860.797</v>
      </c>
      <c r="M4172" s="460">
        <f t="shared" si="166"/>
        <v>0.05</v>
      </c>
      <c r="N4172" s="464">
        <f t="shared" si="167"/>
        <v>178026</v>
      </c>
    </row>
    <row r="4173" spans="7:14" ht="11.25" customHeight="1" x14ac:dyDescent="0.25">
      <c r="G4173" s="459"/>
      <c r="H4173" s="459">
        <v>4166</v>
      </c>
      <c r="I4173" s="444">
        <f t="shared" ca="1" si="165"/>
        <v>-26911404990860.797</v>
      </c>
      <c r="J4173" s="444">
        <f t="array" ref="J4173">IFERROR(INDEX('Retirement Calculator'!K:K,MATCH('Lorri 401b'!N4173,'Retirement Calculator'!A:A,0),0),0)</f>
        <v>0</v>
      </c>
      <c r="K4173" s="444">
        <f t="shared" ca="1" si="163"/>
        <v>-112130854128.58665</v>
      </c>
      <c r="L4173" s="444">
        <f t="shared" ca="1" si="164"/>
        <v>-27023535844989.383</v>
      </c>
      <c r="M4173" s="460">
        <f t="shared" si="166"/>
        <v>0.05</v>
      </c>
      <c r="N4173" s="464">
        <f t="shared" si="167"/>
        <v>178056</v>
      </c>
    </row>
    <row r="4174" spans="7:14" ht="11.25" customHeight="1" x14ac:dyDescent="0.25">
      <c r="G4174" s="459"/>
      <c r="H4174" s="459">
        <v>4167</v>
      </c>
      <c r="I4174" s="444">
        <f t="shared" ca="1" si="165"/>
        <v>-27023535844989.383</v>
      </c>
      <c r="J4174" s="444">
        <f t="array" ref="J4174">IFERROR(INDEX('Retirement Calculator'!K:K,MATCH('Lorri 401b'!N4174,'Retirement Calculator'!A:A,0),0),0)</f>
        <v>0</v>
      </c>
      <c r="K4174" s="444">
        <f t="shared" ca="1" si="163"/>
        <v>-112598066020.78909</v>
      </c>
      <c r="L4174" s="444">
        <f t="shared" ca="1" si="164"/>
        <v>-27136133911010.172</v>
      </c>
      <c r="M4174" s="460">
        <f t="shared" si="166"/>
        <v>0.05</v>
      </c>
      <c r="N4174" s="464">
        <f t="shared" si="167"/>
        <v>178087</v>
      </c>
    </row>
    <row r="4175" spans="7:14" ht="11.25" customHeight="1" x14ac:dyDescent="0.25">
      <c r="G4175" s="459"/>
      <c r="H4175" s="459">
        <v>4168</v>
      </c>
      <c r="I4175" s="444">
        <f t="shared" ca="1" si="165"/>
        <v>-27136133911010.172</v>
      </c>
      <c r="J4175" s="444">
        <f t="array" ref="J4175">IFERROR(INDEX('Retirement Calculator'!K:K,MATCH('Lorri 401b'!N4175,'Retirement Calculator'!A:A,0),0),0)</f>
        <v>0</v>
      </c>
      <c r="K4175" s="444">
        <f t="shared" ca="1" si="163"/>
        <v>-113067224629.20905</v>
      </c>
      <c r="L4175" s="444">
        <f t="shared" ca="1" si="164"/>
        <v>-27249201135639.383</v>
      </c>
      <c r="M4175" s="460">
        <f t="shared" si="166"/>
        <v>0.05</v>
      </c>
      <c r="N4175" s="464">
        <f t="shared" si="167"/>
        <v>178118</v>
      </c>
    </row>
    <row r="4176" spans="7:14" ht="11.25" customHeight="1" x14ac:dyDescent="0.25">
      <c r="G4176" s="459"/>
      <c r="H4176" s="459">
        <v>4169</v>
      </c>
      <c r="I4176" s="444">
        <f t="shared" ca="1" si="165"/>
        <v>-27249201135639.383</v>
      </c>
      <c r="J4176" s="444">
        <f t="array" ref="J4176">IFERROR(INDEX('Retirement Calculator'!K:K,MATCH('Lorri 401b'!N4176,'Retirement Calculator'!A:A,0),0),0)</f>
        <v>0</v>
      </c>
      <c r="K4176" s="444">
        <f t="shared" ca="1" si="163"/>
        <v>-113538338065.16409</v>
      </c>
      <c r="L4176" s="444">
        <f t="shared" ca="1" si="164"/>
        <v>-27362739473704.547</v>
      </c>
      <c r="M4176" s="460">
        <f t="shared" si="166"/>
        <v>0.05</v>
      </c>
      <c r="N4176" s="464">
        <f t="shared" si="167"/>
        <v>178148</v>
      </c>
    </row>
    <row r="4177" spans="7:14" ht="11.25" customHeight="1" x14ac:dyDescent="0.25">
      <c r="G4177" s="459"/>
      <c r="H4177" s="459">
        <v>4170</v>
      </c>
      <c r="I4177" s="444">
        <f t="shared" ca="1" si="165"/>
        <v>-27362739473704.547</v>
      </c>
      <c r="J4177" s="444">
        <f t="array" ref="J4177">IFERROR(INDEX('Retirement Calculator'!K:K,MATCH('Lorri 401b'!N4177,'Retirement Calculator'!A:A,0),0),0)</f>
        <v>0</v>
      </c>
      <c r="K4177" s="444">
        <f t="shared" ca="1" si="163"/>
        <v>-114011414473.76894</v>
      </c>
      <c r="L4177" s="444">
        <f t="shared" ca="1" si="164"/>
        <v>-27476750888178.316</v>
      </c>
      <c r="M4177" s="460">
        <f t="shared" si="166"/>
        <v>0.05</v>
      </c>
      <c r="N4177" s="464">
        <f t="shared" si="167"/>
        <v>178179</v>
      </c>
    </row>
    <row r="4178" spans="7:14" ht="11.25" customHeight="1" x14ac:dyDescent="0.25">
      <c r="G4178" s="459"/>
      <c r="H4178" s="459">
        <v>4171</v>
      </c>
      <c r="I4178" s="444">
        <f t="shared" ca="1" si="165"/>
        <v>-27476750888178.316</v>
      </c>
      <c r="J4178" s="444">
        <f t="array" ref="J4178">IFERROR(INDEX('Retirement Calculator'!K:K,MATCH('Lorri 401b'!N4178,'Retirement Calculator'!A:A,0),0),0)</f>
        <v>0</v>
      </c>
      <c r="K4178" s="444">
        <f t="shared" ca="1" si="163"/>
        <v>-114486462034.07634</v>
      </c>
      <c r="L4178" s="444">
        <f t="shared" ca="1" si="164"/>
        <v>-27591237350212.395</v>
      </c>
      <c r="M4178" s="460">
        <f t="shared" si="166"/>
        <v>0.05</v>
      </c>
      <c r="N4178" s="464">
        <f t="shared" si="167"/>
        <v>178209</v>
      </c>
    </row>
    <row r="4179" spans="7:14" ht="11.25" customHeight="1" x14ac:dyDescent="0.25">
      <c r="G4179" s="459"/>
      <c r="H4179" s="459">
        <v>4172</v>
      </c>
      <c r="I4179" s="444">
        <f t="shared" ca="1" si="165"/>
        <v>-27591237350212.395</v>
      </c>
      <c r="J4179" s="444">
        <f t="array" ref="J4179">IFERROR(INDEX('Retirement Calculator'!K:K,MATCH('Lorri 401b'!N4179,'Retirement Calculator'!A:A,0),0),0)</f>
        <v>0</v>
      </c>
      <c r="K4179" s="444">
        <f t="shared" ca="1" si="163"/>
        <v>-114963488959.21831</v>
      </c>
      <c r="L4179" s="444">
        <f t="shared" ca="1" si="164"/>
        <v>-27706200839171.613</v>
      </c>
      <c r="M4179" s="460">
        <f t="shared" si="166"/>
        <v>0.05</v>
      </c>
      <c r="N4179" s="464">
        <f t="shared" si="167"/>
        <v>178240</v>
      </c>
    </row>
    <row r="4180" spans="7:14" ht="11.25" customHeight="1" x14ac:dyDescent="0.25">
      <c r="G4180" s="459"/>
      <c r="H4180" s="459">
        <v>4173</v>
      </c>
      <c r="I4180" s="444">
        <f t="shared" ca="1" si="165"/>
        <v>-27706200839171.613</v>
      </c>
      <c r="J4180" s="444">
        <f t="array" ref="J4180">IFERROR(INDEX('Retirement Calculator'!K:K,MATCH('Lorri 401b'!N4180,'Retirement Calculator'!A:A,0),0),0)</f>
        <v>0</v>
      </c>
      <c r="K4180" s="444">
        <f t="shared" ca="1" si="163"/>
        <v>-115442503496.54837</v>
      </c>
      <c r="L4180" s="444">
        <f t="shared" ca="1" si="164"/>
        <v>-27821643342668.16</v>
      </c>
      <c r="M4180" s="460">
        <f t="shared" si="166"/>
        <v>0.05</v>
      </c>
      <c r="N4180" s="464">
        <f t="shared" si="167"/>
        <v>178271</v>
      </c>
    </row>
    <row r="4181" spans="7:14" ht="11.25" customHeight="1" x14ac:dyDescent="0.25">
      <c r="G4181" s="459"/>
      <c r="H4181" s="459">
        <v>4174</v>
      </c>
      <c r="I4181" s="444">
        <f t="shared" ca="1" si="165"/>
        <v>-27821643342668.16</v>
      </c>
      <c r="J4181" s="444">
        <f t="array" ref="J4181">IFERROR(INDEX('Retirement Calculator'!K:K,MATCH('Lorri 401b'!N4181,'Retirement Calculator'!A:A,0),0),0)</f>
        <v>0</v>
      </c>
      <c r="K4181" s="444">
        <f t="shared" ca="1" si="163"/>
        <v>-115923513927.784</v>
      </c>
      <c r="L4181" s="444">
        <f t="shared" ca="1" si="164"/>
        <v>-27937566856595.945</v>
      </c>
      <c r="M4181" s="460">
        <f t="shared" si="166"/>
        <v>0.05</v>
      </c>
      <c r="N4181" s="464">
        <f t="shared" si="167"/>
        <v>178300</v>
      </c>
    </row>
    <row r="4182" spans="7:14" ht="11.25" customHeight="1" x14ac:dyDescent="0.25">
      <c r="G4182" s="459"/>
      <c r="H4182" s="459">
        <v>4175</v>
      </c>
      <c r="I4182" s="444">
        <f t="shared" ca="1" si="165"/>
        <v>-27937566856595.945</v>
      </c>
      <c r="J4182" s="444">
        <f t="array" ref="J4182">IFERROR(INDEX('Retirement Calculator'!K:K,MATCH('Lorri 401b'!N4182,'Retirement Calculator'!A:A,0),0),0)</f>
        <v>0</v>
      </c>
      <c r="K4182" s="444">
        <f t="shared" ca="1" si="163"/>
        <v>-116406528569.14977</v>
      </c>
      <c r="L4182" s="444">
        <f t="shared" ca="1" si="164"/>
        <v>-28053973385165.094</v>
      </c>
      <c r="M4182" s="460">
        <f t="shared" si="166"/>
        <v>0.05</v>
      </c>
      <c r="N4182" s="464">
        <f t="shared" si="167"/>
        <v>178331</v>
      </c>
    </row>
    <row r="4183" spans="7:14" ht="11.25" customHeight="1" x14ac:dyDescent="0.25">
      <c r="G4183" s="459"/>
      <c r="H4183" s="459">
        <v>4176</v>
      </c>
      <c r="I4183" s="444">
        <f t="shared" ca="1" si="165"/>
        <v>-28053973385165.094</v>
      </c>
      <c r="J4183" s="444">
        <f t="array" ref="J4183">IFERROR(INDEX('Retirement Calculator'!K:K,MATCH('Lorri 401b'!N4183,'Retirement Calculator'!A:A,0),0),0)</f>
        <v>0</v>
      </c>
      <c r="K4183" s="444">
        <f t="shared" ca="1" si="163"/>
        <v>-116891555771.52124</v>
      </c>
      <c r="L4183" s="444">
        <f t="shared" ca="1" si="164"/>
        <v>-28170864940936.613</v>
      </c>
      <c r="M4183" s="460">
        <f t="shared" si="166"/>
        <v>0.05</v>
      </c>
      <c r="N4183" s="464">
        <f t="shared" si="167"/>
        <v>178361</v>
      </c>
    </row>
    <row r="4184" spans="7:14" ht="11.25" customHeight="1" x14ac:dyDescent="0.25">
      <c r="G4184" s="459"/>
      <c r="H4184" s="459">
        <v>4177</v>
      </c>
      <c r="I4184" s="444">
        <f t="shared" ca="1" si="165"/>
        <v>-28170864940936.613</v>
      </c>
      <c r="J4184" s="444">
        <f t="array" ref="J4184">IFERROR(INDEX('Retirement Calculator'!K:K,MATCH('Lorri 401b'!N4184,'Retirement Calculator'!A:A,0),0),0)</f>
        <v>0</v>
      </c>
      <c r="K4184" s="444">
        <f t="shared" ca="1" si="163"/>
        <v>-117378603920.56923</v>
      </c>
      <c r="L4184" s="444">
        <f t="shared" ca="1" si="164"/>
        <v>-28288243544857.184</v>
      </c>
      <c r="M4184" s="460">
        <f t="shared" si="166"/>
        <v>0.05</v>
      </c>
      <c r="N4184" s="464">
        <f t="shared" si="167"/>
        <v>178392</v>
      </c>
    </row>
    <row r="4185" spans="7:14" ht="11.25" customHeight="1" x14ac:dyDescent="0.25">
      <c r="G4185" s="459"/>
      <c r="H4185" s="459">
        <v>4178</v>
      </c>
      <c r="I4185" s="444">
        <f t="shared" ca="1" si="165"/>
        <v>-28288243544857.184</v>
      </c>
      <c r="J4185" s="444">
        <f t="array" ref="J4185">IFERROR(INDEX('Retirement Calculator'!K:K,MATCH('Lorri 401b'!N4185,'Retirement Calculator'!A:A,0),0),0)</f>
        <v>0</v>
      </c>
      <c r="K4185" s="444">
        <f t="shared" ca="1" si="163"/>
        <v>-117867681436.90495</v>
      </c>
      <c r="L4185" s="444">
        <f t="shared" ca="1" si="164"/>
        <v>-28406111226294.09</v>
      </c>
      <c r="M4185" s="460">
        <f t="shared" si="166"/>
        <v>0.05</v>
      </c>
      <c r="N4185" s="464">
        <f t="shared" si="167"/>
        <v>178422</v>
      </c>
    </row>
    <row r="4186" spans="7:14" ht="11.25" customHeight="1" x14ac:dyDescent="0.25">
      <c r="G4186" s="459"/>
      <c r="H4186" s="459">
        <v>4179</v>
      </c>
      <c r="I4186" s="444">
        <f t="shared" ca="1" si="165"/>
        <v>-28406111226294.09</v>
      </c>
      <c r="J4186" s="444">
        <f t="array" ref="J4186">IFERROR(INDEX('Retirement Calculator'!K:K,MATCH('Lorri 401b'!N4186,'Retirement Calculator'!A:A,0),0),0)</f>
        <v>0</v>
      </c>
      <c r="K4186" s="444">
        <f t="shared" ca="1" si="163"/>
        <v>-118358796776.22539</v>
      </c>
      <c r="L4186" s="444">
        <f t="shared" ca="1" si="164"/>
        <v>-28524470023070.316</v>
      </c>
      <c r="M4186" s="460">
        <f t="shared" si="166"/>
        <v>0.05</v>
      </c>
      <c r="N4186" s="464">
        <f t="shared" si="167"/>
        <v>178453</v>
      </c>
    </row>
    <row r="4187" spans="7:14" ht="11.25" customHeight="1" x14ac:dyDescent="0.25">
      <c r="G4187" s="459"/>
      <c r="H4187" s="459">
        <v>4180</v>
      </c>
      <c r="I4187" s="444">
        <f t="shared" ca="1" si="165"/>
        <v>-28524470023070.316</v>
      </c>
      <c r="J4187" s="444">
        <f t="array" ref="J4187">IFERROR(INDEX('Retirement Calculator'!K:K,MATCH('Lorri 401b'!N4187,'Retirement Calculator'!A:A,0),0),0)</f>
        <v>0</v>
      </c>
      <c r="K4187" s="444">
        <f t="shared" ca="1" si="163"/>
        <v>-118851958429.45966</v>
      </c>
      <c r="L4187" s="444">
        <f t="shared" ca="1" si="164"/>
        <v>-28643321981499.777</v>
      </c>
      <c r="M4187" s="460">
        <f t="shared" si="166"/>
        <v>0.05</v>
      </c>
      <c r="N4187" s="464">
        <f t="shared" si="167"/>
        <v>178484</v>
      </c>
    </row>
    <row r="4188" spans="7:14" ht="11.25" customHeight="1" x14ac:dyDescent="0.25">
      <c r="G4188" s="459"/>
      <c r="H4188" s="459">
        <v>4181</v>
      </c>
      <c r="I4188" s="444">
        <f t="shared" ca="1" si="165"/>
        <v>-28643321981499.777</v>
      </c>
      <c r="J4188" s="444">
        <f t="array" ref="J4188">IFERROR(INDEX('Retirement Calculator'!K:K,MATCH('Lorri 401b'!N4188,'Retirement Calculator'!A:A,0),0),0)</f>
        <v>0</v>
      </c>
      <c r="K4188" s="444">
        <f t="shared" ca="1" si="163"/>
        <v>-119347174922.91573</v>
      </c>
      <c r="L4188" s="444">
        <f t="shared" ca="1" si="164"/>
        <v>-28762669156422.691</v>
      </c>
      <c r="M4188" s="460">
        <f t="shared" si="166"/>
        <v>0.05</v>
      </c>
      <c r="N4188" s="464">
        <f t="shared" si="167"/>
        <v>178514</v>
      </c>
    </row>
    <row r="4189" spans="7:14" ht="11.25" customHeight="1" x14ac:dyDescent="0.25">
      <c r="G4189" s="459"/>
      <c r="H4189" s="459">
        <v>4182</v>
      </c>
      <c r="I4189" s="444">
        <f t="shared" ca="1" si="165"/>
        <v>-28762669156422.691</v>
      </c>
      <c r="J4189" s="444">
        <f t="array" ref="J4189">IFERROR(INDEX('Retirement Calculator'!K:K,MATCH('Lorri 401b'!N4189,'Retirement Calculator'!A:A,0),0),0)</f>
        <v>0</v>
      </c>
      <c r="K4189" s="444">
        <f t="shared" ca="1" si="163"/>
        <v>-119844454818.4279</v>
      </c>
      <c r="L4189" s="444">
        <f t="shared" ca="1" si="164"/>
        <v>-28882513611241.121</v>
      </c>
      <c r="M4189" s="460">
        <f t="shared" si="166"/>
        <v>0.05</v>
      </c>
      <c r="N4189" s="464">
        <f t="shared" si="167"/>
        <v>178545</v>
      </c>
    </row>
    <row r="4190" spans="7:14" ht="11.25" customHeight="1" x14ac:dyDescent="0.25">
      <c r="G4190" s="459"/>
      <c r="H4190" s="459">
        <v>4183</v>
      </c>
      <c r="I4190" s="444">
        <f t="shared" ca="1" si="165"/>
        <v>-28882513611241.121</v>
      </c>
      <c r="J4190" s="444">
        <f t="array" ref="J4190">IFERROR(INDEX('Retirement Calculator'!K:K,MATCH('Lorri 401b'!N4190,'Retirement Calculator'!A:A,0),0),0)</f>
        <v>0</v>
      </c>
      <c r="K4190" s="444">
        <f t="shared" ca="1" si="163"/>
        <v>-120343806713.50467</v>
      </c>
      <c r="L4190" s="444">
        <f t="shared" ca="1" si="164"/>
        <v>-29002857417954.625</v>
      </c>
      <c r="M4190" s="460">
        <f t="shared" si="166"/>
        <v>0.05</v>
      </c>
      <c r="N4190" s="464">
        <f t="shared" si="167"/>
        <v>178575</v>
      </c>
    </row>
    <row r="4191" spans="7:14" ht="11.25" customHeight="1" x14ac:dyDescent="0.25">
      <c r="G4191" s="459"/>
      <c r="H4191" s="459">
        <v>4184</v>
      </c>
      <c r="I4191" s="444">
        <f t="shared" ca="1" si="165"/>
        <v>-29002857417954.625</v>
      </c>
      <c r="J4191" s="444">
        <f t="array" ref="J4191">IFERROR(INDEX('Retirement Calculator'!K:K,MATCH('Lorri 401b'!N4191,'Retirement Calculator'!A:A,0),0),0)</f>
        <v>0</v>
      </c>
      <c r="K4191" s="444">
        <f t="shared" ca="1" si="163"/>
        <v>-120845239241.4776</v>
      </c>
      <c r="L4191" s="444">
        <f t="shared" ca="1" si="164"/>
        <v>-29123702657196.102</v>
      </c>
      <c r="M4191" s="460">
        <f t="shared" si="166"/>
        <v>0.05</v>
      </c>
      <c r="N4191" s="464">
        <f t="shared" si="167"/>
        <v>178606</v>
      </c>
    </row>
    <row r="4192" spans="7:14" ht="11.25" customHeight="1" x14ac:dyDescent="0.25">
      <c r="G4192" s="459"/>
      <c r="H4192" s="459">
        <v>4185</v>
      </c>
      <c r="I4192" s="444">
        <f t="shared" ca="1" si="165"/>
        <v>-29123702657196.102</v>
      </c>
      <c r="J4192" s="444">
        <f t="array" ref="J4192">IFERROR(INDEX('Retirement Calculator'!K:K,MATCH('Lorri 401b'!N4192,'Retirement Calculator'!A:A,0),0),0)</f>
        <v>0</v>
      </c>
      <c r="K4192" s="444">
        <f t="shared" ca="1" si="163"/>
        <v>-121348761071.65042</v>
      </c>
      <c r="L4192" s="444">
        <f t="shared" ca="1" si="164"/>
        <v>-29245051418267.754</v>
      </c>
      <c r="M4192" s="460">
        <f t="shared" si="166"/>
        <v>0.05</v>
      </c>
      <c r="N4192" s="464">
        <f t="shared" si="167"/>
        <v>178637</v>
      </c>
    </row>
    <row r="4193" spans="7:14" ht="11.25" customHeight="1" x14ac:dyDescent="0.25">
      <c r="G4193" s="459"/>
      <c r="H4193" s="459">
        <v>4186</v>
      </c>
      <c r="I4193" s="444">
        <f t="shared" ca="1" si="165"/>
        <v>-29245051418267.754</v>
      </c>
      <c r="J4193" s="444">
        <f t="array" ref="J4193">IFERROR(INDEX('Retirement Calculator'!K:K,MATCH('Lorri 401b'!N4193,'Retirement Calculator'!A:A,0),0),0)</f>
        <v>0</v>
      </c>
      <c r="K4193" s="444">
        <f t="shared" ca="1" si="163"/>
        <v>-121854380909.44897</v>
      </c>
      <c r="L4193" s="444">
        <f t="shared" ca="1" si="164"/>
        <v>-29366905799177.203</v>
      </c>
      <c r="M4193" s="460">
        <f t="shared" si="166"/>
        <v>0.05</v>
      </c>
      <c r="N4193" s="464">
        <f t="shared" si="167"/>
        <v>178665</v>
      </c>
    </row>
    <row r="4194" spans="7:14" ht="11.25" customHeight="1" x14ac:dyDescent="0.25">
      <c r="G4194" s="459"/>
      <c r="H4194" s="459">
        <v>4187</v>
      </c>
      <c r="I4194" s="444">
        <f t="shared" ca="1" si="165"/>
        <v>-29366905799177.203</v>
      </c>
      <c r="J4194" s="444">
        <f t="array" ref="J4194">IFERROR(INDEX('Retirement Calculator'!K:K,MATCH('Lorri 401b'!N4194,'Retirement Calculator'!A:A,0),0),0)</f>
        <v>0</v>
      </c>
      <c r="K4194" s="444">
        <f t="shared" ca="1" si="163"/>
        <v>-122362107496.57167</v>
      </c>
      <c r="L4194" s="444">
        <f t="shared" ca="1" si="164"/>
        <v>-29489267906673.773</v>
      </c>
      <c r="M4194" s="460">
        <f t="shared" si="166"/>
        <v>0.05</v>
      </c>
      <c r="N4194" s="464">
        <f t="shared" si="167"/>
        <v>178696</v>
      </c>
    </row>
    <row r="4195" spans="7:14" ht="11.25" customHeight="1" x14ac:dyDescent="0.25">
      <c r="G4195" s="459"/>
      <c r="H4195" s="459">
        <v>4188</v>
      </c>
      <c r="I4195" s="444">
        <f t="shared" ca="1" si="165"/>
        <v>-29489267906673.773</v>
      </c>
      <c r="J4195" s="444">
        <f t="array" ref="J4195">IFERROR(INDEX('Retirement Calculator'!K:K,MATCH('Lorri 401b'!N4195,'Retirement Calculator'!A:A,0),0),0)</f>
        <v>0</v>
      </c>
      <c r="K4195" s="444">
        <f t="shared" ca="1" si="163"/>
        <v>-122871949611.14072</v>
      </c>
      <c r="L4195" s="444">
        <f t="shared" ca="1" si="164"/>
        <v>-29612139856284.914</v>
      </c>
      <c r="M4195" s="460">
        <f t="shared" si="166"/>
        <v>0.05</v>
      </c>
      <c r="N4195" s="464">
        <f t="shared" si="167"/>
        <v>178726</v>
      </c>
    </row>
    <row r="4196" spans="7:14" ht="11.25" customHeight="1" x14ac:dyDescent="0.25">
      <c r="G4196" s="459"/>
      <c r="H4196" s="459">
        <v>4189</v>
      </c>
      <c r="I4196" s="444">
        <f t="shared" ca="1" si="165"/>
        <v>-29612139856284.914</v>
      </c>
      <c r="J4196" s="444">
        <f t="array" ref="J4196">IFERROR(INDEX('Retirement Calculator'!K:K,MATCH('Lorri 401b'!N4196,'Retirement Calculator'!A:A,0),0),0)</f>
        <v>0</v>
      </c>
      <c r="K4196" s="444">
        <f t="shared" ca="1" si="163"/>
        <v>-123383916067.85382</v>
      </c>
      <c r="L4196" s="444">
        <f t="shared" ca="1" si="164"/>
        <v>-29735523772352.77</v>
      </c>
      <c r="M4196" s="460">
        <f t="shared" si="166"/>
        <v>0.05</v>
      </c>
      <c r="N4196" s="464">
        <f t="shared" si="167"/>
        <v>178757</v>
      </c>
    </row>
    <row r="4197" spans="7:14" ht="11.25" customHeight="1" x14ac:dyDescent="0.25">
      <c r="G4197" s="459"/>
      <c r="H4197" s="459">
        <v>4190</v>
      </c>
      <c r="I4197" s="444">
        <f t="shared" ca="1" si="165"/>
        <v>-29735523772352.77</v>
      </c>
      <c r="J4197" s="444">
        <f t="array" ref="J4197">IFERROR(INDEX('Retirement Calculator'!K:K,MATCH('Lorri 401b'!N4197,'Retirement Calculator'!A:A,0),0),0)</f>
        <v>0</v>
      </c>
      <c r="K4197" s="444">
        <f t="shared" ca="1" si="163"/>
        <v>-123898015718.13655</v>
      </c>
      <c r="L4197" s="444">
        <f t="shared" ca="1" si="164"/>
        <v>-29859421788070.906</v>
      </c>
      <c r="M4197" s="460">
        <f t="shared" si="166"/>
        <v>0.05</v>
      </c>
      <c r="N4197" s="464">
        <f t="shared" si="167"/>
        <v>178787</v>
      </c>
    </row>
    <row r="4198" spans="7:14" ht="11.25" customHeight="1" x14ac:dyDescent="0.25">
      <c r="G4198" s="459"/>
      <c r="H4198" s="459">
        <v>4191</v>
      </c>
      <c r="I4198" s="444">
        <f t="shared" ca="1" si="165"/>
        <v>-29859421788070.906</v>
      </c>
      <c r="J4198" s="444">
        <f t="array" ref="J4198">IFERROR(INDEX('Retirement Calculator'!K:K,MATCH('Lorri 401b'!N4198,'Retirement Calculator'!A:A,0),0),0)</f>
        <v>0</v>
      </c>
      <c r="K4198" s="444">
        <f t="shared" ca="1" si="163"/>
        <v>-124414257450.29543</v>
      </c>
      <c r="L4198" s="444">
        <f t="shared" ca="1" si="164"/>
        <v>-29983836045521.203</v>
      </c>
      <c r="M4198" s="460">
        <f t="shared" si="166"/>
        <v>0.05</v>
      </c>
      <c r="N4198" s="464">
        <f t="shared" si="167"/>
        <v>178818</v>
      </c>
    </row>
    <row r="4199" spans="7:14" ht="11.25" customHeight="1" x14ac:dyDescent="0.25">
      <c r="G4199" s="459"/>
      <c r="H4199" s="459">
        <v>4192</v>
      </c>
      <c r="I4199" s="444">
        <f t="shared" ca="1" si="165"/>
        <v>-29983836045521.203</v>
      </c>
      <c r="J4199" s="444">
        <f t="array" ref="J4199">IFERROR(INDEX('Retirement Calculator'!K:K,MATCH('Lorri 401b'!N4199,'Retirement Calculator'!A:A,0),0),0)</f>
        <v>0</v>
      </c>
      <c r="K4199" s="444">
        <f t="shared" ca="1" si="163"/>
        <v>-124932650189.67168</v>
      </c>
      <c r="L4199" s="444">
        <f t="shared" ca="1" si="164"/>
        <v>-30108768695710.875</v>
      </c>
      <c r="M4199" s="460">
        <f t="shared" si="166"/>
        <v>0.05</v>
      </c>
      <c r="N4199" s="464">
        <f t="shared" si="167"/>
        <v>178849</v>
      </c>
    </row>
    <row r="4200" spans="7:14" ht="11.25" customHeight="1" x14ac:dyDescent="0.25">
      <c r="G4200" s="459"/>
      <c r="H4200" s="459">
        <v>4193</v>
      </c>
      <c r="I4200" s="444">
        <f t="shared" ca="1" si="165"/>
        <v>-30108768695710.875</v>
      </c>
      <c r="J4200" s="444">
        <f t="array" ref="J4200">IFERROR(INDEX('Retirement Calculator'!K:K,MATCH('Lorri 401b'!N4200,'Retirement Calculator'!A:A,0),0),0)</f>
        <v>0</v>
      </c>
      <c r="K4200" s="444">
        <f t="shared" ca="1" si="163"/>
        <v>-125453202898.7953</v>
      </c>
      <c r="L4200" s="444">
        <f t="shared" ca="1" si="164"/>
        <v>-30234221898609.672</v>
      </c>
      <c r="M4200" s="460">
        <f t="shared" si="166"/>
        <v>0.05</v>
      </c>
      <c r="N4200" s="464">
        <f t="shared" si="167"/>
        <v>178879</v>
      </c>
    </row>
    <row r="4201" spans="7:14" ht="11.25" customHeight="1" x14ac:dyDescent="0.25">
      <c r="G4201" s="459"/>
      <c r="H4201" s="459">
        <v>4194</v>
      </c>
      <c r="I4201" s="444">
        <f t="shared" ca="1" si="165"/>
        <v>-30234221898609.672</v>
      </c>
      <c r="J4201" s="444">
        <f t="array" ref="J4201">IFERROR(INDEX('Retirement Calculator'!K:K,MATCH('Lorri 401b'!N4201,'Retirement Calculator'!A:A,0),0),0)</f>
        <v>0</v>
      </c>
      <c r="K4201" s="444">
        <f t="shared" ca="1" si="163"/>
        <v>-125975924577.5403</v>
      </c>
      <c r="L4201" s="444">
        <f t="shared" ca="1" si="164"/>
        <v>-30360197823187.211</v>
      </c>
      <c r="M4201" s="460">
        <f t="shared" si="166"/>
        <v>0.05</v>
      </c>
      <c r="N4201" s="464">
        <f t="shared" si="167"/>
        <v>178910</v>
      </c>
    </row>
    <row r="4202" spans="7:14" ht="11.25" customHeight="1" x14ac:dyDescent="0.25">
      <c r="G4202" s="459"/>
      <c r="H4202" s="459">
        <v>4195</v>
      </c>
      <c r="I4202" s="444">
        <f t="shared" ca="1" si="165"/>
        <v>-30360197823187.211</v>
      </c>
      <c r="J4202" s="444">
        <f t="array" ref="J4202">IFERROR(INDEX('Retirement Calculator'!K:K,MATCH('Lorri 401b'!N4202,'Retirement Calculator'!A:A,0),0),0)</f>
        <v>0</v>
      </c>
      <c r="K4202" s="444">
        <f t="shared" ca="1" si="163"/>
        <v>-126500824263.28003</v>
      </c>
      <c r="L4202" s="444">
        <f t="shared" ca="1" si="164"/>
        <v>-30486698647450.492</v>
      </c>
      <c r="M4202" s="460">
        <f t="shared" si="166"/>
        <v>0.05</v>
      </c>
      <c r="N4202" s="464">
        <f t="shared" si="167"/>
        <v>178940</v>
      </c>
    </row>
    <row r="4203" spans="7:14" ht="11.25" customHeight="1" x14ac:dyDescent="0.25">
      <c r="G4203" s="459"/>
      <c r="H4203" s="459">
        <v>4196</v>
      </c>
      <c r="I4203" s="444">
        <f t="shared" ca="1" si="165"/>
        <v>-30486698647450.492</v>
      </c>
      <c r="J4203" s="444">
        <f t="array" ref="J4203">IFERROR(INDEX('Retirement Calculator'!K:K,MATCH('Lorri 401b'!N4203,'Retirement Calculator'!A:A,0),0),0)</f>
        <v>0</v>
      </c>
      <c r="K4203" s="444">
        <f t="shared" ca="1" si="163"/>
        <v>-127027911031.04373</v>
      </c>
      <c r="L4203" s="444">
        <f t="shared" ca="1" si="164"/>
        <v>-30613726558481.535</v>
      </c>
      <c r="M4203" s="460">
        <f t="shared" si="166"/>
        <v>0.05</v>
      </c>
      <c r="N4203" s="464">
        <f t="shared" si="167"/>
        <v>178971</v>
      </c>
    </row>
    <row r="4204" spans="7:14" ht="11.25" customHeight="1" x14ac:dyDescent="0.25">
      <c r="G4204" s="459"/>
      <c r="H4204" s="459">
        <v>4197</v>
      </c>
      <c r="I4204" s="444">
        <f t="shared" ca="1" si="165"/>
        <v>-30613726558481.535</v>
      </c>
      <c r="J4204" s="444">
        <f t="array" ref="J4204">IFERROR(INDEX('Retirement Calculator'!K:K,MATCH('Lorri 401b'!N4204,'Retirement Calculator'!A:A,0),0),0)</f>
        <v>0</v>
      </c>
      <c r="K4204" s="444">
        <f t="shared" ca="1" si="163"/>
        <v>-127557193993.67305</v>
      </c>
      <c r="L4204" s="444">
        <f t="shared" ca="1" si="164"/>
        <v>-30741283752475.207</v>
      </c>
      <c r="M4204" s="460">
        <f t="shared" si="166"/>
        <v>0.05</v>
      </c>
      <c r="N4204" s="464">
        <f t="shared" si="167"/>
        <v>179002</v>
      </c>
    </row>
    <row r="4205" spans="7:14" ht="11.25" customHeight="1" x14ac:dyDescent="0.25">
      <c r="G4205" s="459"/>
      <c r="H4205" s="459">
        <v>4198</v>
      </c>
      <c r="I4205" s="444">
        <f t="shared" ca="1" si="165"/>
        <v>-30741283752475.207</v>
      </c>
      <c r="J4205" s="444">
        <f t="array" ref="J4205">IFERROR(INDEX('Retirement Calculator'!K:K,MATCH('Lorri 401b'!N4205,'Retirement Calculator'!A:A,0),0),0)</f>
        <v>0</v>
      </c>
      <c r="K4205" s="444">
        <f t="shared" ca="1" si="163"/>
        <v>-128088682301.98003</v>
      </c>
      <c r="L4205" s="444">
        <f t="shared" ca="1" si="164"/>
        <v>-30869372434777.188</v>
      </c>
      <c r="M4205" s="460">
        <f t="shared" si="166"/>
        <v>0.05</v>
      </c>
      <c r="N4205" s="464">
        <f t="shared" si="167"/>
        <v>179030</v>
      </c>
    </row>
    <row r="4206" spans="7:14" ht="11.25" customHeight="1" x14ac:dyDescent="0.25">
      <c r="G4206" s="459"/>
      <c r="H4206" s="459">
        <v>4199</v>
      </c>
      <c r="I4206" s="444">
        <f t="shared" ca="1" si="165"/>
        <v>-30869372434777.188</v>
      </c>
      <c r="J4206" s="444">
        <f t="array" ref="J4206">IFERROR(INDEX('Retirement Calculator'!K:K,MATCH('Lorri 401b'!N4206,'Retirement Calculator'!A:A,0),0),0)</f>
        <v>0</v>
      </c>
      <c r="K4206" s="444">
        <f t="shared" ca="1" si="163"/>
        <v>-128622385144.90495</v>
      </c>
      <c r="L4206" s="444">
        <f t="shared" ca="1" si="164"/>
        <v>-30997994819922.094</v>
      </c>
      <c r="M4206" s="460">
        <f t="shared" si="166"/>
        <v>0.05</v>
      </c>
      <c r="N4206" s="464">
        <f t="shared" si="167"/>
        <v>179061</v>
      </c>
    </row>
    <row r="4207" spans="7:14" ht="11.25" customHeight="1" x14ac:dyDescent="0.25">
      <c r="G4207" s="459"/>
      <c r="H4207" s="459">
        <v>4200</v>
      </c>
      <c r="I4207" s="444">
        <f t="shared" ca="1" si="165"/>
        <v>-30997994819922.094</v>
      </c>
      <c r="J4207" s="444">
        <f t="array" ref="J4207">IFERROR(INDEX('Retirement Calculator'!K:K,MATCH('Lorri 401b'!N4207,'Retirement Calculator'!A:A,0),0),0)</f>
        <v>0</v>
      </c>
      <c r="K4207" s="444">
        <f t="shared" ca="1" si="163"/>
        <v>-129158311749.67538</v>
      </c>
      <c r="L4207" s="444">
        <f t="shared" ca="1" si="164"/>
        <v>-31127153131671.77</v>
      </c>
      <c r="M4207" s="460">
        <f t="shared" si="166"/>
        <v>0.05</v>
      </c>
      <c r="N4207" s="464">
        <f t="shared" si="167"/>
        <v>179091</v>
      </c>
    </row>
    <row r="4208" spans="7:14" ht="11.25" customHeight="1" x14ac:dyDescent="0.25">
      <c r="G4208" s="459"/>
      <c r="H4208" s="459">
        <v>4201</v>
      </c>
      <c r="I4208" s="444">
        <f t="shared" ca="1" si="165"/>
        <v>-31127153131671.77</v>
      </c>
      <c r="J4208" s="444">
        <f t="array" ref="J4208">IFERROR(INDEX('Retirement Calculator'!K:K,MATCH('Lorri 401b'!N4208,'Retirement Calculator'!A:A,0),0),0)</f>
        <v>0</v>
      </c>
      <c r="K4208" s="444">
        <f t="shared" ca="1" si="163"/>
        <v>-129696471381.9657</v>
      </c>
      <c r="L4208" s="444">
        <f t="shared" ca="1" si="164"/>
        <v>-31256849603053.734</v>
      </c>
      <c r="M4208" s="460">
        <f t="shared" si="166"/>
        <v>0.05</v>
      </c>
      <c r="N4208" s="464">
        <f t="shared" si="167"/>
        <v>179122</v>
      </c>
    </row>
    <row r="4209" spans="7:14" ht="11.25" customHeight="1" x14ac:dyDescent="0.25">
      <c r="G4209" s="459"/>
      <c r="H4209" s="459">
        <v>4202</v>
      </c>
      <c r="I4209" s="444">
        <f t="shared" ca="1" si="165"/>
        <v>-31256849603053.734</v>
      </c>
      <c r="J4209" s="444">
        <f t="array" ref="J4209">IFERROR(INDEX('Retirement Calculator'!K:K,MATCH('Lorri 401b'!N4209,'Retirement Calculator'!A:A,0),0),0)</f>
        <v>0</v>
      </c>
      <c r="K4209" s="444">
        <f t="shared" ca="1" si="163"/>
        <v>-130236873346.05722</v>
      </c>
      <c r="L4209" s="444">
        <f t="shared" ca="1" si="164"/>
        <v>-31387086476399.793</v>
      </c>
      <c r="M4209" s="460">
        <f t="shared" si="166"/>
        <v>0.05</v>
      </c>
      <c r="N4209" s="464">
        <f t="shared" si="167"/>
        <v>179152</v>
      </c>
    </row>
    <row r="4210" spans="7:14" ht="11.25" customHeight="1" x14ac:dyDescent="0.25">
      <c r="G4210" s="459"/>
      <c r="H4210" s="459">
        <v>4203</v>
      </c>
      <c r="I4210" s="444">
        <f t="shared" ca="1" si="165"/>
        <v>-31387086476399.793</v>
      </c>
      <c r="J4210" s="444">
        <f t="array" ref="J4210">IFERROR(INDEX('Retirement Calculator'!K:K,MATCH('Lorri 401b'!N4210,'Retirement Calculator'!A:A,0),0),0)</f>
        <v>0</v>
      </c>
      <c r="K4210" s="444">
        <f t="shared" ca="1" si="163"/>
        <v>-130779526984.99911</v>
      </c>
      <c r="L4210" s="444">
        <f t="shared" ca="1" si="164"/>
        <v>-31517866003384.793</v>
      </c>
      <c r="M4210" s="460">
        <f t="shared" si="166"/>
        <v>0.05</v>
      </c>
      <c r="N4210" s="464">
        <f t="shared" si="167"/>
        <v>179183</v>
      </c>
    </row>
    <row r="4211" spans="7:14" ht="11.25" customHeight="1" x14ac:dyDescent="0.25">
      <c r="G4211" s="459"/>
      <c r="H4211" s="459">
        <v>4204</v>
      </c>
      <c r="I4211" s="444">
        <f t="shared" ca="1" si="165"/>
        <v>-31517866003384.793</v>
      </c>
      <c r="J4211" s="444">
        <f t="array" ref="J4211">IFERROR(INDEX('Retirement Calculator'!K:K,MATCH('Lorri 401b'!N4211,'Retirement Calculator'!A:A,0),0),0)</f>
        <v>0</v>
      </c>
      <c r="K4211" s="444">
        <f t="shared" ca="1" si="163"/>
        <v>-131324441680.76997</v>
      </c>
      <c r="L4211" s="444">
        <f t="shared" ca="1" si="164"/>
        <v>-31649190445065.563</v>
      </c>
      <c r="M4211" s="460">
        <f t="shared" si="166"/>
        <v>0.05</v>
      </c>
      <c r="N4211" s="464">
        <f t="shared" si="167"/>
        <v>179214</v>
      </c>
    </row>
    <row r="4212" spans="7:14" ht="11.25" customHeight="1" x14ac:dyDescent="0.25">
      <c r="G4212" s="459"/>
      <c r="H4212" s="459">
        <v>4205</v>
      </c>
      <c r="I4212" s="444">
        <f t="shared" ca="1" si="165"/>
        <v>-31649190445065.563</v>
      </c>
      <c r="J4212" s="444">
        <f t="array" ref="J4212">IFERROR(INDEX('Retirement Calculator'!K:K,MATCH('Lorri 401b'!N4212,'Retirement Calculator'!A:A,0),0),0)</f>
        <v>0</v>
      </c>
      <c r="K4212" s="444">
        <f t="shared" ca="1" si="163"/>
        <v>-131871626854.43983</v>
      </c>
      <c r="L4212" s="444">
        <f t="shared" ca="1" si="164"/>
        <v>-31781062071920.004</v>
      </c>
      <c r="M4212" s="460">
        <f t="shared" si="166"/>
        <v>0.05</v>
      </c>
      <c r="N4212" s="464">
        <f t="shared" si="167"/>
        <v>179244</v>
      </c>
    </row>
    <row r="4213" spans="7:14" ht="11.25" customHeight="1" x14ac:dyDescent="0.25">
      <c r="G4213" s="459"/>
      <c r="H4213" s="459">
        <v>4206</v>
      </c>
      <c r="I4213" s="444">
        <f t="shared" ca="1" si="165"/>
        <v>-31781062071920.004</v>
      </c>
      <c r="J4213" s="444">
        <f t="array" ref="J4213">IFERROR(INDEX('Retirement Calculator'!K:K,MATCH('Lorri 401b'!N4213,'Retirement Calculator'!A:A,0),0),0)</f>
        <v>0</v>
      </c>
      <c r="K4213" s="444">
        <f t="shared" ca="1" si="163"/>
        <v>-132421091966.33333</v>
      </c>
      <c r="L4213" s="444">
        <f t="shared" ca="1" si="164"/>
        <v>-31913483163886.336</v>
      </c>
      <c r="M4213" s="460">
        <f t="shared" si="166"/>
        <v>0.05</v>
      </c>
      <c r="N4213" s="464">
        <f t="shared" si="167"/>
        <v>179275</v>
      </c>
    </row>
    <row r="4214" spans="7:14" ht="11.25" customHeight="1" x14ac:dyDescent="0.25">
      <c r="G4214" s="459"/>
      <c r="H4214" s="459">
        <v>4207</v>
      </c>
      <c r="I4214" s="444">
        <f t="shared" ca="1" si="165"/>
        <v>-31913483163886.336</v>
      </c>
      <c r="J4214" s="444">
        <f t="array" ref="J4214">IFERROR(INDEX('Retirement Calculator'!K:K,MATCH('Lorri 401b'!N4214,'Retirement Calculator'!A:A,0),0),0)</f>
        <v>0</v>
      </c>
      <c r="K4214" s="444">
        <f t="shared" ca="1" si="163"/>
        <v>-132972846516.19308</v>
      </c>
      <c r="L4214" s="444">
        <f t="shared" ca="1" si="164"/>
        <v>-32046456010402.527</v>
      </c>
      <c r="M4214" s="460">
        <f t="shared" si="166"/>
        <v>0.05</v>
      </c>
      <c r="N4214" s="464">
        <f t="shared" si="167"/>
        <v>179305</v>
      </c>
    </row>
    <row r="4215" spans="7:14" ht="11.25" customHeight="1" x14ac:dyDescent="0.25">
      <c r="G4215" s="459"/>
      <c r="H4215" s="459">
        <v>4208</v>
      </c>
      <c r="I4215" s="444">
        <f t="shared" ca="1" si="165"/>
        <v>-32046456010402.527</v>
      </c>
      <c r="J4215" s="444">
        <f t="array" ref="J4215">IFERROR(INDEX('Retirement Calculator'!K:K,MATCH('Lorri 401b'!N4215,'Retirement Calculator'!A:A,0),0),0)</f>
        <v>0</v>
      </c>
      <c r="K4215" s="444">
        <f t="shared" ca="1" si="163"/>
        <v>-133526900043.34386</v>
      </c>
      <c r="L4215" s="444">
        <f t="shared" ca="1" si="164"/>
        <v>-32179982910445.871</v>
      </c>
      <c r="M4215" s="460">
        <f t="shared" si="166"/>
        <v>0.05</v>
      </c>
      <c r="N4215" s="464">
        <f t="shared" si="167"/>
        <v>179336</v>
      </c>
    </row>
    <row r="4216" spans="7:14" ht="11.25" customHeight="1" x14ac:dyDescent="0.25">
      <c r="G4216" s="459"/>
      <c r="H4216" s="459">
        <v>4209</v>
      </c>
      <c r="I4216" s="444">
        <f t="shared" ca="1" si="165"/>
        <v>-32179982910445.871</v>
      </c>
      <c r="J4216" s="444">
        <f t="array" ref="J4216">IFERROR(INDEX('Retirement Calculator'!K:K,MATCH('Lorri 401b'!N4216,'Retirement Calculator'!A:A,0),0),0)</f>
        <v>0</v>
      </c>
      <c r="K4216" s="444">
        <f t="shared" ca="1" si="163"/>
        <v>-134083262126.85777</v>
      </c>
      <c r="L4216" s="444">
        <f t="shared" ca="1" si="164"/>
        <v>-32314066172572.73</v>
      </c>
      <c r="M4216" s="460">
        <f t="shared" si="166"/>
        <v>0.05</v>
      </c>
      <c r="N4216" s="464">
        <f t="shared" si="167"/>
        <v>179367</v>
      </c>
    </row>
    <row r="4217" spans="7:14" ht="11.25" customHeight="1" x14ac:dyDescent="0.25">
      <c r="G4217" s="459"/>
      <c r="H4217" s="459">
        <v>4210</v>
      </c>
      <c r="I4217" s="444">
        <f t="shared" ca="1" si="165"/>
        <v>-32314066172572.73</v>
      </c>
      <c r="J4217" s="444">
        <f t="array" ref="J4217">IFERROR(INDEX('Retirement Calculator'!K:K,MATCH('Lorri 401b'!N4217,'Retirement Calculator'!A:A,0),0),0)</f>
        <v>0</v>
      </c>
      <c r="K4217" s="444">
        <f t="shared" ca="1" si="163"/>
        <v>-134641942385.71971</v>
      </c>
      <c r="L4217" s="444">
        <f t="shared" ca="1" si="164"/>
        <v>-32448708114958.449</v>
      </c>
      <c r="M4217" s="460">
        <f t="shared" si="166"/>
        <v>0.05</v>
      </c>
      <c r="N4217" s="464">
        <f t="shared" si="167"/>
        <v>179395</v>
      </c>
    </row>
    <row r="4218" spans="7:14" ht="11.25" customHeight="1" x14ac:dyDescent="0.25">
      <c r="G4218" s="459"/>
      <c r="H4218" s="459">
        <v>4211</v>
      </c>
      <c r="I4218" s="444">
        <f t="shared" ca="1" si="165"/>
        <v>-32448708114958.449</v>
      </c>
      <c r="J4218" s="444">
        <f t="array" ref="J4218">IFERROR(INDEX('Retirement Calculator'!K:K,MATCH('Lorri 401b'!N4218,'Retirement Calculator'!A:A,0),0),0)</f>
        <v>0</v>
      </c>
      <c r="K4218" s="444">
        <f t="shared" ca="1" si="163"/>
        <v>-135202950478.99353</v>
      </c>
      <c r="L4218" s="444">
        <f t="shared" ca="1" si="164"/>
        <v>-32583911065437.441</v>
      </c>
      <c r="M4218" s="460">
        <f t="shared" si="166"/>
        <v>0.05</v>
      </c>
      <c r="N4218" s="464">
        <f t="shared" si="167"/>
        <v>179426</v>
      </c>
    </row>
    <row r="4219" spans="7:14" ht="11.25" customHeight="1" x14ac:dyDescent="0.25">
      <c r="G4219" s="459"/>
      <c r="H4219" s="459">
        <v>4212</v>
      </c>
      <c r="I4219" s="444">
        <f t="shared" ca="1" si="165"/>
        <v>-32583911065437.441</v>
      </c>
      <c r="J4219" s="444">
        <f t="array" ref="J4219">IFERROR(INDEX('Retirement Calculator'!K:K,MATCH('Lorri 401b'!N4219,'Retirement Calculator'!A:A,0),0),0)</f>
        <v>0</v>
      </c>
      <c r="K4219" s="444">
        <f t="shared" ca="1" si="163"/>
        <v>-135766296105.98933</v>
      </c>
      <c r="L4219" s="444">
        <f t="shared" ca="1" si="164"/>
        <v>-32719677361543.43</v>
      </c>
      <c r="M4219" s="460">
        <f t="shared" si="166"/>
        <v>0.05</v>
      </c>
      <c r="N4219" s="464">
        <f t="shared" si="167"/>
        <v>179456</v>
      </c>
    </row>
    <row r="4220" spans="7:14" ht="11.25" customHeight="1" x14ac:dyDescent="0.25">
      <c r="G4220" s="459"/>
      <c r="H4220" s="459">
        <v>4213</v>
      </c>
      <c r="I4220" s="444">
        <f t="shared" ca="1" si="165"/>
        <v>-32719677361543.43</v>
      </c>
      <c r="J4220" s="444">
        <f t="array" ref="J4220">IFERROR(INDEX('Retirement Calculator'!K:K,MATCH('Lorri 401b'!N4220,'Retirement Calculator'!A:A,0),0),0)</f>
        <v>0</v>
      </c>
      <c r="K4220" s="444">
        <f t="shared" ca="1" si="163"/>
        <v>-136331989006.43095</v>
      </c>
      <c r="L4220" s="444">
        <f t="shared" ca="1" si="164"/>
        <v>-32856009350549.859</v>
      </c>
      <c r="M4220" s="460">
        <f t="shared" si="166"/>
        <v>0.05</v>
      </c>
      <c r="N4220" s="464">
        <f t="shared" si="167"/>
        <v>179487</v>
      </c>
    </row>
    <row r="4221" spans="7:14" ht="11.25" customHeight="1" x14ac:dyDescent="0.25">
      <c r="G4221" s="459"/>
      <c r="H4221" s="459">
        <v>4214</v>
      </c>
      <c r="I4221" s="444">
        <f t="shared" ca="1" si="165"/>
        <v>-32856009350549.859</v>
      </c>
      <c r="J4221" s="444">
        <f t="array" ref="J4221">IFERROR(INDEX('Retirement Calculator'!K:K,MATCH('Lorri 401b'!N4221,'Retirement Calculator'!A:A,0),0),0)</f>
        <v>0</v>
      </c>
      <c r="K4221" s="444">
        <f t="shared" ca="1" si="163"/>
        <v>-136900038960.62439</v>
      </c>
      <c r="L4221" s="444">
        <f t="shared" ca="1" si="164"/>
        <v>-32992909389510.484</v>
      </c>
      <c r="M4221" s="460">
        <f t="shared" si="166"/>
        <v>0.05</v>
      </c>
      <c r="N4221" s="464">
        <f t="shared" si="167"/>
        <v>179517</v>
      </c>
    </row>
    <row r="4222" spans="7:14" ht="11.25" customHeight="1" x14ac:dyDescent="0.25">
      <c r="G4222" s="459"/>
      <c r="H4222" s="459">
        <v>4215</v>
      </c>
      <c r="I4222" s="444">
        <f t="shared" ca="1" si="165"/>
        <v>-32992909389510.484</v>
      </c>
      <c r="J4222" s="444">
        <f t="array" ref="J4222">IFERROR(INDEX('Retirement Calculator'!K:K,MATCH('Lorri 401b'!N4222,'Retirement Calculator'!A:A,0),0),0)</f>
        <v>0</v>
      </c>
      <c r="K4222" s="444">
        <f t="shared" ca="1" si="163"/>
        <v>-137470455789.62701</v>
      </c>
      <c r="L4222" s="444">
        <f t="shared" ca="1" si="164"/>
        <v>-33130379845300.113</v>
      </c>
      <c r="M4222" s="460">
        <f t="shared" si="166"/>
        <v>0.05</v>
      </c>
      <c r="N4222" s="464">
        <f t="shared" si="167"/>
        <v>179548</v>
      </c>
    </row>
    <row r="4223" spans="7:14" ht="11.25" customHeight="1" x14ac:dyDescent="0.25">
      <c r="G4223" s="459"/>
      <c r="H4223" s="459">
        <v>4216</v>
      </c>
      <c r="I4223" s="444">
        <f t="shared" ca="1" si="165"/>
        <v>-33130379845300.113</v>
      </c>
      <c r="J4223" s="444">
        <f t="array" ref="J4223">IFERROR(INDEX('Retirement Calculator'!K:K,MATCH('Lorri 401b'!N4223,'Retirement Calculator'!A:A,0),0),0)</f>
        <v>0</v>
      </c>
      <c r="K4223" s="444">
        <f t="shared" ca="1" si="163"/>
        <v>-138043249355.41714</v>
      </c>
      <c r="L4223" s="444">
        <f t="shared" ca="1" si="164"/>
        <v>-33268423094655.531</v>
      </c>
      <c r="M4223" s="460">
        <f t="shared" si="166"/>
        <v>0.05</v>
      </c>
      <c r="N4223" s="464">
        <f t="shared" si="167"/>
        <v>179579</v>
      </c>
    </row>
    <row r="4224" spans="7:14" ht="11.25" customHeight="1" x14ac:dyDescent="0.25">
      <c r="G4224" s="459"/>
      <c r="H4224" s="459">
        <v>4217</v>
      </c>
      <c r="I4224" s="444">
        <f t="shared" ca="1" si="165"/>
        <v>-33268423094655.531</v>
      </c>
      <c r="J4224" s="444">
        <f t="array" ref="J4224">IFERROR(INDEX('Retirement Calculator'!K:K,MATCH('Lorri 401b'!N4224,'Retirement Calculator'!A:A,0),0),0)</f>
        <v>0</v>
      </c>
      <c r="K4224" s="444">
        <f t="shared" ca="1" si="163"/>
        <v>-138618429561.0647</v>
      </c>
      <c r="L4224" s="444">
        <f t="shared" ca="1" si="164"/>
        <v>-33407041524216.598</v>
      </c>
      <c r="M4224" s="460">
        <f t="shared" si="166"/>
        <v>0.05</v>
      </c>
      <c r="N4224" s="464">
        <f t="shared" si="167"/>
        <v>179609</v>
      </c>
    </row>
    <row r="4225" spans="7:14" ht="11.25" customHeight="1" x14ac:dyDescent="0.25">
      <c r="G4225" s="459"/>
      <c r="H4225" s="459">
        <v>4218</v>
      </c>
      <c r="I4225" s="444">
        <f t="shared" ca="1" si="165"/>
        <v>-33407041524216.598</v>
      </c>
      <c r="J4225" s="444">
        <f t="array" ref="J4225">IFERROR(INDEX('Retirement Calculator'!K:K,MATCH('Lorri 401b'!N4225,'Retirement Calculator'!A:A,0),0),0)</f>
        <v>0</v>
      </c>
      <c r="K4225" s="444">
        <f t="shared" ca="1" si="163"/>
        <v>-139196006350.9025</v>
      </c>
      <c r="L4225" s="444">
        <f t="shared" ca="1" si="164"/>
        <v>-33546237530567.5</v>
      </c>
      <c r="M4225" s="460">
        <f t="shared" si="166"/>
        <v>0.05</v>
      </c>
      <c r="N4225" s="464">
        <f t="shared" si="167"/>
        <v>179640</v>
      </c>
    </row>
    <row r="4226" spans="7:14" ht="11.25" customHeight="1" x14ac:dyDescent="0.25">
      <c r="G4226" s="459"/>
      <c r="H4226" s="459">
        <v>4219</v>
      </c>
      <c r="I4226" s="444">
        <f t="shared" ca="1" si="165"/>
        <v>-33546237530567.5</v>
      </c>
      <c r="J4226" s="444">
        <f t="array" ref="J4226">IFERROR(INDEX('Retirement Calculator'!K:K,MATCH('Lorri 401b'!N4226,'Retirement Calculator'!A:A,0),0),0)</f>
        <v>0</v>
      </c>
      <c r="K4226" s="444">
        <f t="shared" ca="1" si="163"/>
        <v>-139775989710.69794</v>
      </c>
      <c r="L4226" s="444">
        <f t="shared" ca="1" si="164"/>
        <v>-33686013520278.199</v>
      </c>
      <c r="M4226" s="460">
        <f t="shared" si="166"/>
        <v>0.05</v>
      </c>
      <c r="N4226" s="464">
        <f t="shared" si="167"/>
        <v>179670</v>
      </c>
    </row>
    <row r="4227" spans="7:14" ht="11.25" customHeight="1" x14ac:dyDescent="0.25">
      <c r="G4227" s="459"/>
      <c r="H4227" s="459">
        <v>4220</v>
      </c>
      <c r="I4227" s="444">
        <f t="shared" ca="1" si="165"/>
        <v>-33686013520278.199</v>
      </c>
      <c r="J4227" s="444">
        <f t="array" ref="J4227">IFERROR(INDEX('Retirement Calculator'!K:K,MATCH('Lorri 401b'!N4227,'Retirement Calculator'!A:A,0),0),0)</f>
        <v>0</v>
      </c>
      <c r="K4227" s="444">
        <f t="shared" ca="1" si="163"/>
        <v>-140358389667.82584</v>
      </c>
      <c r="L4227" s="444">
        <f t="shared" ca="1" si="164"/>
        <v>-33826371909946.023</v>
      </c>
      <c r="M4227" s="460">
        <f t="shared" si="166"/>
        <v>0.05</v>
      </c>
      <c r="N4227" s="464">
        <f t="shared" si="167"/>
        <v>179701</v>
      </c>
    </row>
    <row r="4228" spans="7:14" ht="11.25" customHeight="1" x14ac:dyDescent="0.25">
      <c r="G4228" s="459"/>
      <c r="H4228" s="459">
        <v>4221</v>
      </c>
      <c r="I4228" s="444">
        <f t="shared" ca="1" si="165"/>
        <v>-33826371909946.023</v>
      </c>
      <c r="J4228" s="444">
        <f t="array" ref="J4228">IFERROR(INDEX('Retirement Calculator'!K:K,MATCH('Lorri 401b'!N4228,'Retirement Calculator'!A:A,0),0),0)</f>
        <v>0</v>
      </c>
      <c r="K4228" s="444">
        <f t="shared" ca="1" si="163"/>
        <v>-140943216291.44177</v>
      </c>
      <c r="L4228" s="444">
        <f t="shared" ca="1" si="164"/>
        <v>-33967315126237.465</v>
      </c>
      <c r="M4228" s="460">
        <f t="shared" si="166"/>
        <v>0.05</v>
      </c>
      <c r="N4228" s="464">
        <f t="shared" si="167"/>
        <v>179732</v>
      </c>
    </row>
    <row r="4229" spans="7:14" ht="11.25" customHeight="1" x14ac:dyDescent="0.25">
      <c r="G4229" s="459"/>
      <c r="H4229" s="459">
        <v>4222</v>
      </c>
      <c r="I4229" s="444">
        <f t="shared" ca="1" si="165"/>
        <v>-33967315126237.465</v>
      </c>
      <c r="J4229" s="444">
        <f t="array" ref="J4229">IFERROR(INDEX('Retirement Calculator'!K:K,MATCH('Lorri 401b'!N4229,'Retirement Calculator'!A:A,0),0),0)</f>
        <v>0</v>
      </c>
      <c r="K4229" s="444">
        <f t="shared" ca="1" si="163"/>
        <v>-141530479692.6561</v>
      </c>
      <c r="L4229" s="444">
        <f t="shared" ca="1" si="164"/>
        <v>-34108845605930.121</v>
      </c>
      <c r="M4229" s="460">
        <f t="shared" si="166"/>
        <v>0.05</v>
      </c>
      <c r="N4229" s="464">
        <f t="shared" si="167"/>
        <v>179761</v>
      </c>
    </row>
    <row r="4230" spans="7:14" ht="11.25" customHeight="1" x14ac:dyDescent="0.25">
      <c r="G4230" s="459"/>
      <c r="H4230" s="459">
        <v>4223</v>
      </c>
      <c r="I4230" s="444">
        <f t="shared" ca="1" si="165"/>
        <v>-34108845605930.121</v>
      </c>
      <c r="J4230" s="444">
        <f t="array" ref="J4230">IFERROR(INDEX('Retirement Calculator'!K:K,MATCH('Lorri 401b'!N4230,'Retirement Calculator'!A:A,0),0),0)</f>
        <v>0</v>
      </c>
      <c r="K4230" s="444">
        <f t="shared" ca="1" si="163"/>
        <v>-142120190024.70883</v>
      </c>
      <c r="L4230" s="444">
        <f t="shared" ca="1" si="164"/>
        <v>-34250965795954.828</v>
      </c>
      <c r="M4230" s="460">
        <f t="shared" si="166"/>
        <v>0.05</v>
      </c>
      <c r="N4230" s="464">
        <f t="shared" si="167"/>
        <v>179792</v>
      </c>
    </row>
    <row r="4231" spans="7:14" ht="11.25" customHeight="1" x14ac:dyDescent="0.25">
      <c r="G4231" s="459"/>
      <c r="H4231" s="459">
        <v>4224</v>
      </c>
      <c r="I4231" s="444">
        <f t="shared" ca="1" si="165"/>
        <v>-34250965795954.828</v>
      </c>
      <c r="J4231" s="444">
        <f t="array" ref="J4231">IFERROR(INDEX('Retirement Calculator'!K:K,MATCH('Lorri 401b'!N4231,'Retirement Calculator'!A:A,0),0),0)</f>
        <v>0</v>
      </c>
      <c r="K4231" s="444">
        <f t="shared" ca="1" si="163"/>
        <v>-142712357483.14511</v>
      </c>
      <c r="L4231" s="444">
        <f t="shared" ca="1" si="164"/>
        <v>-34393678153437.973</v>
      </c>
      <c r="M4231" s="460">
        <f t="shared" si="166"/>
        <v>0.05</v>
      </c>
      <c r="N4231" s="464">
        <f t="shared" si="167"/>
        <v>179822</v>
      </c>
    </row>
    <row r="4232" spans="7:14" ht="11.25" customHeight="1" x14ac:dyDescent="0.25">
      <c r="G4232" s="459"/>
      <c r="H4232" s="459">
        <v>4225</v>
      </c>
      <c r="I4232" s="444">
        <f t="shared" ca="1" si="165"/>
        <v>-34393678153437.973</v>
      </c>
      <c r="J4232" s="444">
        <f t="array" ref="J4232">IFERROR(INDEX('Retirement Calculator'!K:K,MATCH('Lorri 401b'!N4232,'Retirement Calculator'!A:A,0),0),0)</f>
        <v>0</v>
      </c>
      <c r="K4232" s="444">
        <f t="shared" ca="1" si="163"/>
        <v>-143306992305.99155</v>
      </c>
      <c r="L4232" s="444">
        <f t="shared" ca="1" si="164"/>
        <v>-34536985145743.965</v>
      </c>
      <c r="M4232" s="460">
        <f t="shared" si="166"/>
        <v>0.05</v>
      </c>
      <c r="N4232" s="464">
        <f t="shared" si="167"/>
        <v>179853</v>
      </c>
    </row>
    <row r="4233" spans="7:14" ht="11.25" customHeight="1" x14ac:dyDescent="0.25">
      <c r="G4233" s="459"/>
      <c r="H4233" s="459">
        <v>4226</v>
      </c>
      <c r="I4233" s="444">
        <f t="shared" ca="1" si="165"/>
        <v>-34536985145743.965</v>
      </c>
      <c r="J4233" s="444">
        <f t="array" ref="J4233">IFERROR(INDEX('Retirement Calculator'!K:K,MATCH('Lorri 401b'!N4233,'Retirement Calculator'!A:A,0),0),0)</f>
        <v>0</v>
      </c>
      <c r="K4233" s="444">
        <f t="shared" ca="1" si="163"/>
        <v>-143904104773.9332</v>
      </c>
      <c r="L4233" s="444">
        <f t="shared" ca="1" si="164"/>
        <v>-34680889250517.898</v>
      </c>
      <c r="M4233" s="460">
        <f t="shared" si="166"/>
        <v>0.05</v>
      </c>
      <c r="N4233" s="464">
        <f t="shared" si="167"/>
        <v>179883</v>
      </c>
    </row>
    <row r="4234" spans="7:14" ht="11.25" customHeight="1" x14ac:dyDescent="0.25">
      <c r="G4234" s="459"/>
      <c r="H4234" s="459">
        <v>4227</v>
      </c>
      <c r="I4234" s="444">
        <f t="shared" ca="1" si="165"/>
        <v>-34680889250517.898</v>
      </c>
      <c r="J4234" s="444">
        <f t="array" ref="J4234">IFERROR(INDEX('Retirement Calculator'!K:K,MATCH('Lorri 401b'!N4234,'Retirement Calculator'!A:A,0),0),0)</f>
        <v>0</v>
      </c>
      <c r="K4234" s="444">
        <f t="shared" ca="1" si="163"/>
        <v>-144503705210.49121</v>
      </c>
      <c r="L4234" s="444">
        <f t="shared" ca="1" si="164"/>
        <v>-34825392955728.391</v>
      </c>
      <c r="M4234" s="460">
        <f t="shared" si="166"/>
        <v>0.05</v>
      </c>
      <c r="N4234" s="464">
        <f t="shared" si="167"/>
        <v>179914</v>
      </c>
    </row>
    <row r="4235" spans="7:14" ht="11.25" customHeight="1" x14ac:dyDescent="0.25">
      <c r="G4235" s="459"/>
      <c r="H4235" s="459">
        <v>4228</v>
      </c>
      <c r="I4235" s="444">
        <f t="shared" ca="1" si="165"/>
        <v>-34825392955728.391</v>
      </c>
      <c r="J4235" s="444">
        <f t="array" ref="J4235">IFERROR(INDEX('Retirement Calculator'!K:K,MATCH('Lorri 401b'!N4235,'Retirement Calculator'!A:A,0),0),0)</f>
        <v>0</v>
      </c>
      <c r="K4235" s="444">
        <f t="shared" ca="1" si="163"/>
        <v>-145105803982.20163</v>
      </c>
      <c r="L4235" s="444">
        <f t="shared" ca="1" si="164"/>
        <v>-34970498759710.594</v>
      </c>
      <c r="M4235" s="460">
        <f t="shared" si="166"/>
        <v>0.05</v>
      </c>
      <c r="N4235" s="464">
        <f t="shared" si="167"/>
        <v>179945</v>
      </c>
    </row>
    <row r="4236" spans="7:14" ht="11.25" customHeight="1" x14ac:dyDescent="0.25">
      <c r="G4236" s="459"/>
      <c r="H4236" s="459">
        <v>4229</v>
      </c>
      <c r="I4236" s="444">
        <f t="shared" ca="1" si="165"/>
        <v>-34970498759710.594</v>
      </c>
      <c r="J4236" s="444">
        <f t="array" ref="J4236">IFERROR(INDEX('Retirement Calculator'!K:K,MATCH('Lorri 401b'!N4236,'Retirement Calculator'!A:A,0),0),0)</f>
        <v>0</v>
      </c>
      <c r="K4236" s="444">
        <f t="shared" ca="1" si="163"/>
        <v>-145710411498.79413</v>
      </c>
      <c r="L4236" s="444">
        <f t="shared" ca="1" si="164"/>
        <v>-35116209171209.387</v>
      </c>
      <c r="M4236" s="460">
        <f t="shared" si="166"/>
        <v>0.05</v>
      </c>
      <c r="N4236" s="464">
        <f t="shared" si="167"/>
        <v>179975</v>
      </c>
    </row>
    <row r="4237" spans="7:14" ht="11.25" customHeight="1" x14ac:dyDescent="0.25">
      <c r="G4237" s="459"/>
      <c r="H4237" s="459">
        <v>4230</v>
      </c>
      <c r="I4237" s="444">
        <f t="shared" ca="1" si="165"/>
        <v>-35116209171209.387</v>
      </c>
      <c r="J4237" s="444">
        <f t="array" ref="J4237">IFERROR(INDEX('Retirement Calculator'!K:K,MATCH('Lorri 401b'!N4237,'Retirement Calculator'!A:A,0),0),0)</f>
        <v>0</v>
      </c>
      <c r="K4237" s="444">
        <f t="shared" ca="1" si="163"/>
        <v>-146317538213.37244</v>
      </c>
      <c r="L4237" s="444">
        <f t="shared" ca="1" si="164"/>
        <v>-35262526709422.758</v>
      </c>
      <c r="M4237" s="460">
        <f t="shared" si="166"/>
        <v>0.05</v>
      </c>
      <c r="N4237" s="464">
        <f t="shared" si="167"/>
        <v>180006</v>
      </c>
    </row>
    <row r="4238" spans="7:14" ht="11.25" customHeight="1" x14ac:dyDescent="0.25">
      <c r="G4238" s="459"/>
      <c r="H4238" s="459">
        <v>4231</v>
      </c>
      <c r="I4238" s="444">
        <f t="shared" ca="1" si="165"/>
        <v>-35262526709422.758</v>
      </c>
      <c r="J4238" s="444">
        <f t="array" ref="J4238">IFERROR(INDEX('Retirement Calculator'!K:K,MATCH('Lorri 401b'!N4238,'Retirement Calculator'!A:A,0),0),0)</f>
        <v>0</v>
      </c>
      <c r="K4238" s="444">
        <f t="shared" ca="1" si="163"/>
        <v>-146927194622.59482</v>
      </c>
      <c r="L4238" s="444">
        <f t="shared" ca="1" si="164"/>
        <v>-35409453904045.352</v>
      </c>
      <c r="M4238" s="460">
        <f t="shared" si="166"/>
        <v>0.05</v>
      </c>
      <c r="N4238" s="464">
        <f t="shared" si="167"/>
        <v>180036</v>
      </c>
    </row>
    <row r="4239" spans="7:14" ht="11.25" customHeight="1" x14ac:dyDescent="0.25">
      <c r="G4239" s="459"/>
      <c r="H4239" s="459">
        <v>4232</v>
      </c>
      <c r="I4239" s="444">
        <f t="shared" ca="1" si="165"/>
        <v>-35409453904045.352</v>
      </c>
      <c r="J4239" s="444">
        <f t="array" ref="J4239">IFERROR(INDEX('Retirement Calculator'!K:K,MATCH('Lorri 401b'!N4239,'Retirement Calculator'!A:A,0),0),0)</f>
        <v>0</v>
      </c>
      <c r="K4239" s="444">
        <f t="shared" ca="1" si="163"/>
        <v>-147539391266.85562</v>
      </c>
      <c r="L4239" s="444">
        <f t="shared" ca="1" si="164"/>
        <v>-35556993295312.211</v>
      </c>
      <c r="M4239" s="460">
        <f t="shared" si="166"/>
        <v>0.05</v>
      </c>
      <c r="N4239" s="464">
        <f t="shared" si="167"/>
        <v>180067</v>
      </c>
    </row>
    <row r="4240" spans="7:14" ht="11.25" customHeight="1" x14ac:dyDescent="0.25">
      <c r="G4240" s="459"/>
      <c r="H4240" s="459">
        <v>4233</v>
      </c>
      <c r="I4240" s="444">
        <f t="shared" ca="1" si="165"/>
        <v>-35556993295312.211</v>
      </c>
      <c r="J4240" s="444">
        <f t="array" ref="J4240">IFERROR(INDEX('Retirement Calculator'!K:K,MATCH('Lorri 401b'!N4240,'Retirement Calculator'!A:A,0),0),0)</f>
        <v>0</v>
      </c>
      <c r="K4240" s="444">
        <f t="shared" ca="1" si="163"/>
        <v>-148154138730.46753</v>
      </c>
      <c r="L4240" s="444">
        <f t="shared" ca="1" si="164"/>
        <v>-35705147434042.68</v>
      </c>
      <c r="M4240" s="460">
        <f t="shared" si="166"/>
        <v>0.05</v>
      </c>
      <c r="N4240" s="464">
        <f t="shared" si="167"/>
        <v>180098</v>
      </c>
    </row>
    <row r="4241" spans="7:14" ht="11.25" customHeight="1" x14ac:dyDescent="0.25">
      <c r="G4241" s="459"/>
      <c r="H4241" s="459">
        <v>4234</v>
      </c>
      <c r="I4241" s="444">
        <f t="shared" ca="1" si="165"/>
        <v>-35705147434042.68</v>
      </c>
      <c r="J4241" s="444">
        <f t="array" ref="J4241">IFERROR(INDEX('Retirement Calculator'!K:K,MATCH('Lorri 401b'!N4241,'Retirement Calculator'!A:A,0),0),0)</f>
        <v>0</v>
      </c>
      <c r="K4241" s="444">
        <f t="shared" ca="1" si="163"/>
        <v>-148771447641.84448</v>
      </c>
      <c r="L4241" s="444">
        <f t="shared" ca="1" si="164"/>
        <v>-35853918881684.523</v>
      </c>
      <c r="M4241" s="460">
        <f t="shared" si="166"/>
        <v>0.05</v>
      </c>
      <c r="N4241" s="464">
        <f t="shared" si="167"/>
        <v>180126</v>
      </c>
    </row>
    <row r="4242" spans="7:14" ht="11.25" customHeight="1" x14ac:dyDescent="0.25">
      <c r="G4242" s="459"/>
      <c r="H4242" s="459">
        <v>4235</v>
      </c>
      <c r="I4242" s="444">
        <f t="shared" ca="1" si="165"/>
        <v>-35853918881684.523</v>
      </c>
      <c r="J4242" s="444">
        <f t="array" ref="J4242">IFERROR(INDEX('Retirement Calculator'!K:K,MATCH('Lorri 401b'!N4242,'Retirement Calculator'!A:A,0),0),0)</f>
        <v>0</v>
      </c>
      <c r="K4242" s="444">
        <f t="shared" ca="1" si="163"/>
        <v>-149391328673.68552</v>
      </c>
      <c r="L4242" s="444">
        <f t="shared" ca="1" si="164"/>
        <v>-36003310210358.211</v>
      </c>
      <c r="M4242" s="460">
        <f t="shared" si="166"/>
        <v>0.05</v>
      </c>
      <c r="N4242" s="464">
        <f t="shared" si="167"/>
        <v>180157</v>
      </c>
    </row>
    <row r="4243" spans="7:14" ht="11.25" customHeight="1" x14ac:dyDescent="0.25">
      <c r="G4243" s="459"/>
      <c r="H4243" s="459">
        <v>4236</v>
      </c>
      <c r="I4243" s="444">
        <f t="shared" ca="1" si="165"/>
        <v>-36003310210358.211</v>
      </c>
      <c r="J4243" s="444">
        <f t="array" ref="J4243">IFERROR(INDEX('Retirement Calculator'!K:K,MATCH('Lorri 401b'!N4243,'Retirement Calculator'!A:A,0),0),0)</f>
        <v>0</v>
      </c>
      <c r="K4243" s="444">
        <f t="shared" ca="1" si="163"/>
        <v>-150013792543.15921</v>
      </c>
      <c r="L4243" s="444">
        <f t="shared" ca="1" si="164"/>
        <v>-36153324002901.367</v>
      </c>
      <c r="M4243" s="460">
        <f t="shared" si="166"/>
        <v>0.05</v>
      </c>
      <c r="N4243" s="464">
        <f t="shared" si="167"/>
        <v>180187</v>
      </c>
    </row>
    <row r="4244" spans="7:14" ht="11.25" customHeight="1" x14ac:dyDescent="0.25">
      <c r="G4244" s="459"/>
      <c r="H4244" s="459">
        <v>4237</v>
      </c>
      <c r="I4244" s="444">
        <f t="shared" ca="1" si="165"/>
        <v>-36153324002901.367</v>
      </c>
      <c r="J4244" s="444">
        <f t="array" ref="J4244">IFERROR(INDEX('Retirement Calculator'!K:K,MATCH('Lorri 401b'!N4244,'Retirement Calculator'!A:A,0),0),0)</f>
        <v>0</v>
      </c>
      <c r="K4244" s="444">
        <f t="shared" ca="1" si="163"/>
        <v>-150638850012.08902</v>
      </c>
      <c r="L4244" s="444">
        <f t="shared" ca="1" si="164"/>
        <v>-36303962852913.453</v>
      </c>
      <c r="M4244" s="460">
        <f t="shared" si="166"/>
        <v>0.05</v>
      </c>
      <c r="N4244" s="464">
        <f t="shared" si="167"/>
        <v>180218</v>
      </c>
    </row>
    <row r="4245" spans="7:14" ht="11.25" customHeight="1" x14ac:dyDescent="0.25">
      <c r="G4245" s="459"/>
      <c r="H4245" s="459">
        <v>4238</v>
      </c>
      <c r="I4245" s="444">
        <f t="shared" ca="1" si="165"/>
        <v>-36303962852913.453</v>
      </c>
      <c r="J4245" s="444">
        <f t="array" ref="J4245">IFERROR(INDEX('Retirement Calculator'!K:K,MATCH('Lorri 401b'!N4245,'Retirement Calculator'!A:A,0),0),0)</f>
        <v>0</v>
      </c>
      <c r="K4245" s="444">
        <f t="shared" ca="1" si="163"/>
        <v>-151266511887.13937</v>
      </c>
      <c r="L4245" s="444">
        <f t="shared" ca="1" si="164"/>
        <v>-36455229364800.594</v>
      </c>
      <c r="M4245" s="460">
        <f t="shared" si="166"/>
        <v>0.05</v>
      </c>
      <c r="N4245" s="464">
        <f t="shared" si="167"/>
        <v>180248</v>
      </c>
    </row>
    <row r="4246" spans="7:14" ht="11.25" customHeight="1" x14ac:dyDescent="0.25">
      <c r="G4246" s="459"/>
      <c r="H4246" s="459">
        <v>4239</v>
      </c>
      <c r="I4246" s="444">
        <f t="shared" ca="1" si="165"/>
        <v>-36455229364800.594</v>
      </c>
      <c r="J4246" s="444">
        <f t="array" ref="J4246">IFERROR(INDEX('Retirement Calculator'!K:K,MATCH('Lorri 401b'!N4246,'Retirement Calculator'!A:A,0),0),0)</f>
        <v>0</v>
      </c>
      <c r="K4246" s="444">
        <f t="shared" ca="1" si="163"/>
        <v>-151896789020.00247</v>
      </c>
      <c r="L4246" s="444">
        <f t="shared" ca="1" si="164"/>
        <v>-36607126153820.594</v>
      </c>
      <c r="M4246" s="460">
        <f t="shared" si="166"/>
        <v>0.05</v>
      </c>
      <c r="N4246" s="464">
        <f t="shared" si="167"/>
        <v>180279</v>
      </c>
    </row>
    <row r="4247" spans="7:14" ht="11.25" customHeight="1" x14ac:dyDescent="0.25">
      <c r="G4247" s="459"/>
      <c r="H4247" s="459">
        <v>4240</v>
      </c>
      <c r="I4247" s="444">
        <f t="shared" ca="1" si="165"/>
        <v>-36607126153820.594</v>
      </c>
      <c r="J4247" s="444">
        <f t="array" ref="J4247">IFERROR(INDEX('Retirement Calculator'!K:K,MATCH('Lorri 401b'!N4247,'Retirement Calculator'!A:A,0),0),0)</f>
        <v>0</v>
      </c>
      <c r="K4247" s="444">
        <f t="shared" ca="1" si="163"/>
        <v>-152529692307.58582</v>
      </c>
      <c r="L4247" s="444">
        <f t="shared" ca="1" si="164"/>
        <v>-36759655846128.18</v>
      </c>
      <c r="M4247" s="460">
        <f t="shared" si="166"/>
        <v>0.05</v>
      </c>
      <c r="N4247" s="464">
        <f t="shared" si="167"/>
        <v>180310</v>
      </c>
    </row>
    <row r="4248" spans="7:14" ht="11.25" customHeight="1" x14ac:dyDescent="0.25">
      <c r="G4248" s="459"/>
      <c r="H4248" s="459">
        <v>4241</v>
      </c>
      <c r="I4248" s="444">
        <f t="shared" ca="1" si="165"/>
        <v>-36759655846128.18</v>
      </c>
      <c r="J4248" s="444">
        <f t="array" ref="J4248">IFERROR(INDEX('Retirement Calculator'!K:K,MATCH('Lorri 401b'!N4248,'Retirement Calculator'!A:A,0),0),0)</f>
        <v>0</v>
      </c>
      <c r="K4248" s="444">
        <f t="shared" ca="1" si="163"/>
        <v>-153165232692.20074</v>
      </c>
      <c r="L4248" s="444">
        <f t="shared" ca="1" si="164"/>
        <v>-36912821078820.383</v>
      </c>
      <c r="M4248" s="460">
        <f t="shared" si="166"/>
        <v>0.05</v>
      </c>
      <c r="N4248" s="464">
        <f t="shared" si="167"/>
        <v>180340</v>
      </c>
    </row>
    <row r="4249" spans="7:14" ht="11.25" customHeight="1" x14ac:dyDescent="0.25">
      <c r="G4249" s="459"/>
      <c r="H4249" s="459">
        <v>4242</v>
      </c>
      <c r="I4249" s="444">
        <f t="shared" ca="1" si="165"/>
        <v>-36912821078820.383</v>
      </c>
      <c r="J4249" s="444">
        <f t="array" ref="J4249">IFERROR(INDEX('Retirement Calculator'!K:K,MATCH('Lorri 401b'!N4249,'Retirement Calculator'!A:A,0),0),0)</f>
        <v>0</v>
      </c>
      <c r="K4249" s="444">
        <f t="shared" ca="1" si="163"/>
        <v>-153803421161.75159</v>
      </c>
      <c r="L4249" s="444">
        <f t="shared" ca="1" si="164"/>
        <v>-37066624499982.133</v>
      </c>
      <c r="M4249" s="460">
        <f t="shared" si="166"/>
        <v>0.05</v>
      </c>
      <c r="N4249" s="464">
        <f t="shared" si="167"/>
        <v>180371</v>
      </c>
    </row>
    <row r="4250" spans="7:14" ht="11.25" customHeight="1" x14ac:dyDescent="0.25">
      <c r="G4250" s="459"/>
      <c r="H4250" s="459">
        <v>4243</v>
      </c>
      <c r="I4250" s="444">
        <f t="shared" ca="1" si="165"/>
        <v>-37066624499982.133</v>
      </c>
      <c r="J4250" s="444">
        <f t="array" ref="J4250">IFERROR(INDEX('Retirement Calculator'!K:K,MATCH('Lorri 401b'!N4250,'Retirement Calculator'!A:A,0),0),0)</f>
        <v>0</v>
      </c>
      <c r="K4250" s="444">
        <f t="shared" ca="1" si="163"/>
        <v>-154444268749.92554</v>
      </c>
      <c r="L4250" s="444">
        <f t="shared" ca="1" si="164"/>
        <v>-37221068768732.055</v>
      </c>
      <c r="M4250" s="460">
        <f t="shared" si="166"/>
        <v>0.05</v>
      </c>
      <c r="N4250" s="464">
        <f t="shared" si="167"/>
        <v>180401</v>
      </c>
    </row>
    <row r="4251" spans="7:14" ht="11.25" customHeight="1" x14ac:dyDescent="0.25">
      <c r="G4251" s="459"/>
      <c r="H4251" s="459">
        <v>4244</v>
      </c>
      <c r="I4251" s="444">
        <f t="shared" ca="1" si="165"/>
        <v>-37221068768732.055</v>
      </c>
      <c r="J4251" s="444">
        <f t="array" ref="J4251">IFERROR(INDEX('Retirement Calculator'!K:K,MATCH('Lorri 401b'!N4251,'Retirement Calculator'!A:A,0),0),0)</f>
        <v>0</v>
      </c>
      <c r="K4251" s="444">
        <f t="shared" ca="1" si="163"/>
        <v>-155087786536.38354</v>
      </c>
      <c r="L4251" s="444">
        <f t="shared" ca="1" si="164"/>
        <v>-37376156555268.438</v>
      </c>
      <c r="M4251" s="460">
        <f t="shared" si="166"/>
        <v>0.05</v>
      </c>
      <c r="N4251" s="464">
        <f t="shared" si="167"/>
        <v>180432</v>
      </c>
    </row>
    <row r="4252" spans="7:14" ht="11.25" customHeight="1" x14ac:dyDescent="0.25">
      <c r="G4252" s="459"/>
      <c r="H4252" s="459">
        <v>4245</v>
      </c>
      <c r="I4252" s="444">
        <f t="shared" ca="1" si="165"/>
        <v>-37376156555268.438</v>
      </c>
      <c r="J4252" s="444">
        <f t="array" ref="J4252">IFERROR(INDEX('Retirement Calculator'!K:K,MATCH('Lorri 401b'!N4252,'Retirement Calculator'!A:A,0),0),0)</f>
        <v>0</v>
      </c>
      <c r="K4252" s="444">
        <f t="shared" ca="1" si="163"/>
        <v>-155733985646.95181</v>
      </c>
      <c r="L4252" s="444">
        <f t="shared" ca="1" si="164"/>
        <v>-37531890540915.391</v>
      </c>
      <c r="M4252" s="460">
        <f t="shared" si="166"/>
        <v>0.05</v>
      </c>
      <c r="N4252" s="464">
        <f t="shared" si="167"/>
        <v>180463</v>
      </c>
    </row>
    <row r="4253" spans="7:14" ht="11.25" customHeight="1" x14ac:dyDescent="0.25">
      <c r="G4253" s="459"/>
      <c r="H4253" s="459">
        <v>4246</v>
      </c>
      <c r="I4253" s="444">
        <f t="shared" ca="1" si="165"/>
        <v>-37531890540915.391</v>
      </c>
      <c r="J4253" s="444">
        <f t="array" ref="J4253">IFERROR(INDEX('Retirement Calculator'!K:K,MATCH('Lorri 401b'!N4253,'Retirement Calculator'!A:A,0),0),0)</f>
        <v>0</v>
      </c>
      <c r="K4253" s="444">
        <f t="shared" ca="1" si="163"/>
        <v>-156382877253.81412</v>
      </c>
      <c r="L4253" s="444">
        <f t="shared" ca="1" si="164"/>
        <v>-37688273418169.203</v>
      </c>
      <c r="M4253" s="460">
        <f t="shared" si="166"/>
        <v>0.05</v>
      </c>
      <c r="N4253" s="464">
        <f t="shared" si="167"/>
        <v>180491</v>
      </c>
    </row>
    <row r="4254" spans="7:14" ht="11.25" customHeight="1" x14ac:dyDescent="0.25">
      <c r="G4254" s="459"/>
      <c r="H4254" s="459">
        <v>4247</v>
      </c>
      <c r="I4254" s="444">
        <f t="shared" ca="1" si="165"/>
        <v>-37688273418169.203</v>
      </c>
      <c r="J4254" s="444">
        <f t="array" ref="J4254">IFERROR(INDEX('Retirement Calculator'!K:K,MATCH('Lorri 401b'!N4254,'Retirement Calculator'!A:A,0),0),0)</f>
        <v>0</v>
      </c>
      <c r="K4254" s="444">
        <f t="shared" ca="1" si="163"/>
        <v>-157034472575.70502</v>
      </c>
      <c r="L4254" s="444">
        <f t="shared" ca="1" si="164"/>
        <v>-37845307890744.906</v>
      </c>
      <c r="M4254" s="460">
        <f t="shared" si="166"/>
        <v>0.05</v>
      </c>
      <c r="N4254" s="464">
        <f t="shared" si="167"/>
        <v>180522</v>
      </c>
    </row>
    <row r="4255" spans="7:14" ht="11.25" customHeight="1" x14ac:dyDescent="0.25">
      <c r="G4255" s="459"/>
      <c r="H4255" s="459">
        <v>4248</v>
      </c>
      <c r="I4255" s="444">
        <f t="shared" ca="1" si="165"/>
        <v>-37845307890744.906</v>
      </c>
      <c r="J4255" s="444">
        <f t="array" ref="J4255">IFERROR(INDEX('Retirement Calculator'!K:K,MATCH('Lorri 401b'!N4255,'Retirement Calculator'!A:A,0),0),0)</f>
        <v>0</v>
      </c>
      <c r="K4255" s="444">
        <f t="shared" ca="1" si="163"/>
        <v>-157688782878.10376</v>
      </c>
      <c r="L4255" s="444">
        <f t="shared" ca="1" si="164"/>
        <v>-38002996673623.008</v>
      </c>
      <c r="M4255" s="460">
        <f t="shared" si="166"/>
        <v>0.05</v>
      </c>
      <c r="N4255" s="464">
        <f t="shared" si="167"/>
        <v>180552</v>
      </c>
    </row>
    <row r="4256" spans="7:14" ht="11.25" customHeight="1" x14ac:dyDescent="0.25">
      <c r="G4256" s="459"/>
      <c r="H4256" s="459">
        <v>4249</v>
      </c>
      <c r="I4256" s="444">
        <f t="shared" ca="1" si="165"/>
        <v>-38002996673623.008</v>
      </c>
      <c r="J4256" s="444">
        <f t="array" ref="J4256">IFERROR(INDEX('Retirement Calculator'!K:K,MATCH('Lorri 401b'!N4256,'Retirement Calculator'!A:A,0),0),0)</f>
        <v>0</v>
      </c>
      <c r="K4256" s="444">
        <f t="shared" ca="1" si="163"/>
        <v>-158345819473.4292</v>
      </c>
      <c r="L4256" s="444">
        <f t="shared" ca="1" si="164"/>
        <v>-38161342493096.438</v>
      </c>
      <c r="M4256" s="460">
        <f t="shared" si="166"/>
        <v>0.05</v>
      </c>
      <c r="N4256" s="464">
        <f t="shared" si="167"/>
        <v>180583</v>
      </c>
    </row>
    <row r="4257" spans="7:14" ht="11.25" customHeight="1" x14ac:dyDescent="0.25">
      <c r="G4257" s="459"/>
      <c r="H4257" s="459">
        <v>4250</v>
      </c>
      <c r="I4257" s="444">
        <f t="shared" ca="1" si="165"/>
        <v>-38161342493096.438</v>
      </c>
      <c r="J4257" s="444">
        <f t="array" ref="J4257">IFERROR(INDEX('Retirement Calculator'!K:K,MATCH('Lorri 401b'!N4257,'Retirement Calculator'!A:A,0),0),0)</f>
        <v>0</v>
      </c>
      <c r="K4257" s="444">
        <f t="shared" ca="1" si="163"/>
        <v>-159005593721.23517</v>
      </c>
      <c r="L4257" s="444">
        <f t="shared" ca="1" si="164"/>
        <v>-38320348086817.672</v>
      </c>
      <c r="M4257" s="460">
        <f t="shared" si="166"/>
        <v>0.05</v>
      </c>
      <c r="N4257" s="464">
        <f t="shared" si="167"/>
        <v>180613</v>
      </c>
    </row>
    <row r="4258" spans="7:14" ht="11.25" customHeight="1" x14ac:dyDescent="0.25">
      <c r="G4258" s="459"/>
      <c r="H4258" s="459">
        <v>4251</v>
      </c>
      <c r="I4258" s="444">
        <f t="shared" ca="1" si="165"/>
        <v>-38320348086817.672</v>
      </c>
      <c r="J4258" s="444">
        <f t="array" ref="J4258">IFERROR(INDEX('Retirement Calculator'!K:K,MATCH('Lorri 401b'!N4258,'Retirement Calculator'!A:A,0),0),0)</f>
        <v>0</v>
      </c>
      <c r="K4258" s="444">
        <f t="shared" ca="1" si="163"/>
        <v>-159668117028.40695</v>
      </c>
      <c r="L4258" s="444">
        <f t="shared" ca="1" si="164"/>
        <v>-38480016203846.078</v>
      </c>
      <c r="M4258" s="460">
        <f t="shared" si="166"/>
        <v>0.05</v>
      </c>
      <c r="N4258" s="464">
        <f t="shared" si="167"/>
        <v>180644</v>
      </c>
    </row>
    <row r="4259" spans="7:14" ht="11.25" customHeight="1" x14ac:dyDescent="0.25">
      <c r="G4259" s="459"/>
      <c r="H4259" s="459">
        <v>4252</v>
      </c>
      <c r="I4259" s="444">
        <f t="shared" ca="1" si="165"/>
        <v>-38480016203846.078</v>
      </c>
      <c r="J4259" s="444">
        <f t="array" ref="J4259">IFERROR(INDEX('Retirement Calculator'!K:K,MATCH('Lorri 401b'!N4259,'Retirement Calculator'!A:A,0),0),0)</f>
        <v>0</v>
      </c>
      <c r="K4259" s="444">
        <f t="shared" ca="1" si="163"/>
        <v>-160333400849.35864</v>
      </c>
      <c r="L4259" s="444">
        <f t="shared" ca="1" si="164"/>
        <v>-38640349604695.438</v>
      </c>
      <c r="M4259" s="460">
        <f t="shared" si="166"/>
        <v>0.05</v>
      </c>
      <c r="N4259" s="464">
        <f t="shared" si="167"/>
        <v>180675</v>
      </c>
    </row>
    <row r="4260" spans="7:14" ht="11.25" customHeight="1" x14ac:dyDescent="0.25">
      <c r="G4260" s="459"/>
      <c r="H4260" s="459">
        <v>4253</v>
      </c>
      <c r="I4260" s="444">
        <f t="shared" ca="1" si="165"/>
        <v>-38640349604695.438</v>
      </c>
      <c r="J4260" s="444">
        <f t="array" ref="J4260">IFERROR(INDEX('Retirement Calculator'!K:K,MATCH('Lorri 401b'!N4260,'Retirement Calculator'!A:A,0),0),0)</f>
        <v>0</v>
      </c>
      <c r="K4260" s="444">
        <f t="shared" ca="1" si="163"/>
        <v>-161001456686.23099</v>
      </c>
      <c r="L4260" s="444">
        <f t="shared" ca="1" si="164"/>
        <v>-38801351061381.672</v>
      </c>
      <c r="M4260" s="460">
        <f t="shared" si="166"/>
        <v>0.05</v>
      </c>
      <c r="N4260" s="464">
        <f t="shared" si="167"/>
        <v>180705</v>
      </c>
    </row>
    <row r="4261" spans="7:14" ht="11.25" customHeight="1" x14ac:dyDescent="0.25">
      <c r="G4261" s="459"/>
      <c r="H4261" s="459">
        <v>4254</v>
      </c>
      <c r="I4261" s="444">
        <f t="shared" ca="1" si="165"/>
        <v>-38801351061381.672</v>
      </c>
      <c r="J4261" s="444">
        <f t="array" ref="J4261">IFERROR(INDEX('Retirement Calculator'!K:K,MATCH('Lorri 401b'!N4261,'Retirement Calculator'!A:A,0),0),0)</f>
        <v>0</v>
      </c>
      <c r="K4261" s="444">
        <f t="shared" ca="1" si="163"/>
        <v>-161672296089.0903</v>
      </c>
      <c r="L4261" s="444">
        <f t="shared" ca="1" si="164"/>
        <v>-38963023357470.766</v>
      </c>
      <c r="M4261" s="460">
        <f t="shared" si="166"/>
        <v>0.05</v>
      </c>
      <c r="N4261" s="464">
        <f t="shared" si="167"/>
        <v>180736</v>
      </c>
    </row>
    <row r="4262" spans="7:14" ht="11.25" customHeight="1" x14ac:dyDescent="0.25">
      <c r="G4262" s="459"/>
      <c r="H4262" s="459">
        <v>4255</v>
      </c>
      <c r="I4262" s="444">
        <f t="shared" ca="1" si="165"/>
        <v>-38963023357470.766</v>
      </c>
      <c r="J4262" s="444">
        <f t="array" ref="J4262">IFERROR(INDEX('Retirement Calculator'!K:K,MATCH('Lorri 401b'!N4262,'Retirement Calculator'!A:A,0),0),0)</f>
        <v>0</v>
      </c>
      <c r="K4262" s="444">
        <f t="shared" ca="1" si="163"/>
        <v>-162345930656.12817</v>
      </c>
      <c r="L4262" s="444">
        <f t="shared" ca="1" si="164"/>
        <v>-39125369288126.891</v>
      </c>
      <c r="M4262" s="460">
        <f t="shared" si="166"/>
        <v>0.05</v>
      </c>
      <c r="N4262" s="464">
        <f t="shared" si="167"/>
        <v>180766</v>
      </c>
    </row>
    <row r="4263" spans="7:14" ht="11.25" customHeight="1" x14ac:dyDescent="0.25">
      <c r="G4263" s="459"/>
      <c r="H4263" s="459">
        <v>4256</v>
      </c>
      <c r="I4263" s="444">
        <f t="shared" ca="1" si="165"/>
        <v>-39125369288126.891</v>
      </c>
      <c r="J4263" s="444">
        <f t="array" ref="J4263">IFERROR(INDEX('Retirement Calculator'!K:K,MATCH('Lorri 401b'!N4263,'Retirement Calculator'!A:A,0),0),0)</f>
        <v>0</v>
      </c>
      <c r="K4263" s="444">
        <f t="shared" ca="1" si="163"/>
        <v>-163022372033.86203</v>
      </c>
      <c r="L4263" s="444">
        <f t="shared" ca="1" si="164"/>
        <v>-39288391660160.75</v>
      </c>
      <c r="M4263" s="460">
        <f t="shared" si="166"/>
        <v>0.05</v>
      </c>
      <c r="N4263" s="464">
        <f t="shared" si="167"/>
        <v>180797</v>
      </c>
    </row>
    <row r="4264" spans="7:14" ht="11.25" customHeight="1" x14ac:dyDescent="0.25">
      <c r="G4264" s="459"/>
      <c r="H4264" s="459">
        <v>4257</v>
      </c>
      <c r="I4264" s="444">
        <f t="shared" ca="1" si="165"/>
        <v>-39288391660160.75</v>
      </c>
      <c r="J4264" s="444">
        <f t="array" ref="J4264">IFERROR(INDEX('Retirement Calculator'!K:K,MATCH('Lorri 401b'!N4264,'Retirement Calculator'!A:A,0),0),0)</f>
        <v>0</v>
      </c>
      <c r="K4264" s="444">
        <f t="shared" ca="1" si="163"/>
        <v>-163701631917.33646</v>
      </c>
      <c r="L4264" s="444">
        <f t="shared" ca="1" si="164"/>
        <v>-39452093292078.086</v>
      </c>
      <c r="M4264" s="460">
        <f t="shared" si="166"/>
        <v>0.05</v>
      </c>
      <c r="N4264" s="464">
        <f t="shared" si="167"/>
        <v>180828</v>
      </c>
    </row>
    <row r="4265" spans="7:14" ht="11.25" customHeight="1" x14ac:dyDescent="0.25">
      <c r="G4265" s="459"/>
      <c r="H4265" s="459">
        <v>4258</v>
      </c>
      <c r="I4265" s="444">
        <f t="shared" ca="1" si="165"/>
        <v>-39452093292078.086</v>
      </c>
      <c r="J4265" s="444">
        <f t="array" ref="J4265">IFERROR(INDEX('Retirement Calculator'!K:K,MATCH('Lorri 401b'!N4265,'Retirement Calculator'!A:A,0),0),0)</f>
        <v>0</v>
      </c>
      <c r="K4265" s="444">
        <f t="shared" ca="1" si="163"/>
        <v>-164383722050.32535</v>
      </c>
      <c r="L4265" s="444">
        <f t="shared" ca="1" si="164"/>
        <v>-39616477014128.414</v>
      </c>
      <c r="M4265" s="460">
        <f t="shared" si="166"/>
        <v>0.05</v>
      </c>
      <c r="N4265" s="464">
        <f t="shared" si="167"/>
        <v>180856</v>
      </c>
    </row>
    <row r="4266" spans="7:14" ht="11.25" customHeight="1" x14ac:dyDescent="0.25">
      <c r="G4266" s="459"/>
      <c r="H4266" s="459">
        <v>4259</v>
      </c>
      <c r="I4266" s="444">
        <f t="shared" ca="1" si="165"/>
        <v>-39616477014128.414</v>
      </c>
      <c r="J4266" s="444">
        <f t="array" ref="J4266">IFERROR(INDEX('Retirement Calculator'!K:K,MATCH('Lorri 401b'!N4266,'Retirement Calculator'!A:A,0),0),0)</f>
        <v>0</v>
      </c>
      <c r="K4266" s="444">
        <f t="shared" ca="1" si="163"/>
        <v>-165068654225.53506</v>
      </c>
      <c r="L4266" s="444">
        <f t="shared" ca="1" si="164"/>
        <v>-39781545668353.945</v>
      </c>
      <c r="M4266" s="460">
        <f t="shared" si="166"/>
        <v>0.05</v>
      </c>
      <c r="N4266" s="464">
        <f t="shared" si="167"/>
        <v>180887</v>
      </c>
    </row>
    <row r="4267" spans="7:14" ht="11.25" customHeight="1" x14ac:dyDescent="0.25">
      <c r="G4267" s="459"/>
      <c r="H4267" s="459">
        <v>4260</v>
      </c>
      <c r="I4267" s="444">
        <f t="shared" ca="1" si="165"/>
        <v>-39781545668353.945</v>
      </c>
      <c r="J4267" s="444">
        <f t="array" ref="J4267">IFERROR(INDEX('Retirement Calculator'!K:K,MATCH('Lorri 401b'!N4267,'Retirement Calculator'!A:A,0),0),0)</f>
        <v>0</v>
      </c>
      <c r="K4267" s="444">
        <f t="shared" ca="1" si="163"/>
        <v>-165756440284.80811</v>
      </c>
      <c r="L4267" s="444">
        <f t="shared" ca="1" si="164"/>
        <v>-39947302108638.75</v>
      </c>
      <c r="M4267" s="460">
        <f t="shared" si="166"/>
        <v>0.05</v>
      </c>
      <c r="N4267" s="464">
        <f t="shared" si="167"/>
        <v>180917</v>
      </c>
    </row>
    <row r="4268" spans="7:14" ht="11.25" customHeight="1" x14ac:dyDescent="0.25">
      <c r="G4268" s="459"/>
      <c r="H4268" s="459">
        <v>4261</v>
      </c>
      <c r="I4268" s="444">
        <f t="shared" ca="1" si="165"/>
        <v>-39947302108638.75</v>
      </c>
      <c r="J4268" s="444">
        <f t="array" ref="J4268">IFERROR(INDEX('Retirement Calculator'!K:K,MATCH('Lorri 401b'!N4268,'Retirement Calculator'!A:A,0),0),0)</f>
        <v>0</v>
      </c>
      <c r="K4268" s="444">
        <f t="shared" ca="1" si="163"/>
        <v>-166447092119.32813</v>
      </c>
      <c r="L4268" s="444">
        <f t="shared" ca="1" si="164"/>
        <v>-40113749200758.078</v>
      </c>
      <c r="M4268" s="460">
        <f t="shared" si="166"/>
        <v>0.05</v>
      </c>
      <c r="N4268" s="464">
        <f t="shared" si="167"/>
        <v>180948</v>
      </c>
    </row>
    <row r="4269" spans="7:14" ht="11.25" customHeight="1" x14ac:dyDescent="0.25">
      <c r="G4269" s="459"/>
      <c r="H4269" s="459">
        <v>4262</v>
      </c>
      <c r="I4269" s="444">
        <f t="shared" ca="1" si="165"/>
        <v>-40113749200758.078</v>
      </c>
      <c r="J4269" s="444">
        <f t="array" ref="J4269">IFERROR(INDEX('Retirement Calculator'!K:K,MATCH('Lorri 401b'!N4269,'Retirement Calculator'!A:A,0),0),0)</f>
        <v>0</v>
      </c>
      <c r="K4269" s="444">
        <f t="shared" ca="1" si="163"/>
        <v>-167140621669.82532</v>
      </c>
      <c r="L4269" s="444">
        <f t="shared" ca="1" si="164"/>
        <v>-40280889822427.906</v>
      </c>
      <c r="M4269" s="460">
        <f t="shared" si="166"/>
        <v>0.05</v>
      </c>
      <c r="N4269" s="464">
        <f t="shared" si="167"/>
        <v>180978</v>
      </c>
    </row>
    <row r="4270" spans="7:14" ht="11.25" customHeight="1" x14ac:dyDescent="0.25">
      <c r="G4270" s="459"/>
      <c r="H4270" s="459">
        <v>4263</v>
      </c>
      <c r="I4270" s="444">
        <f t="shared" ca="1" si="165"/>
        <v>-40280889822427.906</v>
      </c>
      <c r="J4270" s="444">
        <f t="array" ref="J4270">IFERROR(INDEX('Retirement Calculator'!K:K,MATCH('Lorri 401b'!N4270,'Retirement Calculator'!A:A,0),0),0)</f>
        <v>0</v>
      </c>
      <c r="K4270" s="444">
        <f t="shared" ca="1" si="163"/>
        <v>-167837040926.78293</v>
      </c>
      <c r="L4270" s="444">
        <f t="shared" ca="1" si="164"/>
        <v>-40448726863354.688</v>
      </c>
      <c r="M4270" s="460">
        <f t="shared" si="166"/>
        <v>0.05</v>
      </c>
      <c r="N4270" s="464">
        <f t="shared" si="167"/>
        <v>181009</v>
      </c>
    </row>
    <row r="4271" spans="7:14" ht="11.25" customHeight="1" x14ac:dyDescent="0.25">
      <c r="G4271" s="459"/>
      <c r="H4271" s="459">
        <v>4264</v>
      </c>
      <c r="I4271" s="444">
        <f t="shared" ca="1" si="165"/>
        <v>-40448726863354.688</v>
      </c>
      <c r="J4271" s="444">
        <f t="array" ref="J4271">IFERROR(INDEX('Retirement Calculator'!K:K,MATCH('Lorri 401b'!N4271,'Retirement Calculator'!A:A,0),0),0)</f>
        <v>0</v>
      </c>
      <c r="K4271" s="444">
        <f t="shared" ca="1" si="163"/>
        <v>-168536361930.64453</v>
      </c>
      <c r="L4271" s="444">
        <f t="shared" ca="1" si="164"/>
        <v>-40617263225285.328</v>
      </c>
      <c r="M4271" s="460">
        <f t="shared" si="166"/>
        <v>0.05</v>
      </c>
      <c r="N4271" s="464">
        <f t="shared" si="167"/>
        <v>181040</v>
      </c>
    </row>
    <row r="4272" spans="7:14" ht="11.25" customHeight="1" x14ac:dyDescent="0.25">
      <c r="G4272" s="459"/>
      <c r="H4272" s="459">
        <v>4265</v>
      </c>
      <c r="I4272" s="444">
        <f t="shared" ca="1" si="165"/>
        <v>-40617263225285.328</v>
      </c>
      <c r="J4272" s="444">
        <f t="array" ref="J4272">IFERROR(INDEX('Retirement Calculator'!K:K,MATCH('Lorri 401b'!N4272,'Retirement Calculator'!A:A,0),0),0)</f>
        <v>0</v>
      </c>
      <c r="K4272" s="444">
        <f t="shared" ca="1" si="163"/>
        <v>-169238596772.02219</v>
      </c>
      <c r="L4272" s="444">
        <f t="shared" ca="1" si="164"/>
        <v>-40786501822057.352</v>
      </c>
      <c r="M4272" s="460">
        <f t="shared" si="166"/>
        <v>0.05</v>
      </c>
      <c r="N4272" s="464">
        <f t="shared" si="167"/>
        <v>181070</v>
      </c>
    </row>
    <row r="4273" spans="7:14" ht="11.25" customHeight="1" x14ac:dyDescent="0.25">
      <c r="G4273" s="459"/>
      <c r="H4273" s="459">
        <v>4266</v>
      </c>
      <c r="I4273" s="444">
        <f t="shared" ca="1" si="165"/>
        <v>-40786501822057.352</v>
      </c>
      <c r="J4273" s="444">
        <f t="array" ref="J4273">IFERROR(INDEX('Retirement Calculator'!K:K,MATCH('Lorri 401b'!N4273,'Retirement Calculator'!A:A,0),0),0)</f>
        <v>0</v>
      </c>
      <c r="K4273" s="444">
        <f t="shared" ca="1" si="163"/>
        <v>-169943757591.90564</v>
      </c>
      <c r="L4273" s="444">
        <f t="shared" ca="1" si="164"/>
        <v>-40956445579649.258</v>
      </c>
      <c r="M4273" s="460">
        <f t="shared" si="166"/>
        <v>0.05</v>
      </c>
      <c r="N4273" s="464">
        <f t="shared" si="167"/>
        <v>181101</v>
      </c>
    </row>
    <row r="4274" spans="7:14" ht="11.25" customHeight="1" x14ac:dyDescent="0.25">
      <c r="G4274" s="459"/>
      <c r="H4274" s="459">
        <v>4267</v>
      </c>
      <c r="I4274" s="444">
        <f t="shared" ca="1" si="165"/>
        <v>-40956445579649.258</v>
      </c>
      <c r="J4274" s="444">
        <f t="array" ref="J4274">IFERROR(INDEX('Retirement Calculator'!K:K,MATCH('Lorri 401b'!N4274,'Retirement Calculator'!A:A,0),0),0)</f>
        <v>0</v>
      </c>
      <c r="K4274" s="444">
        <f t="shared" ca="1" si="163"/>
        <v>-170651856581.87192</v>
      </c>
      <c r="L4274" s="444">
        <f t="shared" ca="1" si="164"/>
        <v>-41127097436231.133</v>
      </c>
      <c r="M4274" s="460">
        <f t="shared" si="166"/>
        <v>0.05</v>
      </c>
      <c r="N4274" s="464">
        <f t="shared" si="167"/>
        <v>181131</v>
      </c>
    </row>
    <row r="4275" spans="7:14" ht="11.25" customHeight="1" x14ac:dyDescent="0.25">
      <c r="G4275" s="459"/>
      <c r="H4275" s="459">
        <v>4268</v>
      </c>
      <c r="I4275" s="444">
        <f t="shared" ca="1" si="165"/>
        <v>-41127097436231.133</v>
      </c>
      <c r="J4275" s="444">
        <f t="array" ref="J4275">IFERROR(INDEX('Retirement Calculator'!K:K,MATCH('Lorri 401b'!N4275,'Retirement Calculator'!A:A,0),0),0)</f>
        <v>0</v>
      </c>
      <c r="K4275" s="444">
        <f t="shared" ca="1" si="163"/>
        <v>-171362905984.29639</v>
      </c>
      <c r="L4275" s="444">
        <f t="shared" ca="1" si="164"/>
        <v>-41298460342215.43</v>
      </c>
      <c r="M4275" s="460">
        <f t="shared" si="166"/>
        <v>0.05</v>
      </c>
      <c r="N4275" s="464">
        <f t="shared" si="167"/>
        <v>181162</v>
      </c>
    </row>
    <row r="4276" spans="7:14" ht="11.25" customHeight="1" x14ac:dyDescent="0.25">
      <c r="G4276" s="459"/>
      <c r="H4276" s="459">
        <v>4269</v>
      </c>
      <c r="I4276" s="444">
        <f t="shared" ca="1" si="165"/>
        <v>-41298460342215.43</v>
      </c>
      <c r="J4276" s="444">
        <f t="array" ref="J4276">IFERROR(INDEX('Retirement Calculator'!K:K,MATCH('Lorri 401b'!N4276,'Retirement Calculator'!A:A,0),0),0)</f>
        <v>0</v>
      </c>
      <c r="K4276" s="444">
        <f t="shared" ca="1" si="163"/>
        <v>-172076918092.5643</v>
      </c>
      <c r="L4276" s="444">
        <f t="shared" ca="1" si="164"/>
        <v>-41470537260307.992</v>
      </c>
      <c r="M4276" s="460">
        <f t="shared" si="166"/>
        <v>0.05</v>
      </c>
      <c r="N4276" s="464">
        <f t="shared" si="167"/>
        <v>181193</v>
      </c>
    </row>
    <row r="4277" spans="7:14" ht="11.25" customHeight="1" x14ac:dyDescent="0.25">
      <c r="G4277" s="459"/>
      <c r="H4277" s="459">
        <v>4270</v>
      </c>
      <c r="I4277" s="444">
        <f t="shared" ca="1" si="165"/>
        <v>-41470537260307.992</v>
      </c>
      <c r="J4277" s="444">
        <f t="array" ref="J4277">IFERROR(INDEX('Retirement Calculator'!K:K,MATCH('Lorri 401b'!N4277,'Retirement Calculator'!A:A,0),0),0)</f>
        <v>0</v>
      </c>
      <c r="K4277" s="444">
        <f t="shared" ca="1" si="163"/>
        <v>-172793905251.28329</v>
      </c>
      <c r="L4277" s="444">
        <f t="shared" ca="1" si="164"/>
        <v>-41643331165559.273</v>
      </c>
      <c r="M4277" s="460">
        <f t="shared" si="166"/>
        <v>0.05</v>
      </c>
      <c r="N4277" s="464">
        <f t="shared" si="167"/>
        <v>181222</v>
      </c>
    </row>
    <row r="4278" spans="7:14" ht="11.25" customHeight="1" x14ac:dyDescent="0.25">
      <c r="G4278" s="459"/>
      <c r="H4278" s="459">
        <v>4271</v>
      </c>
      <c r="I4278" s="444">
        <f t="shared" ca="1" si="165"/>
        <v>-41643331165559.273</v>
      </c>
      <c r="J4278" s="444">
        <f t="array" ref="J4278">IFERROR(INDEX('Retirement Calculator'!K:K,MATCH('Lorri 401b'!N4278,'Retirement Calculator'!A:A,0),0),0)</f>
        <v>0</v>
      </c>
      <c r="K4278" s="444">
        <f t="shared" ca="1" si="163"/>
        <v>-173513879856.49698</v>
      </c>
      <c r="L4278" s="444">
        <f t="shared" ca="1" si="164"/>
        <v>-41816845045415.773</v>
      </c>
      <c r="M4278" s="460">
        <f t="shared" si="166"/>
        <v>0.05</v>
      </c>
      <c r="N4278" s="464">
        <f t="shared" si="167"/>
        <v>181253</v>
      </c>
    </row>
    <row r="4279" spans="7:14" ht="11.25" customHeight="1" x14ac:dyDescent="0.25">
      <c r="G4279" s="459"/>
      <c r="H4279" s="459">
        <v>4272</v>
      </c>
      <c r="I4279" s="444">
        <f t="shared" ca="1" si="165"/>
        <v>-41816845045415.773</v>
      </c>
      <c r="J4279" s="444">
        <f t="array" ref="J4279">IFERROR(INDEX('Retirement Calculator'!K:K,MATCH('Lorri 401b'!N4279,'Retirement Calculator'!A:A,0),0),0)</f>
        <v>0</v>
      </c>
      <c r="K4279" s="444">
        <f t="shared" ca="1" si="163"/>
        <v>-174236854355.89905</v>
      </c>
      <c r="L4279" s="444">
        <f t="shared" ca="1" si="164"/>
        <v>-41991081899771.672</v>
      </c>
      <c r="M4279" s="460">
        <f t="shared" si="166"/>
        <v>0.05</v>
      </c>
      <c r="N4279" s="464">
        <f t="shared" si="167"/>
        <v>181283</v>
      </c>
    </row>
    <row r="4280" spans="7:14" ht="11.25" customHeight="1" x14ac:dyDescent="0.25">
      <c r="G4280" s="459"/>
      <c r="H4280" s="459">
        <v>4273</v>
      </c>
      <c r="I4280" s="444">
        <f t="shared" ca="1" si="165"/>
        <v>-41991081899771.672</v>
      </c>
      <c r="J4280" s="444">
        <f t="array" ref="J4280">IFERROR(INDEX('Retirement Calculator'!K:K,MATCH('Lorri 401b'!N4280,'Retirement Calculator'!A:A,0),0),0)</f>
        <v>0</v>
      </c>
      <c r="K4280" s="444">
        <f t="shared" ca="1" si="163"/>
        <v>-174962841249.04865</v>
      </c>
      <c r="L4280" s="444">
        <f t="shared" ca="1" si="164"/>
        <v>-42166044741020.719</v>
      </c>
      <c r="M4280" s="460">
        <f t="shared" si="166"/>
        <v>0.05</v>
      </c>
      <c r="N4280" s="464">
        <f t="shared" si="167"/>
        <v>181314</v>
      </c>
    </row>
    <row r="4281" spans="7:14" ht="11.25" customHeight="1" x14ac:dyDescent="0.25">
      <c r="G4281" s="459"/>
      <c r="H4281" s="459">
        <v>4274</v>
      </c>
      <c r="I4281" s="444">
        <f t="shared" ca="1" si="165"/>
        <v>-42166044741020.719</v>
      </c>
      <c r="J4281" s="444">
        <f t="array" ref="J4281">IFERROR(INDEX('Retirement Calculator'!K:K,MATCH('Lorri 401b'!N4281,'Retirement Calculator'!A:A,0),0),0)</f>
        <v>0</v>
      </c>
      <c r="K4281" s="444">
        <f t="shared" ca="1" si="163"/>
        <v>-175691853087.58633</v>
      </c>
      <c r="L4281" s="444">
        <f t="shared" ca="1" si="164"/>
        <v>-42341736594108.305</v>
      </c>
      <c r="M4281" s="460">
        <f t="shared" si="166"/>
        <v>0.05</v>
      </c>
      <c r="N4281" s="464">
        <f t="shared" si="167"/>
        <v>181344</v>
      </c>
    </row>
    <row r="4282" spans="7:14" ht="11.25" customHeight="1" x14ac:dyDescent="0.25">
      <c r="G4282" s="459"/>
      <c r="H4282" s="459">
        <v>4275</v>
      </c>
      <c r="I4282" s="444">
        <f t="shared" ca="1" si="165"/>
        <v>-42341736594108.305</v>
      </c>
      <c r="J4282" s="444">
        <f t="array" ref="J4282">IFERROR(INDEX('Retirement Calculator'!K:K,MATCH('Lorri 401b'!N4282,'Retirement Calculator'!A:A,0),0),0)</f>
        <v>0</v>
      </c>
      <c r="K4282" s="444">
        <f t="shared" ca="1" si="163"/>
        <v>-176423902475.45126</v>
      </c>
      <c r="L4282" s="444">
        <f t="shared" ca="1" si="164"/>
        <v>-42518160496583.758</v>
      </c>
      <c r="M4282" s="460">
        <f t="shared" si="166"/>
        <v>0.05</v>
      </c>
      <c r="N4282" s="464">
        <f t="shared" si="167"/>
        <v>181375</v>
      </c>
    </row>
    <row r="4283" spans="7:14" ht="11.25" customHeight="1" x14ac:dyDescent="0.25">
      <c r="G4283" s="459"/>
      <c r="H4283" s="459">
        <v>4276</v>
      </c>
      <c r="I4283" s="444">
        <f t="shared" ca="1" si="165"/>
        <v>-42518160496583.758</v>
      </c>
      <c r="J4283" s="444">
        <f t="array" ref="J4283">IFERROR(INDEX('Retirement Calculator'!K:K,MATCH('Lorri 401b'!N4283,'Retirement Calculator'!A:A,0),0),0)</f>
        <v>0</v>
      </c>
      <c r="K4283" s="444">
        <f t="shared" ca="1" si="163"/>
        <v>-177159002069.099</v>
      </c>
      <c r="L4283" s="444">
        <f t="shared" ca="1" si="164"/>
        <v>-42695319498652.859</v>
      </c>
      <c r="M4283" s="460">
        <f t="shared" si="166"/>
        <v>0.05</v>
      </c>
      <c r="N4283" s="464">
        <f t="shared" si="167"/>
        <v>181406</v>
      </c>
    </row>
    <row r="4284" spans="7:14" ht="11.25" customHeight="1" x14ac:dyDescent="0.25">
      <c r="G4284" s="459"/>
      <c r="H4284" s="459">
        <v>4277</v>
      </c>
      <c r="I4284" s="444">
        <f t="shared" ca="1" si="165"/>
        <v>-42695319498652.859</v>
      </c>
      <c r="J4284" s="444">
        <f t="array" ref="J4284">IFERROR(INDEX('Retirement Calculator'!K:K,MATCH('Lorri 401b'!N4284,'Retirement Calculator'!A:A,0),0),0)</f>
        <v>0</v>
      </c>
      <c r="K4284" s="444">
        <f t="shared" ca="1" si="163"/>
        <v>-177897164577.72025</v>
      </c>
      <c r="L4284" s="444">
        <f t="shared" ca="1" si="164"/>
        <v>-42873216663230.578</v>
      </c>
      <c r="M4284" s="460">
        <f t="shared" si="166"/>
        <v>0.05</v>
      </c>
      <c r="N4284" s="464">
        <f t="shared" si="167"/>
        <v>181436</v>
      </c>
    </row>
    <row r="4285" spans="7:14" ht="11.25" customHeight="1" x14ac:dyDescent="0.25">
      <c r="G4285" s="459"/>
      <c r="H4285" s="459">
        <v>4278</v>
      </c>
      <c r="I4285" s="444">
        <f t="shared" ca="1" si="165"/>
        <v>-42873216663230.578</v>
      </c>
      <c r="J4285" s="444">
        <f t="array" ref="J4285">IFERROR(INDEX('Retirement Calculator'!K:K,MATCH('Lorri 401b'!N4285,'Retirement Calculator'!A:A,0),0),0)</f>
        <v>0</v>
      </c>
      <c r="K4285" s="444">
        <f t="shared" ca="1" si="163"/>
        <v>-178638402763.46075</v>
      </c>
      <c r="L4285" s="444">
        <f t="shared" ca="1" si="164"/>
        <v>-43051855065994.039</v>
      </c>
      <c r="M4285" s="460">
        <f t="shared" si="166"/>
        <v>0.05</v>
      </c>
      <c r="N4285" s="464">
        <f t="shared" si="167"/>
        <v>181467</v>
      </c>
    </row>
    <row r="4286" spans="7:14" ht="11.25" customHeight="1" x14ac:dyDescent="0.25">
      <c r="G4286" s="459"/>
      <c r="H4286" s="459">
        <v>4279</v>
      </c>
      <c r="I4286" s="444">
        <f t="shared" ca="1" si="165"/>
        <v>-43051855065994.039</v>
      </c>
      <c r="J4286" s="444">
        <f t="array" ref="J4286">IFERROR(INDEX('Retirement Calculator'!K:K,MATCH('Lorri 401b'!N4286,'Retirement Calculator'!A:A,0),0),0)</f>
        <v>0</v>
      </c>
      <c r="K4286" s="444">
        <f t="shared" ca="1" si="163"/>
        <v>-179382729441.64182</v>
      </c>
      <c r="L4286" s="444">
        <f t="shared" ca="1" si="164"/>
        <v>-43231237795435.68</v>
      </c>
      <c r="M4286" s="460">
        <f t="shared" si="166"/>
        <v>0.05</v>
      </c>
      <c r="N4286" s="464">
        <f t="shared" si="167"/>
        <v>181497</v>
      </c>
    </row>
    <row r="4287" spans="7:14" ht="11.25" customHeight="1" x14ac:dyDescent="0.25">
      <c r="G4287" s="459"/>
      <c r="H4287" s="459">
        <v>4280</v>
      </c>
      <c r="I4287" s="444">
        <f t="shared" ca="1" si="165"/>
        <v>-43231237795435.68</v>
      </c>
      <c r="J4287" s="444">
        <f t="array" ref="J4287">IFERROR(INDEX('Retirement Calculator'!K:K,MATCH('Lorri 401b'!N4287,'Retirement Calculator'!A:A,0),0),0)</f>
        <v>0</v>
      </c>
      <c r="K4287" s="444">
        <f t="shared" ca="1" si="163"/>
        <v>-180130157480.98199</v>
      </c>
      <c r="L4287" s="444">
        <f t="shared" ca="1" si="164"/>
        <v>-43411367952916.664</v>
      </c>
      <c r="M4287" s="460">
        <f t="shared" si="166"/>
        <v>0.05</v>
      </c>
      <c r="N4287" s="464">
        <f t="shared" si="167"/>
        <v>181528</v>
      </c>
    </row>
    <row r="4288" spans="7:14" ht="11.25" customHeight="1" x14ac:dyDescent="0.25">
      <c r="G4288" s="459"/>
      <c r="H4288" s="459">
        <v>4281</v>
      </c>
      <c r="I4288" s="444">
        <f t="shared" ca="1" si="165"/>
        <v>-43411367952916.664</v>
      </c>
      <c r="J4288" s="444">
        <f t="array" ref="J4288">IFERROR(INDEX('Retirement Calculator'!K:K,MATCH('Lorri 401b'!N4288,'Retirement Calculator'!A:A,0),0),0)</f>
        <v>0</v>
      </c>
      <c r="K4288" s="444">
        <f t="shared" ca="1" si="163"/>
        <v>-180880699803.81943</v>
      </c>
      <c r="L4288" s="444">
        <f t="shared" ca="1" si="164"/>
        <v>-43592248652720.484</v>
      </c>
      <c r="M4288" s="460">
        <f t="shared" si="166"/>
        <v>0.05</v>
      </c>
      <c r="N4288" s="464">
        <f t="shared" si="167"/>
        <v>181559</v>
      </c>
    </row>
    <row r="4289" spans="7:14" ht="11.25" customHeight="1" x14ac:dyDescent="0.25">
      <c r="G4289" s="459"/>
      <c r="H4289" s="459">
        <v>4282</v>
      </c>
      <c r="I4289" s="444">
        <f t="shared" ca="1" si="165"/>
        <v>-43592248652720.484</v>
      </c>
      <c r="J4289" s="444">
        <f t="array" ref="J4289">IFERROR(INDEX('Retirement Calculator'!K:K,MATCH('Lorri 401b'!N4289,'Retirement Calculator'!A:A,0),0),0)</f>
        <v>0</v>
      </c>
      <c r="K4289" s="444">
        <f t="shared" ca="1" si="163"/>
        <v>-181634369386.33536</v>
      </c>
      <c r="L4289" s="444">
        <f t="shared" ca="1" si="164"/>
        <v>-43773883022106.82</v>
      </c>
      <c r="M4289" s="460">
        <f t="shared" si="166"/>
        <v>0.05</v>
      </c>
      <c r="N4289" s="464">
        <f t="shared" si="167"/>
        <v>181587</v>
      </c>
    </row>
    <row r="4290" spans="7:14" ht="11.25" customHeight="1" x14ac:dyDescent="0.25">
      <c r="G4290" s="459"/>
      <c r="H4290" s="459">
        <v>4283</v>
      </c>
      <c r="I4290" s="444">
        <f t="shared" ca="1" si="165"/>
        <v>-43773883022106.82</v>
      </c>
      <c r="J4290" s="444">
        <f t="array" ref="J4290">IFERROR(INDEX('Retirement Calculator'!K:K,MATCH('Lorri 401b'!N4290,'Retirement Calculator'!A:A,0),0),0)</f>
        <v>0</v>
      </c>
      <c r="K4290" s="444">
        <f t="shared" ca="1" si="163"/>
        <v>-182391179258.77841</v>
      </c>
      <c r="L4290" s="444">
        <f t="shared" ca="1" si="164"/>
        <v>-43956274201365.602</v>
      </c>
      <c r="M4290" s="460">
        <f t="shared" si="166"/>
        <v>0.05</v>
      </c>
      <c r="N4290" s="464">
        <f t="shared" si="167"/>
        <v>181618</v>
      </c>
    </row>
    <row r="4291" spans="7:14" ht="11.25" customHeight="1" x14ac:dyDescent="0.25">
      <c r="G4291" s="459"/>
      <c r="H4291" s="459">
        <v>4284</v>
      </c>
      <c r="I4291" s="444">
        <f t="shared" ca="1" si="165"/>
        <v>-43956274201365.602</v>
      </c>
      <c r="J4291" s="444">
        <f t="array" ref="J4291">IFERROR(INDEX('Retirement Calculator'!K:K,MATCH('Lorri 401b'!N4291,'Retirement Calculator'!A:A,0),0),0)</f>
        <v>0</v>
      </c>
      <c r="K4291" s="444">
        <f t="shared" ca="1" si="163"/>
        <v>-183151142505.69</v>
      </c>
      <c r="L4291" s="444">
        <f t="shared" ca="1" si="164"/>
        <v>-44139425343871.289</v>
      </c>
      <c r="M4291" s="460">
        <f t="shared" si="166"/>
        <v>0.05</v>
      </c>
      <c r="N4291" s="464">
        <f t="shared" si="167"/>
        <v>181648</v>
      </c>
    </row>
    <row r="4292" spans="7:14" ht="11.25" customHeight="1" x14ac:dyDescent="0.25">
      <c r="G4292" s="459"/>
      <c r="H4292" s="459">
        <v>4285</v>
      </c>
      <c r="I4292" s="444">
        <f t="shared" ca="1" si="165"/>
        <v>-44139425343871.289</v>
      </c>
      <c r="J4292" s="444">
        <f t="array" ref="J4292">IFERROR(INDEX('Retirement Calculator'!K:K,MATCH('Lorri 401b'!N4292,'Retirement Calculator'!A:A,0),0),0)</f>
        <v>0</v>
      </c>
      <c r="K4292" s="444">
        <f t="shared" ca="1" si="163"/>
        <v>-183914272266.13037</v>
      </c>
      <c r="L4292" s="444">
        <f t="shared" ca="1" si="164"/>
        <v>-44323339616137.422</v>
      </c>
      <c r="M4292" s="460">
        <f t="shared" si="166"/>
        <v>0.05</v>
      </c>
      <c r="N4292" s="464">
        <f t="shared" si="167"/>
        <v>181679</v>
      </c>
    </row>
    <row r="4293" spans="7:14" ht="11.25" customHeight="1" x14ac:dyDescent="0.25">
      <c r="G4293" s="459"/>
      <c r="H4293" s="459">
        <v>4286</v>
      </c>
      <c r="I4293" s="444">
        <f t="shared" ca="1" si="165"/>
        <v>-44323339616137.422</v>
      </c>
      <c r="J4293" s="444">
        <f t="array" ref="J4293">IFERROR(INDEX('Retirement Calculator'!K:K,MATCH('Lorri 401b'!N4293,'Retirement Calculator'!A:A,0),0),0)</f>
        <v>0</v>
      </c>
      <c r="K4293" s="444">
        <f t="shared" ca="1" si="163"/>
        <v>-184680581733.90591</v>
      </c>
      <c r="L4293" s="444">
        <f t="shared" ca="1" si="164"/>
        <v>-44508020197871.328</v>
      </c>
      <c r="M4293" s="460">
        <f t="shared" si="166"/>
        <v>0.05</v>
      </c>
      <c r="N4293" s="464">
        <f t="shared" si="167"/>
        <v>181709</v>
      </c>
    </row>
    <row r="4294" spans="7:14" ht="11.25" customHeight="1" x14ac:dyDescent="0.25">
      <c r="G4294" s="459"/>
      <c r="H4294" s="459">
        <v>4287</v>
      </c>
      <c r="I4294" s="444">
        <f t="shared" ca="1" si="165"/>
        <v>-44508020197871.328</v>
      </c>
      <c r="J4294" s="444">
        <f t="array" ref="J4294">IFERROR(INDEX('Retirement Calculator'!K:K,MATCH('Lorri 401b'!N4294,'Retirement Calculator'!A:A,0),0),0)</f>
        <v>0</v>
      </c>
      <c r="K4294" s="444">
        <f t="shared" ca="1" si="163"/>
        <v>-185450084157.79721</v>
      </c>
      <c r="L4294" s="444">
        <f t="shared" ca="1" si="164"/>
        <v>-44693470282029.125</v>
      </c>
      <c r="M4294" s="460">
        <f t="shared" si="166"/>
        <v>0.05</v>
      </c>
      <c r="N4294" s="464">
        <f t="shared" si="167"/>
        <v>181740</v>
      </c>
    </row>
    <row r="4295" spans="7:14" ht="11.25" customHeight="1" x14ac:dyDescent="0.25">
      <c r="G4295" s="459"/>
      <c r="H4295" s="459">
        <v>4288</v>
      </c>
      <c r="I4295" s="444">
        <f t="shared" ca="1" si="165"/>
        <v>-44693470282029.125</v>
      </c>
      <c r="J4295" s="444">
        <f t="array" ref="J4295">IFERROR(INDEX('Retirement Calculator'!K:K,MATCH('Lorri 401b'!N4295,'Retirement Calculator'!A:A,0),0),0)</f>
        <v>0</v>
      </c>
      <c r="K4295" s="444">
        <f t="shared" ca="1" si="163"/>
        <v>-186222792841.78802</v>
      </c>
      <c r="L4295" s="444">
        <f t="shared" ca="1" si="164"/>
        <v>-44879693074870.914</v>
      </c>
      <c r="M4295" s="460">
        <f t="shared" si="166"/>
        <v>0.05</v>
      </c>
      <c r="N4295" s="464">
        <f t="shared" si="167"/>
        <v>181771</v>
      </c>
    </row>
    <row r="4296" spans="7:14" ht="11.25" customHeight="1" x14ac:dyDescent="0.25">
      <c r="G4296" s="459"/>
      <c r="H4296" s="459">
        <v>4289</v>
      </c>
      <c r="I4296" s="444">
        <f t="shared" ca="1" si="165"/>
        <v>-44879693074870.914</v>
      </c>
      <c r="J4296" s="444">
        <f t="array" ref="J4296">IFERROR(INDEX('Retirement Calculator'!K:K,MATCH('Lorri 401b'!N4296,'Retirement Calculator'!A:A,0),0),0)</f>
        <v>0</v>
      </c>
      <c r="K4296" s="444">
        <f t="shared" ca="1" si="163"/>
        <v>-186998721145.29547</v>
      </c>
      <c r="L4296" s="444">
        <f t="shared" ca="1" si="164"/>
        <v>-45066691796016.211</v>
      </c>
      <c r="M4296" s="460">
        <f t="shared" si="166"/>
        <v>0.05</v>
      </c>
      <c r="N4296" s="464">
        <f t="shared" si="167"/>
        <v>181801</v>
      </c>
    </row>
    <row r="4297" spans="7:14" ht="11.25" customHeight="1" x14ac:dyDescent="0.25">
      <c r="G4297" s="459"/>
      <c r="H4297" s="459">
        <v>4290</v>
      </c>
      <c r="I4297" s="444">
        <f t="shared" ca="1" si="165"/>
        <v>-45066691796016.211</v>
      </c>
      <c r="J4297" s="444">
        <f t="array" ref="J4297">IFERROR(INDEX('Retirement Calculator'!K:K,MATCH('Lorri 401b'!N4297,'Retirement Calculator'!A:A,0),0),0)</f>
        <v>0</v>
      </c>
      <c r="K4297" s="444">
        <f t="shared" ca="1" si="163"/>
        <v>-187777882483.40088</v>
      </c>
      <c r="L4297" s="444">
        <f t="shared" ca="1" si="164"/>
        <v>-45254469678499.609</v>
      </c>
      <c r="M4297" s="460">
        <f t="shared" si="166"/>
        <v>0.05</v>
      </c>
      <c r="N4297" s="464">
        <f t="shared" si="167"/>
        <v>181832</v>
      </c>
    </row>
    <row r="4298" spans="7:14" ht="11.25" customHeight="1" x14ac:dyDescent="0.25">
      <c r="G4298" s="459"/>
      <c r="H4298" s="459">
        <v>4291</v>
      </c>
      <c r="I4298" s="444">
        <f t="shared" ca="1" si="165"/>
        <v>-45254469678499.609</v>
      </c>
      <c r="J4298" s="444">
        <f t="array" ref="J4298">IFERROR(INDEX('Retirement Calculator'!K:K,MATCH('Lorri 401b'!N4298,'Retirement Calculator'!A:A,0),0),0)</f>
        <v>0</v>
      </c>
      <c r="K4298" s="444">
        <f t="shared" ca="1" si="163"/>
        <v>-188560290327.0817</v>
      </c>
      <c r="L4298" s="444">
        <f t="shared" ca="1" si="164"/>
        <v>-45443029968826.688</v>
      </c>
      <c r="M4298" s="460">
        <f t="shared" si="166"/>
        <v>0.05</v>
      </c>
      <c r="N4298" s="464">
        <f t="shared" si="167"/>
        <v>181862</v>
      </c>
    </row>
    <row r="4299" spans="7:14" ht="11.25" customHeight="1" x14ac:dyDescent="0.25">
      <c r="G4299" s="459"/>
      <c r="H4299" s="459">
        <v>4292</v>
      </c>
      <c r="I4299" s="444">
        <f t="shared" ca="1" si="165"/>
        <v>-45443029968826.688</v>
      </c>
      <c r="J4299" s="444">
        <f t="array" ref="J4299">IFERROR(INDEX('Retirement Calculator'!K:K,MATCH('Lorri 401b'!N4299,'Retirement Calculator'!A:A,0),0),0)</f>
        <v>0</v>
      </c>
      <c r="K4299" s="444">
        <f t="shared" ca="1" si="163"/>
        <v>-189345958203.44452</v>
      </c>
      <c r="L4299" s="444">
        <f t="shared" ca="1" si="164"/>
        <v>-45632375927030.133</v>
      </c>
      <c r="M4299" s="460">
        <f t="shared" si="166"/>
        <v>0.05</v>
      </c>
      <c r="N4299" s="464">
        <f t="shared" si="167"/>
        <v>181893</v>
      </c>
    </row>
    <row r="4300" spans="7:14" ht="11.25" customHeight="1" x14ac:dyDescent="0.25">
      <c r="G4300" s="459"/>
      <c r="H4300" s="459">
        <v>4293</v>
      </c>
      <c r="I4300" s="444">
        <f t="shared" ca="1" si="165"/>
        <v>-45632375927030.133</v>
      </c>
      <c r="J4300" s="444">
        <f t="array" ref="J4300">IFERROR(INDEX('Retirement Calculator'!K:K,MATCH('Lorri 401b'!N4300,'Retirement Calculator'!A:A,0),0),0)</f>
        <v>0</v>
      </c>
      <c r="K4300" s="444">
        <f t="shared" ca="1" si="163"/>
        <v>-190134899695.95889</v>
      </c>
      <c r="L4300" s="444">
        <f t="shared" ca="1" si="164"/>
        <v>-45822510826726.094</v>
      </c>
      <c r="M4300" s="460">
        <f t="shared" si="166"/>
        <v>0.05</v>
      </c>
      <c r="N4300" s="464">
        <f t="shared" si="167"/>
        <v>181924</v>
      </c>
    </row>
    <row r="4301" spans="7:14" ht="11.25" customHeight="1" x14ac:dyDescent="0.25">
      <c r="G4301" s="459"/>
      <c r="H4301" s="459">
        <v>4294</v>
      </c>
      <c r="I4301" s="444">
        <f t="shared" ca="1" si="165"/>
        <v>-45822510826726.094</v>
      </c>
      <c r="J4301" s="444">
        <f t="array" ref="J4301">IFERROR(INDEX('Retirement Calculator'!K:K,MATCH('Lorri 401b'!N4301,'Retirement Calculator'!A:A,0),0),0)</f>
        <v>0</v>
      </c>
      <c r="K4301" s="444">
        <f t="shared" ca="1" si="163"/>
        <v>-190927128444.69205</v>
      </c>
      <c r="L4301" s="444">
        <f t="shared" ca="1" si="164"/>
        <v>-46013437955170.789</v>
      </c>
      <c r="M4301" s="460">
        <f t="shared" si="166"/>
        <v>0.05</v>
      </c>
      <c r="N4301" s="464">
        <f t="shared" si="167"/>
        <v>181952</v>
      </c>
    </row>
    <row r="4302" spans="7:14" ht="11.25" customHeight="1" x14ac:dyDescent="0.25">
      <c r="G4302" s="459"/>
      <c r="H4302" s="459">
        <v>4295</v>
      </c>
      <c r="I4302" s="444">
        <f t="shared" ca="1" si="165"/>
        <v>-46013437955170.789</v>
      </c>
      <c r="J4302" s="444">
        <f t="array" ref="J4302">IFERROR(INDEX('Retirement Calculator'!K:K,MATCH('Lorri 401b'!N4302,'Retirement Calculator'!A:A,0),0),0)</f>
        <v>0</v>
      </c>
      <c r="K4302" s="444">
        <f t="shared" ca="1" si="163"/>
        <v>-191722658146.54495</v>
      </c>
      <c r="L4302" s="444">
        <f t="shared" ca="1" si="164"/>
        <v>-46205160613317.336</v>
      </c>
      <c r="M4302" s="460">
        <f t="shared" si="166"/>
        <v>0.05</v>
      </c>
      <c r="N4302" s="464">
        <f t="shared" si="167"/>
        <v>181983</v>
      </c>
    </row>
    <row r="4303" spans="7:14" ht="11.25" customHeight="1" x14ac:dyDescent="0.25">
      <c r="G4303" s="459"/>
      <c r="H4303" s="459">
        <v>4296</v>
      </c>
      <c r="I4303" s="444">
        <f t="shared" ca="1" si="165"/>
        <v>-46205160613317.336</v>
      </c>
      <c r="J4303" s="444">
        <f t="array" ref="J4303">IFERROR(INDEX('Retirement Calculator'!K:K,MATCH('Lorri 401b'!N4303,'Retirement Calculator'!A:A,0),0),0)</f>
        <v>0</v>
      </c>
      <c r="K4303" s="444">
        <f t="shared" ca="1" si="163"/>
        <v>-192521502555.48889</v>
      </c>
      <c r="L4303" s="444">
        <f t="shared" ca="1" si="164"/>
        <v>-46397682115872.828</v>
      </c>
      <c r="M4303" s="460">
        <f t="shared" si="166"/>
        <v>0.05</v>
      </c>
      <c r="N4303" s="464">
        <f t="shared" si="167"/>
        <v>182013</v>
      </c>
    </row>
    <row r="4304" spans="7:14" ht="11.25" customHeight="1" x14ac:dyDescent="0.25">
      <c r="G4304" s="459"/>
      <c r="H4304" s="459">
        <v>4297</v>
      </c>
      <c r="I4304" s="444">
        <f t="shared" ca="1" si="165"/>
        <v>-46397682115872.828</v>
      </c>
      <c r="J4304" s="444">
        <f t="array" ref="J4304">IFERROR(INDEX('Retirement Calculator'!K:K,MATCH('Lorri 401b'!N4304,'Retirement Calculator'!A:A,0),0),0)</f>
        <v>0</v>
      </c>
      <c r="K4304" s="444">
        <f t="shared" ca="1" si="163"/>
        <v>-193323675482.80344</v>
      </c>
      <c r="L4304" s="444">
        <f t="shared" ca="1" si="164"/>
        <v>-46591005791355.633</v>
      </c>
      <c r="M4304" s="460">
        <f t="shared" si="166"/>
        <v>0.05</v>
      </c>
      <c r="N4304" s="464">
        <f t="shared" si="167"/>
        <v>182044</v>
      </c>
    </row>
    <row r="4305" spans="7:14" ht="11.25" customHeight="1" x14ac:dyDescent="0.25">
      <c r="G4305" s="459"/>
      <c r="H4305" s="459">
        <v>4298</v>
      </c>
      <c r="I4305" s="444">
        <f t="shared" ca="1" si="165"/>
        <v>-46591005791355.633</v>
      </c>
      <c r="J4305" s="444">
        <f t="array" ref="J4305">IFERROR(INDEX('Retirement Calculator'!K:K,MATCH('Lorri 401b'!N4305,'Retirement Calculator'!A:A,0),0),0)</f>
        <v>0</v>
      </c>
      <c r="K4305" s="444">
        <f t="shared" ca="1" si="163"/>
        <v>-194129190797.31512</v>
      </c>
      <c r="L4305" s="444">
        <f t="shared" ca="1" si="164"/>
        <v>-46785134982152.945</v>
      </c>
      <c r="M4305" s="460">
        <f t="shared" si="166"/>
        <v>0.05</v>
      </c>
      <c r="N4305" s="464">
        <f t="shared" si="167"/>
        <v>182074</v>
      </c>
    </row>
    <row r="4306" spans="7:14" ht="11.25" customHeight="1" x14ac:dyDescent="0.25">
      <c r="G4306" s="459"/>
      <c r="H4306" s="459">
        <v>4299</v>
      </c>
      <c r="I4306" s="444">
        <f t="shared" ca="1" si="165"/>
        <v>-46785134982152.945</v>
      </c>
      <c r="J4306" s="444">
        <f t="array" ref="J4306">IFERROR(INDEX('Retirement Calculator'!K:K,MATCH('Lorri 401b'!N4306,'Retirement Calculator'!A:A,0),0),0)</f>
        <v>0</v>
      </c>
      <c r="K4306" s="444">
        <f t="shared" ca="1" si="163"/>
        <v>-194938062425.63727</v>
      </c>
      <c r="L4306" s="444">
        <f t="shared" ca="1" si="164"/>
        <v>-46980073044578.586</v>
      </c>
      <c r="M4306" s="460">
        <f t="shared" si="166"/>
        <v>0.05</v>
      </c>
      <c r="N4306" s="464">
        <f t="shared" si="167"/>
        <v>182105</v>
      </c>
    </row>
    <row r="4307" spans="7:14" ht="11.25" customHeight="1" x14ac:dyDescent="0.25">
      <c r="G4307" s="459"/>
      <c r="H4307" s="459">
        <v>4300</v>
      </c>
      <c r="I4307" s="444">
        <f t="shared" ca="1" si="165"/>
        <v>-46980073044578.586</v>
      </c>
      <c r="J4307" s="444">
        <f t="array" ref="J4307">IFERROR(INDEX('Retirement Calculator'!K:K,MATCH('Lorri 401b'!N4307,'Retirement Calculator'!A:A,0),0),0)</f>
        <v>0</v>
      </c>
      <c r="K4307" s="444">
        <f t="shared" ca="1" si="163"/>
        <v>-195750304352.41077</v>
      </c>
      <c r="L4307" s="444">
        <f t="shared" ca="1" si="164"/>
        <v>-47175823348931</v>
      </c>
      <c r="M4307" s="460">
        <f t="shared" si="166"/>
        <v>0.05</v>
      </c>
      <c r="N4307" s="464">
        <f t="shared" si="167"/>
        <v>182136</v>
      </c>
    </row>
    <row r="4308" spans="7:14" ht="11.25" customHeight="1" x14ac:dyDescent="0.25">
      <c r="G4308" s="459"/>
      <c r="H4308" s="459">
        <v>4301</v>
      </c>
      <c r="I4308" s="444">
        <f t="shared" ca="1" si="165"/>
        <v>-47175823348931</v>
      </c>
      <c r="J4308" s="444">
        <f t="array" ref="J4308">IFERROR(INDEX('Retirement Calculator'!K:K,MATCH('Lorri 401b'!N4308,'Retirement Calculator'!A:A,0),0),0)</f>
        <v>0</v>
      </c>
      <c r="K4308" s="444">
        <f t="shared" ca="1" si="163"/>
        <v>-196565930620.54584</v>
      </c>
      <c r="L4308" s="444">
        <f t="shared" ca="1" si="164"/>
        <v>-47372389279551.547</v>
      </c>
      <c r="M4308" s="460">
        <f t="shared" si="166"/>
        <v>0.05</v>
      </c>
      <c r="N4308" s="464">
        <f t="shared" si="167"/>
        <v>182166</v>
      </c>
    </row>
    <row r="4309" spans="7:14" ht="11.25" customHeight="1" x14ac:dyDescent="0.25">
      <c r="G4309" s="459"/>
      <c r="H4309" s="459">
        <v>4302</v>
      </c>
      <c r="I4309" s="444">
        <f t="shared" ca="1" si="165"/>
        <v>-47372389279551.547</v>
      </c>
      <c r="J4309" s="444">
        <f t="array" ref="J4309">IFERROR(INDEX('Retirement Calculator'!K:K,MATCH('Lorri 401b'!N4309,'Retirement Calculator'!A:A,0),0),0)</f>
        <v>0</v>
      </c>
      <c r="K4309" s="444">
        <f t="shared" ca="1" si="163"/>
        <v>-197384955331.46478</v>
      </c>
      <c r="L4309" s="444">
        <f t="shared" ca="1" si="164"/>
        <v>-47569774234883.008</v>
      </c>
      <c r="M4309" s="460">
        <f t="shared" si="166"/>
        <v>0.05</v>
      </c>
      <c r="N4309" s="464">
        <f t="shared" si="167"/>
        <v>182197</v>
      </c>
    </row>
    <row r="4310" spans="7:14" ht="11.25" customHeight="1" x14ac:dyDescent="0.25">
      <c r="G4310" s="459"/>
      <c r="H4310" s="459">
        <v>4303</v>
      </c>
      <c r="I4310" s="444">
        <f t="shared" ca="1" si="165"/>
        <v>-47569774234883.008</v>
      </c>
      <c r="J4310" s="444">
        <f t="array" ref="J4310">IFERROR(INDEX('Retirement Calculator'!K:K,MATCH('Lorri 401b'!N4310,'Retirement Calculator'!A:A,0),0),0)</f>
        <v>0</v>
      </c>
      <c r="K4310" s="444">
        <f t="shared" ca="1" si="163"/>
        <v>-198207392645.34586</v>
      </c>
      <c r="L4310" s="444">
        <f t="shared" ca="1" si="164"/>
        <v>-47767981627528.352</v>
      </c>
      <c r="M4310" s="460">
        <f t="shared" si="166"/>
        <v>0.05</v>
      </c>
      <c r="N4310" s="464">
        <f t="shared" si="167"/>
        <v>182227</v>
      </c>
    </row>
    <row r="4311" spans="7:14" ht="11.25" customHeight="1" x14ac:dyDescent="0.25">
      <c r="G4311" s="459"/>
      <c r="H4311" s="459">
        <v>4304</v>
      </c>
      <c r="I4311" s="444">
        <f t="shared" ca="1" si="165"/>
        <v>-47767981627528.352</v>
      </c>
      <c r="J4311" s="444">
        <f t="array" ref="J4311">IFERROR(INDEX('Retirement Calculator'!K:K,MATCH('Lorri 401b'!N4311,'Retirement Calculator'!A:A,0),0),0)</f>
        <v>0</v>
      </c>
      <c r="K4311" s="444">
        <f t="shared" ca="1" si="163"/>
        <v>-199033256781.36813</v>
      </c>
      <c r="L4311" s="444">
        <f t="shared" ca="1" si="164"/>
        <v>-47967014884309.719</v>
      </c>
      <c r="M4311" s="460">
        <f t="shared" si="166"/>
        <v>0.05</v>
      </c>
      <c r="N4311" s="464">
        <f t="shared" si="167"/>
        <v>182258</v>
      </c>
    </row>
    <row r="4312" spans="7:14" ht="11.25" customHeight="1" x14ac:dyDescent="0.25">
      <c r="G4312" s="459"/>
      <c r="H4312" s="459">
        <v>4305</v>
      </c>
      <c r="I4312" s="444">
        <f t="shared" ca="1" si="165"/>
        <v>-47967014884309.719</v>
      </c>
      <c r="J4312" s="444">
        <f t="array" ref="J4312">IFERROR(INDEX('Retirement Calculator'!K:K,MATCH('Lorri 401b'!N4312,'Retirement Calculator'!A:A,0),0),0)</f>
        <v>0</v>
      </c>
      <c r="K4312" s="444">
        <f t="shared" ca="1" si="163"/>
        <v>-199862562017.95715</v>
      </c>
      <c r="L4312" s="444">
        <f t="shared" ca="1" si="164"/>
        <v>-48166877446327.68</v>
      </c>
      <c r="M4312" s="460">
        <f t="shared" si="166"/>
        <v>0.05</v>
      </c>
      <c r="N4312" s="464">
        <f t="shared" si="167"/>
        <v>182289</v>
      </c>
    </row>
    <row r="4313" spans="7:14" ht="11.25" customHeight="1" x14ac:dyDescent="0.25">
      <c r="G4313" s="459"/>
      <c r="H4313" s="459">
        <v>4306</v>
      </c>
      <c r="I4313" s="444">
        <f t="shared" ca="1" si="165"/>
        <v>-48166877446327.68</v>
      </c>
      <c r="J4313" s="444">
        <f t="array" ref="J4313">IFERROR(INDEX('Retirement Calculator'!K:K,MATCH('Lorri 401b'!N4313,'Retirement Calculator'!A:A,0),0),0)</f>
        <v>0</v>
      </c>
      <c r="K4313" s="444">
        <f t="shared" ca="1" si="163"/>
        <v>-200695322693.03198</v>
      </c>
      <c r="L4313" s="444">
        <f t="shared" ca="1" si="164"/>
        <v>-48367572769020.711</v>
      </c>
      <c r="M4313" s="460">
        <f t="shared" si="166"/>
        <v>0.05</v>
      </c>
      <c r="N4313" s="464">
        <f t="shared" si="167"/>
        <v>182317</v>
      </c>
    </row>
    <row r="4314" spans="7:14" ht="11.25" customHeight="1" x14ac:dyDescent="0.25">
      <c r="G4314" s="459"/>
      <c r="H4314" s="459">
        <v>4307</v>
      </c>
      <c r="I4314" s="444">
        <f t="shared" ca="1" si="165"/>
        <v>-48367572769020.711</v>
      </c>
      <c r="J4314" s="444">
        <f t="array" ref="J4314">IFERROR(INDEX('Retirement Calculator'!K:K,MATCH('Lorri 401b'!N4314,'Retirement Calculator'!A:A,0),0),0)</f>
        <v>0</v>
      </c>
      <c r="K4314" s="444">
        <f t="shared" ca="1" si="163"/>
        <v>-201531553204.25296</v>
      </c>
      <c r="L4314" s="444">
        <f t="shared" ca="1" si="164"/>
        <v>-48569104322224.961</v>
      </c>
      <c r="M4314" s="460">
        <f t="shared" si="166"/>
        <v>0.05</v>
      </c>
      <c r="N4314" s="464">
        <f t="shared" si="167"/>
        <v>182348</v>
      </c>
    </row>
    <row r="4315" spans="7:14" ht="11.25" customHeight="1" x14ac:dyDescent="0.25">
      <c r="G4315" s="459"/>
      <c r="H4315" s="459">
        <v>4308</v>
      </c>
      <c r="I4315" s="444">
        <f t="shared" ca="1" si="165"/>
        <v>-48569104322224.961</v>
      </c>
      <c r="J4315" s="444">
        <f t="array" ref="J4315">IFERROR(INDEX('Retirement Calculator'!K:K,MATCH('Lorri 401b'!N4315,'Retirement Calculator'!A:A,0),0),0)</f>
        <v>0</v>
      </c>
      <c r="K4315" s="444">
        <f t="shared" ca="1" si="163"/>
        <v>-202371268009.27066</v>
      </c>
      <c r="L4315" s="444">
        <f t="shared" ca="1" si="164"/>
        <v>-48771475590234.234</v>
      </c>
      <c r="M4315" s="460">
        <f t="shared" si="166"/>
        <v>0.05</v>
      </c>
      <c r="N4315" s="464">
        <f t="shared" si="167"/>
        <v>182378</v>
      </c>
    </row>
    <row r="4316" spans="7:14" ht="11.25" customHeight="1" x14ac:dyDescent="0.25">
      <c r="G4316" s="459"/>
      <c r="H4316" s="459">
        <v>4309</v>
      </c>
      <c r="I4316" s="444">
        <f t="shared" ca="1" si="165"/>
        <v>-48771475590234.234</v>
      </c>
      <c r="J4316" s="444">
        <f t="array" ref="J4316">IFERROR(INDEX('Retirement Calculator'!K:K,MATCH('Lorri 401b'!N4316,'Retirement Calculator'!A:A,0),0),0)</f>
        <v>0</v>
      </c>
      <c r="K4316" s="444">
        <f t="shared" ca="1" si="163"/>
        <v>-203214481625.97598</v>
      </c>
      <c r="L4316" s="444">
        <f t="shared" ca="1" si="164"/>
        <v>-48974690071860.211</v>
      </c>
      <c r="M4316" s="460">
        <f t="shared" si="166"/>
        <v>0.05</v>
      </c>
      <c r="N4316" s="464">
        <f t="shared" si="167"/>
        <v>182409</v>
      </c>
    </row>
    <row r="4317" spans="7:14" ht="11.25" customHeight="1" x14ac:dyDescent="0.25">
      <c r="G4317" s="459"/>
      <c r="H4317" s="459">
        <v>4310</v>
      </c>
      <c r="I4317" s="444">
        <f t="shared" ca="1" si="165"/>
        <v>-48974690071860.211</v>
      </c>
      <c r="J4317" s="444">
        <f t="array" ref="J4317">IFERROR(INDEX('Retirement Calculator'!K:K,MATCH('Lorri 401b'!N4317,'Retirement Calculator'!A:A,0),0),0)</f>
        <v>0</v>
      </c>
      <c r="K4317" s="444">
        <f t="shared" ca="1" si="163"/>
        <v>-204061208632.75089</v>
      </c>
      <c r="L4317" s="444">
        <f t="shared" ca="1" si="164"/>
        <v>-49178751280492.961</v>
      </c>
      <c r="M4317" s="460">
        <f t="shared" si="166"/>
        <v>0.05</v>
      </c>
      <c r="N4317" s="464">
        <f t="shared" si="167"/>
        <v>182439</v>
      </c>
    </row>
    <row r="4318" spans="7:14" ht="11.25" customHeight="1" x14ac:dyDescent="0.25">
      <c r="G4318" s="459"/>
      <c r="H4318" s="459">
        <v>4311</v>
      </c>
      <c r="I4318" s="444">
        <f t="shared" ca="1" si="165"/>
        <v>-49178751280492.961</v>
      </c>
      <c r="J4318" s="444">
        <f t="array" ref="J4318">IFERROR(INDEX('Retirement Calculator'!K:K,MATCH('Lorri 401b'!N4318,'Retirement Calculator'!A:A,0),0),0)</f>
        <v>0</v>
      </c>
      <c r="K4318" s="444">
        <f t="shared" ca="1" si="163"/>
        <v>-204911463668.72067</v>
      </c>
      <c r="L4318" s="444">
        <f t="shared" ca="1" si="164"/>
        <v>-49383662744161.68</v>
      </c>
      <c r="M4318" s="460">
        <f t="shared" si="166"/>
        <v>0.05</v>
      </c>
      <c r="N4318" s="464">
        <f t="shared" si="167"/>
        <v>182470</v>
      </c>
    </row>
    <row r="4319" spans="7:14" ht="11.25" customHeight="1" x14ac:dyDescent="0.25">
      <c r="G4319" s="459"/>
      <c r="H4319" s="459">
        <v>4312</v>
      </c>
      <c r="I4319" s="444">
        <f t="shared" ca="1" si="165"/>
        <v>-49383662744161.68</v>
      </c>
      <c r="J4319" s="444">
        <f t="array" ref="J4319">IFERROR(INDEX('Retirement Calculator'!K:K,MATCH('Lorri 401b'!N4319,'Retirement Calculator'!A:A,0),0),0)</f>
        <v>0</v>
      </c>
      <c r="K4319" s="444">
        <f t="shared" ca="1" si="163"/>
        <v>-205765261434.00699</v>
      </c>
      <c r="L4319" s="444">
        <f t="shared" ca="1" si="164"/>
        <v>-49589428005595.688</v>
      </c>
      <c r="M4319" s="460">
        <f t="shared" si="166"/>
        <v>0.05</v>
      </c>
      <c r="N4319" s="464">
        <f t="shared" si="167"/>
        <v>182501</v>
      </c>
    </row>
    <row r="4320" spans="7:14" ht="11.25" customHeight="1" x14ac:dyDescent="0.25">
      <c r="G4320" s="459"/>
      <c r="H4320" s="459">
        <v>4313</v>
      </c>
      <c r="I4320" s="444">
        <f t="shared" ca="1" si="165"/>
        <v>-49589428005595.688</v>
      </c>
      <c r="J4320" s="444">
        <f t="array" ref="J4320">IFERROR(INDEX('Retirement Calculator'!K:K,MATCH('Lorri 401b'!N4320,'Retirement Calculator'!A:A,0),0),0)</f>
        <v>0</v>
      </c>
      <c r="K4320" s="444">
        <f t="shared" ca="1" si="163"/>
        <v>-206622616689.98203</v>
      </c>
      <c r="L4320" s="444">
        <f t="shared" ca="1" si="164"/>
        <v>-49796050622285.672</v>
      </c>
      <c r="M4320" s="460">
        <f t="shared" si="166"/>
        <v>0.05</v>
      </c>
      <c r="N4320" s="464">
        <f t="shared" si="167"/>
        <v>182531</v>
      </c>
    </row>
    <row r="4321" spans="7:14" ht="11.25" customHeight="1" x14ac:dyDescent="0.25">
      <c r="G4321" s="459"/>
      <c r="H4321" s="459">
        <v>4314</v>
      </c>
      <c r="I4321" s="444">
        <f t="shared" ca="1" si="165"/>
        <v>-49796050622285.672</v>
      </c>
      <c r="J4321" s="444">
        <f t="array" ref="J4321">IFERROR(INDEX('Retirement Calculator'!K:K,MATCH('Lorri 401b'!N4321,'Retirement Calculator'!A:A,0),0),0)</f>
        <v>0</v>
      </c>
      <c r="K4321" s="444">
        <f t="shared" ca="1" si="163"/>
        <v>-207483544259.52362</v>
      </c>
      <c r="L4321" s="444">
        <f t="shared" ca="1" si="164"/>
        <v>-50003534166545.195</v>
      </c>
      <c r="M4321" s="460">
        <f t="shared" si="166"/>
        <v>0.05</v>
      </c>
      <c r="N4321" s="464">
        <f t="shared" si="167"/>
        <v>182562</v>
      </c>
    </row>
    <row r="4322" spans="7:14" ht="11.25" customHeight="1" x14ac:dyDescent="0.25">
      <c r="G4322" s="459"/>
      <c r="H4322" s="459">
        <v>4315</v>
      </c>
      <c r="I4322" s="444">
        <f t="shared" ca="1" si="165"/>
        <v>-50003534166545.195</v>
      </c>
      <c r="J4322" s="444">
        <f t="array" ref="J4322">IFERROR(INDEX('Retirement Calculator'!K:K,MATCH('Lorri 401b'!N4322,'Retirement Calculator'!A:A,0),0),0)</f>
        <v>0</v>
      </c>
      <c r="K4322" s="444">
        <f t="shared" ca="1" si="163"/>
        <v>-208348059027.27164</v>
      </c>
      <c r="L4322" s="444">
        <f t="shared" ca="1" si="164"/>
        <v>-50211882225572.469</v>
      </c>
      <c r="M4322" s="460">
        <f t="shared" si="166"/>
        <v>0.05</v>
      </c>
      <c r="N4322" s="464">
        <f t="shared" si="167"/>
        <v>182592</v>
      </c>
    </row>
    <row r="4323" spans="7:14" ht="11.25" customHeight="1" x14ac:dyDescent="0.25">
      <c r="G4323" s="459"/>
      <c r="H4323" s="459">
        <v>4316</v>
      </c>
      <c r="I4323" s="444">
        <f t="shared" ca="1" si="165"/>
        <v>-50211882225572.469</v>
      </c>
      <c r="J4323" s="444">
        <f t="array" ref="J4323">IFERROR(INDEX('Retirement Calculator'!K:K,MATCH('Lorri 401b'!N4323,'Retirement Calculator'!A:A,0),0),0)</f>
        <v>0</v>
      </c>
      <c r="K4323" s="444">
        <f t="shared" ca="1" si="163"/>
        <v>-209216175939.88528</v>
      </c>
      <c r="L4323" s="444">
        <f t="shared" ca="1" si="164"/>
        <v>-50421098401512.352</v>
      </c>
      <c r="M4323" s="460">
        <f t="shared" si="166"/>
        <v>0.05</v>
      </c>
      <c r="N4323" s="464">
        <f t="shared" si="167"/>
        <v>182623</v>
      </c>
    </row>
    <row r="4324" spans="7:14" ht="11.25" customHeight="1" x14ac:dyDescent="0.25">
      <c r="G4324" s="459"/>
      <c r="H4324" s="459">
        <v>4317</v>
      </c>
      <c r="I4324" s="444">
        <f t="shared" ca="1" si="165"/>
        <v>-50421098401512.352</v>
      </c>
      <c r="J4324" s="444">
        <f t="array" ref="J4324">IFERROR(INDEX('Retirement Calculator'!K:K,MATCH('Lorri 401b'!N4324,'Retirement Calculator'!A:A,0),0),0)</f>
        <v>0</v>
      </c>
      <c r="K4324" s="444">
        <f t="shared" ca="1" si="163"/>
        <v>-210087910006.30145</v>
      </c>
      <c r="L4324" s="444">
        <f t="shared" ca="1" si="164"/>
        <v>-50631186311518.656</v>
      </c>
      <c r="M4324" s="460">
        <f t="shared" si="166"/>
        <v>0.05</v>
      </c>
      <c r="N4324" s="464">
        <f t="shared" si="167"/>
        <v>182654</v>
      </c>
    </row>
    <row r="4325" spans="7:14" ht="11.25" customHeight="1" x14ac:dyDescent="0.25">
      <c r="G4325" s="459"/>
      <c r="H4325" s="459">
        <v>4318</v>
      </c>
      <c r="I4325" s="444">
        <f t="shared" ca="1" si="165"/>
        <v>-50631186311518.656</v>
      </c>
      <c r="J4325" s="444">
        <f t="array" ref="J4325">IFERROR(INDEX('Retirement Calculator'!K:K,MATCH('Lorri 401b'!N4325,'Retirement Calculator'!A:A,0),0),0)</f>
        <v>0</v>
      </c>
      <c r="K4325" s="444">
        <f t="shared" ca="1" si="163"/>
        <v>-210963276297.99438</v>
      </c>
      <c r="L4325" s="444">
        <f t="shared" ca="1" si="164"/>
        <v>-50842149587816.648</v>
      </c>
      <c r="M4325" s="460">
        <f t="shared" si="166"/>
        <v>0.05</v>
      </c>
      <c r="N4325" s="464">
        <f t="shared" si="167"/>
        <v>182683</v>
      </c>
    </row>
    <row r="4326" spans="7:14" ht="11.25" customHeight="1" x14ac:dyDescent="0.25">
      <c r="G4326" s="459"/>
      <c r="H4326" s="459">
        <v>4319</v>
      </c>
      <c r="I4326" s="444">
        <f t="shared" ca="1" si="165"/>
        <v>-50842149587816.648</v>
      </c>
      <c r="J4326" s="444">
        <f t="array" ref="J4326">IFERROR(INDEX('Retirement Calculator'!K:K,MATCH('Lorri 401b'!N4326,'Retirement Calculator'!A:A,0),0),0)</f>
        <v>0</v>
      </c>
      <c r="K4326" s="444">
        <f t="shared" ca="1" si="163"/>
        <v>-211842289949.23602</v>
      </c>
      <c r="L4326" s="444">
        <f t="shared" ca="1" si="164"/>
        <v>-51053991877765.883</v>
      </c>
      <c r="M4326" s="460">
        <f t="shared" si="166"/>
        <v>0.05</v>
      </c>
      <c r="N4326" s="464">
        <f t="shared" si="167"/>
        <v>182714</v>
      </c>
    </row>
    <row r="4327" spans="7:14" ht="11.25" customHeight="1" x14ac:dyDescent="0.25">
      <c r="G4327" s="459"/>
      <c r="H4327" s="459">
        <v>4320</v>
      </c>
      <c r="I4327" s="444">
        <f t="shared" ca="1" si="165"/>
        <v>-51053991877765.883</v>
      </c>
      <c r="J4327" s="444">
        <f t="array" ref="J4327">IFERROR(INDEX('Retirement Calculator'!K:K,MATCH('Lorri 401b'!N4327,'Retirement Calculator'!A:A,0),0),0)</f>
        <v>0</v>
      </c>
      <c r="K4327" s="444">
        <f t="shared" ca="1" si="163"/>
        <v>-212724966157.35785</v>
      </c>
      <c r="L4327" s="444">
        <f t="shared" ca="1" si="164"/>
        <v>-51266716843923.242</v>
      </c>
      <c r="M4327" s="460">
        <f t="shared" si="166"/>
        <v>0.05</v>
      </c>
      <c r="N4327" s="464">
        <f t="shared" si="167"/>
        <v>182744</v>
      </c>
    </row>
    <row r="4328" spans="7:14" ht="11.25" customHeight="1" x14ac:dyDescent="0.25">
      <c r="G4328" s="459"/>
      <c r="H4328" s="459">
        <v>4321</v>
      </c>
      <c r="I4328" s="444">
        <f t="shared" ca="1" si="165"/>
        <v>-51266716843923.242</v>
      </c>
      <c r="J4328" s="444">
        <f t="array" ref="J4328">IFERROR(INDEX('Retirement Calculator'!K:K,MATCH('Lorri 401b'!N4328,'Retirement Calculator'!A:A,0),0),0)</f>
        <v>0</v>
      </c>
      <c r="K4328" s="444">
        <f t="shared" ca="1" si="163"/>
        <v>-213611320183.01352</v>
      </c>
      <c r="L4328" s="444">
        <f t="shared" ca="1" si="164"/>
        <v>-51480328164106.258</v>
      </c>
      <c r="M4328" s="460">
        <f t="shared" si="166"/>
        <v>0.05</v>
      </c>
      <c r="N4328" s="464">
        <f t="shared" si="167"/>
        <v>182775</v>
      </c>
    </row>
    <row r="4329" spans="7:14" ht="11.25" customHeight="1" x14ac:dyDescent="0.25">
      <c r="G4329" s="459"/>
      <c r="H4329" s="459">
        <v>4322</v>
      </c>
      <c r="I4329" s="444">
        <f t="shared" ca="1" si="165"/>
        <v>-51480328164106.258</v>
      </c>
      <c r="J4329" s="444">
        <f t="array" ref="J4329">IFERROR(INDEX('Retirement Calculator'!K:K,MATCH('Lorri 401b'!N4329,'Retirement Calculator'!A:A,0),0),0)</f>
        <v>0</v>
      </c>
      <c r="K4329" s="444">
        <f t="shared" ca="1" si="163"/>
        <v>-214501367350.44275</v>
      </c>
      <c r="L4329" s="444">
        <f t="shared" ca="1" si="164"/>
        <v>-51694829531456.703</v>
      </c>
      <c r="M4329" s="460">
        <f t="shared" si="166"/>
        <v>0.05</v>
      </c>
      <c r="N4329" s="464">
        <f t="shared" si="167"/>
        <v>182805</v>
      </c>
    </row>
    <row r="4330" spans="7:14" ht="11.25" customHeight="1" x14ac:dyDescent="0.25">
      <c r="G4330" s="459"/>
      <c r="H4330" s="459">
        <v>4323</v>
      </c>
      <c r="I4330" s="444">
        <f t="shared" ca="1" si="165"/>
        <v>-51694829531456.703</v>
      </c>
      <c r="J4330" s="444">
        <f t="array" ref="J4330">IFERROR(INDEX('Retirement Calculator'!K:K,MATCH('Lorri 401b'!N4330,'Retirement Calculator'!A:A,0),0),0)</f>
        <v>0</v>
      </c>
      <c r="K4330" s="444">
        <f t="shared" ca="1" si="163"/>
        <v>-215395123047.73627</v>
      </c>
      <c r="L4330" s="444">
        <f t="shared" ca="1" si="164"/>
        <v>-51910224654504.438</v>
      </c>
      <c r="M4330" s="460">
        <f t="shared" si="166"/>
        <v>0.05</v>
      </c>
      <c r="N4330" s="464">
        <f t="shared" si="167"/>
        <v>182836</v>
      </c>
    </row>
    <row r="4331" spans="7:14" ht="11.25" customHeight="1" x14ac:dyDescent="0.25">
      <c r="G4331" s="459"/>
      <c r="H4331" s="459">
        <v>4324</v>
      </c>
      <c r="I4331" s="444">
        <f t="shared" ca="1" si="165"/>
        <v>-51910224654504.438</v>
      </c>
      <c r="J4331" s="444">
        <f t="array" ref="J4331">IFERROR(INDEX('Retirement Calculator'!K:K,MATCH('Lorri 401b'!N4331,'Retirement Calculator'!A:A,0),0),0)</f>
        <v>0</v>
      </c>
      <c r="K4331" s="444">
        <f t="shared" ca="1" si="163"/>
        <v>-216292602727.10181</v>
      </c>
      <c r="L4331" s="444">
        <f t="shared" ca="1" si="164"/>
        <v>-52126517257231.539</v>
      </c>
      <c r="M4331" s="460">
        <f t="shared" si="166"/>
        <v>0.05</v>
      </c>
      <c r="N4331" s="464">
        <f t="shared" si="167"/>
        <v>182867</v>
      </c>
    </row>
    <row r="4332" spans="7:14" ht="11.25" customHeight="1" x14ac:dyDescent="0.25">
      <c r="G4332" s="459"/>
      <c r="H4332" s="459">
        <v>4325</v>
      </c>
      <c r="I4332" s="444">
        <f t="shared" ca="1" si="165"/>
        <v>-52126517257231.539</v>
      </c>
      <c r="J4332" s="444">
        <f t="array" ref="J4332">IFERROR(INDEX('Retirement Calculator'!K:K,MATCH('Lorri 401b'!N4332,'Retirement Calculator'!A:A,0),0),0)</f>
        <v>0</v>
      </c>
      <c r="K4332" s="444">
        <f t="shared" ca="1" si="163"/>
        <v>-217193821905.13141</v>
      </c>
      <c r="L4332" s="444">
        <f t="shared" ca="1" si="164"/>
        <v>-52343711079136.672</v>
      </c>
      <c r="M4332" s="460">
        <f t="shared" si="166"/>
        <v>0.05</v>
      </c>
      <c r="N4332" s="464">
        <f t="shared" si="167"/>
        <v>182897</v>
      </c>
    </row>
    <row r="4333" spans="7:14" ht="11.25" customHeight="1" x14ac:dyDescent="0.25">
      <c r="G4333" s="459"/>
      <c r="H4333" s="459">
        <v>4326</v>
      </c>
      <c r="I4333" s="444">
        <f t="shared" ca="1" si="165"/>
        <v>-52343711079136.672</v>
      </c>
      <c r="J4333" s="444">
        <f t="array" ref="J4333">IFERROR(INDEX('Retirement Calculator'!K:K,MATCH('Lorri 401b'!N4333,'Retirement Calculator'!A:A,0),0),0)</f>
        <v>0</v>
      </c>
      <c r="K4333" s="444">
        <f t="shared" ca="1" si="163"/>
        <v>-218098796163.06946</v>
      </c>
      <c r="L4333" s="444">
        <f t="shared" ca="1" si="164"/>
        <v>-52561809875299.742</v>
      </c>
      <c r="M4333" s="460">
        <f t="shared" si="166"/>
        <v>0.05</v>
      </c>
      <c r="N4333" s="464">
        <f t="shared" si="167"/>
        <v>182928</v>
      </c>
    </row>
    <row r="4334" spans="7:14" ht="11.25" customHeight="1" x14ac:dyDescent="0.25">
      <c r="G4334" s="459"/>
      <c r="H4334" s="459">
        <v>4327</v>
      </c>
      <c r="I4334" s="444">
        <f t="shared" ca="1" si="165"/>
        <v>-52561809875299.742</v>
      </c>
      <c r="J4334" s="444">
        <f t="array" ref="J4334">IFERROR(INDEX('Retirement Calculator'!K:K,MATCH('Lorri 401b'!N4334,'Retirement Calculator'!A:A,0),0),0)</f>
        <v>0</v>
      </c>
      <c r="K4334" s="444">
        <f t="shared" ca="1" si="163"/>
        <v>-219007541147.08224</v>
      </c>
      <c r="L4334" s="444">
        <f t="shared" ca="1" si="164"/>
        <v>-52780817416446.828</v>
      </c>
      <c r="M4334" s="460">
        <f t="shared" si="166"/>
        <v>0.05</v>
      </c>
      <c r="N4334" s="464">
        <f t="shared" si="167"/>
        <v>182958</v>
      </c>
    </row>
    <row r="4335" spans="7:14" ht="11.25" customHeight="1" x14ac:dyDescent="0.25">
      <c r="G4335" s="459"/>
      <c r="H4335" s="459">
        <v>4328</v>
      </c>
      <c r="I4335" s="444">
        <f t="shared" ca="1" si="165"/>
        <v>-52780817416446.828</v>
      </c>
      <c r="J4335" s="444">
        <f t="array" ref="J4335">IFERROR(INDEX('Retirement Calculator'!K:K,MATCH('Lorri 401b'!N4335,'Retirement Calculator'!A:A,0),0),0)</f>
        <v>0</v>
      </c>
      <c r="K4335" s="444">
        <f t="shared" ca="1" si="163"/>
        <v>-219920072568.52844</v>
      </c>
      <c r="L4335" s="444">
        <f t="shared" ca="1" si="164"/>
        <v>-53000737489015.359</v>
      </c>
      <c r="M4335" s="460">
        <f t="shared" si="166"/>
        <v>0.05</v>
      </c>
      <c r="N4335" s="464">
        <f t="shared" si="167"/>
        <v>182989</v>
      </c>
    </row>
    <row r="4336" spans="7:14" ht="11.25" customHeight="1" x14ac:dyDescent="0.25">
      <c r="G4336" s="459"/>
      <c r="H4336" s="459">
        <v>4329</v>
      </c>
      <c r="I4336" s="444">
        <f t="shared" ca="1" si="165"/>
        <v>-53000737489015.359</v>
      </c>
      <c r="J4336" s="444">
        <f t="array" ref="J4336">IFERROR(INDEX('Retirement Calculator'!K:K,MATCH('Lorri 401b'!N4336,'Retirement Calculator'!A:A,0),0),0)</f>
        <v>0</v>
      </c>
      <c r="K4336" s="444">
        <f t="shared" ca="1" si="163"/>
        <v>-220836406204.23065</v>
      </c>
      <c r="L4336" s="444">
        <f t="shared" ca="1" si="164"/>
        <v>-53221573895219.594</v>
      </c>
      <c r="M4336" s="460">
        <f t="shared" si="166"/>
        <v>0.05</v>
      </c>
      <c r="N4336" s="464">
        <f t="shared" si="167"/>
        <v>183020</v>
      </c>
    </row>
    <row r="4337" spans="7:14" ht="11.25" customHeight="1" x14ac:dyDescent="0.25">
      <c r="G4337" s="459"/>
      <c r="H4337" s="459">
        <v>4330</v>
      </c>
      <c r="I4337" s="444">
        <f t="shared" ca="1" si="165"/>
        <v>-53221573895219.594</v>
      </c>
      <c r="J4337" s="444">
        <f t="array" ref="J4337">IFERROR(INDEX('Retirement Calculator'!K:K,MATCH('Lorri 401b'!N4337,'Retirement Calculator'!A:A,0),0),0)</f>
        <v>0</v>
      </c>
      <c r="K4337" s="444">
        <f t="shared" ca="1" si="163"/>
        <v>-221756557896.74829</v>
      </c>
      <c r="L4337" s="444">
        <f t="shared" ca="1" si="164"/>
        <v>-53443330453116.344</v>
      </c>
      <c r="M4337" s="460">
        <f t="shared" si="166"/>
        <v>0.05</v>
      </c>
      <c r="N4337" s="464">
        <f t="shared" si="167"/>
        <v>183048</v>
      </c>
    </row>
    <row r="4338" spans="7:14" ht="11.25" customHeight="1" x14ac:dyDescent="0.25">
      <c r="G4338" s="459"/>
      <c r="H4338" s="459">
        <v>4331</v>
      </c>
      <c r="I4338" s="444">
        <f t="shared" ca="1" si="165"/>
        <v>-53443330453116.344</v>
      </c>
      <c r="J4338" s="444">
        <f t="array" ref="J4338">IFERROR(INDEX('Retirement Calculator'!K:K,MATCH('Lorri 401b'!N4338,'Retirement Calculator'!A:A,0),0),0)</f>
        <v>0</v>
      </c>
      <c r="K4338" s="444">
        <f t="shared" ca="1" si="163"/>
        <v>-222680543554.65143</v>
      </c>
      <c r="L4338" s="444">
        <f t="shared" ca="1" si="164"/>
        <v>-53666010996670.992</v>
      </c>
      <c r="M4338" s="460">
        <f t="shared" si="166"/>
        <v>0.05</v>
      </c>
      <c r="N4338" s="464">
        <f t="shared" si="167"/>
        <v>183079</v>
      </c>
    </row>
    <row r="4339" spans="7:14" ht="11.25" customHeight="1" x14ac:dyDescent="0.25">
      <c r="G4339" s="459"/>
      <c r="H4339" s="459">
        <v>4332</v>
      </c>
      <c r="I4339" s="444">
        <f t="shared" ca="1" si="165"/>
        <v>-53666010996670.992</v>
      </c>
      <c r="J4339" s="444">
        <f t="array" ref="J4339">IFERROR(INDEX('Retirement Calculator'!K:K,MATCH('Lorri 401b'!N4339,'Retirement Calculator'!A:A,0),0),0)</f>
        <v>0</v>
      </c>
      <c r="K4339" s="444">
        <f t="shared" ca="1" si="163"/>
        <v>-223608379152.79581</v>
      </c>
      <c r="L4339" s="444">
        <f t="shared" ca="1" si="164"/>
        <v>-53889619375823.789</v>
      </c>
      <c r="M4339" s="460">
        <f t="shared" si="166"/>
        <v>0.05</v>
      </c>
      <c r="N4339" s="464">
        <f t="shared" si="167"/>
        <v>183109</v>
      </c>
    </row>
    <row r="4340" spans="7:14" ht="11.25" customHeight="1" x14ac:dyDescent="0.25">
      <c r="G4340" s="459"/>
      <c r="H4340" s="459">
        <v>4333</v>
      </c>
      <c r="I4340" s="444">
        <f t="shared" ca="1" si="165"/>
        <v>-53889619375823.789</v>
      </c>
      <c r="J4340" s="444">
        <f t="array" ref="J4340">IFERROR(INDEX('Retirement Calculator'!K:K,MATCH('Lorri 401b'!N4340,'Retirement Calculator'!A:A,0),0),0)</f>
        <v>0</v>
      </c>
      <c r="K4340" s="444">
        <f t="shared" ca="1" si="163"/>
        <v>-224540080732.59912</v>
      </c>
      <c r="L4340" s="444">
        <f t="shared" ca="1" si="164"/>
        <v>-54114159456556.391</v>
      </c>
      <c r="M4340" s="460">
        <f t="shared" si="166"/>
        <v>0.05</v>
      </c>
      <c r="N4340" s="464">
        <f t="shared" si="167"/>
        <v>183140</v>
      </c>
    </row>
    <row r="4341" spans="7:14" ht="11.25" customHeight="1" x14ac:dyDescent="0.25">
      <c r="G4341" s="459"/>
      <c r="H4341" s="459">
        <v>4334</v>
      </c>
      <c r="I4341" s="444">
        <f t="shared" ca="1" si="165"/>
        <v>-54114159456556.391</v>
      </c>
      <c r="J4341" s="444">
        <f t="array" ref="J4341">IFERROR(INDEX('Retirement Calculator'!K:K,MATCH('Lorri 401b'!N4341,'Retirement Calculator'!A:A,0),0),0)</f>
        <v>0</v>
      </c>
      <c r="K4341" s="444">
        <f t="shared" ca="1" si="163"/>
        <v>-225475664402.3183</v>
      </c>
      <c r="L4341" s="444">
        <f t="shared" ca="1" si="164"/>
        <v>-54339635120958.711</v>
      </c>
      <c r="M4341" s="460">
        <f t="shared" si="166"/>
        <v>0.05</v>
      </c>
      <c r="N4341" s="464">
        <f t="shared" si="167"/>
        <v>183170</v>
      </c>
    </row>
    <row r="4342" spans="7:14" ht="11.25" customHeight="1" x14ac:dyDescent="0.25">
      <c r="G4342" s="459"/>
      <c r="H4342" s="459">
        <v>4335</v>
      </c>
      <c r="I4342" s="444">
        <f t="shared" ca="1" si="165"/>
        <v>-54339635120958.711</v>
      </c>
      <c r="J4342" s="444">
        <f t="array" ref="J4342">IFERROR(INDEX('Retirement Calculator'!K:K,MATCH('Lorri 401b'!N4342,'Retirement Calculator'!A:A,0),0),0)</f>
        <v>0</v>
      </c>
      <c r="K4342" s="444">
        <f t="shared" ca="1" si="163"/>
        <v>-226415146337.32797</v>
      </c>
      <c r="L4342" s="444">
        <f t="shared" ca="1" si="164"/>
        <v>-54566050267296.039</v>
      </c>
      <c r="M4342" s="460">
        <f t="shared" si="166"/>
        <v>0.05</v>
      </c>
      <c r="N4342" s="464">
        <f t="shared" si="167"/>
        <v>183201</v>
      </c>
    </row>
    <row r="4343" spans="7:14" ht="11.25" customHeight="1" x14ac:dyDescent="0.25">
      <c r="G4343" s="459"/>
      <c r="H4343" s="459">
        <v>4336</v>
      </c>
      <c r="I4343" s="444">
        <f t="shared" ca="1" si="165"/>
        <v>-54566050267296.039</v>
      </c>
      <c r="J4343" s="444">
        <f t="array" ref="J4343">IFERROR(INDEX('Retirement Calculator'!K:K,MATCH('Lorri 401b'!N4343,'Retirement Calculator'!A:A,0),0),0)</f>
        <v>0</v>
      </c>
      <c r="K4343" s="444">
        <f t="shared" ref="K4343:K4597" ca="1" si="168">IPMT(M4343/12,1,12,-I4343+J4343,,0)</f>
        <v>-227358542780.40015</v>
      </c>
      <c r="L4343" s="444">
        <f t="shared" ref="L4343:L4597" ca="1" si="169">I4343-J4343+K4343</f>
        <v>-54793408810076.438</v>
      </c>
      <c r="M4343" s="460">
        <f t="shared" si="166"/>
        <v>0.05</v>
      </c>
      <c r="N4343" s="464">
        <f t="shared" si="167"/>
        <v>183232</v>
      </c>
    </row>
    <row r="4344" spans="7:14" ht="11.25" customHeight="1" x14ac:dyDescent="0.25">
      <c r="G4344" s="459"/>
      <c r="H4344" s="459">
        <v>4337</v>
      </c>
      <c r="I4344" s="444">
        <f t="shared" ref="I4344:I4598" ca="1" si="170">L4343</f>
        <v>-54793408810076.438</v>
      </c>
      <c r="J4344" s="444">
        <f t="array" ref="J4344">IFERROR(INDEX('Retirement Calculator'!K:K,MATCH('Lorri 401b'!N4344,'Retirement Calculator'!A:A,0),0),0)</f>
        <v>0</v>
      </c>
      <c r="K4344" s="444">
        <f t="shared" ca="1" si="168"/>
        <v>-228305870041.98514</v>
      </c>
      <c r="L4344" s="444">
        <f t="shared" ca="1" si="169"/>
        <v>-55021714680118.422</v>
      </c>
      <c r="M4344" s="460">
        <f t="shared" ref="M4344:M4598" si="171">M4343</f>
        <v>0.05</v>
      </c>
      <c r="N4344" s="464">
        <f t="shared" ref="N4344:N4598" si="172">EDATE(N4343,1)</f>
        <v>183262</v>
      </c>
    </row>
    <row r="4345" spans="7:14" ht="11.25" customHeight="1" x14ac:dyDescent="0.25">
      <c r="G4345" s="459"/>
      <c r="H4345" s="459">
        <v>4338</v>
      </c>
      <c r="I4345" s="444">
        <f t="shared" ca="1" si="170"/>
        <v>-55021714680118.422</v>
      </c>
      <c r="J4345" s="444">
        <f t="array" ref="J4345">IFERROR(INDEX('Retirement Calculator'!K:K,MATCH('Lorri 401b'!N4345,'Retirement Calculator'!A:A,0),0),0)</f>
        <v>0</v>
      </c>
      <c r="K4345" s="444">
        <f t="shared" ca="1" si="168"/>
        <v>-229257144500.49338</v>
      </c>
      <c r="L4345" s="444">
        <f t="shared" ca="1" si="169"/>
        <v>-55250971824618.914</v>
      </c>
      <c r="M4345" s="460">
        <f t="shared" si="171"/>
        <v>0.05</v>
      </c>
      <c r="N4345" s="464">
        <f t="shared" si="172"/>
        <v>183293</v>
      </c>
    </row>
    <row r="4346" spans="7:14" ht="11.25" customHeight="1" x14ac:dyDescent="0.25">
      <c r="G4346" s="459"/>
      <c r="H4346" s="459">
        <v>4339</v>
      </c>
      <c r="I4346" s="444">
        <f t="shared" ca="1" si="170"/>
        <v>-55250971824618.914</v>
      </c>
      <c r="J4346" s="444">
        <f t="array" ref="J4346">IFERROR(INDEX('Retirement Calculator'!K:K,MATCH('Lorri 401b'!N4346,'Retirement Calculator'!A:A,0),0),0)</f>
        <v>0</v>
      </c>
      <c r="K4346" s="444">
        <f t="shared" ca="1" si="168"/>
        <v>-230212382602.5788</v>
      </c>
      <c r="L4346" s="444">
        <f t="shared" ca="1" si="169"/>
        <v>-55481184207221.492</v>
      </c>
      <c r="M4346" s="460">
        <f t="shared" si="171"/>
        <v>0.05</v>
      </c>
      <c r="N4346" s="464">
        <f t="shared" si="172"/>
        <v>183323</v>
      </c>
    </row>
    <row r="4347" spans="7:14" ht="11.25" customHeight="1" x14ac:dyDescent="0.25">
      <c r="G4347" s="459"/>
      <c r="H4347" s="459">
        <v>4340</v>
      </c>
      <c r="I4347" s="444">
        <f t="shared" ca="1" si="170"/>
        <v>-55481184207221.492</v>
      </c>
      <c r="J4347" s="444">
        <f t="array" ref="J4347">IFERROR(INDEX('Retirement Calculator'!K:K,MATCH('Lorri 401b'!N4347,'Retirement Calculator'!A:A,0),0),0)</f>
        <v>0</v>
      </c>
      <c r="K4347" s="444">
        <f t="shared" ca="1" si="168"/>
        <v>-231171600863.42288</v>
      </c>
      <c r="L4347" s="444">
        <f t="shared" ca="1" si="169"/>
        <v>-55712355808084.914</v>
      </c>
      <c r="M4347" s="460">
        <f t="shared" si="171"/>
        <v>0.05</v>
      </c>
      <c r="N4347" s="464">
        <f t="shared" si="172"/>
        <v>183354</v>
      </c>
    </row>
    <row r="4348" spans="7:14" ht="11.25" customHeight="1" x14ac:dyDescent="0.25">
      <c r="G4348" s="459"/>
      <c r="H4348" s="459">
        <v>4341</v>
      </c>
      <c r="I4348" s="444">
        <f t="shared" ca="1" si="170"/>
        <v>-55712355808084.914</v>
      </c>
      <c r="J4348" s="444">
        <f t="array" ref="J4348">IFERROR(INDEX('Retirement Calculator'!K:K,MATCH('Lorri 401b'!N4348,'Retirement Calculator'!A:A,0),0),0)</f>
        <v>0</v>
      </c>
      <c r="K4348" s="444">
        <f t="shared" ca="1" si="168"/>
        <v>-232134815867.02048</v>
      </c>
      <c r="L4348" s="444">
        <f t="shared" ca="1" si="169"/>
        <v>-55944490623951.938</v>
      </c>
      <c r="M4348" s="460">
        <f t="shared" si="171"/>
        <v>0.05</v>
      </c>
      <c r="N4348" s="464">
        <f t="shared" si="172"/>
        <v>183385</v>
      </c>
    </row>
    <row r="4349" spans="7:14" ht="11.25" customHeight="1" x14ac:dyDescent="0.25">
      <c r="G4349" s="459"/>
      <c r="H4349" s="459">
        <v>4342</v>
      </c>
      <c r="I4349" s="444">
        <f t="shared" ca="1" si="170"/>
        <v>-55944490623951.938</v>
      </c>
      <c r="J4349" s="444">
        <f t="array" ref="J4349">IFERROR(INDEX('Retirement Calculator'!K:K,MATCH('Lorri 401b'!N4349,'Retirement Calculator'!A:A,0),0),0)</f>
        <v>0</v>
      </c>
      <c r="K4349" s="444">
        <f t="shared" ca="1" si="168"/>
        <v>-233102044266.4664</v>
      </c>
      <c r="L4349" s="444">
        <f t="shared" ca="1" si="169"/>
        <v>-56177592668218.406</v>
      </c>
      <c r="M4349" s="460">
        <f t="shared" si="171"/>
        <v>0.05</v>
      </c>
      <c r="N4349" s="464">
        <f t="shared" si="172"/>
        <v>183413</v>
      </c>
    </row>
    <row r="4350" spans="7:14" ht="11.25" customHeight="1" x14ac:dyDescent="0.25">
      <c r="G4350" s="459"/>
      <c r="H4350" s="459">
        <v>4343</v>
      </c>
      <c r="I4350" s="444">
        <f t="shared" ca="1" si="170"/>
        <v>-56177592668218.406</v>
      </c>
      <c r="J4350" s="444">
        <f t="array" ref="J4350">IFERROR(INDEX('Retirement Calculator'!K:K,MATCH('Lorri 401b'!N4350,'Retirement Calculator'!A:A,0),0),0)</f>
        <v>0</v>
      </c>
      <c r="K4350" s="444">
        <f t="shared" ca="1" si="168"/>
        <v>-234073302784.24332</v>
      </c>
      <c r="L4350" s="444">
        <f t="shared" ca="1" si="169"/>
        <v>-56411665971002.648</v>
      </c>
      <c r="M4350" s="460">
        <f t="shared" si="171"/>
        <v>0.05</v>
      </c>
      <c r="N4350" s="464">
        <f t="shared" si="172"/>
        <v>183444</v>
      </c>
    </row>
    <row r="4351" spans="7:14" ht="11.25" customHeight="1" x14ac:dyDescent="0.25">
      <c r="G4351" s="459"/>
      <c r="H4351" s="459">
        <v>4344</v>
      </c>
      <c r="I4351" s="444">
        <f t="shared" ca="1" si="170"/>
        <v>-56411665971002.648</v>
      </c>
      <c r="J4351" s="444">
        <f t="array" ref="J4351">IFERROR(INDEX('Retirement Calculator'!K:K,MATCH('Lorri 401b'!N4351,'Retirement Calculator'!A:A,0),0),0)</f>
        <v>0</v>
      </c>
      <c r="K4351" s="444">
        <f t="shared" ca="1" si="168"/>
        <v>-235048608212.51102</v>
      </c>
      <c r="L4351" s="444">
        <f t="shared" ca="1" si="169"/>
        <v>-56646714579215.156</v>
      </c>
      <c r="M4351" s="460">
        <f t="shared" si="171"/>
        <v>0.05</v>
      </c>
      <c r="N4351" s="464">
        <f t="shared" si="172"/>
        <v>183474</v>
      </c>
    </row>
    <row r="4352" spans="7:14" ht="11.25" customHeight="1" x14ac:dyDescent="0.25">
      <c r="G4352" s="459"/>
      <c r="H4352" s="459">
        <v>4345</v>
      </c>
      <c r="I4352" s="444">
        <f t="shared" ca="1" si="170"/>
        <v>-56646714579215.156</v>
      </c>
      <c r="J4352" s="444">
        <f t="array" ref="J4352">IFERROR(INDEX('Retirement Calculator'!K:K,MATCH('Lorri 401b'!N4352,'Retirement Calculator'!A:A,0),0),0)</f>
        <v>0</v>
      </c>
      <c r="K4352" s="444">
        <f t="shared" ca="1" si="168"/>
        <v>-236027977413.39651</v>
      </c>
      <c r="L4352" s="444">
        <f t="shared" ca="1" si="169"/>
        <v>-56882742556628.555</v>
      </c>
      <c r="M4352" s="460">
        <f t="shared" si="171"/>
        <v>0.05</v>
      </c>
      <c r="N4352" s="464">
        <f t="shared" si="172"/>
        <v>183505</v>
      </c>
    </row>
    <row r="4353" spans="7:14" ht="11.25" customHeight="1" x14ac:dyDescent="0.25">
      <c r="G4353" s="459"/>
      <c r="H4353" s="459">
        <v>4346</v>
      </c>
      <c r="I4353" s="444">
        <f t="shared" ca="1" si="170"/>
        <v>-56882742556628.555</v>
      </c>
      <c r="J4353" s="444">
        <f t="array" ref="J4353">IFERROR(INDEX('Retirement Calculator'!K:K,MATCH('Lorri 401b'!N4353,'Retirement Calculator'!A:A,0),0),0)</f>
        <v>0</v>
      </c>
      <c r="K4353" s="444">
        <f t="shared" ca="1" si="168"/>
        <v>-237011427319.28561</v>
      </c>
      <c r="L4353" s="444">
        <f t="shared" ca="1" si="169"/>
        <v>-57119753983947.844</v>
      </c>
      <c r="M4353" s="460">
        <f t="shared" si="171"/>
        <v>0.05</v>
      </c>
      <c r="N4353" s="464">
        <f t="shared" si="172"/>
        <v>183535</v>
      </c>
    </row>
    <row r="4354" spans="7:14" ht="11.25" customHeight="1" x14ac:dyDescent="0.25">
      <c r="G4354" s="459"/>
      <c r="H4354" s="459">
        <v>4347</v>
      </c>
      <c r="I4354" s="444">
        <f t="shared" ca="1" si="170"/>
        <v>-57119753983947.844</v>
      </c>
      <c r="J4354" s="444">
        <f t="array" ref="J4354">IFERROR(INDEX('Retirement Calculator'!K:K,MATCH('Lorri 401b'!N4354,'Retirement Calculator'!A:A,0),0),0)</f>
        <v>0</v>
      </c>
      <c r="K4354" s="444">
        <f t="shared" ca="1" si="168"/>
        <v>-237998974933.116</v>
      </c>
      <c r="L4354" s="444">
        <f t="shared" ca="1" si="169"/>
        <v>-57357752958880.961</v>
      </c>
      <c r="M4354" s="460">
        <f t="shared" si="171"/>
        <v>0.05</v>
      </c>
      <c r="N4354" s="464">
        <f t="shared" si="172"/>
        <v>183566</v>
      </c>
    </row>
    <row r="4355" spans="7:14" ht="11.25" customHeight="1" x14ac:dyDescent="0.25">
      <c r="G4355" s="459"/>
      <c r="H4355" s="459">
        <v>4348</v>
      </c>
      <c r="I4355" s="444">
        <f t="shared" ca="1" si="170"/>
        <v>-57357752958880.961</v>
      </c>
      <c r="J4355" s="444">
        <f t="array" ref="J4355">IFERROR(INDEX('Retirement Calculator'!K:K,MATCH('Lorri 401b'!N4355,'Retirement Calculator'!A:A,0),0),0)</f>
        <v>0</v>
      </c>
      <c r="K4355" s="444">
        <f t="shared" ca="1" si="168"/>
        <v>-238990637328.67068</v>
      </c>
      <c r="L4355" s="444">
        <f t="shared" ca="1" si="169"/>
        <v>-57596743596209.633</v>
      </c>
      <c r="M4355" s="460">
        <f t="shared" si="171"/>
        <v>0.05</v>
      </c>
      <c r="N4355" s="464">
        <f t="shared" si="172"/>
        <v>183597</v>
      </c>
    </row>
    <row r="4356" spans="7:14" ht="11.25" customHeight="1" x14ac:dyDescent="0.25">
      <c r="G4356" s="459"/>
      <c r="H4356" s="459">
        <v>4349</v>
      </c>
      <c r="I4356" s="444">
        <f t="shared" ca="1" si="170"/>
        <v>-57596743596209.633</v>
      </c>
      <c r="J4356" s="444">
        <f t="array" ref="J4356">IFERROR(INDEX('Retirement Calculator'!K:K,MATCH('Lorri 401b'!N4356,'Retirement Calculator'!A:A,0),0),0)</f>
        <v>0</v>
      </c>
      <c r="K4356" s="444">
        <f t="shared" ca="1" si="168"/>
        <v>-239986431650.87347</v>
      </c>
      <c r="L4356" s="444">
        <f t="shared" ca="1" si="169"/>
        <v>-57836730027860.508</v>
      </c>
      <c r="M4356" s="460">
        <f t="shared" si="171"/>
        <v>0.05</v>
      </c>
      <c r="N4356" s="464">
        <f t="shared" si="172"/>
        <v>183627</v>
      </c>
    </row>
    <row r="4357" spans="7:14" ht="11.25" customHeight="1" x14ac:dyDescent="0.25">
      <c r="G4357" s="459"/>
      <c r="H4357" s="459">
        <v>4350</v>
      </c>
      <c r="I4357" s="444">
        <f t="shared" ca="1" si="170"/>
        <v>-57836730027860.508</v>
      </c>
      <c r="J4357" s="444">
        <f t="array" ref="J4357">IFERROR(INDEX('Retirement Calculator'!K:K,MATCH('Lorri 401b'!N4357,'Retirement Calculator'!A:A,0),0),0)</f>
        <v>0</v>
      </c>
      <c r="K4357" s="444">
        <f t="shared" ca="1" si="168"/>
        <v>-240986375116.08545</v>
      </c>
      <c r="L4357" s="444">
        <f t="shared" ca="1" si="169"/>
        <v>-58077716402976.594</v>
      </c>
      <c r="M4357" s="460">
        <f t="shared" si="171"/>
        <v>0.05</v>
      </c>
      <c r="N4357" s="464">
        <f t="shared" si="172"/>
        <v>183658</v>
      </c>
    </row>
    <row r="4358" spans="7:14" ht="11.25" customHeight="1" x14ac:dyDescent="0.25">
      <c r="G4358" s="459"/>
      <c r="H4358" s="459">
        <v>4351</v>
      </c>
      <c r="I4358" s="444">
        <f t="shared" ca="1" si="170"/>
        <v>-58077716402976.594</v>
      </c>
      <c r="J4358" s="444">
        <f t="array" ref="J4358">IFERROR(INDEX('Retirement Calculator'!K:K,MATCH('Lorri 401b'!N4358,'Retirement Calculator'!A:A,0),0),0)</f>
        <v>0</v>
      </c>
      <c r="K4358" s="444">
        <f t="shared" ca="1" si="168"/>
        <v>-241990485012.40244</v>
      </c>
      <c r="L4358" s="444">
        <f t="shared" ca="1" si="169"/>
        <v>-58319706887989</v>
      </c>
      <c r="M4358" s="460">
        <f t="shared" si="171"/>
        <v>0.05</v>
      </c>
      <c r="N4358" s="464">
        <f t="shared" si="172"/>
        <v>183688</v>
      </c>
    </row>
    <row r="4359" spans="7:14" ht="11.25" customHeight="1" x14ac:dyDescent="0.25">
      <c r="G4359" s="459"/>
      <c r="H4359" s="459">
        <v>4352</v>
      </c>
      <c r="I4359" s="444">
        <f t="shared" ca="1" si="170"/>
        <v>-58319706887989</v>
      </c>
      <c r="J4359" s="444">
        <f t="array" ref="J4359">IFERROR(INDEX('Retirement Calculator'!K:K,MATCH('Lorri 401b'!N4359,'Retirement Calculator'!A:A,0),0),0)</f>
        <v>0</v>
      </c>
      <c r="K4359" s="444">
        <f t="shared" ca="1" si="168"/>
        <v>-242998778699.95416</v>
      </c>
      <c r="L4359" s="444">
        <f t="shared" ca="1" si="169"/>
        <v>-58562705666688.953</v>
      </c>
      <c r="M4359" s="460">
        <f t="shared" si="171"/>
        <v>0.05</v>
      </c>
      <c r="N4359" s="464">
        <f t="shared" si="172"/>
        <v>183719</v>
      </c>
    </row>
    <row r="4360" spans="7:14" ht="11.25" customHeight="1" x14ac:dyDescent="0.25">
      <c r="G4360" s="459"/>
      <c r="H4360" s="459">
        <v>4353</v>
      </c>
      <c r="I4360" s="444">
        <f t="shared" ca="1" si="170"/>
        <v>-58562705666688.953</v>
      </c>
      <c r="J4360" s="444">
        <f t="array" ref="J4360">IFERROR(INDEX('Retirement Calculator'!K:K,MATCH('Lorri 401b'!N4360,'Retirement Calculator'!A:A,0),0),0)</f>
        <v>0</v>
      </c>
      <c r="K4360" s="444">
        <f t="shared" ca="1" si="168"/>
        <v>-244011273611.20398</v>
      </c>
      <c r="L4360" s="444">
        <f t="shared" ca="1" si="169"/>
        <v>-58806716940300.156</v>
      </c>
      <c r="M4360" s="460">
        <f t="shared" si="171"/>
        <v>0.05</v>
      </c>
      <c r="N4360" s="464">
        <f t="shared" si="172"/>
        <v>183750</v>
      </c>
    </row>
    <row r="4361" spans="7:14" ht="11.25" customHeight="1" x14ac:dyDescent="0.25">
      <c r="G4361" s="459"/>
      <c r="H4361" s="459">
        <v>4354</v>
      </c>
      <c r="I4361" s="444">
        <f t="shared" ca="1" si="170"/>
        <v>-58806716940300.156</v>
      </c>
      <c r="J4361" s="444">
        <f t="array" ref="J4361">IFERROR(INDEX('Retirement Calculator'!K:K,MATCH('Lorri 401b'!N4361,'Retirement Calculator'!A:A,0),0),0)</f>
        <v>0</v>
      </c>
      <c r="K4361" s="444">
        <f t="shared" ca="1" si="168"/>
        <v>-245027987251.25067</v>
      </c>
      <c r="L4361" s="444">
        <f t="shared" ca="1" si="169"/>
        <v>-59051744927551.406</v>
      </c>
      <c r="M4361" s="460">
        <f t="shared" si="171"/>
        <v>0.05</v>
      </c>
      <c r="N4361" s="464">
        <f t="shared" si="172"/>
        <v>183778</v>
      </c>
    </row>
    <row r="4362" spans="7:14" ht="11.25" customHeight="1" x14ac:dyDescent="0.25">
      <c r="G4362" s="459"/>
      <c r="H4362" s="459">
        <v>4355</v>
      </c>
      <c r="I4362" s="444">
        <f t="shared" ca="1" si="170"/>
        <v>-59051744927551.406</v>
      </c>
      <c r="J4362" s="444">
        <f t="array" ref="J4362">IFERROR(INDEX('Retirement Calculator'!K:K,MATCH('Lorri 401b'!N4362,'Retirement Calculator'!A:A,0),0),0)</f>
        <v>0</v>
      </c>
      <c r="K4362" s="444">
        <f t="shared" ca="1" si="168"/>
        <v>-246048937198.13089</v>
      </c>
      <c r="L4362" s="444">
        <f t="shared" ca="1" si="169"/>
        <v>-59297793864749.539</v>
      </c>
      <c r="M4362" s="460">
        <f t="shared" si="171"/>
        <v>0.05</v>
      </c>
      <c r="N4362" s="464">
        <f t="shared" si="172"/>
        <v>183809</v>
      </c>
    </row>
    <row r="4363" spans="7:14" ht="11.25" customHeight="1" x14ac:dyDescent="0.25">
      <c r="G4363" s="459"/>
      <c r="H4363" s="459">
        <v>4356</v>
      </c>
      <c r="I4363" s="444">
        <f t="shared" ca="1" si="170"/>
        <v>-59297793864749.539</v>
      </c>
      <c r="J4363" s="444">
        <f t="array" ref="J4363">IFERROR(INDEX('Retirement Calculator'!K:K,MATCH('Lorri 401b'!N4363,'Retirement Calculator'!A:A,0),0),0)</f>
        <v>0</v>
      </c>
      <c r="K4363" s="444">
        <f t="shared" ca="1" si="168"/>
        <v>-247074141103.12308</v>
      </c>
      <c r="L4363" s="444">
        <f t="shared" ca="1" si="169"/>
        <v>-59544868005852.664</v>
      </c>
      <c r="M4363" s="460">
        <f t="shared" si="171"/>
        <v>0.05</v>
      </c>
      <c r="N4363" s="464">
        <f t="shared" si="172"/>
        <v>183839</v>
      </c>
    </row>
    <row r="4364" spans="7:14" ht="11.25" customHeight="1" x14ac:dyDescent="0.25">
      <c r="G4364" s="459"/>
      <c r="H4364" s="459">
        <v>4357</v>
      </c>
      <c r="I4364" s="444">
        <f t="shared" ca="1" si="170"/>
        <v>-59544868005852.664</v>
      </c>
      <c r="J4364" s="444">
        <f t="array" ref="J4364">IFERROR(INDEX('Retirement Calculator'!K:K,MATCH('Lorri 401b'!N4364,'Retirement Calculator'!A:A,0),0),0)</f>
        <v>0</v>
      </c>
      <c r="K4364" s="444">
        <f t="shared" ca="1" si="168"/>
        <v>-248103616691.0528</v>
      </c>
      <c r="L4364" s="444">
        <f t="shared" ca="1" si="169"/>
        <v>-59792971622543.719</v>
      </c>
      <c r="M4364" s="460">
        <f t="shared" si="171"/>
        <v>0.05</v>
      </c>
      <c r="N4364" s="464">
        <f t="shared" si="172"/>
        <v>183870</v>
      </c>
    </row>
    <row r="4365" spans="7:14" ht="11.25" customHeight="1" x14ac:dyDescent="0.25">
      <c r="G4365" s="459"/>
      <c r="H4365" s="459">
        <v>4358</v>
      </c>
      <c r="I4365" s="444">
        <f t="shared" ca="1" si="170"/>
        <v>-59792971622543.719</v>
      </c>
      <c r="J4365" s="444">
        <f t="array" ref="J4365">IFERROR(INDEX('Retirement Calculator'!K:K,MATCH('Lorri 401b'!N4365,'Retirement Calculator'!A:A,0),0),0)</f>
        <v>0</v>
      </c>
      <c r="K4365" s="444">
        <f t="shared" ca="1" si="168"/>
        <v>-249137381760.59885</v>
      </c>
      <c r="L4365" s="444">
        <f t="shared" ca="1" si="169"/>
        <v>-60042109004304.32</v>
      </c>
      <c r="M4365" s="460">
        <f t="shared" si="171"/>
        <v>0.05</v>
      </c>
      <c r="N4365" s="464">
        <f t="shared" si="172"/>
        <v>183900</v>
      </c>
    </row>
    <row r="4366" spans="7:14" ht="11.25" customHeight="1" x14ac:dyDescent="0.25">
      <c r="G4366" s="459"/>
      <c r="H4366" s="459">
        <v>4359</v>
      </c>
      <c r="I4366" s="444">
        <f t="shared" ca="1" si="170"/>
        <v>-60042109004304.32</v>
      </c>
      <c r="J4366" s="444">
        <f t="array" ref="J4366">IFERROR(INDEX('Retirement Calculator'!K:K,MATCH('Lorri 401b'!N4366,'Retirement Calculator'!A:A,0),0),0)</f>
        <v>0</v>
      </c>
      <c r="K4366" s="444">
        <f t="shared" ca="1" si="168"/>
        <v>-250175454184.60132</v>
      </c>
      <c r="L4366" s="444">
        <f t="shared" ca="1" si="169"/>
        <v>-60292284458488.922</v>
      </c>
      <c r="M4366" s="460">
        <f t="shared" si="171"/>
        <v>0.05</v>
      </c>
      <c r="N4366" s="464">
        <f t="shared" si="172"/>
        <v>183931</v>
      </c>
    </row>
    <row r="4367" spans="7:14" ht="11.25" customHeight="1" x14ac:dyDescent="0.25">
      <c r="G4367" s="459"/>
      <c r="H4367" s="459">
        <v>4360</v>
      </c>
      <c r="I4367" s="444">
        <f t="shared" ca="1" si="170"/>
        <v>-60292284458488.922</v>
      </c>
      <c r="J4367" s="444">
        <f t="array" ref="J4367">IFERROR(INDEX('Retirement Calculator'!K:K,MATCH('Lorri 401b'!N4367,'Retirement Calculator'!A:A,0),0),0)</f>
        <v>0</v>
      </c>
      <c r="K4367" s="444">
        <f t="shared" ca="1" si="168"/>
        <v>-251217851910.37051</v>
      </c>
      <c r="L4367" s="444">
        <f t="shared" ca="1" si="169"/>
        <v>-60543502310399.289</v>
      </c>
      <c r="M4367" s="460">
        <f t="shared" si="171"/>
        <v>0.05</v>
      </c>
      <c r="N4367" s="464">
        <f t="shared" si="172"/>
        <v>183962</v>
      </c>
    </row>
    <row r="4368" spans="7:14" ht="11.25" customHeight="1" x14ac:dyDescent="0.25">
      <c r="G4368" s="459"/>
      <c r="H4368" s="459">
        <v>4361</v>
      </c>
      <c r="I4368" s="444">
        <f t="shared" ca="1" si="170"/>
        <v>-60543502310399.289</v>
      </c>
      <c r="J4368" s="444">
        <f t="array" ref="J4368">IFERROR(INDEX('Retirement Calculator'!K:K,MATCH('Lorri 401b'!N4368,'Retirement Calculator'!A:A,0),0),0)</f>
        <v>0</v>
      </c>
      <c r="K4368" s="444">
        <f t="shared" ca="1" si="168"/>
        <v>-252264592959.99704</v>
      </c>
      <c r="L4368" s="444">
        <f t="shared" ca="1" si="169"/>
        <v>-60795766903359.289</v>
      </c>
      <c r="M4368" s="460">
        <f t="shared" si="171"/>
        <v>0.05</v>
      </c>
      <c r="N4368" s="464">
        <f t="shared" si="172"/>
        <v>183992</v>
      </c>
    </row>
    <row r="4369" spans="7:14" ht="11.25" customHeight="1" x14ac:dyDescent="0.25">
      <c r="G4369" s="459"/>
      <c r="H4369" s="459">
        <v>4362</v>
      </c>
      <c r="I4369" s="444">
        <f t="shared" ca="1" si="170"/>
        <v>-60795766903359.289</v>
      </c>
      <c r="J4369" s="444">
        <f t="array" ref="J4369">IFERROR(INDEX('Retirement Calculator'!K:K,MATCH('Lorri 401b'!N4369,'Retirement Calculator'!A:A,0),0),0)</f>
        <v>0</v>
      </c>
      <c r="K4369" s="444">
        <f t="shared" ca="1" si="168"/>
        <v>-253315695430.6637</v>
      </c>
      <c r="L4369" s="444">
        <f t="shared" ca="1" si="169"/>
        <v>-61049082598789.953</v>
      </c>
      <c r="M4369" s="460">
        <f t="shared" si="171"/>
        <v>0.05</v>
      </c>
      <c r="N4369" s="464">
        <f t="shared" si="172"/>
        <v>184023</v>
      </c>
    </row>
    <row r="4370" spans="7:14" ht="11.25" customHeight="1" x14ac:dyDescent="0.25">
      <c r="G4370" s="459"/>
      <c r="H4370" s="459">
        <v>4363</v>
      </c>
      <c r="I4370" s="444">
        <f t="shared" ca="1" si="170"/>
        <v>-61049082598789.953</v>
      </c>
      <c r="J4370" s="444">
        <f t="array" ref="J4370">IFERROR(INDEX('Retirement Calculator'!K:K,MATCH('Lorri 401b'!N4370,'Retirement Calculator'!A:A,0),0),0)</f>
        <v>0</v>
      </c>
      <c r="K4370" s="444">
        <f t="shared" ca="1" si="168"/>
        <v>-254371177494.95813</v>
      </c>
      <c r="L4370" s="444">
        <f t="shared" ca="1" si="169"/>
        <v>-61303453776284.914</v>
      </c>
      <c r="M4370" s="460">
        <f t="shared" si="171"/>
        <v>0.05</v>
      </c>
      <c r="N4370" s="464">
        <f t="shared" si="172"/>
        <v>184053</v>
      </c>
    </row>
    <row r="4371" spans="7:14" ht="11.25" customHeight="1" x14ac:dyDescent="0.25">
      <c r="G4371" s="459"/>
      <c r="H4371" s="459">
        <v>4364</v>
      </c>
      <c r="I4371" s="444">
        <f t="shared" ca="1" si="170"/>
        <v>-61303453776284.914</v>
      </c>
      <c r="J4371" s="444">
        <f t="array" ref="J4371">IFERROR(INDEX('Retirement Calculator'!K:K,MATCH('Lorri 401b'!N4371,'Retirement Calculator'!A:A,0),0),0)</f>
        <v>0</v>
      </c>
      <c r="K4371" s="444">
        <f t="shared" ca="1" si="168"/>
        <v>-255431057401.1871</v>
      </c>
      <c r="L4371" s="444">
        <f t="shared" ca="1" si="169"/>
        <v>-61558884833686.102</v>
      </c>
      <c r="M4371" s="460">
        <f t="shared" si="171"/>
        <v>0.05</v>
      </c>
      <c r="N4371" s="464">
        <f t="shared" si="172"/>
        <v>184084</v>
      </c>
    </row>
    <row r="4372" spans="7:14" ht="11.25" customHeight="1" x14ac:dyDescent="0.25">
      <c r="G4372" s="459"/>
      <c r="H4372" s="459">
        <v>4365</v>
      </c>
      <c r="I4372" s="444">
        <f t="shared" ca="1" si="170"/>
        <v>-61558884833686.102</v>
      </c>
      <c r="J4372" s="444">
        <f t="array" ref="J4372">IFERROR(INDEX('Retirement Calculator'!K:K,MATCH('Lorri 401b'!N4372,'Retirement Calculator'!A:A,0),0),0)</f>
        <v>0</v>
      </c>
      <c r="K4372" s="444">
        <f t="shared" ca="1" si="168"/>
        <v>-256495353473.69208</v>
      </c>
      <c r="L4372" s="444">
        <f t="shared" ca="1" si="169"/>
        <v>-61815380187159.797</v>
      </c>
      <c r="M4372" s="460">
        <f t="shared" si="171"/>
        <v>0.05</v>
      </c>
      <c r="N4372" s="464">
        <f t="shared" si="172"/>
        <v>184115</v>
      </c>
    </row>
    <row r="4373" spans="7:14" ht="11.25" customHeight="1" x14ac:dyDescent="0.25">
      <c r="G4373" s="459"/>
      <c r="H4373" s="459">
        <v>4366</v>
      </c>
      <c r="I4373" s="444">
        <f t="shared" ca="1" si="170"/>
        <v>-61815380187159.797</v>
      </c>
      <c r="J4373" s="444">
        <f t="array" ref="J4373">IFERROR(INDEX('Retirement Calculator'!K:K,MATCH('Lorri 401b'!N4373,'Retirement Calculator'!A:A,0),0),0)</f>
        <v>0</v>
      </c>
      <c r="K4373" s="444">
        <f t="shared" ca="1" si="168"/>
        <v>-257564084113.1658</v>
      </c>
      <c r="L4373" s="444">
        <f t="shared" ca="1" si="169"/>
        <v>-62072944271272.961</v>
      </c>
      <c r="M4373" s="460">
        <f t="shared" si="171"/>
        <v>0.05</v>
      </c>
      <c r="N4373" s="464">
        <f t="shared" si="172"/>
        <v>184144</v>
      </c>
    </row>
    <row r="4374" spans="7:14" ht="11.25" customHeight="1" x14ac:dyDescent="0.25">
      <c r="G4374" s="459"/>
      <c r="H4374" s="459">
        <v>4367</v>
      </c>
      <c r="I4374" s="444">
        <f t="shared" ca="1" si="170"/>
        <v>-62072944271272.961</v>
      </c>
      <c r="J4374" s="444">
        <f t="array" ref="J4374">IFERROR(INDEX('Retirement Calculator'!K:K,MATCH('Lorri 401b'!N4374,'Retirement Calculator'!A:A,0),0),0)</f>
        <v>0</v>
      </c>
      <c r="K4374" s="444">
        <f t="shared" ca="1" si="168"/>
        <v>-258637267796.9707</v>
      </c>
      <c r="L4374" s="444">
        <f t="shared" ca="1" si="169"/>
        <v>-62331581539069.93</v>
      </c>
      <c r="M4374" s="460">
        <f t="shared" si="171"/>
        <v>0.05</v>
      </c>
      <c r="N4374" s="464">
        <f t="shared" si="172"/>
        <v>184175</v>
      </c>
    </row>
    <row r="4375" spans="7:14" ht="11.25" customHeight="1" x14ac:dyDescent="0.25">
      <c r="G4375" s="459"/>
      <c r="H4375" s="459">
        <v>4368</v>
      </c>
      <c r="I4375" s="444">
        <f t="shared" ca="1" si="170"/>
        <v>-62331581539069.93</v>
      </c>
      <c r="J4375" s="444">
        <f t="array" ref="J4375">IFERROR(INDEX('Retirement Calculator'!K:K,MATCH('Lorri 401b'!N4375,'Retirement Calculator'!A:A,0),0),0)</f>
        <v>0</v>
      </c>
      <c r="K4375" s="444">
        <f t="shared" ca="1" si="168"/>
        <v>-259714923079.45807</v>
      </c>
      <c r="L4375" s="444">
        <f t="shared" ca="1" si="169"/>
        <v>-62591296462149.391</v>
      </c>
      <c r="M4375" s="460">
        <f t="shared" si="171"/>
        <v>0.05</v>
      </c>
      <c r="N4375" s="464">
        <f t="shared" si="172"/>
        <v>184205</v>
      </c>
    </row>
    <row r="4376" spans="7:14" ht="11.25" customHeight="1" x14ac:dyDescent="0.25">
      <c r="G4376" s="459"/>
      <c r="H4376" s="459">
        <v>4369</v>
      </c>
      <c r="I4376" s="444">
        <f t="shared" ca="1" si="170"/>
        <v>-62591296462149.391</v>
      </c>
      <c r="J4376" s="444">
        <f t="array" ref="J4376">IFERROR(INDEX('Retirement Calculator'!K:K,MATCH('Lorri 401b'!N4376,'Retirement Calculator'!A:A,0),0),0)</f>
        <v>0</v>
      </c>
      <c r="K4376" s="444">
        <f t="shared" ca="1" si="168"/>
        <v>-260797068592.28912</v>
      </c>
      <c r="L4376" s="444">
        <f t="shared" ca="1" si="169"/>
        <v>-62852093530741.68</v>
      </c>
      <c r="M4376" s="460">
        <f t="shared" si="171"/>
        <v>0.05</v>
      </c>
      <c r="N4376" s="464">
        <f t="shared" si="172"/>
        <v>184236</v>
      </c>
    </row>
    <row r="4377" spans="7:14" ht="11.25" customHeight="1" x14ac:dyDescent="0.25">
      <c r="G4377" s="459"/>
      <c r="H4377" s="459">
        <v>4370</v>
      </c>
      <c r="I4377" s="444">
        <f t="shared" ca="1" si="170"/>
        <v>-62852093530741.68</v>
      </c>
      <c r="J4377" s="444">
        <f t="array" ref="J4377">IFERROR(INDEX('Retirement Calculator'!K:K,MATCH('Lorri 401b'!N4377,'Retirement Calculator'!A:A,0),0),0)</f>
        <v>0</v>
      </c>
      <c r="K4377" s="444">
        <f t="shared" ca="1" si="168"/>
        <v>-261883723044.75699</v>
      </c>
      <c r="L4377" s="444">
        <f t="shared" ca="1" si="169"/>
        <v>-63113977253786.438</v>
      </c>
      <c r="M4377" s="460">
        <f t="shared" si="171"/>
        <v>0.05</v>
      </c>
      <c r="N4377" s="464">
        <f t="shared" si="172"/>
        <v>184266</v>
      </c>
    </row>
    <row r="4378" spans="7:14" ht="11.25" customHeight="1" x14ac:dyDescent="0.25">
      <c r="G4378" s="459"/>
      <c r="H4378" s="459">
        <v>4371</v>
      </c>
      <c r="I4378" s="444">
        <f t="shared" ca="1" si="170"/>
        <v>-63113977253786.438</v>
      </c>
      <c r="J4378" s="444">
        <f t="array" ref="J4378">IFERROR(INDEX('Retirement Calculator'!K:K,MATCH('Lorri 401b'!N4378,'Retirement Calculator'!A:A,0),0),0)</f>
        <v>0</v>
      </c>
      <c r="K4378" s="444">
        <f t="shared" ca="1" si="168"/>
        <v>-262974905224.11014</v>
      </c>
      <c r="L4378" s="444">
        <f t="shared" ca="1" si="169"/>
        <v>-63376952159010.547</v>
      </c>
      <c r="M4378" s="460">
        <f t="shared" si="171"/>
        <v>0.05</v>
      </c>
      <c r="N4378" s="464">
        <f t="shared" si="172"/>
        <v>184297</v>
      </c>
    </row>
    <row r="4379" spans="7:14" ht="11.25" customHeight="1" x14ac:dyDescent="0.25">
      <c r="G4379" s="459"/>
      <c r="H4379" s="459">
        <v>4372</v>
      </c>
      <c r="I4379" s="444">
        <f t="shared" ca="1" si="170"/>
        <v>-63376952159010.547</v>
      </c>
      <c r="J4379" s="444">
        <f t="array" ref="J4379">IFERROR(INDEX('Retirement Calculator'!K:K,MATCH('Lorri 401b'!N4379,'Retirement Calculator'!A:A,0),0),0)</f>
        <v>0</v>
      </c>
      <c r="K4379" s="444">
        <f t="shared" ca="1" si="168"/>
        <v>-264070633995.87729</v>
      </c>
      <c r="L4379" s="444">
        <f t="shared" ca="1" si="169"/>
        <v>-63641022793006.422</v>
      </c>
      <c r="M4379" s="460">
        <f t="shared" si="171"/>
        <v>0.05</v>
      </c>
      <c r="N4379" s="464">
        <f t="shared" si="172"/>
        <v>184328</v>
      </c>
    </row>
    <row r="4380" spans="7:14" ht="11.25" customHeight="1" x14ac:dyDescent="0.25">
      <c r="G4380" s="459"/>
      <c r="H4380" s="459">
        <v>4373</v>
      </c>
      <c r="I4380" s="444">
        <f t="shared" ca="1" si="170"/>
        <v>-63641022793006.422</v>
      </c>
      <c r="J4380" s="444">
        <f t="array" ref="J4380">IFERROR(INDEX('Retirement Calculator'!K:K,MATCH('Lorri 401b'!N4380,'Retirement Calculator'!A:A,0),0),0)</f>
        <v>0</v>
      </c>
      <c r="K4380" s="444">
        <f t="shared" ca="1" si="168"/>
        <v>-265170928304.19342</v>
      </c>
      <c r="L4380" s="444">
        <f t="shared" ca="1" si="169"/>
        <v>-63906193721310.617</v>
      </c>
      <c r="M4380" s="460">
        <f t="shared" si="171"/>
        <v>0.05</v>
      </c>
      <c r="N4380" s="464">
        <f t="shared" si="172"/>
        <v>184358</v>
      </c>
    </row>
    <row r="4381" spans="7:14" ht="11.25" customHeight="1" x14ac:dyDescent="0.25">
      <c r="G4381" s="459"/>
      <c r="H4381" s="459">
        <v>4374</v>
      </c>
      <c r="I4381" s="444">
        <f t="shared" ca="1" si="170"/>
        <v>-63906193721310.617</v>
      </c>
      <c r="J4381" s="444">
        <f t="array" ref="J4381">IFERROR(INDEX('Retirement Calculator'!K:K,MATCH('Lorri 401b'!N4381,'Retirement Calculator'!A:A,0),0),0)</f>
        <v>0</v>
      </c>
      <c r="K4381" s="444">
        <f t="shared" ca="1" si="168"/>
        <v>-266275807172.12756</v>
      </c>
      <c r="L4381" s="444">
        <f t="shared" ca="1" si="169"/>
        <v>-64172469528482.742</v>
      </c>
      <c r="M4381" s="460">
        <f t="shared" si="171"/>
        <v>0.05</v>
      </c>
      <c r="N4381" s="464">
        <f t="shared" si="172"/>
        <v>184389</v>
      </c>
    </row>
    <row r="4382" spans="7:14" ht="11.25" customHeight="1" x14ac:dyDescent="0.25">
      <c r="G4382" s="459"/>
      <c r="H4382" s="459">
        <v>4375</v>
      </c>
      <c r="I4382" s="444">
        <f t="shared" ca="1" si="170"/>
        <v>-64172469528482.742</v>
      </c>
      <c r="J4382" s="444">
        <f t="array" ref="J4382">IFERROR(INDEX('Retirement Calculator'!K:K,MATCH('Lorri 401b'!N4382,'Retirement Calculator'!A:A,0),0),0)</f>
        <v>0</v>
      </c>
      <c r="K4382" s="444">
        <f t="shared" ca="1" si="168"/>
        <v>-267385289702.01141</v>
      </c>
      <c r="L4382" s="444">
        <f t="shared" ca="1" si="169"/>
        <v>-64439854818184.75</v>
      </c>
      <c r="M4382" s="460">
        <f t="shared" si="171"/>
        <v>0.05</v>
      </c>
      <c r="N4382" s="464">
        <f t="shared" si="172"/>
        <v>184419</v>
      </c>
    </row>
    <row r="4383" spans="7:14" ht="11.25" customHeight="1" x14ac:dyDescent="0.25">
      <c r="G4383" s="459"/>
      <c r="H4383" s="459">
        <v>4376</v>
      </c>
      <c r="I4383" s="444">
        <f t="shared" ca="1" si="170"/>
        <v>-64439854818184.75</v>
      </c>
      <c r="J4383" s="444">
        <f t="array" ref="J4383">IFERROR(INDEX('Retirement Calculator'!K:K,MATCH('Lorri 401b'!N4383,'Retirement Calculator'!A:A,0),0),0)</f>
        <v>0</v>
      </c>
      <c r="K4383" s="444">
        <f t="shared" ca="1" si="168"/>
        <v>-268499395075.76978</v>
      </c>
      <c r="L4383" s="444">
        <f t="shared" ca="1" si="169"/>
        <v>-64708354213260.523</v>
      </c>
      <c r="M4383" s="460">
        <f t="shared" si="171"/>
        <v>0.05</v>
      </c>
      <c r="N4383" s="464">
        <f t="shared" si="172"/>
        <v>184450</v>
      </c>
    </row>
    <row r="4384" spans="7:14" ht="11.25" customHeight="1" x14ac:dyDescent="0.25">
      <c r="G4384" s="459"/>
      <c r="H4384" s="459">
        <v>4377</v>
      </c>
      <c r="I4384" s="444">
        <f t="shared" ca="1" si="170"/>
        <v>-64708354213260.523</v>
      </c>
      <c r="J4384" s="444">
        <f t="array" ref="J4384">IFERROR(INDEX('Retirement Calculator'!K:K,MATCH('Lorri 401b'!N4384,'Retirement Calculator'!A:A,0),0),0)</f>
        <v>0</v>
      </c>
      <c r="K4384" s="444">
        <f t="shared" ca="1" si="168"/>
        <v>-269618142555.25217</v>
      </c>
      <c r="L4384" s="444">
        <f t="shared" ca="1" si="169"/>
        <v>-64977972355815.773</v>
      </c>
      <c r="M4384" s="460">
        <f t="shared" si="171"/>
        <v>0.05</v>
      </c>
      <c r="N4384" s="464">
        <f t="shared" si="172"/>
        <v>184481</v>
      </c>
    </row>
    <row r="4385" spans="7:14" ht="11.25" customHeight="1" x14ac:dyDescent="0.25">
      <c r="G4385" s="459"/>
      <c r="H4385" s="459">
        <v>4378</v>
      </c>
      <c r="I4385" s="444">
        <f t="shared" ca="1" si="170"/>
        <v>-64977972355815.773</v>
      </c>
      <c r="J4385" s="444">
        <f t="array" ref="J4385">IFERROR(INDEX('Retirement Calculator'!K:K,MATCH('Lorri 401b'!N4385,'Retirement Calculator'!A:A,0),0),0)</f>
        <v>0</v>
      </c>
      <c r="K4385" s="444">
        <f t="shared" ca="1" si="168"/>
        <v>-270741551482.56577</v>
      </c>
      <c r="L4385" s="444">
        <f t="shared" ca="1" si="169"/>
        <v>-65248713907298.336</v>
      </c>
      <c r="M4385" s="460">
        <f t="shared" si="171"/>
        <v>0.05</v>
      </c>
      <c r="N4385" s="464">
        <f t="shared" si="172"/>
        <v>184509</v>
      </c>
    </row>
    <row r="4386" spans="7:14" ht="11.25" customHeight="1" x14ac:dyDescent="0.25">
      <c r="G4386" s="459"/>
      <c r="H4386" s="459">
        <v>4379</v>
      </c>
      <c r="I4386" s="444">
        <f t="shared" ca="1" si="170"/>
        <v>-65248713907298.336</v>
      </c>
      <c r="J4386" s="444">
        <f t="array" ref="J4386">IFERROR(INDEX('Retirement Calculator'!K:K,MATCH('Lorri 401b'!N4386,'Retirement Calculator'!A:A,0),0),0)</f>
        <v>0</v>
      </c>
      <c r="K4386" s="444">
        <f t="shared" ca="1" si="168"/>
        <v>-271869641280.4097</v>
      </c>
      <c r="L4386" s="444">
        <f t="shared" ca="1" si="169"/>
        <v>-65520583548578.742</v>
      </c>
      <c r="M4386" s="460">
        <f t="shared" si="171"/>
        <v>0.05</v>
      </c>
      <c r="N4386" s="464">
        <f t="shared" si="172"/>
        <v>184540</v>
      </c>
    </row>
    <row r="4387" spans="7:14" ht="11.25" customHeight="1" x14ac:dyDescent="0.25">
      <c r="G4387" s="459"/>
      <c r="H4387" s="459">
        <v>4380</v>
      </c>
      <c r="I4387" s="444">
        <f t="shared" ca="1" si="170"/>
        <v>-65520583548578.742</v>
      </c>
      <c r="J4387" s="444">
        <f t="array" ref="J4387">IFERROR(INDEX('Retirement Calculator'!K:K,MATCH('Lorri 401b'!N4387,'Retirement Calculator'!A:A,0),0),0)</f>
        <v>0</v>
      </c>
      <c r="K4387" s="444">
        <f t="shared" ca="1" si="168"/>
        <v>-273002431452.41141</v>
      </c>
      <c r="L4387" s="444">
        <f t="shared" ca="1" si="169"/>
        <v>-65793585980031.156</v>
      </c>
      <c r="M4387" s="460">
        <f t="shared" si="171"/>
        <v>0.05</v>
      </c>
      <c r="N4387" s="464">
        <f t="shared" si="172"/>
        <v>184570</v>
      </c>
    </row>
    <row r="4388" spans="7:14" ht="11.25" customHeight="1" x14ac:dyDescent="0.25">
      <c r="G4388" s="459"/>
      <c r="H4388" s="459">
        <v>4381</v>
      </c>
      <c r="I4388" s="444">
        <f t="shared" ca="1" si="170"/>
        <v>-65793585980031.156</v>
      </c>
      <c r="J4388" s="444">
        <f t="array" ref="J4388">IFERROR(INDEX('Retirement Calculator'!K:K,MATCH('Lorri 401b'!N4388,'Retirement Calculator'!A:A,0),0),0)</f>
        <v>0</v>
      </c>
      <c r="K4388" s="444">
        <f t="shared" ca="1" si="168"/>
        <v>-274139941583.46313</v>
      </c>
      <c r="L4388" s="444">
        <f t="shared" ca="1" si="169"/>
        <v>-66067725921614.617</v>
      </c>
      <c r="M4388" s="460">
        <f t="shared" si="171"/>
        <v>0.05</v>
      </c>
      <c r="N4388" s="464">
        <f t="shared" si="172"/>
        <v>184601</v>
      </c>
    </row>
    <row r="4389" spans="7:14" ht="11.25" customHeight="1" x14ac:dyDescent="0.25">
      <c r="G4389" s="459"/>
      <c r="H4389" s="459">
        <v>4382</v>
      </c>
      <c r="I4389" s="444">
        <f t="shared" ca="1" si="170"/>
        <v>-66067725921614.617</v>
      </c>
      <c r="J4389" s="444">
        <f t="array" ref="J4389">IFERROR(INDEX('Retirement Calculator'!K:K,MATCH('Lorri 401b'!N4389,'Retirement Calculator'!A:A,0),0),0)</f>
        <v>0</v>
      </c>
      <c r="K4389" s="444">
        <f t="shared" ca="1" si="168"/>
        <v>-275282191340.06091</v>
      </c>
      <c r="L4389" s="444">
        <f t="shared" ca="1" si="169"/>
        <v>-66343008112954.68</v>
      </c>
      <c r="M4389" s="460">
        <f t="shared" si="171"/>
        <v>0.05</v>
      </c>
      <c r="N4389" s="464">
        <f t="shared" si="172"/>
        <v>184631</v>
      </c>
    </row>
    <row r="4390" spans="7:14" ht="11.25" customHeight="1" x14ac:dyDescent="0.25">
      <c r="G4390" s="459"/>
      <c r="H4390" s="459">
        <v>4383</v>
      </c>
      <c r="I4390" s="444">
        <f t="shared" ca="1" si="170"/>
        <v>-66343008112954.68</v>
      </c>
      <c r="J4390" s="444">
        <f t="array" ref="J4390">IFERROR(INDEX('Retirement Calculator'!K:K,MATCH('Lorri 401b'!N4390,'Retirement Calculator'!A:A,0),0),0)</f>
        <v>0</v>
      </c>
      <c r="K4390" s="444">
        <f t="shared" ca="1" si="168"/>
        <v>-276429200470.64447</v>
      </c>
      <c r="L4390" s="444">
        <f t="shared" ca="1" si="169"/>
        <v>-66619437313425.32</v>
      </c>
      <c r="M4390" s="460">
        <f t="shared" si="171"/>
        <v>0.05</v>
      </c>
      <c r="N4390" s="464">
        <f t="shared" si="172"/>
        <v>184662</v>
      </c>
    </row>
    <row r="4391" spans="7:14" ht="11.25" customHeight="1" x14ac:dyDescent="0.25">
      <c r="G4391" s="459"/>
      <c r="H4391" s="459">
        <v>4384</v>
      </c>
      <c r="I4391" s="444">
        <f t="shared" ca="1" si="170"/>
        <v>-66619437313425.32</v>
      </c>
      <c r="J4391" s="444">
        <f t="array" ref="J4391">IFERROR(INDEX('Retirement Calculator'!K:K,MATCH('Lorri 401b'!N4391,'Retirement Calculator'!A:A,0),0),0)</f>
        <v>0</v>
      </c>
      <c r="K4391" s="444">
        <f t="shared" ca="1" si="168"/>
        <v>-277580988805.93884</v>
      </c>
      <c r="L4391" s="444">
        <f t="shared" ca="1" si="169"/>
        <v>-66897018302231.258</v>
      </c>
      <c r="M4391" s="460">
        <f t="shared" si="171"/>
        <v>0.05</v>
      </c>
      <c r="N4391" s="464">
        <f t="shared" si="172"/>
        <v>184693</v>
      </c>
    </row>
    <row r="4392" spans="7:14" ht="11.25" customHeight="1" x14ac:dyDescent="0.25">
      <c r="G4392" s="459"/>
      <c r="H4392" s="459">
        <v>4385</v>
      </c>
      <c r="I4392" s="444">
        <f t="shared" ca="1" si="170"/>
        <v>-66897018302231.258</v>
      </c>
      <c r="J4392" s="444">
        <f t="array" ref="J4392">IFERROR(INDEX('Retirement Calculator'!K:K,MATCH('Lorri 401b'!N4392,'Retirement Calculator'!A:A,0),0),0)</f>
        <v>0</v>
      </c>
      <c r="K4392" s="444">
        <f t="shared" ca="1" si="168"/>
        <v>-278737576259.29688</v>
      </c>
      <c r="L4392" s="444">
        <f t="shared" ca="1" si="169"/>
        <v>-67175755878490.555</v>
      </c>
      <c r="M4392" s="460">
        <f t="shared" si="171"/>
        <v>0.05</v>
      </c>
      <c r="N4392" s="464">
        <f t="shared" si="172"/>
        <v>184723</v>
      </c>
    </row>
    <row r="4393" spans="7:14" ht="11.25" customHeight="1" x14ac:dyDescent="0.25">
      <c r="G4393" s="459"/>
      <c r="H4393" s="459">
        <v>4386</v>
      </c>
      <c r="I4393" s="444">
        <f t="shared" ca="1" si="170"/>
        <v>-67175755878490.555</v>
      </c>
      <c r="J4393" s="444">
        <f t="array" ref="J4393">IFERROR(INDEX('Retirement Calculator'!K:K,MATCH('Lorri 401b'!N4393,'Retirement Calculator'!A:A,0),0),0)</f>
        <v>0</v>
      </c>
      <c r="K4393" s="444">
        <f t="shared" ca="1" si="168"/>
        <v>-279898982827.04395</v>
      </c>
      <c r="L4393" s="444">
        <f t="shared" ca="1" si="169"/>
        <v>-67455654861317.602</v>
      </c>
      <c r="M4393" s="460">
        <f t="shared" si="171"/>
        <v>0.05</v>
      </c>
      <c r="N4393" s="464">
        <f t="shared" si="172"/>
        <v>184754</v>
      </c>
    </row>
    <row r="4394" spans="7:14" ht="11.25" customHeight="1" x14ac:dyDescent="0.25">
      <c r="G4394" s="459"/>
      <c r="H4394" s="459">
        <v>4387</v>
      </c>
      <c r="I4394" s="444">
        <f t="shared" ca="1" si="170"/>
        <v>-67455654861317.602</v>
      </c>
      <c r="J4394" s="444">
        <f t="array" ref="J4394">IFERROR(INDEX('Retirement Calculator'!K:K,MATCH('Lorri 401b'!N4394,'Retirement Calculator'!A:A,0),0),0)</f>
        <v>0</v>
      </c>
      <c r="K4394" s="444">
        <f t="shared" ca="1" si="168"/>
        <v>-281065228588.82336</v>
      </c>
      <c r="L4394" s="444">
        <f t="shared" ca="1" si="169"/>
        <v>-67736720089906.422</v>
      </c>
      <c r="M4394" s="460">
        <f t="shared" si="171"/>
        <v>0.05</v>
      </c>
      <c r="N4394" s="464">
        <f t="shared" si="172"/>
        <v>184784</v>
      </c>
    </row>
    <row r="4395" spans="7:14" ht="11.25" customHeight="1" x14ac:dyDescent="0.25">
      <c r="G4395" s="459"/>
      <c r="H4395" s="459">
        <v>4388</v>
      </c>
      <c r="I4395" s="444">
        <f t="shared" ca="1" si="170"/>
        <v>-67736720089906.422</v>
      </c>
      <c r="J4395" s="444">
        <f t="array" ref="J4395">IFERROR(INDEX('Retirement Calculator'!K:K,MATCH('Lorri 401b'!N4395,'Retirement Calculator'!A:A,0),0),0)</f>
        <v>0</v>
      </c>
      <c r="K4395" s="444">
        <f t="shared" ca="1" si="168"/>
        <v>-282236333707.94342</v>
      </c>
      <c r="L4395" s="444">
        <f t="shared" ca="1" si="169"/>
        <v>-68018956423614.367</v>
      </c>
      <c r="M4395" s="460">
        <f t="shared" si="171"/>
        <v>0.05</v>
      </c>
      <c r="N4395" s="464">
        <f t="shared" si="172"/>
        <v>184815</v>
      </c>
    </row>
    <row r="4396" spans="7:14" ht="11.25" customHeight="1" x14ac:dyDescent="0.25">
      <c r="G4396" s="459"/>
      <c r="H4396" s="459">
        <v>4389</v>
      </c>
      <c r="I4396" s="444">
        <f t="shared" ca="1" si="170"/>
        <v>-68018956423614.367</v>
      </c>
      <c r="J4396" s="444">
        <f t="array" ref="J4396">IFERROR(INDEX('Retirement Calculator'!K:K,MATCH('Lorri 401b'!N4396,'Retirement Calculator'!A:A,0),0),0)</f>
        <v>0</v>
      </c>
      <c r="K4396" s="444">
        <f t="shared" ca="1" si="168"/>
        <v>-283412318431.7265</v>
      </c>
      <c r="L4396" s="444">
        <f t="shared" ca="1" si="169"/>
        <v>-68302368742046.094</v>
      </c>
      <c r="M4396" s="460">
        <f t="shared" si="171"/>
        <v>0.05</v>
      </c>
      <c r="N4396" s="464">
        <f t="shared" si="172"/>
        <v>184846</v>
      </c>
    </row>
    <row r="4397" spans="7:14" ht="11.25" customHeight="1" x14ac:dyDescent="0.25">
      <c r="G4397" s="459"/>
      <c r="H4397" s="459">
        <v>4390</v>
      </c>
      <c r="I4397" s="444">
        <f t="shared" ca="1" si="170"/>
        <v>-68302368742046.094</v>
      </c>
      <c r="J4397" s="444">
        <f t="array" ref="J4397">IFERROR(INDEX('Retirement Calculator'!K:K,MATCH('Lorri 401b'!N4397,'Retirement Calculator'!A:A,0),0),0)</f>
        <v>0</v>
      </c>
      <c r="K4397" s="444">
        <f t="shared" ca="1" si="168"/>
        <v>-284593203091.8587</v>
      </c>
      <c r="L4397" s="444">
        <f t="shared" ca="1" si="169"/>
        <v>-68586961945137.953</v>
      </c>
      <c r="M4397" s="460">
        <f t="shared" si="171"/>
        <v>0.05</v>
      </c>
      <c r="N4397" s="464">
        <f t="shared" si="172"/>
        <v>184874</v>
      </c>
    </row>
    <row r="4398" spans="7:14" ht="11.25" customHeight="1" x14ac:dyDescent="0.25">
      <c r="G4398" s="459"/>
      <c r="H4398" s="459">
        <v>4391</v>
      </c>
      <c r="I4398" s="444">
        <f t="shared" ca="1" si="170"/>
        <v>-68586961945137.953</v>
      </c>
      <c r="J4398" s="444">
        <f t="array" ref="J4398">IFERROR(INDEX('Retirement Calculator'!K:K,MATCH('Lorri 401b'!N4398,'Retirement Calculator'!A:A,0),0),0)</f>
        <v>0</v>
      </c>
      <c r="K4398" s="444">
        <f t="shared" ca="1" si="168"/>
        <v>-285779008104.74146</v>
      </c>
      <c r="L4398" s="444">
        <f t="shared" ca="1" si="169"/>
        <v>-68872740953242.695</v>
      </c>
      <c r="M4398" s="460">
        <f t="shared" si="171"/>
        <v>0.05</v>
      </c>
      <c r="N4398" s="464">
        <f t="shared" si="172"/>
        <v>184905</v>
      </c>
    </row>
    <row r="4399" spans="7:14" ht="11.25" customHeight="1" x14ac:dyDescent="0.25">
      <c r="G4399" s="459"/>
      <c r="H4399" s="459">
        <v>4392</v>
      </c>
      <c r="I4399" s="444">
        <f t="shared" ca="1" si="170"/>
        <v>-68872740953242.695</v>
      </c>
      <c r="J4399" s="444">
        <f t="array" ref="J4399">IFERROR(INDEX('Retirement Calculator'!K:K,MATCH('Lorri 401b'!N4399,'Retirement Calculator'!A:A,0),0),0)</f>
        <v>0</v>
      </c>
      <c r="K4399" s="444">
        <f t="shared" ca="1" si="168"/>
        <v>-286969753971.84454</v>
      </c>
      <c r="L4399" s="444">
        <f t="shared" ca="1" si="169"/>
        <v>-69159710707214.539</v>
      </c>
      <c r="M4399" s="460">
        <f t="shared" si="171"/>
        <v>0.05</v>
      </c>
      <c r="N4399" s="464">
        <f t="shared" si="172"/>
        <v>184935</v>
      </c>
    </row>
    <row r="4400" spans="7:14" ht="11.25" customHeight="1" x14ac:dyDescent="0.25">
      <c r="G4400" s="459"/>
      <c r="H4400" s="459">
        <v>4393</v>
      </c>
      <c r="I4400" s="444">
        <f t="shared" ca="1" si="170"/>
        <v>-69159710707214.539</v>
      </c>
      <c r="J4400" s="444">
        <f t="array" ref="J4400">IFERROR(INDEX('Retirement Calculator'!K:K,MATCH('Lorri 401b'!N4400,'Retirement Calculator'!A:A,0),0),0)</f>
        <v>0</v>
      </c>
      <c r="K4400" s="444">
        <f t="shared" ca="1" si="168"/>
        <v>-288165461280.06055</v>
      </c>
      <c r="L4400" s="444">
        <f t="shared" ca="1" si="169"/>
        <v>-69447876168494.602</v>
      </c>
      <c r="M4400" s="460">
        <f t="shared" si="171"/>
        <v>0.05</v>
      </c>
      <c r="N4400" s="464">
        <f t="shared" si="172"/>
        <v>184966</v>
      </c>
    </row>
    <row r="4401" spans="7:14" ht="11.25" customHeight="1" x14ac:dyDescent="0.25">
      <c r="G4401" s="459"/>
      <c r="H4401" s="459">
        <v>4394</v>
      </c>
      <c r="I4401" s="444">
        <f t="shared" ca="1" si="170"/>
        <v>-69447876168494.602</v>
      </c>
      <c r="J4401" s="444">
        <f t="array" ref="J4401">IFERROR(INDEX('Retirement Calculator'!K:K,MATCH('Lorri 401b'!N4401,'Retirement Calculator'!A:A,0),0),0)</f>
        <v>0</v>
      </c>
      <c r="K4401" s="444">
        <f t="shared" ca="1" si="168"/>
        <v>-289366150702.06085</v>
      </c>
      <c r="L4401" s="444">
        <f t="shared" ca="1" si="169"/>
        <v>-69737242319196.664</v>
      </c>
      <c r="M4401" s="460">
        <f t="shared" si="171"/>
        <v>0.05</v>
      </c>
      <c r="N4401" s="464">
        <f t="shared" si="172"/>
        <v>184996</v>
      </c>
    </row>
    <row r="4402" spans="7:14" ht="11.25" customHeight="1" x14ac:dyDescent="0.25">
      <c r="G4402" s="459"/>
      <c r="H4402" s="459">
        <v>4395</v>
      </c>
      <c r="I4402" s="444">
        <f t="shared" ca="1" si="170"/>
        <v>-69737242319196.664</v>
      </c>
      <c r="J4402" s="444">
        <f t="array" ref="J4402">IFERROR(INDEX('Retirement Calculator'!K:K,MATCH('Lorri 401b'!N4402,'Retirement Calculator'!A:A,0),0),0)</f>
        <v>0</v>
      </c>
      <c r="K4402" s="444">
        <f t="shared" ca="1" si="168"/>
        <v>-290571842996.65277</v>
      </c>
      <c r="L4402" s="444">
        <f t="shared" ca="1" si="169"/>
        <v>-70027814162193.32</v>
      </c>
      <c r="M4402" s="460">
        <f t="shared" si="171"/>
        <v>0.05</v>
      </c>
      <c r="N4402" s="464">
        <f t="shared" si="172"/>
        <v>185027</v>
      </c>
    </row>
    <row r="4403" spans="7:14" ht="11.25" customHeight="1" x14ac:dyDescent="0.25">
      <c r="G4403" s="459"/>
      <c r="H4403" s="459">
        <v>4396</v>
      </c>
      <c r="I4403" s="444">
        <f t="shared" ca="1" si="170"/>
        <v>-70027814162193.32</v>
      </c>
      <c r="J4403" s="444">
        <f t="array" ref="J4403">IFERROR(INDEX('Retirement Calculator'!K:K,MATCH('Lorri 401b'!N4403,'Retirement Calculator'!A:A,0),0),0)</f>
        <v>0</v>
      </c>
      <c r="K4403" s="444">
        <f t="shared" ca="1" si="168"/>
        <v>-291782559009.13885</v>
      </c>
      <c r="L4403" s="444">
        <f t="shared" ca="1" si="169"/>
        <v>-70319596721202.461</v>
      </c>
      <c r="M4403" s="460">
        <f t="shared" si="171"/>
        <v>0.05</v>
      </c>
      <c r="N4403" s="464">
        <f t="shared" si="172"/>
        <v>185058</v>
      </c>
    </row>
    <row r="4404" spans="7:14" ht="11.25" customHeight="1" x14ac:dyDescent="0.25">
      <c r="G4404" s="459"/>
      <c r="H4404" s="459">
        <v>4397</v>
      </c>
      <c r="I4404" s="444">
        <f t="shared" ca="1" si="170"/>
        <v>-70319596721202.461</v>
      </c>
      <c r="J4404" s="444">
        <f t="array" ref="J4404">IFERROR(INDEX('Retirement Calculator'!K:K,MATCH('Lorri 401b'!N4404,'Retirement Calculator'!A:A,0),0),0)</f>
        <v>0</v>
      </c>
      <c r="K4404" s="444">
        <f t="shared" ca="1" si="168"/>
        <v>-292998319671.67694</v>
      </c>
      <c r="L4404" s="444">
        <f t="shared" ca="1" si="169"/>
        <v>-70612595040874.141</v>
      </c>
      <c r="M4404" s="460">
        <f t="shared" si="171"/>
        <v>0.05</v>
      </c>
      <c r="N4404" s="464">
        <f t="shared" si="172"/>
        <v>185088</v>
      </c>
    </row>
    <row r="4405" spans="7:14" ht="11.25" customHeight="1" x14ac:dyDescent="0.25">
      <c r="G4405" s="459"/>
      <c r="H4405" s="459">
        <v>4398</v>
      </c>
      <c r="I4405" s="444">
        <f t="shared" ca="1" si="170"/>
        <v>-70612595040874.141</v>
      </c>
      <c r="J4405" s="444">
        <f t="array" ref="J4405">IFERROR(INDEX('Retirement Calculator'!K:K,MATCH('Lorri 401b'!N4405,'Retirement Calculator'!A:A,0),0),0)</f>
        <v>0</v>
      </c>
      <c r="K4405" s="444">
        <f t="shared" ca="1" si="168"/>
        <v>-294219146003.64227</v>
      </c>
      <c r="L4405" s="444">
        <f t="shared" ca="1" si="169"/>
        <v>-70906814186877.781</v>
      </c>
      <c r="M4405" s="460">
        <f t="shared" si="171"/>
        <v>0.05</v>
      </c>
      <c r="N4405" s="464">
        <f t="shared" si="172"/>
        <v>185119</v>
      </c>
    </row>
    <row r="4406" spans="7:14" ht="11.25" customHeight="1" x14ac:dyDescent="0.25">
      <c r="G4406" s="459"/>
      <c r="H4406" s="459">
        <v>4399</v>
      </c>
      <c r="I4406" s="444">
        <f t="shared" ca="1" si="170"/>
        <v>-70906814186877.781</v>
      </c>
      <c r="J4406" s="444">
        <f t="array" ref="J4406">IFERROR(INDEX('Retirement Calculator'!K:K,MATCH('Lorri 401b'!N4406,'Retirement Calculator'!A:A,0),0),0)</f>
        <v>0</v>
      </c>
      <c r="K4406" s="444">
        <f t="shared" ca="1" si="168"/>
        <v>-295445059111.99072</v>
      </c>
      <c r="L4406" s="444">
        <f t="shared" ca="1" si="169"/>
        <v>-71202259245989.766</v>
      </c>
      <c r="M4406" s="460">
        <f t="shared" si="171"/>
        <v>0.05</v>
      </c>
      <c r="N4406" s="464">
        <f t="shared" si="172"/>
        <v>185149</v>
      </c>
    </row>
    <row r="4407" spans="7:14" ht="11.25" customHeight="1" x14ac:dyDescent="0.25">
      <c r="G4407" s="459"/>
      <c r="H4407" s="459">
        <v>4400</v>
      </c>
      <c r="I4407" s="444">
        <f t="shared" ca="1" si="170"/>
        <v>-71202259245989.766</v>
      </c>
      <c r="J4407" s="444">
        <f t="array" ref="J4407">IFERROR(INDEX('Retirement Calculator'!K:K,MATCH('Lorri 401b'!N4407,'Retirement Calculator'!A:A,0),0),0)</f>
        <v>0</v>
      </c>
      <c r="K4407" s="444">
        <f t="shared" ca="1" si="168"/>
        <v>-296676080191.62402</v>
      </c>
      <c r="L4407" s="444">
        <f t="shared" ca="1" si="169"/>
        <v>-71498935326181.391</v>
      </c>
      <c r="M4407" s="460">
        <f t="shared" si="171"/>
        <v>0.05</v>
      </c>
      <c r="N4407" s="464">
        <f t="shared" si="172"/>
        <v>185180</v>
      </c>
    </row>
    <row r="4408" spans="7:14" ht="11.25" customHeight="1" x14ac:dyDescent="0.25">
      <c r="G4408" s="459"/>
      <c r="H4408" s="459">
        <v>4401</v>
      </c>
      <c r="I4408" s="444">
        <f t="shared" ca="1" si="170"/>
        <v>-71498935326181.391</v>
      </c>
      <c r="J4408" s="444">
        <f t="array" ref="J4408">IFERROR(INDEX('Retirement Calculator'!K:K,MATCH('Lorri 401b'!N4408,'Retirement Calculator'!A:A,0),0),0)</f>
        <v>0</v>
      </c>
      <c r="K4408" s="444">
        <f t="shared" ca="1" si="168"/>
        <v>-297912230525.7558</v>
      </c>
      <c r="L4408" s="444">
        <f t="shared" ca="1" si="169"/>
        <v>-71796847556707.141</v>
      </c>
      <c r="M4408" s="460">
        <f t="shared" si="171"/>
        <v>0.05</v>
      </c>
      <c r="N4408" s="464">
        <f t="shared" si="172"/>
        <v>185211</v>
      </c>
    </row>
    <row r="4409" spans="7:14" ht="11.25" customHeight="1" x14ac:dyDescent="0.25">
      <c r="G4409" s="459"/>
      <c r="H4409" s="459">
        <v>4402</v>
      </c>
      <c r="I4409" s="444">
        <f t="shared" ca="1" si="170"/>
        <v>-71796847556707.141</v>
      </c>
      <c r="J4409" s="444">
        <f t="array" ref="J4409">IFERROR(INDEX('Retirement Calculator'!K:K,MATCH('Lorri 401b'!N4409,'Retirement Calculator'!A:A,0),0),0)</f>
        <v>0</v>
      </c>
      <c r="K4409" s="444">
        <f t="shared" ca="1" si="168"/>
        <v>-299153531486.27972</v>
      </c>
      <c r="L4409" s="444">
        <f t="shared" ca="1" si="169"/>
        <v>-72096001088193.422</v>
      </c>
      <c r="M4409" s="460">
        <f t="shared" si="171"/>
        <v>0.05</v>
      </c>
      <c r="N4409" s="464">
        <f t="shared" si="172"/>
        <v>185239</v>
      </c>
    </row>
    <row r="4410" spans="7:14" ht="11.25" customHeight="1" x14ac:dyDescent="0.25">
      <c r="G4410" s="459"/>
      <c r="H4410" s="459">
        <v>4403</v>
      </c>
      <c r="I4410" s="444">
        <f t="shared" ca="1" si="170"/>
        <v>-72096001088193.422</v>
      </c>
      <c r="J4410" s="444">
        <f t="array" ref="J4410">IFERROR(INDEX('Retirement Calculator'!K:K,MATCH('Lorri 401b'!N4410,'Retirement Calculator'!A:A,0),0),0)</f>
        <v>0</v>
      </c>
      <c r="K4410" s="444">
        <f t="shared" ca="1" si="168"/>
        <v>-300400004534.13928</v>
      </c>
      <c r="L4410" s="444">
        <f t="shared" ca="1" si="169"/>
        <v>-72396401092727.563</v>
      </c>
      <c r="M4410" s="460">
        <f t="shared" si="171"/>
        <v>0.05</v>
      </c>
      <c r="N4410" s="464">
        <f t="shared" si="172"/>
        <v>185270</v>
      </c>
    </row>
    <row r="4411" spans="7:14" ht="11.25" customHeight="1" x14ac:dyDescent="0.25">
      <c r="G4411" s="459"/>
      <c r="H4411" s="459">
        <v>4404</v>
      </c>
      <c r="I4411" s="444">
        <f t="shared" ca="1" si="170"/>
        <v>-72396401092727.563</v>
      </c>
      <c r="J4411" s="444">
        <f t="array" ref="J4411">IFERROR(INDEX('Retirement Calculator'!K:K,MATCH('Lorri 401b'!N4411,'Retirement Calculator'!A:A,0),0),0)</f>
        <v>0</v>
      </c>
      <c r="K4411" s="444">
        <f t="shared" ca="1" si="168"/>
        <v>-301651671219.69818</v>
      </c>
      <c r="L4411" s="444">
        <f t="shared" ca="1" si="169"/>
        <v>-72698052763947.266</v>
      </c>
      <c r="M4411" s="460">
        <f t="shared" si="171"/>
        <v>0.05</v>
      </c>
      <c r="N4411" s="464">
        <f t="shared" si="172"/>
        <v>185300</v>
      </c>
    </row>
    <row r="4412" spans="7:14" ht="11.25" customHeight="1" x14ac:dyDescent="0.25">
      <c r="G4412" s="459"/>
      <c r="H4412" s="459">
        <v>4405</v>
      </c>
      <c r="I4412" s="444">
        <f t="shared" ca="1" si="170"/>
        <v>-72698052763947.266</v>
      </c>
      <c r="J4412" s="444">
        <f t="array" ref="J4412">IFERROR(INDEX('Retirement Calculator'!K:K,MATCH('Lorri 401b'!N4412,'Retirement Calculator'!A:A,0),0),0)</f>
        <v>0</v>
      </c>
      <c r="K4412" s="444">
        <f t="shared" ca="1" si="168"/>
        <v>-302908553183.11359</v>
      </c>
      <c r="L4412" s="444">
        <f t="shared" ca="1" si="169"/>
        <v>-73000961317130.375</v>
      </c>
      <c r="M4412" s="460">
        <f t="shared" si="171"/>
        <v>0.05</v>
      </c>
      <c r="N4412" s="464">
        <f t="shared" si="172"/>
        <v>185331</v>
      </c>
    </row>
    <row r="4413" spans="7:14" ht="11.25" customHeight="1" x14ac:dyDescent="0.25">
      <c r="G4413" s="459"/>
      <c r="H4413" s="459">
        <v>4406</v>
      </c>
      <c r="I4413" s="444">
        <f t="shared" ca="1" si="170"/>
        <v>-73000961317130.375</v>
      </c>
      <c r="J4413" s="444">
        <f t="array" ref="J4413">IFERROR(INDEX('Retirement Calculator'!K:K,MATCH('Lorri 401b'!N4413,'Retirement Calculator'!A:A,0),0),0)</f>
        <v>0</v>
      </c>
      <c r="K4413" s="444">
        <f t="shared" ca="1" si="168"/>
        <v>-304170672154.7099</v>
      </c>
      <c r="L4413" s="444">
        <f t="shared" ca="1" si="169"/>
        <v>-73305131989285.078</v>
      </c>
      <c r="M4413" s="460">
        <f t="shared" si="171"/>
        <v>0.05</v>
      </c>
      <c r="N4413" s="464">
        <f t="shared" si="172"/>
        <v>185361</v>
      </c>
    </row>
    <row r="4414" spans="7:14" ht="11.25" customHeight="1" x14ac:dyDescent="0.25">
      <c r="G4414" s="459"/>
      <c r="H4414" s="459">
        <v>4407</v>
      </c>
      <c r="I4414" s="444">
        <f t="shared" ca="1" si="170"/>
        <v>-73305131989285.078</v>
      </c>
      <c r="J4414" s="444">
        <f t="array" ref="J4414">IFERROR(INDEX('Retirement Calculator'!K:K,MATCH('Lorri 401b'!N4414,'Retirement Calculator'!A:A,0),0),0)</f>
        <v>0</v>
      </c>
      <c r="K4414" s="444">
        <f t="shared" ca="1" si="168"/>
        <v>-305438049955.35449</v>
      </c>
      <c r="L4414" s="444">
        <f t="shared" ca="1" si="169"/>
        <v>-73610570039240.438</v>
      </c>
      <c r="M4414" s="460">
        <f t="shared" si="171"/>
        <v>0.05</v>
      </c>
      <c r="N4414" s="464">
        <f t="shared" si="172"/>
        <v>185392</v>
      </c>
    </row>
    <row r="4415" spans="7:14" ht="11.25" customHeight="1" x14ac:dyDescent="0.25">
      <c r="G4415" s="459"/>
      <c r="H4415" s="459">
        <v>4408</v>
      </c>
      <c r="I4415" s="444">
        <f t="shared" ca="1" si="170"/>
        <v>-73610570039240.438</v>
      </c>
      <c r="J4415" s="444">
        <f t="array" ref="J4415">IFERROR(INDEX('Retirement Calculator'!K:K,MATCH('Lorri 401b'!N4415,'Retirement Calculator'!A:A,0),0),0)</f>
        <v>0</v>
      </c>
      <c r="K4415" s="444">
        <f t="shared" ca="1" si="168"/>
        <v>-306710708496.83514</v>
      </c>
      <c r="L4415" s="444">
        <f t="shared" ca="1" si="169"/>
        <v>-73917280747737.266</v>
      </c>
      <c r="M4415" s="460">
        <f t="shared" si="171"/>
        <v>0.05</v>
      </c>
      <c r="N4415" s="464">
        <f t="shared" si="172"/>
        <v>185423</v>
      </c>
    </row>
    <row r="4416" spans="7:14" ht="11.25" customHeight="1" x14ac:dyDescent="0.25">
      <c r="G4416" s="459"/>
      <c r="H4416" s="459">
        <v>4409</v>
      </c>
      <c r="I4416" s="444">
        <f t="shared" ca="1" si="170"/>
        <v>-73917280747737.266</v>
      </c>
      <c r="J4416" s="444">
        <f t="array" ref="J4416">IFERROR(INDEX('Retirement Calculator'!K:K,MATCH('Lorri 401b'!N4416,'Retirement Calculator'!A:A,0),0),0)</f>
        <v>0</v>
      </c>
      <c r="K4416" s="444">
        <f t="shared" ca="1" si="168"/>
        <v>-307988669782.23859</v>
      </c>
      <c r="L4416" s="444">
        <f t="shared" ca="1" si="169"/>
        <v>-74225269417519.5</v>
      </c>
      <c r="M4416" s="460">
        <f t="shared" si="171"/>
        <v>0.05</v>
      </c>
      <c r="N4416" s="464">
        <f t="shared" si="172"/>
        <v>185453</v>
      </c>
    </row>
    <row r="4417" spans="7:14" ht="11.25" customHeight="1" x14ac:dyDescent="0.25">
      <c r="G4417" s="459"/>
      <c r="H4417" s="459">
        <v>4410</v>
      </c>
      <c r="I4417" s="444">
        <f t="shared" ca="1" si="170"/>
        <v>-74225269417519.5</v>
      </c>
      <c r="J4417" s="444">
        <f t="array" ref="J4417">IFERROR(INDEX('Retirement Calculator'!K:K,MATCH('Lorri 401b'!N4417,'Retirement Calculator'!A:A,0),0),0)</f>
        <v>0</v>
      </c>
      <c r="K4417" s="444">
        <f t="shared" ca="1" si="168"/>
        <v>-309271955906.33124</v>
      </c>
      <c r="L4417" s="444">
        <f t="shared" ca="1" si="169"/>
        <v>-74534541373425.828</v>
      </c>
      <c r="M4417" s="460">
        <f t="shared" si="171"/>
        <v>0.05</v>
      </c>
      <c r="N4417" s="464">
        <f t="shared" si="172"/>
        <v>185484</v>
      </c>
    </row>
    <row r="4418" spans="7:14" ht="11.25" customHeight="1" x14ac:dyDescent="0.25">
      <c r="G4418" s="459"/>
      <c r="H4418" s="459">
        <v>4411</v>
      </c>
      <c r="I4418" s="444">
        <f t="shared" ca="1" si="170"/>
        <v>-74534541373425.828</v>
      </c>
      <c r="J4418" s="444">
        <f t="array" ref="J4418">IFERROR(INDEX('Retirement Calculator'!K:K,MATCH('Lorri 401b'!N4418,'Retirement Calculator'!A:A,0),0),0)</f>
        <v>0</v>
      </c>
      <c r="K4418" s="444">
        <f t="shared" ca="1" si="168"/>
        <v>-310560589055.94092</v>
      </c>
      <c r="L4418" s="444">
        <f t="shared" ca="1" si="169"/>
        <v>-74845101962481.766</v>
      </c>
      <c r="M4418" s="460">
        <f t="shared" si="171"/>
        <v>0.05</v>
      </c>
      <c r="N4418" s="464">
        <f t="shared" si="172"/>
        <v>185514</v>
      </c>
    </row>
    <row r="4419" spans="7:14" ht="11.25" customHeight="1" x14ac:dyDescent="0.25">
      <c r="G4419" s="459"/>
      <c r="H4419" s="459">
        <v>4412</v>
      </c>
      <c r="I4419" s="444">
        <f t="shared" ca="1" si="170"/>
        <v>-74845101962481.766</v>
      </c>
      <c r="J4419" s="444">
        <f t="array" ref="J4419">IFERROR(INDEX('Retirement Calculator'!K:K,MATCH('Lorri 401b'!N4419,'Retirement Calculator'!A:A,0),0),0)</f>
        <v>0</v>
      </c>
      <c r="K4419" s="444">
        <f t="shared" ca="1" si="168"/>
        <v>-311854591510.3407</v>
      </c>
      <c r="L4419" s="444">
        <f t="shared" ca="1" si="169"/>
        <v>-75156956553992.109</v>
      </c>
      <c r="M4419" s="460">
        <f t="shared" si="171"/>
        <v>0.05</v>
      </c>
      <c r="N4419" s="464">
        <f t="shared" si="172"/>
        <v>185545</v>
      </c>
    </row>
    <row r="4420" spans="7:14" ht="11.25" customHeight="1" x14ac:dyDescent="0.25">
      <c r="G4420" s="459"/>
      <c r="H4420" s="459">
        <v>4413</v>
      </c>
      <c r="I4420" s="444">
        <f t="shared" ca="1" si="170"/>
        <v>-75156956553992.109</v>
      </c>
      <c r="J4420" s="444">
        <f t="array" ref="J4420">IFERROR(INDEX('Retirement Calculator'!K:K,MATCH('Lorri 401b'!N4420,'Retirement Calculator'!A:A,0),0),0)</f>
        <v>0</v>
      </c>
      <c r="K4420" s="444">
        <f t="shared" ca="1" si="168"/>
        <v>-313153985641.63379</v>
      </c>
      <c r="L4420" s="444">
        <f t="shared" ca="1" si="169"/>
        <v>-75470110539633.75</v>
      </c>
      <c r="M4420" s="460">
        <f t="shared" si="171"/>
        <v>0.05</v>
      </c>
      <c r="N4420" s="464">
        <f t="shared" si="172"/>
        <v>185576</v>
      </c>
    </row>
    <row r="4421" spans="7:14" ht="11.25" customHeight="1" x14ac:dyDescent="0.25">
      <c r="G4421" s="459"/>
      <c r="H4421" s="459">
        <v>4414</v>
      </c>
      <c r="I4421" s="444">
        <f t="shared" ca="1" si="170"/>
        <v>-75470110539633.75</v>
      </c>
      <c r="J4421" s="444">
        <f t="array" ref="J4421">IFERROR(INDEX('Retirement Calculator'!K:K,MATCH('Lorri 401b'!N4421,'Retirement Calculator'!A:A,0),0),0)</f>
        <v>0</v>
      </c>
      <c r="K4421" s="444">
        <f t="shared" ca="1" si="168"/>
        <v>-314458793915.14063</v>
      </c>
      <c r="L4421" s="444">
        <f t="shared" ca="1" si="169"/>
        <v>-75784569333548.891</v>
      </c>
      <c r="M4421" s="460">
        <f t="shared" si="171"/>
        <v>0.05</v>
      </c>
      <c r="N4421" s="464">
        <f t="shared" si="172"/>
        <v>185605</v>
      </c>
    </row>
    <row r="4422" spans="7:14" ht="11.25" customHeight="1" x14ac:dyDescent="0.25">
      <c r="G4422" s="459"/>
      <c r="H4422" s="459">
        <v>4415</v>
      </c>
      <c r="I4422" s="444">
        <f t="shared" ca="1" si="170"/>
        <v>-75784569333548.891</v>
      </c>
      <c r="J4422" s="444">
        <f t="array" ref="J4422">IFERROR(INDEX('Retirement Calculator'!K:K,MATCH('Lorri 401b'!N4422,'Retirement Calculator'!A:A,0),0),0)</f>
        <v>0</v>
      </c>
      <c r="K4422" s="444">
        <f t="shared" ca="1" si="168"/>
        <v>-315769038889.78705</v>
      </c>
      <c r="L4422" s="444">
        <f t="shared" ca="1" si="169"/>
        <v>-76100338372438.672</v>
      </c>
      <c r="M4422" s="460">
        <f t="shared" si="171"/>
        <v>0.05</v>
      </c>
      <c r="N4422" s="464">
        <f t="shared" si="172"/>
        <v>185636</v>
      </c>
    </row>
    <row r="4423" spans="7:14" ht="11.25" customHeight="1" x14ac:dyDescent="0.25">
      <c r="G4423" s="459"/>
      <c r="H4423" s="459">
        <v>4416</v>
      </c>
      <c r="I4423" s="444">
        <f t="shared" ca="1" si="170"/>
        <v>-76100338372438.672</v>
      </c>
      <c r="J4423" s="444">
        <f t="array" ref="J4423">IFERROR(INDEX('Retirement Calculator'!K:K,MATCH('Lorri 401b'!N4423,'Retirement Calculator'!A:A,0),0),0)</f>
        <v>0</v>
      </c>
      <c r="K4423" s="444">
        <f t="shared" ca="1" si="168"/>
        <v>-317084743218.49445</v>
      </c>
      <c r="L4423" s="444">
        <f t="shared" ca="1" si="169"/>
        <v>-76417423115657.172</v>
      </c>
      <c r="M4423" s="460">
        <f t="shared" si="171"/>
        <v>0.05</v>
      </c>
      <c r="N4423" s="464">
        <f t="shared" si="172"/>
        <v>185666</v>
      </c>
    </row>
    <row r="4424" spans="7:14" ht="11.25" customHeight="1" x14ac:dyDescent="0.25">
      <c r="G4424" s="459"/>
      <c r="H4424" s="459">
        <v>4417</v>
      </c>
      <c r="I4424" s="444">
        <f t="shared" ca="1" si="170"/>
        <v>-76417423115657.172</v>
      </c>
      <c r="J4424" s="444">
        <f t="array" ref="J4424">IFERROR(INDEX('Retirement Calculator'!K:K,MATCH('Lorri 401b'!N4424,'Retirement Calculator'!A:A,0),0),0)</f>
        <v>0</v>
      </c>
      <c r="K4424" s="444">
        <f t="shared" ca="1" si="168"/>
        <v>-318405929648.57153</v>
      </c>
      <c r="L4424" s="444">
        <f t="shared" ca="1" si="169"/>
        <v>-76735829045305.75</v>
      </c>
      <c r="M4424" s="460">
        <f t="shared" si="171"/>
        <v>0.05</v>
      </c>
      <c r="N4424" s="464">
        <f t="shared" si="172"/>
        <v>185697</v>
      </c>
    </row>
    <row r="4425" spans="7:14" ht="11.25" customHeight="1" x14ac:dyDescent="0.25">
      <c r="G4425" s="459"/>
      <c r="H4425" s="459">
        <v>4418</v>
      </c>
      <c r="I4425" s="444">
        <f t="shared" ca="1" si="170"/>
        <v>-76735829045305.75</v>
      </c>
      <c r="J4425" s="444">
        <f t="array" ref="J4425">IFERROR(INDEX('Retirement Calculator'!K:K,MATCH('Lorri 401b'!N4425,'Retirement Calculator'!A:A,0),0),0)</f>
        <v>0</v>
      </c>
      <c r="K4425" s="444">
        <f t="shared" ca="1" si="168"/>
        <v>-319732621022.1073</v>
      </c>
      <c r="L4425" s="444">
        <f t="shared" ca="1" si="169"/>
        <v>-77055561666327.859</v>
      </c>
      <c r="M4425" s="460">
        <f t="shared" si="171"/>
        <v>0.05</v>
      </c>
      <c r="N4425" s="464">
        <f t="shared" si="172"/>
        <v>185727</v>
      </c>
    </row>
    <row r="4426" spans="7:14" ht="11.25" customHeight="1" x14ac:dyDescent="0.25">
      <c r="G4426" s="459"/>
      <c r="H4426" s="459">
        <v>4419</v>
      </c>
      <c r="I4426" s="444">
        <f t="shared" ca="1" si="170"/>
        <v>-77055561666327.859</v>
      </c>
      <c r="J4426" s="444">
        <f t="array" ref="J4426">IFERROR(INDEX('Retirement Calculator'!K:K,MATCH('Lorri 401b'!N4426,'Retirement Calculator'!A:A,0),0),0)</f>
        <v>0</v>
      </c>
      <c r="K4426" s="444">
        <f t="shared" ca="1" si="168"/>
        <v>-321064840276.36609</v>
      </c>
      <c r="L4426" s="444">
        <f t="shared" ca="1" si="169"/>
        <v>-77376626506604.219</v>
      </c>
      <c r="M4426" s="460">
        <f t="shared" si="171"/>
        <v>0.05</v>
      </c>
      <c r="N4426" s="464">
        <f t="shared" si="172"/>
        <v>185758</v>
      </c>
    </row>
    <row r="4427" spans="7:14" ht="11.25" customHeight="1" x14ac:dyDescent="0.25">
      <c r="G4427" s="459"/>
      <c r="H4427" s="459">
        <v>4420</v>
      </c>
      <c r="I4427" s="444">
        <f t="shared" ca="1" si="170"/>
        <v>-77376626506604.219</v>
      </c>
      <c r="J4427" s="444">
        <f t="array" ref="J4427">IFERROR(INDEX('Retirement Calculator'!K:K,MATCH('Lorri 401b'!N4427,'Retirement Calculator'!A:A,0),0),0)</f>
        <v>0</v>
      </c>
      <c r="K4427" s="444">
        <f t="shared" ca="1" si="168"/>
        <v>-322402610444.18427</v>
      </c>
      <c r="L4427" s="444">
        <f t="shared" ca="1" si="169"/>
        <v>-77699029117048.406</v>
      </c>
      <c r="M4427" s="460">
        <f t="shared" si="171"/>
        <v>0.05</v>
      </c>
      <c r="N4427" s="464">
        <f t="shared" si="172"/>
        <v>185789</v>
      </c>
    </row>
    <row r="4428" spans="7:14" ht="11.25" customHeight="1" x14ac:dyDescent="0.25">
      <c r="G4428" s="459"/>
      <c r="H4428" s="459">
        <v>4421</v>
      </c>
      <c r="I4428" s="444">
        <f t="shared" ca="1" si="170"/>
        <v>-77699029117048.406</v>
      </c>
      <c r="J4428" s="444">
        <f t="array" ref="J4428">IFERROR(INDEX('Retirement Calculator'!K:K,MATCH('Lorri 401b'!N4428,'Retirement Calculator'!A:A,0),0),0)</f>
        <v>0</v>
      </c>
      <c r="K4428" s="444">
        <f t="shared" ca="1" si="168"/>
        <v>-323745954654.36835</v>
      </c>
      <c r="L4428" s="444">
        <f t="shared" ca="1" si="169"/>
        <v>-78022775071702.781</v>
      </c>
      <c r="M4428" s="460">
        <f t="shared" si="171"/>
        <v>0.05</v>
      </c>
      <c r="N4428" s="464">
        <f t="shared" si="172"/>
        <v>185819</v>
      </c>
    </row>
    <row r="4429" spans="7:14" ht="11.25" customHeight="1" x14ac:dyDescent="0.25">
      <c r="G4429" s="459"/>
      <c r="H4429" s="459">
        <v>4422</v>
      </c>
      <c r="I4429" s="444">
        <f t="shared" ca="1" si="170"/>
        <v>-78022775071702.781</v>
      </c>
      <c r="J4429" s="444">
        <f t="array" ref="J4429">IFERROR(INDEX('Retirement Calculator'!K:K,MATCH('Lorri 401b'!N4429,'Retirement Calculator'!A:A,0),0),0)</f>
        <v>0</v>
      </c>
      <c r="K4429" s="444">
        <f t="shared" ca="1" si="168"/>
        <v>-325094896132.09491</v>
      </c>
      <c r="L4429" s="444">
        <f t="shared" ca="1" si="169"/>
        <v>-78347869967834.875</v>
      </c>
      <c r="M4429" s="460">
        <f t="shared" si="171"/>
        <v>0.05</v>
      </c>
      <c r="N4429" s="464">
        <f t="shared" si="172"/>
        <v>185850</v>
      </c>
    </row>
    <row r="4430" spans="7:14" ht="11.25" customHeight="1" x14ac:dyDescent="0.25">
      <c r="G4430" s="459"/>
      <c r="H4430" s="459">
        <v>4423</v>
      </c>
      <c r="I4430" s="444">
        <f t="shared" ca="1" si="170"/>
        <v>-78347869967834.875</v>
      </c>
      <c r="J4430" s="444">
        <f t="array" ref="J4430">IFERROR(INDEX('Retirement Calculator'!K:K,MATCH('Lorri 401b'!N4430,'Retirement Calculator'!A:A,0),0),0)</f>
        <v>0</v>
      </c>
      <c r="K4430" s="444">
        <f t="shared" ca="1" si="168"/>
        <v>-326449458199.31195</v>
      </c>
      <c r="L4430" s="444">
        <f t="shared" ca="1" si="169"/>
        <v>-78674319426034.188</v>
      </c>
      <c r="M4430" s="460">
        <f t="shared" si="171"/>
        <v>0.05</v>
      </c>
      <c r="N4430" s="464">
        <f t="shared" si="172"/>
        <v>185880</v>
      </c>
    </row>
    <row r="4431" spans="7:14" ht="11.25" customHeight="1" x14ac:dyDescent="0.25">
      <c r="G4431" s="459"/>
      <c r="H4431" s="459">
        <v>4424</v>
      </c>
      <c r="I4431" s="444">
        <f t="shared" ca="1" si="170"/>
        <v>-78674319426034.188</v>
      </c>
      <c r="J4431" s="444">
        <f t="array" ref="J4431">IFERROR(INDEX('Retirement Calculator'!K:K,MATCH('Lorri 401b'!N4431,'Retirement Calculator'!A:A,0),0),0)</f>
        <v>0</v>
      </c>
      <c r="K4431" s="444">
        <f t="shared" ca="1" si="168"/>
        <v>-327809664275.14246</v>
      </c>
      <c r="L4431" s="444">
        <f t="shared" ca="1" si="169"/>
        <v>-79002129090309.328</v>
      </c>
      <c r="M4431" s="460">
        <f t="shared" si="171"/>
        <v>0.05</v>
      </c>
      <c r="N4431" s="464">
        <f t="shared" si="172"/>
        <v>185911</v>
      </c>
    </row>
    <row r="4432" spans="7:14" ht="11.25" customHeight="1" x14ac:dyDescent="0.25">
      <c r="G4432" s="459"/>
      <c r="H4432" s="459">
        <v>4425</v>
      </c>
      <c r="I4432" s="444">
        <f t="shared" ca="1" si="170"/>
        <v>-79002129090309.328</v>
      </c>
      <c r="J4432" s="444">
        <f t="array" ref="J4432">IFERROR(INDEX('Retirement Calculator'!K:K,MATCH('Lorri 401b'!N4432,'Retirement Calculator'!A:A,0),0),0)</f>
        <v>0</v>
      </c>
      <c r="K4432" s="444">
        <f t="shared" ca="1" si="168"/>
        <v>-329175537876.28888</v>
      </c>
      <c r="L4432" s="444">
        <f t="shared" ca="1" si="169"/>
        <v>-79331304628185.609</v>
      </c>
      <c r="M4432" s="460">
        <f t="shared" si="171"/>
        <v>0.05</v>
      </c>
      <c r="N4432" s="464">
        <f t="shared" si="172"/>
        <v>185942</v>
      </c>
    </row>
    <row r="4433" spans="7:14" ht="11.25" customHeight="1" x14ac:dyDescent="0.25">
      <c r="G4433" s="459"/>
      <c r="H4433" s="459">
        <v>4426</v>
      </c>
      <c r="I4433" s="444">
        <f t="shared" ca="1" si="170"/>
        <v>-79331304628185.609</v>
      </c>
      <c r="J4433" s="444">
        <f t="array" ref="J4433">IFERROR(INDEX('Retirement Calculator'!K:K,MATCH('Lorri 401b'!N4433,'Retirement Calculator'!A:A,0),0),0)</f>
        <v>0</v>
      </c>
      <c r="K4433" s="444">
        <f t="shared" ca="1" si="168"/>
        <v>-330547102617.44006</v>
      </c>
      <c r="L4433" s="444">
        <f t="shared" ca="1" si="169"/>
        <v>-79661851730803.047</v>
      </c>
      <c r="M4433" s="460">
        <f t="shared" si="171"/>
        <v>0.05</v>
      </c>
      <c r="N4433" s="464">
        <f t="shared" si="172"/>
        <v>185970</v>
      </c>
    </row>
    <row r="4434" spans="7:14" ht="11.25" customHeight="1" x14ac:dyDescent="0.25">
      <c r="G4434" s="459"/>
      <c r="H4434" s="459">
        <v>4427</v>
      </c>
      <c r="I4434" s="444">
        <f t="shared" ca="1" si="170"/>
        <v>-79661851730803.047</v>
      </c>
      <c r="J4434" s="444">
        <f t="array" ref="J4434">IFERROR(INDEX('Retirement Calculator'!K:K,MATCH('Lorri 401b'!N4434,'Retirement Calculator'!A:A,0),0),0)</f>
        <v>0</v>
      </c>
      <c r="K4434" s="444">
        <f t="shared" ca="1" si="168"/>
        <v>-331924382211.67938</v>
      </c>
      <c r="L4434" s="444">
        <f t="shared" ca="1" si="169"/>
        <v>-79993776113014.719</v>
      </c>
      <c r="M4434" s="460">
        <f t="shared" si="171"/>
        <v>0.05</v>
      </c>
      <c r="N4434" s="464">
        <f t="shared" si="172"/>
        <v>186001</v>
      </c>
    </row>
    <row r="4435" spans="7:14" ht="11.25" customHeight="1" x14ac:dyDescent="0.25">
      <c r="G4435" s="459"/>
      <c r="H4435" s="459">
        <v>4428</v>
      </c>
      <c r="I4435" s="444">
        <f t="shared" ca="1" si="170"/>
        <v>-79993776113014.719</v>
      </c>
      <c r="J4435" s="444">
        <f t="array" ref="J4435">IFERROR(INDEX('Retirement Calculator'!K:K,MATCH('Lorri 401b'!N4435,'Retirement Calculator'!A:A,0),0),0)</f>
        <v>0</v>
      </c>
      <c r="K4435" s="444">
        <f t="shared" ca="1" si="168"/>
        <v>-333307400470.89465</v>
      </c>
      <c r="L4435" s="444">
        <f t="shared" ca="1" si="169"/>
        <v>-80327083513485.609</v>
      </c>
      <c r="M4435" s="460">
        <f t="shared" si="171"/>
        <v>0.05</v>
      </c>
      <c r="N4435" s="464">
        <f t="shared" si="172"/>
        <v>186031</v>
      </c>
    </row>
    <row r="4436" spans="7:14" ht="11.25" customHeight="1" x14ac:dyDescent="0.25">
      <c r="G4436" s="459"/>
      <c r="H4436" s="459">
        <v>4429</v>
      </c>
      <c r="I4436" s="444">
        <f t="shared" ca="1" si="170"/>
        <v>-80327083513485.609</v>
      </c>
      <c r="J4436" s="444">
        <f t="array" ref="J4436">IFERROR(INDEX('Retirement Calculator'!K:K,MATCH('Lorri 401b'!N4436,'Retirement Calculator'!A:A,0),0),0)</f>
        <v>0</v>
      </c>
      <c r="K4436" s="444">
        <f t="shared" ca="1" si="168"/>
        <v>-334696181306.19006</v>
      </c>
      <c r="L4436" s="444">
        <f t="shared" ca="1" si="169"/>
        <v>-80661779694791.797</v>
      </c>
      <c r="M4436" s="460">
        <f t="shared" si="171"/>
        <v>0.05</v>
      </c>
      <c r="N4436" s="464">
        <f t="shared" si="172"/>
        <v>186062</v>
      </c>
    </row>
    <row r="4437" spans="7:14" ht="11.25" customHeight="1" x14ac:dyDescent="0.25">
      <c r="G4437" s="459"/>
      <c r="H4437" s="459">
        <v>4430</v>
      </c>
      <c r="I4437" s="444">
        <f t="shared" ca="1" si="170"/>
        <v>-80661779694791.797</v>
      </c>
      <c r="J4437" s="444">
        <f t="array" ref="J4437">IFERROR(INDEX('Retirement Calculator'!K:K,MATCH('Lorri 401b'!N4437,'Retirement Calculator'!A:A,0),0),0)</f>
        <v>0</v>
      </c>
      <c r="K4437" s="444">
        <f t="shared" ca="1" si="168"/>
        <v>-336090748728.29913</v>
      </c>
      <c r="L4437" s="444">
        <f t="shared" ca="1" si="169"/>
        <v>-80997870443520.094</v>
      </c>
      <c r="M4437" s="460">
        <f t="shared" si="171"/>
        <v>0.05</v>
      </c>
      <c r="N4437" s="464">
        <f t="shared" si="172"/>
        <v>186092</v>
      </c>
    </row>
    <row r="4438" spans="7:14" ht="11.25" customHeight="1" x14ac:dyDescent="0.25">
      <c r="G4438" s="459"/>
      <c r="H4438" s="459">
        <v>4431</v>
      </c>
      <c r="I4438" s="444">
        <f t="shared" ca="1" si="170"/>
        <v>-80997870443520.094</v>
      </c>
      <c r="J4438" s="444">
        <f t="array" ref="J4438">IFERROR(INDEX('Retirement Calculator'!K:K,MATCH('Lorri 401b'!N4438,'Retirement Calculator'!A:A,0),0),0)</f>
        <v>0</v>
      </c>
      <c r="K4438" s="444">
        <f t="shared" ca="1" si="168"/>
        <v>-337491126848.00037</v>
      </c>
      <c r="L4438" s="444">
        <f t="shared" ca="1" si="169"/>
        <v>-81335361570368.094</v>
      </c>
      <c r="M4438" s="460">
        <f t="shared" si="171"/>
        <v>0.05</v>
      </c>
      <c r="N4438" s="464">
        <f t="shared" si="172"/>
        <v>186123</v>
      </c>
    </row>
    <row r="4439" spans="7:14" ht="11.25" customHeight="1" x14ac:dyDescent="0.25">
      <c r="G4439" s="459"/>
      <c r="H4439" s="459">
        <v>4432</v>
      </c>
      <c r="I4439" s="444">
        <f t="shared" ca="1" si="170"/>
        <v>-81335361570368.094</v>
      </c>
      <c r="J4439" s="444">
        <f t="array" ref="J4439">IFERROR(INDEX('Retirement Calculator'!K:K,MATCH('Lorri 401b'!N4439,'Retirement Calculator'!A:A,0),0),0)</f>
        <v>0</v>
      </c>
      <c r="K4439" s="444">
        <f t="shared" ca="1" si="168"/>
        <v>-338897339876.53369</v>
      </c>
      <c r="L4439" s="444">
        <f t="shared" ca="1" si="169"/>
        <v>-81674258910244.625</v>
      </c>
      <c r="M4439" s="460">
        <f t="shared" si="171"/>
        <v>0.05</v>
      </c>
      <c r="N4439" s="464">
        <f t="shared" si="172"/>
        <v>186154</v>
      </c>
    </row>
    <row r="4440" spans="7:14" ht="11.25" customHeight="1" x14ac:dyDescent="0.25">
      <c r="G4440" s="459"/>
      <c r="H4440" s="459">
        <v>4433</v>
      </c>
      <c r="I4440" s="444">
        <f t="shared" ca="1" si="170"/>
        <v>-81674258910244.625</v>
      </c>
      <c r="J4440" s="444">
        <f t="array" ref="J4440">IFERROR(INDEX('Retirement Calculator'!K:K,MATCH('Lorri 401b'!N4440,'Retirement Calculator'!A:A,0),0),0)</f>
        <v>0</v>
      </c>
      <c r="K4440" s="444">
        <f t="shared" ca="1" si="168"/>
        <v>-340309412126.01929</v>
      </c>
      <c r="L4440" s="444">
        <f t="shared" ca="1" si="169"/>
        <v>-82014568322370.641</v>
      </c>
      <c r="M4440" s="460">
        <f t="shared" si="171"/>
        <v>0.05</v>
      </c>
      <c r="N4440" s="464">
        <f t="shared" si="172"/>
        <v>186184</v>
      </c>
    </row>
    <row r="4441" spans="7:14" ht="11.25" customHeight="1" x14ac:dyDescent="0.25">
      <c r="G4441" s="459"/>
      <c r="H4441" s="459">
        <v>4434</v>
      </c>
      <c r="I4441" s="444">
        <f t="shared" ca="1" si="170"/>
        <v>-82014568322370.641</v>
      </c>
      <c r="J4441" s="444">
        <f t="array" ref="J4441">IFERROR(INDEX('Retirement Calculator'!K:K,MATCH('Lorri 401b'!N4441,'Retirement Calculator'!A:A,0),0),0)</f>
        <v>0</v>
      </c>
      <c r="K4441" s="444">
        <f t="shared" ca="1" si="168"/>
        <v>-341727368009.87769</v>
      </c>
      <c r="L4441" s="444">
        <f t="shared" ca="1" si="169"/>
        <v>-82356295690380.516</v>
      </c>
      <c r="M4441" s="460">
        <f t="shared" si="171"/>
        <v>0.05</v>
      </c>
      <c r="N4441" s="464">
        <f t="shared" si="172"/>
        <v>186215</v>
      </c>
    </row>
    <row r="4442" spans="7:14" ht="11.25" customHeight="1" x14ac:dyDescent="0.25">
      <c r="G4442" s="459"/>
      <c r="H4442" s="459">
        <v>4435</v>
      </c>
      <c r="I4442" s="444">
        <f t="shared" ca="1" si="170"/>
        <v>-82356295690380.516</v>
      </c>
      <c r="J4442" s="444">
        <f t="array" ref="J4442">IFERROR(INDEX('Retirement Calculator'!K:K,MATCH('Lorri 401b'!N4442,'Retirement Calculator'!A:A,0),0),0)</f>
        <v>0</v>
      </c>
      <c r="K4442" s="444">
        <f t="shared" ca="1" si="168"/>
        <v>-343151232043.25214</v>
      </c>
      <c r="L4442" s="444">
        <f t="shared" ca="1" si="169"/>
        <v>-82699446922423.766</v>
      </c>
      <c r="M4442" s="460">
        <f t="shared" si="171"/>
        <v>0.05</v>
      </c>
      <c r="N4442" s="464">
        <f t="shared" si="172"/>
        <v>186245</v>
      </c>
    </row>
    <row r="4443" spans="7:14" ht="11.25" customHeight="1" x14ac:dyDescent="0.25">
      <c r="G4443" s="459"/>
      <c r="H4443" s="459">
        <v>4436</v>
      </c>
      <c r="I4443" s="444">
        <f t="shared" ca="1" si="170"/>
        <v>-82699446922423.766</v>
      </c>
      <c r="J4443" s="444">
        <f t="array" ref="J4443">IFERROR(INDEX('Retirement Calculator'!K:K,MATCH('Lorri 401b'!N4443,'Retirement Calculator'!A:A,0),0),0)</f>
        <v>0</v>
      </c>
      <c r="K4443" s="444">
        <f t="shared" ca="1" si="168"/>
        <v>-344581028843.43237</v>
      </c>
      <c r="L4443" s="444">
        <f t="shared" ca="1" si="169"/>
        <v>-83044027951267.203</v>
      </c>
      <c r="M4443" s="460">
        <f t="shared" si="171"/>
        <v>0.05</v>
      </c>
      <c r="N4443" s="464">
        <f t="shared" si="172"/>
        <v>186276</v>
      </c>
    </row>
    <row r="4444" spans="7:14" ht="11.25" customHeight="1" x14ac:dyDescent="0.25">
      <c r="G4444" s="459"/>
      <c r="H4444" s="459">
        <v>4437</v>
      </c>
      <c r="I4444" s="444">
        <f t="shared" ca="1" si="170"/>
        <v>-83044027951267.203</v>
      </c>
      <c r="J4444" s="444">
        <f t="array" ref="J4444">IFERROR(INDEX('Retirement Calculator'!K:K,MATCH('Lorri 401b'!N4444,'Retirement Calculator'!A:A,0),0),0)</f>
        <v>0</v>
      </c>
      <c r="K4444" s="444">
        <f t="shared" ca="1" si="168"/>
        <v>-346016783130.28003</v>
      </c>
      <c r="L4444" s="444">
        <f t="shared" ca="1" si="169"/>
        <v>-83390044734397.484</v>
      </c>
      <c r="M4444" s="460">
        <f t="shared" si="171"/>
        <v>0.05</v>
      </c>
      <c r="N4444" s="464">
        <f t="shared" si="172"/>
        <v>186307</v>
      </c>
    </row>
    <row r="4445" spans="7:14" ht="11.25" customHeight="1" x14ac:dyDescent="0.25">
      <c r="G4445" s="459"/>
      <c r="H4445" s="459">
        <v>4438</v>
      </c>
      <c r="I4445" s="444">
        <f t="shared" ca="1" si="170"/>
        <v>-83390044734397.484</v>
      </c>
      <c r="J4445" s="444">
        <f t="array" ref="J4445">IFERROR(INDEX('Retirement Calculator'!K:K,MATCH('Lorri 401b'!N4445,'Retirement Calculator'!A:A,0),0),0)</f>
        <v>0</v>
      </c>
      <c r="K4445" s="444">
        <f t="shared" ca="1" si="168"/>
        <v>-347458519726.65619</v>
      </c>
      <c r="L4445" s="444">
        <f t="shared" ca="1" si="169"/>
        <v>-83737503254124.141</v>
      </c>
      <c r="M4445" s="460">
        <f t="shared" si="171"/>
        <v>0.05</v>
      </c>
      <c r="N4445" s="464">
        <f t="shared" si="172"/>
        <v>186335</v>
      </c>
    </row>
    <row r="4446" spans="7:14" ht="11.25" customHeight="1" x14ac:dyDescent="0.25">
      <c r="G4446" s="459"/>
      <c r="H4446" s="459">
        <v>4439</v>
      </c>
      <c r="I4446" s="444">
        <f t="shared" ca="1" si="170"/>
        <v>-83737503254124.141</v>
      </c>
      <c r="J4446" s="444">
        <f t="array" ref="J4446">IFERROR(INDEX('Retirement Calculator'!K:K,MATCH('Lorri 401b'!N4446,'Retirement Calculator'!A:A,0),0),0)</f>
        <v>0</v>
      </c>
      <c r="K4446" s="444">
        <f t="shared" ca="1" si="168"/>
        <v>-348906263558.85059</v>
      </c>
      <c r="L4446" s="444">
        <f t="shared" ca="1" si="169"/>
        <v>-84086409517682.984</v>
      </c>
      <c r="M4446" s="460">
        <f t="shared" si="171"/>
        <v>0.05</v>
      </c>
      <c r="N4446" s="464">
        <f t="shared" si="172"/>
        <v>186366</v>
      </c>
    </row>
    <row r="4447" spans="7:14" ht="11.25" customHeight="1" x14ac:dyDescent="0.25">
      <c r="G4447" s="459"/>
      <c r="H4447" s="459">
        <v>4440</v>
      </c>
      <c r="I4447" s="444">
        <f t="shared" ca="1" si="170"/>
        <v>-84086409517682.984</v>
      </c>
      <c r="J4447" s="444">
        <f t="array" ref="J4447">IFERROR(INDEX('Retirement Calculator'!K:K,MATCH('Lorri 401b'!N4447,'Retirement Calculator'!A:A,0),0),0)</f>
        <v>0</v>
      </c>
      <c r="K4447" s="444">
        <f t="shared" ca="1" si="168"/>
        <v>-350360039657.01245</v>
      </c>
      <c r="L4447" s="444">
        <f t="shared" ca="1" si="169"/>
        <v>-84436769557340</v>
      </c>
      <c r="M4447" s="460">
        <f t="shared" si="171"/>
        <v>0.05</v>
      </c>
      <c r="N4447" s="464">
        <f t="shared" si="172"/>
        <v>186396</v>
      </c>
    </row>
    <row r="4448" spans="7:14" ht="11.25" customHeight="1" x14ac:dyDescent="0.25">
      <c r="G4448" s="459"/>
      <c r="H4448" s="459">
        <v>4441</v>
      </c>
      <c r="I4448" s="444">
        <f t="shared" ca="1" si="170"/>
        <v>-84436769557340</v>
      </c>
      <c r="J4448" s="444">
        <f t="array" ref="J4448">IFERROR(INDEX('Retirement Calculator'!K:K,MATCH('Lorri 401b'!N4448,'Retirement Calculator'!A:A,0),0),0)</f>
        <v>0</v>
      </c>
      <c r="K4448" s="444">
        <f t="shared" ca="1" si="168"/>
        <v>-351819873155.58331</v>
      </c>
      <c r="L4448" s="444">
        <f t="shared" ca="1" si="169"/>
        <v>-84788589430495.578</v>
      </c>
      <c r="M4448" s="460">
        <f t="shared" si="171"/>
        <v>0.05</v>
      </c>
      <c r="N4448" s="464">
        <f t="shared" si="172"/>
        <v>186427</v>
      </c>
    </row>
    <row r="4449" spans="7:14" ht="11.25" customHeight="1" x14ac:dyDescent="0.25">
      <c r="G4449" s="459"/>
      <c r="H4449" s="459">
        <v>4442</v>
      </c>
      <c r="I4449" s="444">
        <f t="shared" ca="1" si="170"/>
        <v>-84788589430495.578</v>
      </c>
      <c r="J4449" s="444">
        <f t="array" ref="J4449">IFERROR(INDEX('Retirement Calculator'!K:K,MATCH('Lorri 401b'!N4449,'Retirement Calculator'!A:A,0),0),0)</f>
        <v>0</v>
      </c>
      <c r="K4449" s="444">
        <f t="shared" ca="1" si="168"/>
        <v>-353285789293.73157</v>
      </c>
      <c r="L4449" s="444">
        <f t="shared" ca="1" si="169"/>
        <v>-85141875219789.313</v>
      </c>
      <c r="M4449" s="460">
        <f t="shared" si="171"/>
        <v>0.05</v>
      </c>
      <c r="N4449" s="464">
        <f t="shared" si="172"/>
        <v>186457</v>
      </c>
    </row>
    <row r="4450" spans="7:14" ht="11.25" customHeight="1" x14ac:dyDescent="0.25">
      <c r="G4450" s="459"/>
      <c r="H4450" s="459">
        <v>4443</v>
      </c>
      <c r="I4450" s="444">
        <f t="shared" ca="1" si="170"/>
        <v>-85141875219789.313</v>
      </c>
      <c r="J4450" s="444">
        <f t="array" ref="J4450">IFERROR(INDEX('Retirement Calculator'!K:K,MATCH('Lorri 401b'!N4450,'Retirement Calculator'!A:A,0),0),0)</f>
        <v>0</v>
      </c>
      <c r="K4450" s="444">
        <f t="shared" ca="1" si="168"/>
        <v>-354757813415.78882</v>
      </c>
      <c r="L4450" s="444">
        <f t="shared" ca="1" si="169"/>
        <v>-85496633033205.094</v>
      </c>
      <c r="M4450" s="460">
        <f t="shared" si="171"/>
        <v>0.05</v>
      </c>
      <c r="N4450" s="464">
        <f t="shared" si="172"/>
        <v>186488</v>
      </c>
    </row>
    <row r="4451" spans="7:14" ht="11.25" customHeight="1" x14ac:dyDescent="0.25">
      <c r="G4451" s="459"/>
      <c r="H4451" s="459">
        <v>4444</v>
      </c>
      <c r="I4451" s="444">
        <f t="shared" ca="1" si="170"/>
        <v>-85496633033205.094</v>
      </c>
      <c r="J4451" s="444">
        <f t="array" ref="J4451">IFERROR(INDEX('Retirement Calculator'!K:K,MATCH('Lorri 401b'!N4451,'Retirement Calculator'!A:A,0),0),0)</f>
        <v>0</v>
      </c>
      <c r="K4451" s="444">
        <f t="shared" ca="1" si="168"/>
        <v>-356235970971.68787</v>
      </c>
      <c r="L4451" s="444">
        <f t="shared" ca="1" si="169"/>
        <v>-85852869004176.781</v>
      </c>
      <c r="M4451" s="460">
        <f t="shared" si="171"/>
        <v>0.05</v>
      </c>
      <c r="N4451" s="464">
        <f t="shared" si="172"/>
        <v>186519</v>
      </c>
    </row>
    <row r="4452" spans="7:14" ht="11.25" customHeight="1" x14ac:dyDescent="0.25">
      <c r="G4452" s="459"/>
      <c r="H4452" s="459">
        <v>4445</v>
      </c>
      <c r="I4452" s="444">
        <f t="shared" ca="1" si="170"/>
        <v>-85852869004176.781</v>
      </c>
      <c r="J4452" s="444">
        <f t="array" ref="J4452">IFERROR(INDEX('Retirement Calculator'!K:K,MATCH('Lorri 401b'!N4452,'Retirement Calculator'!A:A,0),0),0)</f>
        <v>0</v>
      </c>
      <c r="K4452" s="444">
        <f t="shared" ca="1" si="168"/>
        <v>-357720287517.40326</v>
      </c>
      <c r="L4452" s="444">
        <f t="shared" ca="1" si="169"/>
        <v>-86210589291694.188</v>
      </c>
      <c r="M4452" s="460">
        <f t="shared" si="171"/>
        <v>0.05</v>
      </c>
      <c r="N4452" s="464">
        <f t="shared" si="172"/>
        <v>186549</v>
      </c>
    </row>
    <row r="4453" spans="7:14" ht="11.25" customHeight="1" x14ac:dyDescent="0.25">
      <c r="G4453" s="459"/>
      <c r="H4453" s="459">
        <v>4446</v>
      </c>
      <c r="I4453" s="444">
        <f t="shared" ca="1" si="170"/>
        <v>-86210589291694.188</v>
      </c>
      <c r="J4453" s="444">
        <f t="array" ref="J4453">IFERROR(INDEX('Retirement Calculator'!K:K,MATCH('Lorri 401b'!N4453,'Retirement Calculator'!A:A,0),0),0)</f>
        <v>0</v>
      </c>
      <c r="K4453" s="444">
        <f t="shared" ca="1" si="168"/>
        <v>-359210788715.39246</v>
      </c>
      <c r="L4453" s="444">
        <f t="shared" ca="1" si="169"/>
        <v>-86569800080409.578</v>
      </c>
      <c r="M4453" s="460">
        <f t="shared" si="171"/>
        <v>0.05</v>
      </c>
      <c r="N4453" s="464">
        <f t="shared" si="172"/>
        <v>186580</v>
      </c>
    </row>
    <row r="4454" spans="7:14" ht="11.25" customHeight="1" x14ac:dyDescent="0.25">
      <c r="G4454" s="459"/>
      <c r="H4454" s="459">
        <v>4447</v>
      </c>
      <c r="I4454" s="444">
        <f t="shared" ca="1" si="170"/>
        <v>-86569800080409.578</v>
      </c>
      <c r="J4454" s="444">
        <f t="array" ref="J4454">IFERROR(INDEX('Retirement Calculator'!K:K,MATCH('Lorri 401b'!N4454,'Retirement Calculator'!A:A,0),0),0)</f>
        <v>0</v>
      </c>
      <c r="K4454" s="444">
        <f t="shared" ca="1" si="168"/>
        <v>-360707500335.03992</v>
      </c>
      <c r="L4454" s="444">
        <f t="shared" ca="1" si="169"/>
        <v>-86930507580744.625</v>
      </c>
      <c r="M4454" s="460">
        <f t="shared" si="171"/>
        <v>0.05</v>
      </c>
      <c r="N4454" s="464">
        <f t="shared" si="172"/>
        <v>186610</v>
      </c>
    </row>
    <row r="4455" spans="7:14" ht="11.25" customHeight="1" x14ac:dyDescent="0.25">
      <c r="G4455" s="459"/>
      <c r="H4455" s="459">
        <v>4448</v>
      </c>
      <c r="I4455" s="444">
        <f t="shared" ca="1" si="170"/>
        <v>-86930507580744.625</v>
      </c>
      <c r="J4455" s="444">
        <f t="array" ref="J4455">IFERROR(INDEX('Retirement Calculator'!K:K,MATCH('Lorri 401b'!N4455,'Retirement Calculator'!A:A,0),0),0)</f>
        <v>0</v>
      </c>
      <c r="K4455" s="444">
        <f t="shared" ca="1" si="168"/>
        <v>-362210448253.1026</v>
      </c>
      <c r="L4455" s="444">
        <f t="shared" ca="1" si="169"/>
        <v>-87292718028997.734</v>
      </c>
      <c r="M4455" s="460">
        <f t="shared" si="171"/>
        <v>0.05</v>
      </c>
      <c r="N4455" s="464">
        <f t="shared" si="172"/>
        <v>186641</v>
      </c>
    </row>
    <row r="4456" spans="7:14" ht="11.25" customHeight="1" x14ac:dyDescent="0.25">
      <c r="G4456" s="459"/>
      <c r="H4456" s="459">
        <v>4449</v>
      </c>
      <c r="I4456" s="444">
        <f t="shared" ca="1" si="170"/>
        <v>-87292718028997.734</v>
      </c>
      <c r="J4456" s="444">
        <f t="array" ref="J4456">IFERROR(INDEX('Retirement Calculator'!K:K,MATCH('Lorri 401b'!N4456,'Retirement Calculator'!A:A,0),0),0)</f>
        <v>0</v>
      </c>
      <c r="K4456" s="444">
        <f t="shared" ca="1" si="168"/>
        <v>-363719658454.15723</v>
      </c>
      <c r="L4456" s="444">
        <f t="shared" ca="1" si="169"/>
        <v>-87656437687451.891</v>
      </c>
      <c r="M4456" s="460">
        <f t="shared" si="171"/>
        <v>0.05</v>
      </c>
      <c r="N4456" s="464">
        <f t="shared" si="172"/>
        <v>186672</v>
      </c>
    </row>
    <row r="4457" spans="7:14" ht="11.25" customHeight="1" x14ac:dyDescent="0.25">
      <c r="G4457" s="459"/>
      <c r="H4457" s="459">
        <v>4450</v>
      </c>
      <c r="I4457" s="444">
        <f t="shared" ca="1" si="170"/>
        <v>-87656437687451.891</v>
      </c>
      <c r="J4457" s="444">
        <f t="array" ref="J4457">IFERROR(INDEX('Retirement Calculator'!K:K,MATCH('Lorri 401b'!N4457,'Retirement Calculator'!A:A,0),0),0)</f>
        <v>0</v>
      </c>
      <c r="K4457" s="444">
        <f t="shared" ca="1" si="168"/>
        <v>-365235157031.04956</v>
      </c>
      <c r="L4457" s="444">
        <f t="shared" ca="1" si="169"/>
        <v>-88021672844482.938</v>
      </c>
      <c r="M4457" s="460">
        <f t="shared" si="171"/>
        <v>0.05</v>
      </c>
      <c r="N4457" s="464">
        <f t="shared" si="172"/>
        <v>186700</v>
      </c>
    </row>
    <row r="4458" spans="7:14" ht="11.25" customHeight="1" x14ac:dyDescent="0.25">
      <c r="G4458" s="459"/>
      <c r="H4458" s="459">
        <v>4451</v>
      </c>
      <c r="I4458" s="444">
        <f t="shared" ca="1" si="170"/>
        <v>-88021672844482.938</v>
      </c>
      <c r="J4458" s="444">
        <f t="array" ref="J4458">IFERROR(INDEX('Retirement Calculator'!K:K,MATCH('Lorri 401b'!N4458,'Retirement Calculator'!A:A,0),0),0)</f>
        <v>0</v>
      </c>
      <c r="K4458" s="444">
        <f t="shared" ca="1" si="168"/>
        <v>-366756970185.34558</v>
      </c>
      <c r="L4458" s="444">
        <f t="shared" ca="1" si="169"/>
        <v>-88388429814668.281</v>
      </c>
      <c r="M4458" s="460">
        <f t="shared" si="171"/>
        <v>0.05</v>
      </c>
      <c r="N4458" s="464">
        <f t="shared" si="172"/>
        <v>186731</v>
      </c>
    </row>
    <row r="4459" spans="7:14" ht="11.25" customHeight="1" x14ac:dyDescent="0.25">
      <c r="G4459" s="459"/>
      <c r="H4459" s="459">
        <v>4452</v>
      </c>
      <c r="I4459" s="444">
        <f t="shared" ca="1" si="170"/>
        <v>-88388429814668.281</v>
      </c>
      <c r="J4459" s="444">
        <f t="array" ref="J4459">IFERROR(INDEX('Retirement Calculator'!K:K,MATCH('Lorri 401b'!N4459,'Retirement Calculator'!A:A,0),0),0)</f>
        <v>0</v>
      </c>
      <c r="K4459" s="444">
        <f t="shared" ca="1" si="168"/>
        <v>-368285124227.78448</v>
      </c>
      <c r="L4459" s="444">
        <f t="shared" ca="1" si="169"/>
        <v>-88756714938896.063</v>
      </c>
      <c r="M4459" s="460">
        <f t="shared" si="171"/>
        <v>0.05</v>
      </c>
      <c r="N4459" s="464">
        <f t="shared" si="172"/>
        <v>186761</v>
      </c>
    </row>
    <row r="4460" spans="7:14" ht="11.25" customHeight="1" x14ac:dyDescent="0.25">
      <c r="G4460" s="459"/>
      <c r="H4460" s="459">
        <v>4453</v>
      </c>
      <c r="I4460" s="444">
        <f t="shared" ca="1" si="170"/>
        <v>-88756714938896.063</v>
      </c>
      <c r="J4460" s="444">
        <f t="array" ref="J4460">IFERROR(INDEX('Retirement Calculator'!K:K,MATCH('Lorri 401b'!N4460,'Retirement Calculator'!A:A,0),0),0)</f>
        <v>0</v>
      </c>
      <c r="K4460" s="444">
        <f t="shared" ca="1" si="168"/>
        <v>-369819645578.73358</v>
      </c>
      <c r="L4460" s="444">
        <f t="shared" ca="1" si="169"/>
        <v>-89126534584474.797</v>
      </c>
      <c r="M4460" s="460">
        <f t="shared" si="171"/>
        <v>0.05</v>
      </c>
      <c r="N4460" s="464">
        <f t="shared" si="172"/>
        <v>186792</v>
      </c>
    </row>
    <row r="4461" spans="7:14" ht="11.25" customHeight="1" x14ac:dyDescent="0.25">
      <c r="G4461" s="459"/>
      <c r="H4461" s="459">
        <v>4454</v>
      </c>
      <c r="I4461" s="444">
        <f t="shared" ca="1" si="170"/>
        <v>-89126534584474.797</v>
      </c>
      <c r="J4461" s="444">
        <f t="array" ref="J4461">IFERROR(INDEX('Retirement Calculator'!K:K,MATCH('Lorri 401b'!N4461,'Retirement Calculator'!A:A,0),0),0)</f>
        <v>0</v>
      </c>
      <c r="K4461" s="444">
        <f t="shared" ca="1" si="168"/>
        <v>-371360560768.64496</v>
      </c>
      <c r="L4461" s="444">
        <f t="shared" ca="1" si="169"/>
        <v>-89497895145243.438</v>
      </c>
      <c r="M4461" s="460">
        <f t="shared" si="171"/>
        <v>0.05</v>
      </c>
      <c r="N4461" s="464">
        <f t="shared" si="172"/>
        <v>186822</v>
      </c>
    </row>
    <row r="4462" spans="7:14" ht="11.25" customHeight="1" x14ac:dyDescent="0.25">
      <c r="G4462" s="459"/>
      <c r="H4462" s="459">
        <v>4455</v>
      </c>
      <c r="I4462" s="444">
        <f t="shared" ca="1" si="170"/>
        <v>-89497895145243.438</v>
      </c>
      <c r="J4462" s="444">
        <f t="array" ref="J4462">IFERROR(INDEX('Retirement Calculator'!K:K,MATCH('Lorri 401b'!N4462,'Retirement Calculator'!A:A,0),0),0)</f>
        <v>0</v>
      </c>
      <c r="K4462" s="444">
        <f t="shared" ca="1" si="168"/>
        <v>-372907896438.51434</v>
      </c>
      <c r="L4462" s="444">
        <f t="shared" ca="1" si="169"/>
        <v>-89870803041681.953</v>
      </c>
      <c r="M4462" s="460">
        <f t="shared" si="171"/>
        <v>0.05</v>
      </c>
      <c r="N4462" s="464">
        <f t="shared" si="172"/>
        <v>186853</v>
      </c>
    </row>
    <row r="4463" spans="7:14" ht="11.25" customHeight="1" x14ac:dyDescent="0.25">
      <c r="G4463" s="459"/>
      <c r="H4463" s="459">
        <v>4456</v>
      </c>
      <c r="I4463" s="444">
        <f t="shared" ca="1" si="170"/>
        <v>-89870803041681.953</v>
      </c>
      <c r="J4463" s="444">
        <f t="array" ref="J4463">IFERROR(INDEX('Retirement Calculator'!K:K,MATCH('Lorri 401b'!N4463,'Retirement Calculator'!A:A,0),0),0)</f>
        <v>0</v>
      </c>
      <c r="K4463" s="444">
        <f t="shared" ca="1" si="168"/>
        <v>-374461679340.34149</v>
      </c>
      <c r="L4463" s="444">
        <f t="shared" ca="1" si="169"/>
        <v>-90245264721022.297</v>
      </c>
      <c r="M4463" s="460">
        <f t="shared" si="171"/>
        <v>0.05</v>
      </c>
      <c r="N4463" s="464">
        <f t="shared" si="172"/>
        <v>186884</v>
      </c>
    </row>
    <row r="4464" spans="7:14" ht="11.25" customHeight="1" x14ac:dyDescent="0.25">
      <c r="G4464" s="459"/>
      <c r="H4464" s="459">
        <v>4457</v>
      </c>
      <c r="I4464" s="444">
        <f t="shared" ca="1" si="170"/>
        <v>-90245264721022.297</v>
      </c>
      <c r="J4464" s="444">
        <f t="array" ref="J4464">IFERROR(INDEX('Retirement Calculator'!K:K,MATCH('Lorri 401b'!N4464,'Retirement Calculator'!A:A,0),0),0)</f>
        <v>0</v>
      </c>
      <c r="K4464" s="444">
        <f t="shared" ca="1" si="168"/>
        <v>-376021936337.5929</v>
      </c>
      <c r="L4464" s="444">
        <f t="shared" ca="1" si="169"/>
        <v>-90621286657359.891</v>
      </c>
      <c r="M4464" s="460">
        <f t="shared" si="171"/>
        <v>0.05</v>
      </c>
      <c r="N4464" s="464">
        <f t="shared" si="172"/>
        <v>186914</v>
      </c>
    </row>
    <row r="4465" spans="7:14" ht="11.25" customHeight="1" x14ac:dyDescent="0.25">
      <c r="G4465" s="459"/>
      <c r="H4465" s="459">
        <v>4458</v>
      </c>
      <c r="I4465" s="444">
        <f t="shared" ca="1" si="170"/>
        <v>-90621286657359.891</v>
      </c>
      <c r="J4465" s="444">
        <f t="array" ref="J4465">IFERROR(INDEX('Retirement Calculator'!K:K,MATCH('Lorri 401b'!N4465,'Retirement Calculator'!A:A,0),0),0)</f>
        <v>0</v>
      </c>
      <c r="K4465" s="444">
        <f t="shared" ca="1" si="168"/>
        <v>-377588694405.6662</v>
      </c>
      <c r="L4465" s="444">
        <f t="shared" ca="1" si="169"/>
        <v>-90998875351765.563</v>
      </c>
      <c r="M4465" s="460">
        <f t="shared" si="171"/>
        <v>0.05</v>
      </c>
      <c r="N4465" s="464">
        <f t="shared" si="172"/>
        <v>186945</v>
      </c>
    </row>
    <row r="4466" spans="7:14" ht="11.25" customHeight="1" x14ac:dyDescent="0.25">
      <c r="G4466" s="459"/>
      <c r="H4466" s="459">
        <v>4459</v>
      </c>
      <c r="I4466" s="444">
        <f t="shared" ca="1" si="170"/>
        <v>-90998875351765.563</v>
      </c>
      <c r="J4466" s="444">
        <f t="array" ref="J4466">IFERROR(INDEX('Retirement Calculator'!K:K,MATCH('Lorri 401b'!N4466,'Retirement Calculator'!A:A,0),0),0)</f>
        <v>0</v>
      </c>
      <c r="K4466" s="444">
        <f t="shared" ca="1" si="168"/>
        <v>-379161980632.35651</v>
      </c>
      <c r="L4466" s="444">
        <f t="shared" ca="1" si="169"/>
        <v>-91378037332397.922</v>
      </c>
      <c r="M4466" s="460">
        <f t="shared" si="171"/>
        <v>0.05</v>
      </c>
      <c r="N4466" s="464">
        <f t="shared" si="172"/>
        <v>186975</v>
      </c>
    </row>
    <row r="4467" spans="7:14" ht="11.25" customHeight="1" x14ac:dyDescent="0.25">
      <c r="G4467" s="459"/>
      <c r="H4467" s="459">
        <v>4460</v>
      </c>
      <c r="I4467" s="444">
        <f t="shared" ca="1" si="170"/>
        <v>-91378037332397.922</v>
      </c>
      <c r="J4467" s="444">
        <f t="array" ref="J4467">IFERROR(INDEX('Retirement Calculator'!K:K,MATCH('Lorri 401b'!N4467,'Retirement Calculator'!A:A,0),0),0)</f>
        <v>0</v>
      </c>
      <c r="K4467" s="444">
        <f t="shared" ca="1" si="168"/>
        <v>-380741822218.32465</v>
      </c>
      <c r="L4467" s="444">
        <f t="shared" ca="1" si="169"/>
        <v>-91758779154616.25</v>
      </c>
      <c r="M4467" s="460">
        <f t="shared" si="171"/>
        <v>0.05</v>
      </c>
      <c r="N4467" s="464">
        <f t="shared" si="172"/>
        <v>187006</v>
      </c>
    </row>
    <row r="4468" spans="7:14" ht="11.25" customHeight="1" x14ac:dyDescent="0.25">
      <c r="G4468" s="459"/>
      <c r="H4468" s="459">
        <v>4461</v>
      </c>
      <c r="I4468" s="444">
        <f t="shared" ca="1" si="170"/>
        <v>-91758779154616.25</v>
      </c>
      <c r="J4468" s="444">
        <f t="array" ref="J4468">IFERROR(INDEX('Retirement Calculator'!K:K,MATCH('Lorri 401b'!N4468,'Retirement Calculator'!A:A,0),0),0)</f>
        <v>0</v>
      </c>
      <c r="K4468" s="444">
        <f t="shared" ca="1" si="168"/>
        <v>-382328246477.56769</v>
      </c>
      <c r="L4468" s="444">
        <f t="shared" ca="1" si="169"/>
        <v>-92141107401093.813</v>
      </c>
      <c r="M4468" s="460">
        <f t="shared" si="171"/>
        <v>0.05</v>
      </c>
      <c r="N4468" s="464">
        <f t="shared" si="172"/>
        <v>187037</v>
      </c>
    </row>
    <row r="4469" spans="7:14" ht="11.25" customHeight="1" x14ac:dyDescent="0.25">
      <c r="G4469" s="459"/>
      <c r="H4469" s="459">
        <v>4462</v>
      </c>
      <c r="I4469" s="444">
        <f t="shared" ca="1" si="170"/>
        <v>-92141107401093.813</v>
      </c>
      <c r="J4469" s="444">
        <f t="array" ref="J4469">IFERROR(INDEX('Retirement Calculator'!K:K,MATCH('Lorri 401b'!N4469,'Retirement Calculator'!A:A,0),0),0)</f>
        <v>0</v>
      </c>
      <c r="K4469" s="444">
        <f t="shared" ca="1" si="168"/>
        <v>-383921280837.89087</v>
      </c>
      <c r="L4469" s="444">
        <f t="shared" ca="1" si="169"/>
        <v>-92525028681931.703</v>
      </c>
      <c r="M4469" s="460">
        <f t="shared" si="171"/>
        <v>0.05</v>
      </c>
      <c r="N4469" s="464">
        <f t="shared" si="172"/>
        <v>187066</v>
      </c>
    </row>
    <row r="4470" spans="7:14" ht="11.25" customHeight="1" x14ac:dyDescent="0.25">
      <c r="G4470" s="459"/>
      <c r="H4470" s="459">
        <v>4463</v>
      </c>
      <c r="I4470" s="444">
        <f t="shared" ca="1" si="170"/>
        <v>-92525028681931.703</v>
      </c>
      <c r="J4470" s="444">
        <f t="array" ref="J4470">IFERROR(INDEX('Retirement Calculator'!K:K,MATCH('Lorri 401b'!N4470,'Retirement Calculator'!A:A,0),0),0)</f>
        <v>0</v>
      </c>
      <c r="K4470" s="444">
        <f t="shared" ca="1" si="168"/>
        <v>-385520952841.38208</v>
      </c>
      <c r="L4470" s="444">
        <f t="shared" ca="1" si="169"/>
        <v>-92910549634773.078</v>
      </c>
      <c r="M4470" s="460">
        <f t="shared" si="171"/>
        <v>0.05</v>
      </c>
      <c r="N4470" s="464">
        <f t="shared" si="172"/>
        <v>187097</v>
      </c>
    </row>
    <row r="4471" spans="7:14" ht="11.25" customHeight="1" x14ac:dyDescent="0.25">
      <c r="G4471" s="459"/>
      <c r="H4471" s="459">
        <v>4464</v>
      </c>
      <c r="I4471" s="444">
        <f t="shared" ca="1" si="170"/>
        <v>-92910549634773.078</v>
      </c>
      <c r="J4471" s="444">
        <f t="array" ref="J4471">IFERROR(INDEX('Retirement Calculator'!K:K,MATCH('Lorri 401b'!N4471,'Retirement Calculator'!A:A,0),0),0)</f>
        <v>0</v>
      </c>
      <c r="K4471" s="444">
        <f t="shared" ca="1" si="168"/>
        <v>-387127290144.88782</v>
      </c>
      <c r="L4471" s="444">
        <f t="shared" ca="1" si="169"/>
        <v>-93297676924917.969</v>
      </c>
      <c r="M4471" s="460">
        <f t="shared" si="171"/>
        <v>0.05</v>
      </c>
      <c r="N4471" s="464">
        <f t="shared" si="172"/>
        <v>187127</v>
      </c>
    </row>
    <row r="4472" spans="7:14" ht="11.25" customHeight="1" x14ac:dyDescent="0.25">
      <c r="G4472" s="459"/>
      <c r="H4472" s="459">
        <v>4465</v>
      </c>
      <c r="I4472" s="444">
        <f t="shared" ca="1" si="170"/>
        <v>-93297676924917.969</v>
      </c>
      <c r="J4472" s="444">
        <f t="array" ref="J4472">IFERROR(INDEX('Retirement Calculator'!K:K,MATCH('Lorri 401b'!N4472,'Retirement Calculator'!A:A,0),0),0)</f>
        <v>0</v>
      </c>
      <c r="K4472" s="444">
        <f t="shared" ca="1" si="168"/>
        <v>-388740320520.49152</v>
      </c>
      <c r="L4472" s="444">
        <f t="shared" ca="1" si="169"/>
        <v>-93686417245438.453</v>
      </c>
      <c r="M4472" s="460">
        <f t="shared" si="171"/>
        <v>0.05</v>
      </c>
      <c r="N4472" s="464">
        <f t="shared" si="172"/>
        <v>187158</v>
      </c>
    </row>
    <row r="4473" spans="7:14" ht="11.25" customHeight="1" x14ac:dyDescent="0.25">
      <c r="G4473" s="459"/>
      <c r="H4473" s="459">
        <v>4466</v>
      </c>
      <c r="I4473" s="444">
        <f t="shared" ca="1" si="170"/>
        <v>-93686417245438.453</v>
      </c>
      <c r="J4473" s="444">
        <f t="array" ref="J4473">IFERROR(INDEX('Retirement Calculator'!K:K,MATCH('Lorri 401b'!N4473,'Retirement Calculator'!A:A,0),0),0)</f>
        <v>0</v>
      </c>
      <c r="K4473" s="444">
        <f t="shared" ca="1" si="168"/>
        <v>-390360071855.99353</v>
      </c>
      <c r="L4473" s="444">
        <f t="shared" ca="1" si="169"/>
        <v>-94076777317294.453</v>
      </c>
      <c r="M4473" s="460">
        <f t="shared" si="171"/>
        <v>0.05</v>
      </c>
      <c r="N4473" s="464">
        <f t="shared" si="172"/>
        <v>187188</v>
      </c>
    </row>
    <row r="4474" spans="7:14" ht="11.25" customHeight="1" x14ac:dyDescent="0.25">
      <c r="G4474" s="459"/>
      <c r="H4474" s="459">
        <v>4467</v>
      </c>
      <c r="I4474" s="444">
        <f t="shared" ca="1" si="170"/>
        <v>-94076777317294.453</v>
      </c>
      <c r="J4474" s="444">
        <f t="array" ref="J4474">IFERROR(INDEX('Retirement Calculator'!K:K,MATCH('Lorri 401b'!N4474,'Retirement Calculator'!A:A,0),0),0)</f>
        <v>0</v>
      </c>
      <c r="K4474" s="444">
        <f t="shared" ca="1" si="168"/>
        <v>-391986572155.39355</v>
      </c>
      <c r="L4474" s="444">
        <f t="shared" ca="1" si="169"/>
        <v>-94468763889449.844</v>
      </c>
      <c r="M4474" s="460">
        <f t="shared" si="171"/>
        <v>0.05</v>
      </c>
      <c r="N4474" s="464">
        <f t="shared" si="172"/>
        <v>187219</v>
      </c>
    </row>
    <row r="4475" spans="7:14" ht="11.25" customHeight="1" x14ac:dyDescent="0.25">
      <c r="G4475" s="459"/>
      <c r="H4475" s="459">
        <v>4468</v>
      </c>
      <c r="I4475" s="444">
        <f t="shared" ca="1" si="170"/>
        <v>-94468763889449.844</v>
      </c>
      <c r="J4475" s="444">
        <f t="array" ref="J4475">IFERROR(INDEX('Retirement Calculator'!K:K,MATCH('Lorri 401b'!N4475,'Retirement Calculator'!A:A,0),0),0)</f>
        <v>0</v>
      </c>
      <c r="K4475" s="444">
        <f t="shared" ca="1" si="168"/>
        <v>-393619849539.37433</v>
      </c>
      <c r="L4475" s="444">
        <f t="shared" ca="1" si="169"/>
        <v>-94862383738989.219</v>
      </c>
      <c r="M4475" s="460">
        <f t="shared" si="171"/>
        <v>0.05</v>
      </c>
      <c r="N4475" s="464">
        <f t="shared" si="172"/>
        <v>187250</v>
      </c>
    </row>
    <row r="4476" spans="7:14" ht="11.25" customHeight="1" x14ac:dyDescent="0.25">
      <c r="G4476" s="459"/>
      <c r="H4476" s="459">
        <v>4469</v>
      </c>
      <c r="I4476" s="444">
        <f t="shared" ca="1" si="170"/>
        <v>-94862383738989.219</v>
      </c>
      <c r="J4476" s="444">
        <f t="array" ref="J4476">IFERROR(INDEX('Retirement Calculator'!K:K,MATCH('Lorri 401b'!N4476,'Retirement Calculator'!A:A,0),0),0)</f>
        <v>0</v>
      </c>
      <c r="K4476" s="444">
        <f t="shared" ca="1" si="168"/>
        <v>-395259932245.78839</v>
      </c>
      <c r="L4476" s="444">
        <f t="shared" ca="1" si="169"/>
        <v>-95257643671235</v>
      </c>
      <c r="M4476" s="460">
        <f t="shared" si="171"/>
        <v>0.05</v>
      </c>
      <c r="N4476" s="464">
        <f t="shared" si="172"/>
        <v>187280</v>
      </c>
    </row>
    <row r="4477" spans="7:14" ht="11.25" customHeight="1" x14ac:dyDescent="0.25">
      <c r="G4477" s="459"/>
      <c r="H4477" s="459">
        <v>4470</v>
      </c>
      <c r="I4477" s="444">
        <f t="shared" ca="1" si="170"/>
        <v>-95257643671235</v>
      </c>
      <c r="J4477" s="444">
        <f t="array" ref="J4477">IFERROR(INDEX('Retirement Calculator'!K:K,MATCH('Lorri 401b'!N4477,'Retirement Calculator'!A:A,0),0),0)</f>
        <v>0</v>
      </c>
      <c r="K4477" s="444">
        <f t="shared" ca="1" si="168"/>
        <v>-396906848630.14581</v>
      </c>
      <c r="L4477" s="444">
        <f t="shared" ca="1" si="169"/>
        <v>-95654550519865.141</v>
      </c>
      <c r="M4477" s="460">
        <f t="shared" si="171"/>
        <v>0.05</v>
      </c>
      <c r="N4477" s="464">
        <f t="shared" si="172"/>
        <v>187311</v>
      </c>
    </row>
    <row r="4478" spans="7:14" ht="11.25" customHeight="1" x14ac:dyDescent="0.25">
      <c r="G4478" s="459"/>
      <c r="H4478" s="459">
        <v>4471</v>
      </c>
      <c r="I4478" s="444">
        <f t="shared" ca="1" si="170"/>
        <v>-95654550519865.141</v>
      </c>
      <c r="J4478" s="444">
        <f t="array" ref="J4478">IFERROR(INDEX('Retirement Calculator'!K:K,MATCH('Lorri 401b'!N4478,'Retirement Calculator'!A:A,0),0),0)</f>
        <v>0</v>
      </c>
      <c r="K4478" s="444">
        <f t="shared" ca="1" si="168"/>
        <v>-398560627166.10474</v>
      </c>
      <c r="L4478" s="444">
        <f t="shared" ca="1" si="169"/>
        <v>-96053111147031.25</v>
      </c>
      <c r="M4478" s="460">
        <f t="shared" si="171"/>
        <v>0.05</v>
      </c>
      <c r="N4478" s="464">
        <f t="shared" si="172"/>
        <v>187341</v>
      </c>
    </row>
    <row r="4479" spans="7:14" ht="11.25" customHeight="1" x14ac:dyDescent="0.25">
      <c r="G4479" s="459"/>
      <c r="H4479" s="459">
        <v>4472</v>
      </c>
      <c r="I4479" s="444">
        <f t="shared" ca="1" si="170"/>
        <v>-96053111147031.25</v>
      </c>
      <c r="J4479" s="444">
        <f t="array" ref="J4479">IFERROR(INDEX('Retirement Calculator'!K:K,MATCH('Lorri 401b'!N4479,'Retirement Calculator'!A:A,0),0),0)</f>
        <v>0</v>
      </c>
      <c r="K4479" s="444">
        <f t="shared" ca="1" si="168"/>
        <v>-400221296445.96356</v>
      </c>
      <c r="L4479" s="444">
        <f t="shared" ca="1" si="169"/>
        <v>-96453332443477.219</v>
      </c>
      <c r="M4479" s="460">
        <f t="shared" si="171"/>
        <v>0.05</v>
      </c>
      <c r="N4479" s="464">
        <f t="shared" si="172"/>
        <v>187372</v>
      </c>
    </row>
    <row r="4480" spans="7:14" ht="11.25" customHeight="1" x14ac:dyDescent="0.25">
      <c r="G4480" s="459"/>
      <c r="H4480" s="459">
        <v>4473</v>
      </c>
      <c r="I4480" s="444">
        <f t="shared" ca="1" si="170"/>
        <v>-96453332443477.219</v>
      </c>
      <c r="J4480" s="444">
        <f t="array" ref="J4480">IFERROR(INDEX('Retirement Calculator'!K:K,MATCH('Lorri 401b'!N4480,'Retirement Calculator'!A:A,0),0),0)</f>
        <v>0</v>
      </c>
      <c r="K4480" s="444">
        <f t="shared" ca="1" si="168"/>
        <v>-401888885181.15509</v>
      </c>
      <c r="L4480" s="444">
        <f t="shared" ca="1" si="169"/>
        <v>-96855221328658.375</v>
      </c>
      <c r="M4480" s="460">
        <f t="shared" si="171"/>
        <v>0.05</v>
      </c>
      <c r="N4480" s="464">
        <f t="shared" si="172"/>
        <v>187403</v>
      </c>
    </row>
    <row r="4481" spans="7:14" ht="11.25" customHeight="1" x14ac:dyDescent="0.25">
      <c r="G4481" s="459"/>
      <c r="H4481" s="459">
        <v>4474</v>
      </c>
      <c r="I4481" s="444">
        <f t="shared" ca="1" si="170"/>
        <v>-96855221328658.375</v>
      </c>
      <c r="J4481" s="444">
        <f t="array" ref="J4481">IFERROR(INDEX('Retirement Calculator'!K:K,MATCH('Lorri 401b'!N4481,'Retirement Calculator'!A:A,0),0),0)</f>
        <v>0</v>
      </c>
      <c r="K4481" s="444">
        <f t="shared" ca="1" si="168"/>
        <v>-403563422202.74323</v>
      </c>
      <c r="L4481" s="444">
        <f t="shared" ca="1" si="169"/>
        <v>-97258784750861.125</v>
      </c>
      <c r="M4481" s="460">
        <f t="shared" si="171"/>
        <v>0.05</v>
      </c>
      <c r="N4481" s="464">
        <f t="shared" si="172"/>
        <v>187431</v>
      </c>
    </row>
    <row r="4482" spans="7:14" ht="11.25" customHeight="1" x14ac:dyDescent="0.25">
      <c r="G4482" s="459"/>
      <c r="H4482" s="459">
        <v>4475</v>
      </c>
      <c r="I4482" s="444">
        <f t="shared" ca="1" si="170"/>
        <v>-97258784750861.125</v>
      </c>
      <c r="J4482" s="444">
        <f t="array" ref="J4482">IFERROR(INDEX('Retirement Calculator'!K:K,MATCH('Lorri 401b'!N4482,'Retirement Calculator'!A:A,0),0),0)</f>
        <v>0</v>
      </c>
      <c r="K4482" s="444">
        <f t="shared" ca="1" si="168"/>
        <v>-405244936461.92133</v>
      </c>
      <c r="L4482" s="444">
        <f t="shared" ca="1" si="169"/>
        <v>-97664029687323.047</v>
      </c>
      <c r="M4482" s="460">
        <f t="shared" si="171"/>
        <v>0.05</v>
      </c>
      <c r="N4482" s="464">
        <f t="shared" si="172"/>
        <v>187462</v>
      </c>
    </row>
    <row r="4483" spans="7:14" ht="11.25" customHeight="1" x14ac:dyDescent="0.25">
      <c r="G4483" s="459"/>
      <c r="H4483" s="459">
        <v>4476</v>
      </c>
      <c r="I4483" s="444">
        <f t="shared" ca="1" si="170"/>
        <v>-97664029687323.047</v>
      </c>
      <c r="J4483" s="444">
        <f t="array" ref="J4483">IFERROR(INDEX('Retirement Calculator'!K:K,MATCH('Lorri 401b'!N4483,'Retirement Calculator'!A:A,0),0),0)</f>
        <v>0</v>
      </c>
      <c r="K4483" s="444">
        <f t="shared" ca="1" si="168"/>
        <v>-406933457030.5127</v>
      </c>
      <c r="L4483" s="444">
        <f t="shared" ca="1" si="169"/>
        <v>-98070963144353.563</v>
      </c>
      <c r="M4483" s="460">
        <f t="shared" si="171"/>
        <v>0.05</v>
      </c>
      <c r="N4483" s="464">
        <f t="shared" si="172"/>
        <v>187492</v>
      </c>
    </row>
    <row r="4484" spans="7:14" ht="11.25" customHeight="1" x14ac:dyDescent="0.25">
      <c r="G4484" s="459"/>
      <c r="H4484" s="459">
        <v>4477</v>
      </c>
      <c r="I4484" s="444">
        <f t="shared" ca="1" si="170"/>
        <v>-98070963144353.563</v>
      </c>
      <c r="J4484" s="444">
        <f t="array" ref="J4484">IFERROR(INDEX('Retirement Calculator'!K:K,MATCH('Lorri 401b'!N4484,'Retirement Calculator'!A:A,0),0),0)</f>
        <v>0</v>
      </c>
      <c r="K4484" s="444">
        <f t="shared" ca="1" si="168"/>
        <v>-408629013101.47314</v>
      </c>
      <c r="L4484" s="444">
        <f t="shared" ca="1" si="169"/>
        <v>-98479592157455.031</v>
      </c>
      <c r="M4484" s="460">
        <f t="shared" si="171"/>
        <v>0.05</v>
      </c>
      <c r="N4484" s="464">
        <f t="shared" si="172"/>
        <v>187523</v>
      </c>
    </row>
    <row r="4485" spans="7:14" ht="11.25" customHeight="1" x14ac:dyDescent="0.25">
      <c r="G4485" s="459"/>
      <c r="H4485" s="459">
        <v>4478</v>
      </c>
      <c r="I4485" s="444">
        <f t="shared" ca="1" si="170"/>
        <v>-98479592157455.031</v>
      </c>
      <c r="J4485" s="444">
        <f t="array" ref="J4485">IFERROR(INDEX('Retirement Calculator'!K:K,MATCH('Lorri 401b'!N4485,'Retirement Calculator'!A:A,0),0),0)</f>
        <v>0</v>
      </c>
      <c r="K4485" s="444">
        <f t="shared" ca="1" si="168"/>
        <v>-410331633989.39594</v>
      </c>
      <c r="L4485" s="444">
        <f t="shared" ca="1" si="169"/>
        <v>-98889923791444.422</v>
      </c>
      <c r="M4485" s="460">
        <f t="shared" si="171"/>
        <v>0.05</v>
      </c>
      <c r="N4485" s="464">
        <f t="shared" si="172"/>
        <v>187553</v>
      </c>
    </row>
    <row r="4486" spans="7:14" ht="11.25" customHeight="1" x14ac:dyDescent="0.25">
      <c r="G4486" s="459"/>
      <c r="H4486" s="459">
        <v>4479</v>
      </c>
      <c r="I4486" s="444">
        <f t="shared" ca="1" si="170"/>
        <v>-98889923791444.422</v>
      </c>
      <c r="J4486" s="444">
        <f t="array" ref="J4486">IFERROR(INDEX('Retirement Calculator'!K:K,MATCH('Lorri 401b'!N4486,'Retirement Calculator'!A:A,0),0),0)</f>
        <v>0</v>
      </c>
      <c r="K4486" s="444">
        <f t="shared" ca="1" si="168"/>
        <v>-412041349131.01843</v>
      </c>
      <c r="L4486" s="444">
        <f t="shared" ca="1" si="169"/>
        <v>-99301965140575.438</v>
      </c>
      <c r="M4486" s="460">
        <f t="shared" si="171"/>
        <v>0.05</v>
      </c>
      <c r="N4486" s="464">
        <f t="shared" si="172"/>
        <v>187584</v>
      </c>
    </row>
    <row r="4487" spans="7:14" ht="11.25" customHeight="1" x14ac:dyDescent="0.25">
      <c r="G4487" s="459"/>
      <c r="H4487" s="459">
        <v>4480</v>
      </c>
      <c r="I4487" s="444">
        <f t="shared" ca="1" si="170"/>
        <v>-99301965140575.438</v>
      </c>
      <c r="J4487" s="444">
        <f t="array" ref="J4487">IFERROR(INDEX('Retirement Calculator'!K:K,MATCH('Lorri 401b'!N4487,'Retirement Calculator'!A:A,0),0),0)</f>
        <v>0</v>
      </c>
      <c r="K4487" s="444">
        <f t="shared" ca="1" si="168"/>
        <v>-413758188085.73096</v>
      </c>
      <c r="L4487" s="444">
        <f t="shared" ca="1" si="169"/>
        <v>-99715723328661.172</v>
      </c>
      <c r="M4487" s="460">
        <f t="shared" si="171"/>
        <v>0.05</v>
      </c>
      <c r="N4487" s="464">
        <f t="shared" si="172"/>
        <v>187615</v>
      </c>
    </row>
    <row r="4488" spans="7:14" ht="11.25" customHeight="1" x14ac:dyDescent="0.25">
      <c r="G4488" s="459"/>
      <c r="H4488" s="459">
        <v>4481</v>
      </c>
      <c r="I4488" s="444">
        <f t="shared" ca="1" si="170"/>
        <v>-99715723328661.172</v>
      </c>
      <c r="J4488" s="444">
        <f t="array" ref="J4488">IFERROR(INDEX('Retirement Calculator'!K:K,MATCH('Lorri 401b'!N4488,'Retirement Calculator'!A:A,0),0),0)</f>
        <v>0</v>
      </c>
      <c r="K4488" s="444">
        <f t="shared" ca="1" si="168"/>
        <v>-415482180536.0882</v>
      </c>
      <c r="L4488" s="444">
        <f t="shared" ca="1" si="169"/>
        <v>-100131205509197.27</v>
      </c>
      <c r="M4488" s="460">
        <f t="shared" si="171"/>
        <v>0.05</v>
      </c>
      <c r="N4488" s="464">
        <f t="shared" si="172"/>
        <v>187645</v>
      </c>
    </row>
    <row r="4489" spans="7:14" ht="11.25" customHeight="1" x14ac:dyDescent="0.25">
      <c r="G4489" s="459"/>
      <c r="H4489" s="459">
        <v>4482</v>
      </c>
      <c r="I4489" s="444">
        <f t="shared" ca="1" si="170"/>
        <v>-100131205509197.27</v>
      </c>
      <c r="J4489" s="444">
        <f t="array" ref="J4489">IFERROR(INDEX('Retirement Calculator'!K:K,MATCH('Lorri 401b'!N4489,'Retirement Calculator'!A:A,0),0),0)</f>
        <v>0</v>
      </c>
      <c r="K4489" s="444">
        <f t="shared" ca="1" si="168"/>
        <v>-417213356288.32196</v>
      </c>
      <c r="L4489" s="444">
        <f t="shared" ca="1" si="169"/>
        <v>-100548418865485.59</v>
      </c>
      <c r="M4489" s="460">
        <f t="shared" si="171"/>
        <v>0.05</v>
      </c>
      <c r="N4489" s="464">
        <f t="shared" si="172"/>
        <v>187676</v>
      </c>
    </row>
    <row r="4490" spans="7:14" ht="11.25" customHeight="1" x14ac:dyDescent="0.25">
      <c r="G4490" s="459"/>
      <c r="H4490" s="459">
        <v>4483</v>
      </c>
      <c r="I4490" s="444">
        <f t="shared" ca="1" si="170"/>
        <v>-100548418865485.59</v>
      </c>
      <c r="J4490" s="444">
        <f t="array" ref="J4490">IFERROR(INDEX('Retirement Calculator'!K:K,MATCH('Lorri 401b'!N4490,'Retirement Calculator'!A:A,0),0),0)</f>
        <v>0</v>
      </c>
      <c r="K4490" s="444">
        <f t="shared" ca="1" si="168"/>
        <v>-418951745272.85663</v>
      </c>
      <c r="L4490" s="444">
        <f t="shared" ca="1" si="169"/>
        <v>-100967370610758.45</v>
      </c>
      <c r="M4490" s="460">
        <f t="shared" si="171"/>
        <v>0.05</v>
      </c>
      <c r="N4490" s="464">
        <f t="shared" si="172"/>
        <v>187706</v>
      </c>
    </row>
    <row r="4491" spans="7:14" ht="11.25" customHeight="1" x14ac:dyDescent="0.25">
      <c r="G4491" s="459"/>
      <c r="H4491" s="459">
        <v>4484</v>
      </c>
      <c r="I4491" s="444">
        <f t="shared" ca="1" si="170"/>
        <v>-100967370610758.45</v>
      </c>
      <c r="J4491" s="444">
        <f t="array" ref="J4491">IFERROR(INDEX('Retirement Calculator'!K:K,MATCH('Lorri 401b'!N4491,'Retirement Calculator'!A:A,0),0),0)</f>
        <v>0</v>
      </c>
      <c r="K4491" s="444">
        <f t="shared" ca="1" si="168"/>
        <v>-420697377544.8269</v>
      </c>
      <c r="L4491" s="444">
        <f t="shared" ca="1" si="169"/>
        <v>-101388067988303.28</v>
      </c>
      <c r="M4491" s="460">
        <f t="shared" si="171"/>
        <v>0.05</v>
      </c>
      <c r="N4491" s="464">
        <f t="shared" si="172"/>
        <v>187737</v>
      </c>
    </row>
    <row r="4492" spans="7:14" ht="11.25" customHeight="1" x14ac:dyDescent="0.25">
      <c r="G4492" s="459"/>
      <c r="H4492" s="459">
        <v>4485</v>
      </c>
      <c r="I4492" s="444">
        <f t="shared" ca="1" si="170"/>
        <v>-101388067988303.28</v>
      </c>
      <c r="J4492" s="444">
        <f t="array" ref="J4492">IFERROR(INDEX('Retirement Calculator'!K:K,MATCH('Lorri 401b'!N4492,'Retirement Calculator'!A:A,0),0),0)</f>
        <v>0</v>
      </c>
      <c r="K4492" s="444">
        <f t="shared" ca="1" si="168"/>
        <v>-422450283284.59698</v>
      </c>
      <c r="L4492" s="444">
        <f t="shared" ca="1" si="169"/>
        <v>-101810518271587.88</v>
      </c>
      <c r="M4492" s="460">
        <f t="shared" si="171"/>
        <v>0.05</v>
      </c>
      <c r="N4492" s="464">
        <f t="shared" si="172"/>
        <v>187768</v>
      </c>
    </row>
    <row r="4493" spans="7:14" ht="11.25" customHeight="1" x14ac:dyDescent="0.25">
      <c r="G4493" s="459"/>
      <c r="H4493" s="459">
        <v>4486</v>
      </c>
      <c r="I4493" s="444">
        <f t="shared" ca="1" si="170"/>
        <v>-101810518271587.88</v>
      </c>
      <c r="J4493" s="444">
        <f t="array" ref="J4493">IFERROR(INDEX('Retirement Calculator'!K:K,MATCH('Lorri 401b'!N4493,'Retirement Calculator'!A:A,0),0),0)</f>
        <v>0</v>
      </c>
      <c r="K4493" s="444">
        <f t="shared" ca="1" si="168"/>
        <v>-424210492798.28284</v>
      </c>
      <c r="L4493" s="444">
        <f t="shared" ca="1" si="169"/>
        <v>-102234728764386.16</v>
      </c>
      <c r="M4493" s="460">
        <f t="shared" si="171"/>
        <v>0.05</v>
      </c>
      <c r="N4493" s="464">
        <f t="shared" si="172"/>
        <v>187796</v>
      </c>
    </row>
    <row r="4494" spans="7:14" ht="11.25" customHeight="1" x14ac:dyDescent="0.25">
      <c r="G4494" s="459"/>
      <c r="H4494" s="459">
        <v>4487</v>
      </c>
      <c r="I4494" s="444">
        <f t="shared" ca="1" si="170"/>
        <v>-102234728764386.16</v>
      </c>
      <c r="J4494" s="444">
        <f t="array" ref="J4494">IFERROR(INDEX('Retirement Calculator'!K:K,MATCH('Lorri 401b'!N4494,'Retirement Calculator'!A:A,0),0),0)</f>
        <v>0</v>
      </c>
      <c r="K4494" s="444">
        <f t="shared" ca="1" si="168"/>
        <v>-425978036518.27563</v>
      </c>
      <c r="L4494" s="444">
        <f t="shared" ca="1" si="169"/>
        <v>-102660706800904.44</v>
      </c>
      <c r="M4494" s="460">
        <f t="shared" si="171"/>
        <v>0.05</v>
      </c>
      <c r="N4494" s="464">
        <f t="shared" si="172"/>
        <v>187827</v>
      </c>
    </row>
    <row r="4495" spans="7:14" ht="11.25" customHeight="1" x14ac:dyDescent="0.25">
      <c r="G4495" s="459"/>
      <c r="H4495" s="459">
        <v>4488</v>
      </c>
      <c r="I4495" s="444">
        <f t="shared" ca="1" si="170"/>
        <v>-102660706800904.44</v>
      </c>
      <c r="J4495" s="444">
        <f t="array" ref="J4495">IFERROR(INDEX('Retirement Calculator'!K:K,MATCH('Lorri 401b'!N4495,'Retirement Calculator'!A:A,0),0),0)</f>
        <v>0</v>
      </c>
      <c r="K4495" s="444">
        <f t="shared" ca="1" si="168"/>
        <v>-427752945003.76849</v>
      </c>
      <c r="L4495" s="444">
        <f t="shared" ca="1" si="169"/>
        <v>-103088459745908.2</v>
      </c>
      <c r="M4495" s="460">
        <f t="shared" si="171"/>
        <v>0.05</v>
      </c>
      <c r="N4495" s="464">
        <f t="shared" si="172"/>
        <v>187857</v>
      </c>
    </row>
    <row r="4496" spans="7:14" ht="11.25" customHeight="1" x14ac:dyDescent="0.25">
      <c r="G4496" s="459"/>
      <c r="H4496" s="459">
        <v>4489</v>
      </c>
      <c r="I4496" s="444">
        <f t="shared" ca="1" si="170"/>
        <v>-103088459745908.2</v>
      </c>
      <c r="J4496" s="444">
        <f t="array" ref="J4496">IFERROR(INDEX('Retirement Calculator'!K:K,MATCH('Lorri 401b'!N4496,'Retirement Calculator'!A:A,0),0),0)</f>
        <v>0</v>
      </c>
      <c r="K4496" s="444">
        <f t="shared" ca="1" si="168"/>
        <v>-429535248941.28418</v>
      </c>
      <c r="L4496" s="444">
        <f t="shared" ca="1" si="169"/>
        <v>-103517994994849.48</v>
      </c>
      <c r="M4496" s="460">
        <f t="shared" si="171"/>
        <v>0.05</v>
      </c>
      <c r="N4496" s="464">
        <f t="shared" si="172"/>
        <v>187888</v>
      </c>
    </row>
    <row r="4497" spans="7:14" ht="11.25" customHeight="1" x14ac:dyDescent="0.25">
      <c r="G4497" s="459"/>
      <c r="H4497" s="459">
        <v>4490</v>
      </c>
      <c r="I4497" s="444">
        <f t="shared" ca="1" si="170"/>
        <v>-103517994994849.48</v>
      </c>
      <c r="J4497" s="444">
        <f t="array" ref="J4497">IFERROR(INDEX('Retirement Calculator'!K:K,MATCH('Lorri 401b'!N4497,'Retirement Calculator'!A:A,0),0),0)</f>
        <v>0</v>
      </c>
      <c r="K4497" s="444">
        <f t="shared" ca="1" si="168"/>
        <v>-431324979145.20618</v>
      </c>
      <c r="L4497" s="444">
        <f t="shared" ca="1" si="169"/>
        <v>-103949319973994.69</v>
      </c>
      <c r="M4497" s="460">
        <f t="shared" si="171"/>
        <v>0.05</v>
      </c>
      <c r="N4497" s="464">
        <f t="shared" si="172"/>
        <v>187918</v>
      </c>
    </row>
    <row r="4498" spans="7:14" ht="11.25" customHeight="1" x14ac:dyDescent="0.25">
      <c r="G4498" s="459"/>
      <c r="H4498" s="459">
        <v>4491</v>
      </c>
      <c r="I4498" s="444">
        <f t="shared" ca="1" si="170"/>
        <v>-103949319973994.69</v>
      </c>
      <c r="J4498" s="444">
        <f t="array" ref="J4498">IFERROR(INDEX('Retirement Calculator'!K:K,MATCH('Lorri 401b'!N4498,'Retirement Calculator'!A:A,0),0),0)</f>
        <v>0</v>
      </c>
      <c r="K4498" s="444">
        <f t="shared" ca="1" si="168"/>
        <v>-433122166558.31122</v>
      </c>
      <c r="L4498" s="444">
        <f t="shared" ca="1" si="169"/>
        <v>-104382442140553</v>
      </c>
      <c r="M4498" s="460">
        <f t="shared" si="171"/>
        <v>0.05</v>
      </c>
      <c r="N4498" s="464">
        <f t="shared" si="172"/>
        <v>187949</v>
      </c>
    </row>
    <row r="4499" spans="7:14" ht="11.25" customHeight="1" x14ac:dyDescent="0.25">
      <c r="G4499" s="459"/>
      <c r="H4499" s="459">
        <v>4492</v>
      </c>
      <c r="I4499" s="444">
        <f t="shared" ca="1" si="170"/>
        <v>-104382442140553</v>
      </c>
      <c r="J4499" s="444">
        <f t="array" ref="J4499">IFERROR(INDEX('Retirement Calculator'!K:K,MATCH('Lorri 401b'!N4499,'Retirement Calculator'!A:A,0),0),0)</f>
        <v>0</v>
      </c>
      <c r="K4499" s="444">
        <f t="shared" ca="1" si="168"/>
        <v>-434926842252.30414</v>
      </c>
      <c r="L4499" s="444">
        <f t="shared" ca="1" si="169"/>
        <v>-104817368982805.3</v>
      </c>
      <c r="M4499" s="460">
        <f t="shared" si="171"/>
        <v>0.05</v>
      </c>
      <c r="N4499" s="464">
        <f t="shared" si="172"/>
        <v>187980</v>
      </c>
    </row>
    <row r="4500" spans="7:14" ht="11.25" customHeight="1" x14ac:dyDescent="0.25">
      <c r="G4500" s="459"/>
      <c r="H4500" s="459">
        <v>4493</v>
      </c>
      <c r="I4500" s="444">
        <f t="shared" ca="1" si="170"/>
        <v>-104817368982805.3</v>
      </c>
      <c r="J4500" s="444">
        <f t="array" ref="J4500">IFERROR(INDEX('Retirement Calculator'!K:K,MATCH('Lorri 401b'!N4500,'Retirement Calculator'!A:A,0),0),0)</f>
        <v>0</v>
      </c>
      <c r="K4500" s="444">
        <f t="shared" ca="1" si="168"/>
        <v>-436739037428.35541</v>
      </c>
      <c r="L4500" s="444">
        <f t="shared" ca="1" si="169"/>
        <v>-105254108020233.66</v>
      </c>
      <c r="M4500" s="460">
        <f t="shared" si="171"/>
        <v>0.05</v>
      </c>
      <c r="N4500" s="464">
        <f t="shared" si="172"/>
        <v>188010</v>
      </c>
    </row>
    <row r="4501" spans="7:14" ht="11.25" customHeight="1" x14ac:dyDescent="0.25">
      <c r="G4501" s="459"/>
      <c r="H4501" s="459">
        <v>4494</v>
      </c>
      <c r="I4501" s="444">
        <f t="shared" ca="1" si="170"/>
        <v>-105254108020233.66</v>
      </c>
      <c r="J4501" s="444">
        <f t="array" ref="J4501">IFERROR(INDEX('Retirement Calculator'!K:K,MATCH('Lorri 401b'!N4501,'Retirement Calculator'!A:A,0),0),0)</f>
        <v>0</v>
      </c>
      <c r="K4501" s="444">
        <f t="shared" ca="1" si="168"/>
        <v>-438558783417.64026</v>
      </c>
      <c r="L4501" s="444">
        <f t="shared" ca="1" si="169"/>
        <v>-105692666803651.3</v>
      </c>
      <c r="M4501" s="460">
        <f t="shared" si="171"/>
        <v>0.05</v>
      </c>
      <c r="N4501" s="464">
        <f t="shared" si="172"/>
        <v>188041</v>
      </c>
    </row>
    <row r="4502" spans="7:14" ht="11.25" customHeight="1" x14ac:dyDescent="0.25">
      <c r="G4502" s="459"/>
      <c r="H4502" s="459">
        <v>4495</v>
      </c>
      <c r="I4502" s="444">
        <f t="shared" ca="1" si="170"/>
        <v>-105692666803651.3</v>
      </c>
      <c r="J4502" s="444">
        <f t="array" ref="J4502">IFERROR(INDEX('Retirement Calculator'!K:K,MATCH('Lorri 401b'!N4502,'Retirement Calculator'!A:A,0),0),0)</f>
        <v>0</v>
      </c>
      <c r="K4502" s="444">
        <f t="shared" ca="1" si="168"/>
        <v>-440386111681.88037</v>
      </c>
      <c r="L4502" s="444">
        <f t="shared" ca="1" si="169"/>
        <v>-106133052915333.17</v>
      </c>
      <c r="M4502" s="460">
        <f t="shared" si="171"/>
        <v>0.05</v>
      </c>
      <c r="N4502" s="464">
        <f t="shared" si="172"/>
        <v>188071</v>
      </c>
    </row>
    <row r="4503" spans="7:14" ht="11.25" customHeight="1" x14ac:dyDescent="0.25">
      <c r="G4503" s="459"/>
      <c r="H4503" s="459">
        <v>4496</v>
      </c>
      <c r="I4503" s="444">
        <f t="shared" ca="1" si="170"/>
        <v>-106133052915333.17</v>
      </c>
      <c r="J4503" s="444">
        <f t="array" ref="J4503">IFERROR(INDEX('Retirement Calculator'!K:K,MATCH('Lorri 401b'!N4503,'Retirement Calculator'!A:A,0),0),0)</f>
        <v>0</v>
      </c>
      <c r="K4503" s="444">
        <f t="shared" ca="1" si="168"/>
        <v>-442221053813.88818</v>
      </c>
      <c r="L4503" s="444">
        <f t="shared" ca="1" si="169"/>
        <v>-106575273969147.06</v>
      </c>
      <c r="M4503" s="460">
        <f t="shared" si="171"/>
        <v>0.05</v>
      </c>
      <c r="N4503" s="464">
        <f t="shared" si="172"/>
        <v>188102</v>
      </c>
    </row>
    <row r="4504" spans="7:14" ht="11.25" customHeight="1" x14ac:dyDescent="0.25">
      <c r="G4504" s="459"/>
      <c r="H4504" s="459">
        <v>4497</v>
      </c>
      <c r="I4504" s="444">
        <f t="shared" ca="1" si="170"/>
        <v>-106575273969147.06</v>
      </c>
      <c r="J4504" s="444">
        <f t="array" ref="J4504">IFERROR(INDEX('Retirement Calculator'!K:K,MATCH('Lorri 401b'!N4504,'Retirement Calculator'!A:A,0),0),0)</f>
        <v>0</v>
      </c>
      <c r="K4504" s="444">
        <f t="shared" ca="1" si="168"/>
        <v>-444063641538.11273</v>
      </c>
      <c r="L4504" s="444">
        <f t="shared" ca="1" si="169"/>
        <v>-107019337610685.17</v>
      </c>
      <c r="M4504" s="460">
        <f t="shared" si="171"/>
        <v>0.05</v>
      </c>
      <c r="N4504" s="464">
        <f t="shared" si="172"/>
        <v>188133</v>
      </c>
    </row>
    <row r="4505" spans="7:14" ht="11.25" customHeight="1" x14ac:dyDescent="0.25">
      <c r="G4505" s="459"/>
      <c r="H4505" s="459">
        <v>4498</v>
      </c>
      <c r="I4505" s="444">
        <f t="shared" ca="1" si="170"/>
        <v>-107019337610685.17</v>
      </c>
      <c r="J4505" s="444">
        <f t="array" ref="J4505">IFERROR(INDEX('Retirement Calculator'!K:K,MATCH('Lorri 401b'!N4505,'Retirement Calculator'!A:A,0),0),0)</f>
        <v>0</v>
      </c>
      <c r="K4505" s="444">
        <f t="shared" ca="1" si="168"/>
        <v>-445913906711.18823</v>
      </c>
      <c r="L4505" s="444">
        <f t="shared" ca="1" si="169"/>
        <v>-107465251517396.36</v>
      </c>
      <c r="M4505" s="460">
        <f t="shared" si="171"/>
        <v>0.05</v>
      </c>
      <c r="N4505" s="464">
        <f t="shared" si="172"/>
        <v>188161</v>
      </c>
    </row>
    <row r="4506" spans="7:14" ht="11.25" customHeight="1" x14ac:dyDescent="0.25">
      <c r="G4506" s="459"/>
      <c r="H4506" s="459">
        <v>4499</v>
      </c>
      <c r="I4506" s="444">
        <f t="shared" ca="1" si="170"/>
        <v>-107465251517396.36</v>
      </c>
      <c r="J4506" s="444">
        <f t="array" ref="J4506">IFERROR(INDEX('Retirement Calculator'!K:K,MATCH('Lorri 401b'!N4506,'Retirement Calculator'!A:A,0),0),0)</f>
        <v>0</v>
      </c>
      <c r="K4506" s="444">
        <f t="shared" ca="1" si="168"/>
        <v>-447771881322.4848</v>
      </c>
      <c r="L4506" s="444">
        <f t="shared" ca="1" si="169"/>
        <v>-107913023398718.84</v>
      </c>
      <c r="M4506" s="460">
        <f t="shared" si="171"/>
        <v>0.05</v>
      </c>
      <c r="N4506" s="464">
        <f t="shared" si="172"/>
        <v>188192</v>
      </c>
    </row>
    <row r="4507" spans="7:14" ht="11.25" customHeight="1" x14ac:dyDescent="0.25">
      <c r="G4507" s="459"/>
      <c r="H4507" s="459">
        <v>4500</v>
      </c>
      <c r="I4507" s="444">
        <f t="shared" ca="1" si="170"/>
        <v>-107913023398718.84</v>
      </c>
      <c r="J4507" s="444">
        <f t="array" ref="J4507">IFERROR(INDEX('Retirement Calculator'!K:K,MATCH('Lorri 401b'!N4507,'Retirement Calculator'!A:A,0),0),0)</f>
        <v>0</v>
      </c>
      <c r="K4507" s="444">
        <f t="shared" ca="1" si="168"/>
        <v>-449637597494.66187</v>
      </c>
      <c r="L4507" s="444">
        <f t="shared" ca="1" si="169"/>
        <v>-108362660996213.5</v>
      </c>
      <c r="M4507" s="460">
        <f t="shared" si="171"/>
        <v>0.05</v>
      </c>
      <c r="N4507" s="464">
        <f t="shared" si="172"/>
        <v>188222</v>
      </c>
    </row>
    <row r="4508" spans="7:14" ht="11.25" customHeight="1" x14ac:dyDescent="0.25">
      <c r="G4508" s="459"/>
      <c r="H4508" s="459">
        <v>4501</v>
      </c>
      <c r="I4508" s="444">
        <f t="shared" ca="1" si="170"/>
        <v>-108362660996213.5</v>
      </c>
      <c r="J4508" s="444">
        <f t="array" ref="J4508">IFERROR(INDEX('Retirement Calculator'!K:K,MATCH('Lorri 401b'!N4508,'Retirement Calculator'!A:A,0),0),0)</f>
        <v>0</v>
      </c>
      <c r="K4508" s="444">
        <f t="shared" ca="1" si="168"/>
        <v>-451511087484.2229</v>
      </c>
      <c r="L4508" s="444">
        <f t="shared" ca="1" si="169"/>
        <v>-108814172083697.72</v>
      </c>
      <c r="M4508" s="460">
        <f t="shared" si="171"/>
        <v>0.05</v>
      </c>
      <c r="N4508" s="464">
        <f t="shared" si="172"/>
        <v>188253</v>
      </c>
    </row>
    <row r="4509" spans="7:14" ht="11.25" customHeight="1" x14ac:dyDescent="0.25">
      <c r="G4509" s="459"/>
      <c r="H4509" s="459">
        <v>4502</v>
      </c>
      <c r="I4509" s="444">
        <f t="shared" ca="1" si="170"/>
        <v>-108814172083697.72</v>
      </c>
      <c r="J4509" s="444">
        <f t="array" ref="J4509">IFERROR(INDEX('Retirement Calculator'!K:K,MATCH('Lorri 401b'!N4509,'Retirement Calculator'!A:A,0),0),0)</f>
        <v>0</v>
      </c>
      <c r="K4509" s="444">
        <f t="shared" ca="1" si="168"/>
        <v>-453392383682.07379</v>
      </c>
      <c r="L4509" s="444">
        <f t="shared" ca="1" si="169"/>
        <v>-109267564467379.8</v>
      </c>
      <c r="M4509" s="460">
        <f t="shared" si="171"/>
        <v>0.05</v>
      </c>
      <c r="N4509" s="464">
        <f t="shared" si="172"/>
        <v>188283</v>
      </c>
    </row>
    <row r="4510" spans="7:14" ht="11.25" customHeight="1" x14ac:dyDescent="0.25">
      <c r="G4510" s="459"/>
      <c r="H4510" s="459">
        <v>4503</v>
      </c>
      <c r="I4510" s="444">
        <f t="shared" ca="1" si="170"/>
        <v>-109267564467379.8</v>
      </c>
      <c r="J4510" s="444">
        <f t="array" ref="J4510">IFERROR(INDEX('Retirement Calculator'!K:K,MATCH('Lorri 401b'!N4510,'Retirement Calculator'!A:A,0),0),0)</f>
        <v>0</v>
      </c>
      <c r="K4510" s="444">
        <f t="shared" ca="1" si="168"/>
        <v>-455281518614.08246</v>
      </c>
      <c r="L4510" s="444">
        <f t="shared" ca="1" si="169"/>
        <v>-109722845985993.88</v>
      </c>
      <c r="M4510" s="460">
        <f t="shared" si="171"/>
        <v>0.05</v>
      </c>
      <c r="N4510" s="464">
        <f t="shared" si="172"/>
        <v>188314</v>
      </c>
    </row>
    <row r="4511" spans="7:14" ht="11.25" customHeight="1" x14ac:dyDescent="0.25">
      <c r="G4511" s="459"/>
      <c r="H4511" s="459">
        <v>4504</v>
      </c>
      <c r="I4511" s="444">
        <f t="shared" ca="1" si="170"/>
        <v>-109722845985993.88</v>
      </c>
      <c r="J4511" s="444">
        <f t="array" ref="J4511">IFERROR(INDEX('Retirement Calculator'!K:K,MATCH('Lorri 401b'!N4511,'Retirement Calculator'!A:A,0),0),0)</f>
        <v>0</v>
      </c>
      <c r="K4511" s="444">
        <f t="shared" ca="1" si="168"/>
        <v>-457178524941.64111</v>
      </c>
      <c r="L4511" s="444">
        <f t="shared" ca="1" si="169"/>
        <v>-110180024510935.52</v>
      </c>
      <c r="M4511" s="460">
        <f t="shared" si="171"/>
        <v>0.05</v>
      </c>
      <c r="N4511" s="464">
        <f t="shared" si="172"/>
        <v>188345</v>
      </c>
    </row>
    <row r="4512" spans="7:14" ht="11.25" customHeight="1" x14ac:dyDescent="0.25">
      <c r="G4512" s="459"/>
      <c r="H4512" s="459">
        <v>4505</v>
      </c>
      <c r="I4512" s="444">
        <f t="shared" ca="1" si="170"/>
        <v>-110180024510935.52</v>
      </c>
      <c r="J4512" s="444">
        <f t="array" ref="J4512">IFERROR(INDEX('Retirement Calculator'!K:K,MATCH('Lorri 401b'!N4512,'Retirement Calculator'!A:A,0),0),0)</f>
        <v>0</v>
      </c>
      <c r="K4512" s="444">
        <f t="shared" ca="1" si="168"/>
        <v>-459083435462.23138</v>
      </c>
      <c r="L4512" s="444">
        <f t="shared" ca="1" si="169"/>
        <v>-110639107946397.75</v>
      </c>
      <c r="M4512" s="460">
        <f t="shared" si="171"/>
        <v>0.05</v>
      </c>
      <c r="N4512" s="464">
        <f t="shared" si="172"/>
        <v>188375</v>
      </c>
    </row>
    <row r="4513" spans="7:14" ht="11.25" customHeight="1" x14ac:dyDescent="0.25">
      <c r="G4513" s="459"/>
      <c r="H4513" s="459">
        <v>4506</v>
      </c>
      <c r="I4513" s="444">
        <f t="shared" ca="1" si="170"/>
        <v>-110639107946397.75</v>
      </c>
      <c r="J4513" s="444">
        <f t="array" ref="J4513">IFERROR(INDEX('Retirement Calculator'!K:K,MATCH('Lorri 401b'!N4513,'Retirement Calculator'!A:A,0),0),0)</f>
        <v>0</v>
      </c>
      <c r="K4513" s="444">
        <f t="shared" ca="1" si="168"/>
        <v>-460996283109.9906</v>
      </c>
      <c r="L4513" s="444">
        <f t="shared" ca="1" si="169"/>
        <v>-111100104229507.73</v>
      </c>
      <c r="M4513" s="460">
        <f t="shared" si="171"/>
        <v>0.05</v>
      </c>
      <c r="N4513" s="464">
        <f t="shared" si="172"/>
        <v>188406</v>
      </c>
    </row>
    <row r="4514" spans="7:14" ht="11.25" customHeight="1" x14ac:dyDescent="0.25">
      <c r="G4514" s="459"/>
      <c r="H4514" s="459">
        <v>4507</v>
      </c>
      <c r="I4514" s="444">
        <f t="shared" ca="1" si="170"/>
        <v>-111100104229507.73</v>
      </c>
      <c r="J4514" s="444">
        <f t="array" ref="J4514">IFERROR(INDEX('Retirement Calculator'!K:K,MATCH('Lorri 401b'!N4514,'Retirement Calculator'!A:A,0),0),0)</f>
        <v>0</v>
      </c>
      <c r="K4514" s="444">
        <f t="shared" ca="1" si="168"/>
        <v>-462917100956.28223</v>
      </c>
      <c r="L4514" s="444">
        <f t="shared" ca="1" si="169"/>
        <v>-111563021330464.02</v>
      </c>
      <c r="M4514" s="460">
        <f t="shared" si="171"/>
        <v>0.05</v>
      </c>
      <c r="N4514" s="464">
        <f t="shared" si="172"/>
        <v>188436</v>
      </c>
    </row>
    <row r="4515" spans="7:14" ht="11.25" customHeight="1" x14ac:dyDescent="0.25">
      <c r="G4515" s="459"/>
      <c r="H4515" s="459">
        <v>4508</v>
      </c>
      <c r="I4515" s="444">
        <f t="shared" ca="1" si="170"/>
        <v>-111563021330464.02</v>
      </c>
      <c r="J4515" s="444">
        <f t="array" ref="J4515">IFERROR(INDEX('Retirement Calculator'!K:K,MATCH('Lorri 401b'!N4515,'Retirement Calculator'!A:A,0),0),0)</f>
        <v>0</v>
      </c>
      <c r="K4515" s="444">
        <f t="shared" ca="1" si="168"/>
        <v>-464845922210.26672</v>
      </c>
      <c r="L4515" s="444">
        <f t="shared" ca="1" si="169"/>
        <v>-112027867252674.28</v>
      </c>
      <c r="M4515" s="460">
        <f t="shared" si="171"/>
        <v>0.05</v>
      </c>
      <c r="N4515" s="464">
        <f t="shared" si="172"/>
        <v>188467</v>
      </c>
    </row>
    <row r="4516" spans="7:14" ht="11.25" customHeight="1" x14ac:dyDescent="0.25">
      <c r="G4516" s="459"/>
      <c r="H4516" s="459">
        <v>4509</v>
      </c>
      <c r="I4516" s="444">
        <f t="shared" ca="1" si="170"/>
        <v>-112027867252674.28</v>
      </c>
      <c r="J4516" s="444">
        <f t="array" ref="J4516">IFERROR(INDEX('Retirement Calculator'!K:K,MATCH('Lorri 401b'!N4516,'Retirement Calculator'!A:A,0),0),0)</f>
        <v>0</v>
      </c>
      <c r="K4516" s="444">
        <f t="shared" ca="1" si="168"/>
        <v>-466782780219.47614</v>
      </c>
      <c r="L4516" s="444">
        <f t="shared" ca="1" si="169"/>
        <v>-112494650032893.75</v>
      </c>
      <c r="M4516" s="460">
        <f t="shared" si="171"/>
        <v>0.05</v>
      </c>
      <c r="N4516" s="464">
        <f t="shared" si="172"/>
        <v>188498</v>
      </c>
    </row>
    <row r="4517" spans="7:14" ht="11.25" customHeight="1" x14ac:dyDescent="0.25">
      <c r="G4517" s="459"/>
      <c r="H4517" s="459">
        <v>4510</v>
      </c>
      <c r="I4517" s="444">
        <f t="shared" ca="1" si="170"/>
        <v>-112494650032893.75</v>
      </c>
      <c r="J4517" s="444">
        <f t="array" ref="J4517">IFERROR(INDEX('Retirement Calculator'!K:K,MATCH('Lorri 401b'!N4517,'Retirement Calculator'!A:A,0),0),0)</f>
        <v>0</v>
      </c>
      <c r="K4517" s="444">
        <f t="shared" ca="1" si="168"/>
        <v>-468727708470.39063</v>
      </c>
      <c r="L4517" s="444">
        <f t="shared" ca="1" si="169"/>
        <v>-112963377741364.14</v>
      </c>
      <c r="M4517" s="460">
        <f t="shared" si="171"/>
        <v>0.05</v>
      </c>
      <c r="N4517" s="464">
        <f t="shared" si="172"/>
        <v>188527</v>
      </c>
    </row>
    <row r="4518" spans="7:14" ht="11.25" customHeight="1" x14ac:dyDescent="0.25">
      <c r="G4518" s="459"/>
      <c r="H4518" s="459">
        <v>4511</v>
      </c>
      <c r="I4518" s="444">
        <f t="shared" ca="1" si="170"/>
        <v>-112963377741364.14</v>
      </c>
      <c r="J4518" s="444">
        <f t="array" ref="J4518">IFERROR(INDEX('Retirement Calculator'!K:K,MATCH('Lorri 401b'!N4518,'Retirement Calculator'!A:A,0),0),0)</f>
        <v>0</v>
      </c>
      <c r="K4518" s="444">
        <f t="shared" ca="1" si="168"/>
        <v>-470680740589.01733</v>
      </c>
      <c r="L4518" s="444">
        <f t="shared" ca="1" si="169"/>
        <v>-113434058481953.16</v>
      </c>
      <c r="M4518" s="460">
        <f t="shared" si="171"/>
        <v>0.05</v>
      </c>
      <c r="N4518" s="464">
        <f t="shared" si="172"/>
        <v>188558</v>
      </c>
    </row>
    <row r="4519" spans="7:14" ht="11.25" customHeight="1" x14ac:dyDescent="0.25">
      <c r="G4519" s="459"/>
      <c r="H4519" s="459">
        <v>4512</v>
      </c>
      <c r="I4519" s="444">
        <f t="shared" ca="1" si="170"/>
        <v>-113434058481953.16</v>
      </c>
      <c r="J4519" s="444">
        <f t="array" ref="J4519">IFERROR(INDEX('Retirement Calculator'!K:K,MATCH('Lorri 401b'!N4519,'Retirement Calculator'!A:A,0),0),0)</f>
        <v>0</v>
      </c>
      <c r="K4519" s="444">
        <f t="shared" ca="1" si="168"/>
        <v>-472641910341.47156</v>
      </c>
      <c r="L4519" s="444">
        <f t="shared" ca="1" si="169"/>
        <v>-113906700392294.63</v>
      </c>
      <c r="M4519" s="460">
        <f t="shared" si="171"/>
        <v>0.05</v>
      </c>
      <c r="N4519" s="464">
        <f t="shared" si="172"/>
        <v>188588</v>
      </c>
    </row>
    <row r="4520" spans="7:14" ht="11.25" customHeight="1" x14ac:dyDescent="0.25">
      <c r="G4520" s="459"/>
      <c r="H4520" s="459">
        <v>4513</v>
      </c>
      <c r="I4520" s="444">
        <f t="shared" ca="1" si="170"/>
        <v>-113906700392294.63</v>
      </c>
      <c r="J4520" s="444">
        <f t="array" ref="J4520">IFERROR(INDEX('Retirement Calculator'!K:K,MATCH('Lorri 401b'!N4520,'Retirement Calculator'!A:A,0),0),0)</f>
        <v>0</v>
      </c>
      <c r="K4520" s="444">
        <f t="shared" ca="1" si="168"/>
        <v>-474611251634.56091</v>
      </c>
      <c r="L4520" s="444">
        <f t="shared" ca="1" si="169"/>
        <v>-114381311643929.19</v>
      </c>
      <c r="M4520" s="460">
        <f t="shared" si="171"/>
        <v>0.05</v>
      </c>
      <c r="N4520" s="464">
        <f t="shared" si="172"/>
        <v>188619</v>
      </c>
    </row>
    <row r="4521" spans="7:14" ht="11.25" customHeight="1" x14ac:dyDescent="0.25">
      <c r="G4521" s="459"/>
      <c r="H4521" s="459">
        <v>4514</v>
      </c>
      <c r="I4521" s="444">
        <f t="shared" ca="1" si="170"/>
        <v>-114381311643929.19</v>
      </c>
      <c r="J4521" s="444">
        <f t="array" ref="J4521">IFERROR(INDEX('Retirement Calculator'!K:K,MATCH('Lorri 401b'!N4521,'Retirement Calculator'!A:A,0),0),0)</f>
        <v>0</v>
      </c>
      <c r="K4521" s="444">
        <f t="shared" ca="1" si="168"/>
        <v>-476588798516.37164</v>
      </c>
      <c r="L4521" s="444">
        <f t="shared" ca="1" si="169"/>
        <v>-114857900442445.56</v>
      </c>
      <c r="M4521" s="460">
        <f t="shared" si="171"/>
        <v>0.05</v>
      </c>
      <c r="N4521" s="464">
        <f t="shared" si="172"/>
        <v>188649</v>
      </c>
    </row>
    <row r="4522" spans="7:14" ht="11.25" customHeight="1" x14ac:dyDescent="0.25">
      <c r="G4522" s="459"/>
      <c r="H4522" s="459">
        <v>4515</v>
      </c>
      <c r="I4522" s="444">
        <f t="shared" ca="1" si="170"/>
        <v>-114857900442445.56</v>
      </c>
      <c r="J4522" s="444">
        <f t="array" ref="J4522">IFERROR(INDEX('Retirement Calculator'!K:K,MATCH('Lorri 401b'!N4522,'Retirement Calculator'!A:A,0),0),0)</f>
        <v>0</v>
      </c>
      <c r="K4522" s="444">
        <f t="shared" ca="1" si="168"/>
        <v>-478574585176.85651</v>
      </c>
      <c r="L4522" s="444">
        <f t="shared" ca="1" si="169"/>
        <v>-115336475027622.42</v>
      </c>
      <c r="M4522" s="460">
        <f t="shared" si="171"/>
        <v>0.05</v>
      </c>
      <c r="N4522" s="464">
        <f t="shared" si="172"/>
        <v>188680</v>
      </c>
    </row>
    <row r="4523" spans="7:14" ht="11.25" customHeight="1" x14ac:dyDescent="0.25">
      <c r="G4523" s="459"/>
      <c r="H4523" s="459">
        <v>4516</v>
      </c>
      <c r="I4523" s="444">
        <f t="shared" ca="1" si="170"/>
        <v>-115336475027622.42</v>
      </c>
      <c r="J4523" s="444">
        <f t="array" ref="J4523">IFERROR(INDEX('Retirement Calculator'!K:K,MATCH('Lorri 401b'!N4523,'Retirement Calculator'!A:A,0),0),0)</f>
        <v>0</v>
      </c>
      <c r="K4523" s="444">
        <f t="shared" ca="1" si="168"/>
        <v>-480568645948.42682</v>
      </c>
      <c r="L4523" s="444">
        <f t="shared" ca="1" si="169"/>
        <v>-115817043673570.84</v>
      </c>
      <c r="M4523" s="460">
        <f t="shared" si="171"/>
        <v>0.05</v>
      </c>
      <c r="N4523" s="464">
        <f t="shared" si="172"/>
        <v>188711</v>
      </c>
    </row>
    <row r="4524" spans="7:14" ht="11.25" customHeight="1" x14ac:dyDescent="0.25">
      <c r="G4524" s="459"/>
      <c r="H4524" s="459">
        <v>4517</v>
      </c>
      <c r="I4524" s="444">
        <f t="shared" ca="1" si="170"/>
        <v>-115817043673570.84</v>
      </c>
      <c r="J4524" s="444">
        <f t="array" ref="J4524">IFERROR(INDEX('Retirement Calculator'!K:K,MATCH('Lorri 401b'!N4524,'Retirement Calculator'!A:A,0),0),0)</f>
        <v>0</v>
      </c>
      <c r="K4524" s="444">
        <f t="shared" ca="1" si="168"/>
        <v>-482571015306.54517</v>
      </c>
      <c r="L4524" s="444">
        <f t="shared" ca="1" si="169"/>
        <v>-116299614688877.39</v>
      </c>
      <c r="M4524" s="460">
        <f t="shared" si="171"/>
        <v>0.05</v>
      </c>
      <c r="N4524" s="464">
        <f t="shared" si="172"/>
        <v>188741</v>
      </c>
    </row>
    <row r="4525" spans="7:14" ht="11.25" customHeight="1" x14ac:dyDescent="0.25">
      <c r="G4525" s="459"/>
      <c r="H4525" s="459">
        <v>4518</v>
      </c>
      <c r="I4525" s="444">
        <f t="shared" ca="1" si="170"/>
        <v>-116299614688877.39</v>
      </c>
      <c r="J4525" s="444">
        <f t="array" ref="J4525">IFERROR(INDEX('Retirement Calculator'!K:K,MATCH('Lorri 401b'!N4525,'Retirement Calculator'!A:A,0),0),0)</f>
        <v>0</v>
      </c>
      <c r="K4525" s="444">
        <f t="shared" ca="1" si="168"/>
        <v>-484581727870.32239</v>
      </c>
      <c r="L4525" s="444">
        <f t="shared" ca="1" si="169"/>
        <v>-116784196416747.72</v>
      </c>
      <c r="M4525" s="460">
        <f t="shared" si="171"/>
        <v>0.05</v>
      </c>
      <c r="N4525" s="464">
        <f t="shared" si="172"/>
        <v>188772</v>
      </c>
    </row>
    <row r="4526" spans="7:14" ht="11.25" customHeight="1" x14ac:dyDescent="0.25">
      <c r="G4526" s="459"/>
      <c r="H4526" s="459">
        <v>4519</v>
      </c>
      <c r="I4526" s="444">
        <f t="shared" ca="1" si="170"/>
        <v>-116784196416747.72</v>
      </c>
      <c r="J4526" s="444">
        <f t="array" ref="J4526">IFERROR(INDEX('Retirement Calculator'!K:K,MATCH('Lorri 401b'!N4526,'Retirement Calculator'!A:A,0),0),0)</f>
        <v>0</v>
      </c>
      <c r="K4526" s="444">
        <f t="shared" ca="1" si="168"/>
        <v>-486600818403.11548</v>
      </c>
      <c r="L4526" s="444">
        <f t="shared" ca="1" si="169"/>
        <v>-117270797235150.83</v>
      </c>
      <c r="M4526" s="460">
        <f t="shared" si="171"/>
        <v>0.05</v>
      </c>
      <c r="N4526" s="464">
        <f t="shared" si="172"/>
        <v>188802</v>
      </c>
    </row>
    <row r="4527" spans="7:14" ht="11.25" customHeight="1" x14ac:dyDescent="0.25">
      <c r="G4527" s="459"/>
      <c r="H4527" s="459">
        <v>4520</v>
      </c>
      <c r="I4527" s="444">
        <f t="shared" ca="1" si="170"/>
        <v>-117270797235150.83</v>
      </c>
      <c r="J4527" s="444">
        <f t="array" ref="J4527">IFERROR(INDEX('Retirement Calculator'!K:K,MATCH('Lorri 401b'!N4527,'Retirement Calculator'!A:A,0),0),0)</f>
        <v>0</v>
      </c>
      <c r="K4527" s="444">
        <f t="shared" ca="1" si="168"/>
        <v>-488628321813.12842</v>
      </c>
      <c r="L4527" s="444">
        <f t="shared" ca="1" si="169"/>
        <v>-117759425556963.95</v>
      </c>
      <c r="M4527" s="460">
        <f t="shared" si="171"/>
        <v>0.05</v>
      </c>
      <c r="N4527" s="464">
        <f t="shared" si="172"/>
        <v>188833</v>
      </c>
    </row>
    <row r="4528" spans="7:14" ht="11.25" customHeight="1" x14ac:dyDescent="0.25">
      <c r="G4528" s="459"/>
      <c r="H4528" s="459">
        <v>4521</v>
      </c>
      <c r="I4528" s="444">
        <f t="shared" ca="1" si="170"/>
        <v>-117759425556963.95</v>
      </c>
      <c r="J4528" s="444">
        <f t="array" ref="J4528">IFERROR(INDEX('Retirement Calculator'!K:K,MATCH('Lorri 401b'!N4528,'Retirement Calculator'!A:A,0),0),0)</f>
        <v>0</v>
      </c>
      <c r="K4528" s="444">
        <f t="shared" ca="1" si="168"/>
        <v>-490664273154.01648</v>
      </c>
      <c r="L4528" s="444">
        <f t="shared" ca="1" si="169"/>
        <v>-118250089830117.97</v>
      </c>
      <c r="M4528" s="460">
        <f t="shared" si="171"/>
        <v>0.05</v>
      </c>
      <c r="N4528" s="464">
        <f t="shared" si="172"/>
        <v>188864</v>
      </c>
    </row>
    <row r="4529" spans="7:14" ht="11.25" customHeight="1" x14ac:dyDescent="0.25">
      <c r="G4529" s="459"/>
      <c r="H4529" s="459">
        <v>4522</v>
      </c>
      <c r="I4529" s="444">
        <f t="shared" ca="1" si="170"/>
        <v>-118250089830117.97</v>
      </c>
      <c r="J4529" s="444">
        <f t="array" ref="J4529">IFERROR(INDEX('Retirement Calculator'!K:K,MATCH('Lorri 401b'!N4529,'Retirement Calculator'!A:A,0),0),0)</f>
        <v>0</v>
      </c>
      <c r="K4529" s="444">
        <f t="shared" ca="1" si="168"/>
        <v>-492708707625.49158</v>
      </c>
      <c r="L4529" s="444">
        <f t="shared" ca="1" si="169"/>
        <v>-118742798537743.45</v>
      </c>
      <c r="M4529" s="460">
        <f t="shared" si="171"/>
        <v>0.05</v>
      </c>
      <c r="N4529" s="464">
        <f t="shared" si="172"/>
        <v>188892</v>
      </c>
    </row>
    <row r="4530" spans="7:14" ht="11.25" customHeight="1" x14ac:dyDescent="0.25">
      <c r="G4530" s="459"/>
      <c r="H4530" s="459">
        <v>4523</v>
      </c>
      <c r="I4530" s="444">
        <f t="shared" ca="1" si="170"/>
        <v>-118742798537743.45</v>
      </c>
      <c r="J4530" s="444">
        <f t="array" ref="J4530">IFERROR(INDEX('Retirement Calculator'!K:K,MATCH('Lorri 401b'!N4530,'Retirement Calculator'!A:A,0),0),0)</f>
        <v>0</v>
      </c>
      <c r="K4530" s="444">
        <f t="shared" ca="1" si="168"/>
        <v>-494761660573.93103</v>
      </c>
      <c r="L4530" s="444">
        <f t="shared" ca="1" si="169"/>
        <v>-119237560198317.39</v>
      </c>
      <c r="M4530" s="460">
        <f t="shared" si="171"/>
        <v>0.05</v>
      </c>
      <c r="N4530" s="464">
        <f t="shared" si="172"/>
        <v>188923</v>
      </c>
    </row>
    <row r="4531" spans="7:14" ht="11.25" customHeight="1" x14ac:dyDescent="0.25">
      <c r="G4531" s="459"/>
      <c r="H4531" s="459">
        <v>4524</v>
      </c>
      <c r="I4531" s="444">
        <f t="shared" ca="1" si="170"/>
        <v>-119237560198317.39</v>
      </c>
      <c r="J4531" s="444">
        <f t="array" ref="J4531">IFERROR(INDEX('Retirement Calculator'!K:K,MATCH('Lorri 401b'!N4531,'Retirement Calculator'!A:A,0),0),0)</f>
        <v>0</v>
      </c>
      <c r="K4531" s="444">
        <f t="shared" ca="1" si="168"/>
        <v>-496823167492.98907</v>
      </c>
      <c r="L4531" s="444">
        <f t="shared" ca="1" si="169"/>
        <v>-119734383365810.38</v>
      </c>
      <c r="M4531" s="460">
        <f t="shared" si="171"/>
        <v>0.05</v>
      </c>
      <c r="N4531" s="464">
        <f t="shared" si="172"/>
        <v>188953</v>
      </c>
    </row>
    <row r="4532" spans="7:14" ht="11.25" customHeight="1" x14ac:dyDescent="0.25">
      <c r="G4532" s="459"/>
      <c r="H4532" s="459">
        <v>4525</v>
      </c>
      <c r="I4532" s="444">
        <f t="shared" ca="1" si="170"/>
        <v>-119734383365810.38</v>
      </c>
      <c r="J4532" s="444">
        <f t="array" ref="J4532">IFERROR(INDEX('Retirement Calculator'!K:K,MATCH('Lorri 401b'!N4532,'Retirement Calculator'!A:A,0),0),0)</f>
        <v>0</v>
      </c>
      <c r="K4532" s="444">
        <f t="shared" ca="1" si="168"/>
        <v>-498893264024.20996</v>
      </c>
      <c r="L4532" s="444">
        <f t="shared" ca="1" si="169"/>
        <v>-120233276629834.58</v>
      </c>
      <c r="M4532" s="460">
        <f t="shared" si="171"/>
        <v>0.05</v>
      </c>
      <c r="N4532" s="464">
        <f t="shared" si="172"/>
        <v>188984</v>
      </c>
    </row>
    <row r="4533" spans="7:14" ht="11.25" customHeight="1" x14ac:dyDescent="0.25">
      <c r="G4533" s="459"/>
      <c r="H4533" s="459">
        <v>4526</v>
      </c>
      <c r="I4533" s="444">
        <f t="shared" ca="1" si="170"/>
        <v>-120233276629834.58</v>
      </c>
      <c r="J4533" s="444">
        <f t="array" ref="J4533">IFERROR(INDEX('Retirement Calculator'!K:K,MATCH('Lorri 401b'!N4533,'Retirement Calculator'!A:A,0),0),0)</f>
        <v>0</v>
      </c>
      <c r="K4533" s="444">
        <f t="shared" ca="1" si="168"/>
        <v>-500971985957.64404</v>
      </c>
      <c r="L4533" s="444">
        <f t="shared" ca="1" si="169"/>
        <v>-120734248615792.22</v>
      </c>
      <c r="M4533" s="460">
        <f t="shared" si="171"/>
        <v>0.05</v>
      </c>
      <c r="N4533" s="464">
        <f t="shared" si="172"/>
        <v>189014</v>
      </c>
    </row>
    <row r="4534" spans="7:14" ht="11.25" customHeight="1" x14ac:dyDescent="0.25">
      <c r="G4534" s="459"/>
      <c r="H4534" s="459">
        <v>4527</v>
      </c>
      <c r="I4534" s="444">
        <f t="shared" ca="1" si="170"/>
        <v>-120734248615792.22</v>
      </c>
      <c r="J4534" s="444">
        <f t="array" ref="J4534">IFERROR(INDEX('Retirement Calculator'!K:K,MATCH('Lorri 401b'!N4534,'Retirement Calculator'!A:A,0),0),0)</f>
        <v>0</v>
      </c>
      <c r="K4534" s="444">
        <f t="shared" ca="1" si="168"/>
        <v>-503059369232.46765</v>
      </c>
      <c r="L4534" s="444">
        <f t="shared" ca="1" si="169"/>
        <v>-121237307985024.69</v>
      </c>
      <c r="M4534" s="460">
        <f t="shared" si="171"/>
        <v>0.05</v>
      </c>
      <c r="N4534" s="464">
        <f t="shared" si="172"/>
        <v>189045</v>
      </c>
    </row>
    <row r="4535" spans="7:14" ht="11.25" customHeight="1" x14ac:dyDescent="0.25">
      <c r="G4535" s="459"/>
      <c r="H4535" s="459">
        <v>4528</v>
      </c>
      <c r="I4535" s="444">
        <f t="shared" ca="1" si="170"/>
        <v>-121237307985024.69</v>
      </c>
      <c r="J4535" s="444">
        <f t="array" ref="J4535">IFERROR(INDEX('Retirement Calculator'!K:K,MATCH('Lorri 401b'!N4535,'Retirement Calculator'!A:A,0),0),0)</f>
        <v>0</v>
      </c>
      <c r="K4535" s="444">
        <f t="shared" ca="1" si="168"/>
        <v>-505155449937.60284</v>
      </c>
      <c r="L4535" s="444">
        <f t="shared" ca="1" si="169"/>
        <v>-121742463434962.3</v>
      </c>
      <c r="M4535" s="460">
        <f t="shared" si="171"/>
        <v>0.05</v>
      </c>
      <c r="N4535" s="464">
        <f t="shared" si="172"/>
        <v>189076</v>
      </c>
    </row>
    <row r="4536" spans="7:14" ht="11.25" customHeight="1" x14ac:dyDescent="0.25">
      <c r="G4536" s="459"/>
      <c r="H4536" s="459">
        <v>4529</v>
      </c>
      <c r="I4536" s="444">
        <f t="shared" ca="1" si="170"/>
        <v>-121742463434962.3</v>
      </c>
      <c r="J4536" s="444">
        <f t="array" ref="J4536">IFERROR(INDEX('Retirement Calculator'!K:K,MATCH('Lorri 401b'!N4536,'Retirement Calculator'!A:A,0),0),0)</f>
        <v>0</v>
      </c>
      <c r="K4536" s="444">
        <f t="shared" ca="1" si="168"/>
        <v>-507260264312.3429</v>
      </c>
      <c r="L4536" s="444">
        <f t="shared" ca="1" si="169"/>
        <v>-122249723699274.64</v>
      </c>
      <c r="M4536" s="460">
        <f t="shared" si="171"/>
        <v>0.05</v>
      </c>
      <c r="N4536" s="464">
        <f t="shared" si="172"/>
        <v>189106</v>
      </c>
    </row>
    <row r="4537" spans="7:14" ht="11.25" customHeight="1" x14ac:dyDescent="0.25">
      <c r="G4537" s="459"/>
      <c r="H4537" s="459">
        <v>4530</v>
      </c>
      <c r="I4537" s="444">
        <f t="shared" ca="1" si="170"/>
        <v>-122249723699274.64</v>
      </c>
      <c r="J4537" s="444">
        <f t="array" ref="J4537">IFERROR(INDEX('Retirement Calculator'!K:K,MATCH('Lorri 401b'!N4537,'Retirement Calculator'!A:A,0),0),0)</f>
        <v>0</v>
      </c>
      <c r="K4537" s="444">
        <f t="shared" ca="1" si="168"/>
        <v>-509373848746.97766</v>
      </c>
      <c r="L4537" s="444">
        <f t="shared" ca="1" si="169"/>
        <v>-122759097548021.63</v>
      </c>
      <c r="M4537" s="460">
        <f t="shared" si="171"/>
        <v>0.05</v>
      </c>
      <c r="N4537" s="464">
        <f t="shared" si="172"/>
        <v>189137</v>
      </c>
    </row>
    <row r="4538" spans="7:14" ht="11.25" customHeight="1" x14ac:dyDescent="0.25">
      <c r="G4538" s="459"/>
      <c r="H4538" s="459">
        <v>4531</v>
      </c>
      <c r="I4538" s="444">
        <f t="shared" ca="1" si="170"/>
        <v>-122759097548021.63</v>
      </c>
      <c r="J4538" s="444">
        <f t="array" ref="J4538">IFERROR(INDEX('Retirement Calculator'!K:K,MATCH('Lorri 401b'!N4538,'Retirement Calculator'!A:A,0),0),0)</f>
        <v>0</v>
      </c>
      <c r="K4538" s="444">
        <f t="shared" ca="1" si="168"/>
        <v>-511496239783.4234</v>
      </c>
      <c r="L4538" s="444">
        <f t="shared" ca="1" si="169"/>
        <v>-123270593787805.05</v>
      </c>
      <c r="M4538" s="460">
        <f t="shared" si="171"/>
        <v>0.05</v>
      </c>
      <c r="N4538" s="464">
        <f t="shared" si="172"/>
        <v>189167</v>
      </c>
    </row>
    <row r="4539" spans="7:14" ht="11.25" customHeight="1" x14ac:dyDescent="0.25">
      <c r="G4539" s="459"/>
      <c r="H4539" s="459">
        <v>4532</v>
      </c>
      <c r="I4539" s="444">
        <f t="shared" ca="1" si="170"/>
        <v>-123270593787805.05</v>
      </c>
      <c r="J4539" s="444">
        <f t="array" ref="J4539">IFERROR(INDEX('Retirement Calculator'!K:K,MATCH('Lorri 401b'!N4539,'Retirement Calculator'!A:A,0),0),0)</f>
        <v>0</v>
      </c>
      <c r="K4539" s="444">
        <f t="shared" ca="1" si="168"/>
        <v>-513627474115.85437</v>
      </c>
      <c r="L4539" s="444">
        <f t="shared" ca="1" si="169"/>
        <v>-123784221261920.91</v>
      </c>
      <c r="M4539" s="460">
        <f t="shared" si="171"/>
        <v>0.05</v>
      </c>
      <c r="N4539" s="464">
        <f t="shared" si="172"/>
        <v>189198</v>
      </c>
    </row>
    <row r="4540" spans="7:14" ht="11.25" customHeight="1" x14ac:dyDescent="0.25">
      <c r="G4540" s="459"/>
      <c r="H4540" s="459">
        <v>4533</v>
      </c>
      <c r="I4540" s="444">
        <f t="shared" ca="1" si="170"/>
        <v>-123784221261920.91</v>
      </c>
      <c r="J4540" s="444">
        <f t="array" ref="J4540">IFERROR(INDEX('Retirement Calculator'!K:K,MATCH('Lorri 401b'!N4540,'Retirement Calculator'!A:A,0),0),0)</f>
        <v>0</v>
      </c>
      <c r="K4540" s="444">
        <f t="shared" ca="1" si="168"/>
        <v>-515767588591.3371</v>
      </c>
      <c r="L4540" s="444">
        <f t="shared" ca="1" si="169"/>
        <v>-124299988850512.25</v>
      </c>
      <c r="M4540" s="460">
        <f t="shared" si="171"/>
        <v>0.05</v>
      </c>
      <c r="N4540" s="464">
        <f t="shared" si="172"/>
        <v>189229</v>
      </c>
    </row>
    <row r="4541" spans="7:14" ht="11.25" customHeight="1" x14ac:dyDescent="0.25">
      <c r="G4541" s="459"/>
      <c r="H4541" s="459">
        <v>4534</v>
      </c>
      <c r="I4541" s="444">
        <f t="shared" ca="1" si="170"/>
        <v>-124299988850512.25</v>
      </c>
      <c r="J4541" s="444">
        <f t="array" ref="J4541">IFERROR(INDEX('Retirement Calculator'!K:K,MATCH('Lorri 401b'!N4541,'Retirement Calculator'!A:A,0),0),0)</f>
        <v>0</v>
      </c>
      <c r="K4541" s="444">
        <f t="shared" ca="1" si="168"/>
        <v>-517916620210.46765</v>
      </c>
      <c r="L4541" s="444">
        <f t="shared" ca="1" si="169"/>
        <v>-124817905470722.72</v>
      </c>
      <c r="M4541" s="460">
        <f t="shared" si="171"/>
        <v>0.05</v>
      </c>
      <c r="N4541" s="464">
        <f t="shared" si="172"/>
        <v>189257</v>
      </c>
    </row>
    <row r="4542" spans="7:14" ht="11.25" customHeight="1" x14ac:dyDescent="0.25">
      <c r="G4542" s="459"/>
      <c r="H4542" s="459">
        <v>4535</v>
      </c>
      <c r="I4542" s="444">
        <f t="shared" ca="1" si="170"/>
        <v>-124817905470722.72</v>
      </c>
      <c r="J4542" s="444">
        <f t="array" ref="J4542">IFERROR(INDEX('Retirement Calculator'!K:K,MATCH('Lorri 401b'!N4542,'Retirement Calculator'!A:A,0),0),0)</f>
        <v>0</v>
      </c>
      <c r="K4542" s="444">
        <f t="shared" ca="1" si="168"/>
        <v>-520074606128.01129</v>
      </c>
      <c r="L4542" s="444">
        <f t="shared" ca="1" si="169"/>
        <v>-125337980076850.73</v>
      </c>
      <c r="M4542" s="460">
        <f t="shared" si="171"/>
        <v>0.05</v>
      </c>
      <c r="N4542" s="464">
        <f t="shared" si="172"/>
        <v>189288</v>
      </c>
    </row>
    <row r="4543" spans="7:14" ht="11.25" customHeight="1" x14ac:dyDescent="0.25">
      <c r="G4543" s="459"/>
      <c r="H4543" s="459">
        <v>4536</v>
      </c>
      <c r="I4543" s="444">
        <f t="shared" ca="1" si="170"/>
        <v>-125337980076850.73</v>
      </c>
      <c r="J4543" s="444">
        <f t="array" ref="J4543">IFERROR(INDEX('Retirement Calculator'!K:K,MATCH('Lorri 401b'!N4543,'Retirement Calculator'!A:A,0),0),0)</f>
        <v>0</v>
      </c>
      <c r="K4543" s="444">
        <f t="shared" ca="1" si="168"/>
        <v>-522241583653.54468</v>
      </c>
      <c r="L4543" s="444">
        <f t="shared" ca="1" si="169"/>
        <v>-125860221660504.28</v>
      </c>
      <c r="M4543" s="460">
        <f t="shared" si="171"/>
        <v>0.05</v>
      </c>
      <c r="N4543" s="464">
        <f t="shared" si="172"/>
        <v>189318</v>
      </c>
    </row>
    <row r="4544" spans="7:14" ht="11.25" customHeight="1" x14ac:dyDescent="0.25">
      <c r="G4544" s="459"/>
      <c r="H4544" s="459">
        <v>4537</v>
      </c>
      <c r="I4544" s="444">
        <f t="shared" ca="1" si="170"/>
        <v>-125860221660504.28</v>
      </c>
      <c r="J4544" s="444">
        <f t="array" ref="J4544">IFERROR(INDEX('Retirement Calculator'!K:K,MATCH('Lorri 401b'!N4544,'Retirement Calculator'!A:A,0),0),0)</f>
        <v>0</v>
      </c>
      <c r="K4544" s="444">
        <f t="shared" ca="1" si="168"/>
        <v>-524417590252.10114</v>
      </c>
      <c r="L4544" s="444">
        <f t="shared" ca="1" si="169"/>
        <v>-126384639250756.38</v>
      </c>
      <c r="M4544" s="460">
        <f t="shared" si="171"/>
        <v>0.05</v>
      </c>
      <c r="N4544" s="464">
        <f t="shared" si="172"/>
        <v>189349</v>
      </c>
    </row>
    <row r="4545" spans="7:14" ht="11.25" customHeight="1" x14ac:dyDescent="0.25">
      <c r="G4545" s="459"/>
      <c r="H4545" s="459">
        <v>4538</v>
      </c>
      <c r="I4545" s="444">
        <f t="shared" ca="1" si="170"/>
        <v>-126384639250756.38</v>
      </c>
      <c r="J4545" s="444">
        <f t="array" ref="J4545">IFERROR(INDEX('Retirement Calculator'!K:K,MATCH('Lorri 401b'!N4545,'Retirement Calculator'!A:A,0),0),0)</f>
        <v>0</v>
      </c>
      <c r="K4545" s="444">
        <f t="shared" ca="1" si="168"/>
        <v>-526602663544.81824</v>
      </c>
      <c r="L4545" s="444">
        <f t="shared" ca="1" si="169"/>
        <v>-126911241914301.19</v>
      </c>
      <c r="M4545" s="460">
        <f t="shared" si="171"/>
        <v>0.05</v>
      </c>
      <c r="N4545" s="464">
        <f t="shared" si="172"/>
        <v>189379</v>
      </c>
    </row>
    <row r="4546" spans="7:14" ht="11.25" customHeight="1" x14ac:dyDescent="0.25">
      <c r="G4546" s="459"/>
      <c r="H4546" s="459">
        <v>4539</v>
      </c>
      <c r="I4546" s="444">
        <f t="shared" ca="1" si="170"/>
        <v>-126911241914301.19</v>
      </c>
      <c r="J4546" s="444">
        <f t="array" ref="J4546">IFERROR(INDEX('Retirement Calculator'!K:K,MATCH('Lorri 401b'!N4546,'Retirement Calculator'!A:A,0),0),0)</f>
        <v>0</v>
      </c>
      <c r="K4546" s="444">
        <f t="shared" ca="1" si="168"/>
        <v>-528796841309.58826</v>
      </c>
      <c r="L4546" s="444">
        <f t="shared" ca="1" si="169"/>
        <v>-127440038755610.78</v>
      </c>
      <c r="M4546" s="460">
        <f t="shared" si="171"/>
        <v>0.05</v>
      </c>
      <c r="N4546" s="464">
        <f t="shared" si="172"/>
        <v>189410</v>
      </c>
    </row>
    <row r="4547" spans="7:14" ht="11.25" customHeight="1" x14ac:dyDescent="0.25">
      <c r="G4547" s="459"/>
      <c r="H4547" s="459">
        <v>4540</v>
      </c>
      <c r="I4547" s="444">
        <f t="shared" ca="1" si="170"/>
        <v>-127440038755610.78</v>
      </c>
      <c r="J4547" s="444">
        <f t="array" ref="J4547">IFERROR(INDEX('Retirement Calculator'!K:K,MATCH('Lorri 401b'!N4547,'Retirement Calculator'!A:A,0),0),0)</f>
        <v>0</v>
      </c>
      <c r="K4547" s="444">
        <f t="shared" ca="1" si="168"/>
        <v>-531000161481.71167</v>
      </c>
      <c r="L4547" s="444">
        <f t="shared" ca="1" si="169"/>
        <v>-127971038917092.5</v>
      </c>
      <c r="M4547" s="460">
        <f t="shared" si="171"/>
        <v>0.05</v>
      </c>
      <c r="N4547" s="464">
        <f t="shared" si="172"/>
        <v>189441</v>
      </c>
    </row>
    <row r="4548" spans="7:14" ht="11.25" customHeight="1" x14ac:dyDescent="0.25">
      <c r="G4548" s="459"/>
      <c r="H4548" s="459">
        <v>4541</v>
      </c>
      <c r="I4548" s="444">
        <f t="shared" ca="1" si="170"/>
        <v>-127971038917092.5</v>
      </c>
      <c r="J4548" s="444">
        <f t="array" ref="J4548">IFERROR(INDEX('Retirement Calculator'!K:K,MATCH('Lorri 401b'!N4548,'Retirement Calculator'!A:A,0),0),0)</f>
        <v>0</v>
      </c>
      <c r="K4548" s="444">
        <f t="shared" ca="1" si="168"/>
        <v>-533212662154.55206</v>
      </c>
      <c r="L4548" s="444">
        <f t="shared" ca="1" si="169"/>
        <v>-128504251579247.05</v>
      </c>
      <c r="M4548" s="460">
        <f t="shared" si="171"/>
        <v>0.05</v>
      </c>
      <c r="N4548" s="464">
        <f t="shared" si="172"/>
        <v>189471</v>
      </c>
    </row>
    <row r="4549" spans="7:14" ht="11.25" customHeight="1" x14ac:dyDescent="0.25">
      <c r="G4549" s="459"/>
      <c r="H4549" s="459">
        <v>4542</v>
      </c>
      <c r="I4549" s="444">
        <f t="shared" ca="1" si="170"/>
        <v>-128504251579247.05</v>
      </c>
      <c r="J4549" s="444">
        <f t="array" ref="J4549">IFERROR(INDEX('Retirement Calculator'!K:K,MATCH('Lorri 401b'!N4549,'Retirement Calculator'!A:A,0),0),0)</f>
        <v>0</v>
      </c>
      <c r="K4549" s="444">
        <f t="shared" ca="1" si="168"/>
        <v>-535434381580.19604</v>
      </c>
      <c r="L4549" s="444">
        <f t="shared" ca="1" si="169"/>
        <v>-129039685960827.25</v>
      </c>
      <c r="M4549" s="460">
        <f t="shared" si="171"/>
        <v>0.05</v>
      </c>
      <c r="N4549" s="464">
        <f t="shared" si="172"/>
        <v>189502</v>
      </c>
    </row>
    <row r="4550" spans="7:14" ht="11.25" customHeight="1" x14ac:dyDescent="0.25">
      <c r="G4550" s="459"/>
      <c r="H4550" s="459">
        <v>4543</v>
      </c>
      <c r="I4550" s="444">
        <f t="shared" ca="1" si="170"/>
        <v>-129039685960827.25</v>
      </c>
      <c r="J4550" s="444">
        <f t="array" ref="J4550">IFERROR(INDEX('Retirement Calculator'!K:K,MATCH('Lorri 401b'!N4550,'Retirement Calculator'!A:A,0),0),0)</f>
        <v>0</v>
      </c>
      <c r="K4550" s="444">
        <f t="shared" ca="1" si="168"/>
        <v>-537665358170.11346</v>
      </c>
      <c r="L4550" s="444">
        <f t="shared" ca="1" si="169"/>
        <v>-129577351318997.36</v>
      </c>
      <c r="M4550" s="460">
        <f t="shared" si="171"/>
        <v>0.05</v>
      </c>
      <c r="N4550" s="464">
        <f t="shared" si="172"/>
        <v>189532</v>
      </c>
    </row>
    <row r="4551" spans="7:14" ht="11.25" customHeight="1" x14ac:dyDescent="0.25">
      <c r="G4551" s="459"/>
      <c r="H4551" s="459">
        <v>4544</v>
      </c>
      <c r="I4551" s="444">
        <f t="shared" ca="1" si="170"/>
        <v>-129577351318997.36</v>
      </c>
      <c r="J4551" s="444">
        <f t="array" ref="J4551">IFERROR(INDEX('Retirement Calculator'!K:K,MATCH('Lorri 401b'!N4551,'Retirement Calculator'!A:A,0),0),0)</f>
        <v>0</v>
      </c>
      <c r="K4551" s="444">
        <f t="shared" ca="1" si="168"/>
        <v>-539905630495.82227</v>
      </c>
      <c r="L4551" s="444">
        <f t="shared" ca="1" si="169"/>
        <v>-130117256949493.19</v>
      </c>
      <c r="M4551" s="460">
        <f t="shared" si="171"/>
        <v>0.05</v>
      </c>
      <c r="N4551" s="464">
        <f t="shared" si="172"/>
        <v>189563</v>
      </c>
    </row>
    <row r="4552" spans="7:14" ht="11.25" customHeight="1" x14ac:dyDescent="0.25">
      <c r="G4552" s="459"/>
      <c r="H4552" s="459">
        <v>4545</v>
      </c>
      <c r="I4552" s="444">
        <f t="shared" ca="1" si="170"/>
        <v>-130117256949493.19</v>
      </c>
      <c r="J4552" s="444">
        <f t="array" ref="J4552">IFERROR(INDEX('Retirement Calculator'!K:K,MATCH('Lorri 401b'!N4552,'Retirement Calculator'!A:A,0),0),0)</f>
        <v>0</v>
      </c>
      <c r="K4552" s="444">
        <f t="shared" ca="1" si="168"/>
        <v>-542155237289.55493</v>
      </c>
      <c r="L4552" s="444">
        <f t="shared" ca="1" si="169"/>
        <v>-130659412186782.75</v>
      </c>
      <c r="M4552" s="460">
        <f t="shared" si="171"/>
        <v>0.05</v>
      </c>
      <c r="N4552" s="464">
        <f t="shared" si="172"/>
        <v>189594</v>
      </c>
    </row>
    <row r="4553" spans="7:14" ht="11.25" customHeight="1" x14ac:dyDescent="0.25">
      <c r="G4553" s="459"/>
      <c r="H4553" s="459">
        <v>4546</v>
      </c>
      <c r="I4553" s="444">
        <f t="shared" ca="1" si="170"/>
        <v>-130659412186782.75</v>
      </c>
      <c r="J4553" s="444">
        <f t="array" ref="J4553">IFERROR(INDEX('Retirement Calculator'!K:K,MATCH('Lorri 401b'!N4553,'Retirement Calculator'!A:A,0),0),0)</f>
        <v>0</v>
      </c>
      <c r="K4553" s="444">
        <f t="shared" ca="1" si="168"/>
        <v>-544414217444.9281</v>
      </c>
      <c r="L4553" s="444">
        <f t="shared" ca="1" si="169"/>
        <v>-131203826404227.67</v>
      </c>
      <c r="M4553" s="460">
        <f t="shared" si="171"/>
        <v>0.05</v>
      </c>
      <c r="N4553" s="464">
        <f t="shared" si="172"/>
        <v>189622</v>
      </c>
    </row>
    <row r="4554" spans="7:14" ht="11.25" customHeight="1" x14ac:dyDescent="0.25">
      <c r="G4554" s="459"/>
      <c r="H4554" s="459">
        <v>4547</v>
      </c>
      <c r="I4554" s="444">
        <f t="shared" ca="1" si="170"/>
        <v>-131203826404227.67</v>
      </c>
      <c r="J4554" s="444">
        <f t="array" ref="J4554">IFERROR(INDEX('Retirement Calculator'!K:K,MATCH('Lorri 401b'!N4554,'Retirement Calculator'!A:A,0),0),0)</f>
        <v>0</v>
      </c>
      <c r="K4554" s="444">
        <f t="shared" ca="1" si="168"/>
        <v>-546682610017.6153</v>
      </c>
      <c r="L4554" s="444">
        <f t="shared" ca="1" si="169"/>
        <v>-131750509014245.28</v>
      </c>
      <c r="M4554" s="460">
        <f t="shared" si="171"/>
        <v>0.05</v>
      </c>
      <c r="N4554" s="464">
        <f t="shared" si="172"/>
        <v>189653</v>
      </c>
    </row>
    <row r="4555" spans="7:14" ht="11.25" customHeight="1" x14ac:dyDescent="0.25">
      <c r="G4555" s="459"/>
      <c r="H4555" s="459">
        <v>4548</v>
      </c>
      <c r="I4555" s="444">
        <f t="shared" ca="1" si="170"/>
        <v>-131750509014245.28</v>
      </c>
      <c r="J4555" s="444">
        <f t="array" ref="J4555">IFERROR(INDEX('Retirement Calculator'!K:K,MATCH('Lorri 401b'!N4555,'Retirement Calculator'!A:A,0),0),0)</f>
        <v>0</v>
      </c>
      <c r="K4555" s="444">
        <f t="shared" ca="1" si="168"/>
        <v>-548960454226.02197</v>
      </c>
      <c r="L4555" s="444">
        <f t="shared" ca="1" si="169"/>
        <v>-132299469468471.3</v>
      </c>
      <c r="M4555" s="460">
        <f t="shared" si="171"/>
        <v>0.05</v>
      </c>
      <c r="N4555" s="464">
        <f t="shared" si="172"/>
        <v>189683</v>
      </c>
    </row>
    <row r="4556" spans="7:14" ht="11.25" customHeight="1" x14ac:dyDescent="0.25">
      <c r="G4556" s="459"/>
      <c r="H4556" s="459">
        <v>4549</v>
      </c>
      <c r="I4556" s="444">
        <f t="shared" ca="1" si="170"/>
        <v>-132299469468471.3</v>
      </c>
      <c r="J4556" s="444">
        <f t="array" ref="J4556">IFERROR(INDEX('Retirement Calculator'!K:K,MATCH('Lorri 401b'!N4556,'Retirement Calculator'!A:A,0),0),0)</f>
        <v>0</v>
      </c>
      <c r="K4556" s="444">
        <f t="shared" ca="1" si="168"/>
        <v>-551247789451.96362</v>
      </c>
      <c r="L4556" s="444">
        <f t="shared" ca="1" si="169"/>
        <v>-132850717257923.27</v>
      </c>
      <c r="M4556" s="460">
        <f t="shared" si="171"/>
        <v>0.05</v>
      </c>
      <c r="N4556" s="464">
        <f t="shared" si="172"/>
        <v>189714</v>
      </c>
    </row>
    <row r="4557" spans="7:14" ht="11.25" customHeight="1" x14ac:dyDescent="0.25">
      <c r="G4557" s="459"/>
      <c r="H4557" s="459">
        <v>4550</v>
      </c>
      <c r="I4557" s="444">
        <f t="shared" ca="1" si="170"/>
        <v>-132850717257923.27</v>
      </c>
      <c r="J4557" s="444">
        <f t="array" ref="J4557">IFERROR(INDEX('Retirement Calculator'!K:K,MATCH('Lorri 401b'!N4557,'Retirement Calculator'!A:A,0),0),0)</f>
        <v>0</v>
      </c>
      <c r="K4557" s="444">
        <f t="shared" ca="1" si="168"/>
        <v>-553544655241.34705</v>
      </c>
      <c r="L4557" s="444">
        <f t="shared" ca="1" si="169"/>
        <v>-133404261913164.61</v>
      </c>
      <c r="M4557" s="460">
        <f t="shared" si="171"/>
        <v>0.05</v>
      </c>
      <c r="N4557" s="464">
        <f t="shared" si="172"/>
        <v>189744</v>
      </c>
    </row>
    <row r="4558" spans="7:14" ht="11.25" customHeight="1" x14ac:dyDescent="0.25">
      <c r="G4558" s="459"/>
      <c r="H4558" s="459">
        <v>4551</v>
      </c>
      <c r="I4558" s="444">
        <f t="shared" ca="1" si="170"/>
        <v>-133404261913164.61</v>
      </c>
      <c r="J4558" s="444">
        <f t="array" ref="J4558">IFERROR(INDEX('Retirement Calculator'!K:K,MATCH('Lorri 401b'!N4558,'Retirement Calculator'!A:A,0),0),0)</f>
        <v>0</v>
      </c>
      <c r="K4558" s="444">
        <f t="shared" ca="1" si="168"/>
        <v>-555851091304.85242</v>
      </c>
      <c r="L4558" s="444">
        <f t="shared" ca="1" si="169"/>
        <v>-133960113004469.47</v>
      </c>
      <c r="M4558" s="460">
        <f t="shared" si="171"/>
        <v>0.05</v>
      </c>
      <c r="N4558" s="464">
        <f t="shared" si="172"/>
        <v>189775</v>
      </c>
    </row>
    <row r="4559" spans="7:14" ht="11.25" customHeight="1" x14ac:dyDescent="0.25">
      <c r="G4559" s="459"/>
      <c r="H4559" s="459">
        <v>4552</v>
      </c>
      <c r="I4559" s="444">
        <f t="shared" ca="1" si="170"/>
        <v>-133960113004469.47</v>
      </c>
      <c r="J4559" s="444">
        <f t="array" ref="J4559">IFERROR(INDEX('Retirement Calculator'!K:K,MATCH('Lorri 401b'!N4559,'Retirement Calculator'!A:A,0),0),0)</f>
        <v>0</v>
      </c>
      <c r="K4559" s="444">
        <f t="shared" ca="1" si="168"/>
        <v>-558167137518.6228</v>
      </c>
      <c r="L4559" s="444">
        <f t="shared" ca="1" si="169"/>
        <v>-134518280141988.09</v>
      </c>
      <c r="M4559" s="460">
        <f t="shared" si="171"/>
        <v>0.05</v>
      </c>
      <c r="N4559" s="464">
        <f t="shared" si="172"/>
        <v>189806</v>
      </c>
    </row>
    <row r="4560" spans="7:14" ht="11.25" customHeight="1" x14ac:dyDescent="0.25">
      <c r="G4560" s="459"/>
      <c r="H4560" s="459">
        <v>4553</v>
      </c>
      <c r="I4560" s="444">
        <f t="shared" ca="1" si="170"/>
        <v>-134518280141988.09</v>
      </c>
      <c r="J4560" s="444">
        <f t="array" ref="J4560">IFERROR(INDEX('Retirement Calculator'!K:K,MATCH('Lorri 401b'!N4560,'Retirement Calculator'!A:A,0),0),0)</f>
        <v>0</v>
      </c>
      <c r="K4560" s="444">
        <f t="shared" ca="1" si="168"/>
        <v>-560492833924.95044</v>
      </c>
      <c r="L4560" s="444">
        <f t="shared" ca="1" si="169"/>
        <v>-135078772975913.05</v>
      </c>
      <c r="M4560" s="460">
        <f t="shared" si="171"/>
        <v>0.05</v>
      </c>
      <c r="N4560" s="464">
        <f t="shared" si="172"/>
        <v>189836</v>
      </c>
    </row>
    <row r="4561" spans="7:14" ht="11.25" customHeight="1" x14ac:dyDescent="0.25">
      <c r="G4561" s="459"/>
      <c r="H4561" s="459">
        <v>4554</v>
      </c>
      <c r="I4561" s="444">
        <f t="shared" ca="1" si="170"/>
        <v>-135078772975913.05</v>
      </c>
      <c r="J4561" s="444">
        <f t="array" ref="J4561">IFERROR(INDEX('Retirement Calculator'!K:K,MATCH('Lorri 401b'!N4561,'Retirement Calculator'!A:A,0),0),0)</f>
        <v>0</v>
      </c>
      <c r="K4561" s="444">
        <f t="shared" ca="1" si="168"/>
        <v>-562828220732.97107</v>
      </c>
      <c r="L4561" s="444">
        <f t="shared" ca="1" si="169"/>
        <v>-135641601196646.02</v>
      </c>
      <c r="M4561" s="460">
        <f t="shared" si="171"/>
        <v>0.05</v>
      </c>
      <c r="N4561" s="464">
        <f t="shared" si="172"/>
        <v>189867</v>
      </c>
    </row>
    <row r="4562" spans="7:14" ht="11.25" customHeight="1" x14ac:dyDescent="0.25">
      <c r="G4562" s="459"/>
      <c r="H4562" s="459">
        <v>4555</v>
      </c>
      <c r="I4562" s="444">
        <f t="shared" ca="1" si="170"/>
        <v>-135641601196646.02</v>
      </c>
      <c r="J4562" s="444">
        <f t="array" ref="J4562">IFERROR(INDEX('Retirement Calculator'!K:K,MATCH('Lorri 401b'!N4562,'Retirement Calculator'!A:A,0),0),0)</f>
        <v>0</v>
      </c>
      <c r="K4562" s="444">
        <f t="shared" ca="1" si="168"/>
        <v>-565173338319.3584</v>
      </c>
      <c r="L4562" s="444">
        <f t="shared" ca="1" si="169"/>
        <v>-136206774534965.38</v>
      </c>
      <c r="M4562" s="460">
        <f t="shared" si="171"/>
        <v>0.05</v>
      </c>
      <c r="N4562" s="464">
        <f t="shared" si="172"/>
        <v>189897</v>
      </c>
    </row>
    <row r="4563" spans="7:14" ht="11.25" customHeight="1" x14ac:dyDescent="0.25">
      <c r="G4563" s="459"/>
      <c r="H4563" s="459">
        <v>4556</v>
      </c>
      <c r="I4563" s="444">
        <f t="shared" ca="1" si="170"/>
        <v>-136206774534965.38</v>
      </c>
      <c r="J4563" s="444">
        <f t="array" ref="J4563">IFERROR(INDEX('Retirement Calculator'!K:K,MATCH('Lorri 401b'!N4563,'Retirement Calculator'!A:A,0),0),0)</f>
        <v>0</v>
      </c>
      <c r="K4563" s="444">
        <f t="shared" ca="1" si="168"/>
        <v>-567528227229.02234</v>
      </c>
      <c r="L4563" s="444">
        <f t="shared" ca="1" si="169"/>
        <v>-136774302762194.39</v>
      </c>
      <c r="M4563" s="460">
        <f t="shared" si="171"/>
        <v>0.05</v>
      </c>
      <c r="N4563" s="464">
        <f t="shared" si="172"/>
        <v>189928</v>
      </c>
    </row>
    <row r="4564" spans="7:14" ht="11.25" customHeight="1" x14ac:dyDescent="0.25">
      <c r="G4564" s="459"/>
      <c r="H4564" s="459">
        <v>4557</v>
      </c>
      <c r="I4564" s="444">
        <f t="shared" ca="1" si="170"/>
        <v>-136774302762194.39</v>
      </c>
      <c r="J4564" s="444">
        <f t="array" ref="J4564">IFERROR(INDEX('Retirement Calculator'!K:K,MATCH('Lorri 401b'!N4564,'Retirement Calculator'!A:A,0),0),0)</f>
        <v>0</v>
      </c>
      <c r="K4564" s="444">
        <f t="shared" ca="1" si="168"/>
        <v>-569892928175.80994</v>
      </c>
      <c r="L4564" s="444">
        <f t="shared" ca="1" si="169"/>
        <v>-137344195690370.2</v>
      </c>
      <c r="M4564" s="460">
        <f t="shared" si="171"/>
        <v>0.05</v>
      </c>
      <c r="N4564" s="464">
        <f t="shared" si="172"/>
        <v>189959</v>
      </c>
    </row>
    <row r="4565" spans="7:14" ht="11.25" customHeight="1" x14ac:dyDescent="0.25">
      <c r="G4565" s="459"/>
      <c r="H4565" s="459">
        <v>4558</v>
      </c>
      <c r="I4565" s="444">
        <f t="shared" ca="1" si="170"/>
        <v>-137344195690370.2</v>
      </c>
      <c r="J4565" s="444">
        <f t="array" ref="J4565">IFERROR(INDEX('Retirement Calculator'!K:K,MATCH('Lorri 401b'!N4565,'Retirement Calculator'!A:A,0),0),0)</f>
        <v>0</v>
      </c>
      <c r="K4565" s="444">
        <f t="shared" ca="1" si="168"/>
        <v>-572267482043.20923</v>
      </c>
      <c r="L4565" s="444">
        <f t="shared" ca="1" si="169"/>
        <v>-137916463172413.41</v>
      </c>
      <c r="M4565" s="460">
        <f t="shared" si="171"/>
        <v>0.05</v>
      </c>
      <c r="N4565" s="464">
        <f t="shared" si="172"/>
        <v>189988</v>
      </c>
    </row>
    <row r="4566" spans="7:14" ht="11.25" customHeight="1" x14ac:dyDescent="0.25">
      <c r="G4566" s="459"/>
      <c r="H4566" s="459">
        <v>4559</v>
      </c>
      <c r="I4566" s="444">
        <f t="shared" ca="1" si="170"/>
        <v>-137916463172413.41</v>
      </c>
      <c r="J4566" s="444">
        <f t="array" ref="J4566">IFERROR(INDEX('Retirement Calculator'!K:K,MATCH('Lorri 401b'!N4566,'Retirement Calculator'!A:A,0),0),0)</f>
        <v>0</v>
      </c>
      <c r="K4566" s="444">
        <f t="shared" ca="1" si="168"/>
        <v>-574651929885.05591</v>
      </c>
      <c r="L4566" s="444">
        <f t="shared" ca="1" si="169"/>
        <v>-138491115102298.47</v>
      </c>
      <c r="M4566" s="460">
        <f t="shared" si="171"/>
        <v>0.05</v>
      </c>
      <c r="N4566" s="464">
        <f t="shared" si="172"/>
        <v>190019</v>
      </c>
    </row>
    <row r="4567" spans="7:14" ht="11.25" customHeight="1" x14ac:dyDescent="0.25">
      <c r="G4567" s="459"/>
      <c r="H4567" s="459">
        <v>4560</v>
      </c>
      <c r="I4567" s="444">
        <f t="shared" ca="1" si="170"/>
        <v>-138491115102298.47</v>
      </c>
      <c r="J4567" s="444">
        <f t="array" ref="J4567">IFERROR(INDEX('Retirement Calculator'!K:K,MATCH('Lorri 401b'!N4567,'Retirement Calculator'!A:A,0),0),0)</f>
        <v>0</v>
      </c>
      <c r="K4567" s="444">
        <f t="shared" ca="1" si="168"/>
        <v>-577046312926.24365</v>
      </c>
      <c r="L4567" s="444">
        <f t="shared" ca="1" si="169"/>
        <v>-139068161415224.72</v>
      </c>
      <c r="M4567" s="460">
        <f t="shared" si="171"/>
        <v>0.05</v>
      </c>
      <c r="N4567" s="464">
        <f t="shared" si="172"/>
        <v>190049</v>
      </c>
    </row>
    <row r="4568" spans="7:14" ht="11.25" customHeight="1" x14ac:dyDescent="0.25">
      <c r="G4568" s="459"/>
      <c r="H4568" s="459">
        <v>4561</v>
      </c>
      <c r="I4568" s="444">
        <f t="shared" ca="1" si="170"/>
        <v>-139068161415224.72</v>
      </c>
      <c r="J4568" s="444">
        <f t="array" ref="J4568">IFERROR(INDEX('Retirement Calculator'!K:K,MATCH('Lorri 401b'!N4568,'Retirement Calculator'!A:A,0),0),0)</f>
        <v>0</v>
      </c>
      <c r="K4568" s="444">
        <f t="shared" ca="1" si="168"/>
        <v>-579450672563.43628</v>
      </c>
      <c r="L4568" s="444">
        <f t="shared" ca="1" si="169"/>
        <v>-139647612087788.16</v>
      </c>
      <c r="M4568" s="460">
        <f t="shared" si="171"/>
        <v>0.05</v>
      </c>
      <c r="N4568" s="464">
        <f t="shared" si="172"/>
        <v>190080</v>
      </c>
    </row>
    <row r="4569" spans="7:14" ht="11.25" customHeight="1" x14ac:dyDescent="0.25">
      <c r="G4569" s="459"/>
      <c r="H4569" s="459">
        <v>4562</v>
      </c>
      <c r="I4569" s="444">
        <f t="shared" ca="1" si="170"/>
        <v>-139647612087788.16</v>
      </c>
      <c r="J4569" s="444">
        <f t="array" ref="J4569">IFERROR(INDEX('Retirement Calculator'!K:K,MATCH('Lorri 401b'!N4569,'Retirement Calculator'!A:A,0),0),0)</f>
        <v>0</v>
      </c>
      <c r="K4569" s="444">
        <f t="shared" ca="1" si="168"/>
        <v>-581865050365.78394</v>
      </c>
      <c r="L4569" s="444">
        <f t="shared" ca="1" si="169"/>
        <v>-140229477138153.94</v>
      </c>
      <c r="M4569" s="460">
        <f t="shared" si="171"/>
        <v>0.05</v>
      </c>
      <c r="N4569" s="464">
        <f t="shared" si="172"/>
        <v>190110</v>
      </c>
    </row>
    <row r="4570" spans="7:14" ht="11.25" customHeight="1" x14ac:dyDescent="0.25">
      <c r="G4570" s="459"/>
      <c r="H4570" s="459">
        <v>4563</v>
      </c>
      <c r="I4570" s="444">
        <f t="shared" ca="1" si="170"/>
        <v>-140229477138153.94</v>
      </c>
      <c r="J4570" s="444">
        <f t="array" ref="J4570">IFERROR(INDEX('Retirement Calculator'!K:K,MATCH('Lorri 401b'!N4570,'Retirement Calculator'!A:A,0),0),0)</f>
        <v>0</v>
      </c>
      <c r="K4570" s="444">
        <f t="shared" ca="1" si="168"/>
        <v>-584289488075.64136</v>
      </c>
      <c r="L4570" s="444">
        <f t="shared" ca="1" si="169"/>
        <v>-140813766626229.59</v>
      </c>
      <c r="M4570" s="460">
        <f t="shared" si="171"/>
        <v>0.05</v>
      </c>
      <c r="N4570" s="464">
        <f t="shared" si="172"/>
        <v>190141</v>
      </c>
    </row>
    <row r="4571" spans="7:14" ht="11.25" customHeight="1" x14ac:dyDescent="0.25">
      <c r="G4571" s="459"/>
      <c r="H4571" s="459">
        <v>4564</v>
      </c>
      <c r="I4571" s="444">
        <f t="shared" ca="1" si="170"/>
        <v>-140813766626229.59</v>
      </c>
      <c r="J4571" s="444">
        <f t="array" ref="J4571">IFERROR(INDEX('Retirement Calculator'!K:K,MATCH('Lorri 401b'!N4571,'Retirement Calculator'!A:A,0),0),0)</f>
        <v>0</v>
      </c>
      <c r="K4571" s="444">
        <f t="shared" ca="1" si="168"/>
        <v>-586724027609.28992</v>
      </c>
      <c r="L4571" s="444">
        <f t="shared" ca="1" si="169"/>
        <v>-141400490653838.88</v>
      </c>
      <c r="M4571" s="460">
        <f t="shared" si="171"/>
        <v>0.05</v>
      </c>
      <c r="N4571" s="464">
        <f t="shared" si="172"/>
        <v>190172</v>
      </c>
    </row>
    <row r="4572" spans="7:14" ht="11.25" customHeight="1" x14ac:dyDescent="0.25">
      <c r="G4572" s="459"/>
      <c r="H4572" s="459">
        <v>4565</v>
      </c>
      <c r="I4572" s="444">
        <f t="shared" ca="1" si="170"/>
        <v>-141400490653838.88</v>
      </c>
      <c r="J4572" s="444">
        <f t="array" ref="J4572">IFERROR(INDEX('Retirement Calculator'!K:K,MATCH('Lorri 401b'!N4572,'Retirement Calculator'!A:A,0),0),0)</f>
        <v>0</v>
      </c>
      <c r="K4572" s="444">
        <f t="shared" ca="1" si="168"/>
        <v>-589168711057.66199</v>
      </c>
      <c r="L4572" s="444">
        <f t="shared" ca="1" si="169"/>
        <v>-141989659364896.53</v>
      </c>
      <c r="M4572" s="460">
        <f t="shared" si="171"/>
        <v>0.05</v>
      </c>
      <c r="N4572" s="464">
        <f t="shared" si="172"/>
        <v>190202</v>
      </c>
    </row>
    <row r="4573" spans="7:14" ht="11.25" customHeight="1" x14ac:dyDescent="0.25">
      <c r="G4573" s="459"/>
      <c r="H4573" s="459">
        <v>4566</v>
      </c>
      <c r="I4573" s="444">
        <f t="shared" ca="1" si="170"/>
        <v>-141989659364896.53</v>
      </c>
      <c r="J4573" s="444">
        <f t="array" ref="J4573">IFERROR(INDEX('Retirement Calculator'!K:K,MATCH('Lorri 401b'!N4573,'Retirement Calculator'!A:A,0),0),0)</f>
        <v>0</v>
      </c>
      <c r="K4573" s="444">
        <f t="shared" ca="1" si="168"/>
        <v>-591623580687.06885</v>
      </c>
      <c r="L4573" s="444">
        <f t="shared" ca="1" si="169"/>
        <v>-142581282945583.59</v>
      </c>
      <c r="M4573" s="460">
        <f t="shared" si="171"/>
        <v>0.05</v>
      </c>
      <c r="N4573" s="464">
        <f t="shared" si="172"/>
        <v>190233</v>
      </c>
    </row>
    <row r="4574" spans="7:14" ht="11.25" customHeight="1" x14ac:dyDescent="0.25">
      <c r="G4574" s="459"/>
      <c r="H4574" s="459">
        <v>4567</v>
      </c>
      <c r="I4574" s="444">
        <f t="shared" ca="1" si="170"/>
        <v>-142581282945583.59</v>
      </c>
      <c r="J4574" s="444">
        <f t="array" ref="J4574">IFERROR(INDEX('Retirement Calculator'!K:K,MATCH('Lorri 401b'!N4574,'Retirement Calculator'!A:A,0),0),0)</f>
        <v>0</v>
      </c>
      <c r="K4574" s="444">
        <f t="shared" ca="1" si="168"/>
        <v>-594088678939.93164</v>
      </c>
      <c r="L4574" s="444">
        <f t="shared" ca="1" si="169"/>
        <v>-143175371624523.53</v>
      </c>
      <c r="M4574" s="460">
        <f t="shared" si="171"/>
        <v>0.05</v>
      </c>
      <c r="N4574" s="464">
        <f t="shared" si="172"/>
        <v>190263</v>
      </c>
    </row>
    <row r="4575" spans="7:14" ht="11.25" customHeight="1" x14ac:dyDescent="0.25">
      <c r="G4575" s="459"/>
      <c r="H4575" s="459">
        <v>4568</v>
      </c>
      <c r="I4575" s="444">
        <f t="shared" ca="1" si="170"/>
        <v>-143175371624523.53</v>
      </c>
      <c r="J4575" s="444">
        <f t="array" ref="J4575">IFERROR(INDEX('Retirement Calculator'!K:K,MATCH('Lorri 401b'!N4575,'Retirement Calculator'!A:A,0),0),0)</f>
        <v>0</v>
      </c>
      <c r="K4575" s="444">
        <f t="shared" ca="1" si="168"/>
        <v>-596564048435.51465</v>
      </c>
      <c r="L4575" s="444">
        <f t="shared" ca="1" si="169"/>
        <v>-143771935672959.03</v>
      </c>
      <c r="M4575" s="460">
        <f t="shared" si="171"/>
        <v>0.05</v>
      </c>
      <c r="N4575" s="464">
        <f t="shared" si="172"/>
        <v>190294</v>
      </c>
    </row>
    <row r="4576" spans="7:14" ht="11.25" customHeight="1" x14ac:dyDescent="0.25">
      <c r="G4576" s="459"/>
      <c r="H4576" s="459">
        <v>4569</v>
      </c>
      <c r="I4576" s="444">
        <f t="shared" ca="1" si="170"/>
        <v>-143771935672959.03</v>
      </c>
      <c r="J4576" s="444">
        <f t="array" ref="J4576">IFERROR(INDEX('Retirement Calculator'!K:K,MATCH('Lorri 401b'!N4576,'Retirement Calculator'!A:A,0),0),0)</f>
        <v>0</v>
      </c>
      <c r="K4576" s="444">
        <f t="shared" ca="1" si="168"/>
        <v>-599049731970.6626</v>
      </c>
      <c r="L4576" s="444">
        <f t="shared" ca="1" si="169"/>
        <v>-144370985404929.69</v>
      </c>
      <c r="M4576" s="460">
        <f t="shared" si="171"/>
        <v>0.05</v>
      </c>
      <c r="N4576" s="464">
        <f t="shared" si="172"/>
        <v>190325</v>
      </c>
    </row>
    <row r="4577" spans="7:14" ht="11.25" customHeight="1" x14ac:dyDescent="0.25">
      <c r="G4577" s="459"/>
      <c r="H4577" s="459">
        <v>4570</v>
      </c>
      <c r="I4577" s="444">
        <f t="shared" ca="1" si="170"/>
        <v>-144370985404929.69</v>
      </c>
      <c r="J4577" s="444">
        <f t="array" ref="J4577">IFERROR(INDEX('Retirement Calculator'!K:K,MATCH('Lorri 401b'!N4577,'Retirement Calculator'!A:A,0),0),0)</f>
        <v>0</v>
      </c>
      <c r="K4577" s="444">
        <f t="shared" ca="1" si="168"/>
        <v>-601545772520.54041</v>
      </c>
      <c r="L4577" s="444">
        <f t="shared" ca="1" si="169"/>
        <v>-144972531177450.22</v>
      </c>
      <c r="M4577" s="460">
        <f t="shared" si="171"/>
        <v>0.05</v>
      </c>
      <c r="N4577" s="464">
        <f t="shared" si="172"/>
        <v>190353</v>
      </c>
    </row>
    <row r="4578" spans="7:14" ht="11.25" customHeight="1" x14ac:dyDescent="0.25">
      <c r="G4578" s="459"/>
      <c r="H4578" s="459">
        <v>4571</v>
      </c>
      <c r="I4578" s="444">
        <f t="shared" ca="1" si="170"/>
        <v>-144972531177450.22</v>
      </c>
      <c r="J4578" s="444">
        <f t="array" ref="J4578">IFERROR(INDEX('Retirement Calculator'!K:K,MATCH('Lorri 401b'!N4578,'Retirement Calculator'!A:A,0),0),0)</f>
        <v>0</v>
      </c>
      <c r="K4578" s="444">
        <f t="shared" ca="1" si="168"/>
        <v>-604052213239.37585</v>
      </c>
      <c r="L4578" s="444">
        <f t="shared" ca="1" si="169"/>
        <v>-145576583390689.59</v>
      </c>
      <c r="M4578" s="460">
        <f t="shared" si="171"/>
        <v>0.05</v>
      </c>
      <c r="N4578" s="464">
        <f t="shared" si="172"/>
        <v>190384</v>
      </c>
    </row>
    <row r="4579" spans="7:14" ht="11.25" customHeight="1" x14ac:dyDescent="0.25">
      <c r="G4579" s="459"/>
      <c r="H4579" s="459">
        <v>4572</v>
      </c>
      <c r="I4579" s="444">
        <f t="shared" ca="1" si="170"/>
        <v>-145576583390689.59</v>
      </c>
      <c r="J4579" s="444">
        <f t="array" ref="J4579">IFERROR(INDEX('Retirement Calculator'!K:K,MATCH('Lorri 401b'!N4579,'Retirement Calculator'!A:A,0),0),0)</f>
        <v>0</v>
      </c>
      <c r="K4579" s="444">
        <f t="shared" ca="1" si="168"/>
        <v>-606569097461.20667</v>
      </c>
      <c r="L4579" s="444">
        <f t="shared" ca="1" si="169"/>
        <v>-146183152488150.81</v>
      </c>
      <c r="M4579" s="460">
        <f t="shared" si="171"/>
        <v>0.05</v>
      </c>
      <c r="N4579" s="464">
        <f t="shared" si="172"/>
        <v>190414</v>
      </c>
    </row>
    <row r="4580" spans="7:14" ht="11.25" customHeight="1" x14ac:dyDescent="0.25">
      <c r="G4580" s="459"/>
      <c r="H4580" s="459">
        <v>4573</v>
      </c>
      <c r="I4580" s="444">
        <f t="shared" ca="1" si="170"/>
        <v>-146183152488150.81</v>
      </c>
      <c r="J4580" s="444">
        <f t="array" ref="J4580">IFERROR(INDEX('Retirement Calculator'!K:K,MATCH('Lorri 401b'!N4580,'Retirement Calculator'!A:A,0),0),0)</f>
        <v>0</v>
      </c>
      <c r="K4580" s="444">
        <f t="shared" ca="1" si="168"/>
        <v>-609096468700.62842</v>
      </c>
      <c r="L4580" s="444">
        <f t="shared" ca="1" si="169"/>
        <v>-146792248956851.44</v>
      </c>
      <c r="M4580" s="460">
        <f t="shared" si="171"/>
        <v>0.05</v>
      </c>
      <c r="N4580" s="464">
        <f t="shared" si="172"/>
        <v>190445</v>
      </c>
    </row>
    <row r="4581" spans="7:14" ht="11.25" customHeight="1" x14ac:dyDescent="0.25">
      <c r="G4581" s="459"/>
      <c r="H4581" s="459">
        <v>4574</v>
      </c>
      <c r="I4581" s="444">
        <f t="shared" ca="1" si="170"/>
        <v>-146792248956851.44</v>
      </c>
      <c r="J4581" s="444">
        <f t="array" ref="J4581">IFERROR(INDEX('Retirement Calculator'!K:K,MATCH('Lorri 401b'!N4581,'Retirement Calculator'!A:A,0),0),0)</f>
        <v>0</v>
      </c>
      <c r="K4581" s="444">
        <f t="shared" ca="1" si="168"/>
        <v>-611634370653.54761</v>
      </c>
      <c r="L4581" s="444">
        <f t="shared" ca="1" si="169"/>
        <v>-147403883327505</v>
      </c>
      <c r="M4581" s="460">
        <f t="shared" si="171"/>
        <v>0.05</v>
      </c>
      <c r="N4581" s="464">
        <f t="shared" si="172"/>
        <v>190475</v>
      </c>
    </row>
    <row r="4582" spans="7:14" ht="11.25" customHeight="1" x14ac:dyDescent="0.25">
      <c r="G4582" s="459"/>
      <c r="H4582" s="459">
        <v>4575</v>
      </c>
      <c r="I4582" s="444">
        <f t="shared" ca="1" si="170"/>
        <v>-147403883327505</v>
      </c>
      <c r="J4582" s="444">
        <f t="array" ref="J4582">IFERROR(INDEX('Retirement Calculator'!K:K,MATCH('Lorri 401b'!N4582,'Retirement Calculator'!A:A,0),0),0)</f>
        <v>0</v>
      </c>
      <c r="K4582" s="444">
        <f t="shared" ca="1" si="168"/>
        <v>-614182847197.9375</v>
      </c>
      <c r="L4582" s="444">
        <f t="shared" ca="1" si="169"/>
        <v>-148018066174702.94</v>
      </c>
      <c r="M4582" s="460">
        <f t="shared" si="171"/>
        <v>0.05</v>
      </c>
      <c r="N4582" s="464">
        <f t="shared" si="172"/>
        <v>190506</v>
      </c>
    </row>
    <row r="4583" spans="7:14" ht="11.25" customHeight="1" x14ac:dyDescent="0.25">
      <c r="G4583" s="459"/>
      <c r="H4583" s="459">
        <v>4576</v>
      </c>
      <c r="I4583" s="444">
        <f t="shared" ca="1" si="170"/>
        <v>-148018066174702.94</v>
      </c>
      <c r="J4583" s="444">
        <f t="array" ref="J4583">IFERROR(INDEX('Retirement Calculator'!K:K,MATCH('Lorri 401b'!N4583,'Retirement Calculator'!A:A,0),0),0)</f>
        <v>0</v>
      </c>
      <c r="K4583" s="444">
        <f t="shared" ca="1" si="168"/>
        <v>-616741942394.59558</v>
      </c>
      <c r="L4583" s="444">
        <f t="shared" ca="1" si="169"/>
        <v>-148634808117097.53</v>
      </c>
      <c r="M4583" s="460">
        <f t="shared" si="171"/>
        <v>0.05</v>
      </c>
      <c r="N4583" s="464">
        <f t="shared" si="172"/>
        <v>190537</v>
      </c>
    </row>
    <row r="4584" spans="7:14" ht="11.25" customHeight="1" x14ac:dyDescent="0.25">
      <c r="G4584" s="459"/>
      <c r="H4584" s="459">
        <v>4577</v>
      </c>
      <c r="I4584" s="444">
        <f t="shared" ca="1" si="170"/>
        <v>-148634808117097.53</v>
      </c>
      <c r="J4584" s="444">
        <f t="array" ref="J4584">IFERROR(INDEX('Retirement Calculator'!K:K,MATCH('Lorri 401b'!N4584,'Retirement Calculator'!A:A,0),0),0)</f>
        <v>0</v>
      </c>
      <c r="K4584" s="444">
        <f t="shared" ca="1" si="168"/>
        <v>-619311700487.90637</v>
      </c>
      <c r="L4584" s="444">
        <f t="shared" ca="1" si="169"/>
        <v>-149254119817585.44</v>
      </c>
      <c r="M4584" s="460">
        <f t="shared" si="171"/>
        <v>0.05</v>
      </c>
      <c r="N4584" s="464">
        <f t="shared" si="172"/>
        <v>190567</v>
      </c>
    </row>
    <row r="4585" spans="7:14" ht="11.25" customHeight="1" x14ac:dyDescent="0.25">
      <c r="G4585" s="459"/>
      <c r="H4585" s="459">
        <v>4578</v>
      </c>
      <c r="I4585" s="444">
        <f t="shared" ca="1" si="170"/>
        <v>-149254119817585.44</v>
      </c>
      <c r="J4585" s="444">
        <f t="array" ref="J4585">IFERROR(INDEX('Retirement Calculator'!K:K,MATCH('Lorri 401b'!N4585,'Retirement Calculator'!A:A,0),0),0)</f>
        <v>0</v>
      </c>
      <c r="K4585" s="444">
        <f t="shared" ca="1" si="168"/>
        <v>-621892165906.60596</v>
      </c>
      <c r="L4585" s="444">
        <f t="shared" ca="1" si="169"/>
        <v>-149876011983492.03</v>
      </c>
      <c r="M4585" s="460">
        <f t="shared" si="171"/>
        <v>0.05</v>
      </c>
      <c r="N4585" s="464">
        <f t="shared" si="172"/>
        <v>190598</v>
      </c>
    </row>
    <row r="4586" spans="7:14" ht="11.25" customHeight="1" x14ac:dyDescent="0.25">
      <c r="G4586" s="459"/>
      <c r="H4586" s="459">
        <v>4579</v>
      </c>
      <c r="I4586" s="444">
        <f t="shared" ca="1" si="170"/>
        <v>-149876011983492.03</v>
      </c>
      <c r="J4586" s="444">
        <f t="array" ref="J4586">IFERROR(INDEX('Retirement Calculator'!K:K,MATCH('Lorri 401b'!N4586,'Retirement Calculator'!A:A,0),0),0)</f>
        <v>0</v>
      </c>
      <c r="K4586" s="444">
        <f t="shared" ca="1" si="168"/>
        <v>-624483383264.55017</v>
      </c>
      <c r="L4586" s="444">
        <f t="shared" ca="1" si="169"/>
        <v>-150500495366756.59</v>
      </c>
      <c r="M4586" s="460">
        <f t="shared" si="171"/>
        <v>0.05</v>
      </c>
      <c r="N4586" s="464">
        <f t="shared" si="172"/>
        <v>190628</v>
      </c>
    </row>
    <row r="4587" spans="7:14" ht="11.25" customHeight="1" x14ac:dyDescent="0.25">
      <c r="G4587" s="459"/>
      <c r="H4587" s="459">
        <v>4580</v>
      </c>
      <c r="I4587" s="444">
        <f t="shared" ca="1" si="170"/>
        <v>-150500495366756.59</v>
      </c>
      <c r="J4587" s="444">
        <f t="array" ref="J4587">IFERROR(INDEX('Retirement Calculator'!K:K,MATCH('Lorri 401b'!N4587,'Retirement Calculator'!A:A,0),0),0)</f>
        <v>0</v>
      </c>
      <c r="K4587" s="444">
        <f t="shared" ca="1" si="168"/>
        <v>-627085397361.48584</v>
      </c>
      <c r="L4587" s="444">
        <f t="shared" ca="1" si="169"/>
        <v>-151127580764118.09</v>
      </c>
      <c r="M4587" s="460">
        <f t="shared" si="171"/>
        <v>0.05</v>
      </c>
      <c r="N4587" s="464">
        <f t="shared" si="172"/>
        <v>190659</v>
      </c>
    </row>
    <row r="4588" spans="7:14" ht="11.25" customHeight="1" x14ac:dyDescent="0.25">
      <c r="G4588" s="459"/>
      <c r="H4588" s="459">
        <v>4581</v>
      </c>
      <c r="I4588" s="444">
        <f t="shared" ca="1" si="170"/>
        <v>-151127580764118.09</v>
      </c>
      <c r="J4588" s="444">
        <f t="array" ref="J4588">IFERROR(INDEX('Retirement Calculator'!K:K,MATCH('Lorri 401b'!N4588,'Retirement Calculator'!A:A,0),0),0)</f>
        <v>0</v>
      </c>
      <c r="K4588" s="444">
        <f t="shared" ca="1" si="168"/>
        <v>-629698253183.82544</v>
      </c>
      <c r="L4588" s="444">
        <f t="shared" ca="1" si="169"/>
        <v>-151757279017301.91</v>
      </c>
      <c r="M4588" s="460">
        <f t="shared" si="171"/>
        <v>0.05</v>
      </c>
      <c r="N4588" s="464">
        <f t="shared" si="172"/>
        <v>190690</v>
      </c>
    </row>
    <row r="4589" spans="7:14" ht="11.25" customHeight="1" x14ac:dyDescent="0.25">
      <c r="G4589" s="459"/>
      <c r="H4589" s="459">
        <v>4582</v>
      </c>
      <c r="I4589" s="444">
        <f t="shared" ca="1" si="170"/>
        <v>-151757279017301.91</v>
      </c>
      <c r="J4589" s="444">
        <f t="array" ref="J4589">IFERROR(INDEX('Retirement Calculator'!K:K,MATCH('Lorri 401b'!N4589,'Retirement Calculator'!A:A,0),0),0)</f>
        <v>0</v>
      </c>
      <c r="K4589" s="444">
        <f t="shared" ca="1" si="168"/>
        <v>-632321995905.42456</v>
      </c>
      <c r="L4589" s="444">
        <f t="shared" ca="1" si="169"/>
        <v>-152389601013207.34</v>
      </c>
      <c r="M4589" s="460">
        <f t="shared" si="171"/>
        <v>0.05</v>
      </c>
      <c r="N4589" s="464">
        <f t="shared" si="172"/>
        <v>190718</v>
      </c>
    </row>
    <row r="4590" spans="7:14" ht="11.25" customHeight="1" x14ac:dyDescent="0.25">
      <c r="G4590" s="459"/>
      <c r="H4590" s="459">
        <v>4583</v>
      </c>
      <c r="I4590" s="444">
        <f t="shared" ca="1" si="170"/>
        <v>-152389601013207.34</v>
      </c>
      <c r="J4590" s="444">
        <f t="array" ref="J4590">IFERROR(INDEX('Retirement Calculator'!K:K,MATCH('Lorri 401b'!N4590,'Retirement Calculator'!A:A,0),0),0)</f>
        <v>0</v>
      </c>
      <c r="K4590" s="444">
        <f t="shared" ca="1" si="168"/>
        <v>-634956670888.36389</v>
      </c>
      <c r="L4590" s="444">
        <f t="shared" ca="1" si="169"/>
        <v>-153024557684095.72</v>
      </c>
      <c r="M4590" s="460">
        <f t="shared" si="171"/>
        <v>0.05</v>
      </c>
      <c r="N4590" s="464">
        <f t="shared" si="172"/>
        <v>190749</v>
      </c>
    </row>
    <row r="4591" spans="7:14" ht="11.25" customHeight="1" x14ac:dyDescent="0.25">
      <c r="G4591" s="459"/>
      <c r="H4591" s="459">
        <v>4584</v>
      </c>
      <c r="I4591" s="444">
        <f t="shared" ca="1" si="170"/>
        <v>-153024557684095.72</v>
      </c>
      <c r="J4591" s="444">
        <f t="array" ref="J4591">IFERROR(INDEX('Retirement Calculator'!K:K,MATCH('Lorri 401b'!N4591,'Retirement Calculator'!A:A,0),0),0)</f>
        <v>0</v>
      </c>
      <c r="K4591" s="444">
        <f t="shared" ca="1" si="168"/>
        <v>-637602323683.73218</v>
      </c>
      <c r="L4591" s="444">
        <f t="shared" ca="1" si="169"/>
        <v>-153662160007779.44</v>
      </c>
      <c r="M4591" s="460">
        <f t="shared" si="171"/>
        <v>0.05</v>
      </c>
      <c r="N4591" s="464">
        <f t="shared" si="172"/>
        <v>190779</v>
      </c>
    </row>
    <row r="4592" spans="7:14" ht="11.25" customHeight="1" x14ac:dyDescent="0.25">
      <c r="G4592" s="459"/>
      <c r="H4592" s="459">
        <v>4585</v>
      </c>
      <c r="I4592" s="444">
        <f t="shared" ca="1" si="170"/>
        <v>-153662160007779.44</v>
      </c>
      <c r="J4592" s="444">
        <f t="array" ref="J4592">IFERROR(INDEX('Retirement Calculator'!K:K,MATCH('Lorri 401b'!N4592,'Retirement Calculator'!A:A,0),0),0)</f>
        <v>0</v>
      </c>
      <c r="K4592" s="444">
        <f t="shared" ca="1" si="168"/>
        <v>-640259000032.41431</v>
      </c>
      <c r="L4592" s="444">
        <f t="shared" ca="1" si="169"/>
        <v>-154302419007811.84</v>
      </c>
      <c r="M4592" s="460">
        <f t="shared" si="171"/>
        <v>0.05</v>
      </c>
      <c r="N4592" s="464">
        <f t="shared" si="172"/>
        <v>190810</v>
      </c>
    </row>
    <row r="4593" spans="7:14" ht="11.25" customHeight="1" x14ac:dyDescent="0.25">
      <c r="G4593" s="459"/>
      <c r="H4593" s="459">
        <v>4586</v>
      </c>
      <c r="I4593" s="444">
        <f t="shared" ca="1" si="170"/>
        <v>-154302419007811.84</v>
      </c>
      <c r="J4593" s="444">
        <f t="array" ref="J4593">IFERROR(INDEX('Retirement Calculator'!K:K,MATCH('Lorri 401b'!N4593,'Retirement Calculator'!A:A,0),0),0)</f>
        <v>0</v>
      </c>
      <c r="K4593" s="444">
        <f t="shared" ca="1" si="168"/>
        <v>-642926745865.88269</v>
      </c>
      <c r="L4593" s="444">
        <f t="shared" ca="1" si="169"/>
        <v>-154945345753677.72</v>
      </c>
      <c r="M4593" s="460">
        <f t="shared" si="171"/>
        <v>0.05</v>
      </c>
      <c r="N4593" s="464">
        <f t="shared" si="172"/>
        <v>190840</v>
      </c>
    </row>
    <row r="4594" spans="7:14" ht="11.25" customHeight="1" x14ac:dyDescent="0.25">
      <c r="G4594" s="459"/>
      <c r="H4594" s="459">
        <v>4587</v>
      </c>
      <c r="I4594" s="444">
        <f t="shared" ca="1" si="170"/>
        <v>-154945345753677.72</v>
      </c>
      <c r="J4594" s="444">
        <f t="array" ref="J4594">IFERROR(INDEX('Retirement Calculator'!K:K,MATCH('Lorri 401b'!N4594,'Retirement Calculator'!A:A,0),0),0)</f>
        <v>0</v>
      </c>
      <c r="K4594" s="444">
        <f t="shared" ca="1" si="168"/>
        <v>-645605607306.99048</v>
      </c>
      <c r="L4594" s="444">
        <f t="shared" ca="1" si="169"/>
        <v>-155590951360984.72</v>
      </c>
      <c r="M4594" s="460">
        <f t="shared" si="171"/>
        <v>0.05</v>
      </c>
      <c r="N4594" s="464">
        <f t="shared" si="172"/>
        <v>190871</v>
      </c>
    </row>
    <row r="4595" spans="7:14" ht="11.25" customHeight="1" x14ac:dyDescent="0.25">
      <c r="G4595" s="459"/>
      <c r="H4595" s="459">
        <v>4588</v>
      </c>
      <c r="I4595" s="444">
        <f t="shared" ca="1" si="170"/>
        <v>-155590951360984.72</v>
      </c>
      <c r="J4595" s="444">
        <f t="array" ref="J4595">IFERROR(INDEX('Retirement Calculator'!K:K,MATCH('Lorri 401b'!N4595,'Retirement Calculator'!A:A,0),0),0)</f>
        <v>0</v>
      </c>
      <c r="K4595" s="444">
        <f t="shared" ca="1" si="168"/>
        <v>-648295630670.76965</v>
      </c>
      <c r="L4595" s="444">
        <f t="shared" ca="1" si="169"/>
        <v>-156239246991655.5</v>
      </c>
      <c r="M4595" s="460">
        <f t="shared" si="171"/>
        <v>0.05</v>
      </c>
      <c r="N4595" s="464">
        <f t="shared" si="172"/>
        <v>190902</v>
      </c>
    </row>
    <row r="4596" spans="7:14" ht="11.25" customHeight="1" x14ac:dyDescent="0.25">
      <c r="G4596" s="459"/>
      <c r="H4596" s="459">
        <v>4589</v>
      </c>
      <c r="I4596" s="444">
        <f t="shared" ca="1" si="170"/>
        <v>-156239246991655.5</v>
      </c>
      <c r="J4596" s="444">
        <f t="array" ref="J4596">IFERROR(INDEX('Retirement Calculator'!K:K,MATCH('Lorri 401b'!N4596,'Retirement Calculator'!A:A,0),0),0)</f>
        <v>0</v>
      </c>
      <c r="K4596" s="444">
        <f t="shared" ca="1" si="168"/>
        <v>-650996862465.2312</v>
      </c>
      <c r="L4596" s="444">
        <f t="shared" ca="1" si="169"/>
        <v>-156890243854120.72</v>
      </c>
      <c r="M4596" s="460">
        <f t="shared" si="171"/>
        <v>0.05</v>
      </c>
      <c r="N4596" s="464">
        <f t="shared" si="172"/>
        <v>190932</v>
      </c>
    </row>
    <row r="4597" spans="7:14" ht="11.25" customHeight="1" x14ac:dyDescent="0.25">
      <c r="G4597" s="459"/>
      <c r="H4597" s="459">
        <v>4590</v>
      </c>
      <c r="I4597" s="444">
        <f t="shared" ca="1" si="170"/>
        <v>-156890243854120.72</v>
      </c>
      <c r="J4597" s="444">
        <f t="array" ref="J4597">IFERROR(INDEX('Retirement Calculator'!K:K,MATCH('Lorri 401b'!N4597,'Retirement Calculator'!A:A,0),0),0)</f>
        <v>0</v>
      </c>
      <c r="K4597" s="444">
        <f t="shared" ca="1" si="168"/>
        <v>-653709349392.16968</v>
      </c>
      <c r="L4597" s="444">
        <f t="shared" ca="1" si="169"/>
        <v>-157543953203512.88</v>
      </c>
      <c r="M4597" s="460">
        <f t="shared" si="171"/>
        <v>0.05</v>
      </c>
      <c r="N4597" s="464">
        <f t="shared" si="172"/>
        <v>190963</v>
      </c>
    </row>
    <row r="4598" spans="7:14" ht="11.25" customHeight="1" x14ac:dyDescent="0.25">
      <c r="G4598" s="459"/>
      <c r="H4598" s="459">
        <v>4591</v>
      </c>
      <c r="I4598" s="444">
        <f t="shared" ca="1" si="170"/>
        <v>-157543953203512.88</v>
      </c>
      <c r="J4598" s="444">
        <f t="array" ref="J4598">IFERROR(INDEX('Retirement Calculator'!K:K,MATCH('Lorri 401b'!N4598,'Retirement Calculator'!A:A,0),0),0)</f>
        <v>0</v>
      </c>
      <c r="K4598" s="444">
        <f t="shared" ref="K4598:K4852" ca="1" si="173">IPMT(M4598/12,1,12,-I4598+J4598,,0)</f>
        <v>-656433138347.97034</v>
      </c>
      <c r="L4598" s="444">
        <f t="shared" ref="L4598:L4852" ca="1" si="174">I4598-J4598+K4598</f>
        <v>-158200386341860.84</v>
      </c>
      <c r="M4598" s="460">
        <f t="shared" si="171"/>
        <v>0.05</v>
      </c>
      <c r="N4598" s="464">
        <f t="shared" si="172"/>
        <v>190993</v>
      </c>
    </row>
    <row r="4599" spans="7:14" ht="11.25" customHeight="1" x14ac:dyDescent="0.25">
      <c r="G4599" s="459"/>
      <c r="H4599" s="459">
        <v>4592</v>
      </c>
      <c r="I4599" s="444">
        <f t="shared" ref="I4599:I4853" ca="1" si="175">L4598</f>
        <v>-158200386341860.84</v>
      </c>
      <c r="J4599" s="444">
        <f t="array" ref="J4599">IFERROR(INDEX('Retirement Calculator'!K:K,MATCH('Lorri 401b'!N4599,'Retirement Calculator'!A:A,0),0),0)</f>
        <v>0</v>
      </c>
      <c r="K4599" s="444">
        <f t="shared" ca="1" si="173"/>
        <v>-659168276424.42017</v>
      </c>
      <c r="L4599" s="444">
        <f t="shared" ca="1" si="174"/>
        <v>-158859554618285.25</v>
      </c>
      <c r="M4599" s="460">
        <f t="shared" ref="M4599:M4853" si="176">M4598</f>
        <v>0.05</v>
      </c>
      <c r="N4599" s="464">
        <f t="shared" ref="N4599:N4853" si="177">EDATE(N4598,1)</f>
        <v>191024</v>
      </c>
    </row>
    <row r="4600" spans="7:14" ht="11.25" customHeight="1" x14ac:dyDescent="0.25">
      <c r="G4600" s="459"/>
      <c r="H4600" s="459">
        <v>4593</v>
      </c>
      <c r="I4600" s="444">
        <f t="shared" ca="1" si="175"/>
        <v>-158859554618285.25</v>
      </c>
      <c r="J4600" s="444">
        <f t="array" ref="J4600">IFERROR(INDEX('Retirement Calculator'!K:K,MATCH('Lorri 401b'!N4600,'Retirement Calculator'!A:A,0),0),0)</f>
        <v>0</v>
      </c>
      <c r="K4600" s="444">
        <f t="shared" ca="1" si="173"/>
        <v>-661914810909.52185</v>
      </c>
      <c r="L4600" s="444">
        <f t="shared" ca="1" si="174"/>
        <v>-159521469429194.78</v>
      </c>
      <c r="M4600" s="460">
        <f t="shared" si="176"/>
        <v>0.05</v>
      </c>
      <c r="N4600" s="464">
        <f t="shared" si="177"/>
        <v>191055</v>
      </c>
    </row>
    <row r="4601" spans="7:14" ht="11.25" customHeight="1" x14ac:dyDescent="0.25">
      <c r="G4601" s="459"/>
      <c r="H4601" s="459">
        <v>4594</v>
      </c>
      <c r="I4601" s="444">
        <f t="shared" ca="1" si="175"/>
        <v>-159521469429194.78</v>
      </c>
      <c r="J4601" s="444">
        <f t="array" ref="J4601">IFERROR(INDEX('Retirement Calculator'!K:K,MATCH('Lorri 401b'!N4601,'Retirement Calculator'!A:A,0),0),0)</f>
        <v>0</v>
      </c>
      <c r="K4601" s="444">
        <f t="shared" ca="1" si="173"/>
        <v>-664672789288.31152</v>
      </c>
      <c r="L4601" s="444">
        <f t="shared" ca="1" si="174"/>
        <v>-160186142218483.09</v>
      </c>
      <c r="M4601" s="460">
        <f t="shared" si="176"/>
        <v>0.05</v>
      </c>
      <c r="N4601" s="464">
        <f t="shared" si="177"/>
        <v>191083</v>
      </c>
    </row>
    <row r="4602" spans="7:14" ht="11.25" customHeight="1" x14ac:dyDescent="0.25">
      <c r="G4602" s="459"/>
      <c r="H4602" s="459">
        <v>4595</v>
      </c>
      <c r="I4602" s="444">
        <f t="shared" ca="1" si="175"/>
        <v>-160186142218483.09</v>
      </c>
      <c r="J4602" s="444">
        <f t="array" ref="J4602">IFERROR(INDEX('Retirement Calculator'!K:K,MATCH('Lorri 401b'!N4602,'Retirement Calculator'!A:A,0),0),0)</f>
        <v>0</v>
      </c>
      <c r="K4602" s="444">
        <f t="shared" ca="1" si="173"/>
        <v>-667442259243.67957</v>
      </c>
      <c r="L4602" s="444">
        <f t="shared" ca="1" si="174"/>
        <v>-160853584477726.78</v>
      </c>
      <c r="M4602" s="460">
        <f t="shared" si="176"/>
        <v>0.05</v>
      </c>
      <c r="N4602" s="464">
        <f t="shared" si="177"/>
        <v>191114</v>
      </c>
    </row>
    <row r="4603" spans="7:14" ht="11.25" customHeight="1" x14ac:dyDescent="0.25">
      <c r="G4603" s="459"/>
      <c r="H4603" s="459">
        <v>4596</v>
      </c>
      <c r="I4603" s="444">
        <f t="shared" ca="1" si="175"/>
        <v>-160853584477726.78</v>
      </c>
      <c r="J4603" s="444">
        <f t="array" ref="J4603">IFERROR(INDEX('Retirement Calculator'!K:K,MATCH('Lorri 401b'!N4603,'Retirement Calculator'!A:A,0),0),0)</f>
        <v>0</v>
      </c>
      <c r="K4603" s="444">
        <f t="shared" ca="1" si="173"/>
        <v>-670223268657.19495</v>
      </c>
      <c r="L4603" s="444">
        <f t="shared" ca="1" si="174"/>
        <v>-161523807746383.97</v>
      </c>
      <c r="M4603" s="460">
        <f t="shared" si="176"/>
        <v>0.05</v>
      </c>
      <c r="N4603" s="464">
        <f t="shared" si="177"/>
        <v>191144</v>
      </c>
    </row>
    <row r="4604" spans="7:14" ht="11.25" customHeight="1" x14ac:dyDescent="0.25">
      <c r="G4604" s="459"/>
      <c r="H4604" s="459">
        <v>4597</v>
      </c>
      <c r="I4604" s="444">
        <f t="shared" ca="1" si="175"/>
        <v>-161523807746383.97</v>
      </c>
      <c r="J4604" s="444">
        <f t="array" ref="J4604">IFERROR(INDEX('Retirement Calculator'!K:K,MATCH('Lorri 401b'!N4604,'Retirement Calculator'!A:A,0),0),0)</f>
        <v>0</v>
      </c>
      <c r="K4604" s="444">
        <f t="shared" ca="1" si="173"/>
        <v>-673015865609.93323</v>
      </c>
      <c r="L4604" s="444">
        <f t="shared" ca="1" si="174"/>
        <v>-162196823611993.91</v>
      </c>
      <c r="M4604" s="460">
        <f t="shared" si="176"/>
        <v>0.05</v>
      </c>
      <c r="N4604" s="464">
        <f t="shared" si="177"/>
        <v>191175</v>
      </c>
    </row>
    <row r="4605" spans="7:14" ht="11.25" customHeight="1" x14ac:dyDescent="0.25">
      <c r="G4605" s="459"/>
      <c r="H4605" s="459">
        <v>4598</v>
      </c>
      <c r="I4605" s="444">
        <f t="shared" ca="1" si="175"/>
        <v>-162196823611993.91</v>
      </c>
      <c r="J4605" s="444">
        <f t="array" ref="J4605">IFERROR(INDEX('Retirement Calculator'!K:K,MATCH('Lorri 401b'!N4605,'Retirement Calculator'!A:A,0),0),0)</f>
        <v>0</v>
      </c>
      <c r="K4605" s="444">
        <f t="shared" ca="1" si="173"/>
        <v>-675820098383.30798</v>
      </c>
      <c r="L4605" s="444">
        <f t="shared" ca="1" si="174"/>
        <v>-162872643710377.22</v>
      </c>
      <c r="M4605" s="460">
        <f t="shared" si="176"/>
        <v>0.05</v>
      </c>
      <c r="N4605" s="464">
        <f t="shared" si="177"/>
        <v>191205</v>
      </c>
    </row>
    <row r="4606" spans="7:14" ht="11.25" customHeight="1" x14ac:dyDescent="0.25">
      <c r="G4606" s="459"/>
      <c r="H4606" s="459">
        <v>4599</v>
      </c>
      <c r="I4606" s="444">
        <f t="shared" ca="1" si="175"/>
        <v>-162872643710377.22</v>
      </c>
      <c r="J4606" s="444">
        <f t="array" ref="J4606">IFERROR(INDEX('Retirement Calculator'!K:K,MATCH('Lorri 401b'!N4606,'Retirement Calculator'!A:A,0),0),0)</f>
        <v>0</v>
      </c>
      <c r="K4606" s="444">
        <f t="shared" ca="1" si="173"/>
        <v>-678636015459.90503</v>
      </c>
      <c r="L4606" s="444">
        <f t="shared" ca="1" si="174"/>
        <v>-163551279725837.13</v>
      </c>
      <c r="M4606" s="460">
        <f t="shared" si="176"/>
        <v>0.05</v>
      </c>
      <c r="N4606" s="464">
        <f t="shared" si="177"/>
        <v>191236</v>
      </c>
    </row>
    <row r="4607" spans="7:14" ht="11.25" customHeight="1" x14ac:dyDescent="0.25">
      <c r="G4607" s="459"/>
      <c r="H4607" s="459">
        <v>4600</v>
      </c>
      <c r="I4607" s="444">
        <f t="shared" ca="1" si="175"/>
        <v>-163551279725837.13</v>
      </c>
      <c r="J4607" s="444">
        <f t="array" ref="J4607">IFERROR(INDEX('Retirement Calculator'!K:K,MATCH('Lorri 401b'!N4607,'Retirement Calculator'!A:A,0),0),0)</f>
        <v>0</v>
      </c>
      <c r="K4607" s="444">
        <f t="shared" ca="1" si="173"/>
        <v>-681463665524.32129</v>
      </c>
      <c r="L4607" s="444">
        <f t="shared" ca="1" si="174"/>
        <v>-164232743391361.44</v>
      </c>
      <c r="M4607" s="460">
        <f t="shared" si="176"/>
        <v>0.05</v>
      </c>
      <c r="N4607" s="464">
        <f t="shared" si="177"/>
        <v>191267</v>
      </c>
    </row>
    <row r="4608" spans="7:14" ht="11.25" customHeight="1" x14ac:dyDescent="0.25">
      <c r="G4608" s="459"/>
      <c r="H4608" s="459">
        <v>4601</v>
      </c>
      <c r="I4608" s="444">
        <f t="shared" ca="1" si="175"/>
        <v>-164232743391361.44</v>
      </c>
      <c r="J4608" s="444">
        <f t="array" ref="J4608">IFERROR(INDEX('Retirement Calculator'!K:K,MATCH('Lorri 401b'!N4608,'Retirement Calculator'!A:A,0),0),0)</f>
        <v>0</v>
      </c>
      <c r="K4608" s="444">
        <f t="shared" ca="1" si="173"/>
        <v>-684303097464.00598</v>
      </c>
      <c r="L4608" s="444">
        <f t="shared" ca="1" si="174"/>
        <v>-164917046488825.44</v>
      </c>
      <c r="M4608" s="460">
        <f t="shared" si="176"/>
        <v>0.05</v>
      </c>
      <c r="N4608" s="464">
        <f t="shared" si="177"/>
        <v>191297</v>
      </c>
    </row>
    <row r="4609" spans="7:14" ht="11.25" customHeight="1" x14ac:dyDescent="0.25">
      <c r="G4609" s="459"/>
      <c r="H4609" s="459">
        <v>4602</v>
      </c>
      <c r="I4609" s="444">
        <f t="shared" ca="1" si="175"/>
        <v>-164917046488825.44</v>
      </c>
      <c r="J4609" s="444">
        <f t="array" ref="J4609">IFERROR(INDEX('Retirement Calculator'!K:K,MATCH('Lorri 401b'!N4609,'Retirement Calculator'!A:A,0),0),0)</f>
        <v>0</v>
      </c>
      <c r="K4609" s="444">
        <f t="shared" ca="1" si="173"/>
        <v>-687154360370.10596</v>
      </c>
      <c r="L4609" s="444">
        <f t="shared" ca="1" si="174"/>
        <v>-165604200849195.53</v>
      </c>
      <c r="M4609" s="460">
        <f t="shared" si="176"/>
        <v>0.05</v>
      </c>
      <c r="N4609" s="464">
        <f t="shared" si="177"/>
        <v>191328</v>
      </c>
    </row>
    <row r="4610" spans="7:14" ht="11.25" customHeight="1" x14ac:dyDescent="0.25">
      <c r="G4610" s="459"/>
      <c r="H4610" s="459">
        <v>4603</v>
      </c>
      <c r="I4610" s="444">
        <f t="shared" ca="1" si="175"/>
        <v>-165604200849195.53</v>
      </c>
      <c r="J4610" s="444">
        <f t="array" ref="J4610">IFERROR(INDEX('Retirement Calculator'!K:K,MATCH('Lorri 401b'!N4610,'Retirement Calculator'!A:A,0),0),0)</f>
        <v>0</v>
      </c>
      <c r="K4610" s="444">
        <f t="shared" ca="1" si="173"/>
        <v>-690017503538.3147</v>
      </c>
      <c r="L4610" s="444">
        <f t="shared" ca="1" si="174"/>
        <v>-166294218352733.84</v>
      </c>
      <c r="M4610" s="460">
        <f t="shared" si="176"/>
        <v>0.05</v>
      </c>
      <c r="N4610" s="464">
        <f t="shared" si="177"/>
        <v>191358</v>
      </c>
    </row>
    <row r="4611" spans="7:14" ht="11.25" customHeight="1" x14ac:dyDescent="0.25">
      <c r="G4611" s="459"/>
      <c r="H4611" s="459">
        <v>4604</v>
      </c>
      <c r="I4611" s="444">
        <f t="shared" ca="1" si="175"/>
        <v>-166294218352733.84</v>
      </c>
      <c r="J4611" s="444">
        <f t="array" ref="J4611">IFERROR(INDEX('Retirement Calculator'!K:K,MATCH('Lorri 401b'!N4611,'Retirement Calculator'!A:A,0),0),0)</f>
        <v>0</v>
      </c>
      <c r="K4611" s="444">
        <f t="shared" ca="1" si="173"/>
        <v>-692892576469.72437</v>
      </c>
      <c r="L4611" s="444">
        <f t="shared" ca="1" si="174"/>
        <v>-166987110929203.56</v>
      </c>
      <c r="M4611" s="460">
        <f t="shared" si="176"/>
        <v>0.05</v>
      </c>
      <c r="N4611" s="464">
        <f t="shared" si="177"/>
        <v>191389</v>
      </c>
    </row>
    <row r="4612" spans="7:14" ht="11.25" customHeight="1" x14ac:dyDescent="0.25">
      <c r="G4612" s="459"/>
      <c r="H4612" s="459">
        <v>4605</v>
      </c>
      <c r="I4612" s="444">
        <f t="shared" ca="1" si="175"/>
        <v>-166987110929203.56</v>
      </c>
      <c r="J4612" s="444">
        <f t="array" ref="J4612">IFERROR(INDEX('Retirement Calculator'!K:K,MATCH('Lorri 401b'!N4612,'Retirement Calculator'!A:A,0),0),0)</f>
        <v>0</v>
      </c>
      <c r="K4612" s="444">
        <f t="shared" ca="1" si="173"/>
        <v>-695779628871.68152</v>
      </c>
      <c r="L4612" s="444">
        <f t="shared" ca="1" si="174"/>
        <v>-167682890558075.25</v>
      </c>
      <c r="M4612" s="460">
        <f t="shared" si="176"/>
        <v>0.05</v>
      </c>
      <c r="N4612" s="464">
        <f t="shared" si="177"/>
        <v>191420</v>
      </c>
    </row>
    <row r="4613" spans="7:14" ht="11.25" customHeight="1" x14ac:dyDescent="0.25">
      <c r="G4613" s="459"/>
      <c r="H4613" s="459">
        <v>4606</v>
      </c>
      <c r="I4613" s="444">
        <f t="shared" ca="1" si="175"/>
        <v>-167682890558075.25</v>
      </c>
      <c r="J4613" s="444">
        <f t="array" ref="J4613">IFERROR(INDEX('Retirement Calculator'!K:K,MATCH('Lorri 401b'!N4613,'Retirement Calculator'!A:A,0),0),0)</f>
        <v>0</v>
      </c>
      <c r="K4613" s="444">
        <f t="shared" ca="1" si="173"/>
        <v>-698678710658.64685</v>
      </c>
      <c r="L4613" s="444">
        <f t="shared" ca="1" si="174"/>
        <v>-168381569268733.91</v>
      </c>
      <c r="M4613" s="460">
        <f t="shared" si="176"/>
        <v>0.05</v>
      </c>
      <c r="N4613" s="464">
        <f t="shared" si="177"/>
        <v>191449</v>
      </c>
    </row>
    <row r="4614" spans="7:14" ht="11.25" customHeight="1" x14ac:dyDescent="0.25">
      <c r="G4614" s="459"/>
      <c r="H4614" s="459">
        <v>4607</v>
      </c>
      <c r="I4614" s="444">
        <f t="shared" ca="1" si="175"/>
        <v>-168381569268733.91</v>
      </c>
      <c r="J4614" s="444">
        <f t="array" ref="J4614">IFERROR(INDEX('Retirement Calculator'!K:K,MATCH('Lorri 401b'!N4614,'Retirement Calculator'!A:A,0),0),0)</f>
        <v>0</v>
      </c>
      <c r="K4614" s="444">
        <f t="shared" ca="1" si="173"/>
        <v>-701589871953.05798</v>
      </c>
      <c r="L4614" s="444">
        <f t="shared" ca="1" si="174"/>
        <v>-169083159140686.97</v>
      </c>
      <c r="M4614" s="460">
        <f t="shared" si="176"/>
        <v>0.05</v>
      </c>
      <c r="N4614" s="464">
        <f t="shared" si="177"/>
        <v>191480</v>
      </c>
    </row>
    <row r="4615" spans="7:14" ht="11.25" customHeight="1" x14ac:dyDescent="0.25">
      <c r="G4615" s="459"/>
      <c r="H4615" s="459">
        <v>4608</v>
      </c>
      <c r="I4615" s="444">
        <f t="shared" ca="1" si="175"/>
        <v>-169083159140686.97</v>
      </c>
      <c r="J4615" s="444">
        <f t="array" ref="J4615">IFERROR(INDEX('Retirement Calculator'!K:K,MATCH('Lorri 401b'!N4615,'Retirement Calculator'!A:A,0),0),0)</f>
        <v>0</v>
      </c>
      <c r="K4615" s="444">
        <f t="shared" ca="1" si="173"/>
        <v>-704513163086.19568</v>
      </c>
      <c r="L4615" s="444">
        <f t="shared" ca="1" si="174"/>
        <v>-169787672303773.16</v>
      </c>
      <c r="M4615" s="460">
        <f t="shared" si="176"/>
        <v>0.05</v>
      </c>
      <c r="N4615" s="464">
        <f t="shared" si="177"/>
        <v>191510</v>
      </c>
    </row>
    <row r="4616" spans="7:14" ht="11.25" customHeight="1" x14ac:dyDescent="0.25">
      <c r="G4616" s="459"/>
      <c r="H4616" s="459">
        <v>4609</v>
      </c>
      <c r="I4616" s="444">
        <f t="shared" ca="1" si="175"/>
        <v>-169787672303773.16</v>
      </c>
      <c r="J4616" s="444">
        <f t="array" ref="J4616">IFERROR(INDEX('Retirement Calculator'!K:K,MATCH('Lorri 401b'!N4616,'Retirement Calculator'!A:A,0),0),0)</f>
        <v>0</v>
      </c>
      <c r="K4616" s="444">
        <f t="shared" ca="1" si="173"/>
        <v>-707448634599.05481</v>
      </c>
      <c r="L4616" s="444">
        <f t="shared" ca="1" si="174"/>
        <v>-170495120938372.22</v>
      </c>
      <c r="M4616" s="460">
        <f t="shared" si="176"/>
        <v>0.05</v>
      </c>
      <c r="N4616" s="464">
        <f t="shared" si="177"/>
        <v>191541</v>
      </c>
    </row>
    <row r="4617" spans="7:14" ht="11.25" customHeight="1" x14ac:dyDescent="0.25">
      <c r="G4617" s="459"/>
      <c r="H4617" s="459">
        <v>4610</v>
      </c>
      <c r="I4617" s="444">
        <f t="shared" ca="1" si="175"/>
        <v>-170495120938372.22</v>
      </c>
      <c r="J4617" s="444">
        <f t="array" ref="J4617">IFERROR(INDEX('Retirement Calculator'!K:K,MATCH('Lorri 401b'!N4617,'Retirement Calculator'!A:A,0),0),0)</f>
        <v>0</v>
      </c>
      <c r="K4617" s="444">
        <f t="shared" ca="1" si="173"/>
        <v>-710396337243.21753</v>
      </c>
      <c r="L4617" s="444">
        <f t="shared" ca="1" si="174"/>
        <v>-171205517275615.44</v>
      </c>
      <c r="M4617" s="460">
        <f t="shared" si="176"/>
        <v>0.05</v>
      </c>
      <c r="N4617" s="464">
        <f t="shared" si="177"/>
        <v>191571</v>
      </c>
    </row>
    <row r="4618" spans="7:14" ht="11.25" customHeight="1" x14ac:dyDescent="0.25">
      <c r="G4618" s="459"/>
      <c r="H4618" s="459">
        <v>4611</v>
      </c>
      <c r="I4618" s="444">
        <f t="shared" ca="1" si="175"/>
        <v>-171205517275615.44</v>
      </c>
      <c r="J4618" s="444">
        <f t="array" ref="J4618">IFERROR(INDEX('Retirement Calculator'!K:K,MATCH('Lorri 401b'!N4618,'Retirement Calculator'!A:A,0),0),0)</f>
        <v>0</v>
      </c>
      <c r="K4618" s="444">
        <f t="shared" ca="1" si="173"/>
        <v>-713356321981.73096</v>
      </c>
      <c r="L4618" s="444">
        <f t="shared" ca="1" si="174"/>
        <v>-171918873597597.16</v>
      </c>
      <c r="M4618" s="460">
        <f t="shared" si="176"/>
        <v>0.05</v>
      </c>
      <c r="N4618" s="464">
        <f t="shared" si="177"/>
        <v>191602</v>
      </c>
    </row>
    <row r="4619" spans="7:14" ht="11.25" customHeight="1" x14ac:dyDescent="0.25">
      <c r="G4619" s="459"/>
      <c r="H4619" s="459">
        <v>4612</v>
      </c>
      <c r="I4619" s="444">
        <f t="shared" ca="1" si="175"/>
        <v>-171918873597597.16</v>
      </c>
      <c r="J4619" s="444">
        <f t="array" ref="J4619">IFERROR(INDEX('Retirement Calculator'!K:K,MATCH('Lorri 401b'!N4619,'Retirement Calculator'!A:A,0),0),0)</f>
        <v>0</v>
      </c>
      <c r="K4619" s="444">
        <f t="shared" ca="1" si="173"/>
        <v>-716328639989.98816</v>
      </c>
      <c r="L4619" s="444">
        <f t="shared" ca="1" si="174"/>
        <v>-172635202237587.16</v>
      </c>
      <c r="M4619" s="460">
        <f t="shared" si="176"/>
        <v>0.05</v>
      </c>
      <c r="N4619" s="464">
        <f t="shared" si="177"/>
        <v>191633</v>
      </c>
    </row>
    <row r="4620" spans="7:14" ht="11.25" customHeight="1" x14ac:dyDescent="0.25">
      <c r="G4620" s="459"/>
      <c r="H4620" s="459">
        <v>4613</v>
      </c>
      <c r="I4620" s="444">
        <f t="shared" ca="1" si="175"/>
        <v>-172635202237587.16</v>
      </c>
      <c r="J4620" s="444">
        <f t="array" ref="J4620">IFERROR(INDEX('Retirement Calculator'!K:K,MATCH('Lorri 401b'!N4620,'Retirement Calculator'!A:A,0),0),0)</f>
        <v>0</v>
      </c>
      <c r="K4620" s="444">
        <f t="shared" ca="1" si="173"/>
        <v>-719313342656.61316</v>
      </c>
      <c r="L4620" s="444">
        <f t="shared" ca="1" si="174"/>
        <v>-173354515580243.78</v>
      </c>
      <c r="M4620" s="460">
        <f t="shared" si="176"/>
        <v>0.05</v>
      </c>
      <c r="N4620" s="464">
        <f t="shared" si="177"/>
        <v>191663</v>
      </c>
    </row>
    <row r="4621" spans="7:14" ht="11.25" customHeight="1" x14ac:dyDescent="0.25">
      <c r="G4621" s="459"/>
      <c r="H4621" s="459">
        <v>4614</v>
      </c>
      <c r="I4621" s="444">
        <f t="shared" ca="1" si="175"/>
        <v>-173354515580243.78</v>
      </c>
      <c r="J4621" s="444">
        <f t="array" ref="J4621">IFERROR(INDEX('Retirement Calculator'!K:K,MATCH('Lorri 401b'!N4621,'Retirement Calculator'!A:A,0),0),0)</f>
        <v>0</v>
      </c>
      <c r="K4621" s="444">
        <f t="shared" ca="1" si="173"/>
        <v>-722310481584.34912</v>
      </c>
      <c r="L4621" s="444">
        <f t="shared" ca="1" si="174"/>
        <v>-174076826061828.13</v>
      </c>
      <c r="M4621" s="460">
        <f t="shared" si="176"/>
        <v>0.05</v>
      </c>
      <c r="N4621" s="464">
        <f t="shared" si="177"/>
        <v>191694</v>
      </c>
    </row>
    <row r="4622" spans="7:14" ht="11.25" customHeight="1" x14ac:dyDescent="0.25">
      <c r="G4622" s="459"/>
      <c r="H4622" s="459">
        <v>4615</v>
      </c>
      <c r="I4622" s="444">
        <f t="shared" ca="1" si="175"/>
        <v>-174076826061828.13</v>
      </c>
      <c r="J4622" s="444">
        <f t="array" ref="J4622">IFERROR(INDEX('Retirement Calculator'!K:K,MATCH('Lorri 401b'!N4622,'Retirement Calculator'!A:A,0),0),0)</f>
        <v>0</v>
      </c>
      <c r="K4622" s="444">
        <f t="shared" ca="1" si="173"/>
        <v>-725320108590.95056</v>
      </c>
      <c r="L4622" s="444">
        <f t="shared" ca="1" si="174"/>
        <v>-174802146170419.06</v>
      </c>
      <c r="M4622" s="460">
        <f t="shared" si="176"/>
        <v>0.05</v>
      </c>
      <c r="N4622" s="464">
        <f t="shared" si="177"/>
        <v>191724</v>
      </c>
    </row>
    <row r="4623" spans="7:14" ht="11.25" customHeight="1" x14ac:dyDescent="0.25">
      <c r="G4623" s="459"/>
      <c r="H4623" s="459">
        <v>4616</v>
      </c>
      <c r="I4623" s="444">
        <f t="shared" ca="1" si="175"/>
        <v>-174802146170419.06</v>
      </c>
      <c r="J4623" s="444">
        <f t="array" ref="J4623">IFERROR(INDEX('Retirement Calculator'!K:K,MATCH('Lorri 401b'!N4623,'Retirement Calculator'!A:A,0),0),0)</f>
        <v>0</v>
      </c>
      <c r="K4623" s="444">
        <f t="shared" ca="1" si="173"/>
        <v>-728342275710.07947</v>
      </c>
      <c r="L4623" s="444">
        <f t="shared" ca="1" si="174"/>
        <v>-175530488446129.16</v>
      </c>
      <c r="M4623" s="460">
        <f t="shared" si="176"/>
        <v>0.05</v>
      </c>
      <c r="N4623" s="464">
        <f t="shared" si="177"/>
        <v>191755</v>
      </c>
    </row>
    <row r="4624" spans="7:14" ht="11.25" customHeight="1" x14ac:dyDescent="0.25">
      <c r="G4624" s="459"/>
      <c r="H4624" s="459">
        <v>4617</v>
      </c>
      <c r="I4624" s="444">
        <f t="shared" ca="1" si="175"/>
        <v>-175530488446129.16</v>
      </c>
      <c r="J4624" s="444">
        <f t="array" ref="J4624">IFERROR(INDEX('Retirement Calculator'!K:K,MATCH('Lorri 401b'!N4624,'Retirement Calculator'!A:A,0),0),0)</f>
        <v>0</v>
      </c>
      <c r="K4624" s="444">
        <f t="shared" ca="1" si="173"/>
        <v>-731377035192.20483</v>
      </c>
      <c r="L4624" s="444">
        <f t="shared" ca="1" si="174"/>
        <v>-176261865481321.38</v>
      </c>
      <c r="M4624" s="460">
        <f t="shared" si="176"/>
        <v>0.05</v>
      </c>
      <c r="N4624" s="464">
        <f t="shared" si="177"/>
        <v>191786</v>
      </c>
    </row>
    <row r="4625" spans="7:14" ht="11.25" customHeight="1" x14ac:dyDescent="0.25">
      <c r="G4625" s="459"/>
      <c r="H4625" s="459">
        <v>4618</v>
      </c>
      <c r="I4625" s="444">
        <f t="shared" ca="1" si="175"/>
        <v>-176261865481321.38</v>
      </c>
      <c r="J4625" s="444">
        <f t="array" ref="J4625">IFERROR(INDEX('Retirement Calculator'!K:K,MATCH('Lorri 401b'!N4625,'Retirement Calculator'!A:A,0),0),0)</f>
        <v>0</v>
      </c>
      <c r="K4625" s="444">
        <f t="shared" ca="1" si="173"/>
        <v>-734424439505.50574</v>
      </c>
      <c r="L4625" s="444">
        <f t="shared" ca="1" si="174"/>
        <v>-176996289920826.88</v>
      </c>
      <c r="M4625" s="460">
        <f t="shared" si="176"/>
        <v>0.05</v>
      </c>
      <c r="N4625" s="464">
        <f t="shared" si="177"/>
        <v>191814</v>
      </c>
    </row>
    <row r="4626" spans="7:14" ht="11.25" customHeight="1" x14ac:dyDescent="0.25">
      <c r="G4626" s="459"/>
      <c r="H4626" s="459">
        <v>4619</v>
      </c>
      <c r="I4626" s="444">
        <f t="shared" ca="1" si="175"/>
        <v>-176996289920826.88</v>
      </c>
      <c r="J4626" s="444">
        <f t="array" ref="J4626">IFERROR(INDEX('Retirement Calculator'!K:K,MATCH('Lorri 401b'!N4626,'Retirement Calculator'!A:A,0),0),0)</f>
        <v>0</v>
      </c>
      <c r="K4626" s="444">
        <f t="shared" ca="1" si="173"/>
        <v>-737484541336.77869</v>
      </c>
      <c r="L4626" s="444">
        <f t="shared" ca="1" si="174"/>
        <v>-177733774462163.66</v>
      </c>
      <c r="M4626" s="460">
        <f t="shared" si="176"/>
        <v>0.05</v>
      </c>
      <c r="N4626" s="464">
        <f t="shared" si="177"/>
        <v>191845</v>
      </c>
    </row>
    <row r="4627" spans="7:14" ht="11.25" customHeight="1" x14ac:dyDescent="0.25">
      <c r="G4627" s="459"/>
      <c r="H4627" s="459">
        <v>4620</v>
      </c>
      <c r="I4627" s="444">
        <f t="shared" ca="1" si="175"/>
        <v>-177733774462163.66</v>
      </c>
      <c r="J4627" s="444">
        <f t="array" ref="J4627">IFERROR(INDEX('Retirement Calculator'!K:K,MATCH('Lorri 401b'!N4627,'Retirement Calculator'!A:A,0),0),0)</f>
        <v>0</v>
      </c>
      <c r="K4627" s="444">
        <f t="shared" ca="1" si="173"/>
        <v>-740557393592.34851</v>
      </c>
      <c r="L4627" s="444">
        <f t="shared" ca="1" si="174"/>
        <v>-178474331855756</v>
      </c>
      <c r="M4627" s="460">
        <f t="shared" si="176"/>
        <v>0.05</v>
      </c>
      <c r="N4627" s="464">
        <f t="shared" si="177"/>
        <v>191875</v>
      </c>
    </row>
    <row r="4628" spans="7:14" ht="11.25" customHeight="1" x14ac:dyDescent="0.25">
      <c r="G4628" s="459"/>
      <c r="H4628" s="459">
        <v>4621</v>
      </c>
      <c r="I4628" s="444">
        <f t="shared" ca="1" si="175"/>
        <v>-178474331855756</v>
      </c>
      <c r="J4628" s="444">
        <f t="array" ref="J4628">IFERROR(INDEX('Retirement Calculator'!K:K,MATCH('Lorri 401b'!N4628,'Retirement Calculator'!A:A,0),0),0)</f>
        <v>0</v>
      </c>
      <c r="K4628" s="444">
        <f t="shared" ca="1" si="173"/>
        <v>-743643049398.98328</v>
      </c>
      <c r="L4628" s="444">
        <f t="shared" ca="1" si="174"/>
        <v>-179217974905154.97</v>
      </c>
      <c r="M4628" s="460">
        <f t="shared" si="176"/>
        <v>0.05</v>
      </c>
      <c r="N4628" s="464">
        <f t="shared" si="177"/>
        <v>191906</v>
      </c>
    </row>
    <row r="4629" spans="7:14" ht="11.25" customHeight="1" x14ac:dyDescent="0.25">
      <c r="G4629" s="459"/>
      <c r="H4629" s="459">
        <v>4622</v>
      </c>
      <c r="I4629" s="444">
        <f t="shared" ca="1" si="175"/>
        <v>-179217974905154.97</v>
      </c>
      <c r="J4629" s="444">
        <f t="array" ref="J4629">IFERROR(INDEX('Retirement Calculator'!K:K,MATCH('Lorri 401b'!N4629,'Retirement Calculator'!A:A,0),0),0)</f>
        <v>0</v>
      </c>
      <c r="K4629" s="444">
        <f t="shared" ca="1" si="173"/>
        <v>-746741562104.81238</v>
      </c>
      <c r="L4629" s="444">
        <f t="shared" ca="1" si="174"/>
        <v>-179964716467259.78</v>
      </c>
      <c r="M4629" s="460">
        <f t="shared" si="176"/>
        <v>0.05</v>
      </c>
      <c r="N4629" s="464">
        <f t="shared" si="177"/>
        <v>191936</v>
      </c>
    </row>
    <row r="4630" spans="7:14" ht="11.25" customHeight="1" x14ac:dyDescent="0.25">
      <c r="G4630" s="459"/>
      <c r="H4630" s="459">
        <v>4623</v>
      </c>
      <c r="I4630" s="444">
        <f t="shared" ca="1" si="175"/>
        <v>-179964716467259.78</v>
      </c>
      <c r="J4630" s="444">
        <f t="array" ref="J4630">IFERROR(INDEX('Retirement Calculator'!K:K,MATCH('Lorri 401b'!N4630,'Retirement Calculator'!A:A,0),0),0)</f>
        <v>0</v>
      </c>
      <c r="K4630" s="444">
        <f t="shared" ca="1" si="173"/>
        <v>-749852985280.24902</v>
      </c>
      <c r="L4630" s="444">
        <f t="shared" ca="1" si="174"/>
        <v>-180714569452540.03</v>
      </c>
      <c r="M4630" s="460">
        <f t="shared" si="176"/>
        <v>0.05</v>
      </c>
      <c r="N4630" s="464">
        <f t="shared" si="177"/>
        <v>191967</v>
      </c>
    </row>
    <row r="4631" spans="7:14" ht="11.25" customHeight="1" x14ac:dyDescent="0.25">
      <c r="G4631" s="459"/>
      <c r="H4631" s="459">
        <v>4624</v>
      </c>
      <c r="I4631" s="444">
        <f t="shared" ca="1" si="175"/>
        <v>-180714569452540.03</v>
      </c>
      <c r="J4631" s="444">
        <f t="array" ref="J4631">IFERROR(INDEX('Retirement Calculator'!K:K,MATCH('Lorri 401b'!N4631,'Retirement Calculator'!A:A,0),0),0)</f>
        <v>0</v>
      </c>
      <c r="K4631" s="444">
        <f t="shared" ca="1" si="173"/>
        <v>-752977372718.91675</v>
      </c>
      <c r="L4631" s="444">
        <f t="shared" ca="1" si="174"/>
        <v>-181467546825258.94</v>
      </c>
      <c r="M4631" s="460">
        <f t="shared" si="176"/>
        <v>0.05</v>
      </c>
      <c r="N4631" s="464">
        <f t="shared" si="177"/>
        <v>191998</v>
      </c>
    </row>
    <row r="4632" spans="7:14" ht="11.25" customHeight="1" x14ac:dyDescent="0.25">
      <c r="G4632" s="459"/>
      <c r="H4632" s="459">
        <v>4625</v>
      </c>
      <c r="I4632" s="444">
        <f t="shared" ca="1" si="175"/>
        <v>-181467546825258.94</v>
      </c>
      <c r="J4632" s="444">
        <f t="array" ref="J4632">IFERROR(INDEX('Retirement Calculator'!K:K,MATCH('Lorri 401b'!N4632,'Retirement Calculator'!A:A,0),0),0)</f>
        <v>0</v>
      </c>
      <c r="K4632" s="444">
        <f t="shared" ca="1" si="173"/>
        <v>-756114778438.57886</v>
      </c>
      <c r="L4632" s="444">
        <f t="shared" ca="1" si="174"/>
        <v>-182223661603697.53</v>
      </c>
      <c r="M4632" s="460">
        <f t="shared" si="176"/>
        <v>0.05</v>
      </c>
      <c r="N4632" s="464">
        <f t="shared" si="177"/>
        <v>192028</v>
      </c>
    </row>
    <row r="4633" spans="7:14" ht="11.25" customHeight="1" x14ac:dyDescent="0.25">
      <c r="G4633" s="459"/>
      <c r="H4633" s="459">
        <v>4626</v>
      </c>
      <c r="I4633" s="444">
        <f t="shared" ca="1" si="175"/>
        <v>-182223661603697.53</v>
      </c>
      <c r="J4633" s="444">
        <f t="array" ref="J4633">IFERROR(INDEX('Retirement Calculator'!K:K,MATCH('Lorri 401b'!N4633,'Retirement Calculator'!A:A,0),0),0)</f>
        <v>0</v>
      </c>
      <c r="K4633" s="444">
        <f t="shared" ca="1" si="173"/>
        <v>-759265256682.073</v>
      </c>
      <c r="L4633" s="444">
        <f t="shared" ca="1" si="174"/>
        <v>-182982926860379.59</v>
      </c>
      <c r="M4633" s="460">
        <f t="shared" si="176"/>
        <v>0.05</v>
      </c>
      <c r="N4633" s="464">
        <f t="shared" si="177"/>
        <v>192059</v>
      </c>
    </row>
    <row r="4634" spans="7:14" ht="11.25" customHeight="1" x14ac:dyDescent="0.25">
      <c r="G4634" s="459"/>
      <c r="H4634" s="459">
        <v>4627</v>
      </c>
      <c r="I4634" s="444">
        <f t="shared" ca="1" si="175"/>
        <v>-182982926860379.59</v>
      </c>
      <c r="J4634" s="444">
        <f t="array" ref="J4634">IFERROR(INDEX('Retirement Calculator'!K:K,MATCH('Lorri 401b'!N4634,'Retirement Calculator'!A:A,0),0),0)</f>
        <v>0</v>
      </c>
      <c r="K4634" s="444">
        <f t="shared" ca="1" si="173"/>
        <v>-762428861918.24829</v>
      </c>
      <c r="L4634" s="444">
        <f t="shared" ca="1" si="174"/>
        <v>-183745355722297.84</v>
      </c>
      <c r="M4634" s="460">
        <f t="shared" si="176"/>
        <v>0.05</v>
      </c>
      <c r="N4634" s="464">
        <f t="shared" si="177"/>
        <v>192089</v>
      </c>
    </row>
    <row r="4635" spans="7:14" ht="11.25" customHeight="1" x14ac:dyDescent="0.25">
      <c r="G4635" s="459"/>
      <c r="H4635" s="459">
        <v>4628</v>
      </c>
      <c r="I4635" s="444">
        <f t="shared" ca="1" si="175"/>
        <v>-183745355722297.84</v>
      </c>
      <c r="J4635" s="444">
        <f t="array" ref="J4635">IFERROR(INDEX('Retirement Calculator'!K:K,MATCH('Lorri 401b'!N4635,'Retirement Calculator'!A:A,0),0),0)</f>
        <v>0</v>
      </c>
      <c r="K4635" s="444">
        <f t="shared" ca="1" si="173"/>
        <v>-765605648842.90771</v>
      </c>
      <c r="L4635" s="444">
        <f t="shared" ca="1" si="174"/>
        <v>-184510961371140.75</v>
      </c>
      <c r="M4635" s="460">
        <f t="shared" si="176"/>
        <v>0.05</v>
      </c>
      <c r="N4635" s="464">
        <f t="shared" si="177"/>
        <v>192120</v>
      </c>
    </row>
    <row r="4636" spans="7:14" ht="11.25" customHeight="1" x14ac:dyDescent="0.25">
      <c r="G4636" s="459"/>
      <c r="H4636" s="459">
        <v>4629</v>
      </c>
      <c r="I4636" s="444">
        <f t="shared" ca="1" si="175"/>
        <v>-184510961371140.75</v>
      </c>
      <c r="J4636" s="444">
        <f t="array" ref="J4636">IFERROR(INDEX('Retirement Calculator'!K:K,MATCH('Lorri 401b'!N4636,'Retirement Calculator'!A:A,0),0),0)</f>
        <v>0</v>
      </c>
      <c r="K4636" s="444">
        <f t="shared" ca="1" si="173"/>
        <v>-768795672379.75317</v>
      </c>
      <c r="L4636" s="444">
        <f t="shared" ca="1" si="174"/>
        <v>-185279757043520.5</v>
      </c>
      <c r="M4636" s="460">
        <f t="shared" si="176"/>
        <v>0.05</v>
      </c>
      <c r="N4636" s="464">
        <f t="shared" si="177"/>
        <v>192151</v>
      </c>
    </row>
    <row r="4637" spans="7:14" ht="11.25" customHeight="1" x14ac:dyDescent="0.25">
      <c r="G4637" s="459"/>
      <c r="H4637" s="459">
        <v>4630</v>
      </c>
      <c r="I4637" s="444">
        <f t="shared" ca="1" si="175"/>
        <v>-185279757043520.5</v>
      </c>
      <c r="J4637" s="444">
        <f t="array" ref="J4637">IFERROR(INDEX('Retirement Calculator'!K:K,MATCH('Lorri 401b'!N4637,'Retirement Calculator'!A:A,0),0),0)</f>
        <v>0</v>
      </c>
      <c r="K4637" s="444">
        <f t="shared" ca="1" si="173"/>
        <v>-771998987681.33545</v>
      </c>
      <c r="L4637" s="444">
        <f t="shared" ca="1" si="174"/>
        <v>-186051756031201.84</v>
      </c>
      <c r="M4637" s="460">
        <f t="shared" si="176"/>
        <v>0.05</v>
      </c>
      <c r="N4637" s="464">
        <f t="shared" si="177"/>
        <v>192179</v>
      </c>
    </row>
    <row r="4638" spans="7:14" ht="11.25" customHeight="1" x14ac:dyDescent="0.25">
      <c r="G4638" s="459"/>
      <c r="H4638" s="459">
        <v>4631</v>
      </c>
      <c r="I4638" s="444">
        <f t="shared" ca="1" si="175"/>
        <v>-186051756031201.84</v>
      </c>
      <c r="J4638" s="444">
        <f t="array" ref="J4638">IFERROR(INDEX('Retirement Calculator'!K:K,MATCH('Lorri 401b'!N4638,'Retirement Calculator'!A:A,0),0),0)</f>
        <v>0</v>
      </c>
      <c r="K4638" s="444">
        <f t="shared" ca="1" si="173"/>
        <v>-775215650130.00769</v>
      </c>
      <c r="L4638" s="444">
        <f t="shared" ca="1" si="174"/>
        <v>-186826971681331.84</v>
      </c>
      <c r="M4638" s="460">
        <f t="shared" si="176"/>
        <v>0.05</v>
      </c>
      <c r="N4638" s="464">
        <f t="shared" si="177"/>
        <v>192210</v>
      </c>
    </row>
    <row r="4639" spans="7:14" ht="11.25" customHeight="1" x14ac:dyDescent="0.25">
      <c r="G4639" s="459"/>
      <c r="H4639" s="459">
        <v>4632</v>
      </c>
      <c r="I4639" s="444">
        <f t="shared" ca="1" si="175"/>
        <v>-186826971681331.84</v>
      </c>
      <c r="J4639" s="444">
        <f t="array" ref="J4639">IFERROR(INDEX('Retirement Calculator'!K:K,MATCH('Lorri 401b'!N4639,'Retirement Calculator'!A:A,0),0),0)</f>
        <v>0</v>
      </c>
      <c r="K4639" s="444">
        <f t="shared" ca="1" si="173"/>
        <v>-778445715338.88269</v>
      </c>
      <c r="L4639" s="444">
        <f t="shared" ca="1" si="174"/>
        <v>-187605417396670.72</v>
      </c>
      <c r="M4639" s="460">
        <f t="shared" si="176"/>
        <v>0.05</v>
      </c>
      <c r="N4639" s="464">
        <f t="shared" si="177"/>
        <v>192240</v>
      </c>
    </row>
    <row r="4640" spans="7:14" ht="11.25" customHeight="1" x14ac:dyDescent="0.25">
      <c r="G4640" s="459"/>
      <c r="H4640" s="459">
        <v>4633</v>
      </c>
      <c r="I4640" s="444">
        <f t="shared" ca="1" si="175"/>
        <v>-187605417396670.72</v>
      </c>
      <c r="J4640" s="444">
        <f t="array" ref="J4640">IFERROR(INDEX('Retirement Calculator'!K:K,MATCH('Lorri 401b'!N4640,'Retirement Calculator'!A:A,0),0),0)</f>
        <v>0</v>
      </c>
      <c r="K4640" s="444">
        <f t="shared" ca="1" si="173"/>
        <v>-781689239152.79468</v>
      </c>
      <c r="L4640" s="444">
        <f t="shared" ca="1" si="174"/>
        <v>-188387106635823.5</v>
      </c>
      <c r="M4640" s="460">
        <f t="shared" si="176"/>
        <v>0.05</v>
      </c>
      <c r="N4640" s="464">
        <f t="shared" si="177"/>
        <v>192271</v>
      </c>
    </row>
    <row r="4641" spans="7:14" ht="11.25" customHeight="1" x14ac:dyDescent="0.25">
      <c r="G4641" s="459"/>
      <c r="H4641" s="459">
        <v>4634</v>
      </c>
      <c r="I4641" s="444">
        <f t="shared" ca="1" si="175"/>
        <v>-188387106635823.5</v>
      </c>
      <c r="J4641" s="444">
        <f t="array" ref="J4641">IFERROR(INDEX('Retirement Calculator'!K:K,MATCH('Lorri 401b'!N4641,'Retirement Calculator'!A:A,0),0),0)</f>
        <v>0</v>
      </c>
      <c r="K4641" s="444">
        <f t="shared" ca="1" si="173"/>
        <v>-784946277649.26453</v>
      </c>
      <c r="L4641" s="444">
        <f t="shared" ca="1" si="174"/>
        <v>-189172052913472.75</v>
      </c>
      <c r="M4641" s="460">
        <f t="shared" si="176"/>
        <v>0.05</v>
      </c>
      <c r="N4641" s="464">
        <f t="shared" si="177"/>
        <v>192301</v>
      </c>
    </row>
    <row r="4642" spans="7:14" ht="11.25" customHeight="1" x14ac:dyDescent="0.25">
      <c r="G4642" s="459"/>
      <c r="H4642" s="459">
        <v>4635</v>
      </c>
      <c r="I4642" s="444">
        <f t="shared" ca="1" si="175"/>
        <v>-189172052913472.75</v>
      </c>
      <c r="J4642" s="444">
        <f t="array" ref="J4642">IFERROR(INDEX('Retirement Calculator'!K:K,MATCH('Lorri 401b'!N4642,'Retirement Calculator'!A:A,0),0),0)</f>
        <v>0</v>
      </c>
      <c r="K4642" s="444">
        <f t="shared" ca="1" si="173"/>
        <v>-788216887139.46973</v>
      </c>
      <c r="L4642" s="444">
        <f t="shared" ca="1" si="174"/>
        <v>-189960269800612.22</v>
      </c>
      <c r="M4642" s="460">
        <f t="shared" si="176"/>
        <v>0.05</v>
      </c>
      <c r="N4642" s="464">
        <f t="shared" si="177"/>
        <v>192332</v>
      </c>
    </row>
    <row r="4643" spans="7:14" ht="11.25" customHeight="1" x14ac:dyDescent="0.25">
      <c r="G4643" s="459"/>
      <c r="H4643" s="459">
        <v>4636</v>
      </c>
      <c r="I4643" s="444">
        <f t="shared" ca="1" si="175"/>
        <v>-189960269800612.22</v>
      </c>
      <c r="J4643" s="444">
        <f t="array" ref="J4643">IFERROR(INDEX('Retirement Calculator'!K:K,MATCH('Lorri 401b'!N4643,'Retirement Calculator'!A:A,0),0),0)</f>
        <v>0</v>
      </c>
      <c r="K4643" s="444">
        <f t="shared" ca="1" si="173"/>
        <v>-791501124169.21753</v>
      </c>
      <c r="L4643" s="444">
        <f t="shared" ca="1" si="174"/>
        <v>-190751770924781.44</v>
      </c>
      <c r="M4643" s="460">
        <f t="shared" si="176"/>
        <v>0.05</v>
      </c>
      <c r="N4643" s="464">
        <f t="shared" si="177"/>
        <v>192363</v>
      </c>
    </row>
    <row r="4644" spans="7:14" ht="11.25" customHeight="1" x14ac:dyDescent="0.25">
      <c r="G4644" s="459"/>
      <c r="H4644" s="459">
        <v>4637</v>
      </c>
      <c r="I4644" s="444">
        <f t="shared" ca="1" si="175"/>
        <v>-190751770924781.44</v>
      </c>
      <c r="J4644" s="444">
        <f t="array" ref="J4644">IFERROR(INDEX('Retirement Calculator'!K:K,MATCH('Lorri 401b'!N4644,'Retirement Calculator'!A:A,0),0),0)</f>
        <v>0</v>
      </c>
      <c r="K4644" s="444">
        <f t="shared" ca="1" si="173"/>
        <v>-794799045519.92261</v>
      </c>
      <c r="L4644" s="444">
        <f t="shared" ca="1" si="174"/>
        <v>-191546569970301.38</v>
      </c>
      <c r="M4644" s="460">
        <f t="shared" si="176"/>
        <v>0.05</v>
      </c>
      <c r="N4644" s="464">
        <f t="shared" si="177"/>
        <v>192393</v>
      </c>
    </row>
    <row r="4645" spans="7:14" ht="11.25" customHeight="1" x14ac:dyDescent="0.25">
      <c r="G4645" s="459"/>
      <c r="H4645" s="459">
        <v>4638</v>
      </c>
      <c r="I4645" s="444">
        <f t="shared" ca="1" si="175"/>
        <v>-191546569970301.38</v>
      </c>
      <c r="J4645" s="444">
        <f t="array" ref="J4645">IFERROR(INDEX('Retirement Calculator'!K:K,MATCH('Lorri 401b'!N4645,'Retirement Calculator'!A:A,0),0),0)</f>
        <v>0</v>
      </c>
      <c r="K4645" s="444">
        <f t="shared" ca="1" si="173"/>
        <v>-798110708209.58911</v>
      </c>
      <c r="L4645" s="444">
        <f t="shared" ca="1" si="174"/>
        <v>-192344680678510.97</v>
      </c>
      <c r="M4645" s="460">
        <f t="shared" si="176"/>
        <v>0.05</v>
      </c>
      <c r="N4645" s="464">
        <f t="shared" si="177"/>
        <v>192424</v>
      </c>
    </row>
    <row r="4646" spans="7:14" ht="11.25" customHeight="1" x14ac:dyDescent="0.25">
      <c r="G4646" s="459"/>
      <c r="H4646" s="459">
        <v>4639</v>
      </c>
      <c r="I4646" s="444">
        <f t="shared" ca="1" si="175"/>
        <v>-192344680678510.97</v>
      </c>
      <c r="J4646" s="444">
        <f t="array" ref="J4646">IFERROR(INDEX('Retirement Calculator'!K:K,MATCH('Lorri 401b'!N4646,'Retirement Calculator'!A:A,0),0),0)</f>
        <v>0</v>
      </c>
      <c r="K4646" s="444">
        <f t="shared" ca="1" si="173"/>
        <v>-801436169493.79565</v>
      </c>
      <c r="L4646" s="444">
        <f t="shared" ca="1" si="174"/>
        <v>-193146116848004.75</v>
      </c>
      <c r="M4646" s="460">
        <f t="shared" si="176"/>
        <v>0.05</v>
      </c>
      <c r="N4646" s="464">
        <f t="shared" si="177"/>
        <v>192454</v>
      </c>
    </row>
    <row r="4647" spans="7:14" ht="11.25" customHeight="1" x14ac:dyDescent="0.25">
      <c r="G4647" s="459"/>
      <c r="H4647" s="459">
        <v>4640</v>
      </c>
      <c r="I4647" s="444">
        <f t="shared" ca="1" si="175"/>
        <v>-193146116848004.75</v>
      </c>
      <c r="J4647" s="444">
        <f t="array" ref="J4647">IFERROR(INDEX('Retirement Calculator'!K:K,MATCH('Lorri 401b'!N4647,'Retirement Calculator'!A:A,0),0),0)</f>
        <v>0</v>
      </c>
      <c r="K4647" s="444">
        <f t="shared" ca="1" si="173"/>
        <v>-804775486866.6864</v>
      </c>
      <c r="L4647" s="444">
        <f t="shared" ca="1" si="174"/>
        <v>-193950892334871.44</v>
      </c>
      <c r="M4647" s="460">
        <f t="shared" si="176"/>
        <v>0.05</v>
      </c>
      <c r="N4647" s="464">
        <f t="shared" si="177"/>
        <v>192485</v>
      </c>
    </row>
    <row r="4648" spans="7:14" ht="11.25" customHeight="1" x14ac:dyDescent="0.25">
      <c r="G4648" s="459"/>
      <c r="H4648" s="459">
        <v>4641</v>
      </c>
      <c r="I4648" s="444">
        <f t="shared" ca="1" si="175"/>
        <v>-193950892334871.44</v>
      </c>
      <c r="J4648" s="444">
        <f t="array" ref="J4648">IFERROR(INDEX('Retirement Calculator'!K:K,MATCH('Lorri 401b'!N4648,'Retirement Calculator'!A:A,0),0),0)</f>
        <v>0</v>
      </c>
      <c r="K4648" s="444">
        <f t="shared" ca="1" si="173"/>
        <v>-808128718061.96436</v>
      </c>
      <c r="L4648" s="444">
        <f t="shared" ca="1" si="174"/>
        <v>-194759021052933.41</v>
      </c>
      <c r="M4648" s="460">
        <f t="shared" si="176"/>
        <v>0.05</v>
      </c>
      <c r="N4648" s="464">
        <f t="shared" si="177"/>
        <v>192516</v>
      </c>
    </row>
    <row r="4649" spans="7:14" ht="11.25" customHeight="1" x14ac:dyDescent="0.25">
      <c r="G4649" s="459"/>
      <c r="H4649" s="459">
        <v>4642</v>
      </c>
      <c r="I4649" s="444">
        <f t="shared" ca="1" si="175"/>
        <v>-194759021052933.41</v>
      </c>
      <c r="J4649" s="444">
        <f t="array" ref="J4649">IFERROR(INDEX('Retirement Calculator'!K:K,MATCH('Lorri 401b'!N4649,'Retirement Calculator'!A:A,0),0),0)</f>
        <v>0</v>
      </c>
      <c r="K4649" s="444">
        <f t="shared" ca="1" si="173"/>
        <v>-811495921053.88916</v>
      </c>
      <c r="L4649" s="444">
        <f t="shared" ca="1" si="174"/>
        <v>-195570516973987.28</v>
      </c>
      <c r="M4649" s="460">
        <f t="shared" si="176"/>
        <v>0.05</v>
      </c>
      <c r="N4649" s="464">
        <f t="shared" si="177"/>
        <v>192544</v>
      </c>
    </row>
    <row r="4650" spans="7:14" ht="11.25" customHeight="1" x14ac:dyDescent="0.25">
      <c r="G4650" s="459"/>
      <c r="H4650" s="459">
        <v>4643</v>
      </c>
      <c r="I4650" s="444">
        <f t="shared" ca="1" si="175"/>
        <v>-195570516973987.28</v>
      </c>
      <c r="J4650" s="444">
        <f t="array" ref="J4650">IFERROR(INDEX('Retirement Calculator'!K:K,MATCH('Lorri 401b'!N4650,'Retirement Calculator'!A:A,0),0),0)</f>
        <v>0</v>
      </c>
      <c r="K4650" s="444">
        <f t="shared" ca="1" si="173"/>
        <v>-814877154058.28027</v>
      </c>
      <c r="L4650" s="444">
        <f t="shared" ca="1" si="174"/>
        <v>-196385394128045.56</v>
      </c>
      <c r="M4650" s="460">
        <f t="shared" si="176"/>
        <v>0.05</v>
      </c>
      <c r="N4650" s="464">
        <f t="shared" si="177"/>
        <v>192575</v>
      </c>
    </row>
    <row r="4651" spans="7:14" ht="11.25" customHeight="1" x14ac:dyDescent="0.25">
      <c r="G4651" s="459"/>
      <c r="H4651" s="459">
        <v>4644</v>
      </c>
      <c r="I4651" s="444">
        <f t="shared" ca="1" si="175"/>
        <v>-196385394128045.56</v>
      </c>
      <c r="J4651" s="444">
        <f t="array" ref="J4651">IFERROR(INDEX('Retirement Calculator'!K:K,MATCH('Lorri 401b'!N4651,'Retirement Calculator'!A:A,0),0),0)</f>
        <v>0</v>
      </c>
      <c r="K4651" s="444">
        <f t="shared" ca="1" si="173"/>
        <v>-818272475533.52319</v>
      </c>
      <c r="L4651" s="444">
        <f t="shared" ca="1" si="174"/>
        <v>-197203666603579.09</v>
      </c>
      <c r="M4651" s="460">
        <f t="shared" si="176"/>
        <v>0.05</v>
      </c>
      <c r="N4651" s="464">
        <f t="shared" si="177"/>
        <v>192605</v>
      </c>
    </row>
    <row r="4652" spans="7:14" ht="11.25" customHeight="1" x14ac:dyDescent="0.25">
      <c r="G4652" s="459"/>
      <c r="H4652" s="459">
        <v>4645</v>
      </c>
      <c r="I4652" s="444">
        <f t="shared" ca="1" si="175"/>
        <v>-197203666603579.09</v>
      </c>
      <c r="J4652" s="444">
        <f t="array" ref="J4652">IFERROR(INDEX('Retirement Calculator'!K:K,MATCH('Lorri 401b'!N4652,'Retirement Calculator'!A:A,0),0),0)</f>
        <v>0</v>
      </c>
      <c r="K4652" s="444">
        <f t="shared" ca="1" si="173"/>
        <v>-821681944181.57959</v>
      </c>
      <c r="L4652" s="444">
        <f t="shared" ca="1" si="174"/>
        <v>-198025348547760.69</v>
      </c>
      <c r="M4652" s="460">
        <f t="shared" si="176"/>
        <v>0.05</v>
      </c>
      <c r="N4652" s="464">
        <f t="shared" si="177"/>
        <v>192636</v>
      </c>
    </row>
    <row r="4653" spans="7:14" ht="11.25" customHeight="1" x14ac:dyDescent="0.25">
      <c r="G4653" s="459"/>
      <c r="H4653" s="459">
        <v>4646</v>
      </c>
      <c r="I4653" s="444">
        <f t="shared" ca="1" si="175"/>
        <v>-198025348547760.69</v>
      </c>
      <c r="J4653" s="444">
        <f t="array" ref="J4653">IFERROR(INDEX('Retirement Calculator'!K:K,MATCH('Lorri 401b'!N4653,'Retirement Calculator'!A:A,0),0),0)</f>
        <v>0</v>
      </c>
      <c r="K4653" s="444">
        <f t="shared" ca="1" si="173"/>
        <v>-825105618949.00281</v>
      </c>
      <c r="L4653" s="444">
        <f t="shared" ca="1" si="174"/>
        <v>-198850454166709.69</v>
      </c>
      <c r="M4653" s="460">
        <f t="shared" si="176"/>
        <v>0.05</v>
      </c>
      <c r="N4653" s="464">
        <f t="shared" si="177"/>
        <v>192666</v>
      </c>
    </row>
    <row r="4654" spans="7:14" ht="11.25" customHeight="1" x14ac:dyDescent="0.25">
      <c r="G4654" s="459"/>
      <c r="H4654" s="459">
        <v>4647</v>
      </c>
      <c r="I4654" s="444">
        <f t="shared" ca="1" si="175"/>
        <v>-198850454166709.69</v>
      </c>
      <c r="J4654" s="444">
        <f t="array" ref="J4654">IFERROR(INDEX('Retirement Calculator'!K:K,MATCH('Lorri 401b'!N4654,'Retirement Calculator'!A:A,0),0),0)</f>
        <v>0</v>
      </c>
      <c r="K4654" s="444">
        <f t="shared" ca="1" si="173"/>
        <v>-828543559027.95703</v>
      </c>
      <c r="L4654" s="444">
        <f t="shared" ca="1" si="174"/>
        <v>-199678997725737.66</v>
      </c>
      <c r="M4654" s="460">
        <f t="shared" si="176"/>
        <v>0.05</v>
      </c>
      <c r="N4654" s="464">
        <f t="shared" si="177"/>
        <v>192697</v>
      </c>
    </row>
    <row r="4655" spans="7:14" ht="11.25" customHeight="1" x14ac:dyDescent="0.25">
      <c r="G4655" s="459"/>
      <c r="H4655" s="459">
        <v>4648</v>
      </c>
      <c r="I4655" s="444">
        <f t="shared" ca="1" si="175"/>
        <v>-199678997725737.66</v>
      </c>
      <c r="J4655" s="444">
        <f t="array" ref="J4655">IFERROR(INDEX('Retirement Calculator'!K:K,MATCH('Lorri 401b'!N4655,'Retirement Calculator'!A:A,0),0),0)</f>
        <v>0</v>
      </c>
      <c r="K4655" s="444">
        <f t="shared" ca="1" si="173"/>
        <v>-831995823857.24023</v>
      </c>
      <c r="L4655" s="444">
        <f t="shared" ca="1" si="174"/>
        <v>-200510993549594.91</v>
      </c>
      <c r="M4655" s="460">
        <f t="shared" si="176"/>
        <v>0.05</v>
      </c>
      <c r="N4655" s="464">
        <f t="shared" si="177"/>
        <v>192728</v>
      </c>
    </row>
    <row r="4656" spans="7:14" ht="11.25" customHeight="1" x14ac:dyDescent="0.25">
      <c r="G4656" s="459"/>
      <c r="H4656" s="459">
        <v>4649</v>
      </c>
      <c r="I4656" s="444">
        <f t="shared" ca="1" si="175"/>
        <v>-200510993549594.91</v>
      </c>
      <c r="J4656" s="444">
        <f t="array" ref="J4656">IFERROR(INDEX('Retirement Calculator'!K:K,MATCH('Lorri 401b'!N4656,'Retirement Calculator'!A:A,0),0),0)</f>
        <v>0</v>
      </c>
      <c r="K4656" s="444">
        <f t="shared" ca="1" si="173"/>
        <v>-835462473123.31213</v>
      </c>
      <c r="L4656" s="444">
        <f t="shared" ca="1" si="174"/>
        <v>-201346456022718.22</v>
      </c>
      <c r="M4656" s="460">
        <f t="shared" si="176"/>
        <v>0.05</v>
      </c>
      <c r="N4656" s="464">
        <f t="shared" si="177"/>
        <v>192758</v>
      </c>
    </row>
    <row r="4657" spans="7:14" ht="11.25" customHeight="1" x14ac:dyDescent="0.25">
      <c r="G4657" s="459"/>
      <c r="H4657" s="459">
        <v>4650</v>
      </c>
      <c r="I4657" s="444">
        <f t="shared" ca="1" si="175"/>
        <v>-201346456022718.22</v>
      </c>
      <c r="J4657" s="444">
        <f t="array" ref="J4657">IFERROR(INDEX('Retirement Calculator'!K:K,MATCH('Lorri 401b'!N4657,'Retirement Calculator'!A:A,0),0),0)</f>
        <v>0</v>
      </c>
      <c r="K4657" s="444">
        <f t="shared" ca="1" si="173"/>
        <v>-838943566761.32593</v>
      </c>
      <c r="L4657" s="444">
        <f t="shared" ca="1" si="174"/>
        <v>-202185399589479.53</v>
      </c>
      <c r="M4657" s="460">
        <f t="shared" si="176"/>
        <v>0.05</v>
      </c>
      <c r="N4657" s="464">
        <f t="shared" si="177"/>
        <v>192789</v>
      </c>
    </row>
    <row r="4658" spans="7:14" ht="11.25" customHeight="1" x14ac:dyDescent="0.25">
      <c r="G4658" s="459"/>
      <c r="H4658" s="459">
        <v>4651</v>
      </c>
      <c r="I4658" s="444">
        <f t="shared" ca="1" si="175"/>
        <v>-202185399589479.53</v>
      </c>
      <c r="J4658" s="444">
        <f t="array" ref="J4658">IFERROR(INDEX('Retirement Calculator'!K:K,MATCH('Lorri 401b'!N4658,'Retirement Calculator'!A:A,0),0),0)</f>
        <v>0</v>
      </c>
      <c r="K4658" s="444">
        <f t="shared" ca="1" si="173"/>
        <v>-842439164956.16467</v>
      </c>
      <c r="L4658" s="444">
        <f t="shared" ca="1" si="174"/>
        <v>-203027838754435.69</v>
      </c>
      <c r="M4658" s="460">
        <f t="shared" si="176"/>
        <v>0.05</v>
      </c>
      <c r="N4658" s="464">
        <f t="shared" si="177"/>
        <v>192819</v>
      </c>
    </row>
    <row r="4659" spans="7:14" ht="11.25" customHeight="1" x14ac:dyDescent="0.25">
      <c r="G4659" s="459"/>
      <c r="H4659" s="459">
        <v>4652</v>
      </c>
      <c r="I4659" s="444">
        <f t="shared" ca="1" si="175"/>
        <v>-203027838754435.69</v>
      </c>
      <c r="J4659" s="444">
        <f t="array" ref="J4659">IFERROR(INDEX('Retirement Calculator'!K:K,MATCH('Lorri 401b'!N4659,'Retirement Calculator'!A:A,0),0),0)</f>
        <v>0</v>
      </c>
      <c r="K4659" s="444">
        <f t="shared" ca="1" si="173"/>
        <v>-845949328143.48206</v>
      </c>
      <c r="L4659" s="444">
        <f t="shared" ca="1" si="174"/>
        <v>-203873788082579.16</v>
      </c>
      <c r="M4659" s="460">
        <f t="shared" si="176"/>
        <v>0.05</v>
      </c>
      <c r="N4659" s="464">
        <f t="shared" si="177"/>
        <v>192850</v>
      </c>
    </row>
    <row r="4660" spans="7:14" ht="11.25" customHeight="1" x14ac:dyDescent="0.25">
      <c r="G4660" s="459"/>
      <c r="H4660" s="459">
        <v>4653</v>
      </c>
      <c r="I4660" s="444">
        <f t="shared" ca="1" si="175"/>
        <v>-203873788082579.16</v>
      </c>
      <c r="J4660" s="444">
        <f t="array" ref="J4660">IFERROR(INDEX('Retirement Calculator'!K:K,MATCH('Lorri 401b'!N4660,'Retirement Calculator'!A:A,0),0),0)</f>
        <v>0</v>
      </c>
      <c r="K4660" s="444">
        <f t="shared" ca="1" si="173"/>
        <v>-849474117010.74646</v>
      </c>
      <c r="L4660" s="444">
        <f t="shared" ca="1" si="174"/>
        <v>-204723262199589.91</v>
      </c>
      <c r="M4660" s="460">
        <f t="shared" si="176"/>
        <v>0.05</v>
      </c>
      <c r="N4660" s="464">
        <f t="shared" si="177"/>
        <v>192881</v>
      </c>
    </row>
    <row r="4661" spans="7:14" ht="11.25" customHeight="1" x14ac:dyDescent="0.25">
      <c r="G4661" s="459"/>
      <c r="H4661" s="459">
        <v>4654</v>
      </c>
      <c r="I4661" s="444">
        <f t="shared" ca="1" si="175"/>
        <v>-204723262199589.91</v>
      </c>
      <c r="J4661" s="444">
        <f t="array" ref="J4661">IFERROR(INDEX('Retirement Calculator'!K:K,MATCH('Lorri 401b'!N4661,'Retirement Calculator'!A:A,0),0),0)</f>
        <v>0</v>
      </c>
      <c r="K4661" s="444">
        <f t="shared" ca="1" si="173"/>
        <v>-853013592498.29126</v>
      </c>
      <c r="L4661" s="444">
        <f t="shared" ca="1" si="174"/>
        <v>-205576275792088.19</v>
      </c>
      <c r="M4661" s="460">
        <f t="shared" si="176"/>
        <v>0.05</v>
      </c>
      <c r="N4661" s="464">
        <f t="shared" si="177"/>
        <v>192910</v>
      </c>
    </row>
    <row r="4662" spans="7:14" ht="11.25" customHeight="1" x14ac:dyDescent="0.25">
      <c r="G4662" s="459"/>
      <c r="H4662" s="459">
        <v>4655</v>
      </c>
      <c r="I4662" s="444">
        <f t="shared" ca="1" si="175"/>
        <v>-205576275792088.19</v>
      </c>
      <c r="J4662" s="444">
        <f t="array" ref="J4662">IFERROR(INDEX('Retirement Calculator'!K:K,MATCH('Lorri 401b'!N4662,'Retirement Calculator'!A:A,0),0),0)</f>
        <v>0</v>
      </c>
      <c r="K4662" s="444">
        <f t="shared" ca="1" si="173"/>
        <v>-856567815800.36743</v>
      </c>
      <c r="L4662" s="444">
        <f t="shared" ca="1" si="174"/>
        <v>-206432843607888.56</v>
      </c>
      <c r="M4662" s="460">
        <f t="shared" si="176"/>
        <v>0.05</v>
      </c>
      <c r="N4662" s="464">
        <f t="shared" si="177"/>
        <v>192941</v>
      </c>
    </row>
    <row r="4663" spans="7:14" ht="11.25" customHeight="1" x14ac:dyDescent="0.25">
      <c r="G4663" s="459"/>
      <c r="H4663" s="459">
        <v>4656</v>
      </c>
      <c r="I4663" s="444">
        <f t="shared" ca="1" si="175"/>
        <v>-206432843607888.56</v>
      </c>
      <c r="J4663" s="444">
        <f t="array" ref="J4663">IFERROR(INDEX('Retirement Calculator'!K:K,MATCH('Lorri 401b'!N4663,'Retirement Calculator'!A:A,0),0),0)</f>
        <v>0</v>
      </c>
      <c r="K4663" s="444">
        <f t="shared" ca="1" si="173"/>
        <v>-860136848366.20239</v>
      </c>
      <c r="L4663" s="444">
        <f t="shared" ca="1" si="174"/>
        <v>-207292980456254.75</v>
      </c>
      <c r="M4663" s="460">
        <f t="shared" si="176"/>
        <v>0.05</v>
      </c>
      <c r="N4663" s="464">
        <f t="shared" si="177"/>
        <v>192971</v>
      </c>
    </row>
    <row r="4664" spans="7:14" ht="11.25" customHeight="1" x14ac:dyDescent="0.25">
      <c r="G4664" s="459"/>
      <c r="H4664" s="459">
        <v>4657</v>
      </c>
      <c r="I4664" s="444">
        <f t="shared" ca="1" si="175"/>
        <v>-207292980456254.75</v>
      </c>
      <c r="J4664" s="444">
        <f t="array" ref="J4664">IFERROR(INDEX('Retirement Calculator'!K:K,MATCH('Lorri 401b'!N4664,'Retirement Calculator'!A:A,0),0),0)</f>
        <v>0</v>
      </c>
      <c r="K4664" s="444">
        <f t="shared" ca="1" si="173"/>
        <v>-863720751901.0614</v>
      </c>
      <c r="L4664" s="444">
        <f t="shared" ca="1" si="174"/>
        <v>-208156701208155.81</v>
      </c>
      <c r="M4664" s="460">
        <f t="shared" si="176"/>
        <v>0.05</v>
      </c>
      <c r="N4664" s="464">
        <f t="shared" si="177"/>
        <v>193002</v>
      </c>
    </row>
    <row r="4665" spans="7:14" ht="11.25" customHeight="1" x14ac:dyDescent="0.25">
      <c r="G4665" s="459"/>
      <c r="H4665" s="459">
        <v>4658</v>
      </c>
      <c r="I4665" s="444">
        <f t="shared" ca="1" si="175"/>
        <v>-208156701208155.81</v>
      </c>
      <c r="J4665" s="444">
        <f t="array" ref="J4665">IFERROR(INDEX('Retirement Calculator'!K:K,MATCH('Lorri 401b'!N4665,'Retirement Calculator'!A:A,0),0),0)</f>
        <v>0</v>
      </c>
      <c r="K4665" s="444">
        <f t="shared" ca="1" si="173"/>
        <v>-867319588367.31592</v>
      </c>
      <c r="L4665" s="444">
        <f t="shared" ca="1" si="174"/>
        <v>-209024020796523.13</v>
      </c>
      <c r="M4665" s="460">
        <f t="shared" si="176"/>
        <v>0.05</v>
      </c>
      <c r="N4665" s="464">
        <f t="shared" si="177"/>
        <v>193032</v>
      </c>
    </row>
    <row r="4666" spans="7:14" ht="11.25" customHeight="1" x14ac:dyDescent="0.25">
      <c r="G4666" s="459"/>
      <c r="H4666" s="459">
        <v>4659</v>
      </c>
      <c r="I4666" s="444">
        <f t="shared" ca="1" si="175"/>
        <v>-209024020796523.13</v>
      </c>
      <c r="J4666" s="444">
        <f t="array" ref="J4666">IFERROR(INDEX('Retirement Calculator'!K:K,MATCH('Lorri 401b'!N4666,'Retirement Calculator'!A:A,0),0),0)</f>
        <v>0</v>
      </c>
      <c r="K4666" s="444">
        <f t="shared" ca="1" si="173"/>
        <v>-870933419985.51306</v>
      </c>
      <c r="L4666" s="444">
        <f t="shared" ca="1" si="174"/>
        <v>-209894954216508.63</v>
      </c>
      <c r="M4666" s="460">
        <f t="shared" si="176"/>
        <v>0.05</v>
      </c>
      <c r="N4666" s="464">
        <f t="shared" si="177"/>
        <v>193063</v>
      </c>
    </row>
    <row r="4667" spans="7:14" ht="11.25" customHeight="1" x14ac:dyDescent="0.25">
      <c r="G4667" s="459"/>
      <c r="H4667" s="459">
        <v>4660</v>
      </c>
      <c r="I4667" s="444">
        <f t="shared" ca="1" si="175"/>
        <v>-209894954216508.63</v>
      </c>
      <c r="J4667" s="444">
        <f t="array" ref="J4667">IFERROR(INDEX('Retirement Calculator'!K:K,MATCH('Lorri 401b'!N4667,'Retirement Calculator'!A:A,0),0),0)</f>
        <v>0</v>
      </c>
      <c r="K4667" s="444">
        <f t="shared" ca="1" si="173"/>
        <v>-874562309235.45264</v>
      </c>
      <c r="L4667" s="444">
        <f t="shared" ca="1" si="174"/>
        <v>-210769516525744.06</v>
      </c>
      <c r="M4667" s="460">
        <f t="shared" si="176"/>
        <v>0.05</v>
      </c>
      <c r="N4667" s="464">
        <f t="shared" si="177"/>
        <v>193094</v>
      </c>
    </row>
    <row r="4668" spans="7:14" ht="11.25" customHeight="1" x14ac:dyDescent="0.25">
      <c r="G4668" s="459"/>
      <c r="H4668" s="459">
        <v>4661</v>
      </c>
      <c r="I4668" s="444">
        <f t="shared" ca="1" si="175"/>
        <v>-210769516525744.06</v>
      </c>
      <c r="J4668" s="444">
        <f t="array" ref="J4668">IFERROR(INDEX('Retirement Calculator'!K:K,MATCH('Lorri 401b'!N4668,'Retirement Calculator'!A:A,0),0),0)</f>
        <v>0</v>
      </c>
      <c r="K4668" s="444">
        <f t="shared" ca="1" si="173"/>
        <v>-878206318857.26697</v>
      </c>
      <c r="L4668" s="444">
        <f t="shared" ca="1" si="174"/>
        <v>-211647722844601.34</v>
      </c>
      <c r="M4668" s="460">
        <f t="shared" si="176"/>
        <v>0.05</v>
      </c>
      <c r="N4668" s="464">
        <f t="shared" si="177"/>
        <v>193124</v>
      </c>
    </row>
    <row r="4669" spans="7:14" ht="11.25" customHeight="1" x14ac:dyDescent="0.25">
      <c r="G4669" s="459"/>
      <c r="H4669" s="459">
        <v>4662</v>
      </c>
      <c r="I4669" s="444">
        <f t="shared" ca="1" si="175"/>
        <v>-211647722844601.34</v>
      </c>
      <c r="J4669" s="444">
        <f t="array" ref="J4669">IFERROR(INDEX('Retirement Calculator'!K:K,MATCH('Lorri 401b'!N4669,'Retirement Calculator'!A:A,0),0),0)</f>
        <v>0</v>
      </c>
      <c r="K4669" s="444">
        <f t="shared" ca="1" si="173"/>
        <v>-881865511852.50562</v>
      </c>
      <c r="L4669" s="444">
        <f t="shared" ca="1" si="174"/>
        <v>-212529588356453.84</v>
      </c>
      <c r="M4669" s="460">
        <f t="shared" si="176"/>
        <v>0.05</v>
      </c>
      <c r="N4669" s="464">
        <f t="shared" si="177"/>
        <v>193155</v>
      </c>
    </row>
    <row r="4670" spans="7:14" ht="11.25" customHeight="1" x14ac:dyDescent="0.25">
      <c r="G4670" s="459"/>
      <c r="H4670" s="459">
        <v>4663</v>
      </c>
      <c r="I4670" s="444">
        <f t="shared" ca="1" si="175"/>
        <v>-212529588356453.84</v>
      </c>
      <c r="J4670" s="444">
        <f t="array" ref="J4670">IFERROR(INDEX('Retirement Calculator'!K:K,MATCH('Lorri 401b'!N4670,'Retirement Calculator'!A:A,0),0),0)</f>
        <v>0</v>
      </c>
      <c r="K4670" s="444">
        <f t="shared" ca="1" si="173"/>
        <v>-885539951485.22437</v>
      </c>
      <c r="L4670" s="444">
        <f t="shared" ca="1" si="174"/>
        <v>-213415128307939.06</v>
      </c>
      <c r="M4670" s="460">
        <f t="shared" si="176"/>
        <v>0.05</v>
      </c>
      <c r="N4670" s="464">
        <f t="shared" si="177"/>
        <v>193185</v>
      </c>
    </row>
    <row r="4671" spans="7:14" ht="11.25" customHeight="1" x14ac:dyDescent="0.25">
      <c r="G4671" s="459"/>
      <c r="H4671" s="459">
        <v>4664</v>
      </c>
      <c r="I4671" s="444">
        <f t="shared" ca="1" si="175"/>
        <v>-213415128307939.06</v>
      </c>
      <c r="J4671" s="444">
        <f t="array" ref="J4671">IFERROR(INDEX('Retirement Calculator'!K:K,MATCH('Lorri 401b'!N4671,'Retirement Calculator'!A:A,0),0),0)</f>
        <v>0</v>
      </c>
      <c r="K4671" s="444">
        <f t="shared" ca="1" si="173"/>
        <v>-889229701283.07947</v>
      </c>
      <c r="L4671" s="444">
        <f t="shared" ca="1" si="174"/>
        <v>-214304358009222.16</v>
      </c>
      <c r="M4671" s="460">
        <f t="shared" si="176"/>
        <v>0.05</v>
      </c>
      <c r="N4671" s="464">
        <f t="shared" si="177"/>
        <v>193216</v>
      </c>
    </row>
    <row r="4672" spans="7:14" ht="11.25" customHeight="1" x14ac:dyDescent="0.25">
      <c r="G4672" s="459"/>
      <c r="H4672" s="459">
        <v>4665</v>
      </c>
      <c r="I4672" s="444">
        <f t="shared" ca="1" si="175"/>
        <v>-214304358009222.16</v>
      </c>
      <c r="J4672" s="444">
        <f t="array" ref="J4672">IFERROR(INDEX('Retirement Calculator'!K:K,MATCH('Lorri 401b'!N4672,'Retirement Calculator'!A:A,0),0),0)</f>
        <v>0</v>
      </c>
      <c r="K4672" s="444">
        <f t="shared" ca="1" si="173"/>
        <v>-892934825038.42566</v>
      </c>
      <c r="L4672" s="444">
        <f t="shared" ca="1" si="174"/>
        <v>-215197292834260.59</v>
      </c>
      <c r="M4672" s="460">
        <f t="shared" si="176"/>
        <v>0.05</v>
      </c>
      <c r="N4672" s="464">
        <f t="shared" si="177"/>
        <v>193247</v>
      </c>
    </row>
    <row r="4673" spans="7:14" ht="11.25" customHeight="1" x14ac:dyDescent="0.25">
      <c r="G4673" s="459"/>
      <c r="H4673" s="459">
        <v>4666</v>
      </c>
      <c r="I4673" s="444">
        <f t="shared" ca="1" si="175"/>
        <v>-215197292834260.59</v>
      </c>
      <c r="J4673" s="444">
        <f t="array" ref="J4673">IFERROR(INDEX('Retirement Calculator'!K:K,MATCH('Lorri 401b'!N4673,'Retirement Calculator'!A:A,0),0),0)</f>
        <v>0</v>
      </c>
      <c r="K4673" s="444">
        <f t="shared" ca="1" si="173"/>
        <v>-896655386809.41907</v>
      </c>
      <c r="L4673" s="444">
        <f t="shared" ca="1" si="174"/>
        <v>-216093948221070</v>
      </c>
      <c r="M4673" s="460">
        <f t="shared" si="176"/>
        <v>0.05</v>
      </c>
      <c r="N4673" s="464">
        <f t="shared" si="177"/>
        <v>193275</v>
      </c>
    </row>
    <row r="4674" spans="7:14" ht="11.25" customHeight="1" x14ac:dyDescent="0.25">
      <c r="G4674" s="459"/>
      <c r="H4674" s="459">
        <v>4667</v>
      </c>
      <c r="I4674" s="444">
        <f t="shared" ca="1" si="175"/>
        <v>-216093948221070</v>
      </c>
      <c r="J4674" s="444">
        <f t="array" ref="J4674">IFERROR(INDEX('Retirement Calculator'!K:K,MATCH('Lorri 401b'!N4674,'Retirement Calculator'!A:A,0),0),0)</f>
        <v>0</v>
      </c>
      <c r="K4674" s="444">
        <f t="shared" ca="1" si="173"/>
        <v>-900391450921.125</v>
      </c>
      <c r="L4674" s="444">
        <f t="shared" ca="1" si="174"/>
        <v>-216994339671991.13</v>
      </c>
      <c r="M4674" s="460">
        <f t="shared" si="176"/>
        <v>0.05</v>
      </c>
      <c r="N4674" s="464">
        <f t="shared" si="177"/>
        <v>193306</v>
      </c>
    </row>
    <row r="4675" spans="7:14" ht="11.25" customHeight="1" x14ac:dyDescent="0.25">
      <c r="G4675" s="459"/>
      <c r="H4675" s="459">
        <v>4668</v>
      </c>
      <c r="I4675" s="444">
        <f t="shared" ca="1" si="175"/>
        <v>-216994339671991.13</v>
      </c>
      <c r="J4675" s="444">
        <f t="array" ref="J4675">IFERROR(INDEX('Retirement Calculator'!K:K,MATCH('Lorri 401b'!N4675,'Retirement Calculator'!A:A,0),0),0)</f>
        <v>0</v>
      </c>
      <c r="K4675" s="444">
        <f t="shared" ca="1" si="173"/>
        <v>-904143081966.62964</v>
      </c>
      <c r="L4675" s="444">
        <f t="shared" ca="1" si="174"/>
        <v>-217898482753957.75</v>
      </c>
      <c r="M4675" s="460">
        <f t="shared" si="176"/>
        <v>0.05</v>
      </c>
      <c r="N4675" s="464">
        <f t="shared" si="177"/>
        <v>193336</v>
      </c>
    </row>
    <row r="4676" spans="7:14" ht="11.25" customHeight="1" x14ac:dyDescent="0.25">
      <c r="G4676" s="459"/>
      <c r="H4676" s="459">
        <v>4669</v>
      </c>
      <c r="I4676" s="444">
        <f t="shared" ca="1" si="175"/>
        <v>-217898482753957.75</v>
      </c>
      <c r="J4676" s="444">
        <f t="array" ref="J4676">IFERROR(INDEX('Retirement Calculator'!K:K,MATCH('Lorri 401b'!N4676,'Retirement Calculator'!A:A,0),0),0)</f>
        <v>0</v>
      </c>
      <c r="K4676" s="444">
        <f t="shared" ca="1" si="173"/>
        <v>-907910344808.15723</v>
      </c>
      <c r="L4676" s="444">
        <f t="shared" ca="1" si="174"/>
        <v>-218806393098765.91</v>
      </c>
      <c r="M4676" s="460">
        <f t="shared" si="176"/>
        <v>0.05</v>
      </c>
      <c r="N4676" s="464">
        <f t="shared" si="177"/>
        <v>193367</v>
      </c>
    </row>
    <row r="4677" spans="7:14" ht="11.25" customHeight="1" x14ac:dyDescent="0.25">
      <c r="G4677" s="459"/>
      <c r="H4677" s="459">
        <v>4670</v>
      </c>
      <c r="I4677" s="444">
        <f t="shared" ca="1" si="175"/>
        <v>-218806393098765.91</v>
      </c>
      <c r="J4677" s="444">
        <f t="array" ref="J4677">IFERROR(INDEX('Retirement Calculator'!K:K,MATCH('Lorri 401b'!N4677,'Retirement Calculator'!A:A,0),0),0)</f>
        <v>0</v>
      </c>
      <c r="K4677" s="444">
        <f t="shared" ca="1" si="173"/>
        <v>-911693304578.19128</v>
      </c>
      <c r="L4677" s="444">
        <f t="shared" ca="1" si="174"/>
        <v>-219718086403344.09</v>
      </c>
      <c r="M4677" s="460">
        <f t="shared" si="176"/>
        <v>0.05</v>
      </c>
      <c r="N4677" s="464">
        <f t="shared" si="177"/>
        <v>193397</v>
      </c>
    </row>
    <row r="4678" spans="7:14" ht="11.25" customHeight="1" x14ac:dyDescent="0.25">
      <c r="G4678" s="459"/>
      <c r="H4678" s="459">
        <v>4671</v>
      </c>
      <c r="I4678" s="444">
        <f t="shared" ca="1" si="175"/>
        <v>-219718086403344.09</v>
      </c>
      <c r="J4678" s="444">
        <f t="array" ref="J4678">IFERROR(INDEX('Retirement Calculator'!K:K,MATCH('Lorri 401b'!N4678,'Retirement Calculator'!A:A,0),0),0)</f>
        <v>0</v>
      </c>
      <c r="K4678" s="444">
        <f t="shared" ca="1" si="173"/>
        <v>-915492026680.60022</v>
      </c>
      <c r="L4678" s="444">
        <f t="shared" ca="1" si="174"/>
        <v>-220633578430024.69</v>
      </c>
      <c r="M4678" s="460">
        <f t="shared" si="176"/>
        <v>0.05</v>
      </c>
      <c r="N4678" s="464">
        <f t="shared" si="177"/>
        <v>193428</v>
      </c>
    </row>
    <row r="4679" spans="7:14" ht="11.25" customHeight="1" x14ac:dyDescent="0.25">
      <c r="G4679" s="459"/>
      <c r="H4679" s="459">
        <v>4672</v>
      </c>
      <c r="I4679" s="444">
        <f t="shared" ca="1" si="175"/>
        <v>-220633578430024.69</v>
      </c>
      <c r="J4679" s="444">
        <f t="array" ref="J4679">IFERROR(INDEX('Retirement Calculator'!K:K,MATCH('Lorri 401b'!N4679,'Retirement Calculator'!A:A,0),0),0)</f>
        <v>0</v>
      </c>
      <c r="K4679" s="444">
        <f t="shared" ca="1" si="173"/>
        <v>-919306576791.76941</v>
      </c>
      <c r="L4679" s="444">
        <f t="shared" ca="1" si="174"/>
        <v>-221552885006816.47</v>
      </c>
      <c r="M4679" s="460">
        <f t="shared" si="176"/>
        <v>0.05</v>
      </c>
      <c r="N4679" s="464">
        <f t="shared" si="177"/>
        <v>193459</v>
      </c>
    </row>
    <row r="4680" spans="7:14" ht="11.25" customHeight="1" x14ac:dyDescent="0.25">
      <c r="G4680" s="459"/>
      <c r="H4680" s="459">
        <v>4673</v>
      </c>
      <c r="I4680" s="444">
        <f t="shared" ca="1" si="175"/>
        <v>-221552885006816.47</v>
      </c>
      <c r="J4680" s="444">
        <f t="array" ref="J4680">IFERROR(INDEX('Retirement Calculator'!K:K,MATCH('Lorri 401b'!N4680,'Retirement Calculator'!A:A,0),0),0)</f>
        <v>0</v>
      </c>
      <c r="K4680" s="444">
        <f t="shared" ca="1" si="173"/>
        <v>-923137020861.73523</v>
      </c>
      <c r="L4680" s="444">
        <f t="shared" ca="1" si="174"/>
        <v>-222476022027678.22</v>
      </c>
      <c r="M4680" s="460">
        <f t="shared" si="176"/>
        <v>0.05</v>
      </c>
      <c r="N4680" s="464">
        <f t="shared" si="177"/>
        <v>193489</v>
      </c>
    </row>
    <row r="4681" spans="7:14" ht="11.25" customHeight="1" x14ac:dyDescent="0.25">
      <c r="G4681" s="459"/>
      <c r="H4681" s="459">
        <v>4674</v>
      </c>
      <c r="I4681" s="444">
        <f t="shared" ca="1" si="175"/>
        <v>-222476022027678.22</v>
      </c>
      <c r="J4681" s="444">
        <f t="array" ref="J4681">IFERROR(INDEX('Retirement Calculator'!K:K,MATCH('Lorri 401b'!N4681,'Retirement Calculator'!A:A,0),0),0)</f>
        <v>0</v>
      </c>
      <c r="K4681" s="444">
        <f t="shared" ca="1" si="173"/>
        <v>-926983425115.32593</v>
      </c>
      <c r="L4681" s="444">
        <f t="shared" ca="1" si="174"/>
        <v>-223403005452793.53</v>
      </c>
      <c r="M4681" s="460">
        <f t="shared" si="176"/>
        <v>0.05</v>
      </c>
      <c r="N4681" s="464">
        <f t="shared" si="177"/>
        <v>193520</v>
      </c>
    </row>
    <row r="4682" spans="7:14" ht="11.25" customHeight="1" x14ac:dyDescent="0.25">
      <c r="G4682" s="459"/>
      <c r="H4682" s="459">
        <v>4675</v>
      </c>
      <c r="I4682" s="444">
        <f t="shared" ca="1" si="175"/>
        <v>-223403005452793.53</v>
      </c>
      <c r="J4682" s="444">
        <f t="array" ref="J4682">IFERROR(INDEX('Retirement Calculator'!K:K,MATCH('Lorri 401b'!N4682,'Retirement Calculator'!A:A,0),0),0)</f>
        <v>0</v>
      </c>
      <c r="K4682" s="444">
        <f t="shared" ca="1" si="173"/>
        <v>-930845856053.3064</v>
      </c>
      <c r="L4682" s="444">
        <f t="shared" ca="1" si="174"/>
        <v>-224333851308846.84</v>
      </c>
      <c r="M4682" s="460">
        <f t="shared" si="176"/>
        <v>0.05</v>
      </c>
      <c r="N4682" s="464">
        <f t="shared" si="177"/>
        <v>193550</v>
      </c>
    </row>
    <row r="4683" spans="7:14" ht="11.25" customHeight="1" x14ac:dyDescent="0.25">
      <c r="G4683" s="459"/>
      <c r="H4683" s="459">
        <v>4676</v>
      </c>
      <c r="I4683" s="444">
        <f t="shared" ca="1" si="175"/>
        <v>-224333851308846.84</v>
      </c>
      <c r="J4683" s="444">
        <f t="array" ref="J4683">IFERROR(INDEX('Retirement Calculator'!K:K,MATCH('Lorri 401b'!N4683,'Retirement Calculator'!A:A,0),0),0)</f>
        <v>0</v>
      </c>
      <c r="K4683" s="444">
        <f t="shared" ca="1" si="173"/>
        <v>-934724380453.52844</v>
      </c>
      <c r="L4683" s="444">
        <f t="shared" ca="1" si="174"/>
        <v>-225268575689300.38</v>
      </c>
      <c r="M4683" s="460">
        <f t="shared" si="176"/>
        <v>0.05</v>
      </c>
      <c r="N4683" s="464">
        <f t="shared" si="177"/>
        <v>193581</v>
      </c>
    </row>
    <row r="4684" spans="7:14" ht="11.25" customHeight="1" x14ac:dyDescent="0.25">
      <c r="G4684" s="459"/>
      <c r="H4684" s="459">
        <v>4677</v>
      </c>
      <c r="I4684" s="444">
        <f t="shared" ca="1" si="175"/>
        <v>-225268575689300.38</v>
      </c>
      <c r="J4684" s="444">
        <f t="array" ref="J4684">IFERROR(INDEX('Retirement Calculator'!K:K,MATCH('Lorri 401b'!N4684,'Retirement Calculator'!A:A,0),0),0)</f>
        <v>0</v>
      </c>
      <c r="K4684" s="444">
        <f t="shared" ca="1" si="173"/>
        <v>-938619065372.08496</v>
      </c>
      <c r="L4684" s="444">
        <f t="shared" ca="1" si="174"/>
        <v>-226207194754672.47</v>
      </c>
      <c r="M4684" s="460">
        <f t="shared" si="176"/>
        <v>0.05</v>
      </c>
      <c r="N4684" s="464">
        <f t="shared" si="177"/>
        <v>193612</v>
      </c>
    </row>
    <row r="4685" spans="7:14" ht="11.25" customHeight="1" x14ac:dyDescent="0.25">
      <c r="G4685" s="459"/>
      <c r="H4685" s="459">
        <v>4678</v>
      </c>
      <c r="I4685" s="444">
        <f t="shared" ca="1" si="175"/>
        <v>-226207194754672.47</v>
      </c>
      <c r="J4685" s="444">
        <f t="array" ref="J4685">IFERROR(INDEX('Retirement Calculator'!K:K,MATCH('Lorri 401b'!N4685,'Retirement Calculator'!A:A,0),0),0)</f>
        <v>0</v>
      </c>
      <c r="K4685" s="444">
        <f t="shared" ca="1" si="173"/>
        <v>-942529978144.46875</v>
      </c>
      <c r="L4685" s="444">
        <f t="shared" ca="1" si="174"/>
        <v>-227149724732816.94</v>
      </c>
      <c r="M4685" s="460">
        <f t="shared" si="176"/>
        <v>0.05</v>
      </c>
      <c r="N4685" s="464">
        <f t="shared" si="177"/>
        <v>193640</v>
      </c>
    </row>
    <row r="4686" spans="7:14" ht="11.25" customHeight="1" x14ac:dyDescent="0.25">
      <c r="G4686" s="459"/>
      <c r="H4686" s="459">
        <v>4679</v>
      </c>
      <c r="I4686" s="444">
        <f t="shared" ca="1" si="175"/>
        <v>-227149724732816.94</v>
      </c>
      <c r="J4686" s="444">
        <f t="array" ref="J4686">IFERROR(INDEX('Retirement Calculator'!K:K,MATCH('Lorri 401b'!N4686,'Retirement Calculator'!A:A,0),0),0)</f>
        <v>0</v>
      </c>
      <c r="K4686" s="444">
        <f t="shared" ca="1" si="173"/>
        <v>-946457186386.73706</v>
      </c>
      <c r="L4686" s="444">
        <f t="shared" ca="1" si="174"/>
        <v>-228096181919203.69</v>
      </c>
      <c r="M4686" s="460">
        <f t="shared" si="176"/>
        <v>0.05</v>
      </c>
      <c r="N4686" s="464">
        <f t="shared" si="177"/>
        <v>193671</v>
      </c>
    </row>
    <row r="4687" spans="7:14" ht="11.25" customHeight="1" x14ac:dyDescent="0.25">
      <c r="G4687" s="459"/>
      <c r="H4687" s="459">
        <v>4680</v>
      </c>
      <c r="I4687" s="444">
        <f t="shared" ca="1" si="175"/>
        <v>-228096181919203.69</v>
      </c>
      <c r="J4687" s="444">
        <f t="array" ref="J4687">IFERROR(INDEX('Retirement Calculator'!K:K,MATCH('Lorri 401b'!N4687,'Retirement Calculator'!A:A,0),0),0)</f>
        <v>0</v>
      </c>
      <c r="K4687" s="444">
        <f t="shared" ca="1" si="173"/>
        <v>-950400757996.68213</v>
      </c>
      <c r="L4687" s="444">
        <f t="shared" ca="1" si="174"/>
        <v>-229046582677200.38</v>
      </c>
      <c r="M4687" s="460">
        <f t="shared" si="176"/>
        <v>0.05</v>
      </c>
      <c r="N4687" s="464">
        <f t="shared" si="177"/>
        <v>193701</v>
      </c>
    </row>
    <row r="4688" spans="7:14" ht="11.25" customHeight="1" x14ac:dyDescent="0.25">
      <c r="G4688" s="459"/>
      <c r="H4688" s="459">
        <v>4681</v>
      </c>
      <c r="I4688" s="444">
        <f t="shared" ca="1" si="175"/>
        <v>-229046582677200.38</v>
      </c>
      <c r="J4688" s="444">
        <f t="array" ref="J4688">IFERROR(INDEX('Retirement Calculator'!K:K,MATCH('Lorri 401b'!N4688,'Retirement Calculator'!A:A,0),0),0)</f>
        <v>0</v>
      </c>
      <c r="K4688" s="444">
        <f t="shared" ca="1" si="173"/>
        <v>-954360761155.00159</v>
      </c>
      <c r="L4688" s="444">
        <f t="shared" ca="1" si="174"/>
        <v>-230000943438355.38</v>
      </c>
      <c r="M4688" s="460">
        <f t="shared" si="176"/>
        <v>0.05</v>
      </c>
      <c r="N4688" s="464">
        <f t="shared" si="177"/>
        <v>193732</v>
      </c>
    </row>
    <row r="4689" spans="7:14" ht="11.25" customHeight="1" x14ac:dyDescent="0.25">
      <c r="G4689" s="459"/>
      <c r="H4689" s="459">
        <v>4682</v>
      </c>
      <c r="I4689" s="444">
        <f t="shared" ca="1" si="175"/>
        <v>-230000943438355.38</v>
      </c>
      <c r="J4689" s="444">
        <f t="array" ref="J4689">IFERROR(INDEX('Retirement Calculator'!K:K,MATCH('Lorri 401b'!N4689,'Retirement Calculator'!A:A,0),0),0)</f>
        <v>0</v>
      </c>
      <c r="K4689" s="444">
        <f t="shared" ca="1" si="173"/>
        <v>-958337264326.48071</v>
      </c>
      <c r="L4689" s="444">
        <f t="shared" ca="1" si="174"/>
        <v>-230959280702681.84</v>
      </c>
      <c r="M4689" s="460">
        <f t="shared" si="176"/>
        <v>0.05</v>
      </c>
      <c r="N4689" s="464">
        <f t="shared" si="177"/>
        <v>193762</v>
      </c>
    </row>
    <row r="4690" spans="7:14" ht="11.25" customHeight="1" x14ac:dyDescent="0.25">
      <c r="G4690" s="459"/>
      <c r="H4690" s="459">
        <v>4683</v>
      </c>
      <c r="I4690" s="444">
        <f t="shared" ca="1" si="175"/>
        <v>-230959280702681.84</v>
      </c>
      <c r="J4690" s="444">
        <f t="array" ref="J4690">IFERROR(INDEX('Retirement Calculator'!K:K,MATCH('Lorri 401b'!N4690,'Retirement Calculator'!A:A,0),0),0)</f>
        <v>0</v>
      </c>
      <c r="K4690" s="444">
        <f t="shared" ca="1" si="173"/>
        <v>-962330336261.17432</v>
      </c>
      <c r="L4690" s="444">
        <f t="shared" ca="1" si="174"/>
        <v>-231921611038943.03</v>
      </c>
      <c r="M4690" s="460">
        <f t="shared" si="176"/>
        <v>0.05</v>
      </c>
      <c r="N4690" s="464">
        <f t="shared" si="177"/>
        <v>193793</v>
      </c>
    </row>
    <row r="4691" spans="7:14" ht="11.25" customHeight="1" x14ac:dyDescent="0.25">
      <c r="G4691" s="459"/>
      <c r="H4691" s="459">
        <v>4684</v>
      </c>
      <c r="I4691" s="444">
        <f t="shared" ca="1" si="175"/>
        <v>-231921611038943.03</v>
      </c>
      <c r="J4691" s="444">
        <f t="array" ref="J4691">IFERROR(INDEX('Retirement Calculator'!K:K,MATCH('Lorri 401b'!N4691,'Retirement Calculator'!A:A,0),0),0)</f>
        <v>0</v>
      </c>
      <c r="K4691" s="444">
        <f t="shared" ca="1" si="173"/>
        <v>-966340045995.59583</v>
      </c>
      <c r="L4691" s="444">
        <f t="shared" ca="1" si="174"/>
        <v>-232887951084938.63</v>
      </c>
      <c r="M4691" s="460">
        <f t="shared" si="176"/>
        <v>0.05</v>
      </c>
      <c r="N4691" s="464">
        <f t="shared" si="177"/>
        <v>193824</v>
      </c>
    </row>
    <row r="4692" spans="7:14" ht="11.25" customHeight="1" x14ac:dyDescent="0.25">
      <c r="G4692" s="459"/>
      <c r="H4692" s="459">
        <v>4685</v>
      </c>
      <c r="I4692" s="444">
        <f t="shared" ca="1" si="175"/>
        <v>-232887951084938.63</v>
      </c>
      <c r="J4692" s="444">
        <f t="array" ref="J4692">IFERROR(INDEX('Retirement Calculator'!K:K,MATCH('Lorri 401b'!N4692,'Retirement Calculator'!A:A,0),0),0)</f>
        <v>0</v>
      </c>
      <c r="K4692" s="444">
        <f t="shared" ca="1" si="173"/>
        <v>-970366462853.91089</v>
      </c>
      <c r="L4692" s="444">
        <f t="shared" ca="1" si="174"/>
        <v>-233858317547792.53</v>
      </c>
      <c r="M4692" s="460">
        <f t="shared" si="176"/>
        <v>0.05</v>
      </c>
      <c r="N4692" s="464">
        <f t="shared" si="177"/>
        <v>193854</v>
      </c>
    </row>
    <row r="4693" spans="7:14" ht="11.25" customHeight="1" x14ac:dyDescent="0.25">
      <c r="G4693" s="459"/>
      <c r="H4693" s="459">
        <v>4686</v>
      </c>
      <c r="I4693" s="444">
        <f t="shared" ca="1" si="175"/>
        <v>-233858317547792.53</v>
      </c>
      <c r="J4693" s="444">
        <f t="array" ref="J4693">IFERROR(INDEX('Retirement Calculator'!K:K,MATCH('Lorri 401b'!N4693,'Retirement Calculator'!A:A,0),0),0)</f>
        <v>0</v>
      </c>
      <c r="K4693" s="444">
        <f t="shared" ca="1" si="173"/>
        <v>-974409656449.1355</v>
      </c>
      <c r="L4693" s="444">
        <f t="shared" ca="1" si="174"/>
        <v>-234832727204241.66</v>
      </c>
      <c r="M4693" s="460">
        <f t="shared" si="176"/>
        <v>0.05</v>
      </c>
      <c r="N4693" s="464">
        <f t="shared" si="177"/>
        <v>193885</v>
      </c>
    </row>
    <row r="4694" spans="7:14" ht="11.25" customHeight="1" x14ac:dyDescent="0.25">
      <c r="G4694" s="459"/>
      <c r="H4694" s="459">
        <v>4687</v>
      </c>
      <c r="I4694" s="444">
        <f t="shared" ca="1" si="175"/>
        <v>-234832727204241.66</v>
      </c>
      <c r="J4694" s="444">
        <f t="array" ref="J4694">IFERROR(INDEX('Retirement Calculator'!K:K,MATCH('Lorri 401b'!N4694,'Retirement Calculator'!A:A,0),0),0)</f>
        <v>0</v>
      </c>
      <c r="K4694" s="444">
        <f t="shared" ca="1" si="173"/>
        <v>-978469696684.34021</v>
      </c>
      <c r="L4694" s="444">
        <f t="shared" ca="1" si="174"/>
        <v>-235811196900926</v>
      </c>
      <c r="M4694" s="460">
        <f t="shared" si="176"/>
        <v>0.05</v>
      </c>
      <c r="N4694" s="464">
        <f t="shared" si="177"/>
        <v>193915</v>
      </c>
    </row>
    <row r="4695" spans="7:14" ht="11.25" customHeight="1" x14ac:dyDescent="0.25">
      <c r="G4695" s="459"/>
      <c r="H4695" s="459">
        <v>4688</v>
      </c>
      <c r="I4695" s="444">
        <f t="shared" ca="1" si="175"/>
        <v>-235811196900926</v>
      </c>
      <c r="J4695" s="444">
        <f t="array" ref="J4695">IFERROR(INDEX('Retirement Calculator'!K:K,MATCH('Lorri 401b'!N4695,'Retirement Calculator'!A:A,0),0),0)</f>
        <v>0</v>
      </c>
      <c r="K4695" s="444">
        <f t="shared" ca="1" si="173"/>
        <v>-982546653753.85828</v>
      </c>
      <c r="L4695" s="444">
        <f t="shared" ca="1" si="174"/>
        <v>-236793743554679.84</v>
      </c>
      <c r="M4695" s="460">
        <f t="shared" si="176"/>
        <v>0.05</v>
      </c>
      <c r="N4695" s="464">
        <f t="shared" si="177"/>
        <v>193946</v>
      </c>
    </row>
    <row r="4696" spans="7:14" ht="11.25" customHeight="1" x14ac:dyDescent="0.25">
      <c r="G4696" s="459"/>
      <c r="H4696" s="459">
        <v>4689</v>
      </c>
      <c r="I4696" s="444">
        <f t="shared" ca="1" si="175"/>
        <v>-236793743554679.84</v>
      </c>
      <c r="J4696" s="444">
        <f t="array" ref="J4696">IFERROR(INDEX('Retirement Calculator'!K:K,MATCH('Lorri 401b'!N4696,'Retirement Calculator'!A:A,0),0),0)</f>
        <v>0</v>
      </c>
      <c r="K4696" s="444">
        <f t="shared" ca="1" si="173"/>
        <v>-986640598144.49951</v>
      </c>
      <c r="L4696" s="444">
        <f t="shared" ca="1" si="174"/>
        <v>-237780384152824.34</v>
      </c>
      <c r="M4696" s="460">
        <f t="shared" si="176"/>
        <v>0.05</v>
      </c>
      <c r="N4696" s="464">
        <f t="shared" si="177"/>
        <v>193977</v>
      </c>
    </row>
    <row r="4697" spans="7:14" ht="11.25" customHeight="1" x14ac:dyDescent="0.25">
      <c r="G4697" s="459"/>
      <c r="H4697" s="459">
        <v>4690</v>
      </c>
      <c r="I4697" s="444">
        <f t="shared" ca="1" si="175"/>
        <v>-237780384152824.34</v>
      </c>
      <c r="J4697" s="444">
        <f t="array" ref="J4697">IFERROR(INDEX('Retirement Calculator'!K:K,MATCH('Lorri 401b'!N4697,'Retirement Calculator'!A:A,0),0),0)</f>
        <v>0</v>
      </c>
      <c r="K4697" s="444">
        <f t="shared" ca="1" si="173"/>
        <v>-990751600636.76807</v>
      </c>
      <c r="L4697" s="444">
        <f t="shared" ca="1" si="174"/>
        <v>-238771135753461.13</v>
      </c>
      <c r="M4697" s="460">
        <f t="shared" si="176"/>
        <v>0.05</v>
      </c>
      <c r="N4697" s="464">
        <f t="shared" si="177"/>
        <v>194005</v>
      </c>
    </row>
    <row r="4698" spans="7:14" ht="11.25" customHeight="1" x14ac:dyDescent="0.25">
      <c r="G4698" s="459"/>
      <c r="H4698" s="459">
        <v>4691</v>
      </c>
      <c r="I4698" s="444">
        <f t="shared" ca="1" si="175"/>
        <v>-238771135753461.13</v>
      </c>
      <c r="J4698" s="444">
        <f t="array" ref="J4698">IFERROR(INDEX('Retirement Calculator'!K:K,MATCH('Lorri 401b'!N4698,'Retirement Calculator'!A:A,0),0),0)</f>
        <v>0</v>
      </c>
      <c r="K4698" s="444">
        <f t="shared" ca="1" si="173"/>
        <v>-994879732306.08813</v>
      </c>
      <c r="L4698" s="444">
        <f t="shared" ca="1" si="174"/>
        <v>-239766015485767.22</v>
      </c>
      <c r="M4698" s="460">
        <f t="shared" si="176"/>
        <v>0.05</v>
      </c>
      <c r="N4698" s="464">
        <f t="shared" si="177"/>
        <v>194036</v>
      </c>
    </row>
    <row r="4699" spans="7:14" ht="11.25" customHeight="1" x14ac:dyDescent="0.25">
      <c r="G4699" s="459"/>
      <c r="H4699" s="459">
        <v>4692</v>
      </c>
      <c r="I4699" s="444">
        <f t="shared" ca="1" si="175"/>
        <v>-239766015485767.22</v>
      </c>
      <c r="J4699" s="444">
        <f t="array" ref="J4699">IFERROR(INDEX('Retirement Calculator'!K:K,MATCH('Lorri 401b'!N4699,'Retirement Calculator'!A:A,0),0),0)</f>
        <v>0</v>
      </c>
      <c r="K4699" s="444">
        <f t="shared" ca="1" si="173"/>
        <v>-999025064524.03003</v>
      </c>
      <c r="L4699" s="444">
        <f t="shared" ca="1" si="174"/>
        <v>-240765040550291.25</v>
      </c>
      <c r="M4699" s="460">
        <f t="shared" si="176"/>
        <v>0.05</v>
      </c>
      <c r="N4699" s="464">
        <f t="shared" si="177"/>
        <v>194066</v>
      </c>
    </row>
    <row r="4700" spans="7:14" ht="11.25" customHeight="1" x14ac:dyDescent="0.25">
      <c r="G4700" s="459"/>
      <c r="H4700" s="459">
        <v>4693</v>
      </c>
      <c r="I4700" s="444">
        <f t="shared" ca="1" si="175"/>
        <v>-240765040550291.25</v>
      </c>
      <c r="J4700" s="444">
        <f t="array" ref="J4700">IFERROR(INDEX('Retirement Calculator'!K:K,MATCH('Lorri 401b'!N4700,'Retirement Calculator'!A:A,0),0),0)</f>
        <v>0</v>
      </c>
      <c r="K4700" s="444">
        <f t="shared" ca="1" si="173"/>
        <v>-1003187668959.5469</v>
      </c>
      <c r="L4700" s="444">
        <f t="shared" ca="1" si="174"/>
        <v>-241768228219250.81</v>
      </c>
      <c r="M4700" s="460">
        <f t="shared" si="176"/>
        <v>0.05</v>
      </c>
      <c r="N4700" s="464">
        <f t="shared" si="177"/>
        <v>194097</v>
      </c>
    </row>
    <row r="4701" spans="7:14" ht="11.25" customHeight="1" x14ac:dyDescent="0.25">
      <c r="G4701" s="459"/>
      <c r="H4701" s="459">
        <v>4694</v>
      </c>
      <c r="I4701" s="444">
        <f t="shared" ca="1" si="175"/>
        <v>-241768228219250.81</v>
      </c>
      <c r="J4701" s="444">
        <f t="array" ref="J4701">IFERROR(INDEX('Retirement Calculator'!K:K,MATCH('Lorri 401b'!N4701,'Retirement Calculator'!A:A,0),0),0)</f>
        <v>0</v>
      </c>
      <c r="K4701" s="444">
        <f t="shared" ca="1" si="173"/>
        <v>-1007367617580.2117</v>
      </c>
      <c r="L4701" s="444">
        <f t="shared" ca="1" si="174"/>
        <v>-242775595836831.03</v>
      </c>
      <c r="M4701" s="460">
        <f t="shared" si="176"/>
        <v>0.05</v>
      </c>
      <c r="N4701" s="464">
        <f t="shared" si="177"/>
        <v>194127</v>
      </c>
    </row>
    <row r="4702" spans="7:14" ht="11.25" customHeight="1" x14ac:dyDescent="0.25">
      <c r="G4702" s="459"/>
      <c r="H4702" s="459">
        <v>4695</v>
      </c>
      <c r="I4702" s="444">
        <f t="shared" ca="1" si="175"/>
        <v>-242775595836831.03</v>
      </c>
      <c r="J4702" s="444">
        <f t="array" ref="J4702">IFERROR(INDEX('Retirement Calculator'!K:K,MATCH('Lorri 401b'!N4702,'Retirement Calculator'!A:A,0),0),0)</f>
        <v>0</v>
      </c>
      <c r="K4702" s="444">
        <f t="shared" ca="1" si="173"/>
        <v>-1011564982653.4628</v>
      </c>
      <c r="L4702" s="444">
        <f t="shared" ca="1" si="174"/>
        <v>-243787160819484.5</v>
      </c>
      <c r="M4702" s="460">
        <f t="shared" si="176"/>
        <v>0.05</v>
      </c>
      <c r="N4702" s="464">
        <f t="shared" si="177"/>
        <v>194158</v>
      </c>
    </row>
    <row r="4703" spans="7:14" ht="11.25" customHeight="1" x14ac:dyDescent="0.25">
      <c r="G4703" s="459"/>
      <c r="H4703" s="459">
        <v>4696</v>
      </c>
      <c r="I4703" s="444">
        <f t="shared" ca="1" si="175"/>
        <v>-243787160819484.5</v>
      </c>
      <c r="J4703" s="444">
        <f t="array" ref="J4703">IFERROR(INDEX('Retirement Calculator'!K:K,MATCH('Lorri 401b'!N4703,'Retirement Calculator'!A:A,0),0),0)</f>
        <v>0</v>
      </c>
      <c r="K4703" s="444">
        <f t="shared" ca="1" si="173"/>
        <v>-1015779836747.8519</v>
      </c>
      <c r="L4703" s="444">
        <f t="shared" ca="1" si="174"/>
        <v>-244802940656232.34</v>
      </c>
      <c r="M4703" s="460">
        <f t="shared" si="176"/>
        <v>0.05</v>
      </c>
      <c r="N4703" s="464">
        <f t="shared" si="177"/>
        <v>194189</v>
      </c>
    </row>
    <row r="4704" spans="7:14" ht="11.25" customHeight="1" x14ac:dyDescent="0.25">
      <c r="G4704" s="459"/>
      <c r="H4704" s="459">
        <v>4697</v>
      </c>
      <c r="I4704" s="444">
        <f t="shared" ca="1" si="175"/>
        <v>-244802940656232.34</v>
      </c>
      <c r="J4704" s="444">
        <f t="array" ref="J4704">IFERROR(INDEX('Retirement Calculator'!K:K,MATCH('Lorri 401b'!N4704,'Retirement Calculator'!A:A,0),0),0)</f>
        <v>0</v>
      </c>
      <c r="K4704" s="444">
        <f t="shared" ca="1" si="173"/>
        <v>-1020012252734.3013</v>
      </c>
      <c r="L4704" s="444">
        <f t="shared" ca="1" si="174"/>
        <v>-245822952908966.66</v>
      </c>
      <c r="M4704" s="460">
        <f t="shared" si="176"/>
        <v>0.05</v>
      </c>
      <c r="N4704" s="464">
        <f t="shared" si="177"/>
        <v>194219</v>
      </c>
    </row>
    <row r="4705" spans="7:14" ht="11.25" customHeight="1" x14ac:dyDescent="0.25">
      <c r="G4705" s="459"/>
      <c r="H4705" s="459">
        <v>4698</v>
      </c>
      <c r="I4705" s="444">
        <f t="shared" ca="1" si="175"/>
        <v>-245822952908966.66</v>
      </c>
      <c r="J4705" s="444">
        <f t="array" ref="J4705">IFERROR(INDEX('Retirement Calculator'!K:K,MATCH('Lorri 401b'!N4705,'Retirement Calculator'!A:A,0),0),0)</f>
        <v>0</v>
      </c>
      <c r="K4705" s="444">
        <f t="shared" ca="1" si="173"/>
        <v>-1024262303787.3611</v>
      </c>
      <c r="L4705" s="444">
        <f t="shared" ca="1" si="174"/>
        <v>-246847215212754.03</v>
      </c>
      <c r="M4705" s="460">
        <f t="shared" si="176"/>
        <v>0.05</v>
      </c>
      <c r="N4705" s="464">
        <f t="shared" si="177"/>
        <v>194250</v>
      </c>
    </row>
    <row r="4706" spans="7:14" ht="11.25" customHeight="1" x14ac:dyDescent="0.25">
      <c r="G4706" s="459"/>
      <c r="H4706" s="459">
        <v>4699</v>
      </c>
      <c r="I4706" s="444">
        <f t="shared" ca="1" si="175"/>
        <v>-246847215212754.03</v>
      </c>
      <c r="J4706" s="444">
        <f t="array" ref="J4706">IFERROR(INDEX('Retirement Calculator'!K:K,MATCH('Lorri 401b'!N4706,'Retirement Calculator'!A:A,0),0),0)</f>
        <v>0</v>
      </c>
      <c r="K4706" s="444">
        <f t="shared" ca="1" si="173"/>
        <v>-1028530063386.4751</v>
      </c>
      <c r="L4706" s="444">
        <f t="shared" ca="1" si="174"/>
        <v>-247875745276140.5</v>
      </c>
      <c r="M4706" s="460">
        <f t="shared" si="176"/>
        <v>0.05</v>
      </c>
      <c r="N4706" s="464">
        <f t="shared" si="177"/>
        <v>194280</v>
      </c>
    </row>
    <row r="4707" spans="7:14" ht="11.25" customHeight="1" x14ac:dyDescent="0.25">
      <c r="G4707" s="459"/>
      <c r="H4707" s="459">
        <v>4700</v>
      </c>
      <c r="I4707" s="444">
        <f t="shared" ca="1" si="175"/>
        <v>-247875745276140.5</v>
      </c>
      <c r="J4707" s="444">
        <f t="array" ref="J4707">IFERROR(INDEX('Retirement Calculator'!K:K,MATCH('Lorri 401b'!N4707,'Retirement Calculator'!A:A,0),0),0)</f>
        <v>0</v>
      </c>
      <c r="K4707" s="444">
        <f t="shared" ca="1" si="173"/>
        <v>-1032815605317.2522</v>
      </c>
      <c r="L4707" s="444">
        <f t="shared" ca="1" si="174"/>
        <v>-248908560881457.75</v>
      </c>
      <c r="M4707" s="460">
        <f t="shared" si="176"/>
        <v>0.05</v>
      </c>
      <c r="N4707" s="464">
        <f t="shared" si="177"/>
        <v>194311</v>
      </c>
    </row>
    <row r="4708" spans="7:14" ht="11.25" customHeight="1" x14ac:dyDescent="0.25">
      <c r="G4708" s="459"/>
      <c r="H4708" s="459">
        <v>4701</v>
      </c>
      <c r="I4708" s="444">
        <f t="shared" ca="1" si="175"/>
        <v>-248908560881457.75</v>
      </c>
      <c r="J4708" s="444">
        <f t="array" ref="J4708">IFERROR(INDEX('Retirement Calculator'!K:K,MATCH('Lorri 401b'!N4708,'Retirement Calculator'!A:A,0),0),0)</f>
        <v>0</v>
      </c>
      <c r="K4708" s="444">
        <f t="shared" ca="1" si="173"/>
        <v>-1037119003672.7405</v>
      </c>
      <c r="L4708" s="444">
        <f t="shared" ca="1" si="174"/>
        <v>-249945679885130.5</v>
      </c>
      <c r="M4708" s="460">
        <f t="shared" si="176"/>
        <v>0.05</v>
      </c>
      <c r="N4708" s="464">
        <f t="shared" si="177"/>
        <v>194342</v>
      </c>
    </row>
    <row r="4709" spans="7:14" ht="11.25" customHeight="1" x14ac:dyDescent="0.25">
      <c r="G4709" s="459"/>
      <c r="H4709" s="459">
        <v>4702</v>
      </c>
      <c r="I4709" s="444">
        <f t="shared" ca="1" si="175"/>
        <v>-249945679885130.5</v>
      </c>
      <c r="J4709" s="444">
        <f t="array" ref="J4709">IFERROR(INDEX('Retirement Calculator'!K:K,MATCH('Lorri 401b'!N4709,'Retirement Calculator'!A:A,0),0),0)</f>
        <v>0</v>
      </c>
      <c r="K4709" s="444">
        <f t="shared" ca="1" si="173"/>
        <v>-1041440332854.7106</v>
      </c>
      <c r="L4709" s="444">
        <f t="shared" ca="1" si="174"/>
        <v>-250987120217985.22</v>
      </c>
      <c r="M4709" s="460">
        <f t="shared" si="176"/>
        <v>0.05</v>
      </c>
      <c r="N4709" s="464">
        <f t="shared" si="177"/>
        <v>194371</v>
      </c>
    </row>
    <row r="4710" spans="7:14" ht="11.25" customHeight="1" x14ac:dyDescent="0.25">
      <c r="G4710" s="459"/>
      <c r="H4710" s="459">
        <v>4703</v>
      </c>
      <c r="I4710" s="444">
        <f t="shared" ca="1" si="175"/>
        <v>-250987120217985.22</v>
      </c>
      <c r="J4710" s="444">
        <f t="array" ref="J4710">IFERROR(INDEX('Retirement Calculator'!K:K,MATCH('Lorri 401b'!N4710,'Retirement Calculator'!A:A,0),0),0)</f>
        <v>0</v>
      </c>
      <c r="K4710" s="444">
        <f t="shared" ca="1" si="173"/>
        <v>-1045779667574.9384</v>
      </c>
      <c r="L4710" s="444">
        <f t="shared" ca="1" si="174"/>
        <v>-252032899885560.16</v>
      </c>
      <c r="M4710" s="460">
        <f t="shared" si="176"/>
        <v>0.05</v>
      </c>
      <c r="N4710" s="464">
        <f t="shared" si="177"/>
        <v>194402</v>
      </c>
    </row>
    <row r="4711" spans="7:14" ht="11.25" customHeight="1" x14ac:dyDescent="0.25">
      <c r="G4711" s="459"/>
      <c r="H4711" s="459">
        <v>4704</v>
      </c>
      <c r="I4711" s="444">
        <f t="shared" ca="1" si="175"/>
        <v>-252032899885560.16</v>
      </c>
      <c r="J4711" s="444">
        <f t="array" ref="J4711">IFERROR(INDEX('Retirement Calculator'!K:K,MATCH('Lorri 401b'!N4711,'Retirement Calculator'!A:A,0),0),0)</f>
        <v>0</v>
      </c>
      <c r="K4711" s="444">
        <f t="shared" ca="1" si="173"/>
        <v>-1050137082856.5006</v>
      </c>
      <c r="L4711" s="444">
        <f t="shared" ca="1" si="174"/>
        <v>-253083036968416.66</v>
      </c>
      <c r="M4711" s="460">
        <f t="shared" si="176"/>
        <v>0.05</v>
      </c>
      <c r="N4711" s="464">
        <f t="shared" si="177"/>
        <v>194432</v>
      </c>
    </row>
    <row r="4712" spans="7:14" ht="11.25" customHeight="1" x14ac:dyDescent="0.25">
      <c r="G4712" s="459"/>
      <c r="H4712" s="459">
        <v>4705</v>
      </c>
      <c r="I4712" s="444">
        <f t="shared" ca="1" si="175"/>
        <v>-253083036968416.66</v>
      </c>
      <c r="J4712" s="444">
        <f t="array" ref="J4712">IFERROR(INDEX('Retirement Calculator'!K:K,MATCH('Lorri 401b'!N4712,'Retirement Calculator'!A:A,0),0),0)</f>
        <v>0</v>
      </c>
      <c r="K4712" s="444">
        <f t="shared" ca="1" si="173"/>
        <v>-1054512654035.0693</v>
      </c>
      <c r="L4712" s="444">
        <f t="shared" ca="1" si="174"/>
        <v>-254137549622451.72</v>
      </c>
      <c r="M4712" s="460">
        <f t="shared" si="176"/>
        <v>0.05</v>
      </c>
      <c r="N4712" s="464">
        <f t="shared" si="177"/>
        <v>194463</v>
      </c>
    </row>
    <row r="4713" spans="7:14" ht="11.25" customHeight="1" x14ac:dyDescent="0.25">
      <c r="G4713" s="459"/>
      <c r="H4713" s="459">
        <v>4706</v>
      </c>
      <c r="I4713" s="444">
        <f t="shared" ca="1" si="175"/>
        <v>-254137549622451.72</v>
      </c>
      <c r="J4713" s="444">
        <f t="array" ref="J4713">IFERROR(INDEX('Retirement Calculator'!K:K,MATCH('Lorri 401b'!N4713,'Retirement Calculator'!A:A,0),0),0)</f>
        <v>0</v>
      </c>
      <c r="K4713" s="444">
        <f t="shared" ca="1" si="173"/>
        <v>-1058906456760.2155</v>
      </c>
      <c r="L4713" s="444">
        <f t="shared" ca="1" si="174"/>
        <v>-255196456079211.94</v>
      </c>
      <c r="M4713" s="460">
        <f t="shared" si="176"/>
        <v>0.05</v>
      </c>
      <c r="N4713" s="464">
        <f t="shared" si="177"/>
        <v>194493</v>
      </c>
    </row>
    <row r="4714" spans="7:14" ht="11.25" customHeight="1" x14ac:dyDescent="0.25">
      <c r="G4714" s="459"/>
      <c r="H4714" s="459">
        <v>4707</v>
      </c>
      <c r="I4714" s="444">
        <f t="shared" ca="1" si="175"/>
        <v>-255196456079211.94</v>
      </c>
      <c r="J4714" s="444">
        <f t="array" ref="J4714">IFERROR(INDEX('Retirement Calculator'!K:K,MATCH('Lorri 401b'!N4714,'Retirement Calculator'!A:A,0),0),0)</f>
        <v>0</v>
      </c>
      <c r="K4714" s="444">
        <f t="shared" ca="1" si="173"/>
        <v>-1063318566996.7164</v>
      </c>
      <c r="L4714" s="444">
        <f t="shared" ca="1" si="174"/>
        <v>-256259774646208.66</v>
      </c>
      <c r="M4714" s="460">
        <f t="shared" si="176"/>
        <v>0.05</v>
      </c>
      <c r="N4714" s="464">
        <f t="shared" si="177"/>
        <v>194524</v>
      </c>
    </row>
    <row r="4715" spans="7:14" ht="11.25" customHeight="1" x14ac:dyDescent="0.25">
      <c r="G4715" s="459"/>
      <c r="H4715" s="459">
        <v>4708</v>
      </c>
      <c r="I4715" s="444">
        <f t="shared" ca="1" si="175"/>
        <v>-256259774646208.66</v>
      </c>
      <c r="J4715" s="444">
        <f t="array" ref="J4715">IFERROR(INDEX('Retirement Calculator'!K:K,MATCH('Lorri 401b'!N4715,'Retirement Calculator'!A:A,0),0),0)</f>
        <v>0</v>
      </c>
      <c r="K4715" s="444">
        <f t="shared" ca="1" si="173"/>
        <v>-1067749061025.8695</v>
      </c>
      <c r="L4715" s="444">
        <f t="shared" ca="1" si="174"/>
        <v>-257327523707234.53</v>
      </c>
      <c r="M4715" s="460">
        <f t="shared" si="176"/>
        <v>0.05</v>
      </c>
      <c r="N4715" s="464">
        <f t="shared" si="177"/>
        <v>194555</v>
      </c>
    </row>
    <row r="4716" spans="7:14" ht="11.25" customHeight="1" x14ac:dyDescent="0.25">
      <c r="G4716" s="459"/>
      <c r="H4716" s="459">
        <v>4709</v>
      </c>
      <c r="I4716" s="444">
        <f t="shared" ca="1" si="175"/>
        <v>-257327523707234.53</v>
      </c>
      <c r="J4716" s="444">
        <f t="array" ref="J4716">IFERROR(INDEX('Retirement Calculator'!K:K,MATCH('Lorri 401b'!N4716,'Retirement Calculator'!A:A,0),0),0)</f>
        <v>0</v>
      </c>
      <c r="K4716" s="444">
        <f t="shared" ca="1" si="173"/>
        <v>-1072198015446.8107</v>
      </c>
      <c r="L4716" s="444">
        <f t="shared" ca="1" si="174"/>
        <v>-258399721722681.34</v>
      </c>
      <c r="M4716" s="460">
        <f t="shared" si="176"/>
        <v>0.05</v>
      </c>
      <c r="N4716" s="464">
        <f t="shared" si="177"/>
        <v>194585</v>
      </c>
    </row>
    <row r="4717" spans="7:14" ht="11.25" customHeight="1" x14ac:dyDescent="0.25">
      <c r="G4717" s="459"/>
      <c r="H4717" s="459">
        <v>4710</v>
      </c>
      <c r="I4717" s="444">
        <f t="shared" ca="1" si="175"/>
        <v>-258399721722681.34</v>
      </c>
      <c r="J4717" s="444">
        <f t="array" ref="J4717">IFERROR(INDEX('Retirement Calculator'!K:K,MATCH('Lorri 401b'!N4717,'Retirement Calculator'!A:A,0),0),0)</f>
        <v>0</v>
      </c>
      <c r="K4717" s="444">
        <f t="shared" ca="1" si="173"/>
        <v>-1076665507177.8389</v>
      </c>
      <c r="L4717" s="444">
        <f t="shared" ca="1" si="174"/>
        <v>-259476387229859.19</v>
      </c>
      <c r="M4717" s="460">
        <f t="shared" si="176"/>
        <v>0.05</v>
      </c>
      <c r="N4717" s="464">
        <f t="shared" si="177"/>
        <v>194616</v>
      </c>
    </row>
    <row r="4718" spans="7:14" ht="11.25" customHeight="1" x14ac:dyDescent="0.25">
      <c r="G4718" s="459"/>
      <c r="H4718" s="459">
        <v>4711</v>
      </c>
      <c r="I4718" s="444">
        <f t="shared" ca="1" si="175"/>
        <v>-259476387229859.19</v>
      </c>
      <c r="J4718" s="444">
        <f t="array" ref="J4718">IFERROR(INDEX('Retirement Calculator'!K:K,MATCH('Lorri 401b'!N4718,'Retirement Calculator'!A:A,0),0),0)</f>
        <v>0</v>
      </c>
      <c r="K4718" s="444">
        <f t="shared" ca="1" si="173"/>
        <v>-1081151613457.7467</v>
      </c>
      <c r="L4718" s="444">
        <f t="shared" ca="1" si="174"/>
        <v>-260557538843316.94</v>
      </c>
      <c r="M4718" s="460">
        <f t="shared" si="176"/>
        <v>0.05</v>
      </c>
      <c r="N4718" s="464">
        <f t="shared" si="177"/>
        <v>194646</v>
      </c>
    </row>
    <row r="4719" spans="7:14" ht="11.25" customHeight="1" x14ac:dyDescent="0.25">
      <c r="G4719" s="459"/>
      <c r="H4719" s="459">
        <v>4712</v>
      </c>
      <c r="I4719" s="444">
        <f t="shared" ca="1" si="175"/>
        <v>-260557538843316.94</v>
      </c>
      <c r="J4719" s="444">
        <f t="array" ref="J4719">IFERROR(INDEX('Retirement Calculator'!K:K,MATCH('Lorri 401b'!N4719,'Retirement Calculator'!A:A,0),0),0)</f>
        <v>0</v>
      </c>
      <c r="K4719" s="444">
        <f t="shared" ca="1" si="173"/>
        <v>-1085656411847.1539</v>
      </c>
      <c r="L4719" s="444">
        <f t="shared" ca="1" si="174"/>
        <v>-261643195255164.09</v>
      </c>
      <c r="M4719" s="460">
        <f t="shared" si="176"/>
        <v>0.05</v>
      </c>
      <c r="N4719" s="464">
        <f t="shared" si="177"/>
        <v>194677</v>
      </c>
    </row>
    <row r="4720" spans="7:14" ht="11.25" customHeight="1" x14ac:dyDescent="0.25">
      <c r="G4720" s="459"/>
      <c r="H4720" s="459">
        <v>4713</v>
      </c>
      <c r="I4720" s="444">
        <f t="shared" ca="1" si="175"/>
        <v>-261643195255164.09</v>
      </c>
      <c r="J4720" s="444">
        <f t="array" ref="J4720">IFERROR(INDEX('Retirement Calculator'!K:K,MATCH('Lorri 401b'!N4720,'Retirement Calculator'!A:A,0),0),0)</f>
        <v>0</v>
      </c>
      <c r="K4720" s="444">
        <f t="shared" ca="1" si="173"/>
        <v>-1090179980229.8503</v>
      </c>
      <c r="L4720" s="444">
        <f t="shared" ca="1" si="174"/>
        <v>-262733375235393.94</v>
      </c>
      <c r="M4720" s="460">
        <f t="shared" si="176"/>
        <v>0.05</v>
      </c>
      <c r="N4720" s="464">
        <f t="shared" si="177"/>
        <v>194708</v>
      </c>
    </row>
    <row r="4721" spans="7:14" ht="11.25" customHeight="1" x14ac:dyDescent="0.25">
      <c r="G4721" s="459"/>
      <c r="H4721" s="459">
        <v>4714</v>
      </c>
      <c r="I4721" s="444">
        <f t="shared" ca="1" si="175"/>
        <v>-262733375235393.94</v>
      </c>
      <c r="J4721" s="444">
        <f t="array" ref="J4721">IFERROR(INDEX('Retirement Calculator'!K:K,MATCH('Lorri 401b'!N4721,'Retirement Calculator'!A:A,0),0),0)</f>
        <v>0</v>
      </c>
      <c r="K4721" s="444">
        <f t="shared" ca="1" si="173"/>
        <v>-1094722396814.1414</v>
      </c>
      <c r="L4721" s="444">
        <f t="shared" ca="1" si="174"/>
        <v>-263828097632208.09</v>
      </c>
      <c r="M4721" s="460">
        <f t="shared" si="176"/>
        <v>0.05</v>
      </c>
      <c r="N4721" s="464">
        <f t="shared" si="177"/>
        <v>194736</v>
      </c>
    </row>
    <row r="4722" spans="7:14" ht="11.25" customHeight="1" x14ac:dyDescent="0.25">
      <c r="G4722" s="459"/>
      <c r="H4722" s="459">
        <v>4715</v>
      </c>
      <c r="I4722" s="444">
        <f t="shared" ca="1" si="175"/>
        <v>-263828097632208.09</v>
      </c>
      <c r="J4722" s="444">
        <f t="array" ref="J4722">IFERROR(INDEX('Retirement Calculator'!K:K,MATCH('Lorri 401b'!N4722,'Retirement Calculator'!A:A,0),0),0)</f>
        <v>0</v>
      </c>
      <c r="K4722" s="444">
        <f t="shared" ca="1" si="173"/>
        <v>-1099283740134.2003</v>
      </c>
      <c r="L4722" s="444">
        <f t="shared" ca="1" si="174"/>
        <v>-264927381372342.28</v>
      </c>
      <c r="M4722" s="460">
        <f t="shared" si="176"/>
        <v>0.05</v>
      </c>
      <c r="N4722" s="464">
        <f t="shared" si="177"/>
        <v>194767</v>
      </c>
    </row>
    <row r="4723" spans="7:14" ht="11.25" customHeight="1" x14ac:dyDescent="0.25">
      <c r="G4723" s="459"/>
      <c r="H4723" s="459">
        <v>4716</v>
      </c>
      <c r="I4723" s="444">
        <f t="shared" ca="1" si="175"/>
        <v>-264927381372342.28</v>
      </c>
      <c r="J4723" s="444">
        <f t="array" ref="J4723">IFERROR(INDEX('Retirement Calculator'!K:K,MATCH('Lorri 401b'!N4723,'Retirement Calculator'!A:A,0),0),0)</f>
        <v>0</v>
      </c>
      <c r="K4723" s="444">
        <f t="shared" ca="1" si="173"/>
        <v>-1103864089051.4263</v>
      </c>
      <c r="L4723" s="444">
        <f t="shared" ca="1" si="174"/>
        <v>-266031245461393.72</v>
      </c>
      <c r="M4723" s="460">
        <f t="shared" si="176"/>
        <v>0.05</v>
      </c>
      <c r="N4723" s="464">
        <f t="shared" si="177"/>
        <v>194797</v>
      </c>
    </row>
    <row r="4724" spans="7:14" ht="11.25" customHeight="1" x14ac:dyDescent="0.25">
      <c r="G4724" s="459"/>
      <c r="H4724" s="459">
        <v>4717</v>
      </c>
      <c r="I4724" s="444">
        <f t="shared" ca="1" si="175"/>
        <v>-266031245461393.72</v>
      </c>
      <c r="J4724" s="444">
        <f t="array" ref="J4724">IFERROR(INDEX('Retirement Calculator'!K:K,MATCH('Lorri 401b'!N4724,'Retirement Calculator'!A:A,0),0),0)</f>
        <v>0</v>
      </c>
      <c r="K4724" s="444">
        <f t="shared" ca="1" si="173"/>
        <v>-1108463522755.8071</v>
      </c>
      <c r="L4724" s="444">
        <f t="shared" ca="1" si="174"/>
        <v>-267139708984149.53</v>
      </c>
      <c r="M4724" s="460">
        <f t="shared" si="176"/>
        <v>0.05</v>
      </c>
      <c r="N4724" s="464">
        <f t="shared" si="177"/>
        <v>194828</v>
      </c>
    </row>
    <row r="4725" spans="7:14" ht="11.25" customHeight="1" x14ac:dyDescent="0.25">
      <c r="G4725" s="459"/>
      <c r="H4725" s="459">
        <v>4718</v>
      </c>
      <c r="I4725" s="444">
        <f t="shared" ca="1" si="175"/>
        <v>-267139708984149.53</v>
      </c>
      <c r="J4725" s="444">
        <f t="array" ref="J4725">IFERROR(INDEX('Retirement Calculator'!K:K,MATCH('Lorri 401b'!N4725,'Retirement Calculator'!A:A,0),0),0)</f>
        <v>0</v>
      </c>
      <c r="K4725" s="444">
        <f t="shared" ca="1" si="173"/>
        <v>-1113082120767.2898</v>
      </c>
      <c r="L4725" s="444">
        <f t="shared" ca="1" si="174"/>
        <v>-268252791104916.81</v>
      </c>
      <c r="M4725" s="460">
        <f t="shared" si="176"/>
        <v>0.05</v>
      </c>
      <c r="N4725" s="464">
        <f t="shared" si="177"/>
        <v>194858</v>
      </c>
    </row>
    <row r="4726" spans="7:14" ht="11.25" customHeight="1" x14ac:dyDescent="0.25">
      <c r="G4726" s="459"/>
      <c r="H4726" s="459">
        <v>4719</v>
      </c>
      <c r="I4726" s="444">
        <f t="shared" ca="1" si="175"/>
        <v>-268252791104916.81</v>
      </c>
      <c r="J4726" s="444">
        <f t="array" ref="J4726">IFERROR(INDEX('Retirement Calculator'!K:K,MATCH('Lorri 401b'!N4726,'Retirement Calculator'!A:A,0),0),0)</f>
        <v>0</v>
      </c>
      <c r="K4726" s="444">
        <f t="shared" ca="1" si="173"/>
        <v>-1117719962937.1533</v>
      </c>
      <c r="L4726" s="444">
        <f t="shared" ca="1" si="174"/>
        <v>-269370511067853.97</v>
      </c>
      <c r="M4726" s="460">
        <f t="shared" si="176"/>
        <v>0.05</v>
      </c>
      <c r="N4726" s="464">
        <f t="shared" si="177"/>
        <v>194889</v>
      </c>
    </row>
    <row r="4727" spans="7:14" ht="11.25" customHeight="1" x14ac:dyDescent="0.25">
      <c r="G4727" s="459"/>
      <c r="H4727" s="459">
        <v>4720</v>
      </c>
      <c r="I4727" s="444">
        <f t="shared" ca="1" si="175"/>
        <v>-269370511067853.97</v>
      </c>
      <c r="J4727" s="444">
        <f t="array" ref="J4727">IFERROR(INDEX('Retirement Calculator'!K:K,MATCH('Lorri 401b'!N4727,'Retirement Calculator'!A:A,0),0),0)</f>
        <v>0</v>
      </c>
      <c r="K4727" s="444">
        <f t="shared" ca="1" si="173"/>
        <v>-1122377129449.3916</v>
      </c>
      <c r="L4727" s="444">
        <f t="shared" ca="1" si="174"/>
        <v>-270492888197303.38</v>
      </c>
      <c r="M4727" s="460">
        <f t="shared" si="176"/>
        <v>0.05</v>
      </c>
      <c r="N4727" s="464">
        <f t="shared" si="177"/>
        <v>194920</v>
      </c>
    </row>
    <row r="4728" spans="7:14" ht="11.25" customHeight="1" x14ac:dyDescent="0.25">
      <c r="G4728" s="459"/>
      <c r="H4728" s="459">
        <v>4721</v>
      </c>
      <c r="I4728" s="444">
        <f t="shared" ca="1" si="175"/>
        <v>-270492888197303.38</v>
      </c>
      <c r="J4728" s="444">
        <f t="array" ref="J4728">IFERROR(INDEX('Retirement Calculator'!K:K,MATCH('Lorri 401b'!N4728,'Retirement Calculator'!A:A,0),0),0)</f>
        <v>0</v>
      </c>
      <c r="K4728" s="444">
        <f t="shared" ca="1" si="173"/>
        <v>-1127053700822.0974</v>
      </c>
      <c r="L4728" s="444">
        <f t="shared" ca="1" si="174"/>
        <v>-271619941898125.47</v>
      </c>
      <c r="M4728" s="460">
        <f t="shared" si="176"/>
        <v>0.05</v>
      </c>
      <c r="N4728" s="464">
        <f t="shared" si="177"/>
        <v>194950</v>
      </c>
    </row>
    <row r="4729" spans="7:14" ht="11.25" customHeight="1" x14ac:dyDescent="0.25">
      <c r="G4729" s="459"/>
      <c r="H4729" s="459">
        <v>4722</v>
      </c>
      <c r="I4729" s="444">
        <f t="shared" ca="1" si="175"/>
        <v>-271619941898125.47</v>
      </c>
      <c r="J4729" s="444">
        <f t="array" ref="J4729">IFERROR(INDEX('Retirement Calculator'!K:K,MATCH('Lorri 401b'!N4729,'Retirement Calculator'!A:A,0),0),0)</f>
        <v>0</v>
      </c>
      <c r="K4729" s="444">
        <f t="shared" ca="1" si="173"/>
        <v>-1131749757908.8562</v>
      </c>
      <c r="L4729" s="444">
        <f t="shared" ca="1" si="174"/>
        <v>-272751691656034.31</v>
      </c>
      <c r="M4729" s="460">
        <f t="shared" si="176"/>
        <v>0.05</v>
      </c>
      <c r="N4729" s="464">
        <f t="shared" si="177"/>
        <v>194981</v>
      </c>
    </row>
    <row r="4730" spans="7:14" ht="11.25" customHeight="1" x14ac:dyDescent="0.25">
      <c r="G4730" s="459"/>
      <c r="H4730" s="459">
        <v>4723</v>
      </c>
      <c r="I4730" s="444">
        <f t="shared" ca="1" si="175"/>
        <v>-272751691656034.31</v>
      </c>
      <c r="J4730" s="444">
        <f t="array" ref="J4730">IFERROR(INDEX('Retirement Calculator'!K:K,MATCH('Lorri 401b'!N4730,'Retirement Calculator'!A:A,0),0),0)</f>
        <v>0</v>
      </c>
      <c r="K4730" s="444">
        <f t="shared" ca="1" si="173"/>
        <v>-1136465381900.1431</v>
      </c>
      <c r="L4730" s="444">
        <f t="shared" ca="1" si="174"/>
        <v>-273888157037934.47</v>
      </c>
      <c r="M4730" s="460">
        <f t="shared" si="176"/>
        <v>0.05</v>
      </c>
      <c r="N4730" s="464">
        <f t="shared" si="177"/>
        <v>195011</v>
      </c>
    </row>
    <row r="4731" spans="7:14" ht="11.25" customHeight="1" x14ac:dyDescent="0.25">
      <c r="G4731" s="459"/>
      <c r="H4731" s="459">
        <v>4724</v>
      </c>
      <c r="I4731" s="444">
        <f t="shared" ca="1" si="175"/>
        <v>-273888157037934.47</v>
      </c>
      <c r="J4731" s="444">
        <f t="array" ref="J4731">IFERROR(INDEX('Retirement Calculator'!K:K,MATCH('Lorri 401b'!N4731,'Retirement Calculator'!A:A,0),0),0)</f>
        <v>0</v>
      </c>
      <c r="K4731" s="444">
        <f t="shared" ca="1" si="173"/>
        <v>-1141200654324.7271</v>
      </c>
      <c r="L4731" s="444">
        <f t="shared" ca="1" si="174"/>
        <v>-275029357692259.19</v>
      </c>
      <c r="M4731" s="460">
        <f t="shared" si="176"/>
        <v>0.05</v>
      </c>
      <c r="N4731" s="464">
        <f t="shared" si="177"/>
        <v>195042</v>
      </c>
    </row>
    <row r="4732" spans="7:14" ht="11.25" customHeight="1" x14ac:dyDescent="0.25">
      <c r="G4732" s="459"/>
      <c r="H4732" s="459">
        <v>4725</v>
      </c>
      <c r="I4732" s="444">
        <f t="shared" ca="1" si="175"/>
        <v>-275029357692259.19</v>
      </c>
      <c r="J4732" s="444">
        <f t="array" ref="J4732">IFERROR(INDEX('Retirement Calculator'!K:K,MATCH('Lorri 401b'!N4732,'Retirement Calculator'!A:A,0),0),0)</f>
        <v>0</v>
      </c>
      <c r="K4732" s="444">
        <f t="shared" ca="1" si="173"/>
        <v>-1145955657051.0798</v>
      </c>
      <c r="L4732" s="444">
        <f t="shared" ca="1" si="174"/>
        <v>-276175313349310.28</v>
      </c>
      <c r="M4732" s="460">
        <f t="shared" si="176"/>
        <v>0.05</v>
      </c>
      <c r="N4732" s="464">
        <f t="shared" si="177"/>
        <v>195073</v>
      </c>
    </row>
    <row r="4733" spans="7:14" ht="11.25" customHeight="1" x14ac:dyDescent="0.25">
      <c r="G4733" s="459"/>
      <c r="H4733" s="459">
        <v>4726</v>
      </c>
      <c r="I4733" s="444">
        <f t="shared" ca="1" si="175"/>
        <v>-276175313349310.28</v>
      </c>
      <c r="J4733" s="444">
        <f t="array" ref="J4733">IFERROR(INDEX('Retirement Calculator'!K:K,MATCH('Lorri 401b'!N4733,'Retirement Calculator'!A:A,0),0),0)</f>
        <v>0</v>
      </c>
      <c r="K4733" s="444">
        <f t="shared" ca="1" si="173"/>
        <v>-1150730472288.7927</v>
      </c>
      <c r="L4733" s="444">
        <f t="shared" ca="1" si="174"/>
        <v>-277326043821599.06</v>
      </c>
      <c r="M4733" s="460">
        <f t="shared" si="176"/>
        <v>0.05</v>
      </c>
      <c r="N4733" s="464">
        <f t="shared" si="177"/>
        <v>195101</v>
      </c>
    </row>
    <row r="4734" spans="7:14" ht="11.25" customHeight="1" x14ac:dyDescent="0.25">
      <c r="G4734" s="459"/>
      <c r="H4734" s="459">
        <v>4727</v>
      </c>
      <c r="I4734" s="444">
        <f t="shared" ca="1" si="175"/>
        <v>-277326043821599.06</v>
      </c>
      <c r="J4734" s="444">
        <f t="array" ref="J4734">IFERROR(INDEX('Retirement Calculator'!K:K,MATCH('Lorri 401b'!N4734,'Retirement Calculator'!A:A,0),0),0)</f>
        <v>0</v>
      </c>
      <c r="K4734" s="444">
        <f t="shared" ca="1" si="173"/>
        <v>-1155525182589.9961</v>
      </c>
      <c r="L4734" s="444">
        <f t="shared" ca="1" si="174"/>
        <v>-278481569004189.06</v>
      </c>
      <c r="M4734" s="460">
        <f t="shared" si="176"/>
        <v>0.05</v>
      </c>
      <c r="N4734" s="464">
        <f t="shared" si="177"/>
        <v>195132</v>
      </c>
    </row>
    <row r="4735" spans="7:14" ht="11.25" customHeight="1" x14ac:dyDescent="0.25">
      <c r="G4735" s="459"/>
      <c r="H4735" s="459">
        <v>4728</v>
      </c>
      <c r="I4735" s="444">
        <f t="shared" ca="1" si="175"/>
        <v>-278481569004189.06</v>
      </c>
      <c r="J4735" s="444">
        <f t="array" ref="J4735">IFERROR(INDEX('Retirement Calculator'!K:K,MATCH('Lorri 401b'!N4735,'Retirement Calculator'!A:A,0),0),0)</f>
        <v>0</v>
      </c>
      <c r="K4735" s="444">
        <f t="shared" ca="1" si="173"/>
        <v>-1160339870850.7878</v>
      </c>
      <c r="L4735" s="444">
        <f t="shared" ca="1" si="174"/>
        <v>-279641908875039.84</v>
      </c>
      <c r="M4735" s="460">
        <f t="shared" si="176"/>
        <v>0.05</v>
      </c>
      <c r="N4735" s="464">
        <f t="shared" si="177"/>
        <v>195162</v>
      </c>
    </row>
    <row r="4736" spans="7:14" ht="11.25" customHeight="1" x14ac:dyDescent="0.25">
      <c r="G4736" s="459"/>
      <c r="H4736" s="459">
        <v>4729</v>
      </c>
      <c r="I4736" s="444">
        <f t="shared" ca="1" si="175"/>
        <v>-279641908875039.84</v>
      </c>
      <c r="J4736" s="444">
        <f t="array" ref="J4736">IFERROR(INDEX('Retirement Calculator'!K:K,MATCH('Lorri 401b'!N4736,'Retirement Calculator'!A:A,0),0),0)</f>
        <v>0</v>
      </c>
      <c r="K4736" s="444">
        <f t="shared" ca="1" si="173"/>
        <v>-1165174620312.666</v>
      </c>
      <c r="L4736" s="444">
        <f t="shared" ca="1" si="174"/>
        <v>-280807083495352.5</v>
      </c>
      <c r="M4736" s="460">
        <f t="shared" si="176"/>
        <v>0.05</v>
      </c>
      <c r="N4736" s="464">
        <f t="shared" si="177"/>
        <v>195193</v>
      </c>
    </row>
    <row r="4737" spans="7:14" ht="11.25" customHeight="1" x14ac:dyDescent="0.25">
      <c r="G4737" s="459"/>
      <c r="H4737" s="459">
        <v>4730</v>
      </c>
      <c r="I4737" s="444">
        <f t="shared" ca="1" si="175"/>
        <v>-280807083495352.5</v>
      </c>
      <c r="J4737" s="444">
        <f t="array" ref="J4737">IFERROR(INDEX('Retirement Calculator'!K:K,MATCH('Lorri 401b'!N4737,'Retirement Calculator'!A:A,0),0),0)</f>
        <v>0</v>
      </c>
      <c r="K4737" s="444">
        <f t="shared" ca="1" si="173"/>
        <v>-1170029514563.9688</v>
      </c>
      <c r="L4737" s="444">
        <f t="shared" ca="1" si="174"/>
        <v>-281977113009916.5</v>
      </c>
      <c r="M4737" s="460">
        <f t="shared" si="176"/>
        <v>0.05</v>
      </c>
      <c r="N4737" s="464">
        <f t="shared" si="177"/>
        <v>195223</v>
      </c>
    </row>
    <row r="4738" spans="7:14" ht="11.25" customHeight="1" x14ac:dyDescent="0.25">
      <c r="G4738" s="459"/>
      <c r="H4738" s="459">
        <v>4731</v>
      </c>
      <c r="I4738" s="444">
        <f t="shared" ca="1" si="175"/>
        <v>-281977113009916.5</v>
      </c>
      <c r="J4738" s="444">
        <f t="array" ref="J4738">IFERROR(INDEX('Retirement Calculator'!K:K,MATCH('Lorri 401b'!N4738,'Retirement Calculator'!A:A,0),0),0)</f>
        <v>0</v>
      </c>
      <c r="K4738" s="444">
        <f t="shared" ca="1" si="173"/>
        <v>-1174904637541.3188</v>
      </c>
      <c r="L4738" s="444">
        <f t="shared" ca="1" si="174"/>
        <v>-283152017647457.81</v>
      </c>
      <c r="M4738" s="460">
        <f t="shared" si="176"/>
        <v>0.05</v>
      </c>
      <c r="N4738" s="464">
        <f t="shared" si="177"/>
        <v>195254</v>
      </c>
    </row>
    <row r="4739" spans="7:14" ht="11.25" customHeight="1" x14ac:dyDescent="0.25">
      <c r="G4739" s="459"/>
      <c r="H4739" s="459">
        <v>4732</v>
      </c>
      <c r="I4739" s="444">
        <f t="shared" ca="1" si="175"/>
        <v>-283152017647457.81</v>
      </c>
      <c r="J4739" s="444">
        <f t="array" ref="J4739">IFERROR(INDEX('Retirement Calculator'!K:K,MATCH('Lorri 401b'!N4739,'Retirement Calculator'!A:A,0),0),0)</f>
        <v>0</v>
      </c>
      <c r="K4739" s="444">
        <f t="shared" ca="1" si="173"/>
        <v>-1179800073531.0742</v>
      </c>
      <c r="L4739" s="444">
        <f t="shared" ca="1" si="174"/>
        <v>-284331817720988.88</v>
      </c>
      <c r="M4739" s="460">
        <f t="shared" si="176"/>
        <v>0.05</v>
      </c>
      <c r="N4739" s="464">
        <f t="shared" si="177"/>
        <v>195285</v>
      </c>
    </row>
    <row r="4740" spans="7:14" ht="11.25" customHeight="1" x14ac:dyDescent="0.25">
      <c r="G4740" s="459"/>
      <c r="H4740" s="459">
        <v>4733</v>
      </c>
      <c r="I4740" s="444">
        <f t="shared" ca="1" si="175"/>
        <v>-284331817720988.88</v>
      </c>
      <c r="J4740" s="444">
        <f t="array" ref="J4740">IFERROR(INDEX('Retirement Calculator'!K:K,MATCH('Lorri 401b'!N4740,'Retirement Calculator'!A:A,0),0),0)</f>
        <v>0</v>
      </c>
      <c r="K4740" s="444">
        <f t="shared" ca="1" si="173"/>
        <v>-1184715907170.7869</v>
      </c>
      <c r="L4740" s="444">
        <f t="shared" ca="1" si="174"/>
        <v>-285516533628159.69</v>
      </c>
      <c r="M4740" s="460">
        <f t="shared" si="176"/>
        <v>0.05</v>
      </c>
      <c r="N4740" s="464">
        <f t="shared" si="177"/>
        <v>195315</v>
      </c>
    </row>
    <row r="4741" spans="7:14" ht="11.25" customHeight="1" x14ac:dyDescent="0.25">
      <c r="G4741" s="459"/>
      <c r="H4741" s="459">
        <v>4734</v>
      </c>
      <c r="I4741" s="444">
        <f t="shared" ca="1" si="175"/>
        <v>-285516533628159.69</v>
      </c>
      <c r="J4741" s="444">
        <f t="array" ref="J4741">IFERROR(INDEX('Retirement Calculator'!K:K,MATCH('Lorri 401b'!N4741,'Retirement Calculator'!A:A,0),0),0)</f>
        <v>0</v>
      </c>
      <c r="K4741" s="444">
        <f t="shared" ca="1" si="173"/>
        <v>-1189652223450.6653</v>
      </c>
      <c r="L4741" s="444">
        <f t="shared" ca="1" si="174"/>
        <v>-286706185851610.38</v>
      </c>
      <c r="M4741" s="460">
        <f t="shared" si="176"/>
        <v>0.05</v>
      </c>
      <c r="N4741" s="464">
        <f t="shared" si="177"/>
        <v>195346</v>
      </c>
    </row>
    <row r="4742" spans="7:14" ht="11.25" customHeight="1" x14ac:dyDescent="0.25">
      <c r="G4742" s="459"/>
      <c r="H4742" s="459">
        <v>4735</v>
      </c>
      <c r="I4742" s="444">
        <f t="shared" ca="1" si="175"/>
        <v>-286706185851610.38</v>
      </c>
      <c r="J4742" s="444">
        <f t="array" ref="J4742">IFERROR(INDEX('Retirement Calculator'!K:K,MATCH('Lorri 401b'!N4742,'Retirement Calculator'!A:A,0),0),0)</f>
        <v>0</v>
      </c>
      <c r="K4742" s="444">
        <f t="shared" ca="1" si="173"/>
        <v>-1194609107715.0432</v>
      </c>
      <c r="L4742" s="444">
        <f t="shared" ca="1" si="174"/>
        <v>-287900794959325.44</v>
      </c>
      <c r="M4742" s="460">
        <f t="shared" si="176"/>
        <v>0.05</v>
      </c>
      <c r="N4742" s="464">
        <f t="shared" si="177"/>
        <v>195376</v>
      </c>
    </row>
    <row r="4743" spans="7:14" ht="11.25" customHeight="1" x14ac:dyDescent="0.25">
      <c r="G4743" s="459"/>
      <c r="H4743" s="459">
        <v>4736</v>
      </c>
      <c r="I4743" s="444">
        <f t="shared" ca="1" si="175"/>
        <v>-287900794959325.44</v>
      </c>
      <c r="J4743" s="444">
        <f t="array" ref="J4743">IFERROR(INDEX('Retirement Calculator'!K:K,MATCH('Lorri 401b'!N4743,'Retirement Calculator'!A:A,0),0),0)</f>
        <v>0</v>
      </c>
      <c r="K4743" s="444">
        <f t="shared" ca="1" si="173"/>
        <v>-1199586645663.856</v>
      </c>
      <c r="L4743" s="444">
        <f t="shared" ca="1" si="174"/>
        <v>-289100381604989.31</v>
      </c>
      <c r="M4743" s="460">
        <f t="shared" si="176"/>
        <v>0.05</v>
      </c>
      <c r="N4743" s="464">
        <f t="shared" si="177"/>
        <v>195407</v>
      </c>
    </row>
    <row r="4744" spans="7:14" ht="11.25" customHeight="1" x14ac:dyDescent="0.25">
      <c r="G4744" s="459"/>
      <c r="H4744" s="459">
        <v>4737</v>
      </c>
      <c r="I4744" s="444">
        <f t="shared" ca="1" si="175"/>
        <v>-289100381604989.31</v>
      </c>
      <c r="J4744" s="444">
        <f t="array" ref="J4744">IFERROR(INDEX('Retirement Calculator'!K:K,MATCH('Lorri 401b'!N4744,'Retirement Calculator'!A:A,0),0),0)</f>
        <v>0</v>
      </c>
      <c r="K4744" s="444">
        <f t="shared" ca="1" si="173"/>
        <v>-1204584923354.1221</v>
      </c>
      <c r="L4744" s="444">
        <f t="shared" ca="1" si="174"/>
        <v>-290304966528343.44</v>
      </c>
      <c r="M4744" s="460">
        <f t="shared" si="176"/>
        <v>0.05</v>
      </c>
      <c r="N4744" s="464">
        <f t="shared" si="177"/>
        <v>195438</v>
      </c>
    </row>
    <row r="4745" spans="7:14" ht="11.25" customHeight="1" x14ac:dyDescent="0.25">
      <c r="G4745" s="459"/>
      <c r="H4745" s="459">
        <v>4738</v>
      </c>
      <c r="I4745" s="444">
        <f t="shared" ca="1" si="175"/>
        <v>-290304966528343.44</v>
      </c>
      <c r="J4745" s="444">
        <f t="array" ref="J4745">IFERROR(INDEX('Retirement Calculator'!K:K,MATCH('Lorri 401b'!N4745,'Retirement Calculator'!A:A,0),0),0)</f>
        <v>0</v>
      </c>
      <c r="K4745" s="444">
        <f t="shared" ca="1" si="173"/>
        <v>-1209604027201.4309</v>
      </c>
      <c r="L4745" s="444">
        <f t="shared" ca="1" si="174"/>
        <v>-291514570555544.88</v>
      </c>
      <c r="M4745" s="460">
        <f t="shared" si="176"/>
        <v>0.05</v>
      </c>
      <c r="N4745" s="464">
        <f t="shared" si="177"/>
        <v>195466</v>
      </c>
    </row>
    <row r="4746" spans="7:14" ht="11.25" customHeight="1" x14ac:dyDescent="0.25">
      <c r="G4746" s="459"/>
      <c r="H4746" s="459">
        <v>4739</v>
      </c>
      <c r="I4746" s="444">
        <f t="shared" ca="1" si="175"/>
        <v>-291514570555544.88</v>
      </c>
      <c r="J4746" s="444">
        <f t="array" ref="J4746">IFERROR(INDEX('Retirement Calculator'!K:K,MATCH('Lorri 401b'!N4746,'Retirement Calculator'!A:A,0),0),0)</f>
        <v>0</v>
      </c>
      <c r="K4746" s="444">
        <f t="shared" ca="1" si="173"/>
        <v>-1214644043981.437</v>
      </c>
      <c r="L4746" s="444">
        <f t="shared" ca="1" si="174"/>
        <v>-292729214599526.31</v>
      </c>
      <c r="M4746" s="460">
        <f t="shared" si="176"/>
        <v>0.05</v>
      </c>
      <c r="N4746" s="464">
        <f t="shared" si="177"/>
        <v>195497</v>
      </c>
    </row>
    <row r="4747" spans="7:14" ht="11.25" customHeight="1" x14ac:dyDescent="0.25">
      <c r="G4747" s="459"/>
      <c r="H4747" s="459">
        <v>4740</v>
      </c>
      <c r="I4747" s="444">
        <f t="shared" ca="1" si="175"/>
        <v>-292729214599526.31</v>
      </c>
      <c r="J4747" s="444">
        <f t="array" ref="J4747">IFERROR(INDEX('Retirement Calculator'!K:K,MATCH('Lorri 401b'!N4747,'Retirement Calculator'!A:A,0),0),0)</f>
        <v>0</v>
      </c>
      <c r="K4747" s="444">
        <f t="shared" ca="1" si="173"/>
        <v>-1219705060831.3596</v>
      </c>
      <c r="L4747" s="444">
        <f t="shared" ca="1" si="174"/>
        <v>-293948919660357.69</v>
      </c>
      <c r="M4747" s="460">
        <f t="shared" si="176"/>
        <v>0.05</v>
      </c>
      <c r="N4747" s="464">
        <f t="shared" si="177"/>
        <v>195527</v>
      </c>
    </row>
    <row r="4748" spans="7:14" ht="11.25" customHeight="1" x14ac:dyDescent="0.25">
      <c r="G4748" s="459"/>
      <c r="H4748" s="459">
        <v>4741</v>
      </c>
      <c r="I4748" s="444">
        <f t="shared" ca="1" si="175"/>
        <v>-293948919660357.69</v>
      </c>
      <c r="J4748" s="444">
        <f t="array" ref="J4748">IFERROR(INDEX('Retirement Calculator'!K:K,MATCH('Lorri 401b'!N4748,'Retirement Calculator'!A:A,0),0),0)</f>
        <v>0</v>
      </c>
      <c r="K4748" s="444">
        <f t="shared" ca="1" si="173"/>
        <v>-1224787165251.4902</v>
      </c>
      <c r="L4748" s="444">
        <f t="shared" ca="1" si="174"/>
        <v>-295173706825609.19</v>
      </c>
      <c r="M4748" s="460">
        <f t="shared" si="176"/>
        <v>0.05</v>
      </c>
      <c r="N4748" s="464">
        <f t="shared" si="177"/>
        <v>195558</v>
      </c>
    </row>
    <row r="4749" spans="7:14" ht="11.25" customHeight="1" x14ac:dyDescent="0.25">
      <c r="G4749" s="459"/>
      <c r="H4749" s="459">
        <v>4742</v>
      </c>
      <c r="I4749" s="444">
        <f t="shared" ca="1" si="175"/>
        <v>-295173706825609.19</v>
      </c>
      <c r="J4749" s="444">
        <f t="array" ref="J4749">IFERROR(INDEX('Retirement Calculator'!K:K,MATCH('Lorri 401b'!N4749,'Retirement Calculator'!A:A,0),0),0)</f>
        <v>0</v>
      </c>
      <c r="K4749" s="444">
        <f t="shared" ca="1" si="173"/>
        <v>-1229890445106.7048</v>
      </c>
      <c r="L4749" s="444">
        <f t="shared" ca="1" si="174"/>
        <v>-296403597270715.88</v>
      </c>
      <c r="M4749" s="460">
        <f t="shared" si="176"/>
        <v>0.05</v>
      </c>
      <c r="N4749" s="464">
        <f t="shared" si="177"/>
        <v>195588</v>
      </c>
    </row>
    <row r="4750" spans="7:14" ht="11.25" customHeight="1" x14ac:dyDescent="0.25">
      <c r="G4750" s="459"/>
      <c r="H4750" s="459">
        <v>4743</v>
      </c>
      <c r="I4750" s="444">
        <f t="shared" ca="1" si="175"/>
        <v>-296403597270715.88</v>
      </c>
      <c r="J4750" s="444">
        <f t="array" ref="J4750">IFERROR(INDEX('Retirement Calculator'!K:K,MATCH('Lorri 401b'!N4750,'Retirement Calculator'!A:A,0),0),0)</f>
        <v>0</v>
      </c>
      <c r="K4750" s="444">
        <f t="shared" ca="1" si="173"/>
        <v>-1235014988627.9829</v>
      </c>
      <c r="L4750" s="444">
        <f t="shared" ca="1" si="174"/>
        <v>-297638612259343.88</v>
      </c>
      <c r="M4750" s="460">
        <f t="shared" si="176"/>
        <v>0.05</v>
      </c>
      <c r="N4750" s="464">
        <f t="shared" si="177"/>
        <v>195619</v>
      </c>
    </row>
    <row r="4751" spans="7:14" ht="11.25" customHeight="1" x14ac:dyDescent="0.25">
      <c r="G4751" s="459"/>
      <c r="H4751" s="459">
        <v>4744</v>
      </c>
      <c r="I4751" s="444">
        <f t="shared" ca="1" si="175"/>
        <v>-297638612259343.88</v>
      </c>
      <c r="J4751" s="444">
        <f t="array" ref="J4751">IFERROR(INDEX('Retirement Calculator'!K:K,MATCH('Lorri 401b'!N4751,'Retirement Calculator'!A:A,0),0),0)</f>
        <v>0</v>
      </c>
      <c r="K4751" s="444">
        <f t="shared" ca="1" si="173"/>
        <v>-1240160884413.9329</v>
      </c>
      <c r="L4751" s="444">
        <f t="shared" ca="1" si="174"/>
        <v>-298878773143757.81</v>
      </c>
      <c r="M4751" s="460">
        <f t="shared" si="176"/>
        <v>0.05</v>
      </c>
      <c r="N4751" s="464">
        <f t="shared" si="177"/>
        <v>195650</v>
      </c>
    </row>
    <row r="4752" spans="7:14" ht="11.25" customHeight="1" x14ac:dyDescent="0.25">
      <c r="G4752" s="459"/>
      <c r="H4752" s="459">
        <v>4745</v>
      </c>
      <c r="I4752" s="444">
        <f t="shared" ca="1" si="175"/>
        <v>-298878773143757.81</v>
      </c>
      <c r="J4752" s="444">
        <f t="array" ref="J4752">IFERROR(INDEX('Retirement Calculator'!K:K,MATCH('Lorri 401b'!N4752,'Retirement Calculator'!A:A,0),0),0)</f>
        <v>0</v>
      </c>
      <c r="K4752" s="444">
        <f t="shared" ca="1" si="173"/>
        <v>-1245328221432.3242</v>
      </c>
      <c r="L4752" s="444">
        <f t="shared" ca="1" si="174"/>
        <v>-300124101365190.13</v>
      </c>
      <c r="M4752" s="460">
        <f t="shared" si="176"/>
        <v>0.05</v>
      </c>
      <c r="N4752" s="464">
        <f t="shared" si="177"/>
        <v>195680</v>
      </c>
    </row>
    <row r="4753" spans="7:14" ht="11.25" customHeight="1" x14ac:dyDescent="0.25">
      <c r="G4753" s="459"/>
      <c r="H4753" s="459">
        <v>4746</v>
      </c>
      <c r="I4753" s="444">
        <f t="shared" ca="1" si="175"/>
        <v>-300124101365190.13</v>
      </c>
      <c r="J4753" s="444">
        <f t="array" ref="J4753">IFERROR(INDEX('Retirement Calculator'!K:K,MATCH('Lorri 401b'!N4753,'Retirement Calculator'!A:A,0),0),0)</f>
        <v>0</v>
      </c>
      <c r="K4753" s="444">
        <f t="shared" ca="1" si="173"/>
        <v>-1250517089021.6255</v>
      </c>
      <c r="L4753" s="444">
        <f t="shared" ca="1" si="174"/>
        <v>-301374618454211.75</v>
      </c>
      <c r="M4753" s="460">
        <f t="shared" si="176"/>
        <v>0.05</v>
      </c>
      <c r="N4753" s="464">
        <f t="shared" si="177"/>
        <v>195711</v>
      </c>
    </row>
    <row r="4754" spans="7:14" ht="11.25" customHeight="1" x14ac:dyDescent="0.25">
      <c r="G4754" s="459"/>
      <c r="H4754" s="459">
        <v>4747</v>
      </c>
      <c r="I4754" s="444">
        <f t="shared" ca="1" si="175"/>
        <v>-301374618454211.75</v>
      </c>
      <c r="J4754" s="444">
        <f t="array" ref="J4754">IFERROR(INDEX('Retirement Calculator'!K:K,MATCH('Lorri 401b'!N4754,'Retirement Calculator'!A:A,0),0),0)</f>
        <v>0</v>
      </c>
      <c r="K4754" s="444">
        <f t="shared" ca="1" si="173"/>
        <v>-1255727576892.5488</v>
      </c>
      <c r="L4754" s="444">
        <f t="shared" ca="1" si="174"/>
        <v>-302630346031104.31</v>
      </c>
      <c r="M4754" s="460">
        <f t="shared" si="176"/>
        <v>0.05</v>
      </c>
      <c r="N4754" s="464">
        <f t="shared" si="177"/>
        <v>195741</v>
      </c>
    </row>
    <row r="4755" spans="7:14" ht="11.25" customHeight="1" x14ac:dyDescent="0.25">
      <c r="G4755" s="459"/>
      <c r="H4755" s="459">
        <v>4748</v>
      </c>
      <c r="I4755" s="444">
        <f t="shared" ca="1" si="175"/>
        <v>-302630346031104.31</v>
      </c>
      <c r="J4755" s="444">
        <f t="array" ref="J4755">IFERROR(INDEX('Retirement Calculator'!K:K,MATCH('Lorri 401b'!N4755,'Retirement Calculator'!A:A,0),0),0)</f>
        <v>0</v>
      </c>
      <c r="K4755" s="444">
        <f t="shared" ca="1" si="173"/>
        <v>-1260959775129.6013</v>
      </c>
      <c r="L4755" s="444">
        <f t="shared" ca="1" si="174"/>
        <v>-303891305806233.94</v>
      </c>
      <c r="M4755" s="460">
        <f t="shared" si="176"/>
        <v>0.05</v>
      </c>
      <c r="N4755" s="464">
        <f t="shared" si="177"/>
        <v>195772</v>
      </c>
    </row>
    <row r="4756" spans="7:14" ht="11.25" customHeight="1" x14ac:dyDescent="0.25">
      <c r="G4756" s="459"/>
      <c r="H4756" s="459">
        <v>4749</v>
      </c>
      <c r="I4756" s="444">
        <f t="shared" ca="1" si="175"/>
        <v>-303891305806233.94</v>
      </c>
      <c r="J4756" s="444">
        <f t="array" ref="J4756">IFERROR(INDEX('Retirement Calculator'!K:K,MATCH('Lorri 401b'!N4756,'Retirement Calculator'!A:A,0),0),0)</f>
        <v>0</v>
      </c>
      <c r="K4756" s="444">
        <f t="shared" ca="1" si="173"/>
        <v>-1266213774192.6414</v>
      </c>
      <c r="L4756" s="444">
        <f t="shared" ca="1" si="174"/>
        <v>-305157519580426.56</v>
      </c>
      <c r="M4756" s="460">
        <f t="shared" si="176"/>
        <v>0.05</v>
      </c>
      <c r="N4756" s="464">
        <f t="shared" si="177"/>
        <v>195803</v>
      </c>
    </row>
    <row r="4757" spans="7:14" ht="11.25" customHeight="1" x14ac:dyDescent="0.25">
      <c r="G4757" s="459"/>
      <c r="H4757" s="459">
        <v>4750</v>
      </c>
      <c r="I4757" s="444">
        <f t="shared" ca="1" si="175"/>
        <v>-305157519580426.56</v>
      </c>
      <c r="J4757" s="444">
        <f t="array" ref="J4757">IFERROR(INDEX('Retirement Calculator'!K:K,MATCH('Lorri 401b'!N4757,'Retirement Calculator'!A:A,0),0),0)</f>
        <v>0</v>
      </c>
      <c r="K4757" s="444">
        <f t="shared" ca="1" si="173"/>
        <v>-1271489664918.4441</v>
      </c>
      <c r="L4757" s="444">
        <f t="shared" ca="1" si="174"/>
        <v>-306429009245345</v>
      </c>
      <c r="M4757" s="460">
        <f t="shared" si="176"/>
        <v>0.05</v>
      </c>
      <c r="N4757" s="464">
        <f t="shared" si="177"/>
        <v>195832</v>
      </c>
    </row>
    <row r="4758" spans="7:14" ht="11.25" customHeight="1" x14ac:dyDescent="0.25">
      <c r="G4758" s="459"/>
      <c r="H4758" s="459">
        <v>4751</v>
      </c>
      <c r="I4758" s="444">
        <f t="shared" ca="1" si="175"/>
        <v>-306429009245345</v>
      </c>
      <c r="J4758" s="444">
        <f t="array" ref="J4758">IFERROR(INDEX('Retirement Calculator'!K:K,MATCH('Lorri 401b'!N4758,'Retirement Calculator'!A:A,0),0),0)</f>
        <v>0</v>
      </c>
      <c r="K4758" s="444">
        <f t="shared" ca="1" si="173"/>
        <v>-1276787538522.2708</v>
      </c>
      <c r="L4758" s="444">
        <f t="shared" ca="1" si="174"/>
        <v>-307705796783867.25</v>
      </c>
      <c r="M4758" s="460">
        <f t="shared" si="176"/>
        <v>0.05</v>
      </c>
      <c r="N4758" s="464">
        <f t="shared" si="177"/>
        <v>195863</v>
      </c>
    </row>
    <row r="4759" spans="7:14" ht="11.25" customHeight="1" x14ac:dyDescent="0.25">
      <c r="G4759" s="459"/>
      <c r="H4759" s="459">
        <v>4752</v>
      </c>
      <c r="I4759" s="444">
        <f t="shared" ca="1" si="175"/>
        <v>-307705796783867.25</v>
      </c>
      <c r="J4759" s="444">
        <f t="array" ref="J4759">IFERROR(INDEX('Retirement Calculator'!K:K,MATCH('Lorri 401b'!N4759,'Retirement Calculator'!A:A,0),0),0)</f>
        <v>0</v>
      </c>
      <c r="K4759" s="444">
        <f t="shared" ca="1" si="173"/>
        <v>-1282107486599.4468</v>
      </c>
      <c r="L4759" s="444">
        <f t="shared" ca="1" si="174"/>
        <v>-308987904270466.69</v>
      </c>
      <c r="M4759" s="460">
        <f t="shared" si="176"/>
        <v>0.05</v>
      </c>
      <c r="N4759" s="464">
        <f t="shared" si="177"/>
        <v>195893</v>
      </c>
    </row>
    <row r="4760" spans="7:14" ht="11.25" customHeight="1" x14ac:dyDescent="0.25">
      <c r="G4760" s="459"/>
      <c r="H4760" s="459">
        <v>4753</v>
      </c>
      <c r="I4760" s="444">
        <f t="shared" ca="1" si="175"/>
        <v>-308987904270466.69</v>
      </c>
      <c r="J4760" s="444">
        <f t="array" ref="J4760">IFERROR(INDEX('Retirement Calculator'!K:K,MATCH('Lorri 401b'!N4760,'Retirement Calculator'!A:A,0),0),0)</f>
        <v>0</v>
      </c>
      <c r="K4760" s="444">
        <f t="shared" ca="1" si="173"/>
        <v>-1287449601126.9446</v>
      </c>
      <c r="L4760" s="444">
        <f t="shared" ca="1" si="174"/>
        <v>-310275353871593.63</v>
      </c>
      <c r="M4760" s="460">
        <f t="shared" si="176"/>
        <v>0.05</v>
      </c>
      <c r="N4760" s="464">
        <f t="shared" si="177"/>
        <v>195924</v>
      </c>
    </row>
    <row r="4761" spans="7:14" ht="11.25" customHeight="1" x14ac:dyDescent="0.25">
      <c r="G4761" s="459"/>
      <c r="H4761" s="459">
        <v>4754</v>
      </c>
      <c r="I4761" s="444">
        <f t="shared" ca="1" si="175"/>
        <v>-310275353871593.63</v>
      </c>
      <c r="J4761" s="444">
        <f t="array" ref="J4761">IFERROR(INDEX('Retirement Calculator'!K:K,MATCH('Lorri 401b'!N4761,'Retirement Calculator'!A:A,0),0),0)</f>
        <v>0</v>
      </c>
      <c r="K4761" s="444">
        <f t="shared" ca="1" si="173"/>
        <v>-1292813974464.9734</v>
      </c>
      <c r="L4761" s="444">
        <f t="shared" ca="1" si="174"/>
        <v>-311568167846058.63</v>
      </c>
      <c r="M4761" s="460">
        <f t="shared" si="176"/>
        <v>0.05</v>
      </c>
      <c r="N4761" s="464">
        <f t="shared" si="177"/>
        <v>195954</v>
      </c>
    </row>
    <row r="4762" spans="7:14" ht="11.25" customHeight="1" x14ac:dyDescent="0.25">
      <c r="G4762" s="459"/>
      <c r="H4762" s="459">
        <v>4755</v>
      </c>
      <c r="I4762" s="444">
        <f t="shared" ca="1" si="175"/>
        <v>-311568167846058.63</v>
      </c>
      <c r="J4762" s="444">
        <f t="array" ref="J4762">IFERROR(INDEX('Retirement Calculator'!K:K,MATCH('Lorri 401b'!N4762,'Retirement Calculator'!A:A,0),0),0)</f>
        <v>0</v>
      </c>
      <c r="K4762" s="444">
        <f t="shared" ca="1" si="173"/>
        <v>-1298200699358.5776</v>
      </c>
      <c r="L4762" s="444">
        <f t="shared" ca="1" si="174"/>
        <v>-312866368545417.19</v>
      </c>
      <c r="M4762" s="460">
        <f t="shared" si="176"/>
        <v>0.05</v>
      </c>
      <c r="N4762" s="464">
        <f t="shared" si="177"/>
        <v>195985</v>
      </c>
    </row>
    <row r="4763" spans="7:14" ht="11.25" customHeight="1" x14ac:dyDescent="0.25">
      <c r="G4763" s="459"/>
      <c r="H4763" s="459">
        <v>4756</v>
      </c>
      <c r="I4763" s="444">
        <f t="shared" ca="1" si="175"/>
        <v>-312866368545417.19</v>
      </c>
      <c r="J4763" s="444">
        <f t="array" ref="J4763">IFERROR(INDEX('Retirement Calculator'!K:K,MATCH('Lorri 401b'!N4763,'Retirement Calculator'!A:A,0),0),0)</f>
        <v>0</v>
      </c>
      <c r="K4763" s="444">
        <f t="shared" ca="1" si="173"/>
        <v>-1303609868939.2383</v>
      </c>
      <c r="L4763" s="444">
        <f t="shared" ca="1" si="174"/>
        <v>-314169978414356.44</v>
      </c>
      <c r="M4763" s="460">
        <f t="shared" si="176"/>
        <v>0.05</v>
      </c>
      <c r="N4763" s="464">
        <f t="shared" si="177"/>
        <v>196016</v>
      </c>
    </row>
    <row r="4764" spans="7:14" ht="11.25" customHeight="1" x14ac:dyDescent="0.25">
      <c r="G4764" s="459"/>
      <c r="H4764" s="459">
        <v>4757</v>
      </c>
      <c r="I4764" s="444">
        <f t="shared" ca="1" si="175"/>
        <v>-314169978414356.44</v>
      </c>
      <c r="J4764" s="444">
        <f t="array" ref="J4764">IFERROR(INDEX('Retirement Calculator'!K:K,MATCH('Lorri 401b'!N4764,'Retirement Calculator'!A:A,0),0),0)</f>
        <v>0</v>
      </c>
      <c r="K4764" s="444">
        <f t="shared" ca="1" si="173"/>
        <v>-1309041576726.4851</v>
      </c>
      <c r="L4764" s="444">
        <f t="shared" ca="1" si="174"/>
        <v>-315479019991082.94</v>
      </c>
      <c r="M4764" s="460">
        <f t="shared" si="176"/>
        <v>0.05</v>
      </c>
      <c r="N4764" s="464">
        <f t="shared" si="177"/>
        <v>196046</v>
      </c>
    </row>
    <row r="4765" spans="7:14" ht="11.25" customHeight="1" x14ac:dyDescent="0.25">
      <c r="G4765" s="459"/>
      <c r="H4765" s="459">
        <v>4758</v>
      </c>
      <c r="I4765" s="444">
        <f t="shared" ca="1" si="175"/>
        <v>-315479019991082.94</v>
      </c>
      <c r="J4765" s="444">
        <f t="array" ref="J4765">IFERROR(INDEX('Retirement Calculator'!K:K,MATCH('Lorri 401b'!N4765,'Retirement Calculator'!A:A,0),0),0)</f>
        <v>0</v>
      </c>
      <c r="K4765" s="444">
        <f t="shared" ca="1" si="173"/>
        <v>-1314495916629.5122</v>
      </c>
      <c r="L4765" s="444">
        <f t="shared" ca="1" si="174"/>
        <v>-316793515907712.44</v>
      </c>
      <c r="M4765" s="460">
        <f t="shared" si="176"/>
        <v>0.05</v>
      </c>
      <c r="N4765" s="464">
        <f t="shared" si="177"/>
        <v>196077</v>
      </c>
    </row>
    <row r="4766" spans="7:14" ht="11.25" customHeight="1" x14ac:dyDescent="0.25">
      <c r="G4766" s="459"/>
      <c r="H4766" s="459">
        <v>4759</v>
      </c>
      <c r="I4766" s="444">
        <f t="shared" ca="1" si="175"/>
        <v>-316793515907712.44</v>
      </c>
      <c r="J4766" s="444">
        <f t="array" ref="J4766">IFERROR(INDEX('Retirement Calculator'!K:K,MATCH('Lorri 401b'!N4766,'Retirement Calculator'!A:A,0),0),0)</f>
        <v>0</v>
      </c>
      <c r="K4766" s="444">
        <f t="shared" ca="1" si="173"/>
        <v>-1319972982948.8018</v>
      </c>
      <c r="L4766" s="444">
        <f t="shared" ca="1" si="174"/>
        <v>-318113488890661.25</v>
      </c>
      <c r="M4766" s="460">
        <f t="shared" si="176"/>
        <v>0.05</v>
      </c>
      <c r="N4766" s="464">
        <f t="shared" si="177"/>
        <v>196107</v>
      </c>
    </row>
    <row r="4767" spans="7:14" ht="11.25" customHeight="1" x14ac:dyDescent="0.25">
      <c r="G4767" s="459"/>
      <c r="H4767" s="459">
        <v>4760</v>
      </c>
      <c r="I4767" s="444">
        <f t="shared" ca="1" si="175"/>
        <v>-318113488890661.25</v>
      </c>
      <c r="J4767" s="444">
        <f t="array" ref="J4767">IFERROR(INDEX('Retirement Calculator'!K:K,MATCH('Lorri 401b'!N4767,'Retirement Calculator'!A:A,0),0),0)</f>
        <v>0</v>
      </c>
      <c r="K4767" s="444">
        <f t="shared" ca="1" si="173"/>
        <v>-1325472870377.7551</v>
      </c>
      <c r="L4767" s="444">
        <f t="shared" ca="1" si="174"/>
        <v>-319438961761039</v>
      </c>
      <c r="M4767" s="460">
        <f t="shared" si="176"/>
        <v>0.05</v>
      </c>
      <c r="N4767" s="464">
        <f t="shared" si="177"/>
        <v>196138</v>
      </c>
    </row>
    <row r="4768" spans="7:14" ht="11.25" customHeight="1" x14ac:dyDescent="0.25">
      <c r="G4768" s="459"/>
      <c r="H4768" s="459">
        <v>4761</v>
      </c>
      <c r="I4768" s="444">
        <f t="shared" ca="1" si="175"/>
        <v>-319438961761039</v>
      </c>
      <c r="J4768" s="444">
        <f t="array" ref="J4768">IFERROR(INDEX('Retirement Calculator'!K:K,MATCH('Lorri 401b'!N4768,'Retirement Calculator'!A:A,0),0),0)</f>
        <v>0</v>
      </c>
      <c r="K4768" s="444">
        <f t="shared" ca="1" si="173"/>
        <v>-1330995674004.3291</v>
      </c>
      <c r="L4768" s="444">
        <f t="shared" ca="1" si="174"/>
        <v>-320769957435043.31</v>
      </c>
      <c r="M4768" s="460">
        <f t="shared" si="176"/>
        <v>0.05</v>
      </c>
      <c r="N4768" s="464">
        <f t="shared" si="177"/>
        <v>196169</v>
      </c>
    </row>
    <row r="4769" spans="7:14" ht="11.25" customHeight="1" x14ac:dyDescent="0.25">
      <c r="G4769" s="459"/>
      <c r="H4769" s="459">
        <v>4762</v>
      </c>
      <c r="I4769" s="444">
        <f t="shared" ca="1" si="175"/>
        <v>-320769957435043.31</v>
      </c>
      <c r="J4769" s="444">
        <f t="array" ref="J4769">IFERROR(INDEX('Retirement Calculator'!K:K,MATCH('Lorri 401b'!N4769,'Retirement Calculator'!A:A,0),0),0)</f>
        <v>0</v>
      </c>
      <c r="K4769" s="444">
        <f t="shared" ca="1" si="173"/>
        <v>-1336541489312.6804</v>
      </c>
      <c r="L4769" s="444">
        <f t="shared" ca="1" si="174"/>
        <v>-322106498924356</v>
      </c>
      <c r="M4769" s="460">
        <f t="shared" si="176"/>
        <v>0.05</v>
      </c>
      <c r="N4769" s="464">
        <f t="shared" si="177"/>
        <v>196197</v>
      </c>
    </row>
    <row r="4770" spans="7:14" ht="11.25" customHeight="1" x14ac:dyDescent="0.25">
      <c r="G4770" s="459"/>
      <c r="H4770" s="459">
        <v>4763</v>
      </c>
      <c r="I4770" s="444">
        <f t="shared" ca="1" si="175"/>
        <v>-322106498924356</v>
      </c>
      <c r="J4770" s="444">
        <f t="array" ref="J4770">IFERROR(INDEX('Retirement Calculator'!K:K,MATCH('Lorri 401b'!N4770,'Retirement Calculator'!A:A,0),0),0)</f>
        <v>0</v>
      </c>
      <c r="K4770" s="444">
        <f t="shared" ca="1" si="173"/>
        <v>-1342110412184.8167</v>
      </c>
      <c r="L4770" s="444">
        <f t="shared" ca="1" si="174"/>
        <v>-323448609336540.81</v>
      </c>
      <c r="M4770" s="460">
        <f t="shared" si="176"/>
        <v>0.05</v>
      </c>
      <c r="N4770" s="464">
        <f t="shared" si="177"/>
        <v>196228</v>
      </c>
    </row>
    <row r="4771" spans="7:14" ht="11.25" customHeight="1" x14ac:dyDescent="0.25">
      <c r="G4771" s="459"/>
      <c r="H4771" s="459">
        <v>4764</v>
      </c>
      <c r="I4771" s="444">
        <f t="shared" ca="1" si="175"/>
        <v>-323448609336540.81</v>
      </c>
      <c r="J4771" s="444">
        <f t="array" ref="J4771">IFERROR(INDEX('Retirement Calculator'!K:K,MATCH('Lorri 401b'!N4771,'Retirement Calculator'!A:A,0),0),0)</f>
        <v>0</v>
      </c>
      <c r="K4771" s="444">
        <f t="shared" ca="1" si="173"/>
        <v>-1347702538902.2534</v>
      </c>
      <c r="L4771" s="444">
        <f t="shared" ca="1" si="174"/>
        <v>-324796311875443.06</v>
      </c>
      <c r="M4771" s="460">
        <f t="shared" si="176"/>
        <v>0.05</v>
      </c>
      <c r="N4771" s="464">
        <f t="shared" si="177"/>
        <v>196258</v>
      </c>
    </row>
    <row r="4772" spans="7:14" ht="11.25" customHeight="1" x14ac:dyDescent="0.25">
      <c r="G4772" s="459"/>
      <c r="H4772" s="459">
        <v>4765</v>
      </c>
      <c r="I4772" s="444">
        <f t="shared" ca="1" si="175"/>
        <v>-324796311875443.06</v>
      </c>
      <c r="J4772" s="444">
        <f t="array" ref="J4772">IFERROR(INDEX('Retirement Calculator'!K:K,MATCH('Lorri 401b'!N4772,'Retirement Calculator'!A:A,0),0),0)</f>
        <v>0</v>
      </c>
      <c r="K4772" s="444">
        <f t="shared" ca="1" si="173"/>
        <v>-1353317966147.6794</v>
      </c>
      <c r="L4772" s="444">
        <f t="shared" ca="1" si="174"/>
        <v>-326149629841590.75</v>
      </c>
      <c r="M4772" s="460">
        <f t="shared" si="176"/>
        <v>0.05</v>
      </c>
      <c r="N4772" s="464">
        <f t="shared" si="177"/>
        <v>196289</v>
      </c>
    </row>
    <row r="4773" spans="7:14" ht="11.25" customHeight="1" x14ac:dyDescent="0.25">
      <c r="G4773" s="459"/>
      <c r="H4773" s="459">
        <v>4766</v>
      </c>
      <c r="I4773" s="444">
        <f t="shared" ca="1" si="175"/>
        <v>-326149629841590.75</v>
      </c>
      <c r="J4773" s="444">
        <f t="array" ref="J4773">IFERROR(INDEX('Retirement Calculator'!K:K,MATCH('Lorri 401b'!N4773,'Retirement Calculator'!A:A,0),0),0)</f>
        <v>0</v>
      </c>
      <c r="K4773" s="444">
        <f t="shared" ca="1" si="173"/>
        <v>-1358956791006.6282</v>
      </c>
      <c r="L4773" s="444">
        <f t="shared" ca="1" si="174"/>
        <v>-327508586632597.38</v>
      </c>
      <c r="M4773" s="460">
        <f t="shared" si="176"/>
        <v>0.05</v>
      </c>
      <c r="N4773" s="464">
        <f t="shared" si="177"/>
        <v>196319</v>
      </c>
    </row>
    <row r="4774" spans="7:14" ht="11.25" customHeight="1" x14ac:dyDescent="0.25">
      <c r="G4774" s="459"/>
      <c r="H4774" s="459">
        <v>4767</v>
      </c>
      <c r="I4774" s="444">
        <f t="shared" ca="1" si="175"/>
        <v>-327508586632597.38</v>
      </c>
      <c r="J4774" s="444">
        <f t="array" ref="J4774">IFERROR(INDEX('Retirement Calculator'!K:K,MATCH('Lorri 401b'!N4774,'Retirement Calculator'!A:A,0),0),0)</f>
        <v>0</v>
      </c>
      <c r="K4774" s="444">
        <f t="shared" ca="1" si="173"/>
        <v>-1364619110969.1558</v>
      </c>
      <c r="L4774" s="444">
        <f t="shared" ca="1" si="174"/>
        <v>-328873205743566.5</v>
      </c>
      <c r="M4774" s="460">
        <f t="shared" si="176"/>
        <v>0.05</v>
      </c>
      <c r="N4774" s="464">
        <f t="shared" si="177"/>
        <v>196350</v>
      </c>
    </row>
    <row r="4775" spans="7:14" ht="11.25" customHeight="1" x14ac:dyDescent="0.25">
      <c r="G4775" s="459"/>
      <c r="H4775" s="459">
        <v>4768</v>
      </c>
      <c r="I4775" s="444">
        <f t="shared" ca="1" si="175"/>
        <v>-328873205743566.5</v>
      </c>
      <c r="J4775" s="444">
        <f t="array" ref="J4775">IFERROR(INDEX('Retirement Calculator'!K:K,MATCH('Lorri 401b'!N4775,'Retirement Calculator'!A:A,0),0),0)</f>
        <v>0</v>
      </c>
      <c r="K4775" s="444">
        <f t="shared" ca="1" si="173"/>
        <v>-1370305023931.5271</v>
      </c>
      <c r="L4775" s="444">
        <f t="shared" ca="1" si="174"/>
        <v>-330243510767498</v>
      </c>
      <c r="M4775" s="460">
        <f t="shared" si="176"/>
        <v>0.05</v>
      </c>
      <c r="N4775" s="464">
        <f t="shared" si="177"/>
        <v>196381</v>
      </c>
    </row>
    <row r="4776" spans="7:14" ht="11.25" customHeight="1" x14ac:dyDescent="0.25">
      <c r="G4776" s="459"/>
      <c r="H4776" s="459">
        <v>4769</v>
      </c>
      <c r="I4776" s="444">
        <f t="shared" ca="1" si="175"/>
        <v>-330243510767498</v>
      </c>
      <c r="J4776" s="444">
        <f t="array" ref="J4776">IFERROR(INDEX('Retirement Calculator'!K:K,MATCH('Lorri 401b'!N4776,'Retirement Calculator'!A:A,0),0),0)</f>
        <v>0</v>
      </c>
      <c r="K4776" s="444">
        <f t="shared" ca="1" si="173"/>
        <v>-1376014628197.9082</v>
      </c>
      <c r="L4776" s="444">
        <f t="shared" ca="1" si="174"/>
        <v>-331619525395695.94</v>
      </c>
      <c r="M4776" s="460">
        <f t="shared" si="176"/>
        <v>0.05</v>
      </c>
      <c r="N4776" s="464">
        <f t="shared" si="177"/>
        <v>196411</v>
      </c>
    </row>
    <row r="4777" spans="7:14" ht="11.25" customHeight="1" x14ac:dyDescent="0.25">
      <c r="G4777" s="459"/>
      <c r="H4777" s="459">
        <v>4770</v>
      </c>
      <c r="I4777" s="444">
        <f t="shared" ca="1" si="175"/>
        <v>-331619525395695.94</v>
      </c>
      <c r="J4777" s="444">
        <f t="array" ref="J4777">IFERROR(INDEX('Retirement Calculator'!K:K,MATCH('Lorri 401b'!N4777,'Retirement Calculator'!A:A,0),0),0)</f>
        <v>0</v>
      </c>
      <c r="K4777" s="444">
        <f t="shared" ca="1" si="173"/>
        <v>-1381748022482.0664</v>
      </c>
      <c r="L4777" s="444">
        <f t="shared" ca="1" si="174"/>
        <v>-333001273418178</v>
      </c>
      <c r="M4777" s="460">
        <f t="shared" si="176"/>
        <v>0.05</v>
      </c>
      <c r="N4777" s="464">
        <f t="shared" si="177"/>
        <v>196442</v>
      </c>
    </row>
    <row r="4778" spans="7:14" ht="11.25" customHeight="1" x14ac:dyDescent="0.25">
      <c r="G4778" s="459"/>
      <c r="H4778" s="459">
        <v>4771</v>
      </c>
      <c r="I4778" s="444">
        <f t="shared" ca="1" si="175"/>
        <v>-333001273418178</v>
      </c>
      <c r="J4778" s="444">
        <f t="array" ref="J4778">IFERROR(INDEX('Retirement Calculator'!K:K,MATCH('Lorri 401b'!N4778,'Retirement Calculator'!A:A,0),0),0)</f>
        <v>0</v>
      </c>
      <c r="K4778" s="444">
        <f t="shared" ca="1" si="173"/>
        <v>-1387505305909.075</v>
      </c>
      <c r="L4778" s="444">
        <f t="shared" ca="1" si="174"/>
        <v>-334388778724087.06</v>
      </c>
      <c r="M4778" s="460">
        <f t="shared" si="176"/>
        <v>0.05</v>
      </c>
      <c r="N4778" s="464">
        <f t="shared" si="177"/>
        <v>196472</v>
      </c>
    </row>
    <row r="4779" spans="7:14" ht="11.25" customHeight="1" x14ac:dyDescent="0.25">
      <c r="G4779" s="459"/>
      <c r="H4779" s="459">
        <v>4772</v>
      </c>
      <c r="I4779" s="444">
        <f t="shared" ca="1" si="175"/>
        <v>-334388778724087.06</v>
      </c>
      <c r="J4779" s="444">
        <f t="array" ref="J4779">IFERROR(INDEX('Retirement Calculator'!K:K,MATCH('Lorri 401b'!N4779,'Retirement Calculator'!A:A,0),0),0)</f>
        <v>0</v>
      </c>
      <c r="K4779" s="444">
        <f t="shared" ca="1" si="173"/>
        <v>-1393286578017.0293</v>
      </c>
      <c r="L4779" s="444">
        <f t="shared" ca="1" si="174"/>
        <v>-335782065302104.06</v>
      </c>
      <c r="M4779" s="460">
        <f t="shared" si="176"/>
        <v>0.05</v>
      </c>
      <c r="N4779" s="464">
        <f t="shared" si="177"/>
        <v>196503</v>
      </c>
    </row>
    <row r="4780" spans="7:14" ht="11.25" customHeight="1" x14ac:dyDescent="0.25">
      <c r="G4780" s="459"/>
      <c r="H4780" s="459">
        <v>4773</v>
      </c>
      <c r="I4780" s="444">
        <f t="shared" ca="1" si="175"/>
        <v>-335782065302104.06</v>
      </c>
      <c r="J4780" s="444">
        <f t="array" ref="J4780">IFERROR(INDEX('Retirement Calculator'!K:K,MATCH('Lorri 401b'!N4780,'Retirement Calculator'!A:A,0),0),0)</f>
        <v>0</v>
      </c>
      <c r="K4780" s="444">
        <f t="shared" ca="1" si="173"/>
        <v>-1399091938758.7668</v>
      </c>
      <c r="L4780" s="444">
        <f t="shared" ca="1" si="174"/>
        <v>-337181157240862.81</v>
      </c>
      <c r="M4780" s="460">
        <f t="shared" si="176"/>
        <v>0.05</v>
      </c>
      <c r="N4780" s="464">
        <f t="shared" si="177"/>
        <v>196534</v>
      </c>
    </row>
    <row r="4781" spans="7:14" ht="11.25" customHeight="1" x14ac:dyDescent="0.25">
      <c r="G4781" s="459"/>
      <c r="H4781" s="459">
        <v>4774</v>
      </c>
      <c r="I4781" s="444">
        <f t="shared" ca="1" si="175"/>
        <v>-337181157240862.81</v>
      </c>
      <c r="J4781" s="444">
        <f t="array" ref="J4781">IFERROR(INDEX('Retirement Calculator'!K:K,MATCH('Lorri 401b'!N4781,'Retirement Calculator'!A:A,0),0),0)</f>
        <v>0</v>
      </c>
      <c r="K4781" s="444">
        <f t="shared" ca="1" si="173"/>
        <v>-1404921488503.595</v>
      </c>
      <c r="L4781" s="444">
        <f t="shared" ca="1" si="174"/>
        <v>-338586078729366.44</v>
      </c>
      <c r="M4781" s="460">
        <f t="shared" si="176"/>
        <v>0.05</v>
      </c>
      <c r="N4781" s="464">
        <f t="shared" si="177"/>
        <v>196562</v>
      </c>
    </row>
    <row r="4782" spans="7:14" ht="11.25" customHeight="1" x14ac:dyDescent="0.25">
      <c r="G4782" s="459"/>
      <c r="H4782" s="459">
        <v>4775</v>
      </c>
      <c r="I4782" s="444">
        <f t="shared" ca="1" si="175"/>
        <v>-338586078729366.44</v>
      </c>
      <c r="J4782" s="444">
        <f t="array" ref="J4782">IFERROR(INDEX('Retirement Calculator'!K:K,MATCH('Lorri 401b'!N4782,'Retirement Calculator'!A:A,0),0),0)</f>
        <v>0</v>
      </c>
      <c r="K4782" s="444">
        <f t="shared" ca="1" si="173"/>
        <v>-1410775328039.0269</v>
      </c>
      <c r="L4782" s="444">
        <f t="shared" ca="1" si="174"/>
        <v>-339996854057405.44</v>
      </c>
      <c r="M4782" s="460">
        <f t="shared" si="176"/>
        <v>0.05</v>
      </c>
      <c r="N4782" s="464">
        <f t="shared" si="177"/>
        <v>196593</v>
      </c>
    </row>
    <row r="4783" spans="7:14" ht="11.25" customHeight="1" x14ac:dyDescent="0.25">
      <c r="G4783" s="459"/>
      <c r="H4783" s="459">
        <v>4776</v>
      </c>
      <c r="I4783" s="444">
        <f t="shared" ca="1" si="175"/>
        <v>-339996854057405.44</v>
      </c>
      <c r="J4783" s="444">
        <f t="array" ref="J4783">IFERROR(INDEX('Retirement Calculator'!K:K,MATCH('Lorri 401b'!N4783,'Retirement Calculator'!A:A,0),0),0)</f>
        <v>0</v>
      </c>
      <c r="K4783" s="444">
        <f t="shared" ca="1" si="173"/>
        <v>-1416653558572.5227</v>
      </c>
      <c r="L4783" s="444">
        <f t="shared" ca="1" si="174"/>
        <v>-341413507615977.94</v>
      </c>
      <c r="M4783" s="460">
        <f t="shared" si="176"/>
        <v>0.05</v>
      </c>
      <c r="N4783" s="464">
        <f t="shared" si="177"/>
        <v>196623</v>
      </c>
    </row>
    <row r="4784" spans="7:14" ht="11.25" customHeight="1" x14ac:dyDescent="0.25">
      <c r="G4784" s="459"/>
      <c r="H4784" s="459">
        <v>4777</v>
      </c>
      <c r="I4784" s="444">
        <f t="shared" ca="1" si="175"/>
        <v>-341413507615977.94</v>
      </c>
      <c r="J4784" s="444">
        <f t="array" ref="J4784">IFERROR(INDEX('Retirement Calculator'!K:K,MATCH('Lorri 401b'!N4784,'Retirement Calculator'!A:A,0),0),0)</f>
        <v>0</v>
      </c>
      <c r="K4784" s="444">
        <f t="shared" ca="1" si="173"/>
        <v>-1422556281733.2415</v>
      </c>
      <c r="L4784" s="444">
        <f t="shared" ca="1" si="174"/>
        <v>-342836063897711.19</v>
      </c>
      <c r="M4784" s="460">
        <f t="shared" si="176"/>
        <v>0.05</v>
      </c>
      <c r="N4784" s="464">
        <f t="shared" si="177"/>
        <v>196654</v>
      </c>
    </row>
    <row r="4785" spans="7:14" ht="11.25" customHeight="1" x14ac:dyDescent="0.25">
      <c r="G4785" s="459"/>
      <c r="H4785" s="459">
        <v>4778</v>
      </c>
      <c r="I4785" s="444">
        <f t="shared" ca="1" si="175"/>
        <v>-342836063897711.19</v>
      </c>
      <c r="J4785" s="444">
        <f t="array" ref="J4785">IFERROR(INDEX('Retirement Calculator'!K:K,MATCH('Lorri 401b'!N4785,'Retirement Calculator'!A:A,0),0),0)</f>
        <v>0</v>
      </c>
      <c r="K4785" s="444">
        <f t="shared" ca="1" si="173"/>
        <v>-1428483599573.7966</v>
      </c>
      <c r="L4785" s="444">
        <f t="shared" ca="1" si="174"/>
        <v>-344264547497285</v>
      </c>
      <c r="M4785" s="460">
        <f t="shared" si="176"/>
        <v>0.05</v>
      </c>
      <c r="N4785" s="464">
        <f t="shared" si="177"/>
        <v>196684</v>
      </c>
    </row>
    <row r="4786" spans="7:14" ht="11.25" customHeight="1" x14ac:dyDescent="0.25">
      <c r="G4786" s="459"/>
      <c r="H4786" s="459">
        <v>4779</v>
      </c>
      <c r="I4786" s="444">
        <f t="shared" ca="1" si="175"/>
        <v>-344264547497285</v>
      </c>
      <c r="J4786" s="444">
        <f t="array" ref="J4786">IFERROR(INDEX('Retirement Calculator'!K:K,MATCH('Lorri 401b'!N4786,'Retirement Calculator'!A:A,0),0),0)</f>
        <v>0</v>
      </c>
      <c r="K4786" s="444">
        <f t="shared" ca="1" si="173"/>
        <v>-1434435614572.0208</v>
      </c>
      <c r="L4786" s="444">
        <f t="shared" ca="1" si="174"/>
        <v>-345698983111857</v>
      </c>
      <c r="M4786" s="460">
        <f t="shared" si="176"/>
        <v>0.05</v>
      </c>
      <c r="N4786" s="464">
        <f t="shared" si="177"/>
        <v>196715</v>
      </c>
    </row>
    <row r="4787" spans="7:14" ht="11.25" customHeight="1" x14ac:dyDescent="0.25">
      <c r="G4787" s="459"/>
      <c r="H4787" s="459">
        <v>4780</v>
      </c>
      <c r="I4787" s="444">
        <f t="shared" ca="1" si="175"/>
        <v>-345698983111857</v>
      </c>
      <c r="J4787" s="444">
        <f t="array" ref="J4787">IFERROR(INDEX('Retirement Calculator'!K:K,MATCH('Lorri 401b'!N4787,'Retirement Calculator'!A:A,0),0),0)</f>
        <v>0</v>
      </c>
      <c r="K4787" s="444">
        <f t="shared" ca="1" si="173"/>
        <v>-1440412429632.7375</v>
      </c>
      <c r="L4787" s="444">
        <f t="shared" ca="1" si="174"/>
        <v>-347139395541489.75</v>
      </c>
      <c r="M4787" s="460">
        <f t="shared" si="176"/>
        <v>0.05</v>
      </c>
      <c r="N4787" s="464">
        <f t="shared" si="177"/>
        <v>196746</v>
      </c>
    </row>
    <row r="4788" spans="7:14" ht="11.25" customHeight="1" x14ac:dyDescent="0.25">
      <c r="G4788" s="459"/>
      <c r="H4788" s="459">
        <v>4781</v>
      </c>
      <c r="I4788" s="444">
        <f t="shared" ca="1" si="175"/>
        <v>-347139395541489.75</v>
      </c>
      <c r="J4788" s="444">
        <f t="array" ref="J4788">IFERROR(INDEX('Retirement Calculator'!K:K,MATCH('Lorri 401b'!N4788,'Retirement Calculator'!A:A,0),0),0)</f>
        <v>0</v>
      </c>
      <c r="K4788" s="444">
        <f t="shared" ca="1" si="173"/>
        <v>-1446414148089.5405</v>
      </c>
      <c r="L4788" s="444">
        <f t="shared" ca="1" si="174"/>
        <v>-348585809689579.31</v>
      </c>
      <c r="M4788" s="460">
        <f t="shared" si="176"/>
        <v>0.05</v>
      </c>
      <c r="N4788" s="464">
        <f t="shared" si="177"/>
        <v>196776</v>
      </c>
    </row>
    <row r="4789" spans="7:14" ht="11.25" customHeight="1" x14ac:dyDescent="0.25">
      <c r="G4789" s="459"/>
      <c r="H4789" s="459">
        <v>4782</v>
      </c>
      <c r="I4789" s="444">
        <f t="shared" ca="1" si="175"/>
        <v>-348585809689579.31</v>
      </c>
      <c r="J4789" s="444">
        <f t="array" ref="J4789">IFERROR(INDEX('Retirement Calculator'!K:K,MATCH('Lorri 401b'!N4789,'Retirement Calculator'!A:A,0),0),0)</f>
        <v>0</v>
      </c>
      <c r="K4789" s="444">
        <f t="shared" ca="1" si="173"/>
        <v>-1452440873706.5806</v>
      </c>
      <c r="L4789" s="444">
        <f t="shared" ca="1" si="174"/>
        <v>-350038250563285.88</v>
      </c>
      <c r="M4789" s="460">
        <f t="shared" si="176"/>
        <v>0.05</v>
      </c>
      <c r="N4789" s="464">
        <f t="shared" si="177"/>
        <v>196807</v>
      </c>
    </row>
    <row r="4790" spans="7:14" ht="11.25" customHeight="1" x14ac:dyDescent="0.25">
      <c r="G4790" s="459"/>
      <c r="H4790" s="459">
        <v>4783</v>
      </c>
      <c r="I4790" s="444">
        <f t="shared" ca="1" si="175"/>
        <v>-350038250563285.88</v>
      </c>
      <c r="J4790" s="444">
        <f t="array" ref="J4790">IFERROR(INDEX('Retirement Calculator'!K:K,MATCH('Lorri 401b'!N4790,'Retirement Calculator'!A:A,0),0),0)</f>
        <v>0</v>
      </c>
      <c r="K4790" s="444">
        <f t="shared" ca="1" si="173"/>
        <v>-1458492710680.3579</v>
      </c>
      <c r="L4790" s="444">
        <f t="shared" ca="1" si="174"/>
        <v>-351496743273966.25</v>
      </c>
      <c r="M4790" s="460">
        <f t="shared" si="176"/>
        <v>0.05</v>
      </c>
      <c r="N4790" s="464">
        <f t="shared" si="177"/>
        <v>196837</v>
      </c>
    </row>
    <row r="4791" spans="7:14" ht="11.25" customHeight="1" x14ac:dyDescent="0.25">
      <c r="G4791" s="459"/>
      <c r="H4791" s="459">
        <v>4784</v>
      </c>
      <c r="I4791" s="444">
        <f t="shared" ca="1" si="175"/>
        <v>-351496743273966.25</v>
      </c>
      <c r="J4791" s="444">
        <f t="array" ref="J4791">IFERROR(INDEX('Retirement Calculator'!K:K,MATCH('Lorri 401b'!N4791,'Retirement Calculator'!A:A,0),0),0)</f>
        <v>0</v>
      </c>
      <c r="K4791" s="444">
        <f t="shared" ca="1" si="173"/>
        <v>-1464569763641.5261</v>
      </c>
      <c r="L4791" s="444">
        <f t="shared" ca="1" si="174"/>
        <v>-352961313037607.75</v>
      </c>
      <c r="M4791" s="460">
        <f t="shared" si="176"/>
        <v>0.05</v>
      </c>
      <c r="N4791" s="464">
        <f t="shared" si="177"/>
        <v>196868</v>
      </c>
    </row>
    <row r="4792" spans="7:14" ht="11.25" customHeight="1" x14ac:dyDescent="0.25">
      <c r="G4792" s="459"/>
      <c r="H4792" s="459">
        <v>4785</v>
      </c>
      <c r="I4792" s="444">
        <f t="shared" ca="1" si="175"/>
        <v>-352961313037607.75</v>
      </c>
      <c r="J4792" s="444">
        <f t="array" ref="J4792">IFERROR(INDEX('Retirement Calculator'!K:K,MATCH('Lorri 401b'!N4792,'Retirement Calculator'!A:A,0),0),0)</f>
        <v>0</v>
      </c>
      <c r="K4792" s="444">
        <f t="shared" ca="1" si="173"/>
        <v>-1470672137656.699</v>
      </c>
      <c r="L4792" s="444">
        <f t="shared" ca="1" si="174"/>
        <v>-354431985175264.44</v>
      </c>
      <c r="M4792" s="460">
        <f t="shared" si="176"/>
        <v>0.05</v>
      </c>
      <c r="N4792" s="464">
        <f t="shared" si="177"/>
        <v>196899</v>
      </c>
    </row>
    <row r="4793" spans="7:14" ht="11.25" customHeight="1" x14ac:dyDescent="0.25">
      <c r="G4793" s="459"/>
      <c r="H4793" s="459">
        <v>4786</v>
      </c>
      <c r="I4793" s="444">
        <f t="shared" ca="1" si="175"/>
        <v>-354431985175264.44</v>
      </c>
      <c r="J4793" s="444">
        <f t="array" ref="J4793">IFERROR(INDEX('Retirement Calculator'!K:K,MATCH('Lorri 401b'!N4793,'Retirement Calculator'!A:A,0),0),0)</f>
        <v>0</v>
      </c>
      <c r="K4793" s="444">
        <f t="shared" ca="1" si="173"/>
        <v>-1476799938230.2686</v>
      </c>
      <c r="L4793" s="444">
        <f t="shared" ca="1" si="174"/>
        <v>-355908785113494.69</v>
      </c>
      <c r="M4793" s="460">
        <f t="shared" si="176"/>
        <v>0.05</v>
      </c>
      <c r="N4793" s="464">
        <f t="shared" si="177"/>
        <v>196927</v>
      </c>
    </row>
    <row r="4794" spans="7:14" ht="11.25" customHeight="1" x14ac:dyDescent="0.25">
      <c r="G4794" s="459"/>
      <c r="H4794" s="459">
        <v>4787</v>
      </c>
      <c r="I4794" s="444">
        <f t="shared" ca="1" si="175"/>
        <v>-355908785113494.69</v>
      </c>
      <c r="J4794" s="444">
        <f t="array" ref="J4794">IFERROR(INDEX('Retirement Calculator'!K:K,MATCH('Lorri 401b'!N4794,'Retirement Calculator'!A:A,0),0),0)</f>
        <v>0</v>
      </c>
      <c r="K4794" s="444">
        <f t="shared" ca="1" si="173"/>
        <v>-1482953271306.2278</v>
      </c>
      <c r="L4794" s="444">
        <f t="shared" ca="1" si="174"/>
        <v>-357391738384800.94</v>
      </c>
      <c r="M4794" s="460">
        <f t="shared" si="176"/>
        <v>0.05</v>
      </c>
      <c r="N4794" s="464">
        <f t="shared" si="177"/>
        <v>196958</v>
      </c>
    </row>
    <row r="4795" spans="7:14" ht="11.25" customHeight="1" x14ac:dyDescent="0.25">
      <c r="G4795" s="459"/>
      <c r="H4795" s="459">
        <v>4788</v>
      </c>
      <c r="I4795" s="444">
        <f t="shared" ca="1" si="175"/>
        <v>-357391738384800.94</v>
      </c>
      <c r="J4795" s="444">
        <f t="array" ref="J4795">IFERROR(INDEX('Retirement Calculator'!K:K,MATCH('Lorri 401b'!N4795,'Retirement Calculator'!A:A,0),0),0)</f>
        <v>0</v>
      </c>
      <c r="K4795" s="444">
        <f t="shared" ca="1" si="173"/>
        <v>-1489132243270.0039</v>
      </c>
      <c r="L4795" s="444">
        <f t="shared" ca="1" si="174"/>
        <v>-358880870628070.94</v>
      </c>
      <c r="M4795" s="460">
        <f t="shared" si="176"/>
        <v>0.05</v>
      </c>
      <c r="N4795" s="464">
        <f t="shared" si="177"/>
        <v>196988</v>
      </c>
    </row>
    <row r="4796" spans="7:14" ht="11.25" customHeight="1" x14ac:dyDescent="0.25">
      <c r="G4796" s="459"/>
      <c r="H4796" s="459">
        <v>4789</v>
      </c>
      <c r="I4796" s="444">
        <f t="shared" ca="1" si="175"/>
        <v>-358880870628070.94</v>
      </c>
      <c r="J4796" s="444">
        <f t="array" ref="J4796">IFERROR(INDEX('Retirement Calculator'!K:K,MATCH('Lorri 401b'!N4796,'Retirement Calculator'!A:A,0),0),0)</f>
        <v>0</v>
      </c>
      <c r="K4796" s="444">
        <f t="shared" ca="1" si="173"/>
        <v>-1495336960950.2957</v>
      </c>
      <c r="L4796" s="444">
        <f t="shared" ca="1" si="174"/>
        <v>-360376207589021.25</v>
      </c>
      <c r="M4796" s="460">
        <f t="shared" si="176"/>
        <v>0.05</v>
      </c>
      <c r="N4796" s="464">
        <f t="shared" si="177"/>
        <v>197019</v>
      </c>
    </row>
    <row r="4797" spans="7:14" ht="11.25" customHeight="1" x14ac:dyDescent="0.25">
      <c r="G4797" s="459"/>
      <c r="H4797" s="459">
        <v>4790</v>
      </c>
      <c r="I4797" s="444">
        <f t="shared" ca="1" si="175"/>
        <v>-360376207589021.25</v>
      </c>
      <c r="J4797" s="444">
        <f t="array" ref="J4797">IFERROR(INDEX('Retirement Calculator'!K:K,MATCH('Lorri 401b'!N4797,'Retirement Calculator'!A:A,0),0),0)</f>
        <v>0</v>
      </c>
      <c r="K4797" s="444">
        <f t="shared" ca="1" si="173"/>
        <v>-1501567531620.9219</v>
      </c>
      <c r="L4797" s="444">
        <f t="shared" ca="1" si="174"/>
        <v>-361877775120642.19</v>
      </c>
      <c r="M4797" s="460">
        <f t="shared" si="176"/>
        <v>0.05</v>
      </c>
      <c r="N4797" s="464">
        <f t="shared" si="177"/>
        <v>197049</v>
      </c>
    </row>
    <row r="4798" spans="7:14" ht="11.25" customHeight="1" x14ac:dyDescent="0.25">
      <c r="G4798" s="459"/>
      <c r="H4798" s="459">
        <v>4791</v>
      </c>
      <c r="I4798" s="444">
        <f t="shared" ca="1" si="175"/>
        <v>-361877775120642.19</v>
      </c>
      <c r="J4798" s="444">
        <f t="array" ref="J4798">IFERROR(INDEX('Retirement Calculator'!K:K,MATCH('Lorri 401b'!N4798,'Retirement Calculator'!A:A,0),0),0)</f>
        <v>0</v>
      </c>
      <c r="K4798" s="444">
        <f t="shared" ca="1" si="173"/>
        <v>-1507824063002.6758</v>
      </c>
      <c r="L4798" s="444">
        <f t="shared" ca="1" si="174"/>
        <v>-363385599183644.88</v>
      </c>
      <c r="M4798" s="460">
        <f t="shared" si="176"/>
        <v>0.05</v>
      </c>
      <c r="N4798" s="464">
        <f t="shared" si="177"/>
        <v>197080</v>
      </c>
    </row>
    <row r="4799" spans="7:14" ht="11.25" customHeight="1" x14ac:dyDescent="0.25">
      <c r="G4799" s="459"/>
      <c r="H4799" s="459">
        <v>4792</v>
      </c>
      <c r="I4799" s="444">
        <f t="shared" ca="1" si="175"/>
        <v>-363385599183644.88</v>
      </c>
      <c r="J4799" s="444">
        <f t="array" ref="J4799">IFERROR(INDEX('Retirement Calculator'!K:K,MATCH('Lorri 401b'!N4799,'Retirement Calculator'!A:A,0),0),0)</f>
        <v>0</v>
      </c>
      <c r="K4799" s="444">
        <f t="shared" ca="1" si="173"/>
        <v>-1514106663265.187</v>
      </c>
      <c r="L4799" s="444">
        <f t="shared" ca="1" si="174"/>
        <v>-364899705846910.06</v>
      </c>
      <c r="M4799" s="460">
        <f t="shared" si="176"/>
        <v>0.05</v>
      </c>
      <c r="N4799" s="464">
        <f t="shared" si="177"/>
        <v>197111</v>
      </c>
    </row>
    <row r="4800" spans="7:14" ht="11.25" customHeight="1" x14ac:dyDescent="0.25">
      <c r="G4800" s="459"/>
      <c r="H4800" s="459">
        <v>4793</v>
      </c>
      <c r="I4800" s="444">
        <f t="shared" ca="1" si="175"/>
        <v>-364899705846910.06</v>
      </c>
      <c r="J4800" s="444">
        <f t="array" ref="J4800">IFERROR(INDEX('Retirement Calculator'!K:K,MATCH('Lorri 401b'!N4800,'Retirement Calculator'!A:A,0),0),0)</f>
        <v>0</v>
      </c>
      <c r="K4800" s="444">
        <f t="shared" ca="1" si="173"/>
        <v>-1520415441028.792</v>
      </c>
      <c r="L4800" s="444">
        <f t="shared" ca="1" si="174"/>
        <v>-366420121287938.88</v>
      </c>
      <c r="M4800" s="460">
        <f t="shared" si="176"/>
        <v>0.05</v>
      </c>
      <c r="N4800" s="464">
        <f t="shared" si="177"/>
        <v>197141</v>
      </c>
    </row>
    <row r="4801" spans="7:14" ht="11.25" customHeight="1" x14ac:dyDescent="0.25">
      <c r="G4801" s="459"/>
      <c r="H4801" s="459">
        <v>4794</v>
      </c>
      <c r="I4801" s="444">
        <f t="shared" ca="1" si="175"/>
        <v>-366420121287938.88</v>
      </c>
      <c r="J4801" s="444">
        <f t="array" ref="J4801">IFERROR(INDEX('Retirement Calculator'!K:K,MATCH('Lorri 401b'!N4801,'Retirement Calculator'!A:A,0),0),0)</f>
        <v>0</v>
      </c>
      <c r="K4801" s="444">
        <f t="shared" ca="1" si="173"/>
        <v>-1526750505366.4119</v>
      </c>
      <c r="L4801" s="444">
        <f t="shared" ca="1" si="174"/>
        <v>-367946871793305.31</v>
      </c>
      <c r="M4801" s="460">
        <f t="shared" si="176"/>
        <v>0.05</v>
      </c>
      <c r="N4801" s="464">
        <f t="shared" si="177"/>
        <v>197172</v>
      </c>
    </row>
    <row r="4802" spans="7:14" ht="11.25" customHeight="1" x14ac:dyDescent="0.25">
      <c r="G4802" s="459"/>
      <c r="H4802" s="459">
        <v>4795</v>
      </c>
      <c r="I4802" s="444">
        <f t="shared" ca="1" si="175"/>
        <v>-367946871793305.31</v>
      </c>
      <c r="J4802" s="444">
        <f t="array" ref="J4802">IFERROR(INDEX('Retirement Calculator'!K:K,MATCH('Lorri 401b'!N4802,'Retirement Calculator'!A:A,0),0),0)</f>
        <v>0</v>
      </c>
      <c r="K4802" s="444">
        <f t="shared" ca="1" si="173"/>
        <v>-1533111965805.4387</v>
      </c>
      <c r="L4802" s="444">
        <f t="shared" ca="1" si="174"/>
        <v>-369479983759110.75</v>
      </c>
      <c r="M4802" s="460">
        <f t="shared" si="176"/>
        <v>0.05</v>
      </c>
      <c r="N4802" s="464">
        <f t="shared" si="177"/>
        <v>197202</v>
      </c>
    </row>
    <row r="4803" spans="7:14" ht="11.25" customHeight="1" x14ac:dyDescent="0.25">
      <c r="G4803" s="459"/>
      <c r="H4803" s="459">
        <v>4796</v>
      </c>
      <c r="I4803" s="444">
        <f t="shared" ca="1" si="175"/>
        <v>-369479983759110.75</v>
      </c>
      <c r="J4803" s="444">
        <f t="array" ref="J4803">IFERROR(INDEX('Retirement Calculator'!K:K,MATCH('Lorri 401b'!N4803,'Retirement Calculator'!A:A,0),0),0)</f>
        <v>0</v>
      </c>
      <c r="K4803" s="444">
        <f t="shared" ca="1" si="173"/>
        <v>-1539499932329.6282</v>
      </c>
      <c r="L4803" s="444">
        <f t="shared" ca="1" si="174"/>
        <v>-371019483691440.38</v>
      </c>
      <c r="M4803" s="460">
        <f t="shared" si="176"/>
        <v>0.05</v>
      </c>
      <c r="N4803" s="464">
        <f t="shared" si="177"/>
        <v>197233</v>
      </c>
    </row>
    <row r="4804" spans="7:14" ht="11.25" customHeight="1" x14ac:dyDescent="0.25">
      <c r="G4804" s="459"/>
      <c r="H4804" s="459">
        <v>4797</v>
      </c>
      <c r="I4804" s="444">
        <f t="shared" ca="1" si="175"/>
        <v>-371019483691440.38</v>
      </c>
      <c r="J4804" s="444">
        <f t="array" ref="J4804">IFERROR(INDEX('Retirement Calculator'!K:K,MATCH('Lorri 401b'!N4804,'Retirement Calculator'!A:A,0),0),0)</f>
        <v>0</v>
      </c>
      <c r="K4804" s="444">
        <f t="shared" ca="1" si="173"/>
        <v>-1545914515381.0015</v>
      </c>
      <c r="L4804" s="444">
        <f t="shared" ca="1" si="174"/>
        <v>-372565398206821.38</v>
      </c>
      <c r="M4804" s="460">
        <f t="shared" si="176"/>
        <v>0.05</v>
      </c>
      <c r="N4804" s="464">
        <f t="shared" si="177"/>
        <v>197264</v>
      </c>
    </row>
    <row r="4805" spans="7:14" ht="11.25" customHeight="1" x14ac:dyDescent="0.25">
      <c r="G4805" s="459"/>
      <c r="H4805" s="459">
        <v>4798</v>
      </c>
      <c r="I4805" s="444">
        <f t="shared" ca="1" si="175"/>
        <v>-372565398206821.38</v>
      </c>
      <c r="J4805" s="444">
        <f t="array" ref="J4805">IFERROR(INDEX('Retirement Calculator'!K:K,MATCH('Lorri 401b'!N4805,'Retirement Calculator'!A:A,0),0),0)</f>
        <v>0</v>
      </c>
      <c r="K4805" s="444">
        <f t="shared" ca="1" si="173"/>
        <v>-1552355825861.7556</v>
      </c>
      <c r="L4805" s="444">
        <f t="shared" ca="1" si="174"/>
        <v>-374117754032683.13</v>
      </c>
      <c r="M4805" s="460">
        <f t="shared" si="176"/>
        <v>0.05</v>
      </c>
      <c r="N4805" s="464">
        <f t="shared" si="177"/>
        <v>197293</v>
      </c>
    </row>
    <row r="4806" spans="7:14" ht="11.25" customHeight="1" x14ac:dyDescent="0.25">
      <c r="G4806" s="459"/>
      <c r="H4806" s="459">
        <v>4799</v>
      </c>
      <c r="I4806" s="444">
        <f t="shared" ca="1" si="175"/>
        <v>-374117754032683.13</v>
      </c>
      <c r="J4806" s="444">
        <f t="array" ref="J4806">IFERROR(INDEX('Retirement Calculator'!K:K,MATCH('Lorri 401b'!N4806,'Retirement Calculator'!A:A,0),0),0)</f>
        <v>0</v>
      </c>
      <c r="K4806" s="444">
        <f t="shared" ca="1" si="173"/>
        <v>-1558823975136.1797</v>
      </c>
      <c r="L4806" s="444">
        <f t="shared" ca="1" si="174"/>
        <v>-375676578007819.31</v>
      </c>
      <c r="M4806" s="460">
        <f t="shared" si="176"/>
        <v>0.05</v>
      </c>
      <c r="N4806" s="464">
        <f t="shared" si="177"/>
        <v>197324</v>
      </c>
    </row>
    <row r="4807" spans="7:14" ht="11.25" customHeight="1" x14ac:dyDescent="0.25">
      <c r="G4807" s="459"/>
      <c r="H4807" s="459">
        <v>4800</v>
      </c>
      <c r="I4807" s="444">
        <f t="shared" ca="1" si="175"/>
        <v>-375676578007819.31</v>
      </c>
      <c r="J4807" s="444">
        <f t="array" ref="J4807">IFERROR(INDEX('Retirement Calculator'!K:K,MATCH('Lorri 401b'!N4807,'Retirement Calculator'!A:A,0),0),0)</f>
        <v>0</v>
      </c>
      <c r="K4807" s="444">
        <f t="shared" ca="1" si="173"/>
        <v>-1565319075032.5806</v>
      </c>
      <c r="L4807" s="444">
        <f t="shared" ca="1" si="174"/>
        <v>-377241897082851.88</v>
      </c>
      <c r="M4807" s="460">
        <f t="shared" si="176"/>
        <v>0.05</v>
      </c>
      <c r="N4807" s="464">
        <f t="shared" si="177"/>
        <v>197354</v>
      </c>
    </row>
    <row r="4808" spans="7:14" ht="11.25" customHeight="1" x14ac:dyDescent="0.25">
      <c r="G4808" s="459"/>
      <c r="H4808" s="459">
        <v>4801</v>
      </c>
      <c r="I4808" s="444">
        <f t="shared" ca="1" si="175"/>
        <v>-377241897082851.88</v>
      </c>
      <c r="J4808" s="444">
        <f t="array" ref="J4808">IFERROR(INDEX('Retirement Calculator'!K:K,MATCH('Lorri 401b'!N4808,'Retirement Calculator'!A:A,0),0),0)</f>
        <v>0</v>
      </c>
      <c r="K4808" s="444">
        <f t="shared" ca="1" si="173"/>
        <v>-1571841237845.2161</v>
      </c>
      <c r="L4808" s="444">
        <f t="shared" ca="1" si="174"/>
        <v>-378813738320697.06</v>
      </c>
      <c r="M4808" s="460">
        <f t="shared" si="176"/>
        <v>0.05</v>
      </c>
      <c r="N4808" s="464">
        <f t="shared" si="177"/>
        <v>197385</v>
      </c>
    </row>
    <row r="4809" spans="7:14" ht="11.25" customHeight="1" x14ac:dyDescent="0.25">
      <c r="G4809" s="459"/>
      <c r="H4809" s="459">
        <v>4802</v>
      </c>
      <c r="I4809" s="444">
        <f t="shared" ca="1" si="175"/>
        <v>-378813738320697.06</v>
      </c>
      <c r="J4809" s="444">
        <f t="array" ref="J4809">IFERROR(INDEX('Retirement Calculator'!K:K,MATCH('Lorri 401b'!N4809,'Retirement Calculator'!A:A,0),0),0)</f>
        <v>0</v>
      </c>
      <c r="K4809" s="444">
        <f t="shared" ca="1" si="173"/>
        <v>-1578390576336.2378</v>
      </c>
      <c r="L4809" s="444">
        <f t="shared" ca="1" si="174"/>
        <v>-380392128897033.31</v>
      </c>
      <c r="M4809" s="460">
        <f t="shared" si="176"/>
        <v>0.05</v>
      </c>
      <c r="N4809" s="464">
        <f t="shared" si="177"/>
        <v>197415</v>
      </c>
    </row>
    <row r="4810" spans="7:14" ht="11.25" customHeight="1" x14ac:dyDescent="0.25">
      <c r="G4810" s="459"/>
      <c r="H4810" s="459">
        <v>4803</v>
      </c>
      <c r="I4810" s="444">
        <f t="shared" ca="1" si="175"/>
        <v>-380392128897033.31</v>
      </c>
      <c r="J4810" s="444">
        <f t="array" ref="J4810">IFERROR(INDEX('Retirement Calculator'!K:K,MATCH('Lorri 401b'!N4810,'Retirement Calculator'!A:A,0),0),0)</f>
        <v>0</v>
      </c>
      <c r="K4810" s="444">
        <f t="shared" ca="1" si="173"/>
        <v>-1584967203737.6387</v>
      </c>
      <c r="L4810" s="444">
        <f t="shared" ca="1" si="174"/>
        <v>-381977096100770.94</v>
      </c>
      <c r="M4810" s="460">
        <f t="shared" si="176"/>
        <v>0.05</v>
      </c>
      <c r="N4810" s="464">
        <f t="shared" si="177"/>
        <v>197446</v>
      </c>
    </row>
    <row r="4811" spans="7:14" ht="11.25" customHeight="1" x14ac:dyDescent="0.25">
      <c r="G4811" s="459"/>
      <c r="H4811" s="459">
        <v>4804</v>
      </c>
      <c r="I4811" s="444">
        <f t="shared" ca="1" si="175"/>
        <v>-381977096100770.94</v>
      </c>
      <c r="J4811" s="444">
        <f t="array" ref="J4811">IFERROR(INDEX('Retirement Calculator'!K:K,MATCH('Lorri 401b'!N4811,'Retirement Calculator'!A:A,0),0),0)</f>
        <v>0</v>
      </c>
      <c r="K4811" s="444">
        <f t="shared" ca="1" si="173"/>
        <v>-1591571233753.2122</v>
      </c>
      <c r="L4811" s="444">
        <f t="shared" ca="1" si="174"/>
        <v>-383568667334524.13</v>
      </c>
      <c r="M4811" s="460">
        <f t="shared" si="176"/>
        <v>0.05</v>
      </c>
      <c r="N4811" s="464">
        <f t="shared" si="177"/>
        <v>197477</v>
      </c>
    </row>
    <row r="4812" spans="7:14" ht="11.25" customHeight="1" x14ac:dyDescent="0.25">
      <c r="G4812" s="459"/>
      <c r="H4812" s="459">
        <v>4805</v>
      </c>
      <c r="I4812" s="444">
        <f t="shared" ca="1" si="175"/>
        <v>-383568667334524.13</v>
      </c>
      <c r="J4812" s="444">
        <f t="array" ref="J4812">IFERROR(INDEX('Retirement Calculator'!K:K,MATCH('Lorri 401b'!N4812,'Retirement Calculator'!A:A,0),0),0)</f>
        <v>0</v>
      </c>
      <c r="K4812" s="444">
        <f t="shared" ca="1" si="173"/>
        <v>-1598202780560.5171</v>
      </c>
      <c r="L4812" s="444">
        <f t="shared" ca="1" si="174"/>
        <v>-385166870115084.63</v>
      </c>
      <c r="M4812" s="460">
        <f t="shared" si="176"/>
        <v>0.05</v>
      </c>
      <c r="N4812" s="464">
        <f t="shared" si="177"/>
        <v>197507</v>
      </c>
    </row>
    <row r="4813" spans="7:14" ht="11.25" customHeight="1" x14ac:dyDescent="0.25">
      <c r="G4813" s="459"/>
      <c r="H4813" s="459">
        <v>4806</v>
      </c>
      <c r="I4813" s="444">
        <f t="shared" ca="1" si="175"/>
        <v>-385166870115084.63</v>
      </c>
      <c r="J4813" s="444">
        <f t="array" ref="J4813">IFERROR(INDEX('Retirement Calculator'!K:K,MATCH('Lorri 401b'!N4813,'Retirement Calculator'!A:A,0),0),0)</f>
        <v>0</v>
      </c>
      <c r="K4813" s="444">
        <f t="shared" ca="1" si="173"/>
        <v>-1604861958812.8525</v>
      </c>
      <c r="L4813" s="444">
        <f t="shared" ca="1" si="174"/>
        <v>-386771732073897.5</v>
      </c>
      <c r="M4813" s="460">
        <f t="shared" si="176"/>
        <v>0.05</v>
      </c>
      <c r="N4813" s="464">
        <f t="shared" si="177"/>
        <v>197538</v>
      </c>
    </row>
    <row r="4814" spans="7:14" ht="11.25" customHeight="1" x14ac:dyDescent="0.25">
      <c r="G4814" s="459"/>
      <c r="H4814" s="459">
        <v>4807</v>
      </c>
      <c r="I4814" s="444">
        <f t="shared" ca="1" si="175"/>
        <v>-386771732073897.5</v>
      </c>
      <c r="J4814" s="444">
        <f t="array" ref="J4814">IFERROR(INDEX('Retirement Calculator'!K:K,MATCH('Lorri 401b'!N4814,'Retirement Calculator'!A:A,0),0),0)</f>
        <v>0</v>
      </c>
      <c r="K4814" s="444">
        <f t="shared" ca="1" si="173"/>
        <v>-1611548883641.2395</v>
      </c>
      <c r="L4814" s="444">
        <f t="shared" ca="1" si="174"/>
        <v>-388383280957538.75</v>
      </c>
      <c r="M4814" s="460">
        <f t="shared" si="176"/>
        <v>0.05</v>
      </c>
      <c r="N4814" s="464">
        <f t="shared" si="177"/>
        <v>197568</v>
      </c>
    </row>
    <row r="4815" spans="7:14" ht="11.25" customHeight="1" x14ac:dyDescent="0.25">
      <c r="G4815" s="459"/>
      <c r="H4815" s="459">
        <v>4808</v>
      </c>
      <c r="I4815" s="444">
        <f t="shared" ca="1" si="175"/>
        <v>-388383280957538.75</v>
      </c>
      <c r="J4815" s="444">
        <f t="array" ref="J4815">IFERROR(INDEX('Retirement Calculator'!K:K,MATCH('Lorri 401b'!N4815,'Retirement Calculator'!A:A,0),0),0)</f>
        <v>0</v>
      </c>
      <c r="K4815" s="444">
        <f t="shared" ca="1" si="173"/>
        <v>-1618263670656.4114</v>
      </c>
      <c r="L4815" s="444">
        <f t="shared" ca="1" si="174"/>
        <v>-390001544628195.19</v>
      </c>
      <c r="M4815" s="460">
        <f t="shared" si="176"/>
        <v>0.05</v>
      </c>
      <c r="N4815" s="464">
        <f t="shared" si="177"/>
        <v>197599</v>
      </c>
    </row>
    <row r="4816" spans="7:14" ht="11.25" customHeight="1" x14ac:dyDescent="0.25">
      <c r="G4816" s="459"/>
      <c r="H4816" s="459">
        <v>4809</v>
      </c>
      <c r="I4816" s="444">
        <f t="shared" ca="1" si="175"/>
        <v>-390001544628195.19</v>
      </c>
      <c r="J4816" s="444">
        <f t="array" ref="J4816">IFERROR(INDEX('Retirement Calculator'!K:K,MATCH('Lorri 401b'!N4816,'Retirement Calculator'!A:A,0),0),0)</f>
        <v>0</v>
      </c>
      <c r="K4816" s="444">
        <f t="shared" ca="1" si="173"/>
        <v>-1625006435950.8132</v>
      </c>
      <c r="L4816" s="444">
        <f t="shared" ca="1" si="174"/>
        <v>-391626551064146</v>
      </c>
      <c r="M4816" s="460">
        <f t="shared" si="176"/>
        <v>0.05</v>
      </c>
      <c r="N4816" s="464">
        <f t="shared" si="177"/>
        <v>197630</v>
      </c>
    </row>
    <row r="4817" spans="7:14" ht="11.25" customHeight="1" x14ac:dyDescent="0.25">
      <c r="G4817" s="459"/>
      <c r="H4817" s="459">
        <v>4810</v>
      </c>
      <c r="I4817" s="444">
        <f t="shared" ca="1" si="175"/>
        <v>-391626551064146</v>
      </c>
      <c r="J4817" s="444">
        <f t="array" ref="J4817">IFERROR(INDEX('Retirement Calculator'!K:K,MATCH('Lorri 401b'!N4817,'Retirement Calculator'!A:A,0),0),0)</f>
        <v>0</v>
      </c>
      <c r="K4817" s="444">
        <f t="shared" ca="1" si="173"/>
        <v>-1631777296100.6084</v>
      </c>
      <c r="L4817" s="444">
        <f t="shared" ca="1" si="174"/>
        <v>-393258328360246.63</v>
      </c>
      <c r="M4817" s="460">
        <f t="shared" si="176"/>
        <v>0.05</v>
      </c>
      <c r="N4817" s="464">
        <f t="shared" si="177"/>
        <v>197658</v>
      </c>
    </row>
    <row r="4818" spans="7:14" ht="11.25" customHeight="1" x14ac:dyDescent="0.25">
      <c r="G4818" s="459"/>
      <c r="H4818" s="459">
        <v>4811</v>
      </c>
      <c r="I4818" s="444">
        <f t="shared" ca="1" si="175"/>
        <v>-393258328360246.63</v>
      </c>
      <c r="J4818" s="444">
        <f t="array" ref="J4818">IFERROR(INDEX('Retirement Calculator'!K:K,MATCH('Lorri 401b'!N4818,'Retirement Calculator'!A:A,0),0),0)</f>
        <v>0</v>
      </c>
      <c r="K4818" s="444">
        <f t="shared" ca="1" si="173"/>
        <v>-1638576368167.6943</v>
      </c>
      <c r="L4818" s="444">
        <f t="shared" ca="1" si="174"/>
        <v>-394896904728414.31</v>
      </c>
      <c r="M4818" s="460">
        <f t="shared" si="176"/>
        <v>0.05</v>
      </c>
      <c r="N4818" s="464">
        <f t="shared" si="177"/>
        <v>197689</v>
      </c>
    </row>
    <row r="4819" spans="7:14" ht="11.25" customHeight="1" x14ac:dyDescent="0.25">
      <c r="G4819" s="459"/>
      <c r="H4819" s="459">
        <v>4812</v>
      </c>
      <c r="I4819" s="444">
        <f t="shared" ca="1" si="175"/>
        <v>-394896904728414.31</v>
      </c>
      <c r="J4819" s="444">
        <f t="array" ref="J4819">IFERROR(INDEX('Retirement Calculator'!K:K,MATCH('Lorri 401b'!N4819,'Retirement Calculator'!A:A,0),0),0)</f>
        <v>0</v>
      </c>
      <c r="K4819" s="444">
        <f t="shared" ca="1" si="173"/>
        <v>-1645403769701.7263</v>
      </c>
      <c r="L4819" s="444">
        <f t="shared" ca="1" si="174"/>
        <v>-396542308498116.06</v>
      </c>
      <c r="M4819" s="460">
        <f t="shared" si="176"/>
        <v>0.05</v>
      </c>
      <c r="N4819" s="464">
        <f t="shared" si="177"/>
        <v>197719</v>
      </c>
    </row>
    <row r="4820" spans="7:14" ht="11.25" customHeight="1" x14ac:dyDescent="0.25">
      <c r="G4820" s="459"/>
      <c r="H4820" s="459">
        <v>4813</v>
      </c>
      <c r="I4820" s="444">
        <f t="shared" ca="1" si="175"/>
        <v>-396542308498116.06</v>
      </c>
      <c r="J4820" s="444">
        <f t="array" ref="J4820">IFERROR(INDEX('Retirement Calculator'!K:K,MATCH('Lorri 401b'!N4820,'Retirement Calculator'!A:A,0),0),0)</f>
        <v>0</v>
      </c>
      <c r="K4820" s="444">
        <f t="shared" ca="1" si="173"/>
        <v>-1652259618742.1501</v>
      </c>
      <c r="L4820" s="444">
        <f t="shared" ca="1" si="174"/>
        <v>-398194568116858.19</v>
      </c>
      <c r="M4820" s="460">
        <f t="shared" si="176"/>
        <v>0.05</v>
      </c>
      <c r="N4820" s="464">
        <f t="shared" si="177"/>
        <v>197750</v>
      </c>
    </row>
    <row r="4821" spans="7:14" ht="11.25" customHeight="1" x14ac:dyDescent="0.25">
      <c r="G4821" s="459"/>
      <c r="H4821" s="459">
        <v>4814</v>
      </c>
      <c r="I4821" s="444">
        <f t="shared" ca="1" si="175"/>
        <v>-398194568116858.19</v>
      </c>
      <c r="J4821" s="444">
        <f t="array" ref="J4821">IFERROR(INDEX('Retirement Calculator'!K:K,MATCH('Lorri 401b'!N4821,'Retirement Calculator'!A:A,0),0),0)</f>
        <v>0</v>
      </c>
      <c r="K4821" s="444">
        <f t="shared" ca="1" si="173"/>
        <v>-1659144033820.2424</v>
      </c>
      <c r="L4821" s="444">
        <f t="shared" ca="1" si="174"/>
        <v>-399853712150678.44</v>
      </c>
      <c r="M4821" s="460">
        <f t="shared" si="176"/>
        <v>0.05</v>
      </c>
      <c r="N4821" s="464">
        <f t="shared" si="177"/>
        <v>197780</v>
      </c>
    </row>
    <row r="4822" spans="7:14" ht="11.25" customHeight="1" x14ac:dyDescent="0.25">
      <c r="G4822" s="459"/>
      <c r="H4822" s="459">
        <v>4815</v>
      </c>
      <c r="I4822" s="444">
        <f t="shared" ca="1" si="175"/>
        <v>-399853712150678.44</v>
      </c>
      <c r="J4822" s="444">
        <f t="array" ref="J4822">IFERROR(INDEX('Retirement Calculator'!K:K,MATCH('Lorri 401b'!N4822,'Retirement Calculator'!A:A,0),0),0)</f>
        <v>0</v>
      </c>
      <c r="K4822" s="444">
        <f t="shared" ca="1" si="173"/>
        <v>-1666057133961.1602</v>
      </c>
      <c r="L4822" s="444">
        <f t="shared" ca="1" si="174"/>
        <v>-401519769284639.63</v>
      </c>
      <c r="M4822" s="460">
        <f t="shared" si="176"/>
        <v>0.05</v>
      </c>
      <c r="N4822" s="464">
        <f t="shared" si="177"/>
        <v>197811</v>
      </c>
    </row>
    <row r="4823" spans="7:14" ht="11.25" customHeight="1" x14ac:dyDescent="0.25">
      <c r="G4823" s="459"/>
      <c r="H4823" s="459">
        <v>4816</v>
      </c>
      <c r="I4823" s="444">
        <f t="shared" ca="1" si="175"/>
        <v>-401519769284639.63</v>
      </c>
      <c r="J4823" s="444">
        <f t="array" ref="J4823">IFERROR(INDEX('Retirement Calculator'!K:K,MATCH('Lorri 401b'!N4823,'Retirement Calculator'!A:A,0),0),0)</f>
        <v>0</v>
      </c>
      <c r="K4823" s="444">
        <f t="shared" ca="1" si="173"/>
        <v>-1672999038685.9985</v>
      </c>
      <c r="L4823" s="444">
        <f t="shared" ca="1" si="174"/>
        <v>-403192768323325.63</v>
      </c>
      <c r="M4823" s="460">
        <f t="shared" si="176"/>
        <v>0.05</v>
      </c>
      <c r="N4823" s="464">
        <f t="shared" si="177"/>
        <v>197842</v>
      </c>
    </row>
    <row r="4824" spans="7:14" ht="11.25" customHeight="1" x14ac:dyDescent="0.25">
      <c r="G4824" s="459"/>
      <c r="H4824" s="459">
        <v>4817</v>
      </c>
      <c r="I4824" s="444">
        <f t="shared" ca="1" si="175"/>
        <v>-403192768323325.63</v>
      </c>
      <c r="J4824" s="444">
        <f t="array" ref="J4824">IFERROR(INDEX('Retirement Calculator'!K:K,MATCH('Lorri 401b'!N4824,'Retirement Calculator'!A:A,0),0),0)</f>
        <v>0</v>
      </c>
      <c r="K4824" s="444">
        <f t="shared" ca="1" si="173"/>
        <v>-1679969868013.8567</v>
      </c>
      <c r="L4824" s="444">
        <f t="shared" ca="1" si="174"/>
        <v>-404872738191339.5</v>
      </c>
      <c r="M4824" s="460">
        <f t="shared" si="176"/>
        <v>0.05</v>
      </c>
      <c r="N4824" s="464">
        <f t="shared" si="177"/>
        <v>197872</v>
      </c>
    </row>
    <row r="4825" spans="7:14" ht="11.25" customHeight="1" x14ac:dyDescent="0.25">
      <c r="G4825" s="459"/>
      <c r="H4825" s="459">
        <v>4818</v>
      </c>
      <c r="I4825" s="444">
        <f t="shared" ca="1" si="175"/>
        <v>-404872738191339.5</v>
      </c>
      <c r="J4825" s="444">
        <f t="array" ref="J4825">IFERROR(INDEX('Retirement Calculator'!K:K,MATCH('Lorri 401b'!N4825,'Retirement Calculator'!A:A,0),0),0)</f>
        <v>0</v>
      </c>
      <c r="K4825" s="444">
        <f t="shared" ca="1" si="173"/>
        <v>-1686969742463.9146</v>
      </c>
      <c r="L4825" s="444">
        <f t="shared" ca="1" si="174"/>
        <v>-406559707933803.44</v>
      </c>
      <c r="M4825" s="460">
        <f t="shared" si="176"/>
        <v>0.05</v>
      </c>
      <c r="N4825" s="464">
        <f t="shared" si="177"/>
        <v>197903</v>
      </c>
    </row>
    <row r="4826" spans="7:14" ht="11.25" customHeight="1" x14ac:dyDescent="0.25">
      <c r="G4826" s="459"/>
      <c r="H4826" s="459">
        <v>4819</v>
      </c>
      <c r="I4826" s="444">
        <f t="shared" ca="1" si="175"/>
        <v>-406559707933803.44</v>
      </c>
      <c r="J4826" s="444">
        <f t="array" ref="J4826">IFERROR(INDEX('Retirement Calculator'!K:K,MATCH('Lorri 401b'!N4826,'Retirement Calculator'!A:A,0),0),0)</f>
        <v>0</v>
      </c>
      <c r="K4826" s="444">
        <f t="shared" ca="1" si="173"/>
        <v>-1693998783057.5144</v>
      </c>
      <c r="L4826" s="444">
        <f t="shared" ca="1" si="174"/>
        <v>-408253706716860.94</v>
      </c>
      <c r="M4826" s="460">
        <f t="shared" si="176"/>
        <v>0.05</v>
      </c>
      <c r="N4826" s="464">
        <f t="shared" si="177"/>
        <v>197933</v>
      </c>
    </row>
    <row r="4827" spans="7:14" ht="11.25" customHeight="1" x14ac:dyDescent="0.25">
      <c r="G4827" s="459"/>
      <c r="H4827" s="459">
        <v>4820</v>
      </c>
      <c r="I4827" s="444">
        <f t="shared" ca="1" si="175"/>
        <v>-408253706716860.94</v>
      </c>
      <c r="J4827" s="444">
        <f t="array" ref="J4827">IFERROR(INDEX('Retirement Calculator'!K:K,MATCH('Lorri 401b'!N4827,'Retirement Calculator'!A:A,0),0),0)</f>
        <v>0</v>
      </c>
      <c r="K4827" s="444">
        <f t="shared" ca="1" si="173"/>
        <v>-1701057111320.2539</v>
      </c>
      <c r="L4827" s="444">
        <f t="shared" ca="1" si="174"/>
        <v>-409954763828181.19</v>
      </c>
      <c r="M4827" s="460">
        <f t="shared" si="176"/>
        <v>0.05</v>
      </c>
      <c r="N4827" s="464">
        <f t="shared" si="177"/>
        <v>197964</v>
      </c>
    </row>
    <row r="4828" spans="7:14" ht="11.25" customHeight="1" x14ac:dyDescent="0.25">
      <c r="G4828" s="459"/>
      <c r="H4828" s="459">
        <v>4821</v>
      </c>
      <c r="I4828" s="444">
        <f t="shared" ca="1" si="175"/>
        <v>-409954763828181.19</v>
      </c>
      <c r="J4828" s="444">
        <f t="array" ref="J4828">IFERROR(INDEX('Retirement Calculator'!K:K,MATCH('Lorri 401b'!N4828,'Retirement Calculator'!A:A,0),0),0)</f>
        <v>0</v>
      </c>
      <c r="K4828" s="444">
        <f t="shared" ca="1" si="173"/>
        <v>-1708144849284.0884</v>
      </c>
      <c r="L4828" s="444">
        <f t="shared" ca="1" si="174"/>
        <v>-411662908677465.25</v>
      </c>
      <c r="M4828" s="460">
        <f t="shared" si="176"/>
        <v>0.05</v>
      </c>
      <c r="N4828" s="464">
        <f t="shared" si="177"/>
        <v>197995</v>
      </c>
    </row>
    <row r="4829" spans="7:14" ht="11.25" customHeight="1" x14ac:dyDescent="0.25">
      <c r="G4829" s="459"/>
      <c r="H4829" s="459">
        <v>4822</v>
      </c>
      <c r="I4829" s="444">
        <f t="shared" ca="1" si="175"/>
        <v>-411662908677465.25</v>
      </c>
      <c r="J4829" s="444">
        <f t="array" ref="J4829">IFERROR(INDEX('Retirement Calculator'!K:K,MATCH('Lorri 401b'!N4829,'Retirement Calculator'!A:A,0),0),0)</f>
        <v>0</v>
      </c>
      <c r="K4829" s="444">
        <f t="shared" ca="1" si="173"/>
        <v>-1715262119489.4385</v>
      </c>
      <c r="L4829" s="444">
        <f t="shared" ca="1" si="174"/>
        <v>-413378170796954.69</v>
      </c>
      <c r="M4829" s="460">
        <f t="shared" si="176"/>
        <v>0.05</v>
      </c>
      <c r="N4829" s="464">
        <f t="shared" si="177"/>
        <v>198023</v>
      </c>
    </row>
    <row r="4830" spans="7:14" ht="11.25" customHeight="1" x14ac:dyDescent="0.25">
      <c r="G4830" s="459"/>
      <c r="H4830" s="459">
        <v>4823</v>
      </c>
      <c r="I4830" s="444">
        <f t="shared" ca="1" si="175"/>
        <v>-413378170796954.69</v>
      </c>
      <c r="J4830" s="444">
        <f t="array" ref="J4830">IFERROR(INDEX('Retirement Calculator'!K:K,MATCH('Lorri 401b'!N4830,'Retirement Calculator'!A:A,0),0),0)</f>
        <v>0</v>
      </c>
      <c r="K4830" s="444">
        <f t="shared" ca="1" si="173"/>
        <v>-1722409044987.3113</v>
      </c>
      <c r="L4830" s="444">
        <f t="shared" ca="1" si="174"/>
        <v>-415100579841942</v>
      </c>
      <c r="M4830" s="460">
        <f t="shared" si="176"/>
        <v>0.05</v>
      </c>
      <c r="N4830" s="464">
        <f t="shared" si="177"/>
        <v>198054</v>
      </c>
    </row>
    <row r="4831" spans="7:14" ht="11.25" customHeight="1" x14ac:dyDescent="0.25">
      <c r="G4831" s="459"/>
      <c r="H4831" s="459">
        <v>4824</v>
      </c>
      <c r="I4831" s="444">
        <f t="shared" ca="1" si="175"/>
        <v>-415100579841942</v>
      </c>
      <c r="J4831" s="444">
        <f t="array" ref="J4831">IFERROR(INDEX('Retirement Calculator'!K:K,MATCH('Lorri 401b'!N4831,'Retirement Calculator'!A:A,0),0),0)</f>
        <v>0</v>
      </c>
      <c r="K4831" s="444">
        <f t="shared" ca="1" si="173"/>
        <v>-1729585749341.425</v>
      </c>
      <c r="L4831" s="444">
        <f t="shared" ca="1" si="174"/>
        <v>-416830165591283.44</v>
      </c>
      <c r="M4831" s="460">
        <f t="shared" si="176"/>
        <v>0.05</v>
      </c>
      <c r="N4831" s="464">
        <f t="shared" si="177"/>
        <v>198084</v>
      </c>
    </row>
    <row r="4832" spans="7:14" ht="11.25" customHeight="1" x14ac:dyDescent="0.25">
      <c r="G4832" s="459"/>
      <c r="H4832" s="459">
        <v>4825</v>
      </c>
      <c r="I4832" s="444">
        <f t="shared" ca="1" si="175"/>
        <v>-416830165591283.44</v>
      </c>
      <c r="J4832" s="444">
        <f t="array" ref="J4832">IFERROR(INDEX('Retirement Calculator'!K:K,MATCH('Lorri 401b'!N4832,'Retirement Calculator'!A:A,0),0),0)</f>
        <v>0</v>
      </c>
      <c r="K4832" s="444">
        <f t="shared" ca="1" si="173"/>
        <v>-1736792356630.3477</v>
      </c>
      <c r="L4832" s="444">
        <f t="shared" ca="1" si="174"/>
        <v>-418566957947913.81</v>
      </c>
      <c r="M4832" s="460">
        <f t="shared" si="176"/>
        <v>0.05</v>
      </c>
      <c r="N4832" s="464">
        <f t="shared" si="177"/>
        <v>198115</v>
      </c>
    </row>
    <row r="4833" spans="7:14" ht="11.25" customHeight="1" x14ac:dyDescent="0.25">
      <c r="G4833" s="459"/>
      <c r="H4833" s="459">
        <v>4826</v>
      </c>
      <c r="I4833" s="444">
        <f t="shared" ca="1" si="175"/>
        <v>-418566957947913.81</v>
      </c>
      <c r="J4833" s="444">
        <f t="array" ref="J4833">IFERROR(INDEX('Retirement Calculator'!K:K,MATCH('Lorri 401b'!N4833,'Retirement Calculator'!A:A,0),0),0)</f>
        <v>0</v>
      </c>
      <c r="K4833" s="444">
        <f t="shared" ca="1" si="173"/>
        <v>-1744028991449.6409</v>
      </c>
      <c r="L4833" s="444">
        <f t="shared" ca="1" si="174"/>
        <v>-420310986939363.44</v>
      </c>
      <c r="M4833" s="460">
        <f t="shared" si="176"/>
        <v>0.05</v>
      </c>
      <c r="N4833" s="464">
        <f t="shared" si="177"/>
        <v>198145</v>
      </c>
    </row>
    <row r="4834" spans="7:14" ht="11.25" customHeight="1" x14ac:dyDescent="0.25">
      <c r="G4834" s="459"/>
      <c r="H4834" s="459">
        <v>4827</v>
      </c>
      <c r="I4834" s="444">
        <f t="shared" ca="1" si="175"/>
        <v>-420310986939363.44</v>
      </c>
      <c r="J4834" s="444">
        <f t="array" ref="J4834">IFERROR(INDEX('Retirement Calculator'!K:K,MATCH('Lorri 401b'!N4834,'Retirement Calculator'!A:A,0),0),0)</f>
        <v>0</v>
      </c>
      <c r="K4834" s="444">
        <f t="shared" ca="1" si="173"/>
        <v>-1751295778914.0144</v>
      </c>
      <c r="L4834" s="444">
        <f t="shared" ca="1" si="174"/>
        <v>-422062282718277.44</v>
      </c>
      <c r="M4834" s="460">
        <f t="shared" si="176"/>
        <v>0.05</v>
      </c>
      <c r="N4834" s="464">
        <f t="shared" si="177"/>
        <v>198176</v>
      </c>
    </row>
    <row r="4835" spans="7:14" ht="11.25" customHeight="1" x14ac:dyDescent="0.25">
      <c r="G4835" s="459"/>
      <c r="H4835" s="459">
        <v>4828</v>
      </c>
      <c r="I4835" s="444">
        <f t="shared" ca="1" si="175"/>
        <v>-422062282718277.44</v>
      </c>
      <c r="J4835" s="444">
        <f t="array" ref="J4835">IFERROR(INDEX('Retirement Calculator'!K:K,MATCH('Lorri 401b'!N4835,'Retirement Calculator'!A:A,0),0),0)</f>
        <v>0</v>
      </c>
      <c r="K4835" s="444">
        <f t="shared" ca="1" si="173"/>
        <v>-1758592844659.4893</v>
      </c>
      <c r="L4835" s="444">
        <f t="shared" ca="1" si="174"/>
        <v>-423820875562936.94</v>
      </c>
      <c r="M4835" s="460">
        <f t="shared" si="176"/>
        <v>0.05</v>
      </c>
      <c r="N4835" s="464">
        <f t="shared" si="177"/>
        <v>198207</v>
      </c>
    </row>
    <row r="4836" spans="7:14" ht="11.25" customHeight="1" x14ac:dyDescent="0.25">
      <c r="G4836" s="459"/>
      <c r="H4836" s="459">
        <v>4829</v>
      </c>
      <c r="I4836" s="444">
        <f t="shared" ca="1" si="175"/>
        <v>-423820875562936.94</v>
      </c>
      <c r="J4836" s="444">
        <f t="array" ref="J4836">IFERROR(INDEX('Retirement Calculator'!K:K,MATCH('Lorri 401b'!N4836,'Retirement Calculator'!A:A,0),0),0)</f>
        <v>0</v>
      </c>
      <c r="K4836" s="444">
        <f t="shared" ca="1" si="173"/>
        <v>-1765920314845.5706</v>
      </c>
      <c r="L4836" s="444">
        <f t="shared" ca="1" si="174"/>
        <v>-425586795877782.5</v>
      </c>
      <c r="M4836" s="460">
        <f t="shared" si="176"/>
        <v>0.05</v>
      </c>
      <c r="N4836" s="464">
        <f t="shared" si="177"/>
        <v>198237</v>
      </c>
    </row>
    <row r="4837" spans="7:14" ht="11.25" customHeight="1" x14ac:dyDescent="0.25">
      <c r="G4837" s="459"/>
      <c r="H4837" s="459">
        <v>4830</v>
      </c>
      <c r="I4837" s="444">
        <f t="shared" ca="1" si="175"/>
        <v>-425586795877782.5</v>
      </c>
      <c r="J4837" s="444">
        <f t="array" ref="J4837">IFERROR(INDEX('Retirement Calculator'!K:K,MATCH('Lorri 401b'!N4837,'Retirement Calculator'!A:A,0),0),0)</f>
        <v>0</v>
      </c>
      <c r="K4837" s="444">
        <f t="shared" ca="1" si="173"/>
        <v>-1773278316157.427</v>
      </c>
      <c r="L4837" s="444">
        <f t="shared" ca="1" si="174"/>
        <v>-427360074193939.94</v>
      </c>
      <c r="M4837" s="460">
        <f t="shared" si="176"/>
        <v>0.05</v>
      </c>
      <c r="N4837" s="464">
        <f t="shared" si="177"/>
        <v>198268</v>
      </c>
    </row>
    <row r="4838" spans="7:14" ht="11.25" customHeight="1" x14ac:dyDescent="0.25">
      <c r="G4838" s="459"/>
      <c r="H4838" s="459">
        <v>4831</v>
      </c>
      <c r="I4838" s="444">
        <f t="shared" ca="1" si="175"/>
        <v>-427360074193939.94</v>
      </c>
      <c r="J4838" s="444">
        <f t="array" ref="J4838">IFERROR(INDEX('Retirement Calculator'!K:K,MATCH('Lorri 401b'!N4838,'Retirement Calculator'!A:A,0),0),0)</f>
        <v>0</v>
      </c>
      <c r="K4838" s="444">
        <f t="shared" ca="1" si="173"/>
        <v>-1780666975808.083</v>
      </c>
      <c r="L4838" s="444">
        <f t="shared" ca="1" si="174"/>
        <v>-429140741169748</v>
      </c>
      <c r="M4838" s="460">
        <f t="shared" si="176"/>
        <v>0.05</v>
      </c>
      <c r="N4838" s="464">
        <f t="shared" si="177"/>
        <v>198298</v>
      </c>
    </row>
    <row r="4839" spans="7:14" ht="11.25" customHeight="1" x14ac:dyDescent="0.25">
      <c r="G4839" s="459"/>
      <c r="H4839" s="459">
        <v>4832</v>
      </c>
      <c r="I4839" s="444">
        <f t="shared" ca="1" si="175"/>
        <v>-429140741169748</v>
      </c>
      <c r="J4839" s="444">
        <f t="array" ref="J4839">IFERROR(INDEX('Retirement Calculator'!K:K,MATCH('Lorri 401b'!N4839,'Retirement Calculator'!A:A,0),0),0)</f>
        <v>0</v>
      </c>
      <c r="K4839" s="444">
        <f t="shared" ca="1" si="173"/>
        <v>-1788086421540.6167</v>
      </c>
      <c r="L4839" s="444">
        <f t="shared" ca="1" si="174"/>
        <v>-430928827591288.63</v>
      </c>
      <c r="M4839" s="460">
        <f t="shared" si="176"/>
        <v>0.05</v>
      </c>
      <c r="N4839" s="464">
        <f t="shared" si="177"/>
        <v>198329</v>
      </c>
    </row>
    <row r="4840" spans="7:14" ht="11.25" customHeight="1" x14ac:dyDescent="0.25">
      <c r="G4840" s="459"/>
      <c r="H4840" s="459">
        <v>4833</v>
      </c>
      <c r="I4840" s="444">
        <f t="shared" ca="1" si="175"/>
        <v>-430928827591288.63</v>
      </c>
      <c r="J4840" s="444">
        <f t="array" ref="J4840">IFERROR(INDEX('Retirement Calculator'!K:K,MATCH('Lorri 401b'!N4840,'Retirement Calculator'!A:A,0),0),0)</f>
        <v>0</v>
      </c>
      <c r="K4840" s="444">
        <f t="shared" ca="1" si="173"/>
        <v>-1795536781630.3691</v>
      </c>
      <c r="L4840" s="444">
        <f t="shared" ca="1" si="174"/>
        <v>-432724364372919</v>
      </c>
      <c r="M4840" s="460">
        <f t="shared" si="176"/>
        <v>0.05</v>
      </c>
      <c r="N4840" s="464">
        <f t="shared" si="177"/>
        <v>198360</v>
      </c>
    </row>
    <row r="4841" spans="7:14" ht="11.25" customHeight="1" x14ac:dyDescent="0.25">
      <c r="G4841" s="459"/>
      <c r="H4841" s="459">
        <v>4834</v>
      </c>
      <c r="I4841" s="444">
        <f t="shared" ca="1" si="175"/>
        <v>-432724364372919</v>
      </c>
      <c r="J4841" s="444">
        <f t="array" ref="J4841">IFERROR(INDEX('Retirement Calculator'!K:K,MATCH('Lorri 401b'!N4841,'Retirement Calculator'!A:A,0),0),0)</f>
        <v>0</v>
      </c>
      <c r="K4841" s="444">
        <f t="shared" ca="1" si="173"/>
        <v>-1803018184887.1624</v>
      </c>
      <c r="L4841" s="444">
        <f t="shared" ca="1" si="174"/>
        <v>-434527382557806.19</v>
      </c>
      <c r="M4841" s="460">
        <f t="shared" si="176"/>
        <v>0.05</v>
      </c>
      <c r="N4841" s="464">
        <f t="shared" si="177"/>
        <v>198388</v>
      </c>
    </row>
    <row r="4842" spans="7:14" ht="11.25" customHeight="1" x14ac:dyDescent="0.25">
      <c r="G4842" s="459"/>
      <c r="H4842" s="459">
        <v>4835</v>
      </c>
      <c r="I4842" s="444">
        <f t="shared" ca="1" si="175"/>
        <v>-434527382557806.19</v>
      </c>
      <c r="J4842" s="444">
        <f t="array" ref="J4842">IFERROR(INDEX('Retirement Calculator'!K:K,MATCH('Lorri 401b'!N4842,'Retirement Calculator'!A:A,0),0),0)</f>
        <v>0</v>
      </c>
      <c r="K4842" s="444">
        <f t="shared" ca="1" si="173"/>
        <v>-1810530760657.5256</v>
      </c>
      <c r="L4842" s="444">
        <f t="shared" ca="1" si="174"/>
        <v>-436337913318463.69</v>
      </c>
      <c r="M4842" s="460">
        <f t="shared" si="176"/>
        <v>0.05</v>
      </c>
      <c r="N4842" s="464">
        <f t="shared" si="177"/>
        <v>198419</v>
      </c>
    </row>
    <row r="4843" spans="7:14" ht="11.25" customHeight="1" x14ac:dyDescent="0.25">
      <c r="G4843" s="459"/>
      <c r="H4843" s="459">
        <v>4836</v>
      </c>
      <c r="I4843" s="444">
        <f t="shared" ca="1" si="175"/>
        <v>-436337913318463.69</v>
      </c>
      <c r="J4843" s="444">
        <f t="array" ref="J4843">IFERROR(INDEX('Retirement Calculator'!K:K,MATCH('Lorri 401b'!N4843,'Retirement Calculator'!A:A,0),0),0)</f>
        <v>0</v>
      </c>
      <c r="K4843" s="444">
        <f t="shared" ca="1" si="173"/>
        <v>-1818074638826.9319</v>
      </c>
      <c r="L4843" s="444">
        <f t="shared" ca="1" si="174"/>
        <v>-438155987957290.63</v>
      </c>
      <c r="M4843" s="460">
        <f t="shared" si="176"/>
        <v>0.05</v>
      </c>
      <c r="N4843" s="464">
        <f t="shared" si="177"/>
        <v>198449</v>
      </c>
    </row>
    <row r="4844" spans="7:14" ht="11.25" customHeight="1" x14ac:dyDescent="0.25">
      <c r="G4844" s="459"/>
      <c r="H4844" s="459">
        <v>4837</v>
      </c>
      <c r="I4844" s="444">
        <f t="shared" ca="1" si="175"/>
        <v>-438155987957290.63</v>
      </c>
      <c r="J4844" s="444">
        <f t="array" ref="J4844">IFERROR(INDEX('Retirement Calculator'!K:K,MATCH('Lorri 401b'!N4844,'Retirement Calculator'!A:A,0),0),0)</f>
        <v>0</v>
      </c>
      <c r="K4844" s="444">
        <f t="shared" ca="1" si="173"/>
        <v>-1825649949822.0442</v>
      </c>
      <c r="L4844" s="444">
        <f t="shared" ca="1" si="174"/>
        <v>-439981637907112.69</v>
      </c>
      <c r="M4844" s="460">
        <f t="shared" si="176"/>
        <v>0.05</v>
      </c>
      <c r="N4844" s="464">
        <f t="shared" si="177"/>
        <v>198480</v>
      </c>
    </row>
    <row r="4845" spans="7:14" ht="11.25" customHeight="1" x14ac:dyDescent="0.25">
      <c r="G4845" s="459"/>
      <c r="H4845" s="459">
        <v>4838</v>
      </c>
      <c r="I4845" s="444">
        <f t="shared" ca="1" si="175"/>
        <v>-439981637907112.69</v>
      </c>
      <c r="J4845" s="444">
        <f t="array" ref="J4845">IFERROR(INDEX('Retirement Calculator'!K:K,MATCH('Lorri 401b'!N4845,'Retirement Calculator'!A:A,0),0),0)</f>
        <v>0</v>
      </c>
      <c r="K4845" s="444">
        <f t="shared" ca="1" si="173"/>
        <v>-1833256824612.9697</v>
      </c>
      <c r="L4845" s="444">
        <f t="shared" ca="1" si="174"/>
        <v>-441814894731725.69</v>
      </c>
      <c r="M4845" s="460">
        <f t="shared" si="176"/>
        <v>0.05</v>
      </c>
      <c r="N4845" s="464">
        <f t="shared" si="177"/>
        <v>198510</v>
      </c>
    </row>
    <row r="4846" spans="7:14" ht="11.25" customHeight="1" x14ac:dyDescent="0.25">
      <c r="G4846" s="459"/>
      <c r="H4846" s="459">
        <v>4839</v>
      </c>
      <c r="I4846" s="444">
        <f t="shared" ca="1" si="175"/>
        <v>-441814894731725.69</v>
      </c>
      <c r="J4846" s="444">
        <f t="array" ref="J4846">IFERROR(INDEX('Retirement Calculator'!K:K,MATCH('Lorri 401b'!N4846,'Retirement Calculator'!A:A,0),0),0)</f>
        <v>0</v>
      </c>
      <c r="K4846" s="444">
        <f t="shared" ca="1" si="173"/>
        <v>-1840895394715.5234</v>
      </c>
      <c r="L4846" s="444">
        <f t="shared" ca="1" si="174"/>
        <v>-443655790126441.19</v>
      </c>
      <c r="M4846" s="460">
        <f t="shared" si="176"/>
        <v>0.05</v>
      </c>
      <c r="N4846" s="464">
        <f t="shared" si="177"/>
        <v>198541</v>
      </c>
    </row>
    <row r="4847" spans="7:14" ht="11.25" customHeight="1" x14ac:dyDescent="0.25">
      <c r="G4847" s="459"/>
      <c r="H4847" s="459">
        <v>4840</v>
      </c>
      <c r="I4847" s="444">
        <f t="shared" ca="1" si="175"/>
        <v>-443655790126441.19</v>
      </c>
      <c r="J4847" s="444">
        <f t="array" ref="J4847">IFERROR(INDEX('Retirement Calculator'!K:K,MATCH('Lorri 401b'!N4847,'Retirement Calculator'!A:A,0),0),0)</f>
        <v>0</v>
      </c>
      <c r="K4847" s="444">
        <f t="shared" ca="1" si="173"/>
        <v>-1848565792193.5049</v>
      </c>
      <c r="L4847" s="444">
        <f t="shared" ca="1" si="174"/>
        <v>-445504355918634.69</v>
      </c>
      <c r="M4847" s="460">
        <f t="shared" si="176"/>
        <v>0.05</v>
      </c>
      <c r="N4847" s="464">
        <f t="shared" si="177"/>
        <v>198572</v>
      </c>
    </row>
    <row r="4848" spans="7:14" ht="11.25" customHeight="1" x14ac:dyDescent="0.25">
      <c r="G4848" s="459"/>
      <c r="H4848" s="459">
        <v>4841</v>
      </c>
      <c r="I4848" s="444">
        <f t="shared" ca="1" si="175"/>
        <v>-445504355918634.69</v>
      </c>
      <c r="J4848" s="444">
        <f t="array" ref="J4848">IFERROR(INDEX('Retirement Calculator'!K:K,MATCH('Lorri 401b'!N4848,'Retirement Calculator'!A:A,0),0),0)</f>
        <v>0</v>
      </c>
      <c r="K4848" s="444">
        <f t="shared" ca="1" si="173"/>
        <v>-1856268149660.978</v>
      </c>
      <c r="L4848" s="444">
        <f t="shared" ca="1" si="174"/>
        <v>-447360624068295.69</v>
      </c>
      <c r="M4848" s="460">
        <f t="shared" si="176"/>
        <v>0.05</v>
      </c>
      <c r="N4848" s="464">
        <f t="shared" si="177"/>
        <v>198602</v>
      </c>
    </row>
    <row r="4849" spans="7:14" ht="11.25" customHeight="1" x14ac:dyDescent="0.25">
      <c r="G4849" s="459"/>
      <c r="H4849" s="459">
        <v>4842</v>
      </c>
      <c r="I4849" s="444">
        <f t="shared" ca="1" si="175"/>
        <v>-447360624068295.69</v>
      </c>
      <c r="J4849" s="444">
        <f t="array" ref="J4849">IFERROR(INDEX('Retirement Calculator'!K:K,MATCH('Lorri 401b'!N4849,'Retirement Calculator'!A:A,0),0),0)</f>
        <v>0</v>
      </c>
      <c r="K4849" s="444">
        <f t="shared" ca="1" si="173"/>
        <v>-1864002600284.5657</v>
      </c>
      <c r="L4849" s="444">
        <f t="shared" ca="1" si="174"/>
        <v>-449224626668580.25</v>
      </c>
      <c r="M4849" s="460">
        <f t="shared" si="176"/>
        <v>0.05</v>
      </c>
      <c r="N4849" s="464">
        <f t="shared" si="177"/>
        <v>198633</v>
      </c>
    </row>
    <row r="4850" spans="7:14" ht="11.25" customHeight="1" x14ac:dyDescent="0.25">
      <c r="G4850" s="459"/>
      <c r="H4850" s="459">
        <v>4843</v>
      </c>
      <c r="I4850" s="444">
        <f t="shared" ca="1" si="175"/>
        <v>-449224626668580.25</v>
      </c>
      <c r="J4850" s="444">
        <f t="array" ref="J4850">IFERROR(INDEX('Retirement Calculator'!K:K,MATCH('Lorri 401b'!N4850,'Retirement Calculator'!A:A,0),0),0)</f>
        <v>0</v>
      </c>
      <c r="K4850" s="444">
        <f t="shared" ca="1" si="173"/>
        <v>-1871769277785.7507</v>
      </c>
      <c r="L4850" s="444">
        <f t="shared" ca="1" si="174"/>
        <v>-451096395946366</v>
      </c>
      <c r="M4850" s="460">
        <f t="shared" si="176"/>
        <v>0.05</v>
      </c>
      <c r="N4850" s="464">
        <f t="shared" si="177"/>
        <v>198663</v>
      </c>
    </row>
    <row r="4851" spans="7:14" ht="11.25" customHeight="1" x14ac:dyDescent="0.25">
      <c r="G4851" s="459"/>
      <c r="H4851" s="459">
        <v>4844</v>
      </c>
      <c r="I4851" s="444">
        <f t="shared" ca="1" si="175"/>
        <v>-451096395946366</v>
      </c>
      <c r="J4851" s="444">
        <f t="array" ref="J4851">IFERROR(INDEX('Retirement Calculator'!K:K,MATCH('Lorri 401b'!N4851,'Retirement Calculator'!A:A,0),0),0)</f>
        <v>0</v>
      </c>
      <c r="K4851" s="444">
        <f t="shared" ca="1" si="173"/>
        <v>-1879568316443.1917</v>
      </c>
      <c r="L4851" s="444">
        <f t="shared" ca="1" si="174"/>
        <v>-452975964262809.19</v>
      </c>
      <c r="M4851" s="460">
        <f t="shared" si="176"/>
        <v>0.05</v>
      </c>
      <c r="N4851" s="464">
        <f t="shared" si="177"/>
        <v>198694</v>
      </c>
    </row>
    <row r="4852" spans="7:14" ht="11.25" customHeight="1" x14ac:dyDescent="0.25">
      <c r="G4852" s="459"/>
      <c r="H4852" s="459">
        <v>4845</v>
      </c>
      <c r="I4852" s="444">
        <f t="shared" ca="1" si="175"/>
        <v>-452975964262809.19</v>
      </c>
      <c r="J4852" s="444">
        <f t="array" ref="J4852">IFERROR(INDEX('Retirement Calculator'!K:K,MATCH('Lorri 401b'!N4852,'Retirement Calculator'!A:A,0),0),0)</f>
        <v>0</v>
      </c>
      <c r="K4852" s="444">
        <f t="shared" ca="1" si="173"/>
        <v>-1887399851095.0383</v>
      </c>
      <c r="L4852" s="444">
        <f t="shared" ca="1" si="174"/>
        <v>-454863364113904.25</v>
      </c>
      <c r="M4852" s="460">
        <f t="shared" si="176"/>
        <v>0.05</v>
      </c>
      <c r="N4852" s="464">
        <f t="shared" si="177"/>
        <v>198725</v>
      </c>
    </row>
    <row r="4853" spans="7:14" ht="11.25" customHeight="1" x14ac:dyDescent="0.25">
      <c r="G4853" s="459"/>
      <c r="H4853" s="459">
        <v>4846</v>
      </c>
      <c r="I4853" s="444">
        <f t="shared" ca="1" si="175"/>
        <v>-454863364113904.25</v>
      </c>
      <c r="J4853" s="444">
        <f t="array" ref="J4853">IFERROR(INDEX('Retirement Calculator'!K:K,MATCH('Lorri 401b'!N4853,'Retirement Calculator'!A:A,0),0),0)</f>
        <v>0</v>
      </c>
      <c r="K4853" s="444">
        <f t="shared" ref="K4853:K5107" ca="1" si="178">IPMT(M4853/12,1,12,-I4853+J4853,,0)</f>
        <v>-1895264017141.2676</v>
      </c>
      <c r="L4853" s="444">
        <f t="shared" ref="L4853:L5107" ca="1" si="179">I4853-J4853+K4853</f>
        <v>-456758628131045.5</v>
      </c>
      <c r="M4853" s="460">
        <f t="shared" si="176"/>
        <v>0.05</v>
      </c>
      <c r="N4853" s="464">
        <f t="shared" si="177"/>
        <v>198754</v>
      </c>
    </row>
    <row r="4854" spans="7:14" ht="11.25" customHeight="1" x14ac:dyDescent="0.25">
      <c r="G4854" s="459"/>
      <c r="H4854" s="459">
        <v>4847</v>
      </c>
      <c r="I4854" s="444">
        <f t="shared" ref="I4854:I5108" ca="1" si="180">L4853</f>
        <v>-456758628131045.5</v>
      </c>
      <c r="J4854" s="444">
        <f t="array" ref="J4854">IFERROR(INDEX('Retirement Calculator'!K:K,MATCH('Lorri 401b'!N4854,'Retirement Calculator'!A:A,0),0),0)</f>
        <v>0</v>
      </c>
      <c r="K4854" s="444">
        <f t="shared" ca="1" si="178"/>
        <v>-1903160950546.0229</v>
      </c>
      <c r="L4854" s="444">
        <f t="shared" ca="1" si="179"/>
        <v>-458661789081591.5</v>
      </c>
      <c r="M4854" s="460">
        <f t="shared" ref="M4854:M5108" si="181">M4853</f>
        <v>0.05</v>
      </c>
      <c r="N4854" s="464">
        <f t="shared" ref="N4854:N5108" si="182">EDATE(N4853,1)</f>
        <v>198785</v>
      </c>
    </row>
    <row r="4855" spans="7:14" ht="11.25" customHeight="1" x14ac:dyDescent="0.25">
      <c r="G4855" s="459"/>
      <c r="H4855" s="459">
        <v>4848</v>
      </c>
      <c r="I4855" s="444">
        <f t="shared" ca="1" si="180"/>
        <v>-458661789081591.5</v>
      </c>
      <c r="J4855" s="444">
        <f t="array" ref="J4855">IFERROR(INDEX('Retirement Calculator'!K:K,MATCH('Lorri 401b'!N4855,'Retirement Calculator'!A:A,0),0),0)</f>
        <v>0</v>
      </c>
      <c r="K4855" s="444">
        <f t="shared" ca="1" si="178"/>
        <v>-1911090787839.9648</v>
      </c>
      <c r="L4855" s="444">
        <f t="shared" ca="1" si="179"/>
        <v>-460572879869431.44</v>
      </c>
      <c r="M4855" s="460">
        <f t="shared" si="181"/>
        <v>0.05</v>
      </c>
      <c r="N4855" s="464">
        <f t="shared" si="182"/>
        <v>198815</v>
      </c>
    </row>
    <row r="4856" spans="7:14" ht="11.25" customHeight="1" x14ac:dyDescent="0.25">
      <c r="G4856" s="459"/>
      <c r="H4856" s="459">
        <v>4849</v>
      </c>
      <c r="I4856" s="444">
        <f t="shared" ca="1" si="180"/>
        <v>-460572879869431.44</v>
      </c>
      <c r="J4856" s="444">
        <f t="array" ref="J4856">IFERROR(INDEX('Retirement Calculator'!K:K,MATCH('Lorri 401b'!N4856,'Retirement Calculator'!A:A,0),0),0)</f>
        <v>0</v>
      </c>
      <c r="K4856" s="444">
        <f t="shared" ca="1" si="178"/>
        <v>-1919053666122.6309</v>
      </c>
      <c r="L4856" s="444">
        <f t="shared" ca="1" si="179"/>
        <v>-462491933535554.06</v>
      </c>
      <c r="M4856" s="460">
        <f t="shared" si="181"/>
        <v>0.05</v>
      </c>
      <c r="N4856" s="464">
        <f t="shared" si="182"/>
        <v>198846</v>
      </c>
    </row>
    <row r="4857" spans="7:14" ht="11.25" customHeight="1" x14ac:dyDescent="0.25">
      <c r="G4857" s="459"/>
      <c r="H4857" s="459">
        <v>4850</v>
      </c>
      <c r="I4857" s="444">
        <f t="shared" ca="1" si="180"/>
        <v>-462491933535554.06</v>
      </c>
      <c r="J4857" s="444">
        <f t="array" ref="J4857">IFERROR(INDEX('Retirement Calculator'!K:K,MATCH('Lorri 401b'!N4857,'Retirement Calculator'!A:A,0),0),0)</f>
        <v>0</v>
      </c>
      <c r="K4857" s="444">
        <f t="shared" ca="1" si="178"/>
        <v>-1927049723064.8083</v>
      </c>
      <c r="L4857" s="444">
        <f t="shared" ca="1" si="179"/>
        <v>-464418983258618.88</v>
      </c>
      <c r="M4857" s="460">
        <f t="shared" si="181"/>
        <v>0.05</v>
      </c>
      <c r="N4857" s="464">
        <f t="shared" si="182"/>
        <v>198876</v>
      </c>
    </row>
    <row r="4858" spans="7:14" ht="11.25" customHeight="1" x14ac:dyDescent="0.25">
      <c r="G4858" s="459"/>
      <c r="H4858" s="459">
        <v>4851</v>
      </c>
      <c r="I4858" s="444">
        <f t="shared" ca="1" si="180"/>
        <v>-464418983258618.88</v>
      </c>
      <c r="J4858" s="444">
        <f t="array" ref="J4858">IFERROR(INDEX('Retirement Calculator'!K:K,MATCH('Lorri 401b'!N4858,'Retirement Calculator'!A:A,0),0),0)</f>
        <v>0</v>
      </c>
      <c r="K4858" s="444">
        <f t="shared" ca="1" si="178"/>
        <v>-1935079096910.9116</v>
      </c>
      <c r="L4858" s="444">
        <f t="shared" ca="1" si="179"/>
        <v>-466354062355529.81</v>
      </c>
      <c r="M4858" s="460">
        <f t="shared" si="181"/>
        <v>0.05</v>
      </c>
      <c r="N4858" s="464">
        <f t="shared" si="182"/>
        <v>198907</v>
      </c>
    </row>
    <row r="4859" spans="7:14" ht="11.25" customHeight="1" x14ac:dyDescent="0.25">
      <c r="G4859" s="459"/>
      <c r="H4859" s="459">
        <v>4852</v>
      </c>
      <c r="I4859" s="444">
        <f t="shared" ca="1" si="180"/>
        <v>-466354062355529.81</v>
      </c>
      <c r="J4859" s="444">
        <f t="array" ref="J4859">IFERROR(INDEX('Retirement Calculator'!K:K,MATCH('Lorri 401b'!N4859,'Retirement Calculator'!A:A,0),0),0)</f>
        <v>0</v>
      </c>
      <c r="K4859" s="444">
        <f t="shared" ca="1" si="178"/>
        <v>-1943141926481.3743</v>
      </c>
      <c r="L4859" s="444">
        <f t="shared" ca="1" si="179"/>
        <v>-468297204282011.19</v>
      </c>
      <c r="M4859" s="460">
        <f t="shared" si="181"/>
        <v>0.05</v>
      </c>
      <c r="N4859" s="464">
        <f t="shared" si="182"/>
        <v>198938</v>
      </c>
    </row>
    <row r="4860" spans="7:14" ht="11.25" customHeight="1" x14ac:dyDescent="0.25">
      <c r="G4860" s="459"/>
      <c r="H4860" s="459">
        <v>4853</v>
      </c>
      <c r="I4860" s="444">
        <f t="shared" ca="1" si="180"/>
        <v>-468297204282011.19</v>
      </c>
      <c r="J4860" s="444">
        <f t="array" ref="J4860">IFERROR(INDEX('Retirement Calculator'!K:K,MATCH('Lorri 401b'!N4860,'Retirement Calculator'!A:A,0),0),0)</f>
        <v>0</v>
      </c>
      <c r="K4860" s="444">
        <f t="shared" ca="1" si="178"/>
        <v>-1951238351175.0466</v>
      </c>
      <c r="L4860" s="444">
        <f t="shared" ca="1" si="179"/>
        <v>-470248442633186.25</v>
      </c>
      <c r="M4860" s="460">
        <f t="shared" si="181"/>
        <v>0.05</v>
      </c>
      <c r="N4860" s="464">
        <f t="shared" si="182"/>
        <v>198968</v>
      </c>
    </row>
    <row r="4861" spans="7:14" ht="11.25" customHeight="1" x14ac:dyDescent="0.25">
      <c r="G4861" s="459"/>
      <c r="H4861" s="459">
        <v>4854</v>
      </c>
      <c r="I4861" s="444">
        <f t="shared" ca="1" si="180"/>
        <v>-470248442633186.25</v>
      </c>
      <c r="J4861" s="444">
        <f t="array" ref="J4861">IFERROR(INDEX('Retirement Calculator'!K:K,MATCH('Lorri 401b'!N4861,'Retirement Calculator'!A:A,0),0),0)</f>
        <v>0</v>
      </c>
      <c r="K4861" s="444">
        <f t="shared" ca="1" si="178"/>
        <v>-1959368510971.6096</v>
      </c>
      <c r="L4861" s="444">
        <f t="shared" ca="1" si="179"/>
        <v>-472207811144157.88</v>
      </c>
      <c r="M4861" s="460">
        <f t="shared" si="181"/>
        <v>0.05</v>
      </c>
      <c r="N4861" s="464">
        <f t="shared" si="182"/>
        <v>198999</v>
      </c>
    </row>
    <row r="4862" spans="7:14" ht="11.25" customHeight="1" x14ac:dyDescent="0.25">
      <c r="G4862" s="459"/>
      <c r="H4862" s="459">
        <v>4855</v>
      </c>
      <c r="I4862" s="444">
        <f t="shared" ca="1" si="180"/>
        <v>-472207811144157.88</v>
      </c>
      <c r="J4862" s="444">
        <f t="array" ref="J4862">IFERROR(INDEX('Retirement Calculator'!K:K,MATCH('Lorri 401b'!N4862,'Retirement Calculator'!A:A,0),0),0)</f>
        <v>0</v>
      </c>
      <c r="K4862" s="444">
        <f t="shared" ca="1" si="178"/>
        <v>-1967532546433.9915</v>
      </c>
      <c r="L4862" s="444">
        <f t="shared" ca="1" si="179"/>
        <v>-474175343690591.88</v>
      </c>
      <c r="M4862" s="460">
        <f t="shared" si="181"/>
        <v>0.05</v>
      </c>
      <c r="N4862" s="464">
        <f t="shared" si="182"/>
        <v>199029</v>
      </c>
    </row>
    <row r="4863" spans="7:14" ht="11.25" customHeight="1" x14ac:dyDescent="0.25">
      <c r="G4863" s="459"/>
      <c r="H4863" s="459">
        <v>4856</v>
      </c>
      <c r="I4863" s="444">
        <f t="shared" ca="1" si="180"/>
        <v>-474175343690591.88</v>
      </c>
      <c r="J4863" s="444">
        <f t="array" ref="J4863">IFERROR(INDEX('Retirement Calculator'!K:K,MATCH('Lorri 401b'!N4863,'Retirement Calculator'!A:A,0),0),0)</f>
        <v>0</v>
      </c>
      <c r="K4863" s="444">
        <f t="shared" ca="1" si="178"/>
        <v>-1975730598710.7996</v>
      </c>
      <c r="L4863" s="444">
        <f t="shared" ca="1" si="179"/>
        <v>-476151074289302.69</v>
      </c>
      <c r="M4863" s="460">
        <f t="shared" si="181"/>
        <v>0.05</v>
      </c>
      <c r="N4863" s="464">
        <f t="shared" si="182"/>
        <v>199060</v>
      </c>
    </row>
    <row r="4864" spans="7:14" ht="11.25" customHeight="1" x14ac:dyDescent="0.25">
      <c r="G4864" s="459"/>
      <c r="H4864" s="459">
        <v>4857</v>
      </c>
      <c r="I4864" s="444">
        <f t="shared" ca="1" si="180"/>
        <v>-476151074289302.69</v>
      </c>
      <c r="J4864" s="444">
        <f t="array" ref="J4864">IFERROR(INDEX('Retirement Calculator'!K:K,MATCH('Lorri 401b'!N4864,'Retirement Calculator'!A:A,0),0),0)</f>
        <v>0</v>
      </c>
      <c r="K4864" s="444">
        <f t="shared" ca="1" si="178"/>
        <v>-1983962809538.7612</v>
      </c>
      <c r="L4864" s="444">
        <f t="shared" ca="1" si="179"/>
        <v>-478135037098841.44</v>
      </c>
      <c r="M4864" s="460">
        <f t="shared" si="181"/>
        <v>0.05</v>
      </c>
      <c r="N4864" s="464">
        <f t="shared" si="182"/>
        <v>199091</v>
      </c>
    </row>
    <row r="4865" spans="7:14" ht="11.25" customHeight="1" x14ac:dyDescent="0.25">
      <c r="G4865" s="459"/>
      <c r="H4865" s="459">
        <v>4858</v>
      </c>
      <c r="I4865" s="444">
        <f t="shared" ca="1" si="180"/>
        <v>-478135037098841.44</v>
      </c>
      <c r="J4865" s="444">
        <f t="array" ref="J4865">IFERROR(INDEX('Retirement Calculator'!K:K,MATCH('Lorri 401b'!N4865,'Retirement Calculator'!A:A,0),0),0)</f>
        <v>0</v>
      </c>
      <c r="K4865" s="444">
        <f t="shared" ca="1" si="178"/>
        <v>-1992229321245.1726</v>
      </c>
      <c r="L4865" s="444">
        <f t="shared" ca="1" si="179"/>
        <v>-480127266420086.63</v>
      </c>
      <c r="M4865" s="460">
        <f t="shared" si="181"/>
        <v>0.05</v>
      </c>
      <c r="N4865" s="464">
        <f t="shared" si="182"/>
        <v>199119</v>
      </c>
    </row>
    <row r="4866" spans="7:14" ht="11.25" customHeight="1" x14ac:dyDescent="0.25">
      <c r="G4866" s="459"/>
      <c r="H4866" s="459">
        <v>4859</v>
      </c>
      <c r="I4866" s="444">
        <f t="shared" ca="1" si="180"/>
        <v>-480127266420086.63</v>
      </c>
      <c r="J4866" s="444">
        <f t="array" ref="J4866">IFERROR(INDEX('Retirement Calculator'!K:K,MATCH('Lorri 401b'!N4866,'Retirement Calculator'!A:A,0),0),0)</f>
        <v>0</v>
      </c>
      <c r="K4866" s="444">
        <f t="shared" ca="1" si="178"/>
        <v>-2000530276750.3611</v>
      </c>
      <c r="L4866" s="444">
        <f t="shared" ca="1" si="179"/>
        <v>-482127796696837</v>
      </c>
      <c r="M4866" s="460">
        <f t="shared" si="181"/>
        <v>0.05</v>
      </c>
      <c r="N4866" s="464">
        <f t="shared" si="182"/>
        <v>199150</v>
      </c>
    </row>
    <row r="4867" spans="7:14" ht="11.25" customHeight="1" x14ac:dyDescent="0.25">
      <c r="G4867" s="459"/>
      <c r="H4867" s="459">
        <v>4860</v>
      </c>
      <c r="I4867" s="444">
        <f t="shared" ca="1" si="180"/>
        <v>-482127796696837</v>
      </c>
      <c r="J4867" s="444">
        <f t="array" ref="J4867">IFERROR(INDEX('Retirement Calculator'!K:K,MATCH('Lorri 401b'!N4867,'Retirement Calculator'!A:A,0),0),0)</f>
        <v>0</v>
      </c>
      <c r="K4867" s="444">
        <f t="shared" ca="1" si="178"/>
        <v>-2008865819570.1541</v>
      </c>
      <c r="L4867" s="444">
        <f t="shared" ca="1" si="179"/>
        <v>-484136662516407.13</v>
      </c>
      <c r="M4867" s="460">
        <f t="shared" si="181"/>
        <v>0.05</v>
      </c>
      <c r="N4867" s="464">
        <f t="shared" si="182"/>
        <v>199180</v>
      </c>
    </row>
    <row r="4868" spans="7:14" ht="11.25" customHeight="1" x14ac:dyDescent="0.25">
      <c r="G4868" s="459"/>
      <c r="H4868" s="459">
        <v>4861</v>
      </c>
      <c r="I4868" s="444">
        <f t="shared" ca="1" si="180"/>
        <v>-484136662516407.13</v>
      </c>
      <c r="J4868" s="444">
        <f t="array" ref="J4868">IFERROR(INDEX('Retirement Calculator'!K:K,MATCH('Lorri 401b'!N4868,'Retirement Calculator'!A:A,0),0),0)</f>
        <v>0</v>
      </c>
      <c r="K4868" s="444">
        <f t="shared" ca="1" si="178"/>
        <v>-2017236093818.3633</v>
      </c>
      <c r="L4868" s="444">
        <f t="shared" ca="1" si="179"/>
        <v>-486153898610225.5</v>
      </c>
      <c r="M4868" s="460">
        <f t="shared" si="181"/>
        <v>0.05</v>
      </c>
      <c r="N4868" s="464">
        <f t="shared" si="182"/>
        <v>199211</v>
      </c>
    </row>
    <row r="4869" spans="7:14" ht="11.25" customHeight="1" x14ac:dyDescent="0.25">
      <c r="G4869" s="459"/>
      <c r="H4869" s="459">
        <v>4862</v>
      </c>
      <c r="I4869" s="444">
        <f t="shared" ca="1" si="180"/>
        <v>-486153898610225.5</v>
      </c>
      <c r="J4869" s="444">
        <f t="array" ref="J4869">IFERROR(INDEX('Retirement Calculator'!K:K,MATCH('Lorri 401b'!N4869,'Retirement Calculator'!A:A,0),0),0)</f>
        <v>0</v>
      </c>
      <c r="K4869" s="444">
        <f t="shared" ca="1" si="178"/>
        <v>-2025641244209.2729</v>
      </c>
      <c r="L4869" s="444">
        <f t="shared" ca="1" si="179"/>
        <v>-488179539854434.75</v>
      </c>
      <c r="M4869" s="460">
        <f t="shared" si="181"/>
        <v>0.05</v>
      </c>
      <c r="N4869" s="464">
        <f t="shared" si="182"/>
        <v>199241</v>
      </c>
    </row>
    <row r="4870" spans="7:14" ht="11.25" customHeight="1" x14ac:dyDescent="0.25">
      <c r="G4870" s="459"/>
      <c r="H4870" s="459">
        <v>4863</v>
      </c>
      <c r="I4870" s="444">
        <f t="shared" ca="1" si="180"/>
        <v>-488179539854434.75</v>
      </c>
      <c r="J4870" s="444">
        <f t="array" ref="J4870">IFERROR(INDEX('Retirement Calculator'!K:K,MATCH('Lorri 401b'!N4870,'Retirement Calculator'!A:A,0),0),0)</f>
        <v>0</v>
      </c>
      <c r="K4870" s="444">
        <f t="shared" ca="1" si="178"/>
        <v>-2034081416060.1445</v>
      </c>
      <c r="L4870" s="444">
        <f t="shared" ca="1" si="179"/>
        <v>-490213621270494.88</v>
      </c>
      <c r="M4870" s="460">
        <f t="shared" si="181"/>
        <v>0.05</v>
      </c>
      <c r="N4870" s="464">
        <f t="shared" si="182"/>
        <v>199272</v>
      </c>
    </row>
    <row r="4871" spans="7:14" ht="11.25" customHeight="1" x14ac:dyDescent="0.25">
      <c r="G4871" s="459"/>
      <c r="H4871" s="459">
        <v>4864</v>
      </c>
      <c r="I4871" s="444">
        <f t="shared" ca="1" si="180"/>
        <v>-490213621270494.88</v>
      </c>
      <c r="J4871" s="444">
        <f t="array" ref="J4871">IFERROR(INDEX('Retirement Calculator'!K:K,MATCH('Lorri 401b'!N4871,'Retirement Calculator'!A:A,0),0),0)</f>
        <v>0</v>
      </c>
      <c r="K4871" s="444">
        <f t="shared" ca="1" si="178"/>
        <v>-2042556755293.7288</v>
      </c>
      <c r="L4871" s="444">
        <f t="shared" ca="1" si="179"/>
        <v>-492256178025788.63</v>
      </c>
      <c r="M4871" s="460">
        <f t="shared" si="181"/>
        <v>0.05</v>
      </c>
      <c r="N4871" s="464">
        <f t="shared" si="182"/>
        <v>199303</v>
      </c>
    </row>
    <row r="4872" spans="7:14" ht="11.25" customHeight="1" x14ac:dyDescent="0.25">
      <c r="G4872" s="459"/>
      <c r="H4872" s="459">
        <v>4865</v>
      </c>
      <c r="I4872" s="444">
        <f t="shared" ca="1" si="180"/>
        <v>-492256178025788.63</v>
      </c>
      <c r="J4872" s="444">
        <f t="array" ref="J4872">IFERROR(INDEX('Retirement Calculator'!K:K,MATCH('Lorri 401b'!N4872,'Retirement Calculator'!A:A,0),0),0)</f>
        <v>0</v>
      </c>
      <c r="K4872" s="444">
        <f t="shared" ca="1" si="178"/>
        <v>-2051067408440.7859</v>
      </c>
      <c r="L4872" s="444">
        <f t="shared" ca="1" si="179"/>
        <v>-494307245434229.44</v>
      </c>
      <c r="M4872" s="460">
        <f t="shared" si="181"/>
        <v>0.05</v>
      </c>
      <c r="N4872" s="464">
        <f t="shared" si="182"/>
        <v>199333</v>
      </c>
    </row>
    <row r="4873" spans="7:14" ht="11.25" customHeight="1" x14ac:dyDescent="0.25">
      <c r="G4873" s="459"/>
      <c r="H4873" s="459">
        <v>4866</v>
      </c>
      <c r="I4873" s="444">
        <f t="shared" ca="1" si="180"/>
        <v>-494307245434229.44</v>
      </c>
      <c r="J4873" s="444">
        <f t="array" ref="J4873">IFERROR(INDEX('Retirement Calculator'!K:K,MATCH('Lorri 401b'!N4873,'Retirement Calculator'!A:A,0),0),0)</f>
        <v>0</v>
      </c>
      <c r="K4873" s="444">
        <f t="shared" ca="1" si="178"/>
        <v>-2059613522642.6226</v>
      </c>
      <c r="L4873" s="444">
        <f t="shared" ca="1" si="179"/>
        <v>-496366858956872.06</v>
      </c>
      <c r="M4873" s="460">
        <f t="shared" si="181"/>
        <v>0.05</v>
      </c>
      <c r="N4873" s="464">
        <f t="shared" si="182"/>
        <v>199364</v>
      </c>
    </row>
    <row r="4874" spans="7:14" ht="11.25" customHeight="1" x14ac:dyDescent="0.25">
      <c r="G4874" s="459"/>
      <c r="H4874" s="459">
        <v>4867</v>
      </c>
      <c r="I4874" s="444">
        <f t="shared" ca="1" si="180"/>
        <v>-496366858956872.06</v>
      </c>
      <c r="J4874" s="444">
        <f t="array" ref="J4874">IFERROR(INDEX('Retirement Calculator'!K:K,MATCH('Lorri 401b'!N4874,'Retirement Calculator'!A:A,0),0),0)</f>
        <v>0</v>
      </c>
      <c r="K4874" s="444">
        <f t="shared" ca="1" si="178"/>
        <v>-2068195245653.6335</v>
      </c>
      <c r="L4874" s="444">
        <f t="shared" ca="1" si="179"/>
        <v>-498435054202525.69</v>
      </c>
      <c r="M4874" s="460">
        <f t="shared" si="181"/>
        <v>0.05</v>
      </c>
      <c r="N4874" s="464">
        <f t="shared" si="182"/>
        <v>199394</v>
      </c>
    </row>
    <row r="4875" spans="7:14" ht="11.25" customHeight="1" x14ac:dyDescent="0.25">
      <c r="G4875" s="459"/>
      <c r="H4875" s="459">
        <v>4868</v>
      </c>
      <c r="I4875" s="444">
        <f t="shared" ca="1" si="180"/>
        <v>-498435054202525.69</v>
      </c>
      <c r="J4875" s="444">
        <f t="array" ref="J4875">IFERROR(INDEX('Retirement Calculator'!K:K,MATCH('Lorri 401b'!N4875,'Retirement Calculator'!A:A,0),0),0)</f>
        <v>0</v>
      </c>
      <c r="K4875" s="444">
        <f t="shared" ca="1" si="178"/>
        <v>-2076812725843.8569</v>
      </c>
      <c r="L4875" s="444">
        <f t="shared" ca="1" si="179"/>
        <v>-500511866928369.56</v>
      </c>
      <c r="M4875" s="460">
        <f t="shared" si="181"/>
        <v>0.05</v>
      </c>
      <c r="N4875" s="464">
        <f t="shared" si="182"/>
        <v>199425</v>
      </c>
    </row>
    <row r="4876" spans="7:14" ht="11.25" customHeight="1" x14ac:dyDescent="0.25">
      <c r="G4876" s="459"/>
      <c r="H4876" s="459">
        <v>4869</v>
      </c>
      <c r="I4876" s="444">
        <f t="shared" ca="1" si="180"/>
        <v>-500511866928369.56</v>
      </c>
      <c r="J4876" s="444">
        <f t="array" ref="J4876">IFERROR(INDEX('Retirement Calculator'!K:K,MATCH('Lorri 401b'!N4876,'Retirement Calculator'!A:A,0),0),0)</f>
        <v>0</v>
      </c>
      <c r="K4876" s="444">
        <f t="shared" ca="1" si="178"/>
        <v>-2085466112201.54</v>
      </c>
      <c r="L4876" s="444">
        <f t="shared" ca="1" si="179"/>
        <v>-502597333040571.13</v>
      </c>
      <c r="M4876" s="460">
        <f t="shared" si="181"/>
        <v>0.05</v>
      </c>
      <c r="N4876" s="464">
        <f t="shared" si="182"/>
        <v>199456</v>
      </c>
    </row>
    <row r="4877" spans="7:14" ht="11.25" customHeight="1" x14ac:dyDescent="0.25">
      <c r="G4877" s="459"/>
      <c r="H4877" s="459">
        <v>4870</v>
      </c>
      <c r="I4877" s="444">
        <f t="shared" ca="1" si="180"/>
        <v>-502597333040571.13</v>
      </c>
      <c r="J4877" s="444">
        <f t="array" ref="J4877">IFERROR(INDEX('Retirement Calculator'!K:K,MATCH('Lorri 401b'!N4877,'Retirement Calculator'!A:A,0),0),0)</f>
        <v>0</v>
      </c>
      <c r="K4877" s="444">
        <f t="shared" ca="1" si="178"/>
        <v>-2094155554335.7129</v>
      </c>
      <c r="L4877" s="444">
        <f t="shared" ca="1" si="179"/>
        <v>-504691488594906.81</v>
      </c>
      <c r="M4877" s="460">
        <f t="shared" si="181"/>
        <v>0.05</v>
      </c>
      <c r="N4877" s="464">
        <f t="shared" si="182"/>
        <v>199484</v>
      </c>
    </row>
    <row r="4878" spans="7:14" ht="11.25" customHeight="1" x14ac:dyDescent="0.25">
      <c r="G4878" s="459"/>
      <c r="H4878" s="459">
        <v>4871</v>
      </c>
      <c r="I4878" s="444">
        <f t="shared" ca="1" si="180"/>
        <v>-504691488594906.81</v>
      </c>
      <c r="J4878" s="444">
        <f t="array" ref="J4878">IFERROR(INDEX('Retirement Calculator'!K:K,MATCH('Lorri 401b'!N4878,'Retirement Calculator'!A:A,0),0),0)</f>
        <v>0</v>
      </c>
      <c r="K4878" s="444">
        <f t="shared" ca="1" si="178"/>
        <v>-2102881202478.7783</v>
      </c>
      <c r="L4878" s="444">
        <f t="shared" ca="1" si="179"/>
        <v>-506794369797385.56</v>
      </c>
      <c r="M4878" s="460">
        <f t="shared" si="181"/>
        <v>0.05</v>
      </c>
      <c r="N4878" s="464">
        <f t="shared" si="182"/>
        <v>199515</v>
      </c>
    </row>
    <row r="4879" spans="7:14" ht="11.25" customHeight="1" x14ac:dyDescent="0.25">
      <c r="G4879" s="459"/>
      <c r="H4879" s="459">
        <v>4872</v>
      </c>
      <c r="I4879" s="444">
        <f t="shared" ca="1" si="180"/>
        <v>-506794369797385.56</v>
      </c>
      <c r="J4879" s="444">
        <f t="array" ref="J4879">IFERROR(INDEX('Retirement Calculator'!K:K,MATCH('Lorri 401b'!N4879,'Retirement Calculator'!A:A,0),0),0)</f>
        <v>0</v>
      </c>
      <c r="K4879" s="444">
        <f t="shared" ca="1" si="178"/>
        <v>-2111643207489.1064</v>
      </c>
      <c r="L4879" s="444">
        <f t="shared" ca="1" si="179"/>
        <v>-508906013004874.69</v>
      </c>
      <c r="M4879" s="460">
        <f t="shared" si="181"/>
        <v>0.05</v>
      </c>
      <c r="N4879" s="464">
        <f t="shared" si="182"/>
        <v>199545</v>
      </c>
    </row>
    <row r="4880" spans="7:14" ht="11.25" customHeight="1" x14ac:dyDescent="0.25">
      <c r="G4880" s="459"/>
      <c r="H4880" s="459">
        <v>4873</v>
      </c>
      <c r="I4880" s="444">
        <f t="shared" ca="1" si="180"/>
        <v>-508906013004874.69</v>
      </c>
      <c r="J4880" s="444">
        <f t="array" ref="J4880">IFERROR(INDEX('Retirement Calculator'!K:K,MATCH('Lorri 401b'!N4880,'Retirement Calculator'!A:A,0),0),0)</f>
        <v>0</v>
      </c>
      <c r="K4880" s="444">
        <f t="shared" ca="1" si="178"/>
        <v>-2120441720853.6445</v>
      </c>
      <c r="L4880" s="444">
        <f t="shared" ca="1" si="179"/>
        <v>-511026454725728.31</v>
      </c>
      <c r="M4880" s="460">
        <f t="shared" si="181"/>
        <v>0.05</v>
      </c>
      <c r="N4880" s="464">
        <f t="shared" si="182"/>
        <v>199576</v>
      </c>
    </row>
    <row r="4881" spans="7:14" ht="11.25" customHeight="1" x14ac:dyDescent="0.25">
      <c r="G4881" s="459"/>
      <c r="H4881" s="459">
        <v>4874</v>
      </c>
      <c r="I4881" s="444">
        <f t="shared" ca="1" si="180"/>
        <v>-511026454725728.31</v>
      </c>
      <c r="J4881" s="444">
        <f t="array" ref="J4881">IFERROR(INDEX('Retirement Calculator'!K:K,MATCH('Lorri 401b'!N4881,'Retirement Calculator'!A:A,0),0),0)</f>
        <v>0</v>
      </c>
      <c r="K4881" s="444">
        <f t="shared" ca="1" si="178"/>
        <v>-2129276894690.5347</v>
      </c>
      <c r="L4881" s="444">
        <f t="shared" ca="1" si="179"/>
        <v>-513155731620418.88</v>
      </c>
      <c r="M4881" s="460">
        <f t="shared" si="181"/>
        <v>0.05</v>
      </c>
      <c r="N4881" s="464">
        <f t="shared" si="182"/>
        <v>199606</v>
      </c>
    </row>
    <row r="4882" spans="7:14" ht="11.25" customHeight="1" x14ac:dyDescent="0.25">
      <c r="G4882" s="459"/>
      <c r="H4882" s="459">
        <v>4875</v>
      </c>
      <c r="I4882" s="444">
        <f t="shared" ca="1" si="180"/>
        <v>-513155731620418.88</v>
      </c>
      <c r="J4882" s="444">
        <f t="array" ref="J4882">IFERROR(INDEX('Retirement Calculator'!K:K,MATCH('Lorri 401b'!N4882,'Retirement Calculator'!A:A,0),0),0)</f>
        <v>0</v>
      </c>
      <c r="K4882" s="444">
        <f t="shared" ca="1" si="178"/>
        <v>-2138148881751.7454</v>
      </c>
      <c r="L4882" s="444">
        <f t="shared" ca="1" si="179"/>
        <v>-515293880502170.63</v>
      </c>
      <c r="M4882" s="460">
        <f t="shared" si="181"/>
        <v>0.05</v>
      </c>
      <c r="N4882" s="464">
        <f t="shared" si="182"/>
        <v>199637</v>
      </c>
    </row>
    <row r="4883" spans="7:14" ht="11.25" customHeight="1" x14ac:dyDescent="0.25">
      <c r="G4883" s="459"/>
      <c r="H4883" s="459">
        <v>4876</v>
      </c>
      <c r="I4883" s="444">
        <f t="shared" ca="1" si="180"/>
        <v>-515293880502170.63</v>
      </c>
      <c r="J4883" s="444">
        <f t="array" ref="J4883">IFERROR(INDEX('Retirement Calculator'!K:K,MATCH('Lorri 401b'!N4883,'Retirement Calculator'!A:A,0),0),0)</f>
        <v>0</v>
      </c>
      <c r="K4883" s="444">
        <f t="shared" ca="1" si="178"/>
        <v>-2147057835425.7107</v>
      </c>
      <c r="L4883" s="444">
        <f t="shared" ca="1" si="179"/>
        <v>-517440938337596.31</v>
      </c>
      <c r="M4883" s="460">
        <f t="shared" si="181"/>
        <v>0.05</v>
      </c>
      <c r="N4883" s="464">
        <f t="shared" si="182"/>
        <v>199668</v>
      </c>
    </row>
    <row r="4884" spans="7:14" ht="11.25" customHeight="1" x14ac:dyDescent="0.25">
      <c r="G4884" s="459"/>
      <c r="H4884" s="459">
        <v>4877</v>
      </c>
      <c r="I4884" s="444">
        <f t="shared" ca="1" si="180"/>
        <v>-517440938337596.31</v>
      </c>
      <c r="J4884" s="444">
        <f t="array" ref="J4884">IFERROR(INDEX('Retirement Calculator'!K:K,MATCH('Lorri 401b'!N4884,'Retirement Calculator'!A:A,0),0),0)</f>
        <v>0</v>
      </c>
      <c r="K4884" s="444">
        <f t="shared" ca="1" si="178"/>
        <v>-2156003909739.9846</v>
      </c>
      <c r="L4884" s="444">
        <f t="shared" ca="1" si="179"/>
        <v>-519596942247336.31</v>
      </c>
      <c r="M4884" s="460">
        <f t="shared" si="181"/>
        <v>0.05</v>
      </c>
      <c r="N4884" s="464">
        <f t="shared" si="182"/>
        <v>199698</v>
      </c>
    </row>
    <row r="4885" spans="7:14" ht="11.25" customHeight="1" x14ac:dyDescent="0.25">
      <c r="G4885" s="459"/>
      <c r="H4885" s="459">
        <v>4878</v>
      </c>
      <c r="I4885" s="444">
        <f t="shared" ca="1" si="180"/>
        <v>-519596942247336.31</v>
      </c>
      <c r="J4885" s="444">
        <f t="array" ref="J4885">IFERROR(INDEX('Retirement Calculator'!K:K,MATCH('Lorri 401b'!N4885,'Retirement Calculator'!A:A,0),0),0)</f>
        <v>0</v>
      </c>
      <c r="K4885" s="444">
        <f t="shared" ca="1" si="178"/>
        <v>-2164987259363.9014</v>
      </c>
      <c r="L4885" s="444">
        <f t="shared" ca="1" si="179"/>
        <v>-521761929506700.19</v>
      </c>
      <c r="M4885" s="460">
        <f t="shared" si="181"/>
        <v>0.05</v>
      </c>
      <c r="N4885" s="464">
        <f t="shared" si="182"/>
        <v>199729</v>
      </c>
    </row>
    <row r="4886" spans="7:14" ht="11.25" customHeight="1" x14ac:dyDescent="0.25">
      <c r="G4886" s="459"/>
      <c r="H4886" s="459">
        <v>4879</v>
      </c>
      <c r="I4886" s="444">
        <f t="shared" ca="1" si="180"/>
        <v>-521761929506700.19</v>
      </c>
      <c r="J4886" s="444">
        <f t="array" ref="J4886">IFERROR(INDEX('Retirement Calculator'!K:K,MATCH('Lorri 401b'!N4886,'Retirement Calculator'!A:A,0),0),0)</f>
        <v>0</v>
      </c>
      <c r="K4886" s="444">
        <f t="shared" ca="1" si="178"/>
        <v>-2174008039611.2507</v>
      </c>
      <c r="L4886" s="444">
        <f t="shared" ca="1" si="179"/>
        <v>-523935937546311.44</v>
      </c>
      <c r="M4886" s="460">
        <f t="shared" si="181"/>
        <v>0.05</v>
      </c>
      <c r="N4886" s="464">
        <f t="shared" si="182"/>
        <v>199759</v>
      </c>
    </row>
    <row r="4887" spans="7:14" ht="11.25" customHeight="1" x14ac:dyDescent="0.25">
      <c r="G4887" s="459"/>
      <c r="H4887" s="459">
        <v>4880</v>
      </c>
      <c r="I4887" s="444">
        <f t="shared" ca="1" si="180"/>
        <v>-523935937546311.44</v>
      </c>
      <c r="J4887" s="444">
        <f t="array" ref="J4887">IFERROR(INDEX('Retirement Calculator'!K:K,MATCH('Lorri 401b'!N4887,'Retirement Calculator'!A:A,0),0),0)</f>
        <v>0</v>
      </c>
      <c r="K4887" s="444">
        <f t="shared" ca="1" si="178"/>
        <v>-2183066406442.9644</v>
      </c>
      <c r="L4887" s="444">
        <f t="shared" ca="1" si="179"/>
        <v>-526119003952754.38</v>
      </c>
      <c r="M4887" s="460">
        <f t="shared" si="181"/>
        <v>0.05</v>
      </c>
      <c r="N4887" s="464">
        <f t="shared" si="182"/>
        <v>199790</v>
      </c>
    </row>
    <row r="4888" spans="7:14" ht="11.25" customHeight="1" x14ac:dyDescent="0.25">
      <c r="G4888" s="459"/>
      <c r="H4888" s="459">
        <v>4881</v>
      </c>
      <c r="I4888" s="444">
        <f t="shared" ca="1" si="180"/>
        <v>-526119003952754.38</v>
      </c>
      <c r="J4888" s="444">
        <f t="array" ref="J4888">IFERROR(INDEX('Retirement Calculator'!K:K,MATCH('Lorri 401b'!N4888,'Retirement Calculator'!A:A,0),0),0)</f>
        <v>0</v>
      </c>
      <c r="K4888" s="444">
        <f t="shared" ca="1" si="178"/>
        <v>-2192162516469.8098</v>
      </c>
      <c r="L4888" s="444">
        <f t="shared" ca="1" si="179"/>
        <v>-528311166469224.19</v>
      </c>
      <c r="M4888" s="460">
        <f t="shared" si="181"/>
        <v>0.05</v>
      </c>
      <c r="N4888" s="464">
        <f t="shared" si="182"/>
        <v>199821</v>
      </c>
    </row>
    <row r="4889" spans="7:14" ht="11.25" customHeight="1" x14ac:dyDescent="0.25">
      <c r="G4889" s="459"/>
      <c r="H4889" s="459">
        <v>4882</v>
      </c>
      <c r="I4889" s="444">
        <f t="shared" ca="1" si="180"/>
        <v>-528311166469224.19</v>
      </c>
      <c r="J4889" s="444">
        <f t="array" ref="J4889">IFERROR(INDEX('Retirement Calculator'!K:K,MATCH('Lorri 401b'!N4889,'Retirement Calculator'!A:A,0),0),0)</f>
        <v>0</v>
      </c>
      <c r="K4889" s="444">
        <f t="shared" ca="1" si="178"/>
        <v>-2201296526955.1006</v>
      </c>
      <c r="L4889" s="444">
        <f t="shared" ca="1" si="179"/>
        <v>-530512462996179.31</v>
      </c>
      <c r="M4889" s="460">
        <f t="shared" si="181"/>
        <v>0.05</v>
      </c>
      <c r="N4889" s="464">
        <f t="shared" si="182"/>
        <v>199849</v>
      </c>
    </row>
    <row r="4890" spans="7:14" ht="11.25" customHeight="1" x14ac:dyDescent="0.25">
      <c r="G4890" s="459"/>
      <c r="H4890" s="459">
        <v>4883</v>
      </c>
      <c r="I4890" s="444">
        <f t="shared" ca="1" si="180"/>
        <v>-530512462996179.31</v>
      </c>
      <c r="J4890" s="444">
        <f t="array" ref="J4890">IFERROR(INDEX('Retirement Calculator'!K:K,MATCH('Lorri 401b'!N4890,'Retirement Calculator'!A:A,0),0),0)</f>
        <v>0</v>
      </c>
      <c r="K4890" s="444">
        <f t="shared" ca="1" si="178"/>
        <v>-2210468595817.4136</v>
      </c>
      <c r="L4890" s="444">
        <f t="shared" ca="1" si="179"/>
        <v>-532722931591996.75</v>
      </c>
      <c r="M4890" s="460">
        <f t="shared" si="181"/>
        <v>0.05</v>
      </c>
      <c r="N4890" s="464">
        <f t="shared" si="182"/>
        <v>199880</v>
      </c>
    </row>
    <row r="4891" spans="7:14" ht="11.25" customHeight="1" x14ac:dyDescent="0.25">
      <c r="G4891" s="459"/>
      <c r="H4891" s="459">
        <v>4884</v>
      </c>
      <c r="I4891" s="444">
        <f t="shared" ca="1" si="180"/>
        <v>-532722931591996.75</v>
      </c>
      <c r="J4891" s="444">
        <f t="array" ref="J4891">IFERROR(INDEX('Retirement Calculator'!K:K,MATCH('Lorri 401b'!N4891,'Retirement Calculator'!A:A,0),0),0)</f>
        <v>0</v>
      </c>
      <c r="K4891" s="444">
        <f t="shared" ca="1" si="178"/>
        <v>-2219678881633.3198</v>
      </c>
      <c r="L4891" s="444">
        <f t="shared" ca="1" si="179"/>
        <v>-534942610473630.06</v>
      </c>
      <c r="M4891" s="460">
        <f t="shared" si="181"/>
        <v>0.05</v>
      </c>
      <c r="N4891" s="464">
        <f t="shared" si="182"/>
        <v>199910</v>
      </c>
    </row>
    <row r="4892" spans="7:14" ht="11.25" customHeight="1" x14ac:dyDescent="0.25">
      <c r="G4892" s="459"/>
      <c r="H4892" s="459">
        <v>4885</v>
      </c>
      <c r="I4892" s="444">
        <f t="shared" ca="1" si="180"/>
        <v>-534942610473630.06</v>
      </c>
      <c r="J4892" s="444">
        <f t="array" ref="J4892">IFERROR(INDEX('Retirement Calculator'!K:K,MATCH('Lorri 401b'!N4892,'Retirement Calculator'!A:A,0),0),0)</f>
        <v>0</v>
      </c>
      <c r="K4892" s="444">
        <f t="shared" ca="1" si="178"/>
        <v>-2228927543640.125</v>
      </c>
      <c r="L4892" s="444">
        <f t="shared" ca="1" si="179"/>
        <v>-537171538017270.19</v>
      </c>
      <c r="M4892" s="460">
        <f t="shared" si="181"/>
        <v>0.05</v>
      </c>
      <c r="N4892" s="464">
        <f t="shared" si="182"/>
        <v>199941</v>
      </c>
    </row>
    <row r="4893" spans="7:14" ht="11.25" customHeight="1" x14ac:dyDescent="0.25">
      <c r="G4893" s="459"/>
      <c r="H4893" s="459">
        <v>4886</v>
      </c>
      <c r="I4893" s="444">
        <f t="shared" ca="1" si="180"/>
        <v>-537171538017270.19</v>
      </c>
      <c r="J4893" s="444">
        <f t="array" ref="J4893">IFERROR(INDEX('Retirement Calculator'!K:K,MATCH('Lorri 401b'!N4893,'Retirement Calculator'!A:A,0),0),0)</f>
        <v>0</v>
      </c>
      <c r="K4893" s="444">
        <f t="shared" ca="1" si="178"/>
        <v>-2238214741738.626</v>
      </c>
      <c r="L4893" s="444">
        <f t="shared" ca="1" si="179"/>
        <v>-539409752759008.81</v>
      </c>
      <c r="M4893" s="460">
        <f t="shared" si="181"/>
        <v>0.05</v>
      </c>
      <c r="N4893" s="464">
        <f t="shared" si="182"/>
        <v>199971</v>
      </c>
    </row>
    <row r="4894" spans="7:14" ht="11.25" customHeight="1" x14ac:dyDescent="0.25">
      <c r="G4894" s="459"/>
      <c r="H4894" s="459">
        <v>4887</v>
      </c>
      <c r="I4894" s="444">
        <f t="shared" ca="1" si="180"/>
        <v>-539409752759008.81</v>
      </c>
      <c r="J4894" s="444">
        <f t="array" ref="J4894">IFERROR(INDEX('Retirement Calculator'!K:K,MATCH('Lorri 401b'!N4894,'Retirement Calculator'!A:A,0),0),0)</f>
        <v>0</v>
      </c>
      <c r="K4894" s="444">
        <f t="shared" ca="1" si="178"/>
        <v>-2247540636495.8696</v>
      </c>
      <c r="L4894" s="444">
        <f t="shared" ca="1" si="179"/>
        <v>-541657293395504.69</v>
      </c>
      <c r="M4894" s="460">
        <f t="shared" si="181"/>
        <v>0.05</v>
      </c>
      <c r="N4894" s="464">
        <f t="shared" si="182"/>
        <v>200002</v>
      </c>
    </row>
    <row r="4895" spans="7:14" ht="11.25" customHeight="1" x14ac:dyDescent="0.25">
      <c r="G4895" s="459"/>
      <c r="H4895" s="459">
        <v>4888</v>
      </c>
      <c r="I4895" s="444">
        <f t="shared" ca="1" si="180"/>
        <v>-541657293395504.69</v>
      </c>
      <c r="J4895" s="444">
        <f t="array" ref="J4895">IFERROR(INDEX('Retirement Calculator'!K:K,MATCH('Lorri 401b'!N4895,'Retirement Calculator'!A:A,0),0),0)</f>
        <v>0</v>
      </c>
      <c r="K4895" s="444">
        <f t="shared" ca="1" si="178"/>
        <v>-2256905389147.936</v>
      </c>
      <c r="L4895" s="444">
        <f t="shared" ca="1" si="179"/>
        <v>-543914198784652.63</v>
      </c>
      <c r="M4895" s="460">
        <f t="shared" si="181"/>
        <v>0.05</v>
      </c>
      <c r="N4895" s="464">
        <f t="shared" si="182"/>
        <v>200033</v>
      </c>
    </row>
    <row r="4896" spans="7:14" ht="11.25" customHeight="1" x14ac:dyDescent="0.25">
      <c r="G4896" s="459"/>
      <c r="H4896" s="459">
        <v>4889</v>
      </c>
      <c r="I4896" s="444">
        <f t="shared" ca="1" si="180"/>
        <v>-543914198784652.63</v>
      </c>
      <c r="J4896" s="444">
        <f t="array" ref="J4896">IFERROR(INDEX('Retirement Calculator'!K:K,MATCH('Lorri 401b'!N4896,'Retirement Calculator'!A:A,0),0),0)</f>
        <v>0</v>
      </c>
      <c r="K4896" s="444">
        <f t="shared" ca="1" si="178"/>
        <v>-2266309161602.7192</v>
      </c>
      <c r="L4896" s="444">
        <f t="shared" ca="1" si="179"/>
        <v>-546180507946255.38</v>
      </c>
      <c r="M4896" s="460">
        <f t="shared" si="181"/>
        <v>0.05</v>
      </c>
      <c r="N4896" s="464">
        <f t="shared" si="182"/>
        <v>200063</v>
      </c>
    </row>
    <row r="4897" spans="7:14" ht="11.25" customHeight="1" x14ac:dyDescent="0.25">
      <c r="G4897" s="459"/>
      <c r="H4897" s="459">
        <v>4890</v>
      </c>
      <c r="I4897" s="444">
        <f t="shared" ca="1" si="180"/>
        <v>-546180507946255.38</v>
      </c>
      <c r="J4897" s="444">
        <f t="array" ref="J4897">IFERROR(INDEX('Retirement Calculator'!K:K,MATCH('Lorri 401b'!N4897,'Retirement Calculator'!A:A,0),0),0)</f>
        <v>0</v>
      </c>
      <c r="K4897" s="444">
        <f t="shared" ca="1" si="178"/>
        <v>-2275752116442.7305</v>
      </c>
      <c r="L4897" s="444">
        <f t="shared" ca="1" si="179"/>
        <v>-548456260062698.13</v>
      </c>
      <c r="M4897" s="460">
        <f t="shared" si="181"/>
        <v>0.05</v>
      </c>
      <c r="N4897" s="464">
        <f t="shared" si="182"/>
        <v>200094</v>
      </c>
    </row>
    <row r="4898" spans="7:14" ht="11.25" customHeight="1" x14ac:dyDescent="0.25">
      <c r="G4898" s="459"/>
      <c r="H4898" s="459">
        <v>4891</v>
      </c>
      <c r="I4898" s="444">
        <f t="shared" ca="1" si="180"/>
        <v>-548456260062698.13</v>
      </c>
      <c r="J4898" s="444">
        <f t="array" ref="J4898">IFERROR(INDEX('Retirement Calculator'!K:K,MATCH('Lorri 401b'!N4898,'Retirement Calculator'!A:A,0),0),0)</f>
        <v>0</v>
      </c>
      <c r="K4898" s="444">
        <f t="shared" ca="1" si="178"/>
        <v>-2285234416927.9092</v>
      </c>
      <c r="L4898" s="444">
        <f t="shared" ca="1" si="179"/>
        <v>-550741494479626.06</v>
      </c>
      <c r="M4898" s="460">
        <f t="shared" si="181"/>
        <v>0.05</v>
      </c>
      <c r="N4898" s="464">
        <f t="shared" si="182"/>
        <v>200124</v>
      </c>
    </row>
    <row r="4899" spans="7:14" ht="11.25" customHeight="1" x14ac:dyDescent="0.25">
      <c r="G4899" s="459"/>
      <c r="H4899" s="459">
        <v>4892</v>
      </c>
      <c r="I4899" s="444">
        <f t="shared" ca="1" si="180"/>
        <v>-550741494479626.06</v>
      </c>
      <c r="J4899" s="444">
        <f t="array" ref="J4899">IFERROR(INDEX('Retirement Calculator'!K:K,MATCH('Lorri 401b'!N4899,'Retirement Calculator'!A:A,0),0),0)</f>
        <v>0</v>
      </c>
      <c r="K4899" s="444">
        <f t="shared" ca="1" si="178"/>
        <v>-2294756226998.4419</v>
      </c>
      <c r="L4899" s="444">
        <f t="shared" ca="1" si="179"/>
        <v>-553036250706624.5</v>
      </c>
      <c r="M4899" s="460">
        <f t="shared" si="181"/>
        <v>0.05</v>
      </c>
      <c r="N4899" s="464">
        <f t="shared" si="182"/>
        <v>200155</v>
      </c>
    </row>
    <row r="4900" spans="7:14" ht="11.25" customHeight="1" x14ac:dyDescent="0.25">
      <c r="G4900" s="459"/>
      <c r="H4900" s="459">
        <v>4893</v>
      </c>
      <c r="I4900" s="444">
        <f t="shared" ca="1" si="180"/>
        <v>-553036250706624.5</v>
      </c>
      <c r="J4900" s="444">
        <f t="array" ref="J4900">IFERROR(INDEX('Retirement Calculator'!K:K,MATCH('Lorri 401b'!N4900,'Retirement Calculator'!A:A,0),0),0)</f>
        <v>0</v>
      </c>
      <c r="K4900" s="444">
        <f t="shared" ca="1" si="178"/>
        <v>-2304317711277.6021</v>
      </c>
      <c r="L4900" s="444">
        <f t="shared" ca="1" si="179"/>
        <v>-555340568417902.13</v>
      </c>
      <c r="M4900" s="460">
        <f t="shared" si="181"/>
        <v>0.05</v>
      </c>
      <c r="N4900" s="464">
        <f t="shared" si="182"/>
        <v>200186</v>
      </c>
    </row>
    <row r="4901" spans="7:14" ht="11.25" customHeight="1" x14ac:dyDescent="0.25">
      <c r="G4901" s="459"/>
      <c r="H4901" s="459">
        <v>4894</v>
      </c>
      <c r="I4901" s="444">
        <f t="shared" ca="1" si="180"/>
        <v>-555340568417902.13</v>
      </c>
      <c r="J4901" s="444">
        <f t="array" ref="J4901">IFERROR(INDEX('Retirement Calculator'!K:K,MATCH('Lorri 401b'!N4901,'Retirement Calculator'!A:A,0),0),0)</f>
        <v>0</v>
      </c>
      <c r="K4901" s="444">
        <f t="shared" ca="1" si="178"/>
        <v>-2313919035074.5923</v>
      </c>
      <c r="L4901" s="444">
        <f t="shared" ca="1" si="179"/>
        <v>-557654487452976.69</v>
      </c>
      <c r="M4901" s="460">
        <f t="shared" si="181"/>
        <v>0.05</v>
      </c>
      <c r="N4901" s="464">
        <f t="shared" si="182"/>
        <v>200215</v>
      </c>
    </row>
    <row r="4902" spans="7:14" ht="11.25" customHeight="1" x14ac:dyDescent="0.25">
      <c r="G4902" s="459"/>
      <c r="H4902" s="459">
        <v>4895</v>
      </c>
      <c r="I4902" s="444">
        <f t="shared" ca="1" si="180"/>
        <v>-557654487452976.69</v>
      </c>
      <c r="J4902" s="444">
        <f t="array" ref="J4902">IFERROR(INDEX('Retirement Calculator'!K:K,MATCH('Lorri 401b'!N4902,'Retirement Calculator'!A:A,0),0),0)</f>
        <v>0</v>
      </c>
      <c r="K4902" s="444">
        <f t="shared" ca="1" si="178"/>
        <v>-2323560364387.4028</v>
      </c>
      <c r="L4902" s="444">
        <f t="shared" ca="1" si="179"/>
        <v>-559978047817364.06</v>
      </c>
      <c r="M4902" s="460">
        <f t="shared" si="181"/>
        <v>0.05</v>
      </c>
      <c r="N4902" s="464">
        <f t="shared" si="182"/>
        <v>200246</v>
      </c>
    </row>
    <row r="4903" spans="7:14" ht="11.25" customHeight="1" x14ac:dyDescent="0.25">
      <c r="G4903" s="459"/>
      <c r="H4903" s="459">
        <v>4896</v>
      </c>
      <c r="I4903" s="444">
        <f t="shared" ca="1" si="180"/>
        <v>-559978047817364.06</v>
      </c>
      <c r="J4903" s="444">
        <f t="array" ref="J4903">IFERROR(INDEX('Retirement Calculator'!K:K,MATCH('Lorri 401b'!N4903,'Retirement Calculator'!A:A,0),0),0)</f>
        <v>0</v>
      </c>
      <c r="K4903" s="444">
        <f t="shared" ca="1" si="178"/>
        <v>-2333241865905.6831</v>
      </c>
      <c r="L4903" s="444">
        <f t="shared" ca="1" si="179"/>
        <v>-562311289683269.75</v>
      </c>
      <c r="M4903" s="460">
        <f t="shared" si="181"/>
        <v>0.05</v>
      </c>
      <c r="N4903" s="464">
        <f t="shared" si="182"/>
        <v>200276</v>
      </c>
    </row>
    <row r="4904" spans="7:14" ht="11.25" customHeight="1" x14ac:dyDescent="0.25">
      <c r="G4904" s="459"/>
      <c r="H4904" s="459">
        <v>4897</v>
      </c>
      <c r="I4904" s="444">
        <f t="shared" ca="1" si="180"/>
        <v>-562311289683269.75</v>
      </c>
      <c r="J4904" s="444">
        <f t="array" ref="J4904">IFERROR(INDEX('Retirement Calculator'!K:K,MATCH('Lorri 401b'!N4904,'Retirement Calculator'!A:A,0),0),0)</f>
        <v>0</v>
      </c>
      <c r="K4904" s="444">
        <f t="shared" ca="1" si="178"/>
        <v>-2342963707013.624</v>
      </c>
      <c r="L4904" s="444">
        <f t="shared" ca="1" si="179"/>
        <v>-564654253390283.38</v>
      </c>
      <c r="M4904" s="460">
        <f t="shared" si="181"/>
        <v>0.05</v>
      </c>
      <c r="N4904" s="464">
        <f t="shared" si="182"/>
        <v>200307</v>
      </c>
    </row>
    <row r="4905" spans="7:14" ht="11.25" customHeight="1" x14ac:dyDescent="0.25">
      <c r="G4905" s="459"/>
      <c r="H4905" s="459">
        <v>4898</v>
      </c>
      <c r="I4905" s="444">
        <f t="shared" ca="1" si="180"/>
        <v>-564654253390283.38</v>
      </c>
      <c r="J4905" s="444">
        <f t="array" ref="J4905">IFERROR(INDEX('Retirement Calculator'!K:K,MATCH('Lorri 401b'!N4905,'Retirement Calculator'!A:A,0),0),0)</f>
        <v>0</v>
      </c>
      <c r="K4905" s="444">
        <f t="shared" ca="1" si="178"/>
        <v>-2352726055792.8472</v>
      </c>
      <c r="L4905" s="444">
        <f t="shared" ca="1" si="179"/>
        <v>-567006979446076.25</v>
      </c>
      <c r="M4905" s="460">
        <f t="shared" si="181"/>
        <v>0.05</v>
      </c>
      <c r="N4905" s="464">
        <f t="shared" si="182"/>
        <v>200337</v>
      </c>
    </row>
    <row r="4906" spans="7:14" ht="11.25" customHeight="1" x14ac:dyDescent="0.25">
      <c r="G4906" s="459"/>
      <c r="H4906" s="459">
        <v>4899</v>
      </c>
      <c r="I4906" s="444">
        <f t="shared" ca="1" si="180"/>
        <v>-567006979446076.25</v>
      </c>
      <c r="J4906" s="444">
        <f t="array" ref="J4906">IFERROR(INDEX('Retirement Calculator'!K:K,MATCH('Lorri 401b'!N4906,'Retirement Calculator'!A:A,0),0),0)</f>
        <v>0</v>
      </c>
      <c r="K4906" s="444">
        <f t="shared" ca="1" si="178"/>
        <v>-2362529081025.3179</v>
      </c>
      <c r="L4906" s="444">
        <f t="shared" ca="1" si="179"/>
        <v>-569369508527101.63</v>
      </c>
      <c r="M4906" s="460">
        <f t="shared" si="181"/>
        <v>0.05</v>
      </c>
      <c r="N4906" s="464">
        <f t="shared" si="182"/>
        <v>200368</v>
      </c>
    </row>
    <row r="4907" spans="7:14" ht="11.25" customHeight="1" x14ac:dyDescent="0.25">
      <c r="G4907" s="459"/>
      <c r="H4907" s="459">
        <v>4900</v>
      </c>
      <c r="I4907" s="444">
        <f t="shared" ca="1" si="180"/>
        <v>-569369508527101.63</v>
      </c>
      <c r="J4907" s="444">
        <f t="array" ref="J4907">IFERROR(INDEX('Retirement Calculator'!K:K,MATCH('Lorri 401b'!N4907,'Retirement Calculator'!A:A,0),0),0)</f>
        <v>0</v>
      </c>
      <c r="K4907" s="444">
        <f t="shared" ca="1" si="178"/>
        <v>-2372372952196.2568</v>
      </c>
      <c r="L4907" s="444">
        <f t="shared" ca="1" si="179"/>
        <v>-571741881479297.88</v>
      </c>
      <c r="M4907" s="460">
        <f t="shared" si="181"/>
        <v>0.05</v>
      </c>
      <c r="N4907" s="464">
        <f t="shared" si="182"/>
        <v>200399</v>
      </c>
    </row>
    <row r="4908" spans="7:14" ht="11.25" customHeight="1" x14ac:dyDescent="0.25">
      <c r="G4908" s="459"/>
      <c r="H4908" s="459">
        <v>4901</v>
      </c>
      <c r="I4908" s="444">
        <f t="shared" ca="1" si="180"/>
        <v>-571741881479297.88</v>
      </c>
      <c r="J4908" s="444">
        <f t="array" ref="J4908">IFERROR(INDEX('Retirement Calculator'!K:K,MATCH('Lorri 401b'!N4908,'Retirement Calculator'!A:A,0),0),0)</f>
        <v>0</v>
      </c>
      <c r="K4908" s="444">
        <f t="shared" ca="1" si="178"/>
        <v>-2382257839497.0742</v>
      </c>
      <c r="L4908" s="444">
        <f t="shared" ca="1" si="179"/>
        <v>-574124139318795</v>
      </c>
      <c r="M4908" s="460">
        <f t="shared" si="181"/>
        <v>0.05</v>
      </c>
      <c r="N4908" s="464">
        <f t="shared" si="182"/>
        <v>200429</v>
      </c>
    </row>
    <row r="4909" spans="7:14" ht="11.25" customHeight="1" x14ac:dyDescent="0.25">
      <c r="G4909" s="459"/>
      <c r="H4909" s="459">
        <v>4902</v>
      </c>
      <c r="I4909" s="444">
        <f t="shared" ca="1" si="180"/>
        <v>-574124139318795</v>
      </c>
      <c r="J4909" s="444">
        <f t="array" ref="J4909">IFERROR(INDEX('Retirement Calculator'!K:K,MATCH('Lorri 401b'!N4909,'Retirement Calculator'!A:A,0),0),0)</f>
        <v>0</v>
      </c>
      <c r="K4909" s="444">
        <f t="shared" ca="1" si="178"/>
        <v>-2392183913828.3125</v>
      </c>
      <c r="L4909" s="444">
        <f t="shared" ca="1" si="179"/>
        <v>-576516323232623.25</v>
      </c>
      <c r="M4909" s="460">
        <f t="shared" si="181"/>
        <v>0.05</v>
      </c>
      <c r="N4909" s="464">
        <f t="shared" si="182"/>
        <v>200460</v>
      </c>
    </row>
    <row r="4910" spans="7:14" ht="11.25" customHeight="1" x14ac:dyDescent="0.25">
      <c r="G4910" s="459"/>
      <c r="H4910" s="459">
        <v>4903</v>
      </c>
      <c r="I4910" s="444">
        <f t="shared" ca="1" si="180"/>
        <v>-576516323232623.25</v>
      </c>
      <c r="J4910" s="444">
        <f t="array" ref="J4910">IFERROR(INDEX('Retirement Calculator'!K:K,MATCH('Lorri 401b'!N4910,'Retirement Calculator'!A:A,0),0),0)</f>
        <v>0</v>
      </c>
      <c r="K4910" s="444">
        <f t="shared" ca="1" si="178"/>
        <v>-2402151346802.5967</v>
      </c>
      <c r="L4910" s="444">
        <f t="shared" ca="1" si="179"/>
        <v>-578918474579425.88</v>
      </c>
      <c r="M4910" s="460">
        <f t="shared" si="181"/>
        <v>0.05</v>
      </c>
      <c r="N4910" s="464">
        <f t="shared" si="182"/>
        <v>200490</v>
      </c>
    </row>
    <row r="4911" spans="7:14" ht="11.25" customHeight="1" x14ac:dyDescent="0.25">
      <c r="G4911" s="459"/>
      <c r="H4911" s="459">
        <v>4904</v>
      </c>
      <c r="I4911" s="444">
        <f t="shared" ca="1" si="180"/>
        <v>-578918474579425.88</v>
      </c>
      <c r="J4911" s="444">
        <f t="array" ref="J4911">IFERROR(INDEX('Retirement Calculator'!K:K,MATCH('Lorri 401b'!N4911,'Retirement Calculator'!A:A,0),0),0)</f>
        <v>0</v>
      </c>
      <c r="K4911" s="444">
        <f t="shared" ca="1" si="178"/>
        <v>-2412160310747.6079</v>
      </c>
      <c r="L4911" s="444">
        <f t="shared" ca="1" si="179"/>
        <v>-581330634890173.5</v>
      </c>
      <c r="M4911" s="460">
        <f t="shared" si="181"/>
        <v>0.05</v>
      </c>
      <c r="N4911" s="464">
        <f t="shared" si="182"/>
        <v>200521</v>
      </c>
    </row>
    <row r="4912" spans="7:14" ht="11.25" customHeight="1" x14ac:dyDescent="0.25">
      <c r="G4912" s="459"/>
      <c r="H4912" s="459">
        <v>4905</v>
      </c>
      <c r="I4912" s="444">
        <f t="shared" ca="1" si="180"/>
        <v>-581330634890173.5</v>
      </c>
      <c r="J4912" s="444">
        <f t="array" ref="J4912">IFERROR(INDEX('Retirement Calculator'!K:K,MATCH('Lorri 401b'!N4912,'Retirement Calculator'!A:A,0),0),0)</f>
        <v>0</v>
      </c>
      <c r="K4912" s="444">
        <f t="shared" ca="1" si="178"/>
        <v>-2422210978709.0562</v>
      </c>
      <c r="L4912" s="444">
        <f t="shared" ca="1" si="179"/>
        <v>-583752845868882.5</v>
      </c>
      <c r="M4912" s="460">
        <f t="shared" si="181"/>
        <v>0.05</v>
      </c>
      <c r="N4912" s="464">
        <f t="shared" si="182"/>
        <v>200552</v>
      </c>
    </row>
    <row r="4913" spans="7:14" ht="11.25" customHeight="1" x14ac:dyDescent="0.25">
      <c r="G4913" s="459"/>
      <c r="H4913" s="459">
        <v>4906</v>
      </c>
      <c r="I4913" s="444">
        <f t="shared" ca="1" si="180"/>
        <v>-583752845868882.5</v>
      </c>
      <c r="J4913" s="444">
        <f t="array" ref="J4913">IFERROR(INDEX('Retirement Calculator'!K:K,MATCH('Lorri 401b'!N4913,'Retirement Calculator'!A:A,0),0),0)</f>
        <v>0</v>
      </c>
      <c r="K4913" s="444">
        <f t="shared" ca="1" si="178"/>
        <v>-2432303524453.6772</v>
      </c>
      <c r="L4913" s="444">
        <f t="shared" ca="1" si="179"/>
        <v>-586185149393336.13</v>
      </c>
      <c r="M4913" s="460">
        <f t="shared" si="181"/>
        <v>0.05</v>
      </c>
      <c r="N4913" s="464">
        <f t="shared" si="182"/>
        <v>200580</v>
      </c>
    </row>
    <row r="4914" spans="7:14" ht="11.25" customHeight="1" x14ac:dyDescent="0.25">
      <c r="G4914" s="459"/>
      <c r="H4914" s="459">
        <v>4907</v>
      </c>
      <c r="I4914" s="444">
        <f t="shared" ca="1" si="180"/>
        <v>-586185149393336.13</v>
      </c>
      <c r="J4914" s="444">
        <f t="array" ref="J4914">IFERROR(INDEX('Retirement Calculator'!K:K,MATCH('Lorri 401b'!N4914,'Retirement Calculator'!A:A,0),0),0)</f>
        <v>0</v>
      </c>
      <c r="K4914" s="444">
        <f t="shared" ca="1" si="178"/>
        <v>-2442438122472.2339</v>
      </c>
      <c r="L4914" s="444">
        <f t="shared" ca="1" si="179"/>
        <v>-588627587515808.38</v>
      </c>
      <c r="M4914" s="460">
        <f t="shared" si="181"/>
        <v>0.05</v>
      </c>
      <c r="N4914" s="464">
        <f t="shared" si="182"/>
        <v>200611</v>
      </c>
    </row>
    <row r="4915" spans="7:14" ht="11.25" customHeight="1" x14ac:dyDescent="0.25">
      <c r="G4915" s="459"/>
      <c r="H4915" s="459">
        <v>4908</v>
      </c>
      <c r="I4915" s="444">
        <f t="shared" ca="1" si="180"/>
        <v>-588627587515808.38</v>
      </c>
      <c r="J4915" s="444">
        <f t="array" ref="J4915">IFERROR(INDEX('Retirement Calculator'!K:K,MATCH('Lorri 401b'!N4915,'Retirement Calculator'!A:A,0),0),0)</f>
        <v>0</v>
      </c>
      <c r="K4915" s="444">
        <f t="shared" ca="1" si="178"/>
        <v>-2452614947982.5347</v>
      </c>
      <c r="L4915" s="444">
        <f t="shared" ca="1" si="179"/>
        <v>-591080202463790.88</v>
      </c>
      <c r="M4915" s="460">
        <f t="shared" si="181"/>
        <v>0.05</v>
      </c>
      <c r="N4915" s="464">
        <f t="shared" si="182"/>
        <v>200641</v>
      </c>
    </row>
    <row r="4916" spans="7:14" ht="11.25" customHeight="1" x14ac:dyDescent="0.25">
      <c r="G4916" s="459"/>
      <c r="H4916" s="459">
        <v>4909</v>
      </c>
      <c r="I4916" s="444">
        <f t="shared" ca="1" si="180"/>
        <v>-591080202463790.88</v>
      </c>
      <c r="J4916" s="444">
        <f t="array" ref="J4916">IFERROR(INDEX('Retirement Calculator'!K:K,MATCH('Lorri 401b'!N4916,'Retirement Calculator'!A:A,0),0),0)</f>
        <v>0</v>
      </c>
      <c r="K4916" s="444">
        <f t="shared" ca="1" si="178"/>
        <v>-2462834176932.4619</v>
      </c>
      <c r="L4916" s="444">
        <f t="shared" ca="1" si="179"/>
        <v>-593543036640723.38</v>
      </c>
      <c r="M4916" s="460">
        <f t="shared" si="181"/>
        <v>0.05</v>
      </c>
      <c r="N4916" s="464">
        <f t="shared" si="182"/>
        <v>200672</v>
      </c>
    </row>
    <row r="4917" spans="7:14" ht="11.25" customHeight="1" x14ac:dyDescent="0.25">
      <c r="G4917" s="459"/>
      <c r="H4917" s="459">
        <v>4910</v>
      </c>
      <c r="I4917" s="444">
        <f t="shared" ca="1" si="180"/>
        <v>-593543036640723.38</v>
      </c>
      <c r="J4917" s="444">
        <f t="array" ref="J4917">IFERROR(INDEX('Retirement Calculator'!K:K,MATCH('Lorri 401b'!N4917,'Retirement Calculator'!A:A,0),0),0)</f>
        <v>0</v>
      </c>
      <c r="K4917" s="444">
        <f t="shared" ca="1" si="178"/>
        <v>-2473095986003.0142</v>
      </c>
      <c r="L4917" s="444">
        <f t="shared" ca="1" si="179"/>
        <v>-596016132626726.38</v>
      </c>
      <c r="M4917" s="460">
        <f t="shared" si="181"/>
        <v>0.05</v>
      </c>
      <c r="N4917" s="464">
        <f t="shared" si="182"/>
        <v>200702</v>
      </c>
    </row>
    <row r="4918" spans="7:14" ht="11.25" customHeight="1" x14ac:dyDescent="0.25">
      <c r="G4918" s="459"/>
      <c r="H4918" s="459">
        <v>4911</v>
      </c>
      <c r="I4918" s="444">
        <f t="shared" ca="1" si="180"/>
        <v>-596016132626726.38</v>
      </c>
      <c r="J4918" s="444">
        <f t="array" ref="J4918">IFERROR(INDEX('Retirement Calculator'!K:K,MATCH('Lorri 401b'!N4918,'Retirement Calculator'!A:A,0),0),0)</f>
        <v>0</v>
      </c>
      <c r="K4918" s="444">
        <f t="shared" ca="1" si="178"/>
        <v>-2483400552611.3599</v>
      </c>
      <c r="L4918" s="444">
        <f t="shared" ca="1" si="179"/>
        <v>-598499533179337.75</v>
      </c>
      <c r="M4918" s="460">
        <f t="shared" si="181"/>
        <v>0.05</v>
      </c>
      <c r="N4918" s="464">
        <f t="shared" si="182"/>
        <v>200733</v>
      </c>
    </row>
    <row r="4919" spans="7:14" ht="11.25" customHeight="1" x14ac:dyDescent="0.25">
      <c r="G4919" s="459"/>
      <c r="H4919" s="459">
        <v>4912</v>
      </c>
      <c r="I4919" s="444">
        <f t="shared" ca="1" si="180"/>
        <v>-598499533179337.75</v>
      </c>
      <c r="J4919" s="444">
        <f t="array" ref="J4919">IFERROR(INDEX('Retirement Calculator'!K:K,MATCH('Lorri 401b'!N4919,'Retirement Calculator'!A:A,0),0),0)</f>
        <v>0</v>
      </c>
      <c r="K4919" s="444">
        <f t="shared" ca="1" si="178"/>
        <v>-2493748054913.9072</v>
      </c>
      <c r="L4919" s="444">
        <f t="shared" ca="1" si="179"/>
        <v>-600993281234251.63</v>
      </c>
      <c r="M4919" s="460">
        <f t="shared" si="181"/>
        <v>0.05</v>
      </c>
      <c r="N4919" s="464">
        <f t="shared" si="182"/>
        <v>200764</v>
      </c>
    </row>
    <row r="4920" spans="7:14" ht="11.25" customHeight="1" x14ac:dyDescent="0.25">
      <c r="G4920" s="459"/>
      <c r="H4920" s="459">
        <v>4913</v>
      </c>
      <c r="I4920" s="444">
        <f t="shared" ca="1" si="180"/>
        <v>-600993281234251.63</v>
      </c>
      <c r="J4920" s="444">
        <f t="array" ref="J4920">IFERROR(INDEX('Retirement Calculator'!K:K,MATCH('Lorri 401b'!N4920,'Retirement Calculator'!A:A,0),0),0)</f>
        <v>0</v>
      </c>
      <c r="K4920" s="444">
        <f t="shared" ca="1" si="178"/>
        <v>-2504138671809.3818</v>
      </c>
      <c r="L4920" s="444">
        <f t="shared" ca="1" si="179"/>
        <v>-603497419906061</v>
      </c>
      <c r="M4920" s="460">
        <f t="shared" si="181"/>
        <v>0.05</v>
      </c>
      <c r="N4920" s="464">
        <f t="shared" si="182"/>
        <v>200794</v>
      </c>
    </row>
    <row r="4921" spans="7:14" ht="11.25" customHeight="1" x14ac:dyDescent="0.25">
      <c r="G4921" s="459"/>
      <c r="H4921" s="459">
        <v>4914</v>
      </c>
      <c r="I4921" s="444">
        <f t="shared" ca="1" si="180"/>
        <v>-603497419906061</v>
      </c>
      <c r="J4921" s="444">
        <f t="array" ref="J4921">IFERROR(INDEX('Retirement Calculator'!K:K,MATCH('Lorri 401b'!N4921,'Retirement Calculator'!A:A,0),0),0)</f>
        <v>0</v>
      </c>
      <c r="K4921" s="444">
        <f t="shared" ca="1" si="178"/>
        <v>-2514572582941.9209</v>
      </c>
      <c r="L4921" s="444">
        <f t="shared" ca="1" si="179"/>
        <v>-606011992489002.88</v>
      </c>
      <c r="M4921" s="460">
        <f t="shared" si="181"/>
        <v>0.05</v>
      </c>
      <c r="N4921" s="464">
        <f t="shared" si="182"/>
        <v>200825</v>
      </c>
    </row>
    <row r="4922" spans="7:14" ht="11.25" customHeight="1" x14ac:dyDescent="0.25">
      <c r="G4922" s="459"/>
      <c r="H4922" s="459">
        <v>4915</v>
      </c>
      <c r="I4922" s="444">
        <f t="shared" ca="1" si="180"/>
        <v>-606011992489002.88</v>
      </c>
      <c r="J4922" s="444">
        <f t="array" ref="J4922">IFERROR(INDEX('Retirement Calculator'!K:K,MATCH('Lorri 401b'!N4922,'Retirement Calculator'!A:A,0),0),0)</f>
        <v>0</v>
      </c>
      <c r="K4922" s="444">
        <f t="shared" ca="1" si="178"/>
        <v>-2525049968704.1787</v>
      </c>
      <c r="L4922" s="444">
        <f t="shared" ca="1" si="179"/>
        <v>-608537042457707</v>
      </c>
      <c r="M4922" s="460">
        <f t="shared" si="181"/>
        <v>0.05</v>
      </c>
      <c r="N4922" s="464">
        <f t="shared" si="182"/>
        <v>200855</v>
      </c>
    </row>
    <row r="4923" spans="7:14" ht="11.25" customHeight="1" x14ac:dyDescent="0.25">
      <c r="G4923" s="459"/>
      <c r="H4923" s="459">
        <v>4916</v>
      </c>
      <c r="I4923" s="444">
        <f t="shared" ca="1" si="180"/>
        <v>-608537042457707</v>
      </c>
      <c r="J4923" s="444">
        <f t="array" ref="J4923">IFERROR(INDEX('Retirement Calculator'!K:K,MATCH('Lorri 401b'!N4923,'Retirement Calculator'!A:A,0),0),0)</f>
        <v>0</v>
      </c>
      <c r="K4923" s="444">
        <f t="shared" ca="1" si="178"/>
        <v>-2535571010240.4458</v>
      </c>
      <c r="L4923" s="444">
        <f t="shared" ca="1" si="179"/>
        <v>-611072613467947.5</v>
      </c>
      <c r="M4923" s="460">
        <f t="shared" si="181"/>
        <v>0.05</v>
      </c>
      <c r="N4923" s="464">
        <f t="shared" si="182"/>
        <v>200886</v>
      </c>
    </row>
    <row r="4924" spans="7:14" ht="11.25" customHeight="1" x14ac:dyDescent="0.25">
      <c r="G4924" s="459"/>
      <c r="H4924" s="459">
        <v>4917</v>
      </c>
      <c r="I4924" s="444">
        <f t="shared" ca="1" si="180"/>
        <v>-611072613467947.5</v>
      </c>
      <c r="J4924" s="444">
        <f t="array" ref="J4924">IFERROR(INDEX('Retirement Calculator'!K:K,MATCH('Lorri 401b'!N4924,'Retirement Calculator'!A:A,0),0),0)</f>
        <v>0</v>
      </c>
      <c r="K4924" s="444">
        <f t="shared" ca="1" si="178"/>
        <v>-2546135889449.7813</v>
      </c>
      <c r="L4924" s="444">
        <f t="shared" ca="1" si="179"/>
        <v>-613618749357397.25</v>
      </c>
      <c r="M4924" s="460">
        <f t="shared" si="181"/>
        <v>0.05</v>
      </c>
      <c r="N4924" s="464">
        <f t="shared" si="182"/>
        <v>200917</v>
      </c>
    </row>
    <row r="4925" spans="7:14" ht="11.25" customHeight="1" x14ac:dyDescent="0.25">
      <c r="G4925" s="459"/>
      <c r="H4925" s="459">
        <v>4918</v>
      </c>
      <c r="I4925" s="444">
        <f t="shared" ca="1" si="180"/>
        <v>-613618749357397.25</v>
      </c>
      <c r="J4925" s="444">
        <f t="array" ref="J4925">IFERROR(INDEX('Retirement Calculator'!K:K,MATCH('Lorri 401b'!N4925,'Retirement Calculator'!A:A,0),0),0)</f>
        <v>0</v>
      </c>
      <c r="K4925" s="444">
        <f t="shared" ca="1" si="178"/>
        <v>-2556744788989.1553</v>
      </c>
      <c r="L4925" s="444">
        <f t="shared" ca="1" si="179"/>
        <v>-616175494146386.38</v>
      </c>
      <c r="M4925" s="460">
        <f t="shared" si="181"/>
        <v>0.05</v>
      </c>
      <c r="N4925" s="464">
        <f t="shared" si="182"/>
        <v>200945</v>
      </c>
    </row>
    <row r="4926" spans="7:14" ht="11.25" customHeight="1" x14ac:dyDescent="0.25">
      <c r="G4926" s="459"/>
      <c r="H4926" s="459">
        <v>4919</v>
      </c>
      <c r="I4926" s="444">
        <f t="shared" ca="1" si="180"/>
        <v>-616175494146386.38</v>
      </c>
      <c r="J4926" s="444">
        <f t="array" ref="J4926">IFERROR(INDEX('Retirement Calculator'!K:K,MATCH('Lorri 401b'!N4926,'Retirement Calculator'!A:A,0),0),0)</f>
        <v>0</v>
      </c>
      <c r="K4926" s="444">
        <f t="shared" ca="1" si="178"/>
        <v>-2567397892276.6099</v>
      </c>
      <c r="L4926" s="444">
        <f t="shared" ca="1" si="179"/>
        <v>-618742892038663</v>
      </c>
      <c r="M4926" s="460">
        <f t="shared" si="181"/>
        <v>0.05</v>
      </c>
      <c r="N4926" s="464">
        <f t="shared" si="182"/>
        <v>200976</v>
      </c>
    </row>
    <row r="4927" spans="7:14" ht="11.25" customHeight="1" x14ac:dyDescent="0.25">
      <c r="G4927" s="459"/>
      <c r="H4927" s="459">
        <v>4920</v>
      </c>
      <c r="I4927" s="444">
        <f t="shared" ca="1" si="180"/>
        <v>-618742892038663</v>
      </c>
      <c r="J4927" s="444">
        <f t="array" ref="J4927">IFERROR(INDEX('Retirement Calculator'!K:K,MATCH('Lorri 401b'!N4927,'Retirement Calculator'!A:A,0),0),0)</f>
        <v>0</v>
      </c>
      <c r="K4927" s="444">
        <f t="shared" ca="1" si="178"/>
        <v>-2578095383494.4292</v>
      </c>
      <c r="L4927" s="444">
        <f t="shared" ca="1" si="179"/>
        <v>-621320987422157.38</v>
      </c>
      <c r="M4927" s="460">
        <f t="shared" si="181"/>
        <v>0.05</v>
      </c>
      <c r="N4927" s="464">
        <f t="shared" si="182"/>
        <v>201006</v>
      </c>
    </row>
    <row r="4928" spans="7:14" ht="11.25" customHeight="1" x14ac:dyDescent="0.25">
      <c r="G4928" s="459"/>
      <c r="H4928" s="459">
        <v>4921</v>
      </c>
      <c r="I4928" s="444">
        <f t="shared" ca="1" si="180"/>
        <v>-621320987422157.38</v>
      </c>
      <c r="J4928" s="444">
        <f t="array" ref="J4928">IFERROR(INDEX('Retirement Calculator'!K:K,MATCH('Lorri 401b'!N4928,'Retirement Calculator'!A:A,0),0),0)</f>
        <v>0</v>
      </c>
      <c r="K4928" s="444">
        <f t="shared" ca="1" si="178"/>
        <v>-2588837447592.3223</v>
      </c>
      <c r="L4928" s="444">
        <f t="shared" ca="1" si="179"/>
        <v>-623909824869749.75</v>
      </c>
      <c r="M4928" s="460">
        <f t="shared" si="181"/>
        <v>0.05</v>
      </c>
      <c r="N4928" s="464">
        <f t="shared" si="182"/>
        <v>201037</v>
      </c>
    </row>
    <row r="4929" spans="7:14" ht="11.25" customHeight="1" x14ac:dyDescent="0.25">
      <c r="G4929" s="459"/>
      <c r="H4929" s="459">
        <v>4922</v>
      </c>
      <c r="I4929" s="444">
        <f t="shared" ca="1" si="180"/>
        <v>-623909824869749.75</v>
      </c>
      <c r="J4929" s="444">
        <f t="array" ref="J4929">IFERROR(INDEX('Retirement Calculator'!K:K,MATCH('Lorri 401b'!N4929,'Retirement Calculator'!A:A,0),0),0)</f>
        <v>0</v>
      </c>
      <c r="K4929" s="444">
        <f t="shared" ca="1" si="178"/>
        <v>-2599624270290.624</v>
      </c>
      <c r="L4929" s="444">
        <f t="shared" ca="1" si="179"/>
        <v>-626509449140040.38</v>
      </c>
      <c r="M4929" s="460">
        <f t="shared" si="181"/>
        <v>0.05</v>
      </c>
      <c r="N4929" s="464">
        <f t="shared" si="182"/>
        <v>201067</v>
      </c>
    </row>
    <row r="4930" spans="7:14" ht="11.25" customHeight="1" x14ac:dyDescent="0.25">
      <c r="G4930" s="459"/>
      <c r="H4930" s="459">
        <v>4923</v>
      </c>
      <c r="I4930" s="444">
        <f t="shared" ca="1" si="180"/>
        <v>-626509449140040.38</v>
      </c>
      <c r="J4930" s="444">
        <f t="array" ref="J4930">IFERROR(INDEX('Retirement Calculator'!K:K,MATCH('Lorri 401b'!N4930,'Retirement Calculator'!A:A,0),0),0)</f>
        <v>0</v>
      </c>
      <c r="K4930" s="444">
        <f t="shared" ca="1" si="178"/>
        <v>-2610456038083.5015</v>
      </c>
      <c r="L4930" s="444">
        <f t="shared" ca="1" si="179"/>
        <v>-629119905178123.88</v>
      </c>
      <c r="M4930" s="460">
        <f t="shared" si="181"/>
        <v>0.05</v>
      </c>
      <c r="N4930" s="464">
        <f t="shared" si="182"/>
        <v>201098</v>
      </c>
    </row>
    <row r="4931" spans="7:14" ht="11.25" customHeight="1" x14ac:dyDescent="0.25">
      <c r="G4931" s="459"/>
      <c r="H4931" s="459">
        <v>4924</v>
      </c>
      <c r="I4931" s="444">
        <f t="shared" ca="1" si="180"/>
        <v>-629119905178123.88</v>
      </c>
      <c r="J4931" s="444">
        <f t="array" ref="J4931">IFERROR(INDEX('Retirement Calculator'!K:K,MATCH('Lorri 401b'!N4931,'Retirement Calculator'!A:A,0),0),0)</f>
        <v>0</v>
      </c>
      <c r="K4931" s="444">
        <f t="shared" ca="1" si="178"/>
        <v>-2621332938242.1826</v>
      </c>
      <c r="L4931" s="444">
        <f t="shared" ca="1" si="179"/>
        <v>-631741238116366</v>
      </c>
      <c r="M4931" s="460">
        <f t="shared" si="181"/>
        <v>0.05</v>
      </c>
      <c r="N4931" s="464">
        <f t="shared" si="182"/>
        <v>201129</v>
      </c>
    </row>
    <row r="4932" spans="7:14" ht="11.25" customHeight="1" x14ac:dyDescent="0.25">
      <c r="G4932" s="459"/>
      <c r="H4932" s="459">
        <v>4925</v>
      </c>
      <c r="I4932" s="444">
        <f t="shared" ca="1" si="180"/>
        <v>-631741238116366</v>
      </c>
      <c r="J4932" s="444">
        <f t="array" ref="J4932">IFERROR(INDEX('Retirement Calculator'!K:K,MATCH('Lorri 401b'!N4932,'Retirement Calculator'!A:A,0),0),0)</f>
        <v>0</v>
      </c>
      <c r="K4932" s="444">
        <f t="shared" ca="1" si="178"/>
        <v>-2632255158818.1914</v>
      </c>
      <c r="L4932" s="444">
        <f t="shared" ca="1" si="179"/>
        <v>-634373493275184.25</v>
      </c>
      <c r="M4932" s="460">
        <f t="shared" si="181"/>
        <v>0.05</v>
      </c>
      <c r="N4932" s="464">
        <f t="shared" si="182"/>
        <v>201159</v>
      </c>
    </row>
    <row r="4933" spans="7:14" ht="11.25" customHeight="1" x14ac:dyDescent="0.25">
      <c r="G4933" s="459"/>
      <c r="H4933" s="459">
        <v>4926</v>
      </c>
      <c r="I4933" s="444">
        <f t="shared" ca="1" si="180"/>
        <v>-634373493275184.25</v>
      </c>
      <c r="J4933" s="444">
        <f t="array" ref="J4933">IFERROR(INDEX('Retirement Calculator'!K:K,MATCH('Lorri 401b'!N4933,'Retirement Calculator'!A:A,0),0),0)</f>
        <v>0</v>
      </c>
      <c r="K4933" s="444">
        <f t="shared" ca="1" si="178"/>
        <v>-2643222888646.6011</v>
      </c>
      <c r="L4933" s="444">
        <f t="shared" ca="1" si="179"/>
        <v>-637016716163830.88</v>
      </c>
      <c r="M4933" s="460">
        <f t="shared" si="181"/>
        <v>0.05</v>
      </c>
      <c r="N4933" s="464">
        <f t="shared" si="182"/>
        <v>201190</v>
      </c>
    </row>
    <row r="4934" spans="7:14" ht="11.25" customHeight="1" x14ac:dyDescent="0.25">
      <c r="G4934" s="459"/>
      <c r="H4934" s="459">
        <v>4927</v>
      </c>
      <c r="I4934" s="444">
        <f t="shared" ca="1" si="180"/>
        <v>-637016716163830.88</v>
      </c>
      <c r="J4934" s="444">
        <f t="array" ref="J4934">IFERROR(INDEX('Retirement Calculator'!K:K,MATCH('Lorri 401b'!N4934,'Retirement Calculator'!A:A,0),0),0)</f>
        <v>0</v>
      </c>
      <c r="K4934" s="444">
        <f t="shared" ca="1" si="178"/>
        <v>-2654236317349.2954</v>
      </c>
      <c r="L4934" s="444">
        <f t="shared" ca="1" si="179"/>
        <v>-639670952481180.13</v>
      </c>
      <c r="M4934" s="460">
        <f t="shared" si="181"/>
        <v>0.05</v>
      </c>
      <c r="N4934" s="464">
        <f t="shared" si="182"/>
        <v>201220</v>
      </c>
    </row>
    <row r="4935" spans="7:14" ht="11.25" customHeight="1" x14ac:dyDescent="0.25">
      <c r="G4935" s="459"/>
      <c r="H4935" s="459">
        <v>4928</v>
      </c>
      <c r="I4935" s="444">
        <f t="shared" ca="1" si="180"/>
        <v>-639670952481180.13</v>
      </c>
      <c r="J4935" s="444">
        <f t="array" ref="J4935">IFERROR(INDEX('Retirement Calculator'!K:K,MATCH('Lorri 401b'!N4935,'Retirement Calculator'!A:A,0),0),0)</f>
        <v>0</v>
      </c>
      <c r="K4935" s="444">
        <f t="shared" ca="1" si="178"/>
        <v>-2665295635338.2505</v>
      </c>
      <c r="L4935" s="444">
        <f t="shared" ca="1" si="179"/>
        <v>-642336248116518.38</v>
      </c>
      <c r="M4935" s="460">
        <f t="shared" si="181"/>
        <v>0.05</v>
      </c>
      <c r="N4935" s="464">
        <f t="shared" si="182"/>
        <v>201251</v>
      </c>
    </row>
    <row r="4936" spans="7:14" ht="11.25" customHeight="1" x14ac:dyDescent="0.25">
      <c r="G4936" s="459"/>
      <c r="H4936" s="459">
        <v>4929</v>
      </c>
      <c r="I4936" s="444">
        <f t="shared" ca="1" si="180"/>
        <v>-642336248116518.38</v>
      </c>
      <c r="J4936" s="444">
        <f t="array" ref="J4936">IFERROR(INDEX('Retirement Calculator'!K:K,MATCH('Lorri 401b'!N4936,'Retirement Calculator'!A:A,0),0),0)</f>
        <v>0</v>
      </c>
      <c r="K4936" s="444">
        <f t="shared" ca="1" si="178"/>
        <v>-2676401033818.8267</v>
      </c>
      <c r="L4936" s="444">
        <f t="shared" ca="1" si="179"/>
        <v>-645012649150337.25</v>
      </c>
      <c r="M4936" s="460">
        <f t="shared" si="181"/>
        <v>0.05</v>
      </c>
      <c r="N4936" s="464">
        <f t="shared" si="182"/>
        <v>201282</v>
      </c>
    </row>
    <row r="4937" spans="7:14" ht="11.25" customHeight="1" x14ac:dyDescent="0.25">
      <c r="G4937" s="459"/>
      <c r="H4937" s="459">
        <v>4930</v>
      </c>
      <c r="I4937" s="444">
        <f t="shared" ca="1" si="180"/>
        <v>-645012649150337.25</v>
      </c>
      <c r="J4937" s="444">
        <f t="array" ref="J4937">IFERROR(INDEX('Retirement Calculator'!K:K,MATCH('Lorri 401b'!N4937,'Retirement Calculator'!A:A,0),0),0)</f>
        <v>0</v>
      </c>
      <c r="K4937" s="444">
        <f t="shared" ca="1" si="178"/>
        <v>-2687552704793.0718</v>
      </c>
      <c r="L4937" s="444">
        <f t="shared" ca="1" si="179"/>
        <v>-647700201855130.38</v>
      </c>
      <c r="M4937" s="460">
        <f t="shared" si="181"/>
        <v>0.05</v>
      </c>
      <c r="N4937" s="464">
        <f t="shared" si="182"/>
        <v>201310</v>
      </c>
    </row>
    <row r="4938" spans="7:14" ht="11.25" customHeight="1" x14ac:dyDescent="0.25">
      <c r="G4938" s="459"/>
      <c r="H4938" s="459">
        <v>4931</v>
      </c>
      <c r="I4938" s="444">
        <f t="shared" ca="1" si="180"/>
        <v>-647700201855130.38</v>
      </c>
      <c r="J4938" s="444">
        <f t="array" ref="J4938">IFERROR(INDEX('Retirement Calculator'!K:K,MATCH('Lorri 401b'!N4938,'Retirement Calculator'!A:A,0),0),0)</f>
        <v>0</v>
      </c>
      <c r="K4938" s="444">
        <f t="shared" ca="1" si="178"/>
        <v>-2698750841063.043</v>
      </c>
      <c r="L4938" s="444">
        <f t="shared" ca="1" si="179"/>
        <v>-650398952696193.38</v>
      </c>
      <c r="M4938" s="460">
        <f t="shared" si="181"/>
        <v>0.05</v>
      </c>
      <c r="N4938" s="464">
        <f t="shared" si="182"/>
        <v>201341</v>
      </c>
    </row>
    <row r="4939" spans="7:14" ht="11.25" customHeight="1" x14ac:dyDescent="0.25">
      <c r="G4939" s="459"/>
      <c r="H4939" s="459">
        <v>4932</v>
      </c>
      <c r="I4939" s="444">
        <f t="shared" ca="1" si="180"/>
        <v>-650398952696193.38</v>
      </c>
      <c r="J4939" s="444">
        <f t="array" ref="J4939">IFERROR(INDEX('Retirement Calculator'!K:K,MATCH('Lorri 401b'!N4939,'Retirement Calculator'!A:A,0),0),0)</f>
        <v>0</v>
      </c>
      <c r="K4939" s="444">
        <f t="shared" ca="1" si="178"/>
        <v>-2709995636234.1392</v>
      </c>
      <c r="L4939" s="444">
        <f t="shared" ca="1" si="179"/>
        <v>-653108948332427.5</v>
      </c>
      <c r="M4939" s="460">
        <f t="shared" si="181"/>
        <v>0.05</v>
      </c>
      <c r="N4939" s="464">
        <f t="shared" si="182"/>
        <v>201371</v>
      </c>
    </row>
    <row r="4940" spans="7:14" ht="11.25" customHeight="1" x14ac:dyDescent="0.25">
      <c r="G4940" s="459"/>
      <c r="H4940" s="459">
        <v>4933</v>
      </c>
      <c r="I4940" s="444">
        <f t="shared" ca="1" si="180"/>
        <v>-653108948332427.5</v>
      </c>
      <c r="J4940" s="444">
        <f t="array" ref="J4940">IFERROR(INDEX('Retirement Calculator'!K:K,MATCH('Lorri 401b'!N4940,'Retirement Calculator'!A:A,0),0),0)</f>
        <v>0</v>
      </c>
      <c r="K4940" s="444">
        <f t="shared" ca="1" si="178"/>
        <v>-2721287284718.4478</v>
      </c>
      <c r="L4940" s="444">
        <f t="shared" ca="1" si="179"/>
        <v>-655830235617146</v>
      </c>
      <c r="M4940" s="460">
        <f t="shared" si="181"/>
        <v>0.05</v>
      </c>
      <c r="N4940" s="464">
        <f t="shared" si="182"/>
        <v>201402</v>
      </c>
    </row>
    <row r="4941" spans="7:14" ht="11.25" customHeight="1" x14ac:dyDescent="0.25">
      <c r="G4941" s="459"/>
      <c r="H4941" s="459">
        <v>4934</v>
      </c>
      <c r="I4941" s="444">
        <f t="shared" ca="1" si="180"/>
        <v>-655830235617146</v>
      </c>
      <c r="J4941" s="444">
        <f t="array" ref="J4941">IFERROR(INDEX('Retirement Calculator'!K:K,MATCH('Lorri 401b'!N4941,'Retirement Calculator'!A:A,0),0),0)</f>
        <v>0</v>
      </c>
      <c r="K4941" s="444">
        <f t="shared" ca="1" si="178"/>
        <v>-2732625981738.1084</v>
      </c>
      <c r="L4941" s="444">
        <f t="shared" ca="1" si="179"/>
        <v>-658562861598884.13</v>
      </c>
      <c r="M4941" s="460">
        <f t="shared" si="181"/>
        <v>0.05</v>
      </c>
      <c r="N4941" s="464">
        <f t="shared" si="182"/>
        <v>201432</v>
      </c>
    </row>
    <row r="4942" spans="7:14" ht="11.25" customHeight="1" x14ac:dyDescent="0.25">
      <c r="G4942" s="459"/>
      <c r="H4942" s="459">
        <v>4935</v>
      </c>
      <c r="I4942" s="444">
        <f t="shared" ca="1" si="180"/>
        <v>-658562861598884.13</v>
      </c>
      <c r="J4942" s="444">
        <f t="array" ref="J4942">IFERROR(INDEX('Retirement Calculator'!K:K,MATCH('Lorri 401b'!N4942,'Retirement Calculator'!A:A,0),0),0)</f>
        <v>0</v>
      </c>
      <c r="K4942" s="444">
        <f t="shared" ca="1" si="178"/>
        <v>-2744011923328.6836</v>
      </c>
      <c r="L4942" s="444">
        <f t="shared" ca="1" si="179"/>
        <v>-661306873522212.75</v>
      </c>
      <c r="M4942" s="460">
        <f t="shared" si="181"/>
        <v>0.05</v>
      </c>
      <c r="N4942" s="464">
        <f t="shared" si="182"/>
        <v>201463</v>
      </c>
    </row>
    <row r="4943" spans="7:14" ht="11.25" customHeight="1" x14ac:dyDescent="0.25">
      <c r="G4943" s="459"/>
      <c r="H4943" s="459">
        <v>4936</v>
      </c>
      <c r="I4943" s="444">
        <f t="shared" ca="1" si="180"/>
        <v>-661306873522212.75</v>
      </c>
      <c r="J4943" s="444">
        <f t="array" ref="J4943">IFERROR(INDEX('Retirement Calculator'!K:K,MATCH('Lorri 401b'!N4943,'Retirement Calculator'!A:A,0),0),0)</f>
        <v>0</v>
      </c>
      <c r="K4943" s="444">
        <f t="shared" ca="1" si="178"/>
        <v>-2755445306342.5532</v>
      </c>
      <c r="L4943" s="444">
        <f t="shared" ca="1" si="179"/>
        <v>-664062318828555.25</v>
      </c>
      <c r="M4943" s="460">
        <f t="shared" si="181"/>
        <v>0.05</v>
      </c>
      <c r="N4943" s="464">
        <f t="shared" si="182"/>
        <v>201494</v>
      </c>
    </row>
    <row r="4944" spans="7:14" ht="11.25" customHeight="1" x14ac:dyDescent="0.25">
      <c r="G4944" s="459"/>
      <c r="H4944" s="459">
        <v>4937</v>
      </c>
      <c r="I4944" s="444">
        <f t="shared" ca="1" si="180"/>
        <v>-664062318828555.25</v>
      </c>
      <c r="J4944" s="444">
        <f t="array" ref="J4944">IFERROR(INDEX('Retirement Calculator'!K:K,MATCH('Lorri 401b'!N4944,'Retirement Calculator'!A:A,0),0),0)</f>
        <v>0</v>
      </c>
      <c r="K4944" s="444">
        <f t="shared" ca="1" si="178"/>
        <v>-2766926328452.3135</v>
      </c>
      <c r="L4944" s="444">
        <f t="shared" ca="1" si="179"/>
        <v>-666829245157007.63</v>
      </c>
      <c r="M4944" s="460">
        <f t="shared" si="181"/>
        <v>0.05</v>
      </c>
      <c r="N4944" s="464">
        <f t="shared" si="182"/>
        <v>201524</v>
      </c>
    </row>
    <row r="4945" spans="7:14" ht="11.25" customHeight="1" x14ac:dyDescent="0.25">
      <c r="G4945" s="459"/>
      <c r="H4945" s="459">
        <v>4938</v>
      </c>
      <c r="I4945" s="444">
        <f t="shared" ca="1" si="180"/>
        <v>-666829245157007.63</v>
      </c>
      <c r="J4945" s="444">
        <f t="array" ref="J4945">IFERROR(INDEX('Retirement Calculator'!K:K,MATCH('Lorri 401b'!N4945,'Retirement Calculator'!A:A,0),0),0)</f>
        <v>0</v>
      </c>
      <c r="K4945" s="444">
        <f t="shared" ca="1" si="178"/>
        <v>-2778455188154.1982</v>
      </c>
      <c r="L4945" s="444">
        <f t="shared" ca="1" si="179"/>
        <v>-669607700345161.88</v>
      </c>
      <c r="M4945" s="460">
        <f t="shared" si="181"/>
        <v>0.05</v>
      </c>
      <c r="N4945" s="464">
        <f t="shared" si="182"/>
        <v>201555</v>
      </c>
    </row>
    <row r="4946" spans="7:14" ht="11.25" customHeight="1" x14ac:dyDescent="0.25">
      <c r="G4946" s="459"/>
      <c r="H4946" s="459">
        <v>4939</v>
      </c>
      <c r="I4946" s="444">
        <f t="shared" ca="1" si="180"/>
        <v>-669607700345161.88</v>
      </c>
      <c r="J4946" s="444">
        <f t="array" ref="J4946">IFERROR(INDEX('Retirement Calculator'!K:K,MATCH('Lorri 401b'!N4946,'Retirement Calculator'!A:A,0),0),0)</f>
        <v>0</v>
      </c>
      <c r="K4946" s="444">
        <f t="shared" ca="1" si="178"/>
        <v>-2790032084771.5078</v>
      </c>
      <c r="L4946" s="444">
        <f t="shared" ca="1" si="179"/>
        <v>-672397732429933.38</v>
      </c>
      <c r="M4946" s="460">
        <f t="shared" si="181"/>
        <v>0.05</v>
      </c>
      <c r="N4946" s="464">
        <f t="shared" si="182"/>
        <v>201585</v>
      </c>
    </row>
    <row r="4947" spans="7:14" ht="11.25" customHeight="1" x14ac:dyDescent="0.25">
      <c r="G4947" s="459"/>
      <c r="H4947" s="459">
        <v>4940</v>
      </c>
      <c r="I4947" s="444">
        <f t="shared" ca="1" si="180"/>
        <v>-672397732429933.38</v>
      </c>
      <c r="J4947" s="444">
        <f t="array" ref="J4947">IFERROR(INDEX('Retirement Calculator'!K:K,MATCH('Lorri 401b'!N4947,'Retirement Calculator'!A:A,0),0),0)</f>
        <v>0</v>
      </c>
      <c r="K4947" s="444">
        <f t="shared" ca="1" si="178"/>
        <v>-2801657218458.0557</v>
      </c>
      <c r="L4947" s="444">
        <f t="shared" ca="1" si="179"/>
        <v>-675199389648391.38</v>
      </c>
      <c r="M4947" s="460">
        <f t="shared" si="181"/>
        <v>0.05</v>
      </c>
      <c r="N4947" s="464">
        <f t="shared" si="182"/>
        <v>201616</v>
      </c>
    </row>
    <row r="4948" spans="7:14" ht="11.25" customHeight="1" x14ac:dyDescent="0.25">
      <c r="G4948" s="459"/>
      <c r="H4948" s="459">
        <v>4941</v>
      </c>
      <c r="I4948" s="444">
        <f t="shared" ca="1" si="180"/>
        <v>-675199389648391.38</v>
      </c>
      <c r="J4948" s="444">
        <f t="array" ref="J4948">IFERROR(INDEX('Retirement Calculator'!K:K,MATCH('Lorri 401b'!N4948,'Retirement Calculator'!A:A,0),0),0)</f>
        <v>0</v>
      </c>
      <c r="K4948" s="444">
        <f t="shared" ca="1" si="178"/>
        <v>-2813330790201.6309</v>
      </c>
      <c r="L4948" s="444">
        <f t="shared" ca="1" si="179"/>
        <v>-678012720438593</v>
      </c>
      <c r="M4948" s="460">
        <f t="shared" si="181"/>
        <v>0.05</v>
      </c>
      <c r="N4948" s="464">
        <f t="shared" si="182"/>
        <v>201647</v>
      </c>
    </row>
    <row r="4949" spans="7:14" ht="11.25" customHeight="1" x14ac:dyDescent="0.25">
      <c r="G4949" s="459"/>
      <c r="H4949" s="459">
        <v>4942</v>
      </c>
      <c r="I4949" s="444">
        <f t="shared" ca="1" si="180"/>
        <v>-678012720438593</v>
      </c>
      <c r="J4949" s="444">
        <f t="array" ref="J4949">IFERROR(INDEX('Retirement Calculator'!K:K,MATCH('Lorri 401b'!N4949,'Retirement Calculator'!A:A,0),0),0)</f>
        <v>0</v>
      </c>
      <c r="K4949" s="444">
        <f t="shared" ca="1" si="178"/>
        <v>-2825053001827.4707</v>
      </c>
      <c r="L4949" s="444">
        <f t="shared" ca="1" si="179"/>
        <v>-680837773440420.5</v>
      </c>
      <c r="M4949" s="460">
        <f t="shared" si="181"/>
        <v>0.05</v>
      </c>
      <c r="N4949" s="464">
        <f t="shared" si="182"/>
        <v>201676</v>
      </c>
    </row>
    <row r="4950" spans="7:14" ht="11.25" customHeight="1" x14ac:dyDescent="0.25">
      <c r="G4950" s="459"/>
      <c r="H4950" s="459">
        <v>4943</v>
      </c>
      <c r="I4950" s="444">
        <f t="shared" ca="1" si="180"/>
        <v>-680837773440420.5</v>
      </c>
      <c r="J4950" s="444">
        <f t="array" ref="J4950">IFERROR(INDEX('Retirement Calculator'!K:K,MATCH('Lorri 401b'!N4950,'Retirement Calculator'!A:A,0),0),0)</f>
        <v>0</v>
      </c>
      <c r="K4950" s="444">
        <f t="shared" ca="1" si="178"/>
        <v>-2836824056001.752</v>
      </c>
      <c r="L4950" s="444">
        <f t="shared" ca="1" si="179"/>
        <v>-683674597496422.25</v>
      </c>
      <c r="M4950" s="460">
        <f t="shared" si="181"/>
        <v>0.05</v>
      </c>
      <c r="N4950" s="464">
        <f t="shared" si="182"/>
        <v>201707</v>
      </c>
    </row>
    <row r="4951" spans="7:14" ht="11.25" customHeight="1" x14ac:dyDescent="0.25">
      <c r="G4951" s="459"/>
      <c r="H4951" s="459">
        <v>4944</v>
      </c>
      <c r="I4951" s="444">
        <f t="shared" ca="1" si="180"/>
        <v>-683674597496422.25</v>
      </c>
      <c r="J4951" s="444">
        <f t="array" ref="J4951">IFERROR(INDEX('Retirement Calculator'!K:K,MATCH('Lorri 401b'!N4951,'Retirement Calculator'!A:A,0),0),0)</f>
        <v>0</v>
      </c>
      <c r="K4951" s="444">
        <f t="shared" ca="1" si="178"/>
        <v>-2848644156235.0928</v>
      </c>
      <c r="L4951" s="444">
        <f t="shared" ca="1" si="179"/>
        <v>-686523241652657.38</v>
      </c>
      <c r="M4951" s="460">
        <f t="shared" si="181"/>
        <v>0.05</v>
      </c>
      <c r="N4951" s="464">
        <f t="shared" si="182"/>
        <v>201737</v>
      </c>
    </row>
    <row r="4952" spans="7:14" ht="11.25" customHeight="1" x14ac:dyDescent="0.25">
      <c r="G4952" s="459"/>
      <c r="H4952" s="459">
        <v>4945</v>
      </c>
      <c r="I4952" s="444">
        <f t="shared" ca="1" si="180"/>
        <v>-686523241652657.38</v>
      </c>
      <c r="J4952" s="444">
        <f t="array" ref="J4952">IFERROR(INDEX('Retirement Calculator'!K:K,MATCH('Lorri 401b'!N4952,'Retirement Calculator'!A:A,0),0),0)</f>
        <v>0</v>
      </c>
      <c r="K4952" s="444">
        <f t="shared" ca="1" si="178"/>
        <v>-2860513506886.0723</v>
      </c>
      <c r="L4952" s="444">
        <f t="shared" ca="1" si="179"/>
        <v>-689383755159543.5</v>
      </c>
      <c r="M4952" s="460">
        <f t="shared" si="181"/>
        <v>0.05</v>
      </c>
      <c r="N4952" s="464">
        <f t="shared" si="182"/>
        <v>201768</v>
      </c>
    </row>
    <row r="4953" spans="7:14" ht="11.25" customHeight="1" x14ac:dyDescent="0.25">
      <c r="G4953" s="459"/>
      <c r="H4953" s="459">
        <v>4946</v>
      </c>
      <c r="I4953" s="444">
        <f t="shared" ca="1" si="180"/>
        <v>-689383755159543.5</v>
      </c>
      <c r="J4953" s="444">
        <f t="array" ref="J4953">IFERROR(INDEX('Retirement Calculator'!K:K,MATCH('Lorri 401b'!N4953,'Retirement Calculator'!A:A,0),0),0)</f>
        <v>0</v>
      </c>
      <c r="K4953" s="444">
        <f t="shared" ca="1" si="178"/>
        <v>-2872432313164.7646</v>
      </c>
      <c r="L4953" s="444">
        <f t="shared" ca="1" si="179"/>
        <v>-692256187472708.25</v>
      </c>
      <c r="M4953" s="460">
        <f t="shared" si="181"/>
        <v>0.05</v>
      </c>
      <c r="N4953" s="464">
        <f t="shared" si="182"/>
        <v>201798</v>
      </c>
    </row>
    <row r="4954" spans="7:14" ht="11.25" customHeight="1" x14ac:dyDescent="0.25">
      <c r="G4954" s="459"/>
      <c r="H4954" s="459">
        <v>4947</v>
      </c>
      <c r="I4954" s="444">
        <f t="shared" ca="1" si="180"/>
        <v>-692256187472708.25</v>
      </c>
      <c r="J4954" s="444">
        <f t="array" ref="J4954">IFERROR(INDEX('Retirement Calculator'!K:K,MATCH('Lorri 401b'!N4954,'Retirement Calculator'!A:A,0),0),0)</f>
        <v>0</v>
      </c>
      <c r="K4954" s="444">
        <f t="shared" ca="1" si="178"/>
        <v>-2884400781136.2842</v>
      </c>
      <c r="L4954" s="444">
        <f t="shared" ca="1" si="179"/>
        <v>-695140588253844.5</v>
      </c>
      <c r="M4954" s="460">
        <f t="shared" si="181"/>
        <v>0.05</v>
      </c>
      <c r="N4954" s="464">
        <f t="shared" si="182"/>
        <v>201829</v>
      </c>
    </row>
    <row r="4955" spans="7:14" ht="11.25" customHeight="1" x14ac:dyDescent="0.25">
      <c r="G4955" s="459"/>
      <c r="H4955" s="459">
        <v>4948</v>
      </c>
      <c r="I4955" s="444">
        <f t="shared" ca="1" si="180"/>
        <v>-695140588253844.5</v>
      </c>
      <c r="J4955" s="444">
        <f t="array" ref="J4955">IFERROR(INDEX('Retirement Calculator'!K:K,MATCH('Lorri 401b'!N4955,'Retirement Calculator'!A:A,0),0),0)</f>
        <v>0</v>
      </c>
      <c r="K4955" s="444">
        <f t="shared" ca="1" si="178"/>
        <v>-2896419117724.3521</v>
      </c>
      <c r="L4955" s="444">
        <f t="shared" ca="1" si="179"/>
        <v>-698037007371568.88</v>
      </c>
      <c r="M4955" s="460">
        <f t="shared" si="181"/>
        <v>0.05</v>
      </c>
      <c r="N4955" s="464">
        <f t="shared" si="182"/>
        <v>201860</v>
      </c>
    </row>
    <row r="4956" spans="7:14" ht="11.25" customHeight="1" x14ac:dyDescent="0.25">
      <c r="G4956" s="459"/>
      <c r="H4956" s="459">
        <v>4949</v>
      </c>
      <c r="I4956" s="444">
        <f t="shared" ca="1" si="180"/>
        <v>-698037007371568.88</v>
      </c>
      <c r="J4956" s="444">
        <f t="array" ref="J4956">IFERROR(INDEX('Retirement Calculator'!K:K,MATCH('Lorri 401b'!N4956,'Retirement Calculator'!A:A,0),0),0)</f>
        <v>0</v>
      </c>
      <c r="K4956" s="444">
        <f t="shared" ca="1" si="178"/>
        <v>-2908487530714.8701</v>
      </c>
      <c r="L4956" s="444">
        <f t="shared" ca="1" si="179"/>
        <v>-700945494902283.75</v>
      </c>
      <c r="M4956" s="460">
        <f t="shared" si="181"/>
        <v>0.05</v>
      </c>
      <c r="N4956" s="464">
        <f t="shared" si="182"/>
        <v>201890</v>
      </c>
    </row>
    <row r="4957" spans="7:14" ht="11.25" customHeight="1" x14ac:dyDescent="0.25">
      <c r="G4957" s="459"/>
      <c r="H4957" s="459">
        <v>4950</v>
      </c>
      <c r="I4957" s="444">
        <f t="shared" ca="1" si="180"/>
        <v>-700945494902283.75</v>
      </c>
      <c r="J4957" s="444">
        <f t="array" ref="J4957">IFERROR(INDEX('Retirement Calculator'!K:K,MATCH('Lorri 401b'!N4957,'Retirement Calculator'!A:A,0),0),0)</f>
        <v>0</v>
      </c>
      <c r="K4957" s="444">
        <f t="shared" ca="1" si="178"/>
        <v>-2920606228759.5156</v>
      </c>
      <c r="L4957" s="444">
        <f t="shared" ca="1" si="179"/>
        <v>-703866101131043.25</v>
      </c>
      <c r="M4957" s="460">
        <f t="shared" si="181"/>
        <v>0.05</v>
      </c>
      <c r="N4957" s="464">
        <f t="shared" si="182"/>
        <v>201921</v>
      </c>
    </row>
    <row r="4958" spans="7:14" ht="11.25" customHeight="1" x14ac:dyDescent="0.25">
      <c r="G4958" s="459"/>
      <c r="H4958" s="459">
        <v>4951</v>
      </c>
      <c r="I4958" s="444">
        <f t="shared" ca="1" si="180"/>
        <v>-703866101131043.25</v>
      </c>
      <c r="J4958" s="444">
        <f t="array" ref="J4958">IFERROR(INDEX('Retirement Calculator'!K:K,MATCH('Lorri 401b'!N4958,'Retirement Calculator'!A:A,0),0),0)</f>
        <v>0</v>
      </c>
      <c r="K4958" s="444">
        <f t="shared" ca="1" si="178"/>
        <v>-2932775421379.3467</v>
      </c>
      <c r="L4958" s="444">
        <f t="shared" ca="1" si="179"/>
        <v>-706798876552422.63</v>
      </c>
      <c r="M4958" s="460">
        <f t="shared" si="181"/>
        <v>0.05</v>
      </c>
      <c r="N4958" s="464">
        <f t="shared" si="182"/>
        <v>201951</v>
      </c>
    </row>
    <row r="4959" spans="7:14" ht="11.25" customHeight="1" x14ac:dyDescent="0.25">
      <c r="G4959" s="459"/>
      <c r="H4959" s="459">
        <v>4952</v>
      </c>
      <c r="I4959" s="444">
        <f t="shared" ca="1" si="180"/>
        <v>-706798876552422.63</v>
      </c>
      <c r="J4959" s="444">
        <f t="array" ref="J4959">IFERROR(INDEX('Retirement Calculator'!K:K,MATCH('Lorri 401b'!N4959,'Retirement Calculator'!A:A,0),0),0)</f>
        <v>0</v>
      </c>
      <c r="K4959" s="444">
        <f t="shared" ca="1" si="178"/>
        <v>-2944995318968.4277</v>
      </c>
      <c r="L4959" s="444">
        <f t="shared" ca="1" si="179"/>
        <v>-709743871871391</v>
      </c>
      <c r="M4959" s="460">
        <f t="shared" si="181"/>
        <v>0.05</v>
      </c>
      <c r="N4959" s="464">
        <f t="shared" si="182"/>
        <v>201982</v>
      </c>
    </row>
    <row r="4960" spans="7:14" ht="11.25" customHeight="1" x14ac:dyDescent="0.25">
      <c r="G4960" s="459"/>
      <c r="H4960" s="459">
        <v>4953</v>
      </c>
      <c r="I4960" s="444">
        <f t="shared" ca="1" si="180"/>
        <v>-709743871871391</v>
      </c>
      <c r="J4960" s="444">
        <f t="array" ref="J4960">IFERROR(INDEX('Retirement Calculator'!K:K,MATCH('Lorri 401b'!N4960,'Retirement Calculator'!A:A,0),0),0)</f>
        <v>0</v>
      </c>
      <c r="K4960" s="444">
        <f t="shared" ca="1" si="178"/>
        <v>-2957266132797.4624</v>
      </c>
      <c r="L4960" s="444">
        <f t="shared" ca="1" si="179"/>
        <v>-712701138004188.5</v>
      </c>
      <c r="M4960" s="460">
        <f t="shared" si="181"/>
        <v>0.05</v>
      </c>
      <c r="N4960" s="464">
        <f t="shared" si="182"/>
        <v>202013</v>
      </c>
    </row>
    <row r="4961" spans="7:14" ht="11.25" customHeight="1" x14ac:dyDescent="0.25">
      <c r="G4961" s="459"/>
      <c r="H4961" s="459">
        <v>4954</v>
      </c>
      <c r="I4961" s="444">
        <f t="shared" ca="1" si="180"/>
        <v>-712701138004188.5</v>
      </c>
      <c r="J4961" s="444">
        <f t="array" ref="J4961">IFERROR(INDEX('Retirement Calculator'!K:K,MATCH('Lorri 401b'!N4961,'Retirement Calculator'!A:A,0),0),0)</f>
        <v>0</v>
      </c>
      <c r="K4961" s="444">
        <f t="shared" ca="1" si="178"/>
        <v>-2969588075017.4521</v>
      </c>
      <c r="L4961" s="444">
        <f t="shared" ca="1" si="179"/>
        <v>-715670726079206</v>
      </c>
      <c r="M4961" s="460">
        <f t="shared" si="181"/>
        <v>0.05</v>
      </c>
      <c r="N4961" s="464">
        <f t="shared" si="182"/>
        <v>202041</v>
      </c>
    </row>
    <row r="4962" spans="7:14" ht="11.25" customHeight="1" x14ac:dyDescent="0.25">
      <c r="G4962" s="459"/>
      <c r="H4962" s="459">
        <v>4955</v>
      </c>
      <c r="I4962" s="444">
        <f t="shared" ca="1" si="180"/>
        <v>-715670726079206</v>
      </c>
      <c r="J4962" s="444">
        <f t="array" ref="J4962">IFERROR(INDEX('Retirement Calculator'!K:K,MATCH('Lorri 401b'!N4962,'Retirement Calculator'!A:A,0),0),0)</f>
        <v>0</v>
      </c>
      <c r="K4962" s="444">
        <f t="shared" ca="1" si="178"/>
        <v>-2981961358663.3584</v>
      </c>
      <c r="L4962" s="444">
        <f t="shared" ca="1" si="179"/>
        <v>-718652687437869.38</v>
      </c>
      <c r="M4962" s="460">
        <f t="shared" si="181"/>
        <v>0.05</v>
      </c>
      <c r="N4962" s="464">
        <f t="shared" si="182"/>
        <v>202072</v>
      </c>
    </row>
    <row r="4963" spans="7:14" ht="11.25" customHeight="1" x14ac:dyDescent="0.25">
      <c r="G4963" s="459"/>
      <c r="H4963" s="459">
        <v>4956</v>
      </c>
      <c r="I4963" s="444">
        <f t="shared" ca="1" si="180"/>
        <v>-718652687437869.38</v>
      </c>
      <c r="J4963" s="444">
        <f t="array" ref="J4963">IFERROR(INDEX('Retirement Calculator'!K:K,MATCH('Lorri 401b'!N4963,'Retirement Calculator'!A:A,0),0),0)</f>
        <v>0</v>
      </c>
      <c r="K4963" s="444">
        <f t="shared" ca="1" si="178"/>
        <v>-2994386197657.7891</v>
      </c>
      <c r="L4963" s="444">
        <f t="shared" ca="1" si="179"/>
        <v>-721647073635527.13</v>
      </c>
      <c r="M4963" s="460">
        <f t="shared" si="181"/>
        <v>0.05</v>
      </c>
      <c r="N4963" s="464">
        <f t="shared" si="182"/>
        <v>202102</v>
      </c>
    </row>
    <row r="4964" spans="7:14" ht="11.25" customHeight="1" x14ac:dyDescent="0.25">
      <c r="G4964" s="459"/>
      <c r="H4964" s="459">
        <v>4957</v>
      </c>
      <c r="I4964" s="444">
        <f t="shared" ca="1" si="180"/>
        <v>-721647073635527.13</v>
      </c>
      <c r="J4964" s="444">
        <f t="array" ref="J4964">IFERROR(INDEX('Retirement Calculator'!K:K,MATCH('Lorri 401b'!N4964,'Retirement Calculator'!A:A,0),0),0)</f>
        <v>0</v>
      </c>
      <c r="K4964" s="444">
        <f t="shared" ca="1" si="178"/>
        <v>-3006862806814.6963</v>
      </c>
      <c r="L4964" s="444">
        <f t="shared" ca="1" si="179"/>
        <v>-724653936442341.88</v>
      </c>
      <c r="M4964" s="460">
        <f t="shared" si="181"/>
        <v>0.05</v>
      </c>
      <c r="N4964" s="464">
        <f t="shared" si="182"/>
        <v>202133</v>
      </c>
    </row>
    <row r="4965" spans="7:14" ht="11.25" customHeight="1" x14ac:dyDescent="0.25">
      <c r="G4965" s="459"/>
      <c r="H4965" s="459">
        <v>4958</v>
      </c>
      <c r="I4965" s="444">
        <f t="shared" ca="1" si="180"/>
        <v>-724653936442341.88</v>
      </c>
      <c r="J4965" s="444">
        <f t="array" ref="J4965">IFERROR(INDEX('Retirement Calculator'!K:K,MATCH('Lorri 401b'!N4965,'Retirement Calculator'!A:A,0),0),0)</f>
        <v>0</v>
      </c>
      <c r="K4965" s="444">
        <f t="shared" ca="1" si="178"/>
        <v>-3019391401843.0913</v>
      </c>
      <c r="L4965" s="444">
        <f t="shared" ca="1" si="179"/>
        <v>-727673327844185</v>
      </c>
      <c r="M4965" s="460">
        <f t="shared" si="181"/>
        <v>0.05</v>
      </c>
      <c r="N4965" s="464">
        <f t="shared" si="182"/>
        <v>202163</v>
      </c>
    </row>
    <row r="4966" spans="7:14" ht="11.25" customHeight="1" x14ac:dyDescent="0.25">
      <c r="G4966" s="459"/>
      <c r="H4966" s="459">
        <v>4959</v>
      </c>
      <c r="I4966" s="444">
        <f t="shared" ca="1" si="180"/>
        <v>-727673327844185</v>
      </c>
      <c r="J4966" s="444">
        <f t="array" ref="J4966">IFERROR(INDEX('Retirement Calculator'!K:K,MATCH('Lorri 401b'!N4966,'Retirement Calculator'!A:A,0),0),0)</f>
        <v>0</v>
      </c>
      <c r="K4966" s="444">
        <f t="shared" ca="1" si="178"/>
        <v>-3031972199350.771</v>
      </c>
      <c r="L4966" s="444">
        <f t="shared" ca="1" si="179"/>
        <v>-730705300043535.75</v>
      </c>
      <c r="M4966" s="460">
        <f t="shared" si="181"/>
        <v>0.05</v>
      </c>
      <c r="N4966" s="464">
        <f t="shared" si="182"/>
        <v>202194</v>
      </c>
    </row>
    <row r="4967" spans="7:14" ht="11.25" customHeight="1" x14ac:dyDescent="0.25">
      <c r="G4967" s="459"/>
      <c r="H4967" s="459">
        <v>4960</v>
      </c>
      <c r="I4967" s="444">
        <f t="shared" ca="1" si="180"/>
        <v>-730705300043535.75</v>
      </c>
      <c r="J4967" s="444">
        <f t="array" ref="J4967">IFERROR(INDEX('Retirement Calculator'!K:K,MATCH('Lorri 401b'!N4967,'Retirement Calculator'!A:A,0),0),0)</f>
        <v>0</v>
      </c>
      <c r="K4967" s="444">
        <f t="shared" ca="1" si="178"/>
        <v>-3044605416848.0654</v>
      </c>
      <c r="L4967" s="444">
        <f t="shared" ca="1" si="179"/>
        <v>-733749905460383.88</v>
      </c>
      <c r="M4967" s="460">
        <f t="shared" si="181"/>
        <v>0.05</v>
      </c>
      <c r="N4967" s="464">
        <f t="shared" si="182"/>
        <v>202225</v>
      </c>
    </row>
    <row r="4968" spans="7:14" ht="11.25" customHeight="1" x14ac:dyDescent="0.25">
      <c r="G4968" s="459"/>
      <c r="H4968" s="459">
        <v>4961</v>
      </c>
      <c r="I4968" s="444">
        <f t="shared" ca="1" si="180"/>
        <v>-733749905460383.88</v>
      </c>
      <c r="J4968" s="444">
        <f t="array" ref="J4968">IFERROR(INDEX('Retirement Calculator'!K:K,MATCH('Lorri 401b'!N4968,'Retirement Calculator'!A:A,0),0),0)</f>
        <v>0</v>
      </c>
      <c r="K4968" s="444">
        <f t="shared" ca="1" si="178"/>
        <v>-3057291272751.5996</v>
      </c>
      <c r="L4968" s="444">
        <f t="shared" ca="1" si="179"/>
        <v>-736807196733135.5</v>
      </c>
      <c r="M4968" s="460">
        <f t="shared" si="181"/>
        <v>0.05</v>
      </c>
      <c r="N4968" s="464">
        <f t="shared" si="182"/>
        <v>202255</v>
      </c>
    </row>
    <row r="4969" spans="7:14" ht="11.25" customHeight="1" x14ac:dyDescent="0.25">
      <c r="G4969" s="459"/>
      <c r="H4969" s="459">
        <v>4962</v>
      </c>
      <c r="I4969" s="444">
        <f t="shared" ca="1" si="180"/>
        <v>-736807196733135.5</v>
      </c>
      <c r="J4969" s="444">
        <f t="array" ref="J4969">IFERROR(INDEX('Retirement Calculator'!K:K,MATCH('Lorri 401b'!N4969,'Retirement Calculator'!A:A,0),0),0)</f>
        <v>0</v>
      </c>
      <c r="K4969" s="444">
        <f t="shared" ca="1" si="178"/>
        <v>-3070029986388.0645</v>
      </c>
      <c r="L4969" s="444">
        <f t="shared" ca="1" si="179"/>
        <v>-739877226719523.63</v>
      </c>
      <c r="M4969" s="460">
        <f t="shared" si="181"/>
        <v>0.05</v>
      </c>
      <c r="N4969" s="464">
        <f t="shared" si="182"/>
        <v>202286</v>
      </c>
    </row>
    <row r="4970" spans="7:14" ht="11.25" customHeight="1" x14ac:dyDescent="0.25">
      <c r="G4970" s="459"/>
      <c r="H4970" s="459">
        <v>4963</v>
      </c>
      <c r="I4970" s="444">
        <f t="shared" ca="1" si="180"/>
        <v>-739877226719523.63</v>
      </c>
      <c r="J4970" s="444">
        <f t="array" ref="J4970">IFERROR(INDEX('Retirement Calculator'!K:K,MATCH('Lorri 401b'!N4970,'Retirement Calculator'!A:A,0),0),0)</f>
        <v>0</v>
      </c>
      <c r="K4970" s="444">
        <f t="shared" ca="1" si="178"/>
        <v>-3082821777998.0151</v>
      </c>
      <c r="L4970" s="444">
        <f t="shared" ca="1" si="179"/>
        <v>-742960048497521.63</v>
      </c>
      <c r="M4970" s="460">
        <f t="shared" si="181"/>
        <v>0.05</v>
      </c>
      <c r="N4970" s="464">
        <f t="shared" si="182"/>
        <v>202316</v>
      </c>
    </row>
    <row r="4971" spans="7:14" ht="11.25" customHeight="1" x14ac:dyDescent="0.25">
      <c r="G4971" s="459"/>
      <c r="H4971" s="459">
        <v>4964</v>
      </c>
      <c r="I4971" s="444">
        <f t="shared" ca="1" si="180"/>
        <v>-742960048497521.63</v>
      </c>
      <c r="J4971" s="444">
        <f t="array" ref="J4971">IFERROR(INDEX('Retirement Calculator'!K:K,MATCH('Lorri 401b'!N4971,'Retirement Calculator'!A:A,0),0),0)</f>
        <v>0</v>
      </c>
      <c r="K4971" s="444">
        <f t="shared" ca="1" si="178"/>
        <v>-3095666868739.6733</v>
      </c>
      <c r="L4971" s="444">
        <f t="shared" ca="1" si="179"/>
        <v>-746055715366261.25</v>
      </c>
      <c r="M4971" s="460">
        <f t="shared" si="181"/>
        <v>0.05</v>
      </c>
      <c r="N4971" s="464">
        <f t="shared" si="182"/>
        <v>202347</v>
      </c>
    </row>
    <row r="4972" spans="7:14" ht="11.25" customHeight="1" x14ac:dyDescent="0.25">
      <c r="G4972" s="459"/>
      <c r="H4972" s="459">
        <v>4965</v>
      </c>
      <c r="I4972" s="444">
        <f t="shared" ca="1" si="180"/>
        <v>-746055715366261.25</v>
      </c>
      <c r="J4972" s="444">
        <f t="array" ref="J4972">IFERROR(INDEX('Retirement Calculator'!K:K,MATCH('Lorri 401b'!N4972,'Retirement Calculator'!A:A,0),0),0)</f>
        <v>0</v>
      </c>
      <c r="K4972" s="444">
        <f t="shared" ca="1" si="178"/>
        <v>-3108565480692.7554</v>
      </c>
      <c r="L4972" s="444">
        <f t="shared" ca="1" si="179"/>
        <v>-749164280846954</v>
      </c>
      <c r="M4972" s="460">
        <f t="shared" si="181"/>
        <v>0.05</v>
      </c>
      <c r="N4972" s="464">
        <f t="shared" si="182"/>
        <v>202378</v>
      </c>
    </row>
    <row r="4973" spans="7:14" ht="11.25" customHeight="1" x14ac:dyDescent="0.25">
      <c r="G4973" s="459"/>
      <c r="H4973" s="459">
        <v>4966</v>
      </c>
      <c r="I4973" s="444">
        <f t="shared" ca="1" si="180"/>
        <v>-749164280846954</v>
      </c>
      <c r="J4973" s="444">
        <f t="array" ref="J4973">IFERROR(INDEX('Retirement Calculator'!K:K,MATCH('Lorri 401b'!N4973,'Retirement Calculator'!A:A,0),0),0)</f>
        <v>0</v>
      </c>
      <c r="K4973" s="444">
        <f t="shared" ca="1" si="178"/>
        <v>-3121517836862.3081</v>
      </c>
      <c r="L4973" s="444">
        <f t="shared" ca="1" si="179"/>
        <v>-752285798683816.25</v>
      </c>
      <c r="M4973" s="460">
        <f t="shared" si="181"/>
        <v>0.05</v>
      </c>
      <c r="N4973" s="464">
        <f t="shared" si="182"/>
        <v>202406</v>
      </c>
    </row>
    <row r="4974" spans="7:14" ht="11.25" customHeight="1" x14ac:dyDescent="0.25">
      <c r="G4974" s="459"/>
      <c r="H4974" s="459">
        <v>4967</v>
      </c>
      <c r="I4974" s="444">
        <f t="shared" ca="1" si="180"/>
        <v>-752285798683816.25</v>
      </c>
      <c r="J4974" s="444">
        <f t="array" ref="J4974">IFERROR(INDEX('Retirement Calculator'!K:K,MATCH('Lorri 401b'!N4974,'Retirement Calculator'!A:A,0),0),0)</f>
        <v>0</v>
      </c>
      <c r="K4974" s="444">
        <f t="shared" ca="1" si="178"/>
        <v>-3134524161182.5679</v>
      </c>
      <c r="L4974" s="444">
        <f t="shared" ca="1" si="179"/>
        <v>-755420322844998.88</v>
      </c>
      <c r="M4974" s="460">
        <f t="shared" si="181"/>
        <v>0.05</v>
      </c>
      <c r="N4974" s="464">
        <f t="shared" si="182"/>
        <v>202437</v>
      </c>
    </row>
    <row r="4975" spans="7:14" ht="11.25" customHeight="1" x14ac:dyDescent="0.25">
      <c r="G4975" s="459"/>
      <c r="H4975" s="459">
        <v>4968</v>
      </c>
      <c r="I4975" s="444">
        <f t="shared" ca="1" si="180"/>
        <v>-755420322844998.88</v>
      </c>
      <c r="J4975" s="444">
        <f t="array" ref="J4975">IFERROR(INDEX('Retirement Calculator'!K:K,MATCH('Lorri 401b'!N4975,'Retirement Calculator'!A:A,0),0),0)</f>
        <v>0</v>
      </c>
      <c r="K4975" s="444">
        <f t="shared" ca="1" si="178"/>
        <v>-3147584678520.8286</v>
      </c>
      <c r="L4975" s="444">
        <f t="shared" ca="1" si="179"/>
        <v>-758567907523519.75</v>
      </c>
      <c r="M4975" s="460">
        <f t="shared" si="181"/>
        <v>0.05</v>
      </c>
      <c r="N4975" s="464">
        <f t="shared" si="182"/>
        <v>202467</v>
      </c>
    </row>
    <row r="4976" spans="7:14" ht="11.25" customHeight="1" x14ac:dyDescent="0.25">
      <c r="G4976" s="459"/>
      <c r="H4976" s="459">
        <v>4969</v>
      </c>
      <c r="I4976" s="444">
        <f t="shared" ca="1" si="180"/>
        <v>-758567907523519.75</v>
      </c>
      <c r="J4976" s="444">
        <f t="array" ref="J4976">IFERROR(INDEX('Retirement Calculator'!K:K,MATCH('Lorri 401b'!N4976,'Retirement Calculator'!A:A,0),0),0)</f>
        <v>0</v>
      </c>
      <c r="K4976" s="444">
        <f t="shared" ca="1" si="178"/>
        <v>-3160699614681.332</v>
      </c>
      <c r="L4976" s="444">
        <f t="shared" ca="1" si="179"/>
        <v>-761728607138201.13</v>
      </c>
      <c r="M4976" s="460">
        <f t="shared" si="181"/>
        <v>0.05</v>
      </c>
      <c r="N4976" s="464">
        <f t="shared" si="182"/>
        <v>202498</v>
      </c>
    </row>
    <row r="4977" spans="7:14" ht="11.25" customHeight="1" x14ac:dyDescent="0.25">
      <c r="G4977" s="459"/>
      <c r="H4977" s="459">
        <v>4970</v>
      </c>
      <c r="I4977" s="444">
        <f t="shared" ca="1" si="180"/>
        <v>-761728607138201.13</v>
      </c>
      <c r="J4977" s="444">
        <f t="array" ref="J4977">IFERROR(INDEX('Retirement Calculator'!K:K,MATCH('Lorri 401b'!N4977,'Retirement Calculator'!A:A,0),0),0)</f>
        <v>0</v>
      </c>
      <c r="K4977" s="444">
        <f t="shared" ca="1" si="178"/>
        <v>-3173869196409.1714</v>
      </c>
      <c r="L4977" s="444">
        <f t="shared" ca="1" si="179"/>
        <v>-764902476334610.25</v>
      </c>
      <c r="M4977" s="460">
        <f t="shared" si="181"/>
        <v>0.05</v>
      </c>
      <c r="N4977" s="464">
        <f t="shared" si="182"/>
        <v>202528</v>
      </c>
    </row>
    <row r="4978" spans="7:14" ht="11.25" customHeight="1" x14ac:dyDescent="0.25">
      <c r="G4978" s="459"/>
      <c r="H4978" s="459">
        <v>4971</v>
      </c>
      <c r="I4978" s="444">
        <f t="shared" ca="1" si="180"/>
        <v>-764902476334610.25</v>
      </c>
      <c r="J4978" s="444">
        <f t="array" ref="J4978">IFERROR(INDEX('Retirement Calculator'!K:K,MATCH('Lorri 401b'!N4978,'Retirement Calculator'!A:A,0),0),0)</f>
        <v>0</v>
      </c>
      <c r="K4978" s="444">
        <f t="shared" ca="1" si="178"/>
        <v>-3187093651394.2095</v>
      </c>
      <c r="L4978" s="444">
        <f t="shared" ca="1" si="179"/>
        <v>-768089569986004.5</v>
      </c>
      <c r="M4978" s="460">
        <f t="shared" si="181"/>
        <v>0.05</v>
      </c>
      <c r="N4978" s="464">
        <f t="shared" si="182"/>
        <v>202559</v>
      </c>
    </row>
    <row r="4979" spans="7:14" ht="11.25" customHeight="1" x14ac:dyDescent="0.25">
      <c r="G4979" s="459"/>
      <c r="H4979" s="459">
        <v>4972</v>
      </c>
      <c r="I4979" s="444">
        <f t="shared" ca="1" si="180"/>
        <v>-768089569986004.5</v>
      </c>
      <c r="J4979" s="444">
        <f t="array" ref="J4979">IFERROR(INDEX('Retirement Calculator'!K:K,MATCH('Lorri 401b'!N4979,'Retirement Calculator'!A:A,0),0),0)</f>
        <v>0</v>
      </c>
      <c r="K4979" s="444">
        <f t="shared" ca="1" si="178"/>
        <v>-3200373208275.0186</v>
      </c>
      <c r="L4979" s="444">
        <f t="shared" ca="1" si="179"/>
        <v>-771289943194279.5</v>
      </c>
      <c r="M4979" s="460">
        <f t="shared" si="181"/>
        <v>0.05</v>
      </c>
      <c r="N4979" s="464">
        <f t="shared" si="182"/>
        <v>202590</v>
      </c>
    </row>
    <row r="4980" spans="7:14" ht="11.25" customHeight="1" x14ac:dyDescent="0.25">
      <c r="G4980" s="459"/>
      <c r="H4980" s="459">
        <v>4973</v>
      </c>
      <c r="I4980" s="444">
        <f t="shared" ca="1" si="180"/>
        <v>-771289943194279.5</v>
      </c>
      <c r="J4980" s="444">
        <f t="array" ref="J4980">IFERROR(INDEX('Retirement Calculator'!K:K,MATCH('Lorri 401b'!N4980,'Retirement Calculator'!A:A,0),0),0)</f>
        <v>0</v>
      </c>
      <c r="K4980" s="444">
        <f t="shared" ca="1" si="178"/>
        <v>-3213708096642.8311</v>
      </c>
      <c r="L4980" s="444">
        <f t="shared" ca="1" si="179"/>
        <v>-774503651290922.38</v>
      </c>
      <c r="M4980" s="460">
        <f t="shared" si="181"/>
        <v>0.05</v>
      </c>
      <c r="N4980" s="464">
        <f t="shared" si="182"/>
        <v>202620</v>
      </c>
    </row>
    <row r="4981" spans="7:14" ht="11.25" customHeight="1" x14ac:dyDescent="0.25">
      <c r="G4981" s="459"/>
      <c r="H4981" s="459">
        <v>4974</v>
      </c>
      <c r="I4981" s="444">
        <f t="shared" ca="1" si="180"/>
        <v>-774503651290922.38</v>
      </c>
      <c r="J4981" s="444">
        <f t="array" ref="J4981">IFERROR(INDEX('Retirement Calculator'!K:K,MATCH('Lorri 401b'!N4981,'Retirement Calculator'!A:A,0),0),0)</f>
        <v>0</v>
      </c>
      <c r="K4981" s="444">
        <f t="shared" ca="1" si="178"/>
        <v>-3227098547045.5098</v>
      </c>
      <c r="L4981" s="444">
        <f t="shared" ca="1" si="179"/>
        <v>-777730749837967.88</v>
      </c>
      <c r="M4981" s="460">
        <f t="shared" si="181"/>
        <v>0.05</v>
      </c>
      <c r="N4981" s="464">
        <f t="shared" si="182"/>
        <v>202651</v>
      </c>
    </row>
    <row r="4982" spans="7:14" ht="11.25" customHeight="1" x14ac:dyDescent="0.25">
      <c r="G4982" s="459"/>
      <c r="H4982" s="459">
        <v>4975</v>
      </c>
      <c r="I4982" s="444">
        <f t="shared" ca="1" si="180"/>
        <v>-777730749837967.88</v>
      </c>
      <c r="J4982" s="444">
        <f t="array" ref="J4982">IFERROR(INDEX('Retirement Calculator'!K:K,MATCH('Lorri 401b'!N4982,'Retirement Calculator'!A:A,0),0),0)</f>
        <v>0</v>
      </c>
      <c r="K4982" s="444">
        <f t="shared" ca="1" si="178"/>
        <v>-3240544790991.5327</v>
      </c>
      <c r="L4982" s="444">
        <f t="shared" ca="1" si="179"/>
        <v>-780971294628959.38</v>
      </c>
      <c r="M4982" s="460">
        <f t="shared" si="181"/>
        <v>0.05</v>
      </c>
      <c r="N4982" s="464">
        <f t="shared" si="182"/>
        <v>202681</v>
      </c>
    </row>
    <row r="4983" spans="7:14" ht="11.25" customHeight="1" x14ac:dyDescent="0.25">
      <c r="G4983" s="459"/>
      <c r="H4983" s="459">
        <v>4976</v>
      </c>
      <c r="I4983" s="444">
        <f t="shared" ca="1" si="180"/>
        <v>-780971294628959.38</v>
      </c>
      <c r="J4983" s="444">
        <f t="array" ref="J4983">IFERROR(INDEX('Retirement Calculator'!K:K,MATCH('Lorri 401b'!N4983,'Retirement Calculator'!A:A,0),0),0)</f>
        <v>0</v>
      </c>
      <c r="K4983" s="444">
        <f t="shared" ca="1" si="178"/>
        <v>-3254047060953.9976</v>
      </c>
      <c r="L4983" s="444">
        <f t="shared" ca="1" si="179"/>
        <v>-784225341689913.38</v>
      </c>
      <c r="M4983" s="460">
        <f t="shared" si="181"/>
        <v>0.05</v>
      </c>
      <c r="N4983" s="464">
        <f t="shared" si="182"/>
        <v>202712</v>
      </c>
    </row>
    <row r="4984" spans="7:14" ht="11.25" customHeight="1" x14ac:dyDescent="0.25">
      <c r="G4984" s="459"/>
      <c r="H4984" s="459">
        <v>4977</v>
      </c>
      <c r="I4984" s="444">
        <f t="shared" ca="1" si="180"/>
        <v>-784225341689913.38</v>
      </c>
      <c r="J4984" s="444">
        <f t="array" ref="J4984">IFERROR(INDEX('Retirement Calculator'!K:K,MATCH('Lorri 401b'!N4984,'Retirement Calculator'!A:A,0),0),0)</f>
        <v>0</v>
      </c>
      <c r="K4984" s="444">
        <f t="shared" ca="1" si="178"/>
        <v>-3267605590374.6392</v>
      </c>
      <c r="L4984" s="444">
        <f t="shared" ca="1" si="179"/>
        <v>-787492947280288</v>
      </c>
      <c r="M4984" s="460">
        <f t="shared" si="181"/>
        <v>0.05</v>
      </c>
      <c r="N4984" s="464">
        <f t="shared" si="182"/>
        <v>202743</v>
      </c>
    </row>
    <row r="4985" spans="7:14" ht="11.25" customHeight="1" x14ac:dyDescent="0.25">
      <c r="G4985" s="459"/>
      <c r="H4985" s="459">
        <v>4978</v>
      </c>
      <c r="I4985" s="444">
        <f t="shared" ca="1" si="180"/>
        <v>-787492947280288</v>
      </c>
      <c r="J4985" s="444">
        <f t="array" ref="J4985">IFERROR(INDEX('Retirement Calculator'!K:K,MATCH('Lorri 401b'!N4985,'Retirement Calculator'!A:A,0),0),0)</f>
        <v>0</v>
      </c>
      <c r="K4985" s="444">
        <f t="shared" ca="1" si="178"/>
        <v>-3281220613667.8667</v>
      </c>
      <c r="L4985" s="444">
        <f t="shared" ca="1" si="179"/>
        <v>-790774167893955.88</v>
      </c>
      <c r="M4985" s="460">
        <f t="shared" si="181"/>
        <v>0.05</v>
      </c>
      <c r="N4985" s="464">
        <f t="shared" si="182"/>
        <v>202771</v>
      </c>
    </row>
    <row r="4986" spans="7:14" ht="11.25" customHeight="1" x14ac:dyDescent="0.25">
      <c r="G4986" s="459"/>
      <c r="H4986" s="459">
        <v>4979</v>
      </c>
      <c r="I4986" s="444">
        <f t="shared" ca="1" si="180"/>
        <v>-790774167893955.88</v>
      </c>
      <c r="J4986" s="444">
        <f t="array" ref="J4986">IFERROR(INDEX('Retirement Calculator'!K:K,MATCH('Lorri 401b'!N4986,'Retirement Calculator'!A:A,0),0),0)</f>
        <v>0</v>
      </c>
      <c r="K4986" s="444">
        <f t="shared" ca="1" si="178"/>
        <v>-3294892366224.8159</v>
      </c>
      <c r="L4986" s="444">
        <f t="shared" ca="1" si="179"/>
        <v>-794069060260180.75</v>
      </c>
      <c r="M4986" s="460">
        <f t="shared" si="181"/>
        <v>0.05</v>
      </c>
      <c r="N4986" s="464">
        <f t="shared" si="182"/>
        <v>202802</v>
      </c>
    </row>
    <row r="4987" spans="7:14" ht="11.25" customHeight="1" x14ac:dyDescent="0.25">
      <c r="G4987" s="459"/>
      <c r="H4987" s="459">
        <v>4980</v>
      </c>
      <c r="I4987" s="444">
        <f t="shared" ca="1" si="180"/>
        <v>-794069060260180.75</v>
      </c>
      <c r="J4987" s="444">
        <f t="array" ref="J4987">IFERROR(INDEX('Retirement Calculator'!K:K,MATCH('Lorri 401b'!N4987,'Retirement Calculator'!A:A,0),0),0)</f>
        <v>0</v>
      </c>
      <c r="K4987" s="444">
        <f t="shared" ca="1" si="178"/>
        <v>-3308621084417.4199</v>
      </c>
      <c r="L4987" s="444">
        <f t="shared" ca="1" si="179"/>
        <v>-797377681344598.13</v>
      </c>
      <c r="M4987" s="460">
        <f t="shared" si="181"/>
        <v>0.05</v>
      </c>
      <c r="N4987" s="464">
        <f t="shared" si="182"/>
        <v>202832</v>
      </c>
    </row>
    <row r="4988" spans="7:14" ht="11.25" customHeight="1" x14ac:dyDescent="0.25">
      <c r="G4988" s="459"/>
      <c r="H4988" s="459">
        <v>4981</v>
      </c>
      <c r="I4988" s="444">
        <f t="shared" ca="1" si="180"/>
        <v>-797377681344598.13</v>
      </c>
      <c r="J4988" s="444">
        <f t="array" ref="J4988">IFERROR(INDEX('Retirement Calculator'!K:K,MATCH('Lorri 401b'!N4988,'Retirement Calculator'!A:A,0),0),0)</f>
        <v>0</v>
      </c>
      <c r="K4988" s="444">
        <f t="shared" ca="1" si="178"/>
        <v>-3322407005602.4922</v>
      </c>
      <c r="L4988" s="444">
        <f t="shared" ca="1" si="179"/>
        <v>-800700088350200.63</v>
      </c>
      <c r="M4988" s="460">
        <f t="shared" si="181"/>
        <v>0.05</v>
      </c>
      <c r="N4988" s="464">
        <f t="shared" si="182"/>
        <v>202863</v>
      </c>
    </row>
    <row r="4989" spans="7:14" ht="11.25" customHeight="1" x14ac:dyDescent="0.25">
      <c r="G4989" s="459"/>
      <c r="H4989" s="459">
        <v>4982</v>
      </c>
      <c r="I4989" s="444">
        <f t="shared" ca="1" si="180"/>
        <v>-800700088350200.63</v>
      </c>
      <c r="J4989" s="444">
        <f t="array" ref="J4989">IFERROR(INDEX('Retirement Calculator'!K:K,MATCH('Lorri 401b'!N4989,'Retirement Calculator'!A:A,0),0),0)</f>
        <v>0</v>
      </c>
      <c r="K4989" s="444">
        <f t="shared" ca="1" si="178"/>
        <v>-3336250368125.8359</v>
      </c>
      <c r="L4989" s="444">
        <f t="shared" ca="1" si="179"/>
        <v>-804036338718326.5</v>
      </c>
      <c r="M4989" s="460">
        <f t="shared" si="181"/>
        <v>0.05</v>
      </c>
      <c r="N4989" s="464">
        <f t="shared" si="182"/>
        <v>202893</v>
      </c>
    </row>
    <row r="4990" spans="7:14" ht="11.25" customHeight="1" x14ac:dyDescent="0.25">
      <c r="G4990" s="459"/>
      <c r="H4990" s="459">
        <v>4983</v>
      </c>
      <c r="I4990" s="444">
        <f t="shared" ca="1" si="180"/>
        <v>-804036338718326.5</v>
      </c>
      <c r="J4990" s="444">
        <f t="array" ref="J4990">IFERROR(INDEX('Retirement Calculator'!K:K,MATCH('Lorri 401b'!N4990,'Retirement Calculator'!A:A,0),0),0)</f>
        <v>0</v>
      </c>
      <c r="K4990" s="444">
        <f t="shared" ca="1" si="178"/>
        <v>-3350151411326.3604</v>
      </c>
      <c r="L4990" s="444">
        <f t="shared" ca="1" si="179"/>
        <v>-807386490129652.88</v>
      </c>
      <c r="M4990" s="460">
        <f t="shared" si="181"/>
        <v>0.05</v>
      </c>
      <c r="N4990" s="464">
        <f t="shared" si="182"/>
        <v>202924</v>
      </c>
    </row>
    <row r="4991" spans="7:14" ht="11.25" customHeight="1" x14ac:dyDescent="0.25">
      <c r="G4991" s="459"/>
      <c r="H4991" s="459">
        <v>4984</v>
      </c>
      <c r="I4991" s="444">
        <f t="shared" ca="1" si="180"/>
        <v>-807386490129652.88</v>
      </c>
      <c r="J4991" s="444">
        <f t="array" ref="J4991">IFERROR(INDEX('Retirement Calculator'!K:K,MATCH('Lorri 401b'!N4991,'Retirement Calculator'!A:A,0),0),0)</f>
        <v>0</v>
      </c>
      <c r="K4991" s="444">
        <f t="shared" ca="1" si="178"/>
        <v>-3364110375540.2202</v>
      </c>
      <c r="L4991" s="444">
        <f t="shared" ca="1" si="179"/>
        <v>-810750600505193.13</v>
      </c>
      <c r="M4991" s="460">
        <f t="shared" si="181"/>
        <v>0.05</v>
      </c>
      <c r="N4991" s="464">
        <f t="shared" si="182"/>
        <v>202955</v>
      </c>
    </row>
    <row r="4992" spans="7:14" ht="11.25" customHeight="1" x14ac:dyDescent="0.25">
      <c r="G4992" s="459"/>
      <c r="H4992" s="459">
        <v>4985</v>
      </c>
      <c r="I4992" s="444">
        <f t="shared" ca="1" si="180"/>
        <v>-810750600505193.13</v>
      </c>
      <c r="J4992" s="444">
        <f t="array" ref="J4992">IFERROR(INDEX('Retirement Calculator'!K:K,MATCH('Lorri 401b'!N4992,'Retirement Calculator'!A:A,0),0),0)</f>
        <v>0</v>
      </c>
      <c r="K4992" s="444">
        <f t="shared" ca="1" si="178"/>
        <v>-3378127502104.9712</v>
      </c>
      <c r="L4992" s="444">
        <f t="shared" ca="1" si="179"/>
        <v>-814128728007298.13</v>
      </c>
      <c r="M4992" s="460">
        <f t="shared" si="181"/>
        <v>0.05</v>
      </c>
      <c r="N4992" s="464">
        <f t="shared" si="182"/>
        <v>202985</v>
      </c>
    </row>
    <row r="4993" spans="7:14" ht="11.25" customHeight="1" x14ac:dyDescent="0.25">
      <c r="G4993" s="459"/>
      <c r="H4993" s="459">
        <v>4986</v>
      </c>
      <c r="I4993" s="444">
        <f t="shared" ca="1" si="180"/>
        <v>-814128728007298.13</v>
      </c>
      <c r="J4993" s="444">
        <f t="array" ref="J4993">IFERROR(INDEX('Retirement Calculator'!K:K,MATCH('Lorri 401b'!N4993,'Retirement Calculator'!A:A,0),0),0)</f>
        <v>0</v>
      </c>
      <c r="K4993" s="444">
        <f t="shared" ca="1" si="178"/>
        <v>-3392203033363.7422</v>
      </c>
      <c r="L4993" s="444">
        <f t="shared" ca="1" si="179"/>
        <v>-817520931040661.88</v>
      </c>
      <c r="M4993" s="460">
        <f t="shared" si="181"/>
        <v>0.05</v>
      </c>
      <c r="N4993" s="464">
        <f t="shared" si="182"/>
        <v>203016</v>
      </c>
    </row>
    <row r="4994" spans="7:14" ht="11.25" customHeight="1" x14ac:dyDescent="0.25">
      <c r="G4994" s="459"/>
      <c r="H4994" s="459">
        <v>4987</v>
      </c>
      <c r="I4994" s="444">
        <f t="shared" ca="1" si="180"/>
        <v>-817520931040661.88</v>
      </c>
      <c r="J4994" s="444">
        <f t="array" ref="J4994">IFERROR(INDEX('Retirement Calculator'!K:K,MATCH('Lorri 401b'!N4994,'Retirement Calculator'!A:A,0),0),0)</f>
        <v>0</v>
      </c>
      <c r="K4994" s="444">
        <f t="shared" ca="1" si="178"/>
        <v>-3406337212669.4243</v>
      </c>
      <c r="L4994" s="444">
        <f t="shared" ca="1" si="179"/>
        <v>-820927268253331.25</v>
      </c>
      <c r="M4994" s="460">
        <f t="shared" si="181"/>
        <v>0.05</v>
      </c>
      <c r="N4994" s="464">
        <f t="shared" si="182"/>
        <v>203046</v>
      </c>
    </row>
    <row r="4995" spans="7:14" ht="11.25" customHeight="1" x14ac:dyDescent="0.25">
      <c r="G4995" s="459"/>
      <c r="H4995" s="459">
        <v>4988</v>
      </c>
      <c r="I4995" s="444">
        <f t="shared" ca="1" si="180"/>
        <v>-820927268253331.25</v>
      </c>
      <c r="J4995" s="444">
        <f t="array" ref="J4995">IFERROR(INDEX('Retirement Calculator'!K:K,MATCH('Lorri 401b'!N4995,'Retirement Calculator'!A:A,0),0),0)</f>
        <v>0</v>
      </c>
      <c r="K4995" s="444">
        <f t="shared" ca="1" si="178"/>
        <v>-3420530284388.8804</v>
      </c>
      <c r="L4995" s="444">
        <f t="shared" ca="1" si="179"/>
        <v>-824347798537720.13</v>
      </c>
      <c r="M4995" s="460">
        <f t="shared" si="181"/>
        <v>0.05</v>
      </c>
      <c r="N4995" s="464">
        <f t="shared" si="182"/>
        <v>203077</v>
      </c>
    </row>
    <row r="4996" spans="7:14" ht="11.25" customHeight="1" x14ac:dyDescent="0.25">
      <c r="G4996" s="459"/>
      <c r="H4996" s="459">
        <v>4989</v>
      </c>
      <c r="I4996" s="444">
        <f t="shared" ca="1" si="180"/>
        <v>-824347798537720.13</v>
      </c>
      <c r="J4996" s="444">
        <f t="array" ref="J4996">IFERROR(INDEX('Retirement Calculator'!K:K,MATCH('Lorri 401b'!N4996,'Retirement Calculator'!A:A,0),0),0)</f>
        <v>0</v>
      </c>
      <c r="K4996" s="444">
        <f t="shared" ca="1" si="178"/>
        <v>-3434782493907.167</v>
      </c>
      <c r="L4996" s="444">
        <f t="shared" ca="1" si="179"/>
        <v>-827782581031627.25</v>
      </c>
      <c r="M4996" s="460">
        <f t="shared" si="181"/>
        <v>0.05</v>
      </c>
      <c r="N4996" s="464">
        <f t="shared" si="182"/>
        <v>203108</v>
      </c>
    </row>
    <row r="4997" spans="7:14" ht="11.25" customHeight="1" x14ac:dyDescent="0.25">
      <c r="G4997" s="459"/>
      <c r="H4997" s="459">
        <v>4990</v>
      </c>
      <c r="I4997" s="444">
        <f t="shared" ca="1" si="180"/>
        <v>-827782581031627.25</v>
      </c>
      <c r="J4997" s="444">
        <f t="array" ref="J4997">IFERROR(INDEX('Retirement Calculator'!K:K,MATCH('Lorri 401b'!N4997,'Retirement Calculator'!A:A,0),0),0)</f>
        <v>0</v>
      </c>
      <c r="K4997" s="444">
        <f t="shared" ca="1" si="178"/>
        <v>-3449094087631.7803</v>
      </c>
      <c r="L4997" s="444">
        <f t="shared" ca="1" si="179"/>
        <v>-831231675119259</v>
      </c>
      <c r="M4997" s="460">
        <f t="shared" si="181"/>
        <v>0.05</v>
      </c>
      <c r="N4997" s="464">
        <f t="shared" si="182"/>
        <v>203137</v>
      </c>
    </row>
    <row r="4998" spans="7:14" ht="11.25" customHeight="1" x14ac:dyDescent="0.25">
      <c r="G4998" s="459"/>
      <c r="H4998" s="459">
        <v>4991</v>
      </c>
      <c r="I4998" s="444">
        <f t="shared" ca="1" si="180"/>
        <v>-831231675119259</v>
      </c>
      <c r="J4998" s="444">
        <f t="array" ref="J4998">IFERROR(INDEX('Retirement Calculator'!K:K,MATCH('Lorri 401b'!N4998,'Retirement Calculator'!A:A,0),0),0)</f>
        <v>0</v>
      </c>
      <c r="K4998" s="444">
        <f t="shared" ca="1" si="178"/>
        <v>-3463465312996.9126</v>
      </c>
      <c r="L4998" s="444">
        <f t="shared" ca="1" si="179"/>
        <v>-834695140432255.88</v>
      </c>
      <c r="M4998" s="460">
        <f t="shared" si="181"/>
        <v>0.05</v>
      </c>
      <c r="N4998" s="464">
        <f t="shared" si="182"/>
        <v>203168</v>
      </c>
    </row>
    <row r="4999" spans="7:14" ht="11.25" customHeight="1" x14ac:dyDescent="0.25">
      <c r="G4999" s="459"/>
      <c r="H4999" s="459">
        <v>4992</v>
      </c>
      <c r="I4999" s="444">
        <f t="shared" ca="1" si="180"/>
        <v>-834695140432255.88</v>
      </c>
      <c r="J4999" s="444">
        <f t="array" ref="J4999">IFERROR(INDEX('Retirement Calculator'!K:K,MATCH('Lorri 401b'!N4999,'Retirement Calculator'!A:A,0),0),0)</f>
        <v>0</v>
      </c>
      <c r="K4999" s="444">
        <f t="shared" ca="1" si="178"/>
        <v>-3477896418467.7329</v>
      </c>
      <c r="L4999" s="444">
        <f t="shared" ca="1" si="179"/>
        <v>-838173036850723.63</v>
      </c>
      <c r="M4999" s="460">
        <f t="shared" si="181"/>
        <v>0.05</v>
      </c>
      <c r="N4999" s="464">
        <f t="shared" si="182"/>
        <v>203198</v>
      </c>
    </row>
    <row r="5000" spans="7:14" ht="11.25" customHeight="1" x14ac:dyDescent="0.25">
      <c r="G5000" s="459"/>
      <c r="H5000" s="459">
        <v>4993</v>
      </c>
      <c r="I5000" s="444">
        <f t="shared" ca="1" si="180"/>
        <v>-838173036850723.63</v>
      </c>
      <c r="J5000" s="444">
        <f t="array" ref="J5000">IFERROR(INDEX('Retirement Calculator'!K:K,MATCH('Lorri 401b'!N5000,'Retirement Calculator'!A:A,0),0),0)</f>
        <v>0</v>
      </c>
      <c r="K5000" s="444">
        <f t="shared" ca="1" si="178"/>
        <v>-3492387653544.6816</v>
      </c>
      <c r="L5000" s="444">
        <f t="shared" ca="1" si="179"/>
        <v>-841665424504268.25</v>
      </c>
      <c r="M5000" s="460">
        <f t="shared" si="181"/>
        <v>0.05</v>
      </c>
      <c r="N5000" s="464">
        <f t="shared" si="182"/>
        <v>203229</v>
      </c>
    </row>
    <row r="5001" spans="7:14" ht="11.25" customHeight="1" x14ac:dyDescent="0.25">
      <c r="G5001" s="459"/>
      <c r="H5001" s="459">
        <v>4994</v>
      </c>
      <c r="I5001" s="444">
        <f t="shared" ca="1" si="180"/>
        <v>-841665424504268.25</v>
      </c>
      <c r="J5001" s="444">
        <f t="array" ref="J5001">IFERROR(INDEX('Retirement Calculator'!K:K,MATCH('Lorri 401b'!N5001,'Retirement Calculator'!A:A,0),0),0)</f>
        <v>0</v>
      </c>
      <c r="K5001" s="444">
        <f t="shared" ca="1" si="178"/>
        <v>-3506939268767.7842</v>
      </c>
      <c r="L5001" s="444">
        <f t="shared" ca="1" si="179"/>
        <v>-845172363773036</v>
      </c>
      <c r="M5001" s="460">
        <f t="shared" si="181"/>
        <v>0.05</v>
      </c>
      <c r="N5001" s="464">
        <f t="shared" si="182"/>
        <v>203259</v>
      </c>
    </row>
    <row r="5002" spans="7:14" ht="11.25" customHeight="1" x14ac:dyDescent="0.25">
      <c r="G5002" s="459"/>
      <c r="H5002" s="459">
        <v>4995</v>
      </c>
      <c r="I5002" s="444">
        <f t="shared" ca="1" si="180"/>
        <v>-845172363773036</v>
      </c>
      <c r="J5002" s="444">
        <f t="array" ref="J5002">IFERROR(INDEX('Retirement Calculator'!K:K,MATCH('Lorri 401b'!N5002,'Retirement Calculator'!A:A,0),0),0)</f>
        <v>0</v>
      </c>
      <c r="K5002" s="444">
        <f t="shared" ca="1" si="178"/>
        <v>-3521551515720.9834</v>
      </c>
      <c r="L5002" s="444">
        <f t="shared" ca="1" si="179"/>
        <v>-848693915288757</v>
      </c>
      <c r="M5002" s="460">
        <f t="shared" si="181"/>
        <v>0.05</v>
      </c>
      <c r="N5002" s="464">
        <f t="shared" si="182"/>
        <v>203290</v>
      </c>
    </row>
    <row r="5003" spans="7:14" ht="11.25" customHeight="1" x14ac:dyDescent="0.25">
      <c r="G5003" s="459"/>
      <c r="H5003" s="459">
        <v>4996</v>
      </c>
      <c r="I5003" s="444">
        <f t="shared" ca="1" si="180"/>
        <v>-848693915288757</v>
      </c>
      <c r="J5003" s="444">
        <f t="array" ref="J5003">IFERROR(INDEX('Retirement Calculator'!K:K,MATCH('Lorri 401b'!N5003,'Retirement Calculator'!A:A,0),0),0)</f>
        <v>0</v>
      </c>
      <c r="K5003" s="444">
        <f t="shared" ca="1" si="178"/>
        <v>-3536224647036.4873</v>
      </c>
      <c r="L5003" s="444">
        <f t="shared" ca="1" si="179"/>
        <v>-852230139935793.5</v>
      </c>
      <c r="M5003" s="460">
        <f t="shared" si="181"/>
        <v>0.05</v>
      </c>
      <c r="N5003" s="464">
        <f t="shared" si="182"/>
        <v>203321</v>
      </c>
    </row>
    <row r="5004" spans="7:14" ht="11.25" customHeight="1" x14ac:dyDescent="0.25">
      <c r="G5004" s="459"/>
      <c r="H5004" s="459">
        <v>4997</v>
      </c>
      <c r="I5004" s="444">
        <f t="shared" ca="1" si="180"/>
        <v>-852230139935793.5</v>
      </c>
      <c r="J5004" s="444">
        <f t="array" ref="J5004">IFERROR(INDEX('Retirement Calculator'!K:K,MATCH('Lorri 401b'!N5004,'Retirement Calculator'!A:A,0),0),0)</f>
        <v>0</v>
      </c>
      <c r="K5004" s="444">
        <f t="shared" ca="1" si="178"/>
        <v>-3550958916399.1396</v>
      </c>
      <c r="L5004" s="444">
        <f t="shared" ca="1" si="179"/>
        <v>-855781098852192.63</v>
      </c>
      <c r="M5004" s="460">
        <f t="shared" si="181"/>
        <v>0.05</v>
      </c>
      <c r="N5004" s="464">
        <f t="shared" si="182"/>
        <v>203351</v>
      </c>
    </row>
    <row r="5005" spans="7:14" ht="11.25" customHeight="1" x14ac:dyDescent="0.25">
      <c r="G5005" s="459"/>
      <c r="H5005" s="459">
        <v>4998</v>
      </c>
      <c r="I5005" s="444">
        <f t="shared" ca="1" si="180"/>
        <v>-855781098852192.63</v>
      </c>
      <c r="J5005" s="444">
        <f t="array" ref="J5005">IFERROR(INDEX('Retirement Calculator'!K:K,MATCH('Lorri 401b'!N5005,'Retirement Calculator'!A:A,0),0),0)</f>
        <v>0</v>
      </c>
      <c r="K5005" s="444">
        <f t="shared" ca="1" si="178"/>
        <v>-3565754578550.8027</v>
      </c>
      <c r="L5005" s="444">
        <f t="shared" ca="1" si="179"/>
        <v>-859346853430743.38</v>
      </c>
      <c r="M5005" s="460">
        <f t="shared" si="181"/>
        <v>0.05</v>
      </c>
      <c r="N5005" s="464">
        <f t="shared" si="182"/>
        <v>203382</v>
      </c>
    </row>
    <row r="5006" spans="7:14" ht="11.25" customHeight="1" x14ac:dyDescent="0.25">
      <c r="G5006" s="459"/>
      <c r="H5006" s="459">
        <v>4999</v>
      </c>
      <c r="I5006" s="444">
        <f t="shared" ca="1" si="180"/>
        <v>-859346853430743.38</v>
      </c>
      <c r="J5006" s="444">
        <f t="array" ref="J5006">IFERROR(INDEX('Retirement Calculator'!K:K,MATCH('Lorri 401b'!N5006,'Retirement Calculator'!A:A,0),0),0)</f>
        <v>0</v>
      </c>
      <c r="K5006" s="444">
        <f t="shared" ca="1" si="178"/>
        <v>-3580611889294.7642</v>
      </c>
      <c r="L5006" s="444">
        <f t="shared" ca="1" si="179"/>
        <v>-862927465320038.13</v>
      </c>
      <c r="M5006" s="460">
        <f t="shared" si="181"/>
        <v>0.05</v>
      </c>
      <c r="N5006" s="464">
        <f t="shared" si="182"/>
        <v>203412</v>
      </c>
    </row>
    <row r="5007" spans="7:14" ht="11.25" customHeight="1" x14ac:dyDescent="0.25">
      <c r="G5007" s="459"/>
      <c r="H5007" s="459">
        <v>5000</v>
      </c>
      <c r="I5007" s="444">
        <f t="shared" ca="1" si="180"/>
        <v>-862927465320038.13</v>
      </c>
      <c r="J5007" s="444">
        <f t="array" ref="J5007">IFERROR(INDEX('Retirement Calculator'!K:K,MATCH('Lorri 401b'!N5007,'Retirement Calculator'!A:A,0),0),0)</f>
        <v>0</v>
      </c>
      <c r="K5007" s="444">
        <f t="shared" ca="1" si="178"/>
        <v>-3595531105500.1587</v>
      </c>
      <c r="L5007" s="444">
        <f t="shared" ca="1" si="179"/>
        <v>-866522996425538.25</v>
      </c>
      <c r="M5007" s="460">
        <f t="shared" si="181"/>
        <v>0.05</v>
      </c>
      <c r="N5007" s="464">
        <f t="shared" si="182"/>
        <v>203443</v>
      </c>
    </row>
    <row r="5008" spans="7:14" ht="11.25" customHeight="1" x14ac:dyDescent="0.25">
      <c r="G5008" s="459"/>
      <c r="H5008" s="459">
        <v>5001</v>
      </c>
      <c r="I5008" s="444">
        <f t="shared" ca="1" si="180"/>
        <v>-866522996425538.25</v>
      </c>
      <c r="J5008" s="444">
        <f t="array" ref="J5008">IFERROR(INDEX('Retirement Calculator'!K:K,MATCH('Lorri 401b'!N5008,'Retirement Calculator'!A:A,0),0),0)</f>
        <v>0</v>
      </c>
      <c r="K5008" s="444">
        <f t="shared" ca="1" si="178"/>
        <v>-3610512485106.4092</v>
      </c>
      <c r="L5008" s="444">
        <f t="shared" ca="1" si="179"/>
        <v>-870133508910644.63</v>
      </c>
      <c r="M5008" s="460">
        <f t="shared" si="181"/>
        <v>0.05</v>
      </c>
      <c r="N5008" s="464">
        <f t="shared" si="182"/>
        <v>203474</v>
      </c>
    </row>
    <row r="5009" spans="7:14" ht="11.25" customHeight="1" x14ac:dyDescent="0.25">
      <c r="G5009" s="459"/>
      <c r="H5009" s="459">
        <v>5002</v>
      </c>
      <c r="I5009" s="444">
        <f t="shared" ca="1" si="180"/>
        <v>-870133508910644.63</v>
      </c>
      <c r="J5009" s="444">
        <f t="array" ref="J5009">IFERROR(INDEX('Retirement Calculator'!K:K,MATCH('Lorri 401b'!N5009,'Retirement Calculator'!A:A,0),0),0)</f>
        <v>0</v>
      </c>
      <c r="K5009" s="444">
        <f t="shared" ca="1" si="178"/>
        <v>-3625556287127.686</v>
      </c>
      <c r="L5009" s="444">
        <f t="shared" ca="1" si="179"/>
        <v>-873759065197772.25</v>
      </c>
      <c r="M5009" s="460">
        <f t="shared" si="181"/>
        <v>0.05</v>
      </c>
      <c r="N5009" s="464">
        <f t="shared" si="182"/>
        <v>203502</v>
      </c>
    </row>
    <row r="5010" spans="7:14" ht="11.25" customHeight="1" x14ac:dyDescent="0.25">
      <c r="G5010" s="459"/>
      <c r="H5010" s="459">
        <v>5003</v>
      </c>
      <c r="I5010" s="444">
        <f t="shared" ca="1" si="180"/>
        <v>-873759065197772.25</v>
      </c>
      <c r="J5010" s="444">
        <f t="array" ref="J5010">IFERROR(INDEX('Retirement Calculator'!K:K,MATCH('Lorri 401b'!N5010,'Retirement Calculator'!A:A,0),0),0)</f>
        <v>0</v>
      </c>
      <c r="K5010" s="444">
        <f t="shared" ca="1" si="178"/>
        <v>-3640662771657.3843</v>
      </c>
      <c r="L5010" s="444">
        <f t="shared" ca="1" si="179"/>
        <v>-877399727969429.63</v>
      </c>
      <c r="M5010" s="460">
        <f t="shared" si="181"/>
        <v>0.05</v>
      </c>
      <c r="N5010" s="464">
        <f t="shared" si="182"/>
        <v>203533</v>
      </c>
    </row>
    <row r="5011" spans="7:14" ht="11.25" customHeight="1" x14ac:dyDescent="0.25">
      <c r="G5011" s="459"/>
      <c r="H5011" s="459">
        <v>5004</v>
      </c>
      <c r="I5011" s="444">
        <f t="shared" ca="1" si="180"/>
        <v>-877399727969429.63</v>
      </c>
      <c r="J5011" s="444">
        <f t="array" ref="J5011">IFERROR(INDEX('Retirement Calculator'!K:K,MATCH('Lorri 401b'!N5011,'Retirement Calculator'!A:A,0),0),0)</f>
        <v>0</v>
      </c>
      <c r="K5011" s="444">
        <f t="shared" ca="1" si="178"/>
        <v>-3655832199872.624</v>
      </c>
      <c r="L5011" s="444">
        <f t="shared" ca="1" si="179"/>
        <v>-881055560169302.25</v>
      </c>
      <c r="M5011" s="460">
        <f t="shared" si="181"/>
        <v>0.05</v>
      </c>
      <c r="N5011" s="464">
        <f t="shared" si="182"/>
        <v>203563</v>
      </c>
    </row>
    <row r="5012" spans="7:14" ht="11.25" customHeight="1" x14ac:dyDescent="0.25">
      <c r="G5012" s="459"/>
      <c r="H5012" s="459">
        <v>5005</v>
      </c>
      <c r="I5012" s="444">
        <f t="shared" ca="1" si="180"/>
        <v>-881055560169302.25</v>
      </c>
      <c r="J5012" s="444">
        <f t="array" ref="J5012">IFERROR(INDEX('Retirement Calculator'!K:K,MATCH('Lorri 401b'!N5012,'Retirement Calculator'!A:A,0),0),0)</f>
        <v>0</v>
      </c>
      <c r="K5012" s="444">
        <f t="shared" ca="1" si="178"/>
        <v>-3671064834038.7593</v>
      </c>
      <c r="L5012" s="444">
        <f t="shared" ca="1" si="179"/>
        <v>-884726625003341</v>
      </c>
      <c r="M5012" s="460">
        <f t="shared" si="181"/>
        <v>0.05</v>
      </c>
      <c r="N5012" s="464">
        <f t="shared" si="182"/>
        <v>203594</v>
      </c>
    </row>
    <row r="5013" spans="7:14" ht="11.25" customHeight="1" x14ac:dyDescent="0.25">
      <c r="G5013" s="459"/>
      <c r="H5013" s="459">
        <v>5006</v>
      </c>
      <c r="I5013" s="444">
        <f t="shared" ca="1" si="180"/>
        <v>-884726625003341</v>
      </c>
      <c r="J5013" s="444">
        <f t="array" ref="J5013">IFERROR(INDEX('Retirement Calculator'!K:K,MATCH('Lorri 401b'!N5013,'Retirement Calculator'!A:A,0),0),0)</f>
        <v>0</v>
      </c>
      <c r="K5013" s="444">
        <f t="shared" ca="1" si="178"/>
        <v>-3686360937513.9209</v>
      </c>
      <c r="L5013" s="444">
        <f t="shared" ca="1" si="179"/>
        <v>-888412985940854.88</v>
      </c>
      <c r="M5013" s="460">
        <f t="shared" si="181"/>
        <v>0.05</v>
      </c>
      <c r="N5013" s="464">
        <f t="shared" si="182"/>
        <v>203624</v>
      </c>
    </row>
    <row r="5014" spans="7:14" ht="11.25" customHeight="1" x14ac:dyDescent="0.25">
      <c r="G5014" s="459"/>
      <c r="H5014" s="459">
        <v>5007</v>
      </c>
      <c r="I5014" s="444">
        <f t="shared" ca="1" si="180"/>
        <v>-888412985940854.88</v>
      </c>
      <c r="J5014" s="444">
        <f t="array" ref="J5014">IFERROR(INDEX('Retirement Calculator'!K:K,MATCH('Lorri 401b'!N5014,'Retirement Calculator'!A:A,0),0),0)</f>
        <v>0</v>
      </c>
      <c r="K5014" s="444">
        <f t="shared" ca="1" si="178"/>
        <v>-3701720774753.562</v>
      </c>
      <c r="L5014" s="444">
        <f t="shared" ca="1" si="179"/>
        <v>-892114706715608.38</v>
      </c>
      <c r="M5014" s="460">
        <f t="shared" si="181"/>
        <v>0.05</v>
      </c>
      <c r="N5014" s="464">
        <f t="shared" si="182"/>
        <v>203655</v>
      </c>
    </row>
    <row r="5015" spans="7:14" ht="11.25" customHeight="1" x14ac:dyDescent="0.25">
      <c r="G5015" s="459"/>
      <c r="H5015" s="459">
        <v>5008</v>
      </c>
      <c r="I5015" s="444">
        <f t="shared" ca="1" si="180"/>
        <v>-892114706715608.38</v>
      </c>
      <c r="J5015" s="444">
        <f t="array" ref="J5015">IFERROR(INDEX('Retirement Calculator'!K:K,MATCH('Lorri 401b'!N5015,'Retirement Calculator'!A:A,0),0),0)</f>
        <v>0</v>
      </c>
      <c r="K5015" s="444">
        <f t="shared" ca="1" si="178"/>
        <v>-3717144611315.0347</v>
      </c>
      <c r="L5015" s="444">
        <f t="shared" ca="1" si="179"/>
        <v>-895831851326923.38</v>
      </c>
      <c r="M5015" s="460">
        <f t="shared" si="181"/>
        <v>0.05</v>
      </c>
      <c r="N5015" s="464">
        <f t="shared" si="182"/>
        <v>203686</v>
      </c>
    </row>
    <row r="5016" spans="7:14" ht="11.25" customHeight="1" x14ac:dyDescent="0.25">
      <c r="G5016" s="459"/>
      <c r="H5016" s="459">
        <v>5009</v>
      </c>
      <c r="I5016" s="444">
        <f t="shared" ca="1" si="180"/>
        <v>-895831851326923.38</v>
      </c>
      <c r="J5016" s="444">
        <f t="array" ref="J5016">IFERROR(INDEX('Retirement Calculator'!K:K,MATCH('Lorri 401b'!N5016,'Retirement Calculator'!A:A,0),0),0)</f>
        <v>0</v>
      </c>
      <c r="K5016" s="444">
        <f t="shared" ca="1" si="178"/>
        <v>-3732632713862.1807</v>
      </c>
      <c r="L5016" s="444">
        <f t="shared" ca="1" si="179"/>
        <v>-899564484040785.5</v>
      </c>
      <c r="M5016" s="460">
        <f t="shared" si="181"/>
        <v>0.05</v>
      </c>
      <c r="N5016" s="464">
        <f t="shared" si="182"/>
        <v>203716</v>
      </c>
    </row>
    <row r="5017" spans="7:14" ht="11.25" customHeight="1" x14ac:dyDescent="0.25">
      <c r="G5017" s="459"/>
      <c r="H5017" s="459">
        <v>5010</v>
      </c>
      <c r="I5017" s="444">
        <f t="shared" ca="1" si="180"/>
        <v>-899564484040785.5</v>
      </c>
      <c r="J5017" s="444">
        <f t="array" ref="J5017">IFERROR(INDEX('Retirement Calculator'!K:K,MATCH('Lorri 401b'!N5017,'Retirement Calculator'!A:A,0),0),0)</f>
        <v>0</v>
      </c>
      <c r="K5017" s="444">
        <f t="shared" ca="1" si="178"/>
        <v>-3748185350169.939</v>
      </c>
      <c r="L5017" s="444">
        <f t="shared" ca="1" si="179"/>
        <v>-903312669390955.5</v>
      </c>
      <c r="M5017" s="460">
        <f t="shared" si="181"/>
        <v>0.05</v>
      </c>
      <c r="N5017" s="464">
        <f t="shared" si="182"/>
        <v>203747</v>
      </c>
    </row>
    <row r="5018" spans="7:14" ht="11.25" customHeight="1" x14ac:dyDescent="0.25">
      <c r="G5018" s="459"/>
      <c r="H5018" s="459">
        <v>5011</v>
      </c>
      <c r="I5018" s="444">
        <f t="shared" ca="1" si="180"/>
        <v>-903312669390955.5</v>
      </c>
      <c r="J5018" s="444">
        <f t="array" ref="J5018">IFERROR(INDEX('Retirement Calculator'!K:K,MATCH('Lorri 401b'!N5018,'Retirement Calculator'!A:A,0),0),0)</f>
        <v>0</v>
      </c>
      <c r="K5018" s="444">
        <f t="shared" ca="1" si="178"/>
        <v>-3763802789128.981</v>
      </c>
      <c r="L5018" s="444">
        <f t="shared" ca="1" si="179"/>
        <v>-907076472180084.5</v>
      </c>
      <c r="M5018" s="460">
        <f t="shared" si="181"/>
        <v>0.05</v>
      </c>
      <c r="N5018" s="464">
        <f t="shared" si="182"/>
        <v>203777</v>
      </c>
    </row>
    <row r="5019" spans="7:14" ht="11.25" customHeight="1" x14ac:dyDescent="0.25">
      <c r="G5019" s="459"/>
      <c r="H5019" s="459">
        <v>5012</v>
      </c>
      <c r="I5019" s="444">
        <f t="shared" ca="1" si="180"/>
        <v>-907076472180084.5</v>
      </c>
      <c r="J5019" s="444">
        <f t="array" ref="J5019">IFERROR(INDEX('Retirement Calculator'!K:K,MATCH('Lorri 401b'!N5019,'Retirement Calculator'!A:A,0),0),0)</f>
        <v>0</v>
      </c>
      <c r="K5019" s="444">
        <f t="shared" ca="1" si="178"/>
        <v>-3779485300750.3525</v>
      </c>
      <c r="L5019" s="444">
        <f t="shared" ca="1" si="179"/>
        <v>-910855957480834.88</v>
      </c>
      <c r="M5019" s="460">
        <f t="shared" si="181"/>
        <v>0.05</v>
      </c>
      <c r="N5019" s="464">
        <f t="shared" si="182"/>
        <v>203808</v>
      </c>
    </row>
    <row r="5020" spans="7:14" ht="11.25" customHeight="1" x14ac:dyDescent="0.25">
      <c r="G5020" s="459"/>
      <c r="H5020" s="459">
        <v>5013</v>
      </c>
      <c r="I5020" s="444">
        <f t="shared" ca="1" si="180"/>
        <v>-910855957480834.88</v>
      </c>
      <c r="J5020" s="444">
        <f t="array" ref="J5020">IFERROR(INDEX('Retirement Calculator'!K:K,MATCH('Lorri 401b'!N5020,'Retirement Calculator'!A:A,0),0),0)</f>
        <v>0</v>
      </c>
      <c r="K5020" s="444">
        <f t="shared" ca="1" si="178"/>
        <v>-3795233156170.145</v>
      </c>
      <c r="L5020" s="444">
        <f t="shared" ca="1" si="179"/>
        <v>-914651190637005</v>
      </c>
      <c r="M5020" s="460">
        <f t="shared" si="181"/>
        <v>0.05</v>
      </c>
      <c r="N5020" s="464">
        <f t="shared" si="182"/>
        <v>203839</v>
      </c>
    </row>
    <row r="5021" spans="7:14" ht="11.25" customHeight="1" x14ac:dyDescent="0.25">
      <c r="G5021" s="459"/>
      <c r="H5021" s="459">
        <v>5014</v>
      </c>
      <c r="I5021" s="444">
        <f t="shared" ca="1" si="180"/>
        <v>-914651190637005</v>
      </c>
      <c r="J5021" s="444">
        <f t="array" ref="J5021">IFERROR(INDEX('Retirement Calculator'!K:K,MATCH('Lorri 401b'!N5021,'Retirement Calculator'!A:A,0),0),0)</f>
        <v>0</v>
      </c>
      <c r="K5021" s="444">
        <f t="shared" ca="1" si="178"/>
        <v>-3811046627654.1875</v>
      </c>
      <c r="L5021" s="444">
        <f t="shared" ca="1" si="179"/>
        <v>-918462237264659.25</v>
      </c>
      <c r="M5021" s="460">
        <f t="shared" si="181"/>
        <v>0.05</v>
      </c>
      <c r="N5021" s="464">
        <f t="shared" si="182"/>
        <v>203867</v>
      </c>
    </row>
    <row r="5022" spans="7:14" ht="11.25" customHeight="1" x14ac:dyDescent="0.25">
      <c r="G5022" s="459"/>
      <c r="H5022" s="459">
        <v>5015</v>
      </c>
      <c r="I5022" s="444">
        <f t="shared" ca="1" si="180"/>
        <v>-918462237264659.25</v>
      </c>
      <c r="J5022" s="444">
        <f t="array" ref="J5022">IFERROR(INDEX('Retirement Calculator'!K:K,MATCH('Lorri 401b'!N5022,'Retirement Calculator'!A:A,0),0),0)</f>
        <v>0</v>
      </c>
      <c r="K5022" s="444">
        <f t="shared" ca="1" si="178"/>
        <v>-3826925988602.7476</v>
      </c>
      <c r="L5022" s="444">
        <f t="shared" ca="1" si="179"/>
        <v>-922289163253262</v>
      </c>
      <c r="M5022" s="460">
        <f t="shared" si="181"/>
        <v>0.05</v>
      </c>
      <c r="N5022" s="464">
        <f t="shared" si="182"/>
        <v>203898</v>
      </c>
    </row>
    <row r="5023" spans="7:14" ht="11.25" customHeight="1" x14ac:dyDescent="0.25">
      <c r="G5023" s="459"/>
      <c r="H5023" s="459">
        <v>5016</v>
      </c>
      <c r="I5023" s="444">
        <f t="shared" ca="1" si="180"/>
        <v>-922289163253262</v>
      </c>
      <c r="J5023" s="444">
        <f t="array" ref="J5023">IFERROR(INDEX('Retirement Calculator'!K:K,MATCH('Lorri 401b'!N5023,'Retirement Calculator'!A:A,0),0),0)</f>
        <v>0</v>
      </c>
      <c r="K5023" s="444">
        <f t="shared" ca="1" si="178"/>
        <v>-3842871513555.2583</v>
      </c>
      <c r="L5023" s="444">
        <f t="shared" ca="1" si="179"/>
        <v>-926132034766817.25</v>
      </c>
      <c r="M5023" s="460">
        <f t="shared" si="181"/>
        <v>0.05</v>
      </c>
      <c r="N5023" s="464">
        <f t="shared" si="182"/>
        <v>203928</v>
      </c>
    </row>
    <row r="5024" spans="7:14" ht="11.25" customHeight="1" x14ac:dyDescent="0.25">
      <c r="G5024" s="459"/>
      <c r="H5024" s="459">
        <v>5017</v>
      </c>
      <c r="I5024" s="444">
        <f t="shared" ca="1" si="180"/>
        <v>-926132034766817.25</v>
      </c>
      <c r="J5024" s="444">
        <f t="array" ref="J5024">IFERROR(INDEX('Retirement Calculator'!K:K,MATCH('Lorri 401b'!N5024,'Retirement Calculator'!A:A,0),0),0)</f>
        <v>0</v>
      </c>
      <c r="K5024" s="444">
        <f t="shared" ca="1" si="178"/>
        <v>-3858883478195.0718</v>
      </c>
      <c r="L5024" s="444">
        <f t="shared" ca="1" si="179"/>
        <v>-929990918245012.38</v>
      </c>
      <c r="M5024" s="460">
        <f t="shared" si="181"/>
        <v>0.05</v>
      </c>
      <c r="N5024" s="464">
        <f t="shared" si="182"/>
        <v>203959</v>
      </c>
    </row>
    <row r="5025" spans="7:14" ht="11.25" customHeight="1" x14ac:dyDescent="0.25">
      <c r="G5025" s="459"/>
      <c r="H5025" s="459">
        <v>5018</v>
      </c>
      <c r="I5025" s="444">
        <f t="shared" ca="1" si="180"/>
        <v>-929990918245012.38</v>
      </c>
      <c r="J5025" s="444">
        <f t="array" ref="J5025">IFERROR(INDEX('Retirement Calculator'!K:K,MATCH('Lorri 401b'!N5025,'Retirement Calculator'!A:A,0),0),0)</f>
        <v>0</v>
      </c>
      <c r="K5025" s="444">
        <f t="shared" ca="1" si="178"/>
        <v>-3874962159354.2183</v>
      </c>
      <c r="L5025" s="444">
        <f t="shared" ca="1" si="179"/>
        <v>-933865880404366.63</v>
      </c>
      <c r="M5025" s="460">
        <f t="shared" si="181"/>
        <v>0.05</v>
      </c>
      <c r="N5025" s="464">
        <f t="shared" si="182"/>
        <v>203989</v>
      </c>
    </row>
    <row r="5026" spans="7:14" ht="11.25" customHeight="1" x14ac:dyDescent="0.25">
      <c r="G5026" s="459"/>
      <c r="H5026" s="459">
        <v>5019</v>
      </c>
      <c r="I5026" s="444">
        <f t="shared" ca="1" si="180"/>
        <v>-933865880404366.63</v>
      </c>
      <c r="J5026" s="444">
        <f t="array" ref="J5026">IFERROR(INDEX('Retirement Calculator'!K:K,MATCH('Lorri 401b'!N5026,'Retirement Calculator'!A:A,0),0),0)</f>
        <v>0</v>
      </c>
      <c r="K5026" s="444">
        <f t="shared" ca="1" si="178"/>
        <v>-3891107835018.1943</v>
      </c>
      <c r="L5026" s="444">
        <f t="shared" ca="1" si="179"/>
        <v>-937756988239384.88</v>
      </c>
      <c r="M5026" s="460">
        <f t="shared" si="181"/>
        <v>0.05</v>
      </c>
      <c r="N5026" s="464">
        <f t="shared" si="182"/>
        <v>204020</v>
      </c>
    </row>
    <row r="5027" spans="7:14" ht="11.25" customHeight="1" x14ac:dyDescent="0.25">
      <c r="G5027" s="459"/>
      <c r="H5027" s="459">
        <v>5020</v>
      </c>
      <c r="I5027" s="444">
        <f t="shared" ca="1" si="180"/>
        <v>-937756988239384.88</v>
      </c>
      <c r="J5027" s="444">
        <f t="array" ref="J5027">IFERROR(INDEX('Retirement Calculator'!K:K,MATCH('Lorri 401b'!N5027,'Retirement Calculator'!A:A,0),0),0)</f>
        <v>0</v>
      </c>
      <c r="K5027" s="444">
        <f t="shared" ca="1" si="178"/>
        <v>-3907320784330.7695</v>
      </c>
      <c r="L5027" s="444">
        <f t="shared" ca="1" si="179"/>
        <v>-941664309023715.63</v>
      </c>
      <c r="M5027" s="460">
        <f t="shared" si="181"/>
        <v>0.05</v>
      </c>
      <c r="N5027" s="464">
        <f t="shared" si="182"/>
        <v>204051</v>
      </c>
    </row>
    <row r="5028" spans="7:14" ht="11.25" customHeight="1" x14ac:dyDescent="0.25">
      <c r="G5028" s="459"/>
      <c r="H5028" s="459">
        <v>5021</v>
      </c>
      <c r="I5028" s="444">
        <f t="shared" ca="1" si="180"/>
        <v>-941664309023715.63</v>
      </c>
      <c r="J5028" s="444">
        <f t="array" ref="J5028">IFERROR(INDEX('Retirement Calculator'!K:K,MATCH('Lorri 401b'!N5028,'Retirement Calculator'!A:A,0),0),0)</f>
        <v>0</v>
      </c>
      <c r="K5028" s="444">
        <f t="shared" ca="1" si="178"/>
        <v>-3923601287598.8149</v>
      </c>
      <c r="L5028" s="444">
        <f t="shared" ca="1" si="179"/>
        <v>-945587910311314.5</v>
      </c>
      <c r="M5028" s="460">
        <f t="shared" si="181"/>
        <v>0.05</v>
      </c>
      <c r="N5028" s="464">
        <f t="shared" si="182"/>
        <v>204081</v>
      </c>
    </row>
    <row r="5029" spans="7:14" ht="11.25" customHeight="1" x14ac:dyDescent="0.25">
      <c r="G5029" s="459"/>
      <c r="H5029" s="459">
        <v>5022</v>
      </c>
      <c r="I5029" s="444">
        <f t="shared" ca="1" si="180"/>
        <v>-945587910311314.5</v>
      </c>
      <c r="J5029" s="444">
        <f t="array" ref="J5029">IFERROR(INDEX('Retirement Calculator'!K:K,MATCH('Lorri 401b'!N5029,'Retirement Calculator'!A:A,0),0),0)</f>
        <v>0</v>
      </c>
      <c r="K5029" s="444">
        <f t="shared" ca="1" si="178"/>
        <v>-3939949626297.1436</v>
      </c>
      <c r="L5029" s="444">
        <f t="shared" ca="1" si="179"/>
        <v>-949527859937611.63</v>
      </c>
      <c r="M5029" s="460">
        <f t="shared" si="181"/>
        <v>0.05</v>
      </c>
      <c r="N5029" s="464">
        <f t="shared" si="182"/>
        <v>204112</v>
      </c>
    </row>
    <row r="5030" spans="7:14" ht="11.25" customHeight="1" x14ac:dyDescent="0.25">
      <c r="G5030" s="459"/>
      <c r="H5030" s="459">
        <v>5023</v>
      </c>
      <c r="I5030" s="444">
        <f t="shared" ca="1" si="180"/>
        <v>-949527859937611.63</v>
      </c>
      <c r="J5030" s="444">
        <f t="array" ref="J5030">IFERROR(INDEX('Retirement Calculator'!K:K,MATCH('Lorri 401b'!N5030,'Retirement Calculator'!A:A,0),0),0)</f>
        <v>0</v>
      </c>
      <c r="K5030" s="444">
        <f t="shared" ca="1" si="178"/>
        <v>-3956366083073.3818</v>
      </c>
      <c r="L5030" s="444">
        <f t="shared" ca="1" si="179"/>
        <v>-953484226020685</v>
      </c>
      <c r="M5030" s="460">
        <f t="shared" si="181"/>
        <v>0.05</v>
      </c>
      <c r="N5030" s="464">
        <f t="shared" si="182"/>
        <v>204142</v>
      </c>
    </row>
    <row r="5031" spans="7:14" ht="11.25" customHeight="1" x14ac:dyDescent="0.25">
      <c r="G5031" s="459"/>
      <c r="H5031" s="459">
        <v>5024</v>
      </c>
      <c r="I5031" s="444">
        <f t="shared" ca="1" si="180"/>
        <v>-953484226020685</v>
      </c>
      <c r="J5031" s="444">
        <f t="array" ref="J5031">IFERROR(INDEX('Retirement Calculator'!K:K,MATCH('Lorri 401b'!N5031,'Retirement Calculator'!A:A,0),0),0)</f>
        <v>0</v>
      </c>
      <c r="K5031" s="444">
        <f t="shared" ca="1" si="178"/>
        <v>-3972850941752.854</v>
      </c>
      <c r="L5031" s="444">
        <f t="shared" ca="1" si="179"/>
        <v>-957457076962437.88</v>
      </c>
      <c r="M5031" s="460">
        <f t="shared" si="181"/>
        <v>0.05</v>
      </c>
      <c r="N5031" s="464">
        <f t="shared" si="182"/>
        <v>204173</v>
      </c>
    </row>
    <row r="5032" spans="7:14" ht="11.25" customHeight="1" x14ac:dyDescent="0.25">
      <c r="G5032" s="459"/>
      <c r="H5032" s="459">
        <v>5025</v>
      </c>
      <c r="I5032" s="444">
        <f t="shared" ca="1" si="180"/>
        <v>-957457076962437.88</v>
      </c>
      <c r="J5032" s="444">
        <f t="array" ref="J5032">IFERROR(INDEX('Retirement Calculator'!K:K,MATCH('Lorri 401b'!N5032,'Retirement Calculator'!A:A,0),0),0)</f>
        <v>0</v>
      </c>
      <c r="K5032" s="444">
        <f t="shared" ca="1" si="178"/>
        <v>-3989404487343.4912</v>
      </c>
      <c r="L5032" s="444">
        <f t="shared" ca="1" si="179"/>
        <v>-961446481449781.38</v>
      </c>
      <c r="M5032" s="460">
        <f t="shared" si="181"/>
        <v>0.05</v>
      </c>
      <c r="N5032" s="464">
        <f t="shared" si="182"/>
        <v>204204</v>
      </c>
    </row>
    <row r="5033" spans="7:14" ht="11.25" customHeight="1" x14ac:dyDescent="0.25">
      <c r="G5033" s="459"/>
      <c r="H5033" s="459">
        <v>5026</v>
      </c>
      <c r="I5033" s="444">
        <f t="shared" ca="1" si="180"/>
        <v>-961446481449781.38</v>
      </c>
      <c r="J5033" s="444">
        <f t="array" ref="J5033">IFERROR(INDEX('Retirement Calculator'!K:K,MATCH('Lorri 401b'!N5033,'Retirement Calculator'!A:A,0),0),0)</f>
        <v>0</v>
      </c>
      <c r="K5033" s="444">
        <f t="shared" ca="1" si="178"/>
        <v>-4006027006040.7563</v>
      </c>
      <c r="L5033" s="444">
        <f t="shared" ca="1" si="179"/>
        <v>-965452508455822.13</v>
      </c>
      <c r="M5033" s="460">
        <f t="shared" si="181"/>
        <v>0.05</v>
      </c>
      <c r="N5033" s="464">
        <f t="shared" si="182"/>
        <v>204232</v>
      </c>
    </row>
    <row r="5034" spans="7:14" ht="11.25" customHeight="1" x14ac:dyDescent="0.25">
      <c r="G5034" s="459"/>
      <c r="H5034" s="459">
        <v>5027</v>
      </c>
      <c r="I5034" s="444">
        <f t="shared" ca="1" si="180"/>
        <v>-965452508455822.13</v>
      </c>
      <c r="J5034" s="444">
        <f t="array" ref="J5034">IFERROR(INDEX('Retirement Calculator'!K:K,MATCH('Lorri 401b'!N5034,'Retirement Calculator'!A:A,0),0),0)</f>
        <v>0</v>
      </c>
      <c r="K5034" s="444">
        <f t="shared" ca="1" si="178"/>
        <v>-4022718785232.5923</v>
      </c>
      <c r="L5034" s="444">
        <f t="shared" ca="1" si="179"/>
        <v>-969475227241054.75</v>
      </c>
      <c r="M5034" s="460">
        <f t="shared" si="181"/>
        <v>0.05</v>
      </c>
      <c r="N5034" s="464">
        <f t="shared" si="182"/>
        <v>204263</v>
      </c>
    </row>
    <row r="5035" spans="7:14" ht="11.25" customHeight="1" x14ac:dyDescent="0.25">
      <c r="G5035" s="459"/>
      <c r="H5035" s="459">
        <v>5028</v>
      </c>
      <c r="I5035" s="444">
        <f t="shared" ca="1" si="180"/>
        <v>-969475227241054.75</v>
      </c>
      <c r="J5035" s="444">
        <f t="array" ref="J5035">IFERROR(INDEX('Retirement Calculator'!K:K,MATCH('Lorri 401b'!N5035,'Retirement Calculator'!A:A,0),0),0)</f>
        <v>0</v>
      </c>
      <c r="K5035" s="444">
        <f t="shared" ca="1" si="178"/>
        <v>-4039480113504.395</v>
      </c>
      <c r="L5035" s="444">
        <f t="shared" ca="1" si="179"/>
        <v>-973514707354559.13</v>
      </c>
      <c r="M5035" s="460">
        <f t="shared" si="181"/>
        <v>0.05</v>
      </c>
      <c r="N5035" s="464">
        <f t="shared" si="182"/>
        <v>204293</v>
      </c>
    </row>
    <row r="5036" spans="7:14" ht="11.25" customHeight="1" x14ac:dyDescent="0.25">
      <c r="G5036" s="459"/>
      <c r="H5036" s="459">
        <v>5029</v>
      </c>
      <c r="I5036" s="444">
        <f t="shared" ca="1" si="180"/>
        <v>-973514707354559.13</v>
      </c>
      <c r="J5036" s="444">
        <f t="array" ref="J5036">IFERROR(INDEX('Retirement Calculator'!K:K,MATCH('Lorri 401b'!N5036,'Retirement Calculator'!A:A,0),0),0)</f>
        <v>0</v>
      </c>
      <c r="K5036" s="444">
        <f t="shared" ca="1" si="178"/>
        <v>-4056311280643.9966</v>
      </c>
      <c r="L5036" s="444">
        <f t="shared" ca="1" si="179"/>
        <v>-977571018635203.13</v>
      </c>
      <c r="M5036" s="460">
        <f t="shared" si="181"/>
        <v>0.05</v>
      </c>
      <c r="N5036" s="464">
        <f t="shared" si="182"/>
        <v>204324</v>
      </c>
    </row>
    <row r="5037" spans="7:14" ht="11.25" customHeight="1" x14ac:dyDescent="0.25">
      <c r="G5037" s="459"/>
      <c r="H5037" s="459">
        <v>5030</v>
      </c>
      <c r="I5037" s="444">
        <f t="shared" ca="1" si="180"/>
        <v>-977571018635203.13</v>
      </c>
      <c r="J5037" s="444">
        <f t="array" ref="J5037">IFERROR(INDEX('Retirement Calculator'!K:K,MATCH('Lorri 401b'!N5037,'Retirement Calculator'!A:A,0),0),0)</f>
        <v>0</v>
      </c>
      <c r="K5037" s="444">
        <f t="shared" ca="1" si="178"/>
        <v>-4073212577646.6797</v>
      </c>
      <c r="L5037" s="444">
        <f t="shared" ca="1" si="179"/>
        <v>-981644231212849.75</v>
      </c>
      <c r="M5037" s="460">
        <f t="shared" si="181"/>
        <v>0.05</v>
      </c>
      <c r="N5037" s="464">
        <f t="shared" si="182"/>
        <v>204354</v>
      </c>
    </row>
    <row r="5038" spans="7:14" ht="11.25" customHeight="1" x14ac:dyDescent="0.25">
      <c r="G5038" s="459"/>
      <c r="H5038" s="459">
        <v>5031</v>
      </c>
      <c r="I5038" s="444">
        <f t="shared" ca="1" si="180"/>
        <v>-981644231212849.75</v>
      </c>
      <c r="J5038" s="444">
        <f t="array" ref="J5038">IFERROR(INDEX('Retirement Calculator'!K:K,MATCH('Lorri 401b'!N5038,'Retirement Calculator'!A:A,0),0),0)</f>
        <v>0</v>
      </c>
      <c r="K5038" s="444">
        <f t="shared" ca="1" si="178"/>
        <v>-4090184296720.207</v>
      </c>
      <c r="L5038" s="444">
        <f t="shared" ca="1" si="179"/>
        <v>-985734415509570</v>
      </c>
      <c r="M5038" s="460">
        <f t="shared" si="181"/>
        <v>0.05</v>
      </c>
      <c r="N5038" s="464">
        <f t="shared" si="182"/>
        <v>204385</v>
      </c>
    </row>
    <row r="5039" spans="7:14" ht="11.25" customHeight="1" x14ac:dyDescent="0.25">
      <c r="G5039" s="459"/>
      <c r="H5039" s="459">
        <v>5032</v>
      </c>
      <c r="I5039" s="444">
        <f t="shared" ca="1" si="180"/>
        <v>-985734415509570</v>
      </c>
      <c r="J5039" s="444">
        <f t="array" ref="J5039">IFERROR(INDEX('Retirement Calculator'!K:K,MATCH('Lorri 401b'!N5039,'Retirement Calculator'!A:A,0),0),0)</f>
        <v>0</v>
      </c>
      <c r="K5039" s="444">
        <f t="shared" ca="1" si="178"/>
        <v>-4107226731289.875</v>
      </c>
      <c r="L5039" s="444">
        <f t="shared" ca="1" si="179"/>
        <v>-989841642240859.88</v>
      </c>
      <c r="M5039" s="460">
        <f t="shared" si="181"/>
        <v>0.05</v>
      </c>
      <c r="N5039" s="464">
        <f t="shared" si="182"/>
        <v>204416</v>
      </c>
    </row>
    <row r="5040" spans="7:14" ht="11.25" customHeight="1" x14ac:dyDescent="0.25">
      <c r="G5040" s="459"/>
      <c r="H5040" s="459">
        <v>5033</v>
      </c>
      <c r="I5040" s="444">
        <f t="shared" ca="1" si="180"/>
        <v>-989841642240859.88</v>
      </c>
      <c r="J5040" s="444">
        <f t="array" ref="J5040">IFERROR(INDEX('Retirement Calculator'!K:K,MATCH('Lorri 401b'!N5040,'Retirement Calculator'!A:A,0),0),0)</f>
        <v>0</v>
      </c>
      <c r="K5040" s="444">
        <f t="shared" ca="1" si="178"/>
        <v>-4124340176003.582</v>
      </c>
      <c r="L5040" s="444">
        <f t="shared" ca="1" si="179"/>
        <v>-993965982416863.5</v>
      </c>
      <c r="M5040" s="460">
        <f t="shared" si="181"/>
        <v>0.05</v>
      </c>
      <c r="N5040" s="464">
        <f t="shared" si="182"/>
        <v>204446</v>
      </c>
    </row>
    <row r="5041" spans="7:14" ht="11.25" customHeight="1" x14ac:dyDescent="0.25">
      <c r="G5041" s="459"/>
      <c r="H5041" s="459">
        <v>5034</v>
      </c>
      <c r="I5041" s="444">
        <f t="shared" ca="1" si="180"/>
        <v>-993965982416863.5</v>
      </c>
      <c r="J5041" s="444">
        <f t="array" ref="J5041">IFERROR(INDEX('Retirement Calculator'!K:K,MATCH('Lorri 401b'!N5041,'Retirement Calculator'!A:A,0),0),0)</f>
        <v>0</v>
      </c>
      <c r="K5041" s="444">
        <f t="shared" ca="1" si="178"/>
        <v>-4141524926736.9312</v>
      </c>
      <c r="L5041" s="444">
        <f t="shared" ca="1" si="179"/>
        <v>-998107507343600.38</v>
      </c>
      <c r="M5041" s="460">
        <f t="shared" si="181"/>
        <v>0.05</v>
      </c>
      <c r="N5041" s="464">
        <f t="shared" si="182"/>
        <v>204477</v>
      </c>
    </row>
    <row r="5042" spans="7:14" ht="11.25" customHeight="1" x14ac:dyDescent="0.25">
      <c r="G5042" s="459"/>
      <c r="H5042" s="459">
        <v>5035</v>
      </c>
      <c r="I5042" s="444">
        <f t="shared" ca="1" si="180"/>
        <v>-998107507343600.38</v>
      </c>
      <c r="J5042" s="444">
        <f t="array" ref="J5042">IFERROR(INDEX('Retirement Calculator'!K:K,MATCH('Lorri 401b'!N5042,'Retirement Calculator'!A:A,0),0),0)</f>
        <v>0</v>
      </c>
      <c r="K5042" s="444">
        <f t="shared" ca="1" si="178"/>
        <v>-4158781280598.3345</v>
      </c>
      <c r="L5042" s="444">
        <f t="shared" ca="1" si="179"/>
        <v>-1002266288624198.8</v>
      </c>
      <c r="M5042" s="460">
        <f t="shared" si="181"/>
        <v>0.05</v>
      </c>
      <c r="N5042" s="464">
        <f t="shared" si="182"/>
        <v>204507</v>
      </c>
    </row>
    <row r="5043" spans="7:14" ht="11.25" customHeight="1" x14ac:dyDescent="0.25">
      <c r="G5043" s="459"/>
      <c r="H5043" s="459">
        <v>5036</v>
      </c>
      <c r="I5043" s="444">
        <f t="shared" ca="1" si="180"/>
        <v>-1002266288624198.8</v>
      </c>
      <c r="J5043" s="444">
        <f t="array" ref="J5043">IFERROR(INDEX('Retirement Calculator'!K:K,MATCH('Lorri 401b'!N5043,'Retirement Calculator'!A:A,0),0),0)</f>
        <v>0</v>
      </c>
      <c r="K5043" s="444">
        <f t="shared" ca="1" si="178"/>
        <v>-4176109535934.1616</v>
      </c>
      <c r="L5043" s="444">
        <f t="shared" ca="1" si="179"/>
        <v>-1006442398160132.9</v>
      </c>
      <c r="M5043" s="460">
        <f t="shared" si="181"/>
        <v>0.05</v>
      </c>
      <c r="N5043" s="464">
        <f t="shared" si="182"/>
        <v>204538</v>
      </c>
    </row>
    <row r="5044" spans="7:14" ht="11.25" customHeight="1" x14ac:dyDescent="0.25">
      <c r="G5044" s="459"/>
      <c r="H5044" s="459">
        <v>5037</v>
      </c>
      <c r="I5044" s="444">
        <f t="shared" ca="1" si="180"/>
        <v>-1006442398160132.9</v>
      </c>
      <c r="J5044" s="444">
        <f t="array" ref="J5044">IFERROR(INDEX('Retirement Calculator'!K:K,MATCH('Lorri 401b'!N5044,'Retirement Calculator'!A:A,0),0),0)</f>
        <v>0</v>
      </c>
      <c r="K5044" s="444">
        <f t="shared" ca="1" si="178"/>
        <v>-4193509992333.8872</v>
      </c>
      <c r="L5044" s="444">
        <f t="shared" ca="1" si="179"/>
        <v>-1010635908152466.8</v>
      </c>
      <c r="M5044" s="460">
        <f t="shared" si="181"/>
        <v>0.05</v>
      </c>
      <c r="N5044" s="464">
        <f t="shared" si="182"/>
        <v>204569</v>
      </c>
    </row>
    <row r="5045" spans="7:14" ht="11.25" customHeight="1" x14ac:dyDescent="0.25">
      <c r="G5045" s="459"/>
      <c r="H5045" s="459">
        <v>5038</v>
      </c>
      <c r="I5045" s="444">
        <f t="shared" ca="1" si="180"/>
        <v>-1010635908152466.8</v>
      </c>
      <c r="J5045" s="444">
        <f t="array" ref="J5045">IFERROR(INDEX('Retirement Calculator'!K:K,MATCH('Lorri 401b'!N5045,'Retirement Calculator'!A:A,0),0),0)</f>
        <v>0</v>
      </c>
      <c r="K5045" s="444">
        <f t="shared" ca="1" si="178"/>
        <v>-4210982950635.2778</v>
      </c>
      <c r="L5045" s="444">
        <f t="shared" ca="1" si="179"/>
        <v>-1014846891103102</v>
      </c>
      <c r="M5045" s="460">
        <f t="shared" si="181"/>
        <v>0.05</v>
      </c>
      <c r="N5045" s="464">
        <f t="shared" si="182"/>
        <v>204598</v>
      </c>
    </row>
    <row r="5046" spans="7:14" ht="11.25" customHeight="1" x14ac:dyDescent="0.25">
      <c r="G5046" s="459"/>
      <c r="H5046" s="459">
        <v>5039</v>
      </c>
      <c r="I5046" s="444">
        <f t="shared" ca="1" si="180"/>
        <v>-1014846891103102</v>
      </c>
      <c r="J5046" s="444">
        <f t="array" ref="J5046">IFERROR(INDEX('Retirement Calculator'!K:K,MATCH('Lorri 401b'!N5046,'Retirement Calculator'!A:A,0),0),0)</f>
        <v>0</v>
      </c>
      <c r="K5046" s="444">
        <f t="shared" ca="1" si="178"/>
        <v>-4228528712929.5918</v>
      </c>
      <c r="L5046" s="444">
        <f t="shared" ca="1" si="179"/>
        <v>-1019075419816031.6</v>
      </c>
      <c r="M5046" s="460">
        <f t="shared" si="181"/>
        <v>0.05</v>
      </c>
      <c r="N5046" s="464">
        <f t="shared" si="182"/>
        <v>204629</v>
      </c>
    </row>
    <row r="5047" spans="7:14" ht="11.25" customHeight="1" x14ac:dyDescent="0.25">
      <c r="G5047" s="459"/>
      <c r="H5047" s="459">
        <v>5040</v>
      </c>
      <c r="I5047" s="444">
        <f t="shared" ca="1" si="180"/>
        <v>-1019075419816031.6</v>
      </c>
      <c r="J5047" s="444">
        <f t="array" ref="J5047">IFERROR(INDEX('Retirement Calculator'!K:K,MATCH('Lorri 401b'!N5047,'Retirement Calculator'!A:A,0),0),0)</f>
        <v>0</v>
      </c>
      <c r="K5047" s="444">
        <f t="shared" ca="1" si="178"/>
        <v>-4246147582566.7983</v>
      </c>
      <c r="L5047" s="444">
        <f t="shared" ca="1" si="179"/>
        <v>-1023321567398598.4</v>
      </c>
      <c r="M5047" s="460">
        <f t="shared" si="181"/>
        <v>0.05</v>
      </c>
      <c r="N5047" s="464">
        <f t="shared" si="182"/>
        <v>204659</v>
      </c>
    </row>
    <row r="5048" spans="7:14" ht="11.25" customHeight="1" x14ac:dyDescent="0.25">
      <c r="G5048" s="459"/>
      <c r="H5048" s="459">
        <v>5041</v>
      </c>
      <c r="I5048" s="444">
        <f t="shared" ca="1" si="180"/>
        <v>-1023321567398598.4</v>
      </c>
      <c r="J5048" s="444">
        <f t="array" ref="J5048">IFERROR(INDEX('Retirement Calculator'!K:K,MATCH('Lorri 401b'!N5048,'Retirement Calculator'!A:A,0),0),0)</f>
        <v>0</v>
      </c>
      <c r="K5048" s="444">
        <f t="shared" ca="1" si="178"/>
        <v>-4263839864160.8267</v>
      </c>
      <c r="L5048" s="444">
        <f t="shared" ca="1" si="179"/>
        <v>-1027585407262759.3</v>
      </c>
      <c r="M5048" s="460">
        <f t="shared" si="181"/>
        <v>0.05</v>
      </c>
      <c r="N5048" s="464">
        <f t="shared" si="182"/>
        <v>204690</v>
      </c>
    </row>
    <row r="5049" spans="7:14" ht="11.25" customHeight="1" x14ac:dyDescent="0.25">
      <c r="G5049" s="459"/>
      <c r="H5049" s="459">
        <v>5042</v>
      </c>
      <c r="I5049" s="444">
        <f t="shared" ca="1" si="180"/>
        <v>-1027585407262759.3</v>
      </c>
      <c r="J5049" s="444">
        <f t="array" ref="J5049">IFERROR(INDEX('Retirement Calculator'!K:K,MATCH('Lorri 401b'!N5049,'Retirement Calculator'!A:A,0),0),0)</f>
        <v>0</v>
      </c>
      <c r="K5049" s="444">
        <f t="shared" ca="1" si="178"/>
        <v>-4281605863594.8296</v>
      </c>
      <c r="L5049" s="444">
        <f t="shared" ca="1" si="179"/>
        <v>-1031867013126354.1</v>
      </c>
      <c r="M5049" s="460">
        <f t="shared" si="181"/>
        <v>0.05</v>
      </c>
      <c r="N5049" s="464">
        <f t="shared" si="182"/>
        <v>204720</v>
      </c>
    </row>
    <row r="5050" spans="7:14" ht="11.25" customHeight="1" x14ac:dyDescent="0.25">
      <c r="G5050" s="459"/>
      <c r="H5050" s="459">
        <v>5043</v>
      </c>
      <c r="I5050" s="444">
        <f t="shared" ca="1" si="180"/>
        <v>-1031867013126354.1</v>
      </c>
      <c r="J5050" s="444">
        <f t="array" ref="J5050">IFERROR(INDEX('Retirement Calculator'!K:K,MATCH('Lorri 401b'!N5050,'Retirement Calculator'!A:A,0),0),0)</f>
        <v>0</v>
      </c>
      <c r="K5050" s="444">
        <f t="shared" ca="1" si="178"/>
        <v>-4299445888026.4756</v>
      </c>
      <c r="L5050" s="444">
        <f t="shared" ca="1" si="179"/>
        <v>-1036166459014380.6</v>
      </c>
      <c r="M5050" s="460">
        <f t="shared" si="181"/>
        <v>0.05</v>
      </c>
      <c r="N5050" s="464">
        <f t="shared" si="182"/>
        <v>204751</v>
      </c>
    </row>
    <row r="5051" spans="7:14" ht="11.25" customHeight="1" x14ac:dyDescent="0.25">
      <c r="G5051" s="459"/>
      <c r="H5051" s="459">
        <v>5044</v>
      </c>
      <c r="I5051" s="444">
        <f t="shared" ca="1" si="180"/>
        <v>-1036166459014380.6</v>
      </c>
      <c r="J5051" s="444">
        <f t="array" ref="J5051">IFERROR(INDEX('Retirement Calculator'!K:K,MATCH('Lorri 401b'!N5051,'Retirement Calculator'!A:A,0),0),0)</f>
        <v>0</v>
      </c>
      <c r="K5051" s="444">
        <f t="shared" ca="1" si="178"/>
        <v>-4317360245893.2524</v>
      </c>
      <c r="L5051" s="444">
        <f t="shared" ca="1" si="179"/>
        <v>-1040483819260273.9</v>
      </c>
      <c r="M5051" s="460">
        <f t="shared" si="181"/>
        <v>0.05</v>
      </c>
      <c r="N5051" s="464">
        <f t="shared" si="182"/>
        <v>204782</v>
      </c>
    </row>
    <row r="5052" spans="7:14" ht="11.25" customHeight="1" x14ac:dyDescent="0.25">
      <c r="G5052" s="459"/>
      <c r="H5052" s="459">
        <v>5045</v>
      </c>
      <c r="I5052" s="444">
        <f t="shared" ca="1" si="180"/>
        <v>-1040483819260273.9</v>
      </c>
      <c r="J5052" s="444">
        <f t="array" ref="J5052">IFERROR(INDEX('Retirement Calculator'!K:K,MATCH('Lorri 401b'!N5052,'Retirement Calculator'!A:A,0),0),0)</f>
        <v>0</v>
      </c>
      <c r="K5052" s="444">
        <f t="shared" ca="1" si="178"/>
        <v>-4335349246917.8076</v>
      </c>
      <c r="L5052" s="444">
        <f t="shared" ca="1" si="179"/>
        <v>-1044819168507191.6</v>
      </c>
      <c r="M5052" s="460">
        <f t="shared" si="181"/>
        <v>0.05</v>
      </c>
      <c r="N5052" s="464">
        <f t="shared" si="182"/>
        <v>204812</v>
      </c>
    </row>
    <row r="5053" spans="7:14" ht="11.25" customHeight="1" x14ac:dyDescent="0.25">
      <c r="G5053" s="459"/>
      <c r="H5053" s="459">
        <v>5046</v>
      </c>
      <c r="I5053" s="444">
        <f t="shared" ca="1" si="180"/>
        <v>-1044819168507191.6</v>
      </c>
      <c r="J5053" s="444">
        <f t="array" ref="J5053">IFERROR(INDEX('Retirement Calculator'!K:K,MATCH('Lorri 401b'!N5053,'Retirement Calculator'!A:A,0),0),0)</f>
        <v>0</v>
      </c>
      <c r="K5053" s="444">
        <f t="shared" ca="1" si="178"/>
        <v>-4353413202113.2988</v>
      </c>
      <c r="L5053" s="444">
        <f t="shared" ca="1" si="179"/>
        <v>-1049172581709304.9</v>
      </c>
      <c r="M5053" s="460">
        <f t="shared" si="181"/>
        <v>0.05</v>
      </c>
      <c r="N5053" s="464">
        <f t="shared" si="182"/>
        <v>204843</v>
      </c>
    </row>
    <row r="5054" spans="7:14" ht="11.25" customHeight="1" x14ac:dyDescent="0.25">
      <c r="G5054" s="459"/>
      <c r="H5054" s="459">
        <v>5047</v>
      </c>
      <c r="I5054" s="444">
        <f t="shared" ca="1" si="180"/>
        <v>-1049172581709304.9</v>
      </c>
      <c r="J5054" s="444">
        <f t="array" ref="J5054">IFERROR(INDEX('Retirement Calculator'!K:K,MATCH('Lorri 401b'!N5054,'Retirement Calculator'!A:A,0),0),0)</f>
        <v>0</v>
      </c>
      <c r="K5054" s="444">
        <f t="shared" ca="1" si="178"/>
        <v>-4371552423788.771</v>
      </c>
      <c r="L5054" s="444">
        <f t="shared" ca="1" si="179"/>
        <v>-1053544134133093.6</v>
      </c>
      <c r="M5054" s="460">
        <f t="shared" si="181"/>
        <v>0.05</v>
      </c>
      <c r="N5054" s="464">
        <f t="shared" si="182"/>
        <v>204873</v>
      </c>
    </row>
    <row r="5055" spans="7:14" ht="11.25" customHeight="1" x14ac:dyDescent="0.25">
      <c r="G5055" s="459"/>
      <c r="H5055" s="459">
        <v>5048</v>
      </c>
      <c r="I5055" s="444">
        <f t="shared" ca="1" si="180"/>
        <v>-1053544134133093.6</v>
      </c>
      <c r="J5055" s="444">
        <f t="array" ref="J5055">IFERROR(INDEX('Retirement Calculator'!K:K,MATCH('Lorri 401b'!N5055,'Retirement Calculator'!A:A,0),0),0)</f>
        <v>0</v>
      </c>
      <c r="K5055" s="444">
        <f t="shared" ca="1" si="178"/>
        <v>-4389767225554.5566</v>
      </c>
      <c r="L5055" s="444">
        <f t="shared" ca="1" si="179"/>
        <v>-1057933901358648.1</v>
      </c>
      <c r="M5055" s="460">
        <f t="shared" si="181"/>
        <v>0.05</v>
      </c>
      <c r="N5055" s="464">
        <f t="shared" si="182"/>
        <v>204904</v>
      </c>
    </row>
    <row r="5056" spans="7:14" ht="11.25" customHeight="1" x14ac:dyDescent="0.25">
      <c r="G5056" s="459"/>
      <c r="H5056" s="459">
        <v>5049</v>
      </c>
      <c r="I5056" s="444">
        <f t="shared" ca="1" si="180"/>
        <v>-1057933901358648.1</v>
      </c>
      <c r="J5056" s="444">
        <f t="array" ref="J5056">IFERROR(INDEX('Retirement Calculator'!K:K,MATCH('Lorri 401b'!N5056,'Retirement Calculator'!A:A,0),0),0)</f>
        <v>0</v>
      </c>
      <c r="K5056" s="444">
        <f t="shared" ca="1" si="178"/>
        <v>-4408057922327.7002</v>
      </c>
      <c r="L5056" s="444">
        <f t="shared" ca="1" si="179"/>
        <v>-1062341959280975.9</v>
      </c>
      <c r="M5056" s="460">
        <f t="shared" si="181"/>
        <v>0.05</v>
      </c>
      <c r="N5056" s="464">
        <f t="shared" si="182"/>
        <v>204935</v>
      </c>
    </row>
    <row r="5057" spans="7:14" ht="11.25" customHeight="1" x14ac:dyDescent="0.25">
      <c r="G5057" s="459"/>
      <c r="H5057" s="459">
        <v>5050</v>
      </c>
      <c r="I5057" s="444">
        <f t="shared" ca="1" si="180"/>
        <v>-1062341959280975.9</v>
      </c>
      <c r="J5057" s="444">
        <f t="array" ref="J5057">IFERROR(INDEX('Retirement Calculator'!K:K,MATCH('Lorri 401b'!N5057,'Retirement Calculator'!A:A,0),0),0)</f>
        <v>0</v>
      </c>
      <c r="K5057" s="444">
        <f t="shared" ca="1" si="178"/>
        <v>-4426424830337.3994</v>
      </c>
      <c r="L5057" s="444">
        <f t="shared" ca="1" si="179"/>
        <v>-1066768384111313.3</v>
      </c>
      <c r="M5057" s="460">
        <f t="shared" si="181"/>
        <v>0.05</v>
      </c>
      <c r="N5057" s="464">
        <f t="shared" si="182"/>
        <v>204963</v>
      </c>
    </row>
    <row r="5058" spans="7:14" ht="11.25" customHeight="1" x14ac:dyDescent="0.25">
      <c r="G5058" s="459"/>
      <c r="H5058" s="459">
        <v>5051</v>
      </c>
      <c r="I5058" s="444">
        <f t="shared" ca="1" si="180"/>
        <v>-1066768384111313.3</v>
      </c>
      <c r="J5058" s="444">
        <f t="array" ref="J5058">IFERROR(INDEX('Retirement Calculator'!K:K,MATCH('Lorri 401b'!N5058,'Retirement Calculator'!A:A,0),0),0)</f>
        <v>0</v>
      </c>
      <c r="K5058" s="444">
        <f t="shared" ca="1" si="178"/>
        <v>-4444868267130.4717</v>
      </c>
      <c r="L5058" s="444">
        <f t="shared" ca="1" si="179"/>
        <v>-1071213252378443.8</v>
      </c>
      <c r="M5058" s="460">
        <f t="shared" si="181"/>
        <v>0.05</v>
      </c>
      <c r="N5058" s="464">
        <f t="shared" si="182"/>
        <v>204994</v>
      </c>
    </row>
    <row r="5059" spans="7:14" ht="11.25" customHeight="1" x14ac:dyDescent="0.25">
      <c r="G5059" s="459"/>
      <c r="H5059" s="459">
        <v>5052</v>
      </c>
      <c r="I5059" s="444">
        <f t="shared" ca="1" si="180"/>
        <v>-1071213252378443.8</v>
      </c>
      <c r="J5059" s="444">
        <f t="array" ref="J5059">IFERROR(INDEX('Retirement Calculator'!K:K,MATCH('Lorri 401b'!N5059,'Retirement Calculator'!A:A,0),0),0)</f>
        <v>0</v>
      </c>
      <c r="K5059" s="444">
        <f t="shared" ca="1" si="178"/>
        <v>-4463388551576.8486</v>
      </c>
      <c r="L5059" s="444">
        <f t="shared" ca="1" si="179"/>
        <v>-1075676640930020.6</v>
      </c>
      <c r="M5059" s="460">
        <f t="shared" si="181"/>
        <v>0.05</v>
      </c>
      <c r="N5059" s="464">
        <f t="shared" si="182"/>
        <v>205024</v>
      </c>
    </row>
    <row r="5060" spans="7:14" ht="11.25" customHeight="1" x14ac:dyDescent="0.25">
      <c r="G5060" s="459"/>
      <c r="H5060" s="459">
        <v>5053</v>
      </c>
      <c r="I5060" s="444">
        <f t="shared" ca="1" si="180"/>
        <v>-1075676640930020.6</v>
      </c>
      <c r="J5060" s="444">
        <f t="array" ref="J5060">IFERROR(INDEX('Retirement Calculator'!K:K,MATCH('Lorri 401b'!N5060,'Retirement Calculator'!A:A,0),0),0)</f>
        <v>0</v>
      </c>
      <c r="K5060" s="444">
        <f t="shared" ca="1" si="178"/>
        <v>-4481986003875.0859</v>
      </c>
      <c r="L5060" s="444">
        <f t="shared" ca="1" si="179"/>
        <v>-1080158626933895.8</v>
      </c>
      <c r="M5060" s="460">
        <f t="shared" si="181"/>
        <v>0.05</v>
      </c>
      <c r="N5060" s="464">
        <f t="shared" si="182"/>
        <v>205055</v>
      </c>
    </row>
    <row r="5061" spans="7:14" ht="11.25" customHeight="1" x14ac:dyDescent="0.25">
      <c r="G5061" s="459"/>
      <c r="H5061" s="459">
        <v>5054</v>
      </c>
      <c r="I5061" s="444">
        <f t="shared" ca="1" si="180"/>
        <v>-1080158626933895.8</v>
      </c>
      <c r="J5061" s="444">
        <f t="array" ref="J5061">IFERROR(INDEX('Retirement Calculator'!K:K,MATCH('Lorri 401b'!N5061,'Retirement Calculator'!A:A,0),0),0)</f>
        <v>0</v>
      </c>
      <c r="K5061" s="444">
        <f t="shared" ca="1" si="178"/>
        <v>-4500660945557.8984</v>
      </c>
      <c r="L5061" s="444">
        <f t="shared" ca="1" si="179"/>
        <v>-1084659287879453.6</v>
      </c>
      <c r="M5061" s="460">
        <f t="shared" si="181"/>
        <v>0.05</v>
      </c>
      <c r="N5061" s="464">
        <f t="shared" si="182"/>
        <v>205085</v>
      </c>
    </row>
    <row r="5062" spans="7:14" ht="11.25" customHeight="1" x14ac:dyDescent="0.25">
      <c r="G5062" s="459"/>
      <c r="H5062" s="459">
        <v>5055</v>
      </c>
      <c r="I5062" s="444">
        <f t="shared" ca="1" si="180"/>
        <v>-1084659287879453.6</v>
      </c>
      <c r="J5062" s="444">
        <f t="array" ref="J5062">IFERROR(INDEX('Retirement Calculator'!K:K,MATCH('Lorri 401b'!N5062,'Retirement Calculator'!A:A,0),0),0)</f>
        <v>0</v>
      </c>
      <c r="K5062" s="444">
        <f t="shared" ca="1" si="178"/>
        <v>-4519413699497.7236</v>
      </c>
      <c r="L5062" s="444">
        <f t="shared" ca="1" si="179"/>
        <v>-1089178701578951.4</v>
      </c>
      <c r="M5062" s="460">
        <f t="shared" si="181"/>
        <v>0.05</v>
      </c>
      <c r="N5062" s="464">
        <f t="shared" si="182"/>
        <v>205116</v>
      </c>
    </row>
    <row r="5063" spans="7:14" ht="11.25" customHeight="1" x14ac:dyDescent="0.25">
      <c r="G5063" s="459"/>
      <c r="H5063" s="459">
        <v>5056</v>
      </c>
      <c r="I5063" s="444">
        <f t="shared" ca="1" si="180"/>
        <v>-1089178701578951.4</v>
      </c>
      <c r="J5063" s="444">
        <f t="array" ref="J5063">IFERROR(INDEX('Retirement Calculator'!K:K,MATCH('Lorri 401b'!N5063,'Retirement Calculator'!A:A,0),0),0)</f>
        <v>0</v>
      </c>
      <c r="K5063" s="444">
        <f t="shared" ca="1" si="178"/>
        <v>-4538244589912.2969</v>
      </c>
      <c r="L5063" s="444">
        <f t="shared" ca="1" si="179"/>
        <v>-1093716946168863.6</v>
      </c>
      <c r="M5063" s="460">
        <f t="shared" si="181"/>
        <v>0.05</v>
      </c>
      <c r="N5063" s="464">
        <f t="shared" si="182"/>
        <v>205147</v>
      </c>
    </row>
    <row r="5064" spans="7:14" ht="11.25" customHeight="1" x14ac:dyDescent="0.25">
      <c r="G5064" s="459"/>
      <c r="H5064" s="459">
        <v>5057</v>
      </c>
      <c r="I5064" s="444">
        <f t="shared" ca="1" si="180"/>
        <v>-1093716946168863.6</v>
      </c>
      <c r="J5064" s="444">
        <f t="array" ref="J5064">IFERROR(INDEX('Retirement Calculator'!K:K,MATCH('Lorri 401b'!N5064,'Retirement Calculator'!A:A,0),0),0)</f>
        <v>0</v>
      </c>
      <c r="K5064" s="444">
        <f t="shared" ca="1" si="178"/>
        <v>-4557153942370.2656</v>
      </c>
      <c r="L5064" s="444">
        <f t="shared" ca="1" si="179"/>
        <v>-1098274100111233.9</v>
      </c>
      <c r="M5064" s="460">
        <f t="shared" si="181"/>
        <v>0.05</v>
      </c>
      <c r="N5064" s="464">
        <f t="shared" si="182"/>
        <v>205177</v>
      </c>
    </row>
    <row r="5065" spans="7:14" ht="11.25" customHeight="1" x14ac:dyDescent="0.25">
      <c r="G5065" s="459"/>
      <c r="H5065" s="459">
        <v>5058</v>
      </c>
      <c r="I5065" s="444">
        <f t="shared" ca="1" si="180"/>
        <v>-1098274100111233.9</v>
      </c>
      <c r="J5065" s="444">
        <f t="array" ref="J5065">IFERROR(INDEX('Retirement Calculator'!K:K,MATCH('Lorri 401b'!N5065,'Retirement Calculator'!A:A,0),0),0)</f>
        <v>0</v>
      </c>
      <c r="K5065" s="444">
        <f t="shared" ca="1" si="178"/>
        <v>-4576142083796.8076</v>
      </c>
      <c r="L5065" s="444">
        <f t="shared" ca="1" si="179"/>
        <v>-1102850242195030.6</v>
      </c>
      <c r="M5065" s="460">
        <f t="shared" si="181"/>
        <v>0.05</v>
      </c>
      <c r="N5065" s="464">
        <f t="shared" si="182"/>
        <v>205208</v>
      </c>
    </row>
    <row r="5066" spans="7:14" ht="11.25" customHeight="1" x14ac:dyDescent="0.25">
      <c r="G5066" s="459"/>
      <c r="H5066" s="459">
        <v>5059</v>
      </c>
      <c r="I5066" s="444">
        <f t="shared" ca="1" si="180"/>
        <v>-1102850242195030.6</v>
      </c>
      <c r="J5066" s="444">
        <f t="array" ref="J5066">IFERROR(INDEX('Retirement Calculator'!K:K,MATCH('Lorri 401b'!N5066,'Retirement Calculator'!A:A,0),0),0)</f>
        <v>0</v>
      </c>
      <c r="K5066" s="444">
        <f t="shared" ca="1" si="178"/>
        <v>-4595209342479.2939</v>
      </c>
      <c r="L5066" s="444">
        <f t="shared" ca="1" si="179"/>
        <v>-1107445451537509.9</v>
      </c>
      <c r="M5066" s="460">
        <f t="shared" si="181"/>
        <v>0.05</v>
      </c>
      <c r="N5066" s="464">
        <f t="shared" si="182"/>
        <v>205238</v>
      </c>
    </row>
    <row r="5067" spans="7:14" ht="11.25" customHeight="1" x14ac:dyDescent="0.25">
      <c r="G5067" s="459"/>
      <c r="H5067" s="459">
        <v>5060</v>
      </c>
      <c r="I5067" s="444">
        <f t="shared" ca="1" si="180"/>
        <v>-1107445451537509.9</v>
      </c>
      <c r="J5067" s="444">
        <f t="array" ref="J5067">IFERROR(INDEX('Retirement Calculator'!K:K,MATCH('Lorri 401b'!N5067,'Retirement Calculator'!A:A,0),0),0)</f>
        <v>0</v>
      </c>
      <c r="K5067" s="444">
        <f t="shared" ca="1" si="178"/>
        <v>-4614356048072.958</v>
      </c>
      <c r="L5067" s="444">
        <f t="shared" ca="1" si="179"/>
        <v>-1112059807585582.9</v>
      </c>
      <c r="M5067" s="460">
        <f t="shared" si="181"/>
        <v>0.05</v>
      </c>
      <c r="N5067" s="464">
        <f t="shared" si="182"/>
        <v>205269</v>
      </c>
    </row>
    <row r="5068" spans="7:14" ht="11.25" customHeight="1" x14ac:dyDescent="0.25">
      <c r="G5068" s="459"/>
      <c r="H5068" s="459">
        <v>5061</v>
      </c>
      <c r="I5068" s="444">
        <f t="shared" ca="1" si="180"/>
        <v>-1112059807585582.9</v>
      </c>
      <c r="J5068" s="444">
        <f t="array" ref="J5068">IFERROR(INDEX('Retirement Calculator'!K:K,MATCH('Lorri 401b'!N5068,'Retirement Calculator'!A:A,0),0),0)</f>
        <v>0</v>
      </c>
      <c r="K5068" s="444">
        <f t="shared" ca="1" si="178"/>
        <v>-4633582531606.5957</v>
      </c>
      <c r="L5068" s="444">
        <f t="shared" ca="1" si="179"/>
        <v>-1116693390117189.5</v>
      </c>
      <c r="M5068" s="460">
        <f t="shared" si="181"/>
        <v>0.05</v>
      </c>
      <c r="N5068" s="464">
        <f t="shared" si="182"/>
        <v>205300</v>
      </c>
    </row>
    <row r="5069" spans="7:14" ht="11.25" customHeight="1" x14ac:dyDescent="0.25">
      <c r="G5069" s="459"/>
      <c r="H5069" s="459">
        <v>5062</v>
      </c>
      <c r="I5069" s="444">
        <f t="shared" ca="1" si="180"/>
        <v>-1116693390117189.5</v>
      </c>
      <c r="J5069" s="444">
        <f t="array" ref="J5069">IFERROR(INDEX('Retirement Calculator'!K:K,MATCH('Lorri 401b'!N5069,'Retirement Calculator'!A:A,0),0),0)</f>
        <v>0</v>
      </c>
      <c r="K5069" s="444">
        <f t="shared" ca="1" si="178"/>
        <v>-4652889125488.2891</v>
      </c>
      <c r="L5069" s="444">
        <f t="shared" ca="1" si="179"/>
        <v>-1121346279242677.8</v>
      </c>
      <c r="M5069" s="460">
        <f t="shared" si="181"/>
        <v>0.05</v>
      </c>
      <c r="N5069" s="464">
        <f t="shared" si="182"/>
        <v>205328</v>
      </c>
    </row>
    <row r="5070" spans="7:14" ht="11.25" customHeight="1" x14ac:dyDescent="0.25">
      <c r="G5070" s="459"/>
      <c r="H5070" s="459">
        <v>5063</v>
      </c>
      <c r="I5070" s="444">
        <f t="shared" ca="1" si="180"/>
        <v>-1121346279242677.8</v>
      </c>
      <c r="J5070" s="444">
        <f t="array" ref="J5070">IFERROR(INDEX('Retirement Calculator'!K:K,MATCH('Lorri 401b'!N5070,'Retirement Calculator'!A:A,0),0),0)</f>
        <v>0</v>
      </c>
      <c r="K5070" s="444">
        <f t="shared" ca="1" si="178"/>
        <v>-4672276163511.1572</v>
      </c>
      <c r="L5070" s="444">
        <f t="shared" ca="1" si="179"/>
        <v>-1126018555406189</v>
      </c>
      <c r="M5070" s="460">
        <f t="shared" si="181"/>
        <v>0.05</v>
      </c>
      <c r="N5070" s="464">
        <f t="shared" si="182"/>
        <v>205359</v>
      </c>
    </row>
    <row r="5071" spans="7:14" ht="11.25" customHeight="1" x14ac:dyDescent="0.25">
      <c r="G5071" s="459"/>
      <c r="H5071" s="459">
        <v>5064</v>
      </c>
      <c r="I5071" s="444">
        <f t="shared" ca="1" si="180"/>
        <v>-1126018555406189</v>
      </c>
      <c r="J5071" s="444">
        <f t="array" ref="J5071">IFERROR(INDEX('Retirement Calculator'!K:K,MATCH('Lorri 401b'!N5071,'Retirement Calculator'!A:A,0),0),0)</f>
        <v>0</v>
      </c>
      <c r="K5071" s="444">
        <f t="shared" ca="1" si="178"/>
        <v>-4691743980859.1211</v>
      </c>
      <c r="L5071" s="444">
        <f t="shared" ca="1" si="179"/>
        <v>-1130710299387048</v>
      </c>
      <c r="M5071" s="460">
        <f t="shared" si="181"/>
        <v>0.05</v>
      </c>
      <c r="N5071" s="464">
        <f t="shared" si="182"/>
        <v>205389</v>
      </c>
    </row>
    <row r="5072" spans="7:14" ht="11.25" customHeight="1" x14ac:dyDescent="0.25">
      <c r="G5072" s="459"/>
      <c r="H5072" s="459">
        <v>5065</v>
      </c>
      <c r="I5072" s="444">
        <f t="shared" ca="1" si="180"/>
        <v>-1130710299387048</v>
      </c>
      <c r="J5072" s="444">
        <f t="array" ref="J5072">IFERROR(INDEX('Retirement Calculator'!K:K,MATCH('Lorri 401b'!N5072,'Retirement Calculator'!A:A,0),0),0)</f>
        <v>0</v>
      </c>
      <c r="K5072" s="444">
        <f t="shared" ca="1" si="178"/>
        <v>-4711292914112.7002</v>
      </c>
      <c r="L5072" s="444">
        <f t="shared" ca="1" si="179"/>
        <v>-1135421592301160.8</v>
      </c>
      <c r="M5072" s="460">
        <f t="shared" si="181"/>
        <v>0.05</v>
      </c>
      <c r="N5072" s="464">
        <f t="shared" si="182"/>
        <v>205420</v>
      </c>
    </row>
    <row r="5073" spans="7:14" ht="11.25" customHeight="1" x14ac:dyDescent="0.25">
      <c r="G5073" s="459"/>
      <c r="H5073" s="459">
        <v>5066</v>
      </c>
      <c r="I5073" s="444">
        <f t="shared" ca="1" si="180"/>
        <v>-1135421592301160.8</v>
      </c>
      <c r="J5073" s="444">
        <f t="array" ref="J5073">IFERROR(INDEX('Retirement Calculator'!K:K,MATCH('Lorri 401b'!N5073,'Retirement Calculator'!A:A,0),0),0)</f>
        <v>0</v>
      </c>
      <c r="K5073" s="444">
        <f t="shared" ca="1" si="178"/>
        <v>-4730923301254.8359</v>
      </c>
      <c r="L5073" s="444">
        <f t="shared" ca="1" si="179"/>
        <v>-1140152515602415.5</v>
      </c>
      <c r="M5073" s="460">
        <f t="shared" si="181"/>
        <v>0.05</v>
      </c>
      <c r="N5073" s="464">
        <f t="shared" si="182"/>
        <v>205450</v>
      </c>
    </row>
    <row r="5074" spans="7:14" ht="11.25" customHeight="1" x14ac:dyDescent="0.25">
      <c r="G5074" s="459"/>
      <c r="H5074" s="459">
        <v>5067</v>
      </c>
      <c r="I5074" s="444">
        <f t="shared" ca="1" si="180"/>
        <v>-1140152515602415.5</v>
      </c>
      <c r="J5074" s="444">
        <f t="array" ref="J5074">IFERROR(INDEX('Retirement Calculator'!K:K,MATCH('Lorri 401b'!N5074,'Retirement Calculator'!A:A,0),0),0)</f>
        <v>0</v>
      </c>
      <c r="K5074" s="444">
        <f t="shared" ca="1" si="178"/>
        <v>-4750635481676.7314</v>
      </c>
      <c r="L5074" s="444">
        <f t="shared" ca="1" si="179"/>
        <v>-1144903151084092.3</v>
      </c>
      <c r="M5074" s="460">
        <f t="shared" si="181"/>
        <v>0.05</v>
      </c>
      <c r="N5074" s="464">
        <f t="shared" si="182"/>
        <v>205481</v>
      </c>
    </row>
    <row r="5075" spans="7:14" ht="11.25" customHeight="1" x14ac:dyDescent="0.25">
      <c r="G5075" s="459"/>
      <c r="H5075" s="459">
        <v>5068</v>
      </c>
      <c r="I5075" s="444">
        <f t="shared" ca="1" si="180"/>
        <v>-1144903151084092.3</v>
      </c>
      <c r="J5075" s="444">
        <f t="array" ref="J5075">IFERROR(INDEX('Retirement Calculator'!K:K,MATCH('Lorri 401b'!N5075,'Retirement Calculator'!A:A,0),0),0)</f>
        <v>0</v>
      </c>
      <c r="K5075" s="444">
        <f t="shared" ca="1" si="178"/>
        <v>-4770429796183.7178</v>
      </c>
      <c r="L5075" s="444">
        <f t="shared" ca="1" si="179"/>
        <v>-1149673580880276</v>
      </c>
      <c r="M5075" s="460">
        <f t="shared" si="181"/>
        <v>0.05</v>
      </c>
      <c r="N5075" s="464">
        <f t="shared" si="182"/>
        <v>205512</v>
      </c>
    </row>
    <row r="5076" spans="7:14" ht="11.25" customHeight="1" x14ac:dyDescent="0.25">
      <c r="G5076" s="459"/>
      <c r="H5076" s="459">
        <v>5069</v>
      </c>
      <c r="I5076" s="444">
        <f t="shared" ca="1" si="180"/>
        <v>-1149673580880276</v>
      </c>
      <c r="J5076" s="444">
        <f t="array" ref="J5076">IFERROR(INDEX('Retirement Calculator'!K:K,MATCH('Lorri 401b'!N5076,'Retirement Calculator'!A:A,0),0),0)</f>
        <v>0</v>
      </c>
      <c r="K5076" s="444">
        <f t="shared" ca="1" si="178"/>
        <v>-4790306587001.1504</v>
      </c>
      <c r="L5076" s="444">
        <f t="shared" ca="1" si="179"/>
        <v>-1154463887467277.3</v>
      </c>
      <c r="M5076" s="460">
        <f t="shared" si="181"/>
        <v>0.05</v>
      </c>
      <c r="N5076" s="464">
        <f t="shared" si="182"/>
        <v>205542</v>
      </c>
    </row>
    <row r="5077" spans="7:14" ht="11.25" customHeight="1" x14ac:dyDescent="0.25">
      <c r="G5077" s="459"/>
      <c r="H5077" s="459">
        <v>5070</v>
      </c>
      <c r="I5077" s="444">
        <f t="shared" ca="1" si="180"/>
        <v>-1154463887467277.3</v>
      </c>
      <c r="J5077" s="444">
        <f t="array" ref="J5077">IFERROR(INDEX('Retirement Calculator'!K:K,MATCH('Lorri 401b'!N5077,'Retirement Calculator'!A:A,0),0),0)</f>
        <v>0</v>
      </c>
      <c r="K5077" s="444">
        <f t="shared" ca="1" si="178"/>
        <v>-4810266197780.3223</v>
      </c>
      <c r="L5077" s="444">
        <f t="shared" ca="1" si="179"/>
        <v>-1159274153665057.5</v>
      </c>
      <c r="M5077" s="460">
        <f t="shared" si="181"/>
        <v>0.05</v>
      </c>
      <c r="N5077" s="464">
        <f t="shared" si="182"/>
        <v>205573</v>
      </c>
    </row>
    <row r="5078" spans="7:14" ht="11.25" customHeight="1" x14ac:dyDescent="0.25">
      <c r="G5078" s="459"/>
      <c r="H5078" s="459">
        <v>5071</v>
      </c>
      <c r="I5078" s="444">
        <f t="shared" ca="1" si="180"/>
        <v>-1159274153665057.5</v>
      </c>
      <c r="J5078" s="444">
        <f t="array" ref="J5078">IFERROR(INDEX('Retirement Calculator'!K:K,MATCH('Lorri 401b'!N5078,'Retirement Calculator'!A:A,0),0),0)</f>
        <v>0</v>
      </c>
      <c r="K5078" s="444">
        <f t="shared" ca="1" si="178"/>
        <v>-4830308973604.4063</v>
      </c>
      <c r="L5078" s="444">
        <f t="shared" ca="1" si="179"/>
        <v>-1164104462638662</v>
      </c>
      <c r="M5078" s="460">
        <f t="shared" si="181"/>
        <v>0.05</v>
      </c>
      <c r="N5078" s="464">
        <f t="shared" si="182"/>
        <v>205603</v>
      </c>
    </row>
    <row r="5079" spans="7:14" ht="11.25" customHeight="1" x14ac:dyDescent="0.25">
      <c r="G5079" s="459"/>
      <c r="H5079" s="459">
        <v>5072</v>
      </c>
      <c r="I5079" s="444">
        <f t="shared" ca="1" si="180"/>
        <v>-1164104462638662</v>
      </c>
      <c r="J5079" s="444">
        <f t="array" ref="J5079">IFERROR(INDEX('Retirement Calculator'!K:K,MATCH('Lorri 401b'!N5079,'Retirement Calculator'!A:A,0),0),0)</f>
        <v>0</v>
      </c>
      <c r="K5079" s="444">
        <f t="shared" ca="1" si="178"/>
        <v>-4850435260994.4248</v>
      </c>
      <c r="L5079" s="444">
        <f t="shared" ca="1" si="179"/>
        <v>-1168954897899656.5</v>
      </c>
      <c r="M5079" s="460">
        <f t="shared" si="181"/>
        <v>0.05</v>
      </c>
      <c r="N5079" s="464">
        <f t="shared" si="182"/>
        <v>205634</v>
      </c>
    </row>
    <row r="5080" spans="7:14" ht="11.25" customHeight="1" x14ac:dyDescent="0.25">
      <c r="G5080" s="459"/>
      <c r="H5080" s="459">
        <v>5073</v>
      </c>
      <c r="I5080" s="444">
        <f t="shared" ca="1" si="180"/>
        <v>-1168954897899656.5</v>
      </c>
      <c r="J5080" s="444">
        <f t="array" ref="J5080">IFERROR(INDEX('Retirement Calculator'!K:K,MATCH('Lorri 401b'!N5080,'Retirement Calculator'!A:A,0),0),0)</f>
        <v>0</v>
      </c>
      <c r="K5080" s="444">
        <f t="shared" ca="1" si="178"/>
        <v>-4870645407915.2354</v>
      </c>
      <c r="L5080" s="444">
        <f t="shared" ca="1" si="179"/>
        <v>-1173825543307571.8</v>
      </c>
      <c r="M5080" s="460">
        <f t="shared" si="181"/>
        <v>0.05</v>
      </c>
      <c r="N5080" s="464">
        <f t="shared" si="182"/>
        <v>205665</v>
      </c>
    </row>
    <row r="5081" spans="7:14" ht="11.25" customHeight="1" x14ac:dyDescent="0.25">
      <c r="G5081" s="459"/>
      <c r="H5081" s="459">
        <v>5074</v>
      </c>
      <c r="I5081" s="444">
        <f t="shared" ca="1" si="180"/>
        <v>-1173825543307571.8</v>
      </c>
      <c r="J5081" s="444">
        <f t="array" ref="J5081">IFERROR(INDEX('Retirement Calculator'!K:K,MATCH('Lorri 401b'!N5081,'Retirement Calculator'!A:A,0),0),0)</f>
        <v>0</v>
      </c>
      <c r="K5081" s="444">
        <f t="shared" ca="1" si="178"/>
        <v>-4890939763781.5488</v>
      </c>
      <c r="L5081" s="444">
        <f t="shared" ca="1" si="179"/>
        <v>-1178716483071353.3</v>
      </c>
      <c r="M5081" s="460">
        <f t="shared" si="181"/>
        <v>0.05</v>
      </c>
      <c r="N5081" s="464">
        <f t="shared" si="182"/>
        <v>205693</v>
      </c>
    </row>
    <row r="5082" spans="7:14" ht="11.25" customHeight="1" x14ac:dyDescent="0.25">
      <c r="G5082" s="459"/>
      <c r="H5082" s="459">
        <v>5075</v>
      </c>
      <c r="I5082" s="444">
        <f t="shared" ca="1" si="180"/>
        <v>-1178716483071353.3</v>
      </c>
      <c r="J5082" s="444">
        <f t="array" ref="J5082">IFERROR(INDEX('Retirement Calculator'!K:K,MATCH('Lorri 401b'!N5082,'Retirement Calculator'!A:A,0),0),0)</f>
        <v>0</v>
      </c>
      <c r="K5082" s="444">
        <f t="shared" ca="1" si="178"/>
        <v>-4911318679463.9717</v>
      </c>
      <c r="L5082" s="444">
        <f t="shared" ca="1" si="179"/>
        <v>-1183627801750817.3</v>
      </c>
      <c r="M5082" s="460">
        <f t="shared" si="181"/>
        <v>0.05</v>
      </c>
      <c r="N5082" s="464">
        <f t="shared" si="182"/>
        <v>205724</v>
      </c>
    </row>
    <row r="5083" spans="7:14" ht="11.25" customHeight="1" x14ac:dyDescent="0.25">
      <c r="G5083" s="459"/>
      <c r="H5083" s="459">
        <v>5076</v>
      </c>
      <c r="I5083" s="444">
        <f t="shared" ca="1" si="180"/>
        <v>-1183627801750817.3</v>
      </c>
      <c r="J5083" s="444">
        <f t="array" ref="J5083">IFERROR(INDEX('Retirement Calculator'!K:K,MATCH('Lorri 401b'!N5083,'Retirement Calculator'!A:A,0),0),0)</f>
        <v>0</v>
      </c>
      <c r="K5083" s="444">
        <f t="shared" ca="1" si="178"/>
        <v>-4931782507295.0723</v>
      </c>
      <c r="L5083" s="444">
        <f t="shared" ca="1" si="179"/>
        <v>-1188559584258112.3</v>
      </c>
      <c r="M5083" s="460">
        <f t="shared" si="181"/>
        <v>0.05</v>
      </c>
      <c r="N5083" s="464">
        <f t="shared" si="182"/>
        <v>205754</v>
      </c>
    </row>
    <row r="5084" spans="7:14" ht="11.25" customHeight="1" x14ac:dyDescent="0.25">
      <c r="G5084" s="459"/>
      <c r="H5084" s="459">
        <v>5077</v>
      </c>
      <c r="I5084" s="444">
        <f t="shared" ca="1" si="180"/>
        <v>-1188559584258112.3</v>
      </c>
      <c r="J5084" s="444">
        <f t="array" ref="J5084">IFERROR(INDEX('Retirement Calculator'!K:K,MATCH('Lorri 401b'!N5084,'Retirement Calculator'!A:A,0),0),0)</f>
        <v>0</v>
      </c>
      <c r="K5084" s="444">
        <f t="shared" ca="1" si="178"/>
        <v>-4952331601075.4678</v>
      </c>
      <c r="L5084" s="444">
        <f t="shared" ca="1" si="179"/>
        <v>-1193511915859187.8</v>
      </c>
      <c r="M5084" s="460">
        <f t="shared" si="181"/>
        <v>0.05</v>
      </c>
      <c r="N5084" s="464">
        <f t="shared" si="182"/>
        <v>205785</v>
      </c>
    </row>
    <row r="5085" spans="7:14" ht="11.25" customHeight="1" x14ac:dyDescent="0.25">
      <c r="G5085" s="459"/>
      <c r="H5085" s="459">
        <v>5078</v>
      </c>
      <c r="I5085" s="444">
        <f t="shared" ca="1" si="180"/>
        <v>-1193511915859187.8</v>
      </c>
      <c r="J5085" s="444">
        <f t="array" ref="J5085">IFERROR(INDEX('Retirement Calculator'!K:K,MATCH('Lorri 401b'!N5085,'Retirement Calculator'!A:A,0),0),0)</f>
        <v>0</v>
      </c>
      <c r="K5085" s="444">
        <f t="shared" ca="1" si="178"/>
        <v>-4972966316079.9492</v>
      </c>
      <c r="L5085" s="444">
        <f t="shared" ca="1" si="179"/>
        <v>-1198484882175267.8</v>
      </c>
      <c r="M5085" s="460">
        <f t="shared" si="181"/>
        <v>0.05</v>
      </c>
      <c r="N5085" s="464">
        <f t="shared" si="182"/>
        <v>205815</v>
      </c>
    </row>
    <row r="5086" spans="7:14" ht="11.25" customHeight="1" x14ac:dyDescent="0.25">
      <c r="G5086" s="459"/>
      <c r="H5086" s="459">
        <v>5079</v>
      </c>
      <c r="I5086" s="444">
        <f t="shared" ca="1" si="180"/>
        <v>-1198484882175267.8</v>
      </c>
      <c r="J5086" s="444">
        <f t="array" ref="J5086">IFERROR(INDEX('Retirement Calculator'!K:K,MATCH('Lorri 401b'!N5086,'Retirement Calculator'!A:A,0),0),0)</f>
        <v>0</v>
      </c>
      <c r="K5086" s="444">
        <f t="shared" ca="1" si="178"/>
        <v>-4993687009063.6152</v>
      </c>
      <c r="L5086" s="444">
        <f t="shared" ca="1" si="179"/>
        <v>-1203478569184331.3</v>
      </c>
      <c r="M5086" s="460">
        <f t="shared" si="181"/>
        <v>0.05</v>
      </c>
      <c r="N5086" s="464">
        <f t="shared" si="182"/>
        <v>205846</v>
      </c>
    </row>
    <row r="5087" spans="7:14" ht="11.25" customHeight="1" x14ac:dyDescent="0.25">
      <c r="G5087" s="459"/>
      <c r="H5087" s="459">
        <v>5080</v>
      </c>
      <c r="I5087" s="444">
        <f t="shared" ca="1" si="180"/>
        <v>-1203478569184331.3</v>
      </c>
      <c r="J5087" s="444">
        <f t="array" ref="J5087">IFERROR(INDEX('Retirement Calculator'!K:K,MATCH('Lorri 401b'!N5087,'Retirement Calculator'!A:A,0),0),0)</f>
        <v>0</v>
      </c>
      <c r="K5087" s="444">
        <f t="shared" ca="1" si="178"/>
        <v>-5014494038268.0469</v>
      </c>
      <c r="L5087" s="444">
        <f t="shared" ca="1" si="179"/>
        <v>-1208493063222599.3</v>
      </c>
      <c r="M5087" s="460">
        <f t="shared" si="181"/>
        <v>0.05</v>
      </c>
      <c r="N5087" s="464">
        <f t="shared" si="182"/>
        <v>205877</v>
      </c>
    </row>
    <row r="5088" spans="7:14" ht="11.25" customHeight="1" x14ac:dyDescent="0.25">
      <c r="G5088" s="459"/>
      <c r="H5088" s="459">
        <v>5081</v>
      </c>
      <c r="I5088" s="444">
        <f t="shared" ca="1" si="180"/>
        <v>-1208493063222599.3</v>
      </c>
      <c r="J5088" s="444">
        <f t="array" ref="J5088">IFERROR(INDEX('Retirement Calculator'!K:K,MATCH('Lorri 401b'!N5088,'Retirement Calculator'!A:A,0),0),0)</f>
        <v>0</v>
      </c>
      <c r="K5088" s="444">
        <f t="shared" ca="1" si="178"/>
        <v>-5035387763427.4971</v>
      </c>
      <c r="L5088" s="444">
        <f t="shared" ca="1" si="179"/>
        <v>-1213528450986026.8</v>
      </c>
      <c r="M5088" s="460">
        <f t="shared" si="181"/>
        <v>0.05</v>
      </c>
      <c r="N5088" s="464">
        <f t="shared" si="182"/>
        <v>205907</v>
      </c>
    </row>
    <row r="5089" spans="7:14" ht="11.25" customHeight="1" x14ac:dyDescent="0.25">
      <c r="G5089" s="459"/>
      <c r="H5089" s="459">
        <v>5082</v>
      </c>
      <c r="I5089" s="444">
        <f t="shared" ca="1" si="180"/>
        <v>-1213528450986026.8</v>
      </c>
      <c r="J5089" s="444">
        <f t="array" ref="J5089">IFERROR(INDEX('Retirement Calculator'!K:K,MATCH('Lorri 401b'!N5089,'Retirement Calculator'!A:A,0),0),0)</f>
        <v>0</v>
      </c>
      <c r="K5089" s="444">
        <f t="shared" ca="1" si="178"/>
        <v>-5056368545775.1113</v>
      </c>
      <c r="L5089" s="444">
        <f t="shared" ca="1" si="179"/>
        <v>-1218584819531801.8</v>
      </c>
      <c r="M5089" s="460">
        <f t="shared" si="181"/>
        <v>0.05</v>
      </c>
      <c r="N5089" s="464">
        <f t="shared" si="182"/>
        <v>205938</v>
      </c>
    </row>
    <row r="5090" spans="7:14" ht="11.25" customHeight="1" x14ac:dyDescent="0.25">
      <c r="G5090" s="459"/>
      <c r="H5090" s="459">
        <v>5083</v>
      </c>
      <c r="I5090" s="444">
        <f t="shared" ca="1" si="180"/>
        <v>-1218584819531801.8</v>
      </c>
      <c r="J5090" s="444">
        <f t="array" ref="J5090">IFERROR(INDEX('Retirement Calculator'!K:K,MATCH('Lorri 401b'!N5090,'Retirement Calculator'!A:A,0),0),0)</f>
        <v>0</v>
      </c>
      <c r="K5090" s="444">
        <f t="shared" ca="1" si="178"/>
        <v>-5077436748049.1738</v>
      </c>
      <c r="L5090" s="444">
        <f t="shared" ca="1" si="179"/>
        <v>-1223662256279851</v>
      </c>
      <c r="M5090" s="460">
        <f t="shared" si="181"/>
        <v>0.05</v>
      </c>
      <c r="N5090" s="464">
        <f t="shared" si="182"/>
        <v>205968</v>
      </c>
    </row>
    <row r="5091" spans="7:14" ht="11.25" customHeight="1" x14ac:dyDescent="0.25">
      <c r="G5091" s="459"/>
      <c r="H5091" s="459">
        <v>5084</v>
      </c>
      <c r="I5091" s="444">
        <f t="shared" ca="1" si="180"/>
        <v>-1223662256279851</v>
      </c>
      <c r="J5091" s="444">
        <f t="array" ref="J5091">IFERROR(INDEX('Retirement Calculator'!K:K,MATCH('Lorri 401b'!N5091,'Retirement Calculator'!A:A,0),0),0)</f>
        <v>0</v>
      </c>
      <c r="K5091" s="444">
        <f t="shared" ca="1" si="178"/>
        <v>-5098592734499.3789</v>
      </c>
      <c r="L5091" s="444">
        <f t="shared" ca="1" si="179"/>
        <v>-1228760849014350.5</v>
      </c>
      <c r="M5091" s="460">
        <f t="shared" si="181"/>
        <v>0.05</v>
      </c>
      <c r="N5091" s="464">
        <f t="shared" si="182"/>
        <v>205999</v>
      </c>
    </row>
    <row r="5092" spans="7:14" ht="11.25" customHeight="1" x14ac:dyDescent="0.25">
      <c r="G5092" s="459"/>
      <c r="H5092" s="459">
        <v>5085</v>
      </c>
      <c r="I5092" s="444">
        <f t="shared" ca="1" si="180"/>
        <v>-1228760849014350.5</v>
      </c>
      <c r="J5092" s="444">
        <f t="array" ref="J5092">IFERROR(INDEX('Retirement Calculator'!K:K,MATCH('Lorri 401b'!N5092,'Retirement Calculator'!A:A,0),0),0)</f>
        <v>0</v>
      </c>
      <c r="K5092" s="444">
        <f t="shared" ca="1" si="178"/>
        <v>-5119836870893.127</v>
      </c>
      <c r="L5092" s="444">
        <f t="shared" ca="1" si="179"/>
        <v>-1233880685885243.8</v>
      </c>
      <c r="M5092" s="460">
        <f t="shared" si="181"/>
        <v>0.05</v>
      </c>
      <c r="N5092" s="464">
        <f t="shared" si="182"/>
        <v>206030</v>
      </c>
    </row>
    <row r="5093" spans="7:14" ht="11.25" customHeight="1" x14ac:dyDescent="0.25">
      <c r="G5093" s="459"/>
      <c r="H5093" s="459">
        <v>5086</v>
      </c>
      <c r="I5093" s="444">
        <f t="shared" ca="1" si="180"/>
        <v>-1233880685885243.8</v>
      </c>
      <c r="J5093" s="444">
        <f t="array" ref="J5093">IFERROR(INDEX('Retirement Calculator'!K:K,MATCH('Lorri 401b'!N5093,'Retirement Calculator'!A:A,0),0),0)</f>
        <v>0</v>
      </c>
      <c r="K5093" s="444">
        <f t="shared" ca="1" si="178"/>
        <v>-5141169524521.8486</v>
      </c>
      <c r="L5093" s="444">
        <f t="shared" ca="1" si="179"/>
        <v>-1239021855409765.5</v>
      </c>
      <c r="M5093" s="460">
        <f t="shared" si="181"/>
        <v>0.05</v>
      </c>
      <c r="N5093" s="464">
        <f t="shared" si="182"/>
        <v>206059</v>
      </c>
    </row>
    <row r="5094" spans="7:14" ht="11.25" customHeight="1" x14ac:dyDescent="0.25">
      <c r="G5094" s="459"/>
      <c r="H5094" s="459">
        <v>5087</v>
      </c>
      <c r="I5094" s="444">
        <f t="shared" ca="1" si="180"/>
        <v>-1239021855409765.5</v>
      </c>
      <c r="J5094" s="444">
        <f t="array" ref="J5094">IFERROR(INDEX('Retirement Calculator'!K:K,MATCH('Lorri 401b'!N5094,'Retirement Calculator'!A:A,0),0),0)</f>
        <v>0</v>
      </c>
      <c r="K5094" s="444">
        <f t="shared" ca="1" si="178"/>
        <v>-5162591064207.3564</v>
      </c>
      <c r="L5094" s="444">
        <f t="shared" ca="1" si="179"/>
        <v>-1244184446473972.8</v>
      </c>
      <c r="M5094" s="460">
        <f t="shared" si="181"/>
        <v>0.05</v>
      </c>
      <c r="N5094" s="464">
        <f t="shared" si="182"/>
        <v>206090</v>
      </c>
    </row>
    <row r="5095" spans="7:14" ht="11.25" customHeight="1" x14ac:dyDescent="0.25">
      <c r="G5095" s="459"/>
      <c r="H5095" s="459">
        <v>5088</v>
      </c>
      <c r="I5095" s="444">
        <f t="shared" ca="1" si="180"/>
        <v>-1244184446473972.8</v>
      </c>
      <c r="J5095" s="444">
        <f t="array" ref="J5095">IFERROR(INDEX('Retirement Calculator'!K:K,MATCH('Lorri 401b'!N5095,'Retirement Calculator'!A:A,0),0),0)</f>
        <v>0</v>
      </c>
      <c r="K5095" s="444">
        <f t="shared" ca="1" si="178"/>
        <v>-5184101860308.2197</v>
      </c>
      <c r="L5095" s="444">
        <f t="shared" ca="1" si="179"/>
        <v>-1249368548334281</v>
      </c>
      <c r="M5095" s="460">
        <f t="shared" si="181"/>
        <v>0.05</v>
      </c>
      <c r="N5095" s="464">
        <f t="shared" si="182"/>
        <v>206120</v>
      </c>
    </row>
    <row r="5096" spans="7:14" ht="11.25" customHeight="1" x14ac:dyDescent="0.25">
      <c r="G5096" s="459"/>
      <c r="H5096" s="459">
        <v>5089</v>
      </c>
      <c r="I5096" s="444">
        <f t="shared" ca="1" si="180"/>
        <v>-1249368548334281</v>
      </c>
      <c r="J5096" s="444">
        <f t="array" ref="J5096">IFERROR(INDEX('Retirement Calculator'!K:K,MATCH('Lorri 401b'!N5096,'Retirement Calculator'!A:A,0),0),0)</f>
        <v>0</v>
      </c>
      <c r="K5096" s="444">
        <f t="shared" ca="1" si="178"/>
        <v>-5205702284726.1709</v>
      </c>
      <c r="L5096" s="444">
        <f t="shared" ca="1" si="179"/>
        <v>-1254574250619007.3</v>
      </c>
      <c r="M5096" s="460">
        <f t="shared" si="181"/>
        <v>0.05</v>
      </c>
      <c r="N5096" s="464">
        <f t="shared" si="182"/>
        <v>206151</v>
      </c>
    </row>
    <row r="5097" spans="7:14" ht="11.25" customHeight="1" x14ac:dyDescent="0.25">
      <c r="G5097" s="459"/>
      <c r="H5097" s="459">
        <v>5090</v>
      </c>
      <c r="I5097" s="444">
        <f t="shared" ca="1" si="180"/>
        <v>-1254574250619007.3</v>
      </c>
      <c r="J5097" s="444">
        <f t="array" ref="J5097">IFERROR(INDEX('Retirement Calculator'!K:K,MATCH('Lorri 401b'!N5097,'Retirement Calculator'!A:A,0),0),0)</f>
        <v>0</v>
      </c>
      <c r="K5097" s="444">
        <f t="shared" ca="1" si="178"/>
        <v>-5227392710912.5303</v>
      </c>
      <c r="L5097" s="444">
        <f t="shared" ca="1" si="179"/>
        <v>-1259801643329919.8</v>
      </c>
      <c r="M5097" s="460">
        <f t="shared" si="181"/>
        <v>0.05</v>
      </c>
      <c r="N5097" s="464">
        <f t="shared" si="182"/>
        <v>206181</v>
      </c>
    </row>
    <row r="5098" spans="7:14" ht="11.25" customHeight="1" x14ac:dyDescent="0.25">
      <c r="G5098" s="459"/>
      <c r="H5098" s="459">
        <v>5091</v>
      </c>
      <c r="I5098" s="444">
        <f t="shared" ca="1" si="180"/>
        <v>-1259801643329919.8</v>
      </c>
      <c r="J5098" s="444">
        <f t="array" ref="J5098">IFERROR(INDEX('Retirement Calculator'!K:K,MATCH('Lorri 401b'!N5098,'Retirement Calculator'!A:A,0),0),0)</f>
        <v>0</v>
      </c>
      <c r="K5098" s="444">
        <f t="shared" ca="1" si="178"/>
        <v>-5249173513874.666</v>
      </c>
      <c r="L5098" s="444">
        <f t="shared" ca="1" si="179"/>
        <v>-1265050816843794.5</v>
      </c>
      <c r="M5098" s="460">
        <f t="shared" si="181"/>
        <v>0.05</v>
      </c>
      <c r="N5098" s="464">
        <f t="shared" si="182"/>
        <v>206212</v>
      </c>
    </row>
    <row r="5099" spans="7:14" ht="11.25" customHeight="1" x14ac:dyDescent="0.25">
      <c r="G5099" s="459"/>
      <c r="H5099" s="459">
        <v>5092</v>
      </c>
      <c r="I5099" s="444">
        <f t="shared" ca="1" si="180"/>
        <v>-1265050816843794.5</v>
      </c>
      <c r="J5099" s="444">
        <f t="array" ref="J5099">IFERROR(INDEX('Retirement Calculator'!K:K,MATCH('Lorri 401b'!N5099,'Retirement Calculator'!A:A,0),0),0)</f>
        <v>0</v>
      </c>
      <c r="K5099" s="444">
        <f t="shared" ca="1" si="178"/>
        <v>-5271045070182.4766</v>
      </c>
      <c r="L5099" s="444">
        <f t="shared" ca="1" si="179"/>
        <v>-1270321861913977</v>
      </c>
      <c r="M5099" s="460">
        <f t="shared" si="181"/>
        <v>0.05</v>
      </c>
      <c r="N5099" s="464">
        <f t="shared" si="182"/>
        <v>206243</v>
      </c>
    </row>
    <row r="5100" spans="7:14" ht="11.25" customHeight="1" x14ac:dyDescent="0.25">
      <c r="G5100" s="459"/>
      <c r="H5100" s="459">
        <v>5093</v>
      </c>
      <c r="I5100" s="444">
        <f t="shared" ca="1" si="180"/>
        <v>-1270321861913977</v>
      </c>
      <c r="J5100" s="444">
        <f t="array" ref="J5100">IFERROR(INDEX('Retirement Calculator'!K:K,MATCH('Lorri 401b'!N5100,'Retirement Calculator'!A:A,0),0),0)</f>
        <v>0</v>
      </c>
      <c r="K5100" s="444">
        <f t="shared" ca="1" si="178"/>
        <v>-5293007757974.9043</v>
      </c>
      <c r="L5100" s="444">
        <f t="shared" ca="1" si="179"/>
        <v>-1275614869671952</v>
      </c>
      <c r="M5100" s="460">
        <f t="shared" si="181"/>
        <v>0.05</v>
      </c>
      <c r="N5100" s="464">
        <f t="shared" si="182"/>
        <v>206273</v>
      </c>
    </row>
    <row r="5101" spans="7:14" ht="11.25" customHeight="1" x14ac:dyDescent="0.25">
      <c r="G5101" s="459"/>
      <c r="H5101" s="459">
        <v>5094</v>
      </c>
      <c r="I5101" s="444">
        <f t="shared" ca="1" si="180"/>
        <v>-1275614869671952</v>
      </c>
      <c r="J5101" s="444">
        <f t="array" ref="J5101">IFERROR(INDEX('Retirement Calculator'!K:K,MATCH('Lorri 401b'!N5101,'Retirement Calculator'!A:A,0),0),0)</f>
        <v>0</v>
      </c>
      <c r="K5101" s="444">
        <f t="shared" ca="1" si="178"/>
        <v>-5315061956966.4668</v>
      </c>
      <c r="L5101" s="444">
        <f t="shared" ca="1" si="179"/>
        <v>-1280929931628918.5</v>
      </c>
      <c r="M5101" s="460">
        <f t="shared" si="181"/>
        <v>0.05</v>
      </c>
      <c r="N5101" s="464">
        <f t="shared" si="182"/>
        <v>206304</v>
      </c>
    </row>
    <row r="5102" spans="7:14" ht="11.25" customHeight="1" x14ac:dyDescent="0.25">
      <c r="G5102" s="459"/>
      <c r="H5102" s="459">
        <v>5095</v>
      </c>
      <c r="I5102" s="444">
        <f t="shared" ca="1" si="180"/>
        <v>-1280929931628918.5</v>
      </c>
      <c r="J5102" s="444">
        <f t="array" ref="J5102">IFERROR(INDEX('Retirement Calculator'!K:K,MATCH('Lorri 401b'!N5102,'Retirement Calculator'!A:A,0),0),0)</f>
        <v>0</v>
      </c>
      <c r="K5102" s="444">
        <f t="shared" ca="1" si="178"/>
        <v>-5337208048453.8271</v>
      </c>
      <c r="L5102" s="444">
        <f t="shared" ca="1" si="179"/>
        <v>-1286267139677372.3</v>
      </c>
      <c r="M5102" s="460">
        <f t="shared" si="181"/>
        <v>0.05</v>
      </c>
      <c r="N5102" s="464">
        <f t="shared" si="182"/>
        <v>206334</v>
      </c>
    </row>
    <row r="5103" spans="7:14" ht="11.25" customHeight="1" x14ac:dyDescent="0.25">
      <c r="G5103" s="459"/>
      <c r="H5103" s="459">
        <v>5096</v>
      </c>
      <c r="I5103" s="444">
        <f t="shared" ca="1" si="180"/>
        <v>-1286267139677372.3</v>
      </c>
      <c r="J5103" s="444">
        <f t="array" ref="J5103">IFERROR(INDEX('Retirement Calculator'!K:K,MATCH('Lorri 401b'!N5103,'Retirement Calculator'!A:A,0),0),0)</f>
        <v>0</v>
      </c>
      <c r="K5103" s="444">
        <f t="shared" ca="1" si="178"/>
        <v>-5359446415322.3848</v>
      </c>
      <c r="L5103" s="444">
        <f t="shared" ca="1" si="179"/>
        <v>-1291626586092694.8</v>
      </c>
      <c r="M5103" s="460">
        <f t="shared" si="181"/>
        <v>0.05</v>
      </c>
      <c r="N5103" s="464">
        <f t="shared" si="182"/>
        <v>206365</v>
      </c>
    </row>
    <row r="5104" spans="7:14" ht="11.25" customHeight="1" x14ac:dyDescent="0.25">
      <c r="G5104" s="459"/>
      <c r="H5104" s="459">
        <v>5097</v>
      </c>
      <c r="I5104" s="444">
        <f t="shared" ca="1" si="180"/>
        <v>-1291626586092694.8</v>
      </c>
      <c r="J5104" s="444">
        <f t="array" ref="J5104">IFERROR(INDEX('Retirement Calculator'!K:K,MATCH('Lorri 401b'!N5104,'Retirement Calculator'!A:A,0),0),0)</f>
        <v>0</v>
      </c>
      <c r="K5104" s="444">
        <f t="shared" ca="1" si="178"/>
        <v>-5381777442052.8945</v>
      </c>
      <c r="L5104" s="444">
        <f t="shared" ca="1" si="179"/>
        <v>-1297008363534747.8</v>
      </c>
      <c r="M5104" s="460">
        <f t="shared" si="181"/>
        <v>0.05</v>
      </c>
      <c r="N5104" s="464">
        <f t="shared" si="182"/>
        <v>206396</v>
      </c>
    </row>
    <row r="5105" spans="7:14" ht="11.25" customHeight="1" x14ac:dyDescent="0.25">
      <c r="G5105" s="459"/>
      <c r="H5105" s="459">
        <v>5098</v>
      </c>
      <c r="I5105" s="444">
        <f t="shared" ca="1" si="180"/>
        <v>-1297008363534747.8</v>
      </c>
      <c r="J5105" s="444">
        <f t="array" ref="J5105">IFERROR(INDEX('Retirement Calculator'!K:K,MATCH('Lorri 401b'!N5105,'Retirement Calculator'!A:A,0),0),0)</f>
        <v>0</v>
      </c>
      <c r="K5105" s="444">
        <f t="shared" ca="1" si="178"/>
        <v>-5404201514728.1152</v>
      </c>
      <c r="L5105" s="444">
        <f t="shared" ca="1" si="179"/>
        <v>-1302412565049475.8</v>
      </c>
      <c r="M5105" s="460">
        <f t="shared" si="181"/>
        <v>0.05</v>
      </c>
      <c r="N5105" s="464">
        <f t="shared" si="182"/>
        <v>206424</v>
      </c>
    </row>
    <row r="5106" spans="7:14" ht="11.25" customHeight="1" x14ac:dyDescent="0.25">
      <c r="G5106" s="459"/>
      <c r="H5106" s="459">
        <v>5099</v>
      </c>
      <c r="I5106" s="444">
        <f t="shared" ca="1" si="180"/>
        <v>-1302412565049475.8</v>
      </c>
      <c r="J5106" s="444">
        <f t="array" ref="J5106">IFERROR(INDEX('Retirement Calculator'!K:K,MATCH('Lorri 401b'!N5106,'Retirement Calculator'!A:A,0),0),0)</f>
        <v>0</v>
      </c>
      <c r="K5106" s="444">
        <f t="shared" ca="1" si="178"/>
        <v>-5426719021039.4824</v>
      </c>
      <c r="L5106" s="444">
        <f t="shared" ca="1" si="179"/>
        <v>-1307839284070515.3</v>
      </c>
      <c r="M5106" s="460">
        <f t="shared" si="181"/>
        <v>0.05</v>
      </c>
      <c r="N5106" s="464">
        <f t="shared" si="182"/>
        <v>206455</v>
      </c>
    </row>
    <row r="5107" spans="7:14" ht="11.25" customHeight="1" x14ac:dyDescent="0.25">
      <c r="G5107" s="459"/>
      <c r="H5107" s="459">
        <v>5100</v>
      </c>
      <c r="I5107" s="444">
        <f t="shared" ca="1" si="180"/>
        <v>-1307839284070515.3</v>
      </c>
      <c r="J5107" s="444">
        <f t="array" ref="J5107">IFERROR(INDEX('Retirement Calculator'!K:K,MATCH('Lorri 401b'!N5107,'Retirement Calculator'!A:A,0),0),0)</f>
        <v>0</v>
      </c>
      <c r="K5107" s="444">
        <f t="shared" ca="1" si="178"/>
        <v>-5449330350293.8135</v>
      </c>
      <c r="L5107" s="444">
        <f t="shared" ca="1" si="179"/>
        <v>-1313288614420809</v>
      </c>
      <c r="M5107" s="460">
        <f t="shared" si="181"/>
        <v>0.05</v>
      </c>
      <c r="N5107" s="464">
        <f t="shared" si="182"/>
        <v>206485</v>
      </c>
    </row>
    <row r="5108" spans="7:14" ht="11.25" customHeight="1" x14ac:dyDescent="0.25">
      <c r="G5108" s="459"/>
      <c r="H5108" s="459">
        <v>5101</v>
      </c>
      <c r="I5108" s="444">
        <f t="shared" ca="1" si="180"/>
        <v>-1313288614420809</v>
      </c>
      <c r="J5108" s="444">
        <f t="array" ref="J5108">IFERROR(INDEX('Retirement Calculator'!K:K,MATCH('Lorri 401b'!N5108,'Retirement Calculator'!A:A,0),0),0)</f>
        <v>0</v>
      </c>
      <c r="K5108" s="444">
        <f t="shared" ref="K5108:K5362" ca="1" si="183">IPMT(M5108/12,1,12,-I5108+J5108,,0)</f>
        <v>-5472035893420.0371</v>
      </c>
      <c r="L5108" s="444">
        <f t="shared" ref="L5108:L5362" ca="1" si="184">I5108-J5108+K5108</f>
        <v>-1318760650314229</v>
      </c>
      <c r="M5108" s="460">
        <f t="shared" si="181"/>
        <v>0.05</v>
      </c>
      <c r="N5108" s="464">
        <f t="shared" si="182"/>
        <v>206516</v>
      </c>
    </row>
    <row r="5109" spans="7:14" ht="11.25" customHeight="1" x14ac:dyDescent="0.25">
      <c r="G5109" s="459"/>
      <c r="H5109" s="459">
        <v>5102</v>
      </c>
      <c r="I5109" s="444">
        <f t="shared" ref="I5109:I5363" ca="1" si="185">L5108</f>
        <v>-1318760650314229</v>
      </c>
      <c r="J5109" s="444">
        <f t="array" ref="J5109">IFERROR(INDEX('Retirement Calculator'!K:K,MATCH('Lorri 401b'!N5109,'Retirement Calculator'!A:A,0),0),0)</f>
        <v>0</v>
      </c>
      <c r="K5109" s="444">
        <f t="shared" ca="1" si="183"/>
        <v>-5494836042975.9541</v>
      </c>
      <c r="L5109" s="444">
        <f t="shared" ca="1" si="184"/>
        <v>-1324255486357205</v>
      </c>
      <c r="M5109" s="460">
        <f t="shared" ref="M5109:M5363" si="186">M5108</f>
        <v>0.05</v>
      </c>
      <c r="N5109" s="464">
        <f t="shared" ref="N5109:N5363" si="187">EDATE(N5108,1)</f>
        <v>206546</v>
      </c>
    </row>
    <row r="5110" spans="7:14" ht="11.25" customHeight="1" x14ac:dyDescent="0.25">
      <c r="G5110" s="459"/>
      <c r="H5110" s="459">
        <v>5103</v>
      </c>
      <c r="I5110" s="444">
        <f t="shared" ca="1" si="185"/>
        <v>-1324255486357205</v>
      </c>
      <c r="J5110" s="444">
        <f t="array" ref="J5110">IFERROR(INDEX('Retirement Calculator'!K:K,MATCH('Lorri 401b'!N5110,'Retirement Calculator'!A:A,0),0),0)</f>
        <v>0</v>
      </c>
      <c r="K5110" s="444">
        <f t="shared" ca="1" si="183"/>
        <v>-5517731193155.0205</v>
      </c>
      <c r="L5110" s="444">
        <f t="shared" ca="1" si="184"/>
        <v>-1329773217550360</v>
      </c>
      <c r="M5110" s="460">
        <f t="shared" si="186"/>
        <v>0.05</v>
      </c>
      <c r="N5110" s="464">
        <f t="shared" si="187"/>
        <v>206577</v>
      </c>
    </row>
    <row r="5111" spans="7:14" ht="11.25" customHeight="1" x14ac:dyDescent="0.25">
      <c r="G5111" s="459"/>
      <c r="H5111" s="459">
        <v>5104</v>
      </c>
      <c r="I5111" s="444">
        <f t="shared" ca="1" si="185"/>
        <v>-1329773217550360</v>
      </c>
      <c r="J5111" s="444">
        <f t="array" ref="J5111">IFERROR(INDEX('Retirement Calculator'!K:K,MATCH('Lorri 401b'!N5111,'Retirement Calculator'!A:A,0),0),0)</f>
        <v>0</v>
      </c>
      <c r="K5111" s="444">
        <f t="shared" ca="1" si="183"/>
        <v>-5540721739793.167</v>
      </c>
      <c r="L5111" s="444">
        <f t="shared" ca="1" si="184"/>
        <v>-1335313939290153.3</v>
      </c>
      <c r="M5111" s="460">
        <f t="shared" si="186"/>
        <v>0.05</v>
      </c>
      <c r="N5111" s="464">
        <f t="shared" si="187"/>
        <v>206608</v>
      </c>
    </row>
    <row r="5112" spans="7:14" ht="11.25" customHeight="1" x14ac:dyDescent="0.25">
      <c r="G5112" s="459"/>
      <c r="H5112" s="459">
        <v>5105</v>
      </c>
      <c r="I5112" s="444">
        <f t="shared" ca="1" si="185"/>
        <v>-1335313939290153.3</v>
      </c>
      <c r="J5112" s="444">
        <f t="array" ref="J5112">IFERROR(INDEX('Retirement Calculator'!K:K,MATCH('Lorri 401b'!N5112,'Retirement Calculator'!A:A,0),0),0)</f>
        <v>0</v>
      </c>
      <c r="K5112" s="444">
        <f t="shared" ca="1" si="183"/>
        <v>-5563808080375.6387</v>
      </c>
      <c r="L5112" s="444">
        <f t="shared" ca="1" si="184"/>
        <v>-1340877747370529</v>
      </c>
      <c r="M5112" s="460">
        <f t="shared" si="186"/>
        <v>0.05</v>
      </c>
      <c r="N5112" s="464">
        <f t="shared" si="187"/>
        <v>206638</v>
      </c>
    </row>
    <row r="5113" spans="7:14" ht="11.25" customHeight="1" x14ac:dyDescent="0.25">
      <c r="G5113" s="459"/>
      <c r="H5113" s="459">
        <v>5106</v>
      </c>
      <c r="I5113" s="444">
        <f t="shared" ca="1" si="185"/>
        <v>-1340877747370529</v>
      </c>
      <c r="J5113" s="444">
        <f t="array" ref="J5113">IFERROR(INDEX('Retirement Calculator'!K:K,MATCH('Lorri 401b'!N5113,'Retirement Calculator'!A:A,0),0),0)</f>
        <v>0</v>
      </c>
      <c r="K5113" s="444">
        <f t="shared" ca="1" si="183"/>
        <v>-5586990614043.8711</v>
      </c>
      <c r="L5113" s="444">
        <f t="shared" ca="1" si="184"/>
        <v>-1346464737984572.8</v>
      </c>
      <c r="M5113" s="460">
        <f t="shared" si="186"/>
        <v>0.05</v>
      </c>
      <c r="N5113" s="464">
        <f t="shared" si="187"/>
        <v>206669</v>
      </c>
    </row>
    <row r="5114" spans="7:14" ht="11.25" customHeight="1" x14ac:dyDescent="0.25">
      <c r="G5114" s="459"/>
      <c r="H5114" s="459">
        <v>5107</v>
      </c>
      <c r="I5114" s="444">
        <f t="shared" ca="1" si="185"/>
        <v>-1346464737984572.8</v>
      </c>
      <c r="J5114" s="444">
        <f t="array" ref="J5114">IFERROR(INDEX('Retirement Calculator'!K:K,MATCH('Lorri 401b'!N5114,'Retirement Calculator'!A:A,0),0),0)</f>
        <v>0</v>
      </c>
      <c r="K5114" s="444">
        <f t="shared" ca="1" si="183"/>
        <v>-5610269741602.3867</v>
      </c>
      <c r="L5114" s="444">
        <f t="shared" ca="1" si="184"/>
        <v>-1352075007726175.3</v>
      </c>
      <c r="M5114" s="460">
        <f t="shared" si="186"/>
        <v>0.05</v>
      </c>
      <c r="N5114" s="464">
        <f t="shared" si="187"/>
        <v>206699</v>
      </c>
    </row>
    <row r="5115" spans="7:14" ht="11.25" customHeight="1" x14ac:dyDescent="0.25">
      <c r="G5115" s="459"/>
      <c r="H5115" s="459">
        <v>5108</v>
      </c>
      <c r="I5115" s="444">
        <f t="shared" ca="1" si="185"/>
        <v>-1352075007726175.3</v>
      </c>
      <c r="J5115" s="444">
        <f t="array" ref="J5115">IFERROR(INDEX('Retirement Calculator'!K:K,MATCH('Lorri 401b'!N5115,'Retirement Calculator'!A:A,0),0),0)</f>
        <v>0</v>
      </c>
      <c r="K5115" s="444">
        <f t="shared" ca="1" si="183"/>
        <v>-5633645865525.7305</v>
      </c>
      <c r="L5115" s="444">
        <f t="shared" ca="1" si="184"/>
        <v>-1357708653591701</v>
      </c>
      <c r="M5115" s="460">
        <f t="shared" si="186"/>
        <v>0.05</v>
      </c>
      <c r="N5115" s="464">
        <f t="shared" si="187"/>
        <v>206730</v>
      </c>
    </row>
    <row r="5116" spans="7:14" ht="11.25" customHeight="1" x14ac:dyDescent="0.25">
      <c r="G5116" s="459"/>
      <c r="H5116" s="459">
        <v>5109</v>
      </c>
      <c r="I5116" s="444">
        <f t="shared" ca="1" si="185"/>
        <v>-1357708653591701</v>
      </c>
      <c r="J5116" s="444">
        <f t="array" ref="J5116">IFERROR(INDEX('Retirement Calculator'!K:K,MATCH('Lorri 401b'!N5116,'Retirement Calculator'!A:A,0),0),0)</f>
        <v>0</v>
      </c>
      <c r="K5116" s="444">
        <f t="shared" ca="1" si="183"/>
        <v>-5657119389965.4209</v>
      </c>
      <c r="L5116" s="444">
        <f t="shared" ca="1" si="184"/>
        <v>-1363365772981666.5</v>
      </c>
      <c r="M5116" s="460">
        <f t="shared" si="186"/>
        <v>0.05</v>
      </c>
      <c r="N5116" s="464">
        <f t="shared" si="187"/>
        <v>206761</v>
      </c>
    </row>
    <row r="5117" spans="7:14" ht="11.25" customHeight="1" x14ac:dyDescent="0.25">
      <c r="G5117" s="459"/>
      <c r="H5117" s="459">
        <v>5110</v>
      </c>
      <c r="I5117" s="444">
        <f t="shared" ca="1" si="185"/>
        <v>-1363365772981666.5</v>
      </c>
      <c r="J5117" s="444">
        <f t="array" ref="J5117">IFERROR(INDEX('Retirement Calculator'!K:K,MATCH('Lorri 401b'!N5117,'Retirement Calculator'!A:A,0),0),0)</f>
        <v>0</v>
      </c>
      <c r="K5117" s="444">
        <f t="shared" ca="1" si="183"/>
        <v>-5680690720756.9434</v>
      </c>
      <c r="L5117" s="444">
        <f t="shared" ca="1" si="184"/>
        <v>-1369046463702423.5</v>
      </c>
      <c r="M5117" s="460">
        <f t="shared" si="186"/>
        <v>0.05</v>
      </c>
      <c r="N5117" s="464">
        <f t="shared" si="187"/>
        <v>206789</v>
      </c>
    </row>
    <row r="5118" spans="7:14" ht="11.25" customHeight="1" x14ac:dyDescent="0.25">
      <c r="G5118" s="459"/>
      <c r="H5118" s="459">
        <v>5111</v>
      </c>
      <c r="I5118" s="444">
        <f t="shared" ca="1" si="185"/>
        <v>-1369046463702423.5</v>
      </c>
      <c r="J5118" s="444">
        <f t="array" ref="J5118">IFERROR(INDEX('Retirement Calculator'!K:K,MATCH('Lorri 401b'!N5118,'Retirement Calculator'!A:A,0),0),0)</f>
        <v>0</v>
      </c>
      <c r="K5118" s="444">
        <f t="shared" ca="1" si="183"/>
        <v>-5704360265426.7646</v>
      </c>
      <c r="L5118" s="444">
        <f t="shared" ca="1" si="184"/>
        <v>-1374750823967850.3</v>
      </c>
      <c r="M5118" s="460">
        <f t="shared" si="186"/>
        <v>0.05</v>
      </c>
      <c r="N5118" s="464">
        <f t="shared" si="187"/>
        <v>206820</v>
      </c>
    </row>
    <row r="5119" spans="7:14" ht="11.25" customHeight="1" x14ac:dyDescent="0.25">
      <c r="G5119" s="459"/>
      <c r="H5119" s="459">
        <v>5112</v>
      </c>
      <c r="I5119" s="444">
        <f t="shared" ca="1" si="185"/>
        <v>-1374750823967850.3</v>
      </c>
      <c r="J5119" s="444">
        <f t="array" ref="J5119">IFERROR(INDEX('Retirement Calculator'!K:K,MATCH('Lorri 401b'!N5119,'Retirement Calculator'!A:A,0),0),0)</f>
        <v>0</v>
      </c>
      <c r="K5119" s="444">
        <f t="shared" ca="1" si="183"/>
        <v>-5728128433199.376</v>
      </c>
      <c r="L5119" s="444">
        <f t="shared" ca="1" si="184"/>
        <v>-1380478952401049.8</v>
      </c>
      <c r="M5119" s="460">
        <f t="shared" si="186"/>
        <v>0.05</v>
      </c>
      <c r="N5119" s="464">
        <f t="shared" si="187"/>
        <v>206850</v>
      </c>
    </row>
    <row r="5120" spans="7:14" ht="11.25" customHeight="1" x14ac:dyDescent="0.25">
      <c r="G5120" s="459"/>
      <c r="H5120" s="459">
        <v>5113</v>
      </c>
      <c r="I5120" s="444">
        <f t="shared" ca="1" si="185"/>
        <v>-1380478952401049.8</v>
      </c>
      <c r="J5120" s="444">
        <f t="array" ref="J5120">IFERROR(INDEX('Retirement Calculator'!K:K,MATCH('Lorri 401b'!N5120,'Retirement Calculator'!A:A,0),0),0)</f>
        <v>0</v>
      </c>
      <c r="K5120" s="444">
        <f t="shared" ca="1" si="183"/>
        <v>-5751995635004.374</v>
      </c>
      <c r="L5120" s="444">
        <f t="shared" ca="1" si="184"/>
        <v>-1386230948036054</v>
      </c>
      <c r="M5120" s="460">
        <f t="shared" si="186"/>
        <v>0.05</v>
      </c>
      <c r="N5120" s="464">
        <f t="shared" si="187"/>
        <v>206881</v>
      </c>
    </row>
    <row r="5121" spans="7:14" ht="11.25" customHeight="1" x14ac:dyDescent="0.25">
      <c r="G5121" s="459"/>
      <c r="H5121" s="459">
        <v>5114</v>
      </c>
      <c r="I5121" s="444">
        <f t="shared" ca="1" si="185"/>
        <v>-1386230948036054</v>
      </c>
      <c r="J5121" s="444">
        <f t="array" ref="J5121">IFERROR(INDEX('Retirement Calculator'!K:K,MATCH('Lorri 401b'!N5121,'Retirement Calculator'!A:A,0),0),0)</f>
        <v>0</v>
      </c>
      <c r="K5121" s="444">
        <f t="shared" ca="1" si="183"/>
        <v>-5775962283483.5586</v>
      </c>
      <c r="L5121" s="444">
        <f t="shared" ca="1" si="184"/>
        <v>-1392006910319537.5</v>
      </c>
      <c r="M5121" s="460">
        <f t="shared" si="186"/>
        <v>0.05</v>
      </c>
      <c r="N5121" s="464">
        <f t="shared" si="187"/>
        <v>206911</v>
      </c>
    </row>
    <row r="5122" spans="7:14" ht="11.25" customHeight="1" x14ac:dyDescent="0.25">
      <c r="G5122" s="459"/>
      <c r="H5122" s="459">
        <v>5115</v>
      </c>
      <c r="I5122" s="444">
        <f t="shared" ca="1" si="185"/>
        <v>-1392006910319537.5</v>
      </c>
      <c r="J5122" s="444">
        <f t="array" ref="J5122">IFERROR(INDEX('Retirement Calculator'!K:K,MATCH('Lorri 401b'!N5122,'Retirement Calculator'!A:A,0),0),0)</f>
        <v>0</v>
      </c>
      <c r="K5122" s="444">
        <f t="shared" ca="1" si="183"/>
        <v>-5800028792998.0732</v>
      </c>
      <c r="L5122" s="444">
        <f t="shared" ca="1" si="184"/>
        <v>-1397806939112535.5</v>
      </c>
      <c r="M5122" s="460">
        <f t="shared" si="186"/>
        <v>0.05</v>
      </c>
      <c r="N5122" s="464">
        <f t="shared" si="187"/>
        <v>206942</v>
      </c>
    </row>
    <row r="5123" spans="7:14" ht="11.25" customHeight="1" x14ac:dyDescent="0.25">
      <c r="G5123" s="459"/>
      <c r="H5123" s="459">
        <v>5116</v>
      </c>
      <c r="I5123" s="444">
        <f t="shared" ca="1" si="185"/>
        <v>-1397806939112535.5</v>
      </c>
      <c r="J5123" s="444">
        <f t="array" ref="J5123">IFERROR(INDEX('Retirement Calculator'!K:K,MATCH('Lorri 401b'!N5123,'Retirement Calculator'!A:A,0),0),0)</f>
        <v>0</v>
      </c>
      <c r="K5123" s="444">
        <f t="shared" ca="1" si="183"/>
        <v>-5824195579635.5645</v>
      </c>
      <c r="L5123" s="444">
        <f t="shared" ca="1" si="184"/>
        <v>-1403631134692171</v>
      </c>
      <c r="M5123" s="460">
        <f t="shared" si="186"/>
        <v>0.05</v>
      </c>
      <c r="N5123" s="464">
        <f t="shared" si="187"/>
        <v>206973</v>
      </c>
    </row>
    <row r="5124" spans="7:14" ht="11.25" customHeight="1" x14ac:dyDescent="0.25">
      <c r="G5124" s="459"/>
      <c r="H5124" s="459">
        <v>5117</v>
      </c>
      <c r="I5124" s="444">
        <f t="shared" ca="1" si="185"/>
        <v>-1403631134692171</v>
      </c>
      <c r="J5124" s="444">
        <f t="array" ref="J5124">IFERROR(INDEX('Retirement Calculator'!K:K,MATCH('Lorri 401b'!N5124,'Retirement Calculator'!A:A,0),0),0)</f>
        <v>0</v>
      </c>
      <c r="K5124" s="444">
        <f t="shared" ca="1" si="183"/>
        <v>-5848463061217.3789</v>
      </c>
      <c r="L5124" s="444">
        <f t="shared" ca="1" si="184"/>
        <v>-1409479597753388.5</v>
      </c>
      <c r="M5124" s="460">
        <f t="shared" si="186"/>
        <v>0.05</v>
      </c>
      <c r="N5124" s="464">
        <f t="shared" si="187"/>
        <v>207003</v>
      </c>
    </row>
    <row r="5125" spans="7:14" ht="11.25" customHeight="1" x14ac:dyDescent="0.25">
      <c r="G5125" s="459"/>
      <c r="H5125" s="459">
        <v>5118</v>
      </c>
      <c r="I5125" s="444">
        <f t="shared" ca="1" si="185"/>
        <v>-1409479597753388.5</v>
      </c>
      <c r="J5125" s="444">
        <f t="array" ref="J5125">IFERROR(INDEX('Retirement Calculator'!K:K,MATCH('Lorri 401b'!N5125,'Retirement Calculator'!A:A,0),0),0)</f>
        <v>0</v>
      </c>
      <c r="K5125" s="444">
        <f t="shared" ca="1" si="183"/>
        <v>-5872831657305.7852</v>
      </c>
      <c r="L5125" s="444">
        <f t="shared" ca="1" si="184"/>
        <v>-1415352429410694.3</v>
      </c>
      <c r="M5125" s="460">
        <f t="shared" si="186"/>
        <v>0.05</v>
      </c>
      <c r="N5125" s="464">
        <f t="shared" si="187"/>
        <v>207034</v>
      </c>
    </row>
    <row r="5126" spans="7:14" ht="11.25" customHeight="1" x14ac:dyDescent="0.25">
      <c r="G5126" s="459"/>
      <c r="H5126" s="459">
        <v>5119</v>
      </c>
      <c r="I5126" s="444">
        <f t="shared" ca="1" si="185"/>
        <v>-1415352429410694.3</v>
      </c>
      <c r="J5126" s="444">
        <f t="array" ref="J5126">IFERROR(INDEX('Retirement Calculator'!K:K,MATCH('Lorri 401b'!N5126,'Retirement Calculator'!A:A,0),0),0)</f>
        <v>0</v>
      </c>
      <c r="K5126" s="444">
        <f t="shared" ca="1" si="183"/>
        <v>-5897301789211.2256</v>
      </c>
      <c r="L5126" s="444">
        <f t="shared" ca="1" si="184"/>
        <v>-1421249731199905.5</v>
      </c>
      <c r="M5126" s="460">
        <f t="shared" si="186"/>
        <v>0.05</v>
      </c>
      <c r="N5126" s="464">
        <f t="shared" si="187"/>
        <v>207064</v>
      </c>
    </row>
    <row r="5127" spans="7:14" ht="11.25" customHeight="1" x14ac:dyDescent="0.25">
      <c r="G5127" s="459"/>
      <c r="H5127" s="459">
        <v>5120</v>
      </c>
      <c r="I5127" s="444">
        <f t="shared" ca="1" si="185"/>
        <v>-1421249731199905.5</v>
      </c>
      <c r="J5127" s="444">
        <f t="array" ref="J5127">IFERROR(INDEX('Retirement Calculator'!K:K,MATCH('Lorri 401b'!N5127,'Retirement Calculator'!A:A,0),0),0)</f>
        <v>0</v>
      </c>
      <c r="K5127" s="444">
        <f t="shared" ca="1" si="183"/>
        <v>-5921873879999.6064</v>
      </c>
      <c r="L5127" s="444">
        <f t="shared" ca="1" si="184"/>
        <v>-1427171605079905</v>
      </c>
      <c r="M5127" s="460">
        <f t="shared" si="186"/>
        <v>0.05</v>
      </c>
      <c r="N5127" s="464">
        <f t="shared" si="187"/>
        <v>207095</v>
      </c>
    </row>
    <row r="5128" spans="7:14" ht="11.25" customHeight="1" x14ac:dyDescent="0.25">
      <c r="G5128" s="459"/>
      <c r="H5128" s="459">
        <v>5121</v>
      </c>
      <c r="I5128" s="444">
        <f t="shared" ca="1" si="185"/>
        <v>-1427171605079905</v>
      </c>
      <c r="J5128" s="444">
        <f t="array" ref="J5128">IFERROR(INDEX('Retirement Calculator'!K:K,MATCH('Lorri 401b'!N5128,'Retirement Calculator'!A:A,0),0),0)</f>
        <v>0</v>
      </c>
      <c r="K5128" s="444">
        <f t="shared" ca="1" si="183"/>
        <v>-5946548354499.6045</v>
      </c>
      <c r="L5128" s="444">
        <f t="shared" ca="1" si="184"/>
        <v>-1433118153434404.5</v>
      </c>
      <c r="M5128" s="460">
        <f t="shared" si="186"/>
        <v>0.05</v>
      </c>
      <c r="N5128" s="464">
        <f t="shared" si="187"/>
        <v>207126</v>
      </c>
    </row>
    <row r="5129" spans="7:14" ht="11.25" customHeight="1" x14ac:dyDescent="0.25">
      <c r="G5129" s="459"/>
      <c r="H5129" s="459">
        <v>5122</v>
      </c>
      <c r="I5129" s="444">
        <f t="shared" ca="1" si="185"/>
        <v>-1433118153434404.5</v>
      </c>
      <c r="J5129" s="444">
        <f t="array" ref="J5129">IFERROR(INDEX('Retirement Calculator'!K:K,MATCH('Lorri 401b'!N5129,'Retirement Calculator'!A:A,0),0),0)</f>
        <v>0</v>
      </c>
      <c r="K5129" s="444">
        <f t="shared" ca="1" si="183"/>
        <v>-5971325639310.0186</v>
      </c>
      <c r="L5129" s="444">
        <f t="shared" ca="1" si="184"/>
        <v>-1439089479073714.5</v>
      </c>
      <c r="M5129" s="460">
        <f t="shared" si="186"/>
        <v>0.05</v>
      </c>
      <c r="N5129" s="464">
        <f t="shared" si="187"/>
        <v>207154</v>
      </c>
    </row>
    <row r="5130" spans="7:14" ht="11.25" customHeight="1" x14ac:dyDescent="0.25">
      <c r="G5130" s="459"/>
      <c r="H5130" s="459">
        <v>5123</v>
      </c>
      <c r="I5130" s="444">
        <f t="shared" ca="1" si="185"/>
        <v>-1439089479073714.5</v>
      </c>
      <c r="J5130" s="444">
        <f t="array" ref="J5130">IFERROR(INDEX('Retirement Calculator'!K:K,MATCH('Lorri 401b'!N5130,'Retirement Calculator'!A:A,0),0),0)</f>
        <v>0</v>
      </c>
      <c r="K5130" s="444">
        <f t="shared" ca="1" si="183"/>
        <v>-5996206162807.1436</v>
      </c>
      <c r="L5130" s="444">
        <f t="shared" ca="1" si="184"/>
        <v>-1445085685236521.8</v>
      </c>
      <c r="M5130" s="460">
        <f t="shared" si="186"/>
        <v>0.05</v>
      </c>
      <c r="N5130" s="464">
        <f t="shared" si="187"/>
        <v>207185</v>
      </c>
    </row>
    <row r="5131" spans="7:14" ht="11.25" customHeight="1" x14ac:dyDescent="0.25">
      <c r="G5131" s="459"/>
      <c r="H5131" s="459">
        <v>5124</v>
      </c>
      <c r="I5131" s="444">
        <f t="shared" ca="1" si="185"/>
        <v>-1445085685236521.8</v>
      </c>
      <c r="J5131" s="444">
        <f t="array" ref="J5131">IFERROR(INDEX('Retirement Calculator'!K:K,MATCH('Lorri 401b'!N5131,'Retirement Calculator'!A:A,0),0),0)</f>
        <v>0</v>
      </c>
      <c r="K5131" s="444">
        <f t="shared" ca="1" si="183"/>
        <v>-6021190355152.1738</v>
      </c>
      <c r="L5131" s="444">
        <f t="shared" ca="1" si="184"/>
        <v>-1451106875591674</v>
      </c>
      <c r="M5131" s="460">
        <f t="shared" si="186"/>
        <v>0.05</v>
      </c>
      <c r="N5131" s="464">
        <f t="shared" si="187"/>
        <v>207215</v>
      </c>
    </row>
    <row r="5132" spans="7:14" ht="11.25" customHeight="1" x14ac:dyDescent="0.25">
      <c r="G5132" s="459"/>
      <c r="H5132" s="459">
        <v>5125</v>
      </c>
      <c r="I5132" s="444">
        <f t="shared" ca="1" si="185"/>
        <v>-1451106875591674</v>
      </c>
      <c r="J5132" s="444">
        <f t="array" ref="J5132">IFERROR(INDEX('Retirement Calculator'!K:K,MATCH('Lorri 401b'!N5132,'Retirement Calculator'!A:A,0),0),0)</f>
        <v>0</v>
      </c>
      <c r="K5132" s="444">
        <f t="shared" ca="1" si="183"/>
        <v>-6046278648298.6416</v>
      </c>
      <c r="L5132" s="444">
        <f t="shared" ca="1" si="184"/>
        <v>-1457153154239972.8</v>
      </c>
      <c r="M5132" s="460">
        <f t="shared" si="186"/>
        <v>0.05</v>
      </c>
      <c r="N5132" s="464">
        <f t="shared" si="187"/>
        <v>207246</v>
      </c>
    </row>
    <row r="5133" spans="7:14" ht="11.25" customHeight="1" x14ac:dyDescent="0.25">
      <c r="G5133" s="459"/>
      <c r="H5133" s="459">
        <v>5126</v>
      </c>
      <c r="I5133" s="444">
        <f t="shared" ca="1" si="185"/>
        <v>-1457153154239972.8</v>
      </c>
      <c r="J5133" s="444">
        <f t="array" ref="J5133">IFERROR(INDEX('Retirement Calculator'!K:K,MATCH('Lorri 401b'!N5133,'Retirement Calculator'!A:A,0),0),0)</f>
        <v>0</v>
      </c>
      <c r="K5133" s="444">
        <f t="shared" ca="1" si="183"/>
        <v>-6071471475999.8867</v>
      </c>
      <c r="L5133" s="444">
        <f t="shared" ca="1" si="184"/>
        <v>-1463224625715972.8</v>
      </c>
      <c r="M5133" s="460">
        <f t="shared" si="186"/>
        <v>0.05</v>
      </c>
      <c r="N5133" s="464">
        <f t="shared" si="187"/>
        <v>207276</v>
      </c>
    </row>
    <row r="5134" spans="7:14" ht="11.25" customHeight="1" x14ac:dyDescent="0.25">
      <c r="G5134" s="459"/>
      <c r="H5134" s="459">
        <v>5127</v>
      </c>
      <c r="I5134" s="444">
        <f t="shared" ca="1" si="185"/>
        <v>-1463224625715972.8</v>
      </c>
      <c r="J5134" s="444">
        <f t="array" ref="J5134">IFERROR(INDEX('Retirement Calculator'!K:K,MATCH('Lorri 401b'!N5134,'Retirement Calculator'!A:A,0),0),0)</f>
        <v>0</v>
      </c>
      <c r="K5134" s="444">
        <f t="shared" ca="1" si="183"/>
        <v>-6096769273816.5527</v>
      </c>
      <c r="L5134" s="444">
        <f t="shared" ca="1" si="184"/>
        <v>-1469321394989789.3</v>
      </c>
      <c r="M5134" s="460">
        <f t="shared" si="186"/>
        <v>0.05</v>
      </c>
      <c r="N5134" s="464">
        <f t="shared" si="187"/>
        <v>207307</v>
      </c>
    </row>
    <row r="5135" spans="7:14" ht="11.25" customHeight="1" x14ac:dyDescent="0.25">
      <c r="G5135" s="459"/>
      <c r="H5135" s="459">
        <v>5128</v>
      </c>
      <c r="I5135" s="444">
        <f t="shared" ca="1" si="185"/>
        <v>-1469321394989789.3</v>
      </c>
      <c r="J5135" s="444">
        <f t="array" ref="J5135">IFERROR(INDEX('Retirement Calculator'!K:K,MATCH('Lorri 401b'!N5135,'Retirement Calculator'!A:A,0),0),0)</f>
        <v>0</v>
      </c>
      <c r="K5135" s="444">
        <f t="shared" ca="1" si="183"/>
        <v>-6122172479124.1221</v>
      </c>
      <c r="L5135" s="444">
        <f t="shared" ca="1" si="184"/>
        <v>-1475443567468913.3</v>
      </c>
      <c r="M5135" s="460">
        <f t="shared" si="186"/>
        <v>0.05</v>
      </c>
      <c r="N5135" s="464">
        <f t="shared" si="187"/>
        <v>207338</v>
      </c>
    </row>
    <row r="5136" spans="7:14" ht="11.25" customHeight="1" x14ac:dyDescent="0.25">
      <c r="G5136" s="459"/>
      <c r="H5136" s="459">
        <v>5129</v>
      </c>
      <c r="I5136" s="444">
        <f t="shared" ca="1" si="185"/>
        <v>-1475443567468913.3</v>
      </c>
      <c r="J5136" s="444">
        <f t="array" ref="J5136">IFERROR(INDEX('Retirement Calculator'!K:K,MATCH('Lorri 401b'!N5136,'Retirement Calculator'!A:A,0),0),0)</f>
        <v>0</v>
      </c>
      <c r="K5136" s="444">
        <f t="shared" ca="1" si="183"/>
        <v>-6147681531120.4717</v>
      </c>
      <c r="L5136" s="444">
        <f t="shared" ca="1" si="184"/>
        <v>-1481591249000033.8</v>
      </c>
      <c r="M5136" s="460">
        <f t="shared" si="186"/>
        <v>0.05</v>
      </c>
      <c r="N5136" s="464">
        <f t="shared" si="187"/>
        <v>207368</v>
      </c>
    </row>
    <row r="5137" spans="7:14" ht="11.25" customHeight="1" x14ac:dyDescent="0.25">
      <c r="G5137" s="459"/>
      <c r="H5137" s="459">
        <v>5130</v>
      </c>
      <c r="I5137" s="444">
        <f t="shared" ca="1" si="185"/>
        <v>-1481591249000033.8</v>
      </c>
      <c r="J5137" s="444">
        <f t="array" ref="J5137">IFERROR(INDEX('Retirement Calculator'!K:K,MATCH('Lorri 401b'!N5137,'Retirement Calculator'!A:A,0),0),0)</f>
        <v>0</v>
      </c>
      <c r="K5137" s="444">
        <f t="shared" ca="1" si="183"/>
        <v>-6173296870833.4736</v>
      </c>
      <c r="L5137" s="444">
        <f t="shared" ca="1" si="184"/>
        <v>-1487764545870867.3</v>
      </c>
      <c r="M5137" s="460">
        <f t="shared" si="186"/>
        <v>0.05</v>
      </c>
      <c r="N5137" s="464">
        <f t="shared" si="187"/>
        <v>207399</v>
      </c>
    </row>
    <row r="5138" spans="7:14" ht="11.25" customHeight="1" x14ac:dyDescent="0.25">
      <c r="G5138" s="459"/>
      <c r="H5138" s="459">
        <v>5131</v>
      </c>
      <c r="I5138" s="444">
        <f t="shared" ca="1" si="185"/>
        <v>-1487764545870867.3</v>
      </c>
      <c r="J5138" s="444">
        <f t="array" ref="J5138">IFERROR(INDEX('Retirement Calculator'!K:K,MATCH('Lorri 401b'!N5138,'Retirement Calculator'!A:A,0),0),0)</f>
        <v>0</v>
      </c>
      <c r="K5138" s="444">
        <f t="shared" ca="1" si="183"/>
        <v>-6199018941128.6133</v>
      </c>
      <c r="L5138" s="444">
        <f t="shared" ca="1" si="184"/>
        <v>-1493963564811995.8</v>
      </c>
      <c r="M5138" s="460">
        <f t="shared" si="186"/>
        <v>0.05</v>
      </c>
      <c r="N5138" s="464">
        <f t="shared" si="187"/>
        <v>207429</v>
      </c>
    </row>
    <row r="5139" spans="7:14" ht="11.25" customHeight="1" x14ac:dyDescent="0.25">
      <c r="G5139" s="459"/>
      <c r="H5139" s="459">
        <v>5132</v>
      </c>
      <c r="I5139" s="444">
        <f t="shared" ca="1" si="185"/>
        <v>-1493963564811995.8</v>
      </c>
      <c r="J5139" s="444">
        <f t="array" ref="J5139">IFERROR(INDEX('Retirement Calculator'!K:K,MATCH('Lorri 401b'!N5139,'Retirement Calculator'!A:A,0),0),0)</f>
        <v>0</v>
      </c>
      <c r="K5139" s="444">
        <f t="shared" ca="1" si="183"/>
        <v>-6224848186716.6484</v>
      </c>
      <c r="L5139" s="444">
        <f t="shared" ca="1" si="184"/>
        <v>-1500188412998712.5</v>
      </c>
      <c r="M5139" s="460">
        <f t="shared" si="186"/>
        <v>0.05</v>
      </c>
      <c r="N5139" s="464">
        <f t="shared" si="187"/>
        <v>207460</v>
      </c>
    </row>
    <row r="5140" spans="7:14" ht="11.25" customHeight="1" x14ac:dyDescent="0.25">
      <c r="G5140" s="459"/>
      <c r="H5140" s="459">
        <v>5133</v>
      </c>
      <c r="I5140" s="444">
        <f t="shared" ca="1" si="185"/>
        <v>-1500188412998712.5</v>
      </c>
      <c r="J5140" s="444">
        <f t="array" ref="J5140">IFERROR(INDEX('Retirement Calculator'!K:K,MATCH('Lorri 401b'!N5140,'Retirement Calculator'!A:A,0),0),0)</f>
        <v>0</v>
      </c>
      <c r="K5140" s="444">
        <f t="shared" ca="1" si="183"/>
        <v>-6250785054161.3018</v>
      </c>
      <c r="L5140" s="444">
        <f t="shared" ca="1" si="184"/>
        <v>-1506439198052873.8</v>
      </c>
      <c r="M5140" s="460">
        <f t="shared" si="186"/>
        <v>0.05</v>
      </c>
      <c r="N5140" s="464">
        <f t="shared" si="187"/>
        <v>207491</v>
      </c>
    </row>
    <row r="5141" spans="7:14" ht="11.25" customHeight="1" x14ac:dyDescent="0.25">
      <c r="G5141" s="459"/>
      <c r="H5141" s="459">
        <v>5134</v>
      </c>
      <c r="I5141" s="444">
        <f t="shared" ca="1" si="185"/>
        <v>-1506439198052873.8</v>
      </c>
      <c r="J5141" s="444">
        <f t="array" ref="J5141">IFERROR(INDEX('Retirement Calculator'!K:K,MATCH('Lorri 401b'!N5141,'Retirement Calculator'!A:A,0),0),0)</f>
        <v>0</v>
      </c>
      <c r="K5141" s="444">
        <f t="shared" ca="1" si="183"/>
        <v>-6276829991886.9736</v>
      </c>
      <c r="L5141" s="444">
        <f t="shared" ca="1" si="184"/>
        <v>-1512716028044760.8</v>
      </c>
      <c r="M5141" s="460">
        <f t="shared" si="186"/>
        <v>0.05</v>
      </c>
      <c r="N5141" s="464">
        <f t="shared" si="187"/>
        <v>207520</v>
      </c>
    </row>
    <row r="5142" spans="7:14" ht="11.25" customHeight="1" x14ac:dyDescent="0.25">
      <c r="G5142" s="459"/>
      <c r="H5142" s="459">
        <v>5135</v>
      </c>
      <c r="I5142" s="444">
        <f t="shared" ca="1" si="185"/>
        <v>-1512716028044760.8</v>
      </c>
      <c r="J5142" s="444">
        <f t="array" ref="J5142">IFERROR(INDEX('Retirement Calculator'!K:K,MATCH('Lorri 401b'!N5142,'Retirement Calculator'!A:A,0),0),0)</f>
        <v>0</v>
      </c>
      <c r="K5142" s="444">
        <f t="shared" ca="1" si="183"/>
        <v>-6302983450186.5029</v>
      </c>
      <c r="L5142" s="444">
        <f t="shared" ca="1" si="184"/>
        <v>-1519019011494947.3</v>
      </c>
      <c r="M5142" s="460">
        <f t="shared" si="186"/>
        <v>0.05</v>
      </c>
      <c r="N5142" s="464">
        <f t="shared" si="187"/>
        <v>207551</v>
      </c>
    </row>
    <row r="5143" spans="7:14" ht="11.25" customHeight="1" x14ac:dyDescent="0.25">
      <c r="G5143" s="459"/>
      <c r="H5143" s="459">
        <v>5136</v>
      </c>
      <c r="I5143" s="444">
        <f t="shared" ca="1" si="185"/>
        <v>-1519019011494947.3</v>
      </c>
      <c r="J5143" s="444">
        <f t="array" ref="J5143">IFERROR(INDEX('Retirement Calculator'!K:K,MATCH('Lorri 401b'!N5143,'Retirement Calculator'!A:A,0),0),0)</f>
        <v>0</v>
      </c>
      <c r="K5143" s="444">
        <f t="shared" ca="1" si="183"/>
        <v>-6329245881228.9473</v>
      </c>
      <c r="L5143" s="444">
        <f t="shared" ca="1" si="184"/>
        <v>-1525348257376176.3</v>
      </c>
      <c r="M5143" s="460">
        <f t="shared" si="186"/>
        <v>0.05</v>
      </c>
      <c r="N5143" s="464">
        <f t="shared" si="187"/>
        <v>207581</v>
      </c>
    </row>
    <row r="5144" spans="7:14" ht="11.25" customHeight="1" x14ac:dyDescent="0.25">
      <c r="G5144" s="459"/>
      <c r="H5144" s="459">
        <v>5137</v>
      </c>
      <c r="I5144" s="444">
        <f t="shared" ca="1" si="185"/>
        <v>-1525348257376176.3</v>
      </c>
      <c r="J5144" s="444">
        <f t="array" ref="J5144">IFERROR(INDEX('Retirement Calculator'!K:K,MATCH('Lorri 401b'!N5144,'Retirement Calculator'!A:A,0),0),0)</f>
        <v>0</v>
      </c>
      <c r="K5144" s="444">
        <f t="shared" ca="1" si="183"/>
        <v>-6355617739067.4014</v>
      </c>
      <c r="L5144" s="444">
        <f t="shared" ca="1" si="184"/>
        <v>-1531703875115243.8</v>
      </c>
      <c r="M5144" s="460">
        <f t="shared" si="186"/>
        <v>0.05</v>
      </c>
      <c r="N5144" s="464">
        <f t="shared" si="187"/>
        <v>207612</v>
      </c>
    </row>
    <row r="5145" spans="7:14" ht="11.25" customHeight="1" x14ac:dyDescent="0.25">
      <c r="G5145" s="459"/>
      <c r="H5145" s="459">
        <v>5138</v>
      </c>
      <c r="I5145" s="444">
        <f t="shared" ca="1" si="185"/>
        <v>-1531703875115243.8</v>
      </c>
      <c r="J5145" s="444">
        <f t="array" ref="J5145">IFERROR(INDEX('Retirement Calculator'!K:K,MATCH('Lorri 401b'!N5145,'Retirement Calculator'!A:A,0),0),0)</f>
        <v>0</v>
      </c>
      <c r="K5145" s="444">
        <f t="shared" ca="1" si="183"/>
        <v>-6382099479646.8486</v>
      </c>
      <c r="L5145" s="444">
        <f t="shared" ca="1" si="184"/>
        <v>-1538085974594890.5</v>
      </c>
      <c r="M5145" s="460">
        <f t="shared" si="186"/>
        <v>0.05</v>
      </c>
      <c r="N5145" s="464">
        <f t="shared" si="187"/>
        <v>207642</v>
      </c>
    </row>
    <row r="5146" spans="7:14" ht="11.25" customHeight="1" x14ac:dyDescent="0.25">
      <c r="G5146" s="459"/>
      <c r="H5146" s="459">
        <v>5139</v>
      </c>
      <c r="I5146" s="444">
        <f t="shared" ca="1" si="185"/>
        <v>-1538085974594890.5</v>
      </c>
      <c r="J5146" s="444">
        <f t="array" ref="J5146">IFERROR(INDEX('Retirement Calculator'!K:K,MATCH('Lorri 401b'!N5146,'Retirement Calculator'!A:A,0),0),0)</f>
        <v>0</v>
      </c>
      <c r="K5146" s="444">
        <f t="shared" ca="1" si="183"/>
        <v>-6408691560812.0439</v>
      </c>
      <c r="L5146" s="444">
        <f t="shared" ca="1" si="184"/>
        <v>-1544494666155702.5</v>
      </c>
      <c r="M5146" s="460">
        <f t="shared" si="186"/>
        <v>0.05</v>
      </c>
      <c r="N5146" s="464">
        <f t="shared" si="187"/>
        <v>207673</v>
      </c>
    </row>
    <row r="5147" spans="7:14" ht="11.25" customHeight="1" x14ac:dyDescent="0.25">
      <c r="G5147" s="459"/>
      <c r="H5147" s="459">
        <v>5140</v>
      </c>
      <c r="I5147" s="444">
        <f t="shared" ca="1" si="185"/>
        <v>-1544494666155702.5</v>
      </c>
      <c r="J5147" s="444">
        <f t="array" ref="J5147">IFERROR(INDEX('Retirement Calculator'!K:K,MATCH('Lorri 401b'!N5147,'Retirement Calculator'!A:A,0),0),0)</f>
        <v>0</v>
      </c>
      <c r="K5147" s="444">
        <f t="shared" ca="1" si="183"/>
        <v>-6435394442315.4268</v>
      </c>
      <c r="L5147" s="444">
        <f t="shared" ca="1" si="184"/>
        <v>-1550930060598018</v>
      </c>
      <c r="M5147" s="460">
        <f t="shared" si="186"/>
        <v>0.05</v>
      </c>
      <c r="N5147" s="464">
        <f t="shared" si="187"/>
        <v>207704</v>
      </c>
    </row>
    <row r="5148" spans="7:14" ht="11.25" customHeight="1" x14ac:dyDescent="0.25">
      <c r="G5148" s="459"/>
      <c r="H5148" s="459">
        <v>5141</v>
      </c>
      <c r="I5148" s="444">
        <f t="shared" ca="1" si="185"/>
        <v>-1550930060598018</v>
      </c>
      <c r="J5148" s="444">
        <f t="array" ref="J5148">IFERROR(INDEX('Retirement Calculator'!K:K,MATCH('Lorri 401b'!N5148,'Retirement Calculator'!A:A,0),0),0)</f>
        <v>0</v>
      </c>
      <c r="K5148" s="444">
        <f t="shared" ca="1" si="183"/>
        <v>-6462208585825.0752</v>
      </c>
      <c r="L5148" s="444">
        <f t="shared" ca="1" si="184"/>
        <v>-1557392269183843</v>
      </c>
      <c r="M5148" s="460">
        <f t="shared" si="186"/>
        <v>0.05</v>
      </c>
      <c r="N5148" s="464">
        <f t="shared" si="187"/>
        <v>207734</v>
      </c>
    </row>
    <row r="5149" spans="7:14" ht="11.25" customHeight="1" x14ac:dyDescent="0.25">
      <c r="G5149" s="459"/>
      <c r="H5149" s="459">
        <v>5142</v>
      </c>
      <c r="I5149" s="444">
        <f t="shared" ca="1" si="185"/>
        <v>-1557392269183843</v>
      </c>
      <c r="J5149" s="444">
        <f t="array" ref="J5149">IFERROR(INDEX('Retirement Calculator'!K:K,MATCH('Lorri 401b'!N5149,'Retirement Calculator'!A:A,0),0),0)</f>
        <v>0</v>
      </c>
      <c r="K5149" s="444">
        <f t="shared" ca="1" si="183"/>
        <v>-6489134454932.6787</v>
      </c>
      <c r="L5149" s="444">
        <f t="shared" ca="1" si="184"/>
        <v>-1563881403638775.8</v>
      </c>
      <c r="M5149" s="460">
        <f t="shared" si="186"/>
        <v>0.05</v>
      </c>
      <c r="N5149" s="464">
        <f t="shared" si="187"/>
        <v>207765</v>
      </c>
    </row>
    <row r="5150" spans="7:14" ht="11.25" customHeight="1" x14ac:dyDescent="0.25">
      <c r="G5150" s="459"/>
      <c r="H5150" s="459">
        <v>5143</v>
      </c>
      <c r="I5150" s="444">
        <f t="shared" ca="1" si="185"/>
        <v>-1563881403638775.8</v>
      </c>
      <c r="J5150" s="444">
        <f t="array" ref="J5150">IFERROR(INDEX('Retirement Calculator'!K:K,MATCH('Lorri 401b'!N5150,'Retirement Calculator'!A:A,0),0),0)</f>
        <v>0</v>
      </c>
      <c r="K5150" s="444">
        <f t="shared" ca="1" si="183"/>
        <v>-6516172515161.5654</v>
      </c>
      <c r="L5150" s="444">
        <f t="shared" ca="1" si="184"/>
        <v>-1570397576153937.3</v>
      </c>
      <c r="M5150" s="460">
        <f t="shared" si="186"/>
        <v>0.05</v>
      </c>
      <c r="N5150" s="464">
        <f t="shared" si="187"/>
        <v>207795</v>
      </c>
    </row>
    <row r="5151" spans="7:14" ht="11.25" customHeight="1" x14ac:dyDescent="0.25">
      <c r="G5151" s="459"/>
      <c r="H5151" s="459">
        <v>5144</v>
      </c>
      <c r="I5151" s="444">
        <f t="shared" ca="1" si="185"/>
        <v>-1570397576153937.3</v>
      </c>
      <c r="J5151" s="444">
        <f t="array" ref="J5151">IFERROR(INDEX('Retirement Calculator'!K:K,MATCH('Lorri 401b'!N5151,'Retirement Calculator'!A:A,0),0),0)</f>
        <v>0</v>
      </c>
      <c r="K5151" s="444">
        <f t="shared" ca="1" si="183"/>
        <v>-6543323233974.7383</v>
      </c>
      <c r="L5151" s="444">
        <f t="shared" ca="1" si="184"/>
        <v>-1576940899387912</v>
      </c>
      <c r="M5151" s="460">
        <f t="shared" si="186"/>
        <v>0.05</v>
      </c>
      <c r="N5151" s="464">
        <f t="shared" si="187"/>
        <v>207826</v>
      </c>
    </row>
    <row r="5152" spans="7:14" ht="11.25" customHeight="1" x14ac:dyDescent="0.25">
      <c r="G5152" s="459"/>
      <c r="H5152" s="459">
        <v>5145</v>
      </c>
      <c r="I5152" s="444">
        <f t="shared" ca="1" si="185"/>
        <v>-1576940899387912</v>
      </c>
      <c r="J5152" s="444">
        <f t="array" ref="J5152">IFERROR(INDEX('Retirement Calculator'!K:K,MATCH('Lorri 401b'!N5152,'Retirement Calculator'!A:A,0),0),0)</f>
        <v>0</v>
      </c>
      <c r="K5152" s="444">
        <f t="shared" ca="1" si="183"/>
        <v>-6570587080782.9668</v>
      </c>
      <c r="L5152" s="444">
        <f t="shared" ca="1" si="184"/>
        <v>-1583511486468695</v>
      </c>
      <c r="M5152" s="460">
        <f t="shared" si="186"/>
        <v>0.05</v>
      </c>
      <c r="N5152" s="464">
        <f t="shared" si="187"/>
        <v>207857</v>
      </c>
    </row>
    <row r="5153" spans="7:14" ht="11.25" customHeight="1" x14ac:dyDescent="0.25">
      <c r="G5153" s="459"/>
      <c r="H5153" s="459">
        <v>5146</v>
      </c>
      <c r="I5153" s="444">
        <f t="shared" ca="1" si="185"/>
        <v>-1583511486468695</v>
      </c>
      <c r="J5153" s="444">
        <f t="array" ref="J5153">IFERROR(INDEX('Retirement Calculator'!K:K,MATCH('Lorri 401b'!N5153,'Retirement Calculator'!A:A,0),0),0)</f>
        <v>0</v>
      </c>
      <c r="K5153" s="444">
        <f t="shared" ca="1" si="183"/>
        <v>-6597964526952.8955</v>
      </c>
      <c r="L5153" s="444">
        <f t="shared" ca="1" si="184"/>
        <v>-1590109450995648</v>
      </c>
      <c r="M5153" s="460">
        <f t="shared" si="186"/>
        <v>0.05</v>
      </c>
      <c r="N5153" s="464">
        <f t="shared" si="187"/>
        <v>207885</v>
      </c>
    </row>
    <row r="5154" spans="7:14" ht="11.25" customHeight="1" x14ac:dyDescent="0.25">
      <c r="G5154" s="459"/>
      <c r="H5154" s="459">
        <v>5147</v>
      </c>
      <c r="I5154" s="444">
        <f t="shared" ca="1" si="185"/>
        <v>-1590109450995648</v>
      </c>
      <c r="J5154" s="444">
        <f t="array" ref="J5154">IFERROR(INDEX('Retirement Calculator'!K:K,MATCH('Lorri 401b'!N5154,'Retirement Calculator'!A:A,0),0),0)</f>
        <v>0</v>
      </c>
      <c r="K5154" s="444">
        <f t="shared" ca="1" si="183"/>
        <v>-6625456045815.2002</v>
      </c>
      <c r="L5154" s="444">
        <f t="shared" ca="1" si="184"/>
        <v>-1596734907041463.3</v>
      </c>
      <c r="M5154" s="460">
        <f t="shared" si="186"/>
        <v>0.05</v>
      </c>
      <c r="N5154" s="464">
        <f t="shared" si="187"/>
        <v>207916</v>
      </c>
    </row>
    <row r="5155" spans="7:14" ht="11.25" customHeight="1" x14ac:dyDescent="0.25">
      <c r="G5155" s="459"/>
      <c r="H5155" s="459">
        <v>5148</v>
      </c>
      <c r="I5155" s="444">
        <f t="shared" ca="1" si="185"/>
        <v>-1596734907041463.3</v>
      </c>
      <c r="J5155" s="444">
        <f t="array" ref="J5155">IFERROR(INDEX('Retirement Calculator'!K:K,MATCH('Lorri 401b'!N5155,'Retirement Calculator'!A:A,0),0),0)</f>
        <v>0</v>
      </c>
      <c r="K5155" s="444">
        <f t="shared" ca="1" si="183"/>
        <v>-6653062112672.7637</v>
      </c>
      <c r="L5155" s="444">
        <f t="shared" ca="1" si="184"/>
        <v>-1603387969154136</v>
      </c>
      <c r="M5155" s="460">
        <f t="shared" si="186"/>
        <v>0.05</v>
      </c>
      <c r="N5155" s="464">
        <f t="shared" si="187"/>
        <v>207946</v>
      </c>
    </row>
    <row r="5156" spans="7:14" ht="11.25" customHeight="1" x14ac:dyDescent="0.25">
      <c r="G5156" s="459"/>
      <c r="H5156" s="459">
        <v>5149</v>
      </c>
      <c r="I5156" s="444">
        <f t="shared" ca="1" si="185"/>
        <v>-1603387969154136</v>
      </c>
      <c r="J5156" s="444">
        <f t="array" ref="J5156">IFERROR(INDEX('Retirement Calculator'!K:K,MATCH('Lorri 401b'!N5156,'Retirement Calculator'!A:A,0),0),0)</f>
        <v>0</v>
      </c>
      <c r="K5156" s="444">
        <f t="shared" ca="1" si="183"/>
        <v>-6680783204808.9004</v>
      </c>
      <c r="L5156" s="444">
        <f t="shared" ca="1" si="184"/>
        <v>-1610068752358945</v>
      </c>
      <c r="M5156" s="460">
        <f t="shared" si="186"/>
        <v>0.05</v>
      </c>
      <c r="N5156" s="464">
        <f t="shared" si="187"/>
        <v>207977</v>
      </c>
    </row>
    <row r="5157" spans="7:14" ht="11.25" customHeight="1" x14ac:dyDescent="0.25">
      <c r="G5157" s="459"/>
      <c r="H5157" s="459">
        <v>5150</v>
      </c>
      <c r="I5157" s="444">
        <f t="shared" ca="1" si="185"/>
        <v>-1610068752358945</v>
      </c>
      <c r="J5157" s="444">
        <f t="array" ref="J5157">IFERROR(INDEX('Retirement Calculator'!K:K,MATCH('Lorri 401b'!N5157,'Retirement Calculator'!A:A,0),0),0)</f>
        <v>0</v>
      </c>
      <c r="K5157" s="444">
        <f t="shared" ca="1" si="183"/>
        <v>-6708619801495.6045</v>
      </c>
      <c r="L5157" s="444">
        <f t="shared" ca="1" si="184"/>
        <v>-1616777372160440.5</v>
      </c>
      <c r="M5157" s="460">
        <f t="shared" si="186"/>
        <v>0.05</v>
      </c>
      <c r="N5157" s="464">
        <f t="shared" si="187"/>
        <v>208007</v>
      </c>
    </row>
    <row r="5158" spans="7:14" ht="11.25" customHeight="1" x14ac:dyDescent="0.25">
      <c r="G5158" s="459"/>
      <c r="H5158" s="459">
        <v>5151</v>
      </c>
      <c r="I5158" s="444">
        <f t="shared" ca="1" si="185"/>
        <v>-1616777372160440.5</v>
      </c>
      <c r="J5158" s="444">
        <f t="array" ref="J5158">IFERROR(INDEX('Retirement Calculator'!K:K,MATCH('Lorri 401b'!N5158,'Retirement Calculator'!A:A,0),0),0)</f>
        <v>0</v>
      </c>
      <c r="K5158" s="444">
        <f t="shared" ca="1" si="183"/>
        <v>-6736572384001.835</v>
      </c>
      <c r="L5158" s="444">
        <f t="shared" ca="1" si="184"/>
        <v>-1623513944544442.3</v>
      </c>
      <c r="M5158" s="460">
        <f t="shared" si="186"/>
        <v>0.05</v>
      </c>
      <c r="N5158" s="464">
        <f t="shared" si="187"/>
        <v>208038</v>
      </c>
    </row>
    <row r="5159" spans="7:14" ht="11.25" customHeight="1" x14ac:dyDescent="0.25">
      <c r="G5159" s="459"/>
      <c r="H5159" s="459">
        <v>5152</v>
      </c>
      <c r="I5159" s="444">
        <f t="shared" ca="1" si="185"/>
        <v>-1623513944544442.3</v>
      </c>
      <c r="J5159" s="444">
        <f t="array" ref="J5159">IFERROR(INDEX('Retirement Calculator'!K:K,MATCH('Lorri 401b'!N5159,'Retirement Calculator'!A:A,0),0),0)</f>
        <v>0</v>
      </c>
      <c r="K5159" s="444">
        <f t="shared" ca="1" si="183"/>
        <v>-6764641435601.8428</v>
      </c>
      <c r="L5159" s="444">
        <f t="shared" ca="1" si="184"/>
        <v>-1630278585980044</v>
      </c>
      <c r="M5159" s="460">
        <f t="shared" si="186"/>
        <v>0.05</v>
      </c>
      <c r="N5159" s="464">
        <f t="shared" si="187"/>
        <v>208069</v>
      </c>
    </row>
    <row r="5160" spans="7:14" ht="11.25" customHeight="1" x14ac:dyDescent="0.25">
      <c r="G5160" s="459"/>
      <c r="H5160" s="459">
        <v>5153</v>
      </c>
      <c r="I5160" s="444">
        <f t="shared" ca="1" si="185"/>
        <v>-1630278585980044</v>
      </c>
      <c r="J5160" s="444">
        <f t="array" ref="J5160">IFERROR(INDEX('Retirement Calculator'!K:K,MATCH('Lorri 401b'!N5160,'Retirement Calculator'!A:A,0),0),0)</f>
        <v>0</v>
      </c>
      <c r="K5160" s="444">
        <f t="shared" ca="1" si="183"/>
        <v>-6792827441583.5166</v>
      </c>
      <c r="L5160" s="444">
        <f t="shared" ca="1" si="184"/>
        <v>-1637071413421627.5</v>
      </c>
      <c r="M5160" s="460">
        <f t="shared" si="186"/>
        <v>0.05</v>
      </c>
      <c r="N5160" s="464">
        <f t="shared" si="187"/>
        <v>208099</v>
      </c>
    </row>
    <row r="5161" spans="7:14" ht="11.25" customHeight="1" x14ac:dyDescent="0.25">
      <c r="G5161" s="459"/>
      <c r="H5161" s="459">
        <v>5154</v>
      </c>
      <c r="I5161" s="444">
        <f t="shared" ca="1" si="185"/>
        <v>-1637071413421627.5</v>
      </c>
      <c r="J5161" s="444">
        <f t="array" ref="J5161">IFERROR(INDEX('Retirement Calculator'!K:K,MATCH('Lorri 401b'!N5161,'Retirement Calculator'!A:A,0),0),0)</f>
        <v>0</v>
      </c>
      <c r="K5161" s="444">
        <f t="shared" ca="1" si="183"/>
        <v>-6821130889256.7813</v>
      </c>
      <c r="L5161" s="444">
        <f t="shared" ca="1" si="184"/>
        <v>-1643892544310884.3</v>
      </c>
      <c r="M5161" s="460">
        <f t="shared" si="186"/>
        <v>0.05</v>
      </c>
      <c r="N5161" s="464">
        <f t="shared" si="187"/>
        <v>208130</v>
      </c>
    </row>
    <row r="5162" spans="7:14" ht="11.25" customHeight="1" x14ac:dyDescent="0.25">
      <c r="G5162" s="459"/>
      <c r="H5162" s="459">
        <v>5155</v>
      </c>
      <c r="I5162" s="444">
        <f t="shared" ca="1" si="185"/>
        <v>-1643892544310884.3</v>
      </c>
      <c r="J5162" s="444">
        <f t="array" ref="J5162">IFERROR(INDEX('Retirement Calculator'!K:K,MATCH('Lorri 401b'!N5162,'Retirement Calculator'!A:A,0),0),0)</f>
        <v>0</v>
      </c>
      <c r="K5162" s="444">
        <f t="shared" ca="1" si="183"/>
        <v>-6849552267962.0176</v>
      </c>
      <c r="L5162" s="444">
        <f t="shared" ca="1" si="184"/>
        <v>-1650742096578846.3</v>
      </c>
      <c r="M5162" s="460">
        <f t="shared" si="186"/>
        <v>0.05</v>
      </c>
      <c r="N5162" s="464">
        <f t="shared" si="187"/>
        <v>208160</v>
      </c>
    </row>
    <row r="5163" spans="7:14" ht="11.25" customHeight="1" x14ac:dyDescent="0.25">
      <c r="G5163" s="459"/>
      <c r="H5163" s="459">
        <v>5156</v>
      </c>
      <c r="I5163" s="444">
        <f t="shared" ca="1" si="185"/>
        <v>-1650742096578846.3</v>
      </c>
      <c r="J5163" s="444">
        <f t="array" ref="J5163">IFERROR(INDEX('Retirement Calculator'!K:K,MATCH('Lorri 401b'!N5163,'Retirement Calculator'!A:A,0),0),0)</f>
        <v>0</v>
      </c>
      <c r="K5163" s="444">
        <f t="shared" ca="1" si="183"/>
        <v>-6878092069078.5264</v>
      </c>
      <c r="L5163" s="444">
        <f t="shared" ca="1" si="184"/>
        <v>-1657620188647924.8</v>
      </c>
      <c r="M5163" s="460">
        <f t="shared" si="186"/>
        <v>0.05</v>
      </c>
      <c r="N5163" s="464">
        <f t="shared" si="187"/>
        <v>208191</v>
      </c>
    </row>
    <row r="5164" spans="7:14" ht="11.25" customHeight="1" x14ac:dyDescent="0.25">
      <c r="G5164" s="459"/>
      <c r="H5164" s="459">
        <v>5157</v>
      </c>
      <c r="I5164" s="444">
        <f t="shared" ca="1" si="185"/>
        <v>-1657620188647924.8</v>
      </c>
      <c r="J5164" s="444">
        <f t="array" ref="J5164">IFERROR(INDEX('Retirement Calculator'!K:K,MATCH('Lorri 401b'!N5164,'Retirement Calculator'!A:A,0),0),0)</f>
        <v>0</v>
      </c>
      <c r="K5164" s="444">
        <f t="shared" ca="1" si="183"/>
        <v>-6906750786033.0195</v>
      </c>
      <c r="L5164" s="444">
        <f t="shared" ca="1" si="184"/>
        <v>-1664526939433957.8</v>
      </c>
      <c r="M5164" s="460">
        <f t="shared" si="186"/>
        <v>0.05</v>
      </c>
      <c r="N5164" s="464">
        <f t="shared" si="187"/>
        <v>208222</v>
      </c>
    </row>
    <row r="5165" spans="7:14" ht="11.25" customHeight="1" x14ac:dyDescent="0.25">
      <c r="G5165" s="459"/>
      <c r="H5165" s="459">
        <v>5158</v>
      </c>
      <c r="I5165" s="444">
        <f t="shared" ca="1" si="185"/>
        <v>-1664526939433957.8</v>
      </c>
      <c r="J5165" s="444">
        <f t="array" ref="J5165">IFERROR(INDEX('Retirement Calculator'!K:K,MATCH('Lorri 401b'!N5165,'Retirement Calculator'!A:A,0),0),0)</f>
        <v>0</v>
      </c>
      <c r="K5165" s="444">
        <f t="shared" ca="1" si="183"/>
        <v>-6935528914308.1572</v>
      </c>
      <c r="L5165" s="444">
        <f t="shared" ca="1" si="184"/>
        <v>-1671462468348266</v>
      </c>
      <c r="M5165" s="460">
        <f t="shared" si="186"/>
        <v>0.05</v>
      </c>
      <c r="N5165" s="464">
        <f t="shared" si="187"/>
        <v>208250</v>
      </c>
    </row>
    <row r="5166" spans="7:14" ht="11.25" customHeight="1" x14ac:dyDescent="0.25">
      <c r="G5166" s="459"/>
      <c r="H5166" s="459">
        <v>5159</v>
      </c>
      <c r="I5166" s="444">
        <f t="shared" ca="1" si="185"/>
        <v>-1671462468348266</v>
      </c>
      <c r="J5166" s="444">
        <f t="array" ref="J5166">IFERROR(INDEX('Retirement Calculator'!K:K,MATCH('Lorri 401b'!N5166,'Retirement Calculator'!A:A,0),0),0)</f>
        <v>0</v>
      </c>
      <c r="K5166" s="444">
        <f t="shared" ca="1" si="183"/>
        <v>-6964426951451.1084</v>
      </c>
      <c r="L5166" s="444">
        <f t="shared" ca="1" si="184"/>
        <v>-1678426895299717</v>
      </c>
      <c r="M5166" s="460">
        <f t="shared" si="186"/>
        <v>0.05</v>
      </c>
      <c r="N5166" s="464">
        <f t="shared" si="187"/>
        <v>208281</v>
      </c>
    </row>
    <row r="5167" spans="7:14" ht="11.25" customHeight="1" x14ac:dyDescent="0.25">
      <c r="G5167" s="459"/>
      <c r="H5167" s="459">
        <v>5160</v>
      </c>
      <c r="I5167" s="444">
        <f t="shared" ca="1" si="185"/>
        <v>-1678426895299717</v>
      </c>
      <c r="J5167" s="444">
        <f t="array" ref="J5167">IFERROR(INDEX('Retirement Calculator'!K:K,MATCH('Lorri 401b'!N5167,'Retirement Calculator'!A:A,0),0),0)</f>
        <v>0</v>
      </c>
      <c r="K5167" s="444">
        <f t="shared" ca="1" si="183"/>
        <v>-6993445397082.1543</v>
      </c>
      <c r="L5167" s="444">
        <f t="shared" ca="1" si="184"/>
        <v>-1685420340696799.3</v>
      </c>
      <c r="M5167" s="460">
        <f t="shared" si="186"/>
        <v>0.05</v>
      </c>
      <c r="N5167" s="464">
        <f t="shared" si="187"/>
        <v>208311</v>
      </c>
    </row>
    <row r="5168" spans="7:14" ht="11.25" customHeight="1" x14ac:dyDescent="0.25">
      <c r="G5168" s="459"/>
      <c r="H5168" s="459">
        <v>5161</v>
      </c>
      <c r="I5168" s="444">
        <f t="shared" ca="1" si="185"/>
        <v>-1685420340696799.3</v>
      </c>
      <c r="J5168" s="444">
        <f t="array" ref="J5168">IFERROR(INDEX('Retirement Calculator'!K:K,MATCH('Lorri 401b'!N5168,'Retirement Calculator'!A:A,0),0),0)</f>
        <v>0</v>
      </c>
      <c r="K5168" s="444">
        <f t="shared" ca="1" si="183"/>
        <v>-7022584752903.3301</v>
      </c>
      <c r="L5168" s="444">
        <f t="shared" ca="1" si="184"/>
        <v>-1692442925449702.5</v>
      </c>
      <c r="M5168" s="460">
        <f t="shared" si="186"/>
        <v>0.05</v>
      </c>
      <c r="N5168" s="464">
        <f t="shared" si="187"/>
        <v>208342</v>
      </c>
    </row>
    <row r="5169" spans="7:14" ht="11.25" customHeight="1" x14ac:dyDescent="0.25">
      <c r="G5169" s="459"/>
      <c r="H5169" s="459">
        <v>5162</v>
      </c>
      <c r="I5169" s="444">
        <f t="shared" ca="1" si="185"/>
        <v>-1692442925449702.5</v>
      </c>
      <c r="J5169" s="444">
        <f t="array" ref="J5169">IFERROR(INDEX('Retirement Calculator'!K:K,MATCH('Lorri 401b'!N5169,'Retirement Calculator'!A:A,0),0),0)</f>
        <v>0</v>
      </c>
      <c r="K5169" s="444">
        <f t="shared" ca="1" si="183"/>
        <v>-7051845522707.0938</v>
      </c>
      <c r="L5169" s="444">
        <f t="shared" ca="1" si="184"/>
        <v>-1699494770972409.5</v>
      </c>
      <c r="M5169" s="460">
        <f t="shared" si="186"/>
        <v>0.05</v>
      </c>
      <c r="N5169" s="464">
        <f t="shared" si="187"/>
        <v>208372</v>
      </c>
    </row>
    <row r="5170" spans="7:14" ht="11.25" customHeight="1" x14ac:dyDescent="0.25">
      <c r="G5170" s="459"/>
      <c r="H5170" s="459">
        <v>5163</v>
      </c>
      <c r="I5170" s="444">
        <f t="shared" ca="1" si="185"/>
        <v>-1699494770972409.5</v>
      </c>
      <c r="J5170" s="444">
        <f t="array" ref="J5170">IFERROR(INDEX('Retirement Calculator'!K:K,MATCH('Lorri 401b'!N5170,'Retirement Calculator'!A:A,0),0),0)</f>
        <v>0</v>
      </c>
      <c r="K5170" s="444">
        <f t="shared" ca="1" si="183"/>
        <v>-7081228212385.0391</v>
      </c>
      <c r="L5170" s="444">
        <f t="shared" ca="1" si="184"/>
        <v>-1706575999184794.5</v>
      </c>
      <c r="M5170" s="460">
        <f t="shared" si="186"/>
        <v>0.05</v>
      </c>
      <c r="N5170" s="464">
        <f t="shared" si="187"/>
        <v>208403</v>
      </c>
    </row>
    <row r="5171" spans="7:14" ht="11.25" customHeight="1" x14ac:dyDescent="0.25">
      <c r="G5171" s="459"/>
      <c r="H5171" s="459">
        <v>5164</v>
      </c>
      <c r="I5171" s="444">
        <f t="shared" ca="1" si="185"/>
        <v>-1706575999184794.5</v>
      </c>
      <c r="J5171" s="444">
        <f t="array" ref="J5171">IFERROR(INDEX('Retirement Calculator'!K:K,MATCH('Lorri 401b'!N5171,'Retirement Calculator'!A:A,0),0),0)</f>
        <v>0</v>
      </c>
      <c r="K5171" s="444">
        <f t="shared" ca="1" si="183"/>
        <v>-7110733329936.6436</v>
      </c>
      <c r="L5171" s="444">
        <f t="shared" ca="1" si="184"/>
        <v>-1713686732514731.3</v>
      </c>
      <c r="M5171" s="460">
        <f t="shared" si="186"/>
        <v>0.05</v>
      </c>
      <c r="N5171" s="464">
        <f t="shared" si="187"/>
        <v>208434</v>
      </c>
    </row>
    <row r="5172" spans="7:14" ht="11.25" customHeight="1" x14ac:dyDescent="0.25">
      <c r="G5172" s="459"/>
      <c r="H5172" s="459">
        <v>5165</v>
      </c>
      <c r="I5172" s="444">
        <f t="shared" ca="1" si="185"/>
        <v>-1713686732514731.3</v>
      </c>
      <c r="J5172" s="444">
        <f t="array" ref="J5172">IFERROR(INDEX('Retirement Calculator'!K:K,MATCH('Lorri 401b'!N5172,'Retirement Calculator'!A:A,0),0),0)</f>
        <v>0</v>
      </c>
      <c r="K5172" s="444">
        <f t="shared" ca="1" si="183"/>
        <v>-7140361385478.0469</v>
      </c>
      <c r="L5172" s="444">
        <f t="shared" ca="1" si="184"/>
        <v>-1720827093900209.3</v>
      </c>
      <c r="M5172" s="460">
        <f t="shared" si="186"/>
        <v>0.05</v>
      </c>
      <c r="N5172" s="464">
        <f t="shared" si="187"/>
        <v>208464</v>
      </c>
    </row>
    <row r="5173" spans="7:14" ht="11.25" customHeight="1" x14ac:dyDescent="0.25">
      <c r="G5173" s="459"/>
      <c r="H5173" s="459">
        <v>5166</v>
      </c>
      <c r="I5173" s="444">
        <f t="shared" ca="1" si="185"/>
        <v>-1720827093900209.3</v>
      </c>
      <c r="J5173" s="444">
        <f t="array" ref="J5173">IFERROR(INDEX('Retirement Calculator'!K:K,MATCH('Lorri 401b'!N5173,'Retirement Calculator'!A:A,0),0),0)</f>
        <v>0</v>
      </c>
      <c r="K5173" s="444">
        <f t="shared" ca="1" si="183"/>
        <v>-7170112891250.8721</v>
      </c>
      <c r="L5173" s="444">
        <f t="shared" ca="1" si="184"/>
        <v>-1727997206791460</v>
      </c>
      <c r="M5173" s="460">
        <f t="shared" si="186"/>
        <v>0.05</v>
      </c>
      <c r="N5173" s="464">
        <f t="shared" si="187"/>
        <v>208495</v>
      </c>
    </row>
    <row r="5174" spans="7:14" ht="11.25" customHeight="1" x14ac:dyDescent="0.25">
      <c r="G5174" s="459"/>
      <c r="H5174" s="459">
        <v>5167</v>
      </c>
      <c r="I5174" s="444">
        <f t="shared" ca="1" si="185"/>
        <v>-1727997206791460</v>
      </c>
      <c r="J5174" s="444">
        <f t="array" ref="J5174">IFERROR(INDEX('Retirement Calculator'!K:K,MATCH('Lorri 401b'!N5174,'Retirement Calculator'!A:A,0),0),0)</f>
        <v>0</v>
      </c>
      <c r="K5174" s="444">
        <f t="shared" ca="1" si="183"/>
        <v>-7199988361631.083</v>
      </c>
      <c r="L5174" s="444">
        <f t="shared" ca="1" si="184"/>
        <v>-1735197195153091</v>
      </c>
      <c r="M5174" s="460">
        <f t="shared" si="186"/>
        <v>0.05</v>
      </c>
      <c r="N5174" s="464">
        <f t="shared" si="187"/>
        <v>208525</v>
      </c>
    </row>
    <row r="5175" spans="7:14" ht="11.25" customHeight="1" x14ac:dyDescent="0.25">
      <c r="G5175" s="459"/>
      <c r="H5175" s="459">
        <v>5168</v>
      </c>
      <c r="I5175" s="444">
        <f t="shared" ca="1" si="185"/>
        <v>-1735197195153091</v>
      </c>
      <c r="J5175" s="444">
        <f t="array" ref="J5175">IFERROR(INDEX('Retirement Calculator'!K:K,MATCH('Lorri 401b'!N5175,'Retirement Calculator'!A:A,0),0),0)</f>
        <v>0</v>
      </c>
      <c r="K5175" s="444">
        <f t="shared" ca="1" si="183"/>
        <v>-7229988313137.8789</v>
      </c>
      <c r="L5175" s="444">
        <f t="shared" ca="1" si="184"/>
        <v>-1742427183466229</v>
      </c>
      <c r="M5175" s="460">
        <f t="shared" si="186"/>
        <v>0.05</v>
      </c>
      <c r="N5175" s="464">
        <f t="shared" si="187"/>
        <v>208556</v>
      </c>
    </row>
    <row r="5176" spans="7:14" ht="11.25" customHeight="1" x14ac:dyDescent="0.25">
      <c r="G5176" s="459"/>
      <c r="H5176" s="459">
        <v>5169</v>
      </c>
      <c r="I5176" s="444">
        <f t="shared" ca="1" si="185"/>
        <v>-1742427183466229</v>
      </c>
      <c r="J5176" s="444">
        <f t="array" ref="J5176">IFERROR(INDEX('Retirement Calculator'!K:K,MATCH('Lorri 401b'!N5176,'Retirement Calculator'!A:A,0),0),0)</f>
        <v>0</v>
      </c>
      <c r="K5176" s="444">
        <f t="shared" ca="1" si="183"/>
        <v>-7260113264442.6211</v>
      </c>
      <c r="L5176" s="444">
        <f t="shared" ca="1" si="184"/>
        <v>-1749687296730671.5</v>
      </c>
      <c r="M5176" s="460">
        <f t="shared" si="186"/>
        <v>0.05</v>
      </c>
      <c r="N5176" s="464">
        <f t="shared" si="187"/>
        <v>208587</v>
      </c>
    </row>
    <row r="5177" spans="7:14" ht="11.25" customHeight="1" x14ac:dyDescent="0.25">
      <c r="G5177" s="459"/>
      <c r="H5177" s="459">
        <v>5170</v>
      </c>
      <c r="I5177" s="444">
        <f t="shared" ca="1" si="185"/>
        <v>-1749687296730671.5</v>
      </c>
      <c r="J5177" s="444">
        <f t="array" ref="J5177">IFERROR(INDEX('Retirement Calculator'!K:K,MATCH('Lorri 401b'!N5177,'Retirement Calculator'!A:A,0),0),0)</f>
        <v>0</v>
      </c>
      <c r="K5177" s="444">
        <f t="shared" ca="1" si="183"/>
        <v>-7290363736377.7979</v>
      </c>
      <c r="L5177" s="444">
        <f t="shared" ca="1" si="184"/>
        <v>-1756977660467049.3</v>
      </c>
      <c r="M5177" s="460">
        <f t="shared" si="186"/>
        <v>0.05</v>
      </c>
      <c r="N5177" s="464">
        <f t="shared" si="187"/>
        <v>208615</v>
      </c>
    </row>
    <row r="5178" spans="7:14" ht="11.25" customHeight="1" x14ac:dyDescent="0.25">
      <c r="G5178" s="459"/>
      <c r="H5178" s="459">
        <v>5171</v>
      </c>
      <c r="I5178" s="444">
        <f t="shared" ca="1" si="185"/>
        <v>-1756977660467049.3</v>
      </c>
      <c r="J5178" s="444">
        <f t="array" ref="J5178">IFERROR(INDEX('Retirement Calculator'!K:K,MATCH('Lorri 401b'!N5178,'Retirement Calculator'!A:A,0),0),0)</f>
        <v>0</v>
      </c>
      <c r="K5178" s="444">
        <f t="shared" ca="1" si="183"/>
        <v>-7320740251946.0381</v>
      </c>
      <c r="L5178" s="444">
        <f t="shared" ca="1" si="184"/>
        <v>-1764298400718995.3</v>
      </c>
      <c r="M5178" s="460">
        <f t="shared" si="186"/>
        <v>0.05</v>
      </c>
      <c r="N5178" s="464">
        <f t="shared" si="187"/>
        <v>208646</v>
      </c>
    </row>
    <row r="5179" spans="7:14" ht="11.25" customHeight="1" x14ac:dyDescent="0.25">
      <c r="G5179" s="459"/>
      <c r="H5179" s="459">
        <v>5172</v>
      </c>
      <c r="I5179" s="444">
        <f t="shared" ca="1" si="185"/>
        <v>-1764298400718995.3</v>
      </c>
      <c r="J5179" s="444">
        <f t="array" ref="J5179">IFERROR(INDEX('Retirement Calculator'!K:K,MATCH('Lorri 401b'!N5179,'Retirement Calculator'!A:A,0),0),0)</f>
        <v>0</v>
      </c>
      <c r="K5179" s="444">
        <f t="shared" ca="1" si="183"/>
        <v>-7351243336329.1465</v>
      </c>
      <c r="L5179" s="444">
        <f t="shared" ca="1" si="184"/>
        <v>-1771649644055324.5</v>
      </c>
      <c r="M5179" s="460">
        <f t="shared" si="186"/>
        <v>0.05</v>
      </c>
      <c r="N5179" s="464">
        <f t="shared" si="187"/>
        <v>208676</v>
      </c>
    </row>
    <row r="5180" spans="7:14" ht="11.25" customHeight="1" x14ac:dyDescent="0.25">
      <c r="G5180" s="459"/>
      <c r="H5180" s="459">
        <v>5173</v>
      </c>
      <c r="I5180" s="444">
        <f t="shared" ca="1" si="185"/>
        <v>-1771649644055324.5</v>
      </c>
      <c r="J5180" s="444">
        <f t="array" ref="J5180">IFERROR(INDEX('Retirement Calculator'!K:K,MATCH('Lorri 401b'!N5180,'Retirement Calculator'!A:A,0),0),0)</f>
        <v>0</v>
      </c>
      <c r="K5180" s="444">
        <f t="shared" ca="1" si="183"/>
        <v>-7381873516897.1855</v>
      </c>
      <c r="L5180" s="444">
        <f t="shared" ca="1" si="184"/>
        <v>-1779031517572221.8</v>
      </c>
      <c r="M5180" s="460">
        <f t="shared" si="186"/>
        <v>0.05</v>
      </c>
      <c r="N5180" s="464">
        <f t="shared" si="187"/>
        <v>208707</v>
      </c>
    </row>
    <row r="5181" spans="7:14" ht="11.25" customHeight="1" x14ac:dyDescent="0.25">
      <c r="G5181" s="459"/>
      <c r="H5181" s="459">
        <v>5174</v>
      </c>
      <c r="I5181" s="444">
        <f t="shared" ca="1" si="185"/>
        <v>-1779031517572221.8</v>
      </c>
      <c r="J5181" s="444">
        <f t="array" ref="J5181">IFERROR(INDEX('Retirement Calculator'!K:K,MATCH('Lorri 401b'!N5181,'Retirement Calculator'!A:A,0),0),0)</f>
        <v>0</v>
      </c>
      <c r="K5181" s="444">
        <f t="shared" ca="1" si="183"/>
        <v>-7412631323217.5898</v>
      </c>
      <c r="L5181" s="444">
        <f t="shared" ca="1" si="184"/>
        <v>-1786444148895439.3</v>
      </c>
      <c r="M5181" s="460">
        <f t="shared" si="186"/>
        <v>0.05</v>
      </c>
      <c r="N5181" s="464">
        <f t="shared" si="187"/>
        <v>208737</v>
      </c>
    </row>
    <row r="5182" spans="7:14" ht="11.25" customHeight="1" x14ac:dyDescent="0.25">
      <c r="G5182" s="459"/>
      <c r="H5182" s="459">
        <v>5175</v>
      </c>
      <c r="I5182" s="444">
        <f t="shared" ca="1" si="185"/>
        <v>-1786444148895439.3</v>
      </c>
      <c r="J5182" s="444">
        <f t="array" ref="J5182">IFERROR(INDEX('Retirement Calculator'!K:K,MATCH('Lorri 401b'!N5182,'Retirement Calculator'!A:A,0),0),0)</f>
        <v>0</v>
      </c>
      <c r="K5182" s="444">
        <f t="shared" ca="1" si="183"/>
        <v>-7443517287064.3301</v>
      </c>
      <c r="L5182" s="444">
        <f t="shared" ca="1" si="184"/>
        <v>-1793887666182503.5</v>
      </c>
      <c r="M5182" s="460">
        <f t="shared" si="186"/>
        <v>0.05</v>
      </c>
      <c r="N5182" s="464">
        <f t="shared" si="187"/>
        <v>208768</v>
      </c>
    </row>
    <row r="5183" spans="7:14" ht="11.25" customHeight="1" x14ac:dyDescent="0.25">
      <c r="G5183" s="459"/>
      <c r="H5183" s="459">
        <v>5176</v>
      </c>
      <c r="I5183" s="444">
        <f t="shared" ca="1" si="185"/>
        <v>-1793887666182503.5</v>
      </c>
      <c r="J5183" s="444">
        <f t="array" ref="J5183">IFERROR(INDEX('Retirement Calculator'!K:K,MATCH('Lorri 401b'!N5183,'Retirement Calculator'!A:A,0),0),0)</f>
        <v>0</v>
      </c>
      <c r="K5183" s="444">
        <f t="shared" ca="1" si="183"/>
        <v>-7474531942427.0977</v>
      </c>
      <c r="L5183" s="444">
        <f t="shared" ca="1" si="184"/>
        <v>-1801362198124930.5</v>
      </c>
      <c r="M5183" s="460">
        <f t="shared" si="186"/>
        <v>0.05</v>
      </c>
      <c r="N5183" s="464">
        <f t="shared" si="187"/>
        <v>208799</v>
      </c>
    </row>
    <row r="5184" spans="7:14" ht="11.25" customHeight="1" x14ac:dyDescent="0.25">
      <c r="G5184" s="459"/>
      <c r="H5184" s="459">
        <v>5177</v>
      </c>
      <c r="I5184" s="444">
        <f t="shared" ca="1" si="185"/>
        <v>-1801362198124930.5</v>
      </c>
      <c r="J5184" s="444">
        <f t="array" ref="J5184">IFERROR(INDEX('Retirement Calculator'!K:K,MATCH('Lorri 401b'!N5184,'Retirement Calculator'!A:A,0),0),0)</f>
        <v>0</v>
      </c>
      <c r="K5184" s="444">
        <f t="shared" ca="1" si="183"/>
        <v>-7505675825520.5439</v>
      </c>
      <c r="L5184" s="444">
        <f t="shared" ca="1" si="184"/>
        <v>-1808867873950451</v>
      </c>
      <c r="M5184" s="460">
        <f t="shared" si="186"/>
        <v>0.05</v>
      </c>
      <c r="N5184" s="464">
        <f t="shared" si="187"/>
        <v>208829</v>
      </c>
    </row>
    <row r="5185" spans="7:14" ht="11.25" customHeight="1" x14ac:dyDescent="0.25">
      <c r="G5185" s="459"/>
      <c r="H5185" s="459">
        <v>5178</v>
      </c>
      <c r="I5185" s="444">
        <f t="shared" ca="1" si="185"/>
        <v>-1808867873950451</v>
      </c>
      <c r="J5185" s="444">
        <f t="array" ref="J5185">IFERROR(INDEX('Retirement Calculator'!K:K,MATCH('Lorri 401b'!N5185,'Retirement Calculator'!A:A,0),0),0)</f>
        <v>0</v>
      </c>
      <c r="K5185" s="444">
        <f t="shared" ca="1" si="183"/>
        <v>-7536949474793.5469</v>
      </c>
      <c r="L5185" s="444">
        <f t="shared" ca="1" si="184"/>
        <v>-1816404823425244.5</v>
      </c>
      <c r="M5185" s="460">
        <f t="shared" si="186"/>
        <v>0.05</v>
      </c>
      <c r="N5185" s="464">
        <f t="shared" si="187"/>
        <v>208860</v>
      </c>
    </row>
    <row r="5186" spans="7:14" ht="11.25" customHeight="1" x14ac:dyDescent="0.25">
      <c r="G5186" s="459"/>
      <c r="H5186" s="459">
        <v>5179</v>
      </c>
      <c r="I5186" s="444">
        <f t="shared" ca="1" si="185"/>
        <v>-1816404823425244.5</v>
      </c>
      <c r="J5186" s="444">
        <f t="array" ref="J5186">IFERROR(INDEX('Retirement Calculator'!K:K,MATCH('Lorri 401b'!N5186,'Retirement Calculator'!A:A,0),0),0)</f>
        <v>0</v>
      </c>
      <c r="K5186" s="444">
        <f t="shared" ca="1" si="183"/>
        <v>-7568353430938.5186</v>
      </c>
      <c r="L5186" s="444">
        <f t="shared" ca="1" si="184"/>
        <v>-1823973176856183</v>
      </c>
      <c r="M5186" s="460">
        <f t="shared" si="186"/>
        <v>0.05</v>
      </c>
      <c r="N5186" s="464">
        <f t="shared" si="187"/>
        <v>208890</v>
      </c>
    </row>
    <row r="5187" spans="7:14" ht="11.25" customHeight="1" x14ac:dyDescent="0.25">
      <c r="G5187" s="459"/>
      <c r="H5187" s="459">
        <v>5180</v>
      </c>
      <c r="I5187" s="444">
        <f t="shared" ca="1" si="185"/>
        <v>-1823973176856183</v>
      </c>
      <c r="J5187" s="444">
        <f t="array" ref="J5187">IFERROR(INDEX('Retirement Calculator'!K:K,MATCH('Lorri 401b'!N5187,'Retirement Calculator'!A:A,0),0),0)</f>
        <v>0</v>
      </c>
      <c r="K5187" s="444">
        <f t="shared" ca="1" si="183"/>
        <v>-7599888236900.7637</v>
      </c>
      <c r="L5187" s="444">
        <f t="shared" ca="1" si="184"/>
        <v>-1831573065093083.8</v>
      </c>
      <c r="M5187" s="460">
        <f t="shared" si="186"/>
        <v>0.05</v>
      </c>
      <c r="N5187" s="464">
        <f t="shared" si="187"/>
        <v>208921</v>
      </c>
    </row>
    <row r="5188" spans="7:14" ht="11.25" customHeight="1" x14ac:dyDescent="0.25">
      <c r="G5188" s="459"/>
      <c r="H5188" s="459">
        <v>5181</v>
      </c>
      <c r="I5188" s="444">
        <f t="shared" ca="1" si="185"/>
        <v>-1831573065093083.8</v>
      </c>
      <c r="J5188" s="444">
        <f t="array" ref="J5188">IFERROR(INDEX('Retirement Calculator'!K:K,MATCH('Lorri 401b'!N5188,'Retirement Calculator'!A:A,0),0),0)</f>
        <v>0</v>
      </c>
      <c r="K5188" s="444">
        <f t="shared" ca="1" si="183"/>
        <v>-7631554437887.8496</v>
      </c>
      <c r="L5188" s="444">
        <f t="shared" ca="1" si="184"/>
        <v>-1839204619530971.5</v>
      </c>
      <c r="M5188" s="460">
        <f t="shared" si="186"/>
        <v>0.05</v>
      </c>
      <c r="N5188" s="464">
        <f t="shared" si="187"/>
        <v>208952</v>
      </c>
    </row>
    <row r="5189" spans="7:14" ht="11.25" customHeight="1" x14ac:dyDescent="0.25">
      <c r="G5189" s="459"/>
      <c r="H5189" s="459">
        <v>5182</v>
      </c>
      <c r="I5189" s="444">
        <f t="shared" ca="1" si="185"/>
        <v>-1839204619530971.5</v>
      </c>
      <c r="J5189" s="444">
        <f t="array" ref="J5189">IFERROR(INDEX('Retirement Calculator'!K:K,MATCH('Lorri 401b'!N5189,'Retirement Calculator'!A:A,0),0),0)</f>
        <v>0</v>
      </c>
      <c r="K5189" s="444">
        <f t="shared" ca="1" si="183"/>
        <v>-7663352581379.0479</v>
      </c>
      <c r="L5189" s="444">
        <f t="shared" ca="1" si="184"/>
        <v>-1846867972112350.5</v>
      </c>
      <c r="M5189" s="460">
        <f t="shared" si="186"/>
        <v>0.05</v>
      </c>
      <c r="N5189" s="464">
        <f t="shared" si="187"/>
        <v>208981</v>
      </c>
    </row>
    <row r="5190" spans="7:14" ht="11.25" customHeight="1" x14ac:dyDescent="0.25">
      <c r="G5190" s="459"/>
      <c r="H5190" s="459">
        <v>5183</v>
      </c>
      <c r="I5190" s="444">
        <f t="shared" ca="1" si="185"/>
        <v>-1846867972112350.5</v>
      </c>
      <c r="J5190" s="444">
        <f t="array" ref="J5190">IFERROR(INDEX('Retirement Calculator'!K:K,MATCH('Lorri 401b'!N5190,'Retirement Calculator'!A:A,0),0),0)</f>
        <v>0</v>
      </c>
      <c r="K5190" s="444">
        <f t="shared" ca="1" si="183"/>
        <v>-7695283217134.7939</v>
      </c>
      <c r="L5190" s="444">
        <f t="shared" ca="1" si="184"/>
        <v>-1854563255329485.3</v>
      </c>
      <c r="M5190" s="460">
        <f t="shared" si="186"/>
        <v>0.05</v>
      </c>
      <c r="N5190" s="464">
        <f t="shared" si="187"/>
        <v>209012</v>
      </c>
    </row>
    <row r="5191" spans="7:14" ht="11.25" customHeight="1" x14ac:dyDescent="0.25">
      <c r="G5191" s="459"/>
      <c r="H5191" s="459">
        <v>5184</v>
      </c>
      <c r="I5191" s="444">
        <f t="shared" ca="1" si="185"/>
        <v>-1854563255329485.3</v>
      </c>
      <c r="J5191" s="444">
        <f t="array" ref="J5191">IFERROR(INDEX('Retirement Calculator'!K:K,MATCH('Lorri 401b'!N5191,'Retirement Calculator'!A:A,0),0),0)</f>
        <v>0</v>
      </c>
      <c r="K5191" s="444">
        <f t="shared" ca="1" si="183"/>
        <v>-7727346897206.1885</v>
      </c>
      <c r="L5191" s="444">
        <f t="shared" ca="1" si="184"/>
        <v>-1862290602226691.5</v>
      </c>
      <c r="M5191" s="460">
        <f t="shared" si="186"/>
        <v>0.05</v>
      </c>
      <c r="N5191" s="464">
        <f t="shared" si="187"/>
        <v>209042</v>
      </c>
    </row>
    <row r="5192" spans="7:14" ht="11.25" customHeight="1" x14ac:dyDescent="0.25">
      <c r="G5192" s="459"/>
      <c r="H5192" s="459">
        <v>5185</v>
      </c>
      <c r="I5192" s="444">
        <f t="shared" ca="1" si="185"/>
        <v>-1862290602226691.5</v>
      </c>
      <c r="J5192" s="444">
        <f t="array" ref="J5192">IFERROR(INDEX('Retirement Calculator'!K:K,MATCH('Lorri 401b'!N5192,'Retirement Calculator'!A:A,0),0),0)</f>
        <v>0</v>
      </c>
      <c r="K5192" s="444">
        <f t="shared" ca="1" si="183"/>
        <v>-7759544175944.5479</v>
      </c>
      <c r="L5192" s="444">
        <f t="shared" ca="1" si="184"/>
        <v>-1870050146402636</v>
      </c>
      <c r="M5192" s="460">
        <f t="shared" si="186"/>
        <v>0.05</v>
      </c>
      <c r="N5192" s="464">
        <f t="shared" si="187"/>
        <v>209073</v>
      </c>
    </row>
    <row r="5193" spans="7:14" ht="11.25" customHeight="1" x14ac:dyDescent="0.25">
      <c r="G5193" s="459"/>
      <c r="H5193" s="459">
        <v>5186</v>
      </c>
      <c r="I5193" s="444">
        <f t="shared" ca="1" si="185"/>
        <v>-1870050146402636</v>
      </c>
      <c r="J5193" s="444">
        <f t="array" ref="J5193">IFERROR(INDEX('Retirement Calculator'!K:K,MATCH('Lorri 401b'!N5193,'Retirement Calculator'!A:A,0),0),0)</f>
        <v>0</v>
      </c>
      <c r="K5193" s="444">
        <f t="shared" ca="1" si="183"/>
        <v>-7791875610010.9844</v>
      </c>
      <c r="L5193" s="444">
        <f t="shared" ca="1" si="184"/>
        <v>-1877842022012647</v>
      </c>
      <c r="M5193" s="460">
        <f t="shared" si="186"/>
        <v>0.05</v>
      </c>
      <c r="N5193" s="464">
        <f t="shared" si="187"/>
        <v>209103</v>
      </c>
    </row>
    <row r="5194" spans="7:14" ht="11.25" customHeight="1" x14ac:dyDescent="0.25">
      <c r="G5194" s="459"/>
      <c r="H5194" s="459">
        <v>5187</v>
      </c>
      <c r="I5194" s="444">
        <f t="shared" ca="1" si="185"/>
        <v>-1877842022012647</v>
      </c>
      <c r="J5194" s="444">
        <f t="array" ref="J5194">IFERROR(INDEX('Retirement Calculator'!K:K,MATCH('Lorri 401b'!N5194,'Retirement Calculator'!A:A,0),0),0)</f>
        <v>0</v>
      </c>
      <c r="K5194" s="444">
        <f t="shared" ca="1" si="183"/>
        <v>-7824341758386.0293</v>
      </c>
      <c r="L5194" s="444">
        <f t="shared" ca="1" si="184"/>
        <v>-1885666363771033</v>
      </c>
      <c r="M5194" s="460">
        <f t="shared" si="186"/>
        <v>0.05</v>
      </c>
      <c r="N5194" s="464">
        <f t="shared" si="187"/>
        <v>209134</v>
      </c>
    </row>
    <row r="5195" spans="7:14" ht="11.25" customHeight="1" x14ac:dyDescent="0.25">
      <c r="G5195" s="459"/>
      <c r="H5195" s="459">
        <v>5188</v>
      </c>
      <c r="I5195" s="444">
        <f t="shared" ca="1" si="185"/>
        <v>-1885666363771033</v>
      </c>
      <c r="J5195" s="444">
        <f t="array" ref="J5195">IFERROR(INDEX('Retirement Calculator'!K:K,MATCH('Lorri 401b'!N5195,'Retirement Calculator'!A:A,0),0),0)</f>
        <v>0</v>
      </c>
      <c r="K5195" s="444">
        <f t="shared" ca="1" si="183"/>
        <v>-7856943182379.3037</v>
      </c>
      <c r="L5195" s="444">
        <f t="shared" ca="1" si="184"/>
        <v>-1893523306953412.3</v>
      </c>
      <c r="M5195" s="460">
        <f t="shared" si="186"/>
        <v>0.05</v>
      </c>
      <c r="N5195" s="464">
        <f t="shared" si="187"/>
        <v>209165</v>
      </c>
    </row>
    <row r="5196" spans="7:14" ht="11.25" customHeight="1" x14ac:dyDescent="0.25">
      <c r="G5196" s="459"/>
      <c r="H5196" s="459">
        <v>5189</v>
      </c>
      <c r="I5196" s="444">
        <f t="shared" ca="1" si="185"/>
        <v>-1893523306953412.3</v>
      </c>
      <c r="J5196" s="444">
        <f t="array" ref="J5196">IFERROR(INDEX('Retirement Calculator'!K:K,MATCH('Lorri 401b'!N5196,'Retirement Calculator'!A:A,0),0),0)</f>
        <v>0</v>
      </c>
      <c r="K5196" s="444">
        <f t="shared" ca="1" si="183"/>
        <v>-7889680445639.2178</v>
      </c>
      <c r="L5196" s="444">
        <f t="shared" ca="1" si="184"/>
        <v>-1901412987399051.5</v>
      </c>
      <c r="M5196" s="460">
        <f t="shared" si="186"/>
        <v>0.05</v>
      </c>
      <c r="N5196" s="464">
        <f t="shared" si="187"/>
        <v>209195</v>
      </c>
    </row>
    <row r="5197" spans="7:14" ht="11.25" customHeight="1" x14ac:dyDescent="0.25">
      <c r="G5197" s="459"/>
      <c r="H5197" s="459">
        <v>5190</v>
      </c>
      <c r="I5197" s="444">
        <f t="shared" ca="1" si="185"/>
        <v>-1901412987399051.5</v>
      </c>
      <c r="J5197" s="444">
        <f t="array" ref="J5197">IFERROR(INDEX('Retirement Calculator'!K:K,MATCH('Lorri 401b'!N5197,'Retirement Calculator'!A:A,0),0),0)</f>
        <v>0</v>
      </c>
      <c r="K5197" s="444">
        <f t="shared" ca="1" si="183"/>
        <v>-7922554114162.7139</v>
      </c>
      <c r="L5197" s="444">
        <f t="shared" ca="1" si="184"/>
        <v>-1909335541513214.3</v>
      </c>
      <c r="M5197" s="460">
        <f t="shared" si="186"/>
        <v>0.05</v>
      </c>
      <c r="N5197" s="464">
        <f t="shared" si="187"/>
        <v>209226</v>
      </c>
    </row>
    <row r="5198" spans="7:14" ht="11.25" customHeight="1" x14ac:dyDescent="0.25">
      <c r="G5198" s="459"/>
      <c r="H5198" s="459">
        <v>5191</v>
      </c>
      <c r="I5198" s="444">
        <f t="shared" ca="1" si="185"/>
        <v>-1909335541513214.3</v>
      </c>
      <c r="J5198" s="444">
        <f t="array" ref="J5198">IFERROR(INDEX('Retirement Calculator'!K:K,MATCH('Lorri 401b'!N5198,'Retirement Calculator'!A:A,0),0),0)</f>
        <v>0</v>
      </c>
      <c r="K5198" s="444">
        <f t="shared" ca="1" si="183"/>
        <v>-7955564756305.0586</v>
      </c>
      <c r="L5198" s="444">
        <f t="shared" ca="1" si="184"/>
        <v>-1917291106269519.3</v>
      </c>
      <c r="M5198" s="460">
        <f t="shared" si="186"/>
        <v>0.05</v>
      </c>
      <c r="N5198" s="464">
        <f t="shared" si="187"/>
        <v>209256</v>
      </c>
    </row>
    <row r="5199" spans="7:14" ht="11.25" customHeight="1" x14ac:dyDescent="0.25">
      <c r="G5199" s="459"/>
      <c r="H5199" s="459">
        <v>5192</v>
      </c>
      <c r="I5199" s="444">
        <f t="shared" ca="1" si="185"/>
        <v>-1917291106269519.3</v>
      </c>
      <c r="J5199" s="444">
        <f t="array" ref="J5199">IFERROR(INDEX('Retirement Calculator'!K:K,MATCH('Lorri 401b'!N5199,'Retirement Calculator'!A:A,0),0),0)</f>
        <v>0</v>
      </c>
      <c r="K5199" s="444">
        <f t="shared" ca="1" si="183"/>
        <v>-7988712942789.6631</v>
      </c>
      <c r="L5199" s="444">
        <f t="shared" ca="1" si="184"/>
        <v>-1925279819212309</v>
      </c>
      <c r="M5199" s="460">
        <f t="shared" si="186"/>
        <v>0.05</v>
      </c>
      <c r="N5199" s="464">
        <f t="shared" si="187"/>
        <v>209287</v>
      </c>
    </row>
    <row r="5200" spans="7:14" ht="11.25" customHeight="1" x14ac:dyDescent="0.25">
      <c r="G5200" s="459"/>
      <c r="H5200" s="459">
        <v>5193</v>
      </c>
      <c r="I5200" s="444">
        <f t="shared" ca="1" si="185"/>
        <v>-1925279819212309</v>
      </c>
      <c r="J5200" s="444">
        <f t="array" ref="J5200">IFERROR(INDEX('Retirement Calculator'!K:K,MATCH('Lorri 401b'!N5200,'Retirement Calculator'!A:A,0),0),0)</f>
        <v>0</v>
      </c>
      <c r="K5200" s="444">
        <f t="shared" ca="1" si="183"/>
        <v>-8021999246717.9541</v>
      </c>
      <c r="L5200" s="444">
        <f t="shared" ca="1" si="184"/>
        <v>-1933301818459027</v>
      </c>
      <c r="M5200" s="460">
        <f t="shared" si="186"/>
        <v>0.05</v>
      </c>
      <c r="N5200" s="464">
        <f t="shared" si="187"/>
        <v>209318</v>
      </c>
    </row>
    <row r="5201" spans="7:14" ht="11.25" customHeight="1" x14ac:dyDescent="0.25">
      <c r="G5201" s="459"/>
      <c r="H5201" s="459">
        <v>5194</v>
      </c>
      <c r="I5201" s="444">
        <f t="shared" ca="1" si="185"/>
        <v>-1933301818459027</v>
      </c>
      <c r="J5201" s="444">
        <f t="array" ref="J5201">IFERROR(INDEX('Retirement Calculator'!K:K,MATCH('Lorri 401b'!N5201,'Retirement Calculator'!A:A,0),0),0)</f>
        <v>0</v>
      </c>
      <c r="K5201" s="444">
        <f t="shared" ca="1" si="183"/>
        <v>-8055424243579.2793</v>
      </c>
      <c r="L5201" s="444">
        <f t="shared" ca="1" si="184"/>
        <v>-1941357242702606.3</v>
      </c>
      <c r="M5201" s="460">
        <f t="shared" si="186"/>
        <v>0.05</v>
      </c>
      <c r="N5201" s="464">
        <f t="shared" si="187"/>
        <v>209346</v>
      </c>
    </row>
    <row r="5202" spans="7:14" ht="11.25" customHeight="1" x14ac:dyDescent="0.25">
      <c r="G5202" s="459"/>
      <c r="H5202" s="459">
        <v>5195</v>
      </c>
      <c r="I5202" s="444">
        <f t="shared" ca="1" si="185"/>
        <v>-1941357242702606.3</v>
      </c>
      <c r="J5202" s="444">
        <f t="array" ref="J5202">IFERROR(INDEX('Retirement Calculator'!K:K,MATCH('Lorri 401b'!N5202,'Retirement Calculator'!A:A,0),0),0)</f>
        <v>0</v>
      </c>
      <c r="K5202" s="444">
        <f t="shared" ca="1" si="183"/>
        <v>-8088988511260.8594</v>
      </c>
      <c r="L5202" s="444">
        <f t="shared" ca="1" si="184"/>
        <v>-1949446231213867</v>
      </c>
      <c r="M5202" s="460">
        <f t="shared" si="186"/>
        <v>0.05</v>
      </c>
      <c r="N5202" s="464">
        <f t="shared" si="187"/>
        <v>209377</v>
      </c>
    </row>
    <row r="5203" spans="7:14" ht="11.25" customHeight="1" x14ac:dyDescent="0.25">
      <c r="G5203" s="459"/>
      <c r="H5203" s="459">
        <v>5196</v>
      </c>
      <c r="I5203" s="444">
        <f t="shared" ca="1" si="185"/>
        <v>-1949446231213867</v>
      </c>
      <c r="J5203" s="444">
        <f t="array" ref="J5203">IFERROR(INDEX('Retirement Calculator'!K:K,MATCH('Lorri 401b'!N5203,'Retirement Calculator'!A:A,0),0),0)</f>
        <v>0</v>
      </c>
      <c r="K5203" s="444">
        <f t="shared" ca="1" si="183"/>
        <v>-8122692630057.7793</v>
      </c>
      <c r="L5203" s="444">
        <f t="shared" ca="1" si="184"/>
        <v>-1957568923843924.8</v>
      </c>
      <c r="M5203" s="460">
        <f t="shared" si="186"/>
        <v>0.05</v>
      </c>
      <c r="N5203" s="464">
        <f t="shared" si="187"/>
        <v>209407</v>
      </c>
    </row>
    <row r="5204" spans="7:14" ht="11.25" customHeight="1" x14ac:dyDescent="0.25">
      <c r="G5204" s="459"/>
      <c r="H5204" s="459">
        <v>5197</v>
      </c>
      <c r="I5204" s="444">
        <f t="shared" ca="1" si="185"/>
        <v>-1957568923843924.8</v>
      </c>
      <c r="J5204" s="444">
        <f t="array" ref="J5204">IFERROR(INDEX('Retirement Calculator'!K:K,MATCH('Lorri 401b'!N5204,'Retirement Calculator'!A:A,0),0),0)</f>
        <v>0</v>
      </c>
      <c r="K5204" s="444">
        <f t="shared" ca="1" si="183"/>
        <v>-8156537182683.0205</v>
      </c>
      <c r="L5204" s="444">
        <f t="shared" ca="1" si="184"/>
        <v>-1965725461026607.8</v>
      </c>
      <c r="M5204" s="460">
        <f t="shared" si="186"/>
        <v>0.05</v>
      </c>
      <c r="N5204" s="464">
        <f t="shared" si="187"/>
        <v>209438</v>
      </c>
    </row>
    <row r="5205" spans="7:14" ht="11.25" customHeight="1" x14ac:dyDescent="0.25">
      <c r="G5205" s="459"/>
      <c r="H5205" s="459">
        <v>5198</v>
      </c>
      <c r="I5205" s="444">
        <f t="shared" ca="1" si="185"/>
        <v>-1965725461026607.8</v>
      </c>
      <c r="J5205" s="444">
        <f t="array" ref="J5205">IFERROR(INDEX('Retirement Calculator'!K:K,MATCH('Lorri 401b'!N5205,'Retirement Calculator'!A:A,0),0),0)</f>
        <v>0</v>
      </c>
      <c r="K5205" s="444">
        <f t="shared" ca="1" si="183"/>
        <v>-8190522754277.5322</v>
      </c>
      <c r="L5205" s="444">
        <f t="shared" ca="1" si="184"/>
        <v>-1973915983780885.3</v>
      </c>
      <c r="M5205" s="460">
        <f t="shared" si="186"/>
        <v>0.05</v>
      </c>
      <c r="N5205" s="464">
        <f t="shared" si="187"/>
        <v>209468</v>
      </c>
    </row>
    <row r="5206" spans="7:14" ht="11.25" customHeight="1" x14ac:dyDescent="0.25">
      <c r="G5206" s="459"/>
      <c r="H5206" s="459">
        <v>5199</v>
      </c>
      <c r="I5206" s="444">
        <f t="shared" ca="1" si="185"/>
        <v>-1973915983780885.3</v>
      </c>
      <c r="J5206" s="444">
        <f t="array" ref="J5206">IFERROR(INDEX('Retirement Calculator'!K:K,MATCH('Lorri 401b'!N5206,'Retirement Calculator'!A:A,0),0),0)</f>
        <v>0</v>
      </c>
      <c r="K5206" s="444">
        <f t="shared" ca="1" si="183"/>
        <v>-8224649932420.3545</v>
      </c>
      <c r="L5206" s="444">
        <f t="shared" ca="1" si="184"/>
        <v>-1982140633713305.5</v>
      </c>
      <c r="M5206" s="460">
        <f t="shared" si="186"/>
        <v>0.05</v>
      </c>
      <c r="N5206" s="464">
        <f t="shared" si="187"/>
        <v>209499</v>
      </c>
    </row>
    <row r="5207" spans="7:14" ht="11.25" customHeight="1" x14ac:dyDescent="0.25">
      <c r="G5207" s="459"/>
      <c r="H5207" s="459">
        <v>5200</v>
      </c>
      <c r="I5207" s="444">
        <f t="shared" ca="1" si="185"/>
        <v>-1982140633713305.5</v>
      </c>
      <c r="J5207" s="444">
        <f t="array" ref="J5207">IFERROR(INDEX('Retirement Calculator'!K:K,MATCH('Lorri 401b'!N5207,'Retirement Calculator'!A:A,0),0),0)</f>
        <v>0</v>
      </c>
      <c r="K5207" s="444">
        <f t="shared" ca="1" si="183"/>
        <v>-8258919307138.7725</v>
      </c>
      <c r="L5207" s="444">
        <f t="shared" ca="1" si="184"/>
        <v>-1990399553020444.3</v>
      </c>
      <c r="M5207" s="460">
        <f t="shared" si="186"/>
        <v>0.05</v>
      </c>
      <c r="N5207" s="464">
        <f t="shared" si="187"/>
        <v>209530</v>
      </c>
    </row>
    <row r="5208" spans="7:14" ht="11.25" customHeight="1" x14ac:dyDescent="0.25">
      <c r="G5208" s="459"/>
      <c r="H5208" s="459">
        <v>5201</v>
      </c>
      <c r="I5208" s="444">
        <f t="shared" ca="1" si="185"/>
        <v>-1990399553020444.3</v>
      </c>
      <c r="J5208" s="444">
        <f t="array" ref="J5208">IFERROR(INDEX('Retirement Calculator'!K:K,MATCH('Lorri 401b'!N5208,'Retirement Calculator'!A:A,0),0),0)</f>
        <v>0</v>
      </c>
      <c r="K5208" s="444">
        <f t="shared" ca="1" si="183"/>
        <v>-8293331470918.5176</v>
      </c>
      <c r="L5208" s="444">
        <f t="shared" ca="1" si="184"/>
        <v>-1998692884491362.8</v>
      </c>
      <c r="M5208" s="460">
        <f t="shared" si="186"/>
        <v>0.05</v>
      </c>
      <c r="N5208" s="464">
        <f t="shared" si="187"/>
        <v>209560</v>
      </c>
    </row>
    <row r="5209" spans="7:14" ht="11.25" customHeight="1" x14ac:dyDescent="0.25">
      <c r="G5209" s="459"/>
      <c r="H5209" s="459">
        <v>5202</v>
      </c>
      <c r="I5209" s="444">
        <f t="shared" ca="1" si="185"/>
        <v>-1998692884491362.8</v>
      </c>
      <c r="J5209" s="444">
        <f t="array" ref="J5209">IFERROR(INDEX('Retirement Calculator'!K:K,MATCH('Lorri 401b'!N5209,'Retirement Calculator'!A:A,0),0),0)</f>
        <v>0</v>
      </c>
      <c r="K5209" s="444">
        <f t="shared" ca="1" si="183"/>
        <v>-8327887018714.0117</v>
      </c>
      <c r="L5209" s="444">
        <f t="shared" ca="1" si="184"/>
        <v>-2007020771510076.8</v>
      </c>
      <c r="M5209" s="460">
        <f t="shared" si="186"/>
        <v>0.05</v>
      </c>
      <c r="N5209" s="464">
        <f t="shared" si="187"/>
        <v>209591</v>
      </c>
    </row>
    <row r="5210" spans="7:14" ht="11.25" customHeight="1" x14ac:dyDescent="0.25">
      <c r="G5210" s="459"/>
      <c r="H5210" s="459">
        <v>5203</v>
      </c>
      <c r="I5210" s="444">
        <f t="shared" ca="1" si="185"/>
        <v>-2007020771510076.8</v>
      </c>
      <c r="J5210" s="444">
        <f t="array" ref="J5210">IFERROR(INDEX('Retirement Calculator'!K:K,MATCH('Lorri 401b'!N5210,'Retirement Calculator'!A:A,0),0),0)</f>
        <v>0</v>
      </c>
      <c r="K5210" s="444">
        <f t="shared" ca="1" si="183"/>
        <v>-8362586547958.6533</v>
      </c>
      <c r="L5210" s="444">
        <f t="shared" ca="1" si="184"/>
        <v>-2015383358058035.5</v>
      </c>
      <c r="M5210" s="460">
        <f t="shared" si="186"/>
        <v>0.05</v>
      </c>
      <c r="N5210" s="464">
        <f t="shared" si="187"/>
        <v>209621</v>
      </c>
    </row>
    <row r="5211" spans="7:14" ht="11.25" customHeight="1" x14ac:dyDescent="0.25">
      <c r="G5211" s="459"/>
      <c r="H5211" s="459">
        <v>5204</v>
      </c>
      <c r="I5211" s="444">
        <f t="shared" ca="1" si="185"/>
        <v>-2015383358058035.5</v>
      </c>
      <c r="J5211" s="444">
        <f t="array" ref="J5211">IFERROR(INDEX('Retirement Calculator'!K:K,MATCH('Lorri 401b'!N5211,'Retirement Calculator'!A:A,0),0),0)</f>
        <v>0</v>
      </c>
      <c r="K5211" s="444">
        <f t="shared" ca="1" si="183"/>
        <v>-8397430658575.1475</v>
      </c>
      <c r="L5211" s="444">
        <f t="shared" ca="1" si="184"/>
        <v>-2023780788716610.8</v>
      </c>
      <c r="M5211" s="460">
        <f t="shared" si="186"/>
        <v>0.05</v>
      </c>
      <c r="N5211" s="464">
        <f t="shared" si="187"/>
        <v>209652</v>
      </c>
    </row>
    <row r="5212" spans="7:14" ht="11.25" customHeight="1" x14ac:dyDescent="0.25">
      <c r="G5212" s="459"/>
      <c r="H5212" s="459">
        <v>5205</v>
      </c>
      <c r="I5212" s="444">
        <f t="shared" ca="1" si="185"/>
        <v>-2023780788716610.8</v>
      </c>
      <c r="J5212" s="444">
        <f t="array" ref="J5212">IFERROR(INDEX('Retirement Calculator'!K:K,MATCH('Lorri 401b'!N5212,'Retirement Calculator'!A:A,0),0),0)</f>
        <v>0</v>
      </c>
      <c r="K5212" s="444">
        <f t="shared" ca="1" si="183"/>
        <v>-8432419952985.8779</v>
      </c>
      <c r="L5212" s="444">
        <f t="shared" ca="1" si="184"/>
        <v>-2032213208669596.8</v>
      </c>
      <c r="M5212" s="460">
        <f t="shared" si="186"/>
        <v>0.05</v>
      </c>
      <c r="N5212" s="464">
        <f t="shared" si="187"/>
        <v>209683</v>
      </c>
    </row>
    <row r="5213" spans="7:14" ht="11.25" customHeight="1" x14ac:dyDescent="0.25">
      <c r="G5213" s="459"/>
      <c r="H5213" s="459">
        <v>5206</v>
      </c>
      <c r="I5213" s="444">
        <f t="shared" ca="1" si="185"/>
        <v>-2032213208669596.8</v>
      </c>
      <c r="J5213" s="444">
        <f t="array" ref="J5213">IFERROR(INDEX('Retirement Calculator'!K:K,MATCH('Lorri 401b'!N5213,'Retirement Calculator'!A:A,0),0),0)</f>
        <v>0</v>
      </c>
      <c r="K5213" s="444">
        <f t="shared" ca="1" si="183"/>
        <v>-8467555036123.3203</v>
      </c>
      <c r="L5213" s="444">
        <f t="shared" ca="1" si="184"/>
        <v>-2040680763705720</v>
      </c>
      <c r="M5213" s="460">
        <f t="shared" si="186"/>
        <v>0.05</v>
      </c>
      <c r="N5213" s="464">
        <f t="shared" si="187"/>
        <v>209711</v>
      </c>
    </row>
    <row r="5214" spans="7:14" ht="11.25" customHeight="1" x14ac:dyDescent="0.25">
      <c r="G5214" s="459"/>
      <c r="H5214" s="459">
        <v>5207</v>
      </c>
      <c r="I5214" s="444">
        <f t="shared" ca="1" si="185"/>
        <v>-2040680763705720</v>
      </c>
      <c r="J5214" s="444">
        <f t="array" ref="J5214">IFERROR(INDEX('Retirement Calculator'!K:K,MATCH('Lorri 401b'!N5214,'Retirement Calculator'!A:A,0),0),0)</f>
        <v>0</v>
      </c>
      <c r="K5214" s="444">
        <f t="shared" ca="1" si="183"/>
        <v>-8502836515440.501</v>
      </c>
      <c r="L5214" s="444">
        <f t="shared" ca="1" si="184"/>
        <v>-2049183600221160.5</v>
      </c>
      <c r="M5214" s="460">
        <f t="shared" si="186"/>
        <v>0.05</v>
      </c>
      <c r="N5214" s="464">
        <f t="shared" si="187"/>
        <v>209742</v>
      </c>
    </row>
    <row r="5215" spans="7:14" ht="11.25" customHeight="1" x14ac:dyDescent="0.25">
      <c r="G5215" s="459"/>
      <c r="H5215" s="459">
        <v>5208</v>
      </c>
      <c r="I5215" s="444">
        <f t="shared" ca="1" si="185"/>
        <v>-2049183600221160.5</v>
      </c>
      <c r="J5215" s="444">
        <f t="array" ref="J5215">IFERROR(INDEX('Retirement Calculator'!K:K,MATCH('Lorri 401b'!N5215,'Retirement Calculator'!A:A,0),0),0)</f>
        <v>0</v>
      </c>
      <c r="K5215" s="444">
        <f t="shared" ca="1" si="183"/>
        <v>-8538265000921.502</v>
      </c>
      <c r="L5215" s="444">
        <f t="shared" ca="1" si="184"/>
        <v>-2057721865222082</v>
      </c>
      <c r="M5215" s="460">
        <f t="shared" si="186"/>
        <v>0.05</v>
      </c>
      <c r="N5215" s="464">
        <f t="shared" si="187"/>
        <v>209772</v>
      </c>
    </row>
    <row r="5216" spans="7:14" ht="11.25" customHeight="1" x14ac:dyDescent="0.25">
      <c r="G5216" s="459"/>
      <c r="H5216" s="459">
        <v>5209</v>
      </c>
      <c r="I5216" s="444">
        <f t="shared" ca="1" si="185"/>
        <v>-2057721865222082</v>
      </c>
      <c r="J5216" s="444">
        <f t="array" ref="J5216">IFERROR(INDEX('Retirement Calculator'!K:K,MATCH('Lorri 401b'!N5216,'Retirement Calculator'!A:A,0),0),0)</f>
        <v>0</v>
      </c>
      <c r="K5216" s="444">
        <f t="shared" ca="1" si="183"/>
        <v>-8573841105092.0078</v>
      </c>
      <c r="L5216" s="444">
        <f t="shared" ca="1" si="184"/>
        <v>-2066295706327174</v>
      </c>
      <c r="M5216" s="460">
        <f t="shared" si="186"/>
        <v>0.05</v>
      </c>
      <c r="N5216" s="464">
        <f t="shared" si="187"/>
        <v>209803</v>
      </c>
    </row>
    <row r="5217" spans="7:14" ht="11.25" customHeight="1" x14ac:dyDescent="0.25">
      <c r="G5217" s="459"/>
      <c r="H5217" s="459">
        <v>5210</v>
      </c>
      <c r="I5217" s="444">
        <f t="shared" ca="1" si="185"/>
        <v>-2066295706327174</v>
      </c>
      <c r="J5217" s="444">
        <f t="array" ref="J5217">IFERROR(INDEX('Retirement Calculator'!K:K,MATCH('Lorri 401b'!N5217,'Retirement Calculator'!A:A,0),0),0)</f>
        <v>0</v>
      </c>
      <c r="K5217" s="444">
        <f t="shared" ca="1" si="183"/>
        <v>-8609565443029.8916</v>
      </c>
      <c r="L5217" s="444">
        <f t="shared" ca="1" si="184"/>
        <v>-2074905271770204</v>
      </c>
      <c r="M5217" s="460">
        <f t="shared" si="186"/>
        <v>0.05</v>
      </c>
      <c r="N5217" s="464">
        <f t="shared" si="187"/>
        <v>209833</v>
      </c>
    </row>
    <row r="5218" spans="7:14" ht="11.25" customHeight="1" x14ac:dyDescent="0.25">
      <c r="G5218" s="459"/>
      <c r="H5218" s="459">
        <v>5211</v>
      </c>
      <c r="I5218" s="444">
        <f t="shared" ca="1" si="185"/>
        <v>-2074905271770204</v>
      </c>
      <c r="J5218" s="444">
        <f t="array" ref="J5218">IFERROR(INDEX('Retirement Calculator'!K:K,MATCH('Lorri 401b'!N5218,'Retirement Calculator'!A:A,0),0),0)</f>
        <v>0</v>
      </c>
      <c r="K5218" s="444">
        <f t="shared" ca="1" si="183"/>
        <v>-8645438632375.8486</v>
      </c>
      <c r="L5218" s="444">
        <f t="shared" ca="1" si="184"/>
        <v>-2083550710402579.8</v>
      </c>
      <c r="M5218" s="460">
        <f t="shared" si="186"/>
        <v>0.05</v>
      </c>
      <c r="N5218" s="464">
        <f t="shared" si="187"/>
        <v>209864</v>
      </c>
    </row>
    <row r="5219" spans="7:14" ht="11.25" customHeight="1" x14ac:dyDescent="0.25">
      <c r="G5219" s="459"/>
      <c r="H5219" s="459">
        <v>5212</v>
      </c>
      <c r="I5219" s="444">
        <f t="shared" ca="1" si="185"/>
        <v>-2083550710402579.8</v>
      </c>
      <c r="J5219" s="444">
        <f t="array" ref="J5219">IFERROR(INDEX('Retirement Calculator'!K:K,MATCH('Lorri 401b'!N5219,'Retirement Calculator'!A:A,0),0),0)</f>
        <v>0</v>
      </c>
      <c r="K5219" s="444">
        <f t="shared" ca="1" si="183"/>
        <v>-8681461293344.082</v>
      </c>
      <c r="L5219" s="444">
        <f t="shared" ca="1" si="184"/>
        <v>-2092232171695923.8</v>
      </c>
      <c r="M5219" s="460">
        <f t="shared" si="186"/>
        <v>0.05</v>
      </c>
      <c r="N5219" s="464">
        <f t="shared" si="187"/>
        <v>209895</v>
      </c>
    </row>
    <row r="5220" spans="7:14" ht="11.25" customHeight="1" x14ac:dyDescent="0.25">
      <c r="G5220" s="459"/>
      <c r="H5220" s="459">
        <v>5213</v>
      </c>
      <c r="I5220" s="444">
        <f t="shared" ca="1" si="185"/>
        <v>-2092232171695923.8</v>
      </c>
      <c r="J5220" s="444">
        <f t="array" ref="J5220">IFERROR(INDEX('Retirement Calculator'!K:K,MATCH('Lorri 401b'!N5220,'Retirement Calculator'!A:A,0),0),0)</f>
        <v>0</v>
      </c>
      <c r="K5220" s="444">
        <f t="shared" ca="1" si="183"/>
        <v>-8717634048733.0156</v>
      </c>
      <c r="L5220" s="444">
        <f t="shared" ca="1" si="184"/>
        <v>-2100949805744656.8</v>
      </c>
      <c r="M5220" s="460">
        <f t="shared" si="186"/>
        <v>0.05</v>
      </c>
      <c r="N5220" s="464">
        <f t="shared" si="187"/>
        <v>209925</v>
      </c>
    </row>
    <row r="5221" spans="7:14" ht="11.25" customHeight="1" x14ac:dyDescent="0.25">
      <c r="G5221" s="459"/>
      <c r="H5221" s="459">
        <v>5214</v>
      </c>
      <c r="I5221" s="444">
        <f t="shared" ca="1" si="185"/>
        <v>-2100949805744656.8</v>
      </c>
      <c r="J5221" s="444">
        <f t="array" ref="J5221">IFERROR(INDEX('Retirement Calculator'!K:K,MATCH('Lorri 401b'!N5221,'Retirement Calculator'!A:A,0),0),0)</f>
        <v>0</v>
      </c>
      <c r="K5221" s="444">
        <f t="shared" ca="1" si="183"/>
        <v>-8753957523936.0693</v>
      </c>
      <c r="L5221" s="444">
        <f t="shared" ca="1" si="184"/>
        <v>-2109703763268592.8</v>
      </c>
      <c r="M5221" s="460">
        <f t="shared" si="186"/>
        <v>0.05</v>
      </c>
      <c r="N5221" s="464">
        <f t="shared" si="187"/>
        <v>209956</v>
      </c>
    </row>
    <row r="5222" spans="7:14" ht="11.25" customHeight="1" x14ac:dyDescent="0.25">
      <c r="G5222" s="459"/>
      <c r="H5222" s="459">
        <v>5215</v>
      </c>
      <c r="I5222" s="444">
        <f t="shared" ca="1" si="185"/>
        <v>-2109703763268592.8</v>
      </c>
      <c r="J5222" s="444">
        <f t="array" ref="J5222">IFERROR(INDEX('Retirement Calculator'!K:K,MATCH('Lorri 401b'!N5222,'Retirement Calculator'!A:A,0),0),0)</f>
        <v>0</v>
      </c>
      <c r="K5222" s="444">
        <f t="shared" ca="1" si="183"/>
        <v>-8790432346952.4707</v>
      </c>
      <c r="L5222" s="444">
        <f t="shared" ca="1" si="184"/>
        <v>-2118494195615545.3</v>
      </c>
      <c r="M5222" s="460">
        <f t="shared" si="186"/>
        <v>0.05</v>
      </c>
      <c r="N5222" s="464">
        <f t="shared" si="187"/>
        <v>209986</v>
      </c>
    </row>
    <row r="5223" spans="7:14" ht="11.25" customHeight="1" x14ac:dyDescent="0.25">
      <c r="G5223" s="459"/>
      <c r="H5223" s="459">
        <v>5216</v>
      </c>
      <c r="I5223" s="444">
        <f t="shared" ca="1" si="185"/>
        <v>-2118494195615545.3</v>
      </c>
      <c r="J5223" s="444">
        <f t="array" ref="J5223">IFERROR(INDEX('Retirement Calculator'!K:K,MATCH('Lorri 401b'!N5223,'Retirement Calculator'!A:A,0),0),0)</f>
        <v>0</v>
      </c>
      <c r="K5223" s="444">
        <f t="shared" ca="1" si="183"/>
        <v>-8827059148398.1055</v>
      </c>
      <c r="L5223" s="444">
        <f t="shared" ca="1" si="184"/>
        <v>-2127321254763943.3</v>
      </c>
      <c r="M5223" s="460">
        <f t="shared" si="186"/>
        <v>0.05</v>
      </c>
      <c r="N5223" s="464">
        <f t="shared" si="187"/>
        <v>210017</v>
      </c>
    </row>
    <row r="5224" spans="7:14" ht="11.25" customHeight="1" x14ac:dyDescent="0.25">
      <c r="G5224" s="459"/>
      <c r="H5224" s="459">
        <v>5217</v>
      </c>
      <c r="I5224" s="444">
        <f t="shared" ca="1" si="185"/>
        <v>-2127321254763943.3</v>
      </c>
      <c r="J5224" s="444">
        <f t="array" ref="J5224">IFERROR(INDEX('Retirement Calculator'!K:K,MATCH('Lorri 401b'!N5224,'Retirement Calculator'!A:A,0),0),0)</f>
        <v>0</v>
      </c>
      <c r="K5224" s="444">
        <f t="shared" ca="1" si="183"/>
        <v>-8863838561516.4297</v>
      </c>
      <c r="L5224" s="444">
        <f t="shared" ca="1" si="184"/>
        <v>-2136185093325459.8</v>
      </c>
      <c r="M5224" s="460">
        <f t="shared" si="186"/>
        <v>0.05</v>
      </c>
      <c r="N5224" s="464">
        <f t="shared" si="187"/>
        <v>210048</v>
      </c>
    </row>
    <row r="5225" spans="7:14" ht="11.25" customHeight="1" x14ac:dyDescent="0.25">
      <c r="G5225" s="459"/>
      <c r="H5225" s="459">
        <v>5218</v>
      </c>
      <c r="I5225" s="444">
        <f t="shared" ca="1" si="185"/>
        <v>-2136185093325459.8</v>
      </c>
      <c r="J5225" s="444">
        <f t="array" ref="J5225">IFERROR(INDEX('Retirement Calculator'!K:K,MATCH('Lorri 401b'!N5225,'Retirement Calculator'!A:A,0),0),0)</f>
        <v>0</v>
      </c>
      <c r="K5225" s="444">
        <f t="shared" ca="1" si="183"/>
        <v>-8900771222189.416</v>
      </c>
      <c r="L5225" s="444">
        <f t="shared" ca="1" si="184"/>
        <v>-2145085864547649.3</v>
      </c>
      <c r="M5225" s="460">
        <f t="shared" si="186"/>
        <v>0.05</v>
      </c>
      <c r="N5225" s="464">
        <f t="shared" si="187"/>
        <v>210076</v>
      </c>
    </row>
    <row r="5226" spans="7:14" ht="11.25" customHeight="1" x14ac:dyDescent="0.25">
      <c r="G5226" s="459"/>
      <c r="H5226" s="459">
        <v>5219</v>
      </c>
      <c r="I5226" s="444">
        <f t="shared" ca="1" si="185"/>
        <v>-2145085864547649.3</v>
      </c>
      <c r="J5226" s="444">
        <f t="array" ref="J5226">IFERROR(INDEX('Retirement Calculator'!K:K,MATCH('Lorri 401b'!N5226,'Retirement Calculator'!A:A,0),0),0)</f>
        <v>0</v>
      </c>
      <c r="K5226" s="444">
        <f t="shared" ca="1" si="183"/>
        <v>-8937857768948.5391</v>
      </c>
      <c r="L5226" s="444">
        <f t="shared" ca="1" si="184"/>
        <v>-2154023722316597.8</v>
      </c>
      <c r="M5226" s="460">
        <f t="shared" si="186"/>
        <v>0.05</v>
      </c>
      <c r="N5226" s="464">
        <f t="shared" si="187"/>
        <v>210107</v>
      </c>
    </row>
    <row r="5227" spans="7:14" ht="11.25" customHeight="1" x14ac:dyDescent="0.25">
      <c r="G5227" s="459"/>
      <c r="H5227" s="459">
        <v>5220</v>
      </c>
      <c r="I5227" s="444">
        <f t="shared" ca="1" si="185"/>
        <v>-2154023722316597.8</v>
      </c>
      <c r="J5227" s="444">
        <f t="array" ref="J5227">IFERROR(INDEX('Retirement Calculator'!K:K,MATCH('Lorri 401b'!N5227,'Retirement Calculator'!A:A,0),0),0)</f>
        <v>0</v>
      </c>
      <c r="K5227" s="444">
        <f t="shared" ca="1" si="183"/>
        <v>-8975098842985.8242</v>
      </c>
      <c r="L5227" s="444">
        <f t="shared" ca="1" si="184"/>
        <v>-2162998821159583.5</v>
      </c>
      <c r="M5227" s="460">
        <f t="shared" si="186"/>
        <v>0.05</v>
      </c>
      <c r="N5227" s="464">
        <f t="shared" si="187"/>
        <v>210137</v>
      </c>
    </row>
    <row r="5228" spans="7:14" ht="11.25" customHeight="1" x14ac:dyDescent="0.25">
      <c r="G5228" s="459"/>
      <c r="H5228" s="459">
        <v>5221</v>
      </c>
      <c r="I5228" s="444">
        <f t="shared" ca="1" si="185"/>
        <v>-2162998821159583.5</v>
      </c>
      <c r="J5228" s="444">
        <f t="array" ref="J5228">IFERROR(INDEX('Retirement Calculator'!K:K,MATCH('Lorri 401b'!N5228,'Retirement Calculator'!A:A,0),0),0)</f>
        <v>0</v>
      </c>
      <c r="K5228" s="444">
        <f t="shared" ca="1" si="183"/>
        <v>-9012495088164.9297</v>
      </c>
      <c r="L5228" s="444">
        <f t="shared" ca="1" si="184"/>
        <v>-2172011316247748.5</v>
      </c>
      <c r="M5228" s="460">
        <f t="shared" si="186"/>
        <v>0.05</v>
      </c>
      <c r="N5228" s="464">
        <f t="shared" si="187"/>
        <v>210168</v>
      </c>
    </row>
    <row r="5229" spans="7:14" ht="11.25" customHeight="1" x14ac:dyDescent="0.25">
      <c r="G5229" s="459"/>
      <c r="H5229" s="459">
        <v>5222</v>
      </c>
      <c r="I5229" s="444">
        <f t="shared" ca="1" si="185"/>
        <v>-2172011316247748.5</v>
      </c>
      <c r="J5229" s="444">
        <f t="array" ref="J5229">IFERROR(INDEX('Retirement Calculator'!K:K,MATCH('Lorri 401b'!N5229,'Retirement Calculator'!A:A,0),0),0)</f>
        <v>0</v>
      </c>
      <c r="K5229" s="444">
        <f t="shared" ca="1" si="183"/>
        <v>-9050047151032.2852</v>
      </c>
      <c r="L5229" s="444">
        <f t="shared" ca="1" si="184"/>
        <v>-2181061363398780.8</v>
      </c>
      <c r="M5229" s="460">
        <f t="shared" si="186"/>
        <v>0.05</v>
      </c>
      <c r="N5229" s="464">
        <f t="shared" si="187"/>
        <v>210198</v>
      </c>
    </row>
    <row r="5230" spans="7:14" ht="11.25" customHeight="1" x14ac:dyDescent="0.25">
      <c r="G5230" s="459"/>
      <c r="H5230" s="459">
        <v>5223</v>
      </c>
      <c r="I5230" s="444">
        <f t="shared" ca="1" si="185"/>
        <v>-2181061363398780.8</v>
      </c>
      <c r="J5230" s="444">
        <f t="array" ref="J5230">IFERROR(INDEX('Retirement Calculator'!K:K,MATCH('Lorri 401b'!N5230,'Retirement Calculator'!A:A,0),0),0)</f>
        <v>0</v>
      </c>
      <c r="K5230" s="444">
        <f t="shared" ca="1" si="183"/>
        <v>-9087755680828.252</v>
      </c>
      <c r="L5230" s="444">
        <f t="shared" ca="1" si="184"/>
        <v>-2190149119079609</v>
      </c>
      <c r="M5230" s="460">
        <f t="shared" si="186"/>
        <v>0.05</v>
      </c>
      <c r="N5230" s="464">
        <f t="shared" si="187"/>
        <v>210229</v>
      </c>
    </row>
    <row r="5231" spans="7:14" ht="11.25" customHeight="1" x14ac:dyDescent="0.25">
      <c r="G5231" s="459"/>
      <c r="H5231" s="459">
        <v>5224</v>
      </c>
      <c r="I5231" s="444">
        <f t="shared" ca="1" si="185"/>
        <v>-2190149119079609</v>
      </c>
      <c r="J5231" s="444">
        <f t="array" ref="J5231">IFERROR(INDEX('Retirement Calculator'!K:K,MATCH('Lorri 401b'!N5231,'Retirement Calculator'!A:A,0),0),0)</f>
        <v>0</v>
      </c>
      <c r="K5231" s="444">
        <f t="shared" ca="1" si="183"/>
        <v>-9125621329498.3711</v>
      </c>
      <c r="L5231" s="444">
        <f t="shared" ca="1" si="184"/>
        <v>-2199274740409107.3</v>
      </c>
      <c r="M5231" s="460">
        <f t="shared" si="186"/>
        <v>0.05</v>
      </c>
      <c r="N5231" s="464">
        <f t="shared" si="187"/>
        <v>210260</v>
      </c>
    </row>
    <row r="5232" spans="7:14" ht="11.25" customHeight="1" x14ac:dyDescent="0.25">
      <c r="G5232" s="459"/>
      <c r="H5232" s="459">
        <v>5225</v>
      </c>
      <c r="I5232" s="444">
        <f t="shared" ca="1" si="185"/>
        <v>-2199274740409107.3</v>
      </c>
      <c r="J5232" s="444">
        <f t="array" ref="J5232">IFERROR(INDEX('Retirement Calculator'!K:K,MATCH('Lorri 401b'!N5232,'Retirement Calculator'!A:A,0),0),0)</f>
        <v>0</v>
      </c>
      <c r="K5232" s="444">
        <f t="shared" ca="1" si="183"/>
        <v>-9163644751704.6152</v>
      </c>
      <c r="L5232" s="444">
        <f t="shared" ca="1" si="184"/>
        <v>-2208438385160811.8</v>
      </c>
      <c r="M5232" s="460">
        <f t="shared" si="186"/>
        <v>0.05</v>
      </c>
      <c r="N5232" s="464">
        <f t="shared" si="187"/>
        <v>210290</v>
      </c>
    </row>
    <row r="5233" spans="7:14" ht="11.25" customHeight="1" x14ac:dyDescent="0.25">
      <c r="G5233" s="459"/>
      <c r="H5233" s="459">
        <v>5226</v>
      </c>
      <c r="I5233" s="444">
        <f t="shared" ca="1" si="185"/>
        <v>-2208438385160811.8</v>
      </c>
      <c r="J5233" s="444">
        <f t="array" ref="J5233">IFERROR(INDEX('Retirement Calculator'!K:K,MATCH('Lorri 401b'!N5233,'Retirement Calculator'!A:A,0),0),0)</f>
        <v>0</v>
      </c>
      <c r="K5233" s="444">
        <f t="shared" ca="1" si="183"/>
        <v>-9201826604836.7148</v>
      </c>
      <c r="L5233" s="444">
        <f t="shared" ca="1" si="184"/>
        <v>-2217640211765648.5</v>
      </c>
      <c r="M5233" s="460">
        <f t="shared" si="186"/>
        <v>0.05</v>
      </c>
      <c r="N5233" s="464">
        <f t="shared" si="187"/>
        <v>210321</v>
      </c>
    </row>
    <row r="5234" spans="7:14" ht="11.25" customHeight="1" x14ac:dyDescent="0.25">
      <c r="G5234" s="459"/>
      <c r="H5234" s="459">
        <v>5227</v>
      </c>
      <c r="I5234" s="444">
        <f t="shared" ca="1" si="185"/>
        <v>-2217640211765648.5</v>
      </c>
      <c r="J5234" s="444">
        <f t="array" ref="J5234">IFERROR(INDEX('Retirement Calculator'!K:K,MATCH('Lorri 401b'!N5234,'Retirement Calculator'!A:A,0),0),0)</f>
        <v>0</v>
      </c>
      <c r="K5234" s="444">
        <f t="shared" ca="1" si="183"/>
        <v>-9240167549023.5352</v>
      </c>
      <c r="L5234" s="444">
        <f t="shared" ca="1" si="184"/>
        <v>-2226880379314672</v>
      </c>
      <c r="M5234" s="460">
        <f t="shared" si="186"/>
        <v>0.05</v>
      </c>
      <c r="N5234" s="464">
        <f t="shared" si="187"/>
        <v>210351</v>
      </c>
    </row>
    <row r="5235" spans="7:14" ht="11.25" customHeight="1" x14ac:dyDescent="0.25">
      <c r="G5235" s="459"/>
      <c r="H5235" s="459">
        <v>5228</v>
      </c>
      <c r="I5235" s="444">
        <f t="shared" ca="1" si="185"/>
        <v>-2226880379314672</v>
      </c>
      <c r="J5235" s="444">
        <f t="array" ref="J5235">IFERROR(INDEX('Retirement Calculator'!K:K,MATCH('Lorri 401b'!N5235,'Retirement Calculator'!A:A,0),0),0)</f>
        <v>0</v>
      </c>
      <c r="K5235" s="444">
        <f t="shared" ca="1" si="183"/>
        <v>-9278668247144.4668</v>
      </c>
      <c r="L5235" s="444">
        <f t="shared" ca="1" si="184"/>
        <v>-2236159047561816.5</v>
      </c>
      <c r="M5235" s="460">
        <f t="shared" si="186"/>
        <v>0.05</v>
      </c>
      <c r="N5235" s="464">
        <f t="shared" si="187"/>
        <v>210382</v>
      </c>
    </row>
    <row r="5236" spans="7:14" ht="11.25" customHeight="1" x14ac:dyDescent="0.25">
      <c r="G5236" s="459"/>
      <c r="H5236" s="459">
        <v>5229</v>
      </c>
      <c r="I5236" s="444">
        <f t="shared" ca="1" si="185"/>
        <v>-2236159047561816.5</v>
      </c>
      <c r="J5236" s="444">
        <f t="array" ref="J5236">IFERROR(INDEX('Retirement Calculator'!K:K,MATCH('Lorri 401b'!N5236,'Retirement Calculator'!A:A,0),0),0)</f>
        <v>0</v>
      </c>
      <c r="K5236" s="444">
        <f t="shared" ca="1" si="183"/>
        <v>-9317329364840.9023</v>
      </c>
      <c r="L5236" s="444">
        <f t="shared" ca="1" si="184"/>
        <v>-2245476376926657.5</v>
      </c>
      <c r="M5236" s="460">
        <f t="shared" si="186"/>
        <v>0.05</v>
      </c>
      <c r="N5236" s="464">
        <f t="shared" si="187"/>
        <v>210413</v>
      </c>
    </row>
    <row r="5237" spans="7:14" ht="11.25" customHeight="1" x14ac:dyDescent="0.25">
      <c r="G5237" s="459"/>
      <c r="H5237" s="459">
        <v>5230</v>
      </c>
      <c r="I5237" s="444">
        <f t="shared" ca="1" si="185"/>
        <v>-2245476376926657.5</v>
      </c>
      <c r="J5237" s="444">
        <f t="array" ref="J5237">IFERROR(INDEX('Retirement Calculator'!K:K,MATCH('Lorri 401b'!N5237,'Retirement Calculator'!A:A,0),0),0)</f>
        <v>0</v>
      </c>
      <c r="K5237" s="444">
        <f t="shared" ca="1" si="183"/>
        <v>-9356151570527.7402</v>
      </c>
      <c r="L5237" s="444">
        <f t="shared" ca="1" si="184"/>
        <v>-2254832528497185</v>
      </c>
      <c r="M5237" s="460">
        <f t="shared" si="186"/>
        <v>0.05</v>
      </c>
      <c r="N5237" s="464">
        <f t="shared" si="187"/>
        <v>210442</v>
      </c>
    </row>
    <row r="5238" spans="7:14" ht="11.25" customHeight="1" x14ac:dyDescent="0.25">
      <c r="G5238" s="459"/>
      <c r="H5238" s="459">
        <v>5231</v>
      </c>
      <c r="I5238" s="444">
        <f t="shared" ca="1" si="185"/>
        <v>-2254832528497185</v>
      </c>
      <c r="J5238" s="444">
        <f t="array" ref="J5238">IFERROR(INDEX('Retirement Calculator'!K:K,MATCH('Lorri 401b'!N5238,'Retirement Calculator'!A:A,0),0),0)</f>
        <v>0</v>
      </c>
      <c r="K5238" s="444">
        <f t="shared" ca="1" si="183"/>
        <v>-9395135535404.9375</v>
      </c>
      <c r="L5238" s="444">
        <f t="shared" ca="1" si="184"/>
        <v>-2264227664032590</v>
      </c>
      <c r="M5238" s="460">
        <f t="shared" si="186"/>
        <v>0.05</v>
      </c>
      <c r="N5238" s="464">
        <f t="shared" si="187"/>
        <v>210473</v>
      </c>
    </row>
    <row r="5239" spans="7:14" ht="11.25" customHeight="1" x14ac:dyDescent="0.25">
      <c r="G5239" s="459"/>
      <c r="H5239" s="459">
        <v>5232</v>
      </c>
      <c r="I5239" s="444">
        <f t="shared" ca="1" si="185"/>
        <v>-2264227664032590</v>
      </c>
      <c r="J5239" s="444">
        <f t="array" ref="J5239">IFERROR(INDEX('Retirement Calculator'!K:K,MATCH('Lorri 401b'!N5239,'Retirement Calculator'!A:A,0),0),0)</f>
        <v>0</v>
      </c>
      <c r="K5239" s="444">
        <f t="shared" ca="1" si="183"/>
        <v>-9434281933469.125</v>
      </c>
      <c r="L5239" s="444">
        <f t="shared" ca="1" si="184"/>
        <v>-2273661945966059</v>
      </c>
      <c r="M5239" s="460">
        <f t="shared" si="186"/>
        <v>0.05</v>
      </c>
      <c r="N5239" s="464">
        <f t="shared" si="187"/>
        <v>210503</v>
      </c>
    </row>
    <row r="5240" spans="7:14" ht="11.25" customHeight="1" x14ac:dyDescent="0.25">
      <c r="G5240" s="459"/>
      <c r="H5240" s="459">
        <v>5233</v>
      </c>
      <c r="I5240" s="444">
        <f t="shared" ca="1" si="185"/>
        <v>-2273661945966059</v>
      </c>
      <c r="J5240" s="444">
        <f t="array" ref="J5240">IFERROR(INDEX('Retirement Calculator'!K:K,MATCH('Lorri 401b'!N5240,'Retirement Calculator'!A:A,0),0),0)</f>
        <v>0</v>
      </c>
      <c r="K5240" s="444">
        <f t="shared" ca="1" si="183"/>
        <v>-9473591441525.2461</v>
      </c>
      <c r="L5240" s="444">
        <f t="shared" ca="1" si="184"/>
        <v>-2283135537407584</v>
      </c>
      <c r="M5240" s="460">
        <f t="shared" si="186"/>
        <v>0.05</v>
      </c>
      <c r="N5240" s="464">
        <f t="shared" si="187"/>
        <v>210534</v>
      </c>
    </row>
    <row r="5241" spans="7:14" ht="11.25" customHeight="1" x14ac:dyDescent="0.25">
      <c r="G5241" s="459"/>
      <c r="H5241" s="459">
        <v>5234</v>
      </c>
      <c r="I5241" s="444">
        <f t="shared" ca="1" si="185"/>
        <v>-2283135537407584</v>
      </c>
      <c r="J5241" s="444">
        <f t="array" ref="J5241">IFERROR(INDEX('Retirement Calculator'!K:K,MATCH('Lorri 401b'!N5241,'Retirement Calculator'!A:A,0),0),0)</f>
        <v>0</v>
      </c>
      <c r="K5241" s="444">
        <f t="shared" ca="1" si="183"/>
        <v>-9513064739198.2656</v>
      </c>
      <c r="L5241" s="444">
        <f t="shared" ca="1" si="184"/>
        <v>-2292648602146782.5</v>
      </c>
      <c r="M5241" s="460">
        <f t="shared" si="186"/>
        <v>0.05</v>
      </c>
      <c r="N5241" s="464">
        <f t="shared" si="187"/>
        <v>210564</v>
      </c>
    </row>
    <row r="5242" spans="7:14" ht="11.25" customHeight="1" x14ac:dyDescent="0.25">
      <c r="G5242" s="459"/>
      <c r="H5242" s="459">
        <v>5235</v>
      </c>
      <c r="I5242" s="444">
        <f t="shared" ca="1" si="185"/>
        <v>-2292648602146782.5</v>
      </c>
      <c r="J5242" s="444">
        <f t="array" ref="J5242">IFERROR(INDEX('Retirement Calculator'!K:K,MATCH('Lorri 401b'!N5242,'Retirement Calculator'!A:A,0),0),0)</f>
        <v>0</v>
      </c>
      <c r="K5242" s="444">
        <f t="shared" ca="1" si="183"/>
        <v>-9552702508944.9277</v>
      </c>
      <c r="L5242" s="444">
        <f t="shared" ca="1" si="184"/>
        <v>-2302201304655727.5</v>
      </c>
      <c r="M5242" s="460">
        <f t="shared" si="186"/>
        <v>0.05</v>
      </c>
      <c r="N5242" s="464">
        <f t="shared" si="187"/>
        <v>210595</v>
      </c>
    </row>
    <row r="5243" spans="7:14" ht="11.25" customHeight="1" x14ac:dyDescent="0.25">
      <c r="G5243" s="459"/>
      <c r="H5243" s="459">
        <v>5236</v>
      </c>
      <c r="I5243" s="444">
        <f t="shared" ca="1" si="185"/>
        <v>-2302201304655727.5</v>
      </c>
      <c r="J5243" s="444">
        <f t="array" ref="J5243">IFERROR(INDEX('Retirement Calculator'!K:K,MATCH('Lorri 401b'!N5243,'Retirement Calculator'!A:A,0),0),0)</f>
        <v>0</v>
      </c>
      <c r="K5243" s="444">
        <f t="shared" ca="1" si="183"/>
        <v>-9592505436065.5313</v>
      </c>
      <c r="L5243" s="444">
        <f t="shared" ca="1" si="184"/>
        <v>-2311793810091793</v>
      </c>
      <c r="M5243" s="460">
        <f t="shared" si="186"/>
        <v>0.05</v>
      </c>
      <c r="N5243" s="464">
        <f t="shared" si="187"/>
        <v>210626</v>
      </c>
    </row>
    <row r="5244" spans="7:14" ht="11.25" customHeight="1" x14ac:dyDescent="0.25">
      <c r="G5244" s="459"/>
      <c r="H5244" s="459">
        <v>5237</v>
      </c>
      <c r="I5244" s="444">
        <f t="shared" ca="1" si="185"/>
        <v>-2311793810091793</v>
      </c>
      <c r="J5244" s="444">
        <f t="array" ref="J5244">IFERROR(INDEX('Retirement Calculator'!K:K,MATCH('Lorri 401b'!N5244,'Retirement Calculator'!A:A,0),0),0)</f>
        <v>0</v>
      </c>
      <c r="K5244" s="444">
        <f t="shared" ca="1" si="183"/>
        <v>-9632474208715.8047</v>
      </c>
      <c r="L5244" s="444">
        <f t="shared" ca="1" si="184"/>
        <v>-2321426284300509</v>
      </c>
      <c r="M5244" s="460">
        <f t="shared" si="186"/>
        <v>0.05</v>
      </c>
      <c r="N5244" s="464">
        <f t="shared" si="187"/>
        <v>210656</v>
      </c>
    </row>
    <row r="5245" spans="7:14" ht="11.25" customHeight="1" x14ac:dyDescent="0.25">
      <c r="G5245" s="459"/>
      <c r="H5245" s="459">
        <v>5238</v>
      </c>
      <c r="I5245" s="444">
        <f t="shared" ca="1" si="185"/>
        <v>-2321426284300509</v>
      </c>
      <c r="J5245" s="444">
        <f t="array" ref="J5245">IFERROR(INDEX('Retirement Calculator'!K:K,MATCH('Lorri 401b'!N5245,'Retirement Calculator'!A:A,0),0),0)</f>
        <v>0</v>
      </c>
      <c r="K5245" s="444">
        <f t="shared" ca="1" si="183"/>
        <v>-9672609517918.7871</v>
      </c>
      <c r="L5245" s="444">
        <f t="shared" ca="1" si="184"/>
        <v>-2331098893818428</v>
      </c>
      <c r="M5245" s="460">
        <f t="shared" si="186"/>
        <v>0.05</v>
      </c>
      <c r="N5245" s="464">
        <f t="shared" si="187"/>
        <v>210687</v>
      </c>
    </row>
    <row r="5246" spans="7:14" ht="11.25" customHeight="1" x14ac:dyDescent="0.25">
      <c r="G5246" s="459"/>
      <c r="H5246" s="459">
        <v>5239</v>
      </c>
      <c r="I5246" s="444">
        <f t="shared" ca="1" si="185"/>
        <v>-2331098893818428</v>
      </c>
      <c r="J5246" s="444">
        <f t="array" ref="J5246">IFERROR(INDEX('Retirement Calculator'!K:K,MATCH('Lorri 401b'!N5246,'Retirement Calculator'!A:A,0),0),0)</f>
        <v>0</v>
      </c>
      <c r="K5246" s="444">
        <f t="shared" ca="1" si="183"/>
        <v>-9712912057576.7832</v>
      </c>
      <c r="L5246" s="444">
        <f t="shared" ca="1" si="184"/>
        <v>-2340811805876005</v>
      </c>
      <c r="M5246" s="460">
        <f t="shared" si="186"/>
        <v>0.05</v>
      </c>
      <c r="N5246" s="464">
        <f t="shared" si="187"/>
        <v>210717</v>
      </c>
    </row>
    <row r="5247" spans="7:14" ht="11.25" customHeight="1" x14ac:dyDescent="0.25">
      <c r="G5247" s="459"/>
      <c r="H5247" s="459">
        <v>5240</v>
      </c>
      <c r="I5247" s="444">
        <f t="shared" ca="1" si="185"/>
        <v>-2340811805876005</v>
      </c>
      <c r="J5247" s="444">
        <f t="array" ref="J5247">IFERROR(INDEX('Retirement Calculator'!K:K,MATCH('Lorri 401b'!N5247,'Retirement Calculator'!A:A,0),0),0)</f>
        <v>0</v>
      </c>
      <c r="K5247" s="444">
        <f t="shared" ca="1" si="183"/>
        <v>-9753382524483.3535</v>
      </c>
      <c r="L5247" s="444">
        <f t="shared" ca="1" si="184"/>
        <v>-2350565188400488.5</v>
      </c>
      <c r="M5247" s="460">
        <f t="shared" si="186"/>
        <v>0.05</v>
      </c>
      <c r="N5247" s="464">
        <f t="shared" si="187"/>
        <v>210748</v>
      </c>
    </row>
    <row r="5248" spans="7:14" ht="11.25" customHeight="1" x14ac:dyDescent="0.25">
      <c r="G5248" s="459"/>
      <c r="H5248" s="459">
        <v>5241</v>
      </c>
      <c r="I5248" s="444">
        <f t="shared" ca="1" si="185"/>
        <v>-2350565188400488.5</v>
      </c>
      <c r="J5248" s="444">
        <f t="array" ref="J5248">IFERROR(INDEX('Retirement Calculator'!K:K,MATCH('Lorri 401b'!N5248,'Retirement Calculator'!A:A,0),0),0)</f>
        <v>0</v>
      </c>
      <c r="K5248" s="444">
        <f t="shared" ca="1" si="183"/>
        <v>-9794021618335.3691</v>
      </c>
      <c r="L5248" s="444">
        <f t="shared" ca="1" si="184"/>
        <v>-2360359210018824</v>
      </c>
      <c r="M5248" s="460">
        <f t="shared" si="186"/>
        <v>0.05</v>
      </c>
      <c r="N5248" s="464">
        <f t="shared" si="187"/>
        <v>210779</v>
      </c>
    </row>
    <row r="5249" spans="7:14" ht="11.25" customHeight="1" x14ac:dyDescent="0.25">
      <c r="G5249" s="459"/>
      <c r="H5249" s="459">
        <v>5242</v>
      </c>
      <c r="I5249" s="444">
        <f t="shared" ca="1" si="185"/>
        <v>-2360359210018824</v>
      </c>
      <c r="J5249" s="444">
        <f t="array" ref="J5249">IFERROR(INDEX('Retirement Calculator'!K:K,MATCH('Lorri 401b'!N5249,'Retirement Calculator'!A:A,0),0),0)</f>
        <v>0</v>
      </c>
      <c r="K5249" s="444">
        <f t="shared" ca="1" si="183"/>
        <v>-9834830041745.0996</v>
      </c>
      <c r="L5249" s="444">
        <f t="shared" ca="1" si="184"/>
        <v>-2370194040060569</v>
      </c>
      <c r="M5249" s="460">
        <f t="shared" si="186"/>
        <v>0.05</v>
      </c>
      <c r="N5249" s="464">
        <f t="shared" si="187"/>
        <v>210807</v>
      </c>
    </row>
    <row r="5250" spans="7:14" ht="11.25" customHeight="1" x14ac:dyDescent="0.25">
      <c r="G5250" s="459"/>
      <c r="H5250" s="459">
        <v>5243</v>
      </c>
      <c r="I5250" s="444">
        <f t="shared" ca="1" si="185"/>
        <v>-2370194040060569</v>
      </c>
      <c r="J5250" s="444">
        <f t="array" ref="J5250">IFERROR(INDEX('Retirement Calculator'!K:K,MATCH('Lorri 401b'!N5250,'Retirement Calculator'!A:A,0),0),0)</f>
        <v>0</v>
      </c>
      <c r="K5250" s="444">
        <f t="shared" ca="1" si="183"/>
        <v>-9875808500252.3711</v>
      </c>
      <c r="L5250" s="444">
        <f t="shared" ca="1" si="184"/>
        <v>-2380069848560821.5</v>
      </c>
      <c r="M5250" s="460">
        <f t="shared" si="186"/>
        <v>0.05</v>
      </c>
      <c r="N5250" s="464">
        <f t="shared" si="187"/>
        <v>210838</v>
      </c>
    </row>
    <row r="5251" spans="7:14" ht="11.25" customHeight="1" x14ac:dyDescent="0.25">
      <c r="G5251" s="459"/>
      <c r="H5251" s="459">
        <v>5244</v>
      </c>
      <c r="I5251" s="444">
        <f t="shared" ca="1" si="185"/>
        <v>-2380069848560821.5</v>
      </c>
      <c r="J5251" s="444">
        <f t="array" ref="J5251">IFERROR(INDEX('Retirement Calculator'!K:K,MATCH('Lorri 401b'!N5251,'Retirement Calculator'!A:A,0),0),0)</f>
        <v>0</v>
      </c>
      <c r="K5251" s="444">
        <f t="shared" ca="1" si="183"/>
        <v>-9916957702336.7559</v>
      </c>
      <c r="L5251" s="444">
        <f t="shared" ca="1" si="184"/>
        <v>-2389986806263158.5</v>
      </c>
      <c r="M5251" s="460">
        <f t="shared" si="186"/>
        <v>0.05</v>
      </c>
      <c r="N5251" s="464">
        <f t="shared" si="187"/>
        <v>210868</v>
      </c>
    </row>
    <row r="5252" spans="7:14" ht="11.25" customHeight="1" x14ac:dyDescent="0.25">
      <c r="G5252" s="459"/>
      <c r="H5252" s="459">
        <v>5245</v>
      </c>
      <c r="I5252" s="444">
        <f t="shared" ca="1" si="185"/>
        <v>-2389986806263158.5</v>
      </c>
      <c r="J5252" s="444">
        <f t="array" ref="J5252">IFERROR(INDEX('Retirement Calculator'!K:K,MATCH('Lorri 401b'!N5252,'Retirement Calculator'!A:A,0),0),0)</f>
        <v>0</v>
      </c>
      <c r="K5252" s="444">
        <f t="shared" ca="1" si="183"/>
        <v>-9958278359429.8262</v>
      </c>
      <c r="L5252" s="444">
        <f t="shared" ca="1" si="184"/>
        <v>-2399945084622588.5</v>
      </c>
      <c r="M5252" s="460">
        <f t="shared" si="186"/>
        <v>0.05</v>
      </c>
      <c r="N5252" s="464">
        <f t="shared" si="187"/>
        <v>210899</v>
      </c>
    </row>
    <row r="5253" spans="7:14" ht="11.25" customHeight="1" x14ac:dyDescent="0.25">
      <c r="G5253" s="459"/>
      <c r="H5253" s="459">
        <v>5246</v>
      </c>
      <c r="I5253" s="444">
        <f t="shared" ca="1" si="185"/>
        <v>-2399945084622588.5</v>
      </c>
      <c r="J5253" s="444">
        <f t="array" ref="J5253">IFERROR(INDEX('Retirement Calculator'!K:K,MATCH('Lorri 401b'!N5253,'Retirement Calculator'!A:A,0),0),0)</f>
        <v>0</v>
      </c>
      <c r="K5253" s="444">
        <f t="shared" ca="1" si="183"/>
        <v>-9999771185927.4512</v>
      </c>
      <c r="L5253" s="444">
        <f t="shared" ca="1" si="184"/>
        <v>-2409944855808516</v>
      </c>
      <c r="M5253" s="460">
        <f t="shared" si="186"/>
        <v>0.05</v>
      </c>
      <c r="N5253" s="464">
        <f t="shared" si="187"/>
        <v>210929</v>
      </c>
    </row>
    <row r="5254" spans="7:14" ht="11.25" customHeight="1" x14ac:dyDescent="0.25">
      <c r="G5254" s="459"/>
      <c r="H5254" s="459">
        <v>5247</v>
      </c>
      <c r="I5254" s="444">
        <f t="shared" ca="1" si="185"/>
        <v>-2409944855808516</v>
      </c>
      <c r="J5254" s="444">
        <f t="array" ref="J5254">IFERROR(INDEX('Retirement Calculator'!K:K,MATCH('Lorri 401b'!N5254,'Retirement Calculator'!A:A,0),0),0)</f>
        <v>0</v>
      </c>
      <c r="K5254" s="444">
        <f t="shared" ca="1" si="183"/>
        <v>-10041436899202.15</v>
      </c>
      <c r="L5254" s="444">
        <f t="shared" ca="1" si="184"/>
        <v>-2419986292707718</v>
      </c>
      <c r="M5254" s="460">
        <f t="shared" si="186"/>
        <v>0.05</v>
      </c>
      <c r="N5254" s="464">
        <f t="shared" si="187"/>
        <v>210960</v>
      </c>
    </row>
    <row r="5255" spans="7:14" ht="11.25" customHeight="1" x14ac:dyDescent="0.25">
      <c r="G5255" s="459"/>
      <c r="H5255" s="459">
        <v>5248</v>
      </c>
      <c r="I5255" s="444">
        <f t="shared" ca="1" si="185"/>
        <v>-2419986292707718</v>
      </c>
      <c r="J5255" s="444">
        <f t="array" ref="J5255">IFERROR(INDEX('Retirement Calculator'!K:K,MATCH('Lorri 401b'!N5255,'Retirement Calculator'!A:A,0),0),0)</f>
        <v>0</v>
      </c>
      <c r="K5255" s="444">
        <f t="shared" ca="1" si="183"/>
        <v>-10083276219615.492</v>
      </c>
      <c r="L5255" s="444">
        <f t="shared" ca="1" si="184"/>
        <v>-2430069568927333.5</v>
      </c>
      <c r="M5255" s="460">
        <f t="shared" si="186"/>
        <v>0.05</v>
      </c>
      <c r="N5255" s="464">
        <f t="shared" si="187"/>
        <v>210991</v>
      </c>
    </row>
    <row r="5256" spans="7:14" ht="11.25" customHeight="1" x14ac:dyDescent="0.25">
      <c r="G5256" s="459"/>
      <c r="H5256" s="459">
        <v>5249</v>
      </c>
      <c r="I5256" s="444">
        <f t="shared" ca="1" si="185"/>
        <v>-2430069568927333.5</v>
      </c>
      <c r="J5256" s="444">
        <f t="array" ref="J5256">IFERROR(INDEX('Retirement Calculator'!K:K,MATCH('Lorri 401b'!N5256,'Retirement Calculator'!A:A,0),0),0)</f>
        <v>0</v>
      </c>
      <c r="K5256" s="444">
        <f t="shared" ca="1" si="183"/>
        <v>-10125289870530.557</v>
      </c>
      <c r="L5256" s="444">
        <f t="shared" ca="1" si="184"/>
        <v>-2440194858797864</v>
      </c>
      <c r="M5256" s="460">
        <f t="shared" si="186"/>
        <v>0.05</v>
      </c>
      <c r="N5256" s="464">
        <f t="shared" si="187"/>
        <v>211021</v>
      </c>
    </row>
    <row r="5257" spans="7:14" ht="11.25" customHeight="1" x14ac:dyDescent="0.25">
      <c r="G5257" s="459"/>
      <c r="H5257" s="459">
        <v>5250</v>
      </c>
      <c r="I5257" s="444">
        <f t="shared" ca="1" si="185"/>
        <v>-2440194858797864</v>
      </c>
      <c r="J5257" s="444">
        <f t="array" ref="J5257">IFERROR(INDEX('Retirement Calculator'!K:K,MATCH('Lorri 401b'!N5257,'Retirement Calculator'!A:A,0),0),0)</f>
        <v>0</v>
      </c>
      <c r="K5257" s="444">
        <f t="shared" ca="1" si="183"/>
        <v>-10167478578324.434</v>
      </c>
      <c r="L5257" s="444">
        <f t="shared" ca="1" si="184"/>
        <v>-2450362337376188.5</v>
      </c>
      <c r="M5257" s="460">
        <f t="shared" si="186"/>
        <v>0.05</v>
      </c>
      <c r="N5257" s="464">
        <f t="shared" si="187"/>
        <v>211052</v>
      </c>
    </row>
    <row r="5258" spans="7:14" ht="11.25" customHeight="1" x14ac:dyDescent="0.25">
      <c r="G5258" s="459"/>
      <c r="H5258" s="459">
        <v>5251</v>
      </c>
      <c r="I5258" s="444">
        <f t="shared" ca="1" si="185"/>
        <v>-2450362337376188.5</v>
      </c>
      <c r="J5258" s="444">
        <f t="array" ref="J5258">IFERROR(INDEX('Retirement Calculator'!K:K,MATCH('Lorri 401b'!N5258,'Retirement Calculator'!A:A,0),0),0)</f>
        <v>0</v>
      </c>
      <c r="K5258" s="444">
        <f t="shared" ca="1" si="183"/>
        <v>-10209843072400.785</v>
      </c>
      <c r="L5258" s="444">
        <f t="shared" ca="1" si="184"/>
        <v>-2460572180448589.5</v>
      </c>
      <c r="M5258" s="460">
        <f t="shared" si="186"/>
        <v>0.05</v>
      </c>
      <c r="N5258" s="464">
        <f t="shared" si="187"/>
        <v>211082</v>
      </c>
    </row>
    <row r="5259" spans="7:14" ht="11.25" customHeight="1" x14ac:dyDescent="0.25">
      <c r="G5259" s="459"/>
      <c r="H5259" s="459">
        <v>5252</v>
      </c>
      <c r="I5259" s="444">
        <f t="shared" ca="1" si="185"/>
        <v>-2460572180448589.5</v>
      </c>
      <c r="J5259" s="444">
        <f t="array" ref="J5259">IFERROR(INDEX('Retirement Calculator'!K:K,MATCH('Lorri 401b'!N5259,'Retirement Calculator'!A:A,0),0),0)</f>
        <v>0</v>
      </c>
      <c r="K5259" s="444">
        <f t="shared" ca="1" si="183"/>
        <v>-10252384085202.457</v>
      </c>
      <c r="L5259" s="444">
        <f t="shared" ca="1" si="184"/>
        <v>-2470824564533792</v>
      </c>
      <c r="M5259" s="460">
        <f t="shared" si="186"/>
        <v>0.05</v>
      </c>
      <c r="N5259" s="464">
        <f t="shared" si="187"/>
        <v>211113</v>
      </c>
    </row>
    <row r="5260" spans="7:14" ht="11.25" customHeight="1" x14ac:dyDescent="0.25">
      <c r="G5260" s="459"/>
      <c r="H5260" s="459">
        <v>5253</v>
      </c>
      <c r="I5260" s="444">
        <f t="shared" ca="1" si="185"/>
        <v>-2470824564533792</v>
      </c>
      <c r="J5260" s="444">
        <f t="array" ref="J5260">IFERROR(INDEX('Retirement Calculator'!K:K,MATCH('Lorri 401b'!N5260,'Retirement Calculator'!A:A,0),0),0)</f>
        <v>0</v>
      </c>
      <c r="K5260" s="444">
        <f t="shared" ca="1" si="183"/>
        <v>-10295102352224.133</v>
      </c>
      <c r="L5260" s="444">
        <f t="shared" ca="1" si="184"/>
        <v>-2481119666886016</v>
      </c>
      <c r="M5260" s="460">
        <f t="shared" si="186"/>
        <v>0.05</v>
      </c>
      <c r="N5260" s="464">
        <f t="shared" si="187"/>
        <v>211144</v>
      </c>
    </row>
    <row r="5261" spans="7:14" ht="11.25" customHeight="1" x14ac:dyDescent="0.25">
      <c r="G5261" s="459"/>
      <c r="H5261" s="459">
        <v>5254</v>
      </c>
      <c r="I5261" s="444">
        <f t="shared" ca="1" si="185"/>
        <v>-2481119666886016</v>
      </c>
      <c r="J5261" s="444">
        <f t="array" ref="J5261">IFERROR(INDEX('Retirement Calculator'!K:K,MATCH('Lorri 401b'!N5261,'Retirement Calculator'!A:A,0),0),0)</f>
        <v>0</v>
      </c>
      <c r="K5261" s="444">
        <f t="shared" ca="1" si="183"/>
        <v>-10337998612025.066</v>
      </c>
      <c r="L5261" s="444">
        <f t="shared" ca="1" si="184"/>
        <v>-2491457665498041</v>
      </c>
      <c r="M5261" s="460">
        <f t="shared" si="186"/>
        <v>0.05</v>
      </c>
      <c r="N5261" s="464">
        <f t="shared" si="187"/>
        <v>211172</v>
      </c>
    </row>
    <row r="5262" spans="7:14" ht="11.25" customHeight="1" x14ac:dyDescent="0.25">
      <c r="G5262" s="459"/>
      <c r="H5262" s="459">
        <v>5255</v>
      </c>
      <c r="I5262" s="444">
        <f t="shared" ca="1" si="185"/>
        <v>-2491457665498041</v>
      </c>
      <c r="J5262" s="444">
        <f t="array" ref="J5262">IFERROR(INDEX('Retirement Calculator'!K:K,MATCH('Lorri 401b'!N5262,'Retirement Calculator'!A:A,0),0),0)</f>
        <v>0</v>
      </c>
      <c r="K5262" s="444">
        <f t="shared" ca="1" si="183"/>
        <v>-10381073606241.838</v>
      </c>
      <c r="L5262" s="444">
        <f t="shared" ca="1" si="184"/>
        <v>-2501838739104283</v>
      </c>
      <c r="M5262" s="460">
        <f t="shared" si="186"/>
        <v>0.05</v>
      </c>
      <c r="N5262" s="464">
        <f t="shared" si="187"/>
        <v>211203</v>
      </c>
    </row>
    <row r="5263" spans="7:14" ht="11.25" customHeight="1" x14ac:dyDescent="0.25">
      <c r="G5263" s="459"/>
      <c r="H5263" s="459">
        <v>5256</v>
      </c>
      <c r="I5263" s="444">
        <f t="shared" ca="1" si="185"/>
        <v>-2501838739104283</v>
      </c>
      <c r="J5263" s="444">
        <f t="array" ref="J5263">IFERROR(INDEX('Retirement Calculator'!K:K,MATCH('Lorri 401b'!N5263,'Retirement Calculator'!A:A,0),0),0)</f>
        <v>0</v>
      </c>
      <c r="K5263" s="444">
        <f t="shared" ca="1" si="183"/>
        <v>-10424328079601.18</v>
      </c>
      <c r="L5263" s="444">
        <f t="shared" ca="1" si="184"/>
        <v>-2512263067183884</v>
      </c>
      <c r="M5263" s="460">
        <f t="shared" si="186"/>
        <v>0.05</v>
      </c>
      <c r="N5263" s="464">
        <f t="shared" si="187"/>
        <v>211233</v>
      </c>
    </row>
    <row r="5264" spans="7:14" ht="11.25" customHeight="1" x14ac:dyDescent="0.25">
      <c r="G5264" s="459"/>
      <c r="H5264" s="459">
        <v>5257</v>
      </c>
      <c r="I5264" s="444">
        <f t="shared" ca="1" si="185"/>
        <v>-2512263067183884</v>
      </c>
      <c r="J5264" s="444">
        <f t="array" ref="J5264">IFERROR(INDEX('Retirement Calculator'!K:K,MATCH('Lorri 401b'!N5264,'Retirement Calculator'!A:A,0),0),0)</f>
        <v>0</v>
      </c>
      <c r="K5264" s="444">
        <f t="shared" ca="1" si="183"/>
        <v>-10467762779932.85</v>
      </c>
      <c r="L5264" s="444">
        <f t="shared" ca="1" si="184"/>
        <v>-2522730829963817</v>
      </c>
      <c r="M5264" s="460">
        <f t="shared" si="186"/>
        <v>0.05</v>
      </c>
      <c r="N5264" s="464">
        <f t="shared" si="187"/>
        <v>211264</v>
      </c>
    </row>
    <row r="5265" spans="7:14" ht="11.25" customHeight="1" x14ac:dyDescent="0.25">
      <c r="G5265" s="459"/>
      <c r="H5265" s="459">
        <v>5258</v>
      </c>
      <c r="I5265" s="444">
        <f t="shared" ca="1" si="185"/>
        <v>-2522730829963817</v>
      </c>
      <c r="J5265" s="444">
        <f t="array" ref="J5265">IFERROR(INDEX('Retirement Calculator'!K:K,MATCH('Lorri 401b'!N5265,'Retirement Calculator'!A:A,0),0),0)</f>
        <v>0</v>
      </c>
      <c r="K5265" s="444">
        <f t="shared" ca="1" si="183"/>
        <v>-10511378458182.57</v>
      </c>
      <c r="L5265" s="444">
        <f t="shared" ca="1" si="184"/>
        <v>-2533242208421999.5</v>
      </c>
      <c r="M5265" s="460">
        <f t="shared" si="186"/>
        <v>0.05</v>
      </c>
      <c r="N5265" s="464">
        <f t="shared" si="187"/>
        <v>211294</v>
      </c>
    </row>
    <row r="5266" spans="7:14" ht="11.25" customHeight="1" x14ac:dyDescent="0.25">
      <c r="G5266" s="459"/>
      <c r="H5266" s="459">
        <v>5259</v>
      </c>
      <c r="I5266" s="444">
        <f t="shared" ca="1" si="185"/>
        <v>-2533242208421999.5</v>
      </c>
      <c r="J5266" s="444">
        <f t="array" ref="J5266">IFERROR(INDEX('Retirement Calculator'!K:K,MATCH('Lorri 401b'!N5266,'Retirement Calculator'!A:A,0),0),0)</f>
        <v>0</v>
      </c>
      <c r="K5266" s="444">
        <f t="shared" ca="1" si="183"/>
        <v>-10555175868424.998</v>
      </c>
      <c r="L5266" s="444">
        <f t="shared" ca="1" si="184"/>
        <v>-2543797384290424.5</v>
      </c>
      <c r="M5266" s="460">
        <f t="shared" si="186"/>
        <v>0.05</v>
      </c>
      <c r="N5266" s="464">
        <f t="shared" si="187"/>
        <v>211325</v>
      </c>
    </row>
    <row r="5267" spans="7:14" ht="11.25" customHeight="1" x14ac:dyDescent="0.25">
      <c r="G5267" s="459"/>
      <c r="H5267" s="459">
        <v>5260</v>
      </c>
      <c r="I5267" s="444">
        <f t="shared" ca="1" si="185"/>
        <v>-2543797384290424.5</v>
      </c>
      <c r="J5267" s="444">
        <f t="array" ref="J5267">IFERROR(INDEX('Retirement Calculator'!K:K,MATCH('Lorri 401b'!N5267,'Retirement Calculator'!A:A,0),0),0)</f>
        <v>0</v>
      </c>
      <c r="K5267" s="444">
        <f t="shared" ca="1" si="183"/>
        <v>-10599155767876.77</v>
      </c>
      <c r="L5267" s="444">
        <f t="shared" ca="1" si="184"/>
        <v>-2554396540058301.5</v>
      </c>
      <c r="M5267" s="460">
        <f t="shared" si="186"/>
        <v>0.05</v>
      </c>
      <c r="N5267" s="464">
        <f t="shared" si="187"/>
        <v>211356</v>
      </c>
    </row>
    <row r="5268" spans="7:14" ht="11.25" customHeight="1" x14ac:dyDescent="0.25">
      <c r="G5268" s="459"/>
      <c r="H5268" s="459">
        <v>5261</v>
      </c>
      <c r="I5268" s="444">
        <f t="shared" ca="1" si="185"/>
        <v>-2554396540058301.5</v>
      </c>
      <c r="J5268" s="444">
        <f t="array" ref="J5268">IFERROR(INDEX('Retirement Calculator'!K:K,MATCH('Lorri 401b'!N5268,'Retirement Calculator'!A:A,0),0),0)</f>
        <v>0</v>
      </c>
      <c r="K5268" s="444">
        <f t="shared" ca="1" si="183"/>
        <v>-10643318916909.59</v>
      </c>
      <c r="L5268" s="444">
        <f t="shared" ca="1" si="184"/>
        <v>-2565039858975211</v>
      </c>
      <c r="M5268" s="460">
        <f t="shared" si="186"/>
        <v>0.05</v>
      </c>
      <c r="N5268" s="464">
        <f t="shared" si="187"/>
        <v>211386</v>
      </c>
    </row>
    <row r="5269" spans="7:14" ht="11.25" customHeight="1" x14ac:dyDescent="0.25">
      <c r="G5269" s="459"/>
      <c r="H5269" s="459">
        <v>5262</v>
      </c>
      <c r="I5269" s="444">
        <f t="shared" ca="1" si="185"/>
        <v>-2565039858975211</v>
      </c>
      <c r="J5269" s="444">
        <f t="array" ref="J5269">IFERROR(INDEX('Retirement Calculator'!K:K,MATCH('Lorri 401b'!N5269,'Retirement Calculator'!A:A,0),0),0)</f>
        <v>0</v>
      </c>
      <c r="K5269" s="444">
        <f t="shared" ca="1" si="183"/>
        <v>-10687666079063.379</v>
      </c>
      <c r="L5269" s="444">
        <f t="shared" ca="1" si="184"/>
        <v>-2575727525054274.5</v>
      </c>
      <c r="M5269" s="460">
        <f t="shared" si="186"/>
        <v>0.05</v>
      </c>
      <c r="N5269" s="464">
        <f t="shared" si="187"/>
        <v>211417</v>
      </c>
    </row>
    <row r="5270" spans="7:14" ht="11.25" customHeight="1" x14ac:dyDescent="0.25">
      <c r="G5270" s="459"/>
      <c r="H5270" s="459">
        <v>5263</v>
      </c>
      <c r="I5270" s="444">
        <f t="shared" ca="1" si="185"/>
        <v>-2575727525054274.5</v>
      </c>
      <c r="J5270" s="444">
        <f t="array" ref="J5270">IFERROR(INDEX('Retirement Calculator'!K:K,MATCH('Lorri 401b'!N5270,'Retirement Calculator'!A:A,0),0),0)</f>
        <v>0</v>
      </c>
      <c r="K5270" s="444">
        <f t="shared" ca="1" si="183"/>
        <v>-10732198021059.477</v>
      </c>
      <c r="L5270" s="444">
        <f t="shared" ca="1" si="184"/>
        <v>-2586459723075334</v>
      </c>
      <c r="M5270" s="460">
        <f t="shared" si="186"/>
        <v>0.05</v>
      </c>
      <c r="N5270" s="464">
        <f t="shared" si="187"/>
        <v>211447</v>
      </c>
    </row>
    <row r="5271" spans="7:14" ht="11.25" customHeight="1" x14ac:dyDescent="0.25">
      <c r="G5271" s="459"/>
      <c r="H5271" s="459">
        <v>5264</v>
      </c>
      <c r="I5271" s="444">
        <f t="shared" ca="1" si="185"/>
        <v>-2586459723075334</v>
      </c>
      <c r="J5271" s="444">
        <f t="array" ref="J5271">IFERROR(INDEX('Retirement Calculator'!K:K,MATCH('Lorri 401b'!N5271,'Retirement Calculator'!A:A,0),0),0)</f>
        <v>0</v>
      </c>
      <c r="K5271" s="444">
        <f t="shared" ca="1" si="183"/>
        <v>-10776915512813.891</v>
      </c>
      <c r="L5271" s="444">
        <f t="shared" ca="1" si="184"/>
        <v>-2597236638588148</v>
      </c>
      <c r="M5271" s="460">
        <f t="shared" si="186"/>
        <v>0.05</v>
      </c>
      <c r="N5271" s="464">
        <f t="shared" si="187"/>
        <v>211478</v>
      </c>
    </row>
    <row r="5272" spans="7:14" ht="11.25" customHeight="1" x14ac:dyDescent="0.25">
      <c r="G5272" s="459"/>
      <c r="H5272" s="459">
        <v>5265</v>
      </c>
      <c r="I5272" s="444">
        <f t="shared" ca="1" si="185"/>
        <v>-2597236638588148</v>
      </c>
      <c r="J5272" s="444">
        <f t="array" ref="J5272">IFERROR(INDEX('Retirement Calculator'!K:K,MATCH('Lorri 401b'!N5272,'Retirement Calculator'!A:A,0),0),0)</f>
        <v>0</v>
      </c>
      <c r="K5272" s="444">
        <f t="shared" ca="1" si="183"/>
        <v>-10821819327450.617</v>
      </c>
      <c r="L5272" s="444">
        <f t="shared" ca="1" si="184"/>
        <v>-2608058457915598.5</v>
      </c>
      <c r="M5272" s="460">
        <f t="shared" si="186"/>
        <v>0.05</v>
      </c>
      <c r="N5272" s="464">
        <f t="shared" si="187"/>
        <v>211509</v>
      </c>
    </row>
    <row r="5273" spans="7:14" ht="11.25" customHeight="1" x14ac:dyDescent="0.25">
      <c r="G5273" s="459"/>
      <c r="H5273" s="459">
        <v>5266</v>
      </c>
      <c r="I5273" s="444">
        <f t="shared" ca="1" si="185"/>
        <v>-2608058457915598.5</v>
      </c>
      <c r="J5273" s="444">
        <f t="array" ref="J5273">IFERROR(INDEX('Retirement Calculator'!K:K,MATCH('Lorri 401b'!N5273,'Retirement Calculator'!A:A,0),0),0)</f>
        <v>0</v>
      </c>
      <c r="K5273" s="444">
        <f t="shared" ca="1" si="183"/>
        <v>-10866910241314.994</v>
      </c>
      <c r="L5273" s="444">
        <f t="shared" ca="1" si="184"/>
        <v>-2618925368156913.5</v>
      </c>
      <c r="M5273" s="460">
        <f t="shared" si="186"/>
        <v>0.05</v>
      </c>
      <c r="N5273" s="464">
        <f t="shared" si="187"/>
        <v>211537</v>
      </c>
    </row>
    <row r="5274" spans="7:14" ht="11.25" customHeight="1" x14ac:dyDescent="0.25">
      <c r="G5274" s="459"/>
      <c r="H5274" s="459">
        <v>5267</v>
      </c>
      <c r="I5274" s="444">
        <f t="shared" ca="1" si="185"/>
        <v>-2618925368156913.5</v>
      </c>
      <c r="J5274" s="444">
        <f t="array" ref="J5274">IFERROR(INDEX('Retirement Calculator'!K:K,MATCH('Lorri 401b'!N5274,'Retirement Calculator'!A:A,0),0),0)</f>
        <v>0</v>
      </c>
      <c r="K5274" s="444">
        <f t="shared" ca="1" si="183"/>
        <v>-10912189033987.139</v>
      </c>
      <c r="L5274" s="444">
        <f t="shared" ca="1" si="184"/>
        <v>-2629837557190900.5</v>
      </c>
      <c r="M5274" s="460">
        <f t="shared" si="186"/>
        <v>0.05</v>
      </c>
      <c r="N5274" s="464">
        <f t="shared" si="187"/>
        <v>211568</v>
      </c>
    </row>
    <row r="5275" spans="7:14" ht="11.25" customHeight="1" x14ac:dyDescent="0.25">
      <c r="G5275" s="459"/>
      <c r="H5275" s="459">
        <v>5268</v>
      </c>
      <c r="I5275" s="444">
        <f t="shared" ca="1" si="185"/>
        <v>-2629837557190900.5</v>
      </c>
      <c r="J5275" s="444">
        <f t="array" ref="J5275">IFERROR(INDEX('Retirement Calculator'!K:K,MATCH('Lorri 401b'!N5275,'Retirement Calculator'!A:A,0),0),0)</f>
        <v>0</v>
      </c>
      <c r="K5275" s="444">
        <f t="shared" ca="1" si="183"/>
        <v>-10957656488295.418</v>
      </c>
      <c r="L5275" s="444">
        <f t="shared" ca="1" si="184"/>
        <v>-2640795213679196</v>
      </c>
      <c r="M5275" s="460">
        <f t="shared" si="186"/>
        <v>0.05</v>
      </c>
      <c r="N5275" s="464">
        <f t="shared" si="187"/>
        <v>211598</v>
      </c>
    </row>
    <row r="5276" spans="7:14" ht="11.25" customHeight="1" x14ac:dyDescent="0.25">
      <c r="G5276" s="459"/>
      <c r="H5276" s="459">
        <v>5269</v>
      </c>
      <c r="I5276" s="444">
        <f t="shared" ca="1" si="185"/>
        <v>-2640795213679196</v>
      </c>
      <c r="J5276" s="444">
        <f t="array" ref="J5276">IFERROR(INDEX('Retirement Calculator'!K:K,MATCH('Lorri 401b'!N5276,'Retirement Calculator'!A:A,0),0),0)</f>
        <v>0</v>
      </c>
      <c r="K5276" s="444">
        <f t="shared" ca="1" si="183"/>
        <v>-11003313390329.982</v>
      </c>
      <c r="L5276" s="444">
        <f t="shared" ca="1" si="184"/>
        <v>-2651798527069526</v>
      </c>
      <c r="M5276" s="460">
        <f t="shared" si="186"/>
        <v>0.05</v>
      </c>
      <c r="N5276" s="464">
        <f t="shared" si="187"/>
        <v>211629</v>
      </c>
    </row>
    <row r="5277" spans="7:14" ht="11.25" customHeight="1" x14ac:dyDescent="0.25">
      <c r="G5277" s="459"/>
      <c r="H5277" s="459">
        <v>5270</v>
      </c>
      <c r="I5277" s="444">
        <f t="shared" ca="1" si="185"/>
        <v>-2651798527069526</v>
      </c>
      <c r="J5277" s="444">
        <f t="array" ref="J5277">IFERROR(INDEX('Retirement Calculator'!K:K,MATCH('Lorri 401b'!N5277,'Retirement Calculator'!A:A,0),0),0)</f>
        <v>0</v>
      </c>
      <c r="K5277" s="444">
        <f t="shared" ca="1" si="183"/>
        <v>-11049160529456.357</v>
      </c>
      <c r="L5277" s="444">
        <f t="shared" ca="1" si="184"/>
        <v>-2662847687598982.5</v>
      </c>
      <c r="M5277" s="460">
        <f t="shared" si="186"/>
        <v>0.05</v>
      </c>
      <c r="N5277" s="464">
        <f t="shared" si="187"/>
        <v>211659</v>
      </c>
    </row>
    <row r="5278" spans="7:14" ht="11.25" customHeight="1" x14ac:dyDescent="0.25">
      <c r="G5278" s="459"/>
      <c r="H5278" s="459">
        <v>5271</v>
      </c>
      <c r="I5278" s="444">
        <f t="shared" ca="1" si="185"/>
        <v>-2662847687598982.5</v>
      </c>
      <c r="J5278" s="444">
        <f t="array" ref="J5278">IFERROR(INDEX('Retirement Calculator'!K:K,MATCH('Lorri 401b'!N5278,'Retirement Calculator'!A:A,0),0),0)</f>
        <v>0</v>
      </c>
      <c r="K5278" s="444">
        <f t="shared" ca="1" si="183"/>
        <v>-11095198698329.094</v>
      </c>
      <c r="L5278" s="444">
        <f t="shared" ca="1" si="184"/>
        <v>-2673942886297311.5</v>
      </c>
      <c r="M5278" s="460">
        <f t="shared" si="186"/>
        <v>0.05</v>
      </c>
      <c r="N5278" s="464">
        <f t="shared" si="187"/>
        <v>211690</v>
      </c>
    </row>
    <row r="5279" spans="7:14" ht="11.25" customHeight="1" x14ac:dyDescent="0.25">
      <c r="G5279" s="459"/>
      <c r="H5279" s="459">
        <v>5272</v>
      </c>
      <c r="I5279" s="444">
        <f t="shared" ca="1" si="185"/>
        <v>-2673942886297311.5</v>
      </c>
      <c r="J5279" s="444">
        <f t="array" ref="J5279">IFERROR(INDEX('Retirement Calculator'!K:K,MATCH('Lorri 401b'!N5279,'Retirement Calculator'!A:A,0),0),0)</f>
        <v>0</v>
      </c>
      <c r="K5279" s="444">
        <f t="shared" ca="1" si="183"/>
        <v>-11141428692905.465</v>
      </c>
      <c r="L5279" s="444">
        <f t="shared" ca="1" si="184"/>
        <v>-2685084314990217</v>
      </c>
      <c r="M5279" s="460">
        <f t="shared" si="186"/>
        <v>0.05</v>
      </c>
      <c r="N5279" s="464">
        <f t="shared" si="187"/>
        <v>211721</v>
      </c>
    </row>
    <row r="5280" spans="7:14" ht="11.25" customHeight="1" x14ac:dyDescent="0.25">
      <c r="G5280" s="459"/>
      <c r="H5280" s="459">
        <v>5273</v>
      </c>
      <c r="I5280" s="444">
        <f t="shared" ca="1" si="185"/>
        <v>-2685084314990217</v>
      </c>
      <c r="J5280" s="444">
        <f t="array" ref="J5280">IFERROR(INDEX('Retirement Calculator'!K:K,MATCH('Lorri 401b'!N5280,'Retirement Calculator'!A:A,0),0),0)</f>
        <v>0</v>
      </c>
      <c r="K5280" s="444">
        <f t="shared" ca="1" si="183"/>
        <v>-11187851312459.238</v>
      </c>
      <c r="L5280" s="444">
        <f t="shared" ca="1" si="184"/>
        <v>-2696272166302676</v>
      </c>
      <c r="M5280" s="460">
        <f t="shared" si="186"/>
        <v>0.05</v>
      </c>
      <c r="N5280" s="464">
        <f t="shared" si="187"/>
        <v>211751</v>
      </c>
    </row>
    <row r="5281" spans="7:14" ht="11.25" customHeight="1" x14ac:dyDescent="0.25">
      <c r="G5281" s="459"/>
      <c r="H5281" s="459">
        <v>5274</v>
      </c>
      <c r="I5281" s="444">
        <f t="shared" ca="1" si="185"/>
        <v>-2696272166302676</v>
      </c>
      <c r="J5281" s="444">
        <f t="array" ref="J5281">IFERROR(INDEX('Retirement Calculator'!K:K,MATCH('Lorri 401b'!N5281,'Retirement Calculator'!A:A,0),0),0)</f>
        <v>0</v>
      </c>
      <c r="K5281" s="444">
        <f t="shared" ca="1" si="183"/>
        <v>-11234467359594.482</v>
      </c>
      <c r="L5281" s="444">
        <f t="shared" ca="1" si="184"/>
        <v>-2707506633662270.5</v>
      </c>
      <c r="M5281" s="460">
        <f t="shared" si="186"/>
        <v>0.05</v>
      </c>
      <c r="N5281" s="464">
        <f t="shared" si="187"/>
        <v>211782</v>
      </c>
    </row>
    <row r="5282" spans="7:14" ht="11.25" customHeight="1" x14ac:dyDescent="0.25">
      <c r="G5282" s="459"/>
      <c r="H5282" s="459">
        <v>5275</v>
      </c>
      <c r="I5282" s="444">
        <f t="shared" ca="1" si="185"/>
        <v>-2707506633662270.5</v>
      </c>
      <c r="J5282" s="444">
        <f t="array" ref="J5282">IFERROR(INDEX('Retirement Calculator'!K:K,MATCH('Lorri 401b'!N5282,'Retirement Calculator'!A:A,0),0),0)</f>
        <v>0</v>
      </c>
      <c r="K5282" s="444">
        <f t="shared" ca="1" si="183"/>
        <v>-11281277640259.461</v>
      </c>
      <c r="L5282" s="444">
        <f t="shared" ca="1" si="184"/>
        <v>-2718787911302530</v>
      </c>
      <c r="M5282" s="460">
        <f t="shared" si="186"/>
        <v>0.05</v>
      </c>
      <c r="N5282" s="464">
        <f t="shared" si="187"/>
        <v>211812</v>
      </c>
    </row>
    <row r="5283" spans="7:14" ht="11.25" customHeight="1" x14ac:dyDescent="0.25">
      <c r="G5283" s="459"/>
      <c r="H5283" s="459">
        <v>5276</v>
      </c>
      <c r="I5283" s="444">
        <f t="shared" ca="1" si="185"/>
        <v>-2718787911302530</v>
      </c>
      <c r="J5283" s="444">
        <f t="array" ref="J5283">IFERROR(INDEX('Retirement Calculator'!K:K,MATCH('Lorri 401b'!N5283,'Retirement Calculator'!A:A,0),0),0)</f>
        <v>0</v>
      </c>
      <c r="K5283" s="444">
        <f t="shared" ca="1" si="183"/>
        <v>-11328282963760.541</v>
      </c>
      <c r="L5283" s="444">
        <f t="shared" ca="1" si="184"/>
        <v>-2730116194266290.5</v>
      </c>
      <c r="M5283" s="460">
        <f t="shared" si="186"/>
        <v>0.05</v>
      </c>
      <c r="N5283" s="464">
        <f t="shared" si="187"/>
        <v>211843</v>
      </c>
    </row>
    <row r="5284" spans="7:14" ht="11.25" customHeight="1" x14ac:dyDescent="0.25">
      <c r="G5284" s="459"/>
      <c r="H5284" s="459">
        <v>5277</v>
      </c>
      <c r="I5284" s="444">
        <f t="shared" ca="1" si="185"/>
        <v>-2730116194266290.5</v>
      </c>
      <c r="J5284" s="444">
        <f t="array" ref="J5284">IFERROR(INDEX('Retirement Calculator'!K:K,MATCH('Lorri 401b'!N5284,'Retirement Calculator'!A:A,0),0),0)</f>
        <v>0</v>
      </c>
      <c r="K5284" s="444">
        <f t="shared" ca="1" si="183"/>
        <v>-11375484142776.211</v>
      </c>
      <c r="L5284" s="444">
        <f t="shared" ca="1" si="184"/>
        <v>-2741491678409066.5</v>
      </c>
      <c r="M5284" s="460">
        <f t="shared" si="186"/>
        <v>0.05</v>
      </c>
      <c r="N5284" s="464">
        <f t="shared" si="187"/>
        <v>211874</v>
      </c>
    </row>
    <row r="5285" spans="7:14" ht="11.25" customHeight="1" x14ac:dyDescent="0.25">
      <c r="G5285" s="459"/>
      <c r="H5285" s="459">
        <v>5278</v>
      </c>
      <c r="I5285" s="444">
        <f t="shared" ca="1" si="185"/>
        <v>-2741491678409066.5</v>
      </c>
      <c r="J5285" s="444">
        <f t="array" ref="J5285">IFERROR(INDEX('Retirement Calculator'!K:K,MATCH('Lorri 401b'!N5285,'Retirement Calculator'!A:A,0),0),0)</f>
        <v>0</v>
      </c>
      <c r="K5285" s="444">
        <f t="shared" ca="1" si="183"/>
        <v>-11422881993371.109</v>
      </c>
      <c r="L5285" s="444">
        <f t="shared" ca="1" si="184"/>
        <v>-2752914560402437.5</v>
      </c>
      <c r="M5285" s="460">
        <f t="shared" si="186"/>
        <v>0.05</v>
      </c>
      <c r="N5285" s="464">
        <f t="shared" si="187"/>
        <v>211903</v>
      </c>
    </row>
    <row r="5286" spans="7:14" ht="11.25" customHeight="1" x14ac:dyDescent="0.25">
      <c r="G5286" s="459"/>
      <c r="H5286" s="459">
        <v>5279</v>
      </c>
      <c r="I5286" s="444">
        <f t="shared" ca="1" si="185"/>
        <v>-2752914560402437.5</v>
      </c>
      <c r="J5286" s="444">
        <f t="array" ref="J5286">IFERROR(INDEX('Retirement Calculator'!K:K,MATCH('Lorri 401b'!N5286,'Retirement Calculator'!A:A,0),0),0)</f>
        <v>0</v>
      </c>
      <c r="K5286" s="444">
        <f t="shared" ca="1" si="183"/>
        <v>-11470477335010.156</v>
      </c>
      <c r="L5286" s="444">
        <f t="shared" ca="1" si="184"/>
        <v>-2764385037737447.5</v>
      </c>
      <c r="M5286" s="460">
        <f t="shared" si="186"/>
        <v>0.05</v>
      </c>
      <c r="N5286" s="464">
        <f t="shared" si="187"/>
        <v>211934</v>
      </c>
    </row>
    <row r="5287" spans="7:14" ht="11.25" customHeight="1" x14ac:dyDescent="0.25">
      <c r="G5287" s="459"/>
      <c r="H5287" s="459">
        <v>5280</v>
      </c>
      <c r="I5287" s="444">
        <f t="shared" ca="1" si="185"/>
        <v>-2764385037737447.5</v>
      </c>
      <c r="J5287" s="444">
        <f t="array" ref="J5287">IFERROR(INDEX('Retirement Calculator'!K:K,MATCH('Lorri 401b'!N5287,'Retirement Calculator'!A:A,0),0),0)</f>
        <v>0</v>
      </c>
      <c r="K5287" s="444">
        <f t="shared" ca="1" si="183"/>
        <v>-11518270990572.697</v>
      </c>
      <c r="L5287" s="444">
        <f t="shared" ca="1" si="184"/>
        <v>-2775903308728020</v>
      </c>
      <c r="M5287" s="460">
        <f t="shared" si="186"/>
        <v>0.05</v>
      </c>
      <c r="N5287" s="464">
        <f t="shared" si="187"/>
        <v>211964</v>
      </c>
    </row>
    <row r="5288" spans="7:14" ht="11.25" customHeight="1" x14ac:dyDescent="0.25">
      <c r="G5288" s="459"/>
      <c r="H5288" s="459">
        <v>5281</v>
      </c>
      <c r="I5288" s="444">
        <f t="shared" ca="1" si="185"/>
        <v>-2775903308728020</v>
      </c>
      <c r="J5288" s="444">
        <f t="array" ref="J5288">IFERROR(INDEX('Retirement Calculator'!K:K,MATCH('Lorri 401b'!N5288,'Retirement Calculator'!A:A,0),0),0)</f>
        <v>0</v>
      </c>
      <c r="K5288" s="444">
        <f t="shared" ca="1" si="183"/>
        <v>-11566263786366.75</v>
      </c>
      <c r="L5288" s="444">
        <f t="shared" ca="1" si="184"/>
        <v>-2787469572514387</v>
      </c>
      <c r="M5288" s="460">
        <f t="shared" si="186"/>
        <v>0.05</v>
      </c>
      <c r="N5288" s="464">
        <f t="shared" si="187"/>
        <v>211995</v>
      </c>
    </row>
    <row r="5289" spans="7:14" ht="11.25" customHeight="1" x14ac:dyDescent="0.25">
      <c r="G5289" s="459"/>
      <c r="H5289" s="459">
        <v>5282</v>
      </c>
      <c r="I5289" s="444">
        <f t="shared" ca="1" si="185"/>
        <v>-2787469572514387</v>
      </c>
      <c r="J5289" s="444">
        <f t="array" ref="J5289">IFERROR(INDEX('Retirement Calculator'!K:K,MATCH('Lorri 401b'!N5289,'Retirement Calculator'!A:A,0),0),0)</f>
        <v>0</v>
      </c>
      <c r="K5289" s="444">
        <f t="shared" ca="1" si="183"/>
        <v>-11614456552143.279</v>
      </c>
      <c r="L5289" s="444">
        <f t="shared" ca="1" si="184"/>
        <v>-2799084029066530.5</v>
      </c>
      <c r="M5289" s="460">
        <f t="shared" si="186"/>
        <v>0.05</v>
      </c>
      <c r="N5289" s="464">
        <f t="shared" si="187"/>
        <v>212025</v>
      </c>
    </row>
    <row r="5290" spans="7:14" ht="11.25" customHeight="1" x14ac:dyDescent="0.25">
      <c r="G5290" s="459"/>
      <c r="H5290" s="459">
        <v>5283</v>
      </c>
      <c r="I5290" s="444">
        <f t="shared" ca="1" si="185"/>
        <v>-2799084029066530.5</v>
      </c>
      <c r="J5290" s="444">
        <f t="array" ref="J5290">IFERROR(INDEX('Retirement Calculator'!K:K,MATCH('Lorri 401b'!N5290,'Retirement Calculator'!A:A,0),0),0)</f>
        <v>0</v>
      </c>
      <c r="K5290" s="444">
        <f t="shared" ca="1" si="183"/>
        <v>-11662850121110.543</v>
      </c>
      <c r="L5290" s="444">
        <f t="shared" ca="1" si="184"/>
        <v>-2810746879187641</v>
      </c>
      <c r="M5290" s="460">
        <f t="shared" si="186"/>
        <v>0.05</v>
      </c>
      <c r="N5290" s="464">
        <f t="shared" si="187"/>
        <v>212056</v>
      </c>
    </row>
    <row r="5291" spans="7:14" ht="11.25" customHeight="1" x14ac:dyDescent="0.25">
      <c r="G5291" s="459"/>
      <c r="H5291" s="459">
        <v>5284</v>
      </c>
      <c r="I5291" s="444">
        <f t="shared" ca="1" si="185"/>
        <v>-2810746879187641</v>
      </c>
      <c r="J5291" s="444">
        <f t="array" ref="J5291">IFERROR(INDEX('Retirement Calculator'!K:K,MATCH('Lorri 401b'!N5291,'Retirement Calculator'!A:A,0),0),0)</f>
        <v>0</v>
      </c>
      <c r="K5291" s="444">
        <f t="shared" ca="1" si="183"/>
        <v>-11711445329948.504</v>
      </c>
      <c r="L5291" s="444">
        <f t="shared" ca="1" si="184"/>
        <v>-2822458324517589.5</v>
      </c>
      <c r="M5291" s="460">
        <f t="shared" si="186"/>
        <v>0.05</v>
      </c>
      <c r="N5291" s="464">
        <f t="shared" si="187"/>
        <v>212087</v>
      </c>
    </row>
    <row r="5292" spans="7:14" ht="11.25" customHeight="1" x14ac:dyDescent="0.25">
      <c r="G5292" s="459"/>
      <c r="H5292" s="459">
        <v>5285</v>
      </c>
      <c r="I5292" s="444">
        <f t="shared" ca="1" si="185"/>
        <v>-2822458324517589.5</v>
      </c>
      <c r="J5292" s="444">
        <f t="array" ref="J5292">IFERROR(INDEX('Retirement Calculator'!K:K,MATCH('Lorri 401b'!N5292,'Retirement Calculator'!A:A,0),0),0)</f>
        <v>0</v>
      </c>
      <c r="K5292" s="444">
        <f t="shared" ca="1" si="183"/>
        <v>-11760243018823.289</v>
      </c>
      <c r="L5292" s="444">
        <f t="shared" ca="1" si="184"/>
        <v>-2834218567536413</v>
      </c>
      <c r="M5292" s="460">
        <f t="shared" si="186"/>
        <v>0.05</v>
      </c>
      <c r="N5292" s="464">
        <f t="shared" si="187"/>
        <v>212117</v>
      </c>
    </row>
    <row r="5293" spans="7:14" ht="11.25" customHeight="1" x14ac:dyDescent="0.25">
      <c r="G5293" s="459"/>
      <c r="H5293" s="459">
        <v>5286</v>
      </c>
      <c r="I5293" s="444">
        <f t="shared" ca="1" si="185"/>
        <v>-2834218567536413</v>
      </c>
      <c r="J5293" s="444">
        <f t="array" ref="J5293">IFERROR(INDEX('Retirement Calculator'!K:K,MATCH('Lorri 401b'!N5293,'Retirement Calculator'!A:A,0),0),0)</f>
        <v>0</v>
      </c>
      <c r="K5293" s="444">
        <f t="shared" ca="1" si="183"/>
        <v>-11809244031401.721</v>
      </c>
      <c r="L5293" s="444">
        <f t="shared" ca="1" si="184"/>
        <v>-2846027811567814.5</v>
      </c>
      <c r="M5293" s="460">
        <f t="shared" si="186"/>
        <v>0.05</v>
      </c>
      <c r="N5293" s="464">
        <f t="shared" si="187"/>
        <v>212148</v>
      </c>
    </row>
    <row r="5294" spans="7:14" ht="11.25" customHeight="1" x14ac:dyDescent="0.25">
      <c r="G5294" s="459"/>
      <c r="H5294" s="459">
        <v>5287</v>
      </c>
      <c r="I5294" s="444">
        <f t="shared" ca="1" si="185"/>
        <v>-2846027811567814.5</v>
      </c>
      <c r="J5294" s="444">
        <f t="array" ref="J5294">IFERROR(INDEX('Retirement Calculator'!K:K,MATCH('Lorri 401b'!N5294,'Retirement Calculator'!A:A,0),0),0)</f>
        <v>0</v>
      </c>
      <c r="K5294" s="444">
        <f t="shared" ca="1" si="183"/>
        <v>-11858449214865.895</v>
      </c>
      <c r="L5294" s="444">
        <f t="shared" ca="1" si="184"/>
        <v>-2857886260782680.5</v>
      </c>
      <c r="M5294" s="460">
        <f t="shared" si="186"/>
        <v>0.05</v>
      </c>
      <c r="N5294" s="464">
        <f t="shared" si="187"/>
        <v>212178</v>
      </c>
    </row>
    <row r="5295" spans="7:14" ht="11.25" customHeight="1" x14ac:dyDescent="0.25">
      <c r="G5295" s="459"/>
      <c r="H5295" s="459">
        <v>5288</v>
      </c>
      <c r="I5295" s="444">
        <f t="shared" ca="1" si="185"/>
        <v>-2857886260782680.5</v>
      </c>
      <c r="J5295" s="444">
        <f t="array" ref="J5295">IFERROR(INDEX('Retirement Calculator'!K:K,MATCH('Lorri 401b'!N5295,'Retirement Calculator'!A:A,0),0),0)</f>
        <v>0</v>
      </c>
      <c r="K5295" s="444">
        <f t="shared" ca="1" si="183"/>
        <v>-11907859419927.836</v>
      </c>
      <c r="L5295" s="444">
        <f t="shared" ca="1" si="184"/>
        <v>-2869794120202608.5</v>
      </c>
      <c r="M5295" s="460">
        <f t="shared" si="186"/>
        <v>0.05</v>
      </c>
      <c r="N5295" s="464">
        <f t="shared" si="187"/>
        <v>212209</v>
      </c>
    </row>
    <row r="5296" spans="7:14" ht="11.25" customHeight="1" x14ac:dyDescent="0.25">
      <c r="G5296" s="459"/>
      <c r="H5296" s="459">
        <v>5289</v>
      </c>
      <c r="I5296" s="444">
        <f t="shared" ca="1" si="185"/>
        <v>-2869794120202608.5</v>
      </c>
      <c r="J5296" s="444">
        <f t="array" ref="J5296">IFERROR(INDEX('Retirement Calculator'!K:K,MATCH('Lorri 401b'!N5296,'Retirement Calculator'!A:A,0),0),0)</f>
        <v>0</v>
      </c>
      <c r="K5296" s="444">
        <f t="shared" ca="1" si="183"/>
        <v>-11957475500844.201</v>
      </c>
      <c r="L5296" s="444">
        <f t="shared" ca="1" si="184"/>
        <v>-2881751595703452.5</v>
      </c>
      <c r="M5296" s="460">
        <f t="shared" si="186"/>
        <v>0.05</v>
      </c>
      <c r="N5296" s="464">
        <f t="shared" si="187"/>
        <v>212240</v>
      </c>
    </row>
    <row r="5297" spans="7:14" ht="11.25" customHeight="1" x14ac:dyDescent="0.25">
      <c r="G5297" s="459"/>
      <c r="H5297" s="459">
        <v>5290</v>
      </c>
      <c r="I5297" s="444">
        <f t="shared" ca="1" si="185"/>
        <v>-2881751595703452.5</v>
      </c>
      <c r="J5297" s="444">
        <f t="array" ref="J5297">IFERROR(INDEX('Retirement Calculator'!K:K,MATCH('Lorri 401b'!N5297,'Retirement Calculator'!A:A,0),0),0)</f>
        <v>0</v>
      </c>
      <c r="K5297" s="444">
        <f t="shared" ca="1" si="183"/>
        <v>-12007298315431.053</v>
      </c>
      <c r="L5297" s="444">
        <f t="shared" ca="1" si="184"/>
        <v>-2893758894018883.5</v>
      </c>
      <c r="M5297" s="460">
        <f t="shared" si="186"/>
        <v>0.05</v>
      </c>
      <c r="N5297" s="464">
        <f t="shared" si="187"/>
        <v>212268</v>
      </c>
    </row>
    <row r="5298" spans="7:14" ht="11.25" customHeight="1" x14ac:dyDescent="0.25">
      <c r="G5298" s="459"/>
      <c r="H5298" s="459">
        <v>5291</v>
      </c>
      <c r="I5298" s="444">
        <f t="shared" ca="1" si="185"/>
        <v>-2893758894018883.5</v>
      </c>
      <c r="J5298" s="444">
        <f t="array" ref="J5298">IFERROR(INDEX('Retirement Calculator'!K:K,MATCH('Lorri 401b'!N5298,'Retirement Calculator'!A:A,0),0),0)</f>
        <v>0</v>
      </c>
      <c r="K5298" s="444">
        <f t="shared" ca="1" si="183"/>
        <v>-12057328725078.682</v>
      </c>
      <c r="L5298" s="444">
        <f t="shared" ca="1" si="184"/>
        <v>-2905816222743962</v>
      </c>
      <c r="M5298" s="460">
        <f t="shared" si="186"/>
        <v>0.05</v>
      </c>
      <c r="N5298" s="464">
        <f t="shared" si="187"/>
        <v>212299</v>
      </c>
    </row>
    <row r="5299" spans="7:14" ht="11.25" customHeight="1" x14ac:dyDescent="0.25">
      <c r="G5299" s="459"/>
      <c r="H5299" s="459">
        <v>5292</v>
      </c>
      <c r="I5299" s="444">
        <f t="shared" ca="1" si="185"/>
        <v>-2905816222743962</v>
      </c>
      <c r="J5299" s="444">
        <f t="array" ref="J5299">IFERROR(INDEX('Retirement Calculator'!K:K,MATCH('Lorri 401b'!N5299,'Retirement Calculator'!A:A,0),0),0)</f>
        <v>0</v>
      </c>
      <c r="K5299" s="444">
        <f t="shared" ca="1" si="183"/>
        <v>-12107567594766.508</v>
      </c>
      <c r="L5299" s="444">
        <f t="shared" ca="1" si="184"/>
        <v>-2917923790338728.5</v>
      </c>
      <c r="M5299" s="460">
        <f t="shared" si="186"/>
        <v>0.05</v>
      </c>
      <c r="N5299" s="464">
        <f t="shared" si="187"/>
        <v>212329</v>
      </c>
    </row>
    <row r="5300" spans="7:14" ht="11.25" customHeight="1" x14ac:dyDescent="0.25">
      <c r="G5300" s="459"/>
      <c r="H5300" s="459">
        <v>5293</v>
      </c>
      <c r="I5300" s="444">
        <f t="shared" ca="1" si="185"/>
        <v>-2917923790338728.5</v>
      </c>
      <c r="J5300" s="444">
        <f t="array" ref="J5300">IFERROR(INDEX('Retirement Calculator'!K:K,MATCH('Lorri 401b'!N5300,'Retirement Calculator'!A:A,0),0),0)</f>
        <v>0</v>
      </c>
      <c r="K5300" s="444">
        <f t="shared" ca="1" si="183"/>
        <v>-12158015793078.035</v>
      </c>
      <c r="L5300" s="444">
        <f t="shared" ca="1" si="184"/>
        <v>-2930081806131806.5</v>
      </c>
      <c r="M5300" s="460">
        <f t="shared" si="186"/>
        <v>0.05</v>
      </c>
      <c r="N5300" s="464">
        <f t="shared" si="187"/>
        <v>212360</v>
      </c>
    </row>
    <row r="5301" spans="7:14" ht="11.25" customHeight="1" x14ac:dyDescent="0.25">
      <c r="G5301" s="459"/>
      <c r="H5301" s="459">
        <v>5294</v>
      </c>
      <c r="I5301" s="444">
        <f t="shared" ca="1" si="185"/>
        <v>-2930081806131806.5</v>
      </c>
      <c r="J5301" s="444">
        <f t="array" ref="J5301">IFERROR(INDEX('Retirement Calculator'!K:K,MATCH('Lorri 401b'!N5301,'Retirement Calculator'!A:A,0),0),0)</f>
        <v>0</v>
      </c>
      <c r="K5301" s="444">
        <f t="shared" ca="1" si="183"/>
        <v>-12208674192215.859</v>
      </c>
      <c r="L5301" s="444">
        <f t="shared" ca="1" si="184"/>
        <v>-2942290480324022.5</v>
      </c>
      <c r="M5301" s="460">
        <f t="shared" si="186"/>
        <v>0.05</v>
      </c>
      <c r="N5301" s="464">
        <f t="shared" si="187"/>
        <v>212390</v>
      </c>
    </row>
    <row r="5302" spans="7:14" ht="11.25" customHeight="1" x14ac:dyDescent="0.25">
      <c r="G5302" s="459"/>
      <c r="H5302" s="459">
        <v>5295</v>
      </c>
      <c r="I5302" s="444">
        <f t="shared" ca="1" si="185"/>
        <v>-2942290480324022.5</v>
      </c>
      <c r="J5302" s="444">
        <f t="array" ref="J5302">IFERROR(INDEX('Retirement Calculator'!K:K,MATCH('Lorri 401b'!N5302,'Retirement Calculator'!A:A,0),0),0)</f>
        <v>0</v>
      </c>
      <c r="K5302" s="444">
        <f t="shared" ca="1" si="183"/>
        <v>-12259543668016.76</v>
      </c>
      <c r="L5302" s="444">
        <f t="shared" ca="1" si="184"/>
        <v>-2954550023992039.5</v>
      </c>
      <c r="M5302" s="460">
        <f t="shared" si="186"/>
        <v>0.05</v>
      </c>
      <c r="N5302" s="464">
        <f t="shared" si="187"/>
        <v>212421</v>
      </c>
    </row>
    <row r="5303" spans="7:14" ht="11.25" customHeight="1" x14ac:dyDescent="0.25">
      <c r="G5303" s="459"/>
      <c r="H5303" s="459">
        <v>5296</v>
      </c>
      <c r="I5303" s="444">
        <f t="shared" ca="1" si="185"/>
        <v>-2954550023992039.5</v>
      </c>
      <c r="J5303" s="444">
        <f t="array" ref="J5303">IFERROR(INDEX('Retirement Calculator'!K:K,MATCH('Lorri 401b'!N5303,'Retirement Calculator'!A:A,0),0),0)</f>
        <v>0</v>
      </c>
      <c r="K5303" s="444">
        <f t="shared" ca="1" si="183"/>
        <v>-12310625099966.832</v>
      </c>
      <c r="L5303" s="444">
        <f t="shared" ca="1" si="184"/>
        <v>-2966860649092006.5</v>
      </c>
      <c r="M5303" s="460">
        <f t="shared" si="186"/>
        <v>0.05</v>
      </c>
      <c r="N5303" s="464">
        <f t="shared" si="187"/>
        <v>212452</v>
      </c>
    </row>
    <row r="5304" spans="7:14" ht="11.25" customHeight="1" x14ac:dyDescent="0.25">
      <c r="G5304" s="459"/>
      <c r="H5304" s="459">
        <v>5297</v>
      </c>
      <c r="I5304" s="444">
        <f t="shared" ca="1" si="185"/>
        <v>-2966860649092006.5</v>
      </c>
      <c r="J5304" s="444">
        <f t="array" ref="J5304">IFERROR(INDEX('Retirement Calculator'!K:K,MATCH('Lorri 401b'!N5304,'Retirement Calculator'!A:A,0),0),0)</f>
        <v>0</v>
      </c>
      <c r="K5304" s="444">
        <f t="shared" ca="1" si="183"/>
        <v>-12361919371216.693</v>
      </c>
      <c r="L5304" s="444">
        <f t="shared" ca="1" si="184"/>
        <v>-2979222568463223</v>
      </c>
      <c r="M5304" s="460">
        <f t="shared" si="186"/>
        <v>0.05</v>
      </c>
      <c r="N5304" s="464">
        <f t="shared" si="187"/>
        <v>212482</v>
      </c>
    </row>
    <row r="5305" spans="7:14" ht="11.25" customHeight="1" x14ac:dyDescent="0.25">
      <c r="G5305" s="459"/>
      <c r="H5305" s="459">
        <v>5298</v>
      </c>
      <c r="I5305" s="444">
        <f t="shared" ca="1" si="185"/>
        <v>-2979222568463223</v>
      </c>
      <c r="J5305" s="444">
        <f t="array" ref="J5305">IFERROR(INDEX('Retirement Calculator'!K:K,MATCH('Lorri 401b'!N5305,'Retirement Calculator'!A:A,0),0),0)</f>
        <v>0</v>
      </c>
      <c r="K5305" s="444">
        <f t="shared" ca="1" si="183"/>
        <v>-12413427368596.762</v>
      </c>
      <c r="L5305" s="444">
        <f t="shared" ca="1" si="184"/>
        <v>-2991635995831820</v>
      </c>
      <c r="M5305" s="460">
        <f t="shared" si="186"/>
        <v>0.05</v>
      </c>
      <c r="N5305" s="464">
        <f t="shared" si="187"/>
        <v>212513</v>
      </c>
    </row>
    <row r="5306" spans="7:14" ht="11.25" customHeight="1" x14ac:dyDescent="0.25">
      <c r="G5306" s="459"/>
      <c r="H5306" s="459">
        <v>5299</v>
      </c>
      <c r="I5306" s="444">
        <f t="shared" ca="1" si="185"/>
        <v>-2991635995831820</v>
      </c>
      <c r="J5306" s="444">
        <f t="array" ref="J5306">IFERROR(INDEX('Retirement Calculator'!K:K,MATCH('Lorri 401b'!N5306,'Retirement Calculator'!A:A,0),0),0)</f>
        <v>0</v>
      </c>
      <c r="K5306" s="444">
        <f t="shared" ca="1" si="183"/>
        <v>-12465149982632.584</v>
      </c>
      <c r="L5306" s="444">
        <f t="shared" ca="1" si="184"/>
        <v>-3004101145814452.5</v>
      </c>
      <c r="M5306" s="460">
        <f t="shared" si="186"/>
        <v>0.05</v>
      </c>
      <c r="N5306" s="464">
        <f t="shared" si="187"/>
        <v>212543</v>
      </c>
    </row>
    <row r="5307" spans="7:14" ht="11.25" customHeight="1" x14ac:dyDescent="0.25">
      <c r="G5307" s="459"/>
      <c r="H5307" s="459">
        <v>5300</v>
      </c>
      <c r="I5307" s="444">
        <f t="shared" ca="1" si="185"/>
        <v>-3004101145814452.5</v>
      </c>
      <c r="J5307" s="444">
        <f t="array" ref="J5307">IFERROR(INDEX('Retirement Calculator'!K:K,MATCH('Lorri 401b'!N5307,'Retirement Calculator'!A:A,0),0),0)</f>
        <v>0</v>
      </c>
      <c r="K5307" s="444">
        <f t="shared" ca="1" si="183"/>
        <v>-12517088107560.219</v>
      </c>
      <c r="L5307" s="444">
        <f t="shared" ca="1" si="184"/>
        <v>-3016618233922012.5</v>
      </c>
      <c r="M5307" s="460">
        <f t="shared" si="186"/>
        <v>0.05</v>
      </c>
      <c r="N5307" s="464">
        <f t="shared" si="187"/>
        <v>212574</v>
      </c>
    </row>
    <row r="5308" spans="7:14" ht="11.25" customHeight="1" x14ac:dyDescent="0.25">
      <c r="G5308" s="459"/>
      <c r="H5308" s="459">
        <v>5301</v>
      </c>
      <c r="I5308" s="444">
        <f t="shared" ca="1" si="185"/>
        <v>-3016618233922012.5</v>
      </c>
      <c r="J5308" s="444">
        <f t="array" ref="J5308">IFERROR(INDEX('Retirement Calculator'!K:K,MATCH('Lorri 401b'!N5308,'Retirement Calculator'!A:A,0),0),0)</f>
        <v>0</v>
      </c>
      <c r="K5308" s="444">
        <f t="shared" ca="1" si="183"/>
        <v>-12569242641341.719</v>
      </c>
      <c r="L5308" s="444">
        <f t="shared" ca="1" si="184"/>
        <v>-3029187476563354</v>
      </c>
      <c r="M5308" s="460">
        <f t="shared" si="186"/>
        <v>0.05</v>
      </c>
      <c r="N5308" s="464">
        <f t="shared" si="187"/>
        <v>212605</v>
      </c>
    </row>
    <row r="5309" spans="7:14" ht="11.25" customHeight="1" x14ac:dyDescent="0.25">
      <c r="G5309" s="459"/>
      <c r="H5309" s="459">
        <v>5302</v>
      </c>
      <c r="I5309" s="444">
        <f t="shared" ca="1" si="185"/>
        <v>-3029187476563354</v>
      </c>
      <c r="J5309" s="444">
        <f t="array" ref="J5309">IFERROR(INDEX('Retirement Calculator'!K:K,MATCH('Lorri 401b'!N5309,'Retirement Calculator'!A:A,0),0),0)</f>
        <v>0</v>
      </c>
      <c r="K5309" s="444">
        <f t="shared" ca="1" si="183"/>
        <v>-12621614485680.641</v>
      </c>
      <c r="L5309" s="444">
        <f t="shared" ca="1" si="184"/>
        <v>-3041809091049034.5</v>
      </c>
      <c r="M5309" s="460">
        <f t="shared" si="186"/>
        <v>0.05</v>
      </c>
      <c r="N5309" s="464">
        <f t="shared" si="187"/>
        <v>212633</v>
      </c>
    </row>
    <row r="5310" spans="7:14" ht="11.25" customHeight="1" x14ac:dyDescent="0.25">
      <c r="G5310" s="459"/>
      <c r="H5310" s="459">
        <v>5303</v>
      </c>
      <c r="I5310" s="444">
        <f t="shared" ca="1" si="185"/>
        <v>-3041809091049034.5</v>
      </c>
      <c r="J5310" s="444">
        <f t="array" ref="J5310">IFERROR(INDEX('Retirement Calculator'!K:K,MATCH('Lorri 401b'!N5310,'Retirement Calculator'!A:A,0),0),0)</f>
        <v>0</v>
      </c>
      <c r="K5310" s="444">
        <f t="shared" ca="1" si="183"/>
        <v>-12674204546037.645</v>
      </c>
      <c r="L5310" s="444">
        <f t="shared" ca="1" si="184"/>
        <v>-3054483295595072</v>
      </c>
      <c r="M5310" s="460">
        <f t="shared" si="186"/>
        <v>0.05</v>
      </c>
      <c r="N5310" s="464">
        <f t="shared" si="187"/>
        <v>212664</v>
      </c>
    </row>
    <row r="5311" spans="7:14" ht="11.25" customHeight="1" x14ac:dyDescent="0.25">
      <c r="G5311" s="459"/>
      <c r="H5311" s="459">
        <v>5304</v>
      </c>
      <c r="I5311" s="444">
        <f t="shared" ca="1" si="185"/>
        <v>-3054483295595072</v>
      </c>
      <c r="J5311" s="444">
        <f t="array" ref="J5311">IFERROR(INDEX('Retirement Calculator'!K:K,MATCH('Lorri 401b'!N5311,'Retirement Calculator'!A:A,0),0),0)</f>
        <v>0</v>
      </c>
      <c r="K5311" s="444">
        <f t="shared" ca="1" si="183"/>
        <v>-12727013731646.133</v>
      </c>
      <c r="L5311" s="444">
        <f t="shared" ca="1" si="184"/>
        <v>-3067210309326718</v>
      </c>
      <c r="M5311" s="460">
        <f t="shared" si="186"/>
        <v>0.05</v>
      </c>
      <c r="N5311" s="464">
        <f t="shared" si="187"/>
        <v>212694</v>
      </c>
    </row>
    <row r="5312" spans="7:14" ht="11.25" customHeight="1" x14ac:dyDescent="0.25">
      <c r="G5312" s="459"/>
      <c r="H5312" s="459">
        <v>5305</v>
      </c>
      <c r="I5312" s="444">
        <f t="shared" ca="1" si="185"/>
        <v>-3067210309326718</v>
      </c>
      <c r="J5312" s="444">
        <f t="array" ref="J5312">IFERROR(INDEX('Retirement Calculator'!K:K,MATCH('Lorri 401b'!N5312,'Retirement Calculator'!A:A,0),0),0)</f>
        <v>0</v>
      </c>
      <c r="K5312" s="444">
        <f t="shared" ca="1" si="183"/>
        <v>-12780042955527.992</v>
      </c>
      <c r="L5312" s="444">
        <f t="shared" ca="1" si="184"/>
        <v>-3079990352282246</v>
      </c>
      <c r="M5312" s="460">
        <f t="shared" si="186"/>
        <v>0.05</v>
      </c>
      <c r="N5312" s="464">
        <f t="shared" si="187"/>
        <v>212725</v>
      </c>
    </row>
    <row r="5313" spans="7:14" ht="11.25" customHeight="1" x14ac:dyDescent="0.25">
      <c r="G5313" s="459"/>
      <c r="H5313" s="459">
        <v>5306</v>
      </c>
      <c r="I5313" s="444">
        <f t="shared" ca="1" si="185"/>
        <v>-3079990352282246</v>
      </c>
      <c r="J5313" s="444">
        <f t="array" ref="J5313">IFERROR(INDEX('Retirement Calculator'!K:K,MATCH('Lorri 401b'!N5313,'Retirement Calculator'!A:A,0),0),0)</f>
        <v>0</v>
      </c>
      <c r="K5313" s="444">
        <f t="shared" ca="1" si="183"/>
        <v>-12833293134509.357</v>
      </c>
      <c r="L5313" s="444">
        <f t="shared" ca="1" si="184"/>
        <v>-3092823645416755.5</v>
      </c>
      <c r="M5313" s="460">
        <f t="shared" si="186"/>
        <v>0.05</v>
      </c>
      <c r="N5313" s="464">
        <f t="shared" si="187"/>
        <v>212755</v>
      </c>
    </row>
    <row r="5314" spans="7:14" ht="11.25" customHeight="1" x14ac:dyDescent="0.25">
      <c r="G5314" s="459"/>
      <c r="H5314" s="459">
        <v>5307</v>
      </c>
      <c r="I5314" s="444">
        <f t="shared" ca="1" si="185"/>
        <v>-3092823645416755.5</v>
      </c>
      <c r="J5314" s="444">
        <f t="array" ref="J5314">IFERROR(INDEX('Retirement Calculator'!K:K,MATCH('Lorri 401b'!N5314,'Retirement Calculator'!A:A,0),0),0)</f>
        <v>0</v>
      </c>
      <c r="K5314" s="444">
        <f t="shared" ca="1" si="183"/>
        <v>-12886765189236.48</v>
      </c>
      <c r="L5314" s="444">
        <f t="shared" ca="1" si="184"/>
        <v>-3105710410605992</v>
      </c>
      <c r="M5314" s="460">
        <f t="shared" si="186"/>
        <v>0.05</v>
      </c>
      <c r="N5314" s="464">
        <f t="shared" si="187"/>
        <v>212786</v>
      </c>
    </row>
    <row r="5315" spans="7:14" ht="11.25" customHeight="1" x14ac:dyDescent="0.25">
      <c r="G5315" s="459"/>
      <c r="H5315" s="459">
        <v>5308</v>
      </c>
      <c r="I5315" s="444">
        <f t="shared" ca="1" si="185"/>
        <v>-3105710410605992</v>
      </c>
      <c r="J5315" s="444">
        <f t="array" ref="J5315">IFERROR(INDEX('Retirement Calculator'!K:K,MATCH('Lorri 401b'!N5315,'Retirement Calculator'!A:A,0),0),0)</f>
        <v>0</v>
      </c>
      <c r="K5315" s="444">
        <f t="shared" ca="1" si="183"/>
        <v>-12940460044191.633</v>
      </c>
      <c r="L5315" s="444">
        <f t="shared" ca="1" si="184"/>
        <v>-3118650870650183.5</v>
      </c>
      <c r="M5315" s="460">
        <f t="shared" si="186"/>
        <v>0.05</v>
      </c>
      <c r="N5315" s="464">
        <f t="shared" si="187"/>
        <v>212817</v>
      </c>
    </row>
    <row r="5316" spans="7:14" ht="11.25" customHeight="1" x14ac:dyDescent="0.25">
      <c r="G5316" s="459"/>
      <c r="H5316" s="459">
        <v>5309</v>
      </c>
      <c r="I5316" s="444">
        <f t="shared" ca="1" si="185"/>
        <v>-3118650870650183.5</v>
      </c>
      <c r="J5316" s="444">
        <f t="array" ref="J5316">IFERROR(INDEX('Retirement Calculator'!K:K,MATCH('Lorri 401b'!N5316,'Retirement Calculator'!A:A,0),0),0)</f>
        <v>0</v>
      </c>
      <c r="K5316" s="444">
        <f t="shared" ca="1" si="183"/>
        <v>-12994378627709.098</v>
      </c>
      <c r="L5316" s="444">
        <f t="shared" ca="1" si="184"/>
        <v>-3131645249277892.5</v>
      </c>
      <c r="M5316" s="460">
        <f t="shared" si="186"/>
        <v>0.05</v>
      </c>
      <c r="N5316" s="464">
        <f t="shared" si="187"/>
        <v>212847</v>
      </c>
    </row>
    <row r="5317" spans="7:14" ht="11.25" customHeight="1" x14ac:dyDescent="0.25">
      <c r="G5317" s="459"/>
      <c r="H5317" s="459">
        <v>5310</v>
      </c>
      <c r="I5317" s="444">
        <f t="shared" ca="1" si="185"/>
        <v>-3131645249277892.5</v>
      </c>
      <c r="J5317" s="444">
        <f t="array" ref="J5317">IFERROR(INDEX('Retirement Calculator'!K:K,MATCH('Lorri 401b'!N5317,'Retirement Calculator'!A:A,0),0),0)</f>
        <v>0</v>
      </c>
      <c r="K5317" s="444">
        <f t="shared" ca="1" si="183"/>
        <v>-13048521871991.219</v>
      </c>
      <c r="L5317" s="444">
        <f t="shared" ca="1" si="184"/>
        <v>-3144693771149883.5</v>
      </c>
      <c r="M5317" s="460">
        <f t="shared" si="186"/>
        <v>0.05</v>
      </c>
      <c r="N5317" s="464">
        <f t="shared" si="187"/>
        <v>212878</v>
      </c>
    </row>
    <row r="5318" spans="7:14" ht="11.25" customHeight="1" x14ac:dyDescent="0.25">
      <c r="G5318" s="459"/>
      <c r="H5318" s="459">
        <v>5311</v>
      </c>
      <c r="I5318" s="444">
        <f t="shared" ca="1" si="185"/>
        <v>-3144693771149883.5</v>
      </c>
      <c r="J5318" s="444">
        <f t="array" ref="J5318">IFERROR(INDEX('Retirement Calculator'!K:K,MATCH('Lorri 401b'!N5318,'Retirement Calculator'!A:A,0),0),0)</f>
        <v>0</v>
      </c>
      <c r="K5318" s="444">
        <f t="shared" ca="1" si="183"/>
        <v>-13102890713124.514</v>
      </c>
      <c r="L5318" s="444">
        <f t="shared" ca="1" si="184"/>
        <v>-3157796661863008</v>
      </c>
      <c r="M5318" s="460">
        <f t="shared" si="186"/>
        <v>0.05</v>
      </c>
      <c r="N5318" s="464">
        <f t="shared" si="187"/>
        <v>212908</v>
      </c>
    </row>
    <row r="5319" spans="7:14" ht="11.25" customHeight="1" x14ac:dyDescent="0.25">
      <c r="G5319" s="459"/>
      <c r="H5319" s="459">
        <v>5312</v>
      </c>
      <c r="I5319" s="444">
        <f t="shared" ca="1" si="185"/>
        <v>-3157796661863008</v>
      </c>
      <c r="J5319" s="444">
        <f t="array" ref="J5319">IFERROR(INDEX('Retirement Calculator'!K:K,MATCH('Lorri 401b'!N5319,'Retirement Calculator'!A:A,0),0),0)</f>
        <v>0</v>
      </c>
      <c r="K5319" s="444">
        <f t="shared" ca="1" si="183"/>
        <v>-13157486091095.867</v>
      </c>
      <c r="L5319" s="444">
        <f t="shared" ca="1" si="184"/>
        <v>-3170954147954104</v>
      </c>
      <c r="M5319" s="460">
        <f t="shared" si="186"/>
        <v>0.05</v>
      </c>
      <c r="N5319" s="464">
        <f t="shared" si="187"/>
        <v>212939</v>
      </c>
    </row>
    <row r="5320" spans="7:14" ht="11.25" customHeight="1" x14ac:dyDescent="0.25">
      <c r="G5320" s="459"/>
      <c r="H5320" s="459">
        <v>5313</v>
      </c>
      <c r="I5320" s="444">
        <f t="shared" ca="1" si="185"/>
        <v>-3170954147954104</v>
      </c>
      <c r="J5320" s="444">
        <f t="array" ref="J5320">IFERROR(INDEX('Retirement Calculator'!K:K,MATCH('Lorri 401b'!N5320,'Retirement Calculator'!A:A,0),0),0)</f>
        <v>0</v>
      </c>
      <c r="K5320" s="444">
        <f t="shared" ca="1" si="183"/>
        <v>-13212308949808.766</v>
      </c>
      <c r="L5320" s="444">
        <f t="shared" ca="1" si="184"/>
        <v>-3184166456903913</v>
      </c>
      <c r="M5320" s="460">
        <f t="shared" si="186"/>
        <v>0.05</v>
      </c>
      <c r="N5320" s="464">
        <f t="shared" si="187"/>
        <v>212970</v>
      </c>
    </row>
    <row r="5321" spans="7:14" ht="11.25" customHeight="1" x14ac:dyDescent="0.25">
      <c r="G5321" s="459"/>
      <c r="H5321" s="459">
        <v>5314</v>
      </c>
      <c r="I5321" s="444">
        <f t="shared" ca="1" si="185"/>
        <v>-3184166456903913</v>
      </c>
      <c r="J5321" s="444">
        <f t="array" ref="J5321">IFERROR(INDEX('Retirement Calculator'!K:K,MATCH('Lorri 401b'!N5321,'Retirement Calculator'!A:A,0),0),0)</f>
        <v>0</v>
      </c>
      <c r="K5321" s="444">
        <f t="shared" ca="1" si="183"/>
        <v>-13267360237099.637</v>
      </c>
      <c r="L5321" s="444">
        <f t="shared" ca="1" si="184"/>
        <v>-3197433817141012.5</v>
      </c>
      <c r="M5321" s="460">
        <f t="shared" si="186"/>
        <v>0.05</v>
      </c>
      <c r="N5321" s="464">
        <f t="shared" si="187"/>
        <v>212998</v>
      </c>
    </row>
    <row r="5322" spans="7:14" ht="11.25" customHeight="1" x14ac:dyDescent="0.25">
      <c r="G5322" s="459"/>
      <c r="H5322" s="459">
        <v>5315</v>
      </c>
      <c r="I5322" s="444">
        <f t="shared" ca="1" si="185"/>
        <v>-3197433817141012.5</v>
      </c>
      <c r="J5322" s="444">
        <f t="array" ref="J5322">IFERROR(INDEX('Retirement Calculator'!K:K,MATCH('Lorri 401b'!N5322,'Retirement Calculator'!A:A,0),0),0)</f>
        <v>0</v>
      </c>
      <c r="K5322" s="444">
        <f t="shared" ca="1" si="183"/>
        <v>-13322640904754.219</v>
      </c>
      <c r="L5322" s="444">
        <f t="shared" ca="1" si="184"/>
        <v>-3210756458045766.5</v>
      </c>
      <c r="M5322" s="460">
        <f t="shared" si="186"/>
        <v>0.05</v>
      </c>
      <c r="N5322" s="464">
        <f t="shared" si="187"/>
        <v>213029</v>
      </c>
    </row>
    <row r="5323" spans="7:14" ht="11.25" customHeight="1" x14ac:dyDescent="0.25">
      <c r="G5323" s="459"/>
      <c r="H5323" s="459">
        <v>5316</v>
      </c>
      <c r="I5323" s="444">
        <f t="shared" ca="1" si="185"/>
        <v>-3210756458045766.5</v>
      </c>
      <c r="J5323" s="444">
        <f t="array" ref="J5323">IFERROR(INDEX('Retirement Calculator'!K:K,MATCH('Lorri 401b'!N5323,'Retirement Calculator'!A:A,0),0),0)</f>
        <v>0</v>
      </c>
      <c r="K5323" s="444">
        <f t="shared" ca="1" si="183"/>
        <v>-13378151908524.027</v>
      </c>
      <c r="L5323" s="444">
        <f t="shared" ca="1" si="184"/>
        <v>-3224134609954290.5</v>
      </c>
      <c r="M5323" s="460">
        <f t="shared" si="186"/>
        <v>0.05</v>
      </c>
      <c r="N5323" s="464">
        <f t="shared" si="187"/>
        <v>213059</v>
      </c>
    </row>
    <row r="5324" spans="7:14" ht="11.25" customHeight="1" x14ac:dyDescent="0.25">
      <c r="G5324" s="459"/>
      <c r="H5324" s="459">
        <v>5317</v>
      </c>
      <c r="I5324" s="444">
        <f t="shared" ca="1" si="185"/>
        <v>-3224134609954290.5</v>
      </c>
      <c r="J5324" s="444">
        <f t="array" ref="J5324">IFERROR(INDEX('Retirement Calculator'!K:K,MATCH('Lorri 401b'!N5324,'Retirement Calculator'!A:A,0),0),0)</f>
        <v>0</v>
      </c>
      <c r="K5324" s="444">
        <f t="shared" ca="1" si="183"/>
        <v>-13433894208142.877</v>
      </c>
      <c r="L5324" s="444">
        <f t="shared" ca="1" si="184"/>
        <v>-3237568504162433.5</v>
      </c>
      <c r="M5324" s="460">
        <f t="shared" si="186"/>
        <v>0.05</v>
      </c>
      <c r="N5324" s="464">
        <f t="shared" si="187"/>
        <v>213090</v>
      </c>
    </row>
    <row r="5325" spans="7:14" ht="11.25" customHeight="1" x14ac:dyDescent="0.25">
      <c r="G5325" s="459"/>
      <c r="H5325" s="459">
        <v>5318</v>
      </c>
      <c r="I5325" s="444">
        <f t="shared" ca="1" si="185"/>
        <v>-3237568504162433.5</v>
      </c>
      <c r="J5325" s="444">
        <f t="array" ref="J5325">IFERROR(INDEX('Retirement Calculator'!K:K,MATCH('Lorri 401b'!N5325,'Retirement Calculator'!A:A,0),0),0)</f>
        <v>0</v>
      </c>
      <c r="K5325" s="444">
        <f t="shared" ca="1" si="183"/>
        <v>-13489868767343.473</v>
      </c>
      <c r="L5325" s="444">
        <f t="shared" ca="1" si="184"/>
        <v>-3251058372929777</v>
      </c>
      <c r="M5325" s="460">
        <f t="shared" si="186"/>
        <v>0.05</v>
      </c>
      <c r="N5325" s="464">
        <f t="shared" si="187"/>
        <v>213120</v>
      </c>
    </row>
    <row r="5326" spans="7:14" ht="11.25" customHeight="1" x14ac:dyDescent="0.25">
      <c r="G5326" s="459"/>
      <c r="H5326" s="459">
        <v>5319</v>
      </c>
      <c r="I5326" s="444">
        <f t="shared" ca="1" si="185"/>
        <v>-3251058372929777</v>
      </c>
      <c r="J5326" s="444">
        <f t="array" ref="J5326">IFERROR(INDEX('Retirement Calculator'!K:K,MATCH('Lorri 401b'!N5326,'Retirement Calculator'!A:A,0),0),0)</f>
        <v>0</v>
      </c>
      <c r="K5326" s="444">
        <f t="shared" ca="1" si="183"/>
        <v>-13546076553874.07</v>
      </c>
      <c r="L5326" s="444">
        <f t="shared" ca="1" si="184"/>
        <v>-3264604449483651</v>
      </c>
      <c r="M5326" s="460">
        <f t="shared" si="186"/>
        <v>0.05</v>
      </c>
      <c r="N5326" s="464">
        <f t="shared" si="187"/>
        <v>213151</v>
      </c>
    </row>
    <row r="5327" spans="7:14" ht="11.25" customHeight="1" x14ac:dyDescent="0.25">
      <c r="G5327" s="459"/>
      <c r="H5327" s="459">
        <v>5320</v>
      </c>
      <c r="I5327" s="444">
        <f t="shared" ca="1" si="185"/>
        <v>-3264604449483651</v>
      </c>
      <c r="J5327" s="444">
        <f t="array" ref="J5327">IFERROR(INDEX('Retirement Calculator'!K:K,MATCH('Lorri 401b'!N5327,'Retirement Calculator'!A:A,0),0),0)</f>
        <v>0</v>
      </c>
      <c r="K5327" s="444">
        <f t="shared" ca="1" si="183"/>
        <v>-13602518539515.213</v>
      </c>
      <c r="L5327" s="444">
        <f t="shared" ca="1" si="184"/>
        <v>-3278206968023166</v>
      </c>
      <c r="M5327" s="460">
        <f t="shared" si="186"/>
        <v>0.05</v>
      </c>
      <c r="N5327" s="464">
        <f t="shared" si="187"/>
        <v>213182</v>
      </c>
    </row>
    <row r="5328" spans="7:14" ht="11.25" customHeight="1" x14ac:dyDescent="0.25">
      <c r="G5328" s="459"/>
      <c r="H5328" s="459">
        <v>5321</v>
      </c>
      <c r="I5328" s="444">
        <f t="shared" ca="1" si="185"/>
        <v>-3278206968023166</v>
      </c>
      <c r="J5328" s="444">
        <f t="array" ref="J5328">IFERROR(INDEX('Retirement Calculator'!K:K,MATCH('Lorri 401b'!N5328,'Retirement Calculator'!A:A,0),0),0)</f>
        <v>0</v>
      </c>
      <c r="K5328" s="444">
        <f t="shared" ca="1" si="183"/>
        <v>-13659195700096.525</v>
      </c>
      <c r="L5328" s="444">
        <f t="shared" ca="1" si="184"/>
        <v>-3291866163723262.5</v>
      </c>
      <c r="M5328" s="460">
        <f t="shared" si="186"/>
        <v>0.05</v>
      </c>
      <c r="N5328" s="464">
        <f t="shared" si="187"/>
        <v>213212</v>
      </c>
    </row>
    <row r="5329" spans="7:14" ht="11.25" customHeight="1" x14ac:dyDescent="0.25">
      <c r="G5329" s="459"/>
      <c r="H5329" s="459">
        <v>5322</v>
      </c>
      <c r="I5329" s="444">
        <f t="shared" ca="1" si="185"/>
        <v>-3291866163723262.5</v>
      </c>
      <c r="J5329" s="444">
        <f t="array" ref="J5329">IFERROR(INDEX('Retirement Calculator'!K:K,MATCH('Lorri 401b'!N5329,'Retirement Calculator'!A:A,0),0),0)</f>
        <v>0</v>
      </c>
      <c r="K5329" s="444">
        <f t="shared" ca="1" si="183"/>
        <v>-13716109015513.594</v>
      </c>
      <c r="L5329" s="444">
        <f t="shared" ca="1" si="184"/>
        <v>-3305582272738776</v>
      </c>
      <c r="M5329" s="460">
        <f t="shared" si="186"/>
        <v>0.05</v>
      </c>
      <c r="N5329" s="464">
        <f t="shared" si="187"/>
        <v>213243</v>
      </c>
    </row>
    <row r="5330" spans="7:14" ht="11.25" customHeight="1" x14ac:dyDescent="0.25">
      <c r="G5330" s="459"/>
      <c r="H5330" s="459">
        <v>5323</v>
      </c>
      <c r="I5330" s="444">
        <f t="shared" ca="1" si="185"/>
        <v>-3305582272738776</v>
      </c>
      <c r="J5330" s="444">
        <f t="array" ref="J5330">IFERROR(INDEX('Retirement Calculator'!K:K,MATCH('Lorri 401b'!N5330,'Retirement Calculator'!A:A,0),0),0)</f>
        <v>0</v>
      </c>
      <c r="K5330" s="444">
        <f t="shared" ca="1" si="183"/>
        <v>-13773259469744.9</v>
      </c>
      <c r="L5330" s="444">
        <f t="shared" ca="1" si="184"/>
        <v>-3319355532208521</v>
      </c>
      <c r="M5330" s="460">
        <f t="shared" si="186"/>
        <v>0.05</v>
      </c>
      <c r="N5330" s="464">
        <f t="shared" si="187"/>
        <v>213273</v>
      </c>
    </row>
    <row r="5331" spans="7:14" ht="11.25" customHeight="1" x14ac:dyDescent="0.25">
      <c r="G5331" s="459"/>
      <c r="H5331" s="459">
        <v>5324</v>
      </c>
      <c r="I5331" s="444">
        <f t="shared" ca="1" si="185"/>
        <v>-3319355532208521</v>
      </c>
      <c r="J5331" s="444">
        <f t="array" ref="J5331">IFERROR(INDEX('Retirement Calculator'!K:K,MATCH('Lorri 401b'!N5331,'Retirement Calculator'!A:A,0),0),0)</f>
        <v>0</v>
      </c>
      <c r="K5331" s="444">
        <f t="shared" ca="1" si="183"/>
        <v>-13830648050868.838</v>
      </c>
      <c r="L5331" s="444">
        <f t="shared" ca="1" si="184"/>
        <v>-3333186180259390</v>
      </c>
      <c r="M5331" s="460">
        <f t="shared" si="186"/>
        <v>0.05</v>
      </c>
      <c r="N5331" s="464">
        <f t="shared" si="187"/>
        <v>213304</v>
      </c>
    </row>
    <row r="5332" spans="7:14" ht="11.25" customHeight="1" x14ac:dyDescent="0.25">
      <c r="G5332" s="459"/>
      <c r="H5332" s="459">
        <v>5325</v>
      </c>
      <c r="I5332" s="444">
        <f t="shared" ca="1" si="185"/>
        <v>-3333186180259390</v>
      </c>
      <c r="J5332" s="444">
        <f t="array" ref="J5332">IFERROR(INDEX('Retirement Calculator'!K:K,MATCH('Lorri 401b'!N5332,'Retirement Calculator'!A:A,0),0),0)</f>
        <v>0</v>
      </c>
      <c r="K5332" s="444">
        <f t="shared" ca="1" si="183"/>
        <v>-13888275751080.791</v>
      </c>
      <c r="L5332" s="444">
        <f t="shared" ca="1" si="184"/>
        <v>-3347074456010471</v>
      </c>
      <c r="M5332" s="460">
        <f t="shared" si="186"/>
        <v>0.05</v>
      </c>
      <c r="N5332" s="464">
        <f t="shared" si="187"/>
        <v>213335</v>
      </c>
    </row>
    <row r="5333" spans="7:14" ht="11.25" customHeight="1" x14ac:dyDescent="0.25">
      <c r="G5333" s="459"/>
      <c r="H5333" s="459">
        <v>5326</v>
      </c>
      <c r="I5333" s="444">
        <f t="shared" ca="1" si="185"/>
        <v>-3347074456010471</v>
      </c>
      <c r="J5333" s="444">
        <f t="array" ref="J5333">IFERROR(INDEX('Retirement Calculator'!K:K,MATCH('Lorri 401b'!N5333,'Retirement Calculator'!A:A,0),0),0)</f>
        <v>0</v>
      </c>
      <c r="K5333" s="444">
        <f t="shared" ca="1" si="183"/>
        <v>-13946143566710.295</v>
      </c>
      <c r="L5333" s="444">
        <f t="shared" ca="1" si="184"/>
        <v>-3361020599577181.5</v>
      </c>
      <c r="M5333" s="460">
        <f t="shared" si="186"/>
        <v>0.05</v>
      </c>
      <c r="N5333" s="464">
        <f t="shared" si="187"/>
        <v>213364</v>
      </c>
    </row>
    <row r="5334" spans="7:14" ht="11.25" customHeight="1" x14ac:dyDescent="0.25">
      <c r="G5334" s="459"/>
      <c r="H5334" s="459">
        <v>5327</v>
      </c>
      <c r="I5334" s="444">
        <f t="shared" ca="1" si="185"/>
        <v>-3361020599577181.5</v>
      </c>
      <c r="J5334" s="444">
        <f t="array" ref="J5334">IFERROR(INDEX('Retirement Calculator'!K:K,MATCH('Lorri 401b'!N5334,'Retirement Calculator'!A:A,0),0),0)</f>
        <v>0</v>
      </c>
      <c r="K5334" s="444">
        <f t="shared" ca="1" si="183"/>
        <v>-14004252498238.256</v>
      </c>
      <c r="L5334" s="444">
        <f t="shared" ca="1" si="184"/>
        <v>-3375024852075420</v>
      </c>
      <c r="M5334" s="460">
        <f t="shared" si="186"/>
        <v>0.05</v>
      </c>
      <c r="N5334" s="464">
        <f t="shared" si="187"/>
        <v>213395</v>
      </c>
    </row>
    <row r="5335" spans="7:14" ht="11.25" customHeight="1" x14ac:dyDescent="0.25">
      <c r="G5335" s="459"/>
      <c r="H5335" s="459">
        <v>5328</v>
      </c>
      <c r="I5335" s="444">
        <f t="shared" ca="1" si="185"/>
        <v>-3375024852075420</v>
      </c>
      <c r="J5335" s="444">
        <f t="array" ref="J5335">IFERROR(INDEX('Retirement Calculator'!K:K,MATCH('Lorri 401b'!N5335,'Retirement Calculator'!A:A,0),0),0)</f>
        <v>0</v>
      </c>
      <c r="K5335" s="444">
        <f t="shared" ca="1" si="183"/>
        <v>-14062603550314.25</v>
      </c>
      <c r="L5335" s="444">
        <f t="shared" ca="1" si="184"/>
        <v>-3389087455625734</v>
      </c>
      <c r="M5335" s="460">
        <f t="shared" si="186"/>
        <v>0.05</v>
      </c>
      <c r="N5335" s="464">
        <f t="shared" si="187"/>
        <v>213425</v>
      </c>
    </row>
    <row r="5336" spans="7:14" ht="11.25" customHeight="1" x14ac:dyDescent="0.25">
      <c r="G5336" s="459"/>
      <c r="H5336" s="459">
        <v>5329</v>
      </c>
      <c r="I5336" s="444">
        <f t="shared" ca="1" si="185"/>
        <v>-3389087455625734</v>
      </c>
      <c r="J5336" s="444">
        <f t="array" ref="J5336">IFERROR(INDEX('Retirement Calculator'!K:K,MATCH('Lorri 401b'!N5336,'Retirement Calculator'!A:A,0),0),0)</f>
        <v>0</v>
      </c>
      <c r="K5336" s="444">
        <f t="shared" ca="1" si="183"/>
        <v>-14121197731773.891</v>
      </c>
      <c r="L5336" s="444">
        <f t="shared" ca="1" si="184"/>
        <v>-3403208653357508</v>
      </c>
      <c r="M5336" s="460">
        <f t="shared" si="186"/>
        <v>0.05</v>
      </c>
      <c r="N5336" s="464">
        <f t="shared" si="187"/>
        <v>213456</v>
      </c>
    </row>
    <row r="5337" spans="7:14" ht="11.25" customHeight="1" x14ac:dyDescent="0.25">
      <c r="G5337" s="459"/>
      <c r="H5337" s="459">
        <v>5330</v>
      </c>
      <c r="I5337" s="444">
        <f t="shared" ca="1" si="185"/>
        <v>-3403208653357508</v>
      </c>
      <c r="J5337" s="444">
        <f t="array" ref="J5337">IFERROR(INDEX('Retirement Calculator'!K:K,MATCH('Lorri 401b'!N5337,'Retirement Calculator'!A:A,0),0),0)</f>
        <v>0</v>
      </c>
      <c r="K5337" s="444">
        <f t="shared" ca="1" si="183"/>
        <v>-14180036055656.283</v>
      </c>
      <c r="L5337" s="444">
        <f t="shared" ca="1" si="184"/>
        <v>-3417388689413164.5</v>
      </c>
      <c r="M5337" s="460">
        <f t="shared" si="186"/>
        <v>0.05</v>
      </c>
      <c r="N5337" s="464">
        <f t="shared" si="187"/>
        <v>213486</v>
      </c>
    </row>
    <row r="5338" spans="7:14" ht="11.25" customHeight="1" x14ac:dyDescent="0.25">
      <c r="G5338" s="459"/>
      <c r="H5338" s="459">
        <v>5331</v>
      </c>
      <c r="I5338" s="444">
        <f t="shared" ca="1" si="185"/>
        <v>-3417388689413164.5</v>
      </c>
      <c r="J5338" s="444">
        <f t="array" ref="J5338">IFERROR(INDEX('Retirement Calculator'!K:K,MATCH('Lorri 401b'!N5338,'Retirement Calculator'!A:A,0),0),0)</f>
        <v>0</v>
      </c>
      <c r="K5338" s="444">
        <f t="shared" ca="1" si="183"/>
        <v>-14239119539221.518</v>
      </c>
      <c r="L5338" s="444">
        <f t="shared" ca="1" si="184"/>
        <v>-3431627808952386</v>
      </c>
      <c r="M5338" s="460">
        <f t="shared" si="186"/>
        <v>0.05</v>
      </c>
      <c r="N5338" s="464">
        <f t="shared" si="187"/>
        <v>213517</v>
      </c>
    </row>
    <row r="5339" spans="7:14" ht="11.25" customHeight="1" x14ac:dyDescent="0.25">
      <c r="G5339" s="459"/>
      <c r="H5339" s="459">
        <v>5332</v>
      </c>
      <c r="I5339" s="444">
        <f t="shared" ca="1" si="185"/>
        <v>-3431627808952386</v>
      </c>
      <c r="J5339" s="444">
        <f t="array" ref="J5339">IFERROR(INDEX('Retirement Calculator'!K:K,MATCH('Lorri 401b'!N5339,'Retirement Calculator'!A:A,0),0),0)</f>
        <v>0</v>
      </c>
      <c r="K5339" s="444">
        <f t="shared" ca="1" si="183"/>
        <v>-14298449203968.275</v>
      </c>
      <c r="L5339" s="444">
        <f t="shared" ca="1" si="184"/>
        <v>-3445926258156354.5</v>
      </c>
      <c r="M5339" s="460">
        <f t="shared" si="186"/>
        <v>0.05</v>
      </c>
      <c r="N5339" s="464">
        <f t="shared" si="187"/>
        <v>213548</v>
      </c>
    </row>
    <row r="5340" spans="7:14" ht="11.25" customHeight="1" x14ac:dyDescent="0.25">
      <c r="G5340" s="459"/>
      <c r="H5340" s="459">
        <v>5333</v>
      </c>
      <c r="I5340" s="444">
        <f t="shared" ca="1" si="185"/>
        <v>-3445926258156354.5</v>
      </c>
      <c r="J5340" s="444">
        <f t="array" ref="J5340">IFERROR(INDEX('Retirement Calculator'!K:K,MATCH('Lorri 401b'!N5340,'Retirement Calculator'!A:A,0),0),0)</f>
        <v>0</v>
      </c>
      <c r="K5340" s="444">
        <f t="shared" ca="1" si="183"/>
        <v>-14358026075651.477</v>
      </c>
      <c r="L5340" s="444">
        <f t="shared" ca="1" si="184"/>
        <v>-3460284284232006</v>
      </c>
      <c r="M5340" s="460">
        <f t="shared" si="186"/>
        <v>0.05</v>
      </c>
      <c r="N5340" s="464">
        <f t="shared" si="187"/>
        <v>213578</v>
      </c>
    </row>
    <row r="5341" spans="7:14" ht="11.25" customHeight="1" x14ac:dyDescent="0.25">
      <c r="G5341" s="459"/>
      <c r="H5341" s="459">
        <v>5334</v>
      </c>
      <c r="I5341" s="444">
        <f t="shared" ca="1" si="185"/>
        <v>-3460284284232006</v>
      </c>
      <c r="J5341" s="444">
        <f t="array" ref="J5341">IFERROR(INDEX('Retirement Calculator'!K:K,MATCH('Lorri 401b'!N5341,'Retirement Calculator'!A:A,0),0),0)</f>
        <v>0</v>
      </c>
      <c r="K5341" s="444">
        <f t="shared" ca="1" si="183"/>
        <v>-14417851184300.025</v>
      </c>
      <c r="L5341" s="444">
        <f t="shared" ca="1" si="184"/>
        <v>-3474702135416306</v>
      </c>
      <c r="M5341" s="460">
        <f t="shared" si="186"/>
        <v>0.05</v>
      </c>
      <c r="N5341" s="464">
        <f t="shared" si="187"/>
        <v>213609</v>
      </c>
    </row>
    <row r="5342" spans="7:14" ht="11.25" customHeight="1" x14ac:dyDescent="0.25">
      <c r="G5342" s="459"/>
      <c r="H5342" s="459">
        <v>5335</v>
      </c>
      <c r="I5342" s="444">
        <f t="shared" ca="1" si="185"/>
        <v>-3474702135416306</v>
      </c>
      <c r="J5342" s="444">
        <f t="array" ref="J5342">IFERROR(INDEX('Retirement Calculator'!K:K,MATCH('Lorri 401b'!N5342,'Retirement Calculator'!A:A,0),0),0)</f>
        <v>0</v>
      </c>
      <c r="K5342" s="444">
        <f t="shared" ca="1" si="183"/>
        <v>-14477925564234.607</v>
      </c>
      <c r="L5342" s="444">
        <f t="shared" ca="1" si="184"/>
        <v>-3489180060980540.5</v>
      </c>
      <c r="M5342" s="460">
        <f t="shared" si="186"/>
        <v>0.05</v>
      </c>
      <c r="N5342" s="464">
        <f t="shared" si="187"/>
        <v>213639</v>
      </c>
    </row>
    <row r="5343" spans="7:14" ht="11.25" customHeight="1" x14ac:dyDescent="0.25">
      <c r="G5343" s="459"/>
      <c r="H5343" s="459">
        <v>5336</v>
      </c>
      <c r="I5343" s="444">
        <f t="shared" ca="1" si="185"/>
        <v>-3489180060980540.5</v>
      </c>
      <c r="J5343" s="444">
        <f t="array" ref="J5343">IFERROR(INDEX('Retirement Calculator'!K:K,MATCH('Lorri 401b'!N5343,'Retirement Calculator'!A:A,0),0),0)</f>
        <v>0</v>
      </c>
      <c r="K5343" s="444">
        <f t="shared" ca="1" si="183"/>
        <v>-14538250254085.586</v>
      </c>
      <c r="L5343" s="444">
        <f t="shared" ca="1" si="184"/>
        <v>-3503718311234626</v>
      </c>
      <c r="M5343" s="460">
        <f t="shared" si="186"/>
        <v>0.05</v>
      </c>
      <c r="N5343" s="464">
        <f t="shared" si="187"/>
        <v>213670</v>
      </c>
    </row>
    <row r="5344" spans="7:14" ht="11.25" customHeight="1" x14ac:dyDescent="0.25">
      <c r="G5344" s="459"/>
      <c r="H5344" s="459">
        <v>5337</v>
      </c>
      <c r="I5344" s="444">
        <f t="shared" ca="1" si="185"/>
        <v>-3503718311234626</v>
      </c>
      <c r="J5344" s="444">
        <f t="array" ref="J5344">IFERROR(INDEX('Retirement Calculator'!K:K,MATCH('Lorri 401b'!N5344,'Retirement Calculator'!A:A,0),0),0)</f>
        <v>0</v>
      </c>
      <c r="K5344" s="444">
        <f t="shared" ca="1" si="183"/>
        <v>-14598826296810.941</v>
      </c>
      <c r="L5344" s="444">
        <f t="shared" ca="1" si="184"/>
        <v>-3518317137531437</v>
      </c>
      <c r="M5344" s="460">
        <f t="shared" si="186"/>
        <v>0.05</v>
      </c>
      <c r="N5344" s="464">
        <f t="shared" si="187"/>
        <v>213701</v>
      </c>
    </row>
    <row r="5345" spans="7:14" ht="11.25" customHeight="1" x14ac:dyDescent="0.25">
      <c r="G5345" s="459"/>
      <c r="H5345" s="459">
        <v>5338</v>
      </c>
      <c r="I5345" s="444">
        <f t="shared" ca="1" si="185"/>
        <v>-3518317137531437</v>
      </c>
      <c r="J5345" s="444">
        <f t="array" ref="J5345">IFERROR(INDEX('Retirement Calculator'!K:K,MATCH('Lorri 401b'!N5345,'Retirement Calculator'!A:A,0),0),0)</f>
        <v>0</v>
      </c>
      <c r="K5345" s="444">
        <f t="shared" ca="1" si="183"/>
        <v>-14659654739714.318</v>
      </c>
      <c r="L5345" s="444">
        <f t="shared" ca="1" si="184"/>
        <v>-3532976792271151.5</v>
      </c>
      <c r="M5345" s="460">
        <f t="shared" si="186"/>
        <v>0.05</v>
      </c>
      <c r="N5345" s="464">
        <f t="shared" si="187"/>
        <v>213729</v>
      </c>
    </row>
    <row r="5346" spans="7:14" ht="11.25" customHeight="1" x14ac:dyDescent="0.25">
      <c r="G5346" s="459"/>
      <c r="H5346" s="459">
        <v>5339</v>
      </c>
      <c r="I5346" s="444">
        <f t="shared" ca="1" si="185"/>
        <v>-3532976792271151.5</v>
      </c>
      <c r="J5346" s="444">
        <f t="array" ref="J5346">IFERROR(INDEX('Retirement Calculator'!K:K,MATCH('Lorri 401b'!N5346,'Retirement Calculator'!A:A,0),0),0)</f>
        <v>0</v>
      </c>
      <c r="K5346" s="444">
        <f t="shared" ca="1" si="183"/>
        <v>-14720736634463.131</v>
      </c>
      <c r="L5346" s="444">
        <f t="shared" ca="1" si="184"/>
        <v>-3547697528905614.5</v>
      </c>
      <c r="M5346" s="460">
        <f t="shared" si="186"/>
        <v>0.05</v>
      </c>
      <c r="N5346" s="464">
        <f t="shared" si="187"/>
        <v>213760</v>
      </c>
    </row>
    <row r="5347" spans="7:14" ht="11.25" customHeight="1" x14ac:dyDescent="0.25">
      <c r="G5347" s="459"/>
      <c r="H5347" s="459">
        <v>5340</v>
      </c>
      <c r="I5347" s="444">
        <f t="shared" ca="1" si="185"/>
        <v>-3547697528905614.5</v>
      </c>
      <c r="J5347" s="444">
        <f t="array" ref="J5347">IFERROR(INDEX('Retirement Calculator'!K:K,MATCH('Lorri 401b'!N5347,'Retirement Calculator'!A:A,0),0),0)</f>
        <v>0</v>
      </c>
      <c r="K5347" s="444">
        <f t="shared" ca="1" si="183"/>
        <v>-14782073037106.725</v>
      </c>
      <c r="L5347" s="444">
        <f t="shared" ca="1" si="184"/>
        <v>-3562479601942721</v>
      </c>
      <c r="M5347" s="460">
        <f t="shared" si="186"/>
        <v>0.05</v>
      </c>
      <c r="N5347" s="464">
        <f t="shared" si="187"/>
        <v>213790</v>
      </c>
    </row>
    <row r="5348" spans="7:14" ht="11.25" customHeight="1" x14ac:dyDescent="0.25">
      <c r="G5348" s="459"/>
      <c r="H5348" s="459">
        <v>5341</v>
      </c>
      <c r="I5348" s="444">
        <f t="shared" ca="1" si="185"/>
        <v>-3562479601942721</v>
      </c>
      <c r="J5348" s="444">
        <f t="array" ref="J5348">IFERROR(INDEX('Retirement Calculator'!K:K,MATCH('Lorri 401b'!N5348,'Retirement Calculator'!A:A,0),0),0)</f>
        <v>0</v>
      </c>
      <c r="K5348" s="444">
        <f t="shared" ca="1" si="183"/>
        <v>-14843665008094.67</v>
      </c>
      <c r="L5348" s="444">
        <f t="shared" ca="1" si="184"/>
        <v>-3577323266950815.5</v>
      </c>
      <c r="M5348" s="460">
        <f t="shared" si="186"/>
        <v>0.05</v>
      </c>
      <c r="N5348" s="464">
        <f t="shared" si="187"/>
        <v>213821</v>
      </c>
    </row>
    <row r="5349" spans="7:14" ht="11.25" customHeight="1" x14ac:dyDescent="0.25">
      <c r="G5349" s="459"/>
      <c r="H5349" s="459">
        <v>5342</v>
      </c>
      <c r="I5349" s="444">
        <f t="shared" ca="1" si="185"/>
        <v>-3577323266950815.5</v>
      </c>
      <c r="J5349" s="444">
        <f t="array" ref="J5349">IFERROR(INDEX('Retirement Calculator'!K:K,MATCH('Lorri 401b'!N5349,'Retirement Calculator'!A:A,0),0),0)</f>
        <v>0</v>
      </c>
      <c r="K5349" s="444">
        <f t="shared" ca="1" si="183"/>
        <v>-14905513612295.064</v>
      </c>
      <c r="L5349" s="444">
        <f t="shared" ca="1" si="184"/>
        <v>-3592228780563110.5</v>
      </c>
      <c r="M5349" s="460">
        <f t="shared" si="186"/>
        <v>0.05</v>
      </c>
      <c r="N5349" s="464">
        <f t="shared" si="187"/>
        <v>213851</v>
      </c>
    </row>
    <row r="5350" spans="7:14" ht="11.25" customHeight="1" x14ac:dyDescent="0.25">
      <c r="G5350" s="459"/>
      <c r="H5350" s="459">
        <v>5343</v>
      </c>
      <c r="I5350" s="444">
        <f t="shared" ca="1" si="185"/>
        <v>-3592228780563110.5</v>
      </c>
      <c r="J5350" s="444">
        <f t="array" ref="J5350">IFERROR(INDEX('Retirement Calculator'!K:K,MATCH('Lorri 401b'!N5350,'Retirement Calculator'!A:A,0),0),0)</f>
        <v>0</v>
      </c>
      <c r="K5350" s="444">
        <f t="shared" ca="1" si="183"/>
        <v>-14967619919012.959</v>
      </c>
      <c r="L5350" s="444">
        <f t="shared" ca="1" si="184"/>
        <v>-3607196400482123.5</v>
      </c>
      <c r="M5350" s="460">
        <f t="shared" si="186"/>
        <v>0.05</v>
      </c>
      <c r="N5350" s="464">
        <f t="shared" si="187"/>
        <v>213882</v>
      </c>
    </row>
    <row r="5351" spans="7:14" ht="11.25" customHeight="1" x14ac:dyDescent="0.25">
      <c r="G5351" s="459"/>
      <c r="H5351" s="459">
        <v>5344</v>
      </c>
      <c r="I5351" s="444">
        <f t="shared" ca="1" si="185"/>
        <v>-3607196400482123.5</v>
      </c>
      <c r="J5351" s="444">
        <f t="array" ref="J5351">IFERROR(INDEX('Retirement Calculator'!K:K,MATCH('Lorri 401b'!N5351,'Retirement Calculator'!A:A,0),0),0)</f>
        <v>0</v>
      </c>
      <c r="K5351" s="444">
        <f t="shared" ca="1" si="183"/>
        <v>-15029985002008.85</v>
      </c>
      <c r="L5351" s="444">
        <f t="shared" ca="1" si="184"/>
        <v>-3622226385484132.5</v>
      </c>
      <c r="M5351" s="460">
        <f t="shared" si="186"/>
        <v>0.05</v>
      </c>
      <c r="N5351" s="464">
        <f t="shared" si="187"/>
        <v>213913</v>
      </c>
    </row>
    <row r="5352" spans="7:14" ht="11.25" customHeight="1" x14ac:dyDescent="0.25">
      <c r="G5352" s="459"/>
      <c r="H5352" s="459">
        <v>5345</v>
      </c>
      <c r="I5352" s="444">
        <f t="shared" ca="1" si="185"/>
        <v>-3622226385484132.5</v>
      </c>
      <c r="J5352" s="444">
        <f t="array" ref="J5352">IFERROR(INDEX('Retirement Calculator'!K:K,MATCH('Lorri 401b'!N5352,'Retirement Calculator'!A:A,0),0),0)</f>
        <v>0</v>
      </c>
      <c r="K5352" s="444">
        <f t="shared" ca="1" si="183"/>
        <v>-15092609939517.219</v>
      </c>
      <c r="L5352" s="444">
        <f t="shared" ca="1" si="184"/>
        <v>-3637318995423649.5</v>
      </c>
      <c r="M5352" s="460">
        <f t="shared" si="186"/>
        <v>0.05</v>
      </c>
      <c r="N5352" s="464">
        <f t="shared" si="187"/>
        <v>213943</v>
      </c>
    </row>
    <row r="5353" spans="7:14" ht="11.25" customHeight="1" x14ac:dyDescent="0.25">
      <c r="G5353" s="459"/>
      <c r="H5353" s="459">
        <v>5346</v>
      </c>
      <c r="I5353" s="444">
        <f t="shared" ca="1" si="185"/>
        <v>-3637318995423649.5</v>
      </c>
      <c r="J5353" s="444">
        <f t="array" ref="J5353">IFERROR(INDEX('Retirement Calculator'!K:K,MATCH('Lorri 401b'!N5353,'Retirement Calculator'!A:A,0),0),0)</f>
        <v>0</v>
      </c>
      <c r="K5353" s="444">
        <f t="shared" ca="1" si="183"/>
        <v>-15155495814265.203</v>
      </c>
      <c r="L5353" s="444">
        <f t="shared" ca="1" si="184"/>
        <v>-3652474491237914.5</v>
      </c>
      <c r="M5353" s="460">
        <f t="shared" si="186"/>
        <v>0.05</v>
      </c>
      <c r="N5353" s="464">
        <f t="shared" si="187"/>
        <v>213974</v>
      </c>
    </row>
    <row r="5354" spans="7:14" ht="11.25" customHeight="1" x14ac:dyDescent="0.25">
      <c r="G5354" s="459"/>
      <c r="H5354" s="459">
        <v>5347</v>
      </c>
      <c r="I5354" s="444">
        <f t="shared" ca="1" si="185"/>
        <v>-3652474491237914.5</v>
      </c>
      <c r="J5354" s="444">
        <f t="array" ref="J5354">IFERROR(INDEX('Retirement Calculator'!K:K,MATCH('Lorri 401b'!N5354,'Retirement Calculator'!A:A,0),0),0)</f>
        <v>0</v>
      </c>
      <c r="K5354" s="444">
        <f t="shared" ca="1" si="183"/>
        <v>-15218643713491.313</v>
      </c>
      <c r="L5354" s="444">
        <f t="shared" ca="1" si="184"/>
        <v>-3667693134951406</v>
      </c>
      <c r="M5354" s="460">
        <f t="shared" si="186"/>
        <v>0.05</v>
      </c>
      <c r="N5354" s="464">
        <f t="shared" si="187"/>
        <v>214004</v>
      </c>
    </row>
    <row r="5355" spans="7:14" ht="11.25" customHeight="1" x14ac:dyDescent="0.25">
      <c r="G5355" s="459"/>
      <c r="H5355" s="459">
        <v>5348</v>
      </c>
      <c r="I5355" s="444">
        <f t="shared" ca="1" si="185"/>
        <v>-3667693134951406</v>
      </c>
      <c r="J5355" s="444">
        <f t="array" ref="J5355">IFERROR(INDEX('Retirement Calculator'!K:K,MATCH('Lorri 401b'!N5355,'Retirement Calculator'!A:A,0),0),0)</f>
        <v>0</v>
      </c>
      <c r="K5355" s="444">
        <f t="shared" ca="1" si="183"/>
        <v>-15282054728964.191</v>
      </c>
      <c r="L5355" s="444">
        <f t="shared" ca="1" si="184"/>
        <v>-3682975189680370</v>
      </c>
      <c r="M5355" s="460">
        <f t="shared" si="186"/>
        <v>0.05</v>
      </c>
      <c r="N5355" s="464">
        <f t="shared" si="187"/>
        <v>214035</v>
      </c>
    </row>
    <row r="5356" spans="7:14" ht="11.25" customHeight="1" x14ac:dyDescent="0.25">
      <c r="G5356" s="459"/>
      <c r="H5356" s="459">
        <v>5349</v>
      </c>
      <c r="I5356" s="444">
        <f t="shared" ca="1" si="185"/>
        <v>-3682975189680370</v>
      </c>
      <c r="J5356" s="444">
        <f t="array" ref="J5356">IFERROR(INDEX('Retirement Calculator'!K:K,MATCH('Lorri 401b'!N5356,'Retirement Calculator'!A:A,0),0),0)</f>
        <v>0</v>
      </c>
      <c r="K5356" s="444">
        <f t="shared" ca="1" si="183"/>
        <v>-15345729957001.541</v>
      </c>
      <c r="L5356" s="444">
        <f t="shared" ca="1" si="184"/>
        <v>-3698320919637371.5</v>
      </c>
      <c r="M5356" s="460">
        <f t="shared" si="186"/>
        <v>0.05</v>
      </c>
      <c r="N5356" s="464">
        <f t="shared" si="187"/>
        <v>214066</v>
      </c>
    </row>
    <row r="5357" spans="7:14" ht="11.25" customHeight="1" x14ac:dyDescent="0.25">
      <c r="G5357" s="459"/>
      <c r="H5357" s="459">
        <v>5350</v>
      </c>
      <c r="I5357" s="444">
        <f t="shared" ca="1" si="185"/>
        <v>-3698320919637371.5</v>
      </c>
      <c r="J5357" s="444">
        <f t="array" ref="J5357">IFERROR(INDEX('Retirement Calculator'!K:K,MATCH('Lorri 401b'!N5357,'Retirement Calculator'!A:A,0),0),0)</f>
        <v>0</v>
      </c>
      <c r="K5357" s="444">
        <f t="shared" ca="1" si="183"/>
        <v>-15409670498489.047</v>
      </c>
      <c r="L5357" s="444">
        <f t="shared" ca="1" si="184"/>
        <v>-3713730590135860.5</v>
      </c>
      <c r="M5357" s="460">
        <f t="shared" si="186"/>
        <v>0.05</v>
      </c>
      <c r="N5357" s="464">
        <f t="shared" si="187"/>
        <v>214094</v>
      </c>
    </row>
    <row r="5358" spans="7:14" ht="11.25" customHeight="1" x14ac:dyDescent="0.25">
      <c r="G5358" s="459"/>
      <c r="H5358" s="459">
        <v>5351</v>
      </c>
      <c r="I5358" s="444">
        <f t="shared" ca="1" si="185"/>
        <v>-3713730590135860.5</v>
      </c>
      <c r="J5358" s="444">
        <f t="array" ref="J5358">IFERROR(INDEX('Retirement Calculator'!K:K,MATCH('Lorri 401b'!N5358,'Retirement Calculator'!A:A,0),0),0)</f>
        <v>0</v>
      </c>
      <c r="K5358" s="444">
        <f t="shared" ca="1" si="183"/>
        <v>-15473877458899.416</v>
      </c>
      <c r="L5358" s="444">
        <f t="shared" ca="1" si="184"/>
        <v>-3729204467594760</v>
      </c>
      <c r="M5358" s="460">
        <f t="shared" si="186"/>
        <v>0.05</v>
      </c>
      <c r="N5358" s="464">
        <f t="shared" si="187"/>
        <v>214125</v>
      </c>
    </row>
    <row r="5359" spans="7:14" ht="11.25" customHeight="1" x14ac:dyDescent="0.25">
      <c r="G5359" s="459"/>
      <c r="H5359" s="459">
        <v>5352</v>
      </c>
      <c r="I5359" s="444">
        <f t="shared" ca="1" si="185"/>
        <v>-3729204467594760</v>
      </c>
      <c r="J5359" s="444">
        <f t="array" ref="J5359">IFERROR(INDEX('Retirement Calculator'!K:K,MATCH('Lorri 401b'!N5359,'Retirement Calculator'!A:A,0),0),0)</f>
        <v>0</v>
      </c>
      <c r="K5359" s="444">
        <f t="shared" ca="1" si="183"/>
        <v>-15538351948311.5</v>
      </c>
      <c r="L5359" s="444">
        <f t="shared" ca="1" si="184"/>
        <v>-3744742819543071.5</v>
      </c>
      <c r="M5359" s="460">
        <f t="shared" si="186"/>
        <v>0.05</v>
      </c>
      <c r="N5359" s="464">
        <f t="shared" si="187"/>
        <v>214155</v>
      </c>
    </row>
    <row r="5360" spans="7:14" ht="11.25" customHeight="1" x14ac:dyDescent="0.25">
      <c r="G5360" s="459"/>
      <c r="H5360" s="459">
        <v>5353</v>
      </c>
      <c r="I5360" s="444">
        <f t="shared" ca="1" si="185"/>
        <v>-3744742819543071.5</v>
      </c>
      <c r="J5360" s="444">
        <f t="array" ref="J5360">IFERROR(INDEX('Retirement Calculator'!K:K,MATCH('Lorri 401b'!N5360,'Retirement Calculator'!A:A,0),0),0)</f>
        <v>0</v>
      </c>
      <c r="K5360" s="444">
        <f t="shared" ca="1" si="183"/>
        <v>-15603095081429.465</v>
      </c>
      <c r="L5360" s="444">
        <f t="shared" ca="1" si="184"/>
        <v>-3760345914624501</v>
      </c>
      <c r="M5360" s="460">
        <f t="shared" si="186"/>
        <v>0.05</v>
      </c>
      <c r="N5360" s="464">
        <f t="shared" si="187"/>
        <v>214186</v>
      </c>
    </row>
    <row r="5361" spans="7:14" ht="11.25" customHeight="1" x14ac:dyDescent="0.25">
      <c r="G5361" s="459"/>
      <c r="H5361" s="459">
        <v>5354</v>
      </c>
      <c r="I5361" s="444">
        <f t="shared" ca="1" si="185"/>
        <v>-3760345914624501</v>
      </c>
      <c r="J5361" s="444">
        <f t="array" ref="J5361">IFERROR(INDEX('Retirement Calculator'!K:K,MATCH('Lorri 401b'!N5361,'Retirement Calculator'!A:A,0),0),0)</f>
        <v>0</v>
      </c>
      <c r="K5361" s="444">
        <f t="shared" ca="1" si="183"/>
        <v>-15668107977602.088</v>
      </c>
      <c r="L5361" s="444">
        <f t="shared" ca="1" si="184"/>
        <v>-3776014022602103</v>
      </c>
      <c r="M5361" s="460">
        <f t="shared" si="186"/>
        <v>0.05</v>
      </c>
      <c r="N5361" s="464">
        <f t="shared" si="187"/>
        <v>214216</v>
      </c>
    </row>
    <row r="5362" spans="7:14" ht="11.25" customHeight="1" x14ac:dyDescent="0.25">
      <c r="G5362" s="459"/>
      <c r="H5362" s="459">
        <v>5355</v>
      </c>
      <c r="I5362" s="444">
        <f t="shared" ca="1" si="185"/>
        <v>-3776014022602103</v>
      </c>
      <c r="J5362" s="444">
        <f t="array" ref="J5362">IFERROR(INDEX('Retirement Calculator'!K:K,MATCH('Lorri 401b'!N5362,'Retirement Calculator'!A:A,0),0),0)</f>
        <v>0</v>
      </c>
      <c r="K5362" s="444">
        <f t="shared" ca="1" si="183"/>
        <v>-15733391760842.098</v>
      </c>
      <c r="L5362" s="444">
        <f t="shared" ca="1" si="184"/>
        <v>-3791747414362945</v>
      </c>
      <c r="M5362" s="460">
        <f t="shared" si="186"/>
        <v>0.05</v>
      </c>
      <c r="N5362" s="464">
        <f t="shared" si="187"/>
        <v>214247</v>
      </c>
    </row>
    <row r="5363" spans="7:14" ht="11.25" customHeight="1" x14ac:dyDescent="0.25">
      <c r="G5363" s="459"/>
      <c r="H5363" s="459">
        <v>5356</v>
      </c>
      <c r="I5363" s="444">
        <f t="shared" ca="1" si="185"/>
        <v>-3791747414362945</v>
      </c>
      <c r="J5363" s="444">
        <f t="array" ref="J5363">IFERROR(INDEX('Retirement Calculator'!K:K,MATCH('Lorri 401b'!N5363,'Retirement Calculator'!A:A,0),0),0)</f>
        <v>0</v>
      </c>
      <c r="K5363" s="444">
        <f t="shared" ref="K5363:K5617" ca="1" si="188">IPMT(M5363/12,1,12,-I5363+J5363,,0)</f>
        <v>-15798947559845.604</v>
      </c>
      <c r="L5363" s="444">
        <f t="shared" ref="L5363:L5617" ca="1" si="189">I5363-J5363+K5363</f>
        <v>-3807546361922790.5</v>
      </c>
      <c r="M5363" s="460">
        <f t="shared" si="186"/>
        <v>0.05</v>
      </c>
      <c r="N5363" s="464">
        <f t="shared" si="187"/>
        <v>214278</v>
      </c>
    </row>
    <row r="5364" spans="7:14" ht="11.25" customHeight="1" x14ac:dyDescent="0.25">
      <c r="G5364" s="459"/>
      <c r="H5364" s="459">
        <v>5357</v>
      </c>
      <c r="I5364" s="444">
        <f t="shared" ref="I5364:I5618" ca="1" si="190">L5363</f>
        <v>-3807546361922790.5</v>
      </c>
      <c r="J5364" s="444">
        <f t="array" ref="J5364">IFERROR(INDEX('Retirement Calculator'!K:K,MATCH('Lorri 401b'!N5364,'Retirement Calculator'!A:A,0),0),0)</f>
        <v>0</v>
      </c>
      <c r="K5364" s="444">
        <f t="shared" ca="1" si="188"/>
        <v>-15864776508011.625</v>
      </c>
      <c r="L5364" s="444">
        <f t="shared" ca="1" si="189"/>
        <v>-3823411138430802</v>
      </c>
      <c r="M5364" s="460">
        <f t="shared" ref="M5364:M5618" si="191">M5363</f>
        <v>0.05</v>
      </c>
      <c r="N5364" s="464">
        <f t="shared" ref="N5364:N5618" si="192">EDATE(N5363,1)</f>
        <v>214308</v>
      </c>
    </row>
    <row r="5365" spans="7:14" ht="11.25" customHeight="1" x14ac:dyDescent="0.25">
      <c r="G5365" s="459"/>
      <c r="H5365" s="459">
        <v>5358</v>
      </c>
      <c r="I5365" s="444">
        <f t="shared" ca="1" si="190"/>
        <v>-3823411138430802</v>
      </c>
      <c r="J5365" s="444">
        <f t="array" ref="J5365">IFERROR(INDEX('Retirement Calculator'!K:K,MATCH('Lorri 401b'!N5365,'Retirement Calculator'!A:A,0),0),0)</f>
        <v>0</v>
      </c>
      <c r="K5365" s="444">
        <f t="shared" ca="1" si="188"/>
        <v>-15930879743461.674</v>
      </c>
      <c r="L5365" s="444">
        <f t="shared" ca="1" si="189"/>
        <v>-3839342018174263.5</v>
      </c>
      <c r="M5365" s="460">
        <f t="shared" si="191"/>
        <v>0.05</v>
      </c>
      <c r="N5365" s="464">
        <f t="shared" si="192"/>
        <v>214339</v>
      </c>
    </row>
    <row r="5366" spans="7:14" ht="11.25" customHeight="1" x14ac:dyDescent="0.25">
      <c r="G5366" s="459"/>
      <c r="H5366" s="459">
        <v>5359</v>
      </c>
      <c r="I5366" s="444">
        <f t="shared" ca="1" si="190"/>
        <v>-3839342018174263.5</v>
      </c>
      <c r="J5366" s="444">
        <f t="array" ref="J5366">IFERROR(INDEX('Retirement Calculator'!K:K,MATCH('Lorri 401b'!N5366,'Retirement Calculator'!A:A,0),0),0)</f>
        <v>0</v>
      </c>
      <c r="K5366" s="444">
        <f t="shared" ca="1" si="188"/>
        <v>-15997258409059.43</v>
      </c>
      <c r="L5366" s="444">
        <f t="shared" ca="1" si="189"/>
        <v>-3855339276583323</v>
      </c>
      <c r="M5366" s="460">
        <f t="shared" si="191"/>
        <v>0.05</v>
      </c>
      <c r="N5366" s="464">
        <f t="shared" si="192"/>
        <v>214369</v>
      </c>
    </row>
    <row r="5367" spans="7:14" ht="11.25" customHeight="1" x14ac:dyDescent="0.25">
      <c r="G5367" s="459"/>
      <c r="H5367" s="459">
        <v>5360</v>
      </c>
      <c r="I5367" s="444">
        <f t="shared" ca="1" si="190"/>
        <v>-3855339276583323</v>
      </c>
      <c r="J5367" s="444">
        <f t="array" ref="J5367">IFERROR(INDEX('Retirement Calculator'!K:K,MATCH('Lorri 401b'!N5367,'Retirement Calculator'!A:A,0),0),0)</f>
        <v>0</v>
      </c>
      <c r="K5367" s="444">
        <f t="shared" ca="1" si="188"/>
        <v>-16063913652430.512</v>
      </c>
      <c r="L5367" s="444">
        <f t="shared" ca="1" si="189"/>
        <v>-3871403190235753.5</v>
      </c>
      <c r="M5367" s="460">
        <f t="shared" si="191"/>
        <v>0.05</v>
      </c>
      <c r="N5367" s="464">
        <f t="shared" si="192"/>
        <v>214400</v>
      </c>
    </row>
    <row r="5368" spans="7:14" ht="11.25" customHeight="1" x14ac:dyDescent="0.25">
      <c r="G5368" s="459"/>
      <c r="H5368" s="459">
        <v>5361</v>
      </c>
      <c r="I5368" s="444">
        <f t="shared" ca="1" si="190"/>
        <v>-3871403190235753.5</v>
      </c>
      <c r="J5368" s="444">
        <f t="array" ref="J5368">IFERROR(INDEX('Retirement Calculator'!K:K,MATCH('Lorri 401b'!N5368,'Retirement Calculator'!A:A,0),0),0)</f>
        <v>0</v>
      </c>
      <c r="K5368" s="444">
        <f t="shared" ca="1" si="188"/>
        <v>-16130846625982.307</v>
      </c>
      <c r="L5368" s="444">
        <f t="shared" ca="1" si="189"/>
        <v>-3887534036861736</v>
      </c>
      <c r="M5368" s="460">
        <f t="shared" si="191"/>
        <v>0.05</v>
      </c>
      <c r="N5368" s="464">
        <f t="shared" si="192"/>
        <v>214431</v>
      </c>
    </row>
    <row r="5369" spans="7:14" ht="11.25" customHeight="1" x14ac:dyDescent="0.25">
      <c r="G5369" s="459"/>
      <c r="H5369" s="459">
        <v>5362</v>
      </c>
      <c r="I5369" s="444">
        <f t="shared" ca="1" si="190"/>
        <v>-3887534036861736</v>
      </c>
      <c r="J5369" s="444">
        <f t="array" ref="J5369">IFERROR(INDEX('Retirement Calculator'!K:K,MATCH('Lorri 401b'!N5369,'Retirement Calculator'!A:A,0),0),0)</f>
        <v>0</v>
      </c>
      <c r="K5369" s="444">
        <f t="shared" ca="1" si="188"/>
        <v>-16198058486923.902</v>
      </c>
      <c r="L5369" s="444">
        <f t="shared" ca="1" si="189"/>
        <v>-3903732095348660</v>
      </c>
      <c r="M5369" s="460">
        <f t="shared" si="191"/>
        <v>0.05</v>
      </c>
      <c r="N5369" s="464">
        <f t="shared" si="192"/>
        <v>214459</v>
      </c>
    </row>
    <row r="5370" spans="7:14" ht="11.25" customHeight="1" x14ac:dyDescent="0.25">
      <c r="G5370" s="459"/>
      <c r="H5370" s="459">
        <v>5363</v>
      </c>
      <c r="I5370" s="444">
        <f t="shared" ca="1" si="190"/>
        <v>-3903732095348660</v>
      </c>
      <c r="J5370" s="444">
        <f t="array" ref="J5370">IFERROR(INDEX('Retirement Calculator'!K:K,MATCH('Lorri 401b'!N5370,'Retirement Calculator'!A:A,0),0),0)</f>
        <v>0</v>
      </c>
      <c r="K5370" s="444">
        <f t="shared" ca="1" si="188"/>
        <v>-16265550397286.086</v>
      </c>
      <c r="L5370" s="444">
        <f t="shared" ca="1" si="189"/>
        <v>-3919997645745946</v>
      </c>
      <c r="M5370" s="460">
        <f t="shared" si="191"/>
        <v>0.05</v>
      </c>
      <c r="N5370" s="464">
        <f t="shared" si="192"/>
        <v>214490</v>
      </c>
    </row>
    <row r="5371" spans="7:14" ht="11.25" customHeight="1" x14ac:dyDescent="0.25">
      <c r="G5371" s="459"/>
      <c r="H5371" s="459">
        <v>5364</v>
      </c>
      <c r="I5371" s="444">
        <f t="shared" ca="1" si="190"/>
        <v>-3919997645745946</v>
      </c>
      <c r="J5371" s="444">
        <f t="array" ref="J5371">IFERROR(INDEX('Retirement Calculator'!K:K,MATCH('Lorri 401b'!N5371,'Retirement Calculator'!A:A,0),0),0)</f>
        <v>0</v>
      </c>
      <c r="K5371" s="444">
        <f t="shared" ca="1" si="188"/>
        <v>-16333323523941.439</v>
      </c>
      <c r="L5371" s="444">
        <f t="shared" ca="1" si="189"/>
        <v>-3936330969269887.5</v>
      </c>
      <c r="M5371" s="460">
        <f t="shared" si="191"/>
        <v>0.05</v>
      </c>
      <c r="N5371" s="464">
        <f t="shared" si="192"/>
        <v>214520</v>
      </c>
    </row>
    <row r="5372" spans="7:14" ht="11.25" customHeight="1" x14ac:dyDescent="0.25">
      <c r="G5372" s="459"/>
      <c r="H5372" s="459">
        <v>5365</v>
      </c>
      <c r="I5372" s="444">
        <f t="shared" ca="1" si="190"/>
        <v>-3936330969269887.5</v>
      </c>
      <c r="J5372" s="444">
        <f t="array" ref="J5372">IFERROR(INDEX('Retirement Calculator'!K:K,MATCH('Lorri 401b'!N5372,'Retirement Calculator'!A:A,0),0),0)</f>
        <v>0</v>
      </c>
      <c r="K5372" s="444">
        <f t="shared" ca="1" si="188"/>
        <v>-16401379038624.531</v>
      </c>
      <c r="L5372" s="444">
        <f t="shared" ca="1" si="189"/>
        <v>-3952732348308512</v>
      </c>
      <c r="M5372" s="460">
        <f t="shared" si="191"/>
        <v>0.05</v>
      </c>
      <c r="N5372" s="464">
        <f t="shared" si="192"/>
        <v>214551</v>
      </c>
    </row>
    <row r="5373" spans="7:14" ht="11.25" customHeight="1" x14ac:dyDescent="0.25">
      <c r="G5373" s="459"/>
      <c r="H5373" s="459">
        <v>5366</v>
      </c>
      <c r="I5373" s="444">
        <f t="shared" ca="1" si="190"/>
        <v>-3952732348308512</v>
      </c>
      <c r="J5373" s="444">
        <f t="array" ref="J5373">IFERROR(INDEX('Retirement Calculator'!K:K,MATCH('Lorri 401b'!N5373,'Retirement Calculator'!A:A,0),0),0)</f>
        <v>0</v>
      </c>
      <c r="K5373" s="444">
        <f t="shared" ca="1" si="188"/>
        <v>-16469718117952.133</v>
      </c>
      <c r="L5373" s="444">
        <f t="shared" ca="1" si="189"/>
        <v>-3969202066426464</v>
      </c>
      <c r="M5373" s="460">
        <f t="shared" si="191"/>
        <v>0.05</v>
      </c>
      <c r="N5373" s="464">
        <f t="shared" si="192"/>
        <v>214581</v>
      </c>
    </row>
    <row r="5374" spans="7:14" ht="11.25" customHeight="1" x14ac:dyDescent="0.25">
      <c r="G5374" s="459"/>
      <c r="H5374" s="459">
        <v>5367</v>
      </c>
      <c r="I5374" s="444">
        <f t="shared" ca="1" si="190"/>
        <v>-3969202066426464</v>
      </c>
      <c r="J5374" s="444">
        <f t="array" ref="J5374">IFERROR(INDEX('Retirement Calculator'!K:K,MATCH('Lorri 401b'!N5374,'Retirement Calculator'!A:A,0),0),0)</f>
        <v>0</v>
      </c>
      <c r="K5374" s="444">
        <f t="shared" ca="1" si="188"/>
        <v>-16538341943443.6</v>
      </c>
      <c r="L5374" s="444">
        <f t="shared" ca="1" si="189"/>
        <v>-3985740408369907.5</v>
      </c>
      <c r="M5374" s="460">
        <f t="shared" si="191"/>
        <v>0.05</v>
      </c>
      <c r="N5374" s="464">
        <f t="shared" si="192"/>
        <v>214612</v>
      </c>
    </row>
    <row r="5375" spans="7:14" ht="11.25" customHeight="1" x14ac:dyDescent="0.25">
      <c r="G5375" s="459"/>
      <c r="H5375" s="459">
        <v>5368</v>
      </c>
      <c r="I5375" s="444">
        <f t="shared" ca="1" si="190"/>
        <v>-3985740408369907.5</v>
      </c>
      <c r="J5375" s="444">
        <f t="array" ref="J5375">IFERROR(INDEX('Retirement Calculator'!K:K,MATCH('Lorri 401b'!N5375,'Retirement Calculator'!A:A,0),0),0)</f>
        <v>0</v>
      </c>
      <c r="K5375" s="444">
        <f t="shared" ca="1" si="188"/>
        <v>-16607251701541.281</v>
      </c>
      <c r="L5375" s="444">
        <f t="shared" ca="1" si="189"/>
        <v>-4002347660071449</v>
      </c>
      <c r="M5375" s="460">
        <f t="shared" si="191"/>
        <v>0.05</v>
      </c>
      <c r="N5375" s="464">
        <f t="shared" si="192"/>
        <v>214643</v>
      </c>
    </row>
    <row r="5376" spans="7:14" ht="11.25" customHeight="1" x14ac:dyDescent="0.25">
      <c r="G5376" s="459"/>
      <c r="H5376" s="459">
        <v>5369</v>
      </c>
      <c r="I5376" s="444">
        <f t="shared" ca="1" si="190"/>
        <v>-4002347660071449</v>
      </c>
      <c r="J5376" s="444">
        <f t="array" ref="J5376">IFERROR(INDEX('Retirement Calculator'!K:K,MATCH('Lorri 401b'!N5376,'Retirement Calculator'!A:A,0),0),0)</f>
        <v>0</v>
      </c>
      <c r="K5376" s="444">
        <f t="shared" ca="1" si="188"/>
        <v>-16676448583631.037</v>
      </c>
      <c r="L5376" s="444">
        <f t="shared" ca="1" si="189"/>
        <v>-4019024108655080</v>
      </c>
      <c r="M5376" s="460">
        <f t="shared" si="191"/>
        <v>0.05</v>
      </c>
      <c r="N5376" s="464">
        <f t="shared" si="192"/>
        <v>214673</v>
      </c>
    </row>
    <row r="5377" spans="7:14" ht="11.25" customHeight="1" x14ac:dyDescent="0.25">
      <c r="G5377" s="459"/>
      <c r="H5377" s="459">
        <v>5370</v>
      </c>
      <c r="I5377" s="444">
        <f t="shared" ca="1" si="190"/>
        <v>-4019024108655080</v>
      </c>
      <c r="J5377" s="444">
        <f t="array" ref="J5377">IFERROR(INDEX('Retirement Calculator'!K:K,MATCH('Lorri 401b'!N5377,'Retirement Calculator'!A:A,0),0),0)</f>
        <v>0</v>
      </c>
      <c r="K5377" s="444">
        <f t="shared" ca="1" si="188"/>
        <v>-16745933786062.83</v>
      </c>
      <c r="L5377" s="444">
        <f t="shared" ca="1" si="189"/>
        <v>-4035770042441143</v>
      </c>
      <c r="M5377" s="460">
        <f t="shared" si="191"/>
        <v>0.05</v>
      </c>
      <c r="N5377" s="464">
        <f t="shared" si="192"/>
        <v>214704</v>
      </c>
    </row>
    <row r="5378" spans="7:14" ht="11.25" customHeight="1" x14ac:dyDescent="0.25">
      <c r="G5378" s="459"/>
      <c r="H5378" s="459">
        <v>5371</v>
      </c>
      <c r="I5378" s="444">
        <f t="shared" ca="1" si="190"/>
        <v>-4035770042441143</v>
      </c>
      <c r="J5378" s="444">
        <f t="array" ref="J5378">IFERROR(INDEX('Retirement Calculator'!K:K,MATCH('Lorri 401b'!N5378,'Retirement Calculator'!A:A,0),0),0)</f>
        <v>0</v>
      </c>
      <c r="K5378" s="444">
        <f t="shared" ca="1" si="188"/>
        <v>-16815708510171.428</v>
      </c>
      <c r="L5378" s="444">
        <f t="shared" ca="1" si="189"/>
        <v>-4052585750951314.5</v>
      </c>
      <c r="M5378" s="460">
        <f t="shared" si="191"/>
        <v>0.05</v>
      </c>
      <c r="N5378" s="464">
        <f t="shared" si="192"/>
        <v>214734</v>
      </c>
    </row>
    <row r="5379" spans="7:14" ht="11.25" customHeight="1" x14ac:dyDescent="0.25">
      <c r="G5379" s="459"/>
      <c r="H5379" s="459">
        <v>5372</v>
      </c>
      <c r="I5379" s="444">
        <f t="shared" ca="1" si="190"/>
        <v>-4052585750951314.5</v>
      </c>
      <c r="J5379" s="444">
        <f t="array" ref="J5379">IFERROR(INDEX('Retirement Calculator'!K:K,MATCH('Lorri 401b'!N5379,'Retirement Calculator'!A:A,0),0),0)</f>
        <v>0</v>
      </c>
      <c r="K5379" s="444">
        <f t="shared" ca="1" si="188"/>
        <v>-16885773962297.146</v>
      </c>
      <c r="L5379" s="444">
        <f t="shared" ca="1" si="189"/>
        <v>-4069471524913611.5</v>
      </c>
      <c r="M5379" s="460">
        <f t="shared" si="191"/>
        <v>0.05</v>
      </c>
      <c r="N5379" s="464">
        <f t="shared" si="192"/>
        <v>214765</v>
      </c>
    </row>
    <row r="5380" spans="7:14" ht="11.25" customHeight="1" x14ac:dyDescent="0.25">
      <c r="G5380" s="459"/>
      <c r="H5380" s="459">
        <v>5373</v>
      </c>
      <c r="I5380" s="444">
        <f t="shared" ca="1" si="190"/>
        <v>-4069471524913611.5</v>
      </c>
      <c r="J5380" s="444">
        <f t="array" ref="J5380">IFERROR(INDEX('Retirement Calculator'!K:K,MATCH('Lorri 401b'!N5380,'Retirement Calculator'!A:A,0),0),0)</f>
        <v>0</v>
      </c>
      <c r="K5380" s="444">
        <f t="shared" ca="1" si="188"/>
        <v>-16956131353806.715</v>
      </c>
      <c r="L5380" s="444">
        <f t="shared" ca="1" si="189"/>
        <v>-4086427656267418</v>
      </c>
      <c r="M5380" s="460">
        <f t="shared" si="191"/>
        <v>0.05</v>
      </c>
      <c r="N5380" s="464">
        <f t="shared" si="192"/>
        <v>214796</v>
      </c>
    </row>
    <row r="5381" spans="7:14" ht="11.25" customHeight="1" x14ac:dyDescent="0.25">
      <c r="G5381" s="459"/>
      <c r="H5381" s="459">
        <v>5374</v>
      </c>
      <c r="I5381" s="444">
        <f t="shared" ca="1" si="190"/>
        <v>-4086427656267418</v>
      </c>
      <c r="J5381" s="444">
        <f t="array" ref="J5381">IFERROR(INDEX('Retirement Calculator'!K:K,MATCH('Lorri 401b'!N5381,'Retirement Calculator'!A:A,0),0),0)</f>
        <v>0</v>
      </c>
      <c r="K5381" s="444">
        <f t="shared" ca="1" si="188"/>
        <v>-17026781901114.242</v>
      </c>
      <c r="L5381" s="444">
        <f t="shared" ca="1" si="189"/>
        <v>-4103454438168532</v>
      </c>
      <c r="M5381" s="460">
        <f t="shared" si="191"/>
        <v>0.05</v>
      </c>
      <c r="N5381" s="464">
        <f t="shared" si="192"/>
        <v>214825</v>
      </c>
    </row>
    <row r="5382" spans="7:14" ht="11.25" customHeight="1" x14ac:dyDescent="0.25">
      <c r="G5382" s="459"/>
      <c r="H5382" s="459">
        <v>5375</v>
      </c>
      <c r="I5382" s="444">
        <f t="shared" ca="1" si="190"/>
        <v>-4103454438168532</v>
      </c>
      <c r="J5382" s="444">
        <f t="array" ref="J5382">IFERROR(INDEX('Retirement Calculator'!K:K,MATCH('Lorri 401b'!N5382,'Retirement Calculator'!A:A,0),0),0)</f>
        <v>0</v>
      </c>
      <c r="K5382" s="444">
        <f t="shared" ca="1" si="188"/>
        <v>-17097726825702.217</v>
      </c>
      <c r="L5382" s="444">
        <f t="shared" ca="1" si="189"/>
        <v>-4120552164994234</v>
      </c>
      <c r="M5382" s="460">
        <f t="shared" si="191"/>
        <v>0.05</v>
      </c>
      <c r="N5382" s="464">
        <f t="shared" si="192"/>
        <v>214856</v>
      </c>
    </row>
    <row r="5383" spans="7:14" ht="11.25" customHeight="1" x14ac:dyDescent="0.25">
      <c r="G5383" s="459"/>
      <c r="H5383" s="459">
        <v>5376</v>
      </c>
      <c r="I5383" s="444">
        <f t="shared" ca="1" si="190"/>
        <v>-4120552164994234</v>
      </c>
      <c r="J5383" s="444">
        <f t="array" ref="J5383">IFERROR(INDEX('Retirement Calculator'!K:K,MATCH('Lorri 401b'!N5383,'Retirement Calculator'!A:A,0),0),0)</f>
        <v>0</v>
      </c>
      <c r="K5383" s="444">
        <f t="shared" ca="1" si="188"/>
        <v>-17168967354142.639</v>
      </c>
      <c r="L5383" s="444">
        <f t="shared" ca="1" si="189"/>
        <v>-4137721132348376.5</v>
      </c>
      <c r="M5383" s="460">
        <f t="shared" si="191"/>
        <v>0.05</v>
      </c>
      <c r="N5383" s="464">
        <f t="shared" si="192"/>
        <v>214886</v>
      </c>
    </row>
    <row r="5384" spans="7:14" ht="11.25" customHeight="1" x14ac:dyDescent="0.25">
      <c r="G5384" s="459"/>
      <c r="H5384" s="459">
        <v>5377</v>
      </c>
      <c r="I5384" s="444">
        <f t="shared" ca="1" si="190"/>
        <v>-4137721132348376.5</v>
      </c>
      <c r="J5384" s="444">
        <f t="array" ref="J5384">IFERROR(INDEX('Retirement Calculator'!K:K,MATCH('Lorri 401b'!N5384,'Retirement Calculator'!A:A,0),0),0)</f>
        <v>0</v>
      </c>
      <c r="K5384" s="444">
        <f t="shared" ca="1" si="188"/>
        <v>-17240504718118.232</v>
      </c>
      <c r="L5384" s="444">
        <f t="shared" ca="1" si="189"/>
        <v>-4154961637066494.5</v>
      </c>
      <c r="M5384" s="460">
        <f t="shared" si="191"/>
        <v>0.05</v>
      </c>
      <c r="N5384" s="464">
        <f t="shared" si="192"/>
        <v>214917</v>
      </c>
    </row>
    <row r="5385" spans="7:14" ht="11.25" customHeight="1" x14ac:dyDescent="0.25">
      <c r="G5385" s="459"/>
      <c r="H5385" s="459">
        <v>5378</v>
      </c>
      <c r="I5385" s="444">
        <f t="shared" ca="1" si="190"/>
        <v>-4154961637066494.5</v>
      </c>
      <c r="J5385" s="444">
        <f t="array" ref="J5385">IFERROR(INDEX('Retirement Calculator'!K:K,MATCH('Lorri 401b'!N5385,'Retirement Calculator'!A:A,0),0),0)</f>
        <v>0</v>
      </c>
      <c r="K5385" s="444">
        <f t="shared" ca="1" si="188"/>
        <v>-17312340154443.725</v>
      </c>
      <c r="L5385" s="444">
        <f t="shared" ca="1" si="189"/>
        <v>-4172273977220938</v>
      </c>
      <c r="M5385" s="460">
        <f t="shared" si="191"/>
        <v>0.05</v>
      </c>
      <c r="N5385" s="464">
        <f t="shared" si="192"/>
        <v>214947</v>
      </c>
    </row>
    <row r="5386" spans="7:14" ht="11.25" customHeight="1" x14ac:dyDescent="0.25">
      <c r="G5386" s="459"/>
      <c r="H5386" s="459">
        <v>5379</v>
      </c>
      <c r="I5386" s="444">
        <f t="shared" ca="1" si="190"/>
        <v>-4172273977220938</v>
      </c>
      <c r="J5386" s="444">
        <f t="array" ref="J5386">IFERROR(INDEX('Retirement Calculator'!K:K,MATCH('Lorri 401b'!N5386,'Retirement Calculator'!A:A,0),0),0)</f>
        <v>0</v>
      </c>
      <c r="K5386" s="444">
        <f t="shared" ca="1" si="188"/>
        <v>-17384474905087.244</v>
      </c>
      <c r="L5386" s="444">
        <f t="shared" ca="1" si="189"/>
        <v>-4189658452126025</v>
      </c>
      <c r="M5386" s="460">
        <f t="shared" si="191"/>
        <v>0.05</v>
      </c>
      <c r="N5386" s="464">
        <f t="shared" si="192"/>
        <v>214978</v>
      </c>
    </row>
    <row r="5387" spans="7:14" ht="11.25" customHeight="1" x14ac:dyDescent="0.25">
      <c r="G5387" s="459"/>
      <c r="H5387" s="459">
        <v>5380</v>
      </c>
      <c r="I5387" s="444">
        <f t="shared" ca="1" si="190"/>
        <v>-4189658452126025</v>
      </c>
      <c r="J5387" s="444">
        <f t="array" ref="J5387">IFERROR(INDEX('Retirement Calculator'!K:K,MATCH('Lorri 401b'!N5387,'Retirement Calculator'!A:A,0),0),0)</f>
        <v>0</v>
      </c>
      <c r="K5387" s="444">
        <f t="shared" ca="1" si="188"/>
        <v>-17456910217191.771</v>
      </c>
      <c r="L5387" s="444">
        <f t="shared" ca="1" si="189"/>
        <v>-4207115362343217</v>
      </c>
      <c r="M5387" s="460">
        <f t="shared" si="191"/>
        <v>0.05</v>
      </c>
      <c r="N5387" s="464">
        <f t="shared" si="192"/>
        <v>215009</v>
      </c>
    </row>
    <row r="5388" spans="7:14" ht="11.25" customHeight="1" x14ac:dyDescent="0.25">
      <c r="G5388" s="459"/>
      <c r="H5388" s="459">
        <v>5381</v>
      </c>
      <c r="I5388" s="444">
        <f t="shared" ca="1" si="190"/>
        <v>-4207115362343217</v>
      </c>
      <c r="J5388" s="444">
        <f t="array" ref="J5388">IFERROR(INDEX('Retirement Calculator'!K:K,MATCH('Lorri 401b'!N5388,'Retirement Calculator'!A:A,0),0),0)</f>
        <v>0</v>
      </c>
      <c r="K5388" s="444">
        <f t="shared" ca="1" si="188"/>
        <v>-17529647343096.74</v>
      </c>
      <c r="L5388" s="444">
        <f t="shared" ca="1" si="189"/>
        <v>-4224645009686313.5</v>
      </c>
      <c r="M5388" s="460">
        <f t="shared" si="191"/>
        <v>0.05</v>
      </c>
      <c r="N5388" s="464">
        <f t="shared" si="192"/>
        <v>215039</v>
      </c>
    </row>
    <row r="5389" spans="7:14" ht="11.25" customHeight="1" x14ac:dyDescent="0.25">
      <c r="G5389" s="459"/>
      <c r="H5389" s="459">
        <v>5382</v>
      </c>
      <c r="I5389" s="444">
        <f t="shared" ca="1" si="190"/>
        <v>-4224645009686313.5</v>
      </c>
      <c r="J5389" s="444">
        <f t="array" ref="J5389">IFERROR(INDEX('Retirement Calculator'!K:K,MATCH('Lorri 401b'!N5389,'Retirement Calculator'!A:A,0),0),0)</f>
        <v>0</v>
      </c>
      <c r="K5389" s="444">
        <f t="shared" ca="1" si="188"/>
        <v>-17602687540359.637</v>
      </c>
      <c r="L5389" s="444">
        <f t="shared" ca="1" si="189"/>
        <v>-4242247697226673</v>
      </c>
      <c r="M5389" s="460">
        <f t="shared" si="191"/>
        <v>0.05</v>
      </c>
      <c r="N5389" s="464">
        <f t="shared" si="192"/>
        <v>215070</v>
      </c>
    </row>
    <row r="5390" spans="7:14" ht="11.25" customHeight="1" x14ac:dyDescent="0.25">
      <c r="G5390" s="459"/>
      <c r="H5390" s="459">
        <v>5383</v>
      </c>
      <c r="I5390" s="444">
        <f t="shared" ca="1" si="190"/>
        <v>-4242247697226673</v>
      </c>
      <c r="J5390" s="444">
        <f t="array" ref="J5390">IFERROR(INDEX('Retirement Calculator'!K:K,MATCH('Lorri 401b'!N5390,'Retirement Calculator'!A:A,0),0),0)</f>
        <v>0</v>
      </c>
      <c r="K5390" s="444">
        <f t="shared" ca="1" si="188"/>
        <v>-17676032071777.801</v>
      </c>
      <c r="L5390" s="444">
        <f t="shared" ca="1" si="189"/>
        <v>-4259923729298451</v>
      </c>
      <c r="M5390" s="460">
        <f t="shared" si="191"/>
        <v>0.05</v>
      </c>
      <c r="N5390" s="464">
        <f t="shared" si="192"/>
        <v>215100</v>
      </c>
    </row>
    <row r="5391" spans="7:14" ht="11.25" customHeight="1" x14ac:dyDescent="0.25">
      <c r="G5391" s="459"/>
      <c r="H5391" s="459">
        <v>5384</v>
      </c>
      <c r="I5391" s="444">
        <f t="shared" ca="1" si="190"/>
        <v>-4259923729298451</v>
      </c>
      <c r="J5391" s="444">
        <f t="array" ref="J5391">IFERROR(INDEX('Retirement Calculator'!K:K,MATCH('Lorri 401b'!N5391,'Retirement Calculator'!A:A,0),0),0)</f>
        <v>0</v>
      </c>
      <c r="K5391" s="444">
        <f t="shared" ca="1" si="188"/>
        <v>-17749682205410.211</v>
      </c>
      <c r="L5391" s="444">
        <f t="shared" ca="1" si="189"/>
        <v>-4277673411503861</v>
      </c>
      <c r="M5391" s="460">
        <f t="shared" si="191"/>
        <v>0.05</v>
      </c>
      <c r="N5391" s="464">
        <f t="shared" si="192"/>
        <v>215131</v>
      </c>
    </row>
    <row r="5392" spans="7:14" ht="11.25" customHeight="1" x14ac:dyDescent="0.25">
      <c r="G5392" s="459"/>
      <c r="H5392" s="459">
        <v>5385</v>
      </c>
      <c r="I5392" s="444">
        <f t="shared" ca="1" si="190"/>
        <v>-4277673411503861</v>
      </c>
      <c r="J5392" s="444">
        <f t="array" ref="J5392">IFERROR(INDEX('Retirement Calculator'!K:K,MATCH('Lorri 401b'!N5392,'Retirement Calculator'!A:A,0),0),0)</f>
        <v>0</v>
      </c>
      <c r="K5392" s="444">
        <f t="shared" ca="1" si="188"/>
        <v>-17823639214599.422</v>
      </c>
      <c r="L5392" s="444">
        <f t="shared" ca="1" si="189"/>
        <v>-4295497050718460.5</v>
      </c>
      <c r="M5392" s="460">
        <f t="shared" si="191"/>
        <v>0.05</v>
      </c>
      <c r="N5392" s="464">
        <f t="shared" si="192"/>
        <v>215162</v>
      </c>
    </row>
    <row r="5393" spans="7:14" ht="11.25" customHeight="1" x14ac:dyDescent="0.25">
      <c r="G5393" s="459"/>
      <c r="H5393" s="459">
        <v>5386</v>
      </c>
      <c r="I5393" s="444">
        <f t="shared" ca="1" si="190"/>
        <v>-4295497050718460.5</v>
      </c>
      <c r="J5393" s="444">
        <f t="array" ref="J5393">IFERROR(INDEX('Retirement Calculator'!K:K,MATCH('Lorri 401b'!N5393,'Retirement Calculator'!A:A,0),0),0)</f>
        <v>0</v>
      </c>
      <c r="K5393" s="444">
        <f t="shared" ca="1" si="188"/>
        <v>-17897904377993.586</v>
      </c>
      <c r="L5393" s="444">
        <f t="shared" ca="1" si="189"/>
        <v>-4313394955096454</v>
      </c>
      <c r="M5393" s="460">
        <f t="shared" si="191"/>
        <v>0.05</v>
      </c>
      <c r="N5393" s="464">
        <f t="shared" si="192"/>
        <v>215190</v>
      </c>
    </row>
    <row r="5394" spans="7:14" ht="11.25" customHeight="1" x14ac:dyDescent="0.25">
      <c r="G5394" s="459"/>
      <c r="H5394" s="459">
        <v>5387</v>
      </c>
      <c r="I5394" s="444">
        <f t="shared" ca="1" si="190"/>
        <v>-4313394955096454</v>
      </c>
      <c r="J5394" s="444">
        <f t="array" ref="J5394">IFERROR(INDEX('Retirement Calculator'!K:K,MATCH('Lorri 401b'!N5394,'Retirement Calculator'!A:A,0),0),0)</f>
        <v>0</v>
      </c>
      <c r="K5394" s="444">
        <f t="shared" ca="1" si="188"/>
        <v>-17972478979568.559</v>
      </c>
      <c r="L5394" s="444">
        <f t="shared" ca="1" si="189"/>
        <v>-4331367434076022.5</v>
      </c>
      <c r="M5394" s="460">
        <f t="shared" si="191"/>
        <v>0.05</v>
      </c>
      <c r="N5394" s="464">
        <f t="shared" si="192"/>
        <v>215221</v>
      </c>
    </row>
    <row r="5395" spans="7:14" ht="11.25" customHeight="1" x14ac:dyDescent="0.25">
      <c r="G5395" s="459"/>
      <c r="H5395" s="459">
        <v>5388</v>
      </c>
      <c r="I5395" s="444">
        <f t="shared" ca="1" si="190"/>
        <v>-4331367434076022.5</v>
      </c>
      <c r="J5395" s="444">
        <f t="array" ref="J5395">IFERROR(INDEX('Retirement Calculator'!K:K,MATCH('Lorri 401b'!N5395,'Retirement Calculator'!A:A,0),0),0)</f>
        <v>0</v>
      </c>
      <c r="K5395" s="444">
        <f t="shared" ca="1" si="188"/>
        <v>-18047364308650.09</v>
      </c>
      <c r="L5395" s="444">
        <f t="shared" ca="1" si="189"/>
        <v>-4349414798384672.5</v>
      </c>
      <c r="M5395" s="460">
        <f t="shared" si="191"/>
        <v>0.05</v>
      </c>
      <c r="N5395" s="464">
        <f t="shared" si="192"/>
        <v>215251</v>
      </c>
    </row>
    <row r="5396" spans="7:14" ht="11.25" customHeight="1" x14ac:dyDescent="0.25">
      <c r="G5396" s="459"/>
      <c r="H5396" s="459">
        <v>5389</v>
      </c>
      <c r="I5396" s="444">
        <f t="shared" ca="1" si="190"/>
        <v>-4349414798384672.5</v>
      </c>
      <c r="J5396" s="444">
        <f t="array" ref="J5396">IFERROR(INDEX('Retirement Calculator'!K:K,MATCH('Lorri 401b'!N5396,'Retirement Calculator'!A:A,0),0),0)</f>
        <v>0</v>
      </c>
      <c r="K5396" s="444">
        <f t="shared" ca="1" si="188"/>
        <v>-18122561659936.137</v>
      </c>
      <c r="L5396" s="444">
        <f t="shared" ca="1" si="189"/>
        <v>-4367537360044608.5</v>
      </c>
      <c r="M5396" s="460">
        <f t="shared" si="191"/>
        <v>0.05</v>
      </c>
      <c r="N5396" s="464">
        <f t="shared" si="192"/>
        <v>215282</v>
      </c>
    </row>
    <row r="5397" spans="7:14" ht="11.25" customHeight="1" x14ac:dyDescent="0.25">
      <c r="G5397" s="459"/>
      <c r="H5397" s="459">
        <v>5390</v>
      </c>
      <c r="I5397" s="444">
        <f t="shared" ca="1" si="190"/>
        <v>-4367537360044608.5</v>
      </c>
      <c r="J5397" s="444">
        <f t="array" ref="J5397">IFERROR(INDEX('Retirement Calculator'!K:K,MATCH('Lorri 401b'!N5397,'Retirement Calculator'!A:A,0),0),0)</f>
        <v>0</v>
      </c>
      <c r="K5397" s="444">
        <f t="shared" ca="1" si="188"/>
        <v>-18198072333519.199</v>
      </c>
      <c r="L5397" s="444">
        <f t="shared" ca="1" si="189"/>
        <v>-4385735432378127.5</v>
      </c>
      <c r="M5397" s="460">
        <f t="shared" si="191"/>
        <v>0.05</v>
      </c>
      <c r="N5397" s="464">
        <f t="shared" si="192"/>
        <v>215312</v>
      </c>
    </row>
    <row r="5398" spans="7:14" ht="11.25" customHeight="1" x14ac:dyDescent="0.25">
      <c r="G5398" s="459"/>
      <c r="H5398" s="459">
        <v>5391</v>
      </c>
      <c r="I5398" s="444">
        <f t="shared" ca="1" si="190"/>
        <v>-4385735432378127.5</v>
      </c>
      <c r="J5398" s="444">
        <f t="array" ref="J5398">IFERROR(INDEX('Retirement Calculator'!K:K,MATCH('Lorri 401b'!N5398,'Retirement Calculator'!A:A,0),0),0)</f>
        <v>0</v>
      </c>
      <c r="K5398" s="444">
        <f t="shared" ca="1" si="188"/>
        <v>-18273897634908.863</v>
      </c>
      <c r="L5398" s="444">
        <f t="shared" ca="1" si="189"/>
        <v>-4404009330013036.5</v>
      </c>
      <c r="M5398" s="460">
        <f t="shared" si="191"/>
        <v>0.05</v>
      </c>
      <c r="N5398" s="464">
        <f t="shared" si="192"/>
        <v>215343</v>
      </c>
    </row>
    <row r="5399" spans="7:14" ht="11.25" customHeight="1" x14ac:dyDescent="0.25">
      <c r="G5399" s="459"/>
      <c r="H5399" s="459">
        <v>5392</v>
      </c>
      <c r="I5399" s="444">
        <f t="shared" ca="1" si="190"/>
        <v>-4404009330013036.5</v>
      </c>
      <c r="J5399" s="444">
        <f t="array" ref="J5399">IFERROR(INDEX('Retirement Calculator'!K:K,MATCH('Lorri 401b'!N5399,'Retirement Calculator'!A:A,0),0),0)</f>
        <v>0</v>
      </c>
      <c r="K5399" s="444">
        <f t="shared" ca="1" si="188"/>
        <v>-18350038875054.32</v>
      </c>
      <c r="L5399" s="444">
        <f t="shared" ca="1" si="189"/>
        <v>-4422359368888091</v>
      </c>
      <c r="M5399" s="460">
        <f t="shared" si="191"/>
        <v>0.05</v>
      </c>
      <c r="N5399" s="464">
        <f t="shared" si="192"/>
        <v>215374</v>
      </c>
    </row>
    <row r="5400" spans="7:14" ht="11.25" customHeight="1" x14ac:dyDescent="0.25">
      <c r="G5400" s="459"/>
      <c r="H5400" s="459">
        <v>5393</v>
      </c>
      <c r="I5400" s="444">
        <f t="shared" ca="1" si="190"/>
        <v>-4422359368888091</v>
      </c>
      <c r="J5400" s="444">
        <f t="array" ref="J5400">IFERROR(INDEX('Retirement Calculator'!K:K,MATCH('Lorri 401b'!N5400,'Retirement Calculator'!A:A,0),0),0)</f>
        <v>0</v>
      </c>
      <c r="K5400" s="444">
        <f t="shared" ca="1" si="188"/>
        <v>-18426497370367.047</v>
      </c>
      <c r="L5400" s="444">
        <f t="shared" ca="1" si="189"/>
        <v>-4440785866258458</v>
      </c>
      <c r="M5400" s="460">
        <f t="shared" si="191"/>
        <v>0.05</v>
      </c>
      <c r="N5400" s="464">
        <f t="shared" si="192"/>
        <v>215404</v>
      </c>
    </row>
    <row r="5401" spans="7:14" ht="11.25" customHeight="1" x14ac:dyDescent="0.25">
      <c r="G5401" s="459"/>
      <c r="H5401" s="459">
        <v>5394</v>
      </c>
      <c r="I5401" s="444">
        <f t="shared" ca="1" si="190"/>
        <v>-4440785866258458</v>
      </c>
      <c r="J5401" s="444">
        <f t="array" ref="J5401">IFERROR(INDEX('Retirement Calculator'!K:K,MATCH('Lorri 401b'!N5401,'Retirement Calculator'!A:A,0),0),0)</f>
        <v>0</v>
      </c>
      <c r="K5401" s="444">
        <f t="shared" ca="1" si="188"/>
        <v>-18503274442743.578</v>
      </c>
      <c r="L5401" s="444">
        <f t="shared" ca="1" si="189"/>
        <v>-4459289140701201.5</v>
      </c>
      <c r="M5401" s="460">
        <f t="shared" si="191"/>
        <v>0.05</v>
      </c>
      <c r="N5401" s="464">
        <f t="shared" si="192"/>
        <v>215435</v>
      </c>
    </row>
    <row r="5402" spans="7:14" ht="11.25" customHeight="1" x14ac:dyDescent="0.25">
      <c r="G5402" s="459"/>
      <c r="H5402" s="459">
        <v>5395</v>
      </c>
      <c r="I5402" s="444">
        <f t="shared" ca="1" si="190"/>
        <v>-4459289140701201.5</v>
      </c>
      <c r="J5402" s="444">
        <f t="array" ref="J5402">IFERROR(INDEX('Retirement Calculator'!K:K,MATCH('Lorri 401b'!N5402,'Retirement Calculator'!A:A,0),0),0)</f>
        <v>0</v>
      </c>
      <c r="K5402" s="444">
        <f t="shared" ca="1" si="188"/>
        <v>-18580371419588.34</v>
      </c>
      <c r="L5402" s="444">
        <f t="shared" ca="1" si="189"/>
        <v>-4477869512120790</v>
      </c>
      <c r="M5402" s="460">
        <f t="shared" si="191"/>
        <v>0.05</v>
      </c>
      <c r="N5402" s="464">
        <f t="shared" si="192"/>
        <v>215465</v>
      </c>
    </row>
    <row r="5403" spans="7:14" ht="11.25" customHeight="1" x14ac:dyDescent="0.25">
      <c r="G5403" s="459"/>
      <c r="H5403" s="459">
        <v>5396</v>
      </c>
      <c r="I5403" s="444">
        <f t="shared" ca="1" si="190"/>
        <v>-4477869512120790</v>
      </c>
      <c r="J5403" s="444">
        <f t="array" ref="J5403">IFERROR(INDEX('Retirement Calculator'!K:K,MATCH('Lorri 401b'!N5403,'Retirement Calculator'!A:A,0),0),0)</f>
        <v>0</v>
      </c>
      <c r="K5403" s="444">
        <f t="shared" ca="1" si="188"/>
        <v>-18657789633836.625</v>
      </c>
      <c r="L5403" s="444">
        <f t="shared" ca="1" si="189"/>
        <v>-4496527301754626.5</v>
      </c>
      <c r="M5403" s="460">
        <f t="shared" si="191"/>
        <v>0.05</v>
      </c>
      <c r="N5403" s="464">
        <f t="shared" si="192"/>
        <v>215496</v>
      </c>
    </row>
    <row r="5404" spans="7:14" ht="11.25" customHeight="1" x14ac:dyDescent="0.25">
      <c r="G5404" s="459"/>
      <c r="H5404" s="459">
        <v>5397</v>
      </c>
      <c r="I5404" s="444">
        <f t="shared" ca="1" si="190"/>
        <v>-4496527301754626.5</v>
      </c>
      <c r="J5404" s="444">
        <f t="array" ref="J5404">IFERROR(INDEX('Retirement Calculator'!K:K,MATCH('Lorri 401b'!N5404,'Retirement Calculator'!A:A,0),0),0)</f>
        <v>0</v>
      </c>
      <c r="K5404" s="444">
        <f t="shared" ca="1" si="188"/>
        <v>-18735530423977.609</v>
      </c>
      <c r="L5404" s="444">
        <f t="shared" ca="1" si="189"/>
        <v>-4515262832178604</v>
      </c>
      <c r="M5404" s="460">
        <f t="shared" si="191"/>
        <v>0.05</v>
      </c>
      <c r="N5404" s="464">
        <f t="shared" si="192"/>
        <v>215527</v>
      </c>
    </row>
    <row r="5405" spans="7:14" ht="11.25" customHeight="1" x14ac:dyDescent="0.25">
      <c r="G5405" s="459"/>
      <c r="H5405" s="459">
        <v>5398</v>
      </c>
      <c r="I5405" s="444">
        <f t="shared" ca="1" si="190"/>
        <v>-4515262832178604</v>
      </c>
      <c r="J5405" s="444">
        <f t="array" ref="J5405">IFERROR(INDEX('Retirement Calculator'!K:K,MATCH('Lorri 401b'!N5405,'Retirement Calculator'!A:A,0),0),0)</f>
        <v>0</v>
      </c>
      <c r="K5405" s="444">
        <f t="shared" ca="1" si="188"/>
        <v>-18813595134077.516</v>
      </c>
      <c r="L5405" s="444">
        <f t="shared" ca="1" si="189"/>
        <v>-4534076427312682</v>
      </c>
      <c r="M5405" s="460">
        <f t="shared" si="191"/>
        <v>0.05</v>
      </c>
      <c r="N5405" s="464">
        <f t="shared" si="192"/>
        <v>215555</v>
      </c>
    </row>
    <row r="5406" spans="7:14" ht="11.25" customHeight="1" x14ac:dyDescent="0.25">
      <c r="G5406" s="459"/>
      <c r="H5406" s="459">
        <v>5399</v>
      </c>
      <c r="I5406" s="444">
        <f t="shared" ca="1" si="190"/>
        <v>-4534076427312682</v>
      </c>
      <c r="J5406" s="444">
        <f t="array" ref="J5406">IFERROR(INDEX('Retirement Calculator'!K:K,MATCH('Lorri 401b'!N5406,'Retirement Calculator'!A:A,0),0),0)</f>
        <v>0</v>
      </c>
      <c r="K5406" s="444">
        <f t="shared" ca="1" si="188"/>
        <v>-18891985113802.84</v>
      </c>
      <c r="L5406" s="444">
        <f t="shared" ca="1" si="189"/>
        <v>-4552968412426485</v>
      </c>
      <c r="M5406" s="460">
        <f t="shared" si="191"/>
        <v>0.05</v>
      </c>
      <c r="N5406" s="464">
        <f t="shared" si="192"/>
        <v>215586</v>
      </c>
    </row>
    <row r="5407" spans="7:14" ht="11.25" customHeight="1" x14ac:dyDescent="0.25">
      <c r="G5407" s="459"/>
      <c r="H5407" s="459">
        <v>5400</v>
      </c>
      <c r="I5407" s="444">
        <f t="shared" ca="1" si="190"/>
        <v>-4552968412426485</v>
      </c>
      <c r="J5407" s="444">
        <f t="array" ref="J5407">IFERROR(INDEX('Retirement Calculator'!K:K,MATCH('Lorri 401b'!N5407,'Retirement Calculator'!A:A,0),0),0)</f>
        <v>0</v>
      </c>
      <c r="K5407" s="444">
        <f t="shared" ca="1" si="188"/>
        <v>-18970701718443.688</v>
      </c>
      <c r="L5407" s="444">
        <f t="shared" ca="1" si="189"/>
        <v>-4571939114144929</v>
      </c>
      <c r="M5407" s="460">
        <f t="shared" si="191"/>
        <v>0.05</v>
      </c>
      <c r="N5407" s="464">
        <f t="shared" si="192"/>
        <v>215616</v>
      </c>
    </row>
    <row r="5408" spans="7:14" ht="11.25" customHeight="1" x14ac:dyDescent="0.25">
      <c r="G5408" s="459"/>
      <c r="H5408" s="459">
        <v>5401</v>
      </c>
      <c r="I5408" s="444">
        <f t="shared" ca="1" si="190"/>
        <v>-4571939114144929</v>
      </c>
      <c r="J5408" s="444">
        <f t="array" ref="J5408">IFERROR(INDEX('Retirement Calculator'!K:K,MATCH('Lorri 401b'!N5408,'Retirement Calculator'!A:A,0),0),0)</f>
        <v>0</v>
      </c>
      <c r="K5408" s="444">
        <f t="shared" ca="1" si="188"/>
        <v>-19049746308937.203</v>
      </c>
      <c r="L5408" s="444">
        <f t="shared" ca="1" si="189"/>
        <v>-4590988860453866</v>
      </c>
      <c r="M5408" s="460">
        <f t="shared" si="191"/>
        <v>0.05</v>
      </c>
      <c r="N5408" s="464">
        <f t="shared" si="192"/>
        <v>215647</v>
      </c>
    </row>
    <row r="5409" spans="7:14" ht="11.25" customHeight="1" x14ac:dyDescent="0.25">
      <c r="G5409" s="459"/>
      <c r="H5409" s="459">
        <v>5402</v>
      </c>
      <c r="I5409" s="444">
        <f t="shared" ca="1" si="190"/>
        <v>-4590988860453866</v>
      </c>
      <c r="J5409" s="444">
        <f t="array" ref="J5409">IFERROR(INDEX('Retirement Calculator'!K:K,MATCH('Lorri 401b'!N5409,'Retirement Calculator'!A:A,0),0),0)</f>
        <v>0</v>
      </c>
      <c r="K5409" s="444">
        <f t="shared" ca="1" si="188"/>
        <v>-19129120251891.109</v>
      </c>
      <c r="L5409" s="444">
        <f t="shared" ca="1" si="189"/>
        <v>-4610117980705757</v>
      </c>
      <c r="M5409" s="460">
        <f t="shared" si="191"/>
        <v>0.05</v>
      </c>
      <c r="N5409" s="464">
        <f t="shared" si="192"/>
        <v>215677</v>
      </c>
    </row>
    <row r="5410" spans="7:14" ht="11.25" customHeight="1" x14ac:dyDescent="0.25">
      <c r="G5410" s="459"/>
      <c r="H5410" s="459">
        <v>5403</v>
      </c>
      <c r="I5410" s="444">
        <f t="shared" ca="1" si="190"/>
        <v>-4610117980705757</v>
      </c>
      <c r="J5410" s="444">
        <f t="array" ref="J5410">IFERROR(INDEX('Retirement Calculator'!K:K,MATCH('Lorri 401b'!N5410,'Retirement Calculator'!A:A,0),0),0)</f>
        <v>0</v>
      </c>
      <c r="K5410" s="444">
        <f t="shared" ca="1" si="188"/>
        <v>-19208824919607.32</v>
      </c>
      <c r="L5410" s="444">
        <f t="shared" ca="1" si="189"/>
        <v>-4629326805625364</v>
      </c>
      <c r="M5410" s="460">
        <f t="shared" si="191"/>
        <v>0.05</v>
      </c>
      <c r="N5410" s="464">
        <f t="shared" si="192"/>
        <v>215708</v>
      </c>
    </row>
    <row r="5411" spans="7:14" ht="11.25" customHeight="1" x14ac:dyDescent="0.25">
      <c r="G5411" s="459"/>
      <c r="H5411" s="459">
        <v>5404</v>
      </c>
      <c r="I5411" s="444">
        <f t="shared" ca="1" si="190"/>
        <v>-4629326805625364</v>
      </c>
      <c r="J5411" s="444">
        <f t="array" ref="J5411">IFERROR(INDEX('Retirement Calculator'!K:K,MATCH('Lorri 401b'!N5411,'Retirement Calculator'!A:A,0),0),0)</f>
        <v>0</v>
      </c>
      <c r="K5411" s="444">
        <f t="shared" ca="1" si="188"/>
        <v>-19288861690105.684</v>
      </c>
      <c r="L5411" s="444">
        <f t="shared" ca="1" si="189"/>
        <v>-4648615667315470</v>
      </c>
      <c r="M5411" s="460">
        <f t="shared" si="191"/>
        <v>0.05</v>
      </c>
      <c r="N5411" s="464">
        <f t="shared" si="192"/>
        <v>215739</v>
      </c>
    </row>
    <row r="5412" spans="7:14" ht="11.25" customHeight="1" x14ac:dyDescent="0.25">
      <c r="G5412" s="459"/>
      <c r="H5412" s="459">
        <v>5405</v>
      </c>
      <c r="I5412" s="444">
        <f t="shared" ca="1" si="190"/>
        <v>-4648615667315470</v>
      </c>
      <c r="J5412" s="444">
        <f t="array" ref="J5412">IFERROR(INDEX('Retirement Calculator'!K:K,MATCH('Lorri 401b'!N5412,'Retirement Calculator'!A:A,0),0),0)</f>
        <v>0</v>
      </c>
      <c r="K5412" s="444">
        <f t="shared" ca="1" si="188"/>
        <v>-19369231947147.793</v>
      </c>
      <c r="L5412" s="444">
        <f t="shared" ca="1" si="189"/>
        <v>-4667984899262618</v>
      </c>
      <c r="M5412" s="460">
        <f t="shared" si="191"/>
        <v>0.05</v>
      </c>
      <c r="N5412" s="464">
        <f t="shared" si="192"/>
        <v>215769</v>
      </c>
    </row>
    <row r="5413" spans="7:14" ht="11.25" customHeight="1" x14ac:dyDescent="0.25">
      <c r="G5413" s="459"/>
      <c r="H5413" s="459">
        <v>5406</v>
      </c>
      <c r="I5413" s="444">
        <f t="shared" ca="1" si="190"/>
        <v>-4667984899262618</v>
      </c>
      <c r="J5413" s="444">
        <f t="array" ref="J5413">IFERROR(INDEX('Retirement Calculator'!K:K,MATCH('Lorri 401b'!N5413,'Retirement Calculator'!A:A,0),0),0)</f>
        <v>0</v>
      </c>
      <c r="K5413" s="444">
        <f t="shared" ca="1" si="188"/>
        <v>-19449937080260.906</v>
      </c>
      <c r="L5413" s="444">
        <f t="shared" ca="1" si="189"/>
        <v>-4687434836342879</v>
      </c>
      <c r="M5413" s="460">
        <f t="shared" si="191"/>
        <v>0.05</v>
      </c>
      <c r="N5413" s="464">
        <f t="shared" si="192"/>
        <v>215800</v>
      </c>
    </row>
    <row r="5414" spans="7:14" ht="11.25" customHeight="1" x14ac:dyDescent="0.25">
      <c r="G5414" s="459"/>
      <c r="H5414" s="459">
        <v>5407</v>
      </c>
      <c r="I5414" s="444">
        <f t="shared" ca="1" si="190"/>
        <v>-4687434836342879</v>
      </c>
      <c r="J5414" s="444">
        <f t="array" ref="J5414">IFERROR(INDEX('Retirement Calculator'!K:K,MATCH('Lorri 401b'!N5414,'Retirement Calculator'!A:A,0),0),0)</f>
        <v>0</v>
      </c>
      <c r="K5414" s="444">
        <f t="shared" ca="1" si="188"/>
        <v>-19530978484761.996</v>
      </c>
      <c r="L5414" s="444">
        <f t="shared" ca="1" si="189"/>
        <v>-4706965814827641</v>
      </c>
      <c r="M5414" s="460">
        <f t="shared" si="191"/>
        <v>0.05</v>
      </c>
      <c r="N5414" s="464">
        <f t="shared" si="192"/>
        <v>215830</v>
      </c>
    </row>
    <row r="5415" spans="7:14" ht="11.25" customHeight="1" x14ac:dyDescent="0.25">
      <c r="G5415" s="459"/>
      <c r="H5415" s="459">
        <v>5408</v>
      </c>
      <c r="I5415" s="444">
        <f t="shared" ca="1" si="190"/>
        <v>-4706965814827641</v>
      </c>
      <c r="J5415" s="444">
        <f t="array" ref="J5415">IFERROR(INDEX('Retirement Calculator'!K:K,MATCH('Lorri 401b'!N5415,'Retirement Calculator'!A:A,0),0),0)</f>
        <v>0</v>
      </c>
      <c r="K5415" s="444">
        <f t="shared" ca="1" si="188"/>
        <v>-19612357561781.836</v>
      </c>
      <c r="L5415" s="444">
        <f t="shared" ca="1" si="189"/>
        <v>-4726578172389423</v>
      </c>
      <c r="M5415" s="460">
        <f t="shared" si="191"/>
        <v>0.05</v>
      </c>
      <c r="N5415" s="464">
        <f t="shared" si="192"/>
        <v>215861</v>
      </c>
    </row>
    <row r="5416" spans="7:14" ht="11.25" customHeight="1" x14ac:dyDescent="0.25">
      <c r="G5416" s="459"/>
      <c r="H5416" s="459">
        <v>5409</v>
      </c>
      <c r="I5416" s="444">
        <f t="shared" ca="1" si="190"/>
        <v>-4726578172389423</v>
      </c>
      <c r="J5416" s="444">
        <f t="array" ref="J5416">IFERROR(INDEX('Retirement Calculator'!K:K,MATCH('Lorri 401b'!N5416,'Retirement Calculator'!A:A,0),0),0)</f>
        <v>0</v>
      </c>
      <c r="K5416" s="444">
        <f t="shared" ca="1" si="188"/>
        <v>-19694075718289.262</v>
      </c>
      <c r="L5416" s="444">
        <f t="shared" ca="1" si="189"/>
        <v>-4746272248107712</v>
      </c>
      <c r="M5416" s="460">
        <f t="shared" si="191"/>
        <v>0.05</v>
      </c>
      <c r="N5416" s="464">
        <f t="shared" si="192"/>
        <v>215892</v>
      </c>
    </row>
    <row r="5417" spans="7:14" ht="11.25" customHeight="1" x14ac:dyDescent="0.25">
      <c r="G5417" s="459"/>
      <c r="H5417" s="459">
        <v>5410</v>
      </c>
      <c r="I5417" s="444">
        <f t="shared" ca="1" si="190"/>
        <v>-4746272248107712</v>
      </c>
      <c r="J5417" s="444">
        <f t="array" ref="J5417">IFERROR(INDEX('Retirement Calculator'!K:K,MATCH('Lorri 401b'!N5417,'Retirement Calculator'!A:A,0),0),0)</f>
        <v>0</v>
      </c>
      <c r="K5417" s="444">
        <f t="shared" ca="1" si="188"/>
        <v>-19776134367115.465</v>
      </c>
      <c r="L5417" s="444">
        <f t="shared" ca="1" si="189"/>
        <v>-4766048382474827</v>
      </c>
      <c r="M5417" s="460">
        <f t="shared" si="191"/>
        <v>0.05</v>
      </c>
      <c r="N5417" s="464">
        <f t="shared" si="192"/>
        <v>215920</v>
      </c>
    </row>
    <row r="5418" spans="7:14" ht="11.25" customHeight="1" x14ac:dyDescent="0.25">
      <c r="G5418" s="459"/>
      <c r="H5418" s="459">
        <v>5411</v>
      </c>
      <c r="I5418" s="444">
        <f t="shared" ca="1" si="190"/>
        <v>-4766048382474827</v>
      </c>
      <c r="J5418" s="444">
        <f t="array" ref="J5418">IFERROR(INDEX('Retirement Calculator'!K:K,MATCH('Lorri 401b'!N5418,'Retirement Calculator'!A:A,0),0),0)</f>
        <v>0</v>
      </c>
      <c r="K5418" s="444">
        <f t="shared" ca="1" si="188"/>
        <v>-19858534926978.445</v>
      </c>
      <c r="L5418" s="444">
        <f t="shared" ca="1" si="189"/>
        <v>-4785906917401805</v>
      </c>
      <c r="M5418" s="460">
        <f t="shared" si="191"/>
        <v>0.05</v>
      </c>
      <c r="N5418" s="464">
        <f t="shared" si="192"/>
        <v>215951</v>
      </c>
    </row>
    <row r="5419" spans="7:14" ht="11.25" customHeight="1" x14ac:dyDescent="0.25">
      <c r="G5419" s="459"/>
      <c r="H5419" s="459">
        <v>5412</v>
      </c>
      <c r="I5419" s="444">
        <f t="shared" ca="1" si="190"/>
        <v>-4785906917401805</v>
      </c>
      <c r="J5419" s="444">
        <f t="array" ref="J5419">IFERROR(INDEX('Retirement Calculator'!K:K,MATCH('Lorri 401b'!N5419,'Retirement Calculator'!A:A,0),0),0)</f>
        <v>0</v>
      </c>
      <c r="K5419" s="444">
        <f t="shared" ca="1" si="188"/>
        <v>-19941278822507.52</v>
      </c>
      <c r="L5419" s="444">
        <f t="shared" ca="1" si="189"/>
        <v>-4805848196224313</v>
      </c>
      <c r="M5419" s="460">
        <f t="shared" si="191"/>
        <v>0.05</v>
      </c>
      <c r="N5419" s="464">
        <f t="shared" si="192"/>
        <v>215981</v>
      </c>
    </row>
    <row r="5420" spans="7:14" ht="11.25" customHeight="1" x14ac:dyDescent="0.25">
      <c r="G5420" s="459"/>
      <c r="H5420" s="459">
        <v>5413</v>
      </c>
      <c r="I5420" s="444">
        <f t="shared" ca="1" si="190"/>
        <v>-4805848196224313</v>
      </c>
      <c r="J5420" s="444">
        <f t="array" ref="J5420">IFERROR(INDEX('Retirement Calculator'!K:K,MATCH('Lorri 401b'!N5420,'Retirement Calculator'!A:A,0),0),0)</f>
        <v>0</v>
      </c>
      <c r="K5420" s="444">
        <f t="shared" ca="1" si="188"/>
        <v>-20024367484267.969</v>
      </c>
      <c r="L5420" s="444">
        <f t="shared" ca="1" si="189"/>
        <v>-4825872563708581</v>
      </c>
      <c r="M5420" s="460">
        <f t="shared" si="191"/>
        <v>0.05</v>
      </c>
      <c r="N5420" s="464">
        <f t="shared" si="192"/>
        <v>216012</v>
      </c>
    </row>
    <row r="5421" spans="7:14" ht="11.25" customHeight="1" x14ac:dyDescent="0.25">
      <c r="G5421" s="459"/>
      <c r="H5421" s="459">
        <v>5414</v>
      </c>
      <c r="I5421" s="444">
        <f t="shared" ca="1" si="190"/>
        <v>-4825872563708581</v>
      </c>
      <c r="J5421" s="444">
        <f t="array" ref="J5421">IFERROR(INDEX('Retirement Calculator'!K:K,MATCH('Lorri 401b'!N5421,'Retirement Calculator'!A:A,0),0),0)</f>
        <v>0</v>
      </c>
      <c r="K5421" s="444">
        <f t="shared" ca="1" si="188"/>
        <v>-20107802348785.754</v>
      </c>
      <c r="L5421" s="444">
        <f t="shared" ca="1" si="189"/>
        <v>-4845980366057367</v>
      </c>
      <c r="M5421" s="460">
        <f t="shared" si="191"/>
        <v>0.05</v>
      </c>
      <c r="N5421" s="464">
        <f t="shared" si="192"/>
        <v>216042</v>
      </c>
    </row>
    <row r="5422" spans="7:14" ht="11.25" customHeight="1" x14ac:dyDescent="0.25">
      <c r="G5422" s="459"/>
      <c r="H5422" s="459">
        <v>5415</v>
      </c>
      <c r="I5422" s="444">
        <f t="shared" ca="1" si="190"/>
        <v>-4845980366057367</v>
      </c>
      <c r="J5422" s="444">
        <f t="array" ref="J5422">IFERROR(INDEX('Retirement Calculator'!K:K,MATCH('Lorri 401b'!N5422,'Retirement Calculator'!A:A,0),0),0)</f>
        <v>0</v>
      </c>
      <c r="K5422" s="444">
        <f t="shared" ca="1" si="188"/>
        <v>-20191584858572.363</v>
      </c>
      <c r="L5422" s="444">
        <f t="shared" ca="1" si="189"/>
        <v>-4866171950915939</v>
      </c>
      <c r="M5422" s="460">
        <f t="shared" si="191"/>
        <v>0.05</v>
      </c>
      <c r="N5422" s="464">
        <f t="shared" si="192"/>
        <v>216073</v>
      </c>
    </row>
    <row r="5423" spans="7:14" ht="11.25" customHeight="1" x14ac:dyDescent="0.25">
      <c r="G5423" s="459"/>
      <c r="H5423" s="459">
        <v>5416</v>
      </c>
      <c r="I5423" s="444">
        <f t="shared" ca="1" si="190"/>
        <v>-4866171950915939</v>
      </c>
      <c r="J5423" s="444">
        <f t="array" ref="J5423">IFERROR(INDEX('Retirement Calculator'!K:K,MATCH('Lorri 401b'!N5423,'Retirement Calculator'!A:A,0),0),0)</f>
        <v>0</v>
      </c>
      <c r="K5423" s="444">
        <f t="shared" ca="1" si="188"/>
        <v>-20275716462149.746</v>
      </c>
      <c r="L5423" s="444">
        <f t="shared" ca="1" si="189"/>
        <v>-4886447667378089</v>
      </c>
      <c r="M5423" s="460">
        <f t="shared" si="191"/>
        <v>0.05</v>
      </c>
      <c r="N5423" s="464">
        <f t="shared" si="192"/>
        <v>216104</v>
      </c>
    </row>
    <row r="5424" spans="7:14" ht="11.25" customHeight="1" x14ac:dyDescent="0.25">
      <c r="G5424" s="459"/>
      <c r="H5424" s="459">
        <v>5417</v>
      </c>
      <c r="I5424" s="444">
        <f t="shared" ca="1" si="190"/>
        <v>-4886447667378089</v>
      </c>
      <c r="J5424" s="444">
        <f t="array" ref="J5424">IFERROR(INDEX('Retirement Calculator'!K:K,MATCH('Lorri 401b'!N5424,'Retirement Calculator'!A:A,0),0),0)</f>
        <v>0</v>
      </c>
      <c r="K5424" s="444">
        <f t="shared" ca="1" si="188"/>
        <v>-20360198614075.371</v>
      </c>
      <c r="L5424" s="444">
        <f t="shared" ca="1" si="189"/>
        <v>-4906807865992164</v>
      </c>
      <c r="M5424" s="460">
        <f t="shared" si="191"/>
        <v>0.05</v>
      </c>
      <c r="N5424" s="464">
        <f t="shared" si="192"/>
        <v>216134</v>
      </c>
    </row>
    <row r="5425" spans="7:14" ht="11.25" customHeight="1" x14ac:dyDescent="0.25">
      <c r="G5425" s="459"/>
      <c r="H5425" s="459">
        <v>5418</v>
      </c>
      <c r="I5425" s="444">
        <f t="shared" ca="1" si="190"/>
        <v>-4906807865992164</v>
      </c>
      <c r="J5425" s="444">
        <f t="array" ref="J5425">IFERROR(INDEX('Retirement Calculator'!K:K,MATCH('Lorri 401b'!N5425,'Retirement Calculator'!A:A,0),0),0)</f>
        <v>0</v>
      </c>
      <c r="K5425" s="444">
        <f t="shared" ca="1" si="188"/>
        <v>-20445032774967.352</v>
      </c>
      <c r="L5425" s="444">
        <f t="shared" ca="1" si="189"/>
        <v>-4927252898767131</v>
      </c>
      <c r="M5425" s="460">
        <f t="shared" si="191"/>
        <v>0.05</v>
      </c>
      <c r="N5425" s="464">
        <f t="shared" si="192"/>
        <v>216165</v>
      </c>
    </row>
    <row r="5426" spans="7:14" ht="11.25" customHeight="1" x14ac:dyDescent="0.25">
      <c r="G5426" s="459"/>
      <c r="H5426" s="459">
        <v>5419</v>
      </c>
      <c r="I5426" s="444">
        <f t="shared" ca="1" si="190"/>
        <v>-4927252898767131</v>
      </c>
      <c r="J5426" s="444">
        <f t="array" ref="J5426">IFERROR(INDEX('Retirement Calculator'!K:K,MATCH('Lorri 401b'!N5426,'Retirement Calculator'!A:A,0),0),0)</f>
        <v>0</v>
      </c>
      <c r="K5426" s="444">
        <f t="shared" ca="1" si="188"/>
        <v>-20530220411529.711</v>
      </c>
      <c r="L5426" s="444">
        <f t="shared" ca="1" si="189"/>
        <v>-4947783119178661</v>
      </c>
      <c r="M5426" s="460">
        <f t="shared" si="191"/>
        <v>0.05</v>
      </c>
      <c r="N5426" s="464">
        <f t="shared" si="192"/>
        <v>216195</v>
      </c>
    </row>
    <row r="5427" spans="7:14" ht="11.25" customHeight="1" x14ac:dyDescent="0.25">
      <c r="G5427" s="459"/>
      <c r="H5427" s="459">
        <v>5420</v>
      </c>
      <c r="I5427" s="444">
        <f t="shared" ca="1" si="190"/>
        <v>-4947783119178661</v>
      </c>
      <c r="J5427" s="444">
        <f t="array" ref="J5427">IFERROR(INDEX('Retirement Calculator'!K:K,MATCH('Lorri 401b'!N5427,'Retirement Calculator'!A:A,0),0),0)</f>
        <v>0</v>
      </c>
      <c r="K5427" s="444">
        <f t="shared" ca="1" si="188"/>
        <v>-20615762996577.754</v>
      </c>
      <c r="L5427" s="444">
        <f t="shared" ca="1" si="189"/>
        <v>-4968398882175239</v>
      </c>
      <c r="M5427" s="460">
        <f t="shared" si="191"/>
        <v>0.05</v>
      </c>
      <c r="N5427" s="464">
        <f t="shared" si="192"/>
        <v>216226</v>
      </c>
    </row>
    <row r="5428" spans="7:14" ht="11.25" customHeight="1" x14ac:dyDescent="0.25">
      <c r="G5428" s="459"/>
      <c r="H5428" s="459">
        <v>5421</v>
      </c>
      <c r="I5428" s="444">
        <f t="shared" ca="1" si="190"/>
        <v>-4968398882175239</v>
      </c>
      <c r="J5428" s="444">
        <f t="array" ref="J5428">IFERROR(INDEX('Retirement Calculator'!K:K,MATCH('Lorri 401b'!N5428,'Retirement Calculator'!A:A,0),0),0)</f>
        <v>0</v>
      </c>
      <c r="K5428" s="444">
        <f t="shared" ca="1" si="188"/>
        <v>-20701662009063.496</v>
      </c>
      <c r="L5428" s="444">
        <f t="shared" ca="1" si="189"/>
        <v>-4989100544184302</v>
      </c>
      <c r="M5428" s="460">
        <f t="shared" si="191"/>
        <v>0.05</v>
      </c>
      <c r="N5428" s="464">
        <f t="shared" si="192"/>
        <v>216257</v>
      </c>
    </row>
    <row r="5429" spans="7:14" ht="11.25" customHeight="1" x14ac:dyDescent="0.25">
      <c r="G5429" s="459"/>
      <c r="H5429" s="459">
        <v>5422</v>
      </c>
      <c r="I5429" s="444">
        <f t="shared" ca="1" si="190"/>
        <v>-4989100544184302</v>
      </c>
      <c r="J5429" s="444">
        <f t="array" ref="J5429">IFERROR(INDEX('Retirement Calculator'!K:K,MATCH('Lorri 401b'!N5429,'Retirement Calculator'!A:A,0),0),0)</f>
        <v>0</v>
      </c>
      <c r="K5429" s="444">
        <f t="shared" ca="1" si="188"/>
        <v>-20787918934101.258</v>
      </c>
      <c r="L5429" s="444">
        <f t="shared" ca="1" si="189"/>
        <v>-5009888463118403</v>
      </c>
      <c r="M5429" s="460">
        <f t="shared" si="191"/>
        <v>0.05</v>
      </c>
      <c r="N5429" s="464">
        <f t="shared" si="192"/>
        <v>216286</v>
      </c>
    </row>
    <row r="5430" spans="7:14" ht="11.25" customHeight="1" x14ac:dyDescent="0.25">
      <c r="G5430" s="459"/>
      <c r="H5430" s="459">
        <v>5423</v>
      </c>
      <c r="I5430" s="444">
        <f t="shared" ca="1" si="190"/>
        <v>-5009888463118403</v>
      </c>
      <c r="J5430" s="444">
        <f t="array" ref="J5430">IFERROR(INDEX('Retirement Calculator'!K:K,MATCH('Lorri 401b'!N5430,'Retirement Calculator'!A:A,0),0),0)</f>
        <v>0</v>
      </c>
      <c r="K5430" s="444">
        <f t="shared" ca="1" si="188"/>
        <v>-20874535262993.344</v>
      </c>
      <c r="L5430" s="444">
        <f t="shared" ca="1" si="189"/>
        <v>-5030762998381396</v>
      </c>
      <c r="M5430" s="460">
        <f t="shared" si="191"/>
        <v>0.05</v>
      </c>
      <c r="N5430" s="464">
        <f t="shared" si="192"/>
        <v>216317</v>
      </c>
    </row>
    <row r="5431" spans="7:14" ht="11.25" customHeight="1" x14ac:dyDescent="0.25">
      <c r="G5431" s="459"/>
      <c r="H5431" s="459">
        <v>5424</v>
      </c>
      <c r="I5431" s="444">
        <f t="shared" ca="1" si="190"/>
        <v>-5030762998381396</v>
      </c>
      <c r="J5431" s="444">
        <f t="array" ref="J5431">IFERROR(INDEX('Retirement Calculator'!K:K,MATCH('Lorri 401b'!N5431,'Retirement Calculator'!A:A,0),0),0)</f>
        <v>0</v>
      </c>
      <c r="K5431" s="444">
        <f t="shared" ca="1" si="188"/>
        <v>-20961512493255.816</v>
      </c>
      <c r="L5431" s="444">
        <f t="shared" ca="1" si="189"/>
        <v>-5051724510874652</v>
      </c>
      <c r="M5431" s="460">
        <f t="shared" si="191"/>
        <v>0.05</v>
      </c>
      <c r="N5431" s="464">
        <f t="shared" si="192"/>
        <v>216347</v>
      </c>
    </row>
    <row r="5432" spans="7:14" ht="11.25" customHeight="1" x14ac:dyDescent="0.25">
      <c r="G5432" s="459"/>
      <c r="H5432" s="459">
        <v>5425</v>
      </c>
      <c r="I5432" s="444">
        <f t="shared" ca="1" si="190"/>
        <v>-5051724510874652</v>
      </c>
      <c r="J5432" s="444">
        <f t="array" ref="J5432">IFERROR(INDEX('Retirement Calculator'!K:K,MATCH('Lorri 401b'!N5432,'Retirement Calculator'!A:A,0),0),0)</f>
        <v>0</v>
      </c>
      <c r="K5432" s="444">
        <f t="shared" ca="1" si="188"/>
        <v>-21048852128644.383</v>
      </c>
      <c r="L5432" s="444">
        <f t="shared" ca="1" si="189"/>
        <v>-5072773363003296</v>
      </c>
      <c r="M5432" s="460">
        <f t="shared" si="191"/>
        <v>0.05</v>
      </c>
      <c r="N5432" s="464">
        <f t="shared" si="192"/>
        <v>216378</v>
      </c>
    </row>
    <row r="5433" spans="7:14" ht="11.25" customHeight="1" x14ac:dyDescent="0.25">
      <c r="G5433" s="459"/>
      <c r="H5433" s="459">
        <v>5426</v>
      </c>
      <c r="I5433" s="444">
        <f t="shared" ca="1" si="190"/>
        <v>-5072773363003296</v>
      </c>
      <c r="J5433" s="444">
        <f t="array" ref="J5433">IFERROR(INDEX('Retirement Calculator'!K:K,MATCH('Lorri 401b'!N5433,'Retirement Calculator'!A:A,0),0),0)</f>
        <v>0</v>
      </c>
      <c r="K5433" s="444">
        <f t="shared" ca="1" si="188"/>
        <v>-21136555679180.398</v>
      </c>
      <c r="L5433" s="444">
        <f t="shared" ca="1" si="189"/>
        <v>-5093909918682476</v>
      </c>
      <c r="M5433" s="460">
        <f t="shared" si="191"/>
        <v>0.05</v>
      </c>
      <c r="N5433" s="464">
        <f t="shared" si="192"/>
        <v>216408</v>
      </c>
    </row>
    <row r="5434" spans="7:14" ht="11.25" customHeight="1" x14ac:dyDescent="0.25">
      <c r="G5434" s="459"/>
      <c r="H5434" s="459">
        <v>5427</v>
      </c>
      <c r="I5434" s="444">
        <f t="shared" ca="1" si="190"/>
        <v>-5093909918682476</v>
      </c>
      <c r="J5434" s="444">
        <f t="array" ref="J5434">IFERROR(INDEX('Retirement Calculator'!K:K,MATCH('Lorri 401b'!N5434,'Retirement Calculator'!A:A,0),0),0)</f>
        <v>0</v>
      </c>
      <c r="K5434" s="444">
        <f t="shared" ca="1" si="188"/>
        <v>-21224624661176.984</v>
      </c>
      <c r="L5434" s="444">
        <f t="shared" ca="1" si="189"/>
        <v>-5115134543343653</v>
      </c>
      <c r="M5434" s="460">
        <f t="shared" si="191"/>
        <v>0.05</v>
      </c>
      <c r="N5434" s="464">
        <f t="shared" si="192"/>
        <v>216439</v>
      </c>
    </row>
    <row r="5435" spans="7:14" ht="11.25" customHeight="1" x14ac:dyDescent="0.25">
      <c r="G5435" s="459"/>
      <c r="H5435" s="459">
        <v>5428</v>
      </c>
      <c r="I5435" s="444">
        <f t="shared" ca="1" si="190"/>
        <v>-5115134543343653</v>
      </c>
      <c r="J5435" s="444">
        <f t="array" ref="J5435">IFERROR(INDEX('Retirement Calculator'!K:K,MATCH('Lorri 401b'!N5435,'Retirement Calculator'!A:A,0),0),0)</f>
        <v>0</v>
      </c>
      <c r="K5435" s="444">
        <f t="shared" ca="1" si="188"/>
        <v>-21313060597265.219</v>
      </c>
      <c r="L5435" s="444">
        <f t="shared" ca="1" si="189"/>
        <v>-5136447603940918</v>
      </c>
      <c r="M5435" s="460">
        <f t="shared" si="191"/>
        <v>0.05</v>
      </c>
      <c r="N5435" s="464">
        <f t="shared" si="192"/>
        <v>216470</v>
      </c>
    </row>
    <row r="5436" spans="7:14" ht="11.25" customHeight="1" x14ac:dyDescent="0.25">
      <c r="G5436" s="459"/>
      <c r="H5436" s="459">
        <v>5429</v>
      </c>
      <c r="I5436" s="444">
        <f t="shared" ca="1" si="190"/>
        <v>-5136447603940918</v>
      </c>
      <c r="J5436" s="444">
        <f t="array" ref="J5436">IFERROR(INDEX('Retirement Calculator'!K:K,MATCH('Lorri 401b'!N5436,'Retirement Calculator'!A:A,0),0),0)</f>
        <v>0</v>
      </c>
      <c r="K5436" s="444">
        <f t="shared" ca="1" si="188"/>
        <v>-21401865016420.492</v>
      </c>
      <c r="L5436" s="444">
        <f t="shared" ca="1" si="189"/>
        <v>-5157849468957338</v>
      </c>
      <c r="M5436" s="460">
        <f t="shared" si="191"/>
        <v>0.05</v>
      </c>
      <c r="N5436" s="464">
        <f t="shared" si="192"/>
        <v>216500</v>
      </c>
    </row>
    <row r="5437" spans="7:14" ht="11.25" customHeight="1" x14ac:dyDescent="0.25">
      <c r="G5437" s="459"/>
      <c r="H5437" s="459">
        <v>5430</v>
      </c>
      <c r="I5437" s="444">
        <f t="shared" ca="1" si="190"/>
        <v>-5157849468957338</v>
      </c>
      <c r="J5437" s="444">
        <f t="array" ref="J5437">IFERROR(INDEX('Retirement Calculator'!K:K,MATCH('Lorri 401b'!N5437,'Retirement Calculator'!A:A,0),0),0)</f>
        <v>0</v>
      </c>
      <c r="K5437" s="444">
        <f t="shared" ca="1" si="188"/>
        <v>-21491039453988.906</v>
      </c>
      <c r="L5437" s="444">
        <f t="shared" ca="1" si="189"/>
        <v>-5179340508411327</v>
      </c>
      <c r="M5437" s="460">
        <f t="shared" si="191"/>
        <v>0.05</v>
      </c>
      <c r="N5437" s="464">
        <f t="shared" si="192"/>
        <v>216531</v>
      </c>
    </row>
    <row r="5438" spans="7:14" ht="11.25" customHeight="1" x14ac:dyDescent="0.25">
      <c r="G5438" s="459"/>
      <c r="H5438" s="459">
        <v>5431</v>
      </c>
      <c r="I5438" s="444">
        <f t="shared" ca="1" si="190"/>
        <v>-5179340508411327</v>
      </c>
      <c r="J5438" s="444">
        <f t="array" ref="J5438">IFERROR(INDEX('Retirement Calculator'!K:K,MATCH('Lorri 401b'!N5438,'Retirement Calculator'!A:A,0),0),0)</f>
        <v>0</v>
      </c>
      <c r="K5438" s="444">
        <f t="shared" ca="1" si="188"/>
        <v>-21580585451713.863</v>
      </c>
      <c r="L5438" s="444">
        <f t="shared" ca="1" si="189"/>
        <v>-5200921093863041</v>
      </c>
      <c r="M5438" s="460">
        <f t="shared" si="191"/>
        <v>0.05</v>
      </c>
      <c r="N5438" s="464">
        <f t="shared" si="192"/>
        <v>216561</v>
      </c>
    </row>
    <row r="5439" spans="7:14" ht="11.25" customHeight="1" x14ac:dyDescent="0.25">
      <c r="G5439" s="459"/>
      <c r="H5439" s="459">
        <v>5432</v>
      </c>
      <c r="I5439" s="444">
        <f t="shared" ca="1" si="190"/>
        <v>-5200921093863041</v>
      </c>
      <c r="J5439" s="444">
        <f t="array" ref="J5439">IFERROR(INDEX('Retirement Calculator'!K:K,MATCH('Lorri 401b'!N5439,'Retirement Calculator'!A:A,0),0),0)</f>
        <v>0</v>
      </c>
      <c r="K5439" s="444">
        <f t="shared" ca="1" si="188"/>
        <v>-21670504557762.672</v>
      </c>
      <c r="L5439" s="444">
        <f t="shared" ca="1" si="189"/>
        <v>-5222591598420804</v>
      </c>
      <c r="M5439" s="460">
        <f t="shared" si="191"/>
        <v>0.05</v>
      </c>
      <c r="N5439" s="464">
        <f t="shared" si="192"/>
        <v>216592</v>
      </c>
    </row>
    <row r="5440" spans="7:14" ht="11.25" customHeight="1" x14ac:dyDescent="0.25">
      <c r="G5440" s="459"/>
      <c r="H5440" s="459">
        <v>5433</v>
      </c>
      <c r="I5440" s="444">
        <f t="shared" ca="1" si="190"/>
        <v>-5222591598420804</v>
      </c>
      <c r="J5440" s="444">
        <f t="array" ref="J5440">IFERROR(INDEX('Retirement Calculator'!K:K,MATCH('Lorri 401b'!N5440,'Retirement Calculator'!A:A,0),0),0)</f>
        <v>0</v>
      </c>
      <c r="K5440" s="444">
        <f t="shared" ca="1" si="188"/>
        <v>-21760798326753.352</v>
      </c>
      <c r="L5440" s="444">
        <f t="shared" ca="1" si="189"/>
        <v>-5244352396747557</v>
      </c>
      <c r="M5440" s="460">
        <f t="shared" si="191"/>
        <v>0.05</v>
      </c>
      <c r="N5440" s="464">
        <f t="shared" si="192"/>
        <v>216623</v>
      </c>
    </row>
    <row r="5441" spans="7:14" ht="11.25" customHeight="1" x14ac:dyDescent="0.25">
      <c r="G5441" s="459"/>
      <c r="H5441" s="459">
        <v>5434</v>
      </c>
      <c r="I5441" s="444">
        <f t="shared" ca="1" si="190"/>
        <v>-5244352396747557</v>
      </c>
      <c r="J5441" s="444">
        <f t="array" ref="J5441">IFERROR(INDEX('Retirement Calculator'!K:K,MATCH('Lorri 401b'!N5441,'Retirement Calculator'!A:A,0),0),0)</f>
        <v>0</v>
      </c>
      <c r="K5441" s="444">
        <f t="shared" ca="1" si="188"/>
        <v>-21851468319781.488</v>
      </c>
      <c r="L5441" s="444">
        <f t="shared" ca="1" si="189"/>
        <v>-5266203865067338</v>
      </c>
      <c r="M5441" s="460">
        <f t="shared" si="191"/>
        <v>0.05</v>
      </c>
      <c r="N5441" s="464">
        <f t="shared" si="192"/>
        <v>216651</v>
      </c>
    </row>
    <row r="5442" spans="7:14" ht="11.25" customHeight="1" x14ac:dyDescent="0.25">
      <c r="G5442" s="459"/>
      <c r="H5442" s="459">
        <v>5435</v>
      </c>
      <c r="I5442" s="444">
        <f t="shared" ca="1" si="190"/>
        <v>-5266203865067338</v>
      </c>
      <c r="J5442" s="444">
        <f t="array" ref="J5442">IFERROR(INDEX('Retirement Calculator'!K:K,MATCH('Lorri 401b'!N5442,'Retirement Calculator'!A:A,0),0),0)</f>
        <v>0</v>
      </c>
      <c r="K5442" s="444">
        <f t="shared" ca="1" si="188"/>
        <v>-21942516104447.242</v>
      </c>
      <c r="L5442" s="444">
        <f t="shared" ca="1" si="189"/>
        <v>-5288146381171785</v>
      </c>
      <c r="M5442" s="460">
        <f t="shared" si="191"/>
        <v>0.05</v>
      </c>
      <c r="N5442" s="464">
        <f t="shared" si="192"/>
        <v>216682</v>
      </c>
    </row>
    <row r="5443" spans="7:14" ht="11.25" customHeight="1" x14ac:dyDescent="0.25">
      <c r="G5443" s="459"/>
      <c r="H5443" s="459">
        <v>5436</v>
      </c>
      <c r="I5443" s="444">
        <f t="shared" ca="1" si="190"/>
        <v>-5288146381171785</v>
      </c>
      <c r="J5443" s="444">
        <f t="array" ref="J5443">IFERROR(INDEX('Retirement Calculator'!K:K,MATCH('Lorri 401b'!N5443,'Retirement Calculator'!A:A,0),0),0)</f>
        <v>0</v>
      </c>
      <c r="K5443" s="444">
        <f t="shared" ca="1" si="188"/>
        <v>-22033943254882.438</v>
      </c>
      <c r="L5443" s="444">
        <f t="shared" ca="1" si="189"/>
        <v>-5310180324426667</v>
      </c>
      <c r="M5443" s="460">
        <f t="shared" si="191"/>
        <v>0.05</v>
      </c>
      <c r="N5443" s="464">
        <f t="shared" si="192"/>
        <v>216712</v>
      </c>
    </row>
    <row r="5444" spans="7:14" ht="11.25" customHeight="1" x14ac:dyDescent="0.25">
      <c r="G5444" s="459"/>
      <c r="H5444" s="459">
        <v>5437</v>
      </c>
      <c r="I5444" s="444">
        <f t="shared" ca="1" si="190"/>
        <v>-5310180324426667</v>
      </c>
      <c r="J5444" s="444">
        <f t="array" ref="J5444">IFERROR(INDEX('Retirement Calculator'!K:K,MATCH('Lorri 401b'!N5444,'Retirement Calculator'!A:A,0),0),0)</f>
        <v>0</v>
      </c>
      <c r="K5444" s="444">
        <f t="shared" ca="1" si="188"/>
        <v>-22125751351777.777</v>
      </c>
      <c r="L5444" s="444">
        <f t="shared" ca="1" si="189"/>
        <v>-5332306075778445</v>
      </c>
      <c r="M5444" s="460">
        <f t="shared" si="191"/>
        <v>0.05</v>
      </c>
      <c r="N5444" s="464">
        <f t="shared" si="192"/>
        <v>216743</v>
      </c>
    </row>
    <row r="5445" spans="7:14" ht="11.25" customHeight="1" x14ac:dyDescent="0.25">
      <c r="G5445" s="459"/>
      <c r="H5445" s="459">
        <v>5438</v>
      </c>
      <c r="I5445" s="444">
        <f t="shared" ca="1" si="190"/>
        <v>-5332306075778445</v>
      </c>
      <c r="J5445" s="444">
        <f t="array" ref="J5445">IFERROR(INDEX('Retirement Calculator'!K:K,MATCH('Lorri 401b'!N5445,'Retirement Calculator'!A:A,0),0),0)</f>
        <v>0</v>
      </c>
      <c r="K5445" s="444">
        <f t="shared" ca="1" si="188"/>
        <v>-22217941982410.188</v>
      </c>
      <c r="L5445" s="444">
        <f t="shared" ca="1" si="189"/>
        <v>-5354524017760855</v>
      </c>
      <c r="M5445" s="460">
        <f t="shared" si="191"/>
        <v>0.05</v>
      </c>
      <c r="N5445" s="464">
        <f t="shared" si="192"/>
        <v>216773</v>
      </c>
    </row>
    <row r="5446" spans="7:14" ht="11.25" customHeight="1" x14ac:dyDescent="0.25">
      <c r="G5446" s="459"/>
      <c r="H5446" s="459">
        <v>5439</v>
      </c>
      <c r="I5446" s="444">
        <f t="shared" ca="1" si="190"/>
        <v>-5354524017760855</v>
      </c>
      <c r="J5446" s="444">
        <f t="array" ref="J5446">IFERROR(INDEX('Retirement Calculator'!K:K,MATCH('Lorri 401b'!N5446,'Retirement Calculator'!A:A,0),0),0)</f>
        <v>0</v>
      </c>
      <c r="K5446" s="444">
        <f t="shared" ca="1" si="188"/>
        <v>-22310516740670.23</v>
      </c>
      <c r="L5446" s="444">
        <f t="shared" ca="1" si="189"/>
        <v>-5376834534501525</v>
      </c>
      <c r="M5446" s="460">
        <f t="shared" si="191"/>
        <v>0.05</v>
      </c>
      <c r="N5446" s="464">
        <f t="shared" si="192"/>
        <v>216804</v>
      </c>
    </row>
    <row r="5447" spans="7:14" ht="11.25" customHeight="1" x14ac:dyDescent="0.25">
      <c r="G5447" s="459"/>
      <c r="H5447" s="459">
        <v>5440</v>
      </c>
      <c r="I5447" s="444">
        <f t="shared" ca="1" si="190"/>
        <v>-5376834534501525</v>
      </c>
      <c r="J5447" s="444">
        <f t="array" ref="J5447">IFERROR(INDEX('Retirement Calculator'!K:K,MATCH('Lorri 401b'!N5447,'Retirement Calculator'!A:A,0),0),0)</f>
        <v>0</v>
      </c>
      <c r="K5447" s="444">
        <f t="shared" ca="1" si="188"/>
        <v>-22403477227089.688</v>
      </c>
      <c r="L5447" s="444">
        <f t="shared" ca="1" si="189"/>
        <v>-5399238011728615</v>
      </c>
      <c r="M5447" s="460">
        <f t="shared" si="191"/>
        <v>0.05</v>
      </c>
      <c r="N5447" s="464">
        <f t="shared" si="192"/>
        <v>216835</v>
      </c>
    </row>
    <row r="5448" spans="7:14" ht="11.25" customHeight="1" x14ac:dyDescent="0.25">
      <c r="G5448" s="459"/>
      <c r="H5448" s="459">
        <v>5441</v>
      </c>
      <c r="I5448" s="444">
        <f t="shared" ca="1" si="190"/>
        <v>-5399238011728615</v>
      </c>
      <c r="J5448" s="444">
        <f t="array" ref="J5448">IFERROR(INDEX('Retirement Calculator'!K:K,MATCH('Lorri 401b'!N5448,'Retirement Calculator'!A:A,0),0),0)</f>
        <v>0</v>
      </c>
      <c r="K5448" s="444">
        <f t="shared" ca="1" si="188"/>
        <v>-22496825048869.23</v>
      </c>
      <c r="L5448" s="444">
        <f t="shared" ca="1" si="189"/>
        <v>-5421734836777484</v>
      </c>
      <c r="M5448" s="460">
        <f t="shared" si="191"/>
        <v>0.05</v>
      </c>
      <c r="N5448" s="464">
        <f t="shared" si="192"/>
        <v>216865</v>
      </c>
    </row>
    <row r="5449" spans="7:14" ht="11.25" customHeight="1" x14ac:dyDescent="0.25">
      <c r="G5449" s="459"/>
      <c r="H5449" s="459">
        <v>5442</v>
      </c>
      <c r="I5449" s="444">
        <f t="shared" ca="1" si="190"/>
        <v>-5421734836777484</v>
      </c>
      <c r="J5449" s="444">
        <f t="array" ref="J5449">IFERROR(INDEX('Retirement Calculator'!K:K,MATCH('Lorri 401b'!N5449,'Retirement Calculator'!A:A,0),0),0)</f>
        <v>0</v>
      </c>
      <c r="K5449" s="444">
        <f t="shared" ca="1" si="188"/>
        <v>-22590561819906.184</v>
      </c>
      <c r="L5449" s="444">
        <f t="shared" ca="1" si="189"/>
        <v>-5444325398597390</v>
      </c>
      <c r="M5449" s="460">
        <f t="shared" si="191"/>
        <v>0.05</v>
      </c>
      <c r="N5449" s="464">
        <f t="shared" si="192"/>
        <v>216896</v>
      </c>
    </row>
    <row r="5450" spans="7:14" ht="11.25" customHeight="1" x14ac:dyDescent="0.25">
      <c r="G5450" s="459"/>
      <c r="H5450" s="459">
        <v>5443</v>
      </c>
      <c r="I5450" s="444">
        <f t="shared" ca="1" si="190"/>
        <v>-5444325398597390</v>
      </c>
      <c r="J5450" s="444">
        <f t="array" ref="J5450">IFERROR(INDEX('Retirement Calculator'!K:K,MATCH('Lorri 401b'!N5450,'Retirement Calculator'!A:A,0),0),0)</f>
        <v>0</v>
      </c>
      <c r="K5450" s="444">
        <f t="shared" ca="1" si="188"/>
        <v>-22684689160822.457</v>
      </c>
      <c r="L5450" s="444">
        <f t="shared" ca="1" si="189"/>
        <v>-5467010087758212</v>
      </c>
      <c r="M5450" s="460">
        <f t="shared" si="191"/>
        <v>0.05</v>
      </c>
      <c r="N5450" s="464">
        <f t="shared" si="192"/>
        <v>216926</v>
      </c>
    </row>
    <row r="5451" spans="7:14" ht="11.25" customHeight="1" x14ac:dyDescent="0.25">
      <c r="G5451" s="459"/>
      <c r="H5451" s="459">
        <v>5444</v>
      </c>
      <c r="I5451" s="444">
        <f t="shared" ca="1" si="190"/>
        <v>-5467010087758212</v>
      </c>
      <c r="J5451" s="444">
        <f t="array" ref="J5451">IFERROR(INDEX('Retirement Calculator'!K:K,MATCH('Lorri 401b'!N5451,'Retirement Calculator'!A:A,0),0),0)</f>
        <v>0</v>
      </c>
      <c r="K5451" s="444">
        <f t="shared" ca="1" si="188"/>
        <v>-22779208698992.551</v>
      </c>
      <c r="L5451" s="444">
        <f t="shared" ca="1" si="189"/>
        <v>-5489789296457205</v>
      </c>
      <c r="M5451" s="460">
        <f t="shared" si="191"/>
        <v>0.05</v>
      </c>
      <c r="N5451" s="464">
        <f t="shared" si="192"/>
        <v>216957</v>
      </c>
    </row>
    <row r="5452" spans="7:14" ht="11.25" customHeight="1" x14ac:dyDescent="0.25">
      <c r="G5452" s="459"/>
      <c r="H5452" s="459">
        <v>5445</v>
      </c>
      <c r="I5452" s="444">
        <f t="shared" ca="1" si="190"/>
        <v>-5489789296457205</v>
      </c>
      <c r="J5452" s="444">
        <f t="array" ref="J5452">IFERROR(INDEX('Retirement Calculator'!K:K,MATCH('Lorri 401b'!N5452,'Retirement Calculator'!A:A,0),0),0)</f>
        <v>0</v>
      </c>
      <c r="K5452" s="444">
        <f t="shared" ca="1" si="188"/>
        <v>-22874122068571.688</v>
      </c>
      <c r="L5452" s="444">
        <f t="shared" ca="1" si="189"/>
        <v>-5512663418525777</v>
      </c>
      <c r="M5452" s="460">
        <f t="shared" si="191"/>
        <v>0.05</v>
      </c>
      <c r="N5452" s="464">
        <f t="shared" si="192"/>
        <v>216988</v>
      </c>
    </row>
    <row r="5453" spans="7:14" ht="11.25" customHeight="1" x14ac:dyDescent="0.25">
      <c r="G5453" s="459"/>
      <c r="H5453" s="459">
        <v>5446</v>
      </c>
      <c r="I5453" s="444">
        <f t="shared" ca="1" si="190"/>
        <v>-5512663418525777</v>
      </c>
      <c r="J5453" s="444">
        <f t="array" ref="J5453">IFERROR(INDEX('Retirement Calculator'!K:K,MATCH('Lorri 401b'!N5453,'Retirement Calculator'!A:A,0),0),0)</f>
        <v>0</v>
      </c>
      <c r="K5453" s="444">
        <f t="shared" ca="1" si="188"/>
        <v>-22969430910524.07</v>
      </c>
      <c r="L5453" s="444">
        <f t="shared" ca="1" si="189"/>
        <v>-5535632849436301</v>
      </c>
      <c r="M5453" s="460">
        <f t="shared" si="191"/>
        <v>0.05</v>
      </c>
      <c r="N5453" s="464">
        <f t="shared" si="192"/>
        <v>217016</v>
      </c>
    </row>
    <row r="5454" spans="7:14" ht="11.25" customHeight="1" x14ac:dyDescent="0.25">
      <c r="G5454" s="459"/>
      <c r="H5454" s="459">
        <v>5447</v>
      </c>
      <c r="I5454" s="444">
        <f t="shared" ca="1" si="190"/>
        <v>-5535632849436301</v>
      </c>
      <c r="J5454" s="444">
        <f t="array" ref="J5454">IFERROR(INDEX('Retirement Calculator'!K:K,MATCH('Lorri 401b'!N5454,'Retirement Calculator'!A:A,0),0),0)</f>
        <v>0</v>
      </c>
      <c r="K5454" s="444">
        <f t="shared" ca="1" si="188"/>
        <v>-23065136872651.254</v>
      </c>
      <c r="L5454" s="444">
        <f t="shared" ca="1" si="189"/>
        <v>-5558697986308952</v>
      </c>
      <c r="M5454" s="460">
        <f t="shared" si="191"/>
        <v>0.05</v>
      </c>
      <c r="N5454" s="464">
        <f t="shared" si="192"/>
        <v>217047</v>
      </c>
    </row>
    <row r="5455" spans="7:14" ht="11.25" customHeight="1" x14ac:dyDescent="0.25">
      <c r="G5455" s="459"/>
      <c r="H5455" s="459">
        <v>5448</v>
      </c>
      <c r="I5455" s="444">
        <f t="shared" ca="1" si="190"/>
        <v>-5558697986308952</v>
      </c>
      <c r="J5455" s="444">
        <f t="array" ref="J5455">IFERROR(INDEX('Retirement Calculator'!K:K,MATCH('Lorri 401b'!N5455,'Retirement Calculator'!A:A,0),0),0)</f>
        <v>0</v>
      </c>
      <c r="K5455" s="444">
        <f t="shared" ca="1" si="188"/>
        <v>-23161241609620.633</v>
      </c>
      <c r="L5455" s="444">
        <f t="shared" ca="1" si="189"/>
        <v>-5581859227918573</v>
      </c>
      <c r="M5455" s="460">
        <f t="shared" si="191"/>
        <v>0.05</v>
      </c>
      <c r="N5455" s="464">
        <f t="shared" si="192"/>
        <v>217077</v>
      </c>
    </row>
    <row r="5456" spans="7:14" ht="11.25" customHeight="1" x14ac:dyDescent="0.25">
      <c r="G5456" s="459"/>
      <c r="H5456" s="459">
        <v>5449</v>
      </c>
      <c r="I5456" s="444">
        <f t="shared" ca="1" si="190"/>
        <v>-5581859227918573</v>
      </c>
      <c r="J5456" s="444">
        <f t="array" ref="J5456">IFERROR(INDEX('Retirement Calculator'!K:K,MATCH('Lorri 401b'!N5456,'Retirement Calculator'!A:A,0),0),0)</f>
        <v>0</v>
      </c>
      <c r="K5456" s="444">
        <f t="shared" ca="1" si="188"/>
        <v>-23257746782994.055</v>
      </c>
      <c r="L5456" s="444">
        <f t="shared" ca="1" si="189"/>
        <v>-5605116974701567</v>
      </c>
      <c r="M5456" s="460">
        <f t="shared" si="191"/>
        <v>0.05</v>
      </c>
      <c r="N5456" s="464">
        <f t="shared" si="192"/>
        <v>217108</v>
      </c>
    </row>
    <row r="5457" spans="7:14" ht="11.25" customHeight="1" x14ac:dyDescent="0.25">
      <c r="G5457" s="459"/>
      <c r="H5457" s="459">
        <v>5450</v>
      </c>
      <c r="I5457" s="444">
        <f t="shared" ca="1" si="190"/>
        <v>-5605116974701567</v>
      </c>
      <c r="J5457" s="444">
        <f t="array" ref="J5457">IFERROR(INDEX('Retirement Calculator'!K:K,MATCH('Lorri 401b'!N5457,'Retirement Calculator'!A:A,0),0),0)</f>
        <v>0</v>
      </c>
      <c r="K5457" s="444">
        <f t="shared" ca="1" si="188"/>
        <v>-23354654061256.527</v>
      </c>
      <c r="L5457" s="444">
        <f t="shared" ca="1" si="189"/>
        <v>-5628471628762824</v>
      </c>
      <c r="M5457" s="460">
        <f t="shared" si="191"/>
        <v>0.05</v>
      </c>
      <c r="N5457" s="464">
        <f t="shared" si="192"/>
        <v>217138</v>
      </c>
    </row>
    <row r="5458" spans="7:14" ht="11.25" customHeight="1" x14ac:dyDescent="0.25">
      <c r="G5458" s="459"/>
      <c r="H5458" s="459">
        <v>5451</v>
      </c>
      <c r="I5458" s="444">
        <f t="shared" ca="1" si="190"/>
        <v>-5628471628762824</v>
      </c>
      <c r="J5458" s="444">
        <f t="array" ref="J5458">IFERROR(INDEX('Retirement Calculator'!K:K,MATCH('Lorri 401b'!N5458,'Retirement Calculator'!A:A,0),0),0)</f>
        <v>0</v>
      </c>
      <c r="K5458" s="444">
        <f t="shared" ca="1" si="188"/>
        <v>-23451965119845.102</v>
      </c>
      <c r="L5458" s="444">
        <f t="shared" ca="1" si="189"/>
        <v>-5651923593882669</v>
      </c>
      <c r="M5458" s="460">
        <f t="shared" si="191"/>
        <v>0.05</v>
      </c>
      <c r="N5458" s="464">
        <f t="shared" si="192"/>
        <v>217169</v>
      </c>
    </row>
    <row r="5459" spans="7:14" ht="11.25" customHeight="1" x14ac:dyDescent="0.25">
      <c r="G5459" s="459"/>
      <c r="H5459" s="459">
        <v>5452</v>
      </c>
      <c r="I5459" s="444">
        <f t="shared" ca="1" si="190"/>
        <v>-5651923593882669</v>
      </c>
      <c r="J5459" s="444">
        <f t="array" ref="J5459">IFERROR(INDEX('Retirement Calculator'!K:K,MATCH('Lorri 401b'!N5459,'Retirement Calculator'!A:A,0),0),0)</f>
        <v>0</v>
      </c>
      <c r="K5459" s="444">
        <f t="shared" ca="1" si="188"/>
        <v>-23549681641177.789</v>
      </c>
      <c r="L5459" s="444">
        <f t="shared" ca="1" si="189"/>
        <v>-5675473275523847</v>
      </c>
      <c r="M5459" s="460">
        <f t="shared" si="191"/>
        <v>0.05</v>
      </c>
      <c r="N5459" s="464">
        <f t="shared" si="192"/>
        <v>217200</v>
      </c>
    </row>
    <row r="5460" spans="7:14" ht="11.25" customHeight="1" x14ac:dyDescent="0.25">
      <c r="G5460" s="459"/>
      <c r="H5460" s="459">
        <v>5453</v>
      </c>
      <c r="I5460" s="444">
        <f t="shared" ca="1" si="190"/>
        <v>-5675473275523847</v>
      </c>
      <c r="J5460" s="444">
        <f t="array" ref="J5460">IFERROR(INDEX('Retirement Calculator'!K:K,MATCH('Lorri 401b'!N5460,'Retirement Calculator'!A:A,0),0),0)</f>
        <v>0</v>
      </c>
      <c r="K5460" s="444">
        <f t="shared" ca="1" si="188"/>
        <v>-23647805314682.695</v>
      </c>
      <c r="L5460" s="444">
        <f t="shared" ca="1" si="189"/>
        <v>-5699121080838530</v>
      </c>
      <c r="M5460" s="460">
        <f t="shared" si="191"/>
        <v>0.05</v>
      </c>
      <c r="N5460" s="464">
        <f t="shared" si="192"/>
        <v>217230</v>
      </c>
    </row>
    <row r="5461" spans="7:14" ht="11.25" customHeight="1" x14ac:dyDescent="0.25">
      <c r="G5461" s="459"/>
      <c r="H5461" s="459">
        <v>5454</v>
      </c>
      <c r="I5461" s="444">
        <f t="shared" ca="1" si="190"/>
        <v>-5699121080838530</v>
      </c>
      <c r="J5461" s="444">
        <f t="array" ref="J5461">IFERROR(INDEX('Retirement Calculator'!K:K,MATCH('Lorri 401b'!N5461,'Retirement Calculator'!A:A,0),0),0)</f>
        <v>0</v>
      </c>
      <c r="K5461" s="444">
        <f t="shared" ca="1" si="188"/>
        <v>-23746337836827.207</v>
      </c>
      <c r="L5461" s="444">
        <f t="shared" ca="1" si="189"/>
        <v>-5722867418675357</v>
      </c>
      <c r="M5461" s="460">
        <f t="shared" si="191"/>
        <v>0.05</v>
      </c>
      <c r="N5461" s="464">
        <f t="shared" si="192"/>
        <v>217261</v>
      </c>
    </row>
    <row r="5462" spans="7:14" ht="11.25" customHeight="1" x14ac:dyDescent="0.25">
      <c r="G5462" s="459"/>
      <c r="H5462" s="459">
        <v>5455</v>
      </c>
      <c r="I5462" s="444">
        <f t="shared" ca="1" si="190"/>
        <v>-5722867418675357</v>
      </c>
      <c r="J5462" s="444">
        <f t="array" ref="J5462">IFERROR(INDEX('Retirement Calculator'!K:K,MATCH('Lorri 401b'!N5462,'Retirement Calculator'!A:A,0),0),0)</f>
        <v>0</v>
      </c>
      <c r="K5462" s="444">
        <f t="shared" ca="1" si="188"/>
        <v>-23845280911147.32</v>
      </c>
      <c r="L5462" s="444">
        <f t="shared" ca="1" si="189"/>
        <v>-5746712699586504</v>
      </c>
      <c r="M5462" s="460">
        <f t="shared" si="191"/>
        <v>0.05</v>
      </c>
      <c r="N5462" s="464">
        <f t="shared" si="192"/>
        <v>217291</v>
      </c>
    </row>
    <row r="5463" spans="7:14" ht="11.25" customHeight="1" x14ac:dyDescent="0.25">
      <c r="G5463" s="459"/>
      <c r="H5463" s="459">
        <v>5456</v>
      </c>
      <c r="I5463" s="444">
        <f t="shared" ca="1" si="190"/>
        <v>-5746712699586504</v>
      </c>
      <c r="J5463" s="444">
        <f t="array" ref="J5463">IFERROR(INDEX('Retirement Calculator'!K:K,MATCH('Lorri 401b'!N5463,'Retirement Calculator'!A:A,0),0),0)</f>
        <v>0</v>
      </c>
      <c r="K5463" s="444">
        <f t="shared" ca="1" si="188"/>
        <v>-23944636248277.102</v>
      </c>
      <c r="L5463" s="444">
        <f t="shared" ca="1" si="189"/>
        <v>-5770657335834781</v>
      </c>
      <c r="M5463" s="460">
        <f t="shared" si="191"/>
        <v>0.05</v>
      </c>
      <c r="N5463" s="464">
        <f t="shared" si="192"/>
        <v>217322</v>
      </c>
    </row>
    <row r="5464" spans="7:14" ht="11.25" customHeight="1" x14ac:dyDescent="0.25">
      <c r="G5464" s="459"/>
      <c r="H5464" s="459">
        <v>5457</v>
      </c>
      <c r="I5464" s="444">
        <f t="shared" ca="1" si="190"/>
        <v>-5770657335834781</v>
      </c>
      <c r="J5464" s="444">
        <f t="array" ref="J5464">IFERROR(INDEX('Retirement Calculator'!K:K,MATCH('Lorri 401b'!N5464,'Retirement Calculator'!A:A,0),0),0)</f>
        <v>0</v>
      </c>
      <c r="K5464" s="444">
        <f t="shared" ca="1" si="188"/>
        <v>-24044405565978.254</v>
      </c>
      <c r="L5464" s="444">
        <f t="shared" ca="1" si="189"/>
        <v>-5794701741400759</v>
      </c>
      <c r="M5464" s="460">
        <f t="shared" si="191"/>
        <v>0.05</v>
      </c>
      <c r="N5464" s="464">
        <f t="shared" si="192"/>
        <v>217353</v>
      </c>
    </row>
    <row r="5465" spans="7:14" ht="11.25" customHeight="1" x14ac:dyDescent="0.25">
      <c r="G5465" s="459"/>
      <c r="H5465" s="459">
        <v>5458</v>
      </c>
      <c r="I5465" s="444">
        <f t="shared" ca="1" si="190"/>
        <v>-5794701741400759</v>
      </c>
      <c r="J5465" s="444">
        <f t="array" ref="J5465">IFERROR(INDEX('Retirement Calculator'!K:K,MATCH('Lorri 401b'!N5465,'Retirement Calculator'!A:A,0),0),0)</f>
        <v>0</v>
      </c>
      <c r="K5465" s="444">
        <f t="shared" ca="1" si="188"/>
        <v>-24144590589169.828</v>
      </c>
      <c r="L5465" s="444">
        <f t="shared" ca="1" si="189"/>
        <v>-5818846331989929</v>
      </c>
      <c r="M5465" s="460">
        <f t="shared" si="191"/>
        <v>0.05</v>
      </c>
      <c r="N5465" s="464">
        <f t="shared" si="192"/>
        <v>217381</v>
      </c>
    </row>
    <row r="5466" spans="7:14" ht="11.25" customHeight="1" x14ac:dyDescent="0.25">
      <c r="G5466" s="459"/>
      <c r="H5466" s="459">
        <v>5459</v>
      </c>
      <c r="I5466" s="444">
        <f t="shared" ca="1" si="190"/>
        <v>-5818846331989929</v>
      </c>
      <c r="J5466" s="444">
        <f t="array" ref="J5466">IFERROR(INDEX('Retirement Calculator'!K:K,MATCH('Lorri 401b'!N5466,'Retirement Calculator'!A:A,0),0),0)</f>
        <v>0</v>
      </c>
      <c r="K5466" s="444">
        <f t="shared" ca="1" si="188"/>
        <v>-24245193049958.039</v>
      </c>
      <c r="L5466" s="444">
        <f t="shared" ca="1" si="189"/>
        <v>-5843091525039887</v>
      </c>
      <c r="M5466" s="460">
        <f t="shared" si="191"/>
        <v>0.05</v>
      </c>
      <c r="N5466" s="464">
        <f t="shared" si="192"/>
        <v>217412</v>
      </c>
    </row>
    <row r="5467" spans="7:14" ht="11.25" customHeight="1" x14ac:dyDescent="0.25">
      <c r="G5467" s="459"/>
      <c r="H5467" s="459">
        <v>5460</v>
      </c>
      <c r="I5467" s="444">
        <f t="shared" ca="1" si="190"/>
        <v>-5843091525039887</v>
      </c>
      <c r="J5467" s="444">
        <f t="array" ref="J5467">IFERROR(INDEX('Retirement Calculator'!K:K,MATCH('Lorri 401b'!N5467,'Retirement Calculator'!A:A,0),0),0)</f>
        <v>0</v>
      </c>
      <c r="K5467" s="444">
        <f t="shared" ca="1" si="188"/>
        <v>-24346214687666.195</v>
      </c>
      <c r="L5467" s="444">
        <f t="shared" ca="1" si="189"/>
        <v>-5867437739727553</v>
      </c>
      <c r="M5467" s="460">
        <f t="shared" si="191"/>
        <v>0.05</v>
      </c>
      <c r="N5467" s="464">
        <f t="shared" si="192"/>
        <v>217442</v>
      </c>
    </row>
    <row r="5468" spans="7:14" ht="11.25" customHeight="1" x14ac:dyDescent="0.25">
      <c r="G5468" s="459"/>
      <c r="H5468" s="459">
        <v>5461</v>
      </c>
      <c r="I5468" s="444">
        <f t="shared" ca="1" si="190"/>
        <v>-5867437739727553</v>
      </c>
      <c r="J5468" s="444">
        <f t="array" ref="J5468">IFERROR(INDEX('Retirement Calculator'!K:K,MATCH('Lorri 401b'!N5468,'Retirement Calculator'!A:A,0),0),0)</f>
        <v>0</v>
      </c>
      <c r="K5468" s="444">
        <f t="shared" ca="1" si="188"/>
        <v>-24447657248864.805</v>
      </c>
      <c r="L5468" s="444">
        <f t="shared" ca="1" si="189"/>
        <v>-5891885396976418</v>
      </c>
      <c r="M5468" s="460">
        <f t="shared" si="191"/>
        <v>0.05</v>
      </c>
      <c r="N5468" s="464">
        <f t="shared" si="192"/>
        <v>217473</v>
      </c>
    </row>
    <row r="5469" spans="7:14" ht="11.25" customHeight="1" x14ac:dyDescent="0.25">
      <c r="G5469" s="459"/>
      <c r="H5469" s="459">
        <v>5462</v>
      </c>
      <c r="I5469" s="444">
        <f t="shared" ca="1" si="190"/>
        <v>-5891885396976418</v>
      </c>
      <c r="J5469" s="444">
        <f t="array" ref="J5469">IFERROR(INDEX('Retirement Calculator'!K:K,MATCH('Lorri 401b'!N5469,'Retirement Calculator'!A:A,0),0),0)</f>
        <v>0</v>
      </c>
      <c r="K5469" s="444">
        <f t="shared" ca="1" si="188"/>
        <v>-24549522487401.742</v>
      </c>
      <c r="L5469" s="444">
        <f t="shared" ca="1" si="189"/>
        <v>-5916434919463820</v>
      </c>
      <c r="M5469" s="460">
        <f t="shared" si="191"/>
        <v>0.05</v>
      </c>
      <c r="N5469" s="464">
        <f t="shared" si="192"/>
        <v>217503</v>
      </c>
    </row>
    <row r="5470" spans="7:14" ht="11.25" customHeight="1" x14ac:dyDescent="0.25">
      <c r="G5470" s="459"/>
      <c r="H5470" s="459">
        <v>5463</v>
      </c>
      <c r="I5470" s="444">
        <f t="shared" ca="1" si="190"/>
        <v>-5916434919463820</v>
      </c>
      <c r="J5470" s="444">
        <f t="array" ref="J5470">IFERROR(INDEX('Retirement Calculator'!K:K,MATCH('Lorri 401b'!N5470,'Retirement Calculator'!A:A,0),0),0)</f>
        <v>0</v>
      </c>
      <c r="K5470" s="444">
        <f t="shared" ca="1" si="188"/>
        <v>-24651812164432.582</v>
      </c>
      <c r="L5470" s="444">
        <f t="shared" ca="1" si="189"/>
        <v>-5941086731628253</v>
      </c>
      <c r="M5470" s="460">
        <f t="shared" si="191"/>
        <v>0.05</v>
      </c>
      <c r="N5470" s="464">
        <f t="shared" si="192"/>
        <v>217534</v>
      </c>
    </row>
    <row r="5471" spans="7:14" ht="11.25" customHeight="1" x14ac:dyDescent="0.25">
      <c r="G5471" s="459"/>
      <c r="H5471" s="459">
        <v>5464</v>
      </c>
      <c r="I5471" s="444">
        <f t="shared" ca="1" si="190"/>
        <v>-5941086731628253</v>
      </c>
      <c r="J5471" s="444">
        <f t="array" ref="J5471">IFERROR(INDEX('Retirement Calculator'!K:K,MATCH('Lorri 401b'!N5471,'Retirement Calculator'!A:A,0),0),0)</f>
        <v>0</v>
      </c>
      <c r="K5471" s="444">
        <f t="shared" ca="1" si="188"/>
        <v>-24754528048451.055</v>
      </c>
      <c r="L5471" s="444">
        <f t="shared" ca="1" si="189"/>
        <v>-5965841259676704</v>
      </c>
      <c r="M5471" s="460">
        <f t="shared" si="191"/>
        <v>0.05</v>
      </c>
      <c r="N5471" s="464">
        <f t="shared" si="192"/>
        <v>217565</v>
      </c>
    </row>
    <row r="5472" spans="7:14" ht="11.25" customHeight="1" x14ac:dyDescent="0.25">
      <c r="G5472" s="459"/>
      <c r="H5472" s="459">
        <v>5465</v>
      </c>
      <c r="I5472" s="444">
        <f t="shared" ca="1" si="190"/>
        <v>-5965841259676704</v>
      </c>
      <c r="J5472" s="444">
        <f t="array" ref="J5472">IFERROR(INDEX('Retirement Calculator'!K:K,MATCH('Lorri 401b'!N5472,'Retirement Calculator'!A:A,0),0),0)</f>
        <v>0</v>
      </c>
      <c r="K5472" s="444">
        <f t="shared" ca="1" si="188"/>
        <v>-24857671915319.602</v>
      </c>
      <c r="L5472" s="444">
        <f t="shared" ca="1" si="189"/>
        <v>-5990698931592024</v>
      </c>
      <c r="M5472" s="460">
        <f t="shared" si="191"/>
        <v>0.05</v>
      </c>
      <c r="N5472" s="464">
        <f t="shared" si="192"/>
        <v>217595</v>
      </c>
    </row>
    <row r="5473" spans="7:14" ht="11.25" customHeight="1" x14ac:dyDescent="0.25">
      <c r="G5473" s="459"/>
      <c r="H5473" s="459">
        <v>5466</v>
      </c>
      <c r="I5473" s="444">
        <f t="shared" ca="1" si="190"/>
        <v>-5990698931592024</v>
      </c>
      <c r="J5473" s="444">
        <f t="array" ref="J5473">IFERROR(INDEX('Retirement Calculator'!K:K,MATCH('Lorri 401b'!N5473,'Retirement Calculator'!A:A,0),0),0)</f>
        <v>0</v>
      </c>
      <c r="K5473" s="444">
        <f t="shared" ca="1" si="188"/>
        <v>-24961245548300.102</v>
      </c>
      <c r="L5473" s="444">
        <f t="shared" ca="1" si="189"/>
        <v>-6015660177140324</v>
      </c>
      <c r="M5473" s="460">
        <f t="shared" si="191"/>
        <v>0.05</v>
      </c>
      <c r="N5473" s="464">
        <f t="shared" si="192"/>
        <v>217626</v>
      </c>
    </row>
    <row r="5474" spans="7:14" ht="11.25" customHeight="1" x14ac:dyDescent="0.25">
      <c r="G5474" s="459"/>
      <c r="H5474" s="459">
        <v>5467</v>
      </c>
      <c r="I5474" s="444">
        <f t="shared" ca="1" si="190"/>
        <v>-6015660177140324</v>
      </c>
      <c r="J5474" s="444">
        <f t="array" ref="J5474">IFERROR(INDEX('Retirement Calculator'!K:K,MATCH('Lorri 401b'!N5474,'Retirement Calculator'!A:A,0),0),0)</f>
        <v>0</v>
      </c>
      <c r="K5474" s="444">
        <f t="shared" ca="1" si="188"/>
        <v>-25065250738084.684</v>
      </c>
      <c r="L5474" s="444">
        <f t="shared" ca="1" si="189"/>
        <v>-6040725427878409</v>
      </c>
      <c r="M5474" s="460">
        <f t="shared" si="191"/>
        <v>0.05</v>
      </c>
      <c r="N5474" s="464">
        <f t="shared" si="192"/>
        <v>217656</v>
      </c>
    </row>
    <row r="5475" spans="7:14" ht="11.25" customHeight="1" x14ac:dyDescent="0.25">
      <c r="G5475" s="459"/>
      <c r="H5475" s="459">
        <v>5468</v>
      </c>
      <c r="I5475" s="444">
        <f t="shared" ca="1" si="190"/>
        <v>-6040725427878409</v>
      </c>
      <c r="J5475" s="444">
        <f t="array" ref="J5475">IFERROR(INDEX('Retirement Calculator'!K:K,MATCH('Lorri 401b'!N5475,'Retirement Calculator'!A:A,0),0),0)</f>
        <v>0</v>
      </c>
      <c r="K5475" s="444">
        <f t="shared" ca="1" si="188"/>
        <v>-25169689282826.703</v>
      </c>
      <c r="L5475" s="444">
        <f t="shared" ca="1" si="189"/>
        <v>-6065895117161236</v>
      </c>
      <c r="M5475" s="460">
        <f t="shared" si="191"/>
        <v>0.05</v>
      </c>
      <c r="N5475" s="464">
        <f t="shared" si="192"/>
        <v>217687</v>
      </c>
    </row>
    <row r="5476" spans="7:14" ht="11.25" customHeight="1" x14ac:dyDescent="0.25">
      <c r="G5476" s="459"/>
      <c r="H5476" s="459">
        <v>5469</v>
      </c>
      <c r="I5476" s="444">
        <f t="shared" ca="1" si="190"/>
        <v>-6065895117161236</v>
      </c>
      <c r="J5476" s="444">
        <f t="array" ref="J5476">IFERROR(INDEX('Retirement Calculator'!K:K,MATCH('Lorri 401b'!N5476,'Retirement Calculator'!A:A,0),0),0)</f>
        <v>0</v>
      </c>
      <c r="K5476" s="444">
        <f t="shared" ca="1" si="188"/>
        <v>-25274562988171.816</v>
      </c>
      <c r="L5476" s="444">
        <f t="shared" ca="1" si="189"/>
        <v>-6091169680149408</v>
      </c>
      <c r="M5476" s="460">
        <f t="shared" si="191"/>
        <v>0.05</v>
      </c>
      <c r="N5476" s="464">
        <f t="shared" si="192"/>
        <v>217718</v>
      </c>
    </row>
    <row r="5477" spans="7:14" ht="11.25" customHeight="1" x14ac:dyDescent="0.25">
      <c r="G5477" s="459"/>
      <c r="H5477" s="459">
        <v>5470</v>
      </c>
      <c r="I5477" s="444">
        <f t="shared" ca="1" si="190"/>
        <v>-6091169680149408</v>
      </c>
      <c r="J5477" s="444">
        <f t="array" ref="J5477">IFERROR(INDEX('Retirement Calculator'!K:K,MATCH('Lorri 401b'!N5477,'Retirement Calculator'!A:A,0),0),0)</f>
        <v>0</v>
      </c>
      <c r="K5477" s="444">
        <f t="shared" ca="1" si="188"/>
        <v>-25379873667289.199</v>
      </c>
      <c r="L5477" s="444">
        <f t="shared" ca="1" si="189"/>
        <v>-6116549553816697</v>
      </c>
      <c r="M5477" s="460">
        <f t="shared" si="191"/>
        <v>0.05</v>
      </c>
      <c r="N5477" s="464">
        <f t="shared" si="192"/>
        <v>217747</v>
      </c>
    </row>
    <row r="5478" spans="7:14" ht="11.25" customHeight="1" x14ac:dyDescent="0.25">
      <c r="G5478" s="459"/>
      <c r="H5478" s="459">
        <v>5471</v>
      </c>
      <c r="I5478" s="444">
        <f t="shared" ca="1" si="190"/>
        <v>-6116549553816697</v>
      </c>
      <c r="J5478" s="444">
        <f t="array" ref="J5478">IFERROR(INDEX('Retirement Calculator'!K:K,MATCH('Lorri 401b'!N5478,'Retirement Calculator'!A:A,0),0),0)</f>
        <v>0</v>
      </c>
      <c r="K5478" s="444">
        <f t="shared" ca="1" si="188"/>
        <v>-25485623140902.902</v>
      </c>
      <c r="L5478" s="444">
        <f t="shared" ca="1" si="189"/>
        <v>-6142035176957600</v>
      </c>
      <c r="M5478" s="460">
        <f t="shared" si="191"/>
        <v>0.05</v>
      </c>
      <c r="N5478" s="464">
        <f t="shared" si="192"/>
        <v>217778</v>
      </c>
    </row>
    <row r="5479" spans="7:14" ht="11.25" customHeight="1" x14ac:dyDescent="0.25">
      <c r="G5479" s="459"/>
      <c r="H5479" s="459">
        <v>5472</v>
      </c>
      <c r="I5479" s="444">
        <f t="shared" ca="1" si="190"/>
        <v>-6142035176957600</v>
      </c>
      <c r="J5479" s="444">
        <f t="array" ref="J5479">IFERROR(INDEX('Retirement Calculator'!K:K,MATCH('Lorri 401b'!N5479,'Retirement Calculator'!A:A,0),0),0)</f>
        <v>0</v>
      </c>
      <c r="K5479" s="444">
        <f t="shared" ca="1" si="188"/>
        <v>-25591813237323.332</v>
      </c>
      <c r="L5479" s="444">
        <f t="shared" ca="1" si="189"/>
        <v>-6167626990194923</v>
      </c>
      <c r="M5479" s="460">
        <f t="shared" si="191"/>
        <v>0.05</v>
      </c>
      <c r="N5479" s="464">
        <f t="shared" si="192"/>
        <v>217808</v>
      </c>
    </row>
    <row r="5480" spans="7:14" ht="11.25" customHeight="1" x14ac:dyDescent="0.25">
      <c r="G5480" s="459"/>
      <c r="H5480" s="459">
        <v>5473</v>
      </c>
      <c r="I5480" s="444">
        <f t="shared" ca="1" si="190"/>
        <v>-6167626990194923</v>
      </c>
      <c r="J5480" s="444">
        <f t="array" ref="J5480">IFERROR(INDEX('Retirement Calculator'!K:K,MATCH('Lorri 401b'!N5480,'Retirement Calculator'!A:A,0),0),0)</f>
        <v>0</v>
      </c>
      <c r="K5480" s="444">
        <f t="shared" ca="1" si="188"/>
        <v>-25698445792478.844</v>
      </c>
      <c r="L5480" s="444">
        <f t="shared" ca="1" si="189"/>
        <v>-6193325435987402</v>
      </c>
      <c r="M5480" s="460">
        <f t="shared" si="191"/>
        <v>0.05</v>
      </c>
      <c r="N5480" s="464">
        <f t="shared" si="192"/>
        <v>217839</v>
      </c>
    </row>
    <row r="5481" spans="7:14" ht="11.25" customHeight="1" x14ac:dyDescent="0.25">
      <c r="G5481" s="459"/>
      <c r="H5481" s="459">
        <v>5474</v>
      </c>
      <c r="I5481" s="444">
        <f t="shared" ca="1" si="190"/>
        <v>-6193325435987402</v>
      </c>
      <c r="J5481" s="444">
        <f t="array" ref="J5481">IFERROR(INDEX('Retirement Calculator'!K:K,MATCH('Lorri 401b'!N5481,'Retirement Calculator'!A:A,0),0),0)</f>
        <v>0</v>
      </c>
      <c r="K5481" s="444">
        <f t="shared" ca="1" si="188"/>
        <v>-25805522649947.508</v>
      </c>
      <c r="L5481" s="444">
        <f t="shared" ca="1" si="189"/>
        <v>-6219130958637350</v>
      </c>
      <c r="M5481" s="460">
        <f t="shared" si="191"/>
        <v>0.05</v>
      </c>
      <c r="N5481" s="464">
        <f t="shared" si="192"/>
        <v>217869</v>
      </c>
    </row>
    <row r="5482" spans="7:14" ht="11.25" customHeight="1" x14ac:dyDescent="0.25">
      <c r="G5482" s="459"/>
      <c r="H5482" s="459">
        <v>5475</v>
      </c>
      <c r="I5482" s="444">
        <f t="shared" ca="1" si="190"/>
        <v>-6219130958637350</v>
      </c>
      <c r="J5482" s="444">
        <f t="array" ref="J5482">IFERROR(INDEX('Retirement Calculator'!K:K,MATCH('Lorri 401b'!N5482,'Retirement Calculator'!A:A,0),0),0)</f>
        <v>0</v>
      </c>
      <c r="K5482" s="444">
        <f t="shared" ca="1" si="188"/>
        <v>-25913045660988.957</v>
      </c>
      <c r="L5482" s="444">
        <f t="shared" ca="1" si="189"/>
        <v>-6245044004298339</v>
      </c>
      <c r="M5482" s="460">
        <f t="shared" si="191"/>
        <v>0.05</v>
      </c>
      <c r="N5482" s="464">
        <f t="shared" si="192"/>
        <v>217900</v>
      </c>
    </row>
    <row r="5483" spans="7:14" ht="11.25" customHeight="1" x14ac:dyDescent="0.25">
      <c r="G5483" s="459"/>
      <c r="H5483" s="459">
        <v>5476</v>
      </c>
      <c r="I5483" s="444">
        <f t="shared" ca="1" si="190"/>
        <v>-6245044004298339</v>
      </c>
      <c r="J5483" s="444">
        <f t="array" ref="J5483">IFERROR(INDEX('Retirement Calculator'!K:K,MATCH('Lorri 401b'!N5483,'Retirement Calculator'!A:A,0),0),0)</f>
        <v>0</v>
      </c>
      <c r="K5483" s="444">
        <f t="shared" ca="1" si="188"/>
        <v>-26021016684576.414</v>
      </c>
      <c r="L5483" s="444">
        <f t="shared" ca="1" si="189"/>
        <v>-6271065020982915</v>
      </c>
      <c r="M5483" s="460">
        <f t="shared" si="191"/>
        <v>0.05</v>
      </c>
      <c r="N5483" s="464">
        <f t="shared" si="192"/>
        <v>217931</v>
      </c>
    </row>
    <row r="5484" spans="7:14" ht="11.25" customHeight="1" x14ac:dyDescent="0.25">
      <c r="G5484" s="459"/>
      <c r="H5484" s="459">
        <v>5477</v>
      </c>
      <c r="I5484" s="444">
        <f t="shared" ca="1" si="190"/>
        <v>-6271065020982915</v>
      </c>
      <c r="J5484" s="444">
        <f t="array" ref="J5484">IFERROR(INDEX('Retirement Calculator'!K:K,MATCH('Lorri 401b'!N5484,'Retirement Calculator'!A:A,0),0),0)</f>
        <v>0</v>
      </c>
      <c r="K5484" s="444">
        <f t="shared" ca="1" si="188"/>
        <v>-26129437587428.813</v>
      </c>
      <c r="L5484" s="444">
        <f t="shared" ca="1" si="189"/>
        <v>-6297194458570344</v>
      </c>
      <c r="M5484" s="460">
        <f t="shared" si="191"/>
        <v>0.05</v>
      </c>
      <c r="N5484" s="464">
        <f t="shared" si="192"/>
        <v>217961</v>
      </c>
    </row>
    <row r="5485" spans="7:14" ht="11.25" customHeight="1" x14ac:dyDescent="0.25">
      <c r="G5485" s="459"/>
      <c r="H5485" s="459">
        <v>5478</v>
      </c>
      <c r="I5485" s="444">
        <f t="shared" ca="1" si="190"/>
        <v>-6297194458570344</v>
      </c>
      <c r="J5485" s="444">
        <f t="array" ref="J5485">IFERROR(INDEX('Retirement Calculator'!K:K,MATCH('Lorri 401b'!N5485,'Retirement Calculator'!A:A,0),0),0)</f>
        <v>0</v>
      </c>
      <c r="K5485" s="444">
        <f t="shared" ca="1" si="188"/>
        <v>-26238310244043.102</v>
      </c>
      <c r="L5485" s="444">
        <f t="shared" ca="1" si="189"/>
        <v>-6323432768814387</v>
      </c>
      <c r="M5485" s="460">
        <f t="shared" si="191"/>
        <v>0.05</v>
      </c>
      <c r="N5485" s="464">
        <f t="shared" si="192"/>
        <v>217992</v>
      </c>
    </row>
    <row r="5486" spans="7:14" ht="11.25" customHeight="1" x14ac:dyDescent="0.25">
      <c r="G5486" s="459"/>
      <c r="H5486" s="459">
        <v>5479</v>
      </c>
      <c r="I5486" s="444">
        <f t="shared" ca="1" si="190"/>
        <v>-6323432768814387</v>
      </c>
      <c r="J5486" s="444">
        <f t="array" ref="J5486">IFERROR(INDEX('Retirement Calculator'!K:K,MATCH('Lorri 401b'!N5486,'Retirement Calculator'!A:A,0),0),0)</f>
        <v>0</v>
      </c>
      <c r="K5486" s="444">
        <f t="shared" ca="1" si="188"/>
        <v>-26347636536726.613</v>
      </c>
      <c r="L5486" s="444">
        <f t="shared" ca="1" si="189"/>
        <v>-6349780405351114</v>
      </c>
      <c r="M5486" s="460">
        <f t="shared" si="191"/>
        <v>0.05</v>
      </c>
      <c r="N5486" s="464">
        <f t="shared" si="192"/>
        <v>218022</v>
      </c>
    </row>
    <row r="5487" spans="7:14" ht="11.25" customHeight="1" x14ac:dyDescent="0.25">
      <c r="G5487" s="459"/>
      <c r="H5487" s="459">
        <v>5480</v>
      </c>
      <c r="I5487" s="444">
        <f t="shared" ca="1" si="190"/>
        <v>-6349780405351114</v>
      </c>
      <c r="J5487" s="444">
        <f t="array" ref="J5487">IFERROR(INDEX('Retirement Calculator'!K:K,MATCH('Lorri 401b'!N5487,'Retirement Calculator'!A:A,0),0),0)</f>
        <v>0</v>
      </c>
      <c r="K5487" s="444">
        <f t="shared" ca="1" si="188"/>
        <v>-26457418355629.641</v>
      </c>
      <c r="L5487" s="444">
        <f t="shared" ca="1" si="189"/>
        <v>-6376237823706744</v>
      </c>
      <c r="M5487" s="460">
        <f t="shared" si="191"/>
        <v>0.05</v>
      </c>
      <c r="N5487" s="464">
        <f t="shared" si="192"/>
        <v>218053</v>
      </c>
    </row>
    <row r="5488" spans="7:14" ht="11.25" customHeight="1" x14ac:dyDescent="0.25">
      <c r="G5488" s="459"/>
      <c r="H5488" s="459">
        <v>5481</v>
      </c>
      <c r="I5488" s="444">
        <f t="shared" ca="1" si="190"/>
        <v>-6376237823706744</v>
      </c>
      <c r="J5488" s="444">
        <f t="array" ref="J5488">IFERROR(INDEX('Retirement Calculator'!K:K,MATCH('Lorri 401b'!N5488,'Retirement Calculator'!A:A,0),0),0)</f>
        <v>0</v>
      </c>
      <c r="K5488" s="444">
        <f t="shared" ca="1" si="188"/>
        <v>-26567657598778.102</v>
      </c>
      <c r="L5488" s="444">
        <f t="shared" ca="1" si="189"/>
        <v>-6402805481305522</v>
      </c>
      <c r="M5488" s="460">
        <f t="shared" si="191"/>
        <v>0.05</v>
      </c>
      <c r="N5488" s="464">
        <f t="shared" si="192"/>
        <v>218084</v>
      </c>
    </row>
    <row r="5489" spans="7:14" ht="11.25" customHeight="1" x14ac:dyDescent="0.25">
      <c r="G5489" s="459"/>
      <c r="H5489" s="459">
        <v>5482</v>
      </c>
      <c r="I5489" s="444">
        <f t="shared" ca="1" si="190"/>
        <v>-6402805481305522</v>
      </c>
      <c r="J5489" s="444">
        <f t="array" ref="J5489">IFERROR(INDEX('Retirement Calculator'!K:K,MATCH('Lorri 401b'!N5489,'Retirement Calculator'!A:A,0),0),0)</f>
        <v>0</v>
      </c>
      <c r="K5489" s="444">
        <f t="shared" ca="1" si="188"/>
        <v>-26678356172106.34</v>
      </c>
      <c r="L5489" s="444">
        <f t="shared" ca="1" si="189"/>
        <v>-6429483837477628</v>
      </c>
      <c r="M5489" s="460">
        <f t="shared" si="191"/>
        <v>0.05</v>
      </c>
      <c r="N5489" s="464">
        <f t="shared" si="192"/>
        <v>218112</v>
      </c>
    </row>
    <row r="5490" spans="7:14" ht="11.25" customHeight="1" x14ac:dyDescent="0.25">
      <c r="G5490" s="459"/>
      <c r="H5490" s="459">
        <v>5483</v>
      </c>
      <c r="I5490" s="444">
        <f t="shared" ca="1" si="190"/>
        <v>-6429483837477628</v>
      </c>
      <c r="J5490" s="444">
        <f t="array" ref="J5490">IFERROR(INDEX('Retirement Calculator'!K:K,MATCH('Lorri 401b'!N5490,'Retirement Calculator'!A:A,0),0),0)</f>
        <v>0</v>
      </c>
      <c r="K5490" s="444">
        <f t="shared" ca="1" si="188"/>
        <v>-26789515989490.117</v>
      </c>
      <c r="L5490" s="444">
        <f t="shared" ca="1" si="189"/>
        <v>-6456273353467118</v>
      </c>
      <c r="M5490" s="460">
        <f t="shared" si="191"/>
        <v>0.05</v>
      </c>
      <c r="N5490" s="464">
        <f t="shared" si="192"/>
        <v>218143</v>
      </c>
    </row>
    <row r="5491" spans="7:14" ht="11.25" customHeight="1" x14ac:dyDescent="0.25">
      <c r="G5491" s="459"/>
      <c r="H5491" s="459">
        <v>5484</v>
      </c>
      <c r="I5491" s="444">
        <f t="shared" ca="1" si="190"/>
        <v>-6456273353467118</v>
      </c>
      <c r="J5491" s="444">
        <f t="array" ref="J5491">IFERROR(INDEX('Retirement Calculator'!K:K,MATCH('Lorri 401b'!N5491,'Retirement Calculator'!A:A,0),0),0)</f>
        <v>0</v>
      </c>
      <c r="K5491" s="444">
        <f t="shared" ca="1" si="188"/>
        <v>-26901138972779.656</v>
      </c>
      <c r="L5491" s="444">
        <f t="shared" ca="1" si="189"/>
        <v>-6483174492439898</v>
      </c>
      <c r="M5491" s="460">
        <f t="shared" si="191"/>
        <v>0.05</v>
      </c>
      <c r="N5491" s="464">
        <f t="shared" si="192"/>
        <v>218173</v>
      </c>
    </row>
    <row r="5492" spans="7:14" ht="11.25" customHeight="1" x14ac:dyDescent="0.25">
      <c r="G5492" s="459"/>
      <c r="H5492" s="459">
        <v>5485</v>
      </c>
      <c r="I5492" s="444">
        <f t="shared" ca="1" si="190"/>
        <v>-6483174492439898</v>
      </c>
      <c r="J5492" s="444">
        <f t="array" ref="J5492">IFERROR(INDEX('Retirement Calculator'!K:K,MATCH('Lorri 401b'!N5492,'Retirement Calculator'!A:A,0),0),0)</f>
        <v>0</v>
      </c>
      <c r="K5492" s="444">
        <f t="shared" ca="1" si="188"/>
        <v>-27013227051832.906</v>
      </c>
      <c r="L5492" s="444">
        <f t="shared" ca="1" si="189"/>
        <v>-6510187719491731</v>
      </c>
      <c r="M5492" s="460">
        <f t="shared" si="191"/>
        <v>0.05</v>
      </c>
      <c r="N5492" s="464">
        <f t="shared" si="192"/>
        <v>218204</v>
      </c>
    </row>
    <row r="5493" spans="7:14" ht="11.25" customHeight="1" x14ac:dyDescent="0.25">
      <c r="G5493" s="459"/>
      <c r="H5493" s="459">
        <v>5486</v>
      </c>
      <c r="I5493" s="444">
        <f t="shared" ca="1" si="190"/>
        <v>-6510187719491731</v>
      </c>
      <c r="J5493" s="444">
        <f t="array" ref="J5493">IFERROR(INDEX('Retirement Calculator'!K:K,MATCH('Lorri 401b'!N5493,'Retirement Calculator'!A:A,0),0),0)</f>
        <v>0</v>
      </c>
      <c r="K5493" s="444">
        <f t="shared" ca="1" si="188"/>
        <v>-27125782164548.879</v>
      </c>
      <c r="L5493" s="444">
        <f t="shared" ca="1" si="189"/>
        <v>-6537313501656280</v>
      </c>
      <c r="M5493" s="460">
        <f t="shared" si="191"/>
        <v>0.05</v>
      </c>
      <c r="N5493" s="464">
        <f t="shared" si="192"/>
        <v>218234</v>
      </c>
    </row>
    <row r="5494" spans="7:14" ht="11.25" customHeight="1" x14ac:dyDescent="0.25">
      <c r="G5494" s="459"/>
      <c r="H5494" s="459">
        <v>5487</v>
      </c>
      <c r="I5494" s="444">
        <f t="shared" ca="1" si="190"/>
        <v>-6537313501656280</v>
      </c>
      <c r="J5494" s="444">
        <f t="array" ref="J5494">IFERROR(INDEX('Retirement Calculator'!K:K,MATCH('Lorri 401b'!N5494,'Retirement Calculator'!A:A,0),0),0)</f>
        <v>0</v>
      </c>
      <c r="K5494" s="444">
        <f t="shared" ca="1" si="188"/>
        <v>-27238806256901.168</v>
      </c>
      <c r="L5494" s="444">
        <f t="shared" ca="1" si="189"/>
        <v>-6564552307913181</v>
      </c>
      <c r="M5494" s="460">
        <f t="shared" si="191"/>
        <v>0.05</v>
      </c>
      <c r="N5494" s="464">
        <f t="shared" si="192"/>
        <v>218265</v>
      </c>
    </row>
    <row r="5495" spans="7:14" ht="11.25" customHeight="1" x14ac:dyDescent="0.25">
      <c r="G5495" s="459"/>
      <c r="H5495" s="459">
        <v>5488</v>
      </c>
      <c r="I5495" s="444">
        <f t="shared" ca="1" si="190"/>
        <v>-6564552307913181</v>
      </c>
      <c r="J5495" s="444">
        <f t="array" ref="J5495">IFERROR(INDEX('Retirement Calculator'!K:K,MATCH('Lorri 401b'!N5495,'Retirement Calculator'!A:A,0),0),0)</f>
        <v>0</v>
      </c>
      <c r="K5495" s="444">
        <f t="shared" ca="1" si="188"/>
        <v>-27352301282971.586</v>
      </c>
      <c r="L5495" s="444">
        <f t="shared" ca="1" si="189"/>
        <v>-6591904609196153</v>
      </c>
      <c r="M5495" s="460">
        <f t="shared" si="191"/>
        <v>0.05</v>
      </c>
      <c r="N5495" s="464">
        <f t="shared" si="192"/>
        <v>218296</v>
      </c>
    </row>
    <row r="5496" spans="7:14" ht="11.25" customHeight="1" x14ac:dyDescent="0.25">
      <c r="G5496" s="459"/>
      <c r="H5496" s="459">
        <v>5489</v>
      </c>
      <c r="I5496" s="444">
        <f t="shared" ca="1" si="190"/>
        <v>-6591904609196153</v>
      </c>
      <c r="J5496" s="444">
        <f t="array" ref="J5496">IFERROR(INDEX('Retirement Calculator'!K:K,MATCH('Lorri 401b'!N5496,'Retirement Calculator'!A:A,0),0),0)</f>
        <v>0</v>
      </c>
      <c r="K5496" s="444">
        <f t="shared" ca="1" si="188"/>
        <v>-27466269204983.969</v>
      </c>
      <c r="L5496" s="444">
        <f t="shared" ca="1" si="189"/>
        <v>-6619370878401137</v>
      </c>
      <c r="M5496" s="460">
        <f t="shared" si="191"/>
        <v>0.05</v>
      </c>
      <c r="N5496" s="464">
        <f t="shared" si="192"/>
        <v>218326</v>
      </c>
    </row>
    <row r="5497" spans="7:14" ht="11.25" customHeight="1" x14ac:dyDescent="0.25">
      <c r="G5497" s="459"/>
      <c r="H5497" s="459">
        <v>5490</v>
      </c>
      <c r="I5497" s="444">
        <f t="shared" ca="1" si="190"/>
        <v>-6619370878401137</v>
      </c>
      <c r="J5497" s="444">
        <f t="array" ref="J5497">IFERROR(INDEX('Retirement Calculator'!K:K,MATCH('Lorri 401b'!N5497,'Retirement Calculator'!A:A,0),0),0)</f>
        <v>0</v>
      </c>
      <c r="K5497" s="444">
        <f t="shared" ca="1" si="188"/>
        <v>-27580711993338.07</v>
      </c>
      <c r="L5497" s="444">
        <f t="shared" ca="1" si="189"/>
        <v>-6646951590394475</v>
      </c>
      <c r="M5497" s="460">
        <f t="shared" si="191"/>
        <v>0.05</v>
      </c>
      <c r="N5497" s="464">
        <f t="shared" si="192"/>
        <v>218357</v>
      </c>
    </row>
    <row r="5498" spans="7:14" ht="11.25" customHeight="1" x14ac:dyDescent="0.25">
      <c r="G5498" s="459"/>
      <c r="H5498" s="459">
        <v>5491</v>
      </c>
      <c r="I5498" s="444">
        <f t="shared" ca="1" si="190"/>
        <v>-6646951590394475</v>
      </c>
      <c r="J5498" s="444">
        <f t="array" ref="J5498">IFERROR(INDEX('Retirement Calculator'!K:K,MATCH('Lorri 401b'!N5498,'Retirement Calculator'!A:A,0),0),0)</f>
        <v>0</v>
      </c>
      <c r="K5498" s="444">
        <f t="shared" ca="1" si="188"/>
        <v>-27695631626643.645</v>
      </c>
      <c r="L5498" s="444">
        <f t="shared" ca="1" si="189"/>
        <v>-6674647222021119</v>
      </c>
      <c r="M5498" s="460">
        <f t="shared" si="191"/>
        <v>0.05</v>
      </c>
      <c r="N5498" s="464">
        <f t="shared" si="192"/>
        <v>218387</v>
      </c>
    </row>
    <row r="5499" spans="7:14" ht="11.25" customHeight="1" x14ac:dyDescent="0.25">
      <c r="G5499" s="459"/>
      <c r="H5499" s="459">
        <v>5492</v>
      </c>
      <c r="I5499" s="444">
        <f t="shared" ca="1" si="190"/>
        <v>-6674647222021119</v>
      </c>
      <c r="J5499" s="444">
        <f t="array" ref="J5499">IFERROR(INDEX('Retirement Calculator'!K:K,MATCH('Lorri 401b'!N5499,'Retirement Calculator'!A:A,0),0),0)</f>
        <v>0</v>
      </c>
      <c r="K5499" s="444">
        <f t="shared" ca="1" si="188"/>
        <v>-27811030091754.664</v>
      </c>
      <c r="L5499" s="444">
        <f t="shared" ca="1" si="189"/>
        <v>-6702458252112874</v>
      </c>
      <c r="M5499" s="460">
        <f t="shared" si="191"/>
        <v>0.05</v>
      </c>
      <c r="N5499" s="464">
        <f t="shared" si="192"/>
        <v>218418</v>
      </c>
    </row>
    <row r="5500" spans="7:14" ht="11.25" customHeight="1" x14ac:dyDescent="0.25">
      <c r="G5500" s="459"/>
      <c r="H5500" s="459">
        <v>5493</v>
      </c>
      <c r="I5500" s="444">
        <f t="shared" ca="1" si="190"/>
        <v>-6702458252112874</v>
      </c>
      <c r="J5500" s="444">
        <f t="array" ref="J5500">IFERROR(INDEX('Retirement Calculator'!K:K,MATCH('Lorri 401b'!N5500,'Retirement Calculator'!A:A,0),0),0)</f>
        <v>0</v>
      </c>
      <c r="K5500" s="444">
        <f t="shared" ca="1" si="188"/>
        <v>-27926909383803.641</v>
      </c>
      <c r="L5500" s="444">
        <f t="shared" ca="1" si="189"/>
        <v>-6730385161496678</v>
      </c>
      <c r="M5500" s="460">
        <f t="shared" si="191"/>
        <v>0.05</v>
      </c>
      <c r="N5500" s="464">
        <f t="shared" si="192"/>
        <v>218449</v>
      </c>
    </row>
    <row r="5501" spans="7:14" ht="11.25" customHeight="1" x14ac:dyDescent="0.25">
      <c r="G5501" s="459"/>
      <c r="H5501" s="459">
        <v>5494</v>
      </c>
      <c r="I5501" s="444">
        <f t="shared" ca="1" si="190"/>
        <v>-6730385161496678</v>
      </c>
      <c r="J5501" s="444">
        <f t="array" ref="J5501">IFERROR(INDEX('Retirement Calculator'!K:K,MATCH('Lorri 401b'!N5501,'Retirement Calculator'!A:A,0),0),0)</f>
        <v>0</v>
      </c>
      <c r="K5501" s="444">
        <f t="shared" ca="1" si="188"/>
        <v>-28043271506236.156</v>
      </c>
      <c r="L5501" s="444">
        <f t="shared" ca="1" si="189"/>
        <v>-6758428433002914</v>
      </c>
      <c r="M5501" s="460">
        <f t="shared" si="191"/>
        <v>0.05</v>
      </c>
      <c r="N5501" s="464">
        <f t="shared" si="192"/>
        <v>218477</v>
      </c>
    </row>
    <row r="5502" spans="7:14" ht="11.25" customHeight="1" x14ac:dyDescent="0.25">
      <c r="G5502" s="459"/>
      <c r="H5502" s="459">
        <v>5495</v>
      </c>
      <c r="I5502" s="444">
        <f t="shared" ca="1" si="190"/>
        <v>-6758428433002914</v>
      </c>
      <c r="J5502" s="444">
        <f t="array" ref="J5502">IFERROR(INDEX('Retirement Calculator'!K:K,MATCH('Lorri 401b'!N5502,'Retirement Calculator'!A:A,0),0),0)</f>
        <v>0</v>
      </c>
      <c r="K5502" s="444">
        <f t="shared" ca="1" si="188"/>
        <v>-28160118470845.477</v>
      </c>
      <c r="L5502" s="444">
        <f t="shared" ca="1" si="189"/>
        <v>-6786588551473759</v>
      </c>
      <c r="M5502" s="460">
        <f t="shared" si="191"/>
        <v>0.05</v>
      </c>
      <c r="N5502" s="464">
        <f t="shared" si="192"/>
        <v>218508</v>
      </c>
    </row>
    <row r="5503" spans="7:14" ht="11.25" customHeight="1" x14ac:dyDescent="0.25">
      <c r="G5503" s="459"/>
      <c r="H5503" s="459">
        <v>5496</v>
      </c>
      <c r="I5503" s="444">
        <f t="shared" ca="1" si="190"/>
        <v>-6786588551473759</v>
      </c>
      <c r="J5503" s="444">
        <f t="array" ref="J5503">IFERROR(INDEX('Retirement Calculator'!K:K,MATCH('Lorri 401b'!N5503,'Retirement Calculator'!A:A,0),0),0)</f>
        <v>0</v>
      </c>
      <c r="K5503" s="444">
        <f t="shared" ca="1" si="188"/>
        <v>-28277452297807.328</v>
      </c>
      <c r="L5503" s="444">
        <f t="shared" ca="1" si="189"/>
        <v>-6814866003771566</v>
      </c>
      <c r="M5503" s="460">
        <f t="shared" si="191"/>
        <v>0.05</v>
      </c>
      <c r="N5503" s="464">
        <f t="shared" si="192"/>
        <v>218538</v>
      </c>
    </row>
    <row r="5504" spans="7:14" ht="11.25" customHeight="1" x14ac:dyDescent="0.25">
      <c r="G5504" s="459"/>
      <c r="H5504" s="459">
        <v>5497</v>
      </c>
      <c r="I5504" s="444">
        <f t="shared" ca="1" si="190"/>
        <v>-6814866003771566</v>
      </c>
      <c r="J5504" s="444">
        <f t="array" ref="J5504">IFERROR(INDEX('Retirement Calculator'!K:K,MATCH('Lorri 401b'!N5504,'Retirement Calculator'!A:A,0),0),0)</f>
        <v>0</v>
      </c>
      <c r="K5504" s="444">
        <f t="shared" ca="1" si="188"/>
        <v>-28395275015714.859</v>
      </c>
      <c r="L5504" s="444">
        <f t="shared" ca="1" si="189"/>
        <v>-6843261278787281</v>
      </c>
      <c r="M5504" s="460">
        <f t="shared" si="191"/>
        <v>0.05</v>
      </c>
      <c r="N5504" s="464">
        <f t="shared" si="192"/>
        <v>218569</v>
      </c>
    </row>
    <row r="5505" spans="7:14" ht="11.25" customHeight="1" x14ac:dyDescent="0.25">
      <c r="G5505" s="459"/>
      <c r="H5505" s="459">
        <v>5498</v>
      </c>
      <c r="I5505" s="444">
        <f t="shared" ca="1" si="190"/>
        <v>-6843261278787281</v>
      </c>
      <c r="J5505" s="444">
        <f t="array" ref="J5505">IFERROR(INDEX('Retirement Calculator'!K:K,MATCH('Lorri 401b'!N5505,'Retirement Calculator'!A:A,0),0),0)</f>
        <v>0</v>
      </c>
      <c r="K5505" s="444">
        <f t="shared" ca="1" si="188"/>
        <v>-28513588661613.672</v>
      </c>
      <c r="L5505" s="444">
        <f t="shared" ca="1" si="189"/>
        <v>-6871774867448895</v>
      </c>
      <c r="M5505" s="460">
        <f t="shared" si="191"/>
        <v>0.05</v>
      </c>
      <c r="N5505" s="464">
        <f t="shared" si="192"/>
        <v>218599</v>
      </c>
    </row>
    <row r="5506" spans="7:14" ht="11.25" customHeight="1" x14ac:dyDescent="0.25">
      <c r="G5506" s="459"/>
      <c r="H5506" s="459">
        <v>5499</v>
      </c>
      <c r="I5506" s="444">
        <f t="shared" ca="1" si="190"/>
        <v>-6871774867448895</v>
      </c>
      <c r="J5506" s="444">
        <f t="array" ref="J5506">IFERROR(INDEX('Retirement Calculator'!K:K,MATCH('Lorri 401b'!N5506,'Retirement Calculator'!A:A,0),0),0)</f>
        <v>0</v>
      </c>
      <c r="K5506" s="444">
        <f t="shared" ca="1" si="188"/>
        <v>-28632395281037.063</v>
      </c>
      <c r="L5506" s="444">
        <f t="shared" ca="1" si="189"/>
        <v>-6900407262729932</v>
      </c>
      <c r="M5506" s="460">
        <f t="shared" si="191"/>
        <v>0.05</v>
      </c>
      <c r="N5506" s="464">
        <f t="shared" si="192"/>
        <v>218630</v>
      </c>
    </row>
    <row r="5507" spans="7:14" ht="11.25" customHeight="1" x14ac:dyDescent="0.25">
      <c r="G5507" s="459"/>
      <c r="H5507" s="459">
        <v>5500</v>
      </c>
      <c r="I5507" s="444">
        <f t="shared" ca="1" si="190"/>
        <v>-6900407262729932</v>
      </c>
      <c r="J5507" s="444">
        <f t="array" ref="J5507">IFERROR(INDEX('Retirement Calculator'!K:K,MATCH('Lorri 401b'!N5507,'Retirement Calculator'!A:A,0),0),0)</f>
        <v>0</v>
      </c>
      <c r="K5507" s="444">
        <f t="shared" ca="1" si="188"/>
        <v>-28751696928041.383</v>
      </c>
      <c r="L5507" s="444">
        <f t="shared" ca="1" si="189"/>
        <v>-6929158959657973</v>
      </c>
      <c r="M5507" s="460">
        <f t="shared" si="191"/>
        <v>0.05</v>
      </c>
      <c r="N5507" s="464">
        <f t="shared" si="192"/>
        <v>218661</v>
      </c>
    </row>
    <row r="5508" spans="7:14" ht="11.25" customHeight="1" x14ac:dyDescent="0.25">
      <c r="G5508" s="459"/>
      <c r="H5508" s="459">
        <v>5501</v>
      </c>
      <c r="I5508" s="444">
        <f t="shared" ca="1" si="190"/>
        <v>-6929158959657973</v>
      </c>
      <c r="J5508" s="444">
        <f t="array" ref="J5508">IFERROR(INDEX('Retirement Calculator'!K:K,MATCH('Lorri 401b'!N5508,'Retirement Calculator'!A:A,0),0),0)</f>
        <v>0</v>
      </c>
      <c r="K5508" s="444">
        <f t="shared" ca="1" si="188"/>
        <v>-28871495665241.555</v>
      </c>
      <c r="L5508" s="444">
        <f t="shared" ca="1" si="189"/>
        <v>-6958030455323215</v>
      </c>
      <c r="M5508" s="460">
        <f t="shared" si="191"/>
        <v>0.05</v>
      </c>
      <c r="N5508" s="464">
        <f t="shared" si="192"/>
        <v>218691</v>
      </c>
    </row>
    <row r="5509" spans="7:14" ht="11.25" customHeight="1" x14ac:dyDescent="0.25">
      <c r="G5509" s="459"/>
      <c r="H5509" s="459">
        <v>5502</v>
      </c>
      <c r="I5509" s="444">
        <f t="shared" ca="1" si="190"/>
        <v>-6958030455323215</v>
      </c>
      <c r="J5509" s="444">
        <f t="array" ref="J5509">IFERROR(INDEX('Retirement Calculator'!K:K,MATCH('Lorri 401b'!N5509,'Retirement Calculator'!A:A,0),0),0)</f>
        <v>0</v>
      </c>
      <c r="K5509" s="444">
        <f t="shared" ca="1" si="188"/>
        <v>-28991793563846.73</v>
      </c>
      <c r="L5509" s="444">
        <f t="shared" ca="1" si="189"/>
        <v>-6987022248887062</v>
      </c>
      <c r="M5509" s="460">
        <f t="shared" si="191"/>
        <v>0.05</v>
      </c>
      <c r="N5509" s="464">
        <f t="shared" si="192"/>
        <v>218722</v>
      </c>
    </row>
    <row r="5510" spans="7:14" ht="11.25" customHeight="1" x14ac:dyDescent="0.25">
      <c r="G5510" s="459"/>
      <c r="H5510" s="459">
        <v>5503</v>
      </c>
      <c r="I5510" s="444">
        <f t="shared" ca="1" si="190"/>
        <v>-6987022248887062</v>
      </c>
      <c r="J5510" s="444">
        <f t="array" ref="J5510">IFERROR(INDEX('Retirement Calculator'!K:K,MATCH('Lorri 401b'!N5510,'Retirement Calculator'!A:A,0),0),0)</f>
        <v>0</v>
      </c>
      <c r="K5510" s="444">
        <f t="shared" ca="1" si="188"/>
        <v>-29112592703696.09</v>
      </c>
      <c r="L5510" s="444">
        <f t="shared" ca="1" si="189"/>
        <v>-7016134841590758</v>
      </c>
      <c r="M5510" s="460">
        <f t="shared" si="191"/>
        <v>0.05</v>
      </c>
      <c r="N5510" s="464">
        <f t="shared" si="192"/>
        <v>218752</v>
      </c>
    </row>
    <row r="5511" spans="7:14" ht="11.25" customHeight="1" x14ac:dyDescent="0.25">
      <c r="G5511" s="459"/>
      <c r="H5511" s="459">
        <v>5504</v>
      </c>
      <c r="I5511" s="444">
        <f t="shared" ca="1" si="190"/>
        <v>-7016134841590758</v>
      </c>
      <c r="J5511" s="444">
        <f t="array" ref="J5511">IFERROR(INDEX('Retirement Calculator'!K:K,MATCH('Lorri 401b'!N5511,'Retirement Calculator'!A:A,0),0),0)</f>
        <v>0</v>
      </c>
      <c r="K5511" s="444">
        <f t="shared" ca="1" si="188"/>
        <v>-29233895173294.824</v>
      </c>
      <c r="L5511" s="444">
        <f t="shared" ca="1" si="189"/>
        <v>-7045368736764053</v>
      </c>
      <c r="M5511" s="460">
        <f t="shared" si="191"/>
        <v>0.05</v>
      </c>
      <c r="N5511" s="464">
        <f t="shared" si="192"/>
        <v>218783</v>
      </c>
    </row>
    <row r="5512" spans="7:14" ht="11.25" customHeight="1" x14ac:dyDescent="0.25">
      <c r="G5512" s="459"/>
      <c r="H5512" s="459">
        <v>5505</v>
      </c>
      <c r="I5512" s="444">
        <f t="shared" ca="1" si="190"/>
        <v>-7045368736764053</v>
      </c>
      <c r="J5512" s="444">
        <f t="array" ref="J5512">IFERROR(INDEX('Retirement Calculator'!K:K,MATCH('Lorri 401b'!N5512,'Retirement Calculator'!A:A,0),0),0)</f>
        <v>0</v>
      </c>
      <c r="K5512" s="444">
        <f t="shared" ca="1" si="188"/>
        <v>-29355703069850.215</v>
      </c>
      <c r="L5512" s="444">
        <f t="shared" ca="1" si="189"/>
        <v>-7074724439833903</v>
      </c>
      <c r="M5512" s="460">
        <f t="shared" si="191"/>
        <v>0.05</v>
      </c>
      <c r="N5512" s="464">
        <f t="shared" si="192"/>
        <v>218814</v>
      </c>
    </row>
    <row r="5513" spans="7:14" ht="11.25" customHeight="1" x14ac:dyDescent="0.25">
      <c r="G5513" s="459"/>
      <c r="H5513" s="459">
        <v>5506</v>
      </c>
      <c r="I5513" s="444">
        <f t="shared" ca="1" si="190"/>
        <v>-7074724439833903</v>
      </c>
      <c r="J5513" s="444">
        <f t="array" ref="J5513">IFERROR(INDEX('Retirement Calculator'!K:K,MATCH('Lorri 401b'!N5513,'Retirement Calculator'!A:A,0),0),0)</f>
        <v>0</v>
      </c>
      <c r="K5513" s="444">
        <f t="shared" ca="1" si="188"/>
        <v>-29478018499307.93</v>
      </c>
      <c r="L5513" s="444">
        <f t="shared" ca="1" si="189"/>
        <v>-7104202458333211</v>
      </c>
      <c r="M5513" s="460">
        <f t="shared" si="191"/>
        <v>0.05</v>
      </c>
      <c r="N5513" s="464">
        <f t="shared" si="192"/>
        <v>218842</v>
      </c>
    </row>
    <row r="5514" spans="7:14" ht="11.25" customHeight="1" x14ac:dyDescent="0.25">
      <c r="G5514" s="459"/>
      <c r="H5514" s="459">
        <v>5507</v>
      </c>
      <c r="I5514" s="444">
        <f t="shared" ca="1" si="190"/>
        <v>-7104202458333211</v>
      </c>
      <c r="J5514" s="444">
        <f t="array" ref="J5514">IFERROR(INDEX('Retirement Calculator'!K:K,MATCH('Lorri 401b'!N5514,'Retirement Calculator'!A:A,0),0),0)</f>
        <v>0</v>
      </c>
      <c r="K5514" s="444">
        <f t="shared" ca="1" si="188"/>
        <v>-29600843576388.379</v>
      </c>
      <c r="L5514" s="444">
        <f t="shared" ca="1" si="189"/>
        <v>-7133803301909599</v>
      </c>
      <c r="M5514" s="460">
        <f t="shared" si="191"/>
        <v>0.05</v>
      </c>
      <c r="N5514" s="464">
        <f t="shared" si="192"/>
        <v>218873</v>
      </c>
    </row>
    <row r="5515" spans="7:14" ht="11.25" customHeight="1" x14ac:dyDescent="0.25">
      <c r="G5515" s="459"/>
      <c r="H5515" s="459">
        <v>5508</v>
      </c>
      <c r="I5515" s="444">
        <f t="shared" ca="1" si="190"/>
        <v>-7133803301909599</v>
      </c>
      <c r="J5515" s="444">
        <f t="array" ref="J5515">IFERROR(INDEX('Retirement Calculator'!K:K,MATCH('Lorri 401b'!N5515,'Retirement Calculator'!A:A,0),0),0)</f>
        <v>0</v>
      </c>
      <c r="K5515" s="444">
        <f t="shared" ca="1" si="188"/>
        <v>-29724180424623.328</v>
      </c>
      <c r="L5515" s="444">
        <f t="shared" ca="1" si="189"/>
        <v>-7163527482334222</v>
      </c>
      <c r="M5515" s="460">
        <f t="shared" si="191"/>
        <v>0.05</v>
      </c>
      <c r="N5515" s="464">
        <f t="shared" si="192"/>
        <v>218903</v>
      </c>
    </row>
    <row r="5516" spans="7:14" ht="11.25" customHeight="1" x14ac:dyDescent="0.25">
      <c r="G5516" s="459"/>
      <c r="H5516" s="459">
        <v>5509</v>
      </c>
      <c r="I5516" s="444">
        <f t="shared" ca="1" si="190"/>
        <v>-7163527482334222</v>
      </c>
      <c r="J5516" s="444">
        <f t="array" ref="J5516">IFERROR(INDEX('Retirement Calculator'!K:K,MATCH('Lorri 401b'!N5516,'Retirement Calculator'!A:A,0),0),0)</f>
        <v>0</v>
      </c>
      <c r="K5516" s="444">
        <f t="shared" ca="1" si="188"/>
        <v>-29848031176392.59</v>
      </c>
      <c r="L5516" s="444">
        <f t="shared" ca="1" si="189"/>
        <v>-7193375513510615</v>
      </c>
      <c r="M5516" s="460">
        <f t="shared" si="191"/>
        <v>0.05</v>
      </c>
      <c r="N5516" s="464">
        <f t="shared" si="192"/>
        <v>218934</v>
      </c>
    </row>
    <row r="5517" spans="7:14" ht="11.25" customHeight="1" x14ac:dyDescent="0.25">
      <c r="G5517" s="459"/>
      <c r="H5517" s="459">
        <v>5510</v>
      </c>
      <c r="I5517" s="444">
        <f t="shared" ca="1" si="190"/>
        <v>-7193375513510615</v>
      </c>
      <c r="J5517" s="444">
        <f t="array" ref="J5517">IFERROR(INDEX('Retirement Calculator'!K:K,MATCH('Lorri 401b'!N5517,'Retirement Calculator'!A:A,0),0),0)</f>
        <v>0</v>
      </c>
      <c r="K5517" s="444">
        <f t="shared" ca="1" si="188"/>
        <v>-29972397972960.895</v>
      </c>
      <c r="L5517" s="444">
        <f t="shared" ca="1" si="189"/>
        <v>-7223347911483576</v>
      </c>
      <c r="M5517" s="460">
        <f t="shared" si="191"/>
        <v>0.05</v>
      </c>
      <c r="N5517" s="464">
        <f t="shared" si="192"/>
        <v>218964</v>
      </c>
    </row>
    <row r="5518" spans="7:14" ht="11.25" customHeight="1" x14ac:dyDescent="0.25">
      <c r="G5518" s="459"/>
      <c r="H5518" s="459">
        <v>5511</v>
      </c>
      <c r="I5518" s="444">
        <f t="shared" ca="1" si="190"/>
        <v>-7223347911483576</v>
      </c>
      <c r="J5518" s="444">
        <f t="array" ref="J5518">IFERROR(INDEX('Retirement Calculator'!K:K,MATCH('Lorri 401b'!N5518,'Retirement Calculator'!A:A,0),0),0)</f>
        <v>0</v>
      </c>
      <c r="K5518" s="444">
        <f t="shared" ca="1" si="188"/>
        <v>-30097282964514.898</v>
      </c>
      <c r="L5518" s="444">
        <f t="shared" ca="1" si="189"/>
        <v>-7253445194448091</v>
      </c>
      <c r="M5518" s="460">
        <f t="shared" si="191"/>
        <v>0.05</v>
      </c>
      <c r="N5518" s="464">
        <f t="shared" si="192"/>
        <v>218995</v>
      </c>
    </row>
    <row r="5519" spans="7:14" ht="11.25" customHeight="1" x14ac:dyDescent="0.25">
      <c r="G5519" s="459"/>
      <c r="H5519" s="459">
        <v>5512</v>
      </c>
      <c r="I5519" s="444">
        <f t="shared" ca="1" si="190"/>
        <v>-7253445194448091</v>
      </c>
      <c r="J5519" s="444">
        <f t="array" ref="J5519">IFERROR(INDEX('Retirement Calculator'!K:K,MATCH('Lorri 401b'!N5519,'Retirement Calculator'!A:A,0),0),0)</f>
        <v>0</v>
      </c>
      <c r="K5519" s="444">
        <f t="shared" ca="1" si="188"/>
        <v>-30222688310200.379</v>
      </c>
      <c r="L5519" s="444">
        <f t="shared" ca="1" si="189"/>
        <v>-7283667882758291</v>
      </c>
      <c r="M5519" s="460">
        <f t="shared" si="191"/>
        <v>0.05</v>
      </c>
      <c r="N5519" s="464">
        <f t="shared" si="192"/>
        <v>219026</v>
      </c>
    </row>
    <row r="5520" spans="7:14" ht="11.25" customHeight="1" x14ac:dyDescent="0.25">
      <c r="G5520" s="459"/>
      <c r="H5520" s="459">
        <v>5513</v>
      </c>
      <c r="I5520" s="444">
        <f t="shared" ca="1" si="190"/>
        <v>-7283667882758291</v>
      </c>
      <c r="J5520" s="444">
        <f t="array" ref="J5520">IFERROR(INDEX('Retirement Calculator'!K:K,MATCH('Lorri 401b'!N5520,'Retirement Calculator'!A:A,0),0),0)</f>
        <v>0</v>
      </c>
      <c r="K5520" s="444">
        <f t="shared" ca="1" si="188"/>
        <v>-30348616178159.547</v>
      </c>
      <c r="L5520" s="444">
        <f t="shared" ca="1" si="189"/>
        <v>-7314016498936451</v>
      </c>
      <c r="M5520" s="460">
        <f t="shared" si="191"/>
        <v>0.05</v>
      </c>
      <c r="N5520" s="464">
        <f t="shared" si="192"/>
        <v>219056</v>
      </c>
    </row>
    <row r="5521" spans="7:14" ht="11.25" customHeight="1" x14ac:dyDescent="0.25">
      <c r="G5521" s="459"/>
      <c r="H5521" s="459">
        <v>5514</v>
      </c>
      <c r="I5521" s="444">
        <f t="shared" ca="1" si="190"/>
        <v>-7314016498936451</v>
      </c>
      <c r="J5521" s="444">
        <f t="array" ref="J5521">IFERROR(INDEX('Retirement Calculator'!K:K,MATCH('Lorri 401b'!N5521,'Retirement Calculator'!A:A,0),0),0)</f>
        <v>0</v>
      </c>
      <c r="K5521" s="444">
        <f t="shared" ca="1" si="188"/>
        <v>-30475068745568.551</v>
      </c>
      <c r="L5521" s="444">
        <f t="shared" ca="1" si="189"/>
        <v>-7344491567682020</v>
      </c>
      <c r="M5521" s="460">
        <f t="shared" si="191"/>
        <v>0.05</v>
      </c>
      <c r="N5521" s="464">
        <f t="shared" si="192"/>
        <v>219087</v>
      </c>
    </row>
    <row r="5522" spans="7:14" ht="11.25" customHeight="1" x14ac:dyDescent="0.25">
      <c r="G5522" s="459"/>
      <c r="H5522" s="459">
        <v>5515</v>
      </c>
      <c r="I5522" s="444">
        <f t="shared" ca="1" si="190"/>
        <v>-7344491567682020</v>
      </c>
      <c r="J5522" s="444">
        <f t="array" ref="J5522">IFERROR(INDEX('Retirement Calculator'!K:K,MATCH('Lorri 401b'!N5522,'Retirement Calculator'!A:A,0),0),0)</f>
        <v>0</v>
      </c>
      <c r="K5522" s="444">
        <f t="shared" ca="1" si="188"/>
        <v>-30602048198675.082</v>
      </c>
      <c r="L5522" s="444">
        <f t="shared" ca="1" si="189"/>
        <v>-7375093615880695</v>
      </c>
      <c r="M5522" s="460">
        <f t="shared" si="191"/>
        <v>0.05</v>
      </c>
      <c r="N5522" s="464">
        <f t="shared" si="192"/>
        <v>219117</v>
      </c>
    </row>
    <row r="5523" spans="7:14" ht="11.25" customHeight="1" x14ac:dyDescent="0.25">
      <c r="G5523" s="459"/>
      <c r="H5523" s="459">
        <v>5516</v>
      </c>
      <c r="I5523" s="444">
        <f t="shared" ca="1" si="190"/>
        <v>-7375093615880695</v>
      </c>
      <c r="J5523" s="444">
        <f t="array" ref="J5523">IFERROR(INDEX('Retirement Calculator'!K:K,MATCH('Lorri 401b'!N5523,'Retirement Calculator'!A:A,0),0),0)</f>
        <v>0</v>
      </c>
      <c r="K5523" s="444">
        <f t="shared" ca="1" si="188"/>
        <v>-30729556732836.23</v>
      </c>
      <c r="L5523" s="444">
        <f t="shared" ca="1" si="189"/>
        <v>-7405823172613531</v>
      </c>
      <c r="M5523" s="460">
        <f t="shared" si="191"/>
        <v>0.05</v>
      </c>
      <c r="N5523" s="464">
        <f t="shared" si="192"/>
        <v>219148</v>
      </c>
    </row>
    <row r="5524" spans="7:14" ht="11.25" customHeight="1" x14ac:dyDescent="0.25">
      <c r="G5524" s="459"/>
      <c r="H5524" s="459">
        <v>5517</v>
      </c>
      <c r="I5524" s="444">
        <f t="shared" ca="1" si="190"/>
        <v>-7405823172613531</v>
      </c>
      <c r="J5524" s="444">
        <f t="array" ref="J5524">IFERROR(INDEX('Retirement Calculator'!K:K,MATCH('Lorri 401b'!N5524,'Retirement Calculator'!A:A,0),0),0)</f>
        <v>0</v>
      </c>
      <c r="K5524" s="444">
        <f t="shared" ca="1" si="188"/>
        <v>-30857596552556.375</v>
      </c>
      <c r="L5524" s="444">
        <f t="shared" ca="1" si="189"/>
        <v>-7436680769166087</v>
      </c>
      <c r="M5524" s="460">
        <f t="shared" si="191"/>
        <v>0.05</v>
      </c>
      <c r="N5524" s="464">
        <f t="shared" si="192"/>
        <v>219179</v>
      </c>
    </row>
    <row r="5525" spans="7:14" ht="11.25" customHeight="1" x14ac:dyDescent="0.25">
      <c r="G5525" s="459"/>
      <c r="H5525" s="459">
        <v>5518</v>
      </c>
      <c r="I5525" s="444">
        <f t="shared" ca="1" si="190"/>
        <v>-7436680769166087</v>
      </c>
      <c r="J5525" s="444">
        <f t="array" ref="J5525">IFERROR(INDEX('Retirement Calculator'!K:K,MATCH('Lorri 401b'!N5525,'Retirement Calculator'!A:A,0),0),0)</f>
        <v>0</v>
      </c>
      <c r="K5525" s="444">
        <f t="shared" ca="1" si="188"/>
        <v>-30986169871525.359</v>
      </c>
      <c r="L5525" s="444">
        <f t="shared" ca="1" si="189"/>
        <v>-7467666939037612</v>
      </c>
      <c r="M5525" s="460">
        <f t="shared" si="191"/>
        <v>0.05</v>
      </c>
      <c r="N5525" s="464">
        <f t="shared" si="192"/>
        <v>219207</v>
      </c>
    </row>
    <row r="5526" spans="7:14" ht="11.25" customHeight="1" x14ac:dyDescent="0.25">
      <c r="G5526" s="459"/>
      <c r="H5526" s="459">
        <v>5519</v>
      </c>
      <c r="I5526" s="444">
        <f t="shared" ca="1" si="190"/>
        <v>-7467666939037612</v>
      </c>
      <c r="J5526" s="444">
        <f t="array" ref="J5526">IFERROR(INDEX('Retirement Calculator'!K:K,MATCH('Lorri 401b'!N5526,'Retirement Calculator'!A:A,0),0),0)</f>
        <v>0</v>
      </c>
      <c r="K5526" s="444">
        <f t="shared" ca="1" si="188"/>
        <v>-31115278912656.715</v>
      </c>
      <c r="L5526" s="444">
        <f t="shared" ca="1" si="189"/>
        <v>-7498782217950269</v>
      </c>
      <c r="M5526" s="460">
        <f t="shared" si="191"/>
        <v>0.05</v>
      </c>
      <c r="N5526" s="464">
        <f t="shared" si="192"/>
        <v>219238</v>
      </c>
    </row>
    <row r="5527" spans="7:14" ht="11.25" customHeight="1" x14ac:dyDescent="0.25">
      <c r="G5527" s="459"/>
      <c r="H5527" s="459">
        <v>5520</v>
      </c>
      <c r="I5527" s="444">
        <f t="shared" ca="1" si="190"/>
        <v>-7498782217950269</v>
      </c>
      <c r="J5527" s="444">
        <f t="array" ref="J5527">IFERROR(INDEX('Retirement Calculator'!K:K,MATCH('Lorri 401b'!N5527,'Retirement Calculator'!A:A,0),0),0)</f>
        <v>0</v>
      </c>
      <c r="K5527" s="444">
        <f t="shared" ca="1" si="188"/>
        <v>-31244925908126.121</v>
      </c>
      <c r="L5527" s="444">
        <f t="shared" ca="1" si="189"/>
        <v>-7530027143858395</v>
      </c>
      <c r="M5527" s="460">
        <f t="shared" si="191"/>
        <v>0.05</v>
      </c>
      <c r="N5527" s="464">
        <f t="shared" si="192"/>
        <v>219268</v>
      </c>
    </row>
    <row r="5528" spans="7:14" ht="11.25" customHeight="1" x14ac:dyDescent="0.25">
      <c r="G5528" s="459"/>
      <c r="H5528" s="459">
        <v>5521</v>
      </c>
      <c r="I5528" s="444">
        <f t="shared" ca="1" si="190"/>
        <v>-7530027143858395</v>
      </c>
      <c r="J5528" s="444">
        <f t="array" ref="J5528">IFERROR(INDEX('Retirement Calculator'!K:K,MATCH('Lorri 401b'!N5528,'Retirement Calculator'!A:A,0),0),0)</f>
        <v>0</v>
      </c>
      <c r="K5528" s="444">
        <f t="shared" ca="1" si="188"/>
        <v>-31375113099409.98</v>
      </c>
      <c r="L5528" s="444">
        <f t="shared" ca="1" si="189"/>
        <v>-7561402256957805</v>
      </c>
      <c r="M5528" s="460">
        <f t="shared" si="191"/>
        <v>0.05</v>
      </c>
      <c r="N5528" s="464">
        <f t="shared" si="192"/>
        <v>219299</v>
      </c>
    </row>
    <row r="5529" spans="7:14" ht="11.25" customHeight="1" x14ac:dyDescent="0.25">
      <c r="G5529" s="459"/>
      <c r="H5529" s="459">
        <v>5522</v>
      </c>
      <c r="I5529" s="444">
        <f t="shared" ca="1" si="190"/>
        <v>-7561402256957805</v>
      </c>
      <c r="J5529" s="444">
        <f t="array" ref="J5529">IFERROR(INDEX('Retirement Calculator'!K:K,MATCH('Lorri 401b'!N5529,'Retirement Calculator'!A:A,0),0),0)</f>
        <v>0</v>
      </c>
      <c r="K5529" s="444">
        <f t="shared" ca="1" si="188"/>
        <v>-31505842737324.191</v>
      </c>
      <c r="L5529" s="444">
        <f t="shared" ca="1" si="189"/>
        <v>-7592908099695129</v>
      </c>
      <c r="M5529" s="460">
        <f t="shared" si="191"/>
        <v>0.05</v>
      </c>
      <c r="N5529" s="464">
        <f t="shared" si="192"/>
        <v>219329</v>
      </c>
    </row>
    <row r="5530" spans="7:14" ht="11.25" customHeight="1" x14ac:dyDescent="0.25">
      <c r="G5530" s="459"/>
      <c r="H5530" s="459">
        <v>5523</v>
      </c>
      <c r="I5530" s="444">
        <f t="shared" ca="1" si="190"/>
        <v>-7592908099695129</v>
      </c>
      <c r="J5530" s="444">
        <f t="array" ref="J5530">IFERROR(INDEX('Retirement Calculator'!K:K,MATCH('Lorri 401b'!N5530,'Retirement Calculator'!A:A,0),0),0)</f>
        <v>0</v>
      </c>
      <c r="K5530" s="444">
        <f t="shared" ca="1" si="188"/>
        <v>-31637117082063.035</v>
      </c>
      <c r="L5530" s="444">
        <f t="shared" ca="1" si="189"/>
        <v>-7624545216777192</v>
      </c>
      <c r="M5530" s="460">
        <f t="shared" si="191"/>
        <v>0.05</v>
      </c>
      <c r="N5530" s="464">
        <f t="shared" si="192"/>
        <v>219360</v>
      </c>
    </row>
    <row r="5531" spans="7:14" ht="11.25" customHeight="1" x14ac:dyDescent="0.25">
      <c r="G5531" s="459"/>
      <c r="H5531" s="459">
        <v>5524</v>
      </c>
      <c r="I5531" s="444">
        <f t="shared" ca="1" si="190"/>
        <v>-7624545216777192</v>
      </c>
      <c r="J5531" s="444">
        <f t="array" ref="J5531">IFERROR(INDEX('Retirement Calculator'!K:K,MATCH('Lorri 401b'!N5531,'Retirement Calculator'!A:A,0),0),0)</f>
        <v>0</v>
      </c>
      <c r="K5531" s="444">
        <f t="shared" ca="1" si="188"/>
        <v>-31768938403238.301</v>
      </c>
      <c r="L5531" s="444">
        <f t="shared" ca="1" si="189"/>
        <v>-7656314155180430</v>
      </c>
      <c r="M5531" s="460">
        <f t="shared" si="191"/>
        <v>0.05</v>
      </c>
      <c r="N5531" s="464">
        <f t="shared" si="192"/>
        <v>219391</v>
      </c>
    </row>
    <row r="5532" spans="7:14" ht="11.25" customHeight="1" x14ac:dyDescent="0.25">
      <c r="G5532" s="459"/>
      <c r="H5532" s="459">
        <v>5525</v>
      </c>
      <c r="I5532" s="444">
        <f t="shared" ca="1" si="190"/>
        <v>-7656314155180430</v>
      </c>
      <c r="J5532" s="444">
        <f t="array" ref="J5532">IFERROR(INDEX('Retirement Calculator'!K:K,MATCH('Lorri 401b'!N5532,'Retirement Calculator'!A:A,0),0),0)</f>
        <v>0</v>
      </c>
      <c r="K5532" s="444">
        <f t="shared" ca="1" si="188"/>
        <v>-31901308979918.457</v>
      </c>
      <c r="L5532" s="444">
        <f t="shared" ca="1" si="189"/>
        <v>-7688215464160348</v>
      </c>
      <c r="M5532" s="460">
        <f t="shared" si="191"/>
        <v>0.05</v>
      </c>
      <c r="N5532" s="464">
        <f t="shared" si="192"/>
        <v>219421</v>
      </c>
    </row>
    <row r="5533" spans="7:14" ht="11.25" customHeight="1" x14ac:dyDescent="0.25">
      <c r="G5533" s="459"/>
      <c r="H5533" s="459">
        <v>5526</v>
      </c>
      <c r="I5533" s="444">
        <f t="shared" ca="1" si="190"/>
        <v>-7688215464160348</v>
      </c>
      <c r="J5533" s="444">
        <f t="array" ref="J5533">IFERROR(INDEX('Retirement Calculator'!K:K,MATCH('Lorri 401b'!N5533,'Retirement Calculator'!A:A,0),0),0)</f>
        <v>0</v>
      </c>
      <c r="K5533" s="444">
        <f t="shared" ca="1" si="188"/>
        <v>-32034231100668.121</v>
      </c>
      <c r="L5533" s="444">
        <f t="shared" ca="1" si="189"/>
        <v>-7720249695261016</v>
      </c>
      <c r="M5533" s="460">
        <f t="shared" si="191"/>
        <v>0.05</v>
      </c>
      <c r="N5533" s="464">
        <f t="shared" si="192"/>
        <v>219452</v>
      </c>
    </row>
    <row r="5534" spans="7:14" ht="11.25" customHeight="1" x14ac:dyDescent="0.25">
      <c r="G5534" s="459"/>
      <c r="H5534" s="459">
        <v>5527</v>
      </c>
      <c r="I5534" s="444">
        <f t="shared" ca="1" si="190"/>
        <v>-7720249695261016</v>
      </c>
      <c r="J5534" s="444">
        <f t="array" ref="J5534">IFERROR(INDEX('Retirement Calculator'!K:K,MATCH('Lorri 401b'!N5534,'Retirement Calculator'!A:A,0),0),0)</f>
        <v>0</v>
      </c>
      <c r="K5534" s="444">
        <f t="shared" ca="1" si="188"/>
        <v>-32167707063587.563</v>
      </c>
      <c r="L5534" s="444">
        <f t="shared" ca="1" si="189"/>
        <v>-7752417402324604</v>
      </c>
      <c r="M5534" s="460">
        <f t="shared" si="191"/>
        <v>0.05</v>
      </c>
      <c r="N5534" s="464">
        <f t="shared" si="192"/>
        <v>219482</v>
      </c>
    </row>
    <row r="5535" spans="7:14" ht="11.25" customHeight="1" x14ac:dyDescent="0.25">
      <c r="G5535" s="459"/>
      <c r="H5535" s="459">
        <v>5528</v>
      </c>
      <c r="I5535" s="444">
        <f t="shared" ca="1" si="190"/>
        <v>-7752417402324604</v>
      </c>
      <c r="J5535" s="444">
        <f t="array" ref="J5535">IFERROR(INDEX('Retirement Calculator'!K:K,MATCH('Lorri 401b'!N5535,'Retirement Calculator'!A:A,0),0),0)</f>
        <v>0</v>
      </c>
      <c r="K5535" s="444">
        <f t="shared" ca="1" si="188"/>
        <v>-32301739176352.516</v>
      </c>
      <c r="L5535" s="444">
        <f t="shared" ca="1" si="189"/>
        <v>-7784719141500957</v>
      </c>
      <c r="M5535" s="460">
        <f t="shared" si="191"/>
        <v>0.05</v>
      </c>
      <c r="N5535" s="464">
        <f t="shared" si="192"/>
        <v>219513</v>
      </c>
    </row>
    <row r="5536" spans="7:14" ht="11.25" customHeight="1" x14ac:dyDescent="0.25">
      <c r="G5536" s="459"/>
      <c r="H5536" s="459">
        <v>5529</v>
      </c>
      <c r="I5536" s="444">
        <f t="shared" ca="1" si="190"/>
        <v>-7784719141500957</v>
      </c>
      <c r="J5536" s="444">
        <f t="array" ref="J5536">IFERROR(INDEX('Retirement Calculator'!K:K,MATCH('Lorri 401b'!N5536,'Retirement Calculator'!A:A,0),0),0)</f>
        <v>0</v>
      </c>
      <c r="K5536" s="444">
        <f t="shared" ca="1" si="188"/>
        <v>-32436329756253.988</v>
      </c>
      <c r="L5536" s="444">
        <f t="shared" ca="1" si="189"/>
        <v>-7817155471257211</v>
      </c>
      <c r="M5536" s="460">
        <f t="shared" si="191"/>
        <v>0.05</v>
      </c>
      <c r="N5536" s="464">
        <f t="shared" si="192"/>
        <v>219544</v>
      </c>
    </row>
    <row r="5537" spans="7:14" ht="11.25" customHeight="1" x14ac:dyDescent="0.25">
      <c r="G5537" s="459"/>
      <c r="H5537" s="459">
        <v>5530</v>
      </c>
      <c r="I5537" s="444">
        <f t="shared" ca="1" si="190"/>
        <v>-7817155471257211</v>
      </c>
      <c r="J5537" s="444">
        <f t="array" ref="J5537">IFERROR(INDEX('Retirement Calculator'!K:K,MATCH('Lorri 401b'!N5537,'Retirement Calculator'!A:A,0),0),0)</f>
        <v>0</v>
      </c>
      <c r="K5537" s="444">
        <f t="shared" ca="1" si="188"/>
        <v>-32571481130238.379</v>
      </c>
      <c r="L5537" s="444">
        <f t="shared" ca="1" si="189"/>
        <v>-7849726952387449</v>
      </c>
      <c r="M5537" s="460">
        <f t="shared" si="191"/>
        <v>0.05</v>
      </c>
      <c r="N5537" s="464">
        <f t="shared" si="192"/>
        <v>219572</v>
      </c>
    </row>
    <row r="5538" spans="7:14" ht="11.25" customHeight="1" x14ac:dyDescent="0.25">
      <c r="G5538" s="459"/>
      <c r="H5538" s="459">
        <v>5531</v>
      </c>
      <c r="I5538" s="444">
        <f t="shared" ca="1" si="190"/>
        <v>-7849726952387449</v>
      </c>
      <c r="J5538" s="444">
        <f t="array" ref="J5538">IFERROR(INDEX('Retirement Calculator'!K:K,MATCH('Lorri 401b'!N5538,'Retirement Calculator'!A:A,0),0),0)</f>
        <v>0</v>
      </c>
      <c r="K5538" s="444">
        <f t="shared" ca="1" si="188"/>
        <v>-32707195634947.703</v>
      </c>
      <c r="L5538" s="444">
        <f t="shared" ca="1" si="189"/>
        <v>-7882434148022397</v>
      </c>
      <c r="M5538" s="460">
        <f t="shared" si="191"/>
        <v>0.05</v>
      </c>
      <c r="N5538" s="464">
        <f t="shared" si="192"/>
        <v>219603</v>
      </c>
    </row>
    <row r="5539" spans="7:14" ht="11.25" customHeight="1" x14ac:dyDescent="0.25">
      <c r="G5539" s="459"/>
      <c r="H5539" s="459">
        <v>5532</v>
      </c>
      <c r="I5539" s="444">
        <f t="shared" ca="1" si="190"/>
        <v>-7882434148022397</v>
      </c>
      <c r="J5539" s="444">
        <f t="array" ref="J5539">IFERROR(INDEX('Retirement Calculator'!K:K,MATCH('Lorri 401b'!N5539,'Retirement Calculator'!A:A,0),0),0)</f>
        <v>0</v>
      </c>
      <c r="K5539" s="444">
        <f t="shared" ca="1" si="188"/>
        <v>-32843475616759.988</v>
      </c>
      <c r="L5539" s="444">
        <f t="shared" ca="1" si="189"/>
        <v>-7915277623639157</v>
      </c>
      <c r="M5539" s="460">
        <f t="shared" si="191"/>
        <v>0.05</v>
      </c>
      <c r="N5539" s="464">
        <f t="shared" si="192"/>
        <v>219633</v>
      </c>
    </row>
    <row r="5540" spans="7:14" ht="11.25" customHeight="1" x14ac:dyDescent="0.25">
      <c r="G5540" s="459"/>
      <c r="H5540" s="459">
        <v>5533</v>
      </c>
      <c r="I5540" s="444">
        <f t="shared" ca="1" si="190"/>
        <v>-7915277623639157</v>
      </c>
      <c r="J5540" s="444">
        <f t="array" ref="J5540">IFERROR(INDEX('Retirement Calculator'!K:K,MATCH('Lorri 401b'!N5540,'Retirement Calculator'!A:A,0),0),0)</f>
        <v>0</v>
      </c>
      <c r="K5540" s="444">
        <f t="shared" ca="1" si="188"/>
        <v>-32980323431829.82</v>
      </c>
      <c r="L5540" s="444">
        <f t="shared" ca="1" si="189"/>
        <v>-7948257947070987</v>
      </c>
      <c r="M5540" s="460">
        <f t="shared" si="191"/>
        <v>0.05</v>
      </c>
      <c r="N5540" s="464">
        <f t="shared" si="192"/>
        <v>219664</v>
      </c>
    </row>
    <row r="5541" spans="7:14" ht="11.25" customHeight="1" x14ac:dyDescent="0.25">
      <c r="G5541" s="459"/>
      <c r="H5541" s="459">
        <v>5534</v>
      </c>
      <c r="I5541" s="444">
        <f t="shared" ca="1" si="190"/>
        <v>-7948257947070987</v>
      </c>
      <c r="J5541" s="444">
        <f t="array" ref="J5541">IFERROR(INDEX('Retirement Calculator'!K:K,MATCH('Lorri 401b'!N5541,'Retirement Calculator'!A:A,0),0),0)</f>
        <v>0</v>
      </c>
      <c r="K5541" s="444">
        <f t="shared" ca="1" si="188"/>
        <v>-33117741446129.113</v>
      </c>
      <c r="L5541" s="444">
        <f t="shared" ca="1" si="189"/>
        <v>-7981375688517116</v>
      </c>
      <c r="M5541" s="460">
        <f t="shared" si="191"/>
        <v>0.05</v>
      </c>
      <c r="N5541" s="464">
        <f t="shared" si="192"/>
        <v>219694</v>
      </c>
    </row>
    <row r="5542" spans="7:14" ht="11.25" customHeight="1" x14ac:dyDescent="0.25">
      <c r="G5542" s="459"/>
      <c r="H5542" s="459">
        <v>5535</v>
      </c>
      <c r="I5542" s="444">
        <f t="shared" ca="1" si="190"/>
        <v>-7981375688517116</v>
      </c>
      <c r="J5542" s="444">
        <f t="array" ref="J5542">IFERROR(INDEX('Retirement Calculator'!K:K,MATCH('Lorri 401b'!N5542,'Retirement Calculator'!A:A,0),0),0)</f>
        <v>0</v>
      </c>
      <c r="K5542" s="444">
        <f t="shared" ca="1" si="188"/>
        <v>-33255732035487.984</v>
      </c>
      <c r="L5542" s="444">
        <f t="shared" ca="1" si="189"/>
        <v>-8014631420552604</v>
      </c>
      <c r="M5542" s="460">
        <f t="shared" si="191"/>
        <v>0.05</v>
      </c>
      <c r="N5542" s="464">
        <f t="shared" si="192"/>
        <v>219725</v>
      </c>
    </row>
    <row r="5543" spans="7:14" ht="11.25" customHeight="1" x14ac:dyDescent="0.25">
      <c r="G5543" s="459"/>
      <c r="H5543" s="459">
        <v>5536</v>
      </c>
      <c r="I5543" s="444">
        <f t="shared" ca="1" si="190"/>
        <v>-8014631420552604</v>
      </c>
      <c r="J5543" s="444">
        <f t="array" ref="J5543">IFERROR(INDEX('Retirement Calculator'!K:K,MATCH('Lorri 401b'!N5543,'Retirement Calculator'!A:A,0),0),0)</f>
        <v>0</v>
      </c>
      <c r="K5543" s="444">
        <f t="shared" ca="1" si="188"/>
        <v>-33394297585635.848</v>
      </c>
      <c r="L5543" s="444">
        <f t="shared" ca="1" si="189"/>
        <v>-8048025718138240</v>
      </c>
      <c r="M5543" s="460">
        <f t="shared" si="191"/>
        <v>0.05</v>
      </c>
      <c r="N5543" s="464">
        <f t="shared" si="192"/>
        <v>219756</v>
      </c>
    </row>
    <row r="5544" spans="7:14" ht="11.25" customHeight="1" x14ac:dyDescent="0.25">
      <c r="G5544" s="459"/>
      <c r="H5544" s="459">
        <v>5537</v>
      </c>
      <c r="I5544" s="444">
        <f t="shared" ca="1" si="190"/>
        <v>-8048025718138240</v>
      </c>
      <c r="J5544" s="444">
        <f t="array" ref="J5544">IFERROR(INDEX('Retirement Calculator'!K:K,MATCH('Lorri 401b'!N5544,'Retirement Calculator'!A:A,0),0),0)</f>
        <v>0</v>
      </c>
      <c r="K5544" s="444">
        <f t="shared" ca="1" si="188"/>
        <v>-33533440492242.672</v>
      </c>
      <c r="L5544" s="444">
        <f t="shared" ca="1" si="189"/>
        <v>-8081559158630483</v>
      </c>
      <c r="M5544" s="460">
        <f t="shared" si="191"/>
        <v>0.05</v>
      </c>
      <c r="N5544" s="464">
        <f t="shared" si="192"/>
        <v>219786</v>
      </c>
    </row>
    <row r="5545" spans="7:14" ht="11.25" customHeight="1" x14ac:dyDescent="0.25">
      <c r="G5545" s="459"/>
      <c r="H5545" s="459">
        <v>5538</v>
      </c>
      <c r="I5545" s="444">
        <f t="shared" ca="1" si="190"/>
        <v>-8081559158630483</v>
      </c>
      <c r="J5545" s="444">
        <f t="array" ref="J5545">IFERROR(INDEX('Retirement Calculator'!K:K,MATCH('Lorri 401b'!N5545,'Retirement Calculator'!A:A,0),0),0)</f>
        <v>0</v>
      </c>
      <c r="K5545" s="444">
        <f t="shared" ca="1" si="188"/>
        <v>-33673163160960.344</v>
      </c>
      <c r="L5545" s="444">
        <f t="shared" ca="1" si="189"/>
        <v>-8115232321791443</v>
      </c>
      <c r="M5545" s="460">
        <f t="shared" si="191"/>
        <v>0.05</v>
      </c>
      <c r="N5545" s="464">
        <f t="shared" si="192"/>
        <v>219817</v>
      </c>
    </row>
    <row r="5546" spans="7:14" ht="11.25" customHeight="1" x14ac:dyDescent="0.25">
      <c r="G5546" s="459"/>
      <c r="H5546" s="459">
        <v>5539</v>
      </c>
      <c r="I5546" s="444">
        <f t="shared" ca="1" si="190"/>
        <v>-8115232321791443</v>
      </c>
      <c r="J5546" s="444">
        <f t="array" ref="J5546">IFERROR(INDEX('Retirement Calculator'!K:K,MATCH('Lorri 401b'!N5546,'Retirement Calculator'!A:A,0),0),0)</f>
        <v>0</v>
      </c>
      <c r="K5546" s="444">
        <f t="shared" ca="1" si="188"/>
        <v>-33813468007464.344</v>
      </c>
      <c r="L5546" s="444">
        <f t="shared" ca="1" si="189"/>
        <v>-8149045789798907</v>
      </c>
      <c r="M5546" s="460">
        <f t="shared" si="191"/>
        <v>0.05</v>
      </c>
      <c r="N5546" s="464">
        <f t="shared" si="192"/>
        <v>219847</v>
      </c>
    </row>
    <row r="5547" spans="7:14" ht="11.25" customHeight="1" x14ac:dyDescent="0.25">
      <c r="G5547" s="459"/>
      <c r="H5547" s="459">
        <v>5540</v>
      </c>
      <c r="I5547" s="444">
        <f t="shared" ca="1" si="190"/>
        <v>-8149045789798907</v>
      </c>
      <c r="J5547" s="444">
        <f t="array" ref="J5547">IFERROR(INDEX('Retirement Calculator'!K:K,MATCH('Lorri 401b'!N5547,'Retirement Calculator'!A:A,0),0),0)</f>
        <v>0</v>
      </c>
      <c r="K5547" s="444">
        <f t="shared" ca="1" si="188"/>
        <v>-33954357457495.445</v>
      </c>
      <c r="L5547" s="444">
        <f t="shared" ca="1" si="189"/>
        <v>-8183000147256402</v>
      </c>
      <c r="M5547" s="460">
        <f t="shared" si="191"/>
        <v>0.05</v>
      </c>
      <c r="N5547" s="464">
        <f t="shared" si="192"/>
        <v>219878</v>
      </c>
    </row>
    <row r="5548" spans="7:14" ht="11.25" customHeight="1" x14ac:dyDescent="0.25">
      <c r="G5548" s="459"/>
      <c r="H5548" s="459">
        <v>5541</v>
      </c>
      <c r="I5548" s="444">
        <f t="shared" ca="1" si="190"/>
        <v>-8183000147256402</v>
      </c>
      <c r="J5548" s="444">
        <f t="array" ref="J5548">IFERROR(INDEX('Retirement Calculator'!K:K,MATCH('Lorri 401b'!N5548,'Retirement Calculator'!A:A,0),0),0)</f>
        <v>0</v>
      </c>
      <c r="K5548" s="444">
        <f t="shared" ca="1" si="188"/>
        <v>-34095833946901.676</v>
      </c>
      <c r="L5548" s="444">
        <f t="shared" ca="1" si="189"/>
        <v>-8217095981203304</v>
      </c>
      <c r="M5548" s="460">
        <f t="shared" si="191"/>
        <v>0.05</v>
      </c>
      <c r="N5548" s="464">
        <f t="shared" si="192"/>
        <v>219909</v>
      </c>
    </row>
    <row r="5549" spans="7:14" ht="11.25" customHeight="1" x14ac:dyDescent="0.25">
      <c r="G5549" s="459"/>
      <c r="H5549" s="459">
        <v>5542</v>
      </c>
      <c r="I5549" s="444">
        <f t="shared" ca="1" si="190"/>
        <v>-8217095981203304</v>
      </c>
      <c r="J5549" s="444">
        <f t="array" ref="J5549">IFERROR(INDEX('Retirement Calculator'!K:K,MATCH('Lorri 401b'!N5549,'Retirement Calculator'!A:A,0),0),0)</f>
        <v>0</v>
      </c>
      <c r="K5549" s="444">
        <f t="shared" ca="1" si="188"/>
        <v>-34237899921680.434</v>
      </c>
      <c r="L5549" s="444">
        <f t="shared" ca="1" si="189"/>
        <v>-8251333881124984</v>
      </c>
      <c r="M5549" s="460">
        <f t="shared" si="191"/>
        <v>0.05</v>
      </c>
      <c r="N5549" s="464">
        <f t="shared" si="192"/>
        <v>219937</v>
      </c>
    </row>
    <row r="5550" spans="7:14" ht="11.25" customHeight="1" x14ac:dyDescent="0.25">
      <c r="G5550" s="459"/>
      <c r="H5550" s="459">
        <v>5543</v>
      </c>
      <c r="I5550" s="444">
        <f t="shared" ca="1" si="190"/>
        <v>-8251333881124984</v>
      </c>
      <c r="J5550" s="444">
        <f t="array" ref="J5550">IFERROR(INDEX('Retirement Calculator'!K:K,MATCH('Lorri 401b'!N5550,'Retirement Calculator'!A:A,0),0),0)</f>
        <v>0</v>
      </c>
      <c r="K5550" s="444">
        <f t="shared" ca="1" si="188"/>
        <v>-34380557838020.762</v>
      </c>
      <c r="L5550" s="444">
        <f t="shared" ca="1" si="189"/>
        <v>-8285714438963005</v>
      </c>
      <c r="M5550" s="460">
        <f t="shared" si="191"/>
        <v>0.05</v>
      </c>
      <c r="N5550" s="464">
        <f t="shared" si="192"/>
        <v>219968</v>
      </c>
    </row>
    <row r="5551" spans="7:14" ht="11.25" customHeight="1" x14ac:dyDescent="0.25">
      <c r="G5551" s="459"/>
      <c r="H5551" s="459">
        <v>5544</v>
      </c>
      <c r="I5551" s="444">
        <f t="shared" ca="1" si="190"/>
        <v>-8285714438963005</v>
      </c>
      <c r="J5551" s="444">
        <f t="array" ref="J5551">IFERROR(INDEX('Retirement Calculator'!K:K,MATCH('Lorri 401b'!N5551,'Retirement Calculator'!A:A,0),0),0)</f>
        <v>0</v>
      </c>
      <c r="K5551" s="444">
        <f t="shared" ca="1" si="188"/>
        <v>-34523810162345.848</v>
      </c>
      <c r="L5551" s="444">
        <f t="shared" ca="1" si="189"/>
        <v>-8320238249125351</v>
      </c>
      <c r="M5551" s="460">
        <f t="shared" si="191"/>
        <v>0.05</v>
      </c>
      <c r="N5551" s="464">
        <f t="shared" si="192"/>
        <v>219998</v>
      </c>
    </row>
    <row r="5552" spans="7:14" ht="11.25" customHeight="1" x14ac:dyDescent="0.25">
      <c r="G5552" s="459"/>
      <c r="H5552" s="459">
        <v>5545</v>
      </c>
      <c r="I5552" s="444">
        <f t="shared" ca="1" si="190"/>
        <v>-8320238249125351</v>
      </c>
      <c r="J5552" s="444">
        <f t="array" ref="J5552">IFERROR(INDEX('Retirement Calculator'!K:K,MATCH('Lorri 401b'!N5552,'Retirement Calculator'!A:A,0),0),0)</f>
        <v>0</v>
      </c>
      <c r="K5552" s="444">
        <f t="shared" ca="1" si="188"/>
        <v>-34667659371355.629</v>
      </c>
      <c r="L5552" s="444">
        <f t="shared" ca="1" si="189"/>
        <v>-8354905908496707</v>
      </c>
      <c r="M5552" s="460">
        <f t="shared" si="191"/>
        <v>0.05</v>
      </c>
      <c r="N5552" s="464">
        <f t="shared" si="192"/>
        <v>220029</v>
      </c>
    </row>
    <row r="5553" spans="7:14" ht="11.25" customHeight="1" x14ac:dyDescent="0.25">
      <c r="G5553" s="459"/>
      <c r="H5553" s="459">
        <v>5546</v>
      </c>
      <c r="I5553" s="444">
        <f t="shared" ca="1" si="190"/>
        <v>-8354905908496707</v>
      </c>
      <c r="J5553" s="444">
        <f t="array" ref="J5553">IFERROR(INDEX('Retirement Calculator'!K:K,MATCH('Lorri 401b'!N5553,'Retirement Calculator'!A:A,0),0),0)</f>
        <v>0</v>
      </c>
      <c r="K5553" s="444">
        <f t="shared" ca="1" si="188"/>
        <v>-34812107952069.613</v>
      </c>
      <c r="L5553" s="444">
        <f t="shared" ca="1" si="189"/>
        <v>-8389718016448777</v>
      </c>
      <c r="M5553" s="460">
        <f t="shared" si="191"/>
        <v>0.05</v>
      </c>
      <c r="N5553" s="464">
        <f t="shared" si="192"/>
        <v>220059</v>
      </c>
    </row>
    <row r="5554" spans="7:14" ht="11.25" customHeight="1" x14ac:dyDescent="0.25">
      <c r="G5554" s="459"/>
      <c r="H5554" s="459">
        <v>5547</v>
      </c>
      <c r="I5554" s="444">
        <f t="shared" ca="1" si="190"/>
        <v>-8389718016448777</v>
      </c>
      <c r="J5554" s="444">
        <f t="array" ref="J5554">IFERROR(INDEX('Retirement Calculator'!K:K,MATCH('Lorri 401b'!N5554,'Retirement Calculator'!A:A,0),0),0)</f>
        <v>0</v>
      </c>
      <c r="K5554" s="444">
        <f t="shared" ca="1" si="188"/>
        <v>-34957158401869.898</v>
      </c>
      <c r="L5554" s="444">
        <f t="shared" ca="1" si="189"/>
        <v>-8424675174850647</v>
      </c>
      <c r="M5554" s="460">
        <f t="shared" si="191"/>
        <v>0.05</v>
      </c>
      <c r="N5554" s="464">
        <f t="shared" si="192"/>
        <v>220090</v>
      </c>
    </row>
    <row r="5555" spans="7:14" ht="11.25" customHeight="1" x14ac:dyDescent="0.25">
      <c r="G5555" s="459"/>
      <c r="H5555" s="459">
        <v>5548</v>
      </c>
      <c r="I5555" s="444">
        <f t="shared" ca="1" si="190"/>
        <v>-8424675174850647</v>
      </c>
      <c r="J5555" s="444">
        <f t="array" ref="J5555">IFERROR(INDEX('Retirement Calculator'!K:K,MATCH('Lorri 401b'!N5555,'Retirement Calculator'!A:A,0),0),0)</f>
        <v>0</v>
      </c>
      <c r="K5555" s="444">
        <f t="shared" ca="1" si="188"/>
        <v>-35102813228544.363</v>
      </c>
      <c r="L5555" s="444">
        <f t="shared" ca="1" si="189"/>
        <v>-8459777988079191</v>
      </c>
      <c r="M5555" s="460">
        <f t="shared" si="191"/>
        <v>0.05</v>
      </c>
      <c r="N5555" s="464">
        <f t="shared" si="192"/>
        <v>220121</v>
      </c>
    </row>
    <row r="5556" spans="7:14" ht="11.25" customHeight="1" x14ac:dyDescent="0.25">
      <c r="G5556" s="459"/>
      <c r="H5556" s="459">
        <v>5549</v>
      </c>
      <c r="I5556" s="444">
        <f t="shared" ca="1" si="190"/>
        <v>-8459777988079191</v>
      </c>
      <c r="J5556" s="444">
        <f t="array" ref="J5556">IFERROR(INDEX('Retirement Calculator'!K:K,MATCH('Lorri 401b'!N5556,'Retirement Calculator'!A:A,0),0),0)</f>
        <v>0</v>
      </c>
      <c r="K5556" s="444">
        <f t="shared" ca="1" si="188"/>
        <v>-35249074950329.961</v>
      </c>
      <c r="L5556" s="444">
        <f t="shared" ca="1" si="189"/>
        <v>-8495027063029521</v>
      </c>
      <c r="M5556" s="460">
        <f t="shared" si="191"/>
        <v>0.05</v>
      </c>
      <c r="N5556" s="464">
        <f t="shared" si="192"/>
        <v>220151</v>
      </c>
    </row>
    <row r="5557" spans="7:14" ht="11.25" customHeight="1" x14ac:dyDescent="0.25">
      <c r="G5557" s="459"/>
      <c r="H5557" s="459">
        <v>5550</v>
      </c>
      <c r="I5557" s="444">
        <f t="shared" ca="1" si="190"/>
        <v>-8495027063029521</v>
      </c>
      <c r="J5557" s="444">
        <f t="array" ref="J5557">IFERROR(INDEX('Retirement Calculator'!K:K,MATCH('Lorri 401b'!N5557,'Retirement Calculator'!A:A,0),0),0)</f>
        <v>0</v>
      </c>
      <c r="K5557" s="444">
        <f t="shared" ca="1" si="188"/>
        <v>-35395946095956.336</v>
      </c>
      <c r="L5557" s="444">
        <f t="shared" ca="1" si="189"/>
        <v>-8530423009125477</v>
      </c>
      <c r="M5557" s="460">
        <f t="shared" si="191"/>
        <v>0.05</v>
      </c>
      <c r="N5557" s="464">
        <f t="shared" si="192"/>
        <v>220182</v>
      </c>
    </row>
    <row r="5558" spans="7:14" ht="11.25" customHeight="1" x14ac:dyDescent="0.25">
      <c r="G5558" s="459"/>
      <c r="H5558" s="459">
        <v>5551</v>
      </c>
      <c r="I5558" s="444">
        <f t="shared" ca="1" si="190"/>
        <v>-8530423009125477</v>
      </c>
      <c r="J5558" s="444">
        <f t="array" ref="J5558">IFERROR(INDEX('Retirement Calculator'!K:K,MATCH('Lorri 401b'!N5558,'Retirement Calculator'!A:A,0),0),0)</f>
        <v>0</v>
      </c>
      <c r="K5558" s="444">
        <f t="shared" ca="1" si="188"/>
        <v>-35543429204689.484</v>
      </c>
      <c r="L5558" s="444">
        <f t="shared" ca="1" si="189"/>
        <v>-8565966438330166</v>
      </c>
      <c r="M5558" s="460">
        <f t="shared" si="191"/>
        <v>0.05</v>
      </c>
      <c r="N5558" s="464">
        <f t="shared" si="192"/>
        <v>220212</v>
      </c>
    </row>
    <row r="5559" spans="7:14" ht="11.25" customHeight="1" x14ac:dyDescent="0.25">
      <c r="G5559" s="459"/>
      <c r="H5559" s="459">
        <v>5552</v>
      </c>
      <c r="I5559" s="444">
        <f t="shared" ca="1" si="190"/>
        <v>-8565966438330166</v>
      </c>
      <c r="J5559" s="444">
        <f t="array" ref="J5559">IFERROR(INDEX('Retirement Calculator'!K:K,MATCH('Lorri 401b'!N5559,'Retirement Calculator'!A:A,0),0),0)</f>
        <v>0</v>
      </c>
      <c r="K5559" s="444">
        <f t="shared" ca="1" si="188"/>
        <v>-35691526826375.688</v>
      </c>
      <c r="L5559" s="444">
        <f t="shared" ca="1" si="189"/>
        <v>-8601657965156542</v>
      </c>
      <c r="M5559" s="460">
        <f t="shared" si="191"/>
        <v>0.05</v>
      </c>
      <c r="N5559" s="464">
        <f t="shared" si="192"/>
        <v>220243</v>
      </c>
    </row>
    <row r="5560" spans="7:14" ht="11.25" customHeight="1" x14ac:dyDescent="0.25">
      <c r="G5560" s="459"/>
      <c r="H5560" s="459">
        <v>5553</v>
      </c>
      <c r="I5560" s="444">
        <f t="shared" ca="1" si="190"/>
        <v>-8601657965156542</v>
      </c>
      <c r="J5560" s="444">
        <f t="array" ref="J5560">IFERROR(INDEX('Retirement Calculator'!K:K,MATCH('Lorri 401b'!N5560,'Retirement Calculator'!A:A,0),0),0)</f>
        <v>0</v>
      </c>
      <c r="K5560" s="444">
        <f t="shared" ca="1" si="188"/>
        <v>-35840241521485.594</v>
      </c>
      <c r="L5560" s="444">
        <f t="shared" ca="1" si="189"/>
        <v>-8637498206678028</v>
      </c>
      <c r="M5560" s="460">
        <f t="shared" si="191"/>
        <v>0.05</v>
      </c>
      <c r="N5560" s="464">
        <f t="shared" si="192"/>
        <v>220274</v>
      </c>
    </row>
    <row r="5561" spans="7:14" ht="11.25" customHeight="1" x14ac:dyDescent="0.25">
      <c r="G5561" s="459"/>
      <c r="H5561" s="459">
        <v>5554</v>
      </c>
      <c r="I5561" s="444">
        <f t="shared" ca="1" si="190"/>
        <v>-8637498206678028</v>
      </c>
      <c r="J5561" s="444">
        <f t="array" ref="J5561">IFERROR(INDEX('Retirement Calculator'!K:K,MATCH('Lorri 401b'!N5561,'Retirement Calculator'!A:A,0),0),0)</f>
        <v>0</v>
      </c>
      <c r="K5561" s="444">
        <f t="shared" ca="1" si="188"/>
        <v>-35989575861158.453</v>
      </c>
      <c r="L5561" s="444">
        <f t="shared" ca="1" si="189"/>
        <v>-8673487782539186</v>
      </c>
      <c r="M5561" s="460">
        <f t="shared" si="191"/>
        <v>0.05</v>
      </c>
      <c r="N5561" s="464">
        <f t="shared" si="192"/>
        <v>220302</v>
      </c>
    </row>
    <row r="5562" spans="7:14" ht="11.25" customHeight="1" x14ac:dyDescent="0.25">
      <c r="G5562" s="459"/>
      <c r="H5562" s="459">
        <v>5555</v>
      </c>
      <c r="I5562" s="444">
        <f t="shared" ca="1" si="190"/>
        <v>-8673487782539186</v>
      </c>
      <c r="J5562" s="444">
        <f t="array" ref="J5562">IFERROR(INDEX('Retirement Calculator'!K:K,MATCH('Lorri 401b'!N5562,'Retirement Calculator'!A:A,0),0),0)</f>
        <v>0</v>
      </c>
      <c r="K5562" s="444">
        <f t="shared" ca="1" si="188"/>
        <v>-36139532427246.602</v>
      </c>
      <c r="L5562" s="444">
        <f t="shared" ca="1" si="189"/>
        <v>-8709627314966433</v>
      </c>
      <c r="M5562" s="460">
        <f t="shared" si="191"/>
        <v>0.05</v>
      </c>
      <c r="N5562" s="464">
        <f t="shared" si="192"/>
        <v>220333</v>
      </c>
    </row>
    <row r="5563" spans="7:14" ht="11.25" customHeight="1" x14ac:dyDescent="0.25">
      <c r="G5563" s="459"/>
      <c r="H5563" s="459">
        <v>5556</v>
      </c>
      <c r="I5563" s="444">
        <f t="shared" ca="1" si="190"/>
        <v>-8709627314966433</v>
      </c>
      <c r="J5563" s="444">
        <f t="array" ref="J5563">IFERROR(INDEX('Retirement Calculator'!K:K,MATCH('Lorri 401b'!N5563,'Retirement Calculator'!A:A,0),0),0)</f>
        <v>0</v>
      </c>
      <c r="K5563" s="444">
        <f t="shared" ca="1" si="188"/>
        <v>-36290113812360.141</v>
      </c>
      <c r="L5563" s="444">
        <f t="shared" ca="1" si="189"/>
        <v>-8745917428778793</v>
      </c>
      <c r="M5563" s="460">
        <f t="shared" si="191"/>
        <v>0.05</v>
      </c>
      <c r="N5563" s="464">
        <f t="shared" si="192"/>
        <v>220363</v>
      </c>
    </row>
    <row r="5564" spans="7:14" ht="11.25" customHeight="1" x14ac:dyDescent="0.25">
      <c r="G5564" s="459"/>
      <c r="H5564" s="459">
        <v>5557</v>
      </c>
      <c r="I5564" s="444">
        <f t="shared" ca="1" si="190"/>
        <v>-8745917428778793</v>
      </c>
      <c r="J5564" s="444">
        <f t="array" ref="J5564">IFERROR(INDEX('Retirement Calculator'!K:K,MATCH('Lorri 401b'!N5564,'Retirement Calculator'!A:A,0),0),0)</f>
        <v>0</v>
      </c>
      <c r="K5564" s="444">
        <f t="shared" ca="1" si="188"/>
        <v>-36441322619911.633</v>
      </c>
      <c r="L5564" s="444">
        <f t="shared" ca="1" si="189"/>
        <v>-8782358751398705</v>
      </c>
      <c r="M5564" s="460">
        <f t="shared" si="191"/>
        <v>0.05</v>
      </c>
      <c r="N5564" s="464">
        <f t="shared" si="192"/>
        <v>220394</v>
      </c>
    </row>
    <row r="5565" spans="7:14" ht="11.25" customHeight="1" x14ac:dyDescent="0.25">
      <c r="G5565" s="459"/>
      <c r="H5565" s="459">
        <v>5558</v>
      </c>
      <c r="I5565" s="444">
        <f t="shared" ca="1" si="190"/>
        <v>-8782358751398705</v>
      </c>
      <c r="J5565" s="444">
        <f t="array" ref="J5565">IFERROR(INDEX('Retirement Calculator'!K:K,MATCH('Lorri 401b'!N5565,'Retirement Calculator'!A:A,0),0),0)</f>
        <v>0</v>
      </c>
      <c r="K5565" s="444">
        <f t="shared" ca="1" si="188"/>
        <v>-36593161464161.273</v>
      </c>
      <c r="L5565" s="444">
        <f t="shared" ca="1" si="189"/>
        <v>-8818951912862866</v>
      </c>
      <c r="M5565" s="460">
        <f t="shared" si="191"/>
        <v>0.05</v>
      </c>
      <c r="N5565" s="464">
        <f t="shared" si="192"/>
        <v>220424</v>
      </c>
    </row>
    <row r="5566" spans="7:14" ht="11.25" customHeight="1" x14ac:dyDescent="0.25">
      <c r="G5566" s="459"/>
      <c r="H5566" s="459">
        <v>5559</v>
      </c>
      <c r="I5566" s="444">
        <f t="shared" ca="1" si="190"/>
        <v>-8818951912862866</v>
      </c>
      <c r="J5566" s="444">
        <f t="array" ref="J5566">IFERROR(INDEX('Retirement Calculator'!K:K,MATCH('Lorri 401b'!N5566,'Retirement Calculator'!A:A,0),0),0)</f>
        <v>0</v>
      </c>
      <c r="K5566" s="444">
        <f t="shared" ca="1" si="188"/>
        <v>-36745632970261.945</v>
      </c>
      <c r="L5566" s="444">
        <f t="shared" ca="1" si="189"/>
        <v>-8855697545833128</v>
      </c>
      <c r="M5566" s="460">
        <f t="shared" si="191"/>
        <v>0.05</v>
      </c>
      <c r="N5566" s="464">
        <f t="shared" si="192"/>
        <v>220455</v>
      </c>
    </row>
    <row r="5567" spans="7:14" ht="11.25" customHeight="1" x14ac:dyDescent="0.25">
      <c r="G5567" s="459"/>
      <c r="H5567" s="459">
        <v>5560</v>
      </c>
      <c r="I5567" s="444">
        <f t="shared" ca="1" si="190"/>
        <v>-8855697545833128</v>
      </c>
      <c r="J5567" s="444">
        <f t="array" ref="J5567">IFERROR(INDEX('Retirement Calculator'!K:K,MATCH('Lorri 401b'!N5567,'Retirement Calculator'!A:A,0),0),0)</f>
        <v>0</v>
      </c>
      <c r="K5567" s="444">
        <f t="shared" ca="1" si="188"/>
        <v>-36898739774304.703</v>
      </c>
      <c r="L5567" s="444">
        <f t="shared" ca="1" si="189"/>
        <v>-8892596285607433</v>
      </c>
      <c r="M5567" s="460">
        <f t="shared" si="191"/>
        <v>0.05</v>
      </c>
      <c r="N5567" s="464">
        <f t="shared" si="192"/>
        <v>220486</v>
      </c>
    </row>
    <row r="5568" spans="7:14" ht="11.25" customHeight="1" x14ac:dyDescent="0.25">
      <c r="G5568" s="459"/>
      <c r="H5568" s="459">
        <v>5561</v>
      </c>
      <c r="I5568" s="444">
        <f t="shared" ca="1" si="190"/>
        <v>-8892596285607433</v>
      </c>
      <c r="J5568" s="444">
        <f t="array" ref="J5568">IFERROR(INDEX('Retirement Calculator'!K:K,MATCH('Lorri 401b'!N5568,'Retirement Calculator'!A:A,0),0),0)</f>
        <v>0</v>
      </c>
      <c r="K5568" s="444">
        <f t="shared" ca="1" si="188"/>
        <v>-37052484523364.305</v>
      </c>
      <c r="L5568" s="444">
        <f t="shared" ca="1" si="189"/>
        <v>-8929648770130797</v>
      </c>
      <c r="M5568" s="460">
        <f t="shared" si="191"/>
        <v>0.05</v>
      </c>
      <c r="N5568" s="464">
        <f t="shared" si="192"/>
        <v>220516</v>
      </c>
    </row>
    <row r="5569" spans="7:14" ht="11.25" customHeight="1" x14ac:dyDescent="0.25">
      <c r="G5569" s="459"/>
      <c r="H5569" s="459">
        <v>5562</v>
      </c>
      <c r="I5569" s="444">
        <f t="shared" ca="1" si="190"/>
        <v>-8929648770130797</v>
      </c>
      <c r="J5569" s="444">
        <f t="array" ref="J5569">IFERROR(INDEX('Retirement Calculator'!K:K,MATCH('Lorri 401b'!N5569,'Retirement Calculator'!A:A,0),0),0)</f>
        <v>0</v>
      </c>
      <c r="K5569" s="444">
        <f t="shared" ca="1" si="188"/>
        <v>-37206869875544.984</v>
      </c>
      <c r="L5569" s="444">
        <f t="shared" ca="1" si="189"/>
        <v>-8966855640006342</v>
      </c>
      <c r="M5569" s="460">
        <f t="shared" si="191"/>
        <v>0.05</v>
      </c>
      <c r="N5569" s="464">
        <f t="shared" si="192"/>
        <v>220547</v>
      </c>
    </row>
    <row r="5570" spans="7:14" ht="11.25" customHeight="1" x14ac:dyDescent="0.25">
      <c r="G5570" s="459"/>
      <c r="H5570" s="459">
        <v>5563</v>
      </c>
      <c r="I5570" s="444">
        <f t="shared" ca="1" si="190"/>
        <v>-8966855640006342</v>
      </c>
      <c r="J5570" s="444">
        <f t="array" ref="J5570">IFERROR(INDEX('Retirement Calculator'!K:K,MATCH('Lorri 401b'!N5570,'Retirement Calculator'!A:A,0),0),0)</f>
        <v>0</v>
      </c>
      <c r="K5570" s="444">
        <f t="shared" ca="1" si="188"/>
        <v>-37361898500026.422</v>
      </c>
      <c r="L5570" s="444">
        <f t="shared" ca="1" si="189"/>
        <v>-9004217538506368</v>
      </c>
      <c r="M5570" s="460">
        <f t="shared" si="191"/>
        <v>0.05</v>
      </c>
      <c r="N5570" s="464">
        <f t="shared" si="192"/>
        <v>220577</v>
      </c>
    </row>
    <row r="5571" spans="7:14" ht="11.25" customHeight="1" x14ac:dyDescent="0.25">
      <c r="G5571" s="459"/>
      <c r="H5571" s="459">
        <v>5564</v>
      </c>
      <c r="I5571" s="444">
        <f t="shared" ca="1" si="190"/>
        <v>-9004217538506368</v>
      </c>
      <c r="J5571" s="444">
        <f t="array" ref="J5571">IFERROR(INDEX('Retirement Calculator'!K:K,MATCH('Lorri 401b'!N5571,'Retirement Calculator'!A:A,0),0),0)</f>
        <v>0</v>
      </c>
      <c r="K5571" s="444">
        <f t="shared" ca="1" si="188"/>
        <v>-37517573077109.867</v>
      </c>
      <c r="L5571" s="444">
        <f t="shared" ca="1" si="189"/>
        <v>-9041735111583478</v>
      </c>
      <c r="M5571" s="460">
        <f t="shared" si="191"/>
        <v>0.05</v>
      </c>
      <c r="N5571" s="464">
        <f t="shared" si="192"/>
        <v>220608</v>
      </c>
    </row>
    <row r="5572" spans="7:14" ht="11.25" customHeight="1" x14ac:dyDescent="0.25">
      <c r="G5572" s="459"/>
      <c r="H5572" s="459">
        <v>5565</v>
      </c>
      <c r="I5572" s="444">
        <f t="shared" ca="1" si="190"/>
        <v>-9041735111583478</v>
      </c>
      <c r="J5572" s="444">
        <f t="array" ref="J5572">IFERROR(INDEX('Retirement Calculator'!K:K,MATCH('Lorri 401b'!N5572,'Retirement Calculator'!A:A,0),0),0)</f>
        <v>0</v>
      </c>
      <c r="K5572" s="444">
        <f t="shared" ca="1" si="188"/>
        <v>-37673896298264.492</v>
      </c>
      <c r="L5572" s="444">
        <f t="shared" ca="1" si="189"/>
        <v>-9079409007881742</v>
      </c>
      <c r="M5572" s="460">
        <f t="shared" si="191"/>
        <v>0.05</v>
      </c>
      <c r="N5572" s="464">
        <f t="shared" si="192"/>
        <v>220639</v>
      </c>
    </row>
    <row r="5573" spans="7:14" ht="11.25" customHeight="1" x14ac:dyDescent="0.25">
      <c r="G5573" s="459"/>
      <c r="H5573" s="459">
        <v>5566</v>
      </c>
      <c r="I5573" s="444">
        <f t="shared" ca="1" si="190"/>
        <v>-9079409007881742</v>
      </c>
      <c r="J5573" s="444">
        <f t="array" ref="J5573">IFERROR(INDEX('Retirement Calculator'!K:K,MATCH('Lorri 401b'!N5573,'Retirement Calculator'!A:A,0),0),0)</f>
        <v>0</v>
      </c>
      <c r="K5573" s="444">
        <f t="shared" ca="1" si="188"/>
        <v>-37830870866173.922</v>
      </c>
      <c r="L5573" s="444">
        <f t="shared" ca="1" si="189"/>
        <v>-9117239878747916</v>
      </c>
      <c r="M5573" s="460">
        <f t="shared" si="191"/>
        <v>0.05</v>
      </c>
      <c r="N5573" s="464">
        <f t="shared" si="192"/>
        <v>220668</v>
      </c>
    </row>
    <row r="5574" spans="7:14" ht="11.25" customHeight="1" x14ac:dyDescent="0.25">
      <c r="G5574" s="459"/>
      <c r="H5574" s="459">
        <v>5567</v>
      </c>
      <c r="I5574" s="444">
        <f t="shared" ca="1" si="190"/>
        <v>-9117239878747916</v>
      </c>
      <c r="J5574" s="444">
        <f t="array" ref="J5574">IFERROR(INDEX('Retirement Calculator'!K:K,MATCH('Lorri 401b'!N5574,'Retirement Calculator'!A:A,0),0),0)</f>
        <v>0</v>
      </c>
      <c r="K5574" s="444">
        <f t="shared" ca="1" si="188"/>
        <v>-37988499494782.984</v>
      </c>
      <c r="L5574" s="444">
        <f t="shared" ca="1" si="189"/>
        <v>-9155228378242698</v>
      </c>
      <c r="M5574" s="460">
        <f t="shared" si="191"/>
        <v>0.05</v>
      </c>
      <c r="N5574" s="464">
        <f t="shared" si="192"/>
        <v>220699</v>
      </c>
    </row>
    <row r="5575" spans="7:14" ht="11.25" customHeight="1" x14ac:dyDescent="0.25">
      <c r="G5575" s="459"/>
      <c r="H5575" s="459">
        <v>5568</v>
      </c>
      <c r="I5575" s="444">
        <f t="shared" ca="1" si="190"/>
        <v>-9155228378242698</v>
      </c>
      <c r="J5575" s="444">
        <f t="array" ref="J5575">IFERROR(INDEX('Retirement Calculator'!K:K,MATCH('Lorri 401b'!N5575,'Retirement Calculator'!A:A,0),0),0)</f>
        <v>0</v>
      </c>
      <c r="K5575" s="444">
        <f t="shared" ca="1" si="188"/>
        <v>-38146784909344.578</v>
      </c>
      <c r="L5575" s="444">
        <f t="shared" ca="1" si="189"/>
        <v>-9193375163152042</v>
      </c>
      <c r="M5575" s="460">
        <f t="shared" si="191"/>
        <v>0.05</v>
      </c>
      <c r="N5575" s="464">
        <f t="shared" si="192"/>
        <v>220729</v>
      </c>
    </row>
    <row r="5576" spans="7:14" ht="11.25" customHeight="1" x14ac:dyDescent="0.25">
      <c r="G5576" s="459"/>
      <c r="H5576" s="459">
        <v>5569</v>
      </c>
      <c r="I5576" s="444">
        <f t="shared" ca="1" si="190"/>
        <v>-9193375163152042</v>
      </c>
      <c r="J5576" s="444">
        <f t="array" ref="J5576">IFERROR(INDEX('Retirement Calculator'!K:K,MATCH('Lorri 401b'!N5576,'Retirement Calculator'!A:A,0),0),0)</f>
        <v>0</v>
      </c>
      <c r="K5576" s="444">
        <f t="shared" ca="1" si="188"/>
        <v>-38305729846466.844</v>
      </c>
      <c r="L5576" s="444">
        <f t="shared" ca="1" si="189"/>
        <v>-9231680892998508</v>
      </c>
      <c r="M5576" s="460">
        <f t="shared" si="191"/>
        <v>0.05</v>
      </c>
      <c r="N5576" s="464">
        <f t="shared" si="192"/>
        <v>220760</v>
      </c>
    </row>
    <row r="5577" spans="7:14" ht="11.25" customHeight="1" x14ac:dyDescent="0.25">
      <c r="G5577" s="459"/>
      <c r="H5577" s="459">
        <v>5570</v>
      </c>
      <c r="I5577" s="444">
        <f t="shared" ca="1" si="190"/>
        <v>-9231680892998508</v>
      </c>
      <c r="J5577" s="444">
        <f t="array" ref="J5577">IFERROR(INDEX('Retirement Calculator'!K:K,MATCH('Lorri 401b'!N5577,'Retirement Calculator'!A:A,0),0),0)</f>
        <v>0</v>
      </c>
      <c r="K5577" s="444">
        <f t="shared" ca="1" si="188"/>
        <v>-38465337054160.453</v>
      </c>
      <c r="L5577" s="444">
        <f t="shared" ca="1" si="189"/>
        <v>-9270146230052668</v>
      </c>
      <c r="M5577" s="460">
        <f t="shared" si="191"/>
        <v>0.05</v>
      </c>
      <c r="N5577" s="464">
        <f t="shared" si="192"/>
        <v>220790</v>
      </c>
    </row>
    <row r="5578" spans="7:14" ht="11.25" customHeight="1" x14ac:dyDescent="0.25">
      <c r="G5578" s="459"/>
      <c r="H5578" s="459">
        <v>5571</v>
      </c>
      <c r="I5578" s="444">
        <f t="shared" ca="1" si="190"/>
        <v>-9270146230052668</v>
      </c>
      <c r="J5578" s="444">
        <f t="array" ref="J5578">IFERROR(INDEX('Retirement Calculator'!K:K,MATCH('Lorri 401b'!N5578,'Retirement Calculator'!A:A,0),0),0)</f>
        <v>0</v>
      </c>
      <c r="K5578" s="444">
        <f t="shared" ca="1" si="188"/>
        <v>-38625609291886.117</v>
      </c>
      <c r="L5578" s="444">
        <f t="shared" ca="1" si="189"/>
        <v>-9308771839344554</v>
      </c>
      <c r="M5578" s="460">
        <f t="shared" si="191"/>
        <v>0.05</v>
      </c>
      <c r="N5578" s="464">
        <f t="shared" si="192"/>
        <v>220821</v>
      </c>
    </row>
    <row r="5579" spans="7:14" ht="11.25" customHeight="1" x14ac:dyDescent="0.25">
      <c r="G5579" s="459"/>
      <c r="H5579" s="459">
        <v>5572</v>
      </c>
      <c r="I5579" s="444">
        <f t="shared" ca="1" si="190"/>
        <v>-9308771839344554</v>
      </c>
      <c r="J5579" s="444">
        <f t="array" ref="J5579">IFERROR(INDEX('Retirement Calculator'!K:K,MATCH('Lorri 401b'!N5579,'Retirement Calculator'!A:A,0),0),0)</f>
        <v>0</v>
      </c>
      <c r="K5579" s="444">
        <f t="shared" ca="1" si="188"/>
        <v>-38786549330602.305</v>
      </c>
      <c r="L5579" s="444">
        <f t="shared" ca="1" si="189"/>
        <v>-9347558388675156</v>
      </c>
      <c r="M5579" s="460">
        <f t="shared" si="191"/>
        <v>0.05</v>
      </c>
      <c r="N5579" s="464">
        <f t="shared" si="192"/>
        <v>220852</v>
      </c>
    </row>
    <row r="5580" spans="7:14" ht="11.25" customHeight="1" x14ac:dyDescent="0.25">
      <c r="G5580" s="459"/>
      <c r="H5580" s="459">
        <v>5573</v>
      </c>
      <c r="I5580" s="444">
        <f t="shared" ca="1" si="190"/>
        <v>-9347558388675156</v>
      </c>
      <c r="J5580" s="444">
        <f t="array" ref="J5580">IFERROR(INDEX('Retirement Calculator'!K:K,MATCH('Lorri 401b'!N5580,'Retirement Calculator'!A:A,0),0),0)</f>
        <v>0</v>
      </c>
      <c r="K5580" s="444">
        <f t="shared" ca="1" si="188"/>
        <v>-38948159952813.148</v>
      </c>
      <c r="L5580" s="444">
        <f t="shared" ca="1" si="189"/>
        <v>-9386506548627970</v>
      </c>
      <c r="M5580" s="460">
        <f t="shared" si="191"/>
        <v>0.05</v>
      </c>
      <c r="N5580" s="464">
        <f t="shared" si="192"/>
        <v>220882</v>
      </c>
    </row>
    <row r="5581" spans="7:14" ht="11.25" customHeight="1" x14ac:dyDescent="0.25">
      <c r="G5581" s="459"/>
      <c r="H5581" s="459">
        <v>5574</v>
      </c>
      <c r="I5581" s="444">
        <f t="shared" ca="1" si="190"/>
        <v>-9386506548627970</v>
      </c>
      <c r="J5581" s="444">
        <f t="array" ref="J5581">IFERROR(INDEX('Retirement Calculator'!K:K,MATCH('Lorri 401b'!N5581,'Retirement Calculator'!A:A,0),0),0)</f>
        <v>0</v>
      </c>
      <c r="K5581" s="444">
        <f t="shared" ca="1" si="188"/>
        <v>-39110443952616.539</v>
      </c>
      <c r="L5581" s="444">
        <f t="shared" ca="1" si="189"/>
        <v>-9425616992580586</v>
      </c>
      <c r="M5581" s="460">
        <f t="shared" si="191"/>
        <v>0.05</v>
      </c>
      <c r="N5581" s="464">
        <f t="shared" si="192"/>
        <v>220913</v>
      </c>
    </row>
    <row r="5582" spans="7:14" ht="11.25" customHeight="1" x14ac:dyDescent="0.25">
      <c r="G5582" s="459"/>
      <c r="H5582" s="459">
        <v>5575</v>
      </c>
      <c r="I5582" s="444">
        <f t="shared" ca="1" si="190"/>
        <v>-9425616992580586</v>
      </c>
      <c r="J5582" s="444">
        <f t="array" ref="J5582">IFERROR(INDEX('Retirement Calculator'!K:K,MATCH('Lorri 401b'!N5582,'Retirement Calculator'!A:A,0),0),0)</f>
        <v>0</v>
      </c>
      <c r="K5582" s="444">
        <f t="shared" ca="1" si="188"/>
        <v>-39273404135752.438</v>
      </c>
      <c r="L5582" s="444">
        <f t="shared" ca="1" si="189"/>
        <v>-9464890396716338</v>
      </c>
      <c r="M5582" s="460">
        <f t="shared" si="191"/>
        <v>0.05</v>
      </c>
      <c r="N5582" s="464">
        <f t="shared" si="192"/>
        <v>220943</v>
      </c>
    </row>
    <row r="5583" spans="7:14" ht="11.25" customHeight="1" x14ac:dyDescent="0.25">
      <c r="G5583" s="459"/>
      <c r="H5583" s="459">
        <v>5576</v>
      </c>
      <c r="I5583" s="444">
        <f t="shared" ca="1" si="190"/>
        <v>-9464890396716338</v>
      </c>
      <c r="J5583" s="444">
        <f t="array" ref="J5583">IFERROR(INDEX('Retirement Calculator'!K:K,MATCH('Lorri 401b'!N5583,'Retirement Calculator'!A:A,0),0),0)</f>
        <v>0</v>
      </c>
      <c r="K5583" s="444">
        <f t="shared" ca="1" si="188"/>
        <v>-39437043319651.406</v>
      </c>
      <c r="L5583" s="444">
        <f t="shared" ca="1" si="189"/>
        <v>-9504327440035990</v>
      </c>
      <c r="M5583" s="460">
        <f t="shared" si="191"/>
        <v>0.05</v>
      </c>
      <c r="N5583" s="464">
        <f t="shared" si="192"/>
        <v>220974</v>
      </c>
    </row>
    <row r="5584" spans="7:14" ht="11.25" customHeight="1" x14ac:dyDescent="0.25">
      <c r="G5584" s="459"/>
      <c r="H5584" s="459">
        <v>5577</v>
      </c>
      <c r="I5584" s="444">
        <f t="shared" ca="1" si="190"/>
        <v>-9504327440035990</v>
      </c>
      <c r="J5584" s="444">
        <f t="array" ref="J5584">IFERROR(INDEX('Retirement Calculator'!K:K,MATCH('Lorri 401b'!N5584,'Retirement Calculator'!A:A,0),0),0)</f>
        <v>0</v>
      </c>
      <c r="K5584" s="444">
        <f t="shared" ca="1" si="188"/>
        <v>-39601364333483.289</v>
      </c>
      <c r="L5584" s="444">
        <f t="shared" ca="1" si="189"/>
        <v>-9543928804369474</v>
      </c>
      <c r="M5584" s="460">
        <f t="shared" si="191"/>
        <v>0.05</v>
      </c>
      <c r="N5584" s="464">
        <f t="shared" si="192"/>
        <v>221005</v>
      </c>
    </row>
    <row r="5585" spans="7:14" ht="11.25" customHeight="1" x14ac:dyDescent="0.25">
      <c r="G5585" s="459"/>
      <c r="H5585" s="459">
        <v>5578</v>
      </c>
      <c r="I5585" s="444">
        <f t="shared" ca="1" si="190"/>
        <v>-9543928804369474</v>
      </c>
      <c r="J5585" s="444">
        <f t="array" ref="J5585">IFERROR(INDEX('Retirement Calculator'!K:K,MATCH('Lorri 401b'!N5585,'Retirement Calculator'!A:A,0),0),0)</f>
        <v>0</v>
      </c>
      <c r="K5585" s="444">
        <f t="shared" ca="1" si="188"/>
        <v>-39766370018206.141</v>
      </c>
      <c r="L5585" s="444">
        <f t="shared" ca="1" si="189"/>
        <v>-9583695174387680</v>
      </c>
      <c r="M5585" s="460">
        <f t="shared" si="191"/>
        <v>0.05</v>
      </c>
      <c r="N5585" s="464">
        <f t="shared" si="192"/>
        <v>221033</v>
      </c>
    </row>
    <row r="5586" spans="7:14" ht="11.25" customHeight="1" x14ac:dyDescent="0.25">
      <c r="G5586" s="459"/>
      <c r="H5586" s="459">
        <v>5579</v>
      </c>
      <c r="I5586" s="444">
        <f t="shared" ca="1" si="190"/>
        <v>-9583695174387680</v>
      </c>
      <c r="J5586" s="444">
        <f t="array" ref="J5586">IFERROR(INDEX('Retirement Calculator'!K:K,MATCH('Lorri 401b'!N5586,'Retirement Calculator'!A:A,0),0),0)</f>
        <v>0</v>
      </c>
      <c r="K5586" s="444">
        <f t="shared" ca="1" si="188"/>
        <v>-39932063226615.336</v>
      </c>
      <c r="L5586" s="444">
        <f t="shared" ca="1" si="189"/>
        <v>-9623627237614296</v>
      </c>
      <c r="M5586" s="460">
        <f t="shared" si="191"/>
        <v>0.05</v>
      </c>
      <c r="N5586" s="464">
        <f t="shared" si="192"/>
        <v>221064</v>
      </c>
    </row>
    <row r="5587" spans="7:14" ht="11.25" customHeight="1" x14ac:dyDescent="0.25">
      <c r="G5587" s="459"/>
      <c r="H5587" s="459">
        <v>5580</v>
      </c>
      <c r="I5587" s="444">
        <f t="shared" ca="1" si="190"/>
        <v>-9623627237614296</v>
      </c>
      <c r="J5587" s="444">
        <f t="array" ref="J5587">IFERROR(INDEX('Retirement Calculator'!K:K,MATCH('Lorri 401b'!N5587,'Retirement Calculator'!A:A,0),0),0)</f>
        <v>0</v>
      </c>
      <c r="K5587" s="444">
        <f t="shared" ca="1" si="188"/>
        <v>-40098446823392.898</v>
      </c>
      <c r="L5587" s="444">
        <f t="shared" ca="1" si="189"/>
        <v>-9663725684437688</v>
      </c>
      <c r="M5587" s="460">
        <f t="shared" si="191"/>
        <v>0.05</v>
      </c>
      <c r="N5587" s="464">
        <f t="shared" si="192"/>
        <v>221094</v>
      </c>
    </row>
    <row r="5588" spans="7:14" ht="11.25" customHeight="1" x14ac:dyDescent="0.25">
      <c r="G5588" s="459"/>
      <c r="H5588" s="459">
        <v>5581</v>
      </c>
      <c r="I5588" s="444">
        <f t="shared" ca="1" si="190"/>
        <v>-9663725684437688</v>
      </c>
      <c r="J5588" s="444">
        <f t="array" ref="J5588">IFERROR(INDEX('Retirement Calculator'!K:K,MATCH('Lorri 401b'!N5588,'Retirement Calculator'!A:A,0),0),0)</f>
        <v>0</v>
      </c>
      <c r="K5588" s="444">
        <f t="shared" ca="1" si="188"/>
        <v>-40265523685157.031</v>
      </c>
      <c r="L5588" s="444">
        <f t="shared" ca="1" si="189"/>
        <v>-9703991208122846</v>
      </c>
      <c r="M5588" s="460">
        <f t="shared" si="191"/>
        <v>0.05</v>
      </c>
      <c r="N5588" s="464">
        <f t="shared" si="192"/>
        <v>221125</v>
      </c>
    </row>
    <row r="5589" spans="7:14" ht="11.25" customHeight="1" x14ac:dyDescent="0.25">
      <c r="G5589" s="459"/>
      <c r="H5589" s="459">
        <v>5582</v>
      </c>
      <c r="I5589" s="444">
        <f t="shared" ca="1" si="190"/>
        <v>-9703991208122846</v>
      </c>
      <c r="J5589" s="444">
        <f t="array" ref="J5589">IFERROR(INDEX('Retirement Calculator'!K:K,MATCH('Lorri 401b'!N5589,'Retirement Calculator'!A:A,0),0),0)</f>
        <v>0</v>
      </c>
      <c r="K5589" s="444">
        <f t="shared" ca="1" si="188"/>
        <v>-40433296700511.859</v>
      </c>
      <c r="L5589" s="444">
        <f t="shared" ca="1" si="189"/>
        <v>-9744424504823358</v>
      </c>
      <c r="M5589" s="460">
        <f t="shared" si="191"/>
        <v>0.05</v>
      </c>
      <c r="N5589" s="464">
        <f t="shared" si="192"/>
        <v>221155</v>
      </c>
    </row>
    <row r="5590" spans="7:14" ht="11.25" customHeight="1" x14ac:dyDescent="0.25">
      <c r="G5590" s="459"/>
      <c r="H5590" s="459">
        <v>5583</v>
      </c>
      <c r="I5590" s="444">
        <f t="shared" ca="1" si="190"/>
        <v>-9744424504823358</v>
      </c>
      <c r="J5590" s="444">
        <f t="array" ref="J5590">IFERROR(INDEX('Retirement Calculator'!K:K,MATCH('Lorri 401b'!N5590,'Retirement Calculator'!A:A,0),0),0)</f>
        <v>0</v>
      </c>
      <c r="K5590" s="444">
        <f t="shared" ca="1" si="188"/>
        <v>-40601768770097.328</v>
      </c>
      <c r="L5590" s="444">
        <f t="shared" ca="1" si="189"/>
        <v>-9785026273593456</v>
      </c>
      <c r="M5590" s="460">
        <f t="shared" si="191"/>
        <v>0.05</v>
      </c>
      <c r="N5590" s="464">
        <f t="shared" si="192"/>
        <v>221186</v>
      </c>
    </row>
    <row r="5591" spans="7:14" ht="11.25" customHeight="1" x14ac:dyDescent="0.25">
      <c r="G5591" s="459"/>
      <c r="H5591" s="459">
        <v>5584</v>
      </c>
      <c r="I5591" s="444">
        <f t="shared" ca="1" si="190"/>
        <v>-9785026273593456</v>
      </c>
      <c r="J5591" s="444">
        <f t="array" ref="J5591">IFERROR(INDEX('Retirement Calculator'!K:K,MATCH('Lorri 401b'!N5591,'Retirement Calculator'!A:A,0),0),0)</f>
        <v>0</v>
      </c>
      <c r="K5591" s="444">
        <f t="shared" ca="1" si="188"/>
        <v>-40770942806639.398</v>
      </c>
      <c r="L5591" s="444">
        <f t="shared" ca="1" si="189"/>
        <v>-9825797216400096</v>
      </c>
      <c r="M5591" s="460">
        <f t="shared" si="191"/>
        <v>0.05</v>
      </c>
      <c r="N5591" s="464">
        <f t="shared" si="192"/>
        <v>221217</v>
      </c>
    </row>
    <row r="5592" spans="7:14" ht="11.25" customHeight="1" x14ac:dyDescent="0.25">
      <c r="G5592" s="459"/>
      <c r="H5592" s="459">
        <v>5585</v>
      </c>
      <c r="I5592" s="444">
        <f t="shared" ca="1" si="190"/>
        <v>-9825797216400096</v>
      </c>
      <c r="J5592" s="444">
        <f t="array" ref="J5592">IFERROR(INDEX('Retirement Calculator'!K:K,MATCH('Lorri 401b'!N5592,'Retirement Calculator'!A:A,0),0),0)</f>
        <v>0</v>
      </c>
      <c r="K5592" s="444">
        <f t="shared" ca="1" si="188"/>
        <v>-40940821735000.398</v>
      </c>
      <c r="L5592" s="444">
        <f t="shared" ca="1" si="189"/>
        <v>-9866738038135096</v>
      </c>
      <c r="M5592" s="460">
        <f t="shared" si="191"/>
        <v>0.05</v>
      </c>
      <c r="N5592" s="464">
        <f t="shared" si="192"/>
        <v>221247</v>
      </c>
    </row>
    <row r="5593" spans="7:14" ht="11.25" customHeight="1" x14ac:dyDescent="0.25">
      <c r="G5593" s="459"/>
      <c r="H5593" s="459">
        <v>5586</v>
      </c>
      <c r="I5593" s="444">
        <f t="shared" ca="1" si="190"/>
        <v>-9866738038135096</v>
      </c>
      <c r="J5593" s="444">
        <f t="array" ref="J5593">IFERROR(INDEX('Retirement Calculator'!K:K,MATCH('Lorri 401b'!N5593,'Retirement Calculator'!A:A,0),0),0)</f>
        <v>0</v>
      </c>
      <c r="K5593" s="444">
        <f t="shared" ca="1" si="188"/>
        <v>-41111408492229.563</v>
      </c>
      <c r="L5593" s="444">
        <f t="shared" ca="1" si="189"/>
        <v>-9907849446627326</v>
      </c>
      <c r="M5593" s="460">
        <f t="shared" si="191"/>
        <v>0.05</v>
      </c>
      <c r="N5593" s="464">
        <f t="shared" si="192"/>
        <v>221278</v>
      </c>
    </row>
    <row r="5594" spans="7:14" ht="11.25" customHeight="1" x14ac:dyDescent="0.25">
      <c r="G5594" s="459"/>
      <c r="H5594" s="459">
        <v>5587</v>
      </c>
      <c r="I5594" s="444">
        <f t="shared" ca="1" si="190"/>
        <v>-9907849446627326</v>
      </c>
      <c r="J5594" s="444">
        <f t="array" ref="J5594">IFERROR(INDEX('Retirement Calculator'!K:K,MATCH('Lorri 401b'!N5594,'Retirement Calculator'!A:A,0),0),0)</f>
        <v>0</v>
      </c>
      <c r="K5594" s="444">
        <f t="shared" ca="1" si="188"/>
        <v>-41282706027613.859</v>
      </c>
      <c r="L5594" s="444">
        <f t="shared" ca="1" si="189"/>
        <v>-9949132152654940</v>
      </c>
      <c r="M5594" s="460">
        <f t="shared" si="191"/>
        <v>0.05</v>
      </c>
      <c r="N5594" s="464">
        <f t="shared" si="192"/>
        <v>221308</v>
      </c>
    </row>
    <row r="5595" spans="7:14" ht="11.25" customHeight="1" x14ac:dyDescent="0.25">
      <c r="G5595" s="459"/>
      <c r="H5595" s="459">
        <v>5588</v>
      </c>
      <c r="I5595" s="444">
        <f t="shared" ca="1" si="190"/>
        <v>-9949132152654940</v>
      </c>
      <c r="J5595" s="444">
        <f t="array" ref="J5595">IFERROR(INDEX('Retirement Calculator'!K:K,MATCH('Lorri 401b'!N5595,'Retirement Calculator'!A:A,0),0),0)</f>
        <v>0</v>
      </c>
      <c r="K5595" s="444">
        <f t="shared" ca="1" si="188"/>
        <v>-41454717302728.914</v>
      </c>
      <c r="L5595" s="444">
        <f t="shared" ca="1" si="189"/>
        <v>-9990586869957668</v>
      </c>
      <c r="M5595" s="460">
        <f t="shared" si="191"/>
        <v>0.05</v>
      </c>
      <c r="N5595" s="464">
        <f t="shared" si="192"/>
        <v>221339</v>
      </c>
    </row>
    <row r="5596" spans="7:14" ht="11.25" customHeight="1" x14ac:dyDescent="0.25">
      <c r="G5596" s="459"/>
      <c r="H5596" s="459">
        <v>5589</v>
      </c>
      <c r="I5596" s="444">
        <f t="shared" ca="1" si="190"/>
        <v>-9990586869957668</v>
      </c>
      <c r="J5596" s="444">
        <f t="array" ref="J5596">IFERROR(INDEX('Retirement Calculator'!K:K,MATCH('Lorri 401b'!N5596,'Retirement Calculator'!A:A,0),0),0)</f>
        <v>0</v>
      </c>
      <c r="K5596" s="444">
        <f t="shared" ca="1" si="188"/>
        <v>-41627445291490.281</v>
      </c>
      <c r="L5596" s="444">
        <f t="shared" ca="1" si="189"/>
        <v>-1.0032214315249158E+16</v>
      </c>
      <c r="M5596" s="460">
        <f t="shared" si="191"/>
        <v>0.05</v>
      </c>
      <c r="N5596" s="464">
        <f t="shared" si="192"/>
        <v>221370</v>
      </c>
    </row>
    <row r="5597" spans="7:14" ht="11.25" customHeight="1" x14ac:dyDescent="0.25">
      <c r="G5597" s="459"/>
      <c r="H5597" s="459">
        <v>5590</v>
      </c>
      <c r="I5597" s="444">
        <f t="shared" ca="1" si="190"/>
        <v>-1.0032214315249158E+16</v>
      </c>
      <c r="J5597" s="444">
        <f t="array" ref="J5597">IFERROR(INDEX('Retirement Calculator'!K:K,MATCH('Lorri 401b'!N5597,'Retirement Calculator'!A:A,0),0),0)</f>
        <v>0</v>
      </c>
      <c r="K5597" s="444">
        <f t="shared" ca="1" si="188"/>
        <v>-41800892980204.828</v>
      </c>
      <c r="L5597" s="444">
        <f t="shared" ca="1" si="189"/>
        <v>-1.0074015208229362E+16</v>
      </c>
      <c r="M5597" s="460">
        <f t="shared" si="191"/>
        <v>0.05</v>
      </c>
      <c r="N5597" s="464">
        <f t="shared" si="192"/>
        <v>221398</v>
      </c>
    </row>
    <row r="5598" spans="7:14" ht="11.25" customHeight="1" x14ac:dyDescent="0.25">
      <c r="G5598" s="459"/>
      <c r="H5598" s="459">
        <v>5591</v>
      </c>
      <c r="I5598" s="444">
        <f t="shared" ca="1" si="190"/>
        <v>-1.0074015208229362E+16</v>
      </c>
      <c r="J5598" s="444">
        <f t="array" ref="J5598">IFERROR(INDEX('Retirement Calculator'!K:K,MATCH('Lorri 401b'!N5598,'Retirement Calculator'!A:A,0),0),0)</f>
        <v>0</v>
      </c>
      <c r="K5598" s="444">
        <f t="shared" ca="1" si="188"/>
        <v>-41975063367622.344</v>
      </c>
      <c r="L5598" s="444">
        <f t="shared" ca="1" si="189"/>
        <v>-1.0115990271596984E+16</v>
      </c>
      <c r="M5598" s="460">
        <f t="shared" si="191"/>
        <v>0.05</v>
      </c>
      <c r="N5598" s="464">
        <f t="shared" si="192"/>
        <v>221429</v>
      </c>
    </row>
    <row r="5599" spans="7:14" ht="11.25" customHeight="1" x14ac:dyDescent="0.25">
      <c r="G5599" s="459"/>
      <c r="H5599" s="459">
        <v>5592</v>
      </c>
      <c r="I5599" s="444">
        <f t="shared" ca="1" si="190"/>
        <v>-1.0115990271596984E+16</v>
      </c>
      <c r="J5599" s="444">
        <f t="array" ref="J5599">IFERROR(INDEX('Retirement Calculator'!K:K,MATCH('Lorri 401b'!N5599,'Retirement Calculator'!A:A,0),0),0)</f>
        <v>0</v>
      </c>
      <c r="K5599" s="444">
        <f t="shared" ca="1" si="188"/>
        <v>-42149959464987.43</v>
      </c>
      <c r="L5599" s="444">
        <f t="shared" ca="1" si="189"/>
        <v>-1.0158140231061972E+16</v>
      </c>
      <c r="M5599" s="460">
        <f t="shared" si="191"/>
        <v>0.05</v>
      </c>
      <c r="N5599" s="464">
        <f t="shared" si="192"/>
        <v>221459</v>
      </c>
    </row>
    <row r="5600" spans="7:14" ht="11.25" customHeight="1" x14ac:dyDescent="0.25">
      <c r="G5600" s="459"/>
      <c r="H5600" s="459">
        <v>5593</v>
      </c>
      <c r="I5600" s="444">
        <f t="shared" ca="1" si="190"/>
        <v>-1.0158140231061972E+16</v>
      </c>
      <c r="J5600" s="444">
        <f t="array" ref="J5600">IFERROR(INDEX('Retirement Calculator'!K:K,MATCH('Lorri 401b'!N5600,'Retirement Calculator'!A:A,0),0),0)</f>
        <v>0</v>
      </c>
      <c r="K5600" s="444">
        <f t="shared" ca="1" si="188"/>
        <v>-42325584296091.547</v>
      </c>
      <c r="L5600" s="444">
        <f t="shared" ca="1" si="189"/>
        <v>-1.0200465815358064E+16</v>
      </c>
      <c r="M5600" s="460">
        <f t="shared" si="191"/>
        <v>0.05</v>
      </c>
      <c r="N5600" s="464">
        <f t="shared" si="192"/>
        <v>221490</v>
      </c>
    </row>
    <row r="5601" spans="7:14" ht="11.25" customHeight="1" x14ac:dyDescent="0.25">
      <c r="G5601" s="459"/>
      <c r="H5601" s="459">
        <v>5594</v>
      </c>
      <c r="I5601" s="444">
        <f t="shared" ca="1" si="190"/>
        <v>-1.0200465815358064E+16</v>
      </c>
      <c r="J5601" s="444">
        <f t="array" ref="J5601">IFERROR(INDEX('Retirement Calculator'!K:K,MATCH('Lorri 401b'!N5601,'Retirement Calculator'!A:A,0),0),0)</f>
        <v>0</v>
      </c>
      <c r="K5601" s="444">
        <f t="shared" ca="1" si="188"/>
        <v>-42501940897325.266</v>
      </c>
      <c r="L5601" s="444">
        <f t="shared" ca="1" si="189"/>
        <v>-1.024296775625539E+16</v>
      </c>
      <c r="M5601" s="460">
        <f t="shared" si="191"/>
        <v>0.05</v>
      </c>
      <c r="N5601" s="464">
        <f t="shared" si="192"/>
        <v>221520</v>
      </c>
    </row>
    <row r="5602" spans="7:14" ht="11.25" customHeight="1" x14ac:dyDescent="0.25">
      <c r="G5602" s="459"/>
      <c r="H5602" s="459">
        <v>5595</v>
      </c>
      <c r="I5602" s="444">
        <f t="shared" ca="1" si="190"/>
        <v>-1.024296775625539E+16</v>
      </c>
      <c r="J5602" s="444">
        <f t="array" ref="J5602">IFERROR(INDEX('Retirement Calculator'!K:K,MATCH('Lorri 401b'!N5602,'Retirement Calculator'!A:A,0),0),0)</f>
        <v>0</v>
      </c>
      <c r="K5602" s="444">
        <f t="shared" ca="1" si="188"/>
        <v>-42679032317730.789</v>
      </c>
      <c r="L5602" s="444">
        <f t="shared" ca="1" si="189"/>
        <v>-1.028564678857312E+16</v>
      </c>
      <c r="M5602" s="460">
        <f t="shared" si="191"/>
        <v>0.05</v>
      </c>
      <c r="N5602" s="464">
        <f t="shared" si="192"/>
        <v>221551</v>
      </c>
    </row>
    <row r="5603" spans="7:14" ht="11.25" customHeight="1" x14ac:dyDescent="0.25">
      <c r="G5603" s="459"/>
      <c r="H5603" s="459">
        <v>5596</v>
      </c>
      <c r="I5603" s="444">
        <f t="shared" ca="1" si="190"/>
        <v>-1.028564678857312E+16</v>
      </c>
      <c r="J5603" s="444">
        <f t="array" ref="J5603">IFERROR(INDEX('Retirement Calculator'!K:K,MATCH('Lorri 401b'!N5603,'Retirement Calculator'!A:A,0),0),0)</f>
        <v>0</v>
      </c>
      <c r="K5603" s="444">
        <f t="shared" ca="1" si="188"/>
        <v>-42856861619054.664</v>
      </c>
      <c r="L5603" s="444">
        <f t="shared" ca="1" si="189"/>
        <v>-1.0328503650192174E+16</v>
      </c>
      <c r="M5603" s="460">
        <f t="shared" si="191"/>
        <v>0.05</v>
      </c>
      <c r="N5603" s="464">
        <f t="shared" si="192"/>
        <v>221582</v>
      </c>
    </row>
    <row r="5604" spans="7:14" ht="11.25" customHeight="1" x14ac:dyDescent="0.25">
      <c r="G5604" s="459"/>
      <c r="H5604" s="459">
        <v>5597</v>
      </c>
      <c r="I5604" s="444">
        <f t="shared" ca="1" si="190"/>
        <v>-1.0328503650192174E+16</v>
      </c>
      <c r="J5604" s="444">
        <f t="array" ref="J5604">IFERROR(INDEX('Retirement Calculator'!K:K,MATCH('Lorri 401b'!N5604,'Retirement Calculator'!A:A,0),0),0)</f>
        <v>0</v>
      </c>
      <c r="K5604" s="444">
        <f t="shared" ca="1" si="188"/>
        <v>-43035431875800.727</v>
      </c>
      <c r="L5604" s="444">
        <f t="shared" ca="1" si="189"/>
        <v>-1.0371539082067974E+16</v>
      </c>
      <c r="M5604" s="460">
        <f t="shared" si="191"/>
        <v>0.05</v>
      </c>
      <c r="N5604" s="464">
        <f t="shared" si="192"/>
        <v>221612</v>
      </c>
    </row>
    <row r="5605" spans="7:14" ht="11.25" customHeight="1" x14ac:dyDescent="0.25">
      <c r="G5605" s="459"/>
      <c r="H5605" s="459">
        <v>5598</v>
      </c>
      <c r="I5605" s="444">
        <f t="shared" ca="1" si="190"/>
        <v>-1.0371539082067974E+16</v>
      </c>
      <c r="J5605" s="444">
        <f t="array" ref="J5605">IFERROR(INDEX('Retirement Calculator'!K:K,MATCH('Lorri 401b'!N5605,'Retirement Calculator'!A:A,0),0),0)</f>
        <v>0</v>
      </c>
      <c r="K5605" s="444">
        <f t="shared" ca="1" si="188"/>
        <v>-43214746175283.227</v>
      </c>
      <c r="L5605" s="444">
        <f t="shared" ca="1" si="189"/>
        <v>-1.0414753828243258E+16</v>
      </c>
      <c r="M5605" s="460">
        <f t="shared" si="191"/>
        <v>0.05</v>
      </c>
      <c r="N5605" s="464">
        <f t="shared" si="192"/>
        <v>221643</v>
      </c>
    </row>
    <row r="5606" spans="7:14" ht="11.25" customHeight="1" x14ac:dyDescent="0.25">
      <c r="G5606" s="459"/>
      <c r="H5606" s="459">
        <v>5599</v>
      </c>
      <c r="I5606" s="444">
        <f t="shared" ca="1" si="190"/>
        <v>-1.0414753828243258E+16</v>
      </c>
      <c r="J5606" s="444">
        <f t="array" ref="J5606">IFERROR(INDEX('Retirement Calculator'!K:K,MATCH('Lorri 401b'!N5606,'Retirement Calculator'!A:A,0),0),0)</f>
        <v>0</v>
      </c>
      <c r="K5606" s="444">
        <f t="shared" ca="1" si="188"/>
        <v>-43394807617680.242</v>
      </c>
      <c r="L5606" s="444">
        <f t="shared" ca="1" si="189"/>
        <v>-1.0458148635860938E+16</v>
      </c>
      <c r="M5606" s="460">
        <f t="shared" si="191"/>
        <v>0.05</v>
      </c>
      <c r="N5606" s="464">
        <f t="shared" si="192"/>
        <v>221673</v>
      </c>
    </row>
    <row r="5607" spans="7:14" ht="11.25" customHeight="1" x14ac:dyDescent="0.25">
      <c r="G5607" s="459"/>
      <c r="H5607" s="459">
        <v>5600</v>
      </c>
      <c r="I5607" s="444">
        <f t="shared" ca="1" si="190"/>
        <v>-1.0458148635860938E+16</v>
      </c>
      <c r="J5607" s="444">
        <f t="array" ref="J5607">IFERROR(INDEX('Retirement Calculator'!K:K,MATCH('Lorri 401b'!N5607,'Retirement Calculator'!A:A,0),0),0)</f>
        <v>0</v>
      </c>
      <c r="K5607" s="444">
        <f t="shared" ca="1" si="188"/>
        <v>-43575619316087.242</v>
      </c>
      <c r="L5607" s="444">
        <f t="shared" ca="1" si="189"/>
        <v>-1.0501724255177026E+16</v>
      </c>
      <c r="M5607" s="460">
        <f t="shared" si="191"/>
        <v>0.05</v>
      </c>
      <c r="N5607" s="464">
        <f t="shared" si="192"/>
        <v>221704</v>
      </c>
    </row>
    <row r="5608" spans="7:14" ht="11.25" customHeight="1" x14ac:dyDescent="0.25">
      <c r="G5608" s="459"/>
      <c r="H5608" s="459">
        <v>5601</v>
      </c>
      <c r="I5608" s="444">
        <f t="shared" ca="1" si="190"/>
        <v>-1.0501724255177026E+16</v>
      </c>
      <c r="J5608" s="444">
        <f t="array" ref="J5608">IFERROR(INDEX('Retirement Calculator'!K:K,MATCH('Lorri 401b'!N5608,'Retirement Calculator'!A:A,0),0),0)</f>
        <v>0</v>
      </c>
      <c r="K5608" s="444">
        <f t="shared" ca="1" si="188"/>
        <v>-43757184396570.938</v>
      </c>
      <c r="L5608" s="444">
        <f t="shared" ca="1" si="189"/>
        <v>-1.0545481439573596E+16</v>
      </c>
      <c r="M5608" s="460">
        <f t="shared" si="191"/>
        <v>0.05</v>
      </c>
      <c r="N5608" s="464">
        <f t="shared" si="192"/>
        <v>221735</v>
      </c>
    </row>
    <row r="5609" spans="7:14" ht="11.25" customHeight="1" x14ac:dyDescent="0.25">
      <c r="G5609" s="459"/>
      <c r="H5609" s="459">
        <v>5602</v>
      </c>
      <c r="I5609" s="444">
        <f t="shared" ca="1" si="190"/>
        <v>-1.0545481439573596E+16</v>
      </c>
      <c r="J5609" s="444">
        <f t="array" ref="J5609">IFERROR(INDEX('Retirement Calculator'!K:K,MATCH('Lorri 401b'!N5609,'Retirement Calculator'!A:A,0),0),0)</f>
        <v>0</v>
      </c>
      <c r="K5609" s="444">
        <f t="shared" ca="1" si="188"/>
        <v>-43939505998223.313</v>
      </c>
      <c r="L5609" s="444">
        <f t="shared" ca="1" si="189"/>
        <v>-1.058942094557182E+16</v>
      </c>
      <c r="M5609" s="460">
        <f t="shared" si="191"/>
        <v>0.05</v>
      </c>
      <c r="N5609" s="464">
        <f t="shared" si="192"/>
        <v>221763</v>
      </c>
    </row>
    <row r="5610" spans="7:14" ht="11.25" customHeight="1" x14ac:dyDescent="0.25">
      <c r="G5610" s="459"/>
      <c r="H5610" s="459">
        <v>5603</v>
      </c>
      <c r="I5610" s="444">
        <f t="shared" ca="1" si="190"/>
        <v>-1.058942094557182E+16</v>
      </c>
      <c r="J5610" s="444">
        <f t="array" ref="J5610">IFERROR(INDEX('Retirement Calculator'!K:K,MATCH('Lorri 401b'!N5610,'Retirement Calculator'!A:A,0),0),0)</f>
        <v>0</v>
      </c>
      <c r="K5610" s="444">
        <f t="shared" ca="1" si="188"/>
        <v>-44122587273215.914</v>
      </c>
      <c r="L5610" s="444">
        <f t="shared" ca="1" si="189"/>
        <v>-1.0633543532845036E+16</v>
      </c>
      <c r="M5610" s="460">
        <f t="shared" si="191"/>
        <v>0.05</v>
      </c>
      <c r="N5610" s="464">
        <f t="shared" si="192"/>
        <v>221794</v>
      </c>
    </row>
    <row r="5611" spans="7:14" ht="11.25" customHeight="1" x14ac:dyDescent="0.25">
      <c r="G5611" s="459"/>
      <c r="H5611" s="459">
        <v>5604</v>
      </c>
      <c r="I5611" s="444">
        <f t="shared" ca="1" si="190"/>
        <v>-1.0633543532845036E+16</v>
      </c>
      <c r="J5611" s="444">
        <f t="array" ref="J5611">IFERROR(INDEX('Retirement Calculator'!K:K,MATCH('Lorri 401b'!N5611,'Retirement Calculator'!A:A,0),0),0)</f>
        <v>0</v>
      </c>
      <c r="K5611" s="444">
        <f t="shared" ca="1" si="188"/>
        <v>-44306431386854.313</v>
      </c>
      <c r="L5611" s="444">
        <f t="shared" ca="1" si="189"/>
        <v>-1.067784996423189E+16</v>
      </c>
      <c r="M5611" s="460">
        <f t="shared" si="191"/>
        <v>0.05</v>
      </c>
      <c r="N5611" s="464">
        <f t="shared" si="192"/>
        <v>221824</v>
      </c>
    </row>
    <row r="5612" spans="7:14" ht="11.25" customHeight="1" x14ac:dyDescent="0.25">
      <c r="G5612" s="459"/>
      <c r="H5612" s="459">
        <v>5605</v>
      </c>
      <c r="I5612" s="444">
        <f t="shared" ca="1" si="190"/>
        <v>-1.067784996423189E+16</v>
      </c>
      <c r="J5612" s="444">
        <f t="array" ref="J5612">IFERROR(INDEX('Retirement Calculator'!K:K,MATCH('Lorri 401b'!N5612,'Retirement Calculator'!A:A,0),0),0)</f>
        <v>0</v>
      </c>
      <c r="K5612" s="444">
        <f t="shared" ca="1" si="188"/>
        <v>-44491041517632.875</v>
      </c>
      <c r="L5612" s="444">
        <f t="shared" ca="1" si="189"/>
        <v>-1.0722341005749522E+16</v>
      </c>
      <c r="M5612" s="460">
        <f t="shared" si="191"/>
        <v>0.05</v>
      </c>
      <c r="N5612" s="464">
        <f t="shared" si="192"/>
        <v>221855</v>
      </c>
    </row>
    <row r="5613" spans="7:14" ht="11.25" customHeight="1" x14ac:dyDescent="0.25">
      <c r="G5613" s="459"/>
      <c r="H5613" s="459">
        <v>5606</v>
      </c>
      <c r="I5613" s="444">
        <f t="shared" ca="1" si="190"/>
        <v>-1.0722341005749522E+16</v>
      </c>
      <c r="J5613" s="444">
        <f t="array" ref="J5613">IFERROR(INDEX('Retirement Calculator'!K:K,MATCH('Lorri 401b'!N5613,'Retirement Calculator'!A:A,0),0),0)</f>
        <v>0</v>
      </c>
      <c r="K5613" s="444">
        <f t="shared" ca="1" si="188"/>
        <v>-44676420857289.672</v>
      </c>
      <c r="L5613" s="444">
        <f t="shared" ca="1" si="189"/>
        <v>-1.0767017426606812E+16</v>
      </c>
      <c r="M5613" s="460">
        <f t="shared" si="191"/>
        <v>0.05</v>
      </c>
      <c r="N5613" s="464">
        <f t="shared" si="192"/>
        <v>221885</v>
      </c>
    </row>
    <row r="5614" spans="7:14" ht="11.25" customHeight="1" x14ac:dyDescent="0.25">
      <c r="G5614" s="459"/>
      <c r="H5614" s="459">
        <v>5607</v>
      </c>
      <c r="I5614" s="444">
        <f t="shared" ca="1" si="190"/>
        <v>-1.0767017426606812E+16</v>
      </c>
      <c r="J5614" s="444">
        <f t="array" ref="J5614">IFERROR(INDEX('Retirement Calculator'!K:K,MATCH('Lorri 401b'!N5614,'Retirement Calculator'!A:A,0),0),0)</f>
        <v>0</v>
      </c>
      <c r="K5614" s="444">
        <f t="shared" ca="1" si="188"/>
        <v>-44862572610861.719</v>
      </c>
      <c r="L5614" s="444">
        <f t="shared" ca="1" si="189"/>
        <v>-1.0811879999217674E+16</v>
      </c>
      <c r="M5614" s="460">
        <f t="shared" si="191"/>
        <v>0.05</v>
      </c>
      <c r="N5614" s="464">
        <f t="shared" si="192"/>
        <v>221916</v>
      </c>
    </row>
    <row r="5615" spans="7:14" ht="11.25" customHeight="1" x14ac:dyDescent="0.25">
      <c r="G5615" s="459"/>
      <c r="H5615" s="459">
        <v>5608</v>
      </c>
      <c r="I5615" s="444">
        <f t="shared" ca="1" si="190"/>
        <v>-1.0811879999217674E+16</v>
      </c>
      <c r="J5615" s="444">
        <f t="array" ref="J5615">IFERROR(INDEX('Retirement Calculator'!K:K,MATCH('Lorri 401b'!N5615,'Retirement Calculator'!A:A,0),0),0)</f>
        <v>0</v>
      </c>
      <c r="K5615" s="444">
        <f t="shared" ca="1" si="188"/>
        <v>-45049499996740.305</v>
      </c>
      <c r="L5615" s="444">
        <f t="shared" ca="1" si="189"/>
        <v>-1.0856929499214414E+16</v>
      </c>
      <c r="M5615" s="460">
        <f t="shared" si="191"/>
        <v>0.05</v>
      </c>
      <c r="N5615" s="464">
        <f t="shared" si="192"/>
        <v>221947</v>
      </c>
    </row>
    <row r="5616" spans="7:14" ht="11.25" customHeight="1" x14ac:dyDescent="0.25">
      <c r="G5616" s="459"/>
      <c r="H5616" s="459">
        <v>5609</v>
      </c>
      <c r="I5616" s="444">
        <f t="shared" ca="1" si="190"/>
        <v>-1.0856929499214414E+16</v>
      </c>
      <c r="J5616" s="444">
        <f t="array" ref="J5616">IFERROR(INDEX('Retirement Calculator'!K:K,MATCH('Lorri 401b'!N5616,'Retirement Calculator'!A:A,0),0),0)</f>
        <v>0</v>
      </c>
      <c r="K5616" s="444">
        <f t="shared" ca="1" si="188"/>
        <v>-45237206246726.727</v>
      </c>
      <c r="L5616" s="444">
        <f t="shared" ca="1" si="189"/>
        <v>-1.090216670546114E+16</v>
      </c>
      <c r="M5616" s="460">
        <f t="shared" si="191"/>
        <v>0.05</v>
      </c>
      <c r="N5616" s="464">
        <f t="shared" si="192"/>
        <v>221977</v>
      </c>
    </row>
    <row r="5617" spans="7:14" ht="11.25" customHeight="1" x14ac:dyDescent="0.25">
      <c r="G5617" s="459"/>
      <c r="H5617" s="459">
        <v>5610</v>
      </c>
      <c r="I5617" s="444">
        <f t="shared" ca="1" si="190"/>
        <v>-1.090216670546114E+16</v>
      </c>
      <c r="J5617" s="444">
        <f t="array" ref="J5617">IFERROR(INDEX('Retirement Calculator'!K:K,MATCH('Lorri 401b'!N5617,'Retirement Calculator'!A:A,0),0),0)</f>
        <v>0</v>
      </c>
      <c r="K5617" s="444">
        <f t="shared" ca="1" si="188"/>
        <v>-45425694606088.086</v>
      </c>
      <c r="L5617" s="444">
        <f t="shared" ca="1" si="189"/>
        <v>-1.0947592400067228E+16</v>
      </c>
      <c r="M5617" s="460">
        <f t="shared" si="191"/>
        <v>0.05</v>
      </c>
      <c r="N5617" s="464">
        <f t="shared" si="192"/>
        <v>222008</v>
      </c>
    </row>
    <row r="5618" spans="7:14" ht="11.25" customHeight="1" x14ac:dyDescent="0.25">
      <c r="G5618" s="459"/>
      <c r="H5618" s="459">
        <v>5611</v>
      </c>
      <c r="I5618" s="444">
        <f t="shared" ca="1" si="190"/>
        <v>-1.0947592400067228E+16</v>
      </c>
      <c r="J5618" s="444">
        <f t="array" ref="J5618">IFERROR(INDEX('Retirement Calculator'!K:K,MATCH('Lorri 401b'!N5618,'Retirement Calculator'!A:A,0),0),0)</f>
        <v>0</v>
      </c>
      <c r="K5618" s="444">
        <f t="shared" ref="K5618:K5872" ca="1" si="193">IPMT(M5618/12,1,12,-I5618+J5618,,0)</f>
        <v>-45614968333613.453</v>
      </c>
      <c r="L5618" s="444">
        <f t="shared" ref="L5618:L5872" ca="1" si="194">I5618-J5618+K5618</f>
        <v>-1.0993207368400842E+16</v>
      </c>
      <c r="M5618" s="460">
        <f t="shared" si="191"/>
        <v>0.05</v>
      </c>
      <c r="N5618" s="464">
        <f t="shared" si="192"/>
        <v>222038</v>
      </c>
    </row>
    <row r="5619" spans="7:14" ht="11.25" customHeight="1" x14ac:dyDescent="0.25">
      <c r="G5619" s="459"/>
      <c r="H5619" s="459">
        <v>5612</v>
      </c>
      <c r="I5619" s="444">
        <f t="shared" ref="I5619:I5873" ca="1" si="195">L5618</f>
        <v>-1.0993207368400842E+16</v>
      </c>
      <c r="J5619" s="444">
        <f t="array" ref="J5619">IFERROR(INDEX('Retirement Calculator'!K:K,MATCH('Lorri 401b'!N5619,'Retirement Calculator'!A:A,0),0),0)</f>
        <v>0</v>
      </c>
      <c r="K5619" s="444">
        <f t="shared" ca="1" si="193"/>
        <v>-45805030701670.172</v>
      </c>
      <c r="L5619" s="444">
        <f t="shared" ca="1" si="194"/>
        <v>-1.1039012399102512E+16</v>
      </c>
      <c r="M5619" s="460">
        <f t="shared" ref="M5619:M5873" si="196">M5618</f>
        <v>0.05</v>
      </c>
      <c r="N5619" s="464">
        <f t="shared" ref="N5619:N5873" si="197">EDATE(N5618,1)</f>
        <v>222069</v>
      </c>
    </row>
    <row r="5620" spans="7:14" ht="11.25" customHeight="1" x14ac:dyDescent="0.25">
      <c r="G5620" s="459"/>
      <c r="H5620" s="459">
        <v>5613</v>
      </c>
      <c r="I5620" s="444">
        <f t="shared" ca="1" si="195"/>
        <v>-1.1039012399102512E+16</v>
      </c>
      <c r="J5620" s="444">
        <f t="array" ref="J5620">IFERROR(INDEX('Retirement Calculator'!K:K,MATCH('Lorri 401b'!N5620,'Retirement Calculator'!A:A,0),0),0)</f>
        <v>0</v>
      </c>
      <c r="K5620" s="444">
        <f t="shared" ca="1" si="193"/>
        <v>-45995884996260.469</v>
      </c>
      <c r="L5620" s="444">
        <f t="shared" ca="1" si="194"/>
        <v>-1.1085008284098772E+16</v>
      </c>
      <c r="M5620" s="460">
        <f t="shared" si="196"/>
        <v>0.05</v>
      </c>
      <c r="N5620" s="464">
        <f t="shared" si="197"/>
        <v>222100</v>
      </c>
    </row>
    <row r="5621" spans="7:14" ht="11.25" customHeight="1" x14ac:dyDescent="0.25">
      <c r="G5621" s="459"/>
      <c r="H5621" s="459">
        <v>5614</v>
      </c>
      <c r="I5621" s="444">
        <f t="shared" ca="1" si="195"/>
        <v>-1.1085008284098772E+16</v>
      </c>
      <c r="J5621" s="444">
        <f t="array" ref="J5621">IFERROR(INDEX('Retirement Calculator'!K:K,MATCH('Lorri 401b'!N5621,'Retirement Calculator'!A:A,0),0),0)</f>
        <v>0</v>
      </c>
      <c r="K5621" s="444">
        <f t="shared" ca="1" si="193"/>
        <v>-46187534517078.219</v>
      </c>
      <c r="L5621" s="444">
        <f t="shared" ca="1" si="194"/>
        <v>-1.113119581861585E+16</v>
      </c>
      <c r="M5621" s="460">
        <f t="shared" si="196"/>
        <v>0.05</v>
      </c>
      <c r="N5621" s="464">
        <f t="shared" si="197"/>
        <v>222129</v>
      </c>
    </row>
    <row r="5622" spans="7:14" ht="11.25" customHeight="1" x14ac:dyDescent="0.25">
      <c r="G5622" s="459"/>
      <c r="H5622" s="459">
        <v>5615</v>
      </c>
      <c r="I5622" s="444">
        <f t="shared" ca="1" si="195"/>
        <v>-1.113119581861585E+16</v>
      </c>
      <c r="J5622" s="444">
        <f t="array" ref="J5622">IFERROR(INDEX('Retirement Calculator'!K:K,MATCH('Lorri 401b'!N5622,'Retirement Calculator'!A:A,0),0),0)</f>
        <v>0</v>
      </c>
      <c r="K5622" s="444">
        <f t="shared" ca="1" si="193"/>
        <v>-46379982577566.039</v>
      </c>
      <c r="L5622" s="444">
        <f t="shared" ca="1" si="194"/>
        <v>-1.1177575801193416E+16</v>
      </c>
      <c r="M5622" s="460">
        <f t="shared" si="196"/>
        <v>0.05</v>
      </c>
      <c r="N5622" s="464">
        <f t="shared" si="197"/>
        <v>222160</v>
      </c>
    </row>
    <row r="5623" spans="7:14" ht="11.25" customHeight="1" x14ac:dyDescent="0.25">
      <c r="G5623" s="459"/>
      <c r="H5623" s="459">
        <v>5616</v>
      </c>
      <c r="I5623" s="444">
        <f t="shared" ca="1" si="195"/>
        <v>-1.1177575801193416E+16</v>
      </c>
      <c r="J5623" s="444">
        <f t="array" ref="J5623">IFERROR(INDEX('Retirement Calculator'!K:K,MATCH('Lorri 401b'!N5623,'Retirement Calculator'!A:A,0),0),0)</f>
        <v>0</v>
      </c>
      <c r="K5623" s="444">
        <f t="shared" ca="1" si="193"/>
        <v>-46573232504972.563</v>
      </c>
      <c r="L5623" s="444">
        <f t="shared" ca="1" si="194"/>
        <v>-1.1224149033698388E+16</v>
      </c>
      <c r="M5623" s="460">
        <f t="shared" si="196"/>
        <v>0.05</v>
      </c>
      <c r="N5623" s="464">
        <f t="shared" si="197"/>
        <v>222190</v>
      </c>
    </row>
    <row r="5624" spans="7:14" ht="11.25" customHeight="1" x14ac:dyDescent="0.25">
      <c r="G5624" s="459"/>
      <c r="H5624" s="459">
        <v>5617</v>
      </c>
      <c r="I5624" s="444">
        <f t="shared" ca="1" si="195"/>
        <v>-1.1224149033698388E+16</v>
      </c>
      <c r="J5624" s="444">
        <f t="array" ref="J5624">IFERROR(INDEX('Retirement Calculator'!K:K,MATCH('Lorri 401b'!N5624,'Retirement Calculator'!A:A,0),0),0)</f>
        <v>0</v>
      </c>
      <c r="K5624" s="444">
        <f t="shared" ca="1" si="193"/>
        <v>-46767287640409.953</v>
      </c>
      <c r="L5624" s="444">
        <f t="shared" ca="1" si="194"/>
        <v>-1.1270916321338798E+16</v>
      </c>
      <c r="M5624" s="460">
        <f t="shared" si="196"/>
        <v>0.05</v>
      </c>
      <c r="N5624" s="464">
        <f t="shared" si="197"/>
        <v>222221</v>
      </c>
    </row>
    <row r="5625" spans="7:14" ht="11.25" customHeight="1" x14ac:dyDescent="0.25">
      <c r="G5625" s="459"/>
      <c r="H5625" s="459">
        <v>5618</v>
      </c>
      <c r="I5625" s="444">
        <f t="shared" ca="1" si="195"/>
        <v>-1.1270916321338798E+16</v>
      </c>
      <c r="J5625" s="444">
        <f t="array" ref="J5625">IFERROR(INDEX('Retirement Calculator'!K:K,MATCH('Lorri 401b'!N5625,'Retirement Calculator'!A:A,0),0),0)</f>
        <v>0</v>
      </c>
      <c r="K5625" s="444">
        <f t="shared" ca="1" si="193"/>
        <v>-46962151338911.656</v>
      </c>
      <c r="L5625" s="444">
        <f t="shared" ca="1" si="194"/>
        <v>-1.131787847267771E+16</v>
      </c>
      <c r="M5625" s="460">
        <f t="shared" si="196"/>
        <v>0.05</v>
      </c>
      <c r="N5625" s="464">
        <f t="shared" si="197"/>
        <v>222251</v>
      </c>
    </row>
    <row r="5626" spans="7:14" ht="11.25" customHeight="1" x14ac:dyDescent="0.25">
      <c r="G5626" s="459"/>
      <c r="H5626" s="459">
        <v>5619</v>
      </c>
      <c r="I5626" s="444">
        <f t="shared" ca="1" si="195"/>
        <v>-1.131787847267771E+16</v>
      </c>
      <c r="J5626" s="444">
        <f t="array" ref="J5626">IFERROR(INDEX('Retirement Calculator'!K:K,MATCH('Lorri 401b'!N5626,'Retirement Calculator'!A:A,0),0),0)</f>
        <v>0</v>
      </c>
      <c r="K5626" s="444">
        <f t="shared" ca="1" si="193"/>
        <v>-47157826969490.461</v>
      </c>
      <c r="L5626" s="444">
        <f t="shared" ca="1" si="194"/>
        <v>-1.13650362996472E+16</v>
      </c>
      <c r="M5626" s="460">
        <f t="shared" si="196"/>
        <v>0.05</v>
      </c>
      <c r="N5626" s="464">
        <f t="shared" si="197"/>
        <v>222282</v>
      </c>
    </row>
    <row r="5627" spans="7:14" ht="11.25" customHeight="1" x14ac:dyDescent="0.25">
      <c r="G5627" s="459"/>
      <c r="H5627" s="459">
        <v>5620</v>
      </c>
      <c r="I5627" s="444">
        <f t="shared" ca="1" si="195"/>
        <v>-1.13650362996472E+16</v>
      </c>
      <c r="J5627" s="444">
        <f t="array" ref="J5627">IFERROR(INDEX('Retirement Calculator'!K:K,MATCH('Lorri 401b'!N5627,'Retirement Calculator'!A:A,0),0),0)</f>
        <v>0</v>
      </c>
      <c r="K5627" s="444">
        <f t="shared" ca="1" si="193"/>
        <v>-47354317915196.664</v>
      </c>
      <c r="L5627" s="444">
        <f t="shared" ca="1" si="194"/>
        <v>-1.1412390617562396E+16</v>
      </c>
      <c r="M5627" s="460">
        <f t="shared" si="196"/>
        <v>0.05</v>
      </c>
      <c r="N5627" s="464">
        <f t="shared" si="197"/>
        <v>222313</v>
      </c>
    </row>
    <row r="5628" spans="7:14" ht="11.25" customHeight="1" x14ac:dyDescent="0.25">
      <c r="G5628" s="459"/>
      <c r="H5628" s="459">
        <v>5621</v>
      </c>
      <c r="I5628" s="444">
        <f t="shared" ca="1" si="195"/>
        <v>-1.1412390617562396E+16</v>
      </c>
      <c r="J5628" s="444">
        <f t="array" ref="J5628">IFERROR(INDEX('Retirement Calculator'!K:K,MATCH('Lorri 401b'!N5628,'Retirement Calculator'!A:A,0),0),0)</f>
        <v>0</v>
      </c>
      <c r="K5628" s="444">
        <f t="shared" ca="1" si="193"/>
        <v>-47551627573176.648</v>
      </c>
      <c r="L5628" s="444">
        <f t="shared" ca="1" si="194"/>
        <v>-1.1459942245135572E+16</v>
      </c>
      <c r="M5628" s="460">
        <f t="shared" si="196"/>
        <v>0.05</v>
      </c>
      <c r="N5628" s="464">
        <f t="shared" si="197"/>
        <v>222343</v>
      </c>
    </row>
    <row r="5629" spans="7:14" ht="11.25" customHeight="1" x14ac:dyDescent="0.25">
      <c r="G5629" s="459"/>
      <c r="H5629" s="459">
        <v>5622</v>
      </c>
      <c r="I5629" s="444">
        <f t="shared" ca="1" si="195"/>
        <v>-1.1459942245135572E+16</v>
      </c>
      <c r="J5629" s="444">
        <f t="array" ref="J5629">IFERROR(INDEX('Retirement Calculator'!K:K,MATCH('Lorri 401b'!N5629,'Retirement Calculator'!A:A,0),0),0)</f>
        <v>0</v>
      </c>
      <c r="K5629" s="444">
        <f t="shared" ca="1" si="193"/>
        <v>-47749759354731.547</v>
      </c>
      <c r="L5629" s="444">
        <f t="shared" ca="1" si="194"/>
        <v>-1.1507692004490304E+16</v>
      </c>
      <c r="M5629" s="460">
        <f t="shared" si="196"/>
        <v>0.05</v>
      </c>
      <c r="N5629" s="464">
        <f t="shared" si="197"/>
        <v>222374</v>
      </c>
    </row>
    <row r="5630" spans="7:14" ht="11.25" customHeight="1" x14ac:dyDescent="0.25">
      <c r="G5630" s="459"/>
      <c r="H5630" s="459">
        <v>5623</v>
      </c>
      <c r="I5630" s="444">
        <f t="shared" ca="1" si="195"/>
        <v>-1.1507692004490304E+16</v>
      </c>
      <c r="J5630" s="444">
        <f t="array" ref="J5630">IFERROR(INDEX('Retirement Calculator'!K:K,MATCH('Lorri 401b'!N5630,'Retirement Calculator'!A:A,0),0),0)</f>
        <v>0</v>
      </c>
      <c r="K5630" s="444">
        <f t="shared" ca="1" si="193"/>
        <v>-47948716685376.266</v>
      </c>
      <c r="L5630" s="444">
        <f t="shared" ca="1" si="194"/>
        <v>-1.155564072117568E+16</v>
      </c>
      <c r="M5630" s="460">
        <f t="shared" si="196"/>
        <v>0.05</v>
      </c>
      <c r="N5630" s="464">
        <f t="shared" si="197"/>
        <v>222404</v>
      </c>
    </row>
    <row r="5631" spans="7:14" ht="11.25" customHeight="1" x14ac:dyDescent="0.25">
      <c r="G5631" s="459"/>
      <c r="H5631" s="459">
        <v>5624</v>
      </c>
      <c r="I5631" s="444">
        <f t="shared" ca="1" si="195"/>
        <v>-1.155564072117568E+16</v>
      </c>
      <c r="J5631" s="444">
        <f t="array" ref="J5631">IFERROR(INDEX('Retirement Calculator'!K:K,MATCH('Lorri 401b'!N5631,'Retirement Calculator'!A:A,0),0),0)</f>
        <v>0</v>
      </c>
      <c r="K5631" s="444">
        <f t="shared" ca="1" si="193"/>
        <v>-48148503004898.664</v>
      </c>
      <c r="L5631" s="444">
        <f t="shared" ca="1" si="194"/>
        <v>-1.1603789224180578E+16</v>
      </c>
      <c r="M5631" s="460">
        <f t="shared" si="196"/>
        <v>0.05</v>
      </c>
      <c r="N5631" s="464">
        <f t="shared" si="197"/>
        <v>222435</v>
      </c>
    </row>
    <row r="5632" spans="7:14" ht="11.25" customHeight="1" x14ac:dyDescent="0.25">
      <c r="G5632" s="459"/>
      <c r="H5632" s="459">
        <v>5625</v>
      </c>
      <c r="I5632" s="444">
        <f t="shared" ca="1" si="195"/>
        <v>-1.1603789224180578E+16</v>
      </c>
      <c r="J5632" s="444">
        <f t="array" ref="J5632">IFERROR(INDEX('Retirement Calculator'!K:K,MATCH('Lorri 401b'!N5632,'Retirement Calculator'!A:A,0),0),0)</f>
        <v>0</v>
      </c>
      <c r="K5632" s="444">
        <f t="shared" ca="1" si="193"/>
        <v>-48349121767419.078</v>
      </c>
      <c r="L5632" s="444">
        <f t="shared" ca="1" si="194"/>
        <v>-1.1652138345947998E+16</v>
      </c>
      <c r="M5632" s="460">
        <f t="shared" si="196"/>
        <v>0.05</v>
      </c>
      <c r="N5632" s="464">
        <f t="shared" si="197"/>
        <v>222466</v>
      </c>
    </row>
    <row r="5633" spans="7:14" ht="11.25" customHeight="1" x14ac:dyDescent="0.25">
      <c r="G5633" s="459"/>
      <c r="H5633" s="459">
        <v>5626</v>
      </c>
      <c r="I5633" s="444">
        <f t="shared" ca="1" si="195"/>
        <v>-1.1652138345947998E+16</v>
      </c>
      <c r="J5633" s="444">
        <f t="array" ref="J5633">IFERROR(INDEX('Retirement Calculator'!K:K,MATCH('Lorri 401b'!N5633,'Retirement Calculator'!A:A,0),0),0)</f>
        <v>0</v>
      </c>
      <c r="K5633" s="444">
        <f t="shared" ca="1" si="193"/>
        <v>-48550576441449.992</v>
      </c>
      <c r="L5633" s="444">
        <f t="shared" ca="1" si="194"/>
        <v>-1.1700688922389448E+16</v>
      </c>
      <c r="M5633" s="460">
        <f t="shared" si="196"/>
        <v>0.05</v>
      </c>
      <c r="N5633" s="464">
        <f t="shared" si="197"/>
        <v>222494</v>
      </c>
    </row>
    <row r="5634" spans="7:14" ht="11.25" customHeight="1" x14ac:dyDescent="0.25">
      <c r="G5634" s="459"/>
      <c r="H5634" s="459">
        <v>5627</v>
      </c>
      <c r="I5634" s="444">
        <f t="shared" ca="1" si="195"/>
        <v>-1.1700688922389448E+16</v>
      </c>
      <c r="J5634" s="444">
        <f t="array" ref="J5634">IFERROR(INDEX('Retirement Calculator'!K:K,MATCH('Lorri 401b'!N5634,'Retirement Calculator'!A:A,0),0),0)</f>
        <v>0</v>
      </c>
      <c r="K5634" s="444">
        <f t="shared" ca="1" si="193"/>
        <v>-48752870509956.031</v>
      </c>
      <c r="L5634" s="444">
        <f t="shared" ca="1" si="194"/>
        <v>-1.1749441792899404E+16</v>
      </c>
      <c r="M5634" s="460">
        <f t="shared" si="196"/>
        <v>0.05</v>
      </c>
      <c r="N5634" s="464">
        <f t="shared" si="197"/>
        <v>222525</v>
      </c>
    </row>
    <row r="5635" spans="7:14" ht="11.25" customHeight="1" x14ac:dyDescent="0.25">
      <c r="G5635" s="459"/>
      <c r="H5635" s="459">
        <v>5628</v>
      </c>
      <c r="I5635" s="444">
        <f t="shared" ca="1" si="195"/>
        <v>-1.1749441792899404E+16</v>
      </c>
      <c r="J5635" s="444">
        <f t="array" ref="J5635">IFERROR(INDEX('Retirement Calculator'!K:K,MATCH('Lorri 401b'!N5635,'Retirement Calculator'!A:A,0),0),0)</f>
        <v>0</v>
      </c>
      <c r="K5635" s="444">
        <f t="shared" ca="1" si="193"/>
        <v>-48956007470414.18</v>
      </c>
      <c r="L5635" s="444">
        <f t="shared" ca="1" si="194"/>
        <v>-1.1798397800369818E+16</v>
      </c>
      <c r="M5635" s="460">
        <f t="shared" si="196"/>
        <v>0.05</v>
      </c>
      <c r="N5635" s="464">
        <f t="shared" si="197"/>
        <v>222555</v>
      </c>
    </row>
    <row r="5636" spans="7:14" ht="11.25" customHeight="1" x14ac:dyDescent="0.25">
      <c r="G5636" s="459"/>
      <c r="H5636" s="459">
        <v>5629</v>
      </c>
      <c r="I5636" s="444">
        <f t="shared" ca="1" si="195"/>
        <v>-1.1798397800369818E+16</v>
      </c>
      <c r="J5636" s="444">
        <f t="array" ref="J5636">IFERROR(INDEX('Retirement Calculator'!K:K,MATCH('Lorri 401b'!N5636,'Retirement Calculator'!A:A,0),0),0)</f>
        <v>0</v>
      </c>
      <c r="K5636" s="444">
        <f t="shared" ca="1" si="193"/>
        <v>-49159990834874.242</v>
      </c>
      <c r="L5636" s="444">
        <f t="shared" ca="1" si="194"/>
        <v>-1.1847557791204692E+16</v>
      </c>
      <c r="M5636" s="460">
        <f t="shared" si="196"/>
        <v>0.05</v>
      </c>
      <c r="N5636" s="464">
        <f t="shared" si="197"/>
        <v>222586</v>
      </c>
    </row>
    <row r="5637" spans="7:14" ht="11.25" customHeight="1" x14ac:dyDescent="0.25">
      <c r="G5637" s="459"/>
      <c r="H5637" s="459">
        <v>5630</v>
      </c>
      <c r="I5637" s="444">
        <f t="shared" ca="1" si="195"/>
        <v>-1.1847557791204692E+16</v>
      </c>
      <c r="J5637" s="444">
        <f t="array" ref="J5637">IFERROR(INDEX('Retirement Calculator'!K:K,MATCH('Lorri 401b'!N5637,'Retirement Calculator'!A:A,0),0),0)</f>
        <v>0</v>
      </c>
      <c r="K5637" s="444">
        <f t="shared" ca="1" si="193"/>
        <v>-49364824130019.547</v>
      </c>
      <c r="L5637" s="444">
        <f t="shared" ca="1" si="194"/>
        <v>-1.1896922615334712E+16</v>
      </c>
      <c r="M5637" s="460">
        <f t="shared" si="196"/>
        <v>0.05</v>
      </c>
      <c r="N5637" s="464">
        <f t="shared" si="197"/>
        <v>222616</v>
      </c>
    </row>
    <row r="5638" spans="7:14" ht="11.25" customHeight="1" x14ac:dyDescent="0.25">
      <c r="G5638" s="459"/>
      <c r="H5638" s="459">
        <v>5631</v>
      </c>
      <c r="I5638" s="444">
        <f t="shared" ca="1" si="195"/>
        <v>-1.1896922615334712E+16</v>
      </c>
      <c r="J5638" s="444">
        <f t="array" ref="J5638">IFERROR(INDEX('Retirement Calculator'!K:K,MATCH('Lorri 401b'!N5638,'Retirement Calculator'!A:A,0),0),0)</f>
        <v>0</v>
      </c>
      <c r="K5638" s="444">
        <f t="shared" ca="1" si="193"/>
        <v>-49570510897227.969</v>
      </c>
      <c r="L5638" s="444">
        <f t="shared" ca="1" si="194"/>
        <v>-1.194649312623194E+16</v>
      </c>
      <c r="M5638" s="460">
        <f t="shared" si="196"/>
        <v>0.05</v>
      </c>
      <c r="N5638" s="464">
        <f t="shared" si="197"/>
        <v>222647</v>
      </c>
    </row>
    <row r="5639" spans="7:14" ht="11.25" customHeight="1" x14ac:dyDescent="0.25">
      <c r="G5639" s="459"/>
      <c r="H5639" s="459">
        <v>5632</v>
      </c>
      <c r="I5639" s="444">
        <f t="shared" ca="1" si="195"/>
        <v>-1.194649312623194E+16</v>
      </c>
      <c r="J5639" s="444">
        <f t="array" ref="J5639">IFERROR(INDEX('Retirement Calculator'!K:K,MATCH('Lorri 401b'!N5639,'Retirement Calculator'!A:A,0),0),0)</f>
        <v>0</v>
      </c>
      <c r="K5639" s="444">
        <f t="shared" ca="1" si="193"/>
        <v>-49777054692633.086</v>
      </c>
      <c r="L5639" s="444">
        <f t="shared" ca="1" si="194"/>
        <v>-1.1996270180924574E+16</v>
      </c>
      <c r="M5639" s="460">
        <f t="shared" si="196"/>
        <v>0.05</v>
      </c>
      <c r="N5639" s="464">
        <f t="shared" si="197"/>
        <v>222678</v>
      </c>
    </row>
    <row r="5640" spans="7:14" ht="11.25" customHeight="1" x14ac:dyDescent="0.25">
      <c r="G5640" s="459"/>
      <c r="H5640" s="459">
        <v>5633</v>
      </c>
      <c r="I5640" s="444">
        <f t="shared" ca="1" si="195"/>
        <v>-1.1996270180924574E+16</v>
      </c>
      <c r="J5640" s="444">
        <f t="array" ref="J5640">IFERROR(INDEX('Retirement Calculator'!K:K,MATCH('Lorri 401b'!N5640,'Retirement Calculator'!A:A,0),0),0)</f>
        <v>0</v>
      </c>
      <c r="K5640" s="444">
        <f t="shared" ca="1" si="193"/>
        <v>-49984459087185.727</v>
      </c>
      <c r="L5640" s="444">
        <f t="shared" ca="1" si="194"/>
        <v>-1.204625464001176E+16</v>
      </c>
      <c r="M5640" s="460">
        <f t="shared" si="196"/>
        <v>0.05</v>
      </c>
      <c r="N5640" s="464">
        <f t="shared" si="197"/>
        <v>222708</v>
      </c>
    </row>
    <row r="5641" spans="7:14" ht="11.25" customHeight="1" x14ac:dyDescent="0.25">
      <c r="G5641" s="459"/>
      <c r="H5641" s="459">
        <v>5634</v>
      </c>
      <c r="I5641" s="444">
        <f t="shared" ca="1" si="195"/>
        <v>-1.204625464001176E+16</v>
      </c>
      <c r="J5641" s="444">
        <f t="array" ref="J5641">IFERROR(INDEX('Retirement Calculator'!K:K,MATCH('Lorri 401b'!N5641,'Retirement Calculator'!A:A,0),0),0)</f>
        <v>0</v>
      </c>
      <c r="K5641" s="444">
        <f t="shared" ca="1" si="193"/>
        <v>-50192727666715.664</v>
      </c>
      <c r="L5641" s="444">
        <f t="shared" ca="1" si="194"/>
        <v>-1.2096447367678476E+16</v>
      </c>
      <c r="M5641" s="460">
        <f t="shared" si="196"/>
        <v>0.05</v>
      </c>
      <c r="N5641" s="464">
        <f t="shared" si="197"/>
        <v>222739</v>
      </c>
    </row>
    <row r="5642" spans="7:14" ht="11.25" customHeight="1" x14ac:dyDescent="0.25">
      <c r="G5642" s="459"/>
      <c r="H5642" s="459">
        <v>5635</v>
      </c>
      <c r="I5642" s="444">
        <f t="shared" ca="1" si="195"/>
        <v>-1.2096447367678476E+16</v>
      </c>
      <c r="J5642" s="444">
        <f t="array" ref="J5642">IFERROR(INDEX('Retirement Calculator'!K:K,MATCH('Lorri 401b'!N5642,'Retirement Calculator'!A:A,0),0),0)</f>
        <v>0</v>
      </c>
      <c r="K5642" s="444">
        <f t="shared" ca="1" si="193"/>
        <v>-50401864031993.648</v>
      </c>
      <c r="L5642" s="444">
        <f t="shared" ca="1" si="194"/>
        <v>-1.214684923171047E+16</v>
      </c>
      <c r="M5642" s="460">
        <f t="shared" si="196"/>
        <v>0.05</v>
      </c>
      <c r="N5642" s="464">
        <f t="shared" si="197"/>
        <v>222769</v>
      </c>
    </row>
    <row r="5643" spans="7:14" ht="11.25" customHeight="1" x14ac:dyDescent="0.25">
      <c r="G5643" s="459"/>
      <c r="H5643" s="459">
        <v>5636</v>
      </c>
      <c r="I5643" s="444">
        <f t="shared" ca="1" si="195"/>
        <v>-1.214684923171047E+16</v>
      </c>
      <c r="J5643" s="444">
        <f t="array" ref="J5643">IFERROR(INDEX('Retirement Calculator'!K:K,MATCH('Lorri 401b'!N5643,'Retirement Calculator'!A:A,0),0),0)</f>
        <v>0</v>
      </c>
      <c r="K5643" s="444">
        <f t="shared" ca="1" si="193"/>
        <v>-50611871798793.625</v>
      </c>
      <c r="L5643" s="444">
        <f t="shared" ca="1" si="194"/>
        <v>-1.2197461103509264E+16</v>
      </c>
      <c r="M5643" s="460">
        <f t="shared" si="196"/>
        <v>0.05</v>
      </c>
      <c r="N5643" s="464">
        <f t="shared" si="197"/>
        <v>222800</v>
      </c>
    </row>
    <row r="5644" spans="7:14" ht="11.25" customHeight="1" x14ac:dyDescent="0.25">
      <c r="G5644" s="459"/>
      <c r="H5644" s="459">
        <v>5637</v>
      </c>
      <c r="I5644" s="444">
        <f t="shared" ca="1" si="195"/>
        <v>-1.2197461103509264E+16</v>
      </c>
      <c r="J5644" s="444">
        <f t="array" ref="J5644">IFERROR(INDEX('Retirement Calculator'!K:K,MATCH('Lorri 401b'!N5644,'Retirement Calculator'!A:A,0),0),0)</f>
        <v>0</v>
      </c>
      <c r="K5644" s="444">
        <f t="shared" ca="1" si="193"/>
        <v>-50822754597955.266</v>
      </c>
      <c r="L5644" s="444">
        <f t="shared" ca="1" si="194"/>
        <v>-1.224828385810722E+16</v>
      </c>
      <c r="M5644" s="460">
        <f t="shared" si="196"/>
        <v>0.05</v>
      </c>
      <c r="N5644" s="464">
        <f t="shared" si="197"/>
        <v>222831</v>
      </c>
    </row>
    <row r="5645" spans="7:14" ht="11.25" customHeight="1" x14ac:dyDescent="0.25">
      <c r="G5645" s="459"/>
      <c r="H5645" s="459">
        <v>5638</v>
      </c>
      <c r="I5645" s="444">
        <f t="shared" ca="1" si="195"/>
        <v>-1.224828385810722E+16</v>
      </c>
      <c r="J5645" s="444">
        <f t="array" ref="J5645">IFERROR(INDEX('Retirement Calculator'!K:K,MATCH('Lorri 401b'!N5645,'Retirement Calculator'!A:A,0),0),0)</f>
        <v>0</v>
      </c>
      <c r="K5645" s="444">
        <f t="shared" ca="1" si="193"/>
        <v>-51034516075446.75</v>
      </c>
      <c r="L5645" s="444">
        <f t="shared" ca="1" si="194"/>
        <v>-1.2299318374182666E+16</v>
      </c>
      <c r="M5645" s="460">
        <f t="shared" si="196"/>
        <v>0.05</v>
      </c>
      <c r="N5645" s="464">
        <f t="shared" si="197"/>
        <v>222859</v>
      </c>
    </row>
    <row r="5646" spans="7:14" ht="11.25" customHeight="1" x14ac:dyDescent="0.25">
      <c r="G5646" s="459"/>
      <c r="H5646" s="459">
        <v>5639</v>
      </c>
      <c r="I5646" s="444">
        <f t="shared" ca="1" si="195"/>
        <v>-1.2299318374182666E+16</v>
      </c>
      <c r="J5646" s="444">
        <f t="array" ref="J5646">IFERROR(INDEX('Retirement Calculator'!K:K,MATCH('Lorri 401b'!N5646,'Retirement Calculator'!A:A,0),0),0)</f>
        <v>0</v>
      </c>
      <c r="K5646" s="444">
        <f t="shared" ca="1" si="193"/>
        <v>-51247159892427.773</v>
      </c>
      <c r="L5646" s="444">
        <f t="shared" ca="1" si="194"/>
        <v>-1.2350565534075094E+16</v>
      </c>
      <c r="M5646" s="460">
        <f t="shared" si="196"/>
        <v>0.05</v>
      </c>
      <c r="N5646" s="464">
        <f t="shared" si="197"/>
        <v>222890</v>
      </c>
    </row>
    <row r="5647" spans="7:14" ht="11.25" customHeight="1" x14ac:dyDescent="0.25">
      <c r="G5647" s="459"/>
      <c r="H5647" s="459">
        <v>5640</v>
      </c>
      <c r="I5647" s="444">
        <f t="shared" ca="1" si="195"/>
        <v>-1.2350565534075094E+16</v>
      </c>
      <c r="J5647" s="444">
        <f t="array" ref="J5647">IFERROR(INDEX('Retirement Calculator'!K:K,MATCH('Lorri 401b'!N5647,'Retirement Calculator'!A:A,0),0),0)</f>
        <v>0</v>
      </c>
      <c r="K5647" s="444">
        <f t="shared" ca="1" si="193"/>
        <v>-51460689725312.891</v>
      </c>
      <c r="L5647" s="444">
        <f t="shared" ca="1" si="194"/>
        <v>-1.2402026223800406E+16</v>
      </c>
      <c r="M5647" s="460">
        <f t="shared" si="196"/>
        <v>0.05</v>
      </c>
      <c r="N5647" s="464">
        <f t="shared" si="197"/>
        <v>222920</v>
      </c>
    </row>
    <row r="5648" spans="7:14" ht="11.25" customHeight="1" x14ac:dyDescent="0.25">
      <c r="G5648" s="459"/>
      <c r="H5648" s="459">
        <v>5641</v>
      </c>
      <c r="I5648" s="444">
        <f t="shared" ca="1" si="195"/>
        <v>-1.2402026223800406E+16</v>
      </c>
      <c r="J5648" s="444">
        <f t="array" ref="J5648">IFERROR(INDEX('Retirement Calculator'!K:K,MATCH('Lorri 401b'!N5648,'Retirement Calculator'!A:A,0),0),0)</f>
        <v>0</v>
      </c>
      <c r="K5648" s="444">
        <f t="shared" ca="1" si="193"/>
        <v>-51675109265835.023</v>
      </c>
      <c r="L5648" s="444">
        <f t="shared" ca="1" si="194"/>
        <v>-1.2453701333066242E+16</v>
      </c>
      <c r="M5648" s="460">
        <f t="shared" si="196"/>
        <v>0.05</v>
      </c>
      <c r="N5648" s="464">
        <f t="shared" si="197"/>
        <v>222951</v>
      </c>
    </row>
    <row r="5649" spans="7:14" ht="11.25" customHeight="1" x14ac:dyDescent="0.25">
      <c r="G5649" s="459"/>
      <c r="H5649" s="459">
        <v>5642</v>
      </c>
      <c r="I5649" s="444">
        <f t="shared" ca="1" si="195"/>
        <v>-1.2453701333066242E+16</v>
      </c>
      <c r="J5649" s="444">
        <f t="array" ref="J5649">IFERROR(INDEX('Retirement Calculator'!K:K,MATCH('Lorri 401b'!N5649,'Retirement Calculator'!A:A,0),0),0)</f>
        <v>0</v>
      </c>
      <c r="K5649" s="444">
        <f t="shared" ca="1" si="193"/>
        <v>-51890422221109.344</v>
      </c>
      <c r="L5649" s="444">
        <f t="shared" ca="1" si="194"/>
        <v>-1.2505591755287352E+16</v>
      </c>
      <c r="M5649" s="460">
        <f t="shared" si="196"/>
        <v>0.05</v>
      </c>
      <c r="N5649" s="464">
        <f t="shared" si="197"/>
        <v>222981</v>
      </c>
    </row>
    <row r="5650" spans="7:14" ht="11.25" customHeight="1" x14ac:dyDescent="0.25">
      <c r="G5650" s="459"/>
      <c r="H5650" s="459">
        <v>5643</v>
      </c>
      <c r="I5650" s="444">
        <f t="shared" ca="1" si="195"/>
        <v>-1.2505591755287352E+16</v>
      </c>
      <c r="J5650" s="444">
        <f t="array" ref="J5650">IFERROR(INDEX('Retirement Calculator'!K:K,MATCH('Lorri 401b'!N5650,'Retirement Calculator'!A:A,0),0),0)</f>
        <v>0</v>
      </c>
      <c r="K5650" s="444">
        <f t="shared" ca="1" si="193"/>
        <v>-52106632313697.297</v>
      </c>
      <c r="L5650" s="444">
        <f t="shared" ca="1" si="194"/>
        <v>-1.255769838760105E+16</v>
      </c>
      <c r="M5650" s="460">
        <f t="shared" si="196"/>
        <v>0.05</v>
      </c>
      <c r="N5650" s="464">
        <f t="shared" si="197"/>
        <v>223012</v>
      </c>
    </row>
    <row r="5651" spans="7:14" ht="11.25" customHeight="1" x14ac:dyDescent="0.25">
      <c r="G5651" s="459"/>
      <c r="H5651" s="459">
        <v>5644</v>
      </c>
      <c r="I5651" s="444">
        <f t="shared" ca="1" si="195"/>
        <v>-1.255769838760105E+16</v>
      </c>
      <c r="J5651" s="444">
        <f t="array" ref="J5651">IFERROR(INDEX('Retirement Calculator'!K:K,MATCH('Lorri 401b'!N5651,'Retirement Calculator'!A:A,0),0),0)</f>
        <v>0</v>
      </c>
      <c r="K5651" s="444">
        <f t="shared" ca="1" si="193"/>
        <v>-52323743281671.039</v>
      </c>
      <c r="L5651" s="444">
        <f t="shared" ca="1" si="194"/>
        <v>-1.2610022130882722E+16</v>
      </c>
      <c r="M5651" s="460">
        <f t="shared" si="196"/>
        <v>0.05</v>
      </c>
      <c r="N5651" s="464">
        <f t="shared" si="197"/>
        <v>223043</v>
      </c>
    </row>
    <row r="5652" spans="7:14" ht="11.25" customHeight="1" x14ac:dyDescent="0.25">
      <c r="G5652" s="459"/>
      <c r="H5652" s="459">
        <v>5645</v>
      </c>
      <c r="I5652" s="444">
        <f t="shared" ca="1" si="195"/>
        <v>-1.2610022130882722E+16</v>
      </c>
      <c r="J5652" s="444">
        <f t="array" ref="J5652">IFERROR(INDEX('Retirement Calculator'!K:K,MATCH('Lorri 401b'!N5652,'Retirement Calculator'!A:A,0),0),0)</f>
        <v>0</v>
      </c>
      <c r="K5652" s="444">
        <f t="shared" ca="1" si="193"/>
        <v>-52541758878678.008</v>
      </c>
      <c r="L5652" s="444">
        <f t="shared" ca="1" si="194"/>
        <v>-1.26625638897614E+16</v>
      </c>
      <c r="M5652" s="460">
        <f t="shared" si="196"/>
        <v>0.05</v>
      </c>
      <c r="N5652" s="464">
        <f t="shared" si="197"/>
        <v>223073</v>
      </c>
    </row>
    <row r="5653" spans="7:14" ht="11.25" customHeight="1" x14ac:dyDescent="0.25">
      <c r="G5653" s="459"/>
      <c r="H5653" s="459">
        <v>5646</v>
      </c>
      <c r="I5653" s="444">
        <f t="shared" ca="1" si="195"/>
        <v>-1.26625638897614E+16</v>
      </c>
      <c r="J5653" s="444">
        <f t="array" ref="J5653">IFERROR(INDEX('Retirement Calculator'!K:K,MATCH('Lorri 401b'!N5653,'Retirement Calculator'!A:A,0),0),0)</f>
        <v>0</v>
      </c>
      <c r="K5653" s="444">
        <f t="shared" ca="1" si="193"/>
        <v>-52760682874005.836</v>
      </c>
      <c r="L5653" s="444">
        <f t="shared" ca="1" si="194"/>
        <v>-1.2715324572635406E+16</v>
      </c>
      <c r="M5653" s="460">
        <f t="shared" si="196"/>
        <v>0.05</v>
      </c>
      <c r="N5653" s="464">
        <f t="shared" si="197"/>
        <v>223104</v>
      </c>
    </row>
    <row r="5654" spans="7:14" ht="11.25" customHeight="1" x14ac:dyDescent="0.25">
      <c r="G5654" s="459"/>
      <c r="H5654" s="459">
        <v>5647</v>
      </c>
      <c r="I5654" s="444">
        <f t="shared" ca="1" si="195"/>
        <v>-1.2715324572635406E+16</v>
      </c>
      <c r="J5654" s="444">
        <f t="array" ref="J5654">IFERROR(INDEX('Retirement Calculator'!K:K,MATCH('Lorri 401b'!N5654,'Retirement Calculator'!A:A,0),0),0)</f>
        <v>0</v>
      </c>
      <c r="K5654" s="444">
        <f t="shared" ca="1" si="193"/>
        <v>-52980519052647.523</v>
      </c>
      <c r="L5654" s="444">
        <f t="shared" ca="1" si="194"/>
        <v>-1.2768305091688054E+16</v>
      </c>
      <c r="M5654" s="460">
        <f t="shared" si="196"/>
        <v>0.05</v>
      </c>
      <c r="N5654" s="464">
        <f t="shared" si="197"/>
        <v>223134</v>
      </c>
    </row>
    <row r="5655" spans="7:14" ht="11.25" customHeight="1" x14ac:dyDescent="0.25">
      <c r="G5655" s="459"/>
      <c r="H5655" s="459">
        <v>5648</v>
      </c>
      <c r="I5655" s="444">
        <f t="shared" ca="1" si="195"/>
        <v>-1.2768305091688054E+16</v>
      </c>
      <c r="J5655" s="444">
        <f t="array" ref="J5655">IFERROR(INDEX('Retirement Calculator'!K:K,MATCH('Lorri 401b'!N5655,'Retirement Calculator'!A:A,0),0),0)</f>
        <v>0</v>
      </c>
      <c r="K5655" s="444">
        <f t="shared" ca="1" si="193"/>
        <v>-53201271215366.891</v>
      </c>
      <c r="L5655" s="444">
        <f t="shared" ca="1" si="194"/>
        <v>-1.282150636290342E+16</v>
      </c>
      <c r="M5655" s="460">
        <f t="shared" si="196"/>
        <v>0.05</v>
      </c>
      <c r="N5655" s="464">
        <f t="shared" si="197"/>
        <v>223165</v>
      </c>
    </row>
    <row r="5656" spans="7:14" ht="11.25" customHeight="1" x14ac:dyDescent="0.25">
      <c r="G5656" s="459"/>
      <c r="H5656" s="459">
        <v>5649</v>
      </c>
      <c r="I5656" s="444">
        <f t="shared" ca="1" si="195"/>
        <v>-1.282150636290342E+16</v>
      </c>
      <c r="J5656" s="444">
        <f t="array" ref="J5656">IFERROR(INDEX('Retirement Calculator'!K:K,MATCH('Lorri 401b'!N5656,'Retirement Calculator'!A:A,0),0),0)</f>
        <v>0</v>
      </c>
      <c r="K5656" s="444">
        <f t="shared" ca="1" si="193"/>
        <v>-53422943178764.25</v>
      </c>
      <c r="L5656" s="444">
        <f t="shared" ca="1" si="194"/>
        <v>-1.2874929306082184E+16</v>
      </c>
      <c r="M5656" s="460">
        <f t="shared" si="196"/>
        <v>0.05</v>
      </c>
      <c r="N5656" s="464">
        <f t="shared" si="197"/>
        <v>223196</v>
      </c>
    </row>
    <row r="5657" spans="7:14" ht="11.25" customHeight="1" x14ac:dyDescent="0.25">
      <c r="G5657" s="459"/>
      <c r="H5657" s="459">
        <v>5650</v>
      </c>
      <c r="I5657" s="444">
        <f t="shared" ca="1" si="195"/>
        <v>-1.2874929306082184E+16</v>
      </c>
      <c r="J5657" s="444">
        <f t="array" ref="J5657">IFERROR(INDEX('Retirement Calculator'!K:K,MATCH('Lorri 401b'!N5657,'Retirement Calculator'!A:A,0),0),0)</f>
        <v>0</v>
      </c>
      <c r="K5657" s="444">
        <f t="shared" ca="1" si="193"/>
        <v>-53645538775342.43</v>
      </c>
      <c r="L5657" s="444">
        <f t="shared" ca="1" si="194"/>
        <v>-1.2928574844857526E+16</v>
      </c>
      <c r="M5657" s="460">
        <f t="shared" si="196"/>
        <v>0.05</v>
      </c>
      <c r="N5657" s="464">
        <f t="shared" si="197"/>
        <v>223224</v>
      </c>
    </row>
    <row r="5658" spans="7:14" ht="11.25" customHeight="1" x14ac:dyDescent="0.25">
      <c r="G5658" s="459"/>
      <c r="H5658" s="459">
        <v>5651</v>
      </c>
      <c r="I5658" s="444">
        <f t="shared" ca="1" si="195"/>
        <v>-1.2928574844857526E+16</v>
      </c>
      <c r="J5658" s="444">
        <f t="array" ref="J5658">IFERROR(INDEX('Retirement Calculator'!K:K,MATCH('Lorri 401b'!N5658,'Retirement Calculator'!A:A,0),0),0)</f>
        <v>0</v>
      </c>
      <c r="K5658" s="444">
        <f t="shared" ca="1" si="193"/>
        <v>-53869061853573.023</v>
      </c>
      <c r="L5658" s="444">
        <f t="shared" ca="1" si="194"/>
        <v>-1.29824439067111E+16</v>
      </c>
      <c r="M5658" s="460">
        <f t="shared" si="196"/>
        <v>0.05</v>
      </c>
      <c r="N5658" s="464">
        <f t="shared" si="197"/>
        <v>223255</v>
      </c>
    </row>
    <row r="5659" spans="7:14" ht="11.25" customHeight="1" x14ac:dyDescent="0.25">
      <c r="G5659" s="459"/>
      <c r="H5659" s="459">
        <v>5652</v>
      </c>
      <c r="I5659" s="444">
        <f t="shared" ca="1" si="195"/>
        <v>-1.29824439067111E+16</v>
      </c>
      <c r="J5659" s="444">
        <f t="array" ref="J5659">IFERROR(INDEX('Retirement Calculator'!K:K,MATCH('Lorri 401b'!N5659,'Retirement Calculator'!A:A,0),0),0)</f>
        <v>0</v>
      </c>
      <c r="K5659" s="444">
        <f t="shared" ca="1" si="193"/>
        <v>-54093516277962.914</v>
      </c>
      <c r="L5659" s="444">
        <f t="shared" ca="1" si="194"/>
        <v>-1.3036537422989062E+16</v>
      </c>
      <c r="M5659" s="460">
        <f t="shared" si="196"/>
        <v>0.05</v>
      </c>
      <c r="N5659" s="464">
        <f t="shared" si="197"/>
        <v>223285</v>
      </c>
    </row>
    <row r="5660" spans="7:14" ht="11.25" customHeight="1" x14ac:dyDescent="0.25">
      <c r="G5660" s="459"/>
      <c r="H5660" s="459">
        <v>5653</v>
      </c>
      <c r="I5660" s="444">
        <f t="shared" ca="1" si="195"/>
        <v>-1.3036537422989062E+16</v>
      </c>
      <c r="J5660" s="444">
        <f t="array" ref="J5660">IFERROR(INDEX('Retirement Calculator'!K:K,MATCH('Lorri 401b'!N5660,'Retirement Calculator'!A:A,0),0),0)</f>
        <v>0</v>
      </c>
      <c r="K5660" s="444">
        <f t="shared" ca="1" si="193"/>
        <v>-54318905929121.094</v>
      </c>
      <c r="L5660" s="444">
        <f t="shared" ca="1" si="194"/>
        <v>-1.3090856328918184E+16</v>
      </c>
      <c r="M5660" s="460">
        <f t="shared" si="196"/>
        <v>0.05</v>
      </c>
      <c r="N5660" s="464">
        <f t="shared" si="197"/>
        <v>223316</v>
      </c>
    </row>
    <row r="5661" spans="7:14" ht="11.25" customHeight="1" x14ac:dyDescent="0.25">
      <c r="G5661" s="459"/>
      <c r="H5661" s="459">
        <v>5654</v>
      </c>
      <c r="I5661" s="444">
        <f t="shared" ca="1" si="195"/>
        <v>-1.3090856328918184E+16</v>
      </c>
      <c r="J5661" s="444">
        <f t="array" ref="J5661">IFERROR(INDEX('Retirement Calculator'!K:K,MATCH('Lorri 401b'!N5661,'Retirement Calculator'!A:A,0),0),0)</f>
        <v>0</v>
      </c>
      <c r="K5661" s="444">
        <f t="shared" ca="1" si="193"/>
        <v>-54545234703825.766</v>
      </c>
      <c r="L5661" s="444">
        <f t="shared" ca="1" si="194"/>
        <v>-1.314540156362201E+16</v>
      </c>
      <c r="M5661" s="460">
        <f t="shared" si="196"/>
        <v>0.05</v>
      </c>
      <c r="N5661" s="464">
        <f t="shared" si="197"/>
        <v>223346</v>
      </c>
    </row>
    <row r="5662" spans="7:14" ht="11.25" customHeight="1" x14ac:dyDescent="0.25">
      <c r="G5662" s="459"/>
      <c r="H5662" s="459">
        <v>5655</v>
      </c>
      <c r="I5662" s="444">
        <f t="shared" ca="1" si="195"/>
        <v>-1.314540156362201E+16</v>
      </c>
      <c r="J5662" s="444">
        <f t="array" ref="J5662">IFERROR(INDEX('Retirement Calculator'!K:K,MATCH('Lorri 401b'!N5662,'Retirement Calculator'!A:A,0),0),0)</f>
        <v>0</v>
      </c>
      <c r="K5662" s="444">
        <f t="shared" ca="1" si="193"/>
        <v>-54772506515091.711</v>
      </c>
      <c r="L5662" s="444">
        <f t="shared" ca="1" si="194"/>
        <v>-1.3200174070137102E+16</v>
      </c>
      <c r="M5662" s="460">
        <f t="shared" si="196"/>
        <v>0.05</v>
      </c>
      <c r="N5662" s="464">
        <f t="shared" si="197"/>
        <v>223377</v>
      </c>
    </row>
    <row r="5663" spans="7:14" ht="11.25" customHeight="1" x14ac:dyDescent="0.25">
      <c r="G5663" s="459"/>
      <c r="H5663" s="459">
        <v>5656</v>
      </c>
      <c r="I5663" s="444">
        <f t="shared" ca="1" si="195"/>
        <v>-1.3200174070137102E+16</v>
      </c>
      <c r="J5663" s="444">
        <f t="array" ref="J5663">IFERROR(INDEX('Retirement Calculator'!K:K,MATCH('Lorri 401b'!N5663,'Retirement Calculator'!A:A,0),0),0)</f>
        <v>0</v>
      </c>
      <c r="K5663" s="444">
        <f t="shared" ca="1" si="193"/>
        <v>-55000725292237.922</v>
      </c>
      <c r="L5663" s="444">
        <f t="shared" ca="1" si="194"/>
        <v>-1.325517479542934E+16</v>
      </c>
      <c r="M5663" s="460">
        <f t="shared" si="196"/>
        <v>0.05</v>
      </c>
      <c r="N5663" s="464">
        <f t="shared" si="197"/>
        <v>223408</v>
      </c>
    </row>
    <row r="5664" spans="7:14" ht="11.25" customHeight="1" x14ac:dyDescent="0.25">
      <c r="G5664" s="459"/>
      <c r="H5664" s="459">
        <v>5657</v>
      </c>
      <c r="I5664" s="444">
        <f t="shared" ca="1" si="195"/>
        <v>-1.325517479542934E+16</v>
      </c>
      <c r="J5664" s="444">
        <f t="array" ref="J5664">IFERROR(INDEX('Retirement Calculator'!K:K,MATCH('Lorri 401b'!N5664,'Retirement Calculator'!A:A,0),0),0)</f>
        <v>0</v>
      </c>
      <c r="K5664" s="444">
        <f t="shared" ca="1" si="193"/>
        <v>-55229894980955.586</v>
      </c>
      <c r="L5664" s="444">
        <f t="shared" ca="1" si="194"/>
        <v>-1.3310404690410296E+16</v>
      </c>
      <c r="M5664" s="460">
        <f t="shared" si="196"/>
        <v>0.05</v>
      </c>
      <c r="N5664" s="464">
        <f t="shared" si="197"/>
        <v>223438</v>
      </c>
    </row>
    <row r="5665" spans="7:14" ht="11.25" customHeight="1" x14ac:dyDescent="0.25">
      <c r="G5665" s="459"/>
      <c r="H5665" s="459">
        <v>5658</v>
      </c>
      <c r="I5665" s="444">
        <f t="shared" ca="1" si="195"/>
        <v>-1.3310404690410296E+16</v>
      </c>
      <c r="J5665" s="444">
        <f t="array" ref="J5665">IFERROR(INDEX('Retirement Calculator'!K:K,MATCH('Lorri 401b'!N5665,'Retirement Calculator'!A:A,0),0),0)</f>
        <v>0</v>
      </c>
      <c r="K5665" s="444">
        <f t="shared" ca="1" si="193"/>
        <v>-55460019543376.234</v>
      </c>
      <c r="L5665" s="444">
        <f t="shared" ca="1" si="194"/>
        <v>-1.3365864709953672E+16</v>
      </c>
      <c r="M5665" s="460">
        <f t="shared" si="196"/>
        <v>0.05</v>
      </c>
      <c r="N5665" s="464">
        <f t="shared" si="197"/>
        <v>223469</v>
      </c>
    </row>
    <row r="5666" spans="7:14" ht="11.25" customHeight="1" x14ac:dyDescent="0.25">
      <c r="G5666" s="459"/>
      <c r="H5666" s="459">
        <v>5659</v>
      </c>
      <c r="I5666" s="444">
        <f t="shared" ca="1" si="195"/>
        <v>-1.3365864709953672E+16</v>
      </c>
      <c r="J5666" s="444">
        <f t="array" ref="J5666">IFERROR(INDEX('Retirement Calculator'!K:K,MATCH('Lorri 401b'!N5666,'Retirement Calculator'!A:A,0),0),0)</f>
        <v>0</v>
      </c>
      <c r="K5666" s="444">
        <f t="shared" ca="1" si="193"/>
        <v>-55691102958140.297</v>
      </c>
      <c r="L5666" s="444">
        <f t="shared" ca="1" si="194"/>
        <v>-1.3421555812911812E+16</v>
      </c>
      <c r="M5666" s="460">
        <f t="shared" si="196"/>
        <v>0.05</v>
      </c>
      <c r="N5666" s="464">
        <f t="shared" si="197"/>
        <v>223499</v>
      </c>
    </row>
    <row r="5667" spans="7:14" ht="11.25" customHeight="1" x14ac:dyDescent="0.25">
      <c r="G5667" s="459"/>
      <c r="H5667" s="459">
        <v>5660</v>
      </c>
      <c r="I5667" s="444">
        <f t="shared" ca="1" si="195"/>
        <v>-1.3421555812911812E+16</v>
      </c>
      <c r="J5667" s="444">
        <f t="array" ref="J5667">IFERROR(INDEX('Retirement Calculator'!K:K,MATCH('Lorri 401b'!N5667,'Retirement Calculator'!A:A,0),0),0)</f>
        <v>0</v>
      </c>
      <c r="K5667" s="444">
        <f t="shared" ca="1" si="193"/>
        <v>-55923149220465.883</v>
      </c>
      <c r="L5667" s="444">
        <f t="shared" ca="1" si="194"/>
        <v>-1.3477478962132278E+16</v>
      </c>
      <c r="M5667" s="460">
        <f t="shared" si="196"/>
        <v>0.05</v>
      </c>
      <c r="N5667" s="464">
        <f t="shared" si="197"/>
        <v>223530</v>
      </c>
    </row>
    <row r="5668" spans="7:14" ht="11.25" customHeight="1" x14ac:dyDescent="0.25">
      <c r="G5668" s="459"/>
      <c r="H5668" s="459">
        <v>5661</v>
      </c>
      <c r="I5668" s="444">
        <f t="shared" ca="1" si="195"/>
        <v>-1.3477478962132278E+16</v>
      </c>
      <c r="J5668" s="444">
        <f t="array" ref="J5668">IFERROR(INDEX('Retirement Calculator'!K:K,MATCH('Lorri 401b'!N5668,'Retirement Calculator'!A:A,0),0),0)</f>
        <v>0</v>
      </c>
      <c r="K5668" s="444">
        <f t="shared" ca="1" si="193"/>
        <v>-56156162342217.828</v>
      </c>
      <c r="L5668" s="444">
        <f t="shared" ca="1" si="194"/>
        <v>-1.3533635124474496E+16</v>
      </c>
      <c r="M5668" s="460">
        <f t="shared" si="196"/>
        <v>0.05</v>
      </c>
      <c r="N5668" s="464">
        <f t="shared" si="197"/>
        <v>223561</v>
      </c>
    </row>
    <row r="5669" spans="7:14" ht="11.25" customHeight="1" x14ac:dyDescent="0.25">
      <c r="G5669" s="459"/>
      <c r="H5669" s="459">
        <v>5662</v>
      </c>
      <c r="I5669" s="444">
        <f t="shared" ca="1" si="195"/>
        <v>-1.3533635124474496E+16</v>
      </c>
      <c r="J5669" s="444">
        <f t="array" ref="J5669">IFERROR(INDEX('Retirement Calculator'!K:K,MATCH('Lorri 401b'!N5669,'Retirement Calculator'!A:A,0),0),0)</f>
        <v>0</v>
      </c>
      <c r="K5669" s="444">
        <f t="shared" ca="1" si="193"/>
        <v>-56390146351977.063</v>
      </c>
      <c r="L5669" s="444">
        <f t="shared" ca="1" si="194"/>
        <v>-1.3590025270826474E+16</v>
      </c>
      <c r="M5669" s="460">
        <f t="shared" si="196"/>
        <v>0.05</v>
      </c>
      <c r="N5669" s="464">
        <f t="shared" si="197"/>
        <v>223590</v>
      </c>
    </row>
    <row r="5670" spans="7:14" ht="11.25" customHeight="1" x14ac:dyDescent="0.25">
      <c r="G5670" s="459"/>
      <c r="H5670" s="459">
        <v>5663</v>
      </c>
      <c r="I5670" s="444">
        <f t="shared" ca="1" si="195"/>
        <v>-1.3590025270826474E+16</v>
      </c>
      <c r="J5670" s="444">
        <f t="array" ref="J5670">IFERROR(INDEX('Retirement Calculator'!K:K,MATCH('Lorri 401b'!N5670,'Retirement Calculator'!A:A,0),0),0)</f>
        <v>0</v>
      </c>
      <c r="K5670" s="444">
        <f t="shared" ca="1" si="193"/>
        <v>-56625105295110.305</v>
      </c>
      <c r="L5670" s="444">
        <f t="shared" ca="1" si="194"/>
        <v>-1.3646650376121584E+16</v>
      </c>
      <c r="M5670" s="460">
        <f t="shared" si="196"/>
        <v>0.05</v>
      </c>
      <c r="N5670" s="464">
        <f t="shared" si="197"/>
        <v>223621</v>
      </c>
    </row>
    <row r="5671" spans="7:14" ht="11.25" customHeight="1" x14ac:dyDescent="0.25">
      <c r="G5671" s="459"/>
      <c r="H5671" s="459">
        <v>5664</v>
      </c>
      <c r="I5671" s="444">
        <f t="shared" ca="1" si="195"/>
        <v>-1.3646650376121584E+16</v>
      </c>
      <c r="J5671" s="444">
        <f t="array" ref="J5671">IFERROR(INDEX('Retirement Calculator'!K:K,MATCH('Lorri 401b'!N5671,'Retirement Calculator'!A:A,0),0),0)</f>
        <v>0</v>
      </c>
      <c r="K5671" s="444">
        <f t="shared" ca="1" si="193"/>
        <v>-56861043233839.93</v>
      </c>
      <c r="L5671" s="444">
        <f t="shared" ca="1" si="194"/>
        <v>-1.3703511419355424E+16</v>
      </c>
      <c r="M5671" s="460">
        <f t="shared" si="196"/>
        <v>0.05</v>
      </c>
      <c r="N5671" s="464">
        <f t="shared" si="197"/>
        <v>223651</v>
      </c>
    </row>
    <row r="5672" spans="7:14" ht="11.25" customHeight="1" x14ac:dyDescent="0.25">
      <c r="G5672" s="459"/>
      <c r="H5672" s="459">
        <v>5665</v>
      </c>
      <c r="I5672" s="444">
        <f t="shared" ca="1" si="195"/>
        <v>-1.3703511419355424E+16</v>
      </c>
      <c r="J5672" s="444">
        <f t="array" ref="J5672">IFERROR(INDEX('Retirement Calculator'!K:K,MATCH('Lorri 401b'!N5672,'Retirement Calculator'!A:A,0),0),0)</f>
        <v>0</v>
      </c>
      <c r="K5672" s="444">
        <f t="shared" ca="1" si="193"/>
        <v>-57097964247314.266</v>
      </c>
      <c r="L5672" s="444">
        <f t="shared" ca="1" si="194"/>
        <v>-1.3760609383602738E+16</v>
      </c>
      <c r="M5672" s="460">
        <f t="shared" si="196"/>
        <v>0.05</v>
      </c>
      <c r="N5672" s="464">
        <f t="shared" si="197"/>
        <v>223682</v>
      </c>
    </row>
    <row r="5673" spans="7:14" ht="11.25" customHeight="1" x14ac:dyDescent="0.25">
      <c r="G5673" s="459"/>
      <c r="H5673" s="459">
        <v>5666</v>
      </c>
      <c r="I5673" s="444">
        <f t="shared" ca="1" si="195"/>
        <v>-1.3760609383602738E+16</v>
      </c>
      <c r="J5673" s="444">
        <f t="array" ref="J5673">IFERROR(INDEX('Retirement Calculator'!K:K,MATCH('Lorri 401b'!N5673,'Retirement Calculator'!A:A,0),0),0)</f>
        <v>0</v>
      </c>
      <c r="K5673" s="444">
        <f t="shared" ca="1" si="193"/>
        <v>-57335872431678.07</v>
      </c>
      <c r="L5673" s="444">
        <f t="shared" ca="1" si="194"/>
        <v>-1.3817945256034416E+16</v>
      </c>
      <c r="M5673" s="460">
        <f t="shared" si="196"/>
        <v>0.05</v>
      </c>
      <c r="N5673" s="464">
        <f t="shared" si="197"/>
        <v>223712</v>
      </c>
    </row>
    <row r="5674" spans="7:14" ht="11.25" customHeight="1" x14ac:dyDescent="0.25">
      <c r="G5674" s="459"/>
      <c r="H5674" s="459">
        <v>5667</v>
      </c>
      <c r="I5674" s="444">
        <f t="shared" ca="1" si="195"/>
        <v>-1.3817945256034416E+16</v>
      </c>
      <c r="J5674" s="444">
        <f t="array" ref="J5674">IFERROR(INDEX('Retirement Calculator'!K:K,MATCH('Lorri 401b'!N5674,'Retirement Calculator'!A:A,0),0),0)</f>
        <v>0</v>
      </c>
      <c r="K5674" s="444">
        <f t="shared" ca="1" si="193"/>
        <v>-57574771900143.398</v>
      </c>
      <c r="L5674" s="444">
        <f t="shared" ca="1" si="194"/>
        <v>-1.387552002793456E+16</v>
      </c>
      <c r="M5674" s="460">
        <f t="shared" si="196"/>
        <v>0.05</v>
      </c>
      <c r="N5674" s="464">
        <f t="shared" si="197"/>
        <v>223743</v>
      </c>
    </row>
    <row r="5675" spans="7:14" ht="11.25" customHeight="1" x14ac:dyDescent="0.25">
      <c r="G5675" s="459"/>
      <c r="H5675" s="459">
        <v>5668</v>
      </c>
      <c r="I5675" s="444">
        <f t="shared" ca="1" si="195"/>
        <v>-1.387552002793456E+16</v>
      </c>
      <c r="J5675" s="444">
        <f t="array" ref="J5675">IFERROR(INDEX('Retirement Calculator'!K:K,MATCH('Lorri 401b'!N5675,'Retirement Calculator'!A:A,0),0),0)</f>
        <v>0</v>
      </c>
      <c r="K5675" s="444">
        <f t="shared" ca="1" si="193"/>
        <v>-57814666783060.664</v>
      </c>
      <c r="L5675" s="444">
        <f t="shared" ca="1" si="194"/>
        <v>-1.393333469471762E+16</v>
      </c>
      <c r="M5675" s="460">
        <f t="shared" si="196"/>
        <v>0.05</v>
      </c>
      <c r="N5675" s="464">
        <f t="shared" si="197"/>
        <v>223774</v>
      </c>
    </row>
    <row r="5676" spans="7:14" ht="11.25" customHeight="1" x14ac:dyDescent="0.25">
      <c r="G5676" s="459"/>
      <c r="H5676" s="459">
        <v>5669</v>
      </c>
      <c r="I5676" s="444">
        <f t="shared" ca="1" si="195"/>
        <v>-1.393333469471762E+16</v>
      </c>
      <c r="J5676" s="444">
        <f t="array" ref="J5676">IFERROR(INDEX('Retirement Calculator'!K:K,MATCH('Lorri 401b'!N5676,'Retirement Calculator'!A:A,0),0),0)</f>
        <v>0</v>
      </c>
      <c r="K5676" s="444">
        <f t="shared" ca="1" si="193"/>
        <v>-58055561227990.086</v>
      </c>
      <c r="L5676" s="444">
        <f t="shared" ca="1" si="194"/>
        <v>-1.399139025594561E+16</v>
      </c>
      <c r="M5676" s="460">
        <f t="shared" si="196"/>
        <v>0.05</v>
      </c>
      <c r="N5676" s="464">
        <f t="shared" si="197"/>
        <v>223804</v>
      </c>
    </row>
    <row r="5677" spans="7:14" ht="11.25" customHeight="1" x14ac:dyDescent="0.25">
      <c r="G5677" s="459"/>
      <c r="H5677" s="459">
        <v>5670</v>
      </c>
      <c r="I5677" s="444">
        <f t="shared" ca="1" si="195"/>
        <v>-1.399139025594561E+16</v>
      </c>
      <c r="J5677" s="444">
        <f t="array" ref="J5677">IFERROR(INDEX('Retirement Calculator'!K:K,MATCH('Lorri 401b'!N5677,'Retirement Calculator'!A:A,0),0),0)</f>
        <v>0</v>
      </c>
      <c r="K5677" s="444">
        <f t="shared" ca="1" si="193"/>
        <v>-58297459399773.375</v>
      </c>
      <c r="L5677" s="444">
        <f t="shared" ca="1" si="194"/>
        <v>-1.4049687715345384E+16</v>
      </c>
      <c r="M5677" s="460">
        <f t="shared" si="196"/>
        <v>0.05</v>
      </c>
      <c r="N5677" s="464">
        <f t="shared" si="197"/>
        <v>223835</v>
      </c>
    </row>
    <row r="5678" spans="7:14" ht="11.25" customHeight="1" x14ac:dyDescent="0.25">
      <c r="G5678" s="459"/>
      <c r="H5678" s="459">
        <v>5671</v>
      </c>
      <c r="I5678" s="444">
        <f t="shared" ca="1" si="195"/>
        <v>-1.4049687715345384E+16</v>
      </c>
      <c r="J5678" s="444">
        <f t="array" ref="J5678">IFERROR(INDEX('Retirement Calculator'!K:K,MATCH('Lorri 401b'!N5678,'Retirement Calculator'!A:A,0),0),0)</f>
        <v>0</v>
      </c>
      <c r="K5678" s="444">
        <f t="shared" ca="1" si="193"/>
        <v>-58540365480605.766</v>
      </c>
      <c r="L5678" s="444">
        <f t="shared" ca="1" si="194"/>
        <v>-1.410822808082599E+16</v>
      </c>
      <c r="M5678" s="460">
        <f t="shared" si="196"/>
        <v>0.05</v>
      </c>
      <c r="N5678" s="464">
        <f t="shared" si="197"/>
        <v>223865</v>
      </c>
    </row>
    <row r="5679" spans="7:14" ht="11.25" customHeight="1" x14ac:dyDescent="0.25">
      <c r="G5679" s="459"/>
      <c r="H5679" s="459">
        <v>5672</v>
      </c>
      <c r="I5679" s="444">
        <f t="shared" ca="1" si="195"/>
        <v>-1.410822808082599E+16</v>
      </c>
      <c r="J5679" s="444">
        <f t="array" ref="J5679">IFERROR(INDEX('Retirement Calculator'!K:K,MATCH('Lorri 401b'!N5679,'Retirement Calculator'!A:A,0),0),0)</f>
        <v>0</v>
      </c>
      <c r="K5679" s="444">
        <f t="shared" ca="1" si="193"/>
        <v>-58784283670108.289</v>
      </c>
      <c r="L5679" s="444">
        <f t="shared" ca="1" si="194"/>
        <v>-1.4167012364496098E+16</v>
      </c>
      <c r="M5679" s="460">
        <f t="shared" si="196"/>
        <v>0.05</v>
      </c>
      <c r="N5679" s="464">
        <f t="shared" si="197"/>
        <v>223896</v>
      </c>
    </row>
    <row r="5680" spans="7:14" ht="11.25" customHeight="1" x14ac:dyDescent="0.25">
      <c r="G5680" s="459"/>
      <c r="H5680" s="459">
        <v>5673</v>
      </c>
      <c r="I5680" s="444">
        <f t="shared" ca="1" si="195"/>
        <v>-1.4167012364496098E+16</v>
      </c>
      <c r="J5680" s="444">
        <f t="array" ref="J5680">IFERROR(INDEX('Retirement Calculator'!K:K,MATCH('Lorri 401b'!N5680,'Retirement Calculator'!A:A,0),0),0)</f>
        <v>0</v>
      </c>
      <c r="K5680" s="444">
        <f t="shared" ca="1" si="193"/>
        <v>-59029218185400.398</v>
      </c>
      <c r="L5680" s="444">
        <f t="shared" ca="1" si="194"/>
        <v>-1.4226041582681498E+16</v>
      </c>
      <c r="M5680" s="460">
        <f t="shared" si="196"/>
        <v>0.05</v>
      </c>
      <c r="N5680" s="464">
        <f t="shared" si="197"/>
        <v>223927</v>
      </c>
    </row>
    <row r="5681" spans="7:14" ht="11.25" customHeight="1" x14ac:dyDescent="0.25">
      <c r="G5681" s="459"/>
      <c r="H5681" s="459">
        <v>5674</v>
      </c>
      <c r="I5681" s="444">
        <f t="shared" ca="1" si="195"/>
        <v>-1.4226041582681498E+16</v>
      </c>
      <c r="J5681" s="444">
        <f t="array" ref="J5681">IFERROR(INDEX('Retirement Calculator'!K:K,MATCH('Lorri 401b'!N5681,'Retirement Calculator'!A:A,0),0),0)</f>
        <v>0</v>
      </c>
      <c r="K5681" s="444">
        <f t="shared" ca="1" si="193"/>
        <v>-59275173261172.906</v>
      </c>
      <c r="L5681" s="444">
        <f t="shared" ca="1" si="194"/>
        <v>-1.428531675594267E+16</v>
      </c>
      <c r="M5681" s="460">
        <f t="shared" si="196"/>
        <v>0.05</v>
      </c>
      <c r="N5681" s="464">
        <f t="shared" si="197"/>
        <v>223955</v>
      </c>
    </row>
    <row r="5682" spans="7:14" ht="11.25" customHeight="1" x14ac:dyDescent="0.25">
      <c r="G5682" s="459"/>
      <c r="H5682" s="459">
        <v>5675</v>
      </c>
      <c r="I5682" s="444">
        <f t="shared" ca="1" si="195"/>
        <v>-1.428531675594267E+16</v>
      </c>
      <c r="J5682" s="444">
        <f t="array" ref="J5682">IFERROR(INDEX('Retirement Calculator'!K:K,MATCH('Lorri 401b'!N5682,'Retirement Calculator'!A:A,0),0),0)</f>
        <v>0</v>
      </c>
      <c r="K5682" s="444">
        <f t="shared" ca="1" si="193"/>
        <v>-59522153149761.125</v>
      </c>
      <c r="L5682" s="444">
        <f t="shared" ca="1" si="194"/>
        <v>-1.4344838909092432E+16</v>
      </c>
      <c r="M5682" s="460">
        <f t="shared" si="196"/>
        <v>0.05</v>
      </c>
      <c r="N5682" s="464">
        <f t="shared" si="197"/>
        <v>223986</v>
      </c>
    </row>
    <row r="5683" spans="7:14" ht="11.25" customHeight="1" x14ac:dyDescent="0.25">
      <c r="G5683" s="459"/>
      <c r="H5683" s="459">
        <v>5676</v>
      </c>
      <c r="I5683" s="444">
        <f t="shared" ca="1" si="195"/>
        <v>-1.4344838909092432E+16</v>
      </c>
      <c r="J5683" s="444">
        <f t="array" ref="J5683">IFERROR(INDEX('Retirement Calculator'!K:K,MATCH('Lorri 401b'!N5683,'Retirement Calculator'!A:A,0),0),0)</f>
        <v>0</v>
      </c>
      <c r="K5683" s="444">
        <f t="shared" ca="1" si="193"/>
        <v>-59770162121218.469</v>
      </c>
      <c r="L5683" s="444">
        <f t="shared" ca="1" si="194"/>
        <v>-1.440460907121365E+16</v>
      </c>
      <c r="M5683" s="460">
        <f t="shared" si="196"/>
        <v>0.05</v>
      </c>
      <c r="N5683" s="464">
        <f t="shared" si="197"/>
        <v>224016</v>
      </c>
    </row>
    <row r="5684" spans="7:14" ht="11.25" customHeight="1" x14ac:dyDescent="0.25">
      <c r="G5684" s="459"/>
      <c r="H5684" s="459">
        <v>5677</v>
      </c>
      <c r="I5684" s="444">
        <f t="shared" ca="1" si="195"/>
        <v>-1.440460907121365E+16</v>
      </c>
      <c r="J5684" s="444">
        <f t="array" ref="J5684">IFERROR(INDEX('Retirement Calculator'!K:K,MATCH('Lorri 401b'!N5684,'Retirement Calculator'!A:A,0),0),0)</f>
        <v>0</v>
      </c>
      <c r="K5684" s="444">
        <f t="shared" ca="1" si="193"/>
        <v>-60019204463390.211</v>
      </c>
      <c r="L5684" s="444">
        <f t="shared" ca="1" si="194"/>
        <v>-1.446462827567704E+16</v>
      </c>
      <c r="M5684" s="460">
        <f t="shared" si="196"/>
        <v>0.05</v>
      </c>
      <c r="N5684" s="464">
        <f t="shared" si="197"/>
        <v>224047</v>
      </c>
    </row>
    <row r="5685" spans="7:14" ht="11.25" customHeight="1" x14ac:dyDescent="0.25">
      <c r="G5685" s="459"/>
      <c r="H5685" s="459">
        <v>5678</v>
      </c>
      <c r="I5685" s="444">
        <f t="shared" ca="1" si="195"/>
        <v>-1.446462827567704E+16</v>
      </c>
      <c r="J5685" s="444">
        <f t="array" ref="J5685">IFERROR(INDEX('Retirement Calculator'!K:K,MATCH('Lorri 401b'!N5685,'Retirement Calculator'!A:A,0),0),0)</f>
        <v>0</v>
      </c>
      <c r="K5685" s="444">
        <f t="shared" ca="1" si="193"/>
        <v>-60269284481987.656</v>
      </c>
      <c r="L5685" s="444">
        <f t="shared" ca="1" si="194"/>
        <v>-1.4524897560159028E+16</v>
      </c>
      <c r="M5685" s="460">
        <f t="shared" si="196"/>
        <v>0.05</v>
      </c>
      <c r="N5685" s="464">
        <f t="shared" si="197"/>
        <v>224077</v>
      </c>
    </row>
    <row r="5686" spans="7:14" ht="11.25" customHeight="1" x14ac:dyDescent="0.25">
      <c r="G5686" s="459"/>
      <c r="H5686" s="459">
        <v>5679</v>
      </c>
      <c r="I5686" s="444">
        <f t="shared" ca="1" si="195"/>
        <v>-1.4524897560159028E+16</v>
      </c>
      <c r="J5686" s="444">
        <f t="array" ref="J5686">IFERROR(INDEX('Retirement Calculator'!K:K,MATCH('Lorri 401b'!N5686,'Retirement Calculator'!A:A,0),0),0)</f>
        <v>0</v>
      </c>
      <c r="K5686" s="444">
        <f t="shared" ca="1" si="193"/>
        <v>-60520406500662.609</v>
      </c>
      <c r="L5686" s="444">
        <f t="shared" ca="1" si="194"/>
        <v>-1.458541796665969E+16</v>
      </c>
      <c r="M5686" s="460">
        <f t="shared" si="196"/>
        <v>0.05</v>
      </c>
      <c r="N5686" s="464">
        <f t="shared" si="197"/>
        <v>224108</v>
      </c>
    </row>
    <row r="5687" spans="7:14" ht="11.25" customHeight="1" x14ac:dyDescent="0.25">
      <c r="G5687" s="459"/>
      <c r="H5687" s="459">
        <v>5680</v>
      </c>
      <c r="I5687" s="444">
        <f t="shared" ca="1" si="195"/>
        <v>-1.458541796665969E+16</v>
      </c>
      <c r="J5687" s="444">
        <f t="array" ref="J5687">IFERROR(INDEX('Retirement Calculator'!K:K,MATCH('Lorri 401b'!N5687,'Retirement Calculator'!A:A,0),0),0)</f>
        <v>0</v>
      </c>
      <c r="K5687" s="444">
        <f t="shared" ca="1" si="193"/>
        <v>-60772574861082.047</v>
      </c>
      <c r="L5687" s="444">
        <f t="shared" ca="1" si="194"/>
        <v>-1.4646190541520772E+16</v>
      </c>
      <c r="M5687" s="460">
        <f t="shared" si="196"/>
        <v>0.05</v>
      </c>
      <c r="N5687" s="464">
        <f t="shared" si="197"/>
        <v>224139</v>
      </c>
    </row>
    <row r="5688" spans="7:14" ht="11.25" customHeight="1" x14ac:dyDescent="0.25">
      <c r="G5688" s="459"/>
      <c r="H5688" s="459">
        <v>5681</v>
      </c>
      <c r="I5688" s="444">
        <f t="shared" ca="1" si="195"/>
        <v>-1.4646190541520772E+16</v>
      </c>
      <c r="J5688" s="444">
        <f t="array" ref="J5688">IFERROR(INDEX('Retirement Calculator'!K:K,MATCH('Lorri 401b'!N5688,'Retirement Calculator'!A:A,0),0),0)</f>
        <v>0</v>
      </c>
      <c r="K5688" s="444">
        <f t="shared" ca="1" si="193"/>
        <v>-61025793923003.219</v>
      </c>
      <c r="L5688" s="444">
        <f t="shared" ca="1" si="194"/>
        <v>-1.4707216335443776E+16</v>
      </c>
      <c r="M5688" s="460">
        <f t="shared" si="196"/>
        <v>0.05</v>
      </c>
      <c r="N5688" s="464">
        <f t="shared" si="197"/>
        <v>224169</v>
      </c>
    </row>
    <row r="5689" spans="7:14" ht="11.25" customHeight="1" x14ac:dyDescent="0.25">
      <c r="G5689" s="459"/>
      <c r="H5689" s="459">
        <v>5682</v>
      </c>
      <c r="I5689" s="444">
        <f t="shared" ca="1" si="195"/>
        <v>-1.4707216335443776E+16</v>
      </c>
      <c r="J5689" s="444">
        <f t="array" ref="J5689">IFERROR(INDEX('Retirement Calculator'!K:K,MATCH('Lorri 401b'!N5689,'Retirement Calculator'!A:A,0),0),0)</f>
        <v>0</v>
      </c>
      <c r="K5689" s="444">
        <f t="shared" ca="1" si="193"/>
        <v>-61280068064349.063</v>
      </c>
      <c r="L5689" s="444">
        <f t="shared" ca="1" si="194"/>
        <v>-1.4768496403508126E+16</v>
      </c>
      <c r="M5689" s="460">
        <f t="shared" si="196"/>
        <v>0.05</v>
      </c>
      <c r="N5689" s="464">
        <f t="shared" si="197"/>
        <v>224200</v>
      </c>
    </row>
    <row r="5690" spans="7:14" ht="11.25" customHeight="1" x14ac:dyDescent="0.25">
      <c r="G5690" s="459"/>
      <c r="H5690" s="459">
        <v>5683</v>
      </c>
      <c r="I5690" s="444">
        <f t="shared" ca="1" si="195"/>
        <v>-1.4768496403508126E+16</v>
      </c>
      <c r="J5690" s="444">
        <f t="array" ref="J5690">IFERROR(INDEX('Retirement Calculator'!K:K,MATCH('Lorri 401b'!N5690,'Retirement Calculator'!A:A,0),0),0)</f>
        <v>0</v>
      </c>
      <c r="K5690" s="444">
        <f t="shared" ca="1" si="193"/>
        <v>-61535401681283.859</v>
      </c>
      <c r="L5690" s="444">
        <f t="shared" ca="1" si="194"/>
        <v>-1.483003180518941E+16</v>
      </c>
      <c r="M5690" s="460">
        <f t="shared" si="196"/>
        <v>0.05</v>
      </c>
      <c r="N5690" s="464">
        <f t="shared" si="197"/>
        <v>224230</v>
      </c>
    </row>
    <row r="5691" spans="7:14" ht="11.25" customHeight="1" x14ac:dyDescent="0.25">
      <c r="G5691" s="459"/>
      <c r="H5691" s="459">
        <v>5684</v>
      </c>
      <c r="I5691" s="444">
        <f t="shared" ca="1" si="195"/>
        <v>-1.483003180518941E+16</v>
      </c>
      <c r="J5691" s="444">
        <f t="array" ref="J5691">IFERROR(INDEX('Retirement Calculator'!K:K,MATCH('Lorri 401b'!N5691,'Retirement Calculator'!A:A,0),0),0)</f>
        <v>0</v>
      </c>
      <c r="K5691" s="444">
        <f t="shared" ca="1" si="193"/>
        <v>-61791799188289.211</v>
      </c>
      <c r="L5691" s="444">
        <f t="shared" ca="1" si="194"/>
        <v>-1.48918236043777E+16</v>
      </c>
      <c r="M5691" s="460">
        <f t="shared" si="196"/>
        <v>0.05</v>
      </c>
      <c r="N5691" s="464">
        <f t="shared" si="197"/>
        <v>224261</v>
      </c>
    </row>
    <row r="5692" spans="7:14" ht="11.25" customHeight="1" x14ac:dyDescent="0.25">
      <c r="G5692" s="459"/>
      <c r="H5692" s="459">
        <v>5685</v>
      </c>
      <c r="I5692" s="444">
        <f t="shared" ca="1" si="195"/>
        <v>-1.48918236043777E+16</v>
      </c>
      <c r="J5692" s="444">
        <f t="array" ref="J5692">IFERROR(INDEX('Retirement Calculator'!K:K,MATCH('Lorri 401b'!N5692,'Retirement Calculator'!A:A,0),0),0)</f>
        <v>0</v>
      </c>
      <c r="K5692" s="444">
        <f t="shared" ca="1" si="193"/>
        <v>-62049265018240.414</v>
      </c>
      <c r="L5692" s="444">
        <f t="shared" ca="1" si="194"/>
        <v>-1.495387286939594E+16</v>
      </c>
      <c r="M5692" s="460">
        <f t="shared" si="196"/>
        <v>0.05</v>
      </c>
      <c r="N5692" s="464">
        <f t="shared" si="197"/>
        <v>224292</v>
      </c>
    </row>
    <row r="5693" spans="7:14" ht="11.25" customHeight="1" x14ac:dyDescent="0.25">
      <c r="G5693" s="459"/>
      <c r="H5693" s="459">
        <v>5686</v>
      </c>
      <c r="I5693" s="444">
        <f t="shared" ca="1" si="195"/>
        <v>-1.495387286939594E+16</v>
      </c>
      <c r="J5693" s="444">
        <f t="array" ref="J5693">IFERROR(INDEX('Retirement Calculator'!K:K,MATCH('Lorri 401b'!N5693,'Retirement Calculator'!A:A,0),0),0)</f>
        <v>0</v>
      </c>
      <c r="K5693" s="444">
        <f t="shared" ca="1" si="193"/>
        <v>-62307803622483.086</v>
      </c>
      <c r="L5693" s="444">
        <f t="shared" ca="1" si="194"/>
        <v>-1.5016180673018424E+16</v>
      </c>
      <c r="M5693" s="460">
        <f t="shared" si="196"/>
        <v>0.05</v>
      </c>
      <c r="N5693" s="464">
        <f t="shared" si="197"/>
        <v>224320</v>
      </c>
    </row>
    <row r="5694" spans="7:14" ht="11.25" customHeight="1" x14ac:dyDescent="0.25">
      <c r="G5694" s="459"/>
      <c r="H5694" s="459">
        <v>5687</v>
      </c>
      <c r="I5694" s="444">
        <f t="shared" ca="1" si="195"/>
        <v>-1.5016180673018424E+16</v>
      </c>
      <c r="J5694" s="444">
        <f t="array" ref="J5694">IFERROR(INDEX('Retirement Calculator'!K:K,MATCH('Lorri 401b'!N5694,'Retirement Calculator'!A:A,0),0),0)</f>
        <v>0</v>
      </c>
      <c r="K5694" s="444">
        <f t="shared" ca="1" si="193"/>
        <v>-62567419470910.102</v>
      </c>
      <c r="L5694" s="444">
        <f t="shared" ca="1" si="194"/>
        <v>-1.5078748092489334E+16</v>
      </c>
      <c r="M5694" s="460">
        <f t="shared" si="196"/>
        <v>0.05</v>
      </c>
      <c r="N5694" s="464">
        <f t="shared" si="197"/>
        <v>224351</v>
      </c>
    </row>
    <row r="5695" spans="7:14" ht="11.25" customHeight="1" x14ac:dyDescent="0.25">
      <c r="G5695" s="459"/>
      <c r="H5695" s="459">
        <v>5688</v>
      </c>
      <c r="I5695" s="444">
        <f t="shared" ca="1" si="195"/>
        <v>-1.5078748092489334E+16</v>
      </c>
      <c r="J5695" s="444">
        <f t="array" ref="J5695">IFERROR(INDEX('Retirement Calculator'!K:K,MATCH('Lorri 401b'!N5695,'Retirement Calculator'!A:A,0),0),0)</f>
        <v>0</v>
      </c>
      <c r="K5695" s="444">
        <f t="shared" ca="1" si="193"/>
        <v>-62828117052038.883</v>
      </c>
      <c r="L5695" s="444">
        <f t="shared" ca="1" si="194"/>
        <v>-1.5141576209541372E+16</v>
      </c>
      <c r="M5695" s="460">
        <f t="shared" si="196"/>
        <v>0.05</v>
      </c>
      <c r="N5695" s="464">
        <f t="shared" si="197"/>
        <v>224381</v>
      </c>
    </row>
    <row r="5696" spans="7:14" ht="11.25" customHeight="1" x14ac:dyDescent="0.25">
      <c r="G5696" s="459"/>
      <c r="H5696" s="459">
        <v>5689</v>
      </c>
      <c r="I5696" s="444">
        <f t="shared" ca="1" si="195"/>
        <v>-1.5141576209541372E+16</v>
      </c>
      <c r="J5696" s="444">
        <f t="array" ref="J5696">IFERROR(INDEX('Retirement Calculator'!K:K,MATCH('Lorri 401b'!N5696,'Retirement Calculator'!A:A,0),0),0)</f>
        <v>0</v>
      </c>
      <c r="K5696" s="444">
        <f t="shared" ca="1" si="193"/>
        <v>-63089900873089.055</v>
      </c>
      <c r="L5696" s="444">
        <f t="shared" ca="1" si="194"/>
        <v>-1.5204666110414462E+16</v>
      </c>
      <c r="M5696" s="460">
        <f t="shared" si="196"/>
        <v>0.05</v>
      </c>
      <c r="N5696" s="464">
        <f t="shared" si="197"/>
        <v>224412</v>
      </c>
    </row>
    <row r="5697" spans="7:14" ht="11.25" customHeight="1" x14ac:dyDescent="0.25">
      <c r="G5697" s="459"/>
      <c r="H5697" s="459">
        <v>5690</v>
      </c>
      <c r="I5697" s="444">
        <f t="shared" ca="1" si="195"/>
        <v>-1.5204666110414462E+16</v>
      </c>
      <c r="J5697" s="444">
        <f t="array" ref="J5697">IFERROR(INDEX('Retirement Calculator'!K:K,MATCH('Lorri 401b'!N5697,'Retirement Calculator'!A:A,0),0),0)</f>
        <v>0</v>
      </c>
      <c r="K5697" s="444">
        <f t="shared" ca="1" si="193"/>
        <v>-63352775460060.258</v>
      </c>
      <c r="L5697" s="444">
        <f t="shared" ca="1" si="194"/>
        <v>-1.5268018885874522E+16</v>
      </c>
      <c r="M5697" s="460">
        <f t="shared" si="196"/>
        <v>0.05</v>
      </c>
      <c r="N5697" s="464">
        <f t="shared" si="197"/>
        <v>224442</v>
      </c>
    </row>
    <row r="5698" spans="7:14" ht="11.25" customHeight="1" x14ac:dyDescent="0.25">
      <c r="G5698" s="459"/>
      <c r="H5698" s="459">
        <v>5691</v>
      </c>
      <c r="I5698" s="444">
        <f t="shared" ca="1" si="195"/>
        <v>-1.5268018885874522E+16</v>
      </c>
      <c r="J5698" s="444">
        <f t="array" ref="J5698">IFERROR(INDEX('Retirement Calculator'!K:K,MATCH('Lorri 401b'!N5698,'Retirement Calculator'!A:A,0),0),0)</f>
        <v>0</v>
      </c>
      <c r="K5698" s="444">
        <f t="shared" ca="1" si="193"/>
        <v>-63616745357810.516</v>
      </c>
      <c r="L5698" s="444">
        <f t="shared" ca="1" si="194"/>
        <v>-1.5331635631232332E+16</v>
      </c>
      <c r="M5698" s="460">
        <f t="shared" si="196"/>
        <v>0.05</v>
      </c>
      <c r="N5698" s="464">
        <f t="shared" si="197"/>
        <v>224473</v>
      </c>
    </row>
    <row r="5699" spans="7:14" ht="11.25" customHeight="1" x14ac:dyDescent="0.25">
      <c r="G5699" s="459"/>
      <c r="H5699" s="459">
        <v>5692</v>
      </c>
      <c r="I5699" s="444">
        <f t="shared" ca="1" si="195"/>
        <v>-1.5331635631232332E+16</v>
      </c>
      <c r="J5699" s="444">
        <f t="array" ref="J5699">IFERROR(INDEX('Retirement Calculator'!K:K,MATCH('Lorri 401b'!N5699,'Retirement Calculator'!A:A,0),0),0)</f>
        <v>0</v>
      </c>
      <c r="K5699" s="444">
        <f t="shared" ca="1" si="193"/>
        <v>-63881815130134.727</v>
      </c>
      <c r="L5699" s="444">
        <f t="shared" ca="1" si="194"/>
        <v>-1.5395517446362466E+16</v>
      </c>
      <c r="M5699" s="460">
        <f t="shared" si="196"/>
        <v>0.05</v>
      </c>
      <c r="N5699" s="464">
        <f t="shared" si="197"/>
        <v>224504</v>
      </c>
    </row>
    <row r="5700" spans="7:14" ht="11.25" customHeight="1" x14ac:dyDescent="0.25">
      <c r="G5700" s="459"/>
      <c r="H5700" s="459">
        <v>5693</v>
      </c>
      <c r="I5700" s="444">
        <f t="shared" ca="1" si="195"/>
        <v>-1.5395517446362466E+16</v>
      </c>
      <c r="J5700" s="444">
        <f t="array" ref="J5700">IFERROR(INDEX('Retirement Calculator'!K:K,MATCH('Lorri 401b'!N5700,'Retirement Calculator'!A:A,0),0),0)</f>
        <v>0</v>
      </c>
      <c r="K5700" s="444">
        <f t="shared" ca="1" si="193"/>
        <v>-64147989359843.602</v>
      </c>
      <c r="L5700" s="444">
        <f t="shared" ca="1" si="194"/>
        <v>-1.545966543572231E+16</v>
      </c>
      <c r="M5700" s="460">
        <f t="shared" si="196"/>
        <v>0.05</v>
      </c>
      <c r="N5700" s="464">
        <f t="shared" si="197"/>
        <v>224534</v>
      </c>
    </row>
    <row r="5701" spans="7:14" ht="11.25" customHeight="1" x14ac:dyDescent="0.25">
      <c r="G5701" s="459"/>
      <c r="H5701" s="459">
        <v>5694</v>
      </c>
      <c r="I5701" s="444">
        <f t="shared" ca="1" si="195"/>
        <v>-1.545966543572231E+16</v>
      </c>
      <c r="J5701" s="444">
        <f t="array" ref="J5701">IFERROR(INDEX('Retirement Calculator'!K:K,MATCH('Lorri 401b'!N5701,'Retirement Calculator'!A:A,0),0),0)</f>
        <v>0</v>
      </c>
      <c r="K5701" s="444">
        <f t="shared" ca="1" si="193"/>
        <v>-64415272648842.969</v>
      </c>
      <c r="L5701" s="444">
        <f t="shared" ca="1" si="194"/>
        <v>-1.5524080708371152E+16</v>
      </c>
      <c r="M5701" s="460">
        <f t="shared" si="196"/>
        <v>0.05</v>
      </c>
      <c r="N5701" s="464">
        <f t="shared" si="197"/>
        <v>224565</v>
      </c>
    </row>
    <row r="5702" spans="7:14" ht="11.25" customHeight="1" x14ac:dyDescent="0.25">
      <c r="G5702" s="459"/>
      <c r="H5702" s="459">
        <v>5695</v>
      </c>
      <c r="I5702" s="444">
        <f t="shared" ca="1" si="195"/>
        <v>-1.5524080708371152E+16</v>
      </c>
      <c r="J5702" s="444">
        <f t="array" ref="J5702">IFERROR(INDEX('Retirement Calculator'!K:K,MATCH('Lorri 401b'!N5702,'Retirement Calculator'!A:A,0),0),0)</f>
        <v>0</v>
      </c>
      <c r="K5702" s="444">
        <f t="shared" ca="1" si="193"/>
        <v>-64683669618213.133</v>
      </c>
      <c r="L5702" s="444">
        <f t="shared" ca="1" si="194"/>
        <v>-1.5588764377989366E+16</v>
      </c>
      <c r="M5702" s="460">
        <f t="shared" si="196"/>
        <v>0.05</v>
      </c>
      <c r="N5702" s="464">
        <f t="shared" si="197"/>
        <v>224595</v>
      </c>
    </row>
    <row r="5703" spans="7:14" ht="11.25" customHeight="1" x14ac:dyDescent="0.25">
      <c r="G5703" s="459"/>
      <c r="H5703" s="459">
        <v>5696</v>
      </c>
      <c r="I5703" s="444">
        <f t="shared" ca="1" si="195"/>
        <v>-1.5588764377989366E+16</v>
      </c>
      <c r="J5703" s="444">
        <f t="array" ref="J5703">IFERROR(INDEX('Retirement Calculator'!K:K,MATCH('Lorri 401b'!N5703,'Retirement Calculator'!A:A,0),0),0)</f>
        <v>0</v>
      </c>
      <c r="K5703" s="444">
        <f t="shared" ca="1" si="193"/>
        <v>-64953184908289.031</v>
      </c>
      <c r="L5703" s="444">
        <f t="shared" ca="1" si="194"/>
        <v>-1.5653717562897656E+16</v>
      </c>
      <c r="M5703" s="460">
        <f t="shared" si="196"/>
        <v>0.05</v>
      </c>
      <c r="N5703" s="464">
        <f t="shared" si="197"/>
        <v>224626</v>
      </c>
    </row>
    <row r="5704" spans="7:14" ht="11.25" customHeight="1" x14ac:dyDescent="0.25">
      <c r="G5704" s="459"/>
      <c r="H5704" s="459">
        <v>5697</v>
      </c>
      <c r="I5704" s="444">
        <f t="shared" ca="1" si="195"/>
        <v>-1.5653717562897656E+16</v>
      </c>
      <c r="J5704" s="444">
        <f t="array" ref="J5704">IFERROR(INDEX('Retirement Calculator'!K:K,MATCH('Lorri 401b'!N5704,'Retirement Calculator'!A:A,0),0),0)</f>
        <v>0</v>
      </c>
      <c r="K5704" s="444">
        <f t="shared" ca="1" si="193"/>
        <v>-65223823178740.234</v>
      </c>
      <c r="L5704" s="444">
        <f t="shared" ca="1" si="194"/>
        <v>-1.5718941386076396E+16</v>
      </c>
      <c r="M5704" s="460">
        <f t="shared" si="196"/>
        <v>0.05</v>
      </c>
      <c r="N5704" s="464">
        <f t="shared" si="197"/>
        <v>224657</v>
      </c>
    </row>
    <row r="5705" spans="7:14" ht="11.25" customHeight="1" x14ac:dyDescent="0.25">
      <c r="G5705" s="459"/>
      <c r="H5705" s="459">
        <v>5698</v>
      </c>
      <c r="I5705" s="444">
        <f t="shared" ca="1" si="195"/>
        <v>-1.5718941386076396E+16</v>
      </c>
      <c r="J5705" s="444">
        <f t="array" ref="J5705">IFERROR(INDEX('Retirement Calculator'!K:K,MATCH('Lorri 401b'!N5705,'Retirement Calculator'!A:A,0),0),0)</f>
        <v>0</v>
      </c>
      <c r="K5705" s="444">
        <f t="shared" ca="1" si="193"/>
        <v>-65495589108651.648</v>
      </c>
      <c r="L5705" s="444">
        <f t="shared" ca="1" si="194"/>
        <v>-1.5784436975185048E+16</v>
      </c>
      <c r="M5705" s="460">
        <f t="shared" si="196"/>
        <v>0.05</v>
      </c>
      <c r="N5705" s="464">
        <f t="shared" si="197"/>
        <v>224685</v>
      </c>
    </row>
    <row r="5706" spans="7:14" ht="11.25" customHeight="1" x14ac:dyDescent="0.25">
      <c r="G5706" s="459"/>
      <c r="H5706" s="459">
        <v>5699</v>
      </c>
      <c r="I5706" s="444">
        <f t="shared" ca="1" si="195"/>
        <v>-1.5784436975185048E+16</v>
      </c>
      <c r="J5706" s="444">
        <f t="array" ref="J5706">IFERROR(INDEX('Retirement Calculator'!K:K,MATCH('Lorri 401b'!N5706,'Retirement Calculator'!A:A,0),0),0)</f>
        <v>0</v>
      </c>
      <c r="K5706" s="444">
        <f t="shared" ca="1" si="193"/>
        <v>-65768487396604.359</v>
      </c>
      <c r="L5706" s="444">
        <f t="shared" ca="1" si="194"/>
        <v>-1.5850205462581652E+16</v>
      </c>
      <c r="M5706" s="460">
        <f t="shared" si="196"/>
        <v>0.05</v>
      </c>
      <c r="N5706" s="464">
        <f t="shared" si="197"/>
        <v>224716</v>
      </c>
    </row>
    <row r="5707" spans="7:14" ht="11.25" customHeight="1" x14ac:dyDescent="0.25">
      <c r="G5707" s="459"/>
      <c r="H5707" s="459">
        <v>5700</v>
      </c>
      <c r="I5707" s="444">
        <f t="shared" ca="1" si="195"/>
        <v>-1.5850205462581652E+16</v>
      </c>
      <c r="J5707" s="444">
        <f t="array" ref="J5707">IFERROR(INDEX('Retirement Calculator'!K:K,MATCH('Lorri 401b'!N5707,'Retirement Calculator'!A:A,0),0),0)</f>
        <v>0</v>
      </c>
      <c r="K5707" s="444">
        <f t="shared" ca="1" si="193"/>
        <v>-66042522760756.883</v>
      </c>
      <c r="L5707" s="444">
        <f t="shared" ca="1" si="194"/>
        <v>-1.5916247985342408E+16</v>
      </c>
      <c r="M5707" s="460">
        <f t="shared" si="196"/>
        <v>0.05</v>
      </c>
      <c r="N5707" s="464">
        <f t="shared" si="197"/>
        <v>224746</v>
      </c>
    </row>
    <row r="5708" spans="7:14" ht="11.25" customHeight="1" x14ac:dyDescent="0.25">
      <c r="G5708" s="459"/>
      <c r="H5708" s="459">
        <v>5701</v>
      </c>
      <c r="I5708" s="444">
        <f t="shared" ca="1" si="195"/>
        <v>-1.5916247985342408E+16</v>
      </c>
      <c r="J5708" s="444">
        <f t="array" ref="J5708">IFERROR(INDEX('Retirement Calculator'!K:K,MATCH('Lorri 401b'!N5708,'Retirement Calculator'!A:A,0),0),0)</f>
        <v>0</v>
      </c>
      <c r="K5708" s="444">
        <f t="shared" ca="1" si="193"/>
        <v>-66317699938926.711</v>
      </c>
      <c r="L5708" s="444">
        <f t="shared" ca="1" si="194"/>
        <v>-1.5982565685281334E+16</v>
      </c>
      <c r="M5708" s="460">
        <f t="shared" si="196"/>
        <v>0.05</v>
      </c>
      <c r="N5708" s="464">
        <f t="shared" si="197"/>
        <v>224777</v>
      </c>
    </row>
    <row r="5709" spans="7:14" ht="11.25" customHeight="1" x14ac:dyDescent="0.25">
      <c r="G5709" s="459"/>
      <c r="H5709" s="459">
        <v>5702</v>
      </c>
      <c r="I5709" s="444">
        <f t="shared" ca="1" si="195"/>
        <v>-1.5982565685281334E+16</v>
      </c>
      <c r="J5709" s="444">
        <f t="array" ref="J5709">IFERROR(INDEX('Retirement Calculator'!K:K,MATCH('Lorri 401b'!N5709,'Retirement Calculator'!A:A,0),0),0)</f>
        <v>0</v>
      </c>
      <c r="K5709" s="444">
        <f t="shared" ca="1" si="193"/>
        <v>-66594023688672.234</v>
      </c>
      <c r="L5709" s="444">
        <f t="shared" ca="1" si="194"/>
        <v>-1.6049159708970006E+16</v>
      </c>
      <c r="M5709" s="460">
        <f t="shared" si="196"/>
        <v>0.05</v>
      </c>
      <c r="N5709" s="464">
        <f t="shared" si="197"/>
        <v>224807</v>
      </c>
    </row>
    <row r="5710" spans="7:14" ht="11.25" customHeight="1" x14ac:dyDescent="0.25">
      <c r="G5710" s="459"/>
      <c r="H5710" s="459">
        <v>5703</v>
      </c>
      <c r="I5710" s="444">
        <f t="shared" ca="1" si="195"/>
        <v>-1.6049159708970006E+16</v>
      </c>
      <c r="J5710" s="444">
        <f t="array" ref="J5710">IFERROR(INDEX('Retirement Calculator'!K:K,MATCH('Lorri 401b'!N5710,'Retirement Calculator'!A:A,0),0),0)</f>
        <v>0</v>
      </c>
      <c r="K5710" s="444">
        <f t="shared" ca="1" si="193"/>
        <v>-66871498787375.023</v>
      </c>
      <c r="L5710" s="444">
        <f t="shared" ca="1" si="194"/>
        <v>-1.6116031207757382E+16</v>
      </c>
      <c r="M5710" s="460">
        <f t="shared" si="196"/>
        <v>0.05</v>
      </c>
      <c r="N5710" s="464">
        <f t="shared" si="197"/>
        <v>224838</v>
      </c>
    </row>
    <row r="5711" spans="7:14" ht="11.25" customHeight="1" x14ac:dyDescent="0.25">
      <c r="G5711" s="459"/>
      <c r="H5711" s="459">
        <v>5704</v>
      </c>
      <c r="I5711" s="444">
        <f t="shared" ca="1" si="195"/>
        <v>-1.6116031207757382E+16</v>
      </c>
      <c r="J5711" s="444">
        <f t="array" ref="J5711">IFERROR(INDEX('Retirement Calculator'!K:K,MATCH('Lorri 401b'!N5711,'Retirement Calculator'!A:A,0),0),0)</f>
        <v>0</v>
      </c>
      <c r="K5711" s="444">
        <f t="shared" ca="1" si="193"/>
        <v>-67150130032322.414</v>
      </c>
      <c r="L5711" s="444">
        <f t="shared" ca="1" si="194"/>
        <v>-1.6183181337789704E+16</v>
      </c>
      <c r="M5711" s="460">
        <f t="shared" si="196"/>
        <v>0.05</v>
      </c>
      <c r="N5711" s="464">
        <f t="shared" si="197"/>
        <v>224869</v>
      </c>
    </row>
    <row r="5712" spans="7:14" ht="11.25" customHeight="1" x14ac:dyDescent="0.25">
      <c r="G5712" s="459"/>
      <c r="H5712" s="459">
        <v>5705</v>
      </c>
      <c r="I5712" s="444">
        <f t="shared" ca="1" si="195"/>
        <v>-1.6183181337789704E+16</v>
      </c>
      <c r="J5712" s="444">
        <f t="array" ref="J5712">IFERROR(INDEX('Retirement Calculator'!K:K,MATCH('Lorri 401b'!N5712,'Retirement Calculator'!A:A,0),0),0)</f>
        <v>0</v>
      </c>
      <c r="K5712" s="444">
        <f t="shared" ca="1" si="193"/>
        <v>-67429922240790.438</v>
      </c>
      <c r="L5712" s="444">
        <f t="shared" ca="1" si="194"/>
        <v>-1.6250611260030494E+16</v>
      </c>
      <c r="M5712" s="460">
        <f t="shared" si="196"/>
        <v>0.05</v>
      </c>
      <c r="N5712" s="464">
        <f t="shared" si="197"/>
        <v>224899</v>
      </c>
    </row>
    <row r="5713" spans="7:14" ht="11.25" customHeight="1" x14ac:dyDescent="0.25">
      <c r="G5713" s="459"/>
      <c r="H5713" s="459">
        <v>5706</v>
      </c>
      <c r="I5713" s="444">
        <f t="shared" ca="1" si="195"/>
        <v>-1.6250611260030494E+16</v>
      </c>
      <c r="J5713" s="444">
        <f t="array" ref="J5713">IFERROR(INDEX('Retirement Calculator'!K:K,MATCH('Lorri 401b'!N5713,'Retirement Calculator'!A:A,0),0),0)</f>
        <v>0</v>
      </c>
      <c r="K5713" s="444">
        <f t="shared" ca="1" si="193"/>
        <v>-67710880250127.055</v>
      </c>
      <c r="L5713" s="444">
        <f t="shared" ca="1" si="194"/>
        <v>-1.6318322140280622E+16</v>
      </c>
      <c r="M5713" s="460">
        <f t="shared" si="196"/>
        <v>0.05</v>
      </c>
      <c r="N5713" s="464">
        <f t="shared" si="197"/>
        <v>224930</v>
      </c>
    </row>
    <row r="5714" spans="7:14" ht="11.25" customHeight="1" x14ac:dyDescent="0.25">
      <c r="G5714" s="459"/>
      <c r="H5714" s="459">
        <v>5707</v>
      </c>
      <c r="I5714" s="444">
        <f t="shared" ca="1" si="195"/>
        <v>-1.6318322140280622E+16</v>
      </c>
      <c r="J5714" s="444">
        <f t="array" ref="J5714">IFERROR(INDEX('Retirement Calculator'!K:K,MATCH('Lorri 401b'!N5714,'Retirement Calculator'!A:A,0),0),0)</f>
        <v>0</v>
      </c>
      <c r="K5714" s="444">
        <f t="shared" ca="1" si="193"/>
        <v>-67993008917835.922</v>
      </c>
      <c r="L5714" s="444">
        <f t="shared" ca="1" si="194"/>
        <v>-1.6386315149198458E+16</v>
      </c>
      <c r="M5714" s="460">
        <f t="shared" si="196"/>
        <v>0.05</v>
      </c>
      <c r="N5714" s="464">
        <f t="shared" si="197"/>
        <v>224960</v>
      </c>
    </row>
    <row r="5715" spans="7:14" ht="11.25" customHeight="1" x14ac:dyDescent="0.25">
      <c r="G5715" s="459"/>
      <c r="H5715" s="459">
        <v>5708</v>
      </c>
      <c r="I5715" s="444">
        <f t="shared" ca="1" si="195"/>
        <v>-1.6386315149198458E+16</v>
      </c>
      <c r="J5715" s="444">
        <f t="array" ref="J5715">IFERROR(INDEX('Retirement Calculator'!K:K,MATCH('Lorri 401b'!N5715,'Retirement Calculator'!A:A,0),0),0)</f>
        <v>0</v>
      </c>
      <c r="K5715" s="444">
        <f t="shared" ca="1" si="193"/>
        <v>-68276313121660.25</v>
      </c>
      <c r="L5715" s="444">
        <f t="shared" ca="1" si="194"/>
        <v>-1.6454591462320118E+16</v>
      </c>
      <c r="M5715" s="460">
        <f t="shared" si="196"/>
        <v>0.05</v>
      </c>
      <c r="N5715" s="464">
        <f t="shared" si="197"/>
        <v>224991</v>
      </c>
    </row>
    <row r="5716" spans="7:14" ht="11.25" customHeight="1" x14ac:dyDescent="0.25">
      <c r="G5716" s="459"/>
      <c r="H5716" s="459">
        <v>5709</v>
      </c>
      <c r="I5716" s="444">
        <f t="shared" ca="1" si="195"/>
        <v>-1.6454591462320118E+16</v>
      </c>
      <c r="J5716" s="444">
        <f t="array" ref="J5716">IFERROR(INDEX('Retirement Calculator'!K:K,MATCH('Lorri 401b'!N5716,'Retirement Calculator'!A:A,0),0),0)</f>
        <v>0</v>
      </c>
      <c r="K5716" s="444">
        <f t="shared" ca="1" si="193"/>
        <v>-68560797759667.156</v>
      </c>
      <c r="L5716" s="444">
        <f t="shared" ca="1" si="194"/>
        <v>-1.6523152260079786E+16</v>
      </c>
      <c r="M5716" s="460">
        <f t="shared" si="196"/>
        <v>0.05</v>
      </c>
      <c r="N5716" s="464">
        <f t="shared" si="197"/>
        <v>225022</v>
      </c>
    </row>
    <row r="5717" spans="7:14" ht="11.25" customHeight="1" x14ac:dyDescent="0.25">
      <c r="G5717" s="459"/>
      <c r="H5717" s="459">
        <v>5710</v>
      </c>
      <c r="I5717" s="444">
        <f t="shared" ca="1" si="195"/>
        <v>-1.6523152260079786E+16</v>
      </c>
      <c r="J5717" s="444">
        <f t="array" ref="J5717">IFERROR(INDEX('Retirement Calculator'!K:K,MATCH('Lorri 401b'!N5717,'Retirement Calculator'!A:A,0),0),0)</f>
        <v>0</v>
      </c>
      <c r="K5717" s="444">
        <f t="shared" ca="1" si="193"/>
        <v>-68846467750332.445</v>
      </c>
      <c r="L5717" s="444">
        <f t="shared" ca="1" si="194"/>
        <v>-1.6591998727830118E+16</v>
      </c>
      <c r="M5717" s="460">
        <f t="shared" si="196"/>
        <v>0.05</v>
      </c>
      <c r="N5717" s="464">
        <f t="shared" si="197"/>
        <v>225051</v>
      </c>
    </row>
    <row r="5718" spans="7:14" ht="11.25" customHeight="1" x14ac:dyDescent="0.25">
      <c r="G5718" s="459"/>
      <c r="H5718" s="459">
        <v>5711</v>
      </c>
      <c r="I5718" s="444">
        <f t="shared" ca="1" si="195"/>
        <v>-1.6591998727830118E+16</v>
      </c>
      <c r="J5718" s="444">
        <f t="array" ref="J5718">IFERROR(INDEX('Retirement Calculator'!K:K,MATCH('Lorri 401b'!N5718,'Retirement Calculator'!A:A,0),0),0)</f>
        <v>0</v>
      </c>
      <c r="K5718" s="444">
        <f t="shared" ca="1" si="193"/>
        <v>-69133328032625.492</v>
      </c>
      <c r="L5718" s="444">
        <f t="shared" ca="1" si="194"/>
        <v>-1.6661132055862744E+16</v>
      </c>
      <c r="M5718" s="460">
        <f t="shared" si="196"/>
        <v>0.05</v>
      </c>
      <c r="N5718" s="464">
        <f t="shared" si="197"/>
        <v>225082</v>
      </c>
    </row>
    <row r="5719" spans="7:14" ht="11.25" customHeight="1" x14ac:dyDescent="0.25">
      <c r="G5719" s="459"/>
      <c r="H5719" s="459">
        <v>5712</v>
      </c>
      <c r="I5719" s="444">
        <f t="shared" ca="1" si="195"/>
        <v>-1.6661132055862744E+16</v>
      </c>
      <c r="J5719" s="444">
        <f t="array" ref="J5719">IFERROR(INDEX('Retirement Calculator'!K:K,MATCH('Lorri 401b'!N5719,'Retirement Calculator'!A:A,0),0),0)</f>
        <v>0</v>
      </c>
      <c r="K5719" s="444">
        <f t="shared" ca="1" si="193"/>
        <v>-69421383566094.766</v>
      </c>
      <c r="L5719" s="444">
        <f t="shared" ca="1" si="194"/>
        <v>-1.6730553439428838E+16</v>
      </c>
      <c r="M5719" s="460">
        <f t="shared" si="196"/>
        <v>0.05</v>
      </c>
      <c r="N5719" s="464">
        <f t="shared" si="197"/>
        <v>225112</v>
      </c>
    </row>
    <row r="5720" spans="7:14" ht="11.25" customHeight="1" x14ac:dyDescent="0.25">
      <c r="G5720" s="459"/>
      <c r="H5720" s="459">
        <v>5713</v>
      </c>
      <c r="I5720" s="444">
        <f t="shared" ca="1" si="195"/>
        <v>-1.6730553439428838E+16</v>
      </c>
      <c r="J5720" s="444">
        <f t="array" ref="J5720">IFERROR(INDEX('Retirement Calculator'!K:K,MATCH('Lorri 401b'!N5720,'Retirement Calculator'!A:A,0),0),0)</f>
        <v>0</v>
      </c>
      <c r="K5720" s="444">
        <f t="shared" ca="1" si="193"/>
        <v>-69710639330953.492</v>
      </c>
      <c r="L5720" s="444">
        <f t="shared" ca="1" si="194"/>
        <v>-1.6800264078759792E+16</v>
      </c>
      <c r="M5720" s="460">
        <f t="shared" si="196"/>
        <v>0.05</v>
      </c>
      <c r="N5720" s="464">
        <f t="shared" si="197"/>
        <v>225143</v>
      </c>
    </row>
    <row r="5721" spans="7:14" ht="11.25" customHeight="1" x14ac:dyDescent="0.25">
      <c r="G5721" s="459"/>
      <c r="H5721" s="459">
        <v>5714</v>
      </c>
      <c r="I5721" s="444">
        <f t="shared" ca="1" si="195"/>
        <v>-1.6800264078759792E+16</v>
      </c>
      <c r="J5721" s="444">
        <f t="array" ref="J5721">IFERROR(INDEX('Retirement Calculator'!K:K,MATCH('Lorri 401b'!N5721,'Retirement Calculator'!A:A,0),0),0)</f>
        <v>0</v>
      </c>
      <c r="K5721" s="444">
        <f t="shared" ca="1" si="193"/>
        <v>-70001100328165.797</v>
      </c>
      <c r="L5721" s="444">
        <f t="shared" ca="1" si="194"/>
        <v>-1.6870265179087958E+16</v>
      </c>
      <c r="M5721" s="460">
        <f t="shared" si="196"/>
        <v>0.05</v>
      </c>
      <c r="N5721" s="464">
        <f t="shared" si="197"/>
        <v>225173</v>
      </c>
    </row>
    <row r="5722" spans="7:14" ht="11.25" customHeight="1" x14ac:dyDescent="0.25">
      <c r="G5722" s="459"/>
      <c r="H5722" s="459">
        <v>5715</v>
      </c>
      <c r="I5722" s="444">
        <f t="shared" ca="1" si="195"/>
        <v>-1.6870265179087958E+16</v>
      </c>
      <c r="J5722" s="444">
        <f t="array" ref="J5722">IFERROR(INDEX('Retirement Calculator'!K:K,MATCH('Lorri 401b'!N5722,'Retirement Calculator'!A:A,0),0),0)</f>
        <v>0</v>
      </c>
      <c r="K5722" s="444">
        <f t="shared" ca="1" si="193"/>
        <v>-70292771579533.156</v>
      </c>
      <c r="L5722" s="444">
        <f t="shared" ca="1" si="194"/>
        <v>-1.6940557950667492E+16</v>
      </c>
      <c r="M5722" s="460">
        <f t="shared" si="196"/>
        <v>0.05</v>
      </c>
      <c r="N5722" s="464">
        <f t="shared" si="197"/>
        <v>225204</v>
      </c>
    </row>
    <row r="5723" spans="7:14" ht="11.25" customHeight="1" x14ac:dyDescent="0.25">
      <c r="G5723" s="459"/>
      <c r="H5723" s="459">
        <v>5716</v>
      </c>
      <c r="I5723" s="444">
        <f t="shared" ca="1" si="195"/>
        <v>-1.6940557950667492E+16</v>
      </c>
      <c r="J5723" s="444">
        <f t="array" ref="J5723">IFERROR(INDEX('Retirement Calculator'!K:K,MATCH('Lorri 401b'!N5723,'Retirement Calculator'!A:A,0),0),0)</f>
        <v>0</v>
      </c>
      <c r="K5723" s="444">
        <f t="shared" ca="1" si="193"/>
        <v>-70585658127781.219</v>
      </c>
      <c r="L5723" s="444">
        <f t="shared" ca="1" si="194"/>
        <v>-1.7011143608795274E+16</v>
      </c>
      <c r="M5723" s="460">
        <f t="shared" si="196"/>
        <v>0.05</v>
      </c>
      <c r="N5723" s="464">
        <f t="shared" si="197"/>
        <v>225235</v>
      </c>
    </row>
    <row r="5724" spans="7:14" ht="11.25" customHeight="1" x14ac:dyDescent="0.25">
      <c r="G5724" s="459"/>
      <c r="H5724" s="459">
        <v>5717</v>
      </c>
      <c r="I5724" s="444">
        <f t="shared" ca="1" si="195"/>
        <v>-1.7011143608795274E+16</v>
      </c>
      <c r="J5724" s="444">
        <f t="array" ref="J5724">IFERROR(INDEX('Retirement Calculator'!K:K,MATCH('Lorri 401b'!N5724,'Retirement Calculator'!A:A,0),0),0)</f>
        <v>0</v>
      </c>
      <c r="K5724" s="444">
        <f t="shared" ca="1" si="193"/>
        <v>-70879765036646.984</v>
      </c>
      <c r="L5724" s="444">
        <f t="shared" ca="1" si="194"/>
        <v>-1.708202337383192E+16</v>
      </c>
      <c r="M5724" s="460">
        <f t="shared" si="196"/>
        <v>0.05</v>
      </c>
      <c r="N5724" s="464">
        <f t="shared" si="197"/>
        <v>225265</v>
      </c>
    </row>
    <row r="5725" spans="7:14" ht="11.25" customHeight="1" x14ac:dyDescent="0.25">
      <c r="G5725" s="459"/>
      <c r="H5725" s="459">
        <v>5718</v>
      </c>
      <c r="I5725" s="444">
        <f t="shared" ca="1" si="195"/>
        <v>-1.708202337383192E+16</v>
      </c>
      <c r="J5725" s="444">
        <f t="array" ref="J5725">IFERROR(INDEX('Retirement Calculator'!K:K,MATCH('Lorri 401b'!N5725,'Retirement Calculator'!A:A,0),0),0)</f>
        <v>0</v>
      </c>
      <c r="K5725" s="444">
        <f t="shared" ca="1" si="193"/>
        <v>-71175097390966.328</v>
      </c>
      <c r="L5725" s="444">
        <f t="shared" ca="1" si="194"/>
        <v>-1.7153198471222886E+16</v>
      </c>
      <c r="M5725" s="460">
        <f t="shared" si="196"/>
        <v>0.05</v>
      </c>
      <c r="N5725" s="464">
        <f t="shared" si="197"/>
        <v>225296</v>
      </c>
    </row>
    <row r="5726" spans="7:14" ht="11.25" customHeight="1" x14ac:dyDescent="0.25">
      <c r="G5726" s="459"/>
      <c r="H5726" s="459">
        <v>5719</v>
      </c>
      <c r="I5726" s="444">
        <f t="shared" ca="1" si="195"/>
        <v>-1.7153198471222886E+16</v>
      </c>
      <c r="J5726" s="444">
        <f t="array" ref="J5726">IFERROR(INDEX('Retirement Calculator'!K:K,MATCH('Lorri 401b'!N5726,'Retirement Calculator'!A:A,0),0),0)</f>
        <v>0</v>
      </c>
      <c r="K5726" s="444">
        <f t="shared" ca="1" si="193"/>
        <v>-71471660296762.031</v>
      </c>
      <c r="L5726" s="444">
        <f t="shared" ca="1" si="194"/>
        <v>-1.7224670131519648E+16</v>
      </c>
      <c r="M5726" s="460">
        <f t="shared" si="196"/>
        <v>0.05</v>
      </c>
      <c r="N5726" s="464">
        <f t="shared" si="197"/>
        <v>225326</v>
      </c>
    </row>
    <row r="5727" spans="7:14" ht="11.25" customHeight="1" x14ac:dyDescent="0.25">
      <c r="G5727" s="459"/>
      <c r="H5727" s="459">
        <v>5720</v>
      </c>
      <c r="I5727" s="444">
        <f t="shared" ca="1" si="195"/>
        <v>-1.7224670131519648E+16</v>
      </c>
      <c r="J5727" s="444">
        <f t="array" ref="J5727">IFERROR(INDEX('Retirement Calculator'!K:K,MATCH('Lorri 401b'!N5727,'Retirement Calculator'!A:A,0),0),0)</f>
        <v>0</v>
      </c>
      <c r="K5727" s="444">
        <f t="shared" ca="1" si="193"/>
        <v>-71769458881331.859</v>
      </c>
      <c r="L5727" s="444">
        <f t="shared" ca="1" si="194"/>
        <v>-1.729643959040098E+16</v>
      </c>
      <c r="M5727" s="460">
        <f t="shared" si="196"/>
        <v>0.05</v>
      </c>
      <c r="N5727" s="464">
        <f t="shared" si="197"/>
        <v>225357</v>
      </c>
    </row>
    <row r="5728" spans="7:14" ht="11.25" customHeight="1" x14ac:dyDescent="0.25">
      <c r="G5728" s="459"/>
      <c r="H5728" s="459">
        <v>5721</v>
      </c>
      <c r="I5728" s="444">
        <f t="shared" ca="1" si="195"/>
        <v>-1.729643959040098E+16</v>
      </c>
      <c r="J5728" s="444">
        <f t="array" ref="J5728">IFERROR(INDEX('Retirement Calculator'!K:K,MATCH('Lorri 401b'!N5728,'Retirement Calculator'!A:A,0),0),0)</f>
        <v>0</v>
      </c>
      <c r="K5728" s="444">
        <f t="shared" ca="1" si="193"/>
        <v>-72068498293337.422</v>
      </c>
      <c r="L5728" s="444">
        <f t="shared" ca="1" si="194"/>
        <v>-1.7368508088694318E+16</v>
      </c>
      <c r="M5728" s="460">
        <f t="shared" si="196"/>
        <v>0.05</v>
      </c>
      <c r="N5728" s="464">
        <f t="shared" si="197"/>
        <v>225388</v>
      </c>
    </row>
    <row r="5729" spans="7:14" ht="11.25" customHeight="1" x14ac:dyDescent="0.25">
      <c r="G5729" s="459"/>
      <c r="H5729" s="459">
        <v>5722</v>
      </c>
      <c r="I5729" s="444">
        <f t="shared" ca="1" si="195"/>
        <v>-1.7368508088694318E+16</v>
      </c>
      <c r="J5729" s="444">
        <f t="array" ref="J5729">IFERROR(INDEX('Retirement Calculator'!K:K,MATCH('Lorri 401b'!N5729,'Retirement Calculator'!A:A,0),0),0)</f>
        <v>0</v>
      </c>
      <c r="K5729" s="444">
        <f t="shared" ca="1" si="193"/>
        <v>-72368783702892.984</v>
      </c>
      <c r="L5729" s="444">
        <f t="shared" ca="1" si="194"/>
        <v>-1.744087687239721E+16</v>
      </c>
      <c r="M5729" s="460">
        <f t="shared" si="196"/>
        <v>0.05</v>
      </c>
      <c r="N5729" s="464">
        <f t="shared" si="197"/>
        <v>225416</v>
      </c>
    </row>
    <row r="5730" spans="7:14" ht="11.25" customHeight="1" x14ac:dyDescent="0.25">
      <c r="G5730" s="459"/>
      <c r="H5730" s="459">
        <v>5723</v>
      </c>
      <c r="I5730" s="444">
        <f t="shared" ca="1" si="195"/>
        <v>-1.744087687239721E+16</v>
      </c>
      <c r="J5730" s="444">
        <f t="array" ref="J5730">IFERROR(INDEX('Retirement Calculator'!K:K,MATCH('Lorri 401b'!N5730,'Retirement Calculator'!A:A,0),0),0)</f>
        <v>0</v>
      </c>
      <c r="K5730" s="444">
        <f t="shared" ca="1" si="193"/>
        <v>-72670320301655.031</v>
      </c>
      <c r="L5730" s="444">
        <f t="shared" ca="1" si="194"/>
        <v>-1.7513547192698866E+16</v>
      </c>
      <c r="M5730" s="460">
        <f t="shared" si="196"/>
        <v>0.05</v>
      </c>
      <c r="N5730" s="464">
        <f t="shared" si="197"/>
        <v>225447</v>
      </c>
    </row>
    <row r="5731" spans="7:14" ht="11.25" customHeight="1" x14ac:dyDescent="0.25">
      <c r="G5731" s="459"/>
      <c r="H5731" s="459">
        <v>5724</v>
      </c>
      <c r="I5731" s="444">
        <f t="shared" ca="1" si="195"/>
        <v>-1.7513547192698866E+16</v>
      </c>
      <c r="J5731" s="444">
        <f t="array" ref="J5731">IFERROR(INDEX('Retirement Calculator'!K:K,MATCH('Lorri 401b'!N5731,'Retirement Calculator'!A:A,0),0),0)</f>
        <v>0</v>
      </c>
      <c r="K5731" s="444">
        <f t="shared" ca="1" si="193"/>
        <v>-72973113302911.938</v>
      </c>
      <c r="L5731" s="444">
        <f t="shared" ca="1" si="194"/>
        <v>-1.7586520306001778E+16</v>
      </c>
      <c r="M5731" s="460">
        <f t="shared" si="196"/>
        <v>0.05</v>
      </c>
      <c r="N5731" s="464">
        <f t="shared" si="197"/>
        <v>225477</v>
      </c>
    </row>
    <row r="5732" spans="7:14" ht="11.25" customHeight="1" x14ac:dyDescent="0.25">
      <c r="G5732" s="459"/>
      <c r="H5732" s="459">
        <v>5725</v>
      </c>
      <c r="I5732" s="444">
        <f t="shared" ca="1" si="195"/>
        <v>-1.7586520306001778E+16</v>
      </c>
      <c r="J5732" s="444">
        <f t="array" ref="J5732">IFERROR(INDEX('Retirement Calculator'!K:K,MATCH('Lorri 401b'!N5732,'Retirement Calculator'!A:A,0),0),0)</f>
        <v>0</v>
      </c>
      <c r="K5732" s="444">
        <f t="shared" ca="1" si="193"/>
        <v>-73277167941674.078</v>
      </c>
      <c r="L5732" s="444">
        <f t="shared" ca="1" si="194"/>
        <v>-1.7659797473943452E+16</v>
      </c>
      <c r="M5732" s="460">
        <f t="shared" si="196"/>
        <v>0.05</v>
      </c>
      <c r="N5732" s="464">
        <f t="shared" si="197"/>
        <v>225508</v>
      </c>
    </row>
    <row r="5733" spans="7:14" ht="11.25" customHeight="1" x14ac:dyDescent="0.25">
      <c r="G5733" s="459"/>
      <c r="H5733" s="459">
        <v>5726</v>
      </c>
      <c r="I5733" s="444">
        <f t="shared" ca="1" si="195"/>
        <v>-1.7659797473943452E+16</v>
      </c>
      <c r="J5733" s="444">
        <f t="array" ref="J5733">IFERROR(INDEX('Retirement Calculator'!K:K,MATCH('Lorri 401b'!N5733,'Retirement Calculator'!A:A,0),0),0)</f>
        <v>0</v>
      </c>
      <c r="K5733" s="444">
        <f t="shared" ca="1" si="193"/>
        <v>-73582489474764.391</v>
      </c>
      <c r="L5733" s="444">
        <f t="shared" ca="1" si="194"/>
        <v>-1.7733379963418216E+16</v>
      </c>
      <c r="M5733" s="460">
        <f t="shared" si="196"/>
        <v>0.05</v>
      </c>
      <c r="N5733" s="464">
        <f t="shared" si="197"/>
        <v>225538</v>
      </c>
    </row>
    <row r="5734" spans="7:14" ht="11.25" customHeight="1" x14ac:dyDescent="0.25">
      <c r="G5734" s="459"/>
      <c r="H5734" s="459">
        <v>5727</v>
      </c>
      <c r="I5734" s="444">
        <f t="shared" ca="1" si="195"/>
        <v>-1.7733379963418216E+16</v>
      </c>
      <c r="J5734" s="444">
        <f t="array" ref="J5734">IFERROR(INDEX('Retirement Calculator'!K:K,MATCH('Lorri 401b'!N5734,'Retirement Calculator'!A:A,0),0),0)</f>
        <v>0</v>
      </c>
      <c r="K5734" s="444">
        <f t="shared" ca="1" si="193"/>
        <v>-73889083180909.234</v>
      </c>
      <c r="L5734" s="444">
        <f t="shared" ca="1" si="194"/>
        <v>-1.7807269046599126E+16</v>
      </c>
      <c r="M5734" s="460">
        <f t="shared" si="196"/>
        <v>0.05</v>
      </c>
      <c r="N5734" s="464">
        <f t="shared" si="197"/>
        <v>225569</v>
      </c>
    </row>
    <row r="5735" spans="7:14" ht="11.25" customHeight="1" x14ac:dyDescent="0.25">
      <c r="G5735" s="459"/>
      <c r="H5735" s="459">
        <v>5728</v>
      </c>
      <c r="I5735" s="444">
        <f t="shared" ca="1" si="195"/>
        <v>-1.7807269046599126E+16</v>
      </c>
      <c r="J5735" s="444">
        <f t="array" ref="J5735">IFERROR(INDEX('Retirement Calculator'!K:K,MATCH('Lorri 401b'!N5735,'Retirement Calculator'!A:A,0),0),0)</f>
        <v>0</v>
      </c>
      <c r="K5735" s="444">
        <f t="shared" ca="1" si="193"/>
        <v>-74196954360829.688</v>
      </c>
      <c r="L5735" s="444">
        <f t="shared" ca="1" si="194"/>
        <v>-1.7881466000959956E+16</v>
      </c>
      <c r="M5735" s="460">
        <f t="shared" si="196"/>
        <v>0.05</v>
      </c>
      <c r="N5735" s="464">
        <f t="shared" si="197"/>
        <v>225600</v>
      </c>
    </row>
    <row r="5736" spans="7:14" ht="11.25" customHeight="1" x14ac:dyDescent="0.25">
      <c r="G5736" s="459"/>
      <c r="H5736" s="459">
        <v>5729</v>
      </c>
      <c r="I5736" s="444">
        <f t="shared" ca="1" si="195"/>
        <v>-1.7881466000959956E+16</v>
      </c>
      <c r="J5736" s="444">
        <f t="array" ref="J5736">IFERROR(INDEX('Retirement Calculator'!K:K,MATCH('Lorri 401b'!N5736,'Retirement Calculator'!A:A,0),0),0)</f>
        <v>0</v>
      </c>
      <c r="K5736" s="444">
        <f t="shared" ca="1" si="193"/>
        <v>-74506108337333.156</v>
      </c>
      <c r="L5736" s="444">
        <f t="shared" ca="1" si="194"/>
        <v>-1.795597210929729E+16</v>
      </c>
      <c r="M5736" s="460">
        <f t="shared" si="196"/>
        <v>0.05</v>
      </c>
      <c r="N5736" s="464">
        <f t="shared" si="197"/>
        <v>225630</v>
      </c>
    </row>
    <row r="5737" spans="7:14" ht="11.25" customHeight="1" x14ac:dyDescent="0.25">
      <c r="G5737" s="459"/>
      <c r="H5737" s="459">
        <v>5730</v>
      </c>
      <c r="I5737" s="444">
        <f t="shared" ca="1" si="195"/>
        <v>-1.795597210929729E+16</v>
      </c>
      <c r="J5737" s="444">
        <f t="array" ref="J5737">IFERROR(INDEX('Retirement Calculator'!K:K,MATCH('Lorri 401b'!N5737,'Retirement Calculator'!A:A,0),0),0)</f>
        <v>0</v>
      </c>
      <c r="K5737" s="444">
        <f t="shared" ca="1" si="193"/>
        <v>-74816550455405.375</v>
      </c>
      <c r="L5737" s="444">
        <f t="shared" ca="1" si="194"/>
        <v>-1.8030788659752696E+16</v>
      </c>
      <c r="M5737" s="460">
        <f t="shared" si="196"/>
        <v>0.05</v>
      </c>
      <c r="N5737" s="464">
        <f t="shared" si="197"/>
        <v>225661</v>
      </c>
    </row>
    <row r="5738" spans="7:14" ht="11.25" customHeight="1" x14ac:dyDescent="0.25">
      <c r="G5738" s="459"/>
      <c r="H5738" s="459">
        <v>5731</v>
      </c>
      <c r="I5738" s="444">
        <f t="shared" ca="1" si="195"/>
        <v>-1.8030788659752696E+16</v>
      </c>
      <c r="J5738" s="444">
        <f t="array" ref="J5738">IFERROR(INDEX('Retirement Calculator'!K:K,MATCH('Lorri 401b'!N5738,'Retirement Calculator'!A:A,0),0),0)</f>
        <v>0</v>
      </c>
      <c r="K5738" s="444">
        <f t="shared" ca="1" si="193"/>
        <v>-75128286082302.906</v>
      </c>
      <c r="L5738" s="444">
        <f t="shared" ca="1" si="194"/>
        <v>-1.8105916945835E+16</v>
      </c>
      <c r="M5738" s="460">
        <f t="shared" si="196"/>
        <v>0.05</v>
      </c>
      <c r="N5738" s="464">
        <f t="shared" si="197"/>
        <v>225691</v>
      </c>
    </row>
    <row r="5739" spans="7:14" ht="11.25" customHeight="1" x14ac:dyDescent="0.25">
      <c r="G5739" s="459"/>
      <c r="H5739" s="459">
        <v>5732</v>
      </c>
      <c r="I5739" s="444">
        <f t="shared" ca="1" si="195"/>
        <v>-1.8105916945835E+16</v>
      </c>
      <c r="J5739" s="444">
        <f t="array" ref="J5739">IFERROR(INDEX('Retirement Calculator'!K:K,MATCH('Lorri 401b'!N5739,'Retirement Calculator'!A:A,0),0),0)</f>
        <v>0</v>
      </c>
      <c r="K5739" s="444">
        <f t="shared" ca="1" si="193"/>
        <v>-75441320607645.828</v>
      </c>
      <c r="L5739" s="444">
        <f t="shared" ca="1" si="194"/>
        <v>-1.8181358266442644E+16</v>
      </c>
      <c r="M5739" s="460">
        <f t="shared" si="196"/>
        <v>0.05</v>
      </c>
      <c r="N5739" s="464">
        <f t="shared" si="197"/>
        <v>225722</v>
      </c>
    </row>
    <row r="5740" spans="7:14" ht="11.25" customHeight="1" x14ac:dyDescent="0.25">
      <c r="G5740" s="459"/>
      <c r="H5740" s="459">
        <v>5733</v>
      </c>
      <c r="I5740" s="444">
        <f t="shared" ca="1" si="195"/>
        <v>-1.8181358266442644E+16</v>
      </c>
      <c r="J5740" s="444">
        <f t="array" ref="J5740">IFERROR(INDEX('Retirement Calculator'!K:K,MATCH('Lorri 401b'!N5740,'Retirement Calculator'!A:A,0),0),0)</f>
        <v>0</v>
      </c>
      <c r="K5740" s="444">
        <f t="shared" ca="1" si="193"/>
        <v>-75755659443511.016</v>
      </c>
      <c r="L5740" s="444">
        <f t="shared" ca="1" si="194"/>
        <v>-1.8257113925886156E+16</v>
      </c>
      <c r="M5740" s="460">
        <f t="shared" si="196"/>
        <v>0.05</v>
      </c>
      <c r="N5740" s="464">
        <f t="shared" si="197"/>
        <v>225753</v>
      </c>
    </row>
    <row r="5741" spans="7:14" ht="11.25" customHeight="1" x14ac:dyDescent="0.25">
      <c r="G5741" s="459"/>
      <c r="H5741" s="459">
        <v>5734</v>
      </c>
      <c r="I5741" s="444">
        <f t="shared" ca="1" si="195"/>
        <v>-1.8257113925886156E+16</v>
      </c>
      <c r="J5741" s="444">
        <f t="array" ref="J5741">IFERROR(INDEX('Retirement Calculator'!K:K,MATCH('Lorri 401b'!N5741,'Retirement Calculator'!A:A,0),0),0)</f>
        <v>0</v>
      </c>
      <c r="K5741" s="444">
        <f t="shared" ca="1" si="193"/>
        <v>-76071308024525.656</v>
      </c>
      <c r="L5741" s="444">
        <f t="shared" ca="1" si="194"/>
        <v>-1.833318523391068E+16</v>
      </c>
      <c r="M5741" s="460">
        <f t="shared" si="196"/>
        <v>0.05</v>
      </c>
      <c r="N5741" s="464">
        <f t="shared" si="197"/>
        <v>225781</v>
      </c>
    </row>
    <row r="5742" spans="7:14" ht="11.25" customHeight="1" x14ac:dyDescent="0.25">
      <c r="G5742" s="459"/>
      <c r="H5742" s="459">
        <v>5735</v>
      </c>
      <c r="I5742" s="444">
        <f t="shared" ca="1" si="195"/>
        <v>-1.833318523391068E+16</v>
      </c>
      <c r="J5742" s="444">
        <f t="array" ref="J5742">IFERROR(INDEX('Retirement Calculator'!K:K,MATCH('Lorri 401b'!N5742,'Retirement Calculator'!A:A,0),0),0)</f>
        <v>0</v>
      </c>
      <c r="K5742" s="444">
        <f t="shared" ca="1" si="193"/>
        <v>-76388271807961.172</v>
      </c>
      <c r="L5742" s="444">
        <f t="shared" ca="1" si="194"/>
        <v>-1.840957350571864E+16</v>
      </c>
      <c r="M5742" s="460">
        <f t="shared" si="196"/>
        <v>0.05</v>
      </c>
      <c r="N5742" s="464">
        <f t="shared" si="197"/>
        <v>225812</v>
      </c>
    </row>
    <row r="5743" spans="7:14" ht="11.25" customHeight="1" x14ac:dyDescent="0.25">
      <c r="G5743" s="459"/>
      <c r="H5743" s="459">
        <v>5736</v>
      </c>
      <c r="I5743" s="444">
        <f t="shared" ca="1" si="195"/>
        <v>-1.840957350571864E+16</v>
      </c>
      <c r="J5743" s="444">
        <f t="array" ref="J5743">IFERROR(INDEX('Retirement Calculator'!K:K,MATCH('Lorri 401b'!N5743,'Retirement Calculator'!A:A,0),0),0)</f>
        <v>0</v>
      </c>
      <c r="K5743" s="444">
        <f t="shared" ca="1" si="193"/>
        <v>-76706556273827.672</v>
      </c>
      <c r="L5743" s="444">
        <f t="shared" ca="1" si="194"/>
        <v>-1.8486280061992468E+16</v>
      </c>
      <c r="M5743" s="460">
        <f t="shared" si="196"/>
        <v>0.05</v>
      </c>
      <c r="N5743" s="464">
        <f t="shared" si="197"/>
        <v>225842</v>
      </c>
    </row>
    <row r="5744" spans="7:14" ht="11.25" customHeight="1" x14ac:dyDescent="0.25">
      <c r="G5744" s="459"/>
      <c r="H5744" s="459">
        <v>5737</v>
      </c>
      <c r="I5744" s="444">
        <f t="shared" ca="1" si="195"/>
        <v>-1.8486280061992468E+16</v>
      </c>
      <c r="J5744" s="444">
        <f t="array" ref="J5744">IFERROR(INDEX('Retirement Calculator'!K:K,MATCH('Lorri 401b'!N5744,'Retirement Calculator'!A:A,0),0),0)</f>
        <v>0</v>
      </c>
      <c r="K5744" s="444">
        <f t="shared" ca="1" si="193"/>
        <v>-77026166924968.609</v>
      </c>
      <c r="L5744" s="444">
        <f t="shared" ca="1" si="194"/>
        <v>-1.8563306228917436E+16</v>
      </c>
      <c r="M5744" s="460">
        <f t="shared" si="196"/>
        <v>0.05</v>
      </c>
      <c r="N5744" s="464">
        <f t="shared" si="197"/>
        <v>225873</v>
      </c>
    </row>
    <row r="5745" spans="7:14" ht="11.25" customHeight="1" x14ac:dyDescent="0.25">
      <c r="G5745" s="459"/>
      <c r="H5745" s="459">
        <v>5738</v>
      </c>
      <c r="I5745" s="444">
        <f t="shared" ca="1" si="195"/>
        <v>-1.8563306228917436E+16</v>
      </c>
      <c r="J5745" s="444">
        <f t="array" ref="J5745">IFERROR(INDEX('Retirement Calculator'!K:K,MATCH('Lorri 401b'!N5745,'Retirement Calculator'!A:A,0),0),0)</f>
        <v>0</v>
      </c>
      <c r="K5745" s="444">
        <f t="shared" ca="1" si="193"/>
        <v>-77347109287155.984</v>
      </c>
      <c r="L5745" s="444">
        <f t="shared" ca="1" si="194"/>
        <v>-1.8640653338204592E+16</v>
      </c>
      <c r="M5745" s="460">
        <f t="shared" si="196"/>
        <v>0.05</v>
      </c>
      <c r="N5745" s="464">
        <f t="shared" si="197"/>
        <v>225903</v>
      </c>
    </row>
    <row r="5746" spans="7:14" ht="11.25" customHeight="1" x14ac:dyDescent="0.25">
      <c r="G5746" s="459"/>
      <c r="H5746" s="459">
        <v>5739</v>
      </c>
      <c r="I5746" s="444">
        <f t="shared" ca="1" si="195"/>
        <v>-1.8640653338204592E+16</v>
      </c>
      <c r="J5746" s="444">
        <f t="array" ref="J5746">IFERROR(INDEX('Retirement Calculator'!K:K,MATCH('Lorri 401b'!N5746,'Retirement Calculator'!A:A,0),0),0)</f>
        <v>0</v>
      </c>
      <c r="K5746" s="444">
        <f t="shared" ca="1" si="193"/>
        <v>-77669388909185.797</v>
      </c>
      <c r="L5746" s="444">
        <f t="shared" ca="1" si="194"/>
        <v>-1.8718322727113776E+16</v>
      </c>
      <c r="M5746" s="460">
        <f t="shared" si="196"/>
        <v>0.05</v>
      </c>
      <c r="N5746" s="464">
        <f t="shared" si="197"/>
        <v>225934</v>
      </c>
    </row>
    <row r="5747" spans="7:14" ht="11.25" customHeight="1" x14ac:dyDescent="0.25">
      <c r="G5747" s="459"/>
      <c r="H5747" s="459">
        <v>5740</v>
      </c>
      <c r="I5747" s="444">
        <f t="shared" ca="1" si="195"/>
        <v>-1.8718322727113776E+16</v>
      </c>
      <c r="J5747" s="444">
        <f t="array" ref="J5747">IFERROR(INDEX('Retirement Calculator'!K:K,MATCH('Lorri 401b'!N5747,'Retirement Calculator'!A:A,0),0),0)</f>
        <v>0</v>
      </c>
      <c r="K5747" s="444">
        <f t="shared" ca="1" si="193"/>
        <v>-77993011362974.063</v>
      </c>
      <c r="L5747" s="444">
        <f t="shared" ca="1" si="194"/>
        <v>-1.8796315738476752E+16</v>
      </c>
      <c r="M5747" s="460">
        <f t="shared" si="196"/>
        <v>0.05</v>
      </c>
      <c r="N5747" s="464">
        <f t="shared" si="197"/>
        <v>225965</v>
      </c>
    </row>
    <row r="5748" spans="7:14" ht="11.25" customHeight="1" x14ac:dyDescent="0.25">
      <c r="G5748" s="459"/>
      <c r="H5748" s="459">
        <v>5741</v>
      </c>
      <c r="I5748" s="444">
        <f t="shared" ca="1" si="195"/>
        <v>-1.8796315738476752E+16</v>
      </c>
      <c r="J5748" s="444">
        <f t="array" ref="J5748">IFERROR(INDEX('Retirement Calculator'!K:K,MATCH('Lorri 401b'!N5748,'Retirement Calculator'!A:A,0),0),0)</f>
        <v>0</v>
      </c>
      <c r="K5748" s="444">
        <f t="shared" ca="1" si="193"/>
        <v>-78317982243653.125</v>
      </c>
      <c r="L5748" s="444">
        <f t="shared" ca="1" si="194"/>
        <v>-1.8874633720720404E+16</v>
      </c>
      <c r="M5748" s="460">
        <f t="shared" si="196"/>
        <v>0.05</v>
      </c>
      <c r="N5748" s="464">
        <f t="shared" si="197"/>
        <v>225995</v>
      </c>
    </row>
    <row r="5749" spans="7:14" ht="11.25" customHeight="1" x14ac:dyDescent="0.25">
      <c r="G5749" s="459"/>
      <c r="H5749" s="459">
        <v>5742</v>
      </c>
      <c r="I5749" s="444">
        <f t="shared" ca="1" si="195"/>
        <v>-1.8874633720720404E+16</v>
      </c>
      <c r="J5749" s="444">
        <f t="array" ref="J5749">IFERROR(INDEX('Retirement Calculator'!K:K,MATCH('Lorri 401b'!N5749,'Retirement Calculator'!A:A,0),0),0)</f>
        <v>0</v>
      </c>
      <c r="K5749" s="444">
        <f t="shared" ca="1" si="193"/>
        <v>-78644307169668.344</v>
      </c>
      <c r="L5749" s="444">
        <f t="shared" ca="1" si="194"/>
        <v>-1.8953278027890072E+16</v>
      </c>
      <c r="M5749" s="460">
        <f t="shared" si="196"/>
        <v>0.05</v>
      </c>
      <c r="N5749" s="464">
        <f t="shared" si="197"/>
        <v>226026</v>
      </c>
    </row>
    <row r="5750" spans="7:14" ht="11.25" customHeight="1" x14ac:dyDescent="0.25">
      <c r="G5750" s="459"/>
      <c r="H5750" s="459">
        <v>5743</v>
      </c>
      <c r="I5750" s="444">
        <f t="shared" ca="1" si="195"/>
        <v>-1.8953278027890072E+16</v>
      </c>
      <c r="J5750" s="444">
        <f t="array" ref="J5750">IFERROR(INDEX('Retirement Calculator'!K:K,MATCH('Lorri 401b'!N5750,'Retirement Calculator'!A:A,0),0),0)</f>
        <v>0</v>
      </c>
      <c r="K5750" s="444">
        <f t="shared" ca="1" si="193"/>
        <v>-78971991782875.297</v>
      </c>
      <c r="L5750" s="444">
        <f t="shared" ca="1" si="194"/>
        <v>-1.9032250019672948E+16</v>
      </c>
      <c r="M5750" s="460">
        <f t="shared" si="196"/>
        <v>0.05</v>
      </c>
      <c r="N5750" s="464">
        <f t="shared" si="197"/>
        <v>226056</v>
      </c>
    </row>
    <row r="5751" spans="7:14" ht="11.25" customHeight="1" x14ac:dyDescent="0.25">
      <c r="G5751" s="459"/>
      <c r="H5751" s="459">
        <v>5744</v>
      </c>
      <c r="I5751" s="444">
        <f t="shared" ca="1" si="195"/>
        <v>-1.9032250019672948E+16</v>
      </c>
      <c r="J5751" s="444">
        <f t="array" ref="J5751">IFERROR(INDEX('Retirement Calculator'!K:K,MATCH('Lorri 401b'!N5751,'Retirement Calculator'!A:A,0),0),0)</f>
        <v>0</v>
      </c>
      <c r="K5751" s="444">
        <f t="shared" ca="1" si="193"/>
        <v>-79301041748637.281</v>
      </c>
      <c r="L5751" s="444">
        <f t="shared" ca="1" si="194"/>
        <v>-1.9111551061421584E+16</v>
      </c>
      <c r="M5751" s="460">
        <f t="shared" si="196"/>
        <v>0.05</v>
      </c>
      <c r="N5751" s="464">
        <f t="shared" si="197"/>
        <v>226087</v>
      </c>
    </row>
    <row r="5752" spans="7:14" ht="11.25" customHeight="1" x14ac:dyDescent="0.25">
      <c r="G5752" s="459"/>
      <c r="H5752" s="459">
        <v>5745</v>
      </c>
      <c r="I5752" s="444">
        <f t="shared" ca="1" si="195"/>
        <v>-1.9111551061421584E+16</v>
      </c>
      <c r="J5752" s="444">
        <f t="array" ref="J5752">IFERROR(INDEX('Retirement Calculator'!K:K,MATCH('Lorri 401b'!N5752,'Retirement Calculator'!A:A,0),0),0)</f>
        <v>0</v>
      </c>
      <c r="K5752" s="444">
        <f t="shared" ca="1" si="193"/>
        <v>-79631462755923.266</v>
      </c>
      <c r="L5752" s="444">
        <f t="shared" ca="1" si="194"/>
        <v>-1.9191182524177508E+16</v>
      </c>
      <c r="M5752" s="460">
        <f t="shared" si="196"/>
        <v>0.05</v>
      </c>
      <c r="N5752" s="464">
        <f t="shared" si="197"/>
        <v>226118</v>
      </c>
    </row>
    <row r="5753" spans="7:14" ht="11.25" customHeight="1" x14ac:dyDescent="0.25">
      <c r="G5753" s="459"/>
      <c r="H5753" s="459">
        <v>5746</v>
      </c>
      <c r="I5753" s="444">
        <f t="shared" ca="1" si="195"/>
        <v>-1.9191182524177508E+16</v>
      </c>
      <c r="J5753" s="444">
        <f t="array" ref="J5753">IFERROR(INDEX('Retirement Calculator'!K:K,MATCH('Lorri 401b'!N5753,'Retirement Calculator'!A:A,0),0),0)</f>
        <v>0</v>
      </c>
      <c r="K5753" s="444">
        <f t="shared" ca="1" si="193"/>
        <v>-79963260517406.281</v>
      </c>
      <c r="L5753" s="444">
        <f t="shared" ca="1" si="194"/>
        <v>-1.9271145784694916E+16</v>
      </c>
      <c r="M5753" s="460">
        <f t="shared" si="196"/>
        <v>0.05</v>
      </c>
      <c r="N5753" s="464">
        <f t="shared" si="197"/>
        <v>226146</v>
      </c>
    </row>
    <row r="5754" spans="7:14" ht="11.25" customHeight="1" x14ac:dyDescent="0.25">
      <c r="G5754" s="459"/>
      <c r="H5754" s="459">
        <v>5747</v>
      </c>
      <c r="I5754" s="444">
        <f t="shared" ca="1" si="195"/>
        <v>-1.9271145784694916E+16</v>
      </c>
      <c r="J5754" s="444">
        <f t="array" ref="J5754">IFERROR(INDEX('Retirement Calculator'!K:K,MATCH('Lorri 401b'!N5754,'Retirement Calculator'!A:A,0),0),0)</f>
        <v>0</v>
      </c>
      <c r="K5754" s="444">
        <f t="shared" ca="1" si="193"/>
        <v>-80296440769562.156</v>
      </c>
      <c r="L5754" s="444">
        <f t="shared" ca="1" si="194"/>
        <v>-1.935144222546448E+16</v>
      </c>
      <c r="M5754" s="460">
        <f t="shared" si="196"/>
        <v>0.05</v>
      </c>
      <c r="N5754" s="464">
        <f t="shared" si="197"/>
        <v>226177</v>
      </c>
    </row>
    <row r="5755" spans="7:14" ht="11.25" customHeight="1" x14ac:dyDescent="0.25">
      <c r="G5755" s="459"/>
      <c r="H5755" s="459">
        <v>5748</v>
      </c>
      <c r="I5755" s="444">
        <f t="shared" ca="1" si="195"/>
        <v>-1.935144222546448E+16</v>
      </c>
      <c r="J5755" s="444">
        <f t="array" ref="J5755">IFERROR(INDEX('Retirement Calculator'!K:K,MATCH('Lorri 401b'!N5755,'Retirement Calculator'!A:A,0),0),0)</f>
        <v>0</v>
      </c>
      <c r="K5755" s="444">
        <f t="shared" ca="1" si="193"/>
        <v>-80631009272768.672</v>
      </c>
      <c r="L5755" s="444">
        <f t="shared" ca="1" si="194"/>
        <v>-1.9432073234737248E+16</v>
      </c>
      <c r="M5755" s="460">
        <f t="shared" si="196"/>
        <v>0.05</v>
      </c>
      <c r="N5755" s="464">
        <f t="shared" si="197"/>
        <v>226207</v>
      </c>
    </row>
    <row r="5756" spans="7:14" ht="11.25" customHeight="1" x14ac:dyDescent="0.25">
      <c r="G5756" s="459"/>
      <c r="H5756" s="459">
        <v>5749</v>
      </c>
      <c r="I5756" s="444">
        <f t="shared" ca="1" si="195"/>
        <v>-1.9432073234737248E+16</v>
      </c>
      <c r="J5756" s="444">
        <f t="array" ref="J5756">IFERROR(INDEX('Retirement Calculator'!K:K,MATCH('Lorri 401b'!N5756,'Retirement Calculator'!A:A,0),0),0)</f>
        <v>0</v>
      </c>
      <c r="K5756" s="444">
        <f t="shared" ca="1" si="193"/>
        <v>-80966971811405.203</v>
      </c>
      <c r="L5756" s="444">
        <f t="shared" ca="1" si="194"/>
        <v>-1.9513040206548652E+16</v>
      </c>
      <c r="M5756" s="460">
        <f t="shared" si="196"/>
        <v>0.05</v>
      </c>
      <c r="N5756" s="464">
        <f t="shared" si="197"/>
        <v>226238</v>
      </c>
    </row>
    <row r="5757" spans="7:14" ht="11.25" customHeight="1" x14ac:dyDescent="0.25">
      <c r="G5757" s="459"/>
      <c r="H5757" s="459">
        <v>5750</v>
      </c>
      <c r="I5757" s="444">
        <f t="shared" ca="1" si="195"/>
        <v>-1.9513040206548652E+16</v>
      </c>
      <c r="J5757" s="444">
        <f t="array" ref="J5757">IFERROR(INDEX('Retirement Calculator'!K:K,MATCH('Lorri 401b'!N5757,'Retirement Calculator'!A:A,0),0),0)</f>
        <v>0</v>
      </c>
      <c r="K5757" s="444">
        <f t="shared" ca="1" si="193"/>
        <v>-81304334193952.719</v>
      </c>
      <c r="L5757" s="444">
        <f t="shared" ca="1" si="194"/>
        <v>-1.9594344540742604E+16</v>
      </c>
      <c r="M5757" s="460">
        <f t="shared" si="196"/>
        <v>0.05</v>
      </c>
      <c r="N5757" s="464">
        <f t="shared" si="197"/>
        <v>226268</v>
      </c>
    </row>
    <row r="5758" spans="7:14" ht="11.25" customHeight="1" x14ac:dyDescent="0.25">
      <c r="G5758" s="459"/>
      <c r="H5758" s="459">
        <v>5751</v>
      </c>
      <c r="I5758" s="444">
        <f t="shared" ca="1" si="195"/>
        <v>-1.9594344540742604E+16</v>
      </c>
      <c r="J5758" s="444">
        <f t="array" ref="J5758">IFERROR(INDEX('Retirement Calculator'!K:K,MATCH('Lorri 401b'!N5758,'Retirement Calculator'!A:A,0),0),0)</f>
        <v>0</v>
      </c>
      <c r="K5758" s="444">
        <f t="shared" ca="1" si="193"/>
        <v>-81643102253094.188</v>
      </c>
      <c r="L5758" s="444">
        <f t="shared" ca="1" si="194"/>
        <v>-1.96759876429957E+16</v>
      </c>
      <c r="M5758" s="460">
        <f t="shared" si="196"/>
        <v>0.05</v>
      </c>
      <c r="N5758" s="464">
        <f t="shared" si="197"/>
        <v>226299</v>
      </c>
    </row>
    <row r="5759" spans="7:14" ht="11.25" customHeight="1" x14ac:dyDescent="0.25">
      <c r="G5759" s="459"/>
      <c r="H5759" s="459">
        <v>5752</v>
      </c>
      <c r="I5759" s="444">
        <f t="shared" ca="1" si="195"/>
        <v>-1.96759876429957E+16</v>
      </c>
      <c r="J5759" s="444">
        <f t="array" ref="J5759">IFERROR(INDEX('Retirement Calculator'!K:K,MATCH('Lorri 401b'!N5759,'Retirement Calculator'!A:A,0),0),0)</f>
        <v>0</v>
      </c>
      <c r="K5759" s="444">
        <f t="shared" ca="1" si="193"/>
        <v>-81983281845815.422</v>
      </c>
      <c r="L5759" s="444">
        <f t="shared" ca="1" si="194"/>
        <v>-1.9757970924841516E+16</v>
      </c>
      <c r="M5759" s="460">
        <f t="shared" si="196"/>
        <v>0.05</v>
      </c>
      <c r="N5759" s="464">
        <f t="shared" si="197"/>
        <v>226330</v>
      </c>
    </row>
    <row r="5760" spans="7:14" ht="11.25" customHeight="1" x14ac:dyDescent="0.25">
      <c r="G5760" s="459"/>
      <c r="H5760" s="459">
        <v>5753</v>
      </c>
      <c r="I5760" s="444">
        <f t="shared" ca="1" si="195"/>
        <v>-1.9757970924841516E+16</v>
      </c>
      <c r="J5760" s="444">
        <f t="array" ref="J5760">IFERROR(INDEX('Retirement Calculator'!K:K,MATCH('Lorri 401b'!N5760,'Retirement Calculator'!A:A,0),0),0)</f>
        <v>0</v>
      </c>
      <c r="K5760" s="444">
        <f t="shared" ca="1" si="193"/>
        <v>-82324878853506.313</v>
      </c>
      <c r="L5760" s="444">
        <f t="shared" ca="1" si="194"/>
        <v>-1.9840295803695024E+16</v>
      </c>
      <c r="M5760" s="460">
        <f t="shared" si="196"/>
        <v>0.05</v>
      </c>
      <c r="N5760" s="464">
        <f t="shared" si="197"/>
        <v>226360</v>
      </c>
    </row>
    <row r="5761" spans="7:14" ht="11.25" customHeight="1" x14ac:dyDescent="0.25">
      <c r="G5761" s="459"/>
      <c r="H5761" s="459">
        <v>5754</v>
      </c>
      <c r="I5761" s="444">
        <f t="shared" ca="1" si="195"/>
        <v>-1.9840295803695024E+16</v>
      </c>
      <c r="J5761" s="444">
        <f t="array" ref="J5761">IFERROR(INDEX('Retirement Calculator'!K:K,MATCH('Lorri 401b'!N5761,'Retirement Calculator'!A:A,0),0),0)</f>
        <v>0</v>
      </c>
      <c r="K5761" s="444">
        <f t="shared" ca="1" si="193"/>
        <v>-82667899182062.594</v>
      </c>
      <c r="L5761" s="444">
        <f t="shared" ca="1" si="194"/>
        <v>-1.9922963702877088E+16</v>
      </c>
      <c r="M5761" s="460">
        <f t="shared" si="196"/>
        <v>0.05</v>
      </c>
      <c r="N5761" s="464">
        <f t="shared" si="197"/>
        <v>226391</v>
      </c>
    </row>
    <row r="5762" spans="7:14" ht="11.25" customHeight="1" x14ac:dyDescent="0.25">
      <c r="G5762" s="459"/>
      <c r="H5762" s="459">
        <v>5755</v>
      </c>
      <c r="I5762" s="444">
        <f t="shared" ca="1" si="195"/>
        <v>-1.9922963702877088E+16</v>
      </c>
      <c r="J5762" s="444">
        <f t="array" ref="J5762">IFERROR(INDEX('Retirement Calculator'!K:K,MATCH('Lorri 401b'!N5762,'Retirement Calculator'!A:A,0),0),0)</f>
        <v>0</v>
      </c>
      <c r="K5762" s="444">
        <f t="shared" ca="1" si="193"/>
        <v>-83012348761987.859</v>
      </c>
      <c r="L5762" s="444">
        <f t="shared" ca="1" si="194"/>
        <v>-2.0005976051639076E+16</v>
      </c>
      <c r="M5762" s="460">
        <f t="shared" si="196"/>
        <v>0.05</v>
      </c>
      <c r="N5762" s="464">
        <f t="shared" si="197"/>
        <v>226421</v>
      </c>
    </row>
    <row r="5763" spans="7:14" ht="11.25" customHeight="1" x14ac:dyDescent="0.25">
      <c r="G5763" s="459"/>
      <c r="H5763" s="459">
        <v>5756</v>
      </c>
      <c r="I5763" s="444">
        <f t="shared" ca="1" si="195"/>
        <v>-2.0005976051639076E+16</v>
      </c>
      <c r="J5763" s="444">
        <f t="array" ref="J5763">IFERROR(INDEX('Retirement Calculator'!K:K,MATCH('Lorri 401b'!N5763,'Retirement Calculator'!A:A,0),0),0)</f>
        <v>0</v>
      </c>
      <c r="K5763" s="444">
        <f t="shared" ca="1" si="193"/>
        <v>-83358233548496.156</v>
      </c>
      <c r="L5763" s="444">
        <f t="shared" ca="1" si="194"/>
        <v>-2.0089334285187572E+16</v>
      </c>
      <c r="M5763" s="460">
        <f t="shared" si="196"/>
        <v>0.05</v>
      </c>
      <c r="N5763" s="464">
        <f t="shared" si="197"/>
        <v>226452</v>
      </c>
    </row>
    <row r="5764" spans="7:14" ht="11.25" customHeight="1" x14ac:dyDescent="0.25">
      <c r="G5764" s="459"/>
      <c r="H5764" s="459">
        <v>5757</v>
      </c>
      <c r="I5764" s="444">
        <f t="shared" ca="1" si="195"/>
        <v>-2.0089334285187572E+16</v>
      </c>
      <c r="J5764" s="444">
        <f t="array" ref="J5764">IFERROR(INDEX('Retirement Calculator'!K:K,MATCH('Lorri 401b'!N5764,'Retirement Calculator'!A:A,0),0),0)</f>
        <v>0</v>
      </c>
      <c r="K5764" s="444">
        <f t="shared" ca="1" si="193"/>
        <v>-83705559521614.875</v>
      </c>
      <c r="L5764" s="444">
        <f t="shared" ca="1" si="194"/>
        <v>-2.0173039844709188E+16</v>
      </c>
      <c r="M5764" s="460">
        <f t="shared" si="196"/>
        <v>0.05</v>
      </c>
      <c r="N5764" s="464">
        <f t="shared" si="197"/>
        <v>226483</v>
      </c>
    </row>
    <row r="5765" spans="7:14" ht="11.25" customHeight="1" x14ac:dyDescent="0.25">
      <c r="G5765" s="459"/>
      <c r="H5765" s="459">
        <v>5758</v>
      </c>
      <c r="I5765" s="444">
        <f t="shared" ca="1" si="195"/>
        <v>-2.0173039844709188E+16</v>
      </c>
      <c r="J5765" s="444">
        <f t="array" ref="J5765">IFERROR(INDEX('Retirement Calculator'!K:K,MATCH('Lorri 401b'!N5765,'Retirement Calculator'!A:A,0),0),0)</f>
        <v>0</v>
      </c>
      <c r="K5765" s="444">
        <f t="shared" ca="1" si="193"/>
        <v>-84054332686288.281</v>
      </c>
      <c r="L5765" s="444">
        <f t="shared" ca="1" si="194"/>
        <v>-2.0257094177395476E+16</v>
      </c>
      <c r="M5765" s="460">
        <f t="shared" si="196"/>
        <v>0.05</v>
      </c>
      <c r="N5765" s="464">
        <f t="shared" si="197"/>
        <v>226512</v>
      </c>
    </row>
    <row r="5766" spans="7:14" ht="11.25" customHeight="1" x14ac:dyDescent="0.25">
      <c r="G5766" s="459"/>
      <c r="H5766" s="459">
        <v>5759</v>
      </c>
      <c r="I5766" s="444">
        <f t="shared" ca="1" si="195"/>
        <v>-2.0257094177395476E+16</v>
      </c>
      <c r="J5766" s="444">
        <f t="array" ref="J5766">IFERROR(INDEX('Retirement Calculator'!K:K,MATCH('Lorri 401b'!N5766,'Retirement Calculator'!A:A,0),0),0)</f>
        <v>0</v>
      </c>
      <c r="K5766" s="444">
        <f t="shared" ca="1" si="193"/>
        <v>-84404559072481.156</v>
      </c>
      <c r="L5766" s="444">
        <f t="shared" ca="1" si="194"/>
        <v>-2.0341498736467956E+16</v>
      </c>
      <c r="M5766" s="460">
        <f t="shared" si="196"/>
        <v>0.05</v>
      </c>
      <c r="N5766" s="464">
        <f t="shared" si="197"/>
        <v>226543</v>
      </c>
    </row>
    <row r="5767" spans="7:14" ht="11.25" customHeight="1" x14ac:dyDescent="0.25">
      <c r="G5767" s="459"/>
      <c r="H5767" s="459">
        <v>5760</v>
      </c>
      <c r="I5767" s="444">
        <f t="shared" ca="1" si="195"/>
        <v>-2.0341498736467956E+16</v>
      </c>
      <c r="J5767" s="444">
        <f t="array" ref="J5767">IFERROR(INDEX('Retirement Calculator'!K:K,MATCH('Lorri 401b'!N5767,'Retirement Calculator'!A:A,0),0),0)</f>
        <v>0</v>
      </c>
      <c r="K5767" s="444">
        <f t="shared" ca="1" si="193"/>
        <v>-84756244735283.156</v>
      </c>
      <c r="L5767" s="444">
        <f t="shared" ca="1" si="194"/>
        <v>-2.042625498120324E+16</v>
      </c>
      <c r="M5767" s="460">
        <f t="shared" si="196"/>
        <v>0.05</v>
      </c>
      <c r="N5767" s="464">
        <f t="shared" si="197"/>
        <v>226573</v>
      </c>
    </row>
    <row r="5768" spans="7:14" ht="11.25" customHeight="1" x14ac:dyDescent="0.25">
      <c r="G5768" s="459"/>
      <c r="H5768" s="459">
        <v>5761</v>
      </c>
      <c r="I5768" s="444">
        <f t="shared" ca="1" si="195"/>
        <v>-2.042625498120324E+16</v>
      </c>
      <c r="J5768" s="444">
        <f t="array" ref="J5768">IFERROR(INDEX('Retirement Calculator'!K:K,MATCH('Lorri 401b'!N5768,'Retirement Calculator'!A:A,0),0),0)</f>
        <v>0</v>
      </c>
      <c r="K5768" s="444">
        <f t="shared" ca="1" si="193"/>
        <v>-85109395755013.5</v>
      </c>
      <c r="L5768" s="444">
        <f t="shared" ca="1" si="194"/>
        <v>-2.0511364376958252E+16</v>
      </c>
      <c r="M5768" s="460">
        <f t="shared" si="196"/>
        <v>0.05</v>
      </c>
      <c r="N5768" s="464">
        <f t="shared" si="197"/>
        <v>226604</v>
      </c>
    </row>
    <row r="5769" spans="7:14" ht="11.25" customHeight="1" x14ac:dyDescent="0.25">
      <c r="G5769" s="459"/>
      <c r="H5769" s="459">
        <v>5762</v>
      </c>
      <c r="I5769" s="444">
        <f t="shared" ca="1" si="195"/>
        <v>-2.0511364376958252E+16</v>
      </c>
      <c r="J5769" s="444">
        <f t="array" ref="J5769">IFERROR(INDEX('Retirement Calculator'!K:K,MATCH('Lorri 401b'!N5769,'Retirement Calculator'!A:A,0),0),0)</f>
        <v>0</v>
      </c>
      <c r="K5769" s="444">
        <f t="shared" ca="1" si="193"/>
        <v>-85464018237326.047</v>
      </c>
      <c r="L5769" s="444">
        <f t="shared" ca="1" si="194"/>
        <v>-2.059682839519558E+16</v>
      </c>
      <c r="M5769" s="460">
        <f t="shared" si="196"/>
        <v>0.05</v>
      </c>
      <c r="N5769" s="464">
        <f t="shared" si="197"/>
        <v>226634</v>
      </c>
    </row>
    <row r="5770" spans="7:14" ht="11.25" customHeight="1" x14ac:dyDescent="0.25">
      <c r="G5770" s="459"/>
      <c r="H5770" s="459">
        <v>5763</v>
      </c>
      <c r="I5770" s="444">
        <f t="shared" ca="1" si="195"/>
        <v>-2.059682839519558E+16</v>
      </c>
      <c r="J5770" s="444">
        <f t="array" ref="J5770">IFERROR(INDEX('Retirement Calculator'!K:K,MATCH('Lorri 401b'!N5770,'Retirement Calculator'!A:A,0),0),0)</f>
        <v>0</v>
      </c>
      <c r="K5770" s="444">
        <f t="shared" ca="1" si="193"/>
        <v>-85820118313314.922</v>
      </c>
      <c r="L5770" s="444">
        <f t="shared" ca="1" si="194"/>
        <v>-2.0682648513508896E+16</v>
      </c>
      <c r="M5770" s="460">
        <f t="shared" si="196"/>
        <v>0.05</v>
      </c>
      <c r="N5770" s="464">
        <f t="shared" si="197"/>
        <v>226665</v>
      </c>
    </row>
    <row r="5771" spans="7:14" ht="11.25" customHeight="1" x14ac:dyDescent="0.25">
      <c r="G5771" s="459"/>
      <c r="H5771" s="459">
        <v>5764</v>
      </c>
      <c r="I5771" s="444">
        <f t="shared" ca="1" si="195"/>
        <v>-2.0682648513508896E+16</v>
      </c>
      <c r="J5771" s="444">
        <f t="array" ref="J5771">IFERROR(INDEX('Retirement Calculator'!K:K,MATCH('Lorri 401b'!N5771,'Retirement Calculator'!A:A,0),0),0)</f>
        <v>0</v>
      </c>
      <c r="K5771" s="444">
        <f t="shared" ca="1" si="193"/>
        <v>-86177702139620.406</v>
      </c>
      <c r="L5771" s="444">
        <f t="shared" ca="1" si="194"/>
        <v>-2.0768826215648516E+16</v>
      </c>
      <c r="M5771" s="460">
        <f t="shared" si="196"/>
        <v>0.05</v>
      </c>
      <c r="N5771" s="464">
        <f t="shared" si="197"/>
        <v>226696</v>
      </c>
    </row>
    <row r="5772" spans="7:14" ht="11.25" customHeight="1" x14ac:dyDescent="0.25">
      <c r="G5772" s="459"/>
      <c r="H5772" s="459">
        <v>5765</v>
      </c>
      <c r="I5772" s="444">
        <f t="shared" ca="1" si="195"/>
        <v>-2.0768826215648516E+16</v>
      </c>
      <c r="J5772" s="444">
        <f t="array" ref="J5772">IFERROR(INDEX('Retirement Calculator'!K:K,MATCH('Lorri 401b'!N5772,'Retirement Calculator'!A:A,0),0),0)</f>
        <v>0</v>
      </c>
      <c r="K5772" s="444">
        <f t="shared" ca="1" si="193"/>
        <v>-86536775898535.484</v>
      </c>
      <c r="L5772" s="444">
        <f t="shared" ca="1" si="194"/>
        <v>-2.0855362991547052E+16</v>
      </c>
      <c r="M5772" s="460">
        <f t="shared" si="196"/>
        <v>0.05</v>
      </c>
      <c r="N5772" s="464">
        <f t="shared" si="197"/>
        <v>226726</v>
      </c>
    </row>
    <row r="5773" spans="7:14" ht="11.25" customHeight="1" x14ac:dyDescent="0.25">
      <c r="G5773" s="459"/>
      <c r="H5773" s="459">
        <v>5766</v>
      </c>
      <c r="I5773" s="444">
        <f t="shared" ca="1" si="195"/>
        <v>-2.0855362991547052E+16</v>
      </c>
      <c r="J5773" s="444">
        <f t="array" ref="J5773">IFERROR(INDEX('Retirement Calculator'!K:K,MATCH('Lorri 401b'!N5773,'Retirement Calculator'!A:A,0),0),0)</f>
        <v>0</v>
      </c>
      <c r="K5773" s="444">
        <f t="shared" ca="1" si="193"/>
        <v>-86897345798112.719</v>
      </c>
      <c r="L5773" s="444">
        <f t="shared" ca="1" si="194"/>
        <v>-2.0942260337345164E+16</v>
      </c>
      <c r="M5773" s="460">
        <f t="shared" si="196"/>
        <v>0.05</v>
      </c>
      <c r="N5773" s="464">
        <f t="shared" si="197"/>
        <v>226757</v>
      </c>
    </row>
    <row r="5774" spans="7:14" ht="11.25" customHeight="1" x14ac:dyDescent="0.25">
      <c r="G5774" s="459"/>
      <c r="H5774" s="459">
        <v>5767</v>
      </c>
      <c r="I5774" s="444">
        <f t="shared" ca="1" si="195"/>
        <v>-2.0942260337345164E+16</v>
      </c>
      <c r="J5774" s="444">
        <f t="array" ref="J5774">IFERROR(INDEX('Retirement Calculator'!K:K,MATCH('Lorri 401b'!N5774,'Retirement Calculator'!A:A,0),0),0)</f>
        <v>0</v>
      </c>
      <c r="K5774" s="444">
        <f t="shared" ca="1" si="193"/>
        <v>-87259418072271.516</v>
      </c>
      <c r="L5774" s="444">
        <f t="shared" ca="1" si="194"/>
        <v>-2.1029519755417436E+16</v>
      </c>
      <c r="M5774" s="460">
        <f t="shared" si="196"/>
        <v>0.05</v>
      </c>
      <c r="N5774" s="464">
        <f t="shared" si="197"/>
        <v>226787</v>
      </c>
    </row>
    <row r="5775" spans="7:14" ht="11.25" customHeight="1" x14ac:dyDescent="0.25">
      <c r="G5775" s="459"/>
      <c r="H5775" s="459">
        <v>5768</v>
      </c>
      <c r="I5775" s="444">
        <f t="shared" ca="1" si="195"/>
        <v>-2.1029519755417436E+16</v>
      </c>
      <c r="J5775" s="444">
        <f t="array" ref="J5775">IFERROR(INDEX('Retirement Calculator'!K:K,MATCH('Lorri 401b'!N5775,'Retirement Calculator'!A:A,0),0),0)</f>
        <v>0</v>
      </c>
      <c r="K5775" s="444">
        <f t="shared" ca="1" si="193"/>
        <v>-87622998980905.984</v>
      </c>
      <c r="L5775" s="444">
        <f t="shared" ca="1" si="194"/>
        <v>-2.111714275439834E+16</v>
      </c>
      <c r="M5775" s="460">
        <f t="shared" si="196"/>
        <v>0.05</v>
      </c>
      <c r="N5775" s="464">
        <f t="shared" si="197"/>
        <v>226818</v>
      </c>
    </row>
    <row r="5776" spans="7:14" ht="11.25" customHeight="1" x14ac:dyDescent="0.25">
      <c r="G5776" s="459"/>
      <c r="H5776" s="459">
        <v>5769</v>
      </c>
      <c r="I5776" s="444">
        <f t="shared" ca="1" si="195"/>
        <v>-2.111714275439834E+16</v>
      </c>
      <c r="J5776" s="444">
        <f t="array" ref="J5776">IFERROR(INDEX('Retirement Calculator'!K:K,MATCH('Lorri 401b'!N5776,'Retirement Calculator'!A:A,0),0),0)</f>
        <v>0</v>
      </c>
      <c r="K5776" s="444">
        <f t="shared" ca="1" si="193"/>
        <v>-87988094809993.078</v>
      </c>
      <c r="L5776" s="444">
        <f t="shared" ca="1" si="194"/>
        <v>-2.1205130849208332E+16</v>
      </c>
      <c r="M5776" s="460">
        <f t="shared" si="196"/>
        <v>0.05</v>
      </c>
      <c r="N5776" s="464">
        <f t="shared" si="197"/>
        <v>226849</v>
      </c>
    </row>
    <row r="5777" spans="7:14" ht="11.25" customHeight="1" x14ac:dyDescent="0.25">
      <c r="G5777" s="459"/>
      <c r="H5777" s="459">
        <v>5770</v>
      </c>
      <c r="I5777" s="444">
        <f t="shared" ca="1" si="195"/>
        <v>-2.1205130849208332E+16</v>
      </c>
      <c r="J5777" s="444">
        <f t="array" ref="J5777">IFERROR(INDEX('Retirement Calculator'!K:K,MATCH('Lorri 401b'!N5777,'Retirement Calculator'!A:A,0),0),0)</f>
        <v>0</v>
      </c>
      <c r="K5777" s="444">
        <f t="shared" ca="1" si="193"/>
        <v>-88354711871701.375</v>
      </c>
      <c r="L5777" s="444">
        <f t="shared" ca="1" si="194"/>
        <v>-2.1293485561080032E+16</v>
      </c>
      <c r="M5777" s="460">
        <f t="shared" si="196"/>
        <v>0.05</v>
      </c>
      <c r="N5777" s="464">
        <f t="shared" si="197"/>
        <v>226877</v>
      </c>
    </row>
    <row r="5778" spans="7:14" ht="11.25" customHeight="1" x14ac:dyDescent="0.25">
      <c r="G5778" s="459"/>
      <c r="H5778" s="459">
        <v>5771</v>
      </c>
      <c r="I5778" s="444">
        <f t="shared" ca="1" si="195"/>
        <v>-2.1293485561080032E+16</v>
      </c>
      <c r="J5778" s="444">
        <f t="array" ref="J5778">IFERROR(INDEX('Retirement Calculator'!K:K,MATCH('Lorri 401b'!N5778,'Retirement Calculator'!A:A,0),0),0)</f>
        <v>0</v>
      </c>
      <c r="K5778" s="444">
        <f t="shared" ca="1" si="193"/>
        <v>-88722856504500.125</v>
      </c>
      <c r="L5778" s="444">
        <f t="shared" ca="1" si="194"/>
        <v>-2.1382208417584532E+16</v>
      </c>
      <c r="M5778" s="460">
        <f t="shared" si="196"/>
        <v>0.05</v>
      </c>
      <c r="N5778" s="464">
        <f t="shared" si="197"/>
        <v>226908</v>
      </c>
    </row>
    <row r="5779" spans="7:14" ht="11.25" customHeight="1" x14ac:dyDescent="0.25">
      <c r="G5779" s="459"/>
      <c r="H5779" s="459">
        <v>5772</v>
      </c>
      <c r="I5779" s="444">
        <f t="shared" ca="1" si="195"/>
        <v>-2.1382208417584532E+16</v>
      </c>
      <c r="J5779" s="444">
        <f t="array" ref="J5779">IFERROR(INDEX('Retirement Calculator'!K:K,MATCH('Lorri 401b'!N5779,'Retirement Calculator'!A:A,0),0),0)</f>
        <v>0</v>
      </c>
      <c r="K5779" s="444">
        <f t="shared" ca="1" si="193"/>
        <v>-89092535073268.875</v>
      </c>
      <c r="L5779" s="444">
        <f t="shared" ca="1" si="194"/>
        <v>-2.14713009526578E+16</v>
      </c>
      <c r="M5779" s="460">
        <f t="shared" si="196"/>
        <v>0.05</v>
      </c>
      <c r="N5779" s="464">
        <f t="shared" si="197"/>
        <v>226938</v>
      </c>
    </row>
    <row r="5780" spans="7:14" ht="11.25" customHeight="1" x14ac:dyDescent="0.25">
      <c r="G5780" s="459"/>
      <c r="H5780" s="459">
        <v>5773</v>
      </c>
      <c r="I5780" s="444">
        <f t="shared" ca="1" si="195"/>
        <v>-2.14713009526578E+16</v>
      </c>
      <c r="J5780" s="444">
        <f t="array" ref="J5780">IFERROR(INDEX('Retirement Calculator'!K:K,MATCH('Lorri 401b'!N5780,'Retirement Calculator'!A:A,0),0),0)</f>
        <v>0</v>
      </c>
      <c r="K5780" s="444">
        <f t="shared" ca="1" si="193"/>
        <v>-89463753969407.5</v>
      </c>
      <c r="L5780" s="444">
        <f t="shared" ca="1" si="194"/>
        <v>-2.1560764706627208E+16</v>
      </c>
      <c r="M5780" s="460">
        <f t="shared" si="196"/>
        <v>0.05</v>
      </c>
      <c r="N5780" s="464">
        <f t="shared" si="197"/>
        <v>226969</v>
      </c>
    </row>
    <row r="5781" spans="7:14" ht="11.25" customHeight="1" x14ac:dyDescent="0.25">
      <c r="G5781" s="459"/>
      <c r="H5781" s="459">
        <v>5774</v>
      </c>
      <c r="I5781" s="444">
        <f t="shared" ca="1" si="195"/>
        <v>-2.1560764706627208E+16</v>
      </c>
      <c r="J5781" s="444">
        <f t="array" ref="J5781">IFERROR(INDEX('Retirement Calculator'!K:K,MATCH('Lorri 401b'!N5781,'Retirement Calculator'!A:A,0),0),0)</f>
        <v>0</v>
      </c>
      <c r="K5781" s="444">
        <f t="shared" ca="1" si="193"/>
        <v>-89836519610946.703</v>
      </c>
      <c r="L5781" s="444">
        <f t="shared" ca="1" si="194"/>
        <v>-2.1650601226238156E+16</v>
      </c>
      <c r="M5781" s="460">
        <f t="shared" si="196"/>
        <v>0.05</v>
      </c>
      <c r="N5781" s="464">
        <f t="shared" si="197"/>
        <v>226999</v>
      </c>
    </row>
    <row r="5782" spans="7:14" ht="11.25" customHeight="1" x14ac:dyDescent="0.25">
      <c r="G5782" s="459"/>
      <c r="H5782" s="459">
        <v>5775</v>
      </c>
      <c r="I5782" s="444">
        <f t="shared" ca="1" si="195"/>
        <v>-2.1650601226238156E+16</v>
      </c>
      <c r="J5782" s="444">
        <f t="array" ref="J5782">IFERROR(INDEX('Retirement Calculator'!K:K,MATCH('Lorri 401b'!N5782,'Retirement Calculator'!A:A,0),0),0)</f>
        <v>0</v>
      </c>
      <c r="K5782" s="444">
        <f t="shared" ca="1" si="193"/>
        <v>-90210838442658.984</v>
      </c>
      <c r="L5782" s="444">
        <f t="shared" ca="1" si="194"/>
        <v>-2.1740812064680816E+16</v>
      </c>
      <c r="M5782" s="460">
        <f t="shared" si="196"/>
        <v>0.05</v>
      </c>
      <c r="N5782" s="464">
        <f t="shared" si="197"/>
        <v>227030</v>
      </c>
    </row>
    <row r="5783" spans="7:14" ht="11.25" customHeight="1" x14ac:dyDescent="0.25">
      <c r="G5783" s="459"/>
      <c r="H5783" s="459">
        <v>5776</v>
      </c>
      <c r="I5783" s="444">
        <f t="shared" ca="1" si="195"/>
        <v>-2.1740812064680816E+16</v>
      </c>
      <c r="J5783" s="444">
        <f t="array" ref="J5783">IFERROR(INDEX('Retirement Calculator'!K:K,MATCH('Lorri 401b'!N5783,'Retirement Calculator'!A:A,0),0),0)</f>
        <v>0</v>
      </c>
      <c r="K5783" s="444">
        <f t="shared" ca="1" si="193"/>
        <v>-90586716936170.063</v>
      </c>
      <c r="L5783" s="444">
        <f t="shared" ca="1" si="194"/>
        <v>-2.1831398781616988E+16</v>
      </c>
      <c r="M5783" s="460">
        <f t="shared" si="196"/>
        <v>0.05</v>
      </c>
      <c r="N5783" s="464">
        <f t="shared" si="197"/>
        <v>227061</v>
      </c>
    </row>
    <row r="5784" spans="7:14" ht="11.25" customHeight="1" x14ac:dyDescent="0.25">
      <c r="G5784" s="459"/>
      <c r="H5784" s="459">
        <v>5777</v>
      </c>
      <c r="I5784" s="444">
        <f t="shared" ca="1" si="195"/>
        <v>-2.1831398781616988E+16</v>
      </c>
      <c r="J5784" s="444">
        <f t="array" ref="J5784">IFERROR(INDEX('Retirement Calculator'!K:K,MATCH('Lorri 401b'!N5784,'Retirement Calculator'!A:A,0),0),0)</f>
        <v>0</v>
      </c>
      <c r="K5784" s="444">
        <f t="shared" ca="1" si="193"/>
        <v>-90964161590070.781</v>
      </c>
      <c r="L5784" s="444">
        <f t="shared" ca="1" si="194"/>
        <v>-2.192236294320706E+16</v>
      </c>
      <c r="M5784" s="460">
        <f t="shared" si="196"/>
        <v>0.05</v>
      </c>
      <c r="N5784" s="464">
        <f t="shared" si="197"/>
        <v>227091</v>
      </c>
    </row>
    <row r="5785" spans="7:14" ht="11.25" customHeight="1" x14ac:dyDescent="0.25">
      <c r="G5785" s="459"/>
      <c r="H5785" s="459">
        <v>5778</v>
      </c>
      <c r="I5785" s="444">
        <f t="shared" ca="1" si="195"/>
        <v>-2.192236294320706E+16</v>
      </c>
      <c r="J5785" s="444">
        <f t="array" ref="J5785">IFERROR(INDEX('Retirement Calculator'!K:K,MATCH('Lorri 401b'!N5785,'Retirement Calculator'!A:A,0),0),0)</f>
        <v>0</v>
      </c>
      <c r="K5785" s="444">
        <f t="shared" ca="1" si="193"/>
        <v>-91343178930029.422</v>
      </c>
      <c r="L5785" s="444">
        <f t="shared" ca="1" si="194"/>
        <v>-2.2013706122137088E+16</v>
      </c>
      <c r="M5785" s="460">
        <f t="shared" si="196"/>
        <v>0.05</v>
      </c>
      <c r="N5785" s="464">
        <f t="shared" si="197"/>
        <v>227122</v>
      </c>
    </row>
    <row r="5786" spans="7:14" ht="11.25" customHeight="1" x14ac:dyDescent="0.25">
      <c r="G5786" s="459"/>
      <c r="H5786" s="459">
        <v>5779</v>
      </c>
      <c r="I5786" s="444">
        <f t="shared" ca="1" si="195"/>
        <v>-2.2013706122137088E+16</v>
      </c>
      <c r="J5786" s="444">
        <f t="array" ref="J5786">IFERROR(INDEX('Retirement Calculator'!K:K,MATCH('Lorri 401b'!N5786,'Retirement Calculator'!A:A,0),0),0)</f>
        <v>0</v>
      </c>
      <c r="K5786" s="444">
        <f t="shared" ca="1" si="193"/>
        <v>-91723775508904.531</v>
      </c>
      <c r="L5786" s="444">
        <f t="shared" ca="1" si="194"/>
        <v>-2.2105429897645992E+16</v>
      </c>
      <c r="M5786" s="460">
        <f t="shared" si="196"/>
        <v>0.05</v>
      </c>
      <c r="N5786" s="464">
        <f t="shared" si="197"/>
        <v>227152</v>
      </c>
    </row>
    <row r="5787" spans="7:14" ht="11.25" customHeight="1" x14ac:dyDescent="0.25">
      <c r="G5787" s="459"/>
      <c r="H5787" s="459">
        <v>5780</v>
      </c>
      <c r="I5787" s="444">
        <f t="shared" ca="1" si="195"/>
        <v>-2.2105429897645992E+16</v>
      </c>
      <c r="J5787" s="444">
        <f t="array" ref="J5787">IFERROR(INDEX('Retirement Calculator'!K:K,MATCH('Lorri 401b'!N5787,'Retirement Calculator'!A:A,0),0),0)</f>
        <v>0</v>
      </c>
      <c r="K5787" s="444">
        <f t="shared" ca="1" si="193"/>
        <v>-92105957906858.297</v>
      </c>
      <c r="L5787" s="444">
        <f t="shared" ca="1" si="194"/>
        <v>-2.2197535855552852E+16</v>
      </c>
      <c r="M5787" s="460">
        <f t="shared" si="196"/>
        <v>0.05</v>
      </c>
      <c r="N5787" s="464">
        <f t="shared" si="197"/>
        <v>227183</v>
      </c>
    </row>
    <row r="5788" spans="7:14" ht="11.25" customHeight="1" x14ac:dyDescent="0.25">
      <c r="G5788" s="459"/>
      <c r="H5788" s="459">
        <v>5781</v>
      </c>
      <c r="I5788" s="444">
        <f t="shared" ca="1" si="195"/>
        <v>-2.2197535855552852E+16</v>
      </c>
      <c r="J5788" s="444">
        <f t="array" ref="J5788">IFERROR(INDEX('Retirement Calculator'!K:K,MATCH('Lorri 401b'!N5788,'Retirement Calculator'!A:A,0),0),0)</f>
        <v>0</v>
      </c>
      <c r="K5788" s="444">
        <f t="shared" ca="1" si="193"/>
        <v>-92489732731470.219</v>
      </c>
      <c r="L5788" s="444">
        <f t="shared" ca="1" si="194"/>
        <v>-2.2290025588284324E+16</v>
      </c>
      <c r="M5788" s="460">
        <f t="shared" si="196"/>
        <v>0.05</v>
      </c>
      <c r="N5788" s="464">
        <f t="shared" si="197"/>
        <v>227214</v>
      </c>
    </row>
    <row r="5789" spans="7:14" ht="11.25" customHeight="1" x14ac:dyDescent="0.25">
      <c r="G5789" s="459"/>
      <c r="H5789" s="459">
        <v>5782</v>
      </c>
      <c r="I5789" s="444">
        <f t="shared" ca="1" si="195"/>
        <v>-2.2290025588284324E+16</v>
      </c>
      <c r="J5789" s="444">
        <f t="array" ref="J5789">IFERROR(INDEX('Retirement Calculator'!K:K,MATCH('Lorri 401b'!N5789,'Retirement Calculator'!A:A,0),0),0)</f>
        <v>0</v>
      </c>
      <c r="K5789" s="444">
        <f t="shared" ca="1" si="193"/>
        <v>-92875106617851.344</v>
      </c>
      <c r="L5789" s="444">
        <f t="shared" ca="1" si="194"/>
        <v>-2.2382900694902176E+16</v>
      </c>
      <c r="M5789" s="460">
        <f t="shared" si="196"/>
        <v>0.05</v>
      </c>
      <c r="N5789" s="464">
        <f t="shared" si="197"/>
        <v>227242</v>
      </c>
    </row>
    <row r="5790" spans="7:14" ht="11.25" customHeight="1" x14ac:dyDescent="0.25">
      <c r="G5790" s="459"/>
      <c r="H5790" s="459">
        <v>5783</v>
      </c>
      <c r="I5790" s="444">
        <f t="shared" ca="1" si="195"/>
        <v>-2.2382900694902176E+16</v>
      </c>
      <c r="J5790" s="444">
        <f t="array" ref="J5790">IFERROR(INDEX('Retirement Calculator'!K:K,MATCH('Lorri 401b'!N5790,'Retirement Calculator'!A:A,0),0),0)</f>
        <v>0</v>
      </c>
      <c r="K5790" s="444">
        <f t="shared" ca="1" si="193"/>
        <v>-93262086228759.063</v>
      </c>
      <c r="L5790" s="444">
        <f t="shared" ca="1" si="194"/>
        <v>-2.2476162781130936E+16</v>
      </c>
      <c r="M5790" s="460">
        <f t="shared" si="196"/>
        <v>0.05</v>
      </c>
      <c r="N5790" s="464">
        <f t="shared" si="197"/>
        <v>227273</v>
      </c>
    </row>
    <row r="5791" spans="7:14" ht="11.25" customHeight="1" x14ac:dyDescent="0.25">
      <c r="G5791" s="459"/>
      <c r="H5791" s="459">
        <v>5784</v>
      </c>
      <c r="I5791" s="444">
        <f t="shared" ca="1" si="195"/>
        <v>-2.2476162781130936E+16</v>
      </c>
      <c r="J5791" s="444">
        <f t="array" ref="J5791">IFERROR(INDEX('Retirement Calculator'!K:K,MATCH('Lorri 401b'!N5791,'Retirement Calculator'!A:A,0),0),0)</f>
        <v>0</v>
      </c>
      <c r="K5791" s="444">
        <f t="shared" ca="1" si="193"/>
        <v>-93650678254712.234</v>
      </c>
      <c r="L5791" s="444">
        <f t="shared" ca="1" si="194"/>
        <v>-2.2569813459385648E+16</v>
      </c>
      <c r="M5791" s="460">
        <f t="shared" si="196"/>
        <v>0.05</v>
      </c>
      <c r="N5791" s="464">
        <f t="shared" si="197"/>
        <v>227303</v>
      </c>
    </row>
    <row r="5792" spans="7:14" ht="11.25" customHeight="1" x14ac:dyDescent="0.25">
      <c r="G5792" s="459"/>
      <c r="H5792" s="459">
        <v>5785</v>
      </c>
      <c r="I5792" s="444">
        <f t="shared" ca="1" si="195"/>
        <v>-2.2569813459385648E+16</v>
      </c>
      <c r="J5792" s="444">
        <f t="array" ref="J5792">IFERROR(INDEX('Retirement Calculator'!K:K,MATCH('Lorri 401b'!N5792,'Retirement Calculator'!A:A,0),0),0)</f>
        <v>0</v>
      </c>
      <c r="K5792" s="444">
        <f t="shared" ca="1" si="193"/>
        <v>-94040889414106.859</v>
      </c>
      <c r="L5792" s="444">
        <f t="shared" ca="1" si="194"/>
        <v>-2.2663854348799756E+16</v>
      </c>
      <c r="M5792" s="460">
        <f t="shared" si="196"/>
        <v>0.05</v>
      </c>
      <c r="N5792" s="464">
        <f t="shared" si="197"/>
        <v>227334</v>
      </c>
    </row>
    <row r="5793" spans="7:14" ht="11.25" customHeight="1" x14ac:dyDescent="0.25">
      <c r="G5793" s="459"/>
      <c r="H5793" s="459">
        <v>5786</v>
      </c>
      <c r="I5793" s="444">
        <f t="shared" ca="1" si="195"/>
        <v>-2.2663854348799756E+16</v>
      </c>
      <c r="J5793" s="444">
        <f t="array" ref="J5793">IFERROR(INDEX('Retirement Calculator'!K:K,MATCH('Lorri 401b'!N5793,'Retirement Calculator'!A:A,0),0),0)</f>
        <v>0</v>
      </c>
      <c r="K5793" s="444">
        <f t="shared" ca="1" si="193"/>
        <v>-94432726453332.313</v>
      </c>
      <c r="L5793" s="444">
        <f t="shared" ca="1" si="194"/>
        <v>-2.2758287075253088E+16</v>
      </c>
      <c r="M5793" s="460">
        <f t="shared" si="196"/>
        <v>0.05</v>
      </c>
      <c r="N5793" s="464">
        <f t="shared" si="197"/>
        <v>227364</v>
      </c>
    </row>
    <row r="5794" spans="7:14" ht="11.25" customHeight="1" x14ac:dyDescent="0.25">
      <c r="G5794" s="459"/>
      <c r="H5794" s="459">
        <v>5787</v>
      </c>
      <c r="I5794" s="444">
        <f t="shared" ca="1" si="195"/>
        <v>-2.2758287075253088E+16</v>
      </c>
      <c r="J5794" s="444">
        <f t="array" ref="J5794">IFERROR(INDEX('Retirement Calculator'!K:K,MATCH('Lorri 401b'!N5794,'Retirement Calculator'!A:A,0),0),0)</f>
        <v>0</v>
      </c>
      <c r="K5794" s="444">
        <f t="shared" ca="1" si="193"/>
        <v>-94826196146887.859</v>
      </c>
      <c r="L5794" s="444">
        <f t="shared" ca="1" si="194"/>
        <v>-2.2853113271399976E+16</v>
      </c>
      <c r="M5794" s="460">
        <f t="shared" si="196"/>
        <v>0.05</v>
      </c>
      <c r="N5794" s="464">
        <f t="shared" si="197"/>
        <v>227395</v>
      </c>
    </row>
    <row r="5795" spans="7:14" ht="11.25" customHeight="1" x14ac:dyDescent="0.25">
      <c r="G5795" s="459"/>
      <c r="H5795" s="459">
        <v>5788</v>
      </c>
      <c r="I5795" s="444">
        <f t="shared" ca="1" si="195"/>
        <v>-2.2853113271399976E+16</v>
      </c>
      <c r="J5795" s="444">
        <f t="array" ref="J5795">IFERROR(INDEX('Retirement Calculator'!K:K,MATCH('Lorri 401b'!N5795,'Retirement Calculator'!A:A,0),0),0)</f>
        <v>0</v>
      </c>
      <c r="K5795" s="444">
        <f t="shared" ca="1" si="193"/>
        <v>-95221305297499.906</v>
      </c>
      <c r="L5795" s="444">
        <f t="shared" ca="1" si="194"/>
        <v>-2.2948334576697476E+16</v>
      </c>
      <c r="M5795" s="460">
        <f t="shared" si="196"/>
        <v>0.05</v>
      </c>
      <c r="N5795" s="464">
        <f t="shared" si="197"/>
        <v>227426</v>
      </c>
    </row>
    <row r="5796" spans="7:14" ht="11.25" customHeight="1" x14ac:dyDescent="0.25">
      <c r="G5796" s="459"/>
      <c r="H5796" s="459">
        <v>5789</v>
      </c>
      <c r="I5796" s="444">
        <f t="shared" ca="1" si="195"/>
        <v>-2.2948334576697476E+16</v>
      </c>
      <c r="J5796" s="444">
        <f t="array" ref="J5796">IFERROR(INDEX('Retirement Calculator'!K:K,MATCH('Lorri 401b'!N5796,'Retirement Calculator'!A:A,0),0),0)</f>
        <v>0</v>
      </c>
      <c r="K5796" s="444">
        <f t="shared" ca="1" si="193"/>
        <v>-95618060736239.484</v>
      </c>
      <c r="L5796" s="444">
        <f t="shared" ca="1" si="194"/>
        <v>-2.3043952637433716E+16</v>
      </c>
      <c r="M5796" s="460">
        <f t="shared" si="196"/>
        <v>0.05</v>
      </c>
      <c r="N5796" s="464">
        <f t="shared" si="197"/>
        <v>227456</v>
      </c>
    </row>
    <row r="5797" spans="7:14" ht="11.25" customHeight="1" x14ac:dyDescent="0.25">
      <c r="G5797" s="459"/>
      <c r="H5797" s="459">
        <v>5790</v>
      </c>
      <c r="I5797" s="444">
        <f t="shared" ca="1" si="195"/>
        <v>-2.3043952637433716E+16</v>
      </c>
      <c r="J5797" s="444">
        <f t="array" ref="J5797">IFERROR(INDEX('Retirement Calculator'!K:K,MATCH('Lorri 401b'!N5797,'Retirement Calculator'!A:A,0),0),0)</f>
        <v>0</v>
      </c>
      <c r="K5797" s="444">
        <f t="shared" ca="1" si="193"/>
        <v>-96016469322640.484</v>
      </c>
      <c r="L5797" s="444">
        <f t="shared" ca="1" si="194"/>
        <v>-2.3139969106756356E+16</v>
      </c>
      <c r="M5797" s="460">
        <f t="shared" si="196"/>
        <v>0.05</v>
      </c>
      <c r="N5797" s="464">
        <f t="shared" si="197"/>
        <v>227487</v>
      </c>
    </row>
    <row r="5798" spans="7:14" ht="11.25" customHeight="1" x14ac:dyDescent="0.25">
      <c r="G5798" s="459"/>
      <c r="H5798" s="459">
        <v>5791</v>
      </c>
      <c r="I5798" s="444">
        <f t="shared" ca="1" si="195"/>
        <v>-2.3139969106756356E+16</v>
      </c>
      <c r="J5798" s="444">
        <f t="array" ref="J5798">IFERROR(INDEX('Retirement Calculator'!K:K,MATCH('Lorri 401b'!N5798,'Retirement Calculator'!A:A,0),0),0)</f>
        <v>0</v>
      </c>
      <c r="K5798" s="444">
        <f t="shared" ca="1" si="193"/>
        <v>-96416537944818.156</v>
      </c>
      <c r="L5798" s="444">
        <f t="shared" ca="1" si="194"/>
        <v>-2.3236385644701176E+16</v>
      </c>
      <c r="M5798" s="460">
        <f t="shared" si="196"/>
        <v>0.05</v>
      </c>
      <c r="N5798" s="464">
        <f t="shared" si="197"/>
        <v>227517</v>
      </c>
    </row>
    <row r="5799" spans="7:14" ht="11.25" customHeight="1" x14ac:dyDescent="0.25">
      <c r="G5799" s="459"/>
      <c r="H5799" s="459">
        <v>5792</v>
      </c>
      <c r="I5799" s="444">
        <f t="shared" ca="1" si="195"/>
        <v>-2.3236385644701176E+16</v>
      </c>
      <c r="J5799" s="444">
        <f t="array" ref="J5799">IFERROR(INDEX('Retirement Calculator'!K:K,MATCH('Lorri 401b'!N5799,'Retirement Calculator'!A:A,0),0),0)</f>
        <v>0</v>
      </c>
      <c r="K5799" s="444">
        <f t="shared" ca="1" si="193"/>
        <v>-96818273519588.234</v>
      </c>
      <c r="L5799" s="444">
        <f t="shared" ca="1" si="194"/>
        <v>-2.3333203918220764E+16</v>
      </c>
      <c r="M5799" s="460">
        <f t="shared" si="196"/>
        <v>0.05</v>
      </c>
      <c r="N5799" s="464">
        <f t="shared" si="197"/>
        <v>227548</v>
      </c>
    </row>
    <row r="5800" spans="7:14" ht="11.25" customHeight="1" x14ac:dyDescent="0.25">
      <c r="G5800" s="459"/>
      <c r="H5800" s="459">
        <v>5793</v>
      </c>
      <c r="I5800" s="444">
        <f t="shared" ca="1" si="195"/>
        <v>-2.3333203918220764E+16</v>
      </c>
      <c r="J5800" s="444">
        <f t="array" ref="J5800">IFERROR(INDEX('Retirement Calculator'!K:K,MATCH('Lorri 401b'!N5800,'Retirement Calculator'!A:A,0),0),0)</f>
        <v>0</v>
      </c>
      <c r="K5800" s="444">
        <f t="shared" ca="1" si="193"/>
        <v>-97221682992586.516</v>
      </c>
      <c r="L5800" s="444">
        <f t="shared" ca="1" si="194"/>
        <v>-2.3430425601213352E+16</v>
      </c>
      <c r="M5800" s="460">
        <f t="shared" si="196"/>
        <v>0.05</v>
      </c>
      <c r="N5800" s="464">
        <f t="shared" si="197"/>
        <v>227579</v>
      </c>
    </row>
    <row r="5801" spans="7:14" ht="11.25" customHeight="1" x14ac:dyDescent="0.25">
      <c r="G5801" s="459"/>
      <c r="H5801" s="459">
        <v>5794</v>
      </c>
      <c r="I5801" s="444">
        <f t="shared" ca="1" si="195"/>
        <v>-2.3430425601213352E+16</v>
      </c>
      <c r="J5801" s="444">
        <f t="array" ref="J5801">IFERROR(INDEX('Retirement Calculator'!K:K,MATCH('Lorri 401b'!N5801,'Retirement Calculator'!A:A,0),0),0)</f>
        <v>0</v>
      </c>
      <c r="K5801" s="444">
        <f t="shared" ca="1" si="193"/>
        <v>-97626773338388.969</v>
      </c>
      <c r="L5801" s="444">
        <f t="shared" ca="1" si="194"/>
        <v>-2.352805237455174E+16</v>
      </c>
      <c r="M5801" s="460">
        <f t="shared" si="196"/>
        <v>0.05</v>
      </c>
      <c r="N5801" s="464">
        <f t="shared" si="197"/>
        <v>227607</v>
      </c>
    </row>
    <row r="5802" spans="7:14" ht="11.25" customHeight="1" x14ac:dyDescent="0.25">
      <c r="G5802" s="459"/>
      <c r="H5802" s="459">
        <v>5795</v>
      </c>
      <c r="I5802" s="444">
        <f t="shared" ca="1" si="195"/>
        <v>-2.352805237455174E+16</v>
      </c>
      <c r="J5802" s="444">
        <f t="array" ref="J5802">IFERROR(INDEX('Retirement Calculator'!K:K,MATCH('Lorri 401b'!N5802,'Retirement Calculator'!A:A,0),0),0)</f>
        <v>0</v>
      </c>
      <c r="K5802" s="444">
        <f t="shared" ca="1" si="193"/>
        <v>-98033551560632.25</v>
      </c>
      <c r="L5802" s="444">
        <f t="shared" ca="1" si="194"/>
        <v>-2.3626085926112372E+16</v>
      </c>
      <c r="M5802" s="460">
        <f t="shared" si="196"/>
        <v>0.05</v>
      </c>
      <c r="N5802" s="464">
        <f t="shared" si="197"/>
        <v>227638</v>
      </c>
    </row>
    <row r="5803" spans="7:14" ht="11.25" customHeight="1" x14ac:dyDescent="0.25">
      <c r="G5803" s="459"/>
      <c r="H5803" s="459">
        <v>5796</v>
      </c>
      <c r="I5803" s="444">
        <f t="shared" ca="1" si="195"/>
        <v>-2.3626085926112372E+16</v>
      </c>
      <c r="J5803" s="444">
        <f t="array" ref="J5803">IFERROR(INDEX('Retirement Calculator'!K:K,MATCH('Lorri 401b'!N5803,'Retirement Calculator'!A:A,0),0),0)</f>
        <v>0</v>
      </c>
      <c r="K5803" s="444">
        <f t="shared" ca="1" si="193"/>
        <v>-98442024692134.875</v>
      </c>
      <c r="L5803" s="444">
        <f t="shared" ca="1" si="194"/>
        <v>-2.3724527950804508E+16</v>
      </c>
      <c r="M5803" s="460">
        <f t="shared" si="196"/>
        <v>0.05</v>
      </c>
      <c r="N5803" s="464">
        <f t="shared" si="197"/>
        <v>227668</v>
      </c>
    </row>
    <row r="5804" spans="7:14" ht="11.25" customHeight="1" x14ac:dyDescent="0.25">
      <c r="G5804" s="459"/>
      <c r="H5804" s="459">
        <v>5797</v>
      </c>
      <c r="I5804" s="444">
        <f t="shared" ca="1" si="195"/>
        <v>-2.3724527950804508E+16</v>
      </c>
      <c r="J5804" s="444">
        <f t="array" ref="J5804">IFERROR(INDEX('Retirement Calculator'!K:K,MATCH('Lorri 401b'!N5804,'Retirement Calculator'!A:A,0),0),0)</f>
        <v>0</v>
      </c>
      <c r="K5804" s="444">
        <f t="shared" ca="1" si="193"/>
        <v>-98852199795018.781</v>
      </c>
      <c r="L5804" s="444">
        <f t="shared" ca="1" si="194"/>
        <v>-2.3823380150599528E+16</v>
      </c>
      <c r="M5804" s="460">
        <f t="shared" si="196"/>
        <v>0.05</v>
      </c>
      <c r="N5804" s="464">
        <f t="shared" si="197"/>
        <v>227699</v>
      </c>
    </row>
    <row r="5805" spans="7:14" ht="11.25" customHeight="1" x14ac:dyDescent="0.25">
      <c r="G5805" s="459"/>
      <c r="H5805" s="459">
        <v>5798</v>
      </c>
      <c r="I5805" s="444">
        <f t="shared" ca="1" si="195"/>
        <v>-2.3823380150599528E+16</v>
      </c>
      <c r="J5805" s="444">
        <f t="array" ref="J5805">IFERROR(INDEX('Retirement Calculator'!K:K,MATCH('Lorri 401b'!N5805,'Retirement Calculator'!A:A,0),0),0)</f>
        <v>0</v>
      </c>
      <c r="K5805" s="444">
        <f t="shared" ca="1" si="193"/>
        <v>-99264083960831.359</v>
      </c>
      <c r="L5805" s="444">
        <f t="shared" ca="1" si="194"/>
        <v>-2.392264423456036E+16</v>
      </c>
      <c r="M5805" s="460">
        <f t="shared" si="196"/>
        <v>0.05</v>
      </c>
      <c r="N5805" s="464">
        <f t="shared" si="197"/>
        <v>227729</v>
      </c>
    </row>
    <row r="5806" spans="7:14" ht="11.25" customHeight="1" x14ac:dyDescent="0.25">
      <c r="G5806" s="459"/>
      <c r="H5806" s="459">
        <v>5799</v>
      </c>
      <c r="I5806" s="444">
        <f t="shared" ca="1" si="195"/>
        <v>-2.392264423456036E+16</v>
      </c>
      <c r="J5806" s="444">
        <f t="array" ref="J5806">IFERROR(INDEX('Retirement Calculator'!K:K,MATCH('Lorri 401b'!N5806,'Retirement Calculator'!A:A,0),0),0)</f>
        <v>0</v>
      </c>
      <c r="K5806" s="444">
        <f t="shared" ca="1" si="193"/>
        <v>-99677684310668.172</v>
      </c>
      <c r="L5806" s="444">
        <f t="shared" ca="1" si="194"/>
        <v>-2.4022321918871028E+16</v>
      </c>
      <c r="M5806" s="460">
        <f t="shared" si="196"/>
        <v>0.05</v>
      </c>
      <c r="N5806" s="464">
        <f t="shared" si="197"/>
        <v>227760</v>
      </c>
    </row>
    <row r="5807" spans="7:14" ht="11.25" customHeight="1" x14ac:dyDescent="0.25">
      <c r="G5807" s="459"/>
      <c r="H5807" s="459">
        <v>5800</v>
      </c>
      <c r="I5807" s="444">
        <f t="shared" ca="1" si="195"/>
        <v>-2.4022321918871028E+16</v>
      </c>
      <c r="J5807" s="444">
        <f t="array" ref="J5807">IFERROR(INDEX('Retirement Calculator'!K:K,MATCH('Lorri 401b'!N5807,'Retirement Calculator'!A:A,0),0),0)</f>
        <v>0</v>
      </c>
      <c r="K5807" s="444">
        <f t="shared" ca="1" si="193"/>
        <v>-100093007995295.95</v>
      </c>
      <c r="L5807" s="444">
        <f t="shared" ca="1" si="194"/>
        <v>-2.4122414926866324E+16</v>
      </c>
      <c r="M5807" s="460">
        <f t="shared" si="196"/>
        <v>0.05</v>
      </c>
      <c r="N5807" s="464">
        <f t="shared" si="197"/>
        <v>227791</v>
      </c>
    </row>
    <row r="5808" spans="7:14" ht="11.25" customHeight="1" x14ac:dyDescent="0.25">
      <c r="G5808" s="459"/>
      <c r="H5808" s="459">
        <v>5801</v>
      </c>
      <c r="I5808" s="444">
        <f t="shared" ca="1" si="195"/>
        <v>-2.4122414926866324E+16</v>
      </c>
      <c r="J5808" s="444">
        <f t="array" ref="J5808">IFERROR(INDEX('Retirement Calculator'!K:K,MATCH('Lorri 401b'!N5808,'Retirement Calculator'!A:A,0),0),0)</f>
        <v>0</v>
      </c>
      <c r="K5808" s="444">
        <f t="shared" ca="1" si="193"/>
        <v>-100510062195276.34</v>
      </c>
      <c r="L5808" s="444">
        <f t="shared" ca="1" si="194"/>
        <v>-2.42229249890616E+16</v>
      </c>
      <c r="M5808" s="460">
        <f t="shared" si="196"/>
        <v>0.05</v>
      </c>
      <c r="N5808" s="464">
        <f t="shared" si="197"/>
        <v>227821</v>
      </c>
    </row>
    <row r="5809" spans="7:14" ht="11.25" customHeight="1" x14ac:dyDescent="0.25">
      <c r="G5809" s="459"/>
      <c r="H5809" s="459">
        <v>5802</v>
      </c>
      <c r="I5809" s="444">
        <f t="shared" ca="1" si="195"/>
        <v>-2.42229249890616E+16</v>
      </c>
      <c r="J5809" s="444">
        <f t="array" ref="J5809">IFERROR(INDEX('Retirement Calculator'!K:K,MATCH('Lorri 401b'!N5809,'Retirement Calculator'!A:A,0),0),0)</f>
        <v>0</v>
      </c>
      <c r="K5809" s="444">
        <f t="shared" ca="1" si="193"/>
        <v>-100928854121090</v>
      </c>
      <c r="L5809" s="444">
        <f t="shared" ca="1" si="194"/>
        <v>-2.4323853843182688E+16</v>
      </c>
      <c r="M5809" s="460">
        <f t="shared" si="196"/>
        <v>0.05</v>
      </c>
      <c r="N5809" s="464">
        <f t="shared" si="197"/>
        <v>227852</v>
      </c>
    </row>
    <row r="5810" spans="7:14" ht="11.25" customHeight="1" x14ac:dyDescent="0.25">
      <c r="G5810" s="459"/>
      <c r="H5810" s="459">
        <v>5803</v>
      </c>
      <c r="I5810" s="444">
        <f t="shared" ca="1" si="195"/>
        <v>-2.4323853843182688E+16</v>
      </c>
      <c r="J5810" s="444">
        <f t="array" ref="J5810">IFERROR(INDEX('Retirement Calculator'!K:K,MATCH('Lorri 401b'!N5810,'Retirement Calculator'!A:A,0),0),0)</f>
        <v>0</v>
      </c>
      <c r="K5810" s="444">
        <f t="shared" ca="1" si="193"/>
        <v>-101349391013261.2</v>
      </c>
      <c r="L5810" s="444">
        <f t="shared" ca="1" si="194"/>
        <v>-2.4425203234195948E+16</v>
      </c>
      <c r="M5810" s="460">
        <f t="shared" si="196"/>
        <v>0.05</v>
      </c>
      <c r="N5810" s="464">
        <f t="shared" si="197"/>
        <v>227882</v>
      </c>
    </row>
    <row r="5811" spans="7:14" ht="11.25" customHeight="1" x14ac:dyDescent="0.25">
      <c r="G5811" s="459"/>
      <c r="H5811" s="459">
        <v>5804</v>
      </c>
      <c r="I5811" s="444">
        <f t="shared" ca="1" si="195"/>
        <v>-2.4425203234195948E+16</v>
      </c>
      <c r="J5811" s="444">
        <f t="array" ref="J5811">IFERROR(INDEX('Retirement Calculator'!K:K,MATCH('Lorri 401b'!N5811,'Retirement Calculator'!A:A,0),0),0)</f>
        <v>0</v>
      </c>
      <c r="K5811" s="444">
        <f t="shared" ca="1" si="193"/>
        <v>-101771680142483.11</v>
      </c>
      <c r="L5811" s="444">
        <f t="shared" ca="1" si="194"/>
        <v>-2.4526974914338432E+16</v>
      </c>
      <c r="M5811" s="460">
        <f t="shared" si="196"/>
        <v>0.05</v>
      </c>
      <c r="N5811" s="464">
        <f t="shared" si="197"/>
        <v>227913</v>
      </c>
    </row>
    <row r="5812" spans="7:14" ht="11.25" customHeight="1" x14ac:dyDescent="0.25">
      <c r="G5812" s="459"/>
      <c r="H5812" s="459">
        <v>5805</v>
      </c>
      <c r="I5812" s="444">
        <f t="shared" ca="1" si="195"/>
        <v>-2.4526974914338432E+16</v>
      </c>
      <c r="J5812" s="444">
        <f t="array" ref="J5812">IFERROR(INDEX('Retirement Calculator'!K:K,MATCH('Lorri 401b'!N5812,'Retirement Calculator'!A:A,0),0),0)</f>
        <v>0</v>
      </c>
      <c r="K5812" s="444">
        <f t="shared" ca="1" si="193"/>
        <v>-102195728809743.47</v>
      </c>
      <c r="L5812" s="444">
        <f t="shared" ca="1" si="194"/>
        <v>-2.4629170643148176E+16</v>
      </c>
      <c r="M5812" s="460">
        <f t="shared" si="196"/>
        <v>0.05</v>
      </c>
      <c r="N5812" s="464">
        <f t="shared" si="197"/>
        <v>227944</v>
      </c>
    </row>
    <row r="5813" spans="7:14" ht="11.25" customHeight="1" x14ac:dyDescent="0.25">
      <c r="G5813" s="459"/>
      <c r="H5813" s="459">
        <v>5806</v>
      </c>
      <c r="I5813" s="444">
        <f t="shared" ca="1" si="195"/>
        <v>-2.4629170643148176E+16</v>
      </c>
      <c r="J5813" s="444">
        <f t="array" ref="J5813">IFERROR(INDEX('Retirement Calculator'!K:K,MATCH('Lorri 401b'!N5813,'Retirement Calculator'!A:A,0),0),0)</f>
        <v>0</v>
      </c>
      <c r="K5813" s="444">
        <f t="shared" ca="1" si="193"/>
        <v>-102621544346450.73</v>
      </c>
      <c r="L5813" s="444">
        <f t="shared" ca="1" si="194"/>
        <v>-2.4731792187494628E+16</v>
      </c>
      <c r="M5813" s="460">
        <f t="shared" si="196"/>
        <v>0.05</v>
      </c>
      <c r="N5813" s="464">
        <f t="shared" si="197"/>
        <v>227973</v>
      </c>
    </row>
    <row r="5814" spans="7:14" ht="11.25" customHeight="1" x14ac:dyDescent="0.25">
      <c r="G5814" s="459"/>
      <c r="H5814" s="459">
        <v>5807</v>
      </c>
      <c r="I5814" s="444">
        <f t="shared" ca="1" si="195"/>
        <v>-2.4731792187494628E+16</v>
      </c>
      <c r="J5814" s="444">
        <f t="array" ref="J5814">IFERROR(INDEX('Retirement Calculator'!K:K,MATCH('Lorri 401b'!N5814,'Retirement Calculator'!A:A,0),0),0)</f>
        <v>0</v>
      </c>
      <c r="K5814" s="444">
        <f t="shared" ca="1" si="193"/>
        <v>-103049134114560.95</v>
      </c>
      <c r="L5814" s="444">
        <f t="shared" ca="1" si="194"/>
        <v>-2.4834841321609188E+16</v>
      </c>
      <c r="M5814" s="460">
        <f t="shared" si="196"/>
        <v>0.05</v>
      </c>
      <c r="N5814" s="464">
        <f t="shared" si="197"/>
        <v>228004</v>
      </c>
    </row>
    <row r="5815" spans="7:14" ht="11.25" customHeight="1" x14ac:dyDescent="0.25">
      <c r="G5815" s="459"/>
      <c r="H5815" s="459">
        <v>5808</v>
      </c>
      <c r="I5815" s="444">
        <f t="shared" ca="1" si="195"/>
        <v>-2.4834841321609188E+16</v>
      </c>
      <c r="J5815" s="444">
        <f t="array" ref="J5815">IFERROR(INDEX('Retirement Calculator'!K:K,MATCH('Lorri 401b'!N5815,'Retirement Calculator'!A:A,0),0),0)</f>
        <v>0</v>
      </c>
      <c r="K5815" s="444">
        <f t="shared" ca="1" si="193"/>
        <v>-103478505506704.95</v>
      </c>
      <c r="L5815" s="444">
        <f t="shared" ca="1" si="194"/>
        <v>-2.4938319827115892E+16</v>
      </c>
      <c r="M5815" s="460">
        <f t="shared" si="196"/>
        <v>0.05</v>
      </c>
      <c r="N5815" s="464">
        <f t="shared" si="197"/>
        <v>228034</v>
      </c>
    </row>
    <row r="5816" spans="7:14" ht="11.25" customHeight="1" x14ac:dyDescent="0.25">
      <c r="G5816" s="459"/>
      <c r="H5816" s="459">
        <v>5809</v>
      </c>
      <c r="I5816" s="444">
        <f t="shared" ca="1" si="195"/>
        <v>-2.4938319827115892E+16</v>
      </c>
      <c r="J5816" s="444">
        <f t="array" ref="J5816">IFERROR(INDEX('Retirement Calculator'!K:K,MATCH('Lorri 401b'!N5816,'Retirement Calculator'!A:A,0),0),0)</f>
        <v>0</v>
      </c>
      <c r="K5816" s="444">
        <f t="shared" ca="1" si="193"/>
        <v>-103909665946316.22</v>
      </c>
      <c r="L5816" s="444">
        <f t="shared" ca="1" si="194"/>
        <v>-2.5042229493062208E+16</v>
      </c>
      <c r="M5816" s="460">
        <f t="shared" si="196"/>
        <v>0.05</v>
      </c>
      <c r="N5816" s="464">
        <f t="shared" si="197"/>
        <v>228065</v>
      </c>
    </row>
    <row r="5817" spans="7:14" ht="11.25" customHeight="1" x14ac:dyDescent="0.25">
      <c r="G5817" s="459"/>
      <c r="H5817" s="459">
        <v>5810</v>
      </c>
      <c r="I5817" s="444">
        <f t="shared" ca="1" si="195"/>
        <v>-2.5042229493062208E+16</v>
      </c>
      <c r="J5817" s="444">
        <f t="array" ref="J5817">IFERROR(INDEX('Retirement Calculator'!K:K,MATCH('Lorri 401b'!N5817,'Retirement Calculator'!A:A,0),0),0)</f>
        <v>0</v>
      </c>
      <c r="K5817" s="444">
        <f t="shared" ca="1" si="193"/>
        <v>-104342622887759.2</v>
      </c>
      <c r="L5817" s="444">
        <f t="shared" ca="1" si="194"/>
        <v>-2.5146572115949968E+16</v>
      </c>
      <c r="M5817" s="460">
        <f t="shared" si="196"/>
        <v>0.05</v>
      </c>
      <c r="N5817" s="464">
        <f t="shared" si="197"/>
        <v>228095</v>
      </c>
    </row>
    <row r="5818" spans="7:14" ht="11.25" customHeight="1" x14ac:dyDescent="0.25">
      <c r="G5818" s="459"/>
      <c r="H5818" s="459">
        <v>5811</v>
      </c>
      <c r="I5818" s="444">
        <f t="shared" ca="1" si="195"/>
        <v>-2.5146572115949968E+16</v>
      </c>
      <c r="J5818" s="444">
        <f t="array" ref="J5818">IFERROR(INDEX('Retirement Calculator'!K:K,MATCH('Lorri 401b'!N5818,'Retirement Calculator'!A:A,0),0),0)</f>
        <v>0</v>
      </c>
      <c r="K5818" s="444">
        <f t="shared" ca="1" si="193"/>
        <v>-104777383816458.2</v>
      </c>
      <c r="L5818" s="444">
        <f t="shared" ca="1" si="194"/>
        <v>-2.5251349499766428E+16</v>
      </c>
      <c r="M5818" s="460">
        <f t="shared" si="196"/>
        <v>0.05</v>
      </c>
      <c r="N5818" s="464">
        <f t="shared" si="197"/>
        <v>228126</v>
      </c>
    </row>
    <row r="5819" spans="7:14" ht="11.25" customHeight="1" x14ac:dyDescent="0.25">
      <c r="G5819" s="459"/>
      <c r="H5819" s="459">
        <v>5812</v>
      </c>
      <c r="I5819" s="444">
        <f t="shared" ca="1" si="195"/>
        <v>-2.5251349499766428E+16</v>
      </c>
      <c r="J5819" s="444">
        <f t="array" ref="J5819">IFERROR(INDEX('Retirement Calculator'!K:K,MATCH('Lorri 401b'!N5819,'Retirement Calculator'!A:A,0),0),0)</f>
        <v>0</v>
      </c>
      <c r="K5819" s="444">
        <f t="shared" ca="1" si="193"/>
        <v>-105213956249026.78</v>
      </c>
      <c r="L5819" s="444">
        <f t="shared" ca="1" si="194"/>
        <v>-2.5356563456015456E+16</v>
      </c>
      <c r="M5819" s="460">
        <f t="shared" si="196"/>
        <v>0.05</v>
      </c>
      <c r="N5819" s="464">
        <f t="shared" si="197"/>
        <v>228157</v>
      </c>
    </row>
    <row r="5820" spans="7:14" ht="11.25" customHeight="1" x14ac:dyDescent="0.25">
      <c r="G5820" s="459"/>
      <c r="H5820" s="459">
        <v>5813</v>
      </c>
      <c r="I5820" s="444">
        <f t="shared" ca="1" si="195"/>
        <v>-2.5356563456015456E+16</v>
      </c>
      <c r="J5820" s="444">
        <f t="array" ref="J5820">IFERROR(INDEX('Retirement Calculator'!K:K,MATCH('Lorri 401b'!N5820,'Retirement Calculator'!A:A,0),0),0)</f>
        <v>0</v>
      </c>
      <c r="K5820" s="444">
        <f t="shared" ca="1" si="193"/>
        <v>-105652347733397.73</v>
      </c>
      <c r="L5820" s="444">
        <f t="shared" ca="1" si="194"/>
        <v>-2.5462215803748852E+16</v>
      </c>
      <c r="M5820" s="460">
        <f t="shared" si="196"/>
        <v>0.05</v>
      </c>
      <c r="N5820" s="464">
        <f t="shared" si="197"/>
        <v>228187</v>
      </c>
    </row>
    <row r="5821" spans="7:14" ht="11.25" customHeight="1" x14ac:dyDescent="0.25">
      <c r="G5821" s="459"/>
      <c r="H5821" s="459">
        <v>5814</v>
      </c>
      <c r="I5821" s="444">
        <f t="shared" ca="1" si="195"/>
        <v>-2.5462215803748852E+16</v>
      </c>
      <c r="J5821" s="444">
        <f t="array" ref="J5821">IFERROR(INDEX('Retirement Calculator'!K:K,MATCH('Lorri 401b'!N5821,'Retirement Calculator'!A:A,0),0),0)</f>
        <v>0</v>
      </c>
      <c r="K5821" s="444">
        <f t="shared" ca="1" si="193"/>
        <v>-106092565848953.55</v>
      </c>
      <c r="L5821" s="444">
        <f t="shared" ca="1" si="194"/>
        <v>-2.5568308369597804E+16</v>
      </c>
      <c r="M5821" s="460">
        <f t="shared" si="196"/>
        <v>0.05</v>
      </c>
      <c r="N5821" s="464">
        <f t="shared" si="197"/>
        <v>228218</v>
      </c>
    </row>
    <row r="5822" spans="7:14" ht="11.25" customHeight="1" x14ac:dyDescent="0.25">
      <c r="G5822" s="459"/>
      <c r="H5822" s="459">
        <v>5815</v>
      </c>
      <c r="I5822" s="444">
        <f t="shared" ca="1" si="195"/>
        <v>-2.5568308369597804E+16</v>
      </c>
      <c r="J5822" s="444">
        <f t="array" ref="J5822">IFERROR(INDEX('Retirement Calculator'!K:K,MATCH('Lorri 401b'!N5822,'Retirement Calculator'!A:A,0),0),0)</f>
        <v>0</v>
      </c>
      <c r="K5822" s="444">
        <f t="shared" ca="1" si="193"/>
        <v>-106534618206657.52</v>
      </c>
      <c r="L5822" s="444">
        <f t="shared" ca="1" si="194"/>
        <v>-2.567484298780446E+16</v>
      </c>
      <c r="M5822" s="460">
        <f t="shared" si="196"/>
        <v>0.05</v>
      </c>
      <c r="N5822" s="464">
        <f t="shared" si="197"/>
        <v>228248</v>
      </c>
    </row>
    <row r="5823" spans="7:14" ht="11.25" customHeight="1" x14ac:dyDescent="0.25">
      <c r="G5823" s="459"/>
      <c r="H5823" s="459">
        <v>5816</v>
      </c>
      <c r="I5823" s="444">
        <f t="shared" ca="1" si="195"/>
        <v>-2.567484298780446E+16</v>
      </c>
      <c r="J5823" s="444">
        <f t="array" ref="J5823">IFERROR(INDEX('Retirement Calculator'!K:K,MATCH('Lorri 401b'!N5823,'Retirement Calculator'!A:A,0),0),0)</f>
        <v>0</v>
      </c>
      <c r="K5823" s="444">
        <f t="shared" ca="1" si="193"/>
        <v>-106978512449185.25</v>
      </c>
      <c r="L5823" s="444">
        <f t="shared" ca="1" si="194"/>
        <v>-2.5781821500253644E+16</v>
      </c>
      <c r="M5823" s="460">
        <f t="shared" si="196"/>
        <v>0.05</v>
      </c>
      <c r="N5823" s="464">
        <f t="shared" si="197"/>
        <v>228279</v>
      </c>
    </row>
    <row r="5824" spans="7:14" ht="11.25" customHeight="1" x14ac:dyDescent="0.25">
      <c r="G5824" s="459"/>
      <c r="H5824" s="459">
        <v>5817</v>
      </c>
      <c r="I5824" s="444">
        <f t="shared" ca="1" si="195"/>
        <v>-2.5781821500253644E+16</v>
      </c>
      <c r="J5824" s="444">
        <f t="array" ref="J5824">IFERROR(INDEX('Retirement Calculator'!K:K,MATCH('Lorri 401b'!N5824,'Retirement Calculator'!A:A,0),0),0)</f>
        <v>0</v>
      </c>
      <c r="K5824" s="444">
        <f t="shared" ca="1" si="193"/>
        <v>-107424256251056.84</v>
      </c>
      <c r="L5824" s="444">
        <f t="shared" ca="1" si="194"/>
        <v>-2.58892457565047E+16</v>
      </c>
      <c r="M5824" s="460">
        <f t="shared" si="196"/>
        <v>0.05</v>
      </c>
      <c r="N5824" s="464">
        <f t="shared" si="197"/>
        <v>228310</v>
      </c>
    </row>
    <row r="5825" spans="7:14" ht="11.25" customHeight="1" x14ac:dyDescent="0.25">
      <c r="G5825" s="459"/>
      <c r="H5825" s="459">
        <v>5818</v>
      </c>
      <c r="I5825" s="444">
        <f t="shared" ca="1" si="195"/>
        <v>-2.58892457565047E+16</v>
      </c>
      <c r="J5825" s="444">
        <f t="array" ref="J5825">IFERROR(INDEX('Retirement Calculator'!K:K,MATCH('Lorri 401b'!N5825,'Retirement Calculator'!A:A,0),0),0)</f>
        <v>0</v>
      </c>
      <c r="K5825" s="444">
        <f t="shared" ca="1" si="193"/>
        <v>-107871857318769.58</v>
      </c>
      <c r="L5825" s="444">
        <f t="shared" ca="1" si="194"/>
        <v>-2.5997117613823468E+16</v>
      </c>
      <c r="M5825" s="460">
        <f t="shared" si="196"/>
        <v>0.05</v>
      </c>
      <c r="N5825" s="464">
        <f t="shared" si="197"/>
        <v>228338</v>
      </c>
    </row>
    <row r="5826" spans="7:14" ht="11.25" customHeight="1" x14ac:dyDescent="0.25">
      <c r="G5826" s="459"/>
      <c r="H5826" s="459">
        <v>5819</v>
      </c>
      <c r="I5826" s="444">
        <f t="shared" ca="1" si="195"/>
        <v>-2.5997117613823468E+16</v>
      </c>
      <c r="J5826" s="444">
        <f t="array" ref="J5826">IFERROR(INDEX('Retirement Calculator'!K:K,MATCH('Lorri 401b'!N5826,'Retirement Calculator'!A:A,0),0),0)</f>
        <v>0</v>
      </c>
      <c r="K5826" s="444">
        <f t="shared" ca="1" si="193"/>
        <v>-108321323390931.11</v>
      </c>
      <c r="L5826" s="444">
        <f t="shared" ca="1" si="194"/>
        <v>-2.61054389372144E+16</v>
      </c>
      <c r="M5826" s="460">
        <f t="shared" si="196"/>
        <v>0.05</v>
      </c>
      <c r="N5826" s="464">
        <f t="shared" si="197"/>
        <v>228369</v>
      </c>
    </row>
    <row r="5827" spans="7:14" ht="11.25" customHeight="1" x14ac:dyDescent="0.25">
      <c r="G5827" s="459"/>
      <c r="H5827" s="459">
        <v>5820</v>
      </c>
      <c r="I5827" s="444">
        <f t="shared" ca="1" si="195"/>
        <v>-2.61054389372144E+16</v>
      </c>
      <c r="J5827" s="444">
        <f t="array" ref="J5827">IFERROR(INDEX('Retirement Calculator'!K:K,MATCH('Lorri 401b'!N5827,'Retirement Calculator'!A:A,0),0),0)</f>
        <v>0</v>
      </c>
      <c r="K5827" s="444">
        <f t="shared" ca="1" si="193"/>
        <v>-108772662238393.33</v>
      </c>
      <c r="L5827" s="444">
        <f t="shared" ca="1" si="194"/>
        <v>-2.6214211599452792E+16</v>
      </c>
      <c r="M5827" s="460">
        <f t="shared" si="196"/>
        <v>0.05</v>
      </c>
      <c r="N5827" s="464">
        <f t="shared" si="197"/>
        <v>228399</v>
      </c>
    </row>
    <row r="5828" spans="7:14" ht="11.25" customHeight="1" x14ac:dyDescent="0.25">
      <c r="G5828" s="459"/>
      <c r="H5828" s="459">
        <v>5821</v>
      </c>
      <c r="I5828" s="444">
        <f t="shared" ca="1" si="195"/>
        <v>-2.6214211599452792E+16</v>
      </c>
      <c r="J5828" s="444">
        <f t="array" ref="J5828">IFERROR(INDEX('Retirement Calculator'!K:K,MATCH('Lorri 401b'!N5828,'Retirement Calculator'!A:A,0),0),0)</f>
        <v>0</v>
      </c>
      <c r="K5828" s="444">
        <f t="shared" ca="1" si="193"/>
        <v>-109225881664386.63</v>
      </c>
      <c r="L5828" s="444">
        <f t="shared" ca="1" si="194"/>
        <v>-2.632343748111718E+16</v>
      </c>
      <c r="M5828" s="460">
        <f t="shared" si="196"/>
        <v>0.05</v>
      </c>
      <c r="N5828" s="464">
        <f t="shared" si="197"/>
        <v>228430</v>
      </c>
    </row>
    <row r="5829" spans="7:14" ht="11.25" customHeight="1" x14ac:dyDescent="0.25">
      <c r="G5829" s="459"/>
      <c r="H5829" s="459">
        <v>5822</v>
      </c>
      <c r="I5829" s="444">
        <f t="shared" ca="1" si="195"/>
        <v>-2.632343748111718E+16</v>
      </c>
      <c r="J5829" s="444">
        <f t="array" ref="J5829">IFERROR(INDEX('Retirement Calculator'!K:K,MATCH('Lorri 401b'!N5829,'Retirement Calculator'!A:A,0),0),0)</f>
        <v>0</v>
      </c>
      <c r="K5829" s="444">
        <f t="shared" ca="1" si="193"/>
        <v>-109680989504654.92</v>
      </c>
      <c r="L5829" s="444">
        <f t="shared" ca="1" si="194"/>
        <v>-2.6433118470621836E+16</v>
      </c>
      <c r="M5829" s="460">
        <f t="shared" si="196"/>
        <v>0.05</v>
      </c>
      <c r="N5829" s="464">
        <f t="shared" si="197"/>
        <v>228460</v>
      </c>
    </row>
    <row r="5830" spans="7:14" ht="11.25" customHeight="1" x14ac:dyDescent="0.25">
      <c r="G5830" s="459"/>
      <c r="H5830" s="459">
        <v>5823</v>
      </c>
      <c r="I5830" s="444">
        <f t="shared" ca="1" si="195"/>
        <v>-2.6433118470621836E+16</v>
      </c>
      <c r="J5830" s="444">
        <f t="array" ref="J5830">IFERROR(INDEX('Retirement Calculator'!K:K,MATCH('Lorri 401b'!N5830,'Retirement Calculator'!A:A,0),0),0)</f>
        <v>0</v>
      </c>
      <c r="K5830" s="444">
        <f t="shared" ca="1" si="193"/>
        <v>-110137993627590.98</v>
      </c>
      <c r="L5830" s="444">
        <f t="shared" ca="1" si="194"/>
        <v>-2.6543256464249428E+16</v>
      </c>
      <c r="M5830" s="460">
        <f t="shared" si="196"/>
        <v>0.05</v>
      </c>
      <c r="N5830" s="464">
        <f t="shared" si="197"/>
        <v>228491</v>
      </c>
    </row>
    <row r="5831" spans="7:14" ht="11.25" customHeight="1" x14ac:dyDescent="0.25">
      <c r="G5831" s="459"/>
      <c r="H5831" s="459">
        <v>5824</v>
      </c>
      <c r="I5831" s="444">
        <f t="shared" ca="1" si="195"/>
        <v>-2.6543256464249428E+16</v>
      </c>
      <c r="J5831" s="444">
        <f t="array" ref="J5831">IFERROR(INDEX('Retirement Calculator'!K:K,MATCH('Lorri 401b'!N5831,'Retirement Calculator'!A:A,0),0),0)</f>
        <v>0</v>
      </c>
      <c r="K5831" s="444">
        <f t="shared" ca="1" si="193"/>
        <v>-110596901934372.61</v>
      </c>
      <c r="L5831" s="444">
        <f t="shared" ca="1" si="194"/>
        <v>-2.66538533661838E+16</v>
      </c>
      <c r="M5831" s="460">
        <f t="shared" si="196"/>
        <v>0.05</v>
      </c>
      <c r="N5831" s="464">
        <f t="shared" si="197"/>
        <v>228522</v>
      </c>
    </row>
    <row r="5832" spans="7:14" ht="11.25" customHeight="1" x14ac:dyDescent="0.25">
      <c r="G5832" s="459"/>
      <c r="H5832" s="459">
        <v>5825</v>
      </c>
      <c r="I5832" s="444">
        <f t="shared" ca="1" si="195"/>
        <v>-2.66538533661838E+16</v>
      </c>
      <c r="J5832" s="444">
        <f t="array" ref="J5832">IFERROR(INDEX('Retirement Calculator'!K:K,MATCH('Lorri 401b'!N5832,'Retirement Calculator'!A:A,0),0),0)</f>
        <v>0</v>
      </c>
      <c r="K5832" s="444">
        <f t="shared" ca="1" si="193"/>
        <v>-111057722359099.17</v>
      </c>
      <c r="L5832" s="444">
        <f t="shared" ca="1" si="194"/>
        <v>-2.67649110885429E+16</v>
      </c>
      <c r="M5832" s="460">
        <f t="shared" si="196"/>
        <v>0.05</v>
      </c>
      <c r="N5832" s="464">
        <f t="shared" si="197"/>
        <v>228552</v>
      </c>
    </row>
    <row r="5833" spans="7:14" ht="11.25" customHeight="1" x14ac:dyDescent="0.25">
      <c r="G5833" s="459"/>
      <c r="H5833" s="459">
        <v>5826</v>
      </c>
      <c r="I5833" s="444">
        <f t="shared" ca="1" si="195"/>
        <v>-2.67649110885429E+16</v>
      </c>
      <c r="J5833" s="444">
        <f t="array" ref="J5833">IFERROR(INDEX('Retirement Calculator'!K:K,MATCH('Lorri 401b'!N5833,'Retirement Calculator'!A:A,0),0),0)</f>
        <v>0</v>
      </c>
      <c r="K5833" s="444">
        <f t="shared" ca="1" si="193"/>
        <v>-111520462868928.75</v>
      </c>
      <c r="L5833" s="444">
        <f t="shared" ca="1" si="194"/>
        <v>-2.6876431551411828E+16</v>
      </c>
      <c r="M5833" s="460">
        <f t="shared" si="196"/>
        <v>0.05</v>
      </c>
      <c r="N5833" s="464">
        <f t="shared" si="197"/>
        <v>228583</v>
      </c>
    </row>
    <row r="5834" spans="7:14" ht="11.25" customHeight="1" x14ac:dyDescent="0.25">
      <c r="G5834" s="459"/>
      <c r="H5834" s="459">
        <v>5827</v>
      </c>
      <c r="I5834" s="444">
        <f t="shared" ca="1" si="195"/>
        <v>-2.6876431551411828E+16</v>
      </c>
      <c r="J5834" s="444">
        <f t="array" ref="J5834">IFERROR(INDEX('Retirement Calculator'!K:K,MATCH('Lorri 401b'!N5834,'Retirement Calculator'!A:A,0),0),0)</f>
        <v>0</v>
      </c>
      <c r="K5834" s="444">
        <f t="shared" ca="1" si="193"/>
        <v>-111985131464215.95</v>
      </c>
      <c r="L5834" s="444">
        <f t="shared" ca="1" si="194"/>
        <v>-2.6988416682876044E+16</v>
      </c>
      <c r="M5834" s="460">
        <f t="shared" si="196"/>
        <v>0.05</v>
      </c>
      <c r="N5834" s="464">
        <f t="shared" si="197"/>
        <v>228613</v>
      </c>
    </row>
    <row r="5835" spans="7:14" ht="11.25" customHeight="1" x14ac:dyDescent="0.25">
      <c r="G5835" s="459"/>
      <c r="H5835" s="459">
        <v>5828</v>
      </c>
      <c r="I5835" s="444">
        <f t="shared" ca="1" si="195"/>
        <v>-2.6988416682876044E+16</v>
      </c>
      <c r="J5835" s="444">
        <f t="array" ref="J5835">IFERROR(INDEX('Retirement Calculator'!K:K,MATCH('Lorri 401b'!N5835,'Retirement Calculator'!A:A,0),0),0)</f>
        <v>0</v>
      </c>
      <c r="K5835" s="444">
        <f t="shared" ca="1" si="193"/>
        <v>-112451736178650.19</v>
      </c>
      <c r="L5835" s="444">
        <f t="shared" ca="1" si="194"/>
        <v>-2.7100868419054696E+16</v>
      </c>
      <c r="M5835" s="460">
        <f t="shared" si="196"/>
        <v>0.05</v>
      </c>
      <c r="N5835" s="464">
        <f t="shared" si="197"/>
        <v>228644</v>
      </c>
    </row>
    <row r="5836" spans="7:14" ht="11.25" customHeight="1" x14ac:dyDescent="0.25">
      <c r="G5836" s="459"/>
      <c r="H5836" s="459">
        <v>5829</v>
      </c>
      <c r="I5836" s="444">
        <f t="shared" ca="1" si="195"/>
        <v>-2.7100868419054696E+16</v>
      </c>
      <c r="J5836" s="444">
        <f t="array" ref="J5836">IFERROR(INDEX('Retirement Calculator'!K:K,MATCH('Lorri 401b'!N5836,'Retirement Calculator'!A:A,0),0),0)</f>
        <v>0</v>
      </c>
      <c r="K5836" s="444">
        <f t="shared" ca="1" si="193"/>
        <v>-112920285079394.56</v>
      </c>
      <c r="L5836" s="444">
        <f t="shared" ca="1" si="194"/>
        <v>-2.7213788704134092E+16</v>
      </c>
      <c r="M5836" s="460">
        <f t="shared" si="196"/>
        <v>0.05</v>
      </c>
      <c r="N5836" s="464">
        <f t="shared" si="197"/>
        <v>228675</v>
      </c>
    </row>
    <row r="5837" spans="7:14" ht="11.25" customHeight="1" x14ac:dyDescent="0.25">
      <c r="G5837" s="459"/>
      <c r="H5837" s="459">
        <v>5830</v>
      </c>
      <c r="I5837" s="444">
        <f t="shared" ca="1" si="195"/>
        <v>-2.7213788704134092E+16</v>
      </c>
      <c r="J5837" s="444">
        <f t="array" ref="J5837">IFERROR(INDEX('Retirement Calculator'!K:K,MATCH('Lorri 401b'!N5837,'Retirement Calculator'!A:A,0),0),0)</f>
        <v>0</v>
      </c>
      <c r="K5837" s="444">
        <f t="shared" ca="1" si="193"/>
        <v>-113390786267225.38</v>
      </c>
      <c r="L5837" s="444">
        <f t="shared" ca="1" si="194"/>
        <v>-2.7327179490401316E+16</v>
      </c>
      <c r="M5837" s="460">
        <f t="shared" si="196"/>
        <v>0.05</v>
      </c>
      <c r="N5837" s="464">
        <f t="shared" si="197"/>
        <v>228703</v>
      </c>
    </row>
    <row r="5838" spans="7:14" ht="11.25" customHeight="1" x14ac:dyDescent="0.25">
      <c r="G5838" s="459"/>
      <c r="H5838" s="459">
        <v>5831</v>
      </c>
      <c r="I5838" s="444">
        <f t="shared" ca="1" si="195"/>
        <v>-2.7327179490401316E+16</v>
      </c>
      <c r="J5838" s="444">
        <f t="array" ref="J5838">IFERROR(INDEX('Retirement Calculator'!K:K,MATCH('Lorri 401b'!N5838,'Retirement Calculator'!A:A,0),0),0)</f>
        <v>0</v>
      </c>
      <c r="K5838" s="444">
        <f t="shared" ca="1" si="193"/>
        <v>-113863247876672.14</v>
      </c>
      <c r="L5838" s="444">
        <f t="shared" ca="1" si="194"/>
        <v>-2.7441042738277988E+16</v>
      </c>
      <c r="M5838" s="460">
        <f t="shared" si="196"/>
        <v>0.05</v>
      </c>
      <c r="N5838" s="464">
        <f t="shared" si="197"/>
        <v>228734</v>
      </c>
    </row>
    <row r="5839" spans="7:14" ht="11.25" customHeight="1" x14ac:dyDescent="0.25">
      <c r="G5839" s="459"/>
      <c r="H5839" s="459">
        <v>5832</v>
      </c>
      <c r="I5839" s="444">
        <f t="shared" ca="1" si="195"/>
        <v>-2.7441042738277988E+16</v>
      </c>
      <c r="J5839" s="444">
        <f t="array" ref="J5839">IFERROR(INDEX('Retirement Calculator'!K:K,MATCH('Lorri 401b'!N5839,'Retirement Calculator'!A:A,0),0),0)</f>
        <v>0</v>
      </c>
      <c r="K5839" s="444">
        <f t="shared" ca="1" si="193"/>
        <v>-114337678076158.28</v>
      </c>
      <c r="L5839" s="444">
        <f t="shared" ca="1" si="194"/>
        <v>-2.7555380416354148E+16</v>
      </c>
      <c r="M5839" s="460">
        <f t="shared" si="196"/>
        <v>0.05</v>
      </c>
      <c r="N5839" s="464">
        <f t="shared" si="197"/>
        <v>228764</v>
      </c>
    </row>
    <row r="5840" spans="7:14" ht="11.25" customHeight="1" x14ac:dyDescent="0.25">
      <c r="G5840" s="459"/>
      <c r="H5840" s="459">
        <v>5833</v>
      </c>
      <c r="I5840" s="444">
        <f t="shared" ca="1" si="195"/>
        <v>-2.7555380416354148E+16</v>
      </c>
      <c r="J5840" s="444">
        <f t="array" ref="J5840">IFERROR(INDEX('Retirement Calculator'!K:K,MATCH('Lorri 401b'!N5840,'Retirement Calculator'!A:A,0),0),0)</f>
        <v>0</v>
      </c>
      <c r="K5840" s="444">
        <f t="shared" ca="1" si="193"/>
        <v>-114814085068142.28</v>
      </c>
      <c r="L5840" s="444">
        <f t="shared" ca="1" si="194"/>
        <v>-2.7670194501422292E+16</v>
      </c>
      <c r="M5840" s="460">
        <f t="shared" si="196"/>
        <v>0.05</v>
      </c>
      <c r="N5840" s="464">
        <f t="shared" si="197"/>
        <v>228795</v>
      </c>
    </row>
    <row r="5841" spans="7:14" ht="11.25" customHeight="1" x14ac:dyDescent="0.25">
      <c r="G5841" s="459"/>
      <c r="H5841" s="459">
        <v>5834</v>
      </c>
      <c r="I5841" s="444">
        <f t="shared" ca="1" si="195"/>
        <v>-2.7670194501422292E+16</v>
      </c>
      <c r="J5841" s="444">
        <f t="array" ref="J5841">IFERROR(INDEX('Retirement Calculator'!K:K,MATCH('Lorri 401b'!N5841,'Retirement Calculator'!A:A,0),0),0)</f>
        <v>0</v>
      </c>
      <c r="K5841" s="444">
        <f t="shared" ca="1" si="193"/>
        <v>-115292477089259.55</v>
      </c>
      <c r="L5841" s="444">
        <f t="shared" ca="1" si="194"/>
        <v>-2.7785486978511552E+16</v>
      </c>
      <c r="M5841" s="460">
        <f t="shared" si="196"/>
        <v>0.05</v>
      </c>
      <c r="N5841" s="464">
        <f t="shared" si="197"/>
        <v>228825</v>
      </c>
    </row>
    <row r="5842" spans="7:14" ht="11.25" customHeight="1" x14ac:dyDescent="0.25">
      <c r="G5842" s="459"/>
      <c r="H5842" s="459">
        <v>5835</v>
      </c>
      <c r="I5842" s="444">
        <f t="shared" ca="1" si="195"/>
        <v>-2.7785486978511552E+16</v>
      </c>
      <c r="J5842" s="444">
        <f t="array" ref="J5842">IFERROR(INDEX('Retirement Calculator'!K:K,MATCH('Lorri 401b'!N5842,'Retirement Calculator'!A:A,0),0),0)</f>
        <v>0</v>
      </c>
      <c r="K5842" s="444">
        <f t="shared" ca="1" si="193"/>
        <v>-115772862410464.8</v>
      </c>
      <c r="L5842" s="444">
        <f t="shared" ca="1" si="194"/>
        <v>-2.7901259840922016E+16</v>
      </c>
      <c r="M5842" s="460">
        <f t="shared" si="196"/>
        <v>0.05</v>
      </c>
      <c r="N5842" s="464">
        <f t="shared" si="197"/>
        <v>228856</v>
      </c>
    </row>
    <row r="5843" spans="7:14" ht="11.25" customHeight="1" x14ac:dyDescent="0.25">
      <c r="G5843" s="459"/>
      <c r="H5843" s="459">
        <v>5836</v>
      </c>
      <c r="I5843" s="444">
        <f t="shared" ca="1" si="195"/>
        <v>-2.7901259840922016E+16</v>
      </c>
      <c r="J5843" s="444">
        <f t="array" ref="J5843">IFERROR(INDEX('Retirement Calculator'!K:K,MATCH('Lorri 401b'!N5843,'Retirement Calculator'!A:A,0),0),0)</f>
        <v>0</v>
      </c>
      <c r="K5843" s="444">
        <f t="shared" ca="1" si="193"/>
        <v>-116255249337175.06</v>
      </c>
      <c r="L5843" s="444">
        <f t="shared" ca="1" si="194"/>
        <v>-2.8017515090259192E+16</v>
      </c>
      <c r="M5843" s="460">
        <f t="shared" si="196"/>
        <v>0.05</v>
      </c>
      <c r="N5843" s="464">
        <f t="shared" si="197"/>
        <v>228887</v>
      </c>
    </row>
    <row r="5844" spans="7:14" ht="11.25" customHeight="1" x14ac:dyDescent="0.25">
      <c r="G5844" s="459"/>
      <c r="H5844" s="459">
        <v>5837</v>
      </c>
      <c r="I5844" s="444">
        <f t="shared" ca="1" si="195"/>
        <v>-2.8017515090259192E+16</v>
      </c>
      <c r="J5844" s="444">
        <f t="array" ref="J5844">IFERROR(INDEX('Retirement Calculator'!K:K,MATCH('Lorri 401b'!N5844,'Retirement Calculator'!A:A,0),0),0)</f>
        <v>0</v>
      </c>
      <c r="K5844" s="444">
        <f t="shared" ca="1" si="193"/>
        <v>-116739646209413.3</v>
      </c>
      <c r="L5844" s="444">
        <f t="shared" ca="1" si="194"/>
        <v>-2.8134254736468604E+16</v>
      </c>
      <c r="M5844" s="460">
        <f t="shared" si="196"/>
        <v>0.05</v>
      </c>
      <c r="N5844" s="464">
        <f t="shared" si="197"/>
        <v>228917</v>
      </c>
    </row>
    <row r="5845" spans="7:14" ht="11.25" customHeight="1" x14ac:dyDescent="0.25">
      <c r="G5845" s="459"/>
      <c r="H5845" s="459">
        <v>5838</v>
      </c>
      <c r="I5845" s="444">
        <f t="shared" ca="1" si="195"/>
        <v>-2.8134254736468604E+16</v>
      </c>
      <c r="J5845" s="444">
        <f t="array" ref="J5845">IFERROR(INDEX('Retirement Calculator'!K:K,MATCH('Lorri 401b'!N5845,'Retirement Calculator'!A:A,0),0),0)</f>
        <v>0</v>
      </c>
      <c r="K5845" s="444">
        <f t="shared" ca="1" si="193"/>
        <v>-117226061401952.52</v>
      </c>
      <c r="L5845" s="444">
        <f t="shared" ca="1" si="194"/>
        <v>-2.8251480797870556E+16</v>
      </c>
      <c r="M5845" s="460">
        <f t="shared" si="196"/>
        <v>0.05</v>
      </c>
      <c r="N5845" s="464">
        <f t="shared" si="197"/>
        <v>228948</v>
      </c>
    </row>
    <row r="5846" spans="7:14" ht="11.25" customHeight="1" x14ac:dyDescent="0.25">
      <c r="G5846" s="459"/>
      <c r="H5846" s="459">
        <v>5839</v>
      </c>
      <c r="I5846" s="444">
        <f t="shared" ca="1" si="195"/>
        <v>-2.8251480797870556E+16</v>
      </c>
      <c r="J5846" s="444">
        <f t="array" ref="J5846">IFERROR(INDEX('Retirement Calculator'!K:K,MATCH('Lorri 401b'!N5846,'Retirement Calculator'!A:A,0),0),0)</f>
        <v>0</v>
      </c>
      <c r="K5846" s="444">
        <f t="shared" ca="1" si="193"/>
        <v>-117714503324460.64</v>
      </c>
      <c r="L5846" s="444">
        <f t="shared" ca="1" si="194"/>
        <v>-2.8369195301195016E+16</v>
      </c>
      <c r="M5846" s="460">
        <f t="shared" si="196"/>
        <v>0.05</v>
      </c>
      <c r="N5846" s="464">
        <f t="shared" si="197"/>
        <v>228978</v>
      </c>
    </row>
    <row r="5847" spans="7:14" ht="11.25" customHeight="1" x14ac:dyDescent="0.25">
      <c r="G5847" s="459"/>
      <c r="H5847" s="459">
        <v>5840</v>
      </c>
      <c r="I5847" s="444">
        <f t="shared" ca="1" si="195"/>
        <v>-2.8369195301195016E+16</v>
      </c>
      <c r="J5847" s="444">
        <f t="array" ref="J5847">IFERROR(INDEX('Retirement Calculator'!K:K,MATCH('Lorri 401b'!N5847,'Retirement Calculator'!A:A,0),0),0)</f>
        <v>0</v>
      </c>
      <c r="K5847" s="444">
        <f t="shared" ca="1" si="193"/>
        <v>-118204980421645.89</v>
      </c>
      <c r="L5847" s="444">
        <f t="shared" ca="1" si="194"/>
        <v>-2.848740028161666E+16</v>
      </c>
      <c r="M5847" s="460">
        <f t="shared" si="196"/>
        <v>0.05</v>
      </c>
      <c r="N5847" s="464">
        <f t="shared" si="197"/>
        <v>229009</v>
      </c>
    </row>
    <row r="5848" spans="7:14" ht="11.25" customHeight="1" x14ac:dyDescent="0.25">
      <c r="G5848" s="459"/>
      <c r="H5848" s="459">
        <v>5841</v>
      </c>
      <c r="I5848" s="444">
        <f t="shared" ca="1" si="195"/>
        <v>-2.848740028161666E+16</v>
      </c>
      <c r="J5848" s="444">
        <f t="array" ref="J5848">IFERROR(INDEX('Retirement Calculator'!K:K,MATCH('Lorri 401b'!N5848,'Retirement Calculator'!A:A,0),0),0)</f>
        <v>0</v>
      </c>
      <c r="K5848" s="444">
        <f t="shared" ca="1" si="193"/>
        <v>-118697501173402.75</v>
      </c>
      <c r="L5848" s="444">
        <f t="shared" ca="1" si="194"/>
        <v>-2.8606097782790064E+16</v>
      </c>
      <c r="M5848" s="460">
        <f t="shared" si="196"/>
        <v>0.05</v>
      </c>
      <c r="N5848" s="464">
        <f t="shared" si="197"/>
        <v>229040</v>
      </c>
    </row>
    <row r="5849" spans="7:14" ht="11.25" customHeight="1" x14ac:dyDescent="0.25">
      <c r="G5849" s="459"/>
      <c r="H5849" s="459">
        <v>5842</v>
      </c>
      <c r="I5849" s="444">
        <f t="shared" ca="1" si="195"/>
        <v>-2.8606097782790064E+16</v>
      </c>
      <c r="J5849" s="444">
        <f t="array" ref="J5849">IFERROR(INDEX('Retirement Calculator'!K:K,MATCH('Lorri 401b'!N5849,'Retirement Calculator'!A:A,0),0),0)</f>
        <v>0</v>
      </c>
      <c r="K5849" s="444">
        <f t="shared" ca="1" si="193"/>
        <v>-119192074094958.59</v>
      </c>
      <c r="L5849" s="444">
        <f t="shared" ca="1" si="194"/>
        <v>-2.8725289856885024E+16</v>
      </c>
      <c r="M5849" s="460">
        <f t="shared" si="196"/>
        <v>0.05</v>
      </c>
      <c r="N5849" s="464">
        <f t="shared" si="197"/>
        <v>229068</v>
      </c>
    </row>
    <row r="5850" spans="7:14" ht="11.25" customHeight="1" x14ac:dyDescent="0.25">
      <c r="G5850" s="459"/>
      <c r="H5850" s="459">
        <v>5843</v>
      </c>
      <c r="I5850" s="444">
        <f t="shared" ca="1" si="195"/>
        <v>-2.8725289856885024E+16</v>
      </c>
      <c r="J5850" s="444">
        <f t="array" ref="J5850">IFERROR(INDEX('Retirement Calculator'!K:K,MATCH('Lorri 401b'!N5850,'Retirement Calculator'!A:A,0),0),0)</f>
        <v>0</v>
      </c>
      <c r="K5850" s="444">
        <f t="shared" ca="1" si="193"/>
        <v>-119688707737020.94</v>
      </c>
      <c r="L5850" s="444">
        <f t="shared" ca="1" si="194"/>
        <v>-2.8844978564622044E+16</v>
      </c>
      <c r="M5850" s="460">
        <f t="shared" si="196"/>
        <v>0.05</v>
      </c>
      <c r="N5850" s="464">
        <f t="shared" si="197"/>
        <v>229099</v>
      </c>
    </row>
    <row r="5851" spans="7:14" ht="11.25" customHeight="1" x14ac:dyDescent="0.25">
      <c r="G5851" s="459"/>
      <c r="H5851" s="459">
        <v>5844</v>
      </c>
      <c r="I5851" s="444">
        <f t="shared" ca="1" si="195"/>
        <v>-2.8844978564622044E+16</v>
      </c>
      <c r="J5851" s="444">
        <f t="array" ref="J5851">IFERROR(INDEX('Retirement Calculator'!K:K,MATCH('Lorri 401b'!N5851,'Retirement Calculator'!A:A,0),0),0)</f>
        <v>0</v>
      </c>
      <c r="K5851" s="444">
        <f t="shared" ca="1" si="193"/>
        <v>-120187410685925.19</v>
      </c>
      <c r="L5851" s="444">
        <f t="shared" ca="1" si="194"/>
        <v>-2.8965165975307968E+16</v>
      </c>
      <c r="M5851" s="460">
        <f t="shared" si="196"/>
        <v>0.05</v>
      </c>
      <c r="N5851" s="464">
        <f t="shared" si="197"/>
        <v>229129</v>
      </c>
    </row>
    <row r="5852" spans="7:14" ht="11.25" customHeight="1" x14ac:dyDescent="0.25">
      <c r="G5852" s="459"/>
      <c r="H5852" s="459">
        <v>5845</v>
      </c>
      <c r="I5852" s="444">
        <f t="shared" ca="1" si="195"/>
        <v>-2.8965165975307968E+16</v>
      </c>
      <c r="J5852" s="444">
        <f t="array" ref="J5852">IFERROR(INDEX('Retirement Calculator'!K:K,MATCH('Lorri 401b'!N5852,'Retirement Calculator'!A:A,0),0),0)</f>
        <v>0</v>
      </c>
      <c r="K5852" s="444">
        <f t="shared" ca="1" si="193"/>
        <v>-120688191563783.2</v>
      </c>
      <c r="L5852" s="444">
        <f t="shared" ca="1" si="194"/>
        <v>-2.9085854166871752E+16</v>
      </c>
      <c r="M5852" s="460">
        <f t="shared" si="196"/>
        <v>0.05</v>
      </c>
      <c r="N5852" s="464">
        <f t="shared" si="197"/>
        <v>229160</v>
      </c>
    </row>
    <row r="5853" spans="7:14" ht="11.25" customHeight="1" x14ac:dyDescent="0.25">
      <c r="G5853" s="459"/>
      <c r="H5853" s="459">
        <v>5846</v>
      </c>
      <c r="I5853" s="444">
        <f t="shared" ca="1" si="195"/>
        <v>-2.9085854166871752E+16</v>
      </c>
      <c r="J5853" s="444">
        <f t="array" ref="J5853">IFERROR(INDEX('Retirement Calculator'!K:K,MATCH('Lorri 401b'!N5853,'Retirement Calculator'!A:A,0),0),0)</f>
        <v>0</v>
      </c>
      <c r="K5853" s="444">
        <f t="shared" ca="1" si="193"/>
        <v>-121191059028632.3</v>
      </c>
      <c r="L5853" s="444">
        <f t="shared" ca="1" si="194"/>
        <v>-2.9207045225900384E+16</v>
      </c>
      <c r="M5853" s="460">
        <f t="shared" si="196"/>
        <v>0.05</v>
      </c>
      <c r="N5853" s="464">
        <f t="shared" si="197"/>
        <v>229190</v>
      </c>
    </row>
    <row r="5854" spans="7:14" ht="11.25" customHeight="1" x14ac:dyDescent="0.25">
      <c r="G5854" s="459"/>
      <c r="H5854" s="459">
        <v>5847</v>
      </c>
      <c r="I5854" s="444">
        <f t="shared" ca="1" si="195"/>
        <v>-2.9207045225900384E+16</v>
      </c>
      <c r="J5854" s="444">
        <f t="array" ref="J5854">IFERROR(INDEX('Retirement Calculator'!K:K,MATCH('Lorri 401b'!N5854,'Retirement Calculator'!A:A,0),0),0)</f>
        <v>0</v>
      </c>
      <c r="K5854" s="444">
        <f t="shared" ca="1" si="193"/>
        <v>-121696021774584.95</v>
      </c>
      <c r="L5854" s="444">
        <f t="shared" ca="1" si="194"/>
        <v>-2.9328741247674968E+16</v>
      </c>
      <c r="M5854" s="460">
        <f t="shared" si="196"/>
        <v>0.05</v>
      </c>
      <c r="N5854" s="464">
        <f t="shared" si="197"/>
        <v>229221</v>
      </c>
    </row>
    <row r="5855" spans="7:14" ht="11.25" customHeight="1" x14ac:dyDescent="0.25">
      <c r="G5855" s="459"/>
      <c r="H5855" s="459">
        <v>5848</v>
      </c>
      <c r="I5855" s="444">
        <f t="shared" ca="1" si="195"/>
        <v>-2.9328741247674968E+16</v>
      </c>
      <c r="J5855" s="444">
        <f t="array" ref="J5855">IFERROR(INDEX('Retirement Calculator'!K:K,MATCH('Lorri 401b'!N5855,'Retirement Calculator'!A:A,0),0),0)</f>
        <v>0</v>
      </c>
      <c r="K5855" s="444">
        <f t="shared" ca="1" si="193"/>
        <v>-122203088531979.03</v>
      </c>
      <c r="L5855" s="444">
        <f t="shared" ca="1" si="194"/>
        <v>-2.9450944336206948E+16</v>
      </c>
      <c r="M5855" s="460">
        <f t="shared" si="196"/>
        <v>0.05</v>
      </c>
      <c r="N5855" s="464">
        <f t="shared" si="197"/>
        <v>229252</v>
      </c>
    </row>
    <row r="5856" spans="7:14" ht="11.25" customHeight="1" x14ac:dyDescent="0.25">
      <c r="G5856" s="459"/>
      <c r="H5856" s="459">
        <v>5849</v>
      </c>
      <c r="I5856" s="444">
        <f t="shared" ca="1" si="195"/>
        <v>-2.9450944336206948E+16</v>
      </c>
      <c r="J5856" s="444">
        <f t="array" ref="J5856">IFERROR(INDEX('Retirement Calculator'!K:K,MATCH('Lorri 401b'!N5856,'Retirement Calculator'!A:A,0),0),0)</f>
        <v>0</v>
      </c>
      <c r="K5856" s="444">
        <f t="shared" ca="1" si="193"/>
        <v>-122712268067528.94</v>
      </c>
      <c r="L5856" s="444">
        <f t="shared" ca="1" si="194"/>
        <v>-2.9573656604274476E+16</v>
      </c>
      <c r="M5856" s="460">
        <f t="shared" si="196"/>
        <v>0.05</v>
      </c>
      <c r="N5856" s="464">
        <f t="shared" si="197"/>
        <v>229282</v>
      </c>
    </row>
    <row r="5857" spans="7:14" ht="11.25" customHeight="1" x14ac:dyDescent="0.25">
      <c r="G5857" s="459"/>
      <c r="H5857" s="459">
        <v>5850</v>
      </c>
      <c r="I5857" s="444">
        <f t="shared" ca="1" si="195"/>
        <v>-2.9573656604274476E+16</v>
      </c>
      <c r="J5857" s="444">
        <f t="array" ref="J5857">IFERROR(INDEX('Retirement Calculator'!K:K,MATCH('Lorri 401b'!N5857,'Retirement Calculator'!A:A,0),0),0)</f>
        <v>0</v>
      </c>
      <c r="K5857" s="444">
        <f t="shared" ca="1" si="193"/>
        <v>-123223569184476.98</v>
      </c>
      <c r="L5857" s="444">
        <f t="shared" ca="1" si="194"/>
        <v>-2.9696880173458952E+16</v>
      </c>
      <c r="M5857" s="460">
        <f t="shared" si="196"/>
        <v>0.05</v>
      </c>
      <c r="N5857" s="464">
        <f t="shared" si="197"/>
        <v>229313</v>
      </c>
    </row>
    <row r="5858" spans="7:14" ht="11.25" customHeight="1" x14ac:dyDescent="0.25">
      <c r="G5858" s="459"/>
      <c r="H5858" s="459">
        <v>5851</v>
      </c>
      <c r="I5858" s="444">
        <f t="shared" ca="1" si="195"/>
        <v>-2.9696880173458952E+16</v>
      </c>
      <c r="J5858" s="444">
        <f t="array" ref="J5858">IFERROR(INDEX('Retirement Calculator'!K:K,MATCH('Lorri 401b'!N5858,'Retirement Calculator'!A:A,0),0),0)</f>
        <v>0</v>
      </c>
      <c r="K5858" s="444">
        <f t="shared" ca="1" si="193"/>
        <v>-123737000722745.63</v>
      </c>
      <c r="L5858" s="444">
        <f t="shared" ca="1" si="194"/>
        <v>-2.9820617174181696E+16</v>
      </c>
      <c r="M5858" s="460">
        <f t="shared" si="196"/>
        <v>0.05</v>
      </c>
      <c r="N5858" s="464">
        <f t="shared" si="197"/>
        <v>229343</v>
      </c>
    </row>
    <row r="5859" spans="7:14" ht="11.25" customHeight="1" x14ac:dyDescent="0.25">
      <c r="G5859" s="459"/>
      <c r="H5859" s="459">
        <v>5852</v>
      </c>
      <c r="I5859" s="444">
        <f t="shared" ca="1" si="195"/>
        <v>-2.9820617174181696E+16</v>
      </c>
      <c r="J5859" s="444">
        <f t="array" ref="J5859">IFERROR(INDEX('Retirement Calculator'!K:K,MATCH('Lorri 401b'!N5859,'Retirement Calculator'!A:A,0),0),0)</f>
        <v>0</v>
      </c>
      <c r="K5859" s="444">
        <f t="shared" ca="1" si="193"/>
        <v>-124252571559090.39</v>
      </c>
      <c r="L5859" s="444">
        <f t="shared" ca="1" si="194"/>
        <v>-2.9944869745740788E+16</v>
      </c>
      <c r="M5859" s="460">
        <f t="shared" si="196"/>
        <v>0.05</v>
      </c>
      <c r="N5859" s="464">
        <f t="shared" si="197"/>
        <v>229374</v>
      </c>
    </row>
    <row r="5860" spans="7:14" ht="11.25" customHeight="1" x14ac:dyDescent="0.25">
      <c r="G5860" s="459"/>
      <c r="H5860" s="459">
        <v>5853</v>
      </c>
      <c r="I5860" s="444">
        <f t="shared" ca="1" si="195"/>
        <v>-2.9944869745740788E+16</v>
      </c>
      <c r="J5860" s="444">
        <f t="array" ref="J5860">IFERROR(INDEX('Retirement Calculator'!K:K,MATCH('Lorri 401b'!N5860,'Retirement Calculator'!A:A,0),0),0)</f>
        <v>0</v>
      </c>
      <c r="K5860" s="444">
        <f t="shared" ca="1" si="193"/>
        <v>-124770290607253.28</v>
      </c>
      <c r="L5860" s="444">
        <f t="shared" ca="1" si="194"/>
        <v>-3.006964003634804E+16</v>
      </c>
      <c r="M5860" s="460">
        <f t="shared" si="196"/>
        <v>0.05</v>
      </c>
      <c r="N5860" s="464">
        <f t="shared" si="197"/>
        <v>229405</v>
      </c>
    </row>
    <row r="5861" spans="7:14" ht="11.25" customHeight="1" x14ac:dyDescent="0.25">
      <c r="G5861" s="459"/>
      <c r="H5861" s="459">
        <v>5854</v>
      </c>
      <c r="I5861" s="444">
        <f t="shared" ca="1" si="195"/>
        <v>-3.006964003634804E+16</v>
      </c>
      <c r="J5861" s="444">
        <f t="array" ref="J5861">IFERROR(INDEX('Retirement Calculator'!K:K,MATCH('Lorri 401b'!N5861,'Retirement Calculator'!A:A,0),0),0)</f>
        <v>0</v>
      </c>
      <c r="K5861" s="444">
        <f t="shared" ca="1" si="193"/>
        <v>-125290166818116.81</v>
      </c>
      <c r="L5861" s="444">
        <f t="shared" ca="1" si="194"/>
        <v>-3.0194930203166156E+16</v>
      </c>
      <c r="M5861" s="460">
        <f t="shared" si="196"/>
        <v>0.05</v>
      </c>
      <c r="N5861" s="464">
        <f t="shared" si="197"/>
        <v>229434</v>
      </c>
    </row>
    <row r="5862" spans="7:14" ht="11.25" customHeight="1" x14ac:dyDescent="0.25">
      <c r="G5862" s="459"/>
      <c r="H5862" s="459">
        <v>5855</v>
      </c>
      <c r="I5862" s="444">
        <f t="shared" ca="1" si="195"/>
        <v>-3.0194930203166156E+16</v>
      </c>
      <c r="J5862" s="444">
        <f t="array" ref="J5862">IFERROR(INDEX('Retirement Calculator'!K:K,MATCH('Lorri 401b'!N5862,'Retirement Calculator'!A:A,0),0),0)</f>
        <v>0</v>
      </c>
      <c r="K5862" s="444">
        <f t="shared" ca="1" si="193"/>
        <v>-125812209179858.98</v>
      </c>
      <c r="L5862" s="444">
        <f t="shared" ca="1" si="194"/>
        <v>-3.0320742412346016E+16</v>
      </c>
      <c r="M5862" s="460">
        <f t="shared" si="196"/>
        <v>0.05</v>
      </c>
      <c r="N5862" s="464">
        <f t="shared" si="197"/>
        <v>229465</v>
      </c>
    </row>
    <row r="5863" spans="7:14" ht="11.25" customHeight="1" x14ac:dyDescent="0.25">
      <c r="G5863" s="459"/>
      <c r="H5863" s="459">
        <v>5856</v>
      </c>
      <c r="I5863" s="444">
        <f t="shared" ca="1" si="195"/>
        <v>-3.0320742412346016E+16</v>
      </c>
      <c r="J5863" s="444">
        <f t="array" ref="J5863">IFERROR(INDEX('Retirement Calculator'!K:K,MATCH('Lorri 401b'!N5863,'Retirement Calculator'!A:A,0),0),0)</f>
        <v>0</v>
      </c>
      <c r="K5863" s="444">
        <f t="shared" ca="1" si="193"/>
        <v>-126336426718108.42</v>
      </c>
      <c r="L5863" s="444">
        <f t="shared" ca="1" si="194"/>
        <v>-3.0447078839064124E+16</v>
      </c>
      <c r="M5863" s="460">
        <f t="shared" si="196"/>
        <v>0.05</v>
      </c>
      <c r="N5863" s="464">
        <f t="shared" si="197"/>
        <v>229495</v>
      </c>
    </row>
    <row r="5864" spans="7:14" ht="11.25" customHeight="1" x14ac:dyDescent="0.25">
      <c r="G5864" s="459"/>
      <c r="H5864" s="459">
        <v>5857</v>
      </c>
      <c r="I5864" s="444">
        <f t="shared" ca="1" si="195"/>
        <v>-3.0447078839064124E+16</v>
      </c>
      <c r="J5864" s="444">
        <f t="array" ref="J5864">IFERROR(INDEX('Retirement Calculator'!K:K,MATCH('Lorri 401b'!N5864,'Retirement Calculator'!A:A,0),0),0)</f>
        <v>0</v>
      </c>
      <c r="K5864" s="444">
        <f t="shared" ca="1" si="193"/>
        <v>-126862828496100.52</v>
      </c>
      <c r="L5864" s="444">
        <f t="shared" ca="1" si="194"/>
        <v>-3.0573941667560224E+16</v>
      </c>
      <c r="M5864" s="460">
        <f t="shared" si="196"/>
        <v>0.05</v>
      </c>
      <c r="N5864" s="464">
        <f t="shared" si="197"/>
        <v>229526</v>
      </c>
    </row>
    <row r="5865" spans="7:14" ht="11.25" customHeight="1" x14ac:dyDescent="0.25">
      <c r="G5865" s="459"/>
      <c r="H5865" s="459">
        <v>5858</v>
      </c>
      <c r="I5865" s="444">
        <f t="shared" ca="1" si="195"/>
        <v>-3.0573941667560224E+16</v>
      </c>
      <c r="J5865" s="444">
        <f t="array" ref="J5865">IFERROR(INDEX('Retirement Calculator'!K:K,MATCH('Lorri 401b'!N5865,'Retirement Calculator'!A:A,0),0),0)</f>
        <v>0</v>
      </c>
      <c r="K5865" s="444">
        <f t="shared" ca="1" si="193"/>
        <v>-127391423614834.28</v>
      </c>
      <c r="L5865" s="444">
        <f t="shared" ca="1" si="194"/>
        <v>-3.070133309117506E+16</v>
      </c>
      <c r="M5865" s="460">
        <f t="shared" si="196"/>
        <v>0.05</v>
      </c>
      <c r="N5865" s="464">
        <f t="shared" si="197"/>
        <v>229556</v>
      </c>
    </row>
    <row r="5866" spans="7:14" ht="11.25" customHeight="1" x14ac:dyDescent="0.25">
      <c r="G5866" s="459"/>
      <c r="H5866" s="459">
        <v>5859</v>
      </c>
      <c r="I5866" s="444">
        <f t="shared" ca="1" si="195"/>
        <v>-3.070133309117506E+16</v>
      </c>
      <c r="J5866" s="444">
        <f t="array" ref="J5866">IFERROR(INDEX('Retirement Calculator'!K:K,MATCH('Lorri 401b'!N5866,'Retirement Calculator'!A:A,0),0),0)</f>
        <v>0</v>
      </c>
      <c r="K5866" s="444">
        <f t="shared" ca="1" si="193"/>
        <v>-127922221213229.39</v>
      </c>
      <c r="L5866" s="444">
        <f t="shared" ca="1" si="194"/>
        <v>-3.0829255312388288E+16</v>
      </c>
      <c r="M5866" s="460">
        <f t="shared" si="196"/>
        <v>0.05</v>
      </c>
      <c r="N5866" s="464">
        <f t="shared" si="197"/>
        <v>229587</v>
      </c>
    </row>
    <row r="5867" spans="7:14" ht="11.25" customHeight="1" x14ac:dyDescent="0.25">
      <c r="G5867" s="459"/>
      <c r="H5867" s="459">
        <v>5860</v>
      </c>
      <c r="I5867" s="444">
        <f t="shared" ca="1" si="195"/>
        <v>-3.0829255312388288E+16</v>
      </c>
      <c r="J5867" s="444">
        <f t="array" ref="J5867">IFERROR(INDEX('Retirement Calculator'!K:K,MATCH('Lorri 401b'!N5867,'Retirement Calculator'!A:A,0),0),0)</f>
        <v>0</v>
      </c>
      <c r="K5867" s="444">
        <f t="shared" ca="1" si="193"/>
        <v>-128455230468284.53</v>
      </c>
      <c r="L5867" s="444">
        <f t="shared" ca="1" si="194"/>
        <v>-3.0957710542856572E+16</v>
      </c>
      <c r="M5867" s="460">
        <f t="shared" si="196"/>
        <v>0.05</v>
      </c>
      <c r="N5867" s="464">
        <f t="shared" si="197"/>
        <v>229618</v>
      </c>
    </row>
    <row r="5868" spans="7:14" ht="11.25" customHeight="1" x14ac:dyDescent="0.25">
      <c r="G5868" s="459"/>
      <c r="H5868" s="459">
        <v>5861</v>
      </c>
      <c r="I5868" s="444">
        <f t="shared" ca="1" si="195"/>
        <v>-3.0957710542856572E+16</v>
      </c>
      <c r="J5868" s="444">
        <f t="array" ref="J5868">IFERROR(INDEX('Retirement Calculator'!K:K,MATCH('Lorri 401b'!N5868,'Retirement Calculator'!A:A,0),0),0)</f>
        <v>0</v>
      </c>
      <c r="K5868" s="444">
        <f t="shared" ca="1" si="193"/>
        <v>-128990460595235.72</v>
      </c>
      <c r="L5868" s="444">
        <f t="shared" ca="1" si="194"/>
        <v>-3.1086701003451808E+16</v>
      </c>
      <c r="M5868" s="460">
        <f t="shared" si="196"/>
        <v>0.05</v>
      </c>
      <c r="N5868" s="464">
        <f t="shared" si="197"/>
        <v>229648</v>
      </c>
    </row>
    <row r="5869" spans="7:14" ht="11.25" customHeight="1" x14ac:dyDescent="0.25">
      <c r="G5869" s="459"/>
      <c r="H5869" s="459">
        <v>5862</v>
      </c>
      <c r="I5869" s="444">
        <f t="shared" ca="1" si="195"/>
        <v>-3.1086701003451808E+16</v>
      </c>
      <c r="J5869" s="444">
        <f t="array" ref="J5869">IFERROR(INDEX('Retirement Calculator'!K:K,MATCH('Lorri 401b'!N5869,'Retirement Calculator'!A:A,0),0),0)</f>
        <v>0</v>
      </c>
      <c r="K5869" s="444">
        <f t="shared" ca="1" si="193"/>
        <v>-129527920847715.88</v>
      </c>
      <c r="L5869" s="444">
        <f t="shared" ca="1" si="194"/>
        <v>-3.1216228924299524E+16</v>
      </c>
      <c r="M5869" s="460">
        <f t="shared" si="196"/>
        <v>0.05</v>
      </c>
      <c r="N5869" s="464">
        <f t="shared" si="197"/>
        <v>229679</v>
      </c>
    </row>
    <row r="5870" spans="7:14" ht="11.25" customHeight="1" x14ac:dyDescent="0.25">
      <c r="G5870" s="459"/>
      <c r="H5870" s="459">
        <v>5863</v>
      </c>
      <c r="I5870" s="444">
        <f t="shared" ca="1" si="195"/>
        <v>-3.1216228924299524E+16</v>
      </c>
      <c r="J5870" s="444">
        <f t="array" ref="J5870">IFERROR(INDEX('Retirement Calculator'!K:K,MATCH('Lorri 401b'!N5870,'Retirement Calculator'!A:A,0),0),0)</f>
        <v>0</v>
      </c>
      <c r="K5870" s="444">
        <f t="shared" ca="1" si="193"/>
        <v>-130067620517914.7</v>
      </c>
      <c r="L5870" s="444">
        <f t="shared" ca="1" si="194"/>
        <v>-3.134629654481744E+16</v>
      </c>
      <c r="M5870" s="460">
        <f t="shared" si="196"/>
        <v>0.05</v>
      </c>
      <c r="N5870" s="464">
        <f t="shared" si="197"/>
        <v>229709</v>
      </c>
    </row>
    <row r="5871" spans="7:14" ht="11.25" customHeight="1" x14ac:dyDescent="0.25">
      <c r="G5871" s="459"/>
      <c r="H5871" s="459">
        <v>5864</v>
      </c>
      <c r="I5871" s="444">
        <f t="shared" ca="1" si="195"/>
        <v>-3.134629654481744E+16</v>
      </c>
      <c r="J5871" s="444">
        <f t="array" ref="J5871">IFERROR(INDEX('Retirement Calculator'!K:K,MATCH('Lorri 401b'!N5871,'Retirement Calculator'!A:A,0),0),0)</f>
        <v>0</v>
      </c>
      <c r="K5871" s="444">
        <f t="shared" ca="1" si="193"/>
        <v>-130609568936739.34</v>
      </c>
      <c r="L5871" s="444">
        <f t="shared" ca="1" si="194"/>
        <v>-3.147690611375418E+16</v>
      </c>
      <c r="M5871" s="460">
        <f t="shared" si="196"/>
        <v>0.05</v>
      </c>
      <c r="N5871" s="464">
        <f t="shared" si="197"/>
        <v>229740</v>
      </c>
    </row>
    <row r="5872" spans="7:14" ht="11.25" customHeight="1" x14ac:dyDescent="0.25">
      <c r="G5872" s="459"/>
      <c r="H5872" s="459">
        <v>5865</v>
      </c>
      <c r="I5872" s="444">
        <f t="shared" ca="1" si="195"/>
        <v>-3.147690611375418E+16</v>
      </c>
      <c r="J5872" s="444">
        <f t="array" ref="J5872">IFERROR(INDEX('Retirement Calculator'!K:K,MATCH('Lorri 401b'!N5872,'Retirement Calculator'!A:A,0),0),0)</f>
        <v>0</v>
      </c>
      <c r="K5872" s="444">
        <f t="shared" ca="1" si="193"/>
        <v>-131153775473975.77</v>
      </c>
      <c r="L5872" s="444">
        <f t="shared" ca="1" si="194"/>
        <v>-3.1608059889228156E+16</v>
      </c>
      <c r="M5872" s="460">
        <f t="shared" si="196"/>
        <v>0.05</v>
      </c>
      <c r="N5872" s="464">
        <f t="shared" si="197"/>
        <v>229771</v>
      </c>
    </row>
    <row r="5873" spans="7:14" ht="11.25" customHeight="1" x14ac:dyDescent="0.25">
      <c r="G5873" s="459"/>
      <c r="H5873" s="459">
        <v>5866</v>
      </c>
      <c r="I5873" s="444">
        <f t="shared" ca="1" si="195"/>
        <v>-3.1608059889228156E+16</v>
      </c>
      <c r="J5873" s="444">
        <f t="array" ref="J5873">IFERROR(INDEX('Retirement Calculator'!K:K,MATCH('Lorri 401b'!N5873,'Retirement Calculator'!A:A,0),0),0)</f>
        <v>0</v>
      </c>
      <c r="K5873" s="444">
        <f t="shared" ref="K5873:K6127" ca="1" si="198">IPMT(M5873/12,1,12,-I5873+J5873,,0)</f>
        <v>-131700249538450.64</v>
      </c>
      <c r="L5873" s="444">
        <f t="shared" ref="L5873:L6127" ca="1" si="199">I5873-J5873+K5873</f>
        <v>-3.1739760138766608E+16</v>
      </c>
      <c r="M5873" s="460">
        <f t="shared" si="196"/>
        <v>0.05</v>
      </c>
      <c r="N5873" s="464">
        <f t="shared" si="197"/>
        <v>229799</v>
      </c>
    </row>
    <row r="5874" spans="7:14" ht="11.25" customHeight="1" x14ac:dyDescent="0.25">
      <c r="G5874" s="459"/>
      <c r="H5874" s="459">
        <v>5867</v>
      </c>
      <c r="I5874" s="444">
        <f t="shared" ref="I5874:I6128" ca="1" si="200">L5873</f>
        <v>-3.1739760138766608E+16</v>
      </c>
      <c r="J5874" s="444">
        <f t="array" ref="J5874">IFERROR(INDEX('Retirement Calculator'!K:K,MATCH('Lorri 401b'!N5874,'Retirement Calculator'!A:A,0),0),0)</f>
        <v>0</v>
      </c>
      <c r="K5874" s="444">
        <f t="shared" ca="1" si="198"/>
        <v>-132249000578194.19</v>
      </c>
      <c r="L5874" s="444">
        <f t="shared" ca="1" si="199"/>
        <v>-3.1872009139344804E+16</v>
      </c>
      <c r="M5874" s="460">
        <f t="shared" ref="M5874:M6128" si="201">M5873</f>
        <v>0.05</v>
      </c>
      <c r="N5874" s="464">
        <f t="shared" ref="N5874:N6128" si="202">EDATE(N5873,1)</f>
        <v>229830</v>
      </c>
    </row>
    <row r="5875" spans="7:14" ht="11.25" customHeight="1" x14ac:dyDescent="0.25">
      <c r="G5875" s="459"/>
      <c r="H5875" s="459">
        <v>5868</v>
      </c>
      <c r="I5875" s="444">
        <f t="shared" ca="1" si="200"/>
        <v>-3.1872009139344804E+16</v>
      </c>
      <c r="J5875" s="444">
        <f t="array" ref="J5875">IFERROR(INDEX('Retirement Calculator'!K:K,MATCH('Lorri 401b'!N5875,'Retirement Calculator'!A:A,0),0),0)</f>
        <v>0</v>
      </c>
      <c r="K5875" s="444">
        <f t="shared" ca="1" si="198"/>
        <v>-132800038080603.36</v>
      </c>
      <c r="L5875" s="444">
        <f t="shared" ca="1" si="199"/>
        <v>-3.2004809177425408E+16</v>
      </c>
      <c r="M5875" s="460">
        <f t="shared" si="201"/>
        <v>0.05</v>
      </c>
      <c r="N5875" s="464">
        <f t="shared" si="202"/>
        <v>229860</v>
      </c>
    </row>
    <row r="5876" spans="7:14" ht="11.25" customHeight="1" x14ac:dyDescent="0.25">
      <c r="G5876" s="459"/>
      <c r="H5876" s="459">
        <v>5869</v>
      </c>
      <c r="I5876" s="444">
        <f t="shared" ca="1" si="200"/>
        <v>-3.2004809177425408E+16</v>
      </c>
      <c r="J5876" s="444">
        <f t="array" ref="J5876">IFERROR(INDEX('Retirement Calculator'!K:K,MATCH('Lorri 401b'!N5876,'Retirement Calculator'!A:A,0),0),0)</f>
        <v>0</v>
      </c>
      <c r="K5876" s="444">
        <f t="shared" ca="1" si="198"/>
        <v>-133353371572605.86</v>
      </c>
      <c r="L5876" s="444">
        <f t="shared" ca="1" si="199"/>
        <v>-3.2138162548998012E+16</v>
      </c>
      <c r="M5876" s="460">
        <f t="shared" si="201"/>
        <v>0.05</v>
      </c>
      <c r="N5876" s="464">
        <f t="shared" si="202"/>
        <v>229891</v>
      </c>
    </row>
    <row r="5877" spans="7:14" ht="11.25" customHeight="1" x14ac:dyDescent="0.25">
      <c r="G5877" s="459"/>
      <c r="H5877" s="459">
        <v>5870</v>
      </c>
      <c r="I5877" s="444">
        <f t="shared" ca="1" si="200"/>
        <v>-3.2138162548998012E+16</v>
      </c>
      <c r="J5877" s="444">
        <f t="array" ref="J5877">IFERROR(INDEX('Retirement Calculator'!K:K,MATCH('Lorri 401b'!N5877,'Retirement Calculator'!A:A,0),0),0)</f>
        <v>0</v>
      </c>
      <c r="K5877" s="444">
        <f t="shared" ca="1" si="198"/>
        <v>-133909010620825.03</v>
      </c>
      <c r="L5877" s="444">
        <f t="shared" ca="1" si="199"/>
        <v>-3.2272071559618836E+16</v>
      </c>
      <c r="M5877" s="460">
        <f t="shared" si="201"/>
        <v>0.05</v>
      </c>
      <c r="N5877" s="464">
        <f t="shared" si="202"/>
        <v>229921</v>
      </c>
    </row>
    <row r="5878" spans="7:14" ht="11.25" customHeight="1" x14ac:dyDescent="0.25">
      <c r="G5878" s="459"/>
      <c r="H5878" s="459">
        <v>5871</v>
      </c>
      <c r="I5878" s="444">
        <f t="shared" ca="1" si="200"/>
        <v>-3.2272071559618836E+16</v>
      </c>
      <c r="J5878" s="444">
        <f t="array" ref="J5878">IFERROR(INDEX('Retirement Calculator'!K:K,MATCH('Lorri 401b'!N5878,'Retirement Calculator'!A:A,0),0),0)</f>
        <v>0</v>
      </c>
      <c r="K5878" s="444">
        <f t="shared" ca="1" si="198"/>
        <v>-134466964831745.14</v>
      </c>
      <c r="L5878" s="444">
        <f t="shared" ca="1" si="199"/>
        <v>-3.240653852445058E+16</v>
      </c>
      <c r="M5878" s="460">
        <f t="shared" si="201"/>
        <v>0.05</v>
      </c>
      <c r="N5878" s="464">
        <f t="shared" si="202"/>
        <v>229952</v>
      </c>
    </row>
    <row r="5879" spans="7:14" ht="11.25" customHeight="1" x14ac:dyDescent="0.25">
      <c r="G5879" s="459"/>
      <c r="H5879" s="459">
        <v>5872</v>
      </c>
      <c r="I5879" s="444">
        <f t="shared" ca="1" si="200"/>
        <v>-3.240653852445058E+16</v>
      </c>
      <c r="J5879" s="444">
        <f t="array" ref="J5879">IFERROR(INDEX('Retirement Calculator'!K:K,MATCH('Lorri 401b'!N5879,'Retirement Calculator'!A:A,0),0),0)</f>
        <v>0</v>
      </c>
      <c r="K5879" s="444">
        <f t="shared" ca="1" si="198"/>
        <v>-135027243851877.42</v>
      </c>
      <c r="L5879" s="444">
        <f t="shared" ca="1" si="199"/>
        <v>-3.2541565768302456E+16</v>
      </c>
      <c r="M5879" s="460">
        <f t="shared" si="201"/>
        <v>0.05</v>
      </c>
      <c r="N5879" s="464">
        <f t="shared" si="202"/>
        <v>229983</v>
      </c>
    </row>
    <row r="5880" spans="7:14" ht="11.25" customHeight="1" x14ac:dyDescent="0.25">
      <c r="G5880" s="459"/>
      <c r="H5880" s="459">
        <v>5873</v>
      </c>
      <c r="I5880" s="444">
        <f t="shared" ca="1" si="200"/>
        <v>-3.2541565768302456E+16</v>
      </c>
      <c r="J5880" s="444">
        <f t="array" ref="J5880">IFERROR(INDEX('Retirement Calculator'!K:K,MATCH('Lorri 401b'!N5880,'Retirement Calculator'!A:A,0),0),0)</f>
        <v>0</v>
      </c>
      <c r="K5880" s="444">
        <f t="shared" ca="1" si="198"/>
        <v>-135589857367926.89</v>
      </c>
      <c r="L5880" s="444">
        <f t="shared" ca="1" si="199"/>
        <v>-3.2677155625670384E+16</v>
      </c>
      <c r="M5880" s="460">
        <f t="shared" si="201"/>
        <v>0.05</v>
      </c>
      <c r="N5880" s="464">
        <f t="shared" si="202"/>
        <v>230013</v>
      </c>
    </row>
    <row r="5881" spans="7:14" ht="11.25" customHeight="1" x14ac:dyDescent="0.25">
      <c r="G5881" s="459"/>
      <c r="H5881" s="459">
        <v>5874</v>
      </c>
      <c r="I5881" s="444">
        <f t="shared" ca="1" si="200"/>
        <v>-3.2677155625670384E+16</v>
      </c>
      <c r="J5881" s="444">
        <f t="array" ref="J5881">IFERROR(INDEX('Retirement Calculator'!K:K,MATCH('Lorri 401b'!N5881,'Retirement Calculator'!A:A,0),0),0)</f>
        <v>0</v>
      </c>
      <c r="K5881" s="444">
        <f t="shared" ca="1" si="198"/>
        <v>-136154815106959.94</v>
      </c>
      <c r="L5881" s="444">
        <f t="shared" ca="1" si="199"/>
        <v>-3.2813310440777344E+16</v>
      </c>
      <c r="M5881" s="460">
        <f t="shared" si="201"/>
        <v>0.05</v>
      </c>
      <c r="N5881" s="464">
        <f t="shared" si="202"/>
        <v>230044</v>
      </c>
    </row>
    <row r="5882" spans="7:14" ht="11.25" customHeight="1" x14ac:dyDescent="0.25">
      <c r="G5882" s="459"/>
      <c r="H5882" s="459">
        <v>5875</v>
      </c>
      <c r="I5882" s="444">
        <f t="shared" ca="1" si="200"/>
        <v>-3.2813310440777344E+16</v>
      </c>
      <c r="J5882" s="444">
        <f t="array" ref="J5882">IFERROR(INDEX('Retirement Calculator'!K:K,MATCH('Lorri 401b'!N5882,'Retirement Calculator'!A:A,0),0),0)</f>
        <v>0</v>
      </c>
      <c r="K5882" s="444">
        <f t="shared" ca="1" si="198"/>
        <v>-136722126836572.27</v>
      </c>
      <c r="L5882" s="444">
        <f t="shared" ca="1" si="199"/>
        <v>-3.2950032567613916E+16</v>
      </c>
      <c r="M5882" s="460">
        <f t="shared" si="201"/>
        <v>0.05</v>
      </c>
      <c r="N5882" s="464">
        <f t="shared" si="202"/>
        <v>230074</v>
      </c>
    </row>
    <row r="5883" spans="7:14" ht="11.25" customHeight="1" x14ac:dyDescent="0.25">
      <c r="G5883" s="459"/>
      <c r="H5883" s="459">
        <v>5876</v>
      </c>
      <c r="I5883" s="444">
        <f t="shared" ca="1" si="200"/>
        <v>-3.2950032567613916E+16</v>
      </c>
      <c r="J5883" s="444">
        <f t="array" ref="J5883">IFERROR(INDEX('Retirement Calculator'!K:K,MATCH('Lorri 401b'!N5883,'Retirement Calculator'!A:A,0),0),0)</f>
        <v>0</v>
      </c>
      <c r="K5883" s="444">
        <f t="shared" ca="1" si="198"/>
        <v>-137291802365057.97</v>
      </c>
      <c r="L5883" s="444">
        <f t="shared" ca="1" si="199"/>
        <v>-3.3087324369978972E+16</v>
      </c>
      <c r="M5883" s="460">
        <f t="shared" si="201"/>
        <v>0.05</v>
      </c>
      <c r="N5883" s="464">
        <f t="shared" si="202"/>
        <v>230105</v>
      </c>
    </row>
    <row r="5884" spans="7:14" ht="11.25" customHeight="1" x14ac:dyDescent="0.25">
      <c r="G5884" s="459"/>
      <c r="H5884" s="459">
        <v>5877</v>
      </c>
      <c r="I5884" s="444">
        <f t="shared" ca="1" si="200"/>
        <v>-3.3087324369978972E+16</v>
      </c>
      <c r="J5884" s="444">
        <f t="array" ref="J5884">IFERROR(INDEX('Retirement Calculator'!K:K,MATCH('Lorri 401b'!N5884,'Retirement Calculator'!A:A,0),0),0)</f>
        <v>0</v>
      </c>
      <c r="K5884" s="444">
        <f t="shared" ca="1" si="198"/>
        <v>-137863851541579.05</v>
      </c>
      <c r="L5884" s="444">
        <f t="shared" ca="1" si="199"/>
        <v>-3.3225188221520552E+16</v>
      </c>
      <c r="M5884" s="460">
        <f t="shared" si="201"/>
        <v>0.05</v>
      </c>
      <c r="N5884" s="464">
        <f t="shared" si="202"/>
        <v>230136</v>
      </c>
    </row>
    <row r="5885" spans="7:14" ht="11.25" customHeight="1" x14ac:dyDescent="0.25">
      <c r="G5885" s="459"/>
      <c r="H5885" s="459">
        <v>5878</v>
      </c>
      <c r="I5885" s="444">
        <f t="shared" ca="1" si="200"/>
        <v>-3.3225188221520552E+16</v>
      </c>
      <c r="J5885" s="444">
        <f t="array" ref="J5885">IFERROR(INDEX('Retirement Calculator'!K:K,MATCH('Lorri 401b'!N5885,'Retirement Calculator'!A:A,0),0),0)</f>
        <v>0</v>
      </c>
      <c r="K5885" s="444">
        <f t="shared" ca="1" si="198"/>
        <v>-138438284256335.63</v>
      </c>
      <c r="L5885" s="444">
        <f t="shared" ca="1" si="199"/>
        <v>-3.3363626505776888E+16</v>
      </c>
      <c r="M5885" s="460">
        <f t="shared" si="201"/>
        <v>0.05</v>
      </c>
      <c r="N5885" s="464">
        <f t="shared" si="202"/>
        <v>230164</v>
      </c>
    </row>
    <row r="5886" spans="7:14" ht="11.25" customHeight="1" x14ac:dyDescent="0.25">
      <c r="G5886" s="459"/>
      <c r="H5886" s="459">
        <v>5879</v>
      </c>
      <c r="I5886" s="444">
        <f t="shared" ca="1" si="200"/>
        <v>-3.3363626505776888E+16</v>
      </c>
      <c r="J5886" s="444">
        <f t="array" ref="J5886">IFERROR(INDEX('Retirement Calculator'!K:K,MATCH('Lorri 401b'!N5886,'Retirement Calculator'!A:A,0),0),0)</f>
        <v>0</v>
      </c>
      <c r="K5886" s="444">
        <f t="shared" ca="1" si="198"/>
        <v>-139015110440737.03</v>
      </c>
      <c r="L5886" s="444">
        <f t="shared" ca="1" si="199"/>
        <v>-3.3502641616217624E+16</v>
      </c>
      <c r="M5886" s="460">
        <f t="shared" si="201"/>
        <v>0.05</v>
      </c>
      <c r="N5886" s="464">
        <f t="shared" si="202"/>
        <v>230195</v>
      </c>
    </row>
    <row r="5887" spans="7:14" ht="11.25" customHeight="1" x14ac:dyDescent="0.25">
      <c r="G5887" s="459"/>
      <c r="H5887" s="459">
        <v>5880</v>
      </c>
      <c r="I5887" s="444">
        <f t="shared" ca="1" si="200"/>
        <v>-3.3502641616217624E+16</v>
      </c>
      <c r="J5887" s="444">
        <f t="array" ref="J5887">IFERROR(INDEX('Retirement Calculator'!K:K,MATCH('Lorri 401b'!N5887,'Retirement Calculator'!A:A,0),0),0)</f>
        <v>0</v>
      </c>
      <c r="K5887" s="444">
        <f t="shared" ca="1" si="198"/>
        <v>-139594340067573.44</v>
      </c>
      <c r="L5887" s="444">
        <f t="shared" ca="1" si="199"/>
        <v>-3.3642235956285196E+16</v>
      </c>
      <c r="M5887" s="460">
        <f t="shared" si="201"/>
        <v>0.05</v>
      </c>
      <c r="N5887" s="464">
        <f t="shared" si="202"/>
        <v>230225</v>
      </c>
    </row>
    <row r="5888" spans="7:14" ht="11.25" customHeight="1" x14ac:dyDescent="0.25">
      <c r="G5888" s="459"/>
      <c r="H5888" s="459">
        <v>5881</v>
      </c>
      <c r="I5888" s="444">
        <f t="shared" ca="1" si="200"/>
        <v>-3.3642235956285196E+16</v>
      </c>
      <c r="J5888" s="444">
        <f t="array" ref="J5888">IFERROR(INDEX('Retirement Calculator'!K:K,MATCH('Lorri 401b'!N5888,'Retirement Calculator'!A:A,0),0),0)</f>
        <v>0</v>
      </c>
      <c r="K5888" s="444">
        <f t="shared" ca="1" si="198"/>
        <v>-140175983151188.31</v>
      </c>
      <c r="L5888" s="444">
        <f t="shared" ca="1" si="199"/>
        <v>-3.3782411939436384E+16</v>
      </c>
      <c r="M5888" s="460">
        <f t="shared" si="201"/>
        <v>0.05</v>
      </c>
      <c r="N5888" s="464">
        <f t="shared" si="202"/>
        <v>230256</v>
      </c>
    </row>
    <row r="5889" spans="7:14" ht="11.25" customHeight="1" x14ac:dyDescent="0.25">
      <c r="G5889" s="459"/>
      <c r="H5889" s="459">
        <v>5882</v>
      </c>
      <c r="I5889" s="444">
        <f t="shared" ca="1" si="200"/>
        <v>-3.3782411939436384E+16</v>
      </c>
      <c r="J5889" s="444">
        <f t="array" ref="J5889">IFERROR(INDEX('Retirement Calculator'!K:K,MATCH('Lorri 401b'!N5889,'Retirement Calculator'!A:A,0),0),0)</f>
        <v>0</v>
      </c>
      <c r="K5889" s="444">
        <f t="shared" ca="1" si="198"/>
        <v>-140760049747651.59</v>
      </c>
      <c r="L5889" s="444">
        <f t="shared" ca="1" si="199"/>
        <v>-3.3923171989184036E+16</v>
      </c>
      <c r="M5889" s="460">
        <f t="shared" si="201"/>
        <v>0.05</v>
      </c>
      <c r="N5889" s="464">
        <f t="shared" si="202"/>
        <v>230286</v>
      </c>
    </row>
    <row r="5890" spans="7:14" ht="11.25" customHeight="1" x14ac:dyDescent="0.25">
      <c r="G5890" s="459"/>
      <c r="H5890" s="459">
        <v>5883</v>
      </c>
      <c r="I5890" s="444">
        <f t="shared" ca="1" si="200"/>
        <v>-3.3923171989184036E+16</v>
      </c>
      <c r="J5890" s="444">
        <f t="array" ref="J5890">IFERROR(INDEX('Retirement Calculator'!K:K,MATCH('Lorri 401b'!N5890,'Retirement Calculator'!A:A,0),0),0)</f>
        <v>0</v>
      </c>
      <c r="K5890" s="444">
        <f t="shared" ca="1" si="198"/>
        <v>-141346549954933.47</v>
      </c>
      <c r="L5890" s="444">
        <f t="shared" ca="1" si="199"/>
        <v>-3.4064518539138968E+16</v>
      </c>
      <c r="M5890" s="460">
        <f t="shared" si="201"/>
        <v>0.05</v>
      </c>
      <c r="N5890" s="464">
        <f t="shared" si="202"/>
        <v>230317</v>
      </c>
    </row>
    <row r="5891" spans="7:14" ht="11.25" customHeight="1" x14ac:dyDescent="0.25">
      <c r="G5891" s="459"/>
      <c r="H5891" s="459">
        <v>5884</v>
      </c>
      <c r="I5891" s="444">
        <f t="shared" ca="1" si="200"/>
        <v>-3.4064518539138968E+16</v>
      </c>
      <c r="J5891" s="444">
        <f t="array" ref="J5891">IFERROR(INDEX('Retirement Calculator'!K:K,MATCH('Lorri 401b'!N5891,'Retirement Calculator'!A:A,0),0),0)</f>
        <v>0</v>
      </c>
      <c r="K5891" s="444">
        <f t="shared" ca="1" si="198"/>
        <v>-141935493913079.03</v>
      </c>
      <c r="L5891" s="444">
        <f t="shared" ca="1" si="199"/>
        <v>-3.4206454033052048E+16</v>
      </c>
      <c r="M5891" s="460">
        <f t="shared" si="201"/>
        <v>0.05</v>
      </c>
      <c r="N5891" s="464">
        <f t="shared" si="202"/>
        <v>230348</v>
      </c>
    </row>
    <row r="5892" spans="7:14" ht="11.25" customHeight="1" x14ac:dyDescent="0.25">
      <c r="G5892" s="459"/>
      <c r="H5892" s="459">
        <v>5885</v>
      </c>
      <c r="I5892" s="444">
        <f t="shared" ca="1" si="200"/>
        <v>-3.4206454033052048E+16</v>
      </c>
      <c r="J5892" s="444">
        <f t="array" ref="J5892">IFERROR(INDEX('Retirement Calculator'!K:K,MATCH('Lorri 401b'!N5892,'Retirement Calculator'!A:A,0),0),0)</f>
        <v>0</v>
      </c>
      <c r="K5892" s="444">
        <f t="shared" ca="1" si="198"/>
        <v>-142526891804383.53</v>
      </c>
      <c r="L5892" s="444">
        <f t="shared" ca="1" si="199"/>
        <v>-3.4348980924856432E+16</v>
      </c>
      <c r="M5892" s="460">
        <f t="shared" si="201"/>
        <v>0.05</v>
      </c>
      <c r="N5892" s="464">
        <f t="shared" si="202"/>
        <v>230378</v>
      </c>
    </row>
    <row r="5893" spans="7:14" ht="11.25" customHeight="1" x14ac:dyDescent="0.25">
      <c r="G5893" s="459"/>
      <c r="H5893" s="459">
        <v>5886</v>
      </c>
      <c r="I5893" s="444">
        <f t="shared" ca="1" si="200"/>
        <v>-3.4348980924856432E+16</v>
      </c>
      <c r="J5893" s="444">
        <f t="array" ref="J5893">IFERROR(INDEX('Retirement Calculator'!K:K,MATCH('Lorri 401b'!N5893,'Retirement Calculator'!A:A,0),0),0)</f>
        <v>0</v>
      </c>
      <c r="K5893" s="444">
        <f t="shared" ca="1" si="198"/>
        <v>-143120753853568.47</v>
      </c>
      <c r="L5893" s="444">
        <f t="shared" ca="1" si="199"/>
        <v>-3.449210167871E+16</v>
      </c>
      <c r="M5893" s="460">
        <f t="shared" si="201"/>
        <v>0.05</v>
      </c>
      <c r="N5893" s="464">
        <f t="shared" si="202"/>
        <v>230409</v>
      </c>
    </row>
    <row r="5894" spans="7:14" ht="11.25" customHeight="1" x14ac:dyDescent="0.25">
      <c r="G5894" s="459"/>
      <c r="H5894" s="459">
        <v>5887</v>
      </c>
      <c r="I5894" s="444">
        <f t="shared" ca="1" si="200"/>
        <v>-3.449210167871E+16</v>
      </c>
      <c r="J5894" s="444">
        <f t="array" ref="J5894">IFERROR(INDEX('Retirement Calculator'!K:K,MATCH('Lorri 401b'!N5894,'Retirement Calculator'!A:A,0),0),0)</f>
        <v>0</v>
      </c>
      <c r="K5894" s="444">
        <f t="shared" ca="1" si="198"/>
        <v>-143717090327958.34</v>
      </c>
      <c r="L5894" s="444">
        <f t="shared" ca="1" si="199"/>
        <v>-3.463581876903796E+16</v>
      </c>
      <c r="M5894" s="460">
        <f t="shared" si="201"/>
        <v>0.05</v>
      </c>
      <c r="N5894" s="464">
        <f t="shared" si="202"/>
        <v>230439</v>
      </c>
    </row>
    <row r="5895" spans="7:14" ht="11.25" customHeight="1" x14ac:dyDescent="0.25">
      <c r="G5895" s="459"/>
      <c r="H5895" s="459">
        <v>5888</v>
      </c>
      <c r="I5895" s="444">
        <f t="shared" ca="1" si="200"/>
        <v>-3.463581876903796E+16</v>
      </c>
      <c r="J5895" s="444">
        <f t="array" ref="J5895">IFERROR(INDEX('Retirement Calculator'!K:K,MATCH('Lorri 401b'!N5895,'Retirement Calculator'!A:A,0),0),0)</f>
        <v>0</v>
      </c>
      <c r="K5895" s="444">
        <f t="shared" ca="1" si="198"/>
        <v>-144315911537658.16</v>
      </c>
      <c r="L5895" s="444">
        <f t="shared" ca="1" si="199"/>
        <v>-3.478013468057562E+16</v>
      </c>
      <c r="M5895" s="460">
        <f t="shared" si="201"/>
        <v>0.05</v>
      </c>
      <c r="N5895" s="464">
        <f t="shared" si="202"/>
        <v>230470</v>
      </c>
    </row>
    <row r="5896" spans="7:14" ht="11.25" customHeight="1" x14ac:dyDescent="0.25">
      <c r="G5896" s="459"/>
      <c r="H5896" s="459">
        <v>5889</v>
      </c>
      <c r="I5896" s="444">
        <f t="shared" ca="1" si="200"/>
        <v>-3.478013468057562E+16</v>
      </c>
      <c r="J5896" s="444">
        <f t="array" ref="J5896">IFERROR(INDEX('Retirement Calculator'!K:K,MATCH('Lorri 401b'!N5896,'Retirement Calculator'!A:A,0),0),0)</f>
        <v>0</v>
      </c>
      <c r="K5896" s="444">
        <f t="shared" ca="1" si="198"/>
        <v>-144917227835731.72</v>
      </c>
      <c r="L5896" s="444">
        <f t="shared" ca="1" si="199"/>
        <v>-3.4925051908411352E+16</v>
      </c>
      <c r="M5896" s="460">
        <f t="shared" si="201"/>
        <v>0.05</v>
      </c>
      <c r="N5896" s="464">
        <f t="shared" si="202"/>
        <v>230501</v>
      </c>
    </row>
    <row r="5897" spans="7:14" ht="11.25" customHeight="1" x14ac:dyDescent="0.25">
      <c r="G5897" s="459"/>
      <c r="H5897" s="459">
        <v>5890</v>
      </c>
      <c r="I5897" s="444">
        <f t="shared" ca="1" si="200"/>
        <v>-3.4925051908411352E+16</v>
      </c>
      <c r="J5897" s="444">
        <f t="array" ref="J5897">IFERROR(INDEX('Retirement Calculator'!K:K,MATCH('Lorri 401b'!N5897,'Retirement Calculator'!A:A,0),0),0)</f>
        <v>0</v>
      </c>
      <c r="K5897" s="444">
        <f t="shared" ca="1" si="198"/>
        <v>-145521049618380.63</v>
      </c>
      <c r="L5897" s="444">
        <f t="shared" ca="1" si="199"/>
        <v>-3.5070572958029732E+16</v>
      </c>
      <c r="M5897" s="460">
        <f t="shared" si="201"/>
        <v>0.05</v>
      </c>
      <c r="N5897" s="464">
        <f t="shared" si="202"/>
        <v>230529</v>
      </c>
    </row>
    <row r="5898" spans="7:14" ht="11.25" customHeight="1" x14ac:dyDescent="0.25">
      <c r="G5898" s="459"/>
      <c r="H5898" s="459">
        <v>5891</v>
      </c>
      <c r="I5898" s="444">
        <f t="shared" ca="1" si="200"/>
        <v>-3.5070572958029732E+16</v>
      </c>
      <c r="J5898" s="444">
        <f t="array" ref="J5898">IFERROR(INDEX('Retirement Calculator'!K:K,MATCH('Lorri 401b'!N5898,'Retirement Calculator'!A:A,0),0),0)</f>
        <v>0</v>
      </c>
      <c r="K5898" s="444">
        <f t="shared" ca="1" si="198"/>
        <v>-146127387325123.88</v>
      </c>
      <c r="L5898" s="444">
        <f t="shared" ca="1" si="199"/>
        <v>-3.5216700345354856E+16</v>
      </c>
      <c r="M5898" s="460">
        <f t="shared" si="201"/>
        <v>0.05</v>
      </c>
      <c r="N5898" s="464">
        <f t="shared" si="202"/>
        <v>230560</v>
      </c>
    </row>
    <row r="5899" spans="7:14" ht="11.25" customHeight="1" x14ac:dyDescent="0.25">
      <c r="G5899" s="459"/>
      <c r="H5899" s="459">
        <v>5892</v>
      </c>
      <c r="I5899" s="444">
        <f t="shared" ca="1" si="200"/>
        <v>-3.5216700345354856E+16</v>
      </c>
      <c r="J5899" s="444">
        <f t="array" ref="J5899">IFERROR(INDEX('Retirement Calculator'!K:K,MATCH('Lorri 401b'!N5899,'Retirement Calculator'!A:A,0),0),0)</f>
        <v>0</v>
      </c>
      <c r="K5899" s="444">
        <f t="shared" ca="1" si="198"/>
        <v>-146736251438978.56</v>
      </c>
      <c r="L5899" s="444">
        <f t="shared" ca="1" si="199"/>
        <v>-3.5363436596793836E+16</v>
      </c>
      <c r="M5899" s="460">
        <f t="shared" si="201"/>
        <v>0.05</v>
      </c>
      <c r="N5899" s="464">
        <f t="shared" si="202"/>
        <v>230590</v>
      </c>
    </row>
    <row r="5900" spans="7:14" ht="11.25" customHeight="1" x14ac:dyDescent="0.25">
      <c r="G5900" s="459"/>
      <c r="H5900" s="459">
        <v>5893</v>
      </c>
      <c r="I5900" s="444">
        <f t="shared" ca="1" si="200"/>
        <v>-3.5363436596793836E+16</v>
      </c>
      <c r="J5900" s="444">
        <f t="array" ref="J5900">IFERROR(INDEX('Retirement Calculator'!K:K,MATCH('Lorri 401b'!N5900,'Retirement Calculator'!A:A,0),0),0)</f>
        <v>0</v>
      </c>
      <c r="K5900" s="444">
        <f t="shared" ca="1" si="198"/>
        <v>-147347652486641</v>
      </c>
      <c r="L5900" s="444">
        <f t="shared" ca="1" si="199"/>
        <v>-3.5510784249280476E+16</v>
      </c>
      <c r="M5900" s="460">
        <f t="shared" si="201"/>
        <v>0.05</v>
      </c>
      <c r="N5900" s="464">
        <f t="shared" si="202"/>
        <v>230621</v>
      </c>
    </row>
    <row r="5901" spans="7:14" ht="11.25" customHeight="1" x14ac:dyDescent="0.25">
      <c r="G5901" s="459"/>
      <c r="H5901" s="459">
        <v>5894</v>
      </c>
      <c r="I5901" s="444">
        <f t="shared" ca="1" si="200"/>
        <v>-3.5510784249280476E+16</v>
      </c>
      <c r="J5901" s="444">
        <f t="array" ref="J5901">IFERROR(INDEX('Retirement Calculator'!K:K,MATCH('Lorri 401b'!N5901,'Retirement Calculator'!A:A,0),0),0)</f>
        <v>0</v>
      </c>
      <c r="K5901" s="444">
        <f t="shared" ca="1" si="198"/>
        <v>-147961601038668.66</v>
      </c>
      <c r="L5901" s="444">
        <f t="shared" ca="1" si="199"/>
        <v>-3.5658745850319144E+16</v>
      </c>
      <c r="M5901" s="460">
        <f t="shared" si="201"/>
        <v>0.05</v>
      </c>
      <c r="N5901" s="464">
        <f t="shared" si="202"/>
        <v>230651</v>
      </c>
    </row>
    <row r="5902" spans="7:14" ht="11.25" customHeight="1" x14ac:dyDescent="0.25">
      <c r="G5902" s="459"/>
      <c r="H5902" s="459">
        <v>5895</v>
      </c>
      <c r="I5902" s="444">
        <f t="shared" ca="1" si="200"/>
        <v>-3.5658745850319144E+16</v>
      </c>
      <c r="J5902" s="444">
        <f t="array" ref="J5902">IFERROR(INDEX('Retirement Calculator'!K:K,MATCH('Lorri 401b'!N5902,'Retirement Calculator'!A:A,0),0),0)</f>
        <v>0</v>
      </c>
      <c r="K5902" s="444">
        <f t="shared" ca="1" si="198"/>
        <v>-148578107709663.09</v>
      </c>
      <c r="L5902" s="444">
        <f t="shared" ca="1" si="199"/>
        <v>-3.5807323958028808E+16</v>
      </c>
      <c r="M5902" s="460">
        <f t="shared" si="201"/>
        <v>0.05</v>
      </c>
      <c r="N5902" s="464">
        <f t="shared" si="202"/>
        <v>230682</v>
      </c>
    </row>
    <row r="5903" spans="7:14" ht="11.25" customHeight="1" x14ac:dyDescent="0.25">
      <c r="G5903" s="459"/>
      <c r="H5903" s="459">
        <v>5896</v>
      </c>
      <c r="I5903" s="444">
        <f t="shared" ca="1" si="200"/>
        <v>-3.5807323958028808E+16</v>
      </c>
      <c r="J5903" s="444">
        <f t="array" ref="J5903">IFERROR(INDEX('Retirement Calculator'!K:K,MATCH('Lorri 401b'!N5903,'Retirement Calculator'!A:A,0),0),0)</f>
        <v>0</v>
      </c>
      <c r="K5903" s="444">
        <f t="shared" ca="1" si="198"/>
        <v>-149197183158453.38</v>
      </c>
      <c r="L5903" s="444">
        <f t="shared" ca="1" si="199"/>
        <v>-3.595652114118726E+16</v>
      </c>
      <c r="M5903" s="460">
        <f t="shared" si="201"/>
        <v>0.05</v>
      </c>
      <c r="N5903" s="464">
        <f t="shared" si="202"/>
        <v>230713</v>
      </c>
    </row>
    <row r="5904" spans="7:14" ht="11.25" customHeight="1" x14ac:dyDescent="0.25">
      <c r="G5904" s="459"/>
      <c r="H5904" s="459">
        <v>5897</v>
      </c>
      <c r="I5904" s="444">
        <f t="shared" ca="1" si="200"/>
        <v>-3.595652114118726E+16</v>
      </c>
      <c r="J5904" s="444">
        <f t="array" ref="J5904">IFERROR(INDEX('Retirement Calculator'!K:K,MATCH('Lorri 401b'!N5904,'Retirement Calculator'!A:A,0),0),0)</f>
        <v>0</v>
      </c>
      <c r="K5904" s="444">
        <f t="shared" ca="1" si="198"/>
        <v>-149818838088280.25</v>
      </c>
      <c r="L5904" s="444">
        <f t="shared" ca="1" si="199"/>
        <v>-3.6106339979275544E+16</v>
      </c>
      <c r="M5904" s="460">
        <f t="shared" si="201"/>
        <v>0.05</v>
      </c>
      <c r="N5904" s="464">
        <f t="shared" si="202"/>
        <v>230743</v>
      </c>
    </row>
    <row r="5905" spans="7:14" ht="11.25" customHeight="1" x14ac:dyDescent="0.25">
      <c r="G5905" s="459"/>
      <c r="H5905" s="459">
        <v>5898</v>
      </c>
      <c r="I5905" s="444">
        <f t="shared" ca="1" si="200"/>
        <v>-3.6106339979275544E+16</v>
      </c>
      <c r="J5905" s="444">
        <f t="array" ref="J5905">IFERROR(INDEX('Retirement Calculator'!K:K,MATCH('Lorri 401b'!N5905,'Retirement Calculator'!A:A,0),0),0)</f>
        <v>0</v>
      </c>
      <c r="K5905" s="444">
        <f t="shared" ca="1" si="198"/>
        <v>-150443083246981.44</v>
      </c>
      <c r="L5905" s="444">
        <f t="shared" ca="1" si="199"/>
        <v>-3.6256783062522528E+16</v>
      </c>
      <c r="M5905" s="460">
        <f t="shared" si="201"/>
        <v>0.05</v>
      </c>
      <c r="N5905" s="464">
        <f t="shared" si="202"/>
        <v>230774</v>
      </c>
    </row>
    <row r="5906" spans="7:14" ht="11.25" customHeight="1" x14ac:dyDescent="0.25">
      <c r="G5906" s="459"/>
      <c r="H5906" s="459">
        <v>5899</v>
      </c>
      <c r="I5906" s="444">
        <f t="shared" ca="1" si="200"/>
        <v>-3.6256783062522528E+16</v>
      </c>
      <c r="J5906" s="444">
        <f t="array" ref="J5906">IFERROR(INDEX('Retirement Calculator'!K:K,MATCH('Lorri 401b'!N5906,'Retirement Calculator'!A:A,0),0),0)</f>
        <v>0</v>
      </c>
      <c r="K5906" s="444">
        <f t="shared" ca="1" si="198"/>
        <v>-151069929427177.19</v>
      </c>
      <c r="L5906" s="444">
        <f t="shared" ca="1" si="199"/>
        <v>-3.6407852991949704E+16</v>
      </c>
      <c r="M5906" s="460">
        <f t="shared" si="201"/>
        <v>0.05</v>
      </c>
      <c r="N5906" s="464">
        <f t="shared" si="202"/>
        <v>230804</v>
      </c>
    </row>
    <row r="5907" spans="7:14" ht="11.25" customHeight="1" x14ac:dyDescent="0.25">
      <c r="G5907" s="459"/>
      <c r="H5907" s="459">
        <v>5900</v>
      </c>
      <c r="I5907" s="444">
        <f t="shared" ca="1" si="200"/>
        <v>-3.6407852991949704E+16</v>
      </c>
      <c r="J5907" s="444">
        <f t="array" ref="J5907">IFERROR(INDEX('Retirement Calculator'!K:K,MATCH('Lorri 401b'!N5907,'Retirement Calculator'!A:A,0),0),0)</f>
        <v>0</v>
      </c>
      <c r="K5907" s="444">
        <f t="shared" ca="1" si="198"/>
        <v>-151699387466457.09</v>
      </c>
      <c r="L5907" s="444">
        <f t="shared" ca="1" si="199"/>
        <v>-3.655955237941616E+16</v>
      </c>
      <c r="M5907" s="460">
        <f t="shared" si="201"/>
        <v>0.05</v>
      </c>
      <c r="N5907" s="464">
        <f t="shared" si="202"/>
        <v>230835</v>
      </c>
    </row>
    <row r="5908" spans="7:14" ht="11.25" customHeight="1" x14ac:dyDescent="0.25">
      <c r="G5908" s="459"/>
      <c r="H5908" s="459">
        <v>5901</v>
      </c>
      <c r="I5908" s="444">
        <f t="shared" ca="1" si="200"/>
        <v>-3.655955237941616E+16</v>
      </c>
      <c r="J5908" s="444">
        <f t="array" ref="J5908">IFERROR(INDEX('Retirement Calculator'!K:K,MATCH('Lorri 401b'!N5908,'Retirement Calculator'!A:A,0),0),0)</f>
        <v>0</v>
      </c>
      <c r="K5908" s="444">
        <f t="shared" ca="1" si="198"/>
        <v>-152331468247567.34</v>
      </c>
      <c r="L5908" s="444">
        <f t="shared" ca="1" si="199"/>
        <v>-3.6711883847663728E+16</v>
      </c>
      <c r="M5908" s="460">
        <f t="shared" si="201"/>
        <v>0.05</v>
      </c>
      <c r="N5908" s="464">
        <f t="shared" si="202"/>
        <v>230866</v>
      </c>
    </row>
    <row r="5909" spans="7:14" ht="11.25" customHeight="1" x14ac:dyDescent="0.25">
      <c r="G5909" s="459"/>
      <c r="H5909" s="459">
        <v>5902</v>
      </c>
      <c r="I5909" s="444">
        <f t="shared" ca="1" si="200"/>
        <v>-3.6711883847663728E+16</v>
      </c>
      <c r="J5909" s="444">
        <f t="array" ref="J5909">IFERROR(INDEX('Retirement Calculator'!K:K,MATCH('Lorri 401b'!N5909,'Retirement Calculator'!A:A,0),0),0)</f>
        <v>0</v>
      </c>
      <c r="K5909" s="444">
        <f t="shared" ca="1" si="198"/>
        <v>-152966182698598.88</v>
      </c>
      <c r="L5909" s="444">
        <f t="shared" ca="1" si="199"/>
        <v>-3.6864850030362328E+16</v>
      </c>
      <c r="M5909" s="460">
        <f t="shared" si="201"/>
        <v>0.05</v>
      </c>
      <c r="N5909" s="464">
        <f t="shared" si="202"/>
        <v>230895</v>
      </c>
    </row>
    <row r="5910" spans="7:14" ht="11.25" customHeight="1" x14ac:dyDescent="0.25">
      <c r="G5910" s="459"/>
      <c r="H5910" s="459">
        <v>5903</v>
      </c>
      <c r="I5910" s="444">
        <f t="shared" ca="1" si="200"/>
        <v>-3.6864850030362328E+16</v>
      </c>
      <c r="J5910" s="444">
        <f t="array" ref="J5910">IFERROR(INDEX('Retirement Calculator'!K:K,MATCH('Lorri 401b'!N5910,'Retirement Calculator'!A:A,0),0),0)</f>
        <v>0</v>
      </c>
      <c r="K5910" s="444">
        <f t="shared" ca="1" si="198"/>
        <v>-153603541793176.38</v>
      </c>
      <c r="L5910" s="444">
        <f t="shared" ca="1" si="199"/>
        <v>-3.7018453572155504E+16</v>
      </c>
      <c r="M5910" s="460">
        <f t="shared" si="201"/>
        <v>0.05</v>
      </c>
      <c r="N5910" s="464">
        <f t="shared" si="202"/>
        <v>230926</v>
      </c>
    </row>
    <row r="5911" spans="7:14" ht="11.25" customHeight="1" x14ac:dyDescent="0.25">
      <c r="G5911" s="459"/>
      <c r="H5911" s="459">
        <v>5904</v>
      </c>
      <c r="I5911" s="444">
        <f t="shared" ca="1" si="200"/>
        <v>-3.7018453572155504E+16</v>
      </c>
      <c r="J5911" s="444">
        <f t="array" ref="J5911">IFERROR(INDEX('Retirement Calculator'!K:K,MATCH('Lorri 401b'!N5911,'Retirement Calculator'!A:A,0),0),0)</f>
        <v>0</v>
      </c>
      <c r="K5911" s="444">
        <f t="shared" ca="1" si="198"/>
        <v>-154243556550647.94</v>
      </c>
      <c r="L5911" s="444">
        <f t="shared" ca="1" si="199"/>
        <v>-3.7172697128706152E+16</v>
      </c>
      <c r="M5911" s="460">
        <f t="shared" si="201"/>
        <v>0.05</v>
      </c>
      <c r="N5911" s="464">
        <f t="shared" si="202"/>
        <v>230956</v>
      </c>
    </row>
    <row r="5912" spans="7:14" ht="11.25" customHeight="1" x14ac:dyDescent="0.25">
      <c r="G5912" s="459"/>
      <c r="H5912" s="459">
        <v>5905</v>
      </c>
      <c r="I5912" s="444">
        <f t="shared" ca="1" si="200"/>
        <v>-3.7172697128706152E+16</v>
      </c>
      <c r="J5912" s="444">
        <f t="array" ref="J5912">IFERROR(INDEX('Retirement Calculator'!K:K,MATCH('Lorri 401b'!N5912,'Retirement Calculator'!A:A,0),0),0)</f>
        <v>0</v>
      </c>
      <c r="K5912" s="444">
        <f t="shared" ca="1" si="198"/>
        <v>-154886238036275.63</v>
      </c>
      <c r="L5912" s="444">
        <f t="shared" ca="1" si="199"/>
        <v>-3.7327583366742424E+16</v>
      </c>
      <c r="M5912" s="460">
        <f t="shared" si="201"/>
        <v>0.05</v>
      </c>
      <c r="N5912" s="464">
        <f t="shared" si="202"/>
        <v>230987</v>
      </c>
    </row>
    <row r="5913" spans="7:14" ht="11.25" customHeight="1" x14ac:dyDescent="0.25">
      <c r="G5913" s="459"/>
      <c r="H5913" s="459">
        <v>5906</v>
      </c>
      <c r="I5913" s="444">
        <f t="shared" ca="1" si="200"/>
        <v>-3.7327583366742424E+16</v>
      </c>
      <c r="J5913" s="444">
        <f t="array" ref="J5913">IFERROR(INDEX('Retirement Calculator'!K:K,MATCH('Lorri 401b'!N5913,'Retirement Calculator'!A:A,0),0),0)</f>
        <v>0</v>
      </c>
      <c r="K5913" s="444">
        <f t="shared" ca="1" si="198"/>
        <v>-155531597361426.75</v>
      </c>
      <c r="L5913" s="444">
        <f t="shared" ca="1" si="199"/>
        <v>-3.7483114964103848E+16</v>
      </c>
      <c r="M5913" s="460">
        <f t="shared" si="201"/>
        <v>0.05</v>
      </c>
      <c r="N5913" s="464">
        <f t="shared" si="202"/>
        <v>231017</v>
      </c>
    </row>
    <row r="5914" spans="7:14" ht="11.25" customHeight="1" x14ac:dyDescent="0.25">
      <c r="G5914" s="459"/>
      <c r="H5914" s="459">
        <v>5907</v>
      </c>
      <c r="I5914" s="444">
        <f t="shared" ca="1" si="200"/>
        <v>-3.7483114964103848E+16</v>
      </c>
      <c r="J5914" s="444">
        <f t="array" ref="J5914">IFERROR(INDEX('Retirement Calculator'!K:K,MATCH('Lorri 401b'!N5914,'Retirement Calculator'!A:A,0),0),0)</f>
        <v>0</v>
      </c>
      <c r="K5914" s="444">
        <f t="shared" ca="1" si="198"/>
        <v>-156179645683766.03</v>
      </c>
      <c r="L5914" s="444">
        <f t="shared" ca="1" si="199"/>
        <v>-3.7639294609787616E+16</v>
      </c>
      <c r="M5914" s="460">
        <f t="shared" si="201"/>
        <v>0.05</v>
      </c>
      <c r="N5914" s="464">
        <f t="shared" si="202"/>
        <v>231048</v>
      </c>
    </row>
    <row r="5915" spans="7:14" ht="11.25" customHeight="1" x14ac:dyDescent="0.25">
      <c r="G5915" s="459"/>
      <c r="H5915" s="459">
        <v>5908</v>
      </c>
      <c r="I5915" s="444">
        <f t="shared" ca="1" si="200"/>
        <v>-3.7639294609787616E+16</v>
      </c>
      <c r="J5915" s="444">
        <f t="array" ref="J5915">IFERROR(INDEX('Retirement Calculator'!K:K,MATCH('Lorri 401b'!N5915,'Retirement Calculator'!A:A,0),0),0)</f>
        <v>0</v>
      </c>
      <c r="K5915" s="444">
        <f t="shared" ca="1" si="198"/>
        <v>-156830394207448.41</v>
      </c>
      <c r="L5915" s="444">
        <f t="shared" ca="1" si="199"/>
        <v>-3.7796125003995064E+16</v>
      </c>
      <c r="M5915" s="460">
        <f t="shared" si="201"/>
        <v>0.05</v>
      </c>
      <c r="N5915" s="464">
        <f t="shared" si="202"/>
        <v>231079</v>
      </c>
    </row>
    <row r="5916" spans="7:14" ht="11.25" customHeight="1" x14ac:dyDescent="0.25">
      <c r="G5916" s="459"/>
      <c r="H5916" s="459">
        <v>5909</v>
      </c>
      <c r="I5916" s="444">
        <f t="shared" ca="1" si="200"/>
        <v>-3.7796125003995064E+16</v>
      </c>
      <c r="J5916" s="444">
        <f t="array" ref="J5916">IFERROR(INDEX('Retirement Calculator'!K:K,MATCH('Lorri 401b'!N5916,'Retirement Calculator'!A:A,0),0),0)</f>
        <v>0</v>
      </c>
      <c r="K5916" s="444">
        <f t="shared" ca="1" si="198"/>
        <v>-157483854183312.75</v>
      </c>
      <c r="L5916" s="444">
        <f t="shared" ca="1" si="199"/>
        <v>-3.7953608858178376E+16</v>
      </c>
      <c r="M5916" s="460">
        <f t="shared" si="201"/>
        <v>0.05</v>
      </c>
      <c r="N5916" s="464">
        <f t="shared" si="202"/>
        <v>231109</v>
      </c>
    </row>
    <row r="5917" spans="7:14" ht="11.25" customHeight="1" x14ac:dyDescent="0.25">
      <c r="G5917" s="459"/>
      <c r="H5917" s="459">
        <v>5910</v>
      </c>
      <c r="I5917" s="444">
        <f t="shared" ca="1" si="200"/>
        <v>-3.7953608858178376E+16</v>
      </c>
      <c r="J5917" s="444">
        <f t="array" ref="J5917">IFERROR(INDEX('Retirement Calculator'!K:K,MATCH('Lorri 401b'!N5917,'Retirement Calculator'!A:A,0),0),0)</f>
        <v>0</v>
      </c>
      <c r="K5917" s="444">
        <f t="shared" ca="1" si="198"/>
        <v>-158140036909076.56</v>
      </c>
      <c r="L5917" s="444">
        <f t="shared" ca="1" si="199"/>
        <v>-3.8111748895087456E+16</v>
      </c>
      <c r="M5917" s="460">
        <f t="shared" si="201"/>
        <v>0.05</v>
      </c>
      <c r="N5917" s="464">
        <f t="shared" si="202"/>
        <v>231140</v>
      </c>
    </row>
    <row r="5918" spans="7:14" ht="11.25" customHeight="1" x14ac:dyDescent="0.25">
      <c r="G5918" s="459"/>
      <c r="H5918" s="459">
        <v>5911</v>
      </c>
      <c r="I5918" s="444">
        <f t="shared" ca="1" si="200"/>
        <v>-3.8111748895087456E+16</v>
      </c>
      <c r="J5918" s="444">
        <f t="array" ref="J5918">IFERROR(INDEX('Retirement Calculator'!K:K,MATCH('Lorri 401b'!N5918,'Retirement Calculator'!A:A,0),0),0)</f>
        <v>0</v>
      </c>
      <c r="K5918" s="444">
        <f t="shared" ca="1" si="198"/>
        <v>-158798953729531.06</v>
      </c>
      <c r="L5918" s="444">
        <f t="shared" ca="1" si="199"/>
        <v>-3.8270547848816984E+16</v>
      </c>
      <c r="M5918" s="460">
        <f t="shared" si="201"/>
        <v>0.05</v>
      </c>
      <c r="N5918" s="464">
        <f t="shared" si="202"/>
        <v>231170</v>
      </c>
    </row>
    <row r="5919" spans="7:14" ht="11.25" customHeight="1" x14ac:dyDescent="0.25">
      <c r="G5919" s="459"/>
      <c r="H5919" s="459">
        <v>5912</v>
      </c>
      <c r="I5919" s="444">
        <f t="shared" ca="1" si="200"/>
        <v>-3.8270547848816984E+16</v>
      </c>
      <c r="J5919" s="444">
        <f t="array" ref="J5919">IFERROR(INDEX('Retirement Calculator'!K:K,MATCH('Lorri 401b'!N5919,'Retirement Calculator'!A:A,0),0),0)</f>
        <v>0</v>
      </c>
      <c r="K5919" s="444">
        <f t="shared" ca="1" si="198"/>
        <v>-159460616036737.44</v>
      </c>
      <c r="L5919" s="444">
        <f t="shared" ca="1" si="199"/>
        <v>-3.843000846485372E+16</v>
      </c>
      <c r="M5919" s="460">
        <f t="shared" si="201"/>
        <v>0.05</v>
      </c>
      <c r="N5919" s="464">
        <f t="shared" si="202"/>
        <v>231201</v>
      </c>
    </row>
    <row r="5920" spans="7:14" ht="11.25" customHeight="1" x14ac:dyDescent="0.25">
      <c r="G5920" s="459"/>
      <c r="H5920" s="459">
        <v>5913</v>
      </c>
      <c r="I5920" s="444">
        <f t="shared" ca="1" si="200"/>
        <v>-3.843000846485372E+16</v>
      </c>
      <c r="J5920" s="444">
        <f t="array" ref="J5920">IFERROR(INDEX('Retirement Calculator'!K:K,MATCH('Lorri 401b'!N5920,'Retirement Calculator'!A:A,0),0),0)</f>
        <v>0</v>
      </c>
      <c r="K5920" s="444">
        <f t="shared" ca="1" si="198"/>
        <v>-160125035270223.84</v>
      </c>
      <c r="L5920" s="444">
        <f t="shared" ca="1" si="199"/>
        <v>-3.8590133500123944E+16</v>
      </c>
      <c r="M5920" s="460">
        <f t="shared" si="201"/>
        <v>0.05</v>
      </c>
      <c r="N5920" s="464">
        <f t="shared" si="202"/>
        <v>231232</v>
      </c>
    </row>
    <row r="5921" spans="7:14" ht="11.25" customHeight="1" x14ac:dyDescent="0.25">
      <c r="G5921" s="459"/>
      <c r="H5921" s="459">
        <v>5914</v>
      </c>
      <c r="I5921" s="444">
        <f t="shared" ca="1" si="200"/>
        <v>-3.8590133500123944E+16</v>
      </c>
      <c r="J5921" s="444">
        <f t="array" ref="J5921">IFERROR(INDEX('Retirement Calculator'!K:K,MATCH('Lorri 401b'!N5921,'Retirement Calculator'!A:A,0),0),0)</f>
        <v>0</v>
      </c>
      <c r="K5921" s="444">
        <f t="shared" ca="1" si="198"/>
        <v>-160792222917183.09</v>
      </c>
      <c r="L5921" s="444">
        <f t="shared" ca="1" si="199"/>
        <v>-3.8750925723041128E+16</v>
      </c>
      <c r="M5921" s="460">
        <f t="shared" si="201"/>
        <v>0.05</v>
      </c>
      <c r="N5921" s="464">
        <f t="shared" si="202"/>
        <v>231260</v>
      </c>
    </row>
    <row r="5922" spans="7:14" ht="11.25" customHeight="1" x14ac:dyDescent="0.25">
      <c r="G5922" s="459"/>
      <c r="H5922" s="459">
        <v>5915</v>
      </c>
      <c r="I5922" s="444">
        <f t="shared" ca="1" si="200"/>
        <v>-3.8750925723041128E+16</v>
      </c>
      <c r="J5922" s="444">
        <f t="array" ref="J5922">IFERROR(INDEX('Retirement Calculator'!K:K,MATCH('Lorri 401b'!N5922,'Retirement Calculator'!A:A,0),0),0)</f>
        <v>0</v>
      </c>
      <c r="K5922" s="444">
        <f t="shared" ca="1" si="198"/>
        <v>-161462190512671.38</v>
      </c>
      <c r="L5922" s="444">
        <f t="shared" ca="1" si="199"/>
        <v>-3.89123879135538E+16</v>
      </c>
      <c r="M5922" s="460">
        <f t="shared" si="201"/>
        <v>0.05</v>
      </c>
      <c r="N5922" s="464">
        <f t="shared" si="202"/>
        <v>231291</v>
      </c>
    </row>
    <row r="5923" spans="7:14" ht="11.25" customHeight="1" x14ac:dyDescent="0.25">
      <c r="G5923" s="459"/>
      <c r="H5923" s="459">
        <v>5916</v>
      </c>
      <c r="I5923" s="444">
        <f t="shared" ca="1" si="200"/>
        <v>-3.89123879135538E+16</v>
      </c>
      <c r="J5923" s="444">
        <f t="array" ref="J5923">IFERROR(INDEX('Retirement Calculator'!K:K,MATCH('Lorri 401b'!N5923,'Retirement Calculator'!A:A,0),0),0)</f>
        <v>0</v>
      </c>
      <c r="K5923" s="444">
        <f t="shared" ca="1" si="198"/>
        <v>-162134949639807.5</v>
      </c>
      <c r="L5923" s="444">
        <f t="shared" ca="1" si="199"/>
        <v>-3.9074522863193608E+16</v>
      </c>
      <c r="M5923" s="460">
        <f t="shared" si="201"/>
        <v>0.05</v>
      </c>
      <c r="N5923" s="464">
        <f t="shared" si="202"/>
        <v>231321</v>
      </c>
    </row>
    <row r="5924" spans="7:14" ht="11.25" customHeight="1" x14ac:dyDescent="0.25">
      <c r="G5924" s="459"/>
      <c r="H5924" s="459">
        <v>5917</v>
      </c>
      <c r="I5924" s="444">
        <f t="shared" ca="1" si="200"/>
        <v>-3.9074522863193608E+16</v>
      </c>
      <c r="J5924" s="444">
        <f t="array" ref="J5924">IFERROR(INDEX('Retirement Calculator'!K:K,MATCH('Lorri 401b'!N5924,'Retirement Calculator'!A:A,0),0),0)</f>
        <v>0</v>
      </c>
      <c r="K5924" s="444">
        <f t="shared" ca="1" si="198"/>
        <v>-162810511929973.38</v>
      </c>
      <c r="L5924" s="444">
        <f t="shared" ca="1" si="199"/>
        <v>-3.9237333375123584E+16</v>
      </c>
      <c r="M5924" s="460">
        <f t="shared" si="201"/>
        <v>0.05</v>
      </c>
      <c r="N5924" s="464">
        <f t="shared" si="202"/>
        <v>231352</v>
      </c>
    </row>
    <row r="5925" spans="7:14" ht="11.25" customHeight="1" x14ac:dyDescent="0.25">
      <c r="G5925" s="459"/>
      <c r="H5925" s="459">
        <v>5918</v>
      </c>
      <c r="I5925" s="444">
        <f t="shared" ca="1" si="200"/>
        <v>-3.9237333375123584E+16</v>
      </c>
      <c r="J5925" s="444">
        <f t="array" ref="J5925">IFERROR(INDEX('Retirement Calculator'!K:K,MATCH('Lorri 401b'!N5925,'Retirement Calculator'!A:A,0),0),0)</f>
        <v>0</v>
      </c>
      <c r="K5925" s="444">
        <f t="shared" ca="1" si="198"/>
        <v>-163488889063014.94</v>
      </c>
      <c r="L5925" s="444">
        <f t="shared" ca="1" si="199"/>
        <v>-3.94008222641866E+16</v>
      </c>
      <c r="M5925" s="460">
        <f t="shared" si="201"/>
        <v>0.05</v>
      </c>
      <c r="N5925" s="464">
        <f t="shared" si="202"/>
        <v>231382</v>
      </c>
    </row>
    <row r="5926" spans="7:14" ht="11.25" customHeight="1" x14ac:dyDescent="0.25">
      <c r="G5926" s="459"/>
      <c r="H5926" s="459">
        <v>5919</v>
      </c>
      <c r="I5926" s="444">
        <f t="shared" ca="1" si="200"/>
        <v>-3.94008222641866E+16</v>
      </c>
      <c r="J5926" s="444">
        <f t="array" ref="J5926">IFERROR(INDEX('Retirement Calculator'!K:K,MATCH('Lorri 401b'!N5926,'Retirement Calculator'!A:A,0),0),0)</f>
        <v>0</v>
      </c>
      <c r="K5926" s="444">
        <f t="shared" ca="1" si="198"/>
        <v>-164170092767444.16</v>
      </c>
      <c r="L5926" s="444">
        <f t="shared" ca="1" si="199"/>
        <v>-3.9564992356954048E+16</v>
      </c>
      <c r="M5926" s="460">
        <f t="shared" si="201"/>
        <v>0.05</v>
      </c>
      <c r="N5926" s="464">
        <f t="shared" si="202"/>
        <v>231413</v>
      </c>
    </row>
    <row r="5927" spans="7:14" ht="11.25" customHeight="1" x14ac:dyDescent="0.25">
      <c r="G5927" s="459"/>
      <c r="H5927" s="459">
        <v>5920</v>
      </c>
      <c r="I5927" s="444">
        <f t="shared" ca="1" si="200"/>
        <v>-3.9564992356954048E+16</v>
      </c>
      <c r="J5927" s="444">
        <f t="array" ref="J5927">IFERROR(INDEX('Retirement Calculator'!K:K,MATCH('Lorri 401b'!N5927,'Retirement Calculator'!A:A,0),0),0)</f>
        <v>0</v>
      </c>
      <c r="K5927" s="444">
        <f t="shared" ca="1" si="198"/>
        <v>-164854134820641.88</v>
      </c>
      <c r="L5927" s="444">
        <f t="shared" ca="1" si="199"/>
        <v>-3.9729846491774688E+16</v>
      </c>
      <c r="M5927" s="460">
        <f t="shared" si="201"/>
        <v>0.05</v>
      </c>
      <c r="N5927" s="464">
        <f t="shared" si="202"/>
        <v>231444</v>
      </c>
    </row>
    <row r="5928" spans="7:14" ht="11.25" customHeight="1" x14ac:dyDescent="0.25">
      <c r="G5928" s="459"/>
      <c r="H5928" s="459">
        <v>5921</v>
      </c>
      <c r="I5928" s="444">
        <f t="shared" ca="1" si="200"/>
        <v>-3.9729846491774688E+16</v>
      </c>
      <c r="J5928" s="444">
        <f t="array" ref="J5928">IFERROR(INDEX('Retirement Calculator'!K:K,MATCH('Lorri 401b'!N5928,'Retirement Calculator'!A:A,0),0),0)</f>
        <v>0</v>
      </c>
      <c r="K5928" s="444">
        <f t="shared" ca="1" si="198"/>
        <v>-165541027049061.19</v>
      </c>
      <c r="L5928" s="444">
        <f t="shared" ca="1" si="199"/>
        <v>-3.9895387518823752E+16</v>
      </c>
      <c r="M5928" s="460">
        <f t="shared" si="201"/>
        <v>0.05</v>
      </c>
      <c r="N5928" s="464">
        <f t="shared" si="202"/>
        <v>231474</v>
      </c>
    </row>
    <row r="5929" spans="7:14" ht="11.25" customHeight="1" x14ac:dyDescent="0.25">
      <c r="G5929" s="459"/>
      <c r="H5929" s="459">
        <v>5922</v>
      </c>
      <c r="I5929" s="444">
        <f t="shared" ca="1" si="200"/>
        <v>-3.9895387518823752E+16</v>
      </c>
      <c r="J5929" s="444">
        <f t="array" ref="J5929">IFERROR(INDEX('Retirement Calculator'!K:K,MATCH('Lorri 401b'!N5929,'Retirement Calculator'!A:A,0),0),0)</f>
        <v>0</v>
      </c>
      <c r="K5929" s="444">
        <f t="shared" ca="1" si="198"/>
        <v>-166230781328432.31</v>
      </c>
      <c r="L5929" s="444">
        <f t="shared" ca="1" si="199"/>
        <v>-4.0061618300152184E+16</v>
      </c>
      <c r="M5929" s="460">
        <f t="shared" si="201"/>
        <v>0.05</v>
      </c>
      <c r="N5929" s="464">
        <f t="shared" si="202"/>
        <v>231505</v>
      </c>
    </row>
    <row r="5930" spans="7:14" ht="11.25" customHeight="1" x14ac:dyDescent="0.25">
      <c r="G5930" s="459"/>
      <c r="H5930" s="459">
        <v>5923</v>
      </c>
      <c r="I5930" s="444">
        <f t="shared" ca="1" si="200"/>
        <v>-4.0061618300152184E+16</v>
      </c>
      <c r="J5930" s="444">
        <f t="array" ref="J5930">IFERROR(INDEX('Retirement Calculator'!K:K,MATCH('Lorri 401b'!N5930,'Retirement Calculator'!A:A,0),0),0)</f>
        <v>0</v>
      </c>
      <c r="K5930" s="444">
        <f t="shared" ca="1" si="198"/>
        <v>-166923409583967.44</v>
      </c>
      <c r="L5930" s="444">
        <f t="shared" ca="1" si="199"/>
        <v>-4.0228541709736152E+16</v>
      </c>
      <c r="M5930" s="460">
        <f t="shared" si="201"/>
        <v>0.05</v>
      </c>
      <c r="N5930" s="464">
        <f t="shared" si="202"/>
        <v>231535</v>
      </c>
    </row>
    <row r="5931" spans="7:14" ht="11.25" customHeight="1" x14ac:dyDescent="0.25">
      <c r="G5931" s="459"/>
      <c r="H5931" s="459">
        <v>5924</v>
      </c>
      <c r="I5931" s="444">
        <f t="shared" ca="1" si="200"/>
        <v>-4.0228541709736152E+16</v>
      </c>
      <c r="J5931" s="444">
        <f t="array" ref="J5931">IFERROR(INDEX('Retirement Calculator'!K:K,MATCH('Lorri 401b'!N5931,'Retirement Calculator'!A:A,0),0),0)</f>
        <v>0</v>
      </c>
      <c r="K5931" s="444">
        <f t="shared" ca="1" si="198"/>
        <v>-167618923790567.31</v>
      </c>
      <c r="L5931" s="444">
        <f t="shared" ca="1" si="199"/>
        <v>-4.039616063352672E+16</v>
      </c>
      <c r="M5931" s="460">
        <f t="shared" si="201"/>
        <v>0.05</v>
      </c>
      <c r="N5931" s="464">
        <f t="shared" si="202"/>
        <v>231566</v>
      </c>
    </row>
    <row r="5932" spans="7:14" ht="11.25" customHeight="1" x14ac:dyDescent="0.25">
      <c r="G5932" s="459"/>
      <c r="H5932" s="459">
        <v>5925</v>
      </c>
      <c r="I5932" s="444">
        <f t="shared" ca="1" si="200"/>
        <v>-4.039616063352672E+16</v>
      </c>
      <c r="J5932" s="444">
        <f t="array" ref="J5932">IFERROR(INDEX('Retirement Calculator'!K:K,MATCH('Lorri 401b'!N5932,'Retirement Calculator'!A:A,0),0),0)</f>
        <v>0</v>
      </c>
      <c r="K5932" s="444">
        <f t="shared" ca="1" si="198"/>
        <v>-168317335973028</v>
      </c>
      <c r="L5932" s="444">
        <f t="shared" ca="1" si="199"/>
        <v>-4.0564477969499744E+16</v>
      </c>
      <c r="M5932" s="460">
        <f t="shared" si="201"/>
        <v>0.05</v>
      </c>
      <c r="N5932" s="464">
        <f t="shared" si="202"/>
        <v>231597</v>
      </c>
    </row>
    <row r="5933" spans="7:14" ht="11.25" customHeight="1" x14ac:dyDescent="0.25">
      <c r="G5933" s="459"/>
      <c r="H5933" s="459">
        <v>5926</v>
      </c>
      <c r="I5933" s="444">
        <f t="shared" ca="1" si="200"/>
        <v>-4.0564477969499744E+16</v>
      </c>
      <c r="J5933" s="444">
        <f t="array" ref="J5933">IFERROR(INDEX('Retirement Calculator'!K:K,MATCH('Lorri 401b'!N5933,'Retirement Calculator'!A:A,0),0),0)</f>
        <v>0</v>
      </c>
      <c r="K5933" s="444">
        <f t="shared" ca="1" si="198"/>
        <v>-169018658206248.94</v>
      </c>
      <c r="L5933" s="444">
        <f t="shared" ca="1" si="199"/>
        <v>-4.0733496627705992E+16</v>
      </c>
      <c r="M5933" s="460">
        <f t="shared" si="201"/>
        <v>0.05</v>
      </c>
      <c r="N5933" s="464">
        <f t="shared" si="202"/>
        <v>231625</v>
      </c>
    </row>
    <row r="5934" spans="7:14" ht="11.25" customHeight="1" x14ac:dyDescent="0.25">
      <c r="G5934" s="459"/>
      <c r="H5934" s="459">
        <v>5927</v>
      </c>
      <c r="I5934" s="444">
        <f t="shared" ca="1" si="200"/>
        <v>-4.0733496627705992E+16</v>
      </c>
      <c r="J5934" s="444">
        <f t="array" ref="J5934">IFERROR(INDEX('Retirement Calculator'!K:K,MATCH('Lorri 401b'!N5934,'Retirement Calculator'!A:A,0),0),0)</f>
        <v>0</v>
      </c>
      <c r="K5934" s="444">
        <f t="shared" ca="1" si="198"/>
        <v>-169722902615441.63</v>
      </c>
      <c r="L5934" s="444">
        <f t="shared" ca="1" si="199"/>
        <v>-4.0903219530321432E+16</v>
      </c>
      <c r="M5934" s="460">
        <f t="shared" si="201"/>
        <v>0.05</v>
      </c>
      <c r="N5934" s="464">
        <f t="shared" si="202"/>
        <v>231656</v>
      </c>
    </row>
    <row r="5935" spans="7:14" ht="11.25" customHeight="1" x14ac:dyDescent="0.25">
      <c r="G5935" s="459"/>
      <c r="H5935" s="459">
        <v>5928</v>
      </c>
      <c r="I5935" s="444">
        <f t="shared" ca="1" si="200"/>
        <v>-4.0903219530321432E+16</v>
      </c>
      <c r="J5935" s="444">
        <f t="array" ref="J5935">IFERROR(INDEX('Retirement Calculator'!K:K,MATCH('Lorri 401b'!N5935,'Retirement Calculator'!A:A,0),0),0)</f>
        <v>0</v>
      </c>
      <c r="K5935" s="444">
        <f t="shared" ca="1" si="198"/>
        <v>-170430081376339.31</v>
      </c>
      <c r="L5935" s="444">
        <f t="shared" ca="1" si="199"/>
        <v>-4.1073649611697768E+16</v>
      </c>
      <c r="M5935" s="460">
        <f t="shared" si="201"/>
        <v>0.05</v>
      </c>
      <c r="N5935" s="464">
        <f t="shared" si="202"/>
        <v>231686</v>
      </c>
    </row>
    <row r="5936" spans="7:14" ht="11.25" customHeight="1" x14ac:dyDescent="0.25">
      <c r="G5936" s="459"/>
      <c r="H5936" s="459">
        <v>5929</v>
      </c>
      <c r="I5936" s="444">
        <f t="shared" ca="1" si="200"/>
        <v>-4.1073649611697768E+16</v>
      </c>
      <c r="J5936" s="444">
        <f t="array" ref="J5936">IFERROR(INDEX('Retirement Calculator'!K:K,MATCH('Lorri 401b'!N5936,'Retirement Calculator'!A:A,0),0),0)</f>
        <v>0</v>
      </c>
      <c r="K5936" s="444">
        <f t="shared" ca="1" si="198"/>
        <v>-171140206715407.38</v>
      </c>
      <c r="L5936" s="444">
        <f t="shared" ca="1" si="199"/>
        <v>-4.1244789818413176E+16</v>
      </c>
      <c r="M5936" s="460">
        <f t="shared" si="201"/>
        <v>0.05</v>
      </c>
      <c r="N5936" s="464">
        <f t="shared" si="202"/>
        <v>231717</v>
      </c>
    </row>
    <row r="5937" spans="7:14" ht="11.25" customHeight="1" x14ac:dyDescent="0.25">
      <c r="G5937" s="459"/>
      <c r="H5937" s="459">
        <v>5930</v>
      </c>
      <c r="I5937" s="444">
        <f t="shared" ca="1" si="200"/>
        <v>-4.1244789818413176E+16</v>
      </c>
      <c r="J5937" s="444">
        <f t="array" ref="J5937">IFERROR(INDEX('Retirement Calculator'!K:K,MATCH('Lorri 401b'!N5937,'Retirement Calculator'!A:A,0),0),0)</f>
        <v>0</v>
      </c>
      <c r="K5937" s="444">
        <f t="shared" ca="1" si="198"/>
        <v>-171853290910054.91</v>
      </c>
      <c r="L5937" s="444">
        <f t="shared" ca="1" si="199"/>
        <v>-4.1416643109323232E+16</v>
      </c>
      <c r="M5937" s="460">
        <f t="shared" si="201"/>
        <v>0.05</v>
      </c>
      <c r="N5937" s="464">
        <f t="shared" si="202"/>
        <v>231747</v>
      </c>
    </row>
    <row r="5938" spans="7:14" ht="11.25" customHeight="1" x14ac:dyDescent="0.25">
      <c r="G5938" s="459"/>
      <c r="H5938" s="459">
        <v>5931</v>
      </c>
      <c r="I5938" s="444">
        <f t="shared" ca="1" si="200"/>
        <v>-4.1416643109323232E+16</v>
      </c>
      <c r="J5938" s="444">
        <f t="array" ref="J5938">IFERROR(INDEX('Retirement Calculator'!K:K,MATCH('Lorri 401b'!N5938,'Retirement Calculator'!A:A,0),0),0)</f>
        <v>0</v>
      </c>
      <c r="K5938" s="444">
        <f t="shared" ca="1" si="198"/>
        <v>-172569346288846.81</v>
      </c>
      <c r="L5938" s="444">
        <f t="shared" ca="1" si="199"/>
        <v>-4.158921245561208E+16</v>
      </c>
      <c r="M5938" s="460">
        <f t="shared" si="201"/>
        <v>0.05</v>
      </c>
      <c r="N5938" s="464">
        <f t="shared" si="202"/>
        <v>231778</v>
      </c>
    </row>
    <row r="5939" spans="7:14" ht="11.25" customHeight="1" x14ac:dyDescent="0.25">
      <c r="G5939" s="459"/>
      <c r="H5939" s="459">
        <v>5932</v>
      </c>
      <c r="I5939" s="444">
        <f t="shared" ca="1" si="200"/>
        <v>-4.158921245561208E+16</v>
      </c>
      <c r="J5939" s="444">
        <f t="array" ref="J5939">IFERROR(INDEX('Retirement Calculator'!K:K,MATCH('Lorri 401b'!N5939,'Retirement Calculator'!A:A,0),0),0)</f>
        <v>0</v>
      </c>
      <c r="K5939" s="444">
        <f t="shared" ca="1" si="198"/>
        <v>-173288385231717</v>
      </c>
      <c r="L5939" s="444">
        <f t="shared" ca="1" si="199"/>
        <v>-4.17625008408438E+16</v>
      </c>
      <c r="M5939" s="460">
        <f t="shared" si="201"/>
        <v>0.05</v>
      </c>
      <c r="N5939" s="464">
        <f t="shared" si="202"/>
        <v>231809</v>
      </c>
    </row>
    <row r="5940" spans="7:14" ht="11.25" customHeight="1" x14ac:dyDescent="0.25">
      <c r="G5940" s="459"/>
      <c r="H5940" s="459">
        <v>5933</v>
      </c>
      <c r="I5940" s="444">
        <f t="shared" ca="1" si="200"/>
        <v>-4.17625008408438E+16</v>
      </c>
      <c r="J5940" s="444">
        <f t="array" ref="J5940">IFERROR(INDEX('Retirement Calculator'!K:K,MATCH('Lorri 401b'!N5940,'Retirement Calculator'!A:A,0),0),0)</f>
        <v>0</v>
      </c>
      <c r="K5940" s="444">
        <f t="shared" ca="1" si="198"/>
        <v>-174010420170182.5</v>
      </c>
      <c r="L5940" s="444">
        <f t="shared" ca="1" si="199"/>
        <v>-4.1936511261013984E+16</v>
      </c>
      <c r="M5940" s="460">
        <f t="shared" si="201"/>
        <v>0.05</v>
      </c>
      <c r="N5940" s="464">
        <f t="shared" si="202"/>
        <v>231839</v>
      </c>
    </row>
    <row r="5941" spans="7:14" ht="11.25" customHeight="1" x14ac:dyDescent="0.25">
      <c r="G5941" s="459"/>
      <c r="H5941" s="459">
        <v>5934</v>
      </c>
      <c r="I5941" s="444">
        <f t="shared" ca="1" si="200"/>
        <v>-4.1936511261013984E+16</v>
      </c>
      <c r="J5941" s="444">
        <f t="array" ref="J5941">IFERROR(INDEX('Retirement Calculator'!K:K,MATCH('Lorri 401b'!N5941,'Retirement Calculator'!A:A,0),0),0)</f>
        <v>0</v>
      </c>
      <c r="K5941" s="444">
        <f t="shared" ca="1" si="198"/>
        <v>-174735463587558.25</v>
      </c>
      <c r="L5941" s="444">
        <f t="shared" ca="1" si="199"/>
        <v>-4.2111246724601544E+16</v>
      </c>
      <c r="M5941" s="460">
        <f t="shared" si="201"/>
        <v>0.05</v>
      </c>
      <c r="N5941" s="464">
        <f t="shared" si="202"/>
        <v>231870</v>
      </c>
    </row>
    <row r="5942" spans="7:14" ht="11.25" customHeight="1" x14ac:dyDescent="0.25">
      <c r="G5942" s="459"/>
      <c r="H5942" s="459">
        <v>5935</v>
      </c>
      <c r="I5942" s="444">
        <f t="shared" ca="1" si="200"/>
        <v>-4.2111246724601544E+16</v>
      </c>
      <c r="J5942" s="444">
        <f t="array" ref="J5942">IFERROR(INDEX('Retirement Calculator'!K:K,MATCH('Lorri 401b'!N5942,'Retirement Calculator'!A:A,0),0),0)</f>
        <v>0</v>
      </c>
      <c r="K5942" s="444">
        <f t="shared" ca="1" si="198"/>
        <v>-175463528019173.09</v>
      </c>
      <c r="L5942" s="444">
        <f t="shared" ca="1" si="199"/>
        <v>-4.228671025262072E+16</v>
      </c>
      <c r="M5942" s="460">
        <f t="shared" si="201"/>
        <v>0.05</v>
      </c>
      <c r="N5942" s="464">
        <f t="shared" si="202"/>
        <v>231900</v>
      </c>
    </row>
    <row r="5943" spans="7:14" ht="11.25" customHeight="1" x14ac:dyDescent="0.25">
      <c r="G5943" s="459"/>
      <c r="H5943" s="459">
        <v>5936</v>
      </c>
      <c r="I5943" s="444">
        <f t="shared" ca="1" si="200"/>
        <v>-4.228671025262072E+16</v>
      </c>
      <c r="J5943" s="444">
        <f t="array" ref="J5943">IFERROR(INDEX('Retirement Calculator'!K:K,MATCH('Lorri 401b'!N5943,'Retirement Calculator'!A:A,0),0),0)</f>
        <v>0</v>
      </c>
      <c r="K5943" s="444">
        <f t="shared" ca="1" si="198"/>
        <v>-176194626052586.34</v>
      </c>
      <c r="L5943" s="444">
        <f t="shared" ca="1" si="199"/>
        <v>-4.2462904878673304E+16</v>
      </c>
      <c r="M5943" s="460">
        <f t="shared" si="201"/>
        <v>0.05</v>
      </c>
      <c r="N5943" s="464">
        <f t="shared" si="202"/>
        <v>231931</v>
      </c>
    </row>
    <row r="5944" spans="7:14" ht="11.25" customHeight="1" x14ac:dyDescent="0.25">
      <c r="G5944" s="459"/>
      <c r="H5944" s="459">
        <v>5937</v>
      </c>
      <c r="I5944" s="444">
        <f t="shared" ca="1" si="200"/>
        <v>-4.2462904878673304E+16</v>
      </c>
      <c r="J5944" s="444">
        <f t="array" ref="J5944">IFERROR(INDEX('Retirement Calculator'!K:K,MATCH('Lorri 401b'!N5944,'Retirement Calculator'!A:A,0),0),0)</f>
        <v>0</v>
      </c>
      <c r="K5944" s="444">
        <f t="shared" ca="1" si="198"/>
        <v>-176928770327805.44</v>
      </c>
      <c r="L5944" s="444">
        <f t="shared" ca="1" si="199"/>
        <v>-4.2639833649001112E+16</v>
      </c>
      <c r="M5944" s="460">
        <f t="shared" si="201"/>
        <v>0.05</v>
      </c>
      <c r="N5944" s="464">
        <f t="shared" si="202"/>
        <v>231962</v>
      </c>
    </row>
    <row r="5945" spans="7:14" ht="11.25" customHeight="1" x14ac:dyDescent="0.25">
      <c r="G5945" s="459"/>
      <c r="H5945" s="459">
        <v>5938</v>
      </c>
      <c r="I5945" s="444">
        <f t="shared" ca="1" si="200"/>
        <v>-4.2639833649001112E+16</v>
      </c>
      <c r="J5945" s="444">
        <f t="array" ref="J5945">IFERROR(INDEX('Retirement Calculator'!K:K,MATCH('Lorri 401b'!N5945,'Retirement Calculator'!A:A,0),0),0)</f>
        <v>0</v>
      </c>
      <c r="K5945" s="444">
        <f t="shared" ca="1" si="198"/>
        <v>-177665973537504.63</v>
      </c>
      <c r="L5945" s="444">
        <f t="shared" ca="1" si="199"/>
        <v>-4.2817499622538616E+16</v>
      </c>
      <c r="M5945" s="460">
        <f t="shared" si="201"/>
        <v>0.05</v>
      </c>
      <c r="N5945" s="464">
        <f t="shared" si="202"/>
        <v>231990</v>
      </c>
    </row>
    <row r="5946" spans="7:14" ht="11.25" customHeight="1" x14ac:dyDescent="0.25">
      <c r="G5946" s="459"/>
      <c r="H5946" s="459">
        <v>5939</v>
      </c>
      <c r="I5946" s="444">
        <f t="shared" ca="1" si="200"/>
        <v>-4.2817499622538616E+16</v>
      </c>
      <c r="J5946" s="444">
        <f t="array" ref="J5946">IFERROR(INDEX('Retirement Calculator'!K:K,MATCH('Lorri 401b'!N5946,'Retirement Calculator'!A:A,0),0),0)</f>
        <v>0</v>
      </c>
      <c r="K5946" s="444">
        <f t="shared" ca="1" si="198"/>
        <v>-178406248427244.22</v>
      </c>
      <c r="L5946" s="444">
        <f t="shared" ca="1" si="199"/>
        <v>-4.2995905870965864E+16</v>
      </c>
      <c r="M5946" s="460">
        <f t="shared" si="201"/>
        <v>0.05</v>
      </c>
      <c r="N5946" s="464">
        <f t="shared" si="202"/>
        <v>232021</v>
      </c>
    </row>
    <row r="5947" spans="7:14" ht="11.25" customHeight="1" x14ac:dyDescent="0.25">
      <c r="G5947" s="459"/>
      <c r="H5947" s="459">
        <v>5940</v>
      </c>
      <c r="I5947" s="444">
        <f t="shared" ca="1" si="200"/>
        <v>-4.2995905870965864E+16</v>
      </c>
      <c r="J5947" s="444">
        <f t="array" ref="J5947">IFERROR(INDEX('Retirement Calculator'!K:K,MATCH('Lorri 401b'!N5947,'Retirement Calculator'!A:A,0),0),0)</f>
        <v>0</v>
      </c>
      <c r="K5947" s="444">
        <f t="shared" ca="1" si="198"/>
        <v>-179149607795691.09</v>
      </c>
      <c r="L5947" s="444">
        <f t="shared" ca="1" si="199"/>
        <v>-4.3175055478761552E+16</v>
      </c>
      <c r="M5947" s="460">
        <f t="shared" si="201"/>
        <v>0.05</v>
      </c>
      <c r="N5947" s="464">
        <f t="shared" si="202"/>
        <v>232051</v>
      </c>
    </row>
    <row r="5948" spans="7:14" ht="11.25" customHeight="1" x14ac:dyDescent="0.25">
      <c r="G5948" s="459"/>
      <c r="H5948" s="459">
        <v>5941</v>
      </c>
      <c r="I5948" s="444">
        <f t="shared" ca="1" si="200"/>
        <v>-4.3175055478761552E+16</v>
      </c>
      <c r="J5948" s="444">
        <f t="array" ref="J5948">IFERROR(INDEX('Retirement Calculator'!K:K,MATCH('Lorri 401b'!N5948,'Retirement Calculator'!A:A,0),0),0)</f>
        <v>0</v>
      </c>
      <c r="K5948" s="444">
        <f t="shared" ca="1" si="198"/>
        <v>-179896064494839.81</v>
      </c>
      <c r="L5948" s="444">
        <f t="shared" ca="1" si="199"/>
        <v>-4.3354951543256392E+16</v>
      </c>
      <c r="M5948" s="460">
        <f t="shared" si="201"/>
        <v>0.05</v>
      </c>
      <c r="N5948" s="464">
        <f t="shared" si="202"/>
        <v>232082</v>
      </c>
    </row>
    <row r="5949" spans="7:14" ht="11.25" customHeight="1" x14ac:dyDescent="0.25">
      <c r="G5949" s="459"/>
      <c r="H5949" s="459">
        <v>5942</v>
      </c>
      <c r="I5949" s="444">
        <f t="shared" ca="1" si="200"/>
        <v>-4.3354951543256392E+16</v>
      </c>
      <c r="J5949" s="444">
        <f t="array" ref="J5949">IFERROR(INDEX('Retirement Calculator'!K:K,MATCH('Lorri 401b'!N5949,'Retirement Calculator'!A:A,0),0),0)</f>
        <v>0</v>
      </c>
      <c r="K5949" s="444">
        <f t="shared" ca="1" si="198"/>
        <v>-180645631430234.97</v>
      </c>
      <c r="L5949" s="444">
        <f t="shared" ca="1" si="199"/>
        <v>-4.3535597174686624E+16</v>
      </c>
      <c r="M5949" s="460">
        <f t="shared" si="201"/>
        <v>0.05</v>
      </c>
      <c r="N5949" s="464">
        <f t="shared" si="202"/>
        <v>232112</v>
      </c>
    </row>
    <row r="5950" spans="7:14" ht="11.25" customHeight="1" x14ac:dyDescent="0.25">
      <c r="G5950" s="459"/>
      <c r="H5950" s="459">
        <v>5943</v>
      </c>
      <c r="I5950" s="444">
        <f t="shared" ca="1" si="200"/>
        <v>-4.3535597174686624E+16</v>
      </c>
      <c r="J5950" s="444">
        <f t="array" ref="J5950">IFERROR(INDEX('Retirement Calculator'!K:K,MATCH('Lorri 401b'!N5950,'Retirement Calculator'!A:A,0),0),0)</f>
        <v>0</v>
      </c>
      <c r="K5950" s="444">
        <f t="shared" ca="1" si="198"/>
        <v>-181398321561194.25</v>
      </c>
      <c r="L5950" s="444">
        <f t="shared" ca="1" si="199"/>
        <v>-4.3716995496247816E+16</v>
      </c>
      <c r="M5950" s="460">
        <f t="shared" si="201"/>
        <v>0.05</v>
      </c>
      <c r="N5950" s="464">
        <f t="shared" si="202"/>
        <v>232143</v>
      </c>
    </row>
    <row r="5951" spans="7:14" ht="11.25" customHeight="1" x14ac:dyDescent="0.25">
      <c r="G5951" s="459"/>
      <c r="H5951" s="459">
        <v>5944</v>
      </c>
      <c r="I5951" s="444">
        <f t="shared" ca="1" si="200"/>
        <v>-4.3716995496247816E+16</v>
      </c>
      <c r="J5951" s="444">
        <f t="array" ref="J5951">IFERROR(INDEX('Retirement Calculator'!K:K,MATCH('Lorri 401b'!N5951,'Retirement Calculator'!A:A,0),0),0)</f>
        <v>0</v>
      </c>
      <c r="K5951" s="444">
        <f t="shared" ca="1" si="198"/>
        <v>-182154147901032.56</v>
      </c>
      <c r="L5951" s="444">
        <f t="shared" ca="1" si="199"/>
        <v>-4.3899149644148848E+16</v>
      </c>
      <c r="M5951" s="460">
        <f t="shared" si="201"/>
        <v>0.05</v>
      </c>
      <c r="N5951" s="464">
        <f t="shared" si="202"/>
        <v>232174</v>
      </c>
    </row>
    <row r="5952" spans="7:14" ht="11.25" customHeight="1" x14ac:dyDescent="0.25">
      <c r="G5952" s="459"/>
      <c r="H5952" s="459">
        <v>5945</v>
      </c>
      <c r="I5952" s="444">
        <f t="shared" ca="1" si="200"/>
        <v>-4.3899149644148848E+16</v>
      </c>
      <c r="J5952" s="444">
        <f t="array" ref="J5952">IFERROR(INDEX('Retirement Calculator'!K:K,MATCH('Lorri 401b'!N5952,'Retirement Calculator'!A:A,0),0),0)</f>
        <v>0</v>
      </c>
      <c r="K5952" s="444">
        <f t="shared" ca="1" si="198"/>
        <v>-182913123517286.88</v>
      </c>
      <c r="L5952" s="444">
        <f t="shared" ca="1" si="199"/>
        <v>-4.4082062767666136E+16</v>
      </c>
      <c r="M5952" s="460">
        <f t="shared" si="201"/>
        <v>0.05</v>
      </c>
      <c r="N5952" s="464">
        <f t="shared" si="202"/>
        <v>232204</v>
      </c>
    </row>
    <row r="5953" spans="7:14" ht="11.25" customHeight="1" x14ac:dyDescent="0.25">
      <c r="G5953" s="459"/>
      <c r="H5953" s="459">
        <v>5946</v>
      </c>
      <c r="I5953" s="444">
        <f t="shared" ca="1" si="200"/>
        <v>-4.4082062767666136E+16</v>
      </c>
      <c r="J5953" s="444">
        <f t="array" ref="J5953">IFERROR(INDEX('Retirement Calculator'!K:K,MATCH('Lorri 401b'!N5953,'Retirement Calculator'!A:A,0),0),0)</f>
        <v>0</v>
      </c>
      <c r="K5953" s="444">
        <f t="shared" ca="1" si="198"/>
        <v>-183675261531942.22</v>
      </c>
      <c r="L5953" s="444">
        <f t="shared" ca="1" si="199"/>
        <v>-4.426573802919808E+16</v>
      </c>
      <c r="M5953" s="460">
        <f t="shared" si="201"/>
        <v>0.05</v>
      </c>
      <c r="N5953" s="464">
        <f t="shared" si="202"/>
        <v>232235</v>
      </c>
    </row>
    <row r="5954" spans="7:14" ht="11.25" customHeight="1" x14ac:dyDescent="0.25">
      <c r="G5954" s="459"/>
      <c r="H5954" s="459">
        <v>5947</v>
      </c>
      <c r="I5954" s="444">
        <f t="shared" ca="1" si="200"/>
        <v>-4.426573802919808E+16</v>
      </c>
      <c r="J5954" s="444">
        <f t="array" ref="J5954">IFERROR(INDEX('Retirement Calculator'!K:K,MATCH('Lorri 401b'!N5954,'Retirement Calculator'!A:A,0),0),0)</f>
        <v>0</v>
      </c>
      <c r="K5954" s="444">
        <f t="shared" ca="1" si="198"/>
        <v>-184440575121658.66</v>
      </c>
      <c r="L5954" s="444">
        <f t="shared" ca="1" si="199"/>
        <v>-4.4450178604319736E+16</v>
      </c>
      <c r="M5954" s="460">
        <f t="shared" si="201"/>
        <v>0.05</v>
      </c>
      <c r="N5954" s="464">
        <f t="shared" si="202"/>
        <v>232265</v>
      </c>
    </row>
    <row r="5955" spans="7:14" ht="11.25" customHeight="1" x14ac:dyDescent="0.25">
      <c r="G5955" s="459"/>
      <c r="H5955" s="459">
        <v>5948</v>
      </c>
      <c r="I5955" s="444">
        <f t="shared" ca="1" si="200"/>
        <v>-4.4450178604319736E+16</v>
      </c>
      <c r="J5955" s="444">
        <f t="array" ref="J5955">IFERROR(INDEX('Retirement Calculator'!K:K,MATCH('Lorri 401b'!N5955,'Retirement Calculator'!A:A,0),0),0)</f>
        <v>0</v>
      </c>
      <c r="K5955" s="444">
        <f t="shared" ca="1" si="198"/>
        <v>-185209077517998.91</v>
      </c>
      <c r="L5955" s="444">
        <f t="shared" ca="1" si="199"/>
        <v>-4.4635387681837736E+16</v>
      </c>
      <c r="M5955" s="460">
        <f t="shared" si="201"/>
        <v>0.05</v>
      </c>
      <c r="N5955" s="464">
        <f t="shared" si="202"/>
        <v>232296</v>
      </c>
    </row>
    <row r="5956" spans="7:14" ht="11.25" customHeight="1" x14ac:dyDescent="0.25">
      <c r="G5956" s="459"/>
      <c r="H5956" s="459">
        <v>5949</v>
      </c>
      <c r="I5956" s="444">
        <f t="shared" ca="1" si="200"/>
        <v>-4.4635387681837736E+16</v>
      </c>
      <c r="J5956" s="444">
        <f t="array" ref="J5956">IFERROR(INDEX('Retirement Calculator'!K:K,MATCH('Lorri 401b'!N5956,'Retirement Calculator'!A:A,0),0),0)</f>
        <v>0</v>
      </c>
      <c r="K5956" s="444">
        <f t="shared" ca="1" si="198"/>
        <v>-185980782007657.22</v>
      </c>
      <c r="L5956" s="444">
        <f t="shared" ca="1" si="199"/>
        <v>-4.4821368463845392E+16</v>
      </c>
      <c r="M5956" s="460">
        <f t="shared" si="201"/>
        <v>0.05</v>
      </c>
      <c r="N5956" s="464">
        <f t="shared" si="202"/>
        <v>232327</v>
      </c>
    </row>
    <row r="5957" spans="7:14" ht="11.25" customHeight="1" x14ac:dyDescent="0.25">
      <c r="G5957" s="459"/>
      <c r="H5957" s="459">
        <v>5950</v>
      </c>
      <c r="I5957" s="444">
        <f t="shared" ca="1" si="200"/>
        <v>-4.4821368463845392E+16</v>
      </c>
      <c r="J5957" s="444">
        <f t="array" ref="J5957">IFERROR(INDEX('Retirement Calculator'!K:K,MATCH('Lorri 401b'!N5957,'Retirement Calculator'!A:A,0),0),0)</f>
        <v>0</v>
      </c>
      <c r="K5957" s="444">
        <f t="shared" ca="1" si="198"/>
        <v>-186755701932689.13</v>
      </c>
      <c r="L5957" s="444">
        <f t="shared" ca="1" si="199"/>
        <v>-4.500812416577808E+16</v>
      </c>
      <c r="M5957" s="460">
        <f t="shared" si="201"/>
        <v>0.05</v>
      </c>
      <c r="N5957" s="464">
        <f t="shared" si="202"/>
        <v>232356</v>
      </c>
    </row>
    <row r="5958" spans="7:14" ht="11.25" customHeight="1" x14ac:dyDescent="0.25">
      <c r="G5958" s="459"/>
      <c r="H5958" s="459">
        <v>5951</v>
      </c>
      <c r="I5958" s="444">
        <f t="shared" ca="1" si="200"/>
        <v>-4.500812416577808E+16</v>
      </c>
      <c r="J5958" s="444">
        <f t="array" ref="J5958">IFERROR(INDEX('Retirement Calculator'!K:K,MATCH('Lorri 401b'!N5958,'Retirement Calculator'!A:A,0),0),0)</f>
        <v>0</v>
      </c>
      <c r="K5958" s="444">
        <f t="shared" ca="1" si="198"/>
        <v>-187533850690742</v>
      </c>
      <c r="L5958" s="444">
        <f t="shared" ca="1" si="199"/>
        <v>-4.5195658016468824E+16</v>
      </c>
      <c r="M5958" s="460">
        <f t="shared" si="201"/>
        <v>0.05</v>
      </c>
      <c r="N5958" s="464">
        <f t="shared" si="202"/>
        <v>232387</v>
      </c>
    </row>
    <row r="5959" spans="7:14" ht="11.25" customHeight="1" x14ac:dyDescent="0.25">
      <c r="G5959" s="459"/>
      <c r="H5959" s="459">
        <v>5952</v>
      </c>
      <c r="I5959" s="444">
        <f t="shared" ca="1" si="200"/>
        <v>-4.5195658016468824E+16</v>
      </c>
      <c r="J5959" s="444">
        <f t="array" ref="J5959">IFERROR(INDEX('Retirement Calculator'!K:K,MATCH('Lorri 401b'!N5959,'Retirement Calculator'!A:A,0),0),0)</f>
        <v>0</v>
      </c>
      <c r="K5959" s="444">
        <f t="shared" ca="1" si="198"/>
        <v>-188315241735286.75</v>
      </c>
      <c r="L5959" s="444">
        <f t="shared" ca="1" si="199"/>
        <v>-4.5383973258204112E+16</v>
      </c>
      <c r="M5959" s="460">
        <f t="shared" si="201"/>
        <v>0.05</v>
      </c>
      <c r="N5959" s="464">
        <f t="shared" si="202"/>
        <v>232417</v>
      </c>
    </row>
    <row r="5960" spans="7:14" ht="11.25" customHeight="1" x14ac:dyDescent="0.25">
      <c r="G5960" s="459"/>
      <c r="H5960" s="459">
        <v>5953</v>
      </c>
      <c r="I5960" s="444">
        <f t="shared" ca="1" si="200"/>
        <v>-4.5383973258204112E+16</v>
      </c>
      <c r="J5960" s="444">
        <f t="array" ref="J5960">IFERROR(INDEX('Retirement Calculator'!K:K,MATCH('Lorri 401b'!N5960,'Retirement Calculator'!A:A,0),0),0)</f>
        <v>0</v>
      </c>
      <c r="K5960" s="444">
        <f t="shared" ca="1" si="198"/>
        <v>-189099888575850.47</v>
      </c>
      <c r="L5960" s="444">
        <f t="shared" ca="1" si="199"/>
        <v>-4.557307314677996E+16</v>
      </c>
      <c r="M5960" s="460">
        <f t="shared" si="201"/>
        <v>0.05</v>
      </c>
      <c r="N5960" s="464">
        <f t="shared" si="202"/>
        <v>232448</v>
      </c>
    </row>
    <row r="5961" spans="7:14" ht="11.25" customHeight="1" x14ac:dyDescent="0.25">
      <c r="G5961" s="459"/>
      <c r="H5961" s="459">
        <v>5954</v>
      </c>
      <c r="I5961" s="444">
        <f t="shared" ca="1" si="200"/>
        <v>-4.557307314677996E+16</v>
      </c>
      <c r="J5961" s="444">
        <f t="array" ref="J5961">IFERROR(INDEX('Retirement Calculator'!K:K,MATCH('Lorri 401b'!N5961,'Retirement Calculator'!A:A,0),0),0)</f>
        <v>0</v>
      </c>
      <c r="K5961" s="444">
        <f t="shared" ca="1" si="198"/>
        <v>-189887804778249.84</v>
      </c>
      <c r="L5961" s="444">
        <f t="shared" ca="1" si="199"/>
        <v>-4.5762960951558208E+16</v>
      </c>
      <c r="M5961" s="460">
        <f t="shared" si="201"/>
        <v>0.05</v>
      </c>
      <c r="N5961" s="464">
        <f t="shared" si="202"/>
        <v>232478</v>
      </c>
    </row>
    <row r="5962" spans="7:14" ht="11.25" customHeight="1" x14ac:dyDescent="0.25">
      <c r="G5962" s="459"/>
      <c r="H5962" s="459">
        <v>5955</v>
      </c>
      <c r="I5962" s="444">
        <f t="shared" ca="1" si="200"/>
        <v>-4.5762960951558208E+16</v>
      </c>
      <c r="J5962" s="444">
        <f t="array" ref="J5962">IFERROR(INDEX('Retirement Calculator'!K:K,MATCH('Lorri 401b'!N5962,'Retirement Calculator'!A:A,0),0),0)</f>
        <v>0</v>
      </c>
      <c r="K5962" s="444">
        <f t="shared" ca="1" si="198"/>
        <v>-190679003964825.88</v>
      </c>
      <c r="L5962" s="444">
        <f t="shared" ca="1" si="199"/>
        <v>-4.5953639955523032E+16</v>
      </c>
      <c r="M5962" s="460">
        <f t="shared" si="201"/>
        <v>0.05</v>
      </c>
      <c r="N5962" s="464">
        <f t="shared" si="202"/>
        <v>232509</v>
      </c>
    </row>
    <row r="5963" spans="7:14" ht="11.25" customHeight="1" x14ac:dyDescent="0.25">
      <c r="G5963" s="459"/>
      <c r="H5963" s="459">
        <v>5956</v>
      </c>
      <c r="I5963" s="444">
        <f t="shared" ca="1" si="200"/>
        <v>-4.5953639955523032E+16</v>
      </c>
      <c r="J5963" s="444">
        <f t="array" ref="J5963">IFERROR(INDEX('Retirement Calculator'!K:K,MATCH('Lorri 401b'!N5963,'Retirement Calculator'!A:A,0),0),0)</f>
        <v>0</v>
      </c>
      <c r="K5963" s="444">
        <f t="shared" ca="1" si="198"/>
        <v>-191473499814679.31</v>
      </c>
      <c r="L5963" s="444">
        <f t="shared" ca="1" si="199"/>
        <v>-4.6145113455337712E+16</v>
      </c>
      <c r="M5963" s="460">
        <f t="shared" si="201"/>
        <v>0.05</v>
      </c>
      <c r="N5963" s="464">
        <f t="shared" si="202"/>
        <v>232540</v>
      </c>
    </row>
    <row r="5964" spans="7:14" ht="11.25" customHeight="1" x14ac:dyDescent="0.25">
      <c r="G5964" s="459"/>
      <c r="H5964" s="459">
        <v>5957</v>
      </c>
      <c r="I5964" s="444">
        <f t="shared" ca="1" si="200"/>
        <v>-4.6145113455337712E+16</v>
      </c>
      <c r="J5964" s="444">
        <f t="array" ref="J5964">IFERROR(INDEX('Retirement Calculator'!K:K,MATCH('Lorri 401b'!N5964,'Retirement Calculator'!A:A,0),0),0)</f>
        <v>0</v>
      </c>
      <c r="K5964" s="444">
        <f t="shared" ca="1" si="198"/>
        <v>-192271306063907.13</v>
      </c>
      <c r="L5964" s="444">
        <f t="shared" ca="1" si="199"/>
        <v>-4.6337384761401616E+16</v>
      </c>
      <c r="M5964" s="460">
        <f t="shared" si="201"/>
        <v>0.05</v>
      </c>
      <c r="N5964" s="464">
        <f t="shared" si="202"/>
        <v>232570</v>
      </c>
    </row>
    <row r="5965" spans="7:14" ht="11.25" customHeight="1" x14ac:dyDescent="0.25">
      <c r="G5965" s="459"/>
      <c r="H5965" s="459">
        <v>5958</v>
      </c>
      <c r="I5965" s="444">
        <f t="shared" ca="1" si="200"/>
        <v>-4.6337384761401616E+16</v>
      </c>
      <c r="J5965" s="444">
        <f t="array" ref="J5965">IFERROR(INDEX('Retirement Calculator'!K:K,MATCH('Lorri 401b'!N5965,'Retirement Calculator'!A:A,0),0),0)</f>
        <v>0</v>
      </c>
      <c r="K5965" s="444">
        <f t="shared" ca="1" si="198"/>
        <v>-193072436505840.06</v>
      </c>
      <c r="L5965" s="444">
        <f t="shared" ca="1" si="199"/>
        <v>-4.6530457197907456E+16</v>
      </c>
      <c r="M5965" s="460">
        <f t="shared" si="201"/>
        <v>0.05</v>
      </c>
      <c r="N5965" s="464">
        <f t="shared" si="202"/>
        <v>232601</v>
      </c>
    </row>
    <row r="5966" spans="7:14" ht="11.25" customHeight="1" x14ac:dyDescent="0.25">
      <c r="G5966" s="459"/>
      <c r="H5966" s="459">
        <v>5959</v>
      </c>
      <c r="I5966" s="444">
        <f t="shared" ca="1" si="200"/>
        <v>-4.6530457197907456E+16</v>
      </c>
      <c r="J5966" s="444">
        <f t="array" ref="J5966">IFERROR(INDEX('Retirement Calculator'!K:K,MATCH('Lorri 401b'!N5966,'Retirement Calculator'!A:A,0),0),0)</f>
        <v>0</v>
      </c>
      <c r="K5966" s="444">
        <f t="shared" ca="1" si="198"/>
        <v>-193876904991281.06</v>
      </c>
      <c r="L5966" s="444">
        <f t="shared" ca="1" si="199"/>
        <v>-4.6724334102898736E+16</v>
      </c>
      <c r="M5966" s="460">
        <f t="shared" si="201"/>
        <v>0.05</v>
      </c>
      <c r="N5966" s="464">
        <f t="shared" si="202"/>
        <v>232631</v>
      </c>
    </row>
    <row r="5967" spans="7:14" ht="11.25" customHeight="1" x14ac:dyDescent="0.25">
      <c r="G5967" s="459"/>
      <c r="H5967" s="459">
        <v>5960</v>
      </c>
      <c r="I5967" s="444">
        <f t="shared" ca="1" si="200"/>
        <v>-4.6724334102898736E+16</v>
      </c>
      <c r="J5967" s="444">
        <f t="array" ref="J5967">IFERROR(INDEX('Retirement Calculator'!K:K,MATCH('Lorri 401b'!N5967,'Retirement Calculator'!A:A,0),0),0)</f>
        <v>0</v>
      </c>
      <c r="K5967" s="444">
        <f t="shared" ca="1" si="198"/>
        <v>-194684725428744.72</v>
      </c>
      <c r="L5967" s="444">
        <f t="shared" ca="1" si="199"/>
        <v>-4.691901882832748E+16</v>
      </c>
      <c r="M5967" s="460">
        <f t="shared" si="201"/>
        <v>0.05</v>
      </c>
      <c r="N5967" s="464">
        <f t="shared" si="202"/>
        <v>232662</v>
      </c>
    </row>
    <row r="5968" spans="7:14" ht="11.25" customHeight="1" x14ac:dyDescent="0.25">
      <c r="G5968" s="459"/>
      <c r="H5968" s="459">
        <v>5961</v>
      </c>
      <c r="I5968" s="444">
        <f t="shared" ca="1" si="200"/>
        <v>-4.691901882832748E+16</v>
      </c>
      <c r="J5968" s="444">
        <f t="array" ref="J5968">IFERROR(INDEX('Retirement Calculator'!K:K,MATCH('Lorri 401b'!N5968,'Retirement Calculator'!A:A,0),0),0)</f>
        <v>0</v>
      </c>
      <c r="K5968" s="444">
        <f t="shared" ca="1" si="198"/>
        <v>-195495911784697.84</v>
      </c>
      <c r="L5968" s="444">
        <f t="shared" ca="1" si="199"/>
        <v>-4.7114514740112176E+16</v>
      </c>
      <c r="M5968" s="460">
        <f t="shared" si="201"/>
        <v>0.05</v>
      </c>
      <c r="N5968" s="464">
        <f t="shared" si="202"/>
        <v>232693</v>
      </c>
    </row>
    <row r="5969" spans="7:14" ht="11.25" customHeight="1" x14ac:dyDescent="0.25">
      <c r="G5969" s="459"/>
      <c r="H5969" s="459">
        <v>5962</v>
      </c>
      <c r="I5969" s="444">
        <f t="shared" ca="1" si="200"/>
        <v>-4.7114514740112176E+16</v>
      </c>
      <c r="J5969" s="444">
        <f t="array" ref="J5969">IFERROR(INDEX('Retirement Calculator'!K:K,MATCH('Lorri 401b'!N5969,'Retirement Calculator'!A:A,0),0),0)</f>
        <v>0</v>
      </c>
      <c r="K5969" s="444">
        <f t="shared" ca="1" si="198"/>
        <v>-196310478083800.72</v>
      </c>
      <c r="L5969" s="444">
        <f t="shared" ca="1" si="199"/>
        <v>-4.7310825218195976E+16</v>
      </c>
      <c r="M5969" s="460">
        <f t="shared" si="201"/>
        <v>0.05</v>
      </c>
      <c r="N5969" s="464">
        <f t="shared" si="202"/>
        <v>232721</v>
      </c>
    </row>
    <row r="5970" spans="7:14" ht="11.25" customHeight="1" x14ac:dyDescent="0.25">
      <c r="G5970" s="459"/>
      <c r="H5970" s="459">
        <v>5963</v>
      </c>
      <c r="I5970" s="444">
        <f t="shared" ca="1" si="200"/>
        <v>-4.7310825218195976E+16</v>
      </c>
      <c r="J5970" s="444">
        <f t="array" ref="J5970">IFERROR(INDEX('Retirement Calculator'!K:K,MATCH('Lorri 401b'!N5970,'Retirement Calculator'!A:A,0),0),0)</f>
        <v>0</v>
      </c>
      <c r="K5970" s="444">
        <f t="shared" ca="1" si="198"/>
        <v>-197128438409149.91</v>
      </c>
      <c r="L5970" s="444">
        <f t="shared" ca="1" si="199"/>
        <v>-4.7507953656605128E+16</v>
      </c>
      <c r="M5970" s="460">
        <f t="shared" si="201"/>
        <v>0.05</v>
      </c>
      <c r="N5970" s="464">
        <f t="shared" si="202"/>
        <v>232752</v>
      </c>
    </row>
    <row r="5971" spans="7:14" ht="11.25" customHeight="1" x14ac:dyDescent="0.25">
      <c r="G5971" s="459"/>
      <c r="H5971" s="459">
        <v>5964</v>
      </c>
      <c r="I5971" s="444">
        <f t="shared" ca="1" si="200"/>
        <v>-4.7507953656605128E+16</v>
      </c>
      <c r="J5971" s="444">
        <f t="array" ref="J5971">IFERROR(INDEX('Retirement Calculator'!K:K,MATCH('Lorri 401b'!N5971,'Retirement Calculator'!A:A,0),0),0)</f>
        <v>0</v>
      </c>
      <c r="K5971" s="444">
        <f t="shared" ca="1" si="198"/>
        <v>-197949806902521.38</v>
      </c>
      <c r="L5971" s="444">
        <f t="shared" ca="1" si="199"/>
        <v>-4.7705903463507648E+16</v>
      </c>
      <c r="M5971" s="460">
        <f t="shared" si="201"/>
        <v>0.05</v>
      </c>
      <c r="N5971" s="464">
        <f t="shared" si="202"/>
        <v>232782</v>
      </c>
    </row>
    <row r="5972" spans="7:14" ht="11.25" customHeight="1" x14ac:dyDescent="0.25">
      <c r="G5972" s="459"/>
      <c r="H5972" s="459">
        <v>5965</v>
      </c>
      <c r="I5972" s="444">
        <f t="shared" ca="1" si="200"/>
        <v>-4.7705903463507648E+16</v>
      </c>
      <c r="J5972" s="444">
        <f t="array" ref="J5972">IFERROR(INDEX('Retirement Calculator'!K:K,MATCH('Lorri 401b'!N5972,'Retirement Calculator'!A:A,0),0),0)</f>
        <v>0</v>
      </c>
      <c r="K5972" s="444">
        <f t="shared" ca="1" si="198"/>
        <v>-198774597764615.19</v>
      </c>
      <c r="L5972" s="444">
        <f t="shared" ca="1" si="199"/>
        <v>-4.7904678061272264E+16</v>
      </c>
      <c r="M5972" s="460">
        <f t="shared" si="201"/>
        <v>0.05</v>
      </c>
      <c r="N5972" s="464">
        <f t="shared" si="202"/>
        <v>232813</v>
      </c>
    </row>
    <row r="5973" spans="7:14" ht="11.25" customHeight="1" x14ac:dyDescent="0.25">
      <c r="G5973" s="459"/>
      <c r="H5973" s="459">
        <v>5966</v>
      </c>
      <c r="I5973" s="444">
        <f t="shared" ca="1" si="200"/>
        <v>-4.7904678061272264E+16</v>
      </c>
      <c r="J5973" s="444">
        <f t="array" ref="J5973">IFERROR(INDEX('Retirement Calculator'!K:K,MATCH('Lorri 401b'!N5973,'Retirement Calculator'!A:A,0),0),0)</f>
        <v>0</v>
      </c>
      <c r="K5973" s="444">
        <f t="shared" ca="1" si="198"/>
        <v>-199602825255301.09</v>
      </c>
      <c r="L5973" s="444">
        <f t="shared" ca="1" si="199"/>
        <v>-4.8104280886527568E+16</v>
      </c>
      <c r="M5973" s="460">
        <f t="shared" si="201"/>
        <v>0.05</v>
      </c>
      <c r="N5973" s="464">
        <f t="shared" si="202"/>
        <v>232843</v>
      </c>
    </row>
    <row r="5974" spans="7:14" ht="11.25" customHeight="1" x14ac:dyDescent="0.25">
      <c r="G5974" s="459"/>
      <c r="H5974" s="459">
        <v>5967</v>
      </c>
      <c r="I5974" s="444">
        <f t="shared" ca="1" si="200"/>
        <v>-4.8104280886527568E+16</v>
      </c>
      <c r="J5974" s="444">
        <f t="array" ref="J5974">IFERROR(INDEX('Retirement Calculator'!K:K,MATCH('Lorri 401b'!N5974,'Retirement Calculator'!A:A,0),0),0)</f>
        <v>0</v>
      </c>
      <c r="K5974" s="444">
        <f t="shared" ca="1" si="198"/>
        <v>-200434503693864.88</v>
      </c>
      <c r="L5974" s="444">
        <f t="shared" ca="1" si="199"/>
        <v>-4.8304715390221432E+16</v>
      </c>
      <c r="M5974" s="460">
        <f t="shared" si="201"/>
        <v>0.05</v>
      </c>
      <c r="N5974" s="464">
        <f t="shared" si="202"/>
        <v>232874</v>
      </c>
    </row>
    <row r="5975" spans="7:14" ht="11.25" customHeight="1" x14ac:dyDescent="0.25">
      <c r="G5975" s="459"/>
      <c r="H5975" s="459">
        <v>5968</v>
      </c>
      <c r="I5975" s="444">
        <f t="shared" ca="1" si="200"/>
        <v>-4.8304715390221432E+16</v>
      </c>
      <c r="J5975" s="444">
        <f t="array" ref="J5975">IFERROR(INDEX('Retirement Calculator'!K:K,MATCH('Lorri 401b'!N5975,'Retirement Calculator'!A:A,0),0),0)</f>
        <v>0</v>
      </c>
      <c r="K5975" s="444">
        <f t="shared" ca="1" si="198"/>
        <v>-201269647459255.97</v>
      </c>
      <c r="L5975" s="444">
        <f t="shared" ca="1" si="199"/>
        <v>-4.8505985037680688E+16</v>
      </c>
      <c r="M5975" s="460">
        <f t="shared" si="201"/>
        <v>0.05</v>
      </c>
      <c r="N5975" s="464">
        <f t="shared" si="202"/>
        <v>232905</v>
      </c>
    </row>
    <row r="5976" spans="7:14" ht="11.25" customHeight="1" x14ac:dyDescent="0.25">
      <c r="G5976" s="459"/>
      <c r="H5976" s="459">
        <v>5969</v>
      </c>
      <c r="I5976" s="444">
        <f t="shared" ca="1" si="200"/>
        <v>-4.8505985037680688E+16</v>
      </c>
      <c r="J5976" s="444">
        <f t="array" ref="J5976">IFERROR(INDEX('Retirement Calculator'!K:K,MATCH('Lorri 401b'!N5976,'Retirement Calculator'!A:A,0),0),0)</f>
        <v>0</v>
      </c>
      <c r="K5976" s="444">
        <f t="shared" ca="1" si="198"/>
        <v>-202108270990336.19</v>
      </c>
      <c r="L5976" s="444">
        <f t="shared" ca="1" si="199"/>
        <v>-4.8708093308671024E+16</v>
      </c>
      <c r="M5976" s="460">
        <f t="shared" si="201"/>
        <v>0.05</v>
      </c>
      <c r="N5976" s="464">
        <f t="shared" si="202"/>
        <v>232935</v>
      </c>
    </row>
    <row r="5977" spans="7:14" ht="11.25" customHeight="1" x14ac:dyDescent="0.25">
      <c r="G5977" s="459"/>
      <c r="H5977" s="459">
        <v>5970</v>
      </c>
      <c r="I5977" s="444">
        <f t="shared" ca="1" si="200"/>
        <v>-4.8708093308671024E+16</v>
      </c>
      <c r="J5977" s="444">
        <f t="array" ref="J5977">IFERROR(INDEX('Retirement Calculator'!K:K,MATCH('Lorri 401b'!N5977,'Retirement Calculator'!A:A,0),0),0)</f>
        <v>0</v>
      </c>
      <c r="K5977" s="444">
        <f t="shared" ca="1" si="198"/>
        <v>-202950388786129.25</v>
      </c>
      <c r="L5977" s="444">
        <f t="shared" ca="1" si="199"/>
        <v>-4.8911043697457152E+16</v>
      </c>
      <c r="M5977" s="460">
        <f t="shared" si="201"/>
        <v>0.05</v>
      </c>
      <c r="N5977" s="464">
        <f t="shared" si="202"/>
        <v>232966</v>
      </c>
    </row>
    <row r="5978" spans="7:14" ht="11.25" customHeight="1" x14ac:dyDescent="0.25">
      <c r="G5978" s="459"/>
      <c r="H5978" s="459">
        <v>5971</v>
      </c>
      <c r="I5978" s="444">
        <f t="shared" ca="1" si="200"/>
        <v>-4.8911043697457152E+16</v>
      </c>
      <c r="J5978" s="444">
        <f t="array" ref="J5978">IFERROR(INDEX('Retirement Calculator'!K:K,MATCH('Lorri 401b'!N5978,'Retirement Calculator'!A:A,0),0),0)</f>
        <v>0</v>
      </c>
      <c r="K5978" s="444">
        <f t="shared" ca="1" si="198"/>
        <v>-203796015406071.47</v>
      </c>
      <c r="L5978" s="444">
        <f t="shared" ca="1" si="199"/>
        <v>-4.9114839712863224E+16</v>
      </c>
      <c r="M5978" s="460">
        <f t="shared" si="201"/>
        <v>0.05</v>
      </c>
      <c r="N5978" s="464">
        <f t="shared" si="202"/>
        <v>232996</v>
      </c>
    </row>
    <row r="5979" spans="7:14" ht="11.25" customHeight="1" x14ac:dyDescent="0.25">
      <c r="G5979" s="459"/>
      <c r="H5979" s="459">
        <v>5972</v>
      </c>
      <c r="I5979" s="444">
        <f t="shared" ca="1" si="200"/>
        <v>-4.9114839712863224E+16</v>
      </c>
      <c r="J5979" s="444">
        <f t="array" ref="J5979">IFERROR(INDEX('Retirement Calculator'!K:K,MATCH('Lorri 401b'!N5979,'Retirement Calculator'!A:A,0),0),0)</f>
        <v>0</v>
      </c>
      <c r="K5979" s="444">
        <f t="shared" ca="1" si="198"/>
        <v>-204645165470263.44</v>
      </c>
      <c r="L5979" s="444">
        <f t="shared" ca="1" si="199"/>
        <v>-4.9319484878333488E+16</v>
      </c>
      <c r="M5979" s="460">
        <f t="shared" si="201"/>
        <v>0.05</v>
      </c>
      <c r="N5979" s="464">
        <f t="shared" si="202"/>
        <v>233027</v>
      </c>
    </row>
    <row r="5980" spans="7:14" ht="11.25" customHeight="1" x14ac:dyDescent="0.25">
      <c r="G5980" s="459"/>
      <c r="H5980" s="459">
        <v>5973</v>
      </c>
      <c r="I5980" s="444">
        <f t="shared" ca="1" si="200"/>
        <v>-4.9319484878333488E+16</v>
      </c>
      <c r="J5980" s="444">
        <f t="array" ref="J5980">IFERROR(INDEX('Retirement Calculator'!K:K,MATCH('Lorri 401b'!N5980,'Retirement Calculator'!A:A,0),0),0)</f>
        <v>0</v>
      </c>
      <c r="K5980" s="444">
        <f t="shared" ca="1" si="198"/>
        <v>-205497853659722.88</v>
      </c>
      <c r="L5980" s="444">
        <f t="shared" ca="1" si="199"/>
        <v>-4.9524982731993208E+16</v>
      </c>
      <c r="M5980" s="460">
        <f t="shared" si="201"/>
        <v>0.05</v>
      </c>
      <c r="N5980" s="464">
        <f t="shared" si="202"/>
        <v>233058</v>
      </c>
    </row>
    <row r="5981" spans="7:14" ht="11.25" customHeight="1" x14ac:dyDescent="0.25">
      <c r="G5981" s="459"/>
      <c r="H5981" s="459">
        <v>5974</v>
      </c>
      <c r="I5981" s="444">
        <f t="shared" ca="1" si="200"/>
        <v>-4.9524982731993208E+16</v>
      </c>
      <c r="J5981" s="444">
        <f t="array" ref="J5981">IFERROR(INDEX('Retirement Calculator'!K:K,MATCH('Lorri 401b'!N5981,'Retirement Calculator'!A:A,0),0),0)</f>
        <v>0</v>
      </c>
      <c r="K5981" s="444">
        <f t="shared" ca="1" si="198"/>
        <v>-206354094716638.38</v>
      </c>
      <c r="L5981" s="444">
        <f t="shared" ca="1" si="199"/>
        <v>-4.9731336826709848E+16</v>
      </c>
      <c r="M5981" s="460">
        <f t="shared" si="201"/>
        <v>0.05</v>
      </c>
      <c r="N5981" s="464">
        <f t="shared" si="202"/>
        <v>233086</v>
      </c>
    </row>
    <row r="5982" spans="7:14" ht="11.25" customHeight="1" x14ac:dyDescent="0.25">
      <c r="G5982" s="459"/>
      <c r="H5982" s="459">
        <v>5975</v>
      </c>
      <c r="I5982" s="444">
        <f t="shared" ca="1" si="200"/>
        <v>-4.9731336826709848E+16</v>
      </c>
      <c r="J5982" s="444">
        <f t="array" ref="J5982">IFERROR(INDEX('Retirement Calculator'!K:K,MATCH('Lorri 401b'!N5982,'Retirement Calculator'!A:A,0),0),0)</f>
        <v>0</v>
      </c>
      <c r="K5982" s="444">
        <f t="shared" ca="1" si="198"/>
        <v>-207213903444624.38</v>
      </c>
      <c r="L5982" s="444">
        <f t="shared" ca="1" si="199"/>
        <v>-4.9938550730154472E+16</v>
      </c>
      <c r="M5982" s="460">
        <f t="shared" si="201"/>
        <v>0.05</v>
      </c>
      <c r="N5982" s="464">
        <f t="shared" si="202"/>
        <v>233117</v>
      </c>
    </row>
    <row r="5983" spans="7:14" ht="11.25" customHeight="1" x14ac:dyDescent="0.25">
      <c r="G5983" s="459"/>
      <c r="H5983" s="459">
        <v>5976</v>
      </c>
      <c r="I5983" s="444">
        <f t="shared" ca="1" si="200"/>
        <v>-4.9938550730154472E+16</v>
      </c>
      <c r="J5983" s="444">
        <f t="array" ref="J5983">IFERROR(INDEX('Retirement Calculator'!K:K,MATCH('Lorri 401b'!N5983,'Retirement Calculator'!A:A,0),0),0)</f>
        <v>0</v>
      </c>
      <c r="K5983" s="444">
        <f t="shared" ca="1" si="198"/>
        <v>-208077294708976.97</v>
      </c>
      <c r="L5983" s="444">
        <f t="shared" ca="1" si="199"/>
        <v>-5.0146628024863448E+16</v>
      </c>
      <c r="M5983" s="460">
        <f t="shared" si="201"/>
        <v>0.05</v>
      </c>
      <c r="N5983" s="464">
        <f t="shared" si="202"/>
        <v>233147</v>
      </c>
    </row>
    <row r="5984" spans="7:14" ht="11.25" customHeight="1" x14ac:dyDescent="0.25">
      <c r="G5984" s="459"/>
      <c r="H5984" s="459">
        <v>5977</v>
      </c>
      <c r="I5984" s="444">
        <f t="shared" ca="1" si="200"/>
        <v>-5.0146628024863448E+16</v>
      </c>
      <c r="J5984" s="444">
        <f t="array" ref="J5984">IFERROR(INDEX('Retirement Calculator'!K:K,MATCH('Lorri 401b'!N5984,'Retirement Calculator'!A:A,0),0),0)</f>
        <v>0</v>
      </c>
      <c r="K5984" s="444">
        <f t="shared" ca="1" si="198"/>
        <v>-208944283436931.03</v>
      </c>
      <c r="L5984" s="444">
        <f t="shared" ca="1" si="199"/>
        <v>-5.0355572308300376E+16</v>
      </c>
      <c r="M5984" s="460">
        <f t="shared" si="201"/>
        <v>0.05</v>
      </c>
      <c r="N5984" s="464">
        <f t="shared" si="202"/>
        <v>233178</v>
      </c>
    </row>
    <row r="5985" spans="7:14" ht="11.25" customHeight="1" x14ac:dyDescent="0.25">
      <c r="G5985" s="459"/>
      <c r="H5985" s="459">
        <v>5978</v>
      </c>
      <c r="I5985" s="444">
        <f t="shared" ca="1" si="200"/>
        <v>-5.0355572308300376E+16</v>
      </c>
      <c r="J5985" s="444">
        <f t="array" ref="J5985">IFERROR(INDEX('Retirement Calculator'!K:K,MATCH('Lorri 401b'!N5985,'Retirement Calculator'!A:A,0),0),0)</f>
        <v>0</v>
      </c>
      <c r="K5985" s="444">
        <f t="shared" ca="1" si="198"/>
        <v>-209814884617918.22</v>
      </c>
      <c r="L5985" s="444">
        <f t="shared" ca="1" si="199"/>
        <v>-5.0565387192918296E+16</v>
      </c>
      <c r="M5985" s="460">
        <f t="shared" si="201"/>
        <v>0.05</v>
      </c>
      <c r="N5985" s="464">
        <f t="shared" si="202"/>
        <v>233208</v>
      </c>
    </row>
    <row r="5986" spans="7:14" ht="11.25" customHeight="1" x14ac:dyDescent="0.25">
      <c r="G5986" s="459"/>
      <c r="H5986" s="459">
        <v>5979</v>
      </c>
      <c r="I5986" s="444">
        <f t="shared" ca="1" si="200"/>
        <v>-5.0565387192918296E+16</v>
      </c>
      <c r="J5986" s="444">
        <f t="array" ref="J5986">IFERROR(INDEX('Retirement Calculator'!K:K,MATCH('Lorri 401b'!N5986,'Retirement Calculator'!A:A,0),0),0)</f>
        <v>0</v>
      </c>
      <c r="K5986" s="444">
        <f t="shared" ca="1" si="198"/>
        <v>-210689113303826.22</v>
      </c>
      <c r="L5986" s="444">
        <f t="shared" ca="1" si="199"/>
        <v>-5.077607630622212E+16</v>
      </c>
      <c r="M5986" s="460">
        <f t="shared" si="201"/>
        <v>0.05</v>
      </c>
      <c r="N5986" s="464">
        <f t="shared" si="202"/>
        <v>233239</v>
      </c>
    </row>
    <row r="5987" spans="7:14" ht="11.25" customHeight="1" x14ac:dyDescent="0.25">
      <c r="G5987" s="459"/>
      <c r="H5987" s="459">
        <v>5980</v>
      </c>
      <c r="I5987" s="444">
        <f t="shared" ca="1" si="200"/>
        <v>-5.077607630622212E+16</v>
      </c>
      <c r="J5987" s="444">
        <f t="array" ref="J5987">IFERROR(INDEX('Retirement Calculator'!K:K,MATCH('Lorri 401b'!N5987,'Retirement Calculator'!A:A,0),0),0)</f>
        <v>0</v>
      </c>
      <c r="K5987" s="444">
        <f t="shared" ca="1" si="198"/>
        <v>-211566984609258.84</v>
      </c>
      <c r="L5987" s="444">
        <f t="shared" ca="1" si="199"/>
        <v>-5.0987643290831376E+16</v>
      </c>
      <c r="M5987" s="460">
        <f t="shared" si="201"/>
        <v>0.05</v>
      </c>
      <c r="N5987" s="464">
        <f t="shared" si="202"/>
        <v>233270</v>
      </c>
    </row>
    <row r="5988" spans="7:14" ht="11.25" customHeight="1" x14ac:dyDescent="0.25">
      <c r="G5988" s="459"/>
      <c r="H5988" s="459">
        <v>5981</v>
      </c>
      <c r="I5988" s="444">
        <f t="shared" ca="1" si="200"/>
        <v>-5.0987643290831376E+16</v>
      </c>
      <c r="J5988" s="444">
        <f t="array" ref="J5988">IFERROR(INDEX('Retirement Calculator'!K:K,MATCH('Lorri 401b'!N5988,'Retirement Calculator'!A:A,0),0),0)</f>
        <v>0</v>
      </c>
      <c r="K5988" s="444">
        <f t="shared" ca="1" si="198"/>
        <v>-212448513711797.41</v>
      </c>
      <c r="L5988" s="444">
        <f t="shared" ca="1" si="199"/>
        <v>-5.1200091804543176E+16</v>
      </c>
      <c r="M5988" s="460">
        <f t="shared" si="201"/>
        <v>0.05</v>
      </c>
      <c r="N5988" s="464">
        <f t="shared" si="202"/>
        <v>233300</v>
      </c>
    </row>
    <row r="5989" spans="7:14" ht="11.25" customHeight="1" x14ac:dyDescent="0.25">
      <c r="G5989" s="459"/>
      <c r="H5989" s="459">
        <v>5982</v>
      </c>
      <c r="I5989" s="444">
        <f t="shared" ca="1" si="200"/>
        <v>-5.1200091804543176E+16</v>
      </c>
      <c r="J5989" s="444">
        <f t="array" ref="J5989">IFERROR(INDEX('Retirement Calculator'!K:K,MATCH('Lorri 401b'!N5989,'Retirement Calculator'!A:A,0),0),0)</f>
        <v>0</v>
      </c>
      <c r="K5989" s="444">
        <f t="shared" ca="1" si="198"/>
        <v>-213333715852263.22</v>
      </c>
      <c r="L5989" s="444">
        <f t="shared" ca="1" si="199"/>
        <v>-5.141342552039544E+16</v>
      </c>
      <c r="M5989" s="460">
        <f t="shared" si="201"/>
        <v>0.05</v>
      </c>
      <c r="N5989" s="464">
        <f t="shared" si="202"/>
        <v>233331</v>
      </c>
    </row>
    <row r="5990" spans="7:14" ht="11.25" customHeight="1" x14ac:dyDescent="0.25">
      <c r="G5990" s="459"/>
      <c r="H5990" s="459">
        <v>5983</v>
      </c>
      <c r="I5990" s="444">
        <f t="shared" ca="1" si="200"/>
        <v>-5.141342552039544E+16</v>
      </c>
      <c r="J5990" s="444">
        <f t="array" ref="J5990">IFERROR(INDEX('Retirement Calculator'!K:K,MATCH('Lorri 401b'!N5990,'Retirement Calculator'!A:A,0),0),0)</f>
        <v>0</v>
      </c>
      <c r="K5990" s="444">
        <f t="shared" ca="1" si="198"/>
        <v>-214222606334981</v>
      </c>
      <c r="L5990" s="444">
        <f t="shared" ca="1" si="199"/>
        <v>-5.1627648126730424E+16</v>
      </c>
      <c r="M5990" s="460">
        <f t="shared" si="201"/>
        <v>0.05</v>
      </c>
      <c r="N5990" s="464">
        <f t="shared" si="202"/>
        <v>233361</v>
      </c>
    </row>
    <row r="5991" spans="7:14" ht="11.25" customHeight="1" x14ac:dyDescent="0.25">
      <c r="G5991" s="459"/>
      <c r="H5991" s="459">
        <v>5984</v>
      </c>
      <c r="I5991" s="444">
        <f t="shared" ca="1" si="200"/>
        <v>-5.1627648126730424E+16</v>
      </c>
      <c r="J5991" s="444">
        <f t="array" ref="J5991">IFERROR(INDEX('Retirement Calculator'!K:K,MATCH('Lorri 401b'!N5991,'Retirement Calculator'!A:A,0),0),0)</f>
        <v>0</v>
      </c>
      <c r="K5991" s="444">
        <f t="shared" ca="1" si="198"/>
        <v>-215115200528043.44</v>
      </c>
      <c r="L5991" s="444">
        <f t="shared" ca="1" si="199"/>
        <v>-5.1842763327258464E+16</v>
      </c>
      <c r="M5991" s="460">
        <f t="shared" si="201"/>
        <v>0.05</v>
      </c>
      <c r="N5991" s="464">
        <f t="shared" si="202"/>
        <v>233392</v>
      </c>
    </row>
    <row r="5992" spans="7:14" ht="11.25" customHeight="1" x14ac:dyDescent="0.25">
      <c r="G5992" s="459"/>
      <c r="H5992" s="459">
        <v>5985</v>
      </c>
      <c r="I5992" s="444">
        <f t="shared" ca="1" si="200"/>
        <v>-5.1842763327258464E+16</v>
      </c>
      <c r="J5992" s="444">
        <f t="array" ref="J5992">IFERROR(INDEX('Retirement Calculator'!K:K,MATCH('Lorri 401b'!N5992,'Retirement Calculator'!A:A,0),0),0)</f>
        <v>0</v>
      </c>
      <c r="K5992" s="444">
        <f t="shared" ca="1" si="198"/>
        <v>-216011513863576.94</v>
      </c>
      <c r="L5992" s="444">
        <f t="shared" ca="1" si="199"/>
        <v>-5.205877484112204E+16</v>
      </c>
      <c r="M5992" s="460">
        <f t="shared" si="201"/>
        <v>0.05</v>
      </c>
      <c r="N5992" s="464">
        <f t="shared" si="202"/>
        <v>233423</v>
      </c>
    </row>
    <row r="5993" spans="7:14" ht="11.25" customHeight="1" x14ac:dyDescent="0.25">
      <c r="G5993" s="459"/>
      <c r="H5993" s="459">
        <v>5986</v>
      </c>
      <c r="I5993" s="444">
        <f t="shared" ca="1" si="200"/>
        <v>-5.205877484112204E+16</v>
      </c>
      <c r="J5993" s="444">
        <f t="array" ref="J5993">IFERROR(INDEX('Retirement Calculator'!K:K,MATCH('Lorri 401b'!N5993,'Retirement Calculator'!A:A,0),0),0)</f>
        <v>0</v>
      </c>
      <c r="K5993" s="444">
        <f t="shared" ca="1" si="198"/>
        <v>-216911561838008.5</v>
      </c>
      <c r="L5993" s="444">
        <f t="shared" ca="1" si="199"/>
        <v>-5.2275686402960048E+16</v>
      </c>
      <c r="M5993" s="460">
        <f t="shared" si="201"/>
        <v>0.05</v>
      </c>
      <c r="N5993" s="464">
        <f t="shared" si="202"/>
        <v>233451</v>
      </c>
    </row>
    <row r="5994" spans="7:14" ht="11.25" customHeight="1" x14ac:dyDescent="0.25">
      <c r="G5994" s="459"/>
      <c r="H5994" s="459">
        <v>5987</v>
      </c>
      <c r="I5994" s="444">
        <f t="shared" ca="1" si="200"/>
        <v>-5.2275686402960048E+16</v>
      </c>
      <c r="J5994" s="444">
        <f t="array" ref="J5994">IFERROR(INDEX('Retirement Calculator'!K:K,MATCH('Lorri 401b'!N5994,'Retirement Calculator'!A:A,0),0),0)</f>
        <v>0</v>
      </c>
      <c r="K5994" s="444">
        <f t="shared" ca="1" si="198"/>
        <v>-217815360012333.53</v>
      </c>
      <c r="L5994" s="444">
        <f t="shared" ca="1" si="199"/>
        <v>-5.2493501762972384E+16</v>
      </c>
      <c r="M5994" s="460">
        <f t="shared" si="201"/>
        <v>0.05</v>
      </c>
      <c r="N5994" s="464">
        <f t="shared" si="202"/>
        <v>233482</v>
      </c>
    </row>
    <row r="5995" spans="7:14" ht="11.25" customHeight="1" x14ac:dyDescent="0.25">
      <c r="G5995" s="459"/>
      <c r="H5995" s="459">
        <v>5988</v>
      </c>
      <c r="I5995" s="444">
        <f t="shared" ca="1" si="200"/>
        <v>-5.2493501762972384E+16</v>
      </c>
      <c r="J5995" s="444">
        <f t="array" ref="J5995">IFERROR(INDEX('Retirement Calculator'!K:K,MATCH('Lorri 401b'!N5995,'Retirement Calculator'!A:A,0),0),0)</f>
        <v>0</v>
      </c>
      <c r="K5995" s="444">
        <f t="shared" ca="1" si="198"/>
        <v>-218722924012384.94</v>
      </c>
      <c r="L5995" s="444">
        <f t="shared" ca="1" si="199"/>
        <v>-5.2712224686984768E+16</v>
      </c>
      <c r="M5995" s="460">
        <f t="shared" si="201"/>
        <v>0.05</v>
      </c>
      <c r="N5995" s="464">
        <f t="shared" si="202"/>
        <v>233512</v>
      </c>
    </row>
    <row r="5996" spans="7:14" ht="11.25" customHeight="1" x14ac:dyDescent="0.25">
      <c r="G5996" s="459"/>
      <c r="H5996" s="459">
        <v>5989</v>
      </c>
      <c r="I5996" s="444">
        <f t="shared" ca="1" si="200"/>
        <v>-5.2712224686984768E+16</v>
      </c>
      <c r="J5996" s="444">
        <f t="array" ref="J5996">IFERROR(INDEX('Retirement Calculator'!K:K,MATCH('Lorri 401b'!N5996,'Retirement Calculator'!A:A,0),0),0)</f>
        <v>0</v>
      </c>
      <c r="K5996" s="444">
        <f t="shared" ca="1" si="198"/>
        <v>-219634269529103.19</v>
      </c>
      <c r="L5996" s="444">
        <f t="shared" ca="1" si="199"/>
        <v>-5.2931858956513872E+16</v>
      </c>
      <c r="M5996" s="460">
        <f t="shared" si="201"/>
        <v>0.05</v>
      </c>
      <c r="N5996" s="464">
        <f t="shared" si="202"/>
        <v>233543</v>
      </c>
    </row>
    <row r="5997" spans="7:14" ht="11.25" customHeight="1" x14ac:dyDescent="0.25">
      <c r="G5997" s="459"/>
      <c r="H5997" s="459">
        <v>5990</v>
      </c>
      <c r="I5997" s="444">
        <f t="shared" ca="1" si="200"/>
        <v>-5.2931858956513872E+16</v>
      </c>
      <c r="J5997" s="444">
        <f t="array" ref="J5997">IFERROR(INDEX('Retirement Calculator'!K:K,MATCH('Lorri 401b'!N5997,'Retirement Calculator'!A:A,0),0),0)</f>
        <v>0</v>
      </c>
      <c r="K5997" s="444">
        <f t="shared" ca="1" si="198"/>
        <v>-220549412318807.81</v>
      </c>
      <c r="L5997" s="444">
        <f t="shared" ca="1" si="199"/>
        <v>-5.315240836883268E+16</v>
      </c>
      <c r="M5997" s="460">
        <f t="shared" si="201"/>
        <v>0.05</v>
      </c>
      <c r="N5997" s="464">
        <f t="shared" si="202"/>
        <v>233573</v>
      </c>
    </row>
    <row r="5998" spans="7:14" ht="11.25" customHeight="1" x14ac:dyDescent="0.25">
      <c r="G5998" s="459"/>
      <c r="H5998" s="459">
        <v>5991</v>
      </c>
      <c r="I5998" s="444">
        <f t="shared" ca="1" si="200"/>
        <v>-5.315240836883268E+16</v>
      </c>
      <c r="J5998" s="444">
        <f t="array" ref="J5998">IFERROR(INDEX('Retirement Calculator'!K:K,MATCH('Lorri 401b'!N5998,'Retirement Calculator'!A:A,0),0),0)</f>
        <v>0</v>
      </c>
      <c r="K5998" s="444">
        <f t="shared" ca="1" si="198"/>
        <v>-221468368203469.5</v>
      </c>
      <c r="L5998" s="444">
        <f t="shared" ca="1" si="199"/>
        <v>-5.3373876737036152E+16</v>
      </c>
      <c r="M5998" s="460">
        <f t="shared" si="201"/>
        <v>0.05</v>
      </c>
      <c r="N5998" s="464">
        <f t="shared" si="202"/>
        <v>233604</v>
      </c>
    </row>
    <row r="5999" spans="7:14" ht="11.25" customHeight="1" x14ac:dyDescent="0.25">
      <c r="G5999" s="459"/>
      <c r="H5999" s="459">
        <v>5992</v>
      </c>
      <c r="I5999" s="444">
        <f t="shared" ca="1" si="200"/>
        <v>-5.3373876737036152E+16</v>
      </c>
      <c r="J5999" s="444">
        <f t="array" ref="J5999">IFERROR(INDEX('Retirement Calculator'!K:K,MATCH('Lorri 401b'!N5999,'Retirement Calculator'!A:A,0),0),0)</f>
        <v>0</v>
      </c>
      <c r="K5999" s="444">
        <f t="shared" ca="1" si="198"/>
        <v>-222391153070983.97</v>
      </c>
      <c r="L5999" s="444">
        <f t="shared" ca="1" si="199"/>
        <v>-5.3596267890107136E+16</v>
      </c>
      <c r="M5999" s="460">
        <f t="shared" si="201"/>
        <v>0.05</v>
      </c>
      <c r="N5999" s="464">
        <f t="shared" si="202"/>
        <v>233635</v>
      </c>
    </row>
    <row r="6000" spans="7:14" ht="11.25" customHeight="1" x14ac:dyDescent="0.25">
      <c r="G6000" s="459"/>
      <c r="H6000" s="459">
        <v>5993</v>
      </c>
      <c r="I6000" s="444">
        <f t="shared" ca="1" si="200"/>
        <v>-5.3596267890107136E+16</v>
      </c>
      <c r="J6000" s="444">
        <f t="array" ref="J6000">IFERROR(INDEX('Retirement Calculator'!K:K,MATCH('Lorri 401b'!N6000,'Retirement Calculator'!A:A,0),0),0)</f>
        <v>0</v>
      </c>
      <c r="K6000" s="444">
        <f t="shared" ca="1" si="198"/>
        <v>-223317782875446.41</v>
      </c>
      <c r="L6000" s="444">
        <f t="shared" ca="1" si="199"/>
        <v>-5.3819585672982584E+16</v>
      </c>
      <c r="M6000" s="460">
        <f t="shared" si="201"/>
        <v>0.05</v>
      </c>
      <c r="N6000" s="464">
        <f t="shared" si="202"/>
        <v>233665</v>
      </c>
    </row>
    <row r="6001" spans="7:14" ht="11.25" customHeight="1" x14ac:dyDescent="0.25">
      <c r="G6001" s="459"/>
      <c r="H6001" s="459">
        <v>5994</v>
      </c>
      <c r="I6001" s="444">
        <f t="shared" ca="1" si="200"/>
        <v>-5.3819585672982584E+16</v>
      </c>
      <c r="J6001" s="444">
        <f t="array" ref="J6001">IFERROR(INDEX('Retirement Calculator'!K:K,MATCH('Lorri 401b'!N6001,'Retirement Calculator'!A:A,0),0),0)</f>
        <v>0</v>
      </c>
      <c r="K6001" s="444">
        <f t="shared" ca="1" si="198"/>
        <v>-224248273637427.44</v>
      </c>
      <c r="L6001" s="444">
        <f t="shared" ca="1" si="199"/>
        <v>-5.4043833946620008E+16</v>
      </c>
      <c r="M6001" s="460">
        <f t="shared" si="201"/>
        <v>0.05</v>
      </c>
      <c r="N6001" s="464">
        <f t="shared" si="202"/>
        <v>233696</v>
      </c>
    </row>
    <row r="6002" spans="7:14" ht="11.25" customHeight="1" x14ac:dyDescent="0.25">
      <c r="G6002" s="459"/>
      <c r="H6002" s="459">
        <v>5995</v>
      </c>
      <c r="I6002" s="444">
        <f t="shared" ca="1" si="200"/>
        <v>-5.4043833946620008E+16</v>
      </c>
      <c r="J6002" s="444">
        <f t="array" ref="J6002">IFERROR(INDEX('Retirement Calculator'!K:K,MATCH('Lorri 401b'!N6002,'Retirement Calculator'!A:A,0),0),0)</f>
        <v>0</v>
      </c>
      <c r="K6002" s="444">
        <f t="shared" ca="1" si="198"/>
        <v>-225182641444250.03</v>
      </c>
      <c r="L6002" s="444">
        <f t="shared" ca="1" si="199"/>
        <v>-5.4269016588064256E+16</v>
      </c>
      <c r="M6002" s="460">
        <f t="shared" si="201"/>
        <v>0.05</v>
      </c>
      <c r="N6002" s="464">
        <f t="shared" si="202"/>
        <v>233726</v>
      </c>
    </row>
    <row r="6003" spans="7:14" ht="11.25" customHeight="1" x14ac:dyDescent="0.25">
      <c r="G6003" s="459"/>
      <c r="H6003" s="459">
        <v>5996</v>
      </c>
      <c r="I6003" s="444">
        <f t="shared" ca="1" si="200"/>
        <v>-5.4269016588064256E+16</v>
      </c>
      <c r="J6003" s="444">
        <f t="array" ref="J6003">IFERROR(INDEX('Retirement Calculator'!K:K,MATCH('Lorri 401b'!N6003,'Retirement Calculator'!A:A,0),0),0)</f>
        <v>0</v>
      </c>
      <c r="K6003" s="444">
        <f t="shared" ca="1" si="198"/>
        <v>-226120902450267.72</v>
      </c>
      <c r="L6003" s="444">
        <f t="shared" ca="1" si="199"/>
        <v>-5.449513749051452E+16</v>
      </c>
      <c r="M6003" s="460">
        <f t="shared" si="201"/>
        <v>0.05</v>
      </c>
      <c r="N6003" s="464">
        <f t="shared" si="202"/>
        <v>233757</v>
      </c>
    </row>
    <row r="6004" spans="7:14" ht="11.25" customHeight="1" x14ac:dyDescent="0.25">
      <c r="G6004" s="459"/>
      <c r="H6004" s="459">
        <v>5997</v>
      </c>
      <c r="I6004" s="444">
        <f t="shared" ca="1" si="200"/>
        <v>-5.449513749051452E+16</v>
      </c>
      <c r="J6004" s="444">
        <f t="array" ref="J6004">IFERROR(INDEX('Retirement Calculator'!K:K,MATCH('Lorri 401b'!N6004,'Retirement Calculator'!A:A,0),0),0)</f>
        <v>0</v>
      </c>
      <c r="K6004" s="444">
        <f t="shared" ca="1" si="198"/>
        <v>-227063072877143.84</v>
      </c>
      <c r="L6004" s="444">
        <f t="shared" ca="1" si="199"/>
        <v>-5.4722200563391664E+16</v>
      </c>
      <c r="M6004" s="460">
        <f t="shared" si="201"/>
        <v>0.05</v>
      </c>
      <c r="N6004" s="464">
        <f t="shared" si="202"/>
        <v>233788</v>
      </c>
    </row>
    <row r="6005" spans="7:14" ht="11.25" customHeight="1" x14ac:dyDescent="0.25">
      <c r="G6005" s="459"/>
      <c r="H6005" s="459">
        <v>5998</v>
      </c>
      <c r="I6005" s="444">
        <f t="shared" ca="1" si="200"/>
        <v>-5.4722200563391664E+16</v>
      </c>
      <c r="J6005" s="444">
        <f t="array" ref="J6005">IFERROR(INDEX('Retirement Calculator'!K:K,MATCH('Lorri 401b'!N6005,'Retirement Calculator'!A:A,0),0),0)</f>
        <v>0</v>
      </c>
      <c r="K6005" s="444">
        <f t="shared" ca="1" si="198"/>
        <v>-228009169014131.94</v>
      </c>
      <c r="L6005" s="444">
        <f t="shared" ca="1" si="199"/>
        <v>-5.4950209732405792E+16</v>
      </c>
      <c r="M6005" s="460">
        <f t="shared" si="201"/>
        <v>0.05</v>
      </c>
      <c r="N6005" s="464">
        <f t="shared" si="202"/>
        <v>233817</v>
      </c>
    </row>
    <row r="6006" spans="7:14" ht="11.25" customHeight="1" x14ac:dyDescent="0.25">
      <c r="G6006" s="459"/>
      <c r="H6006" s="459">
        <v>5999</v>
      </c>
      <c r="I6006" s="444">
        <f t="shared" ca="1" si="200"/>
        <v>-5.4950209732405792E+16</v>
      </c>
      <c r="J6006" s="444">
        <f t="array" ref="J6006">IFERROR(INDEX('Retirement Calculator'!K:K,MATCH('Lorri 401b'!N6006,'Retirement Calculator'!A:A,0),0),0)</f>
        <v>0</v>
      </c>
      <c r="K6006" s="444">
        <f t="shared" ca="1" si="198"/>
        <v>-228959207218357.47</v>
      </c>
      <c r="L6006" s="444">
        <f t="shared" ca="1" si="199"/>
        <v>-5.5179168939624152E+16</v>
      </c>
      <c r="M6006" s="460">
        <f t="shared" si="201"/>
        <v>0.05</v>
      </c>
      <c r="N6006" s="464">
        <f t="shared" si="202"/>
        <v>233848</v>
      </c>
    </row>
    <row r="6007" spans="7:14" ht="11.25" customHeight="1" x14ac:dyDescent="0.25">
      <c r="G6007" s="459"/>
      <c r="H6007" s="459">
        <v>6000</v>
      </c>
      <c r="I6007" s="444">
        <f t="shared" ca="1" si="200"/>
        <v>-5.5179168939624152E+16</v>
      </c>
      <c r="J6007" s="444">
        <f t="array" ref="J6007">IFERROR(INDEX('Retirement Calculator'!K:K,MATCH('Lorri 401b'!N6007,'Retirement Calculator'!A:A,0),0),0)</f>
        <v>0</v>
      </c>
      <c r="K6007" s="444">
        <f t="shared" ca="1" si="198"/>
        <v>-229913203915100.63</v>
      </c>
      <c r="L6007" s="444">
        <f t="shared" ca="1" si="199"/>
        <v>-5.5409082143539256E+16</v>
      </c>
      <c r="M6007" s="460">
        <f t="shared" si="201"/>
        <v>0.05</v>
      </c>
      <c r="N6007" s="464">
        <f t="shared" si="202"/>
        <v>233878</v>
      </c>
    </row>
    <row r="6008" spans="7:14" ht="11.25" customHeight="1" x14ac:dyDescent="0.25">
      <c r="G6008" s="459"/>
      <c r="H6008" s="459">
        <v>6001</v>
      </c>
      <c r="I6008" s="444">
        <f t="shared" ca="1" si="200"/>
        <v>-5.5409082143539256E+16</v>
      </c>
      <c r="J6008" s="444">
        <f t="array" ref="J6008">IFERROR(INDEX('Retirement Calculator'!K:K,MATCH('Lorri 401b'!N6008,'Retirement Calculator'!A:A,0),0),0)</f>
        <v>0</v>
      </c>
      <c r="K6008" s="444">
        <f t="shared" ca="1" si="198"/>
        <v>-230871175598080.22</v>
      </c>
      <c r="L6008" s="444">
        <f t="shared" ca="1" si="199"/>
        <v>-5.5639953319137336E+16</v>
      </c>
      <c r="M6008" s="460">
        <f t="shared" si="201"/>
        <v>0.05</v>
      </c>
      <c r="N6008" s="464">
        <f t="shared" si="202"/>
        <v>233909</v>
      </c>
    </row>
    <row r="6009" spans="7:14" ht="11.25" customHeight="1" x14ac:dyDescent="0.25">
      <c r="G6009" s="459"/>
      <c r="H6009" s="459">
        <v>6002</v>
      </c>
      <c r="I6009" s="444">
        <f t="shared" ca="1" si="200"/>
        <v>-5.5639953319137336E+16</v>
      </c>
      <c r="J6009" s="444">
        <f t="array" ref="J6009">IFERROR(INDEX('Retirement Calculator'!K:K,MATCH('Lorri 401b'!N6009,'Retirement Calculator'!A:A,0),0),0)</f>
        <v>0</v>
      </c>
      <c r="K6009" s="444">
        <f t="shared" ca="1" si="198"/>
        <v>-231833138829738.91</v>
      </c>
      <c r="L6009" s="444">
        <f t="shared" ca="1" si="199"/>
        <v>-5.5871786457967072E+16</v>
      </c>
      <c r="M6009" s="460">
        <f t="shared" si="201"/>
        <v>0.05</v>
      </c>
      <c r="N6009" s="464">
        <f t="shared" si="202"/>
        <v>233939</v>
      </c>
    </row>
    <row r="6010" spans="7:14" ht="11.25" customHeight="1" x14ac:dyDescent="0.25">
      <c r="G6010" s="459"/>
      <c r="H6010" s="459">
        <v>6003</v>
      </c>
      <c r="I6010" s="444">
        <f t="shared" ca="1" si="200"/>
        <v>-5.5871786457967072E+16</v>
      </c>
      <c r="J6010" s="444">
        <f t="array" ref="J6010">IFERROR(INDEX('Retirement Calculator'!K:K,MATCH('Lorri 401b'!N6010,'Retirement Calculator'!A:A,0),0),0)</f>
        <v>0</v>
      </c>
      <c r="K6010" s="444">
        <f t="shared" ca="1" si="198"/>
        <v>-232799110241529.47</v>
      </c>
      <c r="L6010" s="444">
        <f t="shared" ca="1" si="199"/>
        <v>-5.61045855682086E+16</v>
      </c>
      <c r="M6010" s="460">
        <f t="shared" si="201"/>
        <v>0.05</v>
      </c>
      <c r="N6010" s="464">
        <f t="shared" si="202"/>
        <v>233970</v>
      </c>
    </row>
    <row r="6011" spans="7:14" ht="11.25" customHeight="1" x14ac:dyDescent="0.25">
      <c r="G6011" s="459"/>
      <c r="H6011" s="459">
        <v>6004</v>
      </c>
      <c r="I6011" s="444">
        <f t="shared" ca="1" si="200"/>
        <v>-5.61045855682086E+16</v>
      </c>
      <c r="J6011" s="444">
        <f t="array" ref="J6011">IFERROR(INDEX('Retirement Calculator'!K:K,MATCH('Lorri 401b'!N6011,'Retirement Calculator'!A:A,0),0),0)</f>
        <v>0</v>
      </c>
      <c r="K6011" s="444">
        <f t="shared" ca="1" si="198"/>
        <v>-233769106534202.5</v>
      </c>
      <c r="L6011" s="444">
        <f t="shared" ca="1" si="199"/>
        <v>-5.63383546747428E+16</v>
      </c>
      <c r="M6011" s="460">
        <f t="shared" si="201"/>
        <v>0.05</v>
      </c>
      <c r="N6011" s="464">
        <f t="shared" si="202"/>
        <v>234001</v>
      </c>
    </row>
    <row r="6012" spans="7:14" ht="11.25" customHeight="1" x14ac:dyDescent="0.25">
      <c r="G6012" s="459"/>
      <c r="H6012" s="459">
        <v>6005</v>
      </c>
      <c r="I6012" s="444">
        <f t="shared" ca="1" si="200"/>
        <v>-5.63383546747428E+16</v>
      </c>
      <c r="J6012" s="444">
        <f t="array" ref="J6012">IFERROR(INDEX('Retirement Calculator'!K:K,MATCH('Lorri 401b'!N6012,'Retirement Calculator'!A:A,0),0),0)</f>
        <v>0</v>
      </c>
      <c r="K6012" s="444">
        <f t="shared" ca="1" si="198"/>
        <v>-234743144478095</v>
      </c>
      <c r="L6012" s="444">
        <f t="shared" ca="1" si="199"/>
        <v>-5.6573097819220896E+16</v>
      </c>
      <c r="M6012" s="460">
        <f t="shared" si="201"/>
        <v>0.05</v>
      </c>
      <c r="N6012" s="464">
        <f t="shared" si="202"/>
        <v>234031</v>
      </c>
    </row>
    <row r="6013" spans="7:14" ht="11.25" customHeight="1" x14ac:dyDescent="0.25">
      <c r="G6013" s="459"/>
      <c r="H6013" s="459">
        <v>6006</v>
      </c>
      <c r="I6013" s="444">
        <f t="shared" ca="1" si="200"/>
        <v>-5.6573097819220896E+16</v>
      </c>
      <c r="J6013" s="444">
        <f t="array" ref="J6013">IFERROR(INDEX('Retirement Calculator'!K:K,MATCH('Lorri 401b'!N6013,'Retirement Calculator'!A:A,0),0),0)</f>
        <v>0</v>
      </c>
      <c r="K6013" s="444">
        <f t="shared" ca="1" si="198"/>
        <v>-235721240913420.41</v>
      </c>
      <c r="L6013" s="444">
        <f t="shared" ca="1" si="199"/>
        <v>-5.680881906013432E+16</v>
      </c>
      <c r="M6013" s="460">
        <f t="shared" si="201"/>
        <v>0.05</v>
      </c>
      <c r="N6013" s="464">
        <f t="shared" si="202"/>
        <v>234062</v>
      </c>
    </row>
    <row r="6014" spans="7:14" ht="11.25" customHeight="1" x14ac:dyDescent="0.25">
      <c r="G6014" s="459"/>
      <c r="H6014" s="459">
        <v>6007</v>
      </c>
      <c r="I6014" s="444">
        <f t="shared" ca="1" si="200"/>
        <v>-5.680881906013432E+16</v>
      </c>
      <c r="J6014" s="444">
        <f t="array" ref="J6014">IFERROR(INDEX('Retirement Calculator'!K:K,MATCH('Lorri 401b'!N6014,'Retirement Calculator'!A:A,0),0),0)</f>
        <v>0</v>
      </c>
      <c r="K6014" s="444">
        <f t="shared" ca="1" si="198"/>
        <v>-236703412750559.66</v>
      </c>
      <c r="L6014" s="444">
        <f t="shared" ca="1" si="199"/>
        <v>-5.704552247288488E+16</v>
      </c>
      <c r="M6014" s="460">
        <f t="shared" si="201"/>
        <v>0.05</v>
      </c>
      <c r="N6014" s="464">
        <f t="shared" si="202"/>
        <v>234092</v>
      </c>
    </row>
    <row r="6015" spans="7:14" ht="11.25" customHeight="1" x14ac:dyDescent="0.25">
      <c r="G6015" s="459"/>
      <c r="H6015" s="459">
        <v>6008</v>
      </c>
      <c r="I6015" s="444">
        <f t="shared" ca="1" si="200"/>
        <v>-5.704552247288488E+16</v>
      </c>
      <c r="J6015" s="444">
        <f t="array" ref="J6015">IFERROR(INDEX('Retirement Calculator'!K:K,MATCH('Lorri 401b'!N6015,'Retirement Calculator'!A:A,0),0),0)</f>
        <v>0</v>
      </c>
      <c r="K6015" s="444">
        <f t="shared" ca="1" si="198"/>
        <v>-237689676970353.66</v>
      </c>
      <c r="L6015" s="444">
        <f t="shared" ca="1" si="199"/>
        <v>-5.7283212149855232E+16</v>
      </c>
      <c r="M6015" s="460">
        <f t="shared" si="201"/>
        <v>0.05</v>
      </c>
      <c r="N6015" s="464">
        <f t="shared" si="202"/>
        <v>234123</v>
      </c>
    </row>
    <row r="6016" spans="7:14" ht="11.25" customHeight="1" x14ac:dyDescent="0.25">
      <c r="G6016" s="459"/>
      <c r="H6016" s="459">
        <v>6009</v>
      </c>
      <c r="I6016" s="444">
        <f t="shared" ca="1" si="200"/>
        <v>-5.7283212149855232E+16</v>
      </c>
      <c r="J6016" s="444">
        <f t="array" ref="J6016">IFERROR(INDEX('Retirement Calculator'!K:K,MATCH('Lorri 401b'!N6016,'Retirement Calculator'!A:A,0),0),0)</f>
        <v>0</v>
      </c>
      <c r="K6016" s="444">
        <f t="shared" ca="1" si="198"/>
        <v>-238680050624396.78</v>
      </c>
      <c r="L6016" s="444">
        <f t="shared" ca="1" si="199"/>
        <v>-5.7521892200479632E+16</v>
      </c>
      <c r="M6016" s="460">
        <f t="shared" si="201"/>
        <v>0.05</v>
      </c>
      <c r="N6016" s="464">
        <f t="shared" si="202"/>
        <v>234154</v>
      </c>
    </row>
    <row r="6017" spans="7:14" ht="11.25" customHeight="1" x14ac:dyDescent="0.25">
      <c r="G6017" s="459"/>
      <c r="H6017" s="459">
        <v>6010</v>
      </c>
      <c r="I6017" s="444">
        <f t="shared" ca="1" si="200"/>
        <v>-5.7521892200479632E+16</v>
      </c>
      <c r="J6017" s="444">
        <f t="array" ref="J6017">IFERROR(INDEX('Retirement Calculator'!K:K,MATCH('Lorri 401b'!N6017,'Retirement Calculator'!A:A,0),0),0)</f>
        <v>0</v>
      </c>
      <c r="K6017" s="444">
        <f t="shared" ca="1" si="198"/>
        <v>-239674550835331.78</v>
      </c>
      <c r="L6017" s="444">
        <f t="shared" ca="1" si="199"/>
        <v>-5.776156675131496E+16</v>
      </c>
      <c r="M6017" s="460">
        <f t="shared" si="201"/>
        <v>0.05</v>
      </c>
      <c r="N6017" s="464">
        <f t="shared" si="202"/>
        <v>234182</v>
      </c>
    </row>
    <row r="6018" spans="7:14" ht="11.25" customHeight="1" x14ac:dyDescent="0.25">
      <c r="G6018" s="459"/>
      <c r="H6018" s="459">
        <v>6011</v>
      </c>
      <c r="I6018" s="444">
        <f t="shared" ca="1" si="200"/>
        <v>-5.776156675131496E+16</v>
      </c>
      <c r="J6018" s="444">
        <f t="array" ref="J6018">IFERROR(INDEX('Retirement Calculator'!K:K,MATCH('Lorri 401b'!N6018,'Retirement Calculator'!A:A,0),0),0)</f>
        <v>0</v>
      </c>
      <c r="K6018" s="444">
        <f t="shared" ca="1" si="198"/>
        <v>-240673194797145.66</v>
      </c>
      <c r="L6018" s="444">
        <f t="shared" ca="1" si="199"/>
        <v>-5.8002239946112104E+16</v>
      </c>
      <c r="M6018" s="460">
        <f t="shared" si="201"/>
        <v>0.05</v>
      </c>
      <c r="N6018" s="464">
        <f t="shared" si="202"/>
        <v>234213</v>
      </c>
    </row>
    <row r="6019" spans="7:14" ht="11.25" customHeight="1" x14ac:dyDescent="0.25">
      <c r="G6019" s="459"/>
      <c r="H6019" s="459">
        <v>6012</v>
      </c>
      <c r="I6019" s="444">
        <f t="shared" ca="1" si="200"/>
        <v>-5.8002239946112104E+16</v>
      </c>
      <c r="J6019" s="444">
        <f t="array" ref="J6019">IFERROR(INDEX('Retirement Calculator'!K:K,MATCH('Lorri 401b'!N6019,'Retirement Calculator'!A:A,0),0),0)</f>
        <v>0</v>
      </c>
      <c r="K6019" s="444">
        <f t="shared" ca="1" si="198"/>
        <v>-241675999775467.09</v>
      </c>
      <c r="L6019" s="444">
        <f t="shared" ca="1" si="199"/>
        <v>-5.8243915945887568E+16</v>
      </c>
      <c r="M6019" s="460">
        <f t="shared" si="201"/>
        <v>0.05</v>
      </c>
      <c r="N6019" s="464">
        <f t="shared" si="202"/>
        <v>234243</v>
      </c>
    </row>
    <row r="6020" spans="7:14" ht="11.25" customHeight="1" x14ac:dyDescent="0.25">
      <c r="G6020" s="459"/>
      <c r="H6020" s="459">
        <v>6013</v>
      </c>
      <c r="I6020" s="444">
        <f t="shared" ca="1" si="200"/>
        <v>-5.8243915945887568E+16</v>
      </c>
      <c r="J6020" s="444">
        <f t="array" ref="J6020">IFERROR(INDEX('Retirement Calculator'!K:K,MATCH('Lorri 401b'!N6020,'Retirement Calculator'!A:A,0),0),0)</f>
        <v>0</v>
      </c>
      <c r="K6020" s="444">
        <f t="shared" ca="1" si="198"/>
        <v>-242682983107864.88</v>
      </c>
      <c r="L6020" s="444">
        <f t="shared" ca="1" si="199"/>
        <v>-5.8486598928995432E+16</v>
      </c>
      <c r="M6020" s="460">
        <f t="shared" si="201"/>
        <v>0.05</v>
      </c>
      <c r="N6020" s="464">
        <f t="shared" si="202"/>
        <v>234274</v>
      </c>
    </row>
    <row r="6021" spans="7:14" ht="11.25" customHeight="1" x14ac:dyDescent="0.25">
      <c r="G6021" s="459"/>
      <c r="H6021" s="459">
        <v>6014</v>
      </c>
      <c r="I6021" s="444">
        <f t="shared" ca="1" si="200"/>
        <v>-5.8486598928995432E+16</v>
      </c>
      <c r="J6021" s="444">
        <f t="array" ref="J6021">IFERROR(INDEX('Retirement Calculator'!K:K,MATCH('Lorri 401b'!N6021,'Retirement Calculator'!A:A,0),0),0)</f>
        <v>0</v>
      </c>
      <c r="K6021" s="444">
        <f t="shared" ca="1" si="198"/>
        <v>-243694162204147.63</v>
      </c>
      <c r="L6021" s="444">
        <f t="shared" ca="1" si="199"/>
        <v>-5.8730293091199576E+16</v>
      </c>
      <c r="M6021" s="460">
        <f t="shared" si="201"/>
        <v>0.05</v>
      </c>
      <c r="N6021" s="464">
        <f t="shared" si="202"/>
        <v>234304</v>
      </c>
    </row>
    <row r="6022" spans="7:14" ht="11.25" customHeight="1" x14ac:dyDescent="0.25">
      <c r="G6022" s="459"/>
      <c r="H6022" s="459">
        <v>6015</v>
      </c>
      <c r="I6022" s="444">
        <f t="shared" ca="1" si="200"/>
        <v>-5.8730293091199576E+16</v>
      </c>
      <c r="J6022" s="444">
        <f t="array" ref="J6022">IFERROR(INDEX('Retirement Calculator'!K:K,MATCH('Lorri 401b'!N6022,'Retirement Calculator'!A:A,0),0),0)</f>
        <v>0</v>
      </c>
      <c r="K6022" s="444">
        <f t="shared" ca="1" si="198"/>
        <v>-244709554546664.91</v>
      </c>
      <c r="L6022" s="444">
        <f t="shared" ca="1" si="199"/>
        <v>-5.897500264574624E+16</v>
      </c>
      <c r="M6022" s="460">
        <f t="shared" si="201"/>
        <v>0.05</v>
      </c>
      <c r="N6022" s="464">
        <f t="shared" si="202"/>
        <v>234335</v>
      </c>
    </row>
    <row r="6023" spans="7:14" ht="11.25" customHeight="1" x14ac:dyDescent="0.25">
      <c r="G6023" s="459"/>
      <c r="H6023" s="459">
        <v>6016</v>
      </c>
      <c r="I6023" s="444">
        <f t="shared" ca="1" si="200"/>
        <v>-5.897500264574624E+16</v>
      </c>
      <c r="J6023" s="444">
        <f t="array" ref="J6023">IFERROR(INDEX('Retirement Calculator'!K:K,MATCH('Lorri 401b'!N6023,'Retirement Calculator'!A:A,0),0),0)</f>
        <v>0</v>
      </c>
      <c r="K6023" s="444">
        <f t="shared" ca="1" si="198"/>
        <v>-245729177690609.28</v>
      </c>
      <c r="L6023" s="444">
        <f t="shared" ca="1" si="199"/>
        <v>-5.9220731823436848E+16</v>
      </c>
      <c r="M6023" s="460">
        <f t="shared" si="201"/>
        <v>0.05</v>
      </c>
      <c r="N6023" s="464">
        <f t="shared" si="202"/>
        <v>234366</v>
      </c>
    </row>
    <row r="6024" spans="7:14" ht="11.25" customHeight="1" x14ac:dyDescent="0.25">
      <c r="G6024" s="459"/>
      <c r="H6024" s="459">
        <v>6017</v>
      </c>
      <c r="I6024" s="444">
        <f t="shared" ca="1" si="200"/>
        <v>-5.9220731823436848E+16</v>
      </c>
      <c r="J6024" s="444">
        <f t="array" ref="J6024">IFERROR(INDEX('Retirement Calculator'!K:K,MATCH('Lorri 401b'!N6024,'Retirement Calculator'!A:A,0),0),0)</f>
        <v>0</v>
      </c>
      <c r="K6024" s="444">
        <f t="shared" ca="1" si="198"/>
        <v>-246753049264320.16</v>
      </c>
      <c r="L6024" s="444">
        <f t="shared" ca="1" si="199"/>
        <v>-5.9467484872701168E+16</v>
      </c>
      <c r="M6024" s="460">
        <f t="shared" si="201"/>
        <v>0.05</v>
      </c>
      <c r="N6024" s="464">
        <f t="shared" si="202"/>
        <v>234396</v>
      </c>
    </row>
    <row r="6025" spans="7:14" ht="11.25" customHeight="1" x14ac:dyDescent="0.25">
      <c r="G6025" s="459"/>
      <c r="H6025" s="459">
        <v>6018</v>
      </c>
      <c r="I6025" s="444">
        <f t="shared" ca="1" si="200"/>
        <v>-5.9467484872701168E+16</v>
      </c>
      <c r="J6025" s="444">
        <f t="array" ref="J6025">IFERROR(INDEX('Retirement Calculator'!K:K,MATCH('Lorri 401b'!N6025,'Retirement Calculator'!A:A,0),0),0)</f>
        <v>0</v>
      </c>
      <c r="K6025" s="444">
        <f t="shared" ca="1" si="198"/>
        <v>-247781186969588.19</v>
      </c>
      <c r="L6025" s="444">
        <f t="shared" ca="1" si="199"/>
        <v>-5.971526605967076E+16</v>
      </c>
      <c r="M6025" s="460">
        <f t="shared" si="201"/>
        <v>0.05</v>
      </c>
      <c r="N6025" s="464">
        <f t="shared" si="202"/>
        <v>234427</v>
      </c>
    </row>
    <row r="6026" spans="7:14" ht="11.25" customHeight="1" x14ac:dyDescent="0.25">
      <c r="G6026" s="459"/>
      <c r="H6026" s="459">
        <v>6019</v>
      </c>
      <c r="I6026" s="444">
        <f t="shared" ca="1" si="200"/>
        <v>-5.971526605967076E+16</v>
      </c>
      <c r="J6026" s="444">
        <f t="array" ref="J6026">IFERROR(INDEX('Retirement Calculator'!K:K,MATCH('Lorri 401b'!N6026,'Retirement Calculator'!A:A,0),0),0)</f>
        <v>0</v>
      </c>
      <c r="K6026" s="444">
        <f t="shared" ca="1" si="198"/>
        <v>-248813608581961.5</v>
      </c>
      <c r="L6026" s="444">
        <f t="shared" ca="1" si="199"/>
        <v>-5.996407966825272E+16</v>
      </c>
      <c r="M6026" s="460">
        <f t="shared" si="201"/>
        <v>0.05</v>
      </c>
      <c r="N6026" s="464">
        <f t="shared" si="202"/>
        <v>234457</v>
      </c>
    </row>
    <row r="6027" spans="7:14" ht="11.25" customHeight="1" x14ac:dyDescent="0.25">
      <c r="G6027" s="459"/>
      <c r="H6027" s="459">
        <v>6020</v>
      </c>
      <c r="I6027" s="444">
        <f t="shared" ca="1" si="200"/>
        <v>-5.996407966825272E+16</v>
      </c>
      <c r="J6027" s="444">
        <f t="array" ref="J6027">IFERROR(INDEX('Retirement Calculator'!K:K,MATCH('Lorri 401b'!N6027,'Retirement Calculator'!A:A,0),0),0)</f>
        <v>0</v>
      </c>
      <c r="K6027" s="444">
        <f t="shared" ca="1" si="198"/>
        <v>-249850331951053</v>
      </c>
      <c r="L6027" s="444">
        <f t="shared" ca="1" si="199"/>
        <v>-6.0213930000203776E+16</v>
      </c>
      <c r="M6027" s="460">
        <f t="shared" si="201"/>
        <v>0.05</v>
      </c>
      <c r="N6027" s="464">
        <f t="shared" si="202"/>
        <v>234488</v>
      </c>
    </row>
    <row r="6028" spans="7:14" ht="11.25" customHeight="1" x14ac:dyDescent="0.25">
      <c r="G6028" s="459"/>
      <c r="H6028" s="459">
        <v>6021</v>
      </c>
      <c r="I6028" s="444">
        <f t="shared" ca="1" si="200"/>
        <v>-6.0213930000203776E+16</v>
      </c>
      <c r="J6028" s="444">
        <f t="array" ref="J6028">IFERROR(INDEX('Retirement Calculator'!K:K,MATCH('Lorri 401b'!N6028,'Retirement Calculator'!A:A,0),0),0)</f>
        <v>0</v>
      </c>
      <c r="K6028" s="444">
        <f t="shared" ca="1" si="198"/>
        <v>-250891375000849.03</v>
      </c>
      <c r="L6028" s="444">
        <f t="shared" ca="1" si="199"/>
        <v>-6.0464821375204624E+16</v>
      </c>
      <c r="M6028" s="460">
        <f t="shared" si="201"/>
        <v>0.05</v>
      </c>
      <c r="N6028" s="464">
        <f t="shared" si="202"/>
        <v>234519</v>
      </c>
    </row>
    <row r="6029" spans="7:14" ht="11.25" customHeight="1" x14ac:dyDescent="0.25">
      <c r="G6029" s="459"/>
      <c r="H6029" s="459">
        <v>6022</v>
      </c>
      <c r="I6029" s="444">
        <f t="shared" ca="1" si="200"/>
        <v>-6.0464821375204624E+16</v>
      </c>
      <c r="J6029" s="444">
        <f t="array" ref="J6029">IFERROR(INDEX('Retirement Calculator'!K:K,MATCH('Lorri 401b'!N6029,'Retirement Calculator'!A:A,0),0),0)</f>
        <v>0</v>
      </c>
      <c r="K6029" s="444">
        <f t="shared" ca="1" si="198"/>
        <v>-251936755730019.25</v>
      </c>
      <c r="L6029" s="444">
        <f t="shared" ca="1" si="199"/>
        <v>-6.071675813093464E+16</v>
      </c>
      <c r="M6029" s="460">
        <f t="shared" si="201"/>
        <v>0.05</v>
      </c>
      <c r="N6029" s="464">
        <f t="shared" si="202"/>
        <v>234547</v>
      </c>
    </row>
    <row r="6030" spans="7:14" ht="11.25" customHeight="1" x14ac:dyDescent="0.25">
      <c r="G6030" s="459"/>
      <c r="H6030" s="459">
        <v>6023</v>
      </c>
      <c r="I6030" s="444">
        <f t="shared" ca="1" si="200"/>
        <v>-6.071675813093464E+16</v>
      </c>
      <c r="J6030" s="444">
        <f t="array" ref="J6030">IFERROR(INDEX('Retirement Calculator'!K:K,MATCH('Lorri 401b'!N6030,'Retirement Calculator'!A:A,0),0),0)</f>
        <v>0</v>
      </c>
      <c r="K6030" s="444">
        <f t="shared" ca="1" si="198"/>
        <v>-252986492212227.66</v>
      </c>
      <c r="L6030" s="444">
        <f t="shared" ca="1" si="199"/>
        <v>-6.0969744623146864E+16</v>
      </c>
      <c r="M6030" s="460">
        <f t="shared" si="201"/>
        <v>0.05</v>
      </c>
      <c r="N6030" s="464">
        <f t="shared" si="202"/>
        <v>234578</v>
      </c>
    </row>
    <row r="6031" spans="7:14" ht="11.25" customHeight="1" x14ac:dyDescent="0.25">
      <c r="G6031" s="459"/>
      <c r="H6031" s="459">
        <v>6024</v>
      </c>
      <c r="I6031" s="444">
        <f t="shared" ca="1" si="200"/>
        <v>-6.0969744623146864E+16</v>
      </c>
      <c r="J6031" s="444">
        <f t="array" ref="J6031">IFERROR(INDEX('Retirement Calculator'!K:K,MATCH('Lorri 401b'!N6031,'Retirement Calculator'!A:A,0),0),0)</f>
        <v>0</v>
      </c>
      <c r="K6031" s="444">
        <f t="shared" ca="1" si="198"/>
        <v>-254040602596445.25</v>
      </c>
      <c r="L6031" s="444">
        <f t="shared" ca="1" si="199"/>
        <v>-6.1223785225743312E+16</v>
      </c>
      <c r="M6031" s="460">
        <f t="shared" si="201"/>
        <v>0.05</v>
      </c>
      <c r="N6031" s="464">
        <f t="shared" si="202"/>
        <v>234608</v>
      </c>
    </row>
    <row r="6032" spans="7:14" ht="11.25" customHeight="1" x14ac:dyDescent="0.25">
      <c r="G6032" s="459"/>
      <c r="H6032" s="459">
        <v>6025</v>
      </c>
      <c r="I6032" s="444">
        <f t="shared" ca="1" si="200"/>
        <v>-6.1223785225743312E+16</v>
      </c>
      <c r="J6032" s="444">
        <f t="array" ref="J6032">IFERROR(INDEX('Retirement Calculator'!K:K,MATCH('Lorri 401b'!N6032,'Retirement Calculator'!A:A,0),0),0)</f>
        <v>0</v>
      </c>
      <c r="K6032" s="444">
        <f t="shared" ca="1" si="198"/>
        <v>-255099105107263.78</v>
      </c>
      <c r="L6032" s="444">
        <f t="shared" ca="1" si="199"/>
        <v>-6.1478884330850576E+16</v>
      </c>
      <c r="M6032" s="460">
        <f t="shared" si="201"/>
        <v>0.05</v>
      </c>
      <c r="N6032" s="464">
        <f t="shared" si="202"/>
        <v>234639</v>
      </c>
    </row>
    <row r="6033" spans="7:14" ht="11.25" customHeight="1" x14ac:dyDescent="0.25">
      <c r="G6033" s="459"/>
      <c r="H6033" s="459">
        <v>6026</v>
      </c>
      <c r="I6033" s="444">
        <f t="shared" ca="1" si="200"/>
        <v>-6.1478884330850576E+16</v>
      </c>
      <c r="J6033" s="444">
        <f t="array" ref="J6033">IFERROR(INDEX('Retirement Calculator'!K:K,MATCH('Lorri 401b'!N6033,'Retirement Calculator'!A:A,0),0),0)</f>
        <v>0</v>
      </c>
      <c r="K6033" s="444">
        <f t="shared" ca="1" si="198"/>
        <v>-256162018045210.69</v>
      </c>
      <c r="L6033" s="444">
        <f t="shared" ca="1" si="199"/>
        <v>-6.1735046348895784E+16</v>
      </c>
      <c r="M6033" s="460">
        <f t="shared" si="201"/>
        <v>0.05</v>
      </c>
      <c r="N6033" s="464">
        <f t="shared" si="202"/>
        <v>234669</v>
      </c>
    </row>
    <row r="6034" spans="7:14" ht="11.25" customHeight="1" x14ac:dyDescent="0.25">
      <c r="G6034" s="459"/>
      <c r="H6034" s="459">
        <v>6027</v>
      </c>
      <c r="I6034" s="444">
        <f t="shared" ca="1" si="200"/>
        <v>-6.1735046348895784E+16</v>
      </c>
      <c r="J6034" s="444">
        <f t="array" ref="J6034">IFERROR(INDEX('Retirement Calculator'!K:K,MATCH('Lorri 401b'!N6034,'Retirement Calculator'!A:A,0),0),0)</f>
        <v>0</v>
      </c>
      <c r="K6034" s="444">
        <f t="shared" ca="1" si="198"/>
        <v>-257229359787065.78</v>
      </c>
      <c r="L6034" s="444">
        <f t="shared" ca="1" si="199"/>
        <v>-6.1992275708682848E+16</v>
      </c>
      <c r="M6034" s="460">
        <f t="shared" si="201"/>
        <v>0.05</v>
      </c>
      <c r="N6034" s="464">
        <f t="shared" si="202"/>
        <v>234700</v>
      </c>
    </row>
    <row r="6035" spans="7:14" ht="11.25" customHeight="1" x14ac:dyDescent="0.25">
      <c r="G6035" s="459"/>
      <c r="H6035" s="459">
        <v>6028</v>
      </c>
      <c r="I6035" s="444">
        <f t="shared" ca="1" si="200"/>
        <v>-6.1992275708682848E+16</v>
      </c>
      <c r="J6035" s="444">
        <f t="array" ref="J6035">IFERROR(INDEX('Retirement Calculator'!K:K,MATCH('Lorri 401b'!N6035,'Retirement Calculator'!A:A,0),0),0)</f>
        <v>0</v>
      </c>
      <c r="K6035" s="444">
        <f t="shared" ca="1" si="198"/>
        <v>-258301148786178.5</v>
      </c>
      <c r="L6035" s="444">
        <f t="shared" ca="1" si="199"/>
        <v>-6.2250576857469024E+16</v>
      </c>
      <c r="M6035" s="460">
        <f t="shared" si="201"/>
        <v>0.05</v>
      </c>
      <c r="N6035" s="464">
        <f t="shared" si="202"/>
        <v>234731</v>
      </c>
    </row>
    <row r="6036" spans="7:14" ht="11.25" customHeight="1" x14ac:dyDescent="0.25">
      <c r="G6036" s="459"/>
      <c r="H6036" s="459">
        <v>6029</v>
      </c>
      <c r="I6036" s="444">
        <f t="shared" ca="1" si="200"/>
        <v>-6.2250576857469024E+16</v>
      </c>
      <c r="J6036" s="444">
        <f t="array" ref="J6036">IFERROR(INDEX('Retirement Calculator'!K:K,MATCH('Lorri 401b'!N6036,'Retirement Calculator'!A:A,0),0),0)</f>
        <v>0</v>
      </c>
      <c r="K6036" s="444">
        <f t="shared" ca="1" si="198"/>
        <v>-259377403572787.59</v>
      </c>
      <c r="L6036" s="444">
        <f t="shared" ca="1" si="199"/>
        <v>-6.2509954261041808E+16</v>
      </c>
      <c r="M6036" s="460">
        <f t="shared" si="201"/>
        <v>0.05</v>
      </c>
      <c r="N6036" s="464">
        <f t="shared" si="202"/>
        <v>234761</v>
      </c>
    </row>
    <row r="6037" spans="7:14" ht="11.25" customHeight="1" x14ac:dyDescent="0.25">
      <c r="G6037" s="459"/>
      <c r="H6037" s="459">
        <v>6030</v>
      </c>
      <c r="I6037" s="444">
        <f t="shared" ca="1" si="200"/>
        <v>-6.2509954261041808E+16</v>
      </c>
      <c r="J6037" s="444">
        <f t="array" ref="J6037">IFERROR(INDEX('Retirement Calculator'!K:K,MATCH('Lorri 401b'!N6037,'Retirement Calculator'!A:A,0),0),0)</f>
        <v>0</v>
      </c>
      <c r="K6037" s="444">
        <f t="shared" ca="1" si="198"/>
        <v>-260458142754340.88</v>
      </c>
      <c r="L6037" s="444">
        <f t="shared" ca="1" si="199"/>
        <v>-6.2770412403796152E+16</v>
      </c>
      <c r="M6037" s="460">
        <f t="shared" si="201"/>
        <v>0.05</v>
      </c>
      <c r="N6037" s="464">
        <f t="shared" si="202"/>
        <v>234792</v>
      </c>
    </row>
    <row r="6038" spans="7:14" ht="11.25" customHeight="1" x14ac:dyDescent="0.25">
      <c r="G6038" s="459"/>
      <c r="H6038" s="459">
        <v>6031</v>
      </c>
      <c r="I6038" s="444">
        <f t="shared" ca="1" si="200"/>
        <v>-6.2770412403796152E+16</v>
      </c>
      <c r="J6038" s="444">
        <f t="array" ref="J6038">IFERROR(INDEX('Retirement Calculator'!K:K,MATCH('Lorri 401b'!N6038,'Retirement Calculator'!A:A,0),0),0)</f>
        <v>0</v>
      </c>
      <c r="K6038" s="444">
        <f t="shared" ca="1" si="198"/>
        <v>-261543385015817.28</v>
      </c>
      <c r="L6038" s="444">
        <f t="shared" ca="1" si="199"/>
        <v>-6.3031955788811968E+16</v>
      </c>
      <c r="M6038" s="460">
        <f t="shared" si="201"/>
        <v>0.05</v>
      </c>
      <c r="N6038" s="464">
        <f t="shared" si="202"/>
        <v>234822</v>
      </c>
    </row>
    <row r="6039" spans="7:14" ht="11.25" customHeight="1" x14ac:dyDescent="0.25">
      <c r="G6039" s="459"/>
      <c r="H6039" s="459">
        <v>6032</v>
      </c>
      <c r="I6039" s="444">
        <f t="shared" ca="1" si="200"/>
        <v>-6.3031955788811968E+16</v>
      </c>
      <c r="J6039" s="444">
        <f t="array" ref="J6039">IFERROR(INDEX('Retirement Calculator'!K:K,MATCH('Lorri 401b'!N6039,'Retirement Calculator'!A:A,0),0),0)</f>
        <v>0</v>
      </c>
      <c r="K6039" s="444">
        <f t="shared" ca="1" si="198"/>
        <v>-262633149120049.88</v>
      </c>
      <c r="L6039" s="444">
        <f t="shared" ca="1" si="199"/>
        <v>-6.3294588937932016E+16</v>
      </c>
      <c r="M6039" s="460">
        <f t="shared" si="201"/>
        <v>0.05</v>
      </c>
      <c r="N6039" s="464">
        <f t="shared" si="202"/>
        <v>234853</v>
      </c>
    </row>
    <row r="6040" spans="7:14" ht="11.25" customHeight="1" x14ac:dyDescent="0.25">
      <c r="G6040" s="459"/>
      <c r="H6040" s="459">
        <v>6033</v>
      </c>
      <c r="I6040" s="444">
        <f t="shared" ca="1" si="200"/>
        <v>-6.3294588937932016E+16</v>
      </c>
      <c r="J6040" s="444">
        <f t="array" ref="J6040">IFERROR(INDEX('Retirement Calculator'!K:K,MATCH('Lorri 401b'!N6040,'Retirement Calculator'!A:A,0),0),0)</f>
        <v>0</v>
      </c>
      <c r="K6040" s="444">
        <f t="shared" ca="1" si="198"/>
        <v>-263727453908050.06</v>
      </c>
      <c r="L6040" s="444">
        <f t="shared" ca="1" si="199"/>
        <v>-6.3558316391840064E+16</v>
      </c>
      <c r="M6040" s="460">
        <f t="shared" si="201"/>
        <v>0.05</v>
      </c>
      <c r="N6040" s="464">
        <f t="shared" si="202"/>
        <v>234884</v>
      </c>
    </row>
    <row r="6041" spans="7:14" ht="11.25" customHeight="1" x14ac:dyDescent="0.25">
      <c r="G6041" s="459"/>
      <c r="H6041" s="459">
        <v>6034</v>
      </c>
      <c r="I6041" s="444">
        <f t="shared" ca="1" si="200"/>
        <v>-6.3558316391840064E+16</v>
      </c>
      <c r="J6041" s="444">
        <f t="array" ref="J6041">IFERROR(INDEX('Retirement Calculator'!K:K,MATCH('Lorri 401b'!N6041,'Retirement Calculator'!A:A,0),0),0)</f>
        <v>0</v>
      </c>
      <c r="K6041" s="444">
        <f t="shared" ca="1" si="198"/>
        <v>-264826318299333.59</v>
      </c>
      <c r="L6041" s="444">
        <f t="shared" ca="1" si="199"/>
        <v>-6.38231427101394E+16</v>
      </c>
      <c r="M6041" s="460">
        <f t="shared" si="201"/>
        <v>0.05</v>
      </c>
      <c r="N6041" s="464">
        <f t="shared" si="202"/>
        <v>234912</v>
      </c>
    </row>
    <row r="6042" spans="7:14" ht="11.25" customHeight="1" x14ac:dyDescent="0.25">
      <c r="G6042" s="459"/>
      <c r="H6042" s="459">
        <v>6035</v>
      </c>
      <c r="I6042" s="444">
        <f t="shared" ca="1" si="200"/>
        <v>-6.38231427101394E+16</v>
      </c>
      <c r="J6042" s="444">
        <f t="array" ref="J6042">IFERROR(INDEX('Retirement Calculator'!K:K,MATCH('Lorri 401b'!N6042,'Retirement Calculator'!A:A,0),0),0)</f>
        <v>0</v>
      </c>
      <c r="K6042" s="444">
        <f t="shared" ca="1" si="198"/>
        <v>-265929761292247.5</v>
      </c>
      <c r="L6042" s="444">
        <f t="shared" ca="1" si="199"/>
        <v>-6.4089072471431648E+16</v>
      </c>
      <c r="M6042" s="460">
        <f t="shared" si="201"/>
        <v>0.05</v>
      </c>
      <c r="N6042" s="464">
        <f t="shared" si="202"/>
        <v>234943</v>
      </c>
    </row>
    <row r="6043" spans="7:14" ht="11.25" customHeight="1" x14ac:dyDescent="0.25">
      <c r="G6043" s="459"/>
      <c r="H6043" s="459">
        <v>6036</v>
      </c>
      <c r="I6043" s="444">
        <f t="shared" ca="1" si="200"/>
        <v>-6.4089072471431648E+16</v>
      </c>
      <c r="J6043" s="444">
        <f t="array" ref="J6043">IFERROR(INDEX('Retirement Calculator'!K:K,MATCH('Lorri 401b'!N6043,'Retirement Calculator'!A:A,0),0),0)</f>
        <v>0</v>
      </c>
      <c r="K6043" s="444">
        <f t="shared" ca="1" si="198"/>
        <v>-267037801964298.53</v>
      </c>
      <c r="L6043" s="444">
        <f t="shared" ca="1" si="199"/>
        <v>-6.4356110273395944E+16</v>
      </c>
      <c r="M6043" s="460">
        <f t="shared" si="201"/>
        <v>0.05</v>
      </c>
      <c r="N6043" s="464">
        <f t="shared" si="202"/>
        <v>234973</v>
      </c>
    </row>
    <row r="6044" spans="7:14" ht="11.25" customHeight="1" x14ac:dyDescent="0.25">
      <c r="G6044" s="459"/>
      <c r="H6044" s="459">
        <v>6037</v>
      </c>
      <c r="I6044" s="444">
        <f t="shared" ca="1" si="200"/>
        <v>-6.4356110273395944E+16</v>
      </c>
      <c r="J6044" s="444">
        <f t="array" ref="J6044">IFERROR(INDEX('Retirement Calculator'!K:K,MATCH('Lorri 401b'!N6044,'Retirement Calculator'!A:A,0),0),0)</f>
        <v>0</v>
      </c>
      <c r="K6044" s="444">
        <f t="shared" ca="1" si="198"/>
        <v>-268150459472483.09</v>
      </c>
      <c r="L6044" s="444">
        <f t="shared" ca="1" si="199"/>
        <v>-6.4624260732868424E+16</v>
      </c>
      <c r="M6044" s="460">
        <f t="shared" si="201"/>
        <v>0.05</v>
      </c>
      <c r="N6044" s="464">
        <f t="shared" si="202"/>
        <v>235004</v>
      </c>
    </row>
    <row r="6045" spans="7:14" ht="11.25" customHeight="1" x14ac:dyDescent="0.25">
      <c r="G6045" s="459"/>
      <c r="H6045" s="459">
        <v>6038</v>
      </c>
      <c r="I6045" s="444">
        <f t="shared" ca="1" si="200"/>
        <v>-6.4624260732868424E+16</v>
      </c>
      <c r="J6045" s="444">
        <f t="array" ref="J6045">IFERROR(INDEX('Retirement Calculator'!K:K,MATCH('Lorri 401b'!N6045,'Retirement Calculator'!A:A,0),0),0)</f>
        <v>0</v>
      </c>
      <c r="K6045" s="444">
        <f t="shared" ca="1" si="198"/>
        <v>-269267753053618.41</v>
      </c>
      <c r="L6045" s="444">
        <f t="shared" ca="1" si="199"/>
        <v>-6.489352848592204E+16</v>
      </c>
      <c r="M6045" s="460">
        <f t="shared" si="201"/>
        <v>0.05</v>
      </c>
      <c r="N6045" s="464">
        <f t="shared" si="202"/>
        <v>235034</v>
      </c>
    </row>
    <row r="6046" spans="7:14" ht="11.25" customHeight="1" x14ac:dyDescent="0.25">
      <c r="G6046" s="459"/>
      <c r="H6046" s="459">
        <v>6039</v>
      </c>
      <c r="I6046" s="444">
        <f t="shared" ca="1" si="200"/>
        <v>-6.489352848592204E+16</v>
      </c>
      <c r="J6046" s="444">
        <f t="array" ref="J6046">IFERROR(INDEX('Retirement Calculator'!K:K,MATCH('Lorri 401b'!N6046,'Retirement Calculator'!A:A,0),0),0)</f>
        <v>0</v>
      </c>
      <c r="K6046" s="444">
        <f t="shared" ca="1" si="198"/>
        <v>-270389702024675.13</v>
      </c>
      <c r="L6046" s="444">
        <f t="shared" ca="1" si="199"/>
        <v>-6.5163918187946712E+16</v>
      </c>
      <c r="M6046" s="460">
        <f t="shared" si="201"/>
        <v>0.05</v>
      </c>
      <c r="N6046" s="464">
        <f t="shared" si="202"/>
        <v>235065</v>
      </c>
    </row>
    <row r="6047" spans="7:14" ht="11.25" customHeight="1" x14ac:dyDescent="0.25">
      <c r="G6047" s="459"/>
      <c r="H6047" s="459">
        <v>6040</v>
      </c>
      <c r="I6047" s="444">
        <f t="shared" ca="1" si="200"/>
        <v>-6.5163918187946712E+16</v>
      </c>
      <c r="J6047" s="444">
        <f t="array" ref="J6047">IFERROR(INDEX('Retirement Calculator'!K:K,MATCH('Lorri 401b'!N6047,'Retirement Calculator'!A:A,0),0),0)</f>
        <v>0</v>
      </c>
      <c r="K6047" s="444">
        <f t="shared" ca="1" si="198"/>
        <v>-271516325783111.28</v>
      </c>
      <c r="L6047" s="444">
        <f t="shared" ca="1" si="199"/>
        <v>-6.5435434513729824E+16</v>
      </c>
      <c r="M6047" s="460">
        <f t="shared" si="201"/>
        <v>0.05</v>
      </c>
      <c r="N6047" s="464">
        <f t="shared" si="202"/>
        <v>235096</v>
      </c>
    </row>
    <row r="6048" spans="7:14" ht="11.25" customHeight="1" x14ac:dyDescent="0.25">
      <c r="G6048" s="459"/>
      <c r="H6048" s="459">
        <v>6041</v>
      </c>
      <c r="I6048" s="444">
        <f t="shared" ca="1" si="200"/>
        <v>-6.5435434513729824E+16</v>
      </c>
      <c r="J6048" s="444">
        <f t="array" ref="J6048">IFERROR(INDEX('Retirement Calculator'!K:K,MATCH('Lorri 401b'!N6048,'Retirement Calculator'!A:A,0),0),0)</f>
        <v>0</v>
      </c>
      <c r="K6048" s="444">
        <f t="shared" ca="1" si="198"/>
        <v>-272647643807207.56</v>
      </c>
      <c r="L6048" s="444">
        <f t="shared" ca="1" si="199"/>
        <v>-6.5708082157537032E+16</v>
      </c>
      <c r="M6048" s="460">
        <f t="shared" si="201"/>
        <v>0.05</v>
      </c>
      <c r="N6048" s="464">
        <f t="shared" si="202"/>
        <v>235126</v>
      </c>
    </row>
    <row r="6049" spans="7:14" ht="11.25" customHeight="1" x14ac:dyDescent="0.25">
      <c r="G6049" s="459"/>
      <c r="H6049" s="459">
        <v>6042</v>
      </c>
      <c r="I6049" s="444">
        <f t="shared" ca="1" si="200"/>
        <v>-6.5708082157537032E+16</v>
      </c>
      <c r="J6049" s="444">
        <f t="array" ref="J6049">IFERROR(INDEX('Retirement Calculator'!K:K,MATCH('Lorri 401b'!N6049,'Retirement Calculator'!A:A,0),0),0)</f>
        <v>0</v>
      </c>
      <c r="K6049" s="444">
        <f t="shared" ca="1" si="198"/>
        <v>-273783675656404.28</v>
      </c>
      <c r="L6049" s="444">
        <f t="shared" ca="1" si="199"/>
        <v>-6.598186583319344E+16</v>
      </c>
      <c r="M6049" s="460">
        <f t="shared" si="201"/>
        <v>0.05</v>
      </c>
      <c r="N6049" s="464">
        <f t="shared" si="202"/>
        <v>235157</v>
      </c>
    </row>
    <row r="6050" spans="7:14" ht="11.25" customHeight="1" x14ac:dyDescent="0.25">
      <c r="G6050" s="459"/>
      <c r="H6050" s="459">
        <v>6043</v>
      </c>
      <c r="I6050" s="444">
        <f t="shared" ca="1" si="200"/>
        <v>-6.598186583319344E+16</v>
      </c>
      <c r="J6050" s="444">
        <f t="array" ref="J6050">IFERROR(INDEX('Retirement Calculator'!K:K,MATCH('Lorri 401b'!N6050,'Retirement Calculator'!A:A,0),0),0)</f>
        <v>0</v>
      </c>
      <c r="K6050" s="444">
        <f t="shared" ca="1" si="198"/>
        <v>-274924440971639.34</v>
      </c>
      <c r="L6050" s="444">
        <f t="shared" ca="1" si="199"/>
        <v>-6.625679027416508E+16</v>
      </c>
      <c r="M6050" s="460">
        <f t="shared" si="201"/>
        <v>0.05</v>
      </c>
      <c r="N6050" s="464">
        <f t="shared" si="202"/>
        <v>235187</v>
      </c>
    </row>
    <row r="6051" spans="7:14" ht="11.25" customHeight="1" x14ac:dyDescent="0.25">
      <c r="G6051" s="459"/>
      <c r="H6051" s="459">
        <v>6044</v>
      </c>
      <c r="I6051" s="444">
        <f t="shared" ca="1" si="200"/>
        <v>-6.625679027416508E+16</v>
      </c>
      <c r="J6051" s="444">
        <f t="array" ref="J6051">IFERROR(INDEX('Retirement Calculator'!K:K,MATCH('Lorri 401b'!N6051,'Retirement Calculator'!A:A,0),0),0)</f>
        <v>0</v>
      </c>
      <c r="K6051" s="444">
        <f t="shared" ca="1" si="198"/>
        <v>-276069959475687.84</v>
      </c>
      <c r="L6051" s="444">
        <f t="shared" ca="1" si="199"/>
        <v>-6.6532860233640768E+16</v>
      </c>
      <c r="M6051" s="460">
        <f t="shared" si="201"/>
        <v>0.05</v>
      </c>
      <c r="N6051" s="464">
        <f t="shared" si="202"/>
        <v>235218</v>
      </c>
    </row>
    <row r="6052" spans="7:14" ht="11.25" customHeight="1" x14ac:dyDescent="0.25">
      <c r="G6052" s="459"/>
      <c r="H6052" s="459">
        <v>6045</v>
      </c>
      <c r="I6052" s="444">
        <f t="shared" ca="1" si="200"/>
        <v>-6.6532860233640768E+16</v>
      </c>
      <c r="J6052" s="444">
        <f t="array" ref="J6052">IFERROR(INDEX('Retirement Calculator'!K:K,MATCH('Lorri 401b'!N6052,'Retirement Calculator'!A:A,0),0),0)</f>
        <v>0</v>
      </c>
      <c r="K6052" s="444">
        <f t="shared" ca="1" si="198"/>
        <v>-277220250973503.19</v>
      </c>
      <c r="L6052" s="444">
        <f t="shared" ca="1" si="199"/>
        <v>-6.6810080484614272E+16</v>
      </c>
      <c r="M6052" s="460">
        <f t="shared" si="201"/>
        <v>0.05</v>
      </c>
      <c r="N6052" s="464">
        <f t="shared" si="202"/>
        <v>235249</v>
      </c>
    </row>
    <row r="6053" spans="7:14" ht="11.25" customHeight="1" x14ac:dyDescent="0.25">
      <c r="G6053" s="459"/>
      <c r="H6053" s="459">
        <v>6046</v>
      </c>
      <c r="I6053" s="444">
        <f t="shared" ca="1" si="200"/>
        <v>-6.6810080484614272E+16</v>
      </c>
      <c r="J6053" s="444">
        <f t="array" ref="J6053">IFERROR(INDEX('Retirement Calculator'!K:K,MATCH('Lorri 401b'!N6053,'Retirement Calculator'!A:A,0),0),0)</f>
        <v>0</v>
      </c>
      <c r="K6053" s="444">
        <f t="shared" ca="1" si="198"/>
        <v>-278375335352559.44</v>
      </c>
      <c r="L6053" s="444">
        <f t="shared" ca="1" si="199"/>
        <v>-6.7088455819966832E+16</v>
      </c>
      <c r="M6053" s="460">
        <f t="shared" si="201"/>
        <v>0.05</v>
      </c>
      <c r="N6053" s="464">
        <f t="shared" si="202"/>
        <v>235278</v>
      </c>
    </row>
    <row r="6054" spans="7:14" ht="11.25" customHeight="1" x14ac:dyDescent="0.25">
      <c r="G6054" s="459"/>
      <c r="H6054" s="459">
        <v>6047</v>
      </c>
      <c r="I6054" s="444">
        <f t="shared" ca="1" si="200"/>
        <v>-6.7088455819966832E+16</v>
      </c>
      <c r="J6054" s="444">
        <f t="array" ref="J6054">IFERROR(INDEX('Retirement Calculator'!K:K,MATCH('Lorri 401b'!N6054,'Retirement Calculator'!A:A,0),0),0)</f>
        <v>0</v>
      </c>
      <c r="K6054" s="444">
        <f t="shared" ca="1" si="198"/>
        <v>-279535232583195.13</v>
      </c>
      <c r="L6054" s="444">
        <f t="shared" ca="1" si="199"/>
        <v>-6.7367991052550024E+16</v>
      </c>
      <c r="M6054" s="460">
        <f t="shared" si="201"/>
        <v>0.05</v>
      </c>
      <c r="N6054" s="464">
        <f t="shared" si="202"/>
        <v>235309</v>
      </c>
    </row>
    <row r="6055" spans="7:14" ht="11.25" customHeight="1" x14ac:dyDescent="0.25">
      <c r="G6055" s="459"/>
      <c r="H6055" s="459">
        <v>6048</v>
      </c>
      <c r="I6055" s="444">
        <f t="shared" ca="1" si="200"/>
        <v>-6.7367991052550024E+16</v>
      </c>
      <c r="J6055" s="444">
        <f t="array" ref="J6055">IFERROR(INDEX('Retirement Calculator'!K:K,MATCH('Lorri 401b'!N6055,'Retirement Calculator'!A:A,0),0),0)</f>
        <v>0</v>
      </c>
      <c r="K6055" s="444">
        <f t="shared" ca="1" si="198"/>
        <v>-280699962718958.44</v>
      </c>
      <c r="L6055" s="444">
        <f t="shared" ca="1" si="199"/>
        <v>-6.7648691015268984E+16</v>
      </c>
      <c r="M6055" s="460">
        <f t="shared" si="201"/>
        <v>0.05</v>
      </c>
      <c r="N6055" s="464">
        <f t="shared" si="202"/>
        <v>235339</v>
      </c>
    </row>
    <row r="6056" spans="7:14" ht="11.25" customHeight="1" x14ac:dyDescent="0.25">
      <c r="G6056" s="459"/>
      <c r="H6056" s="459">
        <v>6049</v>
      </c>
      <c r="I6056" s="444">
        <f t="shared" ca="1" si="200"/>
        <v>-6.7648691015268984E+16</v>
      </c>
      <c r="J6056" s="444">
        <f t="array" ref="J6056">IFERROR(INDEX('Retirement Calculator'!K:K,MATCH('Lorri 401b'!N6056,'Retirement Calculator'!A:A,0),0),0)</f>
        <v>0</v>
      </c>
      <c r="K6056" s="444">
        <f t="shared" ca="1" si="198"/>
        <v>-281869545896954.13</v>
      </c>
      <c r="L6056" s="444">
        <f t="shared" ca="1" si="199"/>
        <v>-6.7930560561165936E+16</v>
      </c>
      <c r="M6056" s="460">
        <f t="shared" si="201"/>
        <v>0.05</v>
      </c>
      <c r="N6056" s="464">
        <f t="shared" si="202"/>
        <v>235370</v>
      </c>
    </row>
    <row r="6057" spans="7:14" ht="11.25" customHeight="1" x14ac:dyDescent="0.25">
      <c r="G6057" s="459"/>
      <c r="H6057" s="459">
        <v>6050</v>
      </c>
      <c r="I6057" s="444">
        <f t="shared" ca="1" si="200"/>
        <v>-6.7930560561165936E+16</v>
      </c>
      <c r="J6057" s="444">
        <f t="array" ref="J6057">IFERROR(INDEX('Retirement Calculator'!K:K,MATCH('Lorri 401b'!N6057,'Retirement Calculator'!A:A,0),0),0)</f>
        <v>0</v>
      </c>
      <c r="K6057" s="444">
        <f t="shared" ca="1" si="198"/>
        <v>-283044002338191.38</v>
      </c>
      <c r="L6057" s="444">
        <f t="shared" ca="1" si="199"/>
        <v>-6.8213604563504128E+16</v>
      </c>
      <c r="M6057" s="460">
        <f t="shared" si="201"/>
        <v>0.05</v>
      </c>
      <c r="N6057" s="464">
        <f t="shared" si="202"/>
        <v>235400</v>
      </c>
    </row>
    <row r="6058" spans="7:14" ht="11.25" customHeight="1" x14ac:dyDescent="0.25">
      <c r="G6058" s="459"/>
      <c r="H6058" s="459">
        <v>6051</v>
      </c>
      <c r="I6058" s="444">
        <f t="shared" ca="1" si="200"/>
        <v>-6.8213604563504128E+16</v>
      </c>
      <c r="J6058" s="444">
        <f t="array" ref="J6058">IFERROR(INDEX('Retirement Calculator'!K:K,MATCH('Lorri 401b'!N6058,'Retirement Calculator'!A:A,0),0),0)</f>
        <v>0</v>
      </c>
      <c r="K6058" s="444">
        <f t="shared" ca="1" si="198"/>
        <v>-284223352347933.88</v>
      </c>
      <c r="L6058" s="444">
        <f t="shared" ca="1" si="199"/>
        <v>-6.8497827915852064E+16</v>
      </c>
      <c r="M6058" s="460">
        <f t="shared" si="201"/>
        <v>0.05</v>
      </c>
      <c r="N6058" s="464">
        <f t="shared" si="202"/>
        <v>235431</v>
      </c>
    </row>
    <row r="6059" spans="7:14" ht="11.25" customHeight="1" x14ac:dyDescent="0.25">
      <c r="G6059" s="459"/>
      <c r="H6059" s="459">
        <v>6052</v>
      </c>
      <c r="I6059" s="444">
        <f t="shared" ca="1" si="200"/>
        <v>-6.8497827915852064E+16</v>
      </c>
      <c r="J6059" s="444">
        <f t="array" ref="J6059">IFERROR(INDEX('Retirement Calculator'!K:K,MATCH('Lorri 401b'!N6059,'Retirement Calculator'!A:A,0),0),0)</f>
        <v>0</v>
      </c>
      <c r="K6059" s="444">
        <f t="shared" ca="1" si="198"/>
        <v>-285407616316050.31</v>
      </c>
      <c r="L6059" s="444">
        <f t="shared" ca="1" si="199"/>
        <v>-6.8783235532168112E+16</v>
      </c>
      <c r="M6059" s="460">
        <f t="shared" si="201"/>
        <v>0.05</v>
      </c>
      <c r="N6059" s="464">
        <f t="shared" si="202"/>
        <v>235462</v>
      </c>
    </row>
    <row r="6060" spans="7:14" ht="11.25" customHeight="1" x14ac:dyDescent="0.25">
      <c r="G6060" s="459"/>
      <c r="H6060" s="459">
        <v>6053</v>
      </c>
      <c r="I6060" s="444">
        <f t="shared" ca="1" si="200"/>
        <v>-6.8783235532168112E+16</v>
      </c>
      <c r="J6060" s="444">
        <f t="array" ref="J6060">IFERROR(INDEX('Retirement Calculator'!K:K,MATCH('Lorri 401b'!N6060,'Retirement Calculator'!A:A,0),0),0)</f>
        <v>0</v>
      </c>
      <c r="K6060" s="444">
        <f t="shared" ca="1" si="198"/>
        <v>-286596814717367.13</v>
      </c>
      <c r="L6060" s="444">
        <f t="shared" ca="1" si="199"/>
        <v>-6.906983234688548E+16</v>
      </c>
      <c r="M6060" s="460">
        <f t="shared" si="201"/>
        <v>0.05</v>
      </c>
      <c r="N6060" s="464">
        <f t="shared" si="202"/>
        <v>235492</v>
      </c>
    </row>
    <row r="6061" spans="7:14" ht="11.25" customHeight="1" x14ac:dyDescent="0.25">
      <c r="G6061" s="459"/>
      <c r="H6061" s="459">
        <v>6054</v>
      </c>
      <c r="I6061" s="444">
        <f t="shared" ca="1" si="200"/>
        <v>-6.906983234688548E+16</v>
      </c>
      <c r="J6061" s="444">
        <f t="array" ref="J6061">IFERROR(INDEX('Retirement Calculator'!K:K,MATCH('Lorri 401b'!N6061,'Retirement Calculator'!A:A,0),0),0)</f>
        <v>0</v>
      </c>
      <c r="K6061" s="444">
        <f t="shared" ca="1" si="198"/>
        <v>-287790968112022.81</v>
      </c>
      <c r="L6061" s="444">
        <f t="shared" ca="1" si="199"/>
        <v>-6.9357623314997504E+16</v>
      </c>
      <c r="M6061" s="460">
        <f t="shared" si="201"/>
        <v>0.05</v>
      </c>
      <c r="N6061" s="464">
        <f t="shared" si="202"/>
        <v>235523</v>
      </c>
    </row>
    <row r="6062" spans="7:14" ht="11.25" customHeight="1" x14ac:dyDescent="0.25">
      <c r="G6062" s="459"/>
      <c r="H6062" s="459">
        <v>6055</v>
      </c>
      <c r="I6062" s="444">
        <f t="shared" ca="1" si="200"/>
        <v>-6.9357623314997504E+16</v>
      </c>
      <c r="J6062" s="444">
        <f t="array" ref="J6062">IFERROR(INDEX('Retirement Calculator'!K:K,MATCH('Lorri 401b'!N6062,'Retirement Calculator'!A:A,0),0),0)</f>
        <v>0</v>
      </c>
      <c r="K6062" s="444">
        <f t="shared" ca="1" si="198"/>
        <v>-288990097145822.94</v>
      </c>
      <c r="L6062" s="444">
        <f t="shared" ca="1" si="199"/>
        <v>-6.9646613412143328E+16</v>
      </c>
      <c r="M6062" s="460">
        <f t="shared" si="201"/>
        <v>0.05</v>
      </c>
      <c r="N6062" s="464">
        <f t="shared" si="202"/>
        <v>235553</v>
      </c>
    </row>
    <row r="6063" spans="7:14" ht="11.25" customHeight="1" x14ac:dyDescent="0.25">
      <c r="G6063" s="459"/>
      <c r="H6063" s="459">
        <v>6056</v>
      </c>
      <c r="I6063" s="444">
        <f t="shared" ca="1" si="200"/>
        <v>-6.9646613412143328E+16</v>
      </c>
      <c r="J6063" s="444">
        <f t="array" ref="J6063">IFERROR(INDEX('Retirement Calculator'!K:K,MATCH('Lorri 401b'!N6063,'Retirement Calculator'!A:A,0),0),0)</f>
        <v>0</v>
      </c>
      <c r="K6063" s="444">
        <f t="shared" ca="1" si="198"/>
        <v>-290194222550597.19</v>
      </c>
      <c r="L6063" s="444">
        <f t="shared" ca="1" si="199"/>
        <v>-6.9936807634693928E+16</v>
      </c>
      <c r="M6063" s="460">
        <f t="shared" si="201"/>
        <v>0.05</v>
      </c>
      <c r="N6063" s="464">
        <f t="shared" si="202"/>
        <v>235584</v>
      </c>
    </row>
    <row r="6064" spans="7:14" ht="11.25" customHeight="1" x14ac:dyDescent="0.25">
      <c r="G6064" s="459"/>
      <c r="H6064" s="459">
        <v>6057</v>
      </c>
      <c r="I6064" s="444">
        <f t="shared" ca="1" si="200"/>
        <v>-6.9936807634693928E+16</v>
      </c>
      <c r="J6064" s="444">
        <f t="array" ref="J6064">IFERROR(INDEX('Retirement Calculator'!K:K,MATCH('Lorri 401b'!N6064,'Retirement Calculator'!A:A,0),0),0)</f>
        <v>0</v>
      </c>
      <c r="K6064" s="444">
        <f t="shared" ca="1" si="198"/>
        <v>-291403365144558.06</v>
      </c>
      <c r="L6064" s="444">
        <f t="shared" ca="1" si="199"/>
        <v>-7.0228210999838488E+16</v>
      </c>
      <c r="M6064" s="460">
        <f t="shared" si="201"/>
        <v>0.05</v>
      </c>
      <c r="N6064" s="464">
        <f t="shared" si="202"/>
        <v>235615</v>
      </c>
    </row>
    <row r="6065" spans="7:14" ht="11.25" customHeight="1" x14ac:dyDescent="0.25">
      <c r="G6065" s="459"/>
      <c r="H6065" s="459">
        <v>6058</v>
      </c>
      <c r="I6065" s="444">
        <f t="shared" ca="1" si="200"/>
        <v>-7.0228210999838488E+16</v>
      </c>
      <c r="J6065" s="444">
        <f t="array" ref="J6065">IFERROR(INDEX('Retirement Calculator'!K:K,MATCH('Lorri 401b'!N6065,'Retirement Calculator'!A:A,0),0),0)</f>
        <v>0</v>
      </c>
      <c r="K6065" s="444">
        <f t="shared" ca="1" si="198"/>
        <v>-292617545832660.38</v>
      </c>
      <c r="L6065" s="444">
        <f t="shared" ca="1" si="199"/>
        <v>-7.0520828545671152E+16</v>
      </c>
      <c r="M6065" s="460">
        <f t="shared" si="201"/>
        <v>0.05</v>
      </c>
      <c r="N6065" s="464">
        <f t="shared" si="202"/>
        <v>235643</v>
      </c>
    </row>
    <row r="6066" spans="7:14" ht="11.25" customHeight="1" x14ac:dyDescent="0.25">
      <c r="G6066" s="459"/>
      <c r="H6066" s="459">
        <v>6059</v>
      </c>
      <c r="I6066" s="444">
        <f t="shared" ca="1" si="200"/>
        <v>-7.0520828545671152E+16</v>
      </c>
      <c r="J6066" s="444">
        <f t="array" ref="J6066">IFERROR(INDEX('Retirement Calculator'!K:K,MATCH('Lorri 401b'!N6066,'Retirement Calculator'!A:A,0),0),0)</f>
        <v>0</v>
      </c>
      <c r="K6066" s="444">
        <f t="shared" ca="1" si="198"/>
        <v>-293836785606963.13</v>
      </c>
      <c r="L6066" s="444">
        <f t="shared" ca="1" si="199"/>
        <v>-7.0814665331278112E+16</v>
      </c>
      <c r="M6066" s="460">
        <f t="shared" si="201"/>
        <v>0.05</v>
      </c>
      <c r="N6066" s="464">
        <f t="shared" si="202"/>
        <v>235674</v>
      </c>
    </row>
    <row r="6067" spans="7:14" ht="11.25" customHeight="1" x14ac:dyDescent="0.25">
      <c r="G6067" s="459"/>
      <c r="H6067" s="459">
        <v>6060</v>
      </c>
      <c r="I6067" s="444">
        <f t="shared" ca="1" si="200"/>
        <v>-7.0814665331278112E+16</v>
      </c>
      <c r="J6067" s="444">
        <f t="array" ref="J6067">IFERROR(INDEX('Retirement Calculator'!K:K,MATCH('Lorri 401b'!N6067,'Retirement Calculator'!A:A,0),0),0)</f>
        <v>0</v>
      </c>
      <c r="K6067" s="444">
        <f t="shared" ca="1" si="198"/>
        <v>-295061105546992.13</v>
      </c>
      <c r="L6067" s="444">
        <f t="shared" ca="1" si="199"/>
        <v>-7.1109726436825104E+16</v>
      </c>
      <c r="M6067" s="460">
        <f t="shared" si="201"/>
        <v>0.05</v>
      </c>
      <c r="N6067" s="464">
        <f t="shared" si="202"/>
        <v>235704</v>
      </c>
    </row>
    <row r="6068" spans="7:14" ht="11.25" customHeight="1" x14ac:dyDescent="0.25">
      <c r="G6068" s="459"/>
      <c r="H6068" s="459">
        <v>6061</v>
      </c>
      <c r="I6068" s="444">
        <f t="shared" ca="1" si="200"/>
        <v>-7.1109726436825104E+16</v>
      </c>
      <c r="J6068" s="444">
        <f t="array" ref="J6068">IFERROR(INDEX('Retirement Calculator'!K:K,MATCH('Lorri 401b'!N6068,'Retirement Calculator'!A:A,0),0),0)</f>
        <v>0</v>
      </c>
      <c r="K6068" s="444">
        <f t="shared" ca="1" si="198"/>
        <v>-296290526820104.63</v>
      </c>
      <c r="L6068" s="444">
        <f t="shared" ca="1" si="199"/>
        <v>-7.1406016963645208E+16</v>
      </c>
      <c r="M6068" s="460">
        <f t="shared" si="201"/>
        <v>0.05</v>
      </c>
      <c r="N6068" s="464">
        <f t="shared" si="202"/>
        <v>235735</v>
      </c>
    </row>
    <row r="6069" spans="7:14" ht="11.25" customHeight="1" x14ac:dyDescent="0.25">
      <c r="G6069" s="459"/>
      <c r="H6069" s="459">
        <v>6062</v>
      </c>
      <c r="I6069" s="444">
        <f t="shared" ca="1" si="200"/>
        <v>-7.1406016963645208E+16</v>
      </c>
      <c r="J6069" s="444">
        <f t="array" ref="J6069">IFERROR(INDEX('Retirement Calculator'!K:K,MATCH('Lorri 401b'!N6069,'Retirement Calculator'!A:A,0),0),0)</f>
        <v>0</v>
      </c>
      <c r="K6069" s="444">
        <f t="shared" ca="1" si="198"/>
        <v>-297525070681855.06</v>
      </c>
      <c r="L6069" s="444">
        <f t="shared" ca="1" si="199"/>
        <v>-7.1703542034327064E+16</v>
      </c>
      <c r="M6069" s="460">
        <f t="shared" si="201"/>
        <v>0.05</v>
      </c>
      <c r="N6069" s="464">
        <f t="shared" si="202"/>
        <v>235765</v>
      </c>
    </row>
    <row r="6070" spans="7:14" ht="11.25" customHeight="1" x14ac:dyDescent="0.25">
      <c r="G6070" s="459"/>
      <c r="H6070" s="459">
        <v>6063</v>
      </c>
      <c r="I6070" s="444">
        <f t="shared" ca="1" si="200"/>
        <v>-7.1703542034327064E+16</v>
      </c>
      <c r="J6070" s="444">
        <f t="array" ref="J6070">IFERROR(INDEX('Retirement Calculator'!K:K,MATCH('Lorri 401b'!N6070,'Retirement Calculator'!A:A,0),0),0)</f>
        <v>0</v>
      </c>
      <c r="K6070" s="444">
        <f t="shared" ca="1" si="198"/>
        <v>-298764758476362.75</v>
      </c>
      <c r="L6070" s="444">
        <f t="shared" ca="1" si="199"/>
        <v>-7.2002306792803424E+16</v>
      </c>
      <c r="M6070" s="460">
        <f t="shared" si="201"/>
        <v>0.05</v>
      </c>
      <c r="N6070" s="464">
        <f t="shared" si="202"/>
        <v>235796</v>
      </c>
    </row>
    <row r="6071" spans="7:14" ht="11.25" customHeight="1" x14ac:dyDescent="0.25">
      <c r="G6071" s="459"/>
      <c r="H6071" s="459">
        <v>6064</v>
      </c>
      <c r="I6071" s="444">
        <f t="shared" ca="1" si="200"/>
        <v>-7.2002306792803424E+16</v>
      </c>
      <c r="J6071" s="444">
        <f t="array" ref="J6071">IFERROR(INDEX('Retirement Calculator'!K:K,MATCH('Lorri 401b'!N6071,'Retirement Calculator'!A:A,0),0),0)</f>
        <v>0</v>
      </c>
      <c r="K6071" s="444">
        <f t="shared" ca="1" si="198"/>
        <v>-300009611636680.94</v>
      </c>
      <c r="L6071" s="444">
        <f t="shared" ca="1" si="199"/>
        <v>-7.2302316404440112E+16</v>
      </c>
      <c r="M6071" s="460">
        <f t="shared" si="201"/>
        <v>0.05</v>
      </c>
      <c r="N6071" s="464">
        <f t="shared" si="202"/>
        <v>235827</v>
      </c>
    </row>
    <row r="6072" spans="7:14" ht="11.25" customHeight="1" x14ac:dyDescent="0.25">
      <c r="G6072" s="459"/>
      <c r="H6072" s="459">
        <v>6065</v>
      </c>
      <c r="I6072" s="444">
        <f t="shared" ca="1" si="200"/>
        <v>-7.2302316404440112E+16</v>
      </c>
      <c r="J6072" s="444">
        <f t="array" ref="J6072">IFERROR(INDEX('Retirement Calculator'!K:K,MATCH('Lorri 401b'!N6072,'Retirement Calculator'!A:A,0),0),0)</f>
        <v>0</v>
      </c>
      <c r="K6072" s="444">
        <f t="shared" ca="1" si="198"/>
        <v>-301259651685167.13</v>
      </c>
      <c r="L6072" s="444">
        <f t="shared" ca="1" si="199"/>
        <v>-7.260357605612528E+16</v>
      </c>
      <c r="M6072" s="460">
        <f t="shared" si="201"/>
        <v>0.05</v>
      </c>
      <c r="N6072" s="464">
        <f t="shared" si="202"/>
        <v>235857</v>
      </c>
    </row>
    <row r="6073" spans="7:14" ht="11.25" customHeight="1" x14ac:dyDescent="0.25">
      <c r="G6073" s="459"/>
      <c r="H6073" s="459">
        <v>6066</v>
      </c>
      <c r="I6073" s="444">
        <f t="shared" ca="1" si="200"/>
        <v>-7.260357605612528E+16</v>
      </c>
      <c r="J6073" s="444">
        <f t="array" ref="J6073">IFERROR(INDEX('Retirement Calculator'!K:K,MATCH('Lorri 401b'!N6073,'Retirement Calculator'!A:A,0),0),0)</f>
        <v>0</v>
      </c>
      <c r="K6073" s="444">
        <f t="shared" ca="1" si="198"/>
        <v>-302514900233855.31</v>
      </c>
      <c r="L6073" s="444">
        <f t="shared" ca="1" si="199"/>
        <v>-7.2906090956359136E+16</v>
      </c>
      <c r="M6073" s="460">
        <f t="shared" si="201"/>
        <v>0.05</v>
      </c>
      <c r="N6073" s="464">
        <f t="shared" si="202"/>
        <v>235888</v>
      </c>
    </row>
    <row r="6074" spans="7:14" ht="11.25" customHeight="1" x14ac:dyDescent="0.25">
      <c r="G6074" s="459"/>
      <c r="H6074" s="459">
        <v>6067</v>
      </c>
      <c r="I6074" s="444">
        <f t="shared" ca="1" si="200"/>
        <v>-7.2906090956359136E+16</v>
      </c>
      <c r="J6074" s="444">
        <f t="array" ref="J6074">IFERROR(INDEX('Retirement Calculator'!K:K,MATCH('Lorri 401b'!N6074,'Retirement Calculator'!A:A,0),0),0)</f>
        <v>0</v>
      </c>
      <c r="K6074" s="444">
        <f t="shared" ca="1" si="198"/>
        <v>-303775378984829.75</v>
      </c>
      <c r="L6074" s="444">
        <f t="shared" ca="1" si="199"/>
        <v>-7.3209866335343968E+16</v>
      </c>
      <c r="M6074" s="460">
        <f t="shared" si="201"/>
        <v>0.05</v>
      </c>
      <c r="N6074" s="464">
        <f t="shared" si="202"/>
        <v>235918</v>
      </c>
    </row>
    <row r="6075" spans="7:14" ht="11.25" customHeight="1" x14ac:dyDescent="0.25">
      <c r="G6075" s="459"/>
      <c r="H6075" s="459">
        <v>6068</v>
      </c>
      <c r="I6075" s="444">
        <f t="shared" ca="1" si="200"/>
        <v>-7.3209866335343968E+16</v>
      </c>
      <c r="J6075" s="444">
        <f t="array" ref="J6075">IFERROR(INDEX('Retirement Calculator'!K:K,MATCH('Lorri 401b'!N6075,'Retirement Calculator'!A:A,0),0),0)</f>
        <v>0</v>
      </c>
      <c r="K6075" s="444">
        <f t="shared" ca="1" si="198"/>
        <v>-305041109730599.88</v>
      </c>
      <c r="L6075" s="444">
        <f t="shared" ca="1" si="199"/>
        <v>-7.351490744507456E+16</v>
      </c>
      <c r="M6075" s="460">
        <f t="shared" si="201"/>
        <v>0.05</v>
      </c>
      <c r="N6075" s="464">
        <f t="shared" si="202"/>
        <v>235949</v>
      </c>
    </row>
    <row r="6076" spans="7:14" ht="11.25" customHeight="1" x14ac:dyDescent="0.25">
      <c r="G6076" s="459"/>
      <c r="H6076" s="459">
        <v>6069</v>
      </c>
      <c r="I6076" s="444">
        <f t="shared" ca="1" si="200"/>
        <v>-7.351490744507456E+16</v>
      </c>
      <c r="J6076" s="444">
        <f t="array" ref="J6076">IFERROR(INDEX('Retirement Calculator'!K:K,MATCH('Lorri 401b'!N6076,'Retirement Calculator'!A:A,0),0),0)</f>
        <v>0</v>
      </c>
      <c r="K6076" s="444">
        <f t="shared" ca="1" si="198"/>
        <v>-306312114354477.31</v>
      </c>
      <c r="L6076" s="444">
        <f t="shared" ca="1" si="199"/>
        <v>-7.382121955942904E+16</v>
      </c>
      <c r="M6076" s="460">
        <f t="shared" si="201"/>
        <v>0.05</v>
      </c>
      <c r="N6076" s="464">
        <f t="shared" si="202"/>
        <v>235980</v>
      </c>
    </row>
    <row r="6077" spans="7:14" ht="11.25" customHeight="1" x14ac:dyDescent="0.25">
      <c r="G6077" s="459"/>
      <c r="H6077" s="459">
        <v>6070</v>
      </c>
      <c r="I6077" s="444">
        <f t="shared" ca="1" si="200"/>
        <v>-7.382121955942904E+16</v>
      </c>
      <c r="J6077" s="444">
        <f t="array" ref="J6077">IFERROR(INDEX('Retirement Calculator'!K:K,MATCH('Lorri 401b'!N6077,'Retirement Calculator'!A:A,0),0),0)</f>
        <v>0</v>
      </c>
      <c r="K6077" s="444">
        <f t="shared" ca="1" si="198"/>
        <v>-307588414830954.31</v>
      </c>
      <c r="L6077" s="444">
        <f t="shared" ca="1" si="199"/>
        <v>-7.412880797426E+16</v>
      </c>
      <c r="M6077" s="460">
        <f t="shared" si="201"/>
        <v>0.05</v>
      </c>
      <c r="N6077" s="464">
        <f t="shared" si="202"/>
        <v>236008</v>
      </c>
    </row>
    <row r="6078" spans="7:14" ht="11.25" customHeight="1" x14ac:dyDescent="0.25">
      <c r="G6078" s="459"/>
      <c r="H6078" s="459">
        <v>6071</v>
      </c>
      <c r="I6078" s="444">
        <f t="shared" ca="1" si="200"/>
        <v>-7.412880797426E+16</v>
      </c>
      <c r="J6078" s="444">
        <f t="array" ref="J6078">IFERROR(INDEX('Retirement Calculator'!K:K,MATCH('Lorri 401b'!N6078,'Retirement Calculator'!A:A,0),0),0)</f>
        <v>0</v>
      </c>
      <c r="K6078" s="444">
        <f t="shared" ca="1" si="198"/>
        <v>-308870033226083.31</v>
      </c>
      <c r="L6078" s="444">
        <f t="shared" ca="1" si="199"/>
        <v>-7.443767800748608E+16</v>
      </c>
      <c r="M6078" s="460">
        <f t="shared" si="201"/>
        <v>0.05</v>
      </c>
      <c r="N6078" s="464">
        <f t="shared" si="202"/>
        <v>236039</v>
      </c>
    </row>
    <row r="6079" spans="7:14" ht="11.25" customHeight="1" x14ac:dyDescent="0.25">
      <c r="G6079" s="459"/>
      <c r="H6079" s="459">
        <v>6072</v>
      </c>
      <c r="I6079" s="444">
        <f t="shared" ca="1" si="200"/>
        <v>-7.443767800748608E+16</v>
      </c>
      <c r="J6079" s="444">
        <f t="array" ref="J6079">IFERROR(INDEX('Retirement Calculator'!K:K,MATCH('Lorri 401b'!N6079,'Retirement Calculator'!A:A,0),0),0)</f>
        <v>0</v>
      </c>
      <c r="K6079" s="444">
        <f t="shared" ca="1" si="198"/>
        <v>-310156991697858.69</v>
      </c>
      <c r="L6079" s="444">
        <f t="shared" ca="1" si="199"/>
        <v>-7.4747834999183936E+16</v>
      </c>
      <c r="M6079" s="460">
        <f t="shared" si="201"/>
        <v>0.05</v>
      </c>
      <c r="N6079" s="464">
        <f t="shared" si="202"/>
        <v>236069</v>
      </c>
    </row>
    <row r="6080" spans="7:14" ht="11.25" customHeight="1" x14ac:dyDescent="0.25">
      <c r="G6080" s="459"/>
      <c r="H6080" s="459">
        <v>6073</v>
      </c>
      <c r="I6080" s="444">
        <f t="shared" ca="1" si="200"/>
        <v>-7.4747834999183936E+16</v>
      </c>
      <c r="J6080" s="444">
        <f t="array" ref="J6080">IFERROR(INDEX('Retirement Calculator'!K:K,MATCH('Lorri 401b'!N6080,'Retirement Calculator'!A:A,0),0),0)</f>
        <v>0</v>
      </c>
      <c r="K6080" s="444">
        <f t="shared" ca="1" si="198"/>
        <v>-311449312496599.75</v>
      </c>
      <c r="L6080" s="444">
        <f t="shared" ca="1" si="199"/>
        <v>-7.5059284311680528E+16</v>
      </c>
      <c r="M6080" s="460">
        <f t="shared" si="201"/>
        <v>0.05</v>
      </c>
      <c r="N6080" s="464">
        <f t="shared" si="202"/>
        <v>236100</v>
      </c>
    </row>
    <row r="6081" spans="7:14" ht="11.25" customHeight="1" x14ac:dyDescent="0.25">
      <c r="G6081" s="459"/>
      <c r="H6081" s="459">
        <v>6074</v>
      </c>
      <c r="I6081" s="444">
        <f t="shared" ca="1" si="200"/>
        <v>-7.5059284311680528E+16</v>
      </c>
      <c r="J6081" s="444">
        <f t="array" ref="J6081">IFERROR(INDEX('Retirement Calculator'!K:K,MATCH('Lorri 401b'!N6081,'Retirement Calculator'!A:A,0),0),0)</f>
        <v>0</v>
      </c>
      <c r="K6081" s="444">
        <f t="shared" ca="1" si="198"/>
        <v>-312747017965335.5</v>
      </c>
      <c r="L6081" s="444">
        <f t="shared" ca="1" si="199"/>
        <v>-7.5372031329645856E+16</v>
      </c>
      <c r="M6081" s="460">
        <f t="shared" si="201"/>
        <v>0.05</v>
      </c>
      <c r="N6081" s="464">
        <f t="shared" si="202"/>
        <v>236130</v>
      </c>
    </row>
    <row r="6082" spans="7:14" ht="11.25" customHeight="1" x14ac:dyDescent="0.25">
      <c r="G6082" s="459"/>
      <c r="H6082" s="459">
        <v>6075</v>
      </c>
      <c r="I6082" s="444">
        <f t="shared" ca="1" si="200"/>
        <v>-7.5372031329645856E+16</v>
      </c>
      <c r="J6082" s="444">
        <f t="array" ref="J6082">IFERROR(INDEX('Retirement Calculator'!K:K,MATCH('Lorri 401b'!N6082,'Retirement Calculator'!A:A,0),0),0)</f>
        <v>0</v>
      </c>
      <c r="K6082" s="444">
        <f t="shared" ca="1" si="198"/>
        <v>-314050130540191.06</v>
      </c>
      <c r="L6082" s="444">
        <f t="shared" ca="1" si="199"/>
        <v>-7.5686081460186048E+16</v>
      </c>
      <c r="M6082" s="460">
        <f t="shared" si="201"/>
        <v>0.05</v>
      </c>
      <c r="N6082" s="464">
        <f t="shared" si="202"/>
        <v>236161</v>
      </c>
    </row>
    <row r="6083" spans="7:14" ht="11.25" customHeight="1" x14ac:dyDescent="0.25">
      <c r="G6083" s="459"/>
      <c r="H6083" s="459">
        <v>6076</v>
      </c>
      <c r="I6083" s="444">
        <f t="shared" ca="1" si="200"/>
        <v>-7.5686081460186048E+16</v>
      </c>
      <c r="J6083" s="444">
        <f t="array" ref="J6083">IFERROR(INDEX('Retirement Calculator'!K:K,MATCH('Lorri 401b'!N6083,'Retirement Calculator'!A:A,0),0),0)</f>
        <v>0</v>
      </c>
      <c r="K6083" s="444">
        <f t="shared" ca="1" si="198"/>
        <v>-315358672750775.19</v>
      </c>
      <c r="L6083" s="444">
        <f t="shared" ca="1" si="199"/>
        <v>-7.6001440132936816E+16</v>
      </c>
      <c r="M6083" s="460">
        <f t="shared" si="201"/>
        <v>0.05</v>
      </c>
      <c r="N6083" s="464">
        <f t="shared" si="202"/>
        <v>236192</v>
      </c>
    </row>
    <row r="6084" spans="7:14" ht="11.25" customHeight="1" x14ac:dyDescent="0.25">
      <c r="G6084" s="459"/>
      <c r="H6084" s="459">
        <v>6077</v>
      </c>
      <c r="I6084" s="444">
        <f t="shared" ca="1" si="200"/>
        <v>-7.6001440132936816E+16</v>
      </c>
      <c r="J6084" s="444">
        <f t="array" ref="J6084">IFERROR(INDEX('Retirement Calculator'!K:K,MATCH('Lorri 401b'!N6084,'Retirement Calculator'!A:A,0),0),0)</f>
        <v>0</v>
      </c>
      <c r="K6084" s="444">
        <f t="shared" ca="1" si="198"/>
        <v>-316672667220570.06</v>
      </c>
      <c r="L6084" s="444">
        <f t="shared" ca="1" si="199"/>
        <v>-7.6318112800157392E+16</v>
      </c>
      <c r="M6084" s="460">
        <f t="shared" si="201"/>
        <v>0.05</v>
      </c>
      <c r="N6084" s="464">
        <f t="shared" si="202"/>
        <v>236222</v>
      </c>
    </row>
    <row r="6085" spans="7:14" ht="11.25" customHeight="1" x14ac:dyDescent="0.25">
      <c r="G6085" s="459"/>
      <c r="H6085" s="459">
        <v>6078</v>
      </c>
      <c r="I6085" s="444">
        <f t="shared" ca="1" si="200"/>
        <v>-7.6318112800157392E+16</v>
      </c>
      <c r="J6085" s="444">
        <f t="array" ref="J6085">IFERROR(INDEX('Retirement Calculator'!K:K,MATCH('Lorri 401b'!N6085,'Retirement Calculator'!A:A,0),0),0)</f>
        <v>0</v>
      </c>
      <c r="K6085" s="444">
        <f t="shared" ca="1" si="198"/>
        <v>-317992136667322.44</v>
      </c>
      <c r="L6085" s="444">
        <f t="shared" ca="1" si="199"/>
        <v>-7.663610493682472E+16</v>
      </c>
      <c r="M6085" s="460">
        <f t="shared" si="201"/>
        <v>0.05</v>
      </c>
      <c r="N6085" s="464">
        <f t="shared" si="202"/>
        <v>236253</v>
      </c>
    </row>
    <row r="6086" spans="7:14" ht="11.25" customHeight="1" x14ac:dyDescent="0.25">
      <c r="G6086" s="459"/>
      <c r="H6086" s="459">
        <v>6079</v>
      </c>
      <c r="I6086" s="444">
        <f t="shared" ca="1" si="200"/>
        <v>-7.663610493682472E+16</v>
      </c>
      <c r="J6086" s="444">
        <f t="array" ref="J6086">IFERROR(INDEX('Retirement Calculator'!K:K,MATCH('Lorri 401b'!N6086,'Retirement Calculator'!A:A,0),0),0)</f>
        <v>0</v>
      </c>
      <c r="K6086" s="444">
        <f t="shared" ca="1" si="198"/>
        <v>-319317103903436.31</v>
      </c>
      <c r="L6086" s="444">
        <f t="shared" ca="1" si="199"/>
        <v>-7.695542204072816E+16</v>
      </c>
      <c r="M6086" s="460">
        <f t="shared" si="201"/>
        <v>0.05</v>
      </c>
      <c r="N6086" s="464">
        <f t="shared" si="202"/>
        <v>236283</v>
      </c>
    </row>
    <row r="6087" spans="7:14" ht="11.25" customHeight="1" x14ac:dyDescent="0.25">
      <c r="G6087" s="459"/>
      <c r="H6087" s="459">
        <v>6080</v>
      </c>
      <c r="I6087" s="444">
        <f t="shared" ca="1" si="200"/>
        <v>-7.695542204072816E+16</v>
      </c>
      <c r="J6087" s="444">
        <f t="array" ref="J6087">IFERROR(INDEX('Retirement Calculator'!K:K,MATCH('Lorri 401b'!N6087,'Retirement Calculator'!A:A,0),0),0)</f>
        <v>0</v>
      </c>
      <c r="K6087" s="444">
        <f t="shared" ca="1" si="198"/>
        <v>-320647591836367.31</v>
      </c>
      <c r="L6087" s="444">
        <f t="shared" ca="1" si="199"/>
        <v>-7.7276069632564528E+16</v>
      </c>
      <c r="M6087" s="460">
        <f t="shared" si="201"/>
        <v>0.05</v>
      </c>
      <c r="N6087" s="464">
        <f t="shared" si="202"/>
        <v>236314</v>
      </c>
    </row>
    <row r="6088" spans="7:14" ht="11.25" customHeight="1" x14ac:dyDescent="0.25">
      <c r="G6088" s="459"/>
      <c r="H6088" s="459">
        <v>6081</v>
      </c>
      <c r="I6088" s="444">
        <f t="shared" ca="1" si="200"/>
        <v>-7.7276069632564528E+16</v>
      </c>
      <c r="J6088" s="444">
        <f t="array" ref="J6088">IFERROR(INDEX('Retirement Calculator'!K:K,MATCH('Lorri 401b'!N6088,'Retirement Calculator'!A:A,0),0),0)</f>
        <v>0</v>
      </c>
      <c r="K6088" s="444">
        <f t="shared" ca="1" si="198"/>
        <v>-321983623469018.88</v>
      </c>
      <c r="L6088" s="444">
        <f t="shared" ca="1" si="199"/>
        <v>-7.7598053256033552E+16</v>
      </c>
      <c r="M6088" s="460">
        <f t="shared" si="201"/>
        <v>0.05</v>
      </c>
      <c r="N6088" s="464">
        <f t="shared" si="202"/>
        <v>236345</v>
      </c>
    </row>
    <row r="6089" spans="7:14" ht="11.25" customHeight="1" x14ac:dyDescent="0.25">
      <c r="G6089" s="459"/>
      <c r="H6089" s="459">
        <v>6082</v>
      </c>
      <c r="I6089" s="444">
        <f t="shared" ca="1" si="200"/>
        <v>-7.7598053256033552E+16</v>
      </c>
      <c r="J6089" s="444">
        <f t="array" ref="J6089">IFERROR(INDEX('Retirement Calculator'!K:K,MATCH('Lorri 401b'!N6089,'Retirement Calculator'!A:A,0),0),0)</f>
        <v>0</v>
      </c>
      <c r="K6089" s="444">
        <f t="shared" ca="1" si="198"/>
        <v>-323325221900139.81</v>
      </c>
      <c r="L6089" s="444">
        <f t="shared" ca="1" si="199"/>
        <v>-7.7921378477933696E+16</v>
      </c>
      <c r="M6089" s="460">
        <f t="shared" si="201"/>
        <v>0.05</v>
      </c>
      <c r="N6089" s="464">
        <f t="shared" si="202"/>
        <v>236373</v>
      </c>
    </row>
    <row r="6090" spans="7:14" ht="11.25" customHeight="1" x14ac:dyDescent="0.25">
      <c r="G6090" s="459"/>
      <c r="H6090" s="459">
        <v>6083</v>
      </c>
      <c r="I6090" s="444">
        <f t="shared" ca="1" si="200"/>
        <v>-7.7921378477933696E+16</v>
      </c>
      <c r="J6090" s="444">
        <f t="array" ref="J6090">IFERROR(INDEX('Retirement Calculator'!K:K,MATCH('Lorri 401b'!N6090,'Retirement Calculator'!A:A,0),0),0)</f>
        <v>0</v>
      </c>
      <c r="K6090" s="444">
        <f t="shared" ca="1" si="198"/>
        <v>-324672410324723.75</v>
      </c>
      <c r="L6090" s="444">
        <f t="shared" ca="1" si="199"/>
        <v>-7.8246050888258416E+16</v>
      </c>
      <c r="M6090" s="460">
        <f t="shared" si="201"/>
        <v>0.05</v>
      </c>
      <c r="N6090" s="464">
        <f t="shared" si="202"/>
        <v>236404</v>
      </c>
    </row>
    <row r="6091" spans="7:14" ht="11.25" customHeight="1" x14ac:dyDescent="0.25">
      <c r="G6091" s="459"/>
      <c r="H6091" s="459">
        <v>6084</v>
      </c>
      <c r="I6091" s="444">
        <f t="shared" ca="1" si="200"/>
        <v>-7.8246050888258416E+16</v>
      </c>
      <c r="J6091" s="444">
        <f t="array" ref="J6091">IFERROR(INDEX('Retirement Calculator'!K:K,MATCH('Lorri 401b'!N6091,'Retirement Calculator'!A:A,0),0),0)</f>
        <v>0</v>
      </c>
      <c r="K6091" s="444">
        <f t="shared" ca="1" si="198"/>
        <v>-326025212034410.06</v>
      </c>
      <c r="L6091" s="444">
        <f t="shared" ca="1" si="199"/>
        <v>-7.8572076100292832E+16</v>
      </c>
      <c r="M6091" s="460">
        <f t="shared" si="201"/>
        <v>0.05</v>
      </c>
      <c r="N6091" s="464">
        <f t="shared" si="202"/>
        <v>236434</v>
      </c>
    </row>
    <row r="6092" spans="7:14" ht="11.25" customHeight="1" x14ac:dyDescent="0.25">
      <c r="G6092" s="459"/>
      <c r="H6092" s="459">
        <v>6085</v>
      </c>
      <c r="I6092" s="444">
        <f t="shared" ca="1" si="200"/>
        <v>-7.8572076100292832E+16</v>
      </c>
      <c r="J6092" s="444">
        <f t="array" ref="J6092">IFERROR(INDEX('Retirement Calculator'!K:K,MATCH('Lorri 401b'!N6092,'Retirement Calculator'!A:A,0),0),0)</f>
        <v>0</v>
      </c>
      <c r="K6092" s="444">
        <f t="shared" ca="1" si="198"/>
        <v>-327383650417886.81</v>
      </c>
      <c r="L6092" s="444">
        <f t="shared" ca="1" si="199"/>
        <v>-7.889945975071072E+16</v>
      </c>
      <c r="M6092" s="460">
        <f t="shared" si="201"/>
        <v>0.05</v>
      </c>
      <c r="N6092" s="464">
        <f t="shared" si="202"/>
        <v>236465</v>
      </c>
    </row>
    <row r="6093" spans="7:14" ht="11.25" customHeight="1" x14ac:dyDescent="0.25">
      <c r="G6093" s="459"/>
      <c r="H6093" s="459">
        <v>6086</v>
      </c>
      <c r="I6093" s="444">
        <f t="shared" ca="1" si="200"/>
        <v>-7.889945975071072E+16</v>
      </c>
      <c r="J6093" s="444">
        <f t="array" ref="J6093">IFERROR(INDEX('Retirement Calculator'!K:K,MATCH('Lorri 401b'!N6093,'Retirement Calculator'!A:A,0),0),0)</f>
        <v>0</v>
      </c>
      <c r="K6093" s="444">
        <f t="shared" ca="1" si="198"/>
        <v>-328747748961294.69</v>
      </c>
      <c r="L6093" s="444">
        <f t="shared" ca="1" si="199"/>
        <v>-7.9228207499672016E+16</v>
      </c>
      <c r="M6093" s="460">
        <f t="shared" si="201"/>
        <v>0.05</v>
      </c>
      <c r="N6093" s="464">
        <f t="shared" si="202"/>
        <v>236495</v>
      </c>
    </row>
    <row r="6094" spans="7:14" ht="11.25" customHeight="1" x14ac:dyDescent="0.25">
      <c r="G6094" s="459"/>
      <c r="H6094" s="459">
        <v>6087</v>
      </c>
      <c r="I6094" s="444">
        <f t="shared" ca="1" si="200"/>
        <v>-7.9228207499672016E+16</v>
      </c>
      <c r="J6094" s="444">
        <f t="array" ref="J6094">IFERROR(INDEX('Retirement Calculator'!K:K,MATCH('Lorri 401b'!N6094,'Retirement Calculator'!A:A,0),0),0)</f>
        <v>0</v>
      </c>
      <c r="K6094" s="444">
        <f t="shared" ca="1" si="198"/>
        <v>-330117531248633.38</v>
      </c>
      <c r="L6094" s="444">
        <f t="shared" ca="1" si="199"/>
        <v>-7.9558325030920656E+16</v>
      </c>
      <c r="M6094" s="460">
        <f t="shared" si="201"/>
        <v>0.05</v>
      </c>
      <c r="N6094" s="464">
        <f t="shared" si="202"/>
        <v>236526</v>
      </c>
    </row>
    <row r="6095" spans="7:14" ht="11.25" customHeight="1" x14ac:dyDescent="0.25">
      <c r="G6095" s="459"/>
      <c r="H6095" s="459">
        <v>6088</v>
      </c>
      <c r="I6095" s="444">
        <f t="shared" ca="1" si="200"/>
        <v>-7.9558325030920656E+16</v>
      </c>
      <c r="J6095" s="444">
        <f t="array" ref="J6095">IFERROR(INDEX('Retirement Calculator'!K:K,MATCH('Lorri 401b'!N6095,'Retirement Calculator'!A:A,0),0),0)</f>
        <v>0</v>
      </c>
      <c r="K6095" s="444">
        <f t="shared" ca="1" si="198"/>
        <v>-331493020962169.38</v>
      </c>
      <c r="L6095" s="444">
        <f t="shared" ca="1" si="199"/>
        <v>-7.9889818051882832E+16</v>
      </c>
      <c r="M6095" s="460">
        <f t="shared" si="201"/>
        <v>0.05</v>
      </c>
      <c r="N6095" s="464">
        <f t="shared" si="202"/>
        <v>236557</v>
      </c>
    </row>
    <row r="6096" spans="7:14" ht="11.25" customHeight="1" x14ac:dyDescent="0.25">
      <c r="G6096" s="459"/>
      <c r="H6096" s="459">
        <v>6089</v>
      </c>
      <c r="I6096" s="444">
        <f t="shared" ca="1" si="200"/>
        <v>-7.9889818051882832E+16</v>
      </c>
      <c r="J6096" s="444">
        <f t="array" ref="J6096">IFERROR(INDEX('Retirement Calculator'!K:K,MATCH('Lorri 401b'!N6096,'Retirement Calculator'!A:A,0),0),0)</f>
        <v>0</v>
      </c>
      <c r="K6096" s="444">
        <f t="shared" ca="1" si="198"/>
        <v>-332874241882845.13</v>
      </c>
      <c r="L6096" s="444">
        <f t="shared" ca="1" si="199"/>
        <v>-8.022269229376568E+16</v>
      </c>
      <c r="M6096" s="460">
        <f t="shared" si="201"/>
        <v>0.05</v>
      </c>
      <c r="N6096" s="464">
        <f t="shared" si="202"/>
        <v>236587</v>
      </c>
    </row>
    <row r="6097" spans="7:14" ht="11.25" customHeight="1" x14ac:dyDescent="0.25">
      <c r="G6097" s="459"/>
      <c r="H6097" s="459">
        <v>6090</v>
      </c>
      <c r="I6097" s="444">
        <f t="shared" ca="1" si="200"/>
        <v>-8.022269229376568E+16</v>
      </c>
      <c r="J6097" s="444">
        <f t="array" ref="J6097">IFERROR(INDEX('Retirement Calculator'!K:K,MATCH('Lorri 401b'!N6097,'Retirement Calculator'!A:A,0),0),0)</f>
        <v>0</v>
      </c>
      <c r="K6097" s="444">
        <f t="shared" ca="1" si="198"/>
        <v>-334261217890690.31</v>
      </c>
      <c r="L6097" s="444">
        <f t="shared" ca="1" si="199"/>
        <v>-8.0556953511656368E+16</v>
      </c>
      <c r="M6097" s="460">
        <f t="shared" si="201"/>
        <v>0.05</v>
      </c>
      <c r="N6097" s="464">
        <f t="shared" si="202"/>
        <v>236618</v>
      </c>
    </row>
    <row r="6098" spans="7:14" ht="11.25" customHeight="1" x14ac:dyDescent="0.25">
      <c r="G6098" s="459"/>
      <c r="H6098" s="459">
        <v>6091</v>
      </c>
      <c r="I6098" s="444">
        <f t="shared" ca="1" si="200"/>
        <v>-8.0556953511656368E+16</v>
      </c>
      <c r="J6098" s="444">
        <f t="array" ref="J6098">IFERROR(INDEX('Retirement Calculator'!K:K,MATCH('Lorri 401b'!N6098,'Retirement Calculator'!A:A,0),0),0)</f>
        <v>0</v>
      </c>
      <c r="K6098" s="444">
        <f t="shared" ca="1" si="198"/>
        <v>-335653972965234.88</v>
      </c>
      <c r="L6098" s="444">
        <f t="shared" ca="1" si="199"/>
        <v>-8.08926074846216E+16</v>
      </c>
      <c r="M6098" s="460">
        <f t="shared" si="201"/>
        <v>0.05</v>
      </c>
      <c r="N6098" s="464">
        <f t="shared" si="202"/>
        <v>236648</v>
      </c>
    </row>
    <row r="6099" spans="7:14" ht="11.25" customHeight="1" x14ac:dyDescent="0.25">
      <c r="G6099" s="459"/>
      <c r="H6099" s="459">
        <v>6092</v>
      </c>
      <c r="I6099" s="444">
        <f t="shared" ca="1" si="200"/>
        <v>-8.08926074846216E+16</v>
      </c>
      <c r="J6099" s="444">
        <f t="array" ref="J6099">IFERROR(INDEX('Retirement Calculator'!K:K,MATCH('Lorri 401b'!N6099,'Retirement Calculator'!A:A,0),0),0)</f>
        <v>0</v>
      </c>
      <c r="K6099" s="444">
        <f t="shared" ca="1" si="198"/>
        <v>-337052531185923.31</v>
      </c>
      <c r="L6099" s="444">
        <f t="shared" ca="1" si="199"/>
        <v>-8.122966001580752E+16</v>
      </c>
      <c r="M6099" s="460">
        <f t="shared" si="201"/>
        <v>0.05</v>
      </c>
      <c r="N6099" s="464">
        <f t="shared" si="202"/>
        <v>236679</v>
      </c>
    </row>
    <row r="6100" spans="7:14" ht="11.25" customHeight="1" x14ac:dyDescent="0.25">
      <c r="G6100" s="459"/>
      <c r="H6100" s="459">
        <v>6093</v>
      </c>
      <c r="I6100" s="444">
        <f t="shared" ca="1" si="200"/>
        <v>-8.122966001580752E+16</v>
      </c>
      <c r="J6100" s="444">
        <f t="array" ref="J6100">IFERROR(INDEX('Retirement Calculator'!K:K,MATCH('Lorri 401b'!N6100,'Retirement Calculator'!A:A,0),0),0)</f>
        <v>0</v>
      </c>
      <c r="K6100" s="444">
        <f t="shared" ca="1" si="198"/>
        <v>-338456916732531.31</v>
      </c>
      <c r="L6100" s="444">
        <f t="shared" ca="1" si="199"/>
        <v>-8.1568116932540048E+16</v>
      </c>
      <c r="M6100" s="460">
        <f t="shared" si="201"/>
        <v>0.05</v>
      </c>
      <c r="N6100" s="464">
        <f t="shared" si="202"/>
        <v>236710</v>
      </c>
    </row>
    <row r="6101" spans="7:14" ht="11.25" customHeight="1" x14ac:dyDescent="0.25">
      <c r="G6101" s="459"/>
      <c r="H6101" s="459">
        <v>6094</v>
      </c>
      <c r="I6101" s="444">
        <f t="shared" ca="1" si="200"/>
        <v>-8.1568116932540048E+16</v>
      </c>
      <c r="J6101" s="444">
        <f t="array" ref="J6101">IFERROR(INDEX('Retirement Calculator'!K:K,MATCH('Lorri 401b'!N6101,'Retirement Calculator'!A:A,0),0),0)</f>
        <v>0</v>
      </c>
      <c r="K6101" s="444">
        <f t="shared" ca="1" si="198"/>
        <v>-339867153885583.5</v>
      </c>
      <c r="L6101" s="444">
        <f t="shared" ca="1" si="199"/>
        <v>-8.1907984086425632E+16</v>
      </c>
      <c r="M6101" s="460">
        <f t="shared" si="201"/>
        <v>0.05</v>
      </c>
      <c r="N6101" s="464">
        <f t="shared" si="202"/>
        <v>236739</v>
      </c>
    </row>
    <row r="6102" spans="7:14" ht="11.25" customHeight="1" x14ac:dyDescent="0.25">
      <c r="G6102" s="459"/>
      <c r="H6102" s="459">
        <v>6095</v>
      </c>
      <c r="I6102" s="444">
        <f t="shared" ca="1" si="200"/>
        <v>-8.1907984086425632E+16</v>
      </c>
      <c r="J6102" s="444">
        <f t="array" ref="J6102">IFERROR(INDEX('Retirement Calculator'!K:K,MATCH('Lorri 401b'!N6102,'Retirement Calculator'!A:A,0),0),0)</f>
        <v>0</v>
      </c>
      <c r="K6102" s="444">
        <f t="shared" ca="1" si="198"/>
        <v>-341283267026773.44</v>
      </c>
      <c r="L6102" s="444">
        <f t="shared" ca="1" si="199"/>
        <v>-8.22492673534524E+16</v>
      </c>
      <c r="M6102" s="460">
        <f t="shared" si="201"/>
        <v>0.05</v>
      </c>
      <c r="N6102" s="464">
        <f t="shared" si="202"/>
        <v>236770</v>
      </c>
    </row>
    <row r="6103" spans="7:14" ht="11.25" customHeight="1" x14ac:dyDescent="0.25">
      <c r="G6103" s="459"/>
      <c r="H6103" s="459">
        <v>6096</v>
      </c>
      <c r="I6103" s="444">
        <f t="shared" ca="1" si="200"/>
        <v>-8.22492673534524E+16</v>
      </c>
      <c r="J6103" s="444">
        <f t="array" ref="J6103">IFERROR(INDEX('Retirement Calculator'!K:K,MATCH('Lorri 401b'!N6103,'Retirement Calculator'!A:A,0),0),0)</f>
        <v>0</v>
      </c>
      <c r="K6103" s="444">
        <f t="shared" ca="1" si="198"/>
        <v>-342705280639385</v>
      </c>
      <c r="L6103" s="444">
        <f t="shared" ca="1" si="199"/>
        <v>-8.2591972634091792E+16</v>
      </c>
      <c r="M6103" s="460">
        <f t="shared" si="201"/>
        <v>0.05</v>
      </c>
      <c r="N6103" s="464">
        <f t="shared" si="202"/>
        <v>236800</v>
      </c>
    </row>
    <row r="6104" spans="7:14" ht="11.25" customHeight="1" x14ac:dyDescent="0.25">
      <c r="G6104" s="459"/>
      <c r="H6104" s="459">
        <v>6097</v>
      </c>
      <c r="I6104" s="444">
        <f t="shared" ca="1" si="200"/>
        <v>-8.2591972634091792E+16</v>
      </c>
      <c r="J6104" s="444">
        <f t="array" ref="J6104">IFERROR(INDEX('Retirement Calculator'!K:K,MATCH('Lorri 401b'!N6104,'Retirement Calculator'!A:A,0),0),0)</f>
        <v>0</v>
      </c>
      <c r="K6104" s="444">
        <f t="shared" ca="1" si="198"/>
        <v>-344133219308715.81</v>
      </c>
      <c r="L6104" s="444">
        <f t="shared" ca="1" si="199"/>
        <v>-8.2936105853400512E+16</v>
      </c>
      <c r="M6104" s="460">
        <f t="shared" si="201"/>
        <v>0.05</v>
      </c>
      <c r="N6104" s="464">
        <f t="shared" si="202"/>
        <v>236831</v>
      </c>
    </row>
    <row r="6105" spans="7:14" ht="11.25" customHeight="1" x14ac:dyDescent="0.25">
      <c r="G6105" s="459"/>
      <c r="H6105" s="459">
        <v>6098</v>
      </c>
      <c r="I6105" s="444">
        <f t="shared" ca="1" si="200"/>
        <v>-8.2936105853400512E+16</v>
      </c>
      <c r="J6105" s="444">
        <f t="array" ref="J6105">IFERROR(INDEX('Retirement Calculator'!K:K,MATCH('Lorri 401b'!N6105,'Retirement Calculator'!A:A,0),0),0)</f>
        <v>0</v>
      </c>
      <c r="K6105" s="444">
        <f t="shared" ca="1" si="198"/>
        <v>-345567107722502.13</v>
      </c>
      <c r="L6105" s="444">
        <f t="shared" ca="1" si="199"/>
        <v>-8.3281672961123008E+16</v>
      </c>
      <c r="M6105" s="460">
        <f t="shared" si="201"/>
        <v>0.05</v>
      </c>
      <c r="N6105" s="464">
        <f t="shared" si="202"/>
        <v>236861</v>
      </c>
    </row>
    <row r="6106" spans="7:14" ht="11.25" customHeight="1" x14ac:dyDescent="0.25">
      <c r="G6106" s="459"/>
      <c r="H6106" s="459">
        <v>6099</v>
      </c>
      <c r="I6106" s="444">
        <f t="shared" ca="1" si="200"/>
        <v>-8.3281672961123008E+16</v>
      </c>
      <c r="J6106" s="444">
        <f t="array" ref="J6106">IFERROR(INDEX('Retirement Calculator'!K:K,MATCH('Lorri 401b'!N6106,'Retirement Calculator'!A:A,0),0),0)</f>
        <v>0</v>
      </c>
      <c r="K6106" s="444">
        <f t="shared" ca="1" si="198"/>
        <v>-347006970671345.88</v>
      </c>
      <c r="L6106" s="444">
        <f t="shared" ca="1" si="199"/>
        <v>-8.3628679931794352E+16</v>
      </c>
      <c r="M6106" s="460">
        <f t="shared" si="201"/>
        <v>0.05</v>
      </c>
      <c r="N6106" s="464">
        <f t="shared" si="202"/>
        <v>236892</v>
      </c>
    </row>
    <row r="6107" spans="7:14" ht="11.25" customHeight="1" x14ac:dyDescent="0.25">
      <c r="G6107" s="459"/>
      <c r="H6107" s="459">
        <v>6100</v>
      </c>
      <c r="I6107" s="444">
        <f t="shared" ca="1" si="200"/>
        <v>-8.3628679931794352E+16</v>
      </c>
      <c r="J6107" s="444">
        <f t="array" ref="J6107">IFERROR(INDEX('Retirement Calculator'!K:K,MATCH('Lorri 401b'!N6107,'Retirement Calculator'!A:A,0),0),0)</f>
        <v>0</v>
      </c>
      <c r="K6107" s="444">
        <f t="shared" ca="1" si="198"/>
        <v>-348452833049143.13</v>
      </c>
      <c r="L6107" s="444">
        <f t="shared" ca="1" si="199"/>
        <v>-8.3977132764843488E+16</v>
      </c>
      <c r="M6107" s="460">
        <f t="shared" si="201"/>
        <v>0.05</v>
      </c>
      <c r="N6107" s="464">
        <f t="shared" si="202"/>
        <v>236923</v>
      </c>
    </row>
    <row r="6108" spans="7:14" ht="11.25" customHeight="1" x14ac:dyDescent="0.25">
      <c r="G6108" s="459"/>
      <c r="H6108" s="459">
        <v>6101</v>
      </c>
      <c r="I6108" s="444">
        <f t="shared" ca="1" si="200"/>
        <v>-8.3977132764843488E+16</v>
      </c>
      <c r="J6108" s="444">
        <f t="array" ref="J6108">IFERROR(INDEX('Retirement Calculator'!K:K,MATCH('Lorri 401b'!N6108,'Retirement Calculator'!A:A,0),0),0)</f>
        <v>0</v>
      </c>
      <c r="K6108" s="444">
        <f t="shared" ca="1" si="198"/>
        <v>-349904719853514.5</v>
      </c>
      <c r="L6108" s="444">
        <f t="shared" ca="1" si="199"/>
        <v>-8.4327037484697008E+16</v>
      </c>
      <c r="M6108" s="460">
        <f t="shared" si="201"/>
        <v>0.05</v>
      </c>
      <c r="N6108" s="464">
        <f t="shared" si="202"/>
        <v>236953</v>
      </c>
    </row>
    <row r="6109" spans="7:14" ht="11.25" customHeight="1" x14ac:dyDescent="0.25">
      <c r="G6109" s="459"/>
      <c r="H6109" s="459">
        <v>6102</v>
      </c>
      <c r="I6109" s="444">
        <f t="shared" ca="1" si="200"/>
        <v>-8.4327037484697008E+16</v>
      </c>
      <c r="J6109" s="444">
        <f t="array" ref="J6109">IFERROR(INDEX('Retirement Calculator'!K:K,MATCH('Lorri 401b'!N6109,'Retirement Calculator'!A:A,0),0),0)</f>
        <v>0</v>
      </c>
      <c r="K6109" s="444">
        <f t="shared" ca="1" si="198"/>
        <v>-351362656186237.5</v>
      </c>
      <c r="L6109" s="444">
        <f t="shared" ca="1" si="199"/>
        <v>-8.4678400140883248E+16</v>
      </c>
      <c r="M6109" s="460">
        <f t="shared" si="201"/>
        <v>0.05</v>
      </c>
      <c r="N6109" s="464">
        <f t="shared" si="202"/>
        <v>236984</v>
      </c>
    </row>
    <row r="6110" spans="7:14" ht="11.25" customHeight="1" x14ac:dyDescent="0.25">
      <c r="G6110" s="459"/>
      <c r="H6110" s="459">
        <v>6103</v>
      </c>
      <c r="I6110" s="444">
        <f t="shared" ca="1" si="200"/>
        <v>-8.4678400140883248E+16</v>
      </c>
      <c r="J6110" s="444">
        <f t="array" ref="J6110">IFERROR(INDEX('Retirement Calculator'!K:K,MATCH('Lorri 401b'!N6110,'Retirement Calculator'!A:A,0),0),0)</f>
        <v>0</v>
      </c>
      <c r="K6110" s="444">
        <f t="shared" ca="1" si="198"/>
        <v>-352826667253680.19</v>
      </c>
      <c r="L6110" s="444">
        <f t="shared" ca="1" si="199"/>
        <v>-8.5031226808136928E+16</v>
      </c>
      <c r="M6110" s="460">
        <f t="shared" si="201"/>
        <v>0.05</v>
      </c>
      <c r="N6110" s="464">
        <f t="shared" si="202"/>
        <v>237014</v>
      </c>
    </row>
    <row r="6111" spans="7:14" ht="11.25" customHeight="1" x14ac:dyDescent="0.25">
      <c r="G6111" s="459"/>
      <c r="H6111" s="459">
        <v>6104</v>
      </c>
      <c r="I6111" s="444">
        <f t="shared" ca="1" si="200"/>
        <v>-8.5031226808136928E+16</v>
      </c>
      <c r="J6111" s="444">
        <f t="array" ref="J6111">IFERROR(INDEX('Retirement Calculator'!K:K,MATCH('Lorri 401b'!N6111,'Retirement Calculator'!A:A,0),0),0)</f>
        <v>0</v>
      </c>
      <c r="K6111" s="444">
        <f t="shared" ca="1" si="198"/>
        <v>-354296778367237.19</v>
      </c>
      <c r="L6111" s="444">
        <f t="shared" ca="1" si="199"/>
        <v>-8.538552358650416E+16</v>
      </c>
      <c r="M6111" s="460">
        <f t="shared" si="201"/>
        <v>0.05</v>
      </c>
      <c r="N6111" s="464">
        <f t="shared" si="202"/>
        <v>237045</v>
      </c>
    </row>
    <row r="6112" spans="7:14" ht="11.25" customHeight="1" x14ac:dyDescent="0.25">
      <c r="G6112" s="459"/>
      <c r="H6112" s="459">
        <v>6105</v>
      </c>
      <c r="I6112" s="444">
        <f t="shared" ca="1" si="200"/>
        <v>-8.538552358650416E+16</v>
      </c>
      <c r="J6112" s="444">
        <f t="array" ref="J6112">IFERROR(INDEX('Retirement Calculator'!K:K,MATCH('Lorri 401b'!N6112,'Retirement Calculator'!A:A,0),0),0)</f>
        <v>0</v>
      </c>
      <c r="K6112" s="444">
        <f t="shared" ca="1" si="198"/>
        <v>-355773014943767.31</v>
      </c>
      <c r="L6112" s="444">
        <f t="shared" ca="1" si="199"/>
        <v>-8.574129660144792E+16</v>
      </c>
      <c r="M6112" s="460">
        <f t="shared" si="201"/>
        <v>0.05</v>
      </c>
      <c r="N6112" s="464">
        <f t="shared" si="202"/>
        <v>237076</v>
      </c>
    </row>
    <row r="6113" spans="7:14" ht="11.25" customHeight="1" x14ac:dyDescent="0.25">
      <c r="G6113" s="459"/>
      <c r="H6113" s="459">
        <v>6106</v>
      </c>
      <c r="I6113" s="444">
        <f t="shared" ca="1" si="200"/>
        <v>-8.574129660144792E+16</v>
      </c>
      <c r="J6113" s="444">
        <f t="array" ref="J6113">IFERROR(INDEX('Retirement Calculator'!K:K,MATCH('Lorri 401b'!N6113,'Retirement Calculator'!A:A,0),0),0)</f>
        <v>0</v>
      </c>
      <c r="K6113" s="444">
        <f t="shared" ca="1" si="198"/>
        <v>-357255402506033</v>
      </c>
      <c r="L6113" s="444">
        <f t="shared" ca="1" si="199"/>
        <v>-8.6098552003953952E+16</v>
      </c>
      <c r="M6113" s="460">
        <f t="shared" si="201"/>
        <v>0.05</v>
      </c>
      <c r="N6113" s="464">
        <f t="shared" si="202"/>
        <v>237104</v>
      </c>
    </row>
    <row r="6114" spans="7:14" ht="11.25" customHeight="1" x14ac:dyDescent="0.25">
      <c r="G6114" s="459"/>
      <c r="H6114" s="459">
        <v>6107</v>
      </c>
      <c r="I6114" s="444">
        <f t="shared" ca="1" si="200"/>
        <v>-8.6098552003953952E+16</v>
      </c>
      <c r="J6114" s="444">
        <f t="array" ref="J6114">IFERROR(INDEX('Retirement Calculator'!K:K,MATCH('Lorri 401b'!N6114,'Retirement Calculator'!A:A,0),0),0)</f>
        <v>0</v>
      </c>
      <c r="K6114" s="444">
        <f t="shared" ca="1" si="198"/>
        <v>-358743966683141.44</v>
      </c>
      <c r="L6114" s="444">
        <f t="shared" ca="1" si="199"/>
        <v>-8.6457295970637088E+16</v>
      </c>
      <c r="M6114" s="460">
        <f t="shared" si="201"/>
        <v>0.05</v>
      </c>
      <c r="N6114" s="464">
        <f t="shared" si="202"/>
        <v>237135</v>
      </c>
    </row>
    <row r="6115" spans="7:14" ht="11.25" customHeight="1" x14ac:dyDescent="0.25">
      <c r="G6115" s="459"/>
      <c r="H6115" s="459">
        <v>6108</v>
      </c>
      <c r="I6115" s="444">
        <f t="shared" ca="1" si="200"/>
        <v>-8.6457295970637088E+16</v>
      </c>
      <c r="J6115" s="444">
        <f t="array" ref="J6115">IFERROR(INDEX('Retirement Calculator'!K:K,MATCH('Lorri 401b'!N6115,'Retirement Calculator'!A:A,0),0),0)</f>
        <v>0</v>
      </c>
      <c r="K6115" s="444">
        <f t="shared" ca="1" si="198"/>
        <v>-360238733210987.88</v>
      </c>
      <c r="L6115" s="444">
        <f t="shared" ca="1" si="199"/>
        <v>-8.681753470384808E+16</v>
      </c>
      <c r="M6115" s="460">
        <f t="shared" si="201"/>
        <v>0.05</v>
      </c>
      <c r="N6115" s="464">
        <f t="shared" si="202"/>
        <v>237165</v>
      </c>
    </row>
    <row r="6116" spans="7:14" ht="11.25" customHeight="1" x14ac:dyDescent="0.25">
      <c r="G6116" s="459"/>
      <c r="H6116" s="459">
        <v>6109</v>
      </c>
      <c r="I6116" s="444">
        <f t="shared" ca="1" si="200"/>
        <v>-8.681753470384808E+16</v>
      </c>
      <c r="J6116" s="444">
        <f t="array" ref="J6116">IFERROR(INDEX('Retirement Calculator'!K:K,MATCH('Lorri 401b'!N6116,'Retirement Calculator'!A:A,0),0),0)</f>
        <v>0</v>
      </c>
      <c r="K6116" s="444">
        <f t="shared" ca="1" si="198"/>
        <v>-361739727932700.31</v>
      </c>
      <c r="L6116" s="444">
        <f t="shared" ca="1" si="199"/>
        <v>-8.7179274431780784E+16</v>
      </c>
      <c r="M6116" s="460">
        <f t="shared" si="201"/>
        <v>0.05</v>
      </c>
      <c r="N6116" s="464">
        <f t="shared" si="202"/>
        <v>237196</v>
      </c>
    </row>
    <row r="6117" spans="7:14" ht="11.25" customHeight="1" x14ac:dyDescent="0.25">
      <c r="G6117" s="459"/>
      <c r="H6117" s="459">
        <v>6110</v>
      </c>
      <c r="I6117" s="444">
        <f t="shared" ca="1" si="200"/>
        <v>-8.7179274431780784E+16</v>
      </c>
      <c r="J6117" s="444">
        <f t="array" ref="J6117">IFERROR(INDEX('Retirement Calculator'!K:K,MATCH('Lorri 401b'!N6117,'Retirement Calculator'!A:A,0),0),0)</f>
        <v>0</v>
      </c>
      <c r="K6117" s="444">
        <f t="shared" ca="1" si="198"/>
        <v>-363246976799086.63</v>
      </c>
      <c r="L6117" s="444">
        <f t="shared" ca="1" si="199"/>
        <v>-8.7542521408579872E+16</v>
      </c>
      <c r="M6117" s="460">
        <f t="shared" si="201"/>
        <v>0.05</v>
      </c>
      <c r="N6117" s="464">
        <f t="shared" si="202"/>
        <v>237226</v>
      </c>
    </row>
    <row r="6118" spans="7:14" ht="11.25" customHeight="1" x14ac:dyDescent="0.25">
      <c r="G6118" s="459"/>
      <c r="H6118" s="459">
        <v>6111</v>
      </c>
      <c r="I6118" s="444">
        <f t="shared" ca="1" si="200"/>
        <v>-8.7542521408579872E+16</v>
      </c>
      <c r="J6118" s="444">
        <f t="array" ref="J6118">IFERROR(INDEX('Retirement Calculator'!K:K,MATCH('Lorri 401b'!N6118,'Retirement Calculator'!A:A,0),0),0)</f>
        <v>0</v>
      </c>
      <c r="K6118" s="444">
        <f t="shared" ca="1" si="198"/>
        <v>-364760505869082.81</v>
      </c>
      <c r="L6118" s="444">
        <f t="shared" ca="1" si="199"/>
        <v>-8.790728191444896E+16</v>
      </c>
      <c r="M6118" s="460">
        <f t="shared" si="201"/>
        <v>0.05</v>
      </c>
      <c r="N6118" s="464">
        <f t="shared" si="202"/>
        <v>237257</v>
      </c>
    </row>
    <row r="6119" spans="7:14" ht="11.25" customHeight="1" x14ac:dyDescent="0.25">
      <c r="G6119" s="459"/>
      <c r="H6119" s="459">
        <v>6112</v>
      </c>
      <c r="I6119" s="444">
        <f t="shared" ca="1" si="200"/>
        <v>-8.790728191444896E+16</v>
      </c>
      <c r="J6119" s="444">
        <f t="array" ref="J6119">IFERROR(INDEX('Retirement Calculator'!K:K,MATCH('Lorri 401b'!N6119,'Retirement Calculator'!A:A,0),0),0)</f>
        <v>0</v>
      </c>
      <c r="K6119" s="444">
        <f t="shared" ca="1" si="198"/>
        <v>-366280341310204</v>
      </c>
      <c r="L6119" s="444">
        <f t="shared" ca="1" si="199"/>
        <v>-8.8273562255759168E+16</v>
      </c>
      <c r="M6119" s="460">
        <f t="shared" si="201"/>
        <v>0.05</v>
      </c>
      <c r="N6119" s="464">
        <f t="shared" si="202"/>
        <v>237288</v>
      </c>
    </row>
    <row r="6120" spans="7:14" ht="11.25" customHeight="1" x14ac:dyDescent="0.25">
      <c r="G6120" s="459"/>
      <c r="H6120" s="459">
        <v>6113</v>
      </c>
      <c r="I6120" s="444">
        <f t="shared" ca="1" si="200"/>
        <v>-8.8273562255759168E+16</v>
      </c>
      <c r="J6120" s="444">
        <f t="array" ref="J6120">IFERROR(INDEX('Retirement Calculator'!K:K,MATCH('Lorri 401b'!N6120,'Retirement Calculator'!A:A,0),0),0)</f>
        <v>0</v>
      </c>
      <c r="K6120" s="444">
        <f t="shared" ca="1" si="198"/>
        <v>-367806509398996.5</v>
      </c>
      <c r="L6120" s="444">
        <f t="shared" ca="1" si="199"/>
        <v>-8.864136876515816E+16</v>
      </c>
      <c r="M6120" s="460">
        <f t="shared" si="201"/>
        <v>0.05</v>
      </c>
      <c r="N6120" s="464">
        <f t="shared" si="202"/>
        <v>237318</v>
      </c>
    </row>
    <row r="6121" spans="7:14" ht="11.25" customHeight="1" x14ac:dyDescent="0.25">
      <c r="G6121" s="459"/>
      <c r="H6121" s="459">
        <v>6114</v>
      </c>
      <c r="I6121" s="444">
        <f t="shared" ca="1" si="200"/>
        <v>-8.864136876515816E+16</v>
      </c>
      <c r="J6121" s="444">
        <f t="array" ref="J6121">IFERROR(INDEX('Retirement Calculator'!K:K,MATCH('Lorri 401b'!N6121,'Retirement Calculator'!A:A,0),0),0)</f>
        <v>0</v>
      </c>
      <c r="K6121" s="444">
        <f t="shared" ca="1" si="198"/>
        <v>-369339036521492.31</v>
      </c>
      <c r="L6121" s="444">
        <f t="shared" ca="1" si="199"/>
        <v>-8.9010707801679648E+16</v>
      </c>
      <c r="M6121" s="460">
        <f t="shared" si="201"/>
        <v>0.05</v>
      </c>
      <c r="N6121" s="464">
        <f t="shared" si="202"/>
        <v>237349</v>
      </c>
    </row>
    <row r="6122" spans="7:14" ht="11.25" customHeight="1" x14ac:dyDescent="0.25">
      <c r="G6122" s="459"/>
      <c r="H6122" s="459">
        <v>6115</v>
      </c>
      <c r="I6122" s="444">
        <f t="shared" ca="1" si="200"/>
        <v>-8.9010707801679648E+16</v>
      </c>
      <c r="J6122" s="444">
        <f t="array" ref="J6122">IFERROR(INDEX('Retirement Calculator'!K:K,MATCH('Lorri 401b'!N6122,'Retirement Calculator'!A:A,0),0),0)</f>
        <v>0</v>
      </c>
      <c r="K6122" s="444">
        <f t="shared" ca="1" si="198"/>
        <v>-370877949173665.19</v>
      </c>
      <c r="L6122" s="444">
        <f t="shared" ca="1" si="199"/>
        <v>-8.9381585750853312E+16</v>
      </c>
      <c r="M6122" s="460">
        <f t="shared" si="201"/>
        <v>0.05</v>
      </c>
      <c r="N6122" s="464">
        <f t="shared" si="202"/>
        <v>237379</v>
      </c>
    </row>
    <row r="6123" spans="7:14" ht="11.25" customHeight="1" x14ac:dyDescent="0.25">
      <c r="G6123" s="459"/>
      <c r="H6123" s="459">
        <v>6116</v>
      </c>
      <c r="I6123" s="444">
        <f t="shared" ca="1" si="200"/>
        <v>-8.9381585750853312E+16</v>
      </c>
      <c r="J6123" s="444">
        <f t="array" ref="J6123">IFERROR(INDEX('Retirement Calculator'!K:K,MATCH('Lorri 401b'!N6123,'Retirement Calculator'!A:A,0),0),0)</f>
        <v>0</v>
      </c>
      <c r="K6123" s="444">
        <f t="shared" ca="1" si="198"/>
        <v>-372423273961888.81</v>
      </c>
      <c r="L6123" s="444">
        <f t="shared" ca="1" si="199"/>
        <v>-8.97540090248152E+16</v>
      </c>
      <c r="M6123" s="460">
        <f t="shared" si="201"/>
        <v>0.05</v>
      </c>
      <c r="N6123" s="464">
        <f t="shared" si="202"/>
        <v>237410</v>
      </c>
    </row>
    <row r="6124" spans="7:14" ht="11.25" customHeight="1" x14ac:dyDescent="0.25">
      <c r="G6124" s="459"/>
      <c r="H6124" s="459">
        <v>6117</v>
      </c>
      <c r="I6124" s="444">
        <f t="shared" ca="1" si="200"/>
        <v>-8.97540090248152E+16</v>
      </c>
      <c r="J6124" s="444">
        <f t="array" ref="J6124">IFERROR(INDEX('Retirement Calculator'!K:K,MATCH('Lorri 401b'!N6124,'Retirement Calculator'!A:A,0),0),0)</f>
        <v>0</v>
      </c>
      <c r="K6124" s="444">
        <f t="shared" ca="1" si="198"/>
        <v>-373975037603396.69</v>
      </c>
      <c r="L6124" s="444">
        <f t="shared" ca="1" si="199"/>
        <v>-9.0127984062418592E+16</v>
      </c>
      <c r="M6124" s="460">
        <f t="shared" si="201"/>
        <v>0.05</v>
      </c>
      <c r="N6124" s="464">
        <f t="shared" si="202"/>
        <v>237441</v>
      </c>
    </row>
    <row r="6125" spans="7:14" ht="11.25" customHeight="1" x14ac:dyDescent="0.25">
      <c r="G6125" s="459"/>
      <c r="H6125" s="459">
        <v>6118</v>
      </c>
      <c r="I6125" s="444">
        <f t="shared" ca="1" si="200"/>
        <v>-9.0127984062418592E+16</v>
      </c>
      <c r="J6125" s="444">
        <f t="array" ref="J6125">IFERROR(INDEX('Retirement Calculator'!K:K,MATCH('Lorri 401b'!N6125,'Retirement Calculator'!A:A,0),0),0)</f>
        <v>0</v>
      </c>
      <c r="K6125" s="444">
        <f t="shared" ca="1" si="198"/>
        <v>-375533266926744.13</v>
      </c>
      <c r="L6125" s="444">
        <f t="shared" ca="1" si="199"/>
        <v>-9.0503517329345344E+16</v>
      </c>
      <c r="M6125" s="460">
        <f t="shared" si="201"/>
        <v>0.05</v>
      </c>
      <c r="N6125" s="464">
        <f t="shared" si="202"/>
        <v>237469</v>
      </c>
    </row>
    <row r="6126" spans="7:14" ht="11.25" customHeight="1" x14ac:dyDescent="0.25">
      <c r="G6126" s="459"/>
      <c r="H6126" s="459">
        <v>6119</v>
      </c>
      <c r="I6126" s="444">
        <f t="shared" ca="1" si="200"/>
        <v>-9.0503517329345344E+16</v>
      </c>
      <c r="J6126" s="444">
        <f t="array" ref="J6126">IFERROR(INDEX('Retirement Calculator'!K:K,MATCH('Lorri 401b'!N6126,'Retirement Calculator'!A:A,0),0),0)</f>
        <v>0</v>
      </c>
      <c r="K6126" s="444">
        <f t="shared" ca="1" si="198"/>
        <v>-377097988872272.25</v>
      </c>
      <c r="L6126" s="444">
        <f t="shared" ca="1" si="199"/>
        <v>-9.0880615318217616E+16</v>
      </c>
      <c r="M6126" s="460">
        <f t="shared" si="201"/>
        <v>0.05</v>
      </c>
      <c r="N6126" s="464">
        <f t="shared" si="202"/>
        <v>237500</v>
      </c>
    </row>
    <row r="6127" spans="7:14" ht="11.25" customHeight="1" x14ac:dyDescent="0.25">
      <c r="G6127" s="459"/>
      <c r="H6127" s="459">
        <v>6120</v>
      </c>
      <c r="I6127" s="444">
        <f t="shared" ca="1" si="200"/>
        <v>-9.0880615318217616E+16</v>
      </c>
      <c r="J6127" s="444">
        <f t="array" ref="J6127">IFERROR(INDEX('Retirement Calculator'!K:K,MATCH('Lorri 401b'!N6127,'Retirement Calculator'!A:A,0),0),0)</f>
        <v>0</v>
      </c>
      <c r="K6127" s="444">
        <f t="shared" ca="1" si="198"/>
        <v>-378669230492573.38</v>
      </c>
      <c r="L6127" s="444">
        <f t="shared" ca="1" si="199"/>
        <v>-9.1259284548710192E+16</v>
      </c>
      <c r="M6127" s="460">
        <f t="shared" si="201"/>
        <v>0.05</v>
      </c>
      <c r="N6127" s="464">
        <f t="shared" si="202"/>
        <v>237530</v>
      </c>
    </row>
    <row r="6128" spans="7:14" ht="11.25" customHeight="1" x14ac:dyDescent="0.25">
      <c r="G6128" s="459"/>
      <c r="H6128" s="459">
        <v>6121</v>
      </c>
      <c r="I6128" s="444">
        <f t="shared" ca="1" si="200"/>
        <v>-9.1259284548710192E+16</v>
      </c>
      <c r="J6128" s="444">
        <f t="array" ref="J6128">IFERROR(INDEX('Retirement Calculator'!K:K,MATCH('Lorri 401b'!N6128,'Retirement Calculator'!A:A,0),0),0)</f>
        <v>0</v>
      </c>
      <c r="K6128" s="444">
        <f t="shared" ref="K6128:K6250" ca="1" si="203">IPMT(M6128/12,1,12,-I6128+J6128,,0)</f>
        <v>-380247018952959.13</v>
      </c>
      <c r="L6128" s="444">
        <f t="shared" ref="L6128:L6250" ca="1" si="204">I6128-J6128+K6128</f>
        <v>-9.1639531567663152E+16</v>
      </c>
      <c r="M6128" s="460">
        <f t="shared" si="201"/>
        <v>0.05</v>
      </c>
      <c r="N6128" s="464">
        <f t="shared" si="202"/>
        <v>237561</v>
      </c>
    </row>
    <row r="6129" spans="7:14" ht="11.25" customHeight="1" x14ac:dyDescent="0.25">
      <c r="G6129" s="459"/>
      <c r="H6129" s="459">
        <v>6122</v>
      </c>
      <c r="I6129" s="444">
        <f t="shared" ref="I6129:I6250" ca="1" si="205">L6128</f>
        <v>-9.1639531567663152E+16</v>
      </c>
      <c r="J6129" s="444">
        <f t="array" ref="J6129">IFERROR(INDEX('Retirement Calculator'!K:K,MATCH('Lorri 401b'!N6129,'Retirement Calculator'!A:A,0),0),0)</f>
        <v>0</v>
      </c>
      <c r="K6129" s="444">
        <f t="shared" ca="1" si="203"/>
        <v>-381831381531929.81</v>
      </c>
      <c r="L6129" s="444">
        <f t="shared" ca="1" si="204"/>
        <v>-9.2021362949195088E+16</v>
      </c>
      <c r="M6129" s="460">
        <f t="shared" ref="M6129:M6250" si="206">M6128</f>
        <v>0.05</v>
      </c>
      <c r="N6129" s="464">
        <f t="shared" ref="N6129:N6250" si="207">EDATE(N6128,1)</f>
        <v>237591</v>
      </c>
    </row>
    <row r="6130" spans="7:14" ht="11.25" customHeight="1" x14ac:dyDescent="0.25">
      <c r="G6130" s="459"/>
      <c r="H6130" s="459">
        <v>6123</v>
      </c>
      <c r="I6130" s="444">
        <f t="shared" ca="1" si="205"/>
        <v>-9.2021362949195088E+16</v>
      </c>
      <c r="J6130" s="444">
        <f t="array" ref="J6130">IFERROR(INDEX('Retirement Calculator'!K:K,MATCH('Lorri 401b'!N6130,'Retirement Calculator'!A:A,0),0),0)</f>
        <v>0</v>
      </c>
      <c r="K6130" s="444">
        <f t="shared" ca="1" si="203"/>
        <v>-383422345621646.19</v>
      </c>
      <c r="L6130" s="444">
        <f t="shared" ca="1" si="204"/>
        <v>-9.2404785294816736E+16</v>
      </c>
      <c r="M6130" s="460">
        <f t="shared" si="206"/>
        <v>0.05</v>
      </c>
      <c r="N6130" s="464">
        <f t="shared" si="207"/>
        <v>237622</v>
      </c>
    </row>
    <row r="6131" spans="7:14" ht="11.25" customHeight="1" x14ac:dyDescent="0.25">
      <c r="G6131" s="459"/>
      <c r="H6131" s="459">
        <v>6124</v>
      </c>
      <c r="I6131" s="444">
        <f t="shared" ca="1" si="205"/>
        <v>-9.2404785294816736E+16</v>
      </c>
      <c r="J6131" s="444">
        <f t="array" ref="J6131">IFERROR(INDEX('Retirement Calculator'!K:K,MATCH('Lorri 401b'!N6131,'Retirement Calculator'!A:A,0),0),0)</f>
        <v>0</v>
      </c>
      <c r="K6131" s="444">
        <f t="shared" ca="1" si="203"/>
        <v>-385019938728403.06</v>
      </c>
      <c r="L6131" s="444">
        <f t="shared" ca="1" si="204"/>
        <v>-9.2789805233545136E+16</v>
      </c>
      <c r="M6131" s="460">
        <f t="shared" si="206"/>
        <v>0.05</v>
      </c>
      <c r="N6131" s="464">
        <f t="shared" si="207"/>
        <v>237653</v>
      </c>
    </row>
    <row r="6132" spans="7:14" ht="11.25" customHeight="1" x14ac:dyDescent="0.25">
      <c r="G6132" s="459"/>
      <c r="H6132" s="459">
        <v>6125</v>
      </c>
      <c r="I6132" s="444">
        <f t="shared" ca="1" si="205"/>
        <v>-9.2789805233545136E+16</v>
      </c>
      <c r="J6132" s="444">
        <f t="array" ref="J6132">IFERROR(INDEX('Retirement Calculator'!K:K,MATCH('Lorri 401b'!N6132,'Retirement Calculator'!A:A,0),0),0)</f>
        <v>0</v>
      </c>
      <c r="K6132" s="444">
        <f t="shared" ca="1" si="203"/>
        <v>-386624188473104.75</v>
      </c>
      <c r="L6132" s="444">
        <f t="shared" ca="1" si="204"/>
        <v>-9.317642942201824E+16</v>
      </c>
      <c r="M6132" s="460">
        <f t="shared" si="206"/>
        <v>0.05</v>
      </c>
      <c r="N6132" s="464">
        <f t="shared" si="207"/>
        <v>237683</v>
      </c>
    </row>
    <row r="6133" spans="7:14" ht="11.25" customHeight="1" x14ac:dyDescent="0.25">
      <c r="G6133" s="459"/>
      <c r="H6133" s="459">
        <v>6126</v>
      </c>
      <c r="I6133" s="444">
        <f t="shared" ca="1" si="205"/>
        <v>-9.317642942201824E+16</v>
      </c>
      <c r="J6133" s="444">
        <f t="array" ref="J6133">IFERROR(INDEX('Retirement Calculator'!K:K,MATCH('Lorri 401b'!N6133,'Retirement Calculator'!A:A,0),0),0)</f>
        <v>0</v>
      </c>
      <c r="K6133" s="444">
        <f t="shared" ca="1" si="203"/>
        <v>-388235122591742.69</v>
      </c>
      <c r="L6133" s="444">
        <f t="shared" ca="1" si="204"/>
        <v>-9.3564664544609984E+16</v>
      </c>
      <c r="M6133" s="460">
        <f t="shared" si="206"/>
        <v>0.05</v>
      </c>
      <c r="N6133" s="464">
        <f t="shared" si="207"/>
        <v>237714</v>
      </c>
    </row>
    <row r="6134" spans="7:14" ht="11.25" customHeight="1" x14ac:dyDescent="0.25">
      <c r="G6134" s="459"/>
      <c r="H6134" s="459">
        <v>6127</v>
      </c>
      <c r="I6134" s="444">
        <f t="shared" ca="1" si="205"/>
        <v>-9.3564664544609984E+16</v>
      </c>
      <c r="J6134" s="444">
        <f t="array" ref="J6134">IFERROR(INDEX('Retirement Calculator'!K:K,MATCH('Lorri 401b'!N6134,'Retirement Calculator'!A:A,0),0),0)</f>
        <v>0</v>
      </c>
      <c r="K6134" s="444">
        <f t="shared" ca="1" si="203"/>
        <v>-389852768935874.94</v>
      </c>
      <c r="L6134" s="444">
        <f t="shared" ca="1" si="204"/>
        <v>-9.3954517313545856E+16</v>
      </c>
      <c r="M6134" s="460">
        <f t="shared" si="206"/>
        <v>0.05</v>
      </c>
      <c r="N6134" s="464">
        <f t="shared" si="207"/>
        <v>237744</v>
      </c>
    </row>
    <row r="6135" spans="7:14" ht="11.25" customHeight="1" x14ac:dyDescent="0.25">
      <c r="G6135" s="459"/>
      <c r="H6135" s="459">
        <v>6128</v>
      </c>
      <c r="I6135" s="444">
        <f t="shared" ca="1" si="205"/>
        <v>-9.3954517313545856E+16</v>
      </c>
      <c r="J6135" s="444">
        <f t="array" ref="J6135">IFERROR(INDEX('Retirement Calculator'!K:K,MATCH('Lorri 401b'!N6135,'Retirement Calculator'!A:A,0),0),0)</f>
        <v>0</v>
      </c>
      <c r="K6135" s="444">
        <f t="shared" ca="1" si="203"/>
        <v>-391477155473107.75</v>
      </c>
      <c r="L6135" s="444">
        <f t="shared" ca="1" si="204"/>
        <v>-9.434599446901896E+16</v>
      </c>
      <c r="M6135" s="460">
        <f t="shared" si="206"/>
        <v>0.05</v>
      </c>
      <c r="N6135" s="464">
        <f t="shared" si="207"/>
        <v>237775</v>
      </c>
    </row>
    <row r="6136" spans="7:14" ht="11.25" customHeight="1" x14ac:dyDescent="0.25">
      <c r="G6136" s="459"/>
      <c r="H6136" s="459">
        <v>6129</v>
      </c>
      <c r="I6136" s="444">
        <f t="shared" ca="1" si="205"/>
        <v>-9.434599446901896E+16</v>
      </c>
      <c r="J6136" s="444">
        <f t="array" ref="J6136">IFERROR(INDEX('Retirement Calculator'!K:K,MATCH('Lorri 401b'!N6136,'Retirement Calculator'!A:A,0),0),0)</f>
        <v>0</v>
      </c>
      <c r="K6136" s="444">
        <f t="shared" ca="1" si="203"/>
        <v>-393108310287579</v>
      </c>
      <c r="L6136" s="444">
        <f t="shared" ca="1" si="204"/>
        <v>-9.4739102779306544E+16</v>
      </c>
      <c r="M6136" s="460">
        <f t="shared" si="206"/>
        <v>0.05</v>
      </c>
      <c r="N6136" s="464">
        <f t="shared" si="207"/>
        <v>237806</v>
      </c>
    </row>
    <row r="6137" spans="7:14" ht="11.25" customHeight="1" x14ac:dyDescent="0.25">
      <c r="G6137" s="459"/>
      <c r="H6137" s="459">
        <v>6130</v>
      </c>
      <c r="I6137" s="444">
        <f t="shared" ca="1" si="205"/>
        <v>-9.4739102779306544E+16</v>
      </c>
      <c r="J6137" s="444">
        <f t="array" ref="J6137">IFERROR(INDEX('Retirement Calculator'!K:K,MATCH('Lorri 401b'!N6137,'Retirement Calculator'!A:A,0),0),0)</f>
        <v>0</v>
      </c>
      <c r="K6137" s="444">
        <f t="shared" ca="1" si="203"/>
        <v>-394746261580443.94</v>
      </c>
      <c r="L6137" s="444">
        <f t="shared" ca="1" si="204"/>
        <v>-9.5133849040886992E+16</v>
      </c>
      <c r="M6137" s="460">
        <f t="shared" si="206"/>
        <v>0.05</v>
      </c>
      <c r="N6137" s="464">
        <f t="shared" si="207"/>
        <v>237834</v>
      </c>
    </row>
    <row r="6138" spans="7:14" ht="11.25" customHeight="1" x14ac:dyDescent="0.25">
      <c r="G6138" s="459"/>
      <c r="H6138" s="459">
        <v>6131</v>
      </c>
      <c r="I6138" s="444">
        <f t="shared" ca="1" si="205"/>
        <v>-9.5133849040886992E+16</v>
      </c>
      <c r="J6138" s="444">
        <f t="array" ref="J6138">IFERROR(INDEX('Retirement Calculator'!K:K,MATCH('Lorri 401b'!N6138,'Retirement Calculator'!A:A,0),0),0)</f>
        <v>0</v>
      </c>
      <c r="K6138" s="444">
        <f t="shared" ca="1" si="203"/>
        <v>-396391037670362.44</v>
      </c>
      <c r="L6138" s="444">
        <f t="shared" ca="1" si="204"/>
        <v>-9.553024007855736E+16</v>
      </c>
      <c r="M6138" s="460">
        <f t="shared" si="206"/>
        <v>0.05</v>
      </c>
      <c r="N6138" s="464">
        <f t="shared" si="207"/>
        <v>237865</v>
      </c>
    </row>
    <row r="6139" spans="7:14" ht="11.25" customHeight="1" x14ac:dyDescent="0.25">
      <c r="G6139" s="459"/>
      <c r="H6139" s="459">
        <v>6132</v>
      </c>
      <c r="I6139" s="444">
        <f t="shared" ca="1" si="205"/>
        <v>-9.553024007855736E+16</v>
      </c>
      <c r="J6139" s="444">
        <f t="array" ref="J6139">IFERROR(INDEX('Retirement Calculator'!K:K,MATCH('Lorri 401b'!N6139,'Retirement Calculator'!A:A,0),0),0)</f>
        <v>0</v>
      </c>
      <c r="K6139" s="444">
        <f t="shared" ca="1" si="203"/>
        <v>-398042666993989</v>
      </c>
      <c r="L6139" s="444">
        <f t="shared" ca="1" si="204"/>
        <v>-9.5928282745551344E+16</v>
      </c>
      <c r="M6139" s="460">
        <f t="shared" si="206"/>
        <v>0.05</v>
      </c>
      <c r="N6139" s="464">
        <f t="shared" si="207"/>
        <v>237895</v>
      </c>
    </row>
    <row r="6140" spans="7:14" ht="11.25" customHeight="1" x14ac:dyDescent="0.25">
      <c r="G6140" s="459"/>
      <c r="H6140" s="459">
        <v>6133</v>
      </c>
      <c r="I6140" s="444">
        <f t="shared" ca="1" si="205"/>
        <v>-9.5928282745551344E+16</v>
      </c>
      <c r="J6140" s="444">
        <f t="array" ref="J6140">IFERROR(INDEX('Retirement Calculator'!K:K,MATCH('Lorri 401b'!N6140,'Retirement Calculator'!A:A,0),0),0)</f>
        <v>0</v>
      </c>
      <c r="K6140" s="444">
        <f t="shared" ca="1" si="203"/>
        <v>-399701178106463.94</v>
      </c>
      <c r="L6140" s="444">
        <f t="shared" ca="1" si="204"/>
        <v>-9.6327983923657808E+16</v>
      </c>
      <c r="M6140" s="460">
        <f t="shared" si="206"/>
        <v>0.05</v>
      </c>
      <c r="N6140" s="464">
        <f t="shared" si="207"/>
        <v>237926</v>
      </c>
    </row>
    <row r="6141" spans="7:14" ht="11.25" customHeight="1" x14ac:dyDescent="0.25">
      <c r="G6141" s="459"/>
      <c r="H6141" s="459">
        <v>6134</v>
      </c>
      <c r="I6141" s="444">
        <f t="shared" ca="1" si="205"/>
        <v>-9.6327983923657808E+16</v>
      </c>
      <c r="J6141" s="444">
        <f t="array" ref="J6141">IFERROR(INDEX('Retirement Calculator'!K:K,MATCH('Lorri 401b'!N6141,'Retirement Calculator'!A:A,0),0),0)</f>
        <v>0</v>
      </c>
      <c r="K6141" s="444">
        <f t="shared" ca="1" si="203"/>
        <v>-401366599681907.5</v>
      </c>
      <c r="L6141" s="444">
        <f t="shared" ca="1" si="204"/>
        <v>-9.6729350523339712E+16</v>
      </c>
      <c r="M6141" s="460">
        <f t="shared" si="206"/>
        <v>0.05</v>
      </c>
      <c r="N6141" s="464">
        <f t="shared" si="207"/>
        <v>237956</v>
      </c>
    </row>
    <row r="6142" spans="7:14" ht="11.25" customHeight="1" x14ac:dyDescent="0.25">
      <c r="G6142" s="459"/>
      <c r="H6142" s="459">
        <v>6135</v>
      </c>
      <c r="I6142" s="444">
        <f t="shared" ca="1" si="205"/>
        <v>-9.6729350523339712E+16</v>
      </c>
      <c r="J6142" s="444">
        <f t="array" ref="J6142">IFERROR(INDEX('Retirement Calculator'!K:K,MATCH('Lorri 401b'!N6142,'Retirement Calculator'!A:A,0),0),0)</f>
        <v>0</v>
      </c>
      <c r="K6142" s="444">
        <f t="shared" ca="1" si="203"/>
        <v>-403038960513915.44</v>
      </c>
      <c r="L6142" s="444">
        <f t="shared" ca="1" si="204"/>
        <v>-9.7132389483853632E+16</v>
      </c>
      <c r="M6142" s="460">
        <f t="shared" si="206"/>
        <v>0.05</v>
      </c>
      <c r="N6142" s="464">
        <f t="shared" si="207"/>
        <v>237987</v>
      </c>
    </row>
    <row r="6143" spans="7:14" ht="11.25" customHeight="1" x14ac:dyDescent="0.25">
      <c r="G6143" s="459"/>
      <c r="H6143" s="459">
        <v>6136</v>
      </c>
      <c r="I6143" s="444">
        <f t="shared" ca="1" si="205"/>
        <v>-9.7132389483853632E+16</v>
      </c>
      <c r="J6143" s="444">
        <f t="array" ref="J6143">IFERROR(INDEX('Retirement Calculator'!K:K,MATCH('Lorri 401b'!N6143,'Retirement Calculator'!A:A,0),0),0)</f>
        <v>0</v>
      </c>
      <c r="K6143" s="444">
        <f t="shared" ca="1" si="203"/>
        <v>-404718289516056.81</v>
      </c>
      <c r="L6143" s="444">
        <f t="shared" ca="1" si="204"/>
        <v>-9.7537107773369696E+16</v>
      </c>
      <c r="M6143" s="460">
        <f t="shared" si="206"/>
        <v>0.05</v>
      </c>
      <c r="N6143" s="464">
        <f t="shared" si="207"/>
        <v>238018</v>
      </c>
    </row>
    <row r="6144" spans="7:14" ht="11.25" customHeight="1" x14ac:dyDescent="0.25">
      <c r="G6144" s="459"/>
      <c r="H6144" s="459">
        <v>6137</v>
      </c>
      <c r="I6144" s="444">
        <f t="shared" ca="1" si="205"/>
        <v>-9.7537107773369696E+16</v>
      </c>
      <c r="J6144" s="444">
        <f t="array" ref="J6144">IFERROR(INDEX('Retirement Calculator'!K:K,MATCH('Lorri 401b'!N6144,'Retirement Calculator'!A:A,0),0),0)</f>
        <v>0</v>
      </c>
      <c r="K6144" s="444">
        <f t="shared" ca="1" si="203"/>
        <v>-406404615722373.75</v>
      </c>
      <c r="L6144" s="444">
        <f t="shared" ca="1" si="204"/>
        <v>-9.7943512389092064E+16</v>
      </c>
      <c r="M6144" s="460">
        <f t="shared" si="206"/>
        <v>0.05</v>
      </c>
      <c r="N6144" s="464">
        <f t="shared" si="207"/>
        <v>238048</v>
      </c>
    </row>
    <row r="6145" spans="7:14" ht="11.25" customHeight="1" x14ac:dyDescent="0.25">
      <c r="G6145" s="459"/>
      <c r="H6145" s="459">
        <v>6138</v>
      </c>
      <c r="I6145" s="444">
        <f t="shared" ca="1" si="205"/>
        <v>-9.7943512389092064E+16</v>
      </c>
      <c r="J6145" s="444">
        <f t="array" ref="J6145">IFERROR(INDEX('Retirement Calculator'!K:K,MATCH('Lorri 401b'!N6145,'Retirement Calculator'!A:A,0),0),0)</f>
        <v>0</v>
      </c>
      <c r="K6145" s="444">
        <f t="shared" ca="1" si="203"/>
        <v>-408097968287883.63</v>
      </c>
      <c r="L6145" s="444">
        <f t="shared" ca="1" si="204"/>
        <v>-9.8351610357379952E+16</v>
      </c>
      <c r="M6145" s="460">
        <f t="shared" si="206"/>
        <v>0.05</v>
      </c>
      <c r="N6145" s="464">
        <f t="shared" si="207"/>
        <v>238079</v>
      </c>
    </row>
    <row r="6146" spans="7:14" ht="11.25" customHeight="1" x14ac:dyDescent="0.25">
      <c r="G6146" s="459"/>
      <c r="H6146" s="459">
        <v>6139</v>
      </c>
      <c r="I6146" s="444">
        <f t="shared" ca="1" si="205"/>
        <v>-9.8351610357379952E+16</v>
      </c>
      <c r="J6146" s="444">
        <f t="array" ref="J6146">IFERROR(INDEX('Retirement Calculator'!K:K,MATCH('Lorri 401b'!N6146,'Retirement Calculator'!A:A,0),0),0)</f>
        <v>0</v>
      </c>
      <c r="K6146" s="444">
        <f t="shared" ca="1" si="203"/>
        <v>-409798376489083.13</v>
      </c>
      <c r="L6146" s="444">
        <f t="shared" ca="1" si="204"/>
        <v>-9.876140873386904E+16</v>
      </c>
      <c r="M6146" s="460">
        <f t="shared" si="206"/>
        <v>0.05</v>
      </c>
      <c r="N6146" s="464">
        <f t="shared" si="207"/>
        <v>238109</v>
      </c>
    </row>
    <row r="6147" spans="7:14" ht="11.25" customHeight="1" x14ac:dyDescent="0.25">
      <c r="G6147" s="459"/>
      <c r="H6147" s="459">
        <v>6140</v>
      </c>
      <c r="I6147" s="444">
        <f t="shared" ca="1" si="205"/>
        <v>-9.876140873386904E+16</v>
      </c>
      <c r="J6147" s="444">
        <f t="array" ref="J6147">IFERROR(INDEX('Retirement Calculator'!K:K,MATCH('Lorri 401b'!N6147,'Retirement Calculator'!A:A,0),0),0)</f>
        <v>0</v>
      </c>
      <c r="K6147" s="444">
        <f t="shared" ca="1" si="203"/>
        <v>-411505869724454.31</v>
      </c>
      <c r="L6147" s="444">
        <f t="shared" ca="1" si="204"/>
        <v>-9.9172914603593488E+16</v>
      </c>
      <c r="M6147" s="460">
        <f t="shared" si="206"/>
        <v>0.05</v>
      </c>
      <c r="N6147" s="464">
        <f t="shared" si="207"/>
        <v>238140</v>
      </c>
    </row>
    <row r="6148" spans="7:14" ht="11.25" customHeight="1" x14ac:dyDescent="0.25">
      <c r="G6148" s="459"/>
      <c r="H6148" s="459">
        <v>6141</v>
      </c>
      <c r="I6148" s="444">
        <f t="shared" ca="1" si="205"/>
        <v>-9.9172914603593488E+16</v>
      </c>
      <c r="J6148" s="444">
        <f t="array" ref="J6148">IFERROR(INDEX('Retirement Calculator'!K:K,MATCH('Lorri 401b'!N6148,'Retirement Calculator'!A:A,0),0),0)</f>
        <v>0</v>
      </c>
      <c r="K6148" s="444">
        <f t="shared" ca="1" si="203"/>
        <v>-413220477514972.88</v>
      </c>
      <c r="L6148" s="444">
        <f t="shared" ca="1" si="204"/>
        <v>-9.9586135081108464E+16</v>
      </c>
      <c r="M6148" s="460">
        <f t="shared" si="206"/>
        <v>0.05</v>
      </c>
      <c r="N6148" s="464">
        <f t="shared" si="207"/>
        <v>238171</v>
      </c>
    </row>
    <row r="6149" spans="7:14" ht="11.25" customHeight="1" x14ac:dyDescent="0.25">
      <c r="G6149" s="459"/>
      <c r="H6149" s="459">
        <v>6142</v>
      </c>
      <c r="I6149" s="444">
        <f t="shared" ca="1" si="205"/>
        <v>-9.9586135081108464E+16</v>
      </c>
      <c r="J6149" s="444">
        <f t="array" ref="J6149">IFERROR(INDEX('Retirement Calculator'!K:K,MATCH('Lorri 401b'!N6149,'Retirement Calculator'!A:A,0),0),0)</f>
        <v>0</v>
      </c>
      <c r="K6149" s="444">
        <f t="shared" ca="1" si="203"/>
        <v>-414942229504618.63</v>
      </c>
      <c r="L6149" s="444">
        <f t="shared" ca="1" si="204"/>
        <v>-1.0000107731061309E+17</v>
      </c>
      <c r="M6149" s="460">
        <f t="shared" si="206"/>
        <v>0.05</v>
      </c>
      <c r="N6149" s="464">
        <f t="shared" si="207"/>
        <v>238200</v>
      </c>
    </row>
    <row r="6150" spans="7:14" ht="11.25" customHeight="1" x14ac:dyDescent="0.25">
      <c r="G6150" s="459"/>
      <c r="H6150" s="459">
        <v>6143</v>
      </c>
      <c r="I6150" s="444">
        <f t="shared" ca="1" si="205"/>
        <v>-1.0000107731061309E+17</v>
      </c>
      <c r="J6150" s="444">
        <f t="array" ref="J6150">IFERROR(INDEX('Retirement Calculator'!K:K,MATCH('Lorri 401b'!N6150,'Retirement Calculator'!A:A,0),0),0)</f>
        <v>0</v>
      </c>
      <c r="K6150" s="444">
        <f t="shared" ca="1" si="203"/>
        <v>-416671155460887.88</v>
      </c>
      <c r="L6150" s="444">
        <f t="shared" ca="1" si="204"/>
        <v>-1.0041774846607397E+17</v>
      </c>
      <c r="M6150" s="460">
        <f t="shared" si="206"/>
        <v>0.05</v>
      </c>
      <c r="N6150" s="464">
        <f t="shared" si="207"/>
        <v>238231</v>
      </c>
    </row>
    <row r="6151" spans="7:14" ht="11.25" customHeight="1" x14ac:dyDescent="0.25">
      <c r="G6151" s="459"/>
      <c r="H6151" s="459">
        <v>6144</v>
      </c>
      <c r="I6151" s="444">
        <f t="shared" ca="1" si="205"/>
        <v>-1.0041774846607397E+17</v>
      </c>
      <c r="J6151" s="444">
        <f t="array" ref="J6151">IFERROR(INDEX('Retirement Calculator'!K:K,MATCH('Lorri 401b'!N6151,'Retirement Calculator'!A:A,0),0),0)</f>
        <v>0</v>
      </c>
      <c r="K6151" s="444">
        <f t="shared" ca="1" si="203"/>
        <v>-418407285275308.19</v>
      </c>
      <c r="L6151" s="444">
        <f t="shared" ca="1" si="204"/>
        <v>-1.0083615575134928E+17</v>
      </c>
      <c r="M6151" s="460">
        <f t="shared" si="206"/>
        <v>0.05</v>
      </c>
      <c r="N6151" s="464">
        <f t="shared" si="207"/>
        <v>238261</v>
      </c>
    </row>
    <row r="6152" spans="7:14" ht="11.25" customHeight="1" x14ac:dyDescent="0.25">
      <c r="G6152" s="459"/>
      <c r="H6152" s="459">
        <v>6145</v>
      </c>
      <c r="I6152" s="444">
        <f t="shared" ca="1" si="205"/>
        <v>-1.0083615575134928E+17</v>
      </c>
      <c r="J6152" s="444">
        <f t="array" ref="J6152">IFERROR(INDEX('Retirement Calculator'!K:K,MATCH('Lorri 401b'!N6152,'Retirement Calculator'!A:A,0),0),0)</f>
        <v>0</v>
      </c>
      <c r="K6152" s="444">
        <f t="shared" ca="1" si="203"/>
        <v>-420150648963955.31</v>
      </c>
      <c r="L6152" s="444">
        <f t="shared" ca="1" si="204"/>
        <v>-1.0125630640031323E+17</v>
      </c>
      <c r="M6152" s="460">
        <f t="shared" si="206"/>
        <v>0.05</v>
      </c>
      <c r="N6152" s="464">
        <f t="shared" si="207"/>
        <v>238292</v>
      </c>
    </row>
    <row r="6153" spans="7:14" ht="11.25" customHeight="1" x14ac:dyDescent="0.25">
      <c r="G6153" s="459"/>
      <c r="H6153" s="459">
        <v>6146</v>
      </c>
      <c r="I6153" s="444">
        <f t="shared" ca="1" si="205"/>
        <v>-1.0125630640031323E+17</v>
      </c>
      <c r="J6153" s="444">
        <f t="array" ref="J6153">IFERROR(INDEX('Retirement Calculator'!K:K,MATCH('Lorri 401b'!N6153,'Retirement Calculator'!A:A,0),0),0)</f>
        <v>0</v>
      </c>
      <c r="K6153" s="444">
        <f t="shared" ca="1" si="203"/>
        <v>-421901276667971.81</v>
      </c>
      <c r="L6153" s="444">
        <f t="shared" ca="1" si="204"/>
        <v>-1.016782076769812E+17</v>
      </c>
      <c r="M6153" s="460">
        <f t="shared" si="206"/>
        <v>0.05</v>
      </c>
      <c r="N6153" s="464">
        <f t="shared" si="207"/>
        <v>238322</v>
      </c>
    </row>
    <row r="6154" spans="7:14" ht="11.25" customHeight="1" x14ac:dyDescent="0.25">
      <c r="G6154" s="459"/>
      <c r="H6154" s="459">
        <v>6147</v>
      </c>
      <c r="I6154" s="444">
        <f t="shared" ca="1" si="205"/>
        <v>-1.016782076769812E+17</v>
      </c>
      <c r="J6154" s="444">
        <f t="array" ref="J6154">IFERROR(INDEX('Retirement Calculator'!K:K,MATCH('Lorri 401b'!N6154,'Retirement Calculator'!A:A,0),0),0)</f>
        <v>0</v>
      </c>
      <c r="K6154" s="444">
        <f t="shared" ca="1" si="203"/>
        <v>-423659198654088.31</v>
      </c>
      <c r="L6154" s="444">
        <f t="shared" ca="1" si="204"/>
        <v>-1.021018668756353E+17</v>
      </c>
      <c r="M6154" s="460">
        <f t="shared" si="206"/>
        <v>0.05</v>
      </c>
      <c r="N6154" s="464">
        <f t="shared" si="207"/>
        <v>238353</v>
      </c>
    </row>
    <row r="6155" spans="7:14" ht="11.25" customHeight="1" x14ac:dyDescent="0.25">
      <c r="G6155" s="459"/>
      <c r="H6155" s="459">
        <v>6148</v>
      </c>
      <c r="I6155" s="444">
        <f t="shared" ca="1" si="205"/>
        <v>-1.021018668756353E+17</v>
      </c>
      <c r="J6155" s="444">
        <f t="array" ref="J6155">IFERROR(INDEX('Retirement Calculator'!K:K,MATCH('Lorri 401b'!N6155,'Retirement Calculator'!A:A,0),0),0)</f>
        <v>0</v>
      </c>
      <c r="K6155" s="444">
        <f t="shared" ca="1" si="203"/>
        <v>-425424445315147.06</v>
      </c>
      <c r="L6155" s="444">
        <f t="shared" ca="1" si="204"/>
        <v>-1.0252729132095045E+17</v>
      </c>
      <c r="M6155" s="460">
        <f t="shared" si="206"/>
        <v>0.05</v>
      </c>
      <c r="N6155" s="464">
        <f t="shared" si="207"/>
        <v>238384</v>
      </c>
    </row>
    <row r="6156" spans="7:14" ht="11.25" customHeight="1" x14ac:dyDescent="0.25">
      <c r="G6156" s="459"/>
      <c r="H6156" s="459">
        <v>6149</v>
      </c>
      <c r="I6156" s="444">
        <f t="shared" ca="1" si="205"/>
        <v>-1.0252729132095045E+17</v>
      </c>
      <c r="J6156" s="444">
        <f t="array" ref="J6156">IFERROR(INDEX('Retirement Calculator'!K:K,MATCH('Lorri 401b'!N6156,'Retirement Calculator'!A:A,0),0),0)</f>
        <v>0</v>
      </c>
      <c r="K6156" s="444">
        <f t="shared" ca="1" si="203"/>
        <v>-427197047170626.88</v>
      </c>
      <c r="L6156" s="444">
        <f t="shared" ca="1" si="204"/>
        <v>-1.0295448836812107E+17</v>
      </c>
      <c r="M6156" s="460">
        <f t="shared" si="206"/>
        <v>0.05</v>
      </c>
      <c r="N6156" s="464">
        <f t="shared" si="207"/>
        <v>238414</v>
      </c>
    </row>
    <row r="6157" spans="7:14" ht="11.25" customHeight="1" x14ac:dyDescent="0.25">
      <c r="G6157" s="459"/>
      <c r="H6157" s="459">
        <v>6150</v>
      </c>
      <c r="I6157" s="444">
        <f t="shared" ca="1" si="205"/>
        <v>-1.0295448836812107E+17</v>
      </c>
      <c r="J6157" s="444">
        <f t="array" ref="J6157">IFERROR(INDEX('Retirement Calculator'!K:K,MATCH('Lorri 401b'!N6157,'Retirement Calculator'!A:A,0),0),0)</f>
        <v>0</v>
      </c>
      <c r="K6157" s="444">
        <f t="shared" ca="1" si="203"/>
        <v>-428977034867171.13</v>
      </c>
      <c r="L6157" s="444">
        <f t="shared" ca="1" si="204"/>
        <v>-1.0338346540298824E+17</v>
      </c>
      <c r="M6157" s="460">
        <f t="shared" si="206"/>
        <v>0.05</v>
      </c>
      <c r="N6157" s="464">
        <f t="shared" si="207"/>
        <v>238445</v>
      </c>
    </row>
    <row r="6158" spans="7:14" ht="11.25" customHeight="1" x14ac:dyDescent="0.25">
      <c r="G6158" s="459"/>
      <c r="H6158" s="459">
        <v>6151</v>
      </c>
      <c r="I6158" s="444">
        <f t="shared" ca="1" si="205"/>
        <v>-1.0338346540298824E+17</v>
      </c>
      <c r="J6158" s="444">
        <f t="array" ref="J6158">IFERROR(INDEX('Retirement Calculator'!K:K,MATCH('Lorri 401b'!N6158,'Retirement Calculator'!A:A,0),0),0)</f>
        <v>0</v>
      </c>
      <c r="K6158" s="444">
        <f t="shared" ca="1" si="203"/>
        <v>-430764439179117.69</v>
      </c>
      <c r="L6158" s="444">
        <f t="shared" ca="1" si="204"/>
        <v>-1.0381422984216736E+17</v>
      </c>
      <c r="M6158" s="460">
        <f t="shared" si="206"/>
        <v>0.05</v>
      </c>
      <c r="N6158" s="464">
        <f t="shared" si="207"/>
        <v>238475</v>
      </c>
    </row>
    <row r="6159" spans="7:14" ht="11.25" customHeight="1" x14ac:dyDescent="0.25">
      <c r="G6159" s="459"/>
      <c r="H6159" s="459">
        <v>6152</v>
      </c>
      <c r="I6159" s="444">
        <f t="shared" ca="1" si="205"/>
        <v>-1.0381422984216736E+17</v>
      </c>
      <c r="J6159" s="444">
        <f t="array" ref="J6159">IFERROR(INDEX('Retirement Calculator'!K:K,MATCH('Lorri 401b'!N6159,'Retirement Calculator'!A:A,0),0),0)</f>
        <v>0</v>
      </c>
      <c r="K6159" s="444">
        <f t="shared" ca="1" si="203"/>
        <v>-432559291009030.69</v>
      </c>
      <c r="L6159" s="444">
        <f t="shared" ca="1" si="204"/>
        <v>-1.0424678913317638E+17</v>
      </c>
      <c r="M6159" s="460">
        <f t="shared" si="206"/>
        <v>0.05</v>
      </c>
      <c r="N6159" s="464">
        <f t="shared" si="207"/>
        <v>238506</v>
      </c>
    </row>
    <row r="6160" spans="7:14" ht="11.25" customHeight="1" x14ac:dyDescent="0.25">
      <c r="G6160" s="459"/>
      <c r="H6160" s="459">
        <v>6153</v>
      </c>
      <c r="I6160" s="444">
        <f t="shared" ca="1" si="205"/>
        <v>-1.0424678913317638E+17</v>
      </c>
      <c r="J6160" s="444">
        <f t="array" ref="J6160">IFERROR(INDEX('Retirement Calculator'!K:K,MATCH('Lorri 401b'!N6160,'Retirement Calculator'!A:A,0),0),0)</f>
        <v>0</v>
      </c>
      <c r="K6160" s="444">
        <f t="shared" ca="1" si="203"/>
        <v>-434361621388234.94</v>
      </c>
      <c r="L6160" s="444">
        <f t="shared" ca="1" si="204"/>
        <v>-1.0468115075456462E+17</v>
      </c>
      <c r="M6160" s="460">
        <f t="shared" si="206"/>
        <v>0.05</v>
      </c>
      <c r="N6160" s="464">
        <f t="shared" si="207"/>
        <v>238537</v>
      </c>
    </row>
    <row r="6161" spans="7:14" ht="11.25" customHeight="1" x14ac:dyDescent="0.25">
      <c r="G6161" s="459"/>
      <c r="H6161" s="459">
        <v>6154</v>
      </c>
      <c r="I6161" s="444">
        <f t="shared" ca="1" si="205"/>
        <v>-1.0468115075456462E+17</v>
      </c>
      <c r="J6161" s="444">
        <f t="array" ref="J6161">IFERROR(INDEX('Retirement Calculator'!K:K,MATCH('Lorri 401b'!N6161,'Retirement Calculator'!A:A,0),0),0)</f>
        <v>0</v>
      </c>
      <c r="K6161" s="444">
        <f t="shared" ca="1" si="203"/>
        <v>-436171461477352.63</v>
      </c>
      <c r="L6161" s="444">
        <f t="shared" ca="1" si="204"/>
        <v>-1.0511732221604198E+17</v>
      </c>
      <c r="M6161" s="460">
        <f t="shared" si="206"/>
        <v>0.05</v>
      </c>
      <c r="N6161" s="464">
        <f t="shared" si="207"/>
        <v>238565</v>
      </c>
    </row>
    <row r="6162" spans="7:14" ht="11.25" customHeight="1" x14ac:dyDescent="0.25">
      <c r="G6162" s="459"/>
      <c r="H6162" s="459">
        <v>6155</v>
      </c>
      <c r="I6162" s="444">
        <f t="shared" ca="1" si="205"/>
        <v>-1.0511732221604198E+17</v>
      </c>
      <c r="J6162" s="444">
        <f t="array" ref="J6162">IFERROR(INDEX('Retirement Calculator'!K:K,MATCH('Lorri 401b'!N6162,'Retirement Calculator'!A:A,0),0),0)</f>
        <v>0</v>
      </c>
      <c r="K6162" s="444">
        <f t="shared" ca="1" si="203"/>
        <v>-437988842566841.63</v>
      </c>
      <c r="L6162" s="444">
        <f t="shared" ca="1" si="204"/>
        <v>-1.0555531105860883E+17</v>
      </c>
      <c r="M6162" s="460">
        <f t="shared" si="206"/>
        <v>0.05</v>
      </c>
      <c r="N6162" s="464">
        <f t="shared" si="207"/>
        <v>238596</v>
      </c>
    </row>
    <row r="6163" spans="7:14" ht="11.25" customHeight="1" x14ac:dyDescent="0.25">
      <c r="G6163" s="459"/>
      <c r="H6163" s="459">
        <v>6156</v>
      </c>
      <c r="I6163" s="444">
        <f t="shared" ca="1" si="205"/>
        <v>-1.0555531105860883E+17</v>
      </c>
      <c r="J6163" s="444">
        <f t="array" ref="J6163">IFERROR(INDEX('Retirement Calculator'!K:K,MATCH('Lorri 401b'!N6163,'Retirement Calculator'!A:A,0),0),0)</f>
        <v>0</v>
      </c>
      <c r="K6163" s="444">
        <f t="shared" ca="1" si="203"/>
        <v>-439813796077536.81</v>
      </c>
      <c r="L6163" s="444">
        <f t="shared" ca="1" si="204"/>
        <v>-1.0599512485468637E+17</v>
      </c>
      <c r="M6163" s="460">
        <f t="shared" si="206"/>
        <v>0.05</v>
      </c>
      <c r="N6163" s="464">
        <f t="shared" si="207"/>
        <v>238626</v>
      </c>
    </row>
    <row r="6164" spans="7:14" ht="11.25" customHeight="1" x14ac:dyDescent="0.25">
      <c r="G6164" s="459"/>
      <c r="H6164" s="459">
        <v>6157</v>
      </c>
      <c r="I6164" s="444">
        <f t="shared" ca="1" si="205"/>
        <v>-1.0599512485468637E+17</v>
      </c>
      <c r="J6164" s="444">
        <f t="array" ref="J6164">IFERROR(INDEX('Retirement Calculator'!K:K,MATCH('Lorri 401b'!N6164,'Retirement Calculator'!A:A,0),0),0)</f>
        <v>0</v>
      </c>
      <c r="K6164" s="444">
        <f t="shared" ca="1" si="203"/>
        <v>-441646353561193.19</v>
      </c>
      <c r="L6164" s="444">
        <f t="shared" ca="1" si="204"/>
        <v>-1.0643677120824757E+17</v>
      </c>
      <c r="M6164" s="460">
        <f t="shared" si="206"/>
        <v>0.05</v>
      </c>
      <c r="N6164" s="464">
        <f t="shared" si="207"/>
        <v>238657</v>
      </c>
    </row>
    <row r="6165" spans="7:14" ht="11.25" customHeight="1" x14ac:dyDescent="0.25">
      <c r="G6165" s="459"/>
      <c r="H6165" s="459">
        <v>6158</v>
      </c>
      <c r="I6165" s="444">
        <f t="shared" ca="1" si="205"/>
        <v>-1.0643677120824757E+17</v>
      </c>
      <c r="J6165" s="444">
        <f t="array" ref="J6165">IFERROR(INDEX('Retirement Calculator'!K:K,MATCH('Lorri 401b'!N6165,'Retirement Calculator'!A:A,0),0),0)</f>
        <v>0</v>
      </c>
      <c r="K6165" s="444">
        <f t="shared" ca="1" si="203"/>
        <v>-443486546701031.5</v>
      </c>
      <c r="L6165" s="444">
        <f t="shared" ca="1" si="204"/>
        <v>-1.0688025775494859E+17</v>
      </c>
      <c r="M6165" s="460">
        <f t="shared" si="206"/>
        <v>0.05</v>
      </c>
      <c r="N6165" s="464">
        <f t="shared" si="207"/>
        <v>238687</v>
      </c>
    </row>
    <row r="6166" spans="7:14" ht="11.25" customHeight="1" x14ac:dyDescent="0.25">
      <c r="G6166" s="459"/>
      <c r="H6166" s="459">
        <v>6159</v>
      </c>
      <c r="I6166" s="444">
        <f t="shared" ca="1" si="205"/>
        <v>-1.0688025775494859E+17</v>
      </c>
      <c r="J6166" s="444">
        <f t="array" ref="J6166">IFERROR(INDEX('Retirement Calculator'!K:K,MATCH('Lorri 401b'!N6166,'Retirement Calculator'!A:A,0),0),0)</f>
        <v>0</v>
      </c>
      <c r="K6166" s="444">
        <f t="shared" ca="1" si="203"/>
        <v>-445334407312285.81</v>
      </c>
      <c r="L6166" s="444">
        <f t="shared" ca="1" si="204"/>
        <v>-1.0732559216226088E+17</v>
      </c>
      <c r="M6166" s="460">
        <f t="shared" si="206"/>
        <v>0.05</v>
      </c>
      <c r="N6166" s="464">
        <f t="shared" si="207"/>
        <v>238718</v>
      </c>
    </row>
    <row r="6167" spans="7:14" ht="11.25" customHeight="1" x14ac:dyDescent="0.25">
      <c r="G6167" s="459"/>
      <c r="H6167" s="459">
        <v>6160</v>
      </c>
      <c r="I6167" s="444">
        <f t="shared" ca="1" si="205"/>
        <v>-1.0732559216226088E+17</v>
      </c>
      <c r="J6167" s="444">
        <f t="array" ref="J6167">IFERROR(INDEX('Retirement Calculator'!K:K,MATCH('Lorri 401b'!N6167,'Retirement Calculator'!A:A,0),0),0)</f>
        <v>0</v>
      </c>
      <c r="K6167" s="444">
        <f t="shared" ca="1" si="203"/>
        <v>-447189967342753.69</v>
      </c>
      <c r="L6167" s="444">
        <f t="shared" ca="1" si="204"/>
        <v>-1.0777278212960363E+17</v>
      </c>
      <c r="M6167" s="460">
        <f t="shared" si="206"/>
        <v>0.05</v>
      </c>
      <c r="N6167" s="464">
        <f t="shared" si="207"/>
        <v>238749</v>
      </c>
    </row>
    <row r="6168" spans="7:14" ht="11.25" customHeight="1" x14ac:dyDescent="0.25">
      <c r="G6168" s="459"/>
      <c r="H6168" s="459">
        <v>6161</v>
      </c>
      <c r="I6168" s="444">
        <f t="shared" ca="1" si="205"/>
        <v>-1.0777278212960363E+17</v>
      </c>
      <c r="J6168" s="444">
        <f t="array" ref="J6168">IFERROR(INDEX('Retirement Calculator'!K:K,MATCH('Lorri 401b'!N6168,'Retirement Calculator'!A:A,0),0),0)</f>
        <v>0</v>
      </c>
      <c r="K6168" s="444">
        <f t="shared" ca="1" si="203"/>
        <v>-449053258873348.44</v>
      </c>
      <c r="L6168" s="444">
        <f t="shared" ca="1" si="204"/>
        <v>-1.0822183538847698E+17</v>
      </c>
      <c r="M6168" s="460">
        <f t="shared" si="206"/>
        <v>0.05</v>
      </c>
      <c r="N6168" s="464">
        <f t="shared" si="207"/>
        <v>238779</v>
      </c>
    </row>
    <row r="6169" spans="7:14" ht="11.25" customHeight="1" x14ac:dyDescent="0.25">
      <c r="G6169" s="459"/>
      <c r="H6169" s="459">
        <v>6162</v>
      </c>
      <c r="I6169" s="444">
        <f t="shared" ca="1" si="205"/>
        <v>-1.0822183538847698E+17</v>
      </c>
      <c r="J6169" s="444">
        <f t="array" ref="J6169">IFERROR(INDEX('Retirement Calculator'!K:K,MATCH('Lorri 401b'!N6169,'Retirement Calculator'!A:A,0),0),0)</f>
        <v>0</v>
      </c>
      <c r="K6169" s="444">
        <f t="shared" ca="1" si="203"/>
        <v>-450924314118654.06</v>
      </c>
      <c r="L6169" s="444">
        <f t="shared" ca="1" si="204"/>
        <v>-1.0867275970259563E+17</v>
      </c>
      <c r="M6169" s="460">
        <f t="shared" si="206"/>
        <v>0.05</v>
      </c>
      <c r="N6169" s="464">
        <f t="shared" si="207"/>
        <v>238810</v>
      </c>
    </row>
    <row r="6170" spans="7:14" ht="11.25" customHeight="1" x14ac:dyDescent="0.25">
      <c r="G6170" s="459"/>
      <c r="H6170" s="459">
        <v>6163</v>
      </c>
      <c r="I6170" s="444">
        <f t="shared" ca="1" si="205"/>
        <v>-1.0867275970259563E+17</v>
      </c>
      <c r="J6170" s="444">
        <f t="array" ref="J6170">IFERROR(INDEX('Retirement Calculator'!K:K,MATCH('Lorri 401b'!N6170,'Retirement Calculator'!A:A,0),0),0)</f>
        <v>0</v>
      </c>
      <c r="K6170" s="444">
        <f t="shared" ca="1" si="203"/>
        <v>-452803165427481.81</v>
      </c>
      <c r="L6170" s="444">
        <f t="shared" ca="1" si="204"/>
        <v>-1.0912556286802312E+17</v>
      </c>
      <c r="M6170" s="460">
        <f t="shared" si="206"/>
        <v>0.05</v>
      </c>
      <c r="N6170" s="464">
        <f t="shared" si="207"/>
        <v>238840</v>
      </c>
    </row>
    <row r="6171" spans="7:14" ht="11.25" customHeight="1" x14ac:dyDescent="0.25">
      <c r="G6171" s="459"/>
      <c r="H6171" s="459">
        <v>6164</v>
      </c>
      <c r="I6171" s="444">
        <f t="shared" ca="1" si="205"/>
        <v>-1.0912556286802312E+17</v>
      </c>
      <c r="J6171" s="444">
        <f t="array" ref="J6171">IFERROR(INDEX('Retirement Calculator'!K:K,MATCH('Lorri 401b'!N6171,'Retirement Calculator'!A:A,0),0),0)</f>
        <v>0</v>
      </c>
      <c r="K6171" s="444">
        <f t="shared" ca="1" si="203"/>
        <v>-454689845283429.69</v>
      </c>
      <c r="L6171" s="444">
        <f t="shared" ca="1" si="204"/>
        <v>-1.0958025271330654E+17</v>
      </c>
      <c r="M6171" s="460">
        <f t="shared" si="206"/>
        <v>0.05</v>
      </c>
      <c r="N6171" s="464">
        <f t="shared" si="207"/>
        <v>238871</v>
      </c>
    </row>
    <row r="6172" spans="7:14" ht="11.25" customHeight="1" x14ac:dyDescent="0.25">
      <c r="G6172" s="459"/>
      <c r="H6172" s="459">
        <v>6165</v>
      </c>
      <c r="I6172" s="444">
        <f t="shared" ca="1" si="205"/>
        <v>-1.0958025271330654E+17</v>
      </c>
      <c r="J6172" s="444">
        <f t="array" ref="J6172">IFERROR(INDEX('Retirement Calculator'!K:K,MATCH('Lorri 401b'!N6172,'Retirement Calculator'!A:A,0),0),0)</f>
        <v>0</v>
      </c>
      <c r="K6172" s="444">
        <f t="shared" ca="1" si="203"/>
        <v>-456584386305443.94</v>
      </c>
      <c r="L6172" s="444">
        <f t="shared" ca="1" si="204"/>
        <v>-1.1003683709961198E+17</v>
      </c>
      <c r="M6172" s="460">
        <f t="shared" si="206"/>
        <v>0.05</v>
      </c>
      <c r="N6172" s="464">
        <f t="shared" si="207"/>
        <v>238902</v>
      </c>
    </row>
    <row r="6173" spans="7:14" ht="11.25" customHeight="1" x14ac:dyDescent="0.25">
      <c r="G6173" s="459"/>
      <c r="H6173" s="459">
        <v>6166</v>
      </c>
      <c r="I6173" s="444">
        <f t="shared" ca="1" si="205"/>
        <v>-1.1003683709961198E+17</v>
      </c>
      <c r="J6173" s="444">
        <f t="array" ref="J6173">IFERROR(INDEX('Retirement Calculator'!K:K,MATCH('Lorri 401b'!N6173,'Retirement Calculator'!A:A,0),0),0)</f>
        <v>0</v>
      </c>
      <c r="K6173" s="444">
        <f t="shared" ca="1" si="203"/>
        <v>-458486821248383.25</v>
      </c>
      <c r="L6173" s="444">
        <f t="shared" ca="1" si="204"/>
        <v>-1.1049532392086037E+17</v>
      </c>
      <c r="M6173" s="460">
        <f t="shared" si="206"/>
        <v>0.05</v>
      </c>
      <c r="N6173" s="464">
        <f t="shared" si="207"/>
        <v>238930</v>
      </c>
    </row>
    <row r="6174" spans="7:14" ht="11.25" customHeight="1" x14ac:dyDescent="0.25">
      <c r="G6174" s="459"/>
      <c r="H6174" s="459">
        <v>6167</v>
      </c>
      <c r="I6174" s="444">
        <f t="shared" ca="1" si="205"/>
        <v>-1.1049532392086037E+17</v>
      </c>
      <c r="J6174" s="444">
        <f t="array" ref="J6174">IFERROR(INDEX('Retirement Calculator'!K:K,MATCH('Lorri 401b'!N6174,'Retirement Calculator'!A:A,0),0),0)</f>
        <v>0</v>
      </c>
      <c r="K6174" s="444">
        <f t="shared" ca="1" si="203"/>
        <v>-460397183003584.88</v>
      </c>
      <c r="L6174" s="444">
        <f t="shared" ca="1" si="204"/>
        <v>-1.1095572110386395E+17</v>
      </c>
      <c r="M6174" s="460">
        <f t="shared" si="206"/>
        <v>0.05</v>
      </c>
      <c r="N6174" s="464">
        <f t="shared" si="207"/>
        <v>238961</v>
      </c>
    </row>
    <row r="6175" spans="7:14" ht="11.25" customHeight="1" x14ac:dyDescent="0.25">
      <c r="G6175" s="459"/>
      <c r="H6175" s="459">
        <v>6168</v>
      </c>
      <c r="I6175" s="444">
        <f t="shared" ca="1" si="205"/>
        <v>-1.1095572110386395E+17</v>
      </c>
      <c r="J6175" s="444">
        <f t="array" ref="J6175">IFERROR(INDEX('Retirement Calculator'!K:K,MATCH('Lorri 401b'!N6175,'Retirement Calculator'!A:A,0),0),0)</f>
        <v>0</v>
      </c>
      <c r="K6175" s="444">
        <f t="shared" ca="1" si="203"/>
        <v>-462315504599433.13</v>
      </c>
      <c r="L6175" s="444">
        <f t="shared" ca="1" si="204"/>
        <v>-1.1141803660846339E+17</v>
      </c>
      <c r="M6175" s="460">
        <f t="shared" si="206"/>
        <v>0.05</v>
      </c>
      <c r="N6175" s="464">
        <f t="shared" si="207"/>
        <v>238991</v>
      </c>
    </row>
    <row r="6176" spans="7:14" ht="11.25" customHeight="1" x14ac:dyDescent="0.25">
      <c r="G6176" s="459"/>
      <c r="H6176" s="459">
        <v>6169</v>
      </c>
      <c r="I6176" s="444">
        <f t="shared" ca="1" si="205"/>
        <v>-1.1141803660846339E+17</v>
      </c>
      <c r="J6176" s="444">
        <f t="array" ref="J6176">IFERROR(INDEX('Retirement Calculator'!K:K,MATCH('Lorri 401b'!N6176,'Retirement Calculator'!A:A,0),0),0)</f>
        <v>0</v>
      </c>
      <c r="K6176" s="444">
        <f t="shared" ca="1" si="203"/>
        <v>-464241819201930.81</v>
      </c>
      <c r="L6176" s="444">
        <f t="shared" ca="1" si="204"/>
        <v>-1.1188227842766533E+17</v>
      </c>
      <c r="M6176" s="460">
        <f t="shared" si="206"/>
        <v>0.05</v>
      </c>
      <c r="N6176" s="464">
        <f t="shared" si="207"/>
        <v>239022</v>
      </c>
    </row>
    <row r="6177" spans="7:14" ht="11.25" customHeight="1" x14ac:dyDescent="0.25">
      <c r="G6177" s="459"/>
      <c r="H6177" s="459">
        <v>6170</v>
      </c>
      <c r="I6177" s="444">
        <f t="shared" ca="1" si="205"/>
        <v>-1.1188227842766533E+17</v>
      </c>
      <c r="J6177" s="444">
        <f t="array" ref="J6177">IFERROR(INDEX('Retirement Calculator'!K:K,MATCH('Lorri 401b'!N6177,'Retirement Calculator'!A:A,0),0),0)</f>
        <v>0</v>
      </c>
      <c r="K6177" s="444">
        <f t="shared" ca="1" si="203"/>
        <v>-466176160115272.19</v>
      </c>
      <c r="L6177" s="444">
        <f t="shared" ca="1" si="204"/>
        <v>-1.1234845458778061E+17</v>
      </c>
      <c r="M6177" s="460">
        <f t="shared" si="206"/>
        <v>0.05</v>
      </c>
      <c r="N6177" s="464">
        <f t="shared" si="207"/>
        <v>239052</v>
      </c>
    </row>
    <row r="6178" spans="7:14" ht="11.25" customHeight="1" x14ac:dyDescent="0.25">
      <c r="G6178" s="459"/>
      <c r="H6178" s="459">
        <v>6171</v>
      </c>
      <c r="I6178" s="444">
        <f t="shared" ca="1" si="205"/>
        <v>-1.1234845458778061E+17</v>
      </c>
      <c r="J6178" s="444">
        <f t="array" ref="J6178">IFERROR(INDEX('Retirement Calculator'!K:K,MATCH('Lorri 401b'!N6178,'Retirement Calculator'!A:A,0),0),0)</f>
        <v>0</v>
      </c>
      <c r="K6178" s="444">
        <f t="shared" ca="1" si="203"/>
        <v>-468118560782419.13</v>
      </c>
      <c r="L6178" s="444">
        <f t="shared" ca="1" si="204"/>
        <v>-1.1281657314856302E+17</v>
      </c>
      <c r="M6178" s="460">
        <f t="shared" si="206"/>
        <v>0.05</v>
      </c>
      <c r="N6178" s="464">
        <f t="shared" si="207"/>
        <v>239083</v>
      </c>
    </row>
    <row r="6179" spans="7:14" ht="11.25" customHeight="1" x14ac:dyDescent="0.25">
      <c r="G6179" s="459"/>
      <c r="H6179" s="459">
        <v>6172</v>
      </c>
      <c r="I6179" s="444">
        <f t="shared" ca="1" si="205"/>
        <v>-1.1281657314856302E+17</v>
      </c>
      <c r="J6179" s="444">
        <f t="array" ref="J6179">IFERROR(INDEX('Retirement Calculator'!K:K,MATCH('Lorri 401b'!N6179,'Retirement Calculator'!A:A,0),0),0)</f>
        <v>0</v>
      </c>
      <c r="K6179" s="444">
        <f t="shared" ca="1" si="203"/>
        <v>-470069054785679.25</v>
      </c>
      <c r="L6179" s="444">
        <f t="shared" ca="1" si="204"/>
        <v>-1.132866422033487E+17</v>
      </c>
      <c r="M6179" s="460">
        <f t="shared" si="206"/>
        <v>0.05</v>
      </c>
      <c r="N6179" s="464">
        <f t="shared" si="207"/>
        <v>239114</v>
      </c>
    </row>
    <row r="6180" spans="7:14" ht="11.25" customHeight="1" x14ac:dyDescent="0.25">
      <c r="G6180" s="459"/>
      <c r="H6180" s="459">
        <v>6173</v>
      </c>
      <c r="I6180" s="444">
        <f t="shared" ca="1" si="205"/>
        <v>-1.132866422033487E+17</v>
      </c>
      <c r="J6180" s="444">
        <f t="array" ref="J6180">IFERROR(INDEX('Retirement Calculator'!K:K,MATCH('Lorri 401b'!N6180,'Retirement Calculator'!A:A,0),0),0)</f>
        <v>0</v>
      </c>
      <c r="K6180" s="444">
        <f t="shared" ca="1" si="203"/>
        <v>-472027675847286.25</v>
      </c>
      <c r="L6180" s="444">
        <f t="shared" ca="1" si="204"/>
        <v>-1.1375866987919598E+17</v>
      </c>
      <c r="M6180" s="460">
        <f t="shared" si="206"/>
        <v>0.05</v>
      </c>
      <c r="N6180" s="464">
        <f t="shared" si="207"/>
        <v>239144</v>
      </c>
    </row>
    <row r="6181" spans="7:14" ht="11.25" customHeight="1" x14ac:dyDescent="0.25">
      <c r="G6181" s="459"/>
      <c r="H6181" s="459">
        <v>6174</v>
      </c>
      <c r="I6181" s="444">
        <f t="shared" ca="1" si="205"/>
        <v>-1.1375866987919598E+17</v>
      </c>
      <c r="J6181" s="444">
        <f t="array" ref="J6181">IFERROR(INDEX('Retirement Calculator'!K:K,MATCH('Lorri 401b'!N6181,'Retirement Calculator'!A:A,0),0),0)</f>
        <v>0</v>
      </c>
      <c r="K6181" s="444">
        <f t="shared" ca="1" si="203"/>
        <v>-473994457829983.19</v>
      </c>
      <c r="L6181" s="444">
        <f t="shared" ca="1" si="204"/>
        <v>-1.1423266433702597E+17</v>
      </c>
      <c r="M6181" s="460">
        <f t="shared" si="206"/>
        <v>0.05</v>
      </c>
      <c r="N6181" s="464">
        <f t="shared" si="207"/>
        <v>239175</v>
      </c>
    </row>
    <row r="6182" spans="7:14" ht="11.25" customHeight="1" x14ac:dyDescent="0.25">
      <c r="G6182" s="459"/>
      <c r="H6182" s="459">
        <v>6175</v>
      </c>
      <c r="I6182" s="444">
        <f t="shared" ca="1" si="205"/>
        <v>-1.1423266433702597E+17</v>
      </c>
      <c r="J6182" s="444">
        <f t="array" ref="J6182">IFERROR(INDEX('Retirement Calculator'!K:K,MATCH('Lorri 401b'!N6182,'Retirement Calculator'!A:A,0),0),0)</f>
        <v>0</v>
      </c>
      <c r="K6182" s="444">
        <f t="shared" ca="1" si="203"/>
        <v>-475969434737608.25</v>
      </c>
      <c r="L6182" s="444">
        <f t="shared" ca="1" si="204"/>
        <v>-1.1470863377176358E+17</v>
      </c>
      <c r="M6182" s="460">
        <f t="shared" si="206"/>
        <v>0.05</v>
      </c>
      <c r="N6182" s="464">
        <f t="shared" si="207"/>
        <v>239205</v>
      </c>
    </row>
    <row r="6183" spans="7:14" ht="11.25" customHeight="1" x14ac:dyDescent="0.25">
      <c r="G6183" s="459"/>
      <c r="H6183" s="459">
        <v>6176</v>
      </c>
      <c r="I6183" s="444">
        <f t="shared" ca="1" si="205"/>
        <v>-1.1470863377176358E+17</v>
      </c>
      <c r="J6183" s="444">
        <f t="array" ref="J6183">IFERROR(INDEX('Retirement Calculator'!K:K,MATCH('Lorri 401b'!N6183,'Retirement Calculator'!A:A,0),0),0)</f>
        <v>0</v>
      </c>
      <c r="K6183" s="444">
        <f t="shared" ca="1" si="203"/>
        <v>-477952640715681.56</v>
      </c>
      <c r="L6183" s="444">
        <f t="shared" ca="1" si="204"/>
        <v>-1.1518658641247926E+17</v>
      </c>
      <c r="M6183" s="460">
        <f t="shared" si="206"/>
        <v>0.05</v>
      </c>
      <c r="N6183" s="464">
        <f t="shared" si="207"/>
        <v>239236</v>
      </c>
    </row>
    <row r="6184" spans="7:14" ht="11.25" customHeight="1" x14ac:dyDescent="0.25">
      <c r="G6184" s="459"/>
      <c r="H6184" s="459">
        <v>6177</v>
      </c>
      <c r="I6184" s="444">
        <f t="shared" ca="1" si="205"/>
        <v>-1.1518658641247926E+17</v>
      </c>
      <c r="J6184" s="444">
        <f t="array" ref="J6184">IFERROR(INDEX('Retirement Calculator'!K:K,MATCH('Lorri 401b'!N6184,'Retirement Calculator'!A:A,0),0),0)</f>
        <v>0</v>
      </c>
      <c r="K6184" s="444">
        <f t="shared" ca="1" si="203"/>
        <v>-479944110051996.94</v>
      </c>
      <c r="L6184" s="444">
        <f t="shared" ca="1" si="204"/>
        <v>-1.1566653052253126E+17</v>
      </c>
      <c r="M6184" s="460">
        <f t="shared" si="206"/>
        <v>0.05</v>
      </c>
      <c r="N6184" s="464">
        <f t="shared" si="207"/>
        <v>239267</v>
      </c>
    </row>
    <row r="6185" spans="7:14" ht="11.25" customHeight="1" x14ac:dyDescent="0.25">
      <c r="G6185" s="459"/>
      <c r="H6185" s="459">
        <v>6178</v>
      </c>
      <c r="I6185" s="444">
        <f t="shared" ca="1" si="205"/>
        <v>-1.1566653052253126E+17</v>
      </c>
      <c r="J6185" s="444">
        <f t="array" ref="J6185">IFERROR(INDEX('Retirement Calculator'!K:K,MATCH('Lorri 401b'!N6185,'Retirement Calculator'!A:A,0),0),0)</f>
        <v>0</v>
      </c>
      <c r="K6185" s="444">
        <f t="shared" ca="1" si="203"/>
        <v>-481943877177213.69</v>
      </c>
      <c r="L6185" s="444">
        <f t="shared" ca="1" si="204"/>
        <v>-1.1614847439970848E+17</v>
      </c>
      <c r="M6185" s="460">
        <f t="shared" si="206"/>
        <v>0.05</v>
      </c>
      <c r="N6185" s="464">
        <f t="shared" si="207"/>
        <v>239295</v>
      </c>
    </row>
    <row r="6186" spans="7:14" ht="11.25" customHeight="1" x14ac:dyDescent="0.25">
      <c r="G6186" s="459"/>
      <c r="H6186" s="459">
        <v>6179</v>
      </c>
      <c r="I6186" s="444">
        <f t="shared" ca="1" si="205"/>
        <v>-1.1614847439970848E+17</v>
      </c>
      <c r="J6186" s="444">
        <f t="array" ref="J6186">IFERROR(INDEX('Retirement Calculator'!K:K,MATCH('Lorri 401b'!N6186,'Retirement Calculator'!A:A,0),0),0)</f>
        <v>0</v>
      </c>
      <c r="K6186" s="444">
        <f t="shared" ca="1" si="203"/>
        <v>-483951976665452.06</v>
      </c>
      <c r="L6186" s="444">
        <f t="shared" ca="1" si="204"/>
        <v>-1.1663242637637394E+17</v>
      </c>
      <c r="M6186" s="460">
        <f t="shared" si="206"/>
        <v>0.05</v>
      </c>
      <c r="N6186" s="464">
        <f t="shared" si="207"/>
        <v>239326</v>
      </c>
    </row>
    <row r="6187" spans="7:14" ht="11.25" customHeight="1" x14ac:dyDescent="0.25">
      <c r="G6187" s="459"/>
      <c r="H6187" s="459">
        <v>6180</v>
      </c>
      <c r="I6187" s="444">
        <f t="shared" ca="1" si="205"/>
        <v>-1.1663242637637394E+17</v>
      </c>
      <c r="J6187" s="444">
        <f t="array" ref="J6187">IFERROR(INDEX('Retirement Calculator'!K:K,MATCH('Lorri 401b'!N6187,'Retirement Calculator'!A:A,0),0),0)</f>
        <v>0</v>
      </c>
      <c r="K6187" s="444">
        <f t="shared" ca="1" si="203"/>
        <v>-485968443234891.31</v>
      </c>
      <c r="L6187" s="444">
        <f t="shared" ca="1" si="204"/>
        <v>-1.1711839481960883E+17</v>
      </c>
      <c r="M6187" s="460">
        <f t="shared" si="206"/>
        <v>0.05</v>
      </c>
      <c r="N6187" s="464">
        <f t="shared" si="207"/>
        <v>239356</v>
      </c>
    </row>
    <row r="6188" spans="7:14" ht="11.25" customHeight="1" x14ac:dyDescent="0.25">
      <c r="G6188" s="459"/>
      <c r="H6188" s="459">
        <v>6181</v>
      </c>
      <c r="I6188" s="444">
        <f t="shared" ca="1" si="205"/>
        <v>-1.1711839481960883E+17</v>
      </c>
      <c r="J6188" s="444">
        <f t="array" ref="J6188">IFERROR(INDEX('Retirement Calculator'!K:K,MATCH('Lorri 401b'!N6188,'Retirement Calculator'!A:A,0),0),0)</f>
        <v>0</v>
      </c>
      <c r="K6188" s="444">
        <f t="shared" ca="1" si="203"/>
        <v>-487993311748370.06</v>
      </c>
      <c r="L6188" s="444">
        <f t="shared" ca="1" si="204"/>
        <v>-1.176063881313572E+17</v>
      </c>
      <c r="M6188" s="460">
        <f t="shared" si="206"/>
        <v>0.05</v>
      </c>
      <c r="N6188" s="464">
        <f t="shared" si="207"/>
        <v>239387</v>
      </c>
    </row>
    <row r="6189" spans="7:14" ht="11.25" customHeight="1" x14ac:dyDescent="0.25">
      <c r="G6189" s="459"/>
      <c r="H6189" s="459">
        <v>6182</v>
      </c>
      <c r="I6189" s="444">
        <f t="shared" ca="1" si="205"/>
        <v>-1.176063881313572E+17</v>
      </c>
      <c r="J6189" s="444">
        <f t="array" ref="J6189">IFERROR(INDEX('Retirement Calculator'!K:K,MATCH('Lorri 401b'!N6189,'Retirement Calculator'!A:A,0),0),0)</f>
        <v>0</v>
      </c>
      <c r="K6189" s="444">
        <f t="shared" ca="1" si="203"/>
        <v>-490026617213988.31</v>
      </c>
      <c r="L6189" s="444">
        <f t="shared" ca="1" si="204"/>
        <v>-1.1809641474857118E+17</v>
      </c>
      <c r="M6189" s="460">
        <f t="shared" si="206"/>
        <v>0.05</v>
      </c>
      <c r="N6189" s="464">
        <f t="shared" si="207"/>
        <v>239417</v>
      </c>
    </row>
    <row r="6190" spans="7:14" ht="11.25" customHeight="1" x14ac:dyDescent="0.25">
      <c r="G6190" s="459"/>
      <c r="H6190" s="459">
        <v>6183</v>
      </c>
      <c r="I6190" s="444">
        <f t="shared" ca="1" si="205"/>
        <v>-1.1809641474857118E+17</v>
      </c>
      <c r="J6190" s="444">
        <f t="array" ref="J6190">IFERROR(INDEX('Retirement Calculator'!K:K,MATCH('Lorri 401b'!N6190,'Retirement Calculator'!A:A,0),0),0)</f>
        <v>0</v>
      </c>
      <c r="K6190" s="444">
        <f t="shared" ca="1" si="203"/>
        <v>-492068394785713.25</v>
      </c>
      <c r="L6190" s="444">
        <f t="shared" ca="1" si="204"/>
        <v>-1.185884831433569E+17</v>
      </c>
      <c r="M6190" s="460">
        <f t="shared" si="206"/>
        <v>0.05</v>
      </c>
      <c r="N6190" s="464">
        <f t="shared" si="207"/>
        <v>239448</v>
      </c>
    </row>
    <row r="6191" spans="7:14" ht="11.25" customHeight="1" x14ac:dyDescent="0.25">
      <c r="G6191" s="459"/>
      <c r="H6191" s="459">
        <v>6184</v>
      </c>
      <c r="I6191" s="444">
        <f t="shared" ca="1" si="205"/>
        <v>-1.185884831433569E+17</v>
      </c>
      <c r="J6191" s="444">
        <f t="array" ref="J6191">IFERROR(INDEX('Retirement Calculator'!K:K,MATCH('Lorri 401b'!N6191,'Retirement Calculator'!A:A,0),0),0)</f>
        <v>0</v>
      </c>
      <c r="K6191" s="444">
        <f t="shared" ca="1" si="203"/>
        <v>-494118679763987.06</v>
      </c>
      <c r="L6191" s="444">
        <f t="shared" ca="1" si="204"/>
        <v>-1.1908260182312088E+17</v>
      </c>
      <c r="M6191" s="460">
        <f t="shared" si="206"/>
        <v>0.05</v>
      </c>
      <c r="N6191" s="464">
        <f t="shared" si="207"/>
        <v>239479</v>
      </c>
    </row>
    <row r="6192" spans="7:14" ht="11.25" customHeight="1" x14ac:dyDescent="0.25">
      <c r="G6192" s="459"/>
      <c r="H6192" s="459">
        <v>6185</v>
      </c>
      <c r="I6192" s="444">
        <f t="shared" ca="1" si="205"/>
        <v>-1.1908260182312088E+17</v>
      </c>
      <c r="J6192" s="444">
        <f t="array" ref="J6192">IFERROR(INDEX('Retirement Calculator'!K:K,MATCH('Lorri 401b'!N6192,'Retirement Calculator'!A:A,0),0),0)</f>
        <v>0</v>
      </c>
      <c r="K6192" s="444">
        <f t="shared" ca="1" si="203"/>
        <v>-496177507596336.94</v>
      </c>
      <c r="L6192" s="444">
        <f t="shared" ca="1" si="204"/>
        <v>-1.1957877933071722E+17</v>
      </c>
      <c r="M6192" s="460">
        <f t="shared" si="206"/>
        <v>0.05</v>
      </c>
      <c r="N6192" s="464">
        <f t="shared" si="207"/>
        <v>239509</v>
      </c>
    </row>
    <row r="6193" spans="7:14" ht="11.25" customHeight="1" x14ac:dyDescent="0.25">
      <c r="G6193" s="459"/>
      <c r="H6193" s="459">
        <v>6186</v>
      </c>
      <c r="I6193" s="444">
        <f t="shared" ca="1" si="205"/>
        <v>-1.1957877933071722E+17</v>
      </c>
      <c r="J6193" s="444">
        <f t="array" ref="J6193">IFERROR(INDEX('Retirement Calculator'!K:K,MATCH('Lorri 401b'!N6193,'Retirement Calculator'!A:A,0),0),0)</f>
        <v>0</v>
      </c>
      <c r="K6193" s="444">
        <f t="shared" ca="1" si="203"/>
        <v>-498244913877988.38</v>
      </c>
      <c r="L6193" s="444">
        <f t="shared" ca="1" si="204"/>
        <v>-1.200770242445952E+17</v>
      </c>
      <c r="M6193" s="460">
        <f t="shared" si="206"/>
        <v>0.05</v>
      </c>
      <c r="N6193" s="464">
        <f t="shared" si="207"/>
        <v>239540</v>
      </c>
    </row>
    <row r="6194" spans="7:14" ht="11.25" customHeight="1" x14ac:dyDescent="0.25">
      <c r="G6194" s="459"/>
      <c r="H6194" s="459">
        <v>6187</v>
      </c>
      <c r="I6194" s="444">
        <f t="shared" ca="1" si="205"/>
        <v>-1.200770242445952E+17</v>
      </c>
      <c r="J6194" s="444">
        <f t="array" ref="J6194">IFERROR(INDEX('Retirement Calculator'!K:K,MATCH('Lorri 401b'!N6194,'Retirement Calculator'!A:A,0),0),0)</f>
        <v>0</v>
      </c>
      <c r="K6194" s="444">
        <f t="shared" ca="1" si="203"/>
        <v>-500320934352480</v>
      </c>
      <c r="L6194" s="444">
        <f t="shared" ca="1" si="204"/>
        <v>-1.2057734517894768E+17</v>
      </c>
      <c r="M6194" s="460">
        <f t="shared" si="206"/>
        <v>0.05</v>
      </c>
      <c r="N6194" s="464">
        <f t="shared" si="207"/>
        <v>239570</v>
      </c>
    </row>
    <row r="6195" spans="7:14" ht="11.25" customHeight="1" x14ac:dyDescent="0.25">
      <c r="G6195" s="459"/>
      <c r="H6195" s="459">
        <v>6188</v>
      </c>
      <c r="I6195" s="444">
        <f t="shared" ca="1" si="205"/>
        <v>-1.2057734517894768E+17</v>
      </c>
      <c r="J6195" s="444">
        <f t="array" ref="J6195">IFERROR(INDEX('Retirement Calculator'!K:K,MATCH('Lorri 401b'!N6195,'Retirement Calculator'!A:A,0),0),0)</f>
        <v>0</v>
      </c>
      <c r="K6195" s="444">
        <f t="shared" ca="1" si="203"/>
        <v>-502405604912282</v>
      </c>
      <c r="L6195" s="444">
        <f t="shared" ca="1" si="204"/>
        <v>-1.2107975078385997E+17</v>
      </c>
      <c r="M6195" s="460">
        <f t="shared" si="206"/>
        <v>0.05</v>
      </c>
      <c r="N6195" s="464">
        <f t="shared" si="207"/>
        <v>239601</v>
      </c>
    </row>
    <row r="6196" spans="7:14" ht="11.25" customHeight="1" x14ac:dyDescent="0.25">
      <c r="G6196" s="459"/>
      <c r="H6196" s="459">
        <v>6189</v>
      </c>
      <c r="I6196" s="444">
        <f t="shared" ca="1" si="205"/>
        <v>-1.2107975078385997E+17</v>
      </c>
      <c r="J6196" s="444">
        <f t="array" ref="J6196">IFERROR(INDEX('Retirement Calculator'!K:K,MATCH('Lorri 401b'!N6196,'Retirement Calculator'!A:A,0),0),0)</f>
        <v>0</v>
      </c>
      <c r="K6196" s="444">
        <f t="shared" ca="1" si="203"/>
        <v>-504498961599416.5</v>
      </c>
      <c r="L6196" s="444">
        <f t="shared" ca="1" si="204"/>
        <v>-1.2158424974545939E+17</v>
      </c>
      <c r="M6196" s="460">
        <f t="shared" si="206"/>
        <v>0.05</v>
      </c>
      <c r="N6196" s="464">
        <f t="shared" si="207"/>
        <v>239632</v>
      </c>
    </row>
    <row r="6197" spans="7:14" ht="11.25" customHeight="1" x14ac:dyDescent="0.25">
      <c r="G6197" s="459"/>
      <c r="H6197" s="459">
        <v>6190</v>
      </c>
      <c r="I6197" s="444">
        <f t="shared" ca="1" si="205"/>
        <v>-1.2158424974545939E+17</v>
      </c>
      <c r="J6197" s="444">
        <f t="array" ref="J6197">IFERROR(INDEX('Retirement Calculator'!K:K,MATCH('Lorri 401b'!N6197,'Retirement Calculator'!A:A,0),0),0)</f>
        <v>0</v>
      </c>
      <c r="K6197" s="444">
        <f t="shared" ca="1" si="203"/>
        <v>-506601040606080.75</v>
      </c>
      <c r="L6197" s="444">
        <f t="shared" ca="1" si="204"/>
        <v>-1.2209085078606547E+17</v>
      </c>
      <c r="M6197" s="460">
        <f t="shared" si="206"/>
        <v>0.05</v>
      </c>
      <c r="N6197" s="464">
        <f t="shared" si="207"/>
        <v>239661</v>
      </c>
    </row>
    <row r="6198" spans="7:14" ht="11.25" customHeight="1" x14ac:dyDescent="0.25">
      <c r="G6198" s="459"/>
      <c r="H6198" s="459">
        <v>6191</v>
      </c>
      <c r="I6198" s="444">
        <f t="shared" ca="1" si="205"/>
        <v>-1.2209085078606547E+17</v>
      </c>
      <c r="J6198" s="444">
        <f t="array" ref="J6198">IFERROR(INDEX('Retirement Calculator'!K:K,MATCH('Lorri 401b'!N6198,'Retirement Calculator'!A:A,0),0),0)</f>
        <v>0</v>
      </c>
      <c r="K6198" s="444">
        <f t="shared" ca="1" si="203"/>
        <v>-508711878275272.81</v>
      </c>
      <c r="L6198" s="444">
        <f t="shared" ca="1" si="204"/>
        <v>-1.2259956266434075E+17</v>
      </c>
      <c r="M6198" s="460">
        <f t="shared" si="206"/>
        <v>0.05</v>
      </c>
      <c r="N6198" s="464">
        <f t="shared" si="207"/>
        <v>239692</v>
      </c>
    </row>
    <row r="6199" spans="7:14" ht="11.25" customHeight="1" x14ac:dyDescent="0.25">
      <c r="G6199" s="459"/>
      <c r="H6199" s="459">
        <v>6192</v>
      </c>
      <c r="I6199" s="444">
        <f t="shared" ca="1" si="205"/>
        <v>-1.2259956266434075E+17</v>
      </c>
      <c r="J6199" s="444">
        <f t="array" ref="J6199">IFERROR(INDEX('Retirement Calculator'!K:K,MATCH('Lorri 401b'!N6199,'Retirement Calculator'!A:A,0),0),0)</f>
        <v>0</v>
      </c>
      <c r="K6199" s="444">
        <f t="shared" ca="1" si="203"/>
        <v>-510831511101419.81</v>
      </c>
      <c r="L6199" s="444">
        <f t="shared" ca="1" si="204"/>
        <v>-1.2311039417544218E+17</v>
      </c>
      <c r="M6199" s="460">
        <f t="shared" si="206"/>
        <v>0.05</v>
      </c>
      <c r="N6199" s="464">
        <f t="shared" si="207"/>
        <v>239722</v>
      </c>
    </row>
    <row r="6200" spans="7:14" ht="11.25" customHeight="1" x14ac:dyDescent="0.25">
      <c r="G6200" s="459"/>
      <c r="H6200" s="459">
        <v>6193</v>
      </c>
      <c r="I6200" s="444">
        <f t="shared" ca="1" si="205"/>
        <v>-1.2311039417544218E+17</v>
      </c>
      <c r="J6200" s="444">
        <f t="array" ref="J6200">IFERROR(INDEX('Retirement Calculator'!K:K,MATCH('Lorri 401b'!N6200,'Retirement Calculator'!A:A,0),0),0)</f>
        <v>0</v>
      </c>
      <c r="K6200" s="444">
        <f t="shared" ca="1" si="203"/>
        <v>-512959975731009.06</v>
      </c>
      <c r="L6200" s="444">
        <f t="shared" ca="1" si="204"/>
        <v>-1.2362335415117318E+17</v>
      </c>
      <c r="M6200" s="460">
        <f t="shared" si="206"/>
        <v>0.05</v>
      </c>
      <c r="N6200" s="464">
        <f t="shared" si="207"/>
        <v>239753</v>
      </c>
    </row>
    <row r="6201" spans="7:14" ht="11.25" customHeight="1" x14ac:dyDescent="0.25">
      <c r="G6201" s="459"/>
      <c r="H6201" s="459">
        <v>6194</v>
      </c>
      <c r="I6201" s="444">
        <f t="shared" ca="1" si="205"/>
        <v>-1.2362335415117318E+17</v>
      </c>
      <c r="J6201" s="444">
        <f t="array" ref="J6201">IFERROR(INDEX('Retirement Calculator'!K:K,MATCH('Lorri 401b'!N6201,'Retirement Calculator'!A:A,0),0),0)</f>
        <v>0</v>
      </c>
      <c r="K6201" s="444">
        <f t="shared" ca="1" si="203"/>
        <v>-515097308963221.56</v>
      </c>
      <c r="L6201" s="444">
        <f t="shared" ca="1" si="204"/>
        <v>-1.241384514601364E+17</v>
      </c>
      <c r="M6201" s="460">
        <f t="shared" si="206"/>
        <v>0.05</v>
      </c>
      <c r="N6201" s="464">
        <f t="shared" si="207"/>
        <v>239783</v>
      </c>
    </row>
    <row r="6202" spans="7:14" ht="11.25" customHeight="1" x14ac:dyDescent="0.25">
      <c r="G6202" s="459"/>
      <c r="H6202" s="459">
        <v>6195</v>
      </c>
      <c r="I6202" s="444">
        <f t="shared" ca="1" si="205"/>
        <v>-1.241384514601364E+17</v>
      </c>
      <c r="J6202" s="444">
        <f t="array" ref="J6202">IFERROR(INDEX('Retirement Calculator'!K:K,MATCH('Lorri 401b'!N6202,'Retirement Calculator'!A:A,0),0),0)</f>
        <v>0</v>
      </c>
      <c r="K6202" s="444">
        <f t="shared" ca="1" si="203"/>
        <v>-517243547750568.31</v>
      </c>
      <c r="L6202" s="444">
        <f t="shared" ca="1" si="204"/>
        <v>-1.2465569500788698E+17</v>
      </c>
      <c r="M6202" s="460">
        <f t="shared" si="206"/>
        <v>0.05</v>
      </c>
      <c r="N6202" s="464">
        <f t="shared" si="207"/>
        <v>239814</v>
      </c>
    </row>
    <row r="6203" spans="7:14" ht="11.25" customHeight="1" x14ac:dyDescent="0.25">
      <c r="G6203" s="459"/>
      <c r="H6203" s="459">
        <v>6196</v>
      </c>
      <c r="I6203" s="444">
        <f t="shared" ca="1" si="205"/>
        <v>-1.2465569500788698E+17</v>
      </c>
      <c r="J6203" s="444">
        <f t="array" ref="J6203">IFERROR(INDEX('Retirement Calculator'!K:K,MATCH('Lorri 401b'!N6203,'Retirement Calculator'!A:A,0),0),0)</f>
        <v>0</v>
      </c>
      <c r="K6203" s="444">
        <f t="shared" ca="1" si="203"/>
        <v>-519398729199529.06</v>
      </c>
      <c r="L6203" s="444">
        <f t="shared" ca="1" si="204"/>
        <v>-1.2517509373708651E+17</v>
      </c>
      <c r="M6203" s="460">
        <f t="shared" si="206"/>
        <v>0.05</v>
      </c>
      <c r="N6203" s="464">
        <f t="shared" si="207"/>
        <v>239845</v>
      </c>
    </row>
    <row r="6204" spans="7:14" ht="11.25" customHeight="1" x14ac:dyDescent="0.25">
      <c r="G6204" s="459"/>
      <c r="H6204" s="459">
        <v>6197</v>
      </c>
      <c r="I6204" s="444">
        <f t="shared" ca="1" si="205"/>
        <v>-1.2517509373708651E+17</v>
      </c>
      <c r="J6204" s="444">
        <f t="array" ref="J6204">IFERROR(INDEX('Retirement Calculator'!K:K,MATCH('Lorri 401b'!N6204,'Retirement Calculator'!A:A,0),0),0)</f>
        <v>0</v>
      </c>
      <c r="K6204" s="444">
        <f t="shared" ca="1" si="203"/>
        <v>-521562890571193.88</v>
      </c>
      <c r="L6204" s="444">
        <f t="shared" ca="1" si="204"/>
        <v>-1.2569665662765771E+17</v>
      </c>
      <c r="M6204" s="460">
        <f t="shared" si="206"/>
        <v>0.05</v>
      </c>
      <c r="N6204" s="464">
        <f t="shared" si="207"/>
        <v>239875</v>
      </c>
    </row>
    <row r="6205" spans="7:14" ht="11.25" customHeight="1" x14ac:dyDescent="0.25">
      <c r="G6205" s="459"/>
      <c r="H6205" s="459">
        <v>6198</v>
      </c>
      <c r="I6205" s="444">
        <f t="shared" ca="1" si="205"/>
        <v>-1.2569665662765771E+17</v>
      </c>
      <c r="J6205" s="444">
        <f t="array" ref="J6205">IFERROR(INDEX('Retirement Calculator'!K:K,MATCH('Lorri 401b'!N6205,'Retirement Calculator'!A:A,0),0),0)</f>
        <v>0</v>
      </c>
      <c r="K6205" s="444">
        <f t="shared" ca="1" si="203"/>
        <v>-523736069281907.13</v>
      </c>
      <c r="L6205" s="444">
        <f t="shared" ca="1" si="204"/>
        <v>-1.2622039269693962E+17</v>
      </c>
      <c r="M6205" s="460">
        <f t="shared" si="206"/>
        <v>0.05</v>
      </c>
      <c r="N6205" s="464">
        <f t="shared" si="207"/>
        <v>239906</v>
      </c>
    </row>
    <row r="6206" spans="7:14" ht="11.25" customHeight="1" x14ac:dyDescent="0.25">
      <c r="G6206" s="459"/>
      <c r="H6206" s="459">
        <v>6199</v>
      </c>
      <c r="I6206" s="444">
        <f t="shared" ca="1" si="205"/>
        <v>-1.2622039269693962E+17</v>
      </c>
      <c r="J6206" s="444">
        <f t="array" ref="J6206">IFERROR(INDEX('Retirement Calculator'!K:K,MATCH('Lorri 401b'!N6206,'Retirement Calculator'!A:A,0),0),0)</f>
        <v>0</v>
      </c>
      <c r="K6206" s="444">
        <f t="shared" ca="1" si="203"/>
        <v>-525918302903915</v>
      </c>
      <c r="L6206" s="444">
        <f t="shared" ca="1" si="204"/>
        <v>-1.2674631099984354E+17</v>
      </c>
      <c r="M6206" s="460">
        <f t="shared" si="206"/>
        <v>0.05</v>
      </c>
      <c r="N6206" s="464">
        <f t="shared" si="207"/>
        <v>239936</v>
      </c>
    </row>
    <row r="6207" spans="7:14" ht="11.25" customHeight="1" x14ac:dyDescent="0.25">
      <c r="G6207" s="459"/>
      <c r="H6207" s="459">
        <v>6200</v>
      </c>
      <c r="I6207" s="444">
        <f t="shared" ca="1" si="205"/>
        <v>-1.2674631099984354E+17</v>
      </c>
      <c r="J6207" s="444">
        <f t="array" ref="J6207">IFERROR(INDEX('Retirement Calculator'!K:K,MATCH('Lorri 401b'!N6207,'Retirement Calculator'!A:A,0),0),0)</f>
        <v>0</v>
      </c>
      <c r="K6207" s="444">
        <f t="shared" ca="1" si="203"/>
        <v>-528109629166014.75</v>
      </c>
      <c r="L6207" s="444">
        <f t="shared" ca="1" si="204"/>
        <v>-1.2727442062900955E+17</v>
      </c>
      <c r="M6207" s="460">
        <f t="shared" si="206"/>
        <v>0.05</v>
      </c>
      <c r="N6207" s="464">
        <f t="shared" si="207"/>
        <v>239967</v>
      </c>
    </row>
    <row r="6208" spans="7:14" ht="11.25" customHeight="1" x14ac:dyDescent="0.25">
      <c r="G6208" s="459"/>
      <c r="H6208" s="459">
        <v>6201</v>
      </c>
      <c r="I6208" s="444">
        <f t="shared" ca="1" si="205"/>
        <v>-1.2727442062900955E+17</v>
      </c>
      <c r="J6208" s="444">
        <f t="array" ref="J6208">IFERROR(INDEX('Retirement Calculator'!K:K,MATCH('Lorri 401b'!N6208,'Retirement Calculator'!A:A,0),0),0)</f>
        <v>0</v>
      </c>
      <c r="K6208" s="444">
        <f t="shared" ca="1" si="203"/>
        <v>-530310085954206.38</v>
      </c>
      <c r="L6208" s="444">
        <f t="shared" ca="1" si="204"/>
        <v>-1.2780473071496376E+17</v>
      </c>
      <c r="M6208" s="460">
        <f t="shared" si="206"/>
        <v>0.05</v>
      </c>
      <c r="N6208" s="464">
        <f t="shared" si="207"/>
        <v>239998</v>
      </c>
    </row>
    <row r="6209" spans="7:14" ht="11.25" customHeight="1" x14ac:dyDescent="0.25">
      <c r="G6209" s="459"/>
      <c r="H6209" s="459">
        <v>6202</v>
      </c>
      <c r="I6209" s="444">
        <f t="shared" ca="1" si="205"/>
        <v>-1.2780473071496376E+17</v>
      </c>
      <c r="J6209" s="444">
        <f t="array" ref="J6209">IFERROR(INDEX('Retirement Calculator'!K:K,MATCH('Lorri 401b'!N6209,'Retirement Calculator'!A:A,0),0),0)</f>
        <v>0</v>
      </c>
      <c r="K6209" s="444">
        <f t="shared" ca="1" si="203"/>
        <v>-532519711312349</v>
      </c>
      <c r="L6209" s="444">
        <f t="shared" ca="1" si="204"/>
        <v>-1.2833725042627611E+17</v>
      </c>
      <c r="M6209" s="460">
        <f t="shared" si="206"/>
        <v>0.05</v>
      </c>
      <c r="N6209" s="464">
        <f t="shared" si="207"/>
        <v>240026</v>
      </c>
    </row>
    <row r="6210" spans="7:14" ht="11.25" customHeight="1" x14ac:dyDescent="0.25">
      <c r="G6210" s="459"/>
      <c r="H6210" s="459">
        <v>6203</v>
      </c>
      <c r="I6210" s="444">
        <f t="shared" ca="1" si="205"/>
        <v>-1.2833725042627611E+17</v>
      </c>
      <c r="J6210" s="444">
        <f t="array" ref="J6210">IFERROR(INDEX('Retirement Calculator'!K:K,MATCH('Lorri 401b'!N6210,'Retirement Calculator'!A:A,0),0),0)</f>
        <v>0</v>
      </c>
      <c r="K6210" s="444">
        <f t="shared" ca="1" si="203"/>
        <v>-534738543442817.13</v>
      </c>
      <c r="L6210" s="444">
        <f t="shared" ca="1" si="204"/>
        <v>-1.2887198896971893E+17</v>
      </c>
      <c r="M6210" s="460">
        <f t="shared" si="206"/>
        <v>0.05</v>
      </c>
      <c r="N6210" s="464">
        <f t="shared" si="207"/>
        <v>240057</v>
      </c>
    </row>
    <row r="6211" spans="7:14" ht="11.25" customHeight="1" x14ac:dyDescent="0.25">
      <c r="G6211" s="459"/>
      <c r="H6211" s="459">
        <v>6204</v>
      </c>
      <c r="I6211" s="444">
        <f t="shared" ca="1" si="205"/>
        <v>-1.2887198896971893E+17</v>
      </c>
      <c r="J6211" s="444">
        <f t="array" ref="J6211">IFERROR(INDEX('Retirement Calculator'!K:K,MATCH('Lorri 401b'!N6211,'Retirement Calculator'!A:A,0),0),0)</f>
        <v>0</v>
      </c>
      <c r="K6211" s="444">
        <f t="shared" ca="1" si="203"/>
        <v>-536966620707162.25</v>
      </c>
      <c r="L6211" s="444">
        <f t="shared" ca="1" si="204"/>
        <v>-1.294089555904261E+17</v>
      </c>
      <c r="M6211" s="460">
        <f t="shared" si="206"/>
        <v>0.05</v>
      </c>
      <c r="N6211" s="464">
        <f t="shared" si="207"/>
        <v>240087</v>
      </c>
    </row>
    <row r="6212" spans="7:14" ht="11.25" customHeight="1" x14ac:dyDescent="0.25">
      <c r="G6212" s="459"/>
      <c r="H6212" s="459">
        <v>6205</v>
      </c>
      <c r="I6212" s="444">
        <f t="shared" ca="1" si="205"/>
        <v>-1.294089555904261E+17</v>
      </c>
      <c r="J6212" s="444">
        <f t="array" ref="J6212">IFERROR(INDEX('Retirement Calculator'!K:K,MATCH('Lorri 401b'!N6212,'Retirement Calculator'!A:A,0),0),0)</f>
        <v>0</v>
      </c>
      <c r="K6212" s="444">
        <f t="shared" ca="1" si="203"/>
        <v>-539203981626775.38</v>
      </c>
      <c r="L6212" s="444">
        <f t="shared" ca="1" si="204"/>
        <v>-1.2994815957205286E+17</v>
      </c>
      <c r="M6212" s="460">
        <f t="shared" si="206"/>
        <v>0.05</v>
      </c>
      <c r="N6212" s="464">
        <f t="shared" si="207"/>
        <v>240118</v>
      </c>
    </row>
    <row r="6213" spans="7:14" ht="11.25" customHeight="1" x14ac:dyDescent="0.25">
      <c r="G6213" s="459"/>
      <c r="H6213" s="459">
        <v>6206</v>
      </c>
      <c r="I6213" s="444">
        <f t="shared" ca="1" si="205"/>
        <v>-1.2994815957205286E+17</v>
      </c>
      <c r="J6213" s="444">
        <f t="array" ref="J6213">IFERROR(INDEX('Retirement Calculator'!K:K,MATCH('Lorri 401b'!N6213,'Retirement Calculator'!A:A,0),0),0)</f>
        <v>0</v>
      </c>
      <c r="K6213" s="444">
        <f t="shared" ca="1" si="203"/>
        <v>-541450664883553.56</v>
      </c>
      <c r="L6213" s="444">
        <f t="shared" ca="1" si="204"/>
        <v>-1.3048961023693642E+17</v>
      </c>
      <c r="M6213" s="460">
        <f t="shared" si="206"/>
        <v>0.05</v>
      </c>
      <c r="N6213" s="464">
        <f t="shared" si="207"/>
        <v>240148</v>
      </c>
    </row>
    <row r="6214" spans="7:14" ht="11.25" customHeight="1" x14ac:dyDescent="0.25">
      <c r="G6214" s="459"/>
      <c r="H6214" s="459">
        <v>6207</v>
      </c>
      <c r="I6214" s="444">
        <f t="shared" ca="1" si="205"/>
        <v>-1.3048961023693642E+17</v>
      </c>
      <c r="J6214" s="444">
        <f t="array" ref="J6214">IFERROR(INDEX('Retirement Calculator'!K:K,MATCH('Lorri 401b'!N6214,'Retirement Calculator'!A:A,0),0),0)</f>
        <v>0</v>
      </c>
      <c r="K6214" s="444">
        <f t="shared" ca="1" si="203"/>
        <v>-543706709320568.31</v>
      </c>
      <c r="L6214" s="444">
        <f t="shared" ca="1" si="204"/>
        <v>-1.3103331694625699E+17</v>
      </c>
      <c r="M6214" s="460">
        <f t="shared" si="206"/>
        <v>0.05</v>
      </c>
      <c r="N6214" s="464">
        <f t="shared" si="207"/>
        <v>240179</v>
      </c>
    </row>
    <row r="6215" spans="7:14" ht="11.25" customHeight="1" x14ac:dyDescent="0.25">
      <c r="G6215" s="459"/>
      <c r="H6215" s="459">
        <v>6208</v>
      </c>
      <c r="I6215" s="444">
        <f t="shared" ca="1" si="205"/>
        <v>-1.3103331694625699E+17</v>
      </c>
      <c r="J6215" s="444">
        <f t="array" ref="J6215">IFERROR(INDEX('Retirement Calculator'!K:K,MATCH('Lorri 401b'!N6215,'Retirement Calculator'!A:A,0),0),0)</f>
        <v>0</v>
      </c>
      <c r="K6215" s="444">
        <f t="shared" ca="1" si="203"/>
        <v>-545972153942737.38</v>
      </c>
      <c r="L6215" s="444">
        <f t="shared" ca="1" si="204"/>
        <v>-1.3157928910019973E+17</v>
      </c>
      <c r="M6215" s="460">
        <f t="shared" si="206"/>
        <v>0.05</v>
      </c>
      <c r="N6215" s="464">
        <f t="shared" si="207"/>
        <v>240210</v>
      </c>
    </row>
    <row r="6216" spans="7:14" ht="11.25" customHeight="1" x14ac:dyDescent="0.25">
      <c r="G6216" s="459"/>
      <c r="H6216" s="459">
        <v>6209</v>
      </c>
      <c r="I6216" s="444">
        <f t="shared" ca="1" si="205"/>
        <v>-1.3157928910019973E+17</v>
      </c>
      <c r="J6216" s="444">
        <f t="array" ref="J6216">IFERROR(INDEX('Retirement Calculator'!K:K,MATCH('Lorri 401b'!N6216,'Retirement Calculator'!A:A,0),0),0)</f>
        <v>0</v>
      </c>
      <c r="K6216" s="444">
        <f t="shared" ca="1" si="203"/>
        <v>-548247037917498.88</v>
      </c>
      <c r="L6216" s="444">
        <f t="shared" ca="1" si="204"/>
        <v>-1.3212753613811723E+17</v>
      </c>
      <c r="M6216" s="460">
        <f t="shared" si="206"/>
        <v>0.05</v>
      </c>
      <c r="N6216" s="464">
        <f t="shared" si="207"/>
        <v>240240</v>
      </c>
    </row>
    <row r="6217" spans="7:14" ht="11.25" customHeight="1" x14ac:dyDescent="0.25">
      <c r="G6217" s="459"/>
      <c r="H6217" s="459">
        <v>6210</v>
      </c>
      <c r="I6217" s="444">
        <f t="shared" ca="1" si="205"/>
        <v>-1.3212753613811723E+17</v>
      </c>
      <c r="J6217" s="444">
        <f t="array" ref="J6217">IFERROR(INDEX('Retirement Calculator'!K:K,MATCH('Lorri 401b'!N6217,'Retirement Calculator'!A:A,0),0),0)</f>
        <v>0</v>
      </c>
      <c r="K6217" s="444">
        <f t="shared" ca="1" si="203"/>
        <v>-550531400575488.44</v>
      </c>
      <c r="L6217" s="444">
        <f t="shared" ca="1" si="204"/>
        <v>-1.3267806753869272E+17</v>
      </c>
      <c r="M6217" s="460">
        <f t="shared" si="206"/>
        <v>0.05</v>
      </c>
      <c r="N6217" s="464">
        <f t="shared" si="207"/>
        <v>240271</v>
      </c>
    </row>
    <row r="6218" spans="7:14" ht="11.25" customHeight="1" x14ac:dyDescent="0.25">
      <c r="G6218" s="459"/>
      <c r="H6218" s="459">
        <v>6211</v>
      </c>
      <c r="I6218" s="444">
        <f t="shared" ca="1" si="205"/>
        <v>-1.3267806753869272E+17</v>
      </c>
      <c r="J6218" s="444">
        <f t="array" ref="J6218">IFERROR(INDEX('Retirement Calculator'!K:K,MATCH('Lorri 401b'!N6218,'Retirement Calculator'!A:A,0),0),0)</f>
        <v>0</v>
      </c>
      <c r="K6218" s="444">
        <f t="shared" ca="1" si="203"/>
        <v>-552825281411219.56</v>
      </c>
      <c r="L6218" s="444">
        <f t="shared" ca="1" si="204"/>
        <v>-1.3323089282010394E+17</v>
      </c>
      <c r="M6218" s="460">
        <f t="shared" si="206"/>
        <v>0.05</v>
      </c>
      <c r="N6218" s="464">
        <f t="shared" si="207"/>
        <v>240301</v>
      </c>
    </row>
    <row r="6219" spans="7:14" ht="11.25" customHeight="1" x14ac:dyDescent="0.25">
      <c r="G6219" s="459"/>
      <c r="H6219" s="459">
        <v>6212</v>
      </c>
      <c r="I6219" s="444">
        <f t="shared" ca="1" si="205"/>
        <v>-1.3323089282010394E+17</v>
      </c>
      <c r="J6219" s="444">
        <f t="array" ref="J6219">IFERROR(INDEX('Retirement Calculator'!K:K,MATCH('Lorri 401b'!N6219,'Retirement Calculator'!A:A,0),0),0)</f>
        <v>0</v>
      </c>
      <c r="K6219" s="444">
        <f t="shared" ca="1" si="203"/>
        <v>-555128720083766.38</v>
      </c>
      <c r="L6219" s="444">
        <f t="shared" ca="1" si="204"/>
        <v>-1.337860215401877E+17</v>
      </c>
      <c r="M6219" s="460">
        <f t="shared" si="206"/>
        <v>0.05</v>
      </c>
      <c r="N6219" s="464">
        <f t="shared" si="207"/>
        <v>240332</v>
      </c>
    </row>
    <row r="6220" spans="7:14" ht="11.25" customHeight="1" x14ac:dyDescent="0.25">
      <c r="G6220" s="459"/>
      <c r="H6220" s="459">
        <v>6213</v>
      </c>
      <c r="I6220" s="444">
        <f t="shared" ca="1" si="205"/>
        <v>-1.337860215401877E+17</v>
      </c>
      <c r="J6220" s="444">
        <f t="array" ref="J6220">IFERROR(INDEX('Retirement Calculator'!K:K,MATCH('Lorri 401b'!N6220,'Retirement Calculator'!A:A,0),0),0)</f>
        <v>0</v>
      </c>
      <c r="K6220" s="444">
        <f t="shared" ca="1" si="203"/>
        <v>-557441756417448.81</v>
      </c>
      <c r="L6220" s="444">
        <f t="shared" ca="1" si="204"/>
        <v>-1.3434346329660515E+17</v>
      </c>
      <c r="M6220" s="460">
        <f t="shared" si="206"/>
        <v>0.05</v>
      </c>
      <c r="N6220" s="464">
        <f t="shared" si="207"/>
        <v>240363</v>
      </c>
    </row>
    <row r="6221" spans="7:14" ht="11.25" customHeight="1" x14ac:dyDescent="0.25">
      <c r="G6221" s="459"/>
      <c r="H6221" s="459">
        <v>6214</v>
      </c>
      <c r="I6221" s="444">
        <f t="shared" ca="1" si="205"/>
        <v>-1.3434346329660515E+17</v>
      </c>
      <c r="J6221" s="444">
        <f t="array" ref="J6221">IFERROR(INDEX('Retirement Calculator'!K:K,MATCH('Lorri 401b'!N6221,'Retirement Calculator'!A:A,0),0),0)</f>
        <v>0</v>
      </c>
      <c r="K6221" s="444">
        <f t="shared" ca="1" si="203"/>
        <v>-559764430402521.38</v>
      </c>
      <c r="L6221" s="444">
        <f t="shared" ca="1" si="204"/>
        <v>-1.3490322772700768E+17</v>
      </c>
      <c r="M6221" s="460">
        <f t="shared" si="206"/>
        <v>0.05</v>
      </c>
      <c r="N6221" s="464">
        <f t="shared" si="207"/>
        <v>240391</v>
      </c>
    </row>
    <row r="6222" spans="7:14" ht="11.25" customHeight="1" x14ac:dyDescent="0.25">
      <c r="G6222" s="459"/>
      <c r="H6222" s="459">
        <v>6215</v>
      </c>
      <c r="I6222" s="444">
        <f t="shared" ca="1" si="205"/>
        <v>-1.3490322772700768E+17</v>
      </c>
      <c r="J6222" s="444">
        <f t="array" ref="J6222">IFERROR(INDEX('Retirement Calculator'!K:K,MATCH('Lorri 401b'!N6222,'Retirement Calculator'!A:A,0),0),0)</f>
        <v>0</v>
      </c>
      <c r="K6222" s="444">
        <f t="shared" ca="1" si="203"/>
        <v>-562096782195865.31</v>
      </c>
      <c r="L6222" s="444">
        <f t="shared" ca="1" si="204"/>
        <v>-1.3546532450920355E+17</v>
      </c>
      <c r="M6222" s="460">
        <f t="shared" si="206"/>
        <v>0.05</v>
      </c>
      <c r="N6222" s="464">
        <f t="shared" si="207"/>
        <v>240422</v>
      </c>
    </row>
    <row r="6223" spans="7:14" ht="11.25" customHeight="1" x14ac:dyDescent="0.25">
      <c r="G6223" s="459"/>
      <c r="H6223" s="459">
        <v>6216</v>
      </c>
      <c r="I6223" s="444">
        <f t="shared" ca="1" si="205"/>
        <v>-1.3546532450920355E+17</v>
      </c>
      <c r="J6223" s="444">
        <f t="array" ref="J6223">IFERROR(INDEX('Retirement Calculator'!K:K,MATCH('Lorri 401b'!N6223,'Retirement Calculator'!A:A,0),0),0)</f>
        <v>0</v>
      </c>
      <c r="K6223" s="444">
        <f t="shared" ca="1" si="203"/>
        <v>-564438852121681.38</v>
      </c>
      <c r="L6223" s="444">
        <f t="shared" ca="1" si="204"/>
        <v>-1.3602976336132523E+17</v>
      </c>
      <c r="M6223" s="460">
        <f t="shared" si="206"/>
        <v>0.05</v>
      </c>
      <c r="N6223" s="464">
        <f t="shared" si="207"/>
        <v>240452</v>
      </c>
    </row>
    <row r="6224" spans="7:14" ht="11.25" customHeight="1" x14ac:dyDescent="0.25">
      <c r="G6224" s="459"/>
      <c r="H6224" s="459">
        <v>6217</v>
      </c>
      <c r="I6224" s="444">
        <f t="shared" ca="1" si="205"/>
        <v>-1.3602976336132523E+17</v>
      </c>
      <c r="J6224" s="444">
        <f t="array" ref="J6224">IFERROR(INDEX('Retirement Calculator'!K:K,MATCH('Lorri 401b'!N6224,'Retirement Calculator'!A:A,0),0),0)</f>
        <v>0</v>
      </c>
      <c r="K6224" s="444">
        <f t="shared" ca="1" si="203"/>
        <v>-566790680672188.5</v>
      </c>
      <c r="L6224" s="444">
        <f t="shared" ca="1" si="204"/>
        <v>-1.3659655404199742E+17</v>
      </c>
      <c r="M6224" s="460">
        <f t="shared" si="206"/>
        <v>0.05</v>
      </c>
      <c r="N6224" s="464">
        <f t="shared" si="207"/>
        <v>240483</v>
      </c>
    </row>
    <row r="6225" spans="7:14" ht="11.25" customHeight="1" x14ac:dyDescent="0.25">
      <c r="G6225" s="459"/>
      <c r="H6225" s="459">
        <v>6218</v>
      </c>
      <c r="I6225" s="444">
        <f t="shared" ca="1" si="205"/>
        <v>-1.3659655404199742E+17</v>
      </c>
      <c r="J6225" s="444">
        <f t="array" ref="J6225">IFERROR(INDEX('Retirement Calculator'!K:K,MATCH('Lorri 401b'!N6225,'Retirement Calculator'!A:A,0),0),0)</f>
        <v>0</v>
      </c>
      <c r="K6225" s="444">
        <f t="shared" ca="1" si="203"/>
        <v>-569152308508322.5</v>
      </c>
      <c r="L6225" s="444">
        <f t="shared" ca="1" si="204"/>
        <v>-1.3716570635050574E+17</v>
      </c>
      <c r="M6225" s="460">
        <f t="shared" si="206"/>
        <v>0.05</v>
      </c>
      <c r="N6225" s="464">
        <f t="shared" si="207"/>
        <v>240513</v>
      </c>
    </row>
    <row r="6226" spans="7:14" ht="11.25" customHeight="1" x14ac:dyDescent="0.25">
      <c r="G6226" s="459"/>
      <c r="H6226" s="459">
        <v>6219</v>
      </c>
      <c r="I6226" s="444">
        <f t="shared" ca="1" si="205"/>
        <v>-1.3716570635050574E+17</v>
      </c>
      <c r="J6226" s="444">
        <f t="array" ref="J6226">IFERROR(INDEX('Retirement Calculator'!K:K,MATCH('Lorri 401b'!N6226,'Retirement Calculator'!A:A,0),0),0)</f>
        <v>0</v>
      </c>
      <c r="K6226" s="444">
        <f t="shared" ca="1" si="203"/>
        <v>-571523776460440.63</v>
      </c>
      <c r="L6226" s="444">
        <f t="shared" ca="1" si="204"/>
        <v>-1.3773723012696619E+17</v>
      </c>
      <c r="M6226" s="460">
        <f t="shared" si="206"/>
        <v>0.05</v>
      </c>
      <c r="N6226" s="464">
        <f t="shared" si="207"/>
        <v>240544</v>
      </c>
    </row>
    <row r="6227" spans="7:14" ht="11.25" customHeight="1" x14ac:dyDescent="0.25">
      <c r="G6227" s="459"/>
      <c r="H6227" s="459">
        <v>6220</v>
      </c>
      <c r="I6227" s="444">
        <f t="shared" ca="1" si="205"/>
        <v>-1.3773723012696619E+17</v>
      </c>
      <c r="J6227" s="444">
        <f t="array" ref="J6227">IFERROR(INDEX('Retirement Calculator'!K:K,MATCH('Lorri 401b'!N6227,'Retirement Calculator'!A:A,0),0),0)</f>
        <v>0</v>
      </c>
      <c r="K6227" s="444">
        <f t="shared" ca="1" si="203"/>
        <v>-573905125529025.75</v>
      </c>
      <c r="L6227" s="444">
        <f t="shared" ca="1" si="204"/>
        <v>-1.3831113525249522E+17</v>
      </c>
      <c r="M6227" s="460">
        <f t="shared" si="206"/>
        <v>0.05</v>
      </c>
      <c r="N6227" s="464">
        <f t="shared" si="207"/>
        <v>240575</v>
      </c>
    </row>
    <row r="6228" spans="7:14" ht="11.25" customHeight="1" x14ac:dyDescent="0.25">
      <c r="G6228" s="459"/>
      <c r="H6228" s="459">
        <v>6221</v>
      </c>
      <c r="I6228" s="444">
        <f t="shared" ca="1" si="205"/>
        <v>-1.3831113525249522E+17</v>
      </c>
      <c r="J6228" s="444">
        <f t="array" ref="J6228">IFERROR(INDEX('Retirement Calculator'!K:K,MATCH('Lorri 401b'!N6228,'Retirement Calculator'!A:A,0),0),0)</f>
        <v>0</v>
      </c>
      <c r="K6228" s="444">
        <f t="shared" ca="1" si="203"/>
        <v>-576296396885396.63</v>
      </c>
      <c r="L6228" s="444">
        <f t="shared" ca="1" si="204"/>
        <v>-1.3888743164938061E+17</v>
      </c>
      <c r="M6228" s="460">
        <f t="shared" si="206"/>
        <v>0.05</v>
      </c>
      <c r="N6228" s="464">
        <f t="shared" si="207"/>
        <v>240605</v>
      </c>
    </row>
    <row r="6229" spans="7:14" ht="11.25" customHeight="1" x14ac:dyDescent="0.25">
      <c r="G6229" s="459"/>
      <c r="H6229" s="459">
        <v>6222</v>
      </c>
      <c r="I6229" s="444">
        <f t="shared" ca="1" si="205"/>
        <v>-1.3888743164938061E+17</v>
      </c>
      <c r="J6229" s="444">
        <f t="array" ref="J6229">IFERROR(INDEX('Retirement Calculator'!K:K,MATCH('Lorri 401b'!N6229,'Retirement Calculator'!A:A,0),0),0)</f>
        <v>0</v>
      </c>
      <c r="K6229" s="444">
        <f t="shared" ca="1" si="203"/>
        <v>-578697631872419.25</v>
      </c>
      <c r="L6229" s="444">
        <f t="shared" ca="1" si="204"/>
        <v>-1.3946612928125302E+17</v>
      </c>
      <c r="M6229" s="460">
        <f t="shared" si="206"/>
        <v>0.05</v>
      </c>
      <c r="N6229" s="464">
        <f t="shared" si="207"/>
        <v>240636</v>
      </c>
    </row>
    <row r="6230" spans="7:14" ht="11.25" customHeight="1" x14ac:dyDescent="0.25">
      <c r="G6230" s="459"/>
      <c r="H6230" s="459">
        <v>6223</v>
      </c>
      <c r="I6230" s="444">
        <f t="shared" ca="1" si="205"/>
        <v>-1.3946612928125302E+17</v>
      </c>
      <c r="J6230" s="444">
        <f t="array" ref="J6230">IFERROR(INDEX('Retirement Calculator'!K:K,MATCH('Lorri 401b'!N6230,'Retirement Calculator'!A:A,0),0),0)</f>
        <v>0</v>
      </c>
      <c r="K6230" s="444">
        <f t="shared" ca="1" si="203"/>
        <v>-581108872005220.88</v>
      </c>
      <c r="L6230" s="444">
        <f t="shared" ca="1" si="204"/>
        <v>-1.4004723815325824E+17</v>
      </c>
      <c r="M6230" s="460">
        <f t="shared" si="206"/>
        <v>0.05</v>
      </c>
      <c r="N6230" s="464">
        <f t="shared" si="207"/>
        <v>240666</v>
      </c>
    </row>
    <row r="6231" spans="7:14" ht="11.25" customHeight="1" x14ac:dyDescent="0.25">
      <c r="G6231" s="459"/>
      <c r="H6231" s="459">
        <v>6224</v>
      </c>
      <c r="I6231" s="444">
        <f t="shared" ca="1" si="205"/>
        <v>-1.4004723815325824E+17</v>
      </c>
      <c r="J6231" s="444">
        <f t="array" ref="J6231">IFERROR(INDEX('Retirement Calculator'!K:K,MATCH('Lorri 401b'!N6231,'Retirement Calculator'!A:A,0),0),0)</f>
        <v>0</v>
      </c>
      <c r="K6231" s="444">
        <f t="shared" ca="1" si="203"/>
        <v>-583530158971909.38</v>
      </c>
      <c r="L6231" s="444">
        <f t="shared" ca="1" si="204"/>
        <v>-1.4063076831223014E+17</v>
      </c>
      <c r="M6231" s="460">
        <f t="shared" si="206"/>
        <v>0.05</v>
      </c>
      <c r="N6231" s="464">
        <f t="shared" si="207"/>
        <v>240697</v>
      </c>
    </row>
    <row r="6232" spans="7:14" ht="11.25" customHeight="1" x14ac:dyDescent="0.25">
      <c r="G6232" s="459"/>
      <c r="H6232" s="459">
        <v>6225</v>
      </c>
      <c r="I6232" s="444">
        <f t="shared" ca="1" si="205"/>
        <v>-1.4063076831223014E+17</v>
      </c>
      <c r="J6232" s="444">
        <f t="array" ref="J6232">IFERROR(INDEX('Retirement Calculator'!K:K,MATCH('Lorri 401b'!N6232,'Retirement Calculator'!A:A,0),0),0)</f>
        <v>0</v>
      </c>
      <c r="K6232" s="444">
        <f t="shared" ca="1" si="203"/>
        <v>-585961534634292.25</v>
      </c>
      <c r="L6232" s="444">
        <f t="shared" ca="1" si="204"/>
        <v>-1.4121672984686443E+17</v>
      </c>
      <c r="M6232" s="460">
        <f t="shared" si="206"/>
        <v>0.05</v>
      </c>
      <c r="N6232" s="464">
        <f t="shared" si="207"/>
        <v>240728</v>
      </c>
    </row>
    <row r="6233" spans="7:14" ht="11.25" customHeight="1" x14ac:dyDescent="0.25">
      <c r="G6233" s="459"/>
      <c r="H6233" s="459">
        <v>6226</v>
      </c>
      <c r="I6233" s="444">
        <f t="shared" ca="1" si="205"/>
        <v>-1.4121672984686443E+17</v>
      </c>
      <c r="J6233" s="444">
        <f t="array" ref="J6233">IFERROR(INDEX('Retirement Calculator'!K:K,MATCH('Lorri 401b'!N6233,'Retirement Calculator'!A:A,0),0),0)</f>
        <v>0</v>
      </c>
      <c r="K6233" s="444">
        <f t="shared" ca="1" si="203"/>
        <v>-588403041028601.75</v>
      </c>
      <c r="L6233" s="444">
        <f t="shared" ca="1" si="204"/>
        <v>-1.4180513288789304E+17</v>
      </c>
      <c r="M6233" s="460">
        <f t="shared" si="206"/>
        <v>0.05</v>
      </c>
      <c r="N6233" s="464">
        <f t="shared" si="207"/>
        <v>240756</v>
      </c>
    </row>
    <row r="6234" spans="7:14" ht="11.25" customHeight="1" x14ac:dyDescent="0.25">
      <c r="G6234" s="459"/>
      <c r="H6234" s="459">
        <v>6227</v>
      </c>
      <c r="I6234" s="444">
        <f t="shared" ca="1" si="205"/>
        <v>-1.4180513288789304E+17</v>
      </c>
      <c r="J6234" s="444">
        <f t="array" ref="J6234">IFERROR(INDEX('Retirement Calculator'!K:K,MATCH('Lorri 401b'!N6234,'Retirement Calculator'!A:A,0),0),0)</f>
        <v>0</v>
      </c>
      <c r="K6234" s="444">
        <f t="shared" ca="1" si="203"/>
        <v>-590854720366221</v>
      </c>
      <c r="L6234" s="444">
        <f t="shared" ca="1" si="204"/>
        <v>-1.4239598760825926E+17</v>
      </c>
      <c r="M6234" s="460">
        <f t="shared" si="206"/>
        <v>0.05</v>
      </c>
      <c r="N6234" s="464">
        <f t="shared" si="207"/>
        <v>240787</v>
      </c>
    </row>
    <row r="6235" spans="7:14" ht="11.25" customHeight="1" x14ac:dyDescent="0.25">
      <c r="G6235" s="459"/>
      <c r="H6235" s="459">
        <v>6228</v>
      </c>
      <c r="I6235" s="444">
        <f t="shared" ca="1" si="205"/>
        <v>-1.4239598760825926E+17</v>
      </c>
      <c r="J6235" s="444">
        <f t="array" ref="J6235">IFERROR(INDEX('Retirement Calculator'!K:K,MATCH('Lorri 401b'!N6235,'Retirement Calculator'!A:A,0),0),0)</f>
        <v>0</v>
      </c>
      <c r="K6235" s="444">
        <f t="shared" ca="1" si="203"/>
        <v>-593316615034413.63</v>
      </c>
      <c r="L6235" s="444">
        <f t="shared" ca="1" si="204"/>
        <v>-1.4298930422329368E+17</v>
      </c>
      <c r="M6235" s="460">
        <f t="shared" si="206"/>
        <v>0.05</v>
      </c>
      <c r="N6235" s="464">
        <f t="shared" si="207"/>
        <v>240817</v>
      </c>
    </row>
    <row r="6236" spans="7:14" ht="11.25" customHeight="1" x14ac:dyDescent="0.25">
      <c r="G6236" s="459"/>
      <c r="H6236" s="459">
        <v>6229</v>
      </c>
      <c r="I6236" s="444">
        <f t="shared" ca="1" si="205"/>
        <v>-1.4298930422329368E+17</v>
      </c>
      <c r="J6236" s="444">
        <f t="array" ref="J6236">IFERROR(INDEX('Retirement Calculator'!K:K,MATCH('Lorri 401b'!N6236,'Retirement Calculator'!A:A,0),0),0)</f>
        <v>0</v>
      </c>
      <c r="K6236" s="444">
        <f t="shared" ca="1" si="203"/>
        <v>-595788767597056.88</v>
      </c>
      <c r="L6236" s="444">
        <f t="shared" ca="1" si="204"/>
        <v>-1.4358509299089074E+17</v>
      </c>
      <c r="M6236" s="460">
        <f t="shared" si="206"/>
        <v>0.05</v>
      </c>
      <c r="N6236" s="464">
        <f t="shared" si="207"/>
        <v>240848</v>
      </c>
    </row>
    <row r="6237" spans="7:14" ht="11.25" customHeight="1" x14ac:dyDescent="0.25">
      <c r="G6237" s="459"/>
      <c r="H6237" s="459">
        <v>6230</v>
      </c>
      <c r="I6237" s="444">
        <f t="shared" ca="1" si="205"/>
        <v>-1.4358509299089074E+17</v>
      </c>
      <c r="J6237" s="444">
        <f t="array" ref="J6237">IFERROR(INDEX('Retirement Calculator'!K:K,MATCH('Lorri 401b'!N6237,'Retirement Calculator'!A:A,0),0),0)</f>
        <v>0</v>
      </c>
      <c r="K6237" s="444">
        <f t="shared" ca="1" si="203"/>
        <v>-598271220795378.13</v>
      </c>
      <c r="L6237" s="444">
        <f t="shared" ca="1" si="204"/>
        <v>-1.4418336421168611E+17</v>
      </c>
      <c r="M6237" s="460">
        <f t="shared" si="206"/>
        <v>0.05</v>
      </c>
      <c r="N6237" s="464">
        <f t="shared" si="207"/>
        <v>240878</v>
      </c>
    </row>
    <row r="6238" spans="7:14" ht="11.25" customHeight="1" x14ac:dyDescent="0.25">
      <c r="G6238" s="459"/>
      <c r="H6238" s="459">
        <v>6231</v>
      </c>
      <c r="I6238" s="444">
        <f t="shared" ca="1" si="205"/>
        <v>-1.4418336421168611E+17</v>
      </c>
      <c r="J6238" s="444">
        <f t="array" ref="J6238">IFERROR(INDEX('Retirement Calculator'!K:K,MATCH('Lorri 401b'!N6238,'Retirement Calculator'!A:A,0),0),0)</f>
        <v>0</v>
      </c>
      <c r="K6238" s="444">
        <f t="shared" ca="1" si="203"/>
        <v>-600764017548692.13</v>
      </c>
      <c r="L6238" s="444">
        <f t="shared" ca="1" si="204"/>
        <v>-1.4478412822923482E+17</v>
      </c>
      <c r="M6238" s="460">
        <f t="shared" si="206"/>
        <v>0.05</v>
      </c>
      <c r="N6238" s="464">
        <f t="shared" si="207"/>
        <v>240909</v>
      </c>
    </row>
    <row r="6239" spans="7:14" ht="11.25" customHeight="1" x14ac:dyDescent="0.25">
      <c r="G6239" s="459"/>
      <c r="H6239" s="459">
        <v>6232</v>
      </c>
      <c r="I6239" s="444">
        <f t="shared" ca="1" si="205"/>
        <v>-1.4478412822923482E+17</v>
      </c>
      <c r="J6239" s="444">
        <f t="array" ref="J6239">IFERROR(INDEX('Retirement Calculator'!K:K,MATCH('Lorri 401b'!N6239,'Retirement Calculator'!A:A,0),0),0)</f>
        <v>0</v>
      </c>
      <c r="K6239" s="444">
        <f t="shared" ca="1" si="203"/>
        <v>-603267200955145</v>
      </c>
      <c r="L6239" s="444">
        <f t="shared" ca="1" si="204"/>
        <v>-1.4538739543018995E+17</v>
      </c>
      <c r="M6239" s="460">
        <f t="shared" si="206"/>
        <v>0.05</v>
      </c>
      <c r="N6239" s="464">
        <f t="shared" si="207"/>
        <v>240940</v>
      </c>
    </row>
    <row r="6240" spans="7:14" ht="11.25" customHeight="1" x14ac:dyDescent="0.25">
      <c r="G6240" s="459"/>
      <c r="H6240" s="459">
        <v>6233</v>
      </c>
      <c r="I6240" s="444">
        <f t="shared" ca="1" si="205"/>
        <v>-1.4538739543018995E+17</v>
      </c>
      <c r="J6240" s="444">
        <f t="array" ref="J6240">IFERROR(INDEX('Retirement Calculator'!K:K,MATCH('Lorri 401b'!N6240,'Retirement Calculator'!A:A,0),0),0)</f>
        <v>0</v>
      </c>
      <c r="K6240" s="444">
        <f t="shared" ca="1" si="203"/>
        <v>-605780814292458.13</v>
      </c>
      <c r="L6240" s="444">
        <f t="shared" ca="1" si="204"/>
        <v>-1.459931762444824E+17</v>
      </c>
      <c r="M6240" s="460">
        <f t="shared" si="206"/>
        <v>0.05</v>
      </c>
      <c r="N6240" s="464">
        <f t="shared" si="207"/>
        <v>240970</v>
      </c>
    </row>
    <row r="6241" spans="7:14" ht="11.25" customHeight="1" x14ac:dyDescent="0.25">
      <c r="G6241" s="459"/>
      <c r="H6241" s="459">
        <v>6234</v>
      </c>
      <c r="I6241" s="444">
        <f t="shared" ca="1" si="205"/>
        <v>-1.459931762444824E+17</v>
      </c>
      <c r="J6241" s="444">
        <f t="array" ref="J6241">IFERROR(INDEX('Retirement Calculator'!K:K,MATCH('Lorri 401b'!N6241,'Retirement Calculator'!A:A,0),0),0)</f>
        <v>0</v>
      </c>
      <c r="K6241" s="444">
        <f t="shared" ca="1" si="203"/>
        <v>-608304901018676.63</v>
      </c>
      <c r="L6241" s="444">
        <f t="shared" ca="1" si="204"/>
        <v>-1.4660148114550109E+17</v>
      </c>
      <c r="M6241" s="460">
        <f t="shared" si="206"/>
        <v>0.05</v>
      </c>
      <c r="N6241" s="464">
        <f t="shared" si="207"/>
        <v>241001</v>
      </c>
    </row>
    <row r="6242" spans="7:14" ht="11.25" customHeight="1" x14ac:dyDescent="0.25">
      <c r="G6242" s="459"/>
      <c r="H6242" s="459">
        <v>6235</v>
      </c>
      <c r="I6242" s="444">
        <f t="shared" ca="1" si="205"/>
        <v>-1.4660148114550109E+17</v>
      </c>
      <c r="J6242" s="444">
        <f t="array" ref="J6242">IFERROR(INDEX('Retirement Calculator'!K:K,MATCH('Lorri 401b'!N6242,'Retirement Calculator'!A:A,0),0),0)</f>
        <v>0</v>
      </c>
      <c r="K6242" s="444">
        <f t="shared" ca="1" si="203"/>
        <v>-610839504772921.25</v>
      </c>
      <c r="L6242" s="444">
        <f t="shared" ca="1" si="204"/>
        <v>-1.4721232065027402E+17</v>
      </c>
      <c r="M6242" s="460">
        <f t="shared" si="206"/>
        <v>0.05</v>
      </c>
      <c r="N6242" s="464">
        <f t="shared" si="207"/>
        <v>241031</v>
      </c>
    </row>
    <row r="6243" spans="7:14" ht="11.25" customHeight="1" x14ac:dyDescent="0.25">
      <c r="G6243" s="459"/>
      <c r="H6243" s="459">
        <v>6236</v>
      </c>
      <c r="I6243" s="444">
        <f t="shared" ca="1" si="205"/>
        <v>-1.4721232065027402E+17</v>
      </c>
      <c r="J6243" s="444">
        <f t="array" ref="J6243">IFERROR(INDEX('Retirement Calculator'!K:K,MATCH('Lorri 401b'!N6243,'Retirement Calculator'!A:A,0),0),0)</f>
        <v>0</v>
      </c>
      <c r="K6243" s="444">
        <f t="shared" ca="1" si="203"/>
        <v>-613384669376141.75</v>
      </c>
      <c r="L6243" s="444">
        <f t="shared" ca="1" si="204"/>
        <v>-1.4782570531965014E+17</v>
      </c>
      <c r="M6243" s="460">
        <f t="shared" si="206"/>
        <v>0.05</v>
      </c>
      <c r="N6243" s="464">
        <f t="shared" si="207"/>
        <v>241062</v>
      </c>
    </row>
    <row r="6244" spans="7:14" ht="11.25" customHeight="1" x14ac:dyDescent="0.25">
      <c r="G6244" s="459"/>
      <c r="H6244" s="459">
        <v>6237</v>
      </c>
      <c r="I6244" s="444">
        <f t="shared" ca="1" si="205"/>
        <v>-1.4782570531965014E+17</v>
      </c>
      <c r="J6244" s="444">
        <f t="array" ref="J6244">IFERROR(INDEX('Retirement Calculator'!K:K,MATCH('Lorri 401b'!N6244,'Retirement Calculator'!A:A,0),0),0)</f>
        <v>0</v>
      </c>
      <c r="K6244" s="444">
        <f t="shared" ca="1" si="203"/>
        <v>-615940438831875.63</v>
      </c>
      <c r="L6244" s="444">
        <f t="shared" ca="1" si="204"/>
        <v>-1.4844164575848202E+17</v>
      </c>
      <c r="M6244" s="460">
        <f t="shared" si="206"/>
        <v>0.05</v>
      </c>
      <c r="N6244" s="464">
        <f t="shared" si="207"/>
        <v>241093</v>
      </c>
    </row>
    <row r="6245" spans="7:14" ht="11.25" customHeight="1" x14ac:dyDescent="0.25">
      <c r="G6245" s="459"/>
      <c r="H6245" s="459">
        <v>6238</v>
      </c>
      <c r="I6245" s="444">
        <f t="shared" ca="1" si="205"/>
        <v>-1.4844164575848202E+17</v>
      </c>
      <c r="J6245" s="444">
        <f t="array" ref="J6245">IFERROR(INDEX('Retirement Calculator'!K:K,MATCH('Lorri 401b'!N6245,'Retirement Calculator'!A:A,0),0),0)</f>
        <v>0</v>
      </c>
      <c r="K6245" s="444">
        <f t="shared" ca="1" si="203"/>
        <v>-618506857327008.38</v>
      </c>
      <c r="L6245" s="444">
        <f t="shared" ca="1" si="204"/>
        <v>-1.4906015261580902E+17</v>
      </c>
      <c r="M6245" s="460">
        <f t="shared" si="206"/>
        <v>0.05</v>
      </c>
      <c r="N6245" s="464">
        <f t="shared" si="207"/>
        <v>241122</v>
      </c>
    </row>
    <row r="6246" spans="7:14" ht="11.25" customHeight="1" x14ac:dyDescent="0.25">
      <c r="G6246" s="459"/>
      <c r="H6246" s="459">
        <v>6239</v>
      </c>
      <c r="I6246" s="444">
        <f t="shared" ca="1" si="205"/>
        <v>-1.4906015261580902E+17</v>
      </c>
      <c r="J6246" s="444">
        <f t="array" ref="J6246">IFERROR(INDEX('Retirement Calculator'!K:K,MATCH('Lorri 401b'!N6246,'Retirement Calculator'!A:A,0),0),0)</f>
        <v>0</v>
      </c>
      <c r="K6246" s="444">
        <f t="shared" ca="1" si="203"/>
        <v>-621083969232537.63</v>
      </c>
      <c r="L6246" s="444">
        <f t="shared" ca="1" si="204"/>
        <v>-1.4968123658504157E+17</v>
      </c>
      <c r="M6246" s="460">
        <f t="shared" si="206"/>
        <v>0.05</v>
      </c>
      <c r="N6246" s="464">
        <f t="shared" si="207"/>
        <v>241153</v>
      </c>
    </row>
    <row r="6247" spans="7:14" ht="11.25" customHeight="1" x14ac:dyDescent="0.25">
      <c r="G6247" s="459"/>
      <c r="H6247" s="459">
        <v>6240</v>
      </c>
      <c r="I6247" s="444">
        <f t="shared" ca="1" si="205"/>
        <v>-1.4968123658504157E+17</v>
      </c>
      <c r="J6247" s="444">
        <f t="array" ref="J6247">IFERROR(INDEX('Retirement Calculator'!K:K,MATCH('Lorri 401b'!N6247,'Retirement Calculator'!A:A,0),0),0)</f>
        <v>0</v>
      </c>
      <c r="K6247" s="444">
        <f t="shared" ca="1" si="203"/>
        <v>-623671819104339.88</v>
      </c>
      <c r="L6247" s="444">
        <f t="shared" ca="1" si="204"/>
        <v>-1.5030490840414592E+17</v>
      </c>
      <c r="M6247" s="460">
        <f t="shared" si="206"/>
        <v>0.05</v>
      </c>
      <c r="N6247" s="464">
        <f t="shared" si="207"/>
        <v>241183</v>
      </c>
    </row>
    <row r="6248" spans="7:14" ht="11.25" customHeight="1" x14ac:dyDescent="0.25">
      <c r="G6248" s="459"/>
      <c r="H6248" s="459">
        <v>6241</v>
      </c>
      <c r="I6248" s="444">
        <f t="shared" ca="1" si="205"/>
        <v>-1.5030490840414592E+17</v>
      </c>
      <c r="J6248" s="444">
        <f t="array" ref="J6248">IFERROR(INDEX('Retirement Calculator'!K:K,MATCH('Lorri 401b'!N6248,'Retirement Calculator'!A:A,0),0),0)</f>
        <v>0</v>
      </c>
      <c r="K6248" s="444">
        <f t="shared" ca="1" si="203"/>
        <v>-626270451683941.38</v>
      </c>
      <c r="L6248" s="444">
        <f t="shared" ca="1" si="204"/>
        <v>-1.5093117885582986E+17</v>
      </c>
      <c r="M6248" s="460">
        <f t="shared" si="206"/>
        <v>0.05</v>
      </c>
      <c r="N6248" s="464">
        <f t="shared" si="207"/>
        <v>241214</v>
      </c>
    </row>
    <row r="6249" spans="7:14" ht="11.25" customHeight="1" x14ac:dyDescent="0.25">
      <c r="G6249" s="459"/>
      <c r="H6249" s="459">
        <v>6242</v>
      </c>
      <c r="I6249" s="444">
        <f t="shared" ca="1" si="205"/>
        <v>-1.5093117885582986E+17</v>
      </c>
      <c r="J6249" s="444">
        <f t="array" ref="J6249">IFERROR(INDEX('Retirement Calculator'!K:K,MATCH('Lorri 401b'!N6249,'Retirement Calculator'!A:A,0),0),0)</f>
        <v>0</v>
      </c>
      <c r="K6249" s="444">
        <f t="shared" ca="1" si="203"/>
        <v>-628879911899291</v>
      </c>
      <c r="L6249" s="444">
        <f t="shared" ca="1" si="204"/>
        <v>-1.5156005876772915E+17</v>
      </c>
      <c r="M6249" s="460">
        <f t="shared" si="206"/>
        <v>0.05</v>
      </c>
      <c r="N6249" s="464">
        <f t="shared" si="207"/>
        <v>241244</v>
      </c>
    </row>
    <row r="6250" spans="7:14" ht="11.25" customHeight="1" x14ac:dyDescent="0.25">
      <c r="G6250" s="459"/>
      <c r="H6250" s="459">
        <v>6243</v>
      </c>
      <c r="I6250" s="444">
        <f t="shared" ca="1" si="205"/>
        <v>-1.5156005876772915E+17</v>
      </c>
      <c r="J6250" s="444">
        <f t="array" ref="J6250">IFERROR(INDEX('Retirement Calculator'!K:K,MATCH('Lorri 401b'!N6250,'Retirement Calculator'!A:A,0),0),0)</f>
        <v>0</v>
      </c>
      <c r="K6250" s="444">
        <f t="shared" ca="1" si="203"/>
        <v>-631500244865538.13</v>
      </c>
      <c r="L6250" s="444">
        <f t="shared" ca="1" si="204"/>
        <v>-1.5219155901259469E+17</v>
      </c>
      <c r="M6250" s="460">
        <f t="shared" si="206"/>
        <v>0.05</v>
      </c>
      <c r="N6250" s="464">
        <f t="shared" si="207"/>
        <v>241275</v>
      </c>
    </row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000"/>
  <sheetViews>
    <sheetView workbookViewId="0">
      <selection activeCell="D17" sqref="D17"/>
    </sheetView>
  </sheetViews>
  <sheetFormatPr defaultColWidth="14.42578125" defaultRowHeight="15" customHeight="1" x14ac:dyDescent="0.25"/>
  <cols>
    <col min="1" max="1" width="4" customWidth="1"/>
    <col min="2" max="2" width="5" customWidth="1"/>
    <col min="3" max="3" width="11" customWidth="1"/>
    <col min="4" max="4" width="12" customWidth="1"/>
    <col min="5" max="5" width="11" customWidth="1"/>
    <col min="6" max="6" width="10" customWidth="1"/>
    <col min="7" max="7" width="11" customWidth="1"/>
    <col min="8" max="8" width="10" customWidth="1"/>
    <col min="9" max="11" width="11" customWidth="1"/>
    <col min="12" max="12" width="10" customWidth="1"/>
    <col min="13" max="13" width="12" customWidth="1"/>
  </cols>
  <sheetData>
    <row r="1" spans="1:13" ht="11.25" customHeight="1" x14ac:dyDescent="0.25">
      <c r="A1" s="465"/>
      <c r="B1" s="465"/>
      <c r="C1" s="466" t="s">
        <v>666</v>
      </c>
      <c r="D1" s="466">
        <v>3063</v>
      </c>
      <c r="E1" s="295"/>
      <c r="F1" s="295"/>
      <c r="G1" s="295"/>
      <c r="H1" s="295"/>
      <c r="I1" s="295"/>
      <c r="J1" s="295"/>
      <c r="K1" s="295"/>
      <c r="L1" s="295"/>
      <c r="M1" s="295" t="s">
        <v>667</v>
      </c>
    </row>
    <row r="2" spans="1:13" ht="11.25" customHeight="1" x14ac:dyDescent="0.25">
      <c r="A2" s="465"/>
      <c r="B2" s="465"/>
      <c r="C2" s="466" t="s">
        <v>668</v>
      </c>
      <c r="D2" s="466">
        <v>26</v>
      </c>
      <c r="E2" s="295"/>
      <c r="F2" s="295"/>
      <c r="G2" s="295"/>
      <c r="H2" s="295"/>
      <c r="I2" s="295"/>
      <c r="J2" s="295"/>
      <c r="K2" s="295"/>
      <c r="L2" s="295"/>
      <c r="M2" s="405">
        <v>45442</v>
      </c>
    </row>
    <row r="3" spans="1:13" ht="11.25" customHeight="1" x14ac:dyDescent="0.25">
      <c r="A3" s="465"/>
      <c r="B3" s="465"/>
      <c r="C3" s="466" t="s">
        <v>669</v>
      </c>
      <c r="D3" s="401">
        <f>D1/D2</f>
        <v>117.80769230769231</v>
      </c>
      <c r="E3" s="295"/>
      <c r="F3" s="295"/>
      <c r="G3" s="295"/>
      <c r="H3" s="295"/>
      <c r="I3" s="295"/>
      <c r="J3" s="295"/>
      <c r="K3" s="295"/>
      <c r="L3" s="295"/>
      <c r="M3" s="405"/>
    </row>
    <row r="4" spans="1:13" ht="11.25" customHeight="1" x14ac:dyDescent="0.25">
      <c r="A4" s="465"/>
      <c r="B4" s="465"/>
      <c r="C4" s="466"/>
      <c r="D4" s="295"/>
      <c r="E4" s="295"/>
      <c r="F4" s="295"/>
      <c r="G4" s="295"/>
      <c r="H4" s="295"/>
      <c r="I4" s="295"/>
      <c r="J4" s="295"/>
      <c r="K4" s="295"/>
      <c r="L4" s="295"/>
      <c r="M4" s="295"/>
    </row>
    <row r="5" spans="1:13" ht="11.25" customHeight="1" x14ac:dyDescent="0.25">
      <c r="A5" s="465" t="s">
        <v>645</v>
      </c>
      <c r="B5" s="465" t="s">
        <v>659</v>
      </c>
      <c r="C5" s="466" t="s">
        <v>670</v>
      </c>
      <c r="D5" s="572" t="s">
        <v>671</v>
      </c>
      <c r="E5" s="561"/>
      <c r="F5" s="572" t="s">
        <v>672</v>
      </c>
      <c r="G5" s="561"/>
      <c r="H5" s="572" t="s">
        <v>673</v>
      </c>
      <c r="I5" s="561"/>
      <c r="J5" s="572" t="s">
        <v>674</v>
      </c>
      <c r="K5" s="561"/>
      <c r="L5" s="295"/>
      <c r="M5" s="295"/>
    </row>
    <row r="6" spans="1:13" ht="11.25" customHeight="1" x14ac:dyDescent="0.25">
      <c r="A6" s="465"/>
      <c r="B6" s="465"/>
      <c r="C6" s="466"/>
      <c r="D6" s="188" t="s">
        <v>675</v>
      </c>
      <c r="E6" s="188" t="s">
        <v>162</v>
      </c>
      <c r="F6" s="188" t="s">
        <v>675</v>
      </c>
      <c r="G6" s="188" t="s">
        <v>162</v>
      </c>
      <c r="H6" s="188" t="s">
        <v>675</v>
      </c>
      <c r="I6" s="188" t="s">
        <v>162</v>
      </c>
      <c r="J6" s="188" t="s">
        <v>675</v>
      </c>
      <c r="K6" s="188" t="s">
        <v>162</v>
      </c>
      <c r="L6" s="295"/>
      <c r="M6" s="295"/>
    </row>
    <row r="7" spans="1:13" ht="11.25" customHeight="1" x14ac:dyDescent="0.25">
      <c r="A7" s="465">
        <v>42</v>
      </c>
      <c r="B7" s="465">
        <v>2023</v>
      </c>
      <c r="C7" s="466">
        <v>24</v>
      </c>
      <c r="D7" s="467">
        <v>7111.8</v>
      </c>
      <c r="E7" s="468">
        <f>((((D1/D2)*C7)/360)*0.025)*D7</f>
        <v>1396.3745769230768</v>
      </c>
      <c r="F7" s="467">
        <v>8186.1</v>
      </c>
      <c r="G7" s="468">
        <f>((((D1/D2)*C7)/360)*0.025)*F7</f>
        <v>1607.30925</v>
      </c>
      <c r="H7" s="467">
        <v>9248.7000000000007</v>
      </c>
      <c r="I7" s="468">
        <f>((((D1/D2)*C7)/360)*0.025)*H7</f>
        <v>1815.9466730769232</v>
      </c>
      <c r="J7" s="469">
        <v>10205.700000000001</v>
      </c>
      <c r="K7" s="470">
        <f>((((D1/D2)*C7)/360)*0.025)*J7</f>
        <v>2003.8499423076923</v>
      </c>
      <c r="L7" s="295"/>
      <c r="M7" s="295"/>
    </row>
    <row r="8" spans="1:13" ht="11.25" customHeight="1" x14ac:dyDescent="0.25">
      <c r="A8" s="465">
        <v>43</v>
      </c>
      <c r="B8" s="465">
        <v>2024</v>
      </c>
      <c r="C8" s="466">
        <v>25</v>
      </c>
      <c r="D8" s="467">
        <v>7111.8</v>
      </c>
      <c r="E8" s="468">
        <f>((((D1/D2)*C8)/360)*0.025)*D8</f>
        <v>1454.5568509615384</v>
      </c>
      <c r="F8" s="467">
        <v>8186.1</v>
      </c>
      <c r="G8" s="468">
        <f>((((D1/D2)*C8)/360)*0.025)*F8</f>
        <v>1674.28046875</v>
      </c>
      <c r="H8" s="467">
        <v>9248.7000000000007</v>
      </c>
      <c r="I8" s="468">
        <f>((((D1/D2)*C8)/360)*0.025)*H8</f>
        <v>1891.6111177884616</v>
      </c>
      <c r="J8" s="469">
        <v>10205.700000000001</v>
      </c>
      <c r="K8" s="470">
        <f>((((D1/D2)*C8)/360)*0.025)*J8</f>
        <v>2087.3436899038461</v>
      </c>
      <c r="L8" s="295"/>
      <c r="M8" s="295"/>
    </row>
    <row r="9" spans="1:13" ht="11.25" customHeight="1" x14ac:dyDescent="0.25">
      <c r="A9" s="465">
        <v>44</v>
      </c>
      <c r="B9" s="465">
        <v>2025</v>
      </c>
      <c r="C9" s="466">
        <v>26</v>
      </c>
      <c r="D9" s="467">
        <v>7111.8</v>
      </c>
      <c r="E9" s="468">
        <f>((((D1/D2)*C9)/360)*0.025)*D9</f>
        <v>1512.7391250000001</v>
      </c>
      <c r="F9" s="467">
        <v>8447.1</v>
      </c>
      <c r="G9" s="468">
        <f>((((D1/D2)*C9)/360)*0.025)*F9</f>
        <v>1796.7685625000001</v>
      </c>
      <c r="H9" s="467">
        <v>9629.7000000000007</v>
      </c>
      <c r="I9" s="468">
        <f>((((D1/D2)*C9)/360)*0.025)*H9</f>
        <v>2048.3174375000003</v>
      </c>
      <c r="J9" s="469">
        <v>10597.2</v>
      </c>
      <c r="K9" s="470">
        <f>((((D1/D2)*C9)/360)*0.025)*J9</f>
        <v>2254.1127500000002</v>
      </c>
      <c r="L9" s="295"/>
      <c r="M9" s="295"/>
    </row>
    <row r="10" spans="1:13" ht="11.25" customHeight="1" x14ac:dyDescent="0.25">
      <c r="A10" s="465">
        <v>45</v>
      </c>
      <c r="B10" s="465">
        <v>2026</v>
      </c>
      <c r="C10" s="466">
        <v>27</v>
      </c>
      <c r="D10" s="467">
        <v>7111.8</v>
      </c>
      <c r="E10" s="468">
        <f>((((D1/D2)*C10)/360)*0.025)*D10</f>
        <v>1570.9213990384617</v>
      </c>
      <c r="F10" s="467">
        <v>8447.1</v>
      </c>
      <c r="G10" s="468">
        <f>((((D1/D2)*C10)/360)*0.025)*F10</f>
        <v>1865.875045673077</v>
      </c>
      <c r="H10" s="467">
        <v>9629.7000000000007</v>
      </c>
      <c r="I10" s="468">
        <f>((((D1/D2)*C10)/360)*0.025)*H10</f>
        <v>2127.0988774038465</v>
      </c>
      <c r="J10" s="469">
        <v>10597.2</v>
      </c>
      <c r="K10" s="470">
        <f>((((D1/D2)*C10)/360)*0.025)*J10</f>
        <v>2340.8093942307696</v>
      </c>
      <c r="L10" s="295"/>
      <c r="M10" s="295"/>
    </row>
    <row r="11" spans="1:13" ht="11.25" customHeight="1" x14ac:dyDescent="0.25">
      <c r="A11" s="465">
        <v>46</v>
      </c>
      <c r="B11" s="465">
        <v>2027</v>
      </c>
      <c r="C11" s="466">
        <v>28</v>
      </c>
      <c r="D11" s="467">
        <v>7111.8</v>
      </c>
      <c r="E11" s="468">
        <f>((((D1/D2)*C11)/360)*0.025)*D11</f>
        <v>1629.1036730769231</v>
      </c>
      <c r="F11" s="467">
        <v>8447.1</v>
      </c>
      <c r="G11" s="468">
        <f>((((D1/D2)*C11)/360)*0.025)*F11</f>
        <v>1934.9815288461541</v>
      </c>
      <c r="H11" s="467">
        <v>9629.7000000000007</v>
      </c>
      <c r="I11" s="468">
        <f>((((D1/D2)*C11)/360)*0.025)*H11</f>
        <v>2205.8803173076926</v>
      </c>
      <c r="J11" s="469">
        <v>10597.2</v>
      </c>
      <c r="K11" s="470">
        <f>((((D1/D2)*C11)/360)*0.025)*J11</f>
        <v>2427.5060384615385</v>
      </c>
      <c r="L11" s="295"/>
      <c r="M11" s="295"/>
    </row>
    <row r="12" spans="1:13" ht="11.25" customHeight="1" x14ac:dyDescent="0.25">
      <c r="A12" s="465">
        <v>47</v>
      </c>
      <c r="B12" s="465">
        <v>2028</v>
      </c>
      <c r="C12" s="466">
        <v>29</v>
      </c>
      <c r="D12" s="467">
        <v>7111.8</v>
      </c>
      <c r="E12" s="468">
        <f>((((D1/D2)*C12)/360)*0.025)*D12</f>
        <v>1687.2859471153845</v>
      </c>
      <c r="F12" s="467">
        <v>8447.1</v>
      </c>
      <c r="G12" s="468">
        <f>((((D1/D2)*C12)/360)*0.025)*F12</f>
        <v>2004.0880120192307</v>
      </c>
      <c r="H12" s="467">
        <v>9629.7000000000007</v>
      </c>
      <c r="I12" s="468">
        <f>((((D1/D2)*C12)/360)*0.025)*H12</f>
        <v>2284.6617572115383</v>
      </c>
      <c r="J12" s="469">
        <v>10597.2</v>
      </c>
      <c r="K12" s="470">
        <f>((((D1/D2)*C12)/360)*0.025)*J12</f>
        <v>2514.2026826923079</v>
      </c>
      <c r="L12" s="295"/>
      <c r="M12" s="295"/>
    </row>
    <row r="13" spans="1:13" ht="11.25" customHeight="1" x14ac:dyDescent="0.25">
      <c r="A13" s="465">
        <v>48</v>
      </c>
      <c r="B13" s="465">
        <v>2029</v>
      </c>
      <c r="C13" s="466">
        <v>30</v>
      </c>
      <c r="D13" s="467">
        <v>7111.8</v>
      </c>
      <c r="E13" s="468">
        <f>((((D1/D2)*C13)/360)*0.025)*D13</f>
        <v>1745.4682211538461</v>
      </c>
      <c r="F13" s="467">
        <v>8447.1</v>
      </c>
      <c r="G13" s="468">
        <f>((((D1/D2)*C13)/360)*0.025)*F13</f>
        <v>2073.1944951923078</v>
      </c>
      <c r="H13" s="467">
        <v>9821.7000000000007</v>
      </c>
      <c r="I13" s="468">
        <f>((((D1/D2)*C13)/360)*0.025)*H13</f>
        <v>2410.5662740384614</v>
      </c>
      <c r="J13" s="469">
        <v>11128.2</v>
      </c>
      <c r="K13" s="470">
        <f>((((D1/D2)*C13)/360)*0.025)*J13</f>
        <v>2731.2240865384615</v>
      </c>
      <c r="L13" s="295"/>
      <c r="M13" s="295"/>
    </row>
    <row r="14" spans="1:13" ht="11.25" customHeight="1" x14ac:dyDescent="0.25">
      <c r="A14" s="465">
        <v>49</v>
      </c>
      <c r="B14" s="465">
        <v>2030</v>
      </c>
      <c r="C14" s="466">
        <v>31</v>
      </c>
      <c r="D14" s="467">
        <v>7111.8</v>
      </c>
      <c r="E14" s="468">
        <f>((((D1/D2)*C14)/360)*0.025)*D14</f>
        <v>1803.6504951923077</v>
      </c>
      <c r="F14" s="467">
        <v>8447.1</v>
      </c>
      <c r="G14" s="468">
        <f>((((D1/D2)*C14)/360)*0.025)*F14</f>
        <v>2142.3009783653847</v>
      </c>
      <c r="H14" s="467">
        <v>9821.7000000000007</v>
      </c>
      <c r="I14" s="468">
        <f>((((D1/D2)*C14)/360)*0.025)*H14</f>
        <v>2490.9184831730772</v>
      </c>
      <c r="J14" s="469">
        <v>11128.2</v>
      </c>
      <c r="K14" s="470">
        <f>((((D1/D2)*C14)/360)*0.025)*J14</f>
        <v>2822.264889423077</v>
      </c>
      <c r="L14" s="295"/>
      <c r="M14" s="295"/>
    </row>
    <row r="15" spans="1:13" ht="11.25" customHeight="1" x14ac:dyDescent="0.25">
      <c r="A15" s="465">
        <v>50</v>
      </c>
      <c r="B15" s="465">
        <v>2031</v>
      </c>
      <c r="C15" s="466">
        <v>32</v>
      </c>
      <c r="D15" s="467">
        <v>7111.8</v>
      </c>
      <c r="E15" s="468">
        <f>((((D1/D2)*C15)/360)*0.025)*D15</f>
        <v>1861.8327692307694</v>
      </c>
      <c r="F15" s="467">
        <v>8447.1</v>
      </c>
      <c r="G15" s="468">
        <f>((((D1/D2)*C15)/360)*0.025)*F15</f>
        <v>2211.407461538462</v>
      </c>
      <c r="H15" s="467">
        <v>9821.7000000000007</v>
      </c>
      <c r="I15" s="468">
        <f>((((D1/D2)*C15)/360)*0.025)*H15</f>
        <v>2571.2706923076926</v>
      </c>
      <c r="J15" s="469">
        <v>11128.2</v>
      </c>
      <c r="K15" s="470">
        <f>((((D1/D2)*C15)/360)*0.025)*J15</f>
        <v>2913.3056923076929</v>
      </c>
      <c r="L15" s="295"/>
      <c r="M15" s="295"/>
    </row>
    <row r="16" spans="1:13" ht="11.25" customHeight="1" x14ac:dyDescent="0.25">
      <c r="A16" s="465">
        <v>51</v>
      </c>
      <c r="B16" s="465">
        <v>2032</v>
      </c>
      <c r="C16" s="466">
        <v>33</v>
      </c>
      <c r="D16" s="467">
        <v>7111.8</v>
      </c>
      <c r="E16" s="468">
        <f>((((D1/D2)*C16)/360)*0.025)*D16</f>
        <v>1920.0150432692308</v>
      </c>
      <c r="F16" s="467">
        <v>8447.1</v>
      </c>
      <c r="G16" s="468">
        <f>((((D1/D2)*C16)/360)*0.025)*F16</f>
        <v>2280.5139447115384</v>
      </c>
      <c r="H16" s="467">
        <v>9821.7000000000007</v>
      </c>
      <c r="I16" s="468">
        <f>((((D1/D2)*C16)/360)*0.025)*H16</f>
        <v>2651.6229014423079</v>
      </c>
      <c r="J16" s="469">
        <v>11128.2</v>
      </c>
      <c r="K16" s="470">
        <f>((((D1/D2)*C16)/360)*0.025)*J16</f>
        <v>3004.3464951923079</v>
      </c>
      <c r="L16" s="295"/>
      <c r="M16" s="295"/>
    </row>
    <row r="17" spans="1:11" ht="11.25" customHeight="1" x14ac:dyDescent="0.25">
      <c r="A17" s="465">
        <v>52</v>
      </c>
      <c r="B17" s="465">
        <v>2033</v>
      </c>
      <c r="C17" s="466">
        <v>34</v>
      </c>
      <c r="D17" s="467">
        <v>7111.8</v>
      </c>
      <c r="E17" s="468">
        <f>((((D1/D2)*C17)/360)*0.025)*D17</f>
        <v>1978.1973173076926</v>
      </c>
      <c r="F17" s="467">
        <v>8447.1</v>
      </c>
      <c r="G17" s="468">
        <f>((((D1/D2)*C17)/360)*0.025)*F17</f>
        <v>2349.6204278846158</v>
      </c>
      <c r="H17" s="467">
        <v>9821.7000000000007</v>
      </c>
      <c r="I17" s="468">
        <f>((((D1/D2)*C17)/360)*0.025)*H17</f>
        <v>2731.9751105769237</v>
      </c>
      <c r="J17" s="469">
        <v>11683.5</v>
      </c>
      <c r="K17" s="470">
        <f>((((D1/D2)*C17)/360)*0.025)*J17</f>
        <v>3249.8479086538464</v>
      </c>
    </row>
    <row r="18" spans="1:11" ht="11.25" customHeight="1" x14ac:dyDescent="0.25">
      <c r="A18" s="465">
        <v>53</v>
      </c>
      <c r="B18" s="465">
        <v>2034</v>
      </c>
      <c r="C18" s="466">
        <v>35</v>
      </c>
      <c r="D18" s="467">
        <v>7111.8</v>
      </c>
      <c r="E18" s="468">
        <f>((((D1/D2)*C18)/360)*0.025)*D18</f>
        <v>2036.379591346154</v>
      </c>
      <c r="F18" s="467">
        <v>8447.1</v>
      </c>
      <c r="G18" s="468">
        <f>((((D1/D2)*C18)/360)*0.025)*F18</f>
        <v>2418.7269110576926</v>
      </c>
      <c r="H18" s="467">
        <v>9821.7000000000007</v>
      </c>
      <c r="I18" s="468">
        <f>((((D1/D2)*C18)/360)*0.025)*H18</f>
        <v>2812.3273197115386</v>
      </c>
      <c r="J18" s="469">
        <v>11683.5</v>
      </c>
      <c r="K18" s="470">
        <f>((((D1/D2)*C18)/360)*0.025)*J18</f>
        <v>3345.431670673077</v>
      </c>
    </row>
    <row r="19" spans="1:11" ht="11.25" customHeight="1" x14ac:dyDescent="0.25">
      <c r="A19" s="465">
        <v>54</v>
      </c>
      <c r="B19" s="465">
        <v>2035</v>
      </c>
      <c r="C19" s="466">
        <v>36</v>
      </c>
      <c r="D19" s="467">
        <v>7111.8</v>
      </c>
      <c r="E19" s="468">
        <f>((((D1/D2)*C19)/360)*0.025)*D19</f>
        <v>2094.5618653846154</v>
      </c>
      <c r="F19" s="467">
        <v>8447.1</v>
      </c>
      <c r="G19" s="468">
        <f>((((D1/D2)*C19)/360)*0.025)*F19</f>
        <v>2487.833394230769</v>
      </c>
      <c r="H19" s="467">
        <v>9821.7000000000007</v>
      </c>
      <c r="I19" s="468">
        <f>((((D1/D2)*C19)/360)*0.025)*H19</f>
        <v>2892.679528846154</v>
      </c>
      <c r="J19" s="469">
        <v>11683.5</v>
      </c>
      <c r="K19" s="470">
        <f>((((D1/D2)*C19)/360)*0.025)*J19</f>
        <v>3441.0154326923075</v>
      </c>
    </row>
    <row r="20" spans="1:11" ht="11.25" customHeight="1" x14ac:dyDescent="0.25">
      <c r="A20" s="465">
        <v>55</v>
      </c>
      <c r="B20" s="465">
        <v>2036</v>
      </c>
      <c r="C20" s="466">
        <v>37</v>
      </c>
      <c r="D20" s="467">
        <v>7111.8</v>
      </c>
      <c r="E20" s="468">
        <f>((((D1/D2)*C20)/360)*0.025)*D20</f>
        <v>2152.7441394230773</v>
      </c>
      <c r="F20" s="467">
        <v>8447.1</v>
      </c>
      <c r="G20" s="468">
        <f>((((D1/D2)*C20)/360)*0.025)*F20</f>
        <v>2556.9398774038464</v>
      </c>
      <c r="H20" s="467">
        <v>9821.7000000000007</v>
      </c>
      <c r="I20" s="468">
        <f>((((D1/D2)*C20)/360)*0.025)*H20</f>
        <v>2973.0317379807698</v>
      </c>
      <c r="J20" s="469">
        <v>11683.5</v>
      </c>
      <c r="K20" s="470">
        <f>((((D1/D2)*C20)/360)*0.025)*J20</f>
        <v>3536.5991947115385</v>
      </c>
    </row>
    <row r="21" spans="1:11" ht="11.25" customHeight="1" x14ac:dyDescent="0.25">
      <c r="A21" s="465">
        <v>56</v>
      </c>
      <c r="B21" s="465">
        <v>2037</v>
      </c>
      <c r="C21" s="466">
        <v>38</v>
      </c>
      <c r="D21" s="467">
        <v>7111.8</v>
      </c>
      <c r="E21" s="468">
        <f>((((D1/D2)*C21)/360)*0.025)*D21</f>
        <v>2210.9264134615387</v>
      </c>
      <c r="F21" s="467">
        <v>8447.1</v>
      </c>
      <c r="G21" s="468">
        <f>((((D1/D2)*C21)/360)*0.025)*F21</f>
        <v>2626.0463605769237</v>
      </c>
      <c r="H21" s="467">
        <v>9821.7000000000007</v>
      </c>
      <c r="I21" s="468">
        <f>((((D1/D2)*C21)/360)*0.025)*H21</f>
        <v>3053.3839471153851</v>
      </c>
      <c r="J21" s="469">
        <v>12269.1</v>
      </c>
      <c r="K21" s="470">
        <f>((((D1/D2)*C21)/360)*0.025)*J21</f>
        <v>3814.2351105769239</v>
      </c>
    </row>
    <row r="22" spans="1:11" ht="11.25" customHeight="1" x14ac:dyDescent="0.25">
      <c r="A22" s="465">
        <v>57</v>
      </c>
      <c r="B22" s="465">
        <v>2038</v>
      </c>
      <c r="C22" s="466">
        <v>39</v>
      </c>
      <c r="D22" s="467">
        <v>7111.8</v>
      </c>
      <c r="E22" s="468">
        <f>((((D1/D2)*C22)/360)*0.025)*D22</f>
        <v>2269.1086875000001</v>
      </c>
      <c r="F22" s="467">
        <v>8447.1</v>
      </c>
      <c r="G22" s="468">
        <f>((((D1/D2)*C22)/360)*0.025)*F22</f>
        <v>2695.1528437500006</v>
      </c>
      <c r="H22" s="467">
        <v>9821.7000000000007</v>
      </c>
      <c r="I22" s="468">
        <f>((((D1/D2)*C22)/360)*0.025)*H22</f>
        <v>3133.7361562500005</v>
      </c>
      <c r="J22" s="469">
        <v>12269.1</v>
      </c>
      <c r="K22" s="470">
        <f>((((D1/D2)*C22)/360)*0.025)*J22</f>
        <v>3914.6097187500004</v>
      </c>
    </row>
    <row r="23" spans="1:11" ht="11.25" customHeight="1" x14ac:dyDescent="0.25">
      <c r="A23" s="465">
        <v>58</v>
      </c>
      <c r="B23" s="465">
        <v>2039</v>
      </c>
      <c r="C23" s="466">
        <v>40</v>
      </c>
      <c r="D23" s="467">
        <v>7111.8</v>
      </c>
      <c r="E23" s="471">
        <f>((((D1/D2)*C23)/360)*0.025)*D23</f>
        <v>2327.2909615384615</v>
      </c>
      <c r="F23" s="467">
        <v>8447.1</v>
      </c>
      <c r="G23" s="471">
        <f>((((D1/D2)*C23)/360)*0.025)*F23</f>
        <v>2764.259326923077</v>
      </c>
      <c r="H23" s="467">
        <v>9821.7000000000007</v>
      </c>
      <c r="I23" s="471">
        <f>((((D1/D2)*C23)/360)*0.025)*H23</f>
        <v>3214.0883653846158</v>
      </c>
      <c r="J23" s="469">
        <v>12269.1</v>
      </c>
      <c r="K23" s="472">
        <f>((((D1/D2)*C23)/360)*0.025)*J23</f>
        <v>4014.9843269230769</v>
      </c>
    </row>
    <row r="24" spans="1:11" ht="11.25" customHeight="1" x14ac:dyDescent="0.25">
      <c r="A24" s="465">
        <v>59</v>
      </c>
      <c r="B24" s="465">
        <v>2040</v>
      </c>
      <c r="C24" s="466">
        <v>41</v>
      </c>
      <c r="D24" s="467">
        <v>7111.8</v>
      </c>
      <c r="E24" s="471">
        <f>((((D1/D2)*C24)/360)*0.025)*D24</f>
        <v>2385.4732355769233</v>
      </c>
      <c r="F24" s="467">
        <v>8447.1</v>
      </c>
      <c r="G24" s="471">
        <f>((((D1/D2)*C24)/360)*0.025)*F24</f>
        <v>2833.3658100961543</v>
      </c>
      <c r="H24" s="467">
        <v>9821.7000000000007</v>
      </c>
      <c r="I24" s="471">
        <f>((((D1/D2)*C24)/360)*0.025)*H24</f>
        <v>3294.4405745192312</v>
      </c>
      <c r="J24" s="469">
        <v>12269.1</v>
      </c>
      <c r="K24" s="472">
        <f>((((D1/D2)*C24)/360)*0.025)*J24</f>
        <v>4115.3589350961547</v>
      </c>
    </row>
    <row r="25" spans="1:11" ht="11.25" customHeight="1" x14ac:dyDescent="0.25">
      <c r="A25" s="465">
        <v>60</v>
      </c>
      <c r="B25" s="465">
        <v>2041</v>
      </c>
      <c r="C25" s="466">
        <v>42</v>
      </c>
      <c r="D25" s="467">
        <v>7111.8</v>
      </c>
      <c r="E25" s="468">
        <f>((((D1/D2)*C25)/360)*0.025)*D25</f>
        <v>2443.6555096153847</v>
      </c>
      <c r="F25" s="467">
        <v>8447.1</v>
      </c>
      <c r="G25" s="468">
        <f>((((D1/D2)*C25)/360)*0.025)*F25</f>
        <v>2902.4722932692312</v>
      </c>
      <c r="H25" s="467">
        <v>9821.7000000000007</v>
      </c>
      <c r="I25" s="468">
        <f>((((D1/D2)*C25)/360)*0.025)*H25</f>
        <v>3374.7927836538465</v>
      </c>
      <c r="J25" s="469">
        <v>12269.1</v>
      </c>
      <c r="K25" s="470">
        <f>((((D1/D2)*C25)/360)*0.025)*J25</f>
        <v>4215.7335432692307</v>
      </c>
    </row>
    <row r="26" spans="1:11" ht="11.25" customHeight="1" x14ac:dyDescent="0.25">
      <c r="A26" s="465">
        <v>61</v>
      </c>
      <c r="B26" s="465">
        <v>2042</v>
      </c>
      <c r="C26" s="466">
        <v>43</v>
      </c>
      <c r="D26" s="467">
        <v>7111.8</v>
      </c>
      <c r="E26" s="468">
        <f>((((D1/D2)*C26)/360)*0.025)*D26</f>
        <v>2501.8377836538466</v>
      </c>
      <c r="F26" s="467">
        <v>8447.1</v>
      </c>
      <c r="G26" s="468">
        <f>((((D1/D2)*C26)/360)*0.025)*F26</f>
        <v>2971.578776442308</v>
      </c>
      <c r="H26" s="467">
        <v>9821.7000000000007</v>
      </c>
      <c r="I26" s="468">
        <f>((((D1/D2)*C26)/360)*0.025)*H26</f>
        <v>3455.1449927884623</v>
      </c>
      <c r="J26" s="469">
        <v>12269.1</v>
      </c>
      <c r="K26" s="470">
        <f>((((D1/D2)*C26)/360)*0.025)*J26</f>
        <v>4316.1081514423086</v>
      </c>
    </row>
    <row r="27" spans="1:11" ht="11.25" customHeight="1" x14ac:dyDescent="0.25">
      <c r="A27" s="465">
        <v>62</v>
      </c>
      <c r="B27" s="465">
        <v>2043</v>
      </c>
      <c r="C27" s="466">
        <v>44</v>
      </c>
      <c r="D27" s="467">
        <v>7111.8</v>
      </c>
      <c r="E27" s="468">
        <f>((((D1/D2)*C27)/360)*0.025)*D27</f>
        <v>2560.0200576923085</v>
      </c>
      <c r="F27" s="467">
        <v>8447.1</v>
      </c>
      <c r="G27" s="468">
        <f>((((D1/D2)*C27)/360)*0.025)*F27</f>
        <v>3040.6852596153853</v>
      </c>
      <c r="H27" s="467">
        <v>9821.7000000000007</v>
      </c>
      <c r="I27" s="468">
        <f>((((D1/D2)*C27)/360)*0.025)*H27</f>
        <v>3535.4972019230781</v>
      </c>
      <c r="J27" s="469">
        <v>12269.1</v>
      </c>
      <c r="K27" s="470">
        <f>((((D1/D2)*C27)/360)*0.025)*J27</f>
        <v>4416.4827596153855</v>
      </c>
    </row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D5:E5"/>
    <mergeCell ref="F5:G5"/>
    <mergeCell ref="H5:I5"/>
    <mergeCell ref="J5:K5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00"/>
  <sheetViews>
    <sheetView workbookViewId="0">
      <selection activeCell="H21" sqref="H21"/>
    </sheetView>
  </sheetViews>
  <sheetFormatPr defaultColWidth="14.42578125" defaultRowHeight="15" customHeight="1" x14ac:dyDescent="0.25"/>
  <cols>
    <col min="1" max="1" width="25.5703125" customWidth="1"/>
    <col min="2" max="2" width="26.5703125" customWidth="1"/>
    <col min="3" max="3" width="18.28515625" customWidth="1"/>
    <col min="4" max="4" width="5" customWidth="1"/>
    <col min="5" max="5" width="65.85546875" customWidth="1"/>
    <col min="6" max="6" width="13.140625" customWidth="1"/>
    <col min="7" max="7" width="8" customWidth="1"/>
    <col min="8" max="8" width="9.140625" customWidth="1"/>
  </cols>
  <sheetData>
    <row r="1" spans="1:8" ht="11.25" customHeight="1" x14ac:dyDescent="0.25">
      <c r="A1" s="473"/>
      <c r="B1" s="473" t="s">
        <v>676</v>
      </c>
      <c r="C1" s="473" t="s">
        <v>677</v>
      </c>
      <c r="D1" s="473" t="s">
        <v>678</v>
      </c>
      <c r="E1" s="473" t="s">
        <v>679</v>
      </c>
      <c r="F1" s="473" t="s">
        <v>680</v>
      </c>
      <c r="G1" s="473"/>
      <c r="H1" s="473"/>
    </row>
    <row r="2" spans="1:8" ht="11.25" customHeight="1" x14ac:dyDescent="0.25">
      <c r="A2" s="473" t="s">
        <v>681</v>
      </c>
      <c r="B2" s="295" t="s">
        <v>682</v>
      </c>
      <c r="C2" s="473" t="s">
        <v>683</v>
      </c>
      <c r="D2" s="473"/>
      <c r="E2" s="473" t="s">
        <v>684</v>
      </c>
      <c r="F2" s="473"/>
      <c r="G2" s="473"/>
      <c r="H2" s="473"/>
    </row>
    <row r="3" spans="1:8" ht="11.25" customHeight="1" x14ac:dyDescent="0.25">
      <c r="A3" s="473" t="s">
        <v>685</v>
      </c>
      <c r="B3" s="473" t="s">
        <v>686</v>
      </c>
      <c r="C3" s="473" t="s">
        <v>687</v>
      </c>
      <c r="D3" s="473"/>
      <c r="E3" s="473"/>
      <c r="F3" s="473"/>
      <c r="G3" s="473"/>
      <c r="H3" s="473"/>
    </row>
    <row r="4" spans="1:8" ht="11.25" customHeight="1" x14ac:dyDescent="0.25">
      <c r="A4" s="473" t="s">
        <v>688</v>
      </c>
      <c r="B4" s="474" t="s">
        <v>689</v>
      </c>
      <c r="C4" s="473" t="s">
        <v>690</v>
      </c>
      <c r="D4" s="473"/>
      <c r="E4" s="473" t="s">
        <v>691</v>
      </c>
      <c r="F4" s="473"/>
      <c r="G4" s="473"/>
      <c r="H4" s="473"/>
    </row>
    <row r="5" spans="1:8" ht="11.25" customHeight="1" x14ac:dyDescent="0.25">
      <c r="A5" s="473" t="s">
        <v>688</v>
      </c>
      <c r="B5" s="473" t="s">
        <v>692</v>
      </c>
      <c r="C5" s="473" t="s">
        <v>693</v>
      </c>
      <c r="D5" s="473"/>
      <c r="E5" s="473" t="s">
        <v>691</v>
      </c>
      <c r="F5" s="473"/>
      <c r="G5" s="473"/>
      <c r="H5" s="473"/>
    </row>
    <row r="6" spans="1:8" ht="11.25" customHeight="1" x14ac:dyDescent="0.25">
      <c r="A6" s="473" t="s">
        <v>622</v>
      </c>
      <c r="B6" s="473" t="s">
        <v>694</v>
      </c>
      <c r="C6" s="473" t="s">
        <v>695</v>
      </c>
      <c r="D6" s="473"/>
      <c r="E6" s="295" t="s">
        <v>696</v>
      </c>
      <c r="F6" s="473"/>
      <c r="G6" s="473"/>
      <c r="H6" s="473"/>
    </row>
    <row r="7" spans="1:8" ht="11.25" customHeight="1" x14ac:dyDescent="0.25">
      <c r="A7" s="473" t="s">
        <v>185</v>
      </c>
      <c r="B7" s="473" t="s">
        <v>697</v>
      </c>
      <c r="C7" s="473" t="s">
        <v>698</v>
      </c>
      <c r="D7" s="473"/>
      <c r="E7" s="473" t="s">
        <v>699</v>
      </c>
      <c r="F7" s="473"/>
      <c r="G7" s="473"/>
      <c r="H7" s="473"/>
    </row>
    <row r="8" spans="1:8" ht="11.25" customHeight="1" x14ac:dyDescent="0.25">
      <c r="A8" s="473" t="s">
        <v>185</v>
      </c>
      <c r="B8" s="473" t="s">
        <v>689</v>
      </c>
      <c r="C8" s="473" t="s">
        <v>700</v>
      </c>
      <c r="D8" s="473"/>
      <c r="E8" s="473"/>
      <c r="F8" s="473"/>
      <c r="G8" s="473"/>
      <c r="H8" s="473"/>
    </row>
    <row r="9" spans="1:8" ht="11.25" customHeight="1" x14ac:dyDescent="0.25">
      <c r="A9" s="473" t="s">
        <v>701</v>
      </c>
      <c r="B9" s="295" t="s">
        <v>702</v>
      </c>
      <c r="C9" s="473" t="s">
        <v>700</v>
      </c>
      <c r="D9" s="473"/>
      <c r="E9" s="473" t="s">
        <v>703</v>
      </c>
      <c r="F9" s="473"/>
      <c r="G9" s="473"/>
      <c r="H9" s="473"/>
    </row>
    <row r="10" spans="1:8" ht="11.25" customHeight="1" x14ac:dyDescent="0.25">
      <c r="A10" s="473" t="s">
        <v>704</v>
      </c>
      <c r="B10" s="473" t="s">
        <v>693</v>
      </c>
      <c r="C10" s="475" t="s">
        <v>705</v>
      </c>
      <c r="D10" s="475"/>
      <c r="E10" s="295" t="s">
        <v>706</v>
      </c>
      <c r="F10" s="473"/>
      <c r="G10" s="473"/>
      <c r="H10" s="473"/>
    </row>
    <row r="11" spans="1:8" ht="11.25" customHeight="1" x14ac:dyDescent="0.25">
      <c r="A11" s="473" t="s">
        <v>707</v>
      </c>
      <c r="B11" s="474" t="s">
        <v>708</v>
      </c>
      <c r="C11" s="473" t="s">
        <v>709</v>
      </c>
      <c r="D11" s="473"/>
      <c r="E11" s="476" t="s">
        <v>710</v>
      </c>
      <c r="F11" s="473"/>
      <c r="G11" s="473" t="s">
        <v>711</v>
      </c>
      <c r="H11" s="473" t="s">
        <v>712</v>
      </c>
    </row>
    <row r="12" spans="1:8" ht="11.25" customHeight="1" x14ac:dyDescent="0.25">
      <c r="A12" s="473" t="s">
        <v>713</v>
      </c>
      <c r="B12" s="473" t="s">
        <v>714</v>
      </c>
      <c r="C12" s="473" t="s">
        <v>715</v>
      </c>
      <c r="D12" s="473"/>
      <c r="E12" s="473" t="s">
        <v>716</v>
      </c>
      <c r="F12" s="473"/>
      <c r="G12" s="473"/>
      <c r="H12" s="473"/>
    </row>
    <row r="13" spans="1:8" ht="11.25" customHeight="1" x14ac:dyDescent="0.25">
      <c r="A13" s="473" t="s">
        <v>351</v>
      </c>
      <c r="B13" s="295" t="s">
        <v>682</v>
      </c>
      <c r="C13" s="473" t="s">
        <v>712</v>
      </c>
      <c r="D13" s="473"/>
      <c r="E13" s="474" t="s">
        <v>717</v>
      </c>
      <c r="F13" s="473"/>
      <c r="G13" s="473"/>
      <c r="H13" s="473"/>
    </row>
    <row r="14" spans="1:8" ht="11.25" customHeight="1" x14ac:dyDescent="0.25">
      <c r="A14" s="473" t="s">
        <v>718</v>
      </c>
      <c r="B14" s="473" t="s">
        <v>689</v>
      </c>
      <c r="C14" s="473" t="s">
        <v>690</v>
      </c>
      <c r="D14" s="473"/>
      <c r="E14" s="477" t="s">
        <v>719</v>
      </c>
      <c r="F14" s="473"/>
      <c r="G14" s="473"/>
      <c r="H14" s="473"/>
    </row>
    <row r="15" spans="1:8" ht="11.25" customHeight="1" x14ac:dyDescent="0.25">
      <c r="A15" s="473" t="s">
        <v>720</v>
      </c>
      <c r="B15" s="473" t="s">
        <v>721</v>
      </c>
      <c r="C15" s="473" t="s">
        <v>722</v>
      </c>
      <c r="D15" s="473"/>
      <c r="E15" s="295" t="s">
        <v>723</v>
      </c>
      <c r="F15" s="473"/>
      <c r="G15" s="473"/>
      <c r="H15" s="473"/>
    </row>
    <row r="16" spans="1:8" ht="11.25" customHeight="1" x14ac:dyDescent="0.25">
      <c r="A16" s="473" t="s">
        <v>724</v>
      </c>
      <c r="B16" s="295" t="s">
        <v>682</v>
      </c>
      <c r="C16" s="473" t="s">
        <v>698</v>
      </c>
      <c r="D16" s="473"/>
      <c r="E16" s="473"/>
      <c r="F16" s="473"/>
      <c r="G16" s="473"/>
      <c r="H16" s="473"/>
    </row>
    <row r="17" spans="1:8" ht="11.25" customHeight="1" x14ac:dyDescent="0.25">
      <c r="A17" s="473" t="s">
        <v>725</v>
      </c>
      <c r="B17" s="474" t="s">
        <v>726</v>
      </c>
      <c r="C17" s="473" t="s">
        <v>698</v>
      </c>
      <c r="D17" s="473"/>
      <c r="E17" s="473"/>
      <c r="F17" s="473"/>
      <c r="G17" s="473"/>
      <c r="H17" s="473"/>
    </row>
    <row r="18" spans="1:8" ht="11.25" customHeight="1" x14ac:dyDescent="0.25">
      <c r="A18" s="473" t="s">
        <v>727</v>
      </c>
      <c r="B18" s="473" t="s">
        <v>689</v>
      </c>
      <c r="C18" s="473" t="s">
        <v>728</v>
      </c>
      <c r="D18" s="473"/>
      <c r="E18" s="473" t="s">
        <v>729</v>
      </c>
      <c r="F18" s="473"/>
      <c r="G18" s="473"/>
      <c r="H18" s="473"/>
    </row>
    <row r="19" spans="1:8" ht="11.25" customHeight="1" x14ac:dyDescent="0.25">
      <c r="A19" s="473" t="s">
        <v>730</v>
      </c>
      <c r="B19" s="474" t="s">
        <v>686</v>
      </c>
      <c r="C19" s="473" t="s">
        <v>731</v>
      </c>
      <c r="D19" s="473"/>
      <c r="E19" s="476" t="s">
        <v>732</v>
      </c>
      <c r="F19" s="473"/>
      <c r="G19" s="473"/>
      <c r="H19" s="473"/>
    </row>
    <row r="20" spans="1:8" ht="11.25" customHeight="1" x14ac:dyDescent="0.25">
      <c r="A20" s="473" t="s">
        <v>733</v>
      </c>
      <c r="B20" s="473" t="s">
        <v>689</v>
      </c>
      <c r="C20" s="473" t="s">
        <v>731</v>
      </c>
      <c r="D20" s="473"/>
      <c r="E20" s="473" t="s">
        <v>732</v>
      </c>
      <c r="F20" s="473"/>
      <c r="G20" s="473"/>
      <c r="H20" s="473"/>
    </row>
    <row r="21" spans="1:8" ht="11.25" customHeight="1" x14ac:dyDescent="0.25">
      <c r="A21" s="473" t="s">
        <v>734</v>
      </c>
      <c r="B21" s="474" t="s">
        <v>686</v>
      </c>
      <c r="C21" s="473" t="s">
        <v>735</v>
      </c>
      <c r="D21" s="473" t="s">
        <v>736</v>
      </c>
      <c r="E21" s="473"/>
      <c r="F21" s="473"/>
      <c r="G21" s="473"/>
      <c r="H21" s="473"/>
    </row>
    <row r="22" spans="1:8" ht="11.25" customHeight="1" x14ac:dyDescent="0.25">
      <c r="A22" s="473" t="s">
        <v>734</v>
      </c>
      <c r="B22" s="473" t="s">
        <v>737</v>
      </c>
      <c r="C22" s="473" t="s">
        <v>738</v>
      </c>
      <c r="D22" s="473" t="s">
        <v>739</v>
      </c>
      <c r="E22" s="473"/>
      <c r="F22" s="473"/>
      <c r="G22" s="473"/>
      <c r="H22" s="473"/>
    </row>
    <row r="23" spans="1:8" ht="11.25" customHeight="1" x14ac:dyDescent="0.25">
      <c r="A23" s="473" t="s">
        <v>740</v>
      </c>
      <c r="B23" s="473" t="s">
        <v>686</v>
      </c>
      <c r="C23" s="473" t="s">
        <v>698</v>
      </c>
      <c r="D23" s="473"/>
      <c r="E23" s="473"/>
      <c r="F23" s="473"/>
      <c r="G23" s="473"/>
      <c r="H23" s="473"/>
    </row>
    <row r="24" spans="1:8" ht="11.25" customHeight="1" x14ac:dyDescent="0.25">
      <c r="A24" s="473" t="s">
        <v>741</v>
      </c>
      <c r="B24" s="473" t="s">
        <v>742</v>
      </c>
      <c r="C24" s="473" t="s">
        <v>690</v>
      </c>
      <c r="D24" s="473"/>
      <c r="E24" s="295" t="s">
        <v>743</v>
      </c>
      <c r="F24" s="473"/>
      <c r="G24" s="473"/>
      <c r="H24" s="473"/>
    </row>
    <row r="25" spans="1:8" ht="11.25" customHeight="1" x14ac:dyDescent="0.25">
      <c r="A25" s="473" t="s">
        <v>97</v>
      </c>
      <c r="B25" s="473" t="s">
        <v>714</v>
      </c>
      <c r="C25" s="473" t="s">
        <v>744</v>
      </c>
      <c r="D25" s="473"/>
      <c r="E25" s="473" t="s">
        <v>745</v>
      </c>
      <c r="F25" s="473"/>
      <c r="G25" s="473"/>
      <c r="H25" s="473"/>
    </row>
    <row r="26" spans="1:8" ht="11.25" customHeight="1" x14ac:dyDescent="0.25">
      <c r="A26" s="473" t="s">
        <v>746</v>
      </c>
      <c r="B26" s="473" t="s">
        <v>689</v>
      </c>
      <c r="C26" s="473" t="s">
        <v>712</v>
      </c>
      <c r="D26" s="473"/>
      <c r="E26" s="473"/>
      <c r="F26" s="473" t="s">
        <v>747</v>
      </c>
      <c r="G26" s="473" t="s">
        <v>748</v>
      </c>
      <c r="H26" s="473"/>
    </row>
    <row r="27" spans="1:8" ht="11.25" customHeight="1" x14ac:dyDescent="0.25">
      <c r="A27" s="473" t="s">
        <v>749</v>
      </c>
      <c r="B27" s="473" t="s">
        <v>689</v>
      </c>
      <c r="C27" s="473" t="s">
        <v>690</v>
      </c>
      <c r="D27" s="475">
        <v>1116</v>
      </c>
      <c r="E27" s="295" t="s">
        <v>750</v>
      </c>
      <c r="F27" s="473"/>
      <c r="G27" s="473"/>
      <c r="H27" s="473"/>
    </row>
    <row r="28" spans="1:8" ht="11.25" customHeight="1" x14ac:dyDescent="0.25">
      <c r="A28" s="473" t="s">
        <v>751</v>
      </c>
      <c r="B28" s="475">
        <v>4403872289</v>
      </c>
      <c r="C28" s="473" t="s">
        <v>690</v>
      </c>
      <c r="D28" s="473"/>
      <c r="E28" s="473" t="s">
        <v>752</v>
      </c>
      <c r="F28" s="473"/>
      <c r="G28" s="473"/>
      <c r="H28" s="473"/>
    </row>
    <row r="29" spans="1:8" ht="11.25" customHeight="1" x14ac:dyDescent="0.25">
      <c r="A29" s="473" t="s">
        <v>753</v>
      </c>
      <c r="B29" s="295" t="s">
        <v>682</v>
      </c>
      <c r="C29" s="473" t="s">
        <v>698</v>
      </c>
      <c r="D29" s="473"/>
      <c r="E29" s="295" t="s">
        <v>754</v>
      </c>
      <c r="F29" s="473" t="s">
        <v>755</v>
      </c>
      <c r="G29" s="473" t="s">
        <v>756</v>
      </c>
      <c r="H29" s="473"/>
    </row>
    <row r="30" spans="1:8" ht="11.25" customHeight="1" x14ac:dyDescent="0.25">
      <c r="A30" s="473" t="s">
        <v>757</v>
      </c>
      <c r="B30" s="473" t="s">
        <v>714</v>
      </c>
      <c r="C30" s="473" t="s">
        <v>758</v>
      </c>
      <c r="D30" s="473"/>
      <c r="E30" s="473"/>
      <c r="F30" s="473"/>
      <c r="G30" s="473"/>
      <c r="H30" s="473"/>
    </row>
    <row r="31" spans="1:8" ht="11.25" customHeight="1" x14ac:dyDescent="0.25">
      <c r="A31" s="473" t="s">
        <v>759</v>
      </c>
      <c r="B31" s="473" t="s">
        <v>689</v>
      </c>
      <c r="C31" s="473" t="s">
        <v>690</v>
      </c>
      <c r="D31" s="473"/>
      <c r="E31" s="473"/>
      <c r="F31" s="473"/>
      <c r="G31" s="473"/>
      <c r="H31" s="473"/>
    </row>
    <row r="32" spans="1:8" ht="11.25" customHeight="1" x14ac:dyDescent="0.25">
      <c r="A32" s="473" t="s">
        <v>760</v>
      </c>
      <c r="B32" s="473" t="s">
        <v>689</v>
      </c>
      <c r="C32" s="473" t="s">
        <v>712</v>
      </c>
      <c r="D32" s="473"/>
      <c r="E32" s="473"/>
      <c r="F32" s="473"/>
      <c r="G32" s="473"/>
      <c r="H32" s="473"/>
    </row>
    <row r="33" spans="1:8" ht="11.25" customHeight="1" x14ac:dyDescent="0.25">
      <c r="A33" s="473" t="s">
        <v>761</v>
      </c>
      <c r="B33" s="476" t="s">
        <v>762</v>
      </c>
      <c r="C33" s="473" t="s">
        <v>712</v>
      </c>
      <c r="D33" s="473"/>
      <c r="E33" s="473"/>
      <c r="F33" s="473"/>
      <c r="G33" s="473"/>
      <c r="H33" s="473"/>
    </row>
    <row r="34" spans="1:8" ht="11.25" customHeight="1" x14ac:dyDescent="0.25">
      <c r="A34" s="473" t="s">
        <v>763</v>
      </c>
      <c r="B34" s="473" t="s">
        <v>764</v>
      </c>
      <c r="C34" s="473"/>
      <c r="D34" s="473"/>
      <c r="E34" s="473"/>
      <c r="F34" s="473"/>
      <c r="G34" s="473"/>
      <c r="H34" s="473"/>
    </row>
    <row r="35" spans="1:8" ht="11.25" customHeight="1" x14ac:dyDescent="0.25">
      <c r="A35" s="473"/>
      <c r="B35" s="473"/>
      <c r="C35" s="473"/>
      <c r="D35" s="473"/>
      <c r="E35" s="473"/>
      <c r="F35" s="473"/>
      <c r="G35" s="473"/>
      <c r="H35" s="473"/>
    </row>
    <row r="36" spans="1:8" ht="11.25" customHeight="1" x14ac:dyDescent="0.25">
      <c r="A36" s="473"/>
      <c r="B36" s="473"/>
      <c r="C36" s="473"/>
      <c r="D36" s="473"/>
      <c r="E36" s="473"/>
      <c r="F36" s="473" t="s">
        <v>765</v>
      </c>
      <c r="G36" s="473"/>
      <c r="H36" s="473"/>
    </row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4" r:id="rId1" xr:uid="{00000000-0004-0000-0F00-000000000000}"/>
    <hyperlink ref="B11" r:id="rId2" xr:uid="{00000000-0004-0000-0F00-000001000000}"/>
    <hyperlink ref="E11" r:id="rId3" xr:uid="{00000000-0004-0000-0F00-000002000000}"/>
    <hyperlink ref="E13" r:id="rId4" xr:uid="{00000000-0004-0000-0F00-000003000000}"/>
    <hyperlink ref="E14" r:id="rId5" xr:uid="{00000000-0004-0000-0F00-000004000000}"/>
    <hyperlink ref="B17" r:id="rId6" xr:uid="{00000000-0004-0000-0F00-000005000000}"/>
    <hyperlink ref="B19" r:id="rId7" xr:uid="{00000000-0004-0000-0F00-000006000000}"/>
    <hyperlink ref="E19" r:id="rId8" xr:uid="{00000000-0004-0000-0F00-000007000000}"/>
    <hyperlink ref="B21" r:id="rId9" xr:uid="{00000000-0004-0000-0F00-000008000000}"/>
    <hyperlink ref="B33" r:id="rId10" xr:uid="{00000000-0004-0000-0F00-000009000000}"/>
  </hyperlink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000"/>
  <sheetViews>
    <sheetView workbookViewId="0">
      <selection activeCell="H25" sqref="H25"/>
    </sheetView>
  </sheetViews>
  <sheetFormatPr defaultColWidth="14.42578125" defaultRowHeight="15" customHeight="1" x14ac:dyDescent="0.25"/>
  <cols>
    <col min="1" max="1" width="8.7109375" customWidth="1"/>
    <col min="2" max="2" width="13.140625" customWidth="1"/>
    <col min="3" max="3" width="24.140625" customWidth="1"/>
    <col min="4" max="4" width="16.28515625" customWidth="1"/>
    <col min="5" max="5" width="10.28515625" customWidth="1"/>
    <col min="6" max="6" width="8.7109375" customWidth="1"/>
    <col min="7" max="7" width="11.28515625" customWidth="1"/>
    <col min="8" max="8" width="8.7109375" customWidth="1"/>
    <col min="9" max="9" width="11.28515625" customWidth="1"/>
    <col min="10" max="26" width="8.7109375" customWidth="1"/>
  </cols>
  <sheetData>
    <row r="1" spans="1:10" ht="14.25" customHeight="1" x14ac:dyDescent="0.25">
      <c r="B1" s="478"/>
      <c r="C1" s="479"/>
      <c r="E1" s="480"/>
      <c r="G1" s="65"/>
    </row>
    <row r="2" spans="1:10" ht="14.25" customHeight="1" x14ac:dyDescent="0.25">
      <c r="B2" s="478"/>
      <c r="C2" s="479"/>
      <c r="E2" s="480" t="s">
        <v>766</v>
      </c>
      <c r="G2" s="65"/>
      <c r="I2" s="92" t="s">
        <v>767</v>
      </c>
    </row>
    <row r="3" spans="1:10" ht="14.25" customHeight="1" x14ac:dyDescent="0.25">
      <c r="A3" s="92" t="s">
        <v>768</v>
      </c>
      <c r="B3" s="478"/>
      <c r="C3" s="479"/>
      <c r="E3" s="480" t="s">
        <v>769</v>
      </c>
      <c r="F3" s="92" t="s">
        <v>770</v>
      </c>
      <c r="G3" s="65"/>
      <c r="I3" s="481">
        <v>0.46899999999999997</v>
      </c>
      <c r="J3" s="92" t="s">
        <v>771</v>
      </c>
    </row>
    <row r="4" spans="1:10" ht="14.25" customHeight="1" x14ac:dyDescent="0.25">
      <c r="B4" s="478"/>
      <c r="C4" s="479"/>
      <c r="E4" s="480"/>
      <c r="G4" s="65"/>
    </row>
    <row r="5" spans="1:10" ht="14.25" customHeight="1" x14ac:dyDescent="0.25">
      <c r="B5" s="478"/>
      <c r="C5" s="479"/>
      <c r="E5" s="480"/>
      <c r="G5" s="65"/>
    </row>
    <row r="6" spans="1:10" ht="14.25" customHeight="1" x14ac:dyDescent="0.25">
      <c r="A6" s="92" t="s">
        <v>772</v>
      </c>
      <c r="B6" s="478"/>
      <c r="C6" s="479"/>
      <c r="E6" s="480" t="s">
        <v>773</v>
      </c>
      <c r="F6" s="92" t="s">
        <v>718</v>
      </c>
      <c r="G6" s="65"/>
      <c r="I6" s="482">
        <v>0.46899999999999997</v>
      </c>
      <c r="J6" s="92" t="s">
        <v>771</v>
      </c>
    </row>
    <row r="7" spans="1:10" ht="14.25" customHeight="1" x14ac:dyDescent="0.25">
      <c r="B7" s="478"/>
      <c r="C7" s="479"/>
      <c r="E7" s="480"/>
      <c r="G7" s="65"/>
    </row>
    <row r="8" spans="1:10" ht="14.25" customHeight="1" x14ac:dyDescent="0.25">
      <c r="B8" s="478"/>
      <c r="C8" s="479"/>
      <c r="E8" s="480"/>
      <c r="G8" s="65"/>
    </row>
    <row r="9" spans="1:10" ht="14.25" customHeight="1" x14ac:dyDescent="0.25">
      <c r="B9" s="478"/>
      <c r="C9" s="479"/>
      <c r="E9" s="480"/>
      <c r="G9" s="65"/>
    </row>
    <row r="10" spans="1:10" ht="14.25" customHeight="1" x14ac:dyDescent="0.25">
      <c r="B10" s="478"/>
      <c r="C10" s="479"/>
      <c r="E10" s="480"/>
      <c r="G10" s="65"/>
    </row>
    <row r="11" spans="1:10" ht="14.25" customHeight="1" x14ac:dyDescent="0.25">
      <c r="B11" s="478" t="s">
        <v>774</v>
      </c>
      <c r="C11" s="479" t="s">
        <v>775</v>
      </c>
      <c r="D11" s="86" t="s">
        <v>776</v>
      </c>
      <c r="E11" s="480" t="s">
        <v>777</v>
      </c>
      <c r="F11" s="86" t="s">
        <v>778</v>
      </c>
      <c r="G11" s="65" t="s">
        <v>779</v>
      </c>
      <c r="H11" s="86" t="s">
        <v>780</v>
      </c>
    </row>
    <row r="12" spans="1:10" ht="14.25" customHeight="1" x14ac:dyDescent="0.25">
      <c r="A12" s="86" t="s">
        <v>781</v>
      </c>
      <c r="B12" s="478">
        <v>110059119914</v>
      </c>
      <c r="C12" s="483" t="s">
        <v>782</v>
      </c>
      <c r="D12" s="86" t="s">
        <v>770</v>
      </c>
      <c r="E12" s="480">
        <v>8.2900000000000001E-2</v>
      </c>
      <c r="F12" s="86" t="s">
        <v>783</v>
      </c>
      <c r="G12" s="65">
        <v>45878</v>
      </c>
    </row>
    <row r="13" spans="1:10" ht="14.25" customHeight="1" x14ac:dyDescent="0.25">
      <c r="A13" s="86" t="s">
        <v>149</v>
      </c>
      <c r="B13" s="478">
        <v>110154325473</v>
      </c>
      <c r="C13" s="479" t="s">
        <v>784</v>
      </c>
      <c r="D13" s="86" t="s">
        <v>770</v>
      </c>
      <c r="E13" s="480">
        <v>8.2900000000000001E-2</v>
      </c>
      <c r="F13" s="86" t="s">
        <v>783</v>
      </c>
      <c r="G13" s="65">
        <v>45878</v>
      </c>
    </row>
    <row r="14" spans="1:10" ht="14.25" customHeight="1" x14ac:dyDescent="0.25">
      <c r="B14" s="478"/>
      <c r="C14" s="479"/>
      <c r="E14" s="480"/>
      <c r="G14" s="65"/>
    </row>
    <row r="15" spans="1:10" ht="14.25" customHeight="1" x14ac:dyDescent="0.25">
      <c r="B15" s="478"/>
      <c r="C15" s="479"/>
      <c r="E15" s="480"/>
      <c r="G15" s="65"/>
    </row>
    <row r="16" spans="1:10" ht="14.25" customHeight="1" x14ac:dyDescent="0.25">
      <c r="B16" s="478"/>
      <c r="C16" s="479"/>
      <c r="E16" s="480"/>
      <c r="G16" s="65"/>
    </row>
    <row r="17" spans="2:7" ht="14.25" customHeight="1" x14ac:dyDescent="0.25">
      <c r="B17" s="478"/>
      <c r="C17" s="479"/>
      <c r="E17" s="480"/>
      <c r="G17" s="65"/>
    </row>
    <row r="18" spans="2:7" ht="14.25" customHeight="1" x14ac:dyDescent="0.25">
      <c r="B18" s="478"/>
      <c r="C18" s="479"/>
      <c r="E18" s="480"/>
      <c r="G18" s="65"/>
    </row>
    <row r="19" spans="2:7" ht="14.25" customHeight="1" x14ac:dyDescent="0.25">
      <c r="B19" s="478"/>
      <c r="C19" s="479"/>
      <c r="E19" s="480"/>
      <c r="G19" s="65"/>
    </row>
    <row r="20" spans="2:7" ht="14.25" customHeight="1" x14ac:dyDescent="0.25">
      <c r="B20" s="478"/>
      <c r="C20" s="479"/>
      <c r="E20" s="480"/>
      <c r="G20" s="65"/>
    </row>
    <row r="21" spans="2:7" ht="14.25" customHeight="1" x14ac:dyDescent="0.25">
      <c r="B21" s="478"/>
      <c r="C21" s="479"/>
      <c r="E21" s="480"/>
      <c r="G21" s="65"/>
    </row>
    <row r="22" spans="2:7" ht="14.25" customHeight="1" x14ac:dyDescent="0.25">
      <c r="B22" s="478"/>
      <c r="C22" s="479"/>
      <c r="E22" s="480"/>
      <c r="G22" s="65"/>
    </row>
    <row r="23" spans="2:7" ht="14.25" customHeight="1" x14ac:dyDescent="0.25">
      <c r="B23" s="478"/>
      <c r="C23" s="479"/>
      <c r="E23" s="480"/>
      <c r="G23" s="65"/>
    </row>
    <row r="24" spans="2:7" ht="14.25" customHeight="1" x14ac:dyDescent="0.25">
      <c r="B24" s="478"/>
      <c r="C24" s="479"/>
      <c r="E24" s="480"/>
      <c r="G24" s="65"/>
    </row>
    <row r="25" spans="2:7" ht="14.25" customHeight="1" x14ac:dyDescent="0.25">
      <c r="B25" s="478"/>
      <c r="C25" s="479"/>
      <c r="E25" s="480"/>
      <c r="G25" s="65"/>
    </row>
    <row r="26" spans="2:7" ht="14.25" customHeight="1" x14ac:dyDescent="0.25">
      <c r="B26" s="478"/>
      <c r="C26" s="479"/>
      <c r="E26" s="480"/>
      <c r="G26" s="65"/>
    </row>
    <row r="27" spans="2:7" ht="14.25" customHeight="1" x14ac:dyDescent="0.25">
      <c r="B27" s="478"/>
      <c r="C27" s="479"/>
      <c r="E27" s="480"/>
      <c r="G27" s="65"/>
    </row>
    <row r="28" spans="2:7" ht="14.25" customHeight="1" x14ac:dyDescent="0.25">
      <c r="B28" s="478"/>
      <c r="C28" s="479"/>
      <c r="E28" s="480"/>
      <c r="G28" s="65"/>
    </row>
    <row r="29" spans="2:7" ht="14.25" customHeight="1" x14ac:dyDescent="0.25">
      <c r="B29" s="478"/>
      <c r="C29" s="479"/>
      <c r="E29" s="480"/>
      <c r="G29" s="65"/>
    </row>
    <row r="30" spans="2:7" ht="14.25" customHeight="1" x14ac:dyDescent="0.25">
      <c r="B30" s="478"/>
      <c r="C30" s="479"/>
      <c r="E30" s="480"/>
      <c r="G30" s="65"/>
    </row>
    <row r="31" spans="2:7" ht="14.25" customHeight="1" x14ac:dyDescent="0.25">
      <c r="B31" s="478"/>
      <c r="C31" s="479"/>
      <c r="E31" s="480"/>
      <c r="G31" s="65"/>
    </row>
    <row r="32" spans="2:7" ht="14.25" customHeight="1" x14ac:dyDescent="0.25">
      <c r="B32" s="478"/>
      <c r="C32" s="479"/>
      <c r="E32" s="480"/>
      <c r="G32" s="65"/>
    </row>
    <row r="33" spans="2:7" ht="14.25" customHeight="1" x14ac:dyDescent="0.25">
      <c r="B33" s="478"/>
      <c r="C33" s="479"/>
      <c r="E33" s="480"/>
      <c r="G33" s="65"/>
    </row>
    <row r="34" spans="2:7" ht="14.25" customHeight="1" x14ac:dyDescent="0.25">
      <c r="B34" s="478"/>
      <c r="C34" s="479"/>
      <c r="E34" s="480"/>
      <c r="G34" s="65"/>
    </row>
    <row r="35" spans="2:7" ht="14.25" customHeight="1" x14ac:dyDescent="0.25">
      <c r="B35" s="478"/>
      <c r="C35" s="479"/>
      <c r="E35" s="480"/>
      <c r="G35" s="65"/>
    </row>
    <row r="36" spans="2:7" ht="14.25" customHeight="1" x14ac:dyDescent="0.25">
      <c r="B36" s="478"/>
      <c r="C36" s="479"/>
      <c r="E36" s="480"/>
      <c r="G36" s="65"/>
    </row>
    <row r="37" spans="2:7" ht="14.25" customHeight="1" x14ac:dyDescent="0.25">
      <c r="B37" s="478"/>
      <c r="C37" s="479"/>
      <c r="E37" s="480"/>
      <c r="G37" s="65"/>
    </row>
    <row r="38" spans="2:7" ht="14.25" customHeight="1" x14ac:dyDescent="0.25">
      <c r="B38" s="478"/>
      <c r="C38" s="479"/>
      <c r="E38" s="480"/>
      <c r="G38" s="65"/>
    </row>
    <row r="39" spans="2:7" ht="14.25" customHeight="1" x14ac:dyDescent="0.25">
      <c r="B39" s="478"/>
      <c r="C39" s="479"/>
      <c r="E39" s="480"/>
      <c r="G39" s="65"/>
    </row>
    <row r="40" spans="2:7" ht="14.25" customHeight="1" x14ac:dyDescent="0.25">
      <c r="B40" s="478"/>
      <c r="C40" s="479"/>
      <c r="E40" s="480"/>
      <c r="G40" s="65"/>
    </row>
    <row r="41" spans="2:7" ht="14.25" customHeight="1" x14ac:dyDescent="0.25">
      <c r="B41" s="478"/>
      <c r="C41" s="479"/>
      <c r="E41" s="480"/>
      <c r="G41" s="65"/>
    </row>
    <row r="42" spans="2:7" ht="14.25" customHeight="1" x14ac:dyDescent="0.25">
      <c r="B42" s="478"/>
      <c r="C42" s="479"/>
      <c r="E42" s="480"/>
      <c r="G42" s="65"/>
    </row>
    <row r="43" spans="2:7" ht="14.25" customHeight="1" x14ac:dyDescent="0.25">
      <c r="B43" s="478"/>
      <c r="C43" s="479"/>
      <c r="E43" s="480"/>
      <c r="G43" s="65"/>
    </row>
    <row r="44" spans="2:7" ht="14.25" customHeight="1" x14ac:dyDescent="0.25">
      <c r="B44" s="478"/>
      <c r="C44" s="479"/>
      <c r="E44" s="480"/>
      <c r="G44" s="65"/>
    </row>
    <row r="45" spans="2:7" ht="14.25" customHeight="1" x14ac:dyDescent="0.25">
      <c r="B45" s="478"/>
      <c r="C45" s="479"/>
      <c r="E45" s="480"/>
      <c r="G45" s="65"/>
    </row>
    <row r="46" spans="2:7" ht="14.25" customHeight="1" x14ac:dyDescent="0.25">
      <c r="B46" s="478"/>
      <c r="C46" s="479"/>
      <c r="E46" s="480"/>
      <c r="G46" s="65"/>
    </row>
    <row r="47" spans="2:7" ht="14.25" customHeight="1" x14ac:dyDescent="0.25">
      <c r="B47" s="478"/>
      <c r="C47" s="479"/>
      <c r="E47" s="480"/>
      <c r="G47" s="65"/>
    </row>
    <row r="48" spans="2:7" ht="14.25" customHeight="1" x14ac:dyDescent="0.25">
      <c r="B48" s="478"/>
      <c r="C48" s="479"/>
      <c r="E48" s="480"/>
      <c r="G48" s="65"/>
    </row>
    <row r="49" spans="2:7" ht="14.25" customHeight="1" x14ac:dyDescent="0.25">
      <c r="B49" s="478"/>
      <c r="C49" s="479"/>
      <c r="E49" s="480"/>
      <c r="G49" s="65"/>
    </row>
    <row r="50" spans="2:7" ht="14.25" customHeight="1" x14ac:dyDescent="0.25">
      <c r="B50" s="478"/>
      <c r="C50" s="479"/>
      <c r="E50" s="480"/>
      <c r="G50" s="65"/>
    </row>
    <row r="51" spans="2:7" ht="14.25" customHeight="1" x14ac:dyDescent="0.25">
      <c r="B51" s="478"/>
      <c r="C51" s="479"/>
      <c r="E51" s="480"/>
      <c r="G51" s="65"/>
    </row>
    <row r="52" spans="2:7" ht="14.25" customHeight="1" x14ac:dyDescent="0.25">
      <c r="B52" s="478"/>
      <c r="C52" s="479"/>
      <c r="E52" s="480"/>
      <c r="G52" s="65"/>
    </row>
    <row r="53" spans="2:7" ht="14.25" customHeight="1" x14ac:dyDescent="0.25">
      <c r="B53" s="478"/>
      <c r="C53" s="479"/>
      <c r="E53" s="480"/>
      <c r="G53" s="65"/>
    </row>
    <row r="54" spans="2:7" ht="14.25" customHeight="1" x14ac:dyDescent="0.25">
      <c r="B54" s="478"/>
      <c r="C54" s="479"/>
      <c r="E54" s="480"/>
      <c r="G54" s="65"/>
    </row>
    <row r="55" spans="2:7" ht="14.25" customHeight="1" x14ac:dyDescent="0.25">
      <c r="B55" s="478"/>
      <c r="C55" s="479"/>
      <c r="E55" s="480"/>
      <c r="G55" s="65"/>
    </row>
    <row r="56" spans="2:7" ht="14.25" customHeight="1" x14ac:dyDescent="0.25">
      <c r="B56" s="478"/>
      <c r="C56" s="479"/>
      <c r="E56" s="480"/>
      <c r="G56" s="65"/>
    </row>
    <row r="57" spans="2:7" ht="14.25" customHeight="1" x14ac:dyDescent="0.25">
      <c r="B57" s="478"/>
      <c r="C57" s="479"/>
      <c r="E57" s="480"/>
      <c r="G57" s="65"/>
    </row>
    <row r="58" spans="2:7" ht="14.25" customHeight="1" x14ac:dyDescent="0.25">
      <c r="B58" s="478"/>
      <c r="C58" s="479"/>
      <c r="E58" s="480"/>
      <c r="G58" s="65"/>
    </row>
    <row r="59" spans="2:7" ht="14.25" customHeight="1" x14ac:dyDescent="0.25">
      <c r="B59" s="478"/>
      <c r="C59" s="479"/>
      <c r="E59" s="480"/>
      <c r="G59" s="65"/>
    </row>
    <row r="60" spans="2:7" ht="14.25" customHeight="1" x14ac:dyDescent="0.25">
      <c r="B60" s="478"/>
      <c r="C60" s="479"/>
      <c r="E60" s="480"/>
      <c r="G60" s="65"/>
    </row>
    <row r="61" spans="2:7" ht="14.25" customHeight="1" x14ac:dyDescent="0.25">
      <c r="B61" s="478"/>
      <c r="C61" s="479"/>
      <c r="E61" s="480"/>
      <c r="G61" s="65"/>
    </row>
    <row r="62" spans="2:7" ht="14.25" customHeight="1" x14ac:dyDescent="0.25">
      <c r="B62" s="478"/>
      <c r="C62" s="479"/>
      <c r="E62" s="480"/>
      <c r="G62" s="65"/>
    </row>
    <row r="63" spans="2:7" ht="14.25" customHeight="1" x14ac:dyDescent="0.25">
      <c r="B63" s="478"/>
      <c r="C63" s="479"/>
      <c r="E63" s="480"/>
      <c r="G63" s="65"/>
    </row>
    <row r="64" spans="2:7" ht="14.25" customHeight="1" x14ac:dyDescent="0.25">
      <c r="B64" s="478"/>
      <c r="C64" s="479"/>
      <c r="E64" s="480"/>
      <c r="G64" s="65"/>
    </row>
    <row r="65" spans="2:7" ht="14.25" customHeight="1" x14ac:dyDescent="0.25">
      <c r="B65" s="478"/>
      <c r="C65" s="479"/>
      <c r="E65" s="480"/>
      <c r="G65" s="65"/>
    </row>
    <row r="66" spans="2:7" ht="14.25" customHeight="1" x14ac:dyDescent="0.25">
      <c r="B66" s="478"/>
      <c r="C66" s="479"/>
      <c r="E66" s="480"/>
      <c r="G66" s="65"/>
    </row>
    <row r="67" spans="2:7" ht="14.25" customHeight="1" x14ac:dyDescent="0.25">
      <c r="B67" s="478"/>
      <c r="C67" s="479"/>
      <c r="E67" s="480"/>
      <c r="G67" s="65"/>
    </row>
    <row r="68" spans="2:7" ht="14.25" customHeight="1" x14ac:dyDescent="0.25">
      <c r="B68" s="478"/>
      <c r="C68" s="479"/>
      <c r="E68" s="480"/>
      <c r="G68" s="65"/>
    </row>
    <row r="69" spans="2:7" ht="14.25" customHeight="1" x14ac:dyDescent="0.25">
      <c r="B69" s="478"/>
      <c r="C69" s="479"/>
      <c r="E69" s="480"/>
      <c r="G69" s="65"/>
    </row>
    <row r="70" spans="2:7" ht="14.25" customHeight="1" x14ac:dyDescent="0.25">
      <c r="B70" s="478"/>
      <c r="C70" s="479"/>
      <c r="E70" s="480"/>
      <c r="G70" s="65"/>
    </row>
    <row r="71" spans="2:7" ht="14.25" customHeight="1" x14ac:dyDescent="0.25">
      <c r="B71" s="478"/>
      <c r="C71" s="479"/>
      <c r="E71" s="480"/>
      <c r="G71" s="65"/>
    </row>
    <row r="72" spans="2:7" ht="14.25" customHeight="1" x14ac:dyDescent="0.25">
      <c r="B72" s="478"/>
      <c r="C72" s="479"/>
      <c r="E72" s="480"/>
      <c r="G72" s="65"/>
    </row>
    <row r="73" spans="2:7" ht="14.25" customHeight="1" x14ac:dyDescent="0.25">
      <c r="B73" s="478"/>
      <c r="C73" s="479"/>
      <c r="E73" s="480"/>
      <c r="G73" s="65"/>
    </row>
    <row r="74" spans="2:7" ht="14.25" customHeight="1" x14ac:dyDescent="0.25">
      <c r="B74" s="478"/>
      <c r="C74" s="479"/>
      <c r="E74" s="480"/>
      <c r="G74" s="65"/>
    </row>
    <row r="75" spans="2:7" ht="14.25" customHeight="1" x14ac:dyDescent="0.25">
      <c r="B75" s="478"/>
      <c r="C75" s="479"/>
      <c r="E75" s="480"/>
      <c r="G75" s="65"/>
    </row>
    <row r="76" spans="2:7" ht="14.25" customHeight="1" x14ac:dyDescent="0.25">
      <c r="B76" s="478"/>
      <c r="C76" s="479"/>
      <c r="E76" s="480"/>
      <c r="G76" s="65"/>
    </row>
    <row r="77" spans="2:7" ht="14.25" customHeight="1" x14ac:dyDescent="0.25">
      <c r="B77" s="478"/>
      <c r="C77" s="479"/>
      <c r="E77" s="480"/>
      <c r="G77" s="65"/>
    </row>
    <row r="78" spans="2:7" ht="14.25" customHeight="1" x14ac:dyDescent="0.25">
      <c r="B78" s="478"/>
      <c r="C78" s="479"/>
      <c r="E78" s="480"/>
      <c r="G78" s="65"/>
    </row>
    <row r="79" spans="2:7" ht="14.25" customHeight="1" x14ac:dyDescent="0.25">
      <c r="B79" s="478"/>
      <c r="C79" s="479"/>
      <c r="E79" s="480"/>
      <c r="G79" s="65"/>
    </row>
    <row r="80" spans="2:7" ht="14.25" customHeight="1" x14ac:dyDescent="0.25">
      <c r="B80" s="478"/>
      <c r="C80" s="479"/>
      <c r="E80" s="480"/>
      <c r="G80" s="65"/>
    </row>
    <row r="81" spans="2:7" ht="14.25" customHeight="1" x14ac:dyDescent="0.25">
      <c r="B81" s="478"/>
      <c r="C81" s="479"/>
      <c r="E81" s="480"/>
      <c r="G81" s="65"/>
    </row>
    <row r="82" spans="2:7" ht="14.25" customHeight="1" x14ac:dyDescent="0.25">
      <c r="B82" s="478"/>
      <c r="C82" s="479"/>
      <c r="E82" s="480"/>
      <c r="G82" s="65"/>
    </row>
    <row r="83" spans="2:7" ht="14.25" customHeight="1" x14ac:dyDescent="0.25">
      <c r="B83" s="478"/>
      <c r="C83" s="479"/>
      <c r="E83" s="480"/>
      <c r="G83" s="65"/>
    </row>
    <row r="84" spans="2:7" ht="14.25" customHeight="1" x14ac:dyDescent="0.25">
      <c r="B84" s="478"/>
      <c r="C84" s="479"/>
      <c r="E84" s="480"/>
      <c r="G84" s="65"/>
    </row>
    <row r="85" spans="2:7" ht="14.25" customHeight="1" x14ac:dyDescent="0.25">
      <c r="B85" s="478"/>
      <c r="C85" s="479"/>
      <c r="E85" s="480"/>
      <c r="G85" s="65"/>
    </row>
    <row r="86" spans="2:7" ht="14.25" customHeight="1" x14ac:dyDescent="0.25">
      <c r="B86" s="478"/>
      <c r="C86" s="479"/>
      <c r="E86" s="480"/>
      <c r="G86" s="65"/>
    </row>
    <row r="87" spans="2:7" ht="14.25" customHeight="1" x14ac:dyDescent="0.25">
      <c r="B87" s="478"/>
      <c r="C87" s="479"/>
      <c r="E87" s="480"/>
      <c r="G87" s="65"/>
    </row>
    <row r="88" spans="2:7" ht="14.25" customHeight="1" x14ac:dyDescent="0.25">
      <c r="B88" s="478"/>
      <c r="C88" s="479"/>
      <c r="E88" s="480"/>
      <c r="G88" s="65"/>
    </row>
    <row r="89" spans="2:7" ht="14.25" customHeight="1" x14ac:dyDescent="0.25">
      <c r="B89" s="478"/>
      <c r="C89" s="479"/>
      <c r="E89" s="480"/>
      <c r="G89" s="65"/>
    </row>
    <row r="90" spans="2:7" ht="14.25" customHeight="1" x14ac:dyDescent="0.25">
      <c r="B90" s="478"/>
      <c r="C90" s="479"/>
      <c r="E90" s="480"/>
      <c r="G90" s="65"/>
    </row>
    <row r="91" spans="2:7" ht="14.25" customHeight="1" x14ac:dyDescent="0.25">
      <c r="B91" s="478"/>
      <c r="C91" s="479"/>
      <c r="E91" s="480"/>
      <c r="G91" s="65"/>
    </row>
    <row r="92" spans="2:7" ht="14.25" customHeight="1" x14ac:dyDescent="0.25">
      <c r="B92" s="478"/>
      <c r="C92" s="479"/>
      <c r="E92" s="480"/>
      <c r="G92" s="65"/>
    </row>
    <row r="93" spans="2:7" ht="14.25" customHeight="1" x14ac:dyDescent="0.25">
      <c r="B93" s="478"/>
      <c r="C93" s="479"/>
      <c r="E93" s="480"/>
      <c r="G93" s="65"/>
    </row>
    <row r="94" spans="2:7" ht="14.25" customHeight="1" x14ac:dyDescent="0.25">
      <c r="B94" s="478"/>
      <c r="C94" s="479"/>
      <c r="E94" s="480"/>
      <c r="G94" s="65"/>
    </row>
    <row r="95" spans="2:7" ht="14.25" customHeight="1" x14ac:dyDescent="0.25">
      <c r="B95" s="478"/>
      <c r="C95" s="479"/>
      <c r="E95" s="480"/>
      <c r="G95" s="65"/>
    </row>
    <row r="96" spans="2:7" ht="14.25" customHeight="1" x14ac:dyDescent="0.25">
      <c r="B96" s="478"/>
      <c r="C96" s="479"/>
      <c r="E96" s="480"/>
      <c r="G96" s="65"/>
    </row>
    <row r="97" spans="2:7" ht="14.25" customHeight="1" x14ac:dyDescent="0.25">
      <c r="B97" s="478"/>
      <c r="C97" s="479"/>
      <c r="E97" s="480"/>
      <c r="G97" s="65"/>
    </row>
    <row r="98" spans="2:7" ht="14.25" customHeight="1" x14ac:dyDescent="0.25">
      <c r="B98" s="478"/>
      <c r="C98" s="479"/>
      <c r="E98" s="480"/>
      <c r="G98" s="65"/>
    </row>
    <row r="99" spans="2:7" ht="14.25" customHeight="1" x14ac:dyDescent="0.25">
      <c r="B99" s="478"/>
      <c r="C99" s="479"/>
      <c r="E99" s="480"/>
      <c r="G99" s="65"/>
    </row>
    <row r="100" spans="2:7" ht="14.25" customHeight="1" x14ac:dyDescent="0.25">
      <c r="B100" s="478"/>
      <c r="C100" s="479"/>
      <c r="E100" s="480"/>
      <c r="G100" s="65"/>
    </row>
    <row r="101" spans="2:7" ht="14.25" customHeight="1" x14ac:dyDescent="0.25">
      <c r="B101" s="478"/>
      <c r="C101" s="479"/>
      <c r="E101" s="480"/>
      <c r="G101" s="65"/>
    </row>
    <row r="102" spans="2:7" ht="14.25" customHeight="1" x14ac:dyDescent="0.25">
      <c r="B102" s="478"/>
      <c r="C102" s="479"/>
      <c r="E102" s="480"/>
      <c r="G102" s="65"/>
    </row>
    <row r="103" spans="2:7" ht="14.25" customHeight="1" x14ac:dyDescent="0.25">
      <c r="B103" s="478"/>
      <c r="C103" s="479"/>
      <c r="E103" s="480"/>
      <c r="G103" s="65"/>
    </row>
    <row r="104" spans="2:7" ht="14.25" customHeight="1" x14ac:dyDescent="0.25">
      <c r="B104" s="478"/>
      <c r="C104" s="479"/>
      <c r="E104" s="480"/>
      <c r="G104" s="65"/>
    </row>
    <row r="105" spans="2:7" ht="14.25" customHeight="1" x14ac:dyDescent="0.25">
      <c r="B105" s="478"/>
      <c r="C105" s="479"/>
      <c r="E105" s="480"/>
      <c r="G105" s="65"/>
    </row>
    <row r="106" spans="2:7" ht="14.25" customHeight="1" x14ac:dyDescent="0.25">
      <c r="B106" s="478"/>
      <c r="C106" s="479"/>
      <c r="E106" s="480"/>
      <c r="G106" s="65"/>
    </row>
    <row r="107" spans="2:7" ht="14.25" customHeight="1" x14ac:dyDescent="0.25">
      <c r="B107" s="478"/>
      <c r="C107" s="479"/>
      <c r="E107" s="480"/>
      <c r="G107" s="65"/>
    </row>
    <row r="108" spans="2:7" ht="14.25" customHeight="1" x14ac:dyDescent="0.25">
      <c r="B108" s="478"/>
      <c r="C108" s="479"/>
      <c r="E108" s="480"/>
      <c r="G108" s="65"/>
    </row>
    <row r="109" spans="2:7" ht="14.25" customHeight="1" x14ac:dyDescent="0.25">
      <c r="B109" s="478"/>
      <c r="C109" s="479"/>
      <c r="E109" s="480"/>
      <c r="G109" s="65"/>
    </row>
    <row r="110" spans="2:7" ht="14.25" customHeight="1" x14ac:dyDescent="0.25">
      <c r="B110" s="478"/>
      <c r="C110" s="479"/>
      <c r="E110" s="480"/>
      <c r="G110" s="65"/>
    </row>
    <row r="111" spans="2:7" ht="14.25" customHeight="1" x14ac:dyDescent="0.25">
      <c r="B111" s="478"/>
      <c r="C111" s="479"/>
      <c r="E111" s="480"/>
      <c r="G111" s="65"/>
    </row>
    <row r="112" spans="2:7" ht="14.25" customHeight="1" x14ac:dyDescent="0.25">
      <c r="B112" s="478"/>
      <c r="C112" s="479"/>
      <c r="E112" s="480"/>
      <c r="G112" s="65"/>
    </row>
    <row r="113" spans="2:7" ht="14.25" customHeight="1" x14ac:dyDescent="0.25">
      <c r="B113" s="478"/>
      <c r="C113" s="479"/>
      <c r="E113" s="480"/>
      <c r="G113" s="65"/>
    </row>
    <row r="114" spans="2:7" ht="14.25" customHeight="1" x14ac:dyDescent="0.25">
      <c r="B114" s="478"/>
      <c r="C114" s="479"/>
      <c r="E114" s="480"/>
      <c r="G114" s="65"/>
    </row>
    <row r="115" spans="2:7" ht="14.25" customHeight="1" x14ac:dyDescent="0.25">
      <c r="B115" s="478"/>
      <c r="C115" s="479"/>
      <c r="E115" s="480"/>
      <c r="G115" s="65"/>
    </row>
    <row r="116" spans="2:7" ht="14.25" customHeight="1" x14ac:dyDescent="0.25">
      <c r="B116" s="478"/>
      <c r="C116" s="479"/>
      <c r="E116" s="480"/>
      <c r="G116" s="65"/>
    </row>
    <row r="117" spans="2:7" ht="14.25" customHeight="1" x14ac:dyDescent="0.25">
      <c r="B117" s="478"/>
      <c r="C117" s="479"/>
      <c r="E117" s="480"/>
      <c r="G117" s="65"/>
    </row>
    <row r="118" spans="2:7" ht="14.25" customHeight="1" x14ac:dyDescent="0.25">
      <c r="B118" s="478"/>
      <c r="C118" s="479"/>
      <c r="E118" s="480"/>
      <c r="G118" s="65"/>
    </row>
    <row r="119" spans="2:7" ht="14.25" customHeight="1" x14ac:dyDescent="0.25">
      <c r="B119" s="478"/>
      <c r="C119" s="479"/>
      <c r="E119" s="480"/>
      <c r="G119" s="65"/>
    </row>
    <row r="120" spans="2:7" ht="14.25" customHeight="1" x14ac:dyDescent="0.25">
      <c r="B120" s="478"/>
      <c r="C120" s="479"/>
      <c r="E120" s="480"/>
      <c r="G120" s="65"/>
    </row>
    <row r="121" spans="2:7" ht="14.25" customHeight="1" x14ac:dyDescent="0.25">
      <c r="B121" s="478"/>
      <c r="C121" s="479"/>
      <c r="E121" s="480"/>
      <c r="G121" s="65"/>
    </row>
    <row r="122" spans="2:7" ht="14.25" customHeight="1" x14ac:dyDescent="0.25">
      <c r="B122" s="478"/>
      <c r="C122" s="479"/>
      <c r="E122" s="480"/>
      <c r="G122" s="65"/>
    </row>
    <row r="123" spans="2:7" ht="14.25" customHeight="1" x14ac:dyDescent="0.25">
      <c r="B123" s="478"/>
      <c r="C123" s="479"/>
      <c r="E123" s="480"/>
      <c r="G123" s="65"/>
    </row>
    <row r="124" spans="2:7" ht="14.25" customHeight="1" x14ac:dyDescent="0.25">
      <c r="B124" s="478"/>
      <c r="C124" s="479"/>
      <c r="E124" s="480"/>
      <c r="G124" s="65"/>
    </row>
    <row r="125" spans="2:7" ht="14.25" customHeight="1" x14ac:dyDescent="0.25">
      <c r="B125" s="478"/>
      <c r="C125" s="479"/>
      <c r="E125" s="480"/>
      <c r="G125" s="65"/>
    </row>
    <row r="126" spans="2:7" ht="14.25" customHeight="1" x14ac:dyDescent="0.25">
      <c r="B126" s="478"/>
      <c r="C126" s="479"/>
      <c r="E126" s="480"/>
      <c r="G126" s="65"/>
    </row>
    <row r="127" spans="2:7" ht="14.25" customHeight="1" x14ac:dyDescent="0.25">
      <c r="B127" s="478"/>
      <c r="C127" s="479"/>
      <c r="E127" s="480"/>
      <c r="G127" s="65"/>
    </row>
    <row r="128" spans="2:7" ht="14.25" customHeight="1" x14ac:dyDescent="0.25">
      <c r="B128" s="478"/>
      <c r="C128" s="479"/>
      <c r="E128" s="480"/>
      <c r="G128" s="65"/>
    </row>
    <row r="129" spans="2:7" ht="14.25" customHeight="1" x14ac:dyDescent="0.25">
      <c r="B129" s="478"/>
      <c r="C129" s="479"/>
      <c r="E129" s="480"/>
      <c r="G129" s="65"/>
    </row>
    <row r="130" spans="2:7" ht="14.25" customHeight="1" x14ac:dyDescent="0.25">
      <c r="B130" s="478"/>
      <c r="C130" s="479"/>
      <c r="E130" s="480"/>
      <c r="G130" s="65"/>
    </row>
    <row r="131" spans="2:7" ht="14.25" customHeight="1" x14ac:dyDescent="0.25">
      <c r="B131" s="478"/>
      <c r="C131" s="479"/>
      <c r="E131" s="480"/>
      <c r="G131" s="65"/>
    </row>
    <row r="132" spans="2:7" ht="14.25" customHeight="1" x14ac:dyDescent="0.25">
      <c r="B132" s="478"/>
      <c r="C132" s="479"/>
      <c r="E132" s="480"/>
      <c r="G132" s="65"/>
    </row>
    <row r="133" spans="2:7" ht="14.25" customHeight="1" x14ac:dyDescent="0.25">
      <c r="B133" s="478"/>
      <c r="C133" s="479"/>
      <c r="E133" s="480"/>
      <c r="G133" s="65"/>
    </row>
    <row r="134" spans="2:7" ht="14.25" customHeight="1" x14ac:dyDescent="0.25">
      <c r="B134" s="478"/>
      <c r="C134" s="479"/>
      <c r="E134" s="480"/>
      <c r="G134" s="65"/>
    </row>
    <row r="135" spans="2:7" ht="14.25" customHeight="1" x14ac:dyDescent="0.25">
      <c r="B135" s="478"/>
      <c r="C135" s="479"/>
      <c r="E135" s="480"/>
      <c r="G135" s="65"/>
    </row>
    <row r="136" spans="2:7" ht="14.25" customHeight="1" x14ac:dyDescent="0.25">
      <c r="B136" s="478"/>
      <c r="C136" s="479"/>
      <c r="E136" s="480"/>
      <c r="G136" s="65"/>
    </row>
    <row r="137" spans="2:7" ht="14.25" customHeight="1" x14ac:dyDescent="0.25">
      <c r="B137" s="478"/>
      <c r="C137" s="479"/>
      <c r="E137" s="480"/>
      <c r="G137" s="65"/>
    </row>
    <row r="138" spans="2:7" ht="14.25" customHeight="1" x14ac:dyDescent="0.25">
      <c r="B138" s="478"/>
      <c r="C138" s="479"/>
      <c r="E138" s="480"/>
      <c r="G138" s="65"/>
    </row>
    <row r="139" spans="2:7" ht="14.25" customHeight="1" x14ac:dyDescent="0.25">
      <c r="B139" s="478"/>
      <c r="C139" s="479"/>
      <c r="E139" s="480"/>
      <c r="G139" s="65"/>
    </row>
    <row r="140" spans="2:7" ht="14.25" customHeight="1" x14ac:dyDescent="0.25">
      <c r="B140" s="478"/>
      <c r="C140" s="479"/>
      <c r="E140" s="480"/>
      <c r="G140" s="65"/>
    </row>
    <row r="141" spans="2:7" ht="14.25" customHeight="1" x14ac:dyDescent="0.25">
      <c r="B141" s="478"/>
      <c r="C141" s="479"/>
      <c r="E141" s="480"/>
      <c r="G141" s="65"/>
    </row>
    <row r="142" spans="2:7" ht="14.25" customHeight="1" x14ac:dyDescent="0.25">
      <c r="B142" s="478"/>
      <c r="C142" s="479"/>
      <c r="E142" s="480"/>
      <c r="G142" s="65"/>
    </row>
    <row r="143" spans="2:7" ht="14.25" customHeight="1" x14ac:dyDescent="0.25">
      <c r="B143" s="478"/>
      <c r="C143" s="479"/>
      <c r="E143" s="480"/>
      <c r="G143" s="65"/>
    </row>
    <row r="144" spans="2:7" ht="14.25" customHeight="1" x14ac:dyDescent="0.25">
      <c r="B144" s="478"/>
      <c r="C144" s="479"/>
      <c r="E144" s="480"/>
      <c r="G144" s="65"/>
    </row>
    <row r="145" spans="2:7" ht="14.25" customHeight="1" x14ac:dyDescent="0.25">
      <c r="B145" s="478"/>
      <c r="C145" s="479"/>
      <c r="E145" s="480"/>
      <c r="G145" s="65"/>
    </row>
    <row r="146" spans="2:7" ht="14.25" customHeight="1" x14ac:dyDescent="0.25">
      <c r="B146" s="478"/>
      <c r="C146" s="479"/>
      <c r="E146" s="480"/>
      <c r="G146" s="65"/>
    </row>
    <row r="147" spans="2:7" ht="14.25" customHeight="1" x14ac:dyDescent="0.25">
      <c r="B147" s="478"/>
      <c r="C147" s="479"/>
      <c r="E147" s="480"/>
      <c r="G147" s="65"/>
    </row>
    <row r="148" spans="2:7" ht="14.25" customHeight="1" x14ac:dyDescent="0.25">
      <c r="B148" s="478"/>
      <c r="C148" s="479"/>
      <c r="E148" s="480"/>
      <c r="G148" s="65"/>
    </row>
    <row r="149" spans="2:7" ht="14.25" customHeight="1" x14ac:dyDescent="0.25">
      <c r="B149" s="478"/>
      <c r="C149" s="479"/>
      <c r="E149" s="480"/>
      <c r="G149" s="65"/>
    </row>
    <row r="150" spans="2:7" ht="14.25" customHeight="1" x14ac:dyDescent="0.25">
      <c r="B150" s="478"/>
      <c r="C150" s="479"/>
      <c r="E150" s="480"/>
      <c r="G150" s="65"/>
    </row>
    <row r="151" spans="2:7" ht="14.25" customHeight="1" x14ac:dyDescent="0.25">
      <c r="B151" s="478"/>
      <c r="C151" s="479"/>
      <c r="E151" s="480"/>
      <c r="G151" s="65"/>
    </row>
    <row r="152" spans="2:7" ht="14.25" customHeight="1" x14ac:dyDescent="0.25">
      <c r="B152" s="478"/>
      <c r="C152" s="479"/>
      <c r="E152" s="480"/>
      <c r="G152" s="65"/>
    </row>
    <row r="153" spans="2:7" ht="14.25" customHeight="1" x14ac:dyDescent="0.25">
      <c r="B153" s="478"/>
      <c r="C153" s="479"/>
      <c r="E153" s="480"/>
      <c r="G153" s="65"/>
    </row>
    <row r="154" spans="2:7" ht="14.25" customHeight="1" x14ac:dyDescent="0.25">
      <c r="B154" s="478"/>
      <c r="C154" s="479"/>
      <c r="E154" s="480"/>
      <c r="G154" s="65"/>
    </row>
    <row r="155" spans="2:7" ht="14.25" customHeight="1" x14ac:dyDescent="0.25">
      <c r="B155" s="478"/>
      <c r="C155" s="479"/>
      <c r="E155" s="480"/>
      <c r="G155" s="65"/>
    </row>
    <row r="156" spans="2:7" ht="14.25" customHeight="1" x14ac:dyDescent="0.25">
      <c r="B156" s="478"/>
      <c r="C156" s="479"/>
      <c r="E156" s="480"/>
      <c r="G156" s="65"/>
    </row>
    <row r="157" spans="2:7" ht="14.25" customHeight="1" x14ac:dyDescent="0.25">
      <c r="B157" s="478"/>
      <c r="C157" s="479"/>
      <c r="E157" s="480"/>
      <c r="G157" s="65"/>
    </row>
    <row r="158" spans="2:7" ht="14.25" customHeight="1" x14ac:dyDescent="0.25">
      <c r="B158" s="478"/>
      <c r="C158" s="479"/>
      <c r="E158" s="480"/>
      <c r="G158" s="65"/>
    </row>
    <row r="159" spans="2:7" ht="14.25" customHeight="1" x14ac:dyDescent="0.25">
      <c r="B159" s="478"/>
      <c r="C159" s="479"/>
      <c r="E159" s="480"/>
      <c r="G159" s="65"/>
    </row>
    <row r="160" spans="2:7" ht="14.25" customHeight="1" x14ac:dyDescent="0.25">
      <c r="B160" s="478"/>
      <c r="C160" s="479"/>
      <c r="E160" s="480"/>
      <c r="G160" s="65"/>
    </row>
    <row r="161" spans="2:7" ht="14.25" customHeight="1" x14ac:dyDescent="0.25">
      <c r="B161" s="478"/>
      <c r="C161" s="479"/>
      <c r="E161" s="480"/>
      <c r="G161" s="65"/>
    </row>
    <row r="162" spans="2:7" ht="14.25" customHeight="1" x14ac:dyDescent="0.25">
      <c r="B162" s="478"/>
      <c r="C162" s="479"/>
      <c r="E162" s="480"/>
      <c r="G162" s="65"/>
    </row>
    <row r="163" spans="2:7" ht="14.25" customHeight="1" x14ac:dyDescent="0.25">
      <c r="B163" s="478"/>
      <c r="C163" s="479"/>
      <c r="E163" s="480"/>
      <c r="G163" s="65"/>
    </row>
    <row r="164" spans="2:7" ht="14.25" customHeight="1" x14ac:dyDescent="0.25">
      <c r="B164" s="478"/>
      <c r="C164" s="479"/>
      <c r="E164" s="480"/>
      <c r="G164" s="65"/>
    </row>
    <row r="165" spans="2:7" ht="14.25" customHeight="1" x14ac:dyDescent="0.25">
      <c r="B165" s="478"/>
      <c r="C165" s="479"/>
      <c r="E165" s="480"/>
      <c r="G165" s="65"/>
    </row>
    <row r="166" spans="2:7" ht="14.25" customHeight="1" x14ac:dyDescent="0.25">
      <c r="B166" s="478"/>
      <c r="C166" s="479"/>
      <c r="E166" s="480"/>
      <c r="G166" s="65"/>
    </row>
    <row r="167" spans="2:7" ht="14.25" customHeight="1" x14ac:dyDescent="0.25">
      <c r="B167" s="478"/>
      <c r="C167" s="479"/>
      <c r="E167" s="480"/>
      <c r="G167" s="65"/>
    </row>
    <row r="168" spans="2:7" ht="14.25" customHeight="1" x14ac:dyDescent="0.25">
      <c r="B168" s="478"/>
      <c r="C168" s="479"/>
      <c r="E168" s="480"/>
      <c r="G168" s="65"/>
    </row>
    <row r="169" spans="2:7" ht="14.25" customHeight="1" x14ac:dyDescent="0.25">
      <c r="B169" s="478"/>
      <c r="C169" s="479"/>
      <c r="E169" s="480"/>
      <c r="G169" s="65"/>
    </row>
    <row r="170" spans="2:7" ht="14.25" customHeight="1" x14ac:dyDescent="0.25">
      <c r="B170" s="478"/>
      <c r="C170" s="479"/>
      <c r="E170" s="480"/>
      <c r="G170" s="65"/>
    </row>
    <row r="171" spans="2:7" ht="14.25" customHeight="1" x14ac:dyDescent="0.25">
      <c r="B171" s="478"/>
      <c r="C171" s="479"/>
      <c r="E171" s="480"/>
      <c r="G171" s="65"/>
    </row>
    <row r="172" spans="2:7" ht="14.25" customHeight="1" x14ac:dyDescent="0.25">
      <c r="B172" s="478"/>
      <c r="C172" s="479"/>
      <c r="E172" s="480"/>
      <c r="G172" s="65"/>
    </row>
    <row r="173" spans="2:7" ht="14.25" customHeight="1" x14ac:dyDescent="0.25">
      <c r="B173" s="478"/>
      <c r="C173" s="479"/>
      <c r="E173" s="480"/>
      <c r="G173" s="65"/>
    </row>
    <row r="174" spans="2:7" ht="14.25" customHeight="1" x14ac:dyDescent="0.25">
      <c r="B174" s="478"/>
      <c r="C174" s="479"/>
      <c r="E174" s="480"/>
      <c r="G174" s="65"/>
    </row>
    <row r="175" spans="2:7" ht="14.25" customHeight="1" x14ac:dyDescent="0.25">
      <c r="B175" s="478"/>
      <c r="C175" s="479"/>
      <c r="E175" s="480"/>
      <c r="G175" s="65"/>
    </row>
    <row r="176" spans="2:7" ht="14.25" customHeight="1" x14ac:dyDescent="0.25">
      <c r="B176" s="478"/>
      <c r="C176" s="479"/>
      <c r="E176" s="480"/>
      <c r="G176" s="65"/>
    </row>
    <row r="177" spans="2:7" ht="14.25" customHeight="1" x14ac:dyDescent="0.25">
      <c r="B177" s="478"/>
      <c r="C177" s="479"/>
      <c r="E177" s="480"/>
      <c r="G177" s="65"/>
    </row>
    <row r="178" spans="2:7" ht="14.25" customHeight="1" x14ac:dyDescent="0.25">
      <c r="B178" s="478"/>
      <c r="C178" s="479"/>
      <c r="E178" s="480"/>
      <c r="G178" s="65"/>
    </row>
    <row r="179" spans="2:7" ht="14.25" customHeight="1" x14ac:dyDescent="0.25">
      <c r="B179" s="478"/>
      <c r="C179" s="479"/>
      <c r="E179" s="480"/>
      <c r="G179" s="65"/>
    </row>
    <row r="180" spans="2:7" ht="14.25" customHeight="1" x14ac:dyDescent="0.25">
      <c r="B180" s="478"/>
      <c r="C180" s="479"/>
      <c r="E180" s="480"/>
      <c r="G180" s="65"/>
    </row>
    <row r="181" spans="2:7" ht="14.25" customHeight="1" x14ac:dyDescent="0.25">
      <c r="B181" s="478"/>
      <c r="C181" s="479"/>
      <c r="E181" s="480"/>
      <c r="G181" s="65"/>
    </row>
    <row r="182" spans="2:7" ht="14.25" customHeight="1" x14ac:dyDescent="0.25">
      <c r="B182" s="478"/>
      <c r="C182" s="479"/>
      <c r="E182" s="480"/>
      <c r="G182" s="65"/>
    </row>
    <row r="183" spans="2:7" ht="14.25" customHeight="1" x14ac:dyDescent="0.25">
      <c r="B183" s="478"/>
      <c r="C183" s="479"/>
      <c r="E183" s="480"/>
      <c r="G183" s="65"/>
    </row>
    <row r="184" spans="2:7" ht="14.25" customHeight="1" x14ac:dyDescent="0.25">
      <c r="B184" s="478"/>
      <c r="C184" s="479"/>
      <c r="E184" s="480"/>
      <c r="G184" s="65"/>
    </row>
    <row r="185" spans="2:7" ht="14.25" customHeight="1" x14ac:dyDescent="0.25">
      <c r="B185" s="478"/>
      <c r="C185" s="479"/>
      <c r="E185" s="480"/>
      <c r="G185" s="65"/>
    </row>
    <row r="186" spans="2:7" ht="14.25" customHeight="1" x14ac:dyDescent="0.25">
      <c r="B186" s="478"/>
      <c r="C186" s="479"/>
      <c r="E186" s="480"/>
      <c r="G186" s="65"/>
    </row>
    <row r="187" spans="2:7" ht="14.25" customHeight="1" x14ac:dyDescent="0.25">
      <c r="B187" s="478"/>
      <c r="C187" s="479"/>
      <c r="E187" s="480"/>
      <c r="G187" s="65"/>
    </row>
    <row r="188" spans="2:7" ht="14.25" customHeight="1" x14ac:dyDescent="0.25">
      <c r="B188" s="478"/>
      <c r="C188" s="479"/>
      <c r="E188" s="480"/>
      <c r="G188" s="65"/>
    </row>
    <row r="189" spans="2:7" ht="14.25" customHeight="1" x14ac:dyDescent="0.25">
      <c r="B189" s="478"/>
      <c r="C189" s="479"/>
      <c r="E189" s="480"/>
      <c r="G189" s="65"/>
    </row>
    <row r="190" spans="2:7" ht="14.25" customHeight="1" x14ac:dyDescent="0.25">
      <c r="B190" s="478"/>
      <c r="C190" s="479"/>
      <c r="E190" s="480"/>
      <c r="G190" s="65"/>
    </row>
    <row r="191" spans="2:7" ht="14.25" customHeight="1" x14ac:dyDescent="0.25">
      <c r="B191" s="478"/>
      <c r="C191" s="479"/>
      <c r="E191" s="480"/>
      <c r="G191" s="65"/>
    </row>
    <row r="192" spans="2:7" ht="14.25" customHeight="1" x14ac:dyDescent="0.25">
      <c r="B192" s="478"/>
      <c r="C192" s="479"/>
      <c r="E192" s="480"/>
      <c r="G192" s="65"/>
    </row>
    <row r="193" spans="2:7" ht="14.25" customHeight="1" x14ac:dyDescent="0.25">
      <c r="B193" s="478"/>
      <c r="C193" s="479"/>
      <c r="E193" s="480"/>
      <c r="G193" s="65"/>
    </row>
    <row r="194" spans="2:7" ht="14.25" customHeight="1" x14ac:dyDescent="0.25">
      <c r="B194" s="478"/>
      <c r="C194" s="479"/>
      <c r="E194" s="480"/>
      <c r="G194" s="65"/>
    </row>
    <row r="195" spans="2:7" ht="14.25" customHeight="1" x14ac:dyDescent="0.25">
      <c r="B195" s="478"/>
      <c r="C195" s="479"/>
      <c r="E195" s="480"/>
      <c r="G195" s="65"/>
    </row>
    <row r="196" spans="2:7" ht="14.25" customHeight="1" x14ac:dyDescent="0.25">
      <c r="B196" s="478"/>
      <c r="C196" s="479"/>
      <c r="E196" s="480"/>
      <c r="G196" s="65"/>
    </row>
    <row r="197" spans="2:7" ht="14.25" customHeight="1" x14ac:dyDescent="0.25">
      <c r="B197" s="478"/>
      <c r="C197" s="479"/>
      <c r="E197" s="480"/>
      <c r="G197" s="65"/>
    </row>
    <row r="198" spans="2:7" ht="14.25" customHeight="1" x14ac:dyDescent="0.25">
      <c r="B198" s="478"/>
      <c r="C198" s="479"/>
      <c r="E198" s="480"/>
      <c r="G198" s="65"/>
    </row>
    <row r="199" spans="2:7" ht="14.25" customHeight="1" x14ac:dyDescent="0.25">
      <c r="B199" s="478"/>
      <c r="C199" s="479"/>
      <c r="E199" s="480"/>
      <c r="G199" s="65"/>
    </row>
    <row r="200" spans="2:7" ht="14.25" customHeight="1" x14ac:dyDescent="0.25">
      <c r="B200" s="478"/>
      <c r="C200" s="479"/>
      <c r="E200" s="480"/>
      <c r="G200" s="65"/>
    </row>
    <row r="201" spans="2:7" ht="14.25" customHeight="1" x14ac:dyDescent="0.25">
      <c r="B201" s="478"/>
      <c r="C201" s="479"/>
      <c r="E201" s="480"/>
      <c r="G201" s="65"/>
    </row>
    <row r="202" spans="2:7" ht="14.25" customHeight="1" x14ac:dyDescent="0.25">
      <c r="B202" s="478"/>
      <c r="C202" s="479"/>
      <c r="E202" s="480"/>
      <c r="G202" s="65"/>
    </row>
    <row r="203" spans="2:7" ht="14.25" customHeight="1" x14ac:dyDescent="0.25">
      <c r="B203" s="478"/>
      <c r="C203" s="479"/>
      <c r="E203" s="480"/>
      <c r="G203" s="65"/>
    </row>
    <row r="204" spans="2:7" ht="14.25" customHeight="1" x14ac:dyDescent="0.25">
      <c r="B204" s="478"/>
      <c r="C204" s="479"/>
      <c r="E204" s="480"/>
      <c r="G204" s="65"/>
    </row>
    <row r="205" spans="2:7" ht="14.25" customHeight="1" x14ac:dyDescent="0.25">
      <c r="B205" s="478"/>
      <c r="C205" s="479"/>
      <c r="E205" s="480"/>
      <c r="G205" s="65"/>
    </row>
    <row r="206" spans="2:7" ht="14.25" customHeight="1" x14ac:dyDescent="0.25">
      <c r="B206" s="478"/>
      <c r="C206" s="479"/>
      <c r="E206" s="480"/>
      <c r="G206" s="65"/>
    </row>
    <row r="207" spans="2:7" ht="14.25" customHeight="1" x14ac:dyDescent="0.25">
      <c r="B207" s="478"/>
      <c r="C207" s="479"/>
      <c r="E207" s="480"/>
      <c r="G207" s="65"/>
    </row>
    <row r="208" spans="2:7" ht="14.25" customHeight="1" x14ac:dyDescent="0.25">
      <c r="B208" s="478"/>
      <c r="C208" s="479"/>
      <c r="E208" s="480"/>
      <c r="G208" s="65"/>
    </row>
    <row r="209" spans="2:7" ht="14.25" customHeight="1" x14ac:dyDescent="0.25">
      <c r="B209" s="478"/>
      <c r="C209" s="479"/>
      <c r="E209" s="480"/>
      <c r="G209" s="65"/>
    </row>
    <row r="210" spans="2:7" ht="14.25" customHeight="1" x14ac:dyDescent="0.25">
      <c r="B210" s="478"/>
      <c r="C210" s="479"/>
      <c r="E210" s="480"/>
      <c r="G210" s="65"/>
    </row>
    <row r="211" spans="2:7" ht="14.25" customHeight="1" x14ac:dyDescent="0.25">
      <c r="B211" s="478"/>
      <c r="C211" s="479"/>
      <c r="E211" s="480"/>
      <c r="G211" s="65"/>
    </row>
    <row r="212" spans="2:7" ht="14.25" customHeight="1" x14ac:dyDescent="0.25">
      <c r="B212" s="478"/>
      <c r="C212" s="479"/>
      <c r="E212" s="480"/>
      <c r="G212" s="65"/>
    </row>
    <row r="213" spans="2:7" ht="14.25" customHeight="1" x14ac:dyDescent="0.25">
      <c r="B213" s="478"/>
      <c r="C213" s="479"/>
      <c r="E213" s="480"/>
      <c r="G213" s="65"/>
    </row>
    <row r="214" spans="2:7" ht="14.25" customHeight="1" x14ac:dyDescent="0.25">
      <c r="B214" s="478"/>
      <c r="C214" s="479"/>
      <c r="E214" s="480"/>
      <c r="G214" s="65"/>
    </row>
    <row r="215" spans="2:7" ht="14.25" customHeight="1" x14ac:dyDescent="0.25">
      <c r="B215" s="478"/>
      <c r="C215" s="479"/>
      <c r="E215" s="480"/>
      <c r="G215" s="65"/>
    </row>
    <row r="216" spans="2:7" ht="14.25" customHeight="1" x14ac:dyDescent="0.25">
      <c r="B216" s="478"/>
      <c r="C216" s="479"/>
      <c r="E216" s="480"/>
      <c r="G216" s="65"/>
    </row>
    <row r="217" spans="2:7" ht="14.25" customHeight="1" x14ac:dyDescent="0.25">
      <c r="B217" s="478"/>
      <c r="C217" s="479"/>
      <c r="E217" s="480"/>
      <c r="G217" s="65"/>
    </row>
    <row r="218" spans="2:7" ht="14.25" customHeight="1" x14ac:dyDescent="0.25">
      <c r="B218" s="478"/>
      <c r="C218" s="479"/>
      <c r="E218" s="480"/>
      <c r="G218" s="65"/>
    </row>
    <row r="219" spans="2:7" ht="14.25" customHeight="1" x14ac:dyDescent="0.25">
      <c r="B219" s="478"/>
      <c r="C219" s="479"/>
      <c r="E219" s="480"/>
      <c r="G219" s="65"/>
    </row>
    <row r="220" spans="2:7" ht="14.25" customHeight="1" x14ac:dyDescent="0.25">
      <c r="B220" s="478"/>
      <c r="C220" s="479"/>
      <c r="E220" s="480"/>
      <c r="G220" s="65"/>
    </row>
    <row r="221" spans="2:7" ht="14.25" customHeight="1" x14ac:dyDescent="0.25">
      <c r="B221" s="478"/>
      <c r="C221" s="479"/>
      <c r="E221" s="480"/>
      <c r="G221" s="65"/>
    </row>
    <row r="222" spans="2:7" ht="14.25" customHeight="1" x14ac:dyDescent="0.25">
      <c r="B222" s="478"/>
      <c r="C222" s="479"/>
      <c r="E222" s="480"/>
      <c r="G222" s="65"/>
    </row>
    <row r="223" spans="2:7" ht="14.25" customHeight="1" x14ac:dyDescent="0.25">
      <c r="B223" s="478"/>
      <c r="C223" s="479"/>
      <c r="E223" s="480"/>
      <c r="G223" s="65"/>
    </row>
    <row r="224" spans="2:7" ht="14.25" customHeight="1" x14ac:dyDescent="0.25">
      <c r="B224" s="478"/>
      <c r="C224" s="479"/>
      <c r="E224" s="480"/>
      <c r="G224" s="65"/>
    </row>
    <row r="225" spans="2:7" ht="14.25" customHeight="1" x14ac:dyDescent="0.25">
      <c r="B225" s="478"/>
      <c r="C225" s="479"/>
      <c r="E225" s="480"/>
      <c r="G225" s="65"/>
    </row>
    <row r="226" spans="2:7" ht="14.25" customHeight="1" x14ac:dyDescent="0.25">
      <c r="B226" s="478"/>
      <c r="C226" s="479"/>
      <c r="E226" s="480"/>
      <c r="G226" s="65"/>
    </row>
    <row r="227" spans="2:7" ht="14.25" customHeight="1" x14ac:dyDescent="0.25">
      <c r="B227" s="478"/>
      <c r="C227" s="479"/>
      <c r="E227" s="480"/>
      <c r="G227" s="65"/>
    </row>
    <row r="228" spans="2:7" ht="14.25" customHeight="1" x14ac:dyDescent="0.25">
      <c r="B228" s="478"/>
      <c r="C228" s="479"/>
      <c r="E228" s="480"/>
      <c r="G228" s="65"/>
    </row>
    <row r="229" spans="2:7" ht="14.25" customHeight="1" x14ac:dyDescent="0.25">
      <c r="B229" s="478"/>
      <c r="C229" s="479"/>
      <c r="E229" s="480"/>
      <c r="G229" s="65"/>
    </row>
    <row r="230" spans="2:7" ht="14.25" customHeight="1" x14ac:dyDescent="0.25">
      <c r="B230" s="478"/>
      <c r="C230" s="479"/>
      <c r="E230" s="480"/>
      <c r="G230" s="65"/>
    </row>
    <row r="231" spans="2:7" ht="14.25" customHeight="1" x14ac:dyDescent="0.25">
      <c r="B231" s="478"/>
      <c r="C231" s="479"/>
      <c r="E231" s="480"/>
      <c r="G231" s="65"/>
    </row>
    <row r="232" spans="2:7" ht="14.25" customHeight="1" x14ac:dyDescent="0.25">
      <c r="B232" s="478"/>
      <c r="C232" s="479"/>
      <c r="E232" s="480"/>
      <c r="G232" s="65"/>
    </row>
    <row r="233" spans="2:7" ht="14.25" customHeight="1" x14ac:dyDescent="0.25">
      <c r="B233" s="478"/>
      <c r="C233" s="479"/>
      <c r="E233" s="480"/>
      <c r="G233" s="65"/>
    </row>
    <row r="234" spans="2:7" ht="14.25" customHeight="1" x14ac:dyDescent="0.25">
      <c r="B234" s="478"/>
      <c r="C234" s="479"/>
      <c r="E234" s="480"/>
      <c r="G234" s="65"/>
    </row>
    <row r="235" spans="2:7" ht="14.25" customHeight="1" x14ac:dyDescent="0.25">
      <c r="B235" s="478"/>
      <c r="C235" s="479"/>
      <c r="E235" s="480"/>
      <c r="G235" s="65"/>
    </row>
    <row r="236" spans="2:7" ht="14.25" customHeight="1" x14ac:dyDescent="0.25">
      <c r="B236" s="478"/>
      <c r="C236" s="479"/>
      <c r="E236" s="480"/>
      <c r="G236" s="65"/>
    </row>
    <row r="237" spans="2:7" ht="14.25" customHeight="1" x14ac:dyDescent="0.25">
      <c r="B237" s="478"/>
      <c r="C237" s="479"/>
      <c r="E237" s="480"/>
      <c r="G237" s="65"/>
    </row>
    <row r="238" spans="2:7" ht="14.25" customHeight="1" x14ac:dyDescent="0.25">
      <c r="B238" s="478"/>
      <c r="C238" s="479"/>
      <c r="E238" s="480"/>
      <c r="G238" s="65"/>
    </row>
    <row r="239" spans="2:7" ht="14.25" customHeight="1" x14ac:dyDescent="0.25">
      <c r="B239" s="478"/>
      <c r="C239" s="479"/>
      <c r="E239" s="480"/>
      <c r="G239" s="65"/>
    </row>
    <row r="240" spans="2:7" ht="14.25" customHeight="1" x14ac:dyDescent="0.25">
      <c r="B240" s="478"/>
      <c r="C240" s="479"/>
      <c r="E240" s="480"/>
      <c r="G240" s="65"/>
    </row>
    <row r="241" spans="2:7" ht="14.25" customHeight="1" x14ac:dyDescent="0.25">
      <c r="B241" s="478"/>
      <c r="C241" s="479"/>
      <c r="E241" s="480"/>
      <c r="G241" s="65"/>
    </row>
    <row r="242" spans="2:7" ht="14.25" customHeight="1" x14ac:dyDescent="0.25">
      <c r="B242" s="478"/>
      <c r="C242" s="479"/>
      <c r="E242" s="480"/>
      <c r="G242" s="65"/>
    </row>
    <row r="243" spans="2:7" ht="14.25" customHeight="1" x14ac:dyDescent="0.25">
      <c r="B243" s="478"/>
      <c r="C243" s="479"/>
      <c r="E243" s="480"/>
      <c r="G243" s="65"/>
    </row>
    <row r="244" spans="2:7" ht="14.25" customHeight="1" x14ac:dyDescent="0.25">
      <c r="B244" s="478"/>
      <c r="C244" s="479"/>
      <c r="E244" s="480"/>
      <c r="G244" s="65"/>
    </row>
    <row r="245" spans="2:7" ht="14.25" customHeight="1" x14ac:dyDescent="0.25">
      <c r="B245" s="478"/>
      <c r="C245" s="479"/>
      <c r="E245" s="480"/>
      <c r="G245" s="65"/>
    </row>
    <row r="246" spans="2:7" ht="14.25" customHeight="1" x14ac:dyDescent="0.25">
      <c r="B246" s="478"/>
      <c r="C246" s="479"/>
      <c r="E246" s="480"/>
      <c r="G246" s="65"/>
    </row>
    <row r="247" spans="2:7" ht="14.25" customHeight="1" x14ac:dyDescent="0.25">
      <c r="B247" s="478"/>
      <c r="C247" s="479"/>
      <c r="E247" s="480"/>
      <c r="G247" s="65"/>
    </row>
    <row r="248" spans="2:7" ht="14.25" customHeight="1" x14ac:dyDescent="0.25">
      <c r="B248" s="478"/>
      <c r="C248" s="479"/>
      <c r="E248" s="480"/>
      <c r="G248" s="65"/>
    </row>
    <row r="249" spans="2:7" ht="14.25" customHeight="1" x14ac:dyDescent="0.25">
      <c r="B249" s="478"/>
      <c r="C249" s="479"/>
      <c r="E249" s="480"/>
      <c r="G249" s="65"/>
    </row>
    <row r="250" spans="2:7" ht="14.25" customHeight="1" x14ac:dyDescent="0.25">
      <c r="B250" s="478"/>
      <c r="C250" s="479"/>
      <c r="E250" s="480"/>
      <c r="G250" s="65"/>
    </row>
    <row r="251" spans="2:7" ht="14.25" customHeight="1" x14ac:dyDescent="0.25">
      <c r="B251" s="478"/>
      <c r="C251" s="479"/>
      <c r="E251" s="480"/>
      <c r="G251" s="65"/>
    </row>
    <row r="252" spans="2:7" ht="14.25" customHeight="1" x14ac:dyDescent="0.25">
      <c r="B252" s="478"/>
      <c r="C252" s="479"/>
      <c r="E252" s="480"/>
      <c r="G252" s="65"/>
    </row>
    <row r="253" spans="2:7" ht="14.25" customHeight="1" x14ac:dyDescent="0.25">
      <c r="B253" s="478"/>
      <c r="C253" s="479"/>
      <c r="E253" s="480"/>
      <c r="G253" s="65"/>
    </row>
    <row r="254" spans="2:7" ht="14.25" customHeight="1" x14ac:dyDescent="0.25">
      <c r="B254" s="478"/>
      <c r="C254" s="479"/>
      <c r="E254" s="480"/>
      <c r="G254" s="65"/>
    </row>
    <row r="255" spans="2:7" ht="14.25" customHeight="1" x14ac:dyDescent="0.25">
      <c r="B255" s="478"/>
      <c r="C255" s="479"/>
      <c r="E255" s="480"/>
      <c r="G255" s="65"/>
    </row>
    <row r="256" spans="2:7" ht="14.25" customHeight="1" x14ac:dyDescent="0.25">
      <c r="B256" s="478"/>
      <c r="C256" s="479"/>
      <c r="E256" s="480"/>
      <c r="G256" s="65"/>
    </row>
    <row r="257" spans="2:7" ht="14.25" customHeight="1" x14ac:dyDescent="0.25">
      <c r="B257" s="478"/>
      <c r="C257" s="479"/>
      <c r="E257" s="480"/>
      <c r="G257" s="65"/>
    </row>
    <row r="258" spans="2:7" ht="14.25" customHeight="1" x14ac:dyDescent="0.25">
      <c r="B258" s="478"/>
      <c r="C258" s="479"/>
      <c r="E258" s="480"/>
      <c r="G258" s="65"/>
    </row>
    <row r="259" spans="2:7" ht="14.25" customHeight="1" x14ac:dyDescent="0.25">
      <c r="B259" s="478"/>
      <c r="C259" s="479"/>
      <c r="E259" s="480"/>
      <c r="G259" s="65"/>
    </row>
    <row r="260" spans="2:7" ht="14.25" customHeight="1" x14ac:dyDescent="0.25">
      <c r="B260" s="478"/>
      <c r="C260" s="479"/>
      <c r="E260" s="480"/>
      <c r="G260" s="65"/>
    </row>
    <row r="261" spans="2:7" ht="14.25" customHeight="1" x14ac:dyDescent="0.25">
      <c r="B261" s="478"/>
      <c r="C261" s="479"/>
      <c r="E261" s="480"/>
      <c r="G261" s="65"/>
    </row>
    <row r="262" spans="2:7" ht="14.25" customHeight="1" x14ac:dyDescent="0.25">
      <c r="B262" s="478"/>
      <c r="C262" s="479"/>
      <c r="E262" s="480"/>
      <c r="G262" s="65"/>
    </row>
    <row r="263" spans="2:7" ht="14.25" customHeight="1" x14ac:dyDescent="0.25">
      <c r="B263" s="478"/>
      <c r="C263" s="479"/>
      <c r="E263" s="480"/>
      <c r="G263" s="65"/>
    </row>
    <row r="264" spans="2:7" ht="14.25" customHeight="1" x14ac:dyDescent="0.25">
      <c r="B264" s="478"/>
      <c r="C264" s="479"/>
      <c r="E264" s="480"/>
      <c r="G264" s="65"/>
    </row>
    <row r="265" spans="2:7" ht="14.25" customHeight="1" x14ac:dyDescent="0.25">
      <c r="B265" s="478"/>
      <c r="C265" s="479"/>
      <c r="E265" s="480"/>
      <c r="G265" s="65"/>
    </row>
    <row r="266" spans="2:7" ht="14.25" customHeight="1" x14ac:dyDescent="0.25">
      <c r="B266" s="478"/>
      <c r="C266" s="479"/>
      <c r="E266" s="480"/>
      <c r="G266" s="65"/>
    </row>
    <row r="267" spans="2:7" ht="14.25" customHeight="1" x14ac:dyDescent="0.25">
      <c r="B267" s="478"/>
      <c r="C267" s="479"/>
      <c r="E267" s="480"/>
      <c r="G267" s="65"/>
    </row>
    <row r="268" spans="2:7" ht="14.25" customHeight="1" x14ac:dyDescent="0.25">
      <c r="B268" s="478"/>
      <c r="C268" s="479"/>
      <c r="E268" s="480"/>
      <c r="G268" s="65"/>
    </row>
    <row r="269" spans="2:7" ht="14.25" customHeight="1" x14ac:dyDescent="0.25">
      <c r="B269" s="478"/>
      <c r="C269" s="479"/>
      <c r="E269" s="480"/>
      <c r="G269" s="65"/>
    </row>
    <row r="270" spans="2:7" ht="14.25" customHeight="1" x14ac:dyDescent="0.25">
      <c r="B270" s="478"/>
      <c r="C270" s="479"/>
      <c r="E270" s="480"/>
      <c r="G270" s="65"/>
    </row>
    <row r="271" spans="2:7" ht="14.25" customHeight="1" x14ac:dyDescent="0.25">
      <c r="B271" s="478"/>
      <c r="C271" s="479"/>
      <c r="E271" s="480"/>
      <c r="G271" s="65"/>
    </row>
    <row r="272" spans="2:7" ht="14.25" customHeight="1" x14ac:dyDescent="0.25">
      <c r="B272" s="478"/>
      <c r="C272" s="479"/>
      <c r="E272" s="480"/>
      <c r="G272" s="65"/>
    </row>
    <row r="273" spans="2:7" ht="14.25" customHeight="1" x14ac:dyDescent="0.25">
      <c r="B273" s="478"/>
      <c r="C273" s="479"/>
      <c r="E273" s="480"/>
      <c r="G273" s="65"/>
    </row>
    <row r="274" spans="2:7" ht="14.25" customHeight="1" x14ac:dyDescent="0.25">
      <c r="B274" s="478"/>
      <c r="C274" s="479"/>
      <c r="E274" s="480"/>
      <c r="G274" s="65"/>
    </row>
    <row r="275" spans="2:7" ht="14.25" customHeight="1" x14ac:dyDescent="0.25">
      <c r="B275" s="478"/>
      <c r="C275" s="479"/>
      <c r="E275" s="480"/>
      <c r="G275" s="65"/>
    </row>
    <row r="276" spans="2:7" ht="14.25" customHeight="1" x14ac:dyDescent="0.25">
      <c r="B276" s="478"/>
      <c r="C276" s="479"/>
      <c r="E276" s="480"/>
      <c r="G276" s="65"/>
    </row>
    <row r="277" spans="2:7" ht="14.25" customHeight="1" x14ac:dyDescent="0.25">
      <c r="B277" s="478"/>
      <c r="C277" s="479"/>
      <c r="E277" s="480"/>
      <c r="G277" s="65"/>
    </row>
    <row r="278" spans="2:7" ht="14.25" customHeight="1" x14ac:dyDescent="0.25">
      <c r="B278" s="478"/>
      <c r="C278" s="479"/>
      <c r="E278" s="480"/>
      <c r="G278" s="65"/>
    </row>
    <row r="279" spans="2:7" ht="14.25" customHeight="1" x14ac:dyDescent="0.25">
      <c r="B279" s="478"/>
      <c r="C279" s="479"/>
      <c r="E279" s="480"/>
      <c r="G279" s="65"/>
    </row>
    <row r="280" spans="2:7" ht="14.25" customHeight="1" x14ac:dyDescent="0.25">
      <c r="B280" s="478"/>
      <c r="C280" s="479"/>
      <c r="E280" s="480"/>
      <c r="G280" s="65"/>
    </row>
    <row r="281" spans="2:7" ht="14.25" customHeight="1" x14ac:dyDescent="0.25">
      <c r="B281" s="478"/>
      <c r="C281" s="479"/>
      <c r="E281" s="480"/>
      <c r="G281" s="65"/>
    </row>
    <row r="282" spans="2:7" ht="14.25" customHeight="1" x14ac:dyDescent="0.25">
      <c r="B282" s="478"/>
      <c r="C282" s="479"/>
      <c r="E282" s="480"/>
      <c r="G282" s="65"/>
    </row>
    <row r="283" spans="2:7" ht="14.25" customHeight="1" x14ac:dyDescent="0.25">
      <c r="B283" s="478"/>
      <c r="C283" s="479"/>
      <c r="E283" s="480"/>
      <c r="G283" s="65"/>
    </row>
    <row r="284" spans="2:7" ht="14.25" customHeight="1" x14ac:dyDescent="0.25">
      <c r="B284" s="478"/>
      <c r="C284" s="479"/>
      <c r="E284" s="480"/>
      <c r="G284" s="65"/>
    </row>
    <row r="285" spans="2:7" ht="14.25" customHeight="1" x14ac:dyDescent="0.25">
      <c r="B285" s="478"/>
      <c r="C285" s="479"/>
      <c r="E285" s="480"/>
      <c r="G285" s="65"/>
    </row>
    <row r="286" spans="2:7" ht="14.25" customHeight="1" x14ac:dyDescent="0.25">
      <c r="B286" s="478"/>
      <c r="C286" s="479"/>
      <c r="E286" s="480"/>
      <c r="G286" s="65"/>
    </row>
    <row r="287" spans="2:7" ht="14.25" customHeight="1" x14ac:dyDescent="0.25">
      <c r="B287" s="478"/>
      <c r="C287" s="479"/>
      <c r="E287" s="480"/>
      <c r="G287" s="65"/>
    </row>
    <row r="288" spans="2:7" ht="14.25" customHeight="1" x14ac:dyDescent="0.25">
      <c r="B288" s="478"/>
      <c r="C288" s="479"/>
      <c r="E288" s="480"/>
      <c r="G288" s="65"/>
    </row>
    <row r="289" spans="2:7" ht="14.25" customHeight="1" x14ac:dyDescent="0.25">
      <c r="B289" s="478"/>
      <c r="C289" s="479"/>
      <c r="E289" s="480"/>
      <c r="G289" s="65"/>
    </row>
    <row r="290" spans="2:7" ht="14.25" customHeight="1" x14ac:dyDescent="0.25">
      <c r="B290" s="478"/>
      <c r="C290" s="479"/>
      <c r="E290" s="480"/>
      <c r="G290" s="65"/>
    </row>
    <row r="291" spans="2:7" ht="14.25" customHeight="1" x14ac:dyDescent="0.25">
      <c r="B291" s="478"/>
      <c r="C291" s="479"/>
      <c r="E291" s="480"/>
      <c r="G291" s="65"/>
    </row>
    <row r="292" spans="2:7" ht="14.25" customHeight="1" x14ac:dyDescent="0.25">
      <c r="B292" s="478"/>
      <c r="C292" s="479"/>
      <c r="E292" s="480"/>
      <c r="G292" s="65"/>
    </row>
    <row r="293" spans="2:7" ht="14.25" customHeight="1" x14ac:dyDescent="0.25">
      <c r="B293" s="478"/>
      <c r="C293" s="479"/>
      <c r="E293" s="480"/>
      <c r="G293" s="65"/>
    </row>
    <row r="294" spans="2:7" ht="14.25" customHeight="1" x14ac:dyDescent="0.25">
      <c r="B294" s="478"/>
      <c r="C294" s="479"/>
      <c r="E294" s="480"/>
      <c r="G294" s="65"/>
    </row>
    <row r="295" spans="2:7" ht="14.25" customHeight="1" x14ac:dyDescent="0.25">
      <c r="B295" s="478"/>
      <c r="C295" s="479"/>
      <c r="E295" s="480"/>
      <c r="G295" s="65"/>
    </row>
    <row r="296" spans="2:7" ht="14.25" customHeight="1" x14ac:dyDescent="0.25">
      <c r="B296" s="478"/>
      <c r="C296" s="479"/>
      <c r="E296" s="480"/>
      <c r="G296" s="65"/>
    </row>
    <row r="297" spans="2:7" ht="14.25" customHeight="1" x14ac:dyDescent="0.25">
      <c r="B297" s="478"/>
      <c r="C297" s="479"/>
      <c r="E297" s="480"/>
      <c r="G297" s="65"/>
    </row>
    <row r="298" spans="2:7" ht="14.25" customHeight="1" x14ac:dyDescent="0.25">
      <c r="B298" s="478"/>
      <c r="C298" s="479"/>
      <c r="E298" s="480"/>
      <c r="G298" s="65"/>
    </row>
    <row r="299" spans="2:7" ht="14.25" customHeight="1" x14ac:dyDescent="0.25">
      <c r="B299" s="478"/>
      <c r="C299" s="479"/>
      <c r="E299" s="480"/>
      <c r="G299" s="65"/>
    </row>
    <row r="300" spans="2:7" ht="14.25" customHeight="1" x14ac:dyDescent="0.25">
      <c r="B300" s="478"/>
      <c r="C300" s="479"/>
      <c r="E300" s="480"/>
      <c r="G300" s="65"/>
    </row>
    <row r="301" spans="2:7" ht="14.25" customHeight="1" x14ac:dyDescent="0.25">
      <c r="B301" s="478"/>
      <c r="C301" s="479"/>
      <c r="E301" s="480"/>
      <c r="G301" s="65"/>
    </row>
    <row r="302" spans="2:7" ht="14.25" customHeight="1" x14ac:dyDescent="0.25">
      <c r="B302" s="478"/>
      <c r="C302" s="479"/>
      <c r="E302" s="480"/>
      <c r="G302" s="65"/>
    </row>
    <row r="303" spans="2:7" ht="14.25" customHeight="1" x14ac:dyDescent="0.25">
      <c r="B303" s="478"/>
      <c r="C303" s="479"/>
      <c r="E303" s="480"/>
      <c r="G303" s="65"/>
    </row>
    <row r="304" spans="2:7" ht="14.25" customHeight="1" x14ac:dyDescent="0.25">
      <c r="B304" s="478"/>
      <c r="C304" s="479"/>
      <c r="E304" s="480"/>
      <c r="G304" s="65"/>
    </row>
    <row r="305" spans="2:7" ht="14.25" customHeight="1" x14ac:dyDescent="0.25">
      <c r="B305" s="478"/>
      <c r="C305" s="479"/>
      <c r="E305" s="480"/>
      <c r="G305" s="65"/>
    </row>
    <row r="306" spans="2:7" ht="14.25" customHeight="1" x14ac:dyDescent="0.25">
      <c r="B306" s="478"/>
      <c r="C306" s="479"/>
      <c r="E306" s="480"/>
      <c r="G306" s="65"/>
    </row>
    <row r="307" spans="2:7" ht="14.25" customHeight="1" x14ac:dyDescent="0.25">
      <c r="B307" s="478"/>
      <c r="C307" s="479"/>
      <c r="E307" s="480"/>
      <c r="G307" s="65"/>
    </row>
    <row r="308" spans="2:7" ht="14.25" customHeight="1" x14ac:dyDescent="0.25">
      <c r="B308" s="478"/>
      <c r="C308" s="479"/>
      <c r="E308" s="480"/>
      <c r="G308" s="65"/>
    </row>
    <row r="309" spans="2:7" ht="14.25" customHeight="1" x14ac:dyDescent="0.25">
      <c r="B309" s="478"/>
      <c r="C309" s="479"/>
      <c r="E309" s="480"/>
      <c r="G309" s="65"/>
    </row>
    <row r="310" spans="2:7" ht="14.25" customHeight="1" x14ac:dyDescent="0.25">
      <c r="B310" s="478"/>
      <c r="C310" s="479"/>
      <c r="E310" s="480"/>
      <c r="G310" s="65"/>
    </row>
    <row r="311" spans="2:7" ht="14.25" customHeight="1" x14ac:dyDescent="0.25">
      <c r="B311" s="478"/>
      <c r="C311" s="479"/>
      <c r="E311" s="480"/>
      <c r="G311" s="65"/>
    </row>
    <row r="312" spans="2:7" ht="14.25" customHeight="1" x14ac:dyDescent="0.25">
      <c r="B312" s="478"/>
      <c r="C312" s="479"/>
      <c r="E312" s="480"/>
      <c r="G312" s="65"/>
    </row>
    <row r="313" spans="2:7" ht="14.25" customHeight="1" x14ac:dyDescent="0.25">
      <c r="B313" s="478"/>
      <c r="C313" s="479"/>
      <c r="E313" s="480"/>
      <c r="G313" s="65"/>
    </row>
    <row r="314" spans="2:7" ht="14.25" customHeight="1" x14ac:dyDescent="0.25">
      <c r="B314" s="478"/>
      <c r="C314" s="479"/>
      <c r="E314" s="480"/>
      <c r="G314" s="65"/>
    </row>
    <row r="315" spans="2:7" ht="14.25" customHeight="1" x14ac:dyDescent="0.25">
      <c r="B315" s="478"/>
      <c r="C315" s="479"/>
      <c r="E315" s="480"/>
      <c r="G315" s="65"/>
    </row>
    <row r="316" spans="2:7" ht="14.25" customHeight="1" x14ac:dyDescent="0.25">
      <c r="B316" s="478"/>
      <c r="C316" s="479"/>
      <c r="E316" s="480"/>
      <c r="G316" s="65"/>
    </row>
    <row r="317" spans="2:7" ht="14.25" customHeight="1" x14ac:dyDescent="0.25">
      <c r="B317" s="478"/>
      <c r="C317" s="479"/>
      <c r="E317" s="480"/>
      <c r="G317" s="65"/>
    </row>
    <row r="318" spans="2:7" ht="14.25" customHeight="1" x14ac:dyDescent="0.25">
      <c r="B318" s="478"/>
      <c r="C318" s="479"/>
      <c r="E318" s="480"/>
      <c r="G318" s="65"/>
    </row>
    <row r="319" spans="2:7" ht="14.25" customHeight="1" x14ac:dyDescent="0.25">
      <c r="B319" s="478"/>
      <c r="C319" s="479"/>
      <c r="E319" s="480"/>
      <c r="G319" s="65"/>
    </row>
    <row r="320" spans="2:7" ht="14.25" customHeight="1" x14ac:dyDescent="0.25">
      <c r="B320" s="478"/>
      <c r="C320" s="479"/>
      <c r="E320" s="480"/>
      <c r="G320" s="65"/>
    </row>
    <row r="321" spans="2:7" ht="14.25" customHeight="1" x14ac:dyDescent="0.25">
      <c r="B321" s="478"/>
      <c r="C321" s="479"/>
      <c r="E321" s="480"/>
      <c r="G321" s="65"/>
    </row>
    <row r="322" spans="2:7" ht="14.25" customHeight="1" x14ac:dyDescent="0.25">
      <c r="B322" s="478"/>
      <c r="C322" s="479"/>
      <c r="E322" s="480"/>
      <c r="G322" s="65"/>
    </row>
    <row r="323" spans="2:7" ht="14.25" customHeight="1" x14ac:dyDescent="0.25">
      <c r="B323" s="478"/>
      <c r="C323" s="479"/>
      <c r="E323" s="480"/>
      <c r="G323" s="65"/>
    </row>
    <row r="324" spans="2:7" ht="14.25" customHeight="1" x14ac:dyDescent="0.25">
      <c r="B324" s="478"/>
      <c r="C324" s="479"/>
      <c r="E324" s="480"/>
      <c r="G324" s="65"/>
    </row>
    <row r="325" spans="2:7" ht="14.25" customHeight="1" x14ac:dyDescent="0.25">
      <c r="B325" s="478"/>
      <c r="C325" s="479"/>
      <c r="E325" s="480"/>
      <c r="G325" s="65"/>
    </row>
    <row r="326" spans="2:7" ht="14.25" customHeight="1" x14ac:dyDescent="0.25">
      <c r="B326" s="478"/>
      <c r="C326" s="479"/>
      <c r="E326" s="480"/>
      <c r="G326" s="65"/>
    </row>
    <row r="327" spans="2:7" ht="14.25" customHeight="1" x14ac:dyDescent="0.25">
      <c r="B327" s="478"/>
      <c r="C327" s="479"/>
      <c r="E327" s="480"/>
      <c r="G327" s="65"/>
    </row>
    <row r="328" spans="2:7" ht="14.25" customHeight="1" x14ac:dyDescent="0.25">
      <c r="B328" s="478"/>
      <c r="C328" s="479"/>
      <c r="E328" s="480"/>
      <c r="G328" s="65"/>
    </row>
    <row r="329" spans="2:7" ht="14.25" customHeight="1" x14ac:dyDescent="0.25">
      <c r="B329" s="478"/>
      <c r="C329" s="479"/>
      <c r="E329" s="480"/>
      <c r="G329" s="65"/>
    </row>
    <row r="330" spans="2:7" ht="14.25" customHeight="1" x14ac:dyDescent="0.25">
      <c r="B330" s="478"/>
      <c r="C330" s="479"/>
      <c r="E330" s="480"/>
      <c r="G330" s="65"/>
    </row>
    <row r="331" spans="2:7" ht="14.25" customHeight="1" x14ac:dyDescent="0.25">
      <c r="B331" s="478"/>
      <c r="C331" s="479"/>
      <c r="E331" s="480"/>
      <c r="G331" s="65"/>
    </row>
    <row r="332" spans="2:7" ht="14.25" customHeight="1" x14ac:dyDescent="0.25">
      <c r="B332" s="478"/>
      <c r="C332" s="479"/>
      <c r="E332" s="480"/>
      <c r="G332" s="65"/>
    </row>
    <row r="333" spans="2:7" ht="14.25" customHeight="1" x14ac:dyDescent="0.25">
      <c r="B333" s="478"/>
      <c r="C333" s="479"/>
      <c r="E333" s="480"/>
      <c r="G333" s="65"/>
    </row>
    <row r="334" spans="2:7" ht="14.25" customHeight="1" x14ac:dyDescent="0.25">
      <c r="B334" s="478"/>
      <c r="C334" s="479"/>
      <c r="E334" s="480"/>
      <c r="G334" s="65"/>
    </row>
    <row r="335" spans="2:7" ht="14.25" customHeight="1" x14ac:dyDescent="0.25">
      <c r="B335" s="478"/>
      <c r="C335" s="479"/>
      <c r="E335" s="480"/>
      <c r="G335" s="65"/>
    </row>
    <row r="336" spans="2:7" ht="14.25" customHeight="1" x14ac:dyDescent="0.25">
      <c r="B336" s="478"/>
      <c r="C336" s="479"/>
      <c r="E336" s="480"/>
      <c r="G336" s="65"/>
    </row>
    <row r="337" spans="2:7" ht="14.25" customHeight="1" x14ac:dyDescent="0.25">
      <c r="B337" s="478"/>
      <c r="C337" s="479"/>
      <c r="E337" s="480"/>
      <c r="G337" s="65"/>
    </row>
    <row r="338" spans="2:7" ht="14.25" customHeight="1" x14ac:dyDescent="0.25">
      <c r="B338" s="478"/>
      <c r="C338" s="479"/>
      <c r="E338" s="480"/>
      <c r="G338" s="65"/>
    </row>
    <row r="339" spans="2:7" ht="14.25" customHeight="1" x14ac:dyDescent="0.25">
      <c r="B339" s="478"/>
      <c r="C339" s="479"/>
      <c r="E339" s="480"/>
      <c r="G339" s="65"/>
    </row>
    <row r="340" spans="2:7" ht="14.25" customHeight="1" x14ac:dyDescent="0.25">
      <c r="B340" s="478"/>
      <c r="C340" s="479"/>
      <c r="E340" s="480"/>
      <c r="G340" s="65"/>
    </row>
    <row r="341" spans="2:7" ht="14.25" customHeight="1" x14ac:dyDescent="0.25">
      <c r="B341" s="478"/>
      <c r="C341" s="479"/>
      <c r="E341" s="480"/>
      <c r="G341" s="65"/>
    </row>
    <row r="342" spans="2:7" ht="14.25" customHeight="1" x14ac:dyDescent="0.25">
      <c r="B342" s="478"/>
      <c r="C342" s="479"/>
      <c r="E342" s="480"/>
      <c r="G342" s="65"/>
    </row>
    <row r="343" spans="2:7" ht="14.25" customHeight="1" x14ac:dyDescent="0.25">
      <c r="B343" s="478"/>
      <c r="C343" s="479"/>
      <c r="E343" s="480"/>
      <c r="G343" s="65"/>
    </row>
    <row r="344" spans="2:7" ht="14.25" customHeight="1" x14ac:dyDescent="0.25">
      <c r="B344" s="478"/>
      <c r="C344" s="479"/>
      <c r="E344" s="480"/>
      <c r="G344" s="65"/>
    </row>
    <row r="345" spans="2:7" ht="14.25" customHeight="1" x14ac:dyDescent="0.25">
      <c r="B345" s="478"/>
      <c r="C345" s="479"/>
      <c r="E345" s="480"/>
      <c r="G345" s="65"/>
    </row>
    <row r="346" spans="2:7" ht="14.25" customHeight="1" x14ac:dyDescent="0.25">
      <c r="B346" s="478"/>
      <c r="C346" s="479"/>
      <c r="E346" s="480"/>
      <c r="G346" s="65"/>
    </row>
    <row r="347" spans="2:7" ht="14.25" customHeight="1" x14ac:dyDescent="0.25">
      <c r="B347" s="478"/>
      <c r="C347" s="479"/>
      <c r="E347" s="480"/>
      <c r="G347" s="65"/>
    </row>
    <row r="348" spans="2:7" ht="14.25" customHeight="1" x14ac:dyDescent="0.25">
      <c r="B348" s="478"/>
      <c r="C348" s="479"/>
      <c r="E348" s="480"/>
      <c r="G348" s="65"/>
    </row>
    <row r="349" spans="2:7" ht="14.25" customHeight="1" x14ac:dyDescent="0.25">
      <c r="B349" s="478"/>
      <c r="C349" s="479"/>
      <c r="E349" s="480"/>
      <c r="G349" s="65"/>
    </row>
    <row r="350" spans="2:7" ht="14.25" customHeight="1" x14ac:dyDescent="0.25">
      <c r="B350" s="478"/>
      <c r="C350" s="479"/>
      <c r="E350" s="480"/>
      <c r="G350" s="65"/>
    </row>
    <row r="351" spans="2:7" ht="14.25" customHeight="1" x14ac:dyDescent="0.25">
      <c r="B351" s="478"/>
      <c r="C351" s="479"/>
      <c r="E351" s="480"/>
      <c r="G351" s="65"/>
    </row>
    <row r="352" spans="2:7" ht="14.25" customHeight="1" x14ac:dyDescent="0.25">
      <c r="B352" s="478"/>
      <c r="C352" s="479"/>
      <c r="E352" s="480"/>
      <c r="G352" s="65"/>
    </row>
    <row r="353" spans="2:7" ht="14.25" customHeight="1" x14ac:dyDescent="0.25">
      <c r="B353" s="478"/>
      <c r="C353" s="479"/>
      <c r="E353" s="480"/>
      <c r="G353" s="65"/>
    </row>
    <row r="354" spans="2:7" ht="14.25" customHeight="1" x14ac:dyDescent="0.25">
      <c r="B354" s="478"/>
      <c r="C354" s="479"/>
      <c r="E354" s="480"/>
      <c r="G354" s="65"/>
    </row>
    <row r="355" spans="2:7" ht="14.25" customHeight="1" x14ac:dyDescent="0.25">
      <c r="B355" s="478"/>
      <c r="C355" s="479"/>
      <c r="E355" s="480"/>
      <c r="G355" s="65"/>
    </row>
    <row r="356" spans="2:7" ht="14.25" customHeight="1" x14ac:dyDescent="0.25">
      <c r="B356" s="478"/>
      <c r="C356" s="479"/>
      <c r="E356" s="480"/>
      <c r="G356" s="65"/>
    </row>
    <row r="357" spans="2:7" ht="14.25" customHeight="1" x14ac:dyDescent="0.25">
      <c r="B357" s="478"/>
      <c r="C357" s="479"/>
      <c r="E357" s="480"/>
      <c r="G357" s="65"/>
    </row>
    <row r="358" spans="2:7" ht="14.25" customHeight="1" x14ac:dyDescent="0.25">
      <c r="B358" s="478"/>
      <c r="C358" s="479"/>
      <c r="E358" s="480"/>
      <c r="G358" s="65"/>
    </row>
    <row r="359" spans="2:7" ht="14.25" customHeight="1" x14ac:dyDescent="0.25">
      <c r="B359" s="478"/>
      <c r="C359" s="479"/>
      <c r="E359" s="480"/>
      <c r="G359" s="65"/>
    </row>
    <row r="360" spans="2:7" ht="14.25" customHeight="1" x14ac:dyDescent="0.25">
      <c r="B360" s="478"/>
      <c r="C360" s="479"/>
      <c r="E360" s="480"/>
      <c r="G360" s="65"/>
    </row>
    <row r="361" spans="2:7" ht="14.25" customHeight="1" x14ac:dyDescent="0.25">
      <c r="B361" s="478"/>
      <c r="C361" s="479"/>
      <c r="E361" s="480"/>
      <c r="G361" s="65"/>
    </row>
    <row r="362" spans="2:7" ht="14.25" customHeight="1" x14ac:dyDescent="0.25">
      <c r="B362" s="478"/>
      <c r="C362" s="479"/>
      <c r="E362" s="480"/>
      <c r="G362" s="65"/>
    </row>
    <row r="363" spans="2:7" ht="14.25" customHeight="1" x14ac:dyDescent="0.25">
      <c r="B363" s="478"/>
      <c r="C363" s="479"/>
      <c r="E363" s="480"/>
      <c r="G363" s="65"/>
    </row>
    <row r="364" spans="2:7" ht="14.25" customHeight="1" x14ac:dyDescent="0.25">
      <c r="B364" s="478"/>
      <c r="C364" s="479"/>
      <c r="E364" s="480"/>
      <c r="G364" s="65"/>
    </row>
    <row r="365" spans="2:7" ht="14.25" customHeight="1" x14ac:dyDescent="0.25">
      <c r="B365" s="478"/>
      <c r="C365" s="479"/>
      <c r="E365" s="480"/>
      <c r="G365" s="65"/>
    </row>
    <row r="366" spans="2:7" ht="14.25" customHeight="1" x14ac:dyDescent="0.25">
      <c r="B366" s="478"/>
      <c r="C366" s="479"/>
      <c r="E366" s="480"/>
      <c r="G366" s="65"/>
    </row>
    <row r="367" spans="2:7" ht="14.25" customHeight="1" x14ac:dyDescent="0.25">
      <c r="B367" s="478"/>
      <c r="C367" s="479"/>
      <c r="E367" s="480"/>
      <c r="G367" s="65"/>
    </row>
    <row r="368" spans="2:7" ht="14.25" customHeight="1" x14ac:dyDescent="0.25">
      <c r="B368" s="478"/>
      <c r="C368" s="479"/>
      <c r="E368" s="480"/>
      <c r="G368" s="65"/>
    </row>
    <row r="369" spans="2:7" ht="14.25" customHeight="1" x14ac:dyDescent="0.25">
      <c r="B369" s="478"/>
      <c r="C369" s="479"/>
      <c r="E369" s="480"/>
      <c r="G369" s="65"/>
    </row>
    <row r="370" spans="2:7" ht="14.25" customHeight="1" x14ac:dyDescent="0.25">
      <c r="B370" s="478"/>
      <c r="C370" s="479"/>
      <c r="E370" s="480"/>
      <c r="G370" s="65"/>
    </row>
    <row r="371" spans="2:7" ht="14.25" customHeight="1" x14ac:dyDescent="0.25">
      <c r="B371" s="478"/>
      <c r="C371" s="479"/>
      <c r="E371" s="480"/>
      <c r="G371" s="65"/>
    </row>
    <row r="372" spans="2:7" ht="14.25" customHeight="1" x14ac:dyDescent="0.25">
      <c r="B372" s="478"/>
      <c r="C372" s="479"/>
      <c r="E372" s="480"/>
      <c r="G372" s="65"/>
    </row>
    <row r="373" spans="2:7" ht="14.25" customHeight="1" x14ac:dyDescent="0.25">
      <c r="B373" s="478"/>
      <c r="C373" s="479"/>
      <c r="E373" s="480"/>
      <c r="G373" s="65"/>
    </row>
    <row r="374" spans="2:7" ht="14.25" customHeight="1" x14ac:dyDescent="0.25">
      <c r="B374" s="478"/>
      <c r="C374" s="479"/>
      <c r="E374" s="480"/>
      <c r="G374" s="65"/>
    </row>
    <row r="375" spans="2:7" ht="14.25" customHeight="1" x14ac:dyDescent="0.25">
      <c r="B375" s="478"/>
      <c r="C375" s="479"/>
      <c r="E375" s="480"/>
      <c r="G375" s="65"/>
    </row>
    <row r="376" spans="2:7" ht="14.25" customHeight="1" x14ac:dyDescent="0.25">
      <c r="B376" s="478"/>
      <c r="C376" s="479"/>
      <c r="E376" s="480"/>
      <c r="G376" s="65"/>
    </row>
    <row r="377" spans="2:7" ht="14.25" customHeight="1" x14ac:dyDescent="0.25">
      <c r="B377" s="478"/>
      <c r="C377" s="479"/>
      <c r="E377" s="480"/>
      <c r="G377" s="65"/>
    </row>
    <row r="378" spans="2:7" ht="14.25" customHeight="1" x14ac:dyDescent="0.25">
      <c r="B378" s="478"/>
      <c r="C378" s="479"/>
      <c r="E378" s="480"/>
      <c r="G378" s="65"/>
    </row>
    <row r="379" spans="2:7" ht="14.25" customHeight="1" x14ac:dyDescent="0.25">
      <c r="B379" s="478"/>
      <c r="C379" s="479"/>
      <c r="E379" s="480"/>
      <c r="G379" s="65"/>
    </row>
    <row r="380" spans="2:7" ht="14.25" customHeight="1" x14ac:dyDescent="0.25">
      <c r="B380" s="478"/>
      <c r="C380" s="479"/>
      <c r="E380" s="480"/>
      <c r="G380" s="65"/>
    </row>
    <row r="381" spans="2:7" ht="14.25" customHeight="1" x14ac:dyDescent="0.25">
      <c r="B381" s="478"/>
      <c r="C381" s="479"/>
      <c r="E381" s="480"/>
      <c r="G381" s="65"/>
    </row>
    <row r="382" spans="2:7" ht="14.25" customHeight="1" x14ac:dyDescent="0.25">
      <c r="B382" s="478"/>
      <c r="C382" s="479"/>
      <c r="E382" s="480"/>
      <c r="G382" s="65"/>
    </row>
    <row r="383" spans="2:7" ht="14.25" customHeight="1" x14ac:dyDescent="0.25">
      <c r="B383" s="478"/>
      <c r="C383" s="479"/>
      <c r="E383" s="480"/>
      <c r="G383" s="65"/>
    </row>
    <row r="384" spans="2:7" ht="14.25" customHeight="1" x14ac:dyDescent="0.25">
      <c r="B384" s="478"/>
      <c r="C384" s="479"/>
      <c r="E384" s="480"/>
      <c r="G384" s="65"/>
    </row>
    <row r="385" spans="2:7" ht="14.25" customHeight="1" x14ac:dyDescent="0.25">
      <c r="B385" s="478"/>
      <c r="C385" s="479"/>
      <c r="E385" s="480"/>
      <c r="G385" s="65"/>
    </row>
    <row r="386" spans="2:7" ht="14.25" customHeight="1" x14ac:dyDescent="0.25">
      <c r="B386" s="478"/>
      <c r="C386" s="479"/>
      <c r="E386" s="480"/>
      <c r="G386" s="65"/>
    </row>
    <row r="387" spans="2:7" ht="14.25" customHeight="1" x14ac:dyDescent="0.25">
      <c r="B387" s="478"/>
      <c r="C387" s="479"/>
      <c r="E387" s="480"/>
      <c r="G387" s="65"/>
    </row>
    <row r="388" spans="2:7" ht="14.25" customHeight="1" x14ac:dyDescent="0.25">
      <c r="B388" s="478"/>
      <c r="C388" s="479"/>
      <c r="E388" s="480"/>
      <c r="G388" s="65"/>
    </row>
    <row r="389" spans="2:7" ht="14.25" customHeight="1" x14ac:dyDescent="0.25">
      <c r="B389" s="478"/>
      <c r="C389" s="479"/>
      <c r="E389" s="480"/>
      <c r="G389" s="65"/>
    </row>
    <row r="390" spans="2:7" ht="14.25" customHeight="1" x14ac:dyDescent="0.25">
      <c r="B390" s="478"/>
      <c r="C390" s="479"/>
      <c r="E390" s="480"/>
      <c r="G390" s="65"/>
    </row>
    <row r="391" spans="2:7" ht="14.25" customHeight="1" x14ac:dyDescent="0.25">
      <c r="B391" s="478"/>
      <c r="C391" s="479"/>
      <c r="E391" s="480"/>
      <c r="G391" s="65"/>
    </row>
    <row r="392" spans="2:7" ht="14.25" customHeight="1" x14ac:dyDescent="0.25">
      <c r="B392" s="478"/>
      <c r="C392" s="479"/>
      <c r="E392" s="480"/>
      <c r="G392" s="65"/>
    </row>
    <row r="393" spans="2:7" ht="14.25" customHeight="1" x14ac:dyDescent="0.25">
      <c r="B393" s="478"/>
      <c r="C393" s="479"/>
      <c r="E393" s="480"/>
      <c r="G393" s="65"/>
    </row>
    <row r="394" spans="2:7" ht="14.25" customHeight="1" x14ac:dyDescent="0.25">
      <c r="B394" s="478"/>
      <c r="C394" s="479"/>
      <c r="E394" s="480"/>
      <c r="G394" s="65"/>
    </row>
    <row r="395" spans="2:7" ht="14.25" customHeight="1" x14ac:dyDescent="0.25">
      <c r="B395" s="478"/>
      <c r="C395" s="479"/>
      <c r="E395" s="480"/>
      <c r="G395" s="65"/>
    </row>
    <row r="396" spans="2:7" ht="14.25" customHeight="1" x14ac:dyDescent="0.25">
      <c r="B396" s="478"/>
      <c r="C396" s="479"/>
      <c r="E396" s="480"/>
      <c r="G396" s="65"/>
    </row>
    <row r="397" spans="2:7" ht="14.25" customHeight="1" x14ac:dyDescent="0.25">
      <c r="B397" s="478"/>
      <c r="C397" s="479"/>
      <c r="E397" s="480"/>
      <c r="G397" s="65"/>
    </row>
    <row r="398" spans="2:7" ht="14.25" customHeight="1" x14ac:dyDescent="0.25">
      <c r="B398" s="478"/>
      <c r="C398" s="479"/>
      <c r="E398" s="480"/>
      <c r="G398" s="65"/>
    </row>
    <row r="399" spans="2:7" ht="14.25" customHeight="1" x14ac:dyDescent="0.25">
      <c r="B399" s="478"/>
      <c r="C399" s="479"/>
      <c r="E399" s="480"/>
      <c r="G399" s="65"/>
    </row>
    <row r="400" spans="2:7" ht="14.25" customHeight="1" x14ac:dyDescent="0.25">
      <c r="B400" s="478"/>
      <c r="C400" s="479"/>
      <c r="E400" s="480"/>
      <c r="G400" s="65"/>
    </row>
    <row r="401" spans="2:7" ht="14.25" customHeight="1" x14ac:dyDescent="0.25">
      <c r="B401" s="478"/>
      <c r="C401" s="479"/>
      <c r="E401" s="480"/>
      <c r="G401" s="65"/>
    </row>
    <row r="402" spans="2:7" ht="14.25" customHeight="1" x14ac:dyDescent="0.25">
      <c r="B402" s="478"/>
      <c r="C402" s="479"/>
      <c r="E402" s="480"/>
      <c r="G402" s="65"/>
    </row>
    <row r="403" spans="2:7" ht="14.25" customHeight="1" x14ac:dyDescent="0.25">
      <c r="B403" s="478"/>
      <c r="C403" s="479"/>
      <c r="E403" s="480"/>
      <c r="G403" s="65"/>
    </row>
    <row r="404" spans="2:7" ht="14.25" customHeight="1" x14ac:dyDescent="0.25">
      <c r="B404" s="478"/>
      <c r="C404" s="479"/>
      <c r="E404" s="480"/>
      <c r="G404" s="65"/>
    </row>
    <row r="405" spans="2:7" ht="14.25" customHeight="1" x14ac:dyDescent="0.25">
      <c r="B405" s="478"/>
      <c r="C405" s="479"/>
      <c r="E405" s="480"/>
      <c r="G405" s="65"/>
    </row>
    <row r="406" spans="2:7" ht="14.25" customHeight="1" x14ac:dyDescent="0.25">
      <c r="B406" s="478"/>
      <c r="C406" s="479"/>
      <c r="E406" s="480"/>
      <c r="G406" s="65"/>
    </row>
    <row r="407" spans="2:7" ht="14.25" customHeight="1" x14ac:dyDescent="0.25">
      <c r="B407" s="478"/>
      <c r="C407" s="479"/>
      <c r="E407" s="480"/>
      <c r="G407" s="65"/>
    </row>
    <row r="408" spans="2:7" ht="14.25" customHeight="1" x14ac:dyDescent="0.25">
      <c r="B408" s="478"/>
      <c r="C408" s="479"/>
      <c r="E408" s="480"/>
      <c r="G408" s="65"/>
    </row>
    <row r="409" spans="2:7" ht="14.25" customHeight="1" x14ac:dyDescent="0.25">
      <c r="B409" s="478"/>
      <c r="C409" s="479"/>
      <c r="E409" s="480"/>
      <c r="G409" s="65"/>
    </row>
    <row r="410" spans="2:7" ht="14.25" customHeight="1" x14ac:dyDescent="0.25">
      <c r="B410" s="478"/>
      <c r="C410" s="479"/>
      <c r="E410" s="480"/>
      <c r="G410" s="65"/>
    </row>
    <row r="411" spans="2:7" ht="14.25" customHeight="1" x14ac:dyDescent="0.25">
      <c r="B411" s="478"/>
      <c r="C411" s="479"/>
      <c r="E411" s="480"/>
      <c r="G411" s="65"/>
    </row>
    <row r="412" spans="2:7" ht="14.25" customHeight="1" x14ac:dyDescent="0.25">
      <c r="B412" s="478"/>
      <c r="C412" s="479"/>
      <c r="E412" s="480"/>
      <c r="G412" s="65"/>
    </row>
    <row r="413" spans="2:7" ht="14.25" customHeight="1" x14ac:dyDescent="0.25">
      <c r="B413" s="478"/>
      <c r="C413" s="479"/>
      <c r="E413" s="480"/>
      <c r="G413" s="65"/>
    </row>
    <row r="414" spans="2:7" ht="14.25" customHeight="1" x14ac:dyDescent="0.25">
      <c r="B414" s="478"/>
      <c r="C414" s="479"/>
      <c r="E414" s="480"/>
      <c r="G414" s="65"/>
    </row>
    <row r="415" spans="2:7" ht="14.25" customHeight="1" x14ac:dyDescent="0.25">
      <c r="B415" s="478"/>
      <c r="C415" s="479"/>
      <c r="E415" s="480"/>
      <c r="G415" s="65"/>
    </row>
    <row r="416" spans="2:7" ht="14.25" customHeight="1" x14ac:dyDescent="0.25">
      <c r="B416" s="478"/>
      <c r="C416" s="479"/>
      <c r="E416" s="480"/>
      <c r="G416" s="65"/>
    </row>
    <row r="417" spans="2:7" ht="14.25" customHeight="1" x14ac:dyDescent="0.25">
      <c r="B417" s="478"/>
      <c r="C417" s="479"/>
      <c r="E417" s="480"/>
      <c r="G417" s="65"/>
    </row>
    <row r="418" spans="2:7" ht="14.25" customHeight="1" x14ac:dyDescent="0.25">
      <c r="B418" s="478"/>
      <c r="C418" s="479"/>
      <c r="E418" s="480"/>
      <c r="G418" s="65"/>
    </row>
    <row r="419" spans="2:7" ht="14.25" customHeight="1" x14ac:dyDescent="0.25">
      <c r="B419" s="478"/>
      <c r="C419" s="479"/>
      <c r="E419" s="480"/>
      <c r="G419" s="65"/>
    </row>
    <row r="420" spans="2:7" ht="14.25" customHeight="1" x14ac:dyDescent="0.25">
      <c r="B420" s="478"/>
      <c r="C420" s="479"/>
      <c r="E420" s="480"/>
      <c r="G420" s="65"/>
    </row>
    <row r="421" spans="2:7" ht="14.25" customHeight="1" x14ac:dyDescent="0.25">
      <c r="B421" s="478"/>
      <c r="C421" s="479"/>
      <c r="E421" s="480"/>
      <c r="G421" s="65"/>
    </row>
    <row r="422" spans="2:7" ht="14.25" customHeight="1" x14ac:dyDescent="0.25">
      <c r="B422" s="478"/>
      <c r="C422" s="479"/>
      <c r="E422" s="480"/>
      <c r="G422" s="65"/>
    </row>
    <row r="423" spans="2:7" ht="14.25" customHeight="1" x14ac:dyDescent="0.25">
      <c r="B423" s="478"/>
      <c r="C423" s="479"/>
      <c r="E423" s="480"/>
      <c r="G423" s="65"/>
    </row>
    <row r="424" spans="2:7" ht="14.25" customHeight="1" x14ac:dyDescent="0.25">
      <c r="B424" s="478"/>
      <c r="C424" s="479"/>
      <c r="E424" s="480"/>
      <c r="G424" s="65"/>
    </row>
    <row r="425" spans="2:7" ht="14.25" customHeight="1" x14ac:dyDescent="0.25">
      <c r="B425" s="478"/>
      <c r="C425" s="479"/>
      <c r="E425" s="480"/>
      <c r="G425" s="65"/>
    </row>
    <row r="426" spans="2:7" ht="14.25" customHeight="1" x14ac:dyDescent="0.25">
      <c r="B426" s="478"/>
      <c r="C426" s="479"/>
      <c r="E426" s="480"/>
      <c r="G426" s="65"/>
    </row>
    <row r="427" spans="2:7" ht="14.25" customHeight="1" x14ac:dyDescent="0.25">
      <c r="B427" s="478"/>
      <c r="C427" s="479"/>
      <c r="E427" s="480"/>
      <c r="G427" s="65"/>
    </row>
    <row r="428" spans="2:7" ht="14.25" customHeight="1" x14ac:dyDescent="0.25">
      <c r="B428" s="478"/>
      <c r="C428" s="479"/>
      <c r="E428" s="480"/>
      <c r="G428" s="65"/>
    </row>
    <row r="429" spans="2:7" ht="14.25" customHeight="1" x14ac:dyDescent="0.25">
      <c r="B429" s="478"/>
      <c r="C429" s="479"/>
      <c r="E429" s="480"/>
      <c r="G429" s="65"/>
    </row>
    <row r="430" spans="2:7" ht="14.25" customHeight="1" x14ac:dyDescent="0.25">
      <c r="B430" s="478"/>
      <c r="C430" s="479"/>
      <c r="E430" s="480"/>
      <c r="G430" s="65"/>
    </row>
    <row r="431" spans="2:7" ht="14.25" customHeight="1" x14ac:dyDescent="0.25">
      <c r="B431" s="478"/>
      <c r="C431" s="479"/>
      <c r="E431" s="480"/>
      <c r="G431" s="65"/>
    </row>
    <row r="432" spans="2:7" ht="14.25" customHeight="1" x14ac:dyDescent="0.25">
      <c r="B432" s="478"/>
      <c r="C432" s="479"/>
      <c r="E432" s="480"/>
      <c r="G432" s="65"/>
    </row>
    <row r="433" spans="2:7" ht="14.25" customHeight="1" x14ac:dyDescent="0.25">
      <c r="B433" s="478"/>
      <c r="C433" s="479"/>
      <c r="E433" s="480"/>
      <c r="G433" s="65"/>
    </row>
    <row r="434" spans="2:7" ht="14.25" customHeight="1" x14ac:dyDescent="0.25">
      <c r="B434" s="478"/>
      <c r="C434" s="479"/>
      <c r="E434" s="480"/>
      <c r="G434" s="65"/>
    </row>
    <row r="435" spans="2:7" ht="14.25" customHeight="1" x14ac:dyDescent="0.25">
      <c r="B435" s="478"/>
      <c r="C435" s="479"/>
      <c r="E435" s="480"/>
      <c r="G435" s="65"/>
    </row>
    <row r="436" spans="2:7" ht="14.25" customHeight="1" x14ac:dyDescent="0.25">
      <c r="B436" s="478"/>
      <c r="C436" s="479"/>
      <c r="E436" s="480"/>
      <c r="G436" s="65"/>
    </row>
    <row r="437" spans="2:7" ht="14.25" customHeight="1" x14ac:dyDescent="0.25">
      <c r="B437" s="478"/>
      <c r="C437" s="479"/>
      <c r="E437" s="480"/>
      <c r="G437" s="65"/>
    </row>
    <row r="438" spans="2:7" ht="14.25" customHeight="1" x14ac:dyDescent="0.25">
      <c r="B438" s="478"/>
      <c r="C438" s="479"/>
      <c r="E438" s="480"/>
      <c r="G438" s="65"/>
    </row>
    <row r="439" spans="2:7" ht="14.25" customHeight="1" x14ac:dyDescent="0.25">
      <c r="B439" s="478"/>
      <c r="C439" s="479"/>
      <c r="E439" s="480"/>
      <c r="G439" s="65"/>
    </row>
    <row r="440" spans="2:7" ht="14.25" customHeight="1" x14ac:dyDescent="0.25">
      <c r="B440" s="478"/>
      <c r="C440" s="479"/>
      <c r="E440" s="480"/>
      <c r="G440" s="65"/>
    </row>
    <row r="441" spans="2:7" ht="14.25" customHeight="1" x14ac:dyDescent="0.25">
      <c r="B441" s="478"/>
      <c r="C441" s="479"/>
      <c r="E441" s="480"/>
      <c r="G441" s="65"/>
    </row>
    <row r="442" spans="2:7" ht="14.25" customHeight="1" x14ac:dyDescent="0.25">
      <c r="B442" s="478"/>
      <c r="C442" s="479"/>
      <c r="E442" s="480"/>
      <c r="G442" s="65"/>
    </row>
    <row r="443" spans="2:7" ht="14.25" customHeight="1" x14ac:dyDescent="0.25">
      <c r="B443" s="478"/>
      <c r="C443" s="479"/>
      <c r="E443" s="480"/>
      <c r="G443" s="65"/>
    </row>
    <row r="444" spans="2:7" ht="14.25" customHeight="1" x14ac:dyDescent="0.25">
      <c r="B444" s="478"/>
      <c r="C444" s="479"/>
      <c r="E444" s="480"/>
      <c r="G444" s="65"/>
    </row>
    <row r="445" spans="2:7" ht="14.25" customHeight="1" x14ac:dyDescent="0.25">
      <c r="B445" s="478"/>
      <c r="C445" s="479"/>
      <c r="E445" s="480"/>
      <c r="G445" s="65"/>
    </row>
    <row r="446" spans="2:7" ht="14.25" customHeight="1" x14ac:dyDescent="0.25">
      <c r="B446" s="478"/>
      <c r="C446" s="479"/>
      <c r="E446" s="480"/>
      <c r="G446" s="65"/>
    </row>
    <row r="447" spans="2:7" ht="14.25" customHeight="1" x14ac:dyDescent="0.25">
      <c r="B447" s="478"/>
      <c r="C447" s="479"/>
      <c r="E447" s="480"/>
      <c r="G447" s="65"/>
    </row>
    <row r="448" spans="2:7" ht="14.25" customHeight="1" x14ac:dyDescent="0.25">
      <c r="B448" s="478"/>
      <c r="C448" s="479"/>
      <c r="E448" s="480"/>
      <c r="G448" s="65"/>
    </row>
    <row r="449" spans="2:7" ht="14.25" customHeight="1" x14ac:dyDescent="0.25">
      <c r="B449" s="478"/>
      <c r="C449" s="479"/>
      <c r="E449" s="480"/>
      <c r="G449" s="65"/>
    </row>
    <row r="450" spans="2:7" ht="14.25" customHeight="1" x14ac:dyDescent="0.25">
      <c r="B450" s="478"/>
      <c r="C450" s="479"/>
      <c r="E450" s="480"/>
      <c r="G450" s="65"/>
    </row>
    <row r="451" spans="2:7" ht="14.25" customHeight="1" x14ac:dyDescent="0.25">
      <c r="B451" s="478"/>
      <c r="C451" s="479"/>
      <c r="E451" s="480"/>
      <c r="G451" s="65"/>
    </row>
    <row r="452" spans="2:7" ht="14.25" customHeight="1" x14ac:dyDescent="0.25">
      <c r="B452" s="478"/>
      <c r="C452" s="479"/>
      <c r="E452" s="480"/>
      <c r="G452" s="65"/>
    </row>
    <row r="453" spans="2:7" ht="14.25" customHeight="1" x14ac:dyDescent="0.25">
      <c r="B453" s="478"/>
      <c r="C453" s="479"/>
      <c r="E453" s="480"/>
      <c r="G453" s="65"/>
    </row>
    <row r="454" spans="2:7" ht="14.25" customHeight="1" x14ac:dyDescent="0.25">
      <c r="B454" s="478"/>
      <c r="C454" s="479"/>
      <c r="E454" s="480"/>
      <c r="G454" s="65"/>
    </row>
    <row r="455" spans="2:7" ht="14.25" customHeight="1" x14ac:dyDescent="0.25">
      <c r="B455" s="478"/>
      <c r="C455" s="479"/>
      <c r="E455" s="480"/>
      <c r="G455" s="65"/>
    </row>
    <row r="456" spans="2:7" ht="14.25" customHeight="1" x14ac:dyDescent="0.25">
      <c r="B456" s="478"/>
      <c r="C456" s="479"/>
      <c r="E456" s="480"/>
      <c r="G456" s="65"/>
    </row>
    <row r="457" spans="2:7" ht="14.25" customHeight="1" x14ac:dyDescent="0.25">
      <c r="B457" s="478"/>
      <c r="C457" s="479"/>
      <c r="E457" s="480"/>
      <c r="G457" s="65"/>
    </row>
    <row r="458" spans="2:7" ht="14.25" customHeight="1" x14ac:dyDescent="0.25">
      <c r="B458" s="478"/>
      <c r="C458" s="479"/>
      <c r="E458" s="480"/>
      <c r="G458" s="65"/>
    </row>
    <row r="459" spans="2:7" ht="14.25" customHeight="1" x14ac:dyDescent="0.25">
      <c r="B459" s="478"/>
      <c r="C459" s="479"/>
      <c r="E459" s="480"/>
      <c r="G459" s="65"/>
    </row>
    <row r="460" spans="2:7" ht="14.25" customHeight="1" x14ac:dyDescent="0.25">
      <c r="B460" s="478"/>
      <c r="C460" s="479"/>
      <c r="E460" s="480"/>
      <c r="G460" s="65"/>
    </row>
    <row r="461" spans="2:7" ht="14.25" customHeight="1" x14ac:dyDescent="0.25">
      <c r="B461" s="478"/>
      <c r="C461" s="479"/>
      <c r="E461" s="480"/>
      <c r="G461" s="65"/>
    </row>
    <row r="462" spans="2:7" ht="14.25" customHeight="1" x14ac:dyDescent="0.25">
      <c r="B462" s="478"/>
      <c r="C462" s="479"/>
      <c r="E462" s="480"/>
      <c r="G462" s="65"/>
    </row>
    <row r="463" spans="2:7" ht="14.25" customHeight="1" x14ac:dyDescent="0.25">
      <c r="B463" s="478"/>
      <c r="C463" s="479"/>
      <c r="E463" s="480"/>
      <c r="G463" s="65"/>
    </row>
    <row r="464" spans="2:7" ht="14.25" customHeight="1" x14ac:dyDescent="0.25">
      <c r="B464" s="478"/>
      <c r="C464" s="479"/>
      <c r="E464" s="480"/>
      <c r="G464" s="65"/>
    </row>
    <row r="465" spans="2:7" ht="14.25" customHeight="1" x14ac:dyDescent="0.25">
      <c r="B465" s="478"/>
      <c r="C465" s="479"/>
      <c r="E465" s="480"/>
      <c r="G465" s="65"/>
    </row>
    <row r="466" spans="2:7" ht="14.25" customHeight="1" x14ac:dyDescent="0.25">
      <c r="B466" s="478"/>
      <c r="C466" s="479"/>
      <c r="E466" s="480"/>
      <c r="G466" s="65"/>
    </row>
    <row r="467" spans="2:7" ht="14.25" customHeight="1" x14ac:dyDescent="0.25">
      <c r="B467" s="478"/>
      <c r="C467" s="479"/>
      <c r="E467" s="480"/>
      <c r="G467" s="65"/>
    </row>
    <row r="468" spans="2:7" ht="14.25" customHeight="1" x14ac:dyDescent="0.25">
      <c r="B468" s="478"/>
      <c r="C468" s="479"/>
      <c r="E468" s="480"/>
      <c r="G468" s="65"/>
    </row>
    <row r="469" spans="2:7" ht="14.25" customHeight="1" x14ac:dyDescent="0.25">
      <c r="B469" s="478"/>
      <c r="C469" s="479"/>
      <c r="E469" s="480"/>
      <c r="G469" s="65"/>
    </row>
    <row r="470" spans="2:7" ht="14.25" customHeight="1" x14ac:dyDescent="0.25">
      <c r="B470" s="478"/>
      <c r="C470" s="479"/>
      <c r="E470" s="480"/>
      <c r="G470" s="65"/>
    </row>
    <row r="471" spans="2:7" ht="14.25" customHeight="1" x14ac:dyDescent="0.25">
      <c r="B471" s="478"/>
      <c r="C471" s="479"/>
      <c r="E471" s="480"/>
      <c r="G471" s="65"/>
    </row>
    <row r="472" spans="2:7" ht="14.25" customHeight="1" x14ac:dyDescent="0.25">
      <c r="B472" s="478"/>
      <c r="C472" s="479"/>
      <c r="E472" s="480"/>
      <c r="G472" s="65"/>
    </row>
    <row r="473" spans="2:7" ht="14.25" customHeight="1" x14ac:dyDescent="0.25">
      <c r="B473" s="478"/>
      <c r="C473" s="479"/>
      <c r="E473" s="480"/>
      <c r="G473" s="65"/>
    </row>
    <row r="474" spans="2:7" ht="14.25" customHeight="1" x14ac:dyDescent="0.25">
      <c r="B474" s="478"/>
      <c r="C474" s="479"/>
      <c r="E474" s="480"/>
      <c r="G474" s="65"/>
    </row>
    <row r="475" spans="2:7" ht="14.25" customHeight="1" x14ac:dyDescent="0.25">
      <c r="B475" s="478"/>
      <c r="C475" s="479"/>
      <c r="E475" s="480"/>
      <c r="G475" s="65"/>
    </row>
    <row r="476" spans="2:7" ht="14.25" customHeight="1" x14ac:dyDescent="0.25">
      <c r="B476" s="478"/>
      <c r="C476" s="479"/>
      <c r="E476" s="480"/>
      <c r="G476" s="65"/>
    </row>
    <row r="477" spans="2:7" ht="14.25" customHeight="1" x14ac:dyDescent="0.25">
      <c r="B477" s="478"/>
      <c r="C477" s="479"/>
      <c r="E477" s="480"/>
      <c r="G477" s="65"/>
    </row>
    <row r="478" spans="2:7" ht="14.25" customHeight="1" x14ac:dyDescent="0.25">
      <c r="B478" s="478"/>
      <c r="C478" s="479"/>
      <c r="E478" s="480"/>
      <c r="G478" s="65"/>
    </row>
    <row r="479" spans="2:7" ht="14.25" customHeight="1" x14ac:dyDescent="0.25">
      <c r="B479" s="478"/>
      <c r="C479" s="479"/>
      <c r="E479" s="480"/>
      <c r="G479" s="65"/>
    </row>
    <row r="480" spans="2:7" ht="14.25" customHeight="1" x14ac:dyDescent="0.25">
      <c r="B480" s="478"/>
      <c r="C480" s="479"/>
      <c r="E480" s="480"/>
      <c r="G480" s="65"/>
    </row>
    <row r="481" spans="2:7" ht="14.25" customHeight="1" x14ac:dyDescent="0.25">
      <c r="B481" s="478"/>
      <c r="C481" s="479"/>
      <c r="E481" s="480"/>
      <c r="G481" s="65"/>
    </row>
    <row r="482" spans="2:7" ht="14.25" customHeight="1" x14ac:dyDescent="0.25">
      <c r="B482" s="478"/>
      <c r="C482" s="479"/>
      <c r="E482" s="480"/>
      <c r="G482" s="65"/>
    </row>
    <row r="483" spans="2:7" ht="14.25" customHeight="1" x14ac:dyDescent="0.25">
      <c r="B483" s="478"/>
      <c r="C483" s="479"/>
      <c r="E483" s="480"/>
      <c r="G483" s="65"/>
    </row>
    <row r="484" spans="2:7" ht="14.25" customHeight="1" x14ac:dyDescent="0.25">
      <c r="B484" s="478"/>
      <c r="C484" s="479"/>
      <c r="E484" s="480"/>
      <c r="G484" s="65"/>
    </row>
    <row r="485" spans="2:7" ht="14.25" customHeight="1" x14ac:dyDescent="0.25">
      <c r="B485" s="478"/>
      <c r="C485" s="479"/>
      <c r="E485" s="480"/>
      <c r="G485" s="65"/>
    </row>
    <row r="486" spans="2:7" ht="14.25" customHeight="1" x14ac:dyDescent="0.25">
      <c r="B486" s="478"/>
      <c r="C486" s="479"/>
      <c r="E486" s="480"/>
      <c r="G486" s="65"/>
    </row>
    <row r="487" spans="2:7" ht="14.25" customHeight="1" x14ac:dyDescent="0.25">
      <c r="B487" s="478"/>
      <c r="C487" s="479"/>
      <c r="E487" s="480"/>
      <c r="G487" s="65"/>
    </row>
    <row r="488" spans="2:7" ht="14.25" customHeight="1" x14ac:dyDescent="0.25">
      <c r="B488" s="478"/>
      <c r="C488" s="479"/>
      <c r="E488" s="480"/>
      <c r="G488" s="65"/>
    </row>
    <row r="489" spans="2:7" ht="14.25" customHeight="1" x14ac:dyDescent="0.25">
      <c r="B489" s="478"/>
      <c r="C489" s="479"/>
      <c r="E489" s="480"/>
      <c r="G489" s="65"/>
    </row>
    <row r="490" spans="2:7" ht="14.25" customHeight="1" x14ac:dyDescent="0.25">
      <c r="B490" s="478"/>
      <c r="C490" s="479"/>
      <c r="E490" s="480"/>
      <c r="G490" s="65"/>
    </row>
    <row r="491" spans="2:7" ht="14.25" customHeight="1" x14ac:dyDescent="0.25">
      <c r="B491" s="478"/>
      <c r="C491" s="479"/>
      <c r="E491" s="480"/>
      <c r="G491" s="65"/>
    </row>
    <row r="492" spans="2:7" ht="14.25" customHeight="1" x14ac:dyDescent="0.25">
      <c r="B492" s="478"/>
      <c r="C492" s="479"/>
      <c r="E492" s="480"/>
      <c r="G492" s="65"/>
    </row>
    <row r="493" spans="2:7" ht="14.25" customHeight="1" x14ac:dyDescent="0.25">
      <c r="B493" s="478"/>
      <c r="C493" s="479"/>
      <c r="E493" s="480"/>
      <c r="G493" s="65"/>
    </row>
    <row r="494" spans="2:7" ht="14.25" customHeight="1" x14ac:dyDescent="0.25">
      <c r="B494" s="478"/>
      <c r="C494" s="479"/>
      <c r="E494" s="480"/>
      <c r="G494" s="65"/>
    </row>
    <row r="495" spans="2:7" ht="14.25" customHeight="1" x14ac:dyDescent="0.25">
      <c r="B495" s="478"/>
      <c r="C495" s="479"/>
      <c r="E495" s="480"/>
      <c r="G495" s="65"/>
    </row>
    <row r="496" spans="2:7" ht="14.25" customHeight="1" x14ac:dyDescent="0.25">
      <c r="B496" s="478"/>
      <c r="C496" s="479"/>
      <c r="E496" s="480"/>
      <c r="G496" s="65"/>
    </row>
    <row r="497" spans="2:7" ht="14.25" customHeight="1" x14ac:dyDescent="0.25">
      <c r="B497" s="478"/>
      <c r="C497" s="479"/>
      <c r="E497" s="480"/>
      <c r="G497" s="65"/>
    </row>
    <row r="498" spans="2:7" ht="14.25" customHeight="1" x14ac:dyDescent="0.25">
      <c r="B498" s="478"/>
      <c r="C498" s="479"/>
      <c r="E498" s="480"/>
      <c r="G498" s="65"/>
    </row>
    <row r="499" spans="2:7" ht="14.25" customHeight="1" x14ac:dyDescent="0.25">
      <c r="B499" s="478"/>
      <c r="C499" s="479"/>
      <c r="E499" s="480"/>
      <c r="G499" s="65"/>
    </row>
    <row r="500" spans="2:7" ht="14.25" customHeight="1" x14ac:dyDescent="0.25">
      <c r="B500" s="478"/>
      <c r="C500" s="479"/>
      <c r="E500" s="480"/>
      <c r="G500" s="65"/>
    </row>
    <row r="501" spans="2:7" ht="14.25" customHeight="1" x14ac:dyDescent="0.25">
      <c r="B501" s="478"/>
      <c r="C501" s="479"/>
      <c r="E501" s="480"/>
      <c r="G501" s="65"/>
    </row>
    <row r="502" spans="2:7" ht="14.25" customHeight="1" x14ac:dyDescent="0.25">
      <c r="B502" s="478"/>
      <c r="C502" s="479"/>
      <c r="E502" s="480"/>
      <c r="G502" s="65"/>
    </row>
    <row r="503" spans="2:7" ht="14.25" customHeight="1" x14ac:dyDescent="0.25">
      <c r="B503" s="478"/>
      <c r="C503" s="479"/>
      <c r="E503" s="480"/>
      <c r="G503" s="65"/>
    </row>
    <row r="504" spans="2:7" ht="14.25" customHeight="1" x14ac:dyDescent="0.25">
      <c r="B504" s="478"/>
      <c r="C504" s="479"/>
      <c r="E504" s="480"/>
      <c r="G504" s="65"/>
    </row>
    <row r="505" spans="2:7" ht="14.25" customHeight="1" x14ac:dyDescent="0.25">
      <c r="B505" s="478"/>
      <c r="C505" s="479"/>
      <c r="E505" s="480"/>
      <c r="G505" s="65"/>
    </row>
    <row r="506" spans="2:7" ht="14.25" customHeight="1" x14ac:dyDescent="0.25">
      <c r="B506" s="478"/>
      <c r="C506" s="479"/>
      <c r="E506" s="480"/>
      <c r="G506" s="65"/>
    </row>
    <row r="507" spans="2:7" ht="14.25" customHeight="1" x14ac:dyDescent="0.25">
      <c r="B507" s="478"/>
      <c r="C507" s="479"/>
      <c r="E507" s="480"/>
      <c r="G507" s="65"/>
    </row>
    <row r="508" spans="2:7" ht="14.25" customHeight="1" x14ac:dyDescent="0.25">
      <c r="B508" s="478"/>
      <c r="C508" s="479"/>
      <c r="E508" s="480"/>
      <c r="G508" s="65"/>
    </row>
    <row r="509" spans="2:7" ht="14.25" customHeight="1" x14ac:dyDescent="0.25">
      <c r="B509" s="478"/>
      <c r="C509" s="479"/>
      <c r="E509" s="480"/>
      <c r="G509" s="65"/>
    </row>
    <row r="510" spans="2:7" ht="14.25" customHeight="1" x14ac:dyDescent="0.25">
      <c r="B510" s="478"/>
      <c r="C510" s="479"/>
      <c r="E510" s="480"/>
      <c r="G510" s="65"/>
    </row>
    <row r="511" spans="2:7" ht="14.25" customHeight="1" x14ac:dyDescent="0.25">
      <c r="B511" s="478"/>
      <c r="C511" s="479"/>
      <c r="E511" s="480"/>
      <c r="G511" s="65"/>
    </row>
    <row r="512" spans="2:7" ht="14.25" customHeight="1" x14ac:dyDescent="0.25">
      <c r="B512" s="478"/>
      <c r="C512" s="479"/>
      <c r="E512" s="480"/>
      <c r="G512" s="65"/>
    </row>
    <row r="513" spans="2:7" ht="14.25" customHeight="1" x14ac:dyDescent="0.25">
      <c r="B513" s="478"/>
      <c r="C513" s="479"/>
      <c r="E513" s="480"/>
      <c r="G513" s="65"/>
    </row>
    <row r="514" spans="2:7" ht="14.25" customHeight="1" x14ac:dyDescent="0.25">
      <c r="B514" s="478"/>
      <c r="C514" s="479"/>
      <c r="E514" s="480"/>
      <c r="G514" s="65"/>
    </row>
    <row r="515" spans="2:7" ht="14.25" customHeight="1" x14ac:dyDescent="0.25">
      <c r="B515" s="478"/>
      <c r="C515" s="479"/>
      <c r="E515" s="480"/>
      <c r="G515" s="65"/>
    </row>
    <row r="516" spans="2:7" ht="14.25" customHeight="1" x14ac:dyDescent="0.25">
      <c r="B516" s="478"/>
      <c r="C516" s="479"/>
      <c r="E516" s="480"/>
      <c r="G516" s="65"/>
    </row>
    <row r="517" spans="2:7" ht="14.25" customHeight="1" x14ac:dyDescent="0.25">
      <c r="B517" s="478"/>
      <c r="C517" s="479"/>
      <c r="E517" s="480"/>
      <c r="G517" s="65"/>
    </row>
    <row r="518" spans="2:7" ht="14.25" customHeight="1" x14ac:dyDescent="0.25">
      <c r="B518" s="478"/>
      <c r="C518" s="479"/>
      <c r="E518" s="480"/>
      <c r="G518" s="65"/>
    </row>
    <row r="519" spans="2:7" ht="14.25" customHeight="1" x14ac:dyDescent="0.25">
      <c r="B519" s="478"/>
      <c r="C519" s="479"/>
      <c r="E519" s="480"/>
      <c r="G519" s="65"/>
    </row>
    <row r="520" spans="2:7" ht="14.25" customHeight="1" x14ac:dyDescent="0.25">
      <c r="B520" s="478"/>
      <c r="C520" s="479"/>
      <c r="E520" s="480"/>
      <c r="G520" s="65"/>
    </row>
    <row r="521" spans="2:7" ht="14.25" customHeight="1" x14ac:dyDescent="0.25">
      <c r="B521" s="478"/>
      <c r="C521" s="479"/>
      <c r="E521" s="480"/>
      <c r="G521" s="65"/>
    </row>
    <row r="522" spans="2:7" ht="14.25" customHeight="1" x14ac:dyDescent="0.25">
      <c r="B522" s="478"/>
      <c r="C522" s="479"/>
      <c r="E522" s="480"/>
      <c r="G522" s="65"/>
    </row>
    <row r="523" spans="2:7" ht="14.25" customHeight="1" x14ac:dyDescent="0.25">
      <c r="B523" s="478"/>
      <c r="C523" s="479"/>
      <c r="E523" s="480"/>
      <c r="G523" s="65"/>
    </row>
    <row r="524" spans="2:7" ht="14.25" customHeight="1" x14ac:dyDescent="0.25">
      <c r="B524" s="478"/>
      <c r="C524" s="479"/>
      <c r="E524" s="480"/>
      <c r="G524" s="65"/>
    </row>
    <row r="525" spans="2:7" ht="14.25" customHeight="1" x14ac:dyDescent="0.25">
      <c r="B525" s="478"/>
      <c r="C525" s="479"/>
      <c r="E525" s="480"/>
      <c r="G525" s="65"/>
    </row>
    <row r="526" spans="2:7" ht="14.25" customHeight="1" x14ac:dyDescent="0.25">
      <c r="B526" s="478"/>
      <c r="C526" s="479"/>
      <c r="E526" s="480"/>
      <c r="G526" s="65"/>
    </row>
    <row r="527" spans="2:7" ht="14.25" customHeight="1" x14ac:dyDescent="0.25">
      <c r="B527" s="478"/>
      <c r="C527" s="479"/>
      <c r="E527" s="480"/>
      <c r="G527" s="65"/>
    </row>
    <row r="528" spans="2:7" ht="14.25" customHeight="1" x14ac:dyDescent="0.25">
      <c r="B528" s="478"/>
      <c r="C528" s="479"/>
      <c r="E528" s="480"/>
      <c r="G528" s="65"/>
    </row>
    <row r="529" spans="2:7" ht="14.25" customHeight="1" x14ac:dyDescent="0.25">
      <c r="B529" s="478"/>
      <c r="C529" s="479"/>
      <c r="E529" s="480"/>
      <c r="G529" s="65"/>
    </row>
    <row r="530" spans="2:7" ht="14.25" customHeight="1" x14ac:dyDescent="0.25">
      <c r="B530" s="478"/>
      <c r="C530" s="479"/>
      <c r="E530" s="480"/>
      <c r="G530" s="65"/>
    </row>
    <row r="531" spans="2:7" ht="14.25" customHeight="1" x14ac:dyDescent="0.25">
      <c r="B531" s="478"/>
      <c r="C531" s="479"/>
      <c r="E531" s="480"/>
      <c r="G531" s="65"/>
    </row>
    <row r="532" spans="2:7" ht="14.25" customHeight="1" x14ac:dyDescent="0.25">
      <c r="B532" s="478"/>
      <c r="C532" s="479"/>
      <c r="E532" s="480"/>
      <c r="G532" s="65"/>
    </row>
    <row r="533" spans="2:7" ht="14.25" customHeight="1" x14ac:dyDescent="0.25">
      <c r="B533" s="478"/>
      <c r="C533" s="479"/>
      <c r="E533" s="480"/>
      <c r="G533" s="65"/>
    </row>
    <row r="534" spans="2:7" ht="14.25" customHeight="1" x14ac:dyDescent="0.25">
      <c r="B534" s="478"/>
      <c r="C534" s="479"/>
      <c r="E534" s="480"/>
      <c r="G534" s="65"/>
    </row>
    <row r="535" spans="2:7" ht="14.25" customHeight="1" x14ac:dyDescent="0.25">
      <c r="B535" s="478"/>
      <c r="C535" s="479"/>
      <c r="E535" s="480"/>
      <c r="G535" s="65"/>
    </row>
    <row r="536" spans="2:7" ht="14.25" customHeight="1" x14ac:dyDescent="0.25">
      <c r="B536" s="478"/>
      <c r="C536" s="479"/>
      <c r="E536" s="480"/>
      <c r="G536" s="65"/>
    </row>
    <row r="537" spans="2:7" ht="14.25" customHeight="1" x14ac:dyDescent="0.25">
      <c r="B537" s="478"/>
      <c r="C537" s="479"/>
      <c r="E537" s="480"/>
      <c r="G537" s="65"/>
    </row>
    <row r="538" spans="2:7" ht="14.25" customHeight="1" x14ac:dyDescent="0.25">
      <c r="B538" s="478"/>
      <c r="C538" s="479"/>
      <c r="E538" s="480"/>
      <c r="G538" s="65"/>
    </row>
    <row r="539" spans="2:7" ht="14.25" customHeight="1" x14ac:dyDescent="0.25">
      <c r="B539" s="478"/>
      <c r="C539" s="479"/>
      <c r="E539" s="480"/>
      <c r="G539" s="65"/>
    </row>
    <row r="540" spans="2:7" ht="14.25" customHeight="1" x14ac:dyDescent="0.25">
      <c r="B540" s="478"/>
      <c r="C540" s="479"/>
      <c r="E540" s="480"/>
      <c r="G540" s="65"/>
    </row>
    <row r="541" spans="2:7" ht="14.25" customHeight="1" x14ac:dyDescent="0.25">
      <c r="B541" s="478"/>
      <c r="C541" s="479"/>
      <c r="E541" s="480"/>
      <c r="G541" s="65"/>
    </row>
    <row r="542" spans="2:7" ht="14.25" customHeight="1" x14ac:dyDescent="0.25">
      <c r="B542" s="478"/>
      <c r="C542" s="479"/>
      <c r="E542" s="480"/>
      <c r="G542" s="65"/>
    </row>
    <row r="543" spans="2:7" ht="14.25" customHeight="1" x14ac:dyDescent="0.25">
      <c r="B543" s="478"/>
      <c r="C543" s="479"/>
      <c r="E543" s="480"/>
      <c r="G543" s="65"/>
    </row>
    <row r="544" spans="2:7" ht="14.25" customHeight="1" x14ac:dyDescent="0.25">
      <c r="B544" s="478"/>
      <c r="C544" s="479"/>
      <c r="E544" s="480"/>
      <c r="G544" s="65"/>
    </row>
    <row r="545" spans="2:7" ht="14.25" customHeight="1" x14ac:dyDescent="0.25">
      <c r="B545" s="478"/>
      <c r="C545" s="479"/>
      <c r="E545" s="480"/>
      <c r="G545" s="65"/>
    </row>
    <row r="546" spans="2:7" ht="14.25" customHeight="1" x14ac:dyDescent="0.25">
      <c r="B546" s="478"/>
      <c r="C546" s="479"/>
      <c r="E546" s="480"/>
      <c r="G546" s="65"/>
    </row>
    <row r="547" spans="2:7" ht="14.25" customHeight="1" x14ac:dyDescent="0.25">
      <c r="B547" s="478"/>
      <c r="C547" s="479"/>
      <c r="E547" s="480"/>
      <c r="G547" s="65"/>
    </row>
    <row r="548" spans="2:7" ht="14.25" customHeight="1" x14ac:dyDescent="0.25">
      <c r="B548" s="478"/>
      <c r="C548" s="479"/>
      <c r="E548" s="480"/>
      <c r="G548" s="65"/>
    </row>
    <row r="549" spans="2:7" ht="14.25" customHeight="1" x14ac:dyDescent="0.25">
      <c r="B549" s="478"/>
      <c r="C549" s="479"/>
      <c r="E549" s="480"/>
      <c r="G549" s="65"/>
    </row>
    <row r="550" spans="2:7" ht="14.25" customHeight="1" x14ac:dyDescent="0.25">
      <c r="B550" s="478"/>
      <c r="C550" s="479"/>
      <c r="E550" s="480"/>
      <c r="G550" s="65"/>
    </row>
    <row r="551" spans="2:7" ht="14.25" customHeight="1" x14ac:dyDescent="0.25">
      <c r="B551" s="478"/>
      <c r="C551" s="479"/>
      <c r="E551" s="480"/>
      <c r="G551" s="65"/>
    </row>
    <row r="552" spans="2:7" ht="14.25" customHeight="1" x14ac:dyDescent="0.25">
      <c r="B552" s="478"/>
      <c r="C552" s="479"/>
      <c r="E552" s="480"/>
      <c r="G552" s="65"/>
    </row>
    <row r="553" spans="2:7" ht="14.25" customHeight="1" x14ac:dyDescent="0.25">
      <c r="B553" s="478"/>
      <c r="C553" s="479"/>
      <c r="E553" s="480"/>
      <c r="G553" s="65"/>
    </row>
    <row r="554" spans="2:7" ht="14.25" customHeight="1" x14ac:dyDescent="0.25">
      <c r="B554" s="478"/>
      <c r="C554" s="479"/>
      <c r="E554" s="480"/>
      <c r="G554" s="65"/>
    </row>
    <row r="555" spans="2:7" ht="14.25" customHeight="1" x14ac:dyDescent="0.25">
      <c r="B555" s="478"/>
      <c r="C555" s="479"/>
      <c r="E555" s="480"/>
      <c r="G555" s="65"/>
    </row>
    <row r="556" spans="2:7" ht="14.25" customHeight="1" x14ac:dyDescent="0.25">
      <c r="B556" s="478"/>
      <c r="C556" s="479"/>
      <c r="E556" s="480"/>
      <c r="G556" s="65"/>
    </row>
    <row r="557" spans="2:7" ht="14.25" customHeight="1" x14ac:dyDescent="0.25">
      <c r="B557" s="478"/>
      <c r="C557" s="479"/>
      <c r="E557" s="480"/>
      <c r="G557" s="65"/>
    </row>
    <row r="558" spans="2:7" ht="14.25" customHeight="1" x14ac:dyDescent="0.25">
      <c r="B558" s="478"/>
      <c r="C558" s="479"/>
      <c r="E558" s="480"/>
      <c r="G558" s="65"/>
    </row>
    <row r="559" spans="2:7" ht="14.25" customHeight="1" x14ac:dyDescent="0.25">
      <c r="B559" s="478"/>
      <c r="C559" s="479"/>
      <c r="E559" s="480"/>
      <c r="G559" s="65"/>
    </row>
    <row r="560" spans="2:7" ht="14.25" customHeight="1" x14ac:dyDescent="0.25">
      <c r="B560" s="478"/>
      <c r="C560" s="479"/>
      <c r="E560" s="480"/>
      <c r="G560" s="65"/>
    </row>
    <row r="561" spans="2:7" ht="14.25" customHeight="1" x14ac:dyDescent="0.25">
      <c r="B561" s="478"/>
      <c r="C561" s="479"/>
      <c r="E561" s="480"/>
      <c r="G561" s="65"/>
    </row>
    <row r="562" spans="2:7" ht="14.25" customHeight="1" x14ac:dyDescent="0.25">
      <c r="B562" s="478"/>
      <c r="C562" s="479"/>
      <c r="E562" s="480"/>
      <c r="G562" s="65"/>
    </row>
    <row r="563" spans="2:7" ht="14.25" customHeight="1" x14ac:dyDescent="0.25">
      <c r="B563" s="478"/>
      <c r="C563" s="479"/>
      <c r="E563" s="480"/>
      <c r="G563" s="65"/>
    </row>
    <row r="564" spans="2:7" ht="14.25" customHeight="1" x14ac:dyDescent="0.25">
      <c r="B564" s="478"/>
      <c r="C564" s="479"/>
      <c r="E564" s="480"/>
      <c r="G564" s="65"/>
    </row>
    <row r="565" spans="2:7" ht="14.25" customHeight="1" x14ac:dyDescent="0.25">
      <c r="B565" s="478"/>
      <c r="C565" s="479"/>
      <c r="E565" s="480"/>
      <c r="G565" s="65"/>
    </row>
    <row r="566" spans="2:7" ht="14.25" customHeight="1" x14ac:dyDescent="0.25">
      <c r="B566" s="478"/>
      <c r="C566" s="479"/>
      <c r="E566" s="480"/>
      <c r="G566" s="65"/>
    </row>
    <row r="567" spans="2:7" ht="14.25" customHeight="1" x14ac:dyDescent="0.25">
      <c r="B567" s="478"/>
      <c r="C567" s="479"/>
      <c r="E567" s="480"/>
      <c r="G567" s="65"/>
    </row>
    <row r="568" spans="2:7" ht="14.25" customHeight="1" x14ac:dyDescent="0.25">
      <c r="B568" s="478"/>
      <c r="C568" s="479"/>
      <c r="E568" s="480"/>
      <c r="G568" s="65"/>
    </row>
    <row r="569" spans="2:7" ht="14.25" customHeight="1" x14ac:dyDescent="0.25">
      <c r="B569" s="478"/>
      <c r="C569" s="479"/>
      <c r="E569" s="480"/>
      <c r="G569" s="65"/>
    </row>
    <row r="570" spans="2:7" ht="14.25" customHeight="1" x14ac:dyDescent="0.25">
      <c r="B570" s="478"/>
      <c r="C570" s="479"/>
      <c r="E570" s="480"/>
      <c r="G570" s="65"/>
    </row>
    <row r="571" spans="2:7" ht="14.25" customHeight="1" x14ac:dyDescent="0.25">
      <c r="B571" s="478"/>
      <c r="C571" s="479"/>
      <c r="E571" s="480"/>
      <c r="G571" s="65"/>
    </row>
    <row r="572" spans="2:7" ht="14.25" customHeight="1" x14ac:dyDescent="0.25">
      <c r="B572" s="478"/>
      <c r="C572" s="479"/>
      <c r="E572" s="480"/>
      <c r="G572" s="65"/>
    </row>
    <row r="573" spans="2:7" ht="14.25" customHeight="1" x14ac:dyDescent="0.25">
      <c r="B573" s="478"/>
      <c r="C573" s="479"/>
      <c r="E573" s="480"/>
      <c r="G573" s="65"/>
    </row>
    <row r="574" spans="2:7" ht="14.25" customHeight="1" x14ac:dyDescent="0.25">
      <c r="B574" s="478"/>
      <c r="C574" s="479"/>
      <c r="E574" s="480"/>
      <c r="G574" s="65"/>
    </row>
    <row r="575" spans="2:7" ht="14.25" customHeight="1" x14ac:dyDescent="0.25">
      <c r="B575" s="478"/>
      <c r="C575" s="479"/>
      <c r="E575" s="480"/>
      <c r="G575" s="65"/>
    </row>
    <row r="576" spans="2:7" ht="14.25" customHeight="1" x14ac:dyDescent="0.25">
      <c r="B576" s="478"/>
      <c r="C576" s="479"/>
      <c r="E576" s="480"/>
      <c r="G576" s="65"/>
    </row>
    <row r="577" spans="2:7" ht="14.25" customHeight="1" x14ac:dyDescent="0.25">
      <c r="B577" s="478"/>
      <c r="C577" s="479"/>
      <c r="E577" s="480"/>
      <c r="G577" s="65"/>
    </row>
    <row r="578" spans="2:7" ht="14.25" customHeight="1" x14ac:dyDescent="0.25">
      <c r="B578" s="478"/>
      <c r="C578" s="479"/>
      <c r="E578" s="480"/>
      <c r="G578" s="65"/>
    </row>
    <row r="579" spans="2:7" ht="14.25" customHeight="1" x14ac:dyDescent="0.25">
      <c r="B579" s="478"/>
      <c r="C579" s="479"/>
      <c r="E579" s="480"/>
      <c r="G579" s="65"/>
    </row>
    <row r="580" spans="2:7" ht="14.25" customHeight="1" x14ac:dyDescent="0.25">
      <c r="B580" s="478"/>
      <c r="C580" s="479"/>
      <c r="E580" s="480"/>
      <c r="G580" s="65"/>
    </row>
    <row r="581" spans="2:7" ht="14.25" customHeight="1" x14ac:dyDescent="0.25">
      <c r="B581" s="478"/>
      <c r="C581" s="479"/>
      <c r="E581" s="480"/>
      <c r="G581" s="65"/>
    </row>
    <row r="582" spans="2:7" ht="14.25" customHeight="1" x14ac:dyDescent="0.25">
      <c r="B582" s="478"/>
      <c r="C582" s="479"/>
      <c r="E582" s="480"/>
      <c r="G582" s="65"/>
    </row>
    <row r="583" spans="2:7" ht="14.25" customHeight="1" x14ac:dyDescent="0.25">
      <c r="B583" s="478"/>
      <c r="C583" s="479"/>
      <c r="E583" s="480"/>
      <c r="G583" s="65"/>
    </row>
    <row r="584" spans="2:7" ht="14.25" customHeight="1" x14ac:dyDescent="0.25">
      <c r="B584" s="478"/>
      <c r="C584" s="479"/>
      <c r="E584" s="480"/>
      <c r="G584" s="65"/>
    </row>
    <row r="585" spans="2:7" ht="14.25" customHeight="1" x14ac:dyDescent="0.25">
      <c r="B585" s="478"/>
      <c r="C585" s="479"/>
      <c r="E585" s="480"/>
      <c r="G585" s="65"/>
    </row>
    <row r="586" spans="2:7" ht="14.25" customHeight="1" x14ac:dyDescent="0.25">
      <c r="B586" s="478"/>
      <c r="C586" s="479"/>
      <c r="E586" s="480"/>
      <c r="G586" s="65"/>
    </row>
    <row r="587" spans="2:7" ht="14.25" customHeight="1" x14ac:dyDescent="0.25">
      <c r="B587" s="478"/>
      <c r="C587" s="479"/>
      <c r="E587" s="480"/>
      <c r="G587" s="65"/>
    </row>
    <row r="588" spans="2:7" ht="14.25" customHeight="1" x14ac:dyDescent="0.25">
      <c r="B588" s="478"/>
      <c r="C588" s="479"/>
      <c r="E588" s="480"/>
      <c r="G588" s="65"/>
    </row>
    <row r="589" spans="2:7" ht="14.25" customHeight="1" x14ac:dyDescent="0.25">
      <c r="B589" s="478"/>
      <c r="C589" s="479"/>
      <c r="E589" s="480"/>
      <c r="G589" s="65"/>
    </row>
    <row r="590" spans="2:7" ht="14.25" customHeight="1" x14ac:dyDescent="0.25">
      <c r="B590" s="478"/>
      <c r="C590" s="479"/>
      <c r="E590" s="480"/>
      <c r="G590" s="65"/>
    </row>
    <row r="591" spans="2:7" ht="14.25" customHeight="1" x14ac:dyDescent="0.25">
      <c r="B591" s="478"/>
      <c r="C591" s="479"/>
      <c r="E591" s="480"/>
      <c r="G591" s="65"/>
    </row>
    <row r="592" spans="2:7" ht="14.25" customHeight="1" x14ac:dyDescent="0.25">
      <c r="B592" s="478"/>
      <c r="C592" s="479"/>
      <c r="E592" s="480"/>
      <c r="G592" s="65"/>
    </row>
    <row r="593" spans="2:7" ht="14.25" customHeight="1" x14ac:dyDescent="0.25">
      <c r="B593" s="478"/>
      <c r="C593" s="479"/>
      <c r="E593" s="480"/>
      <c r="G593" s="65"/>
    </row>
    <row r="594" spans="2:7" ht="14.25" customHeight="1" x14ac:dyDescent="0.25">
      <c r="B594" s="478"/>
      <c r="C594" s="479"/>
      <c r="E594" s="480"/>
      <c r="G594" s="65"/>
    </row>
    <row r="595" spans="2:7" ht="14.25" customHeight="1" x14ac:dyDescent="0.25">
      <c r="B595" s="478"/>
      <c r="C595" s="479"/>
      <c r="E595" s="480"/>
      <c r="G595" s="65"/>
    </row>
    <row r="596" spans="2:7" ht="14.25" customHeight="1" x14ac:dyDescent="0.25">
      <c r="B596" s="478"/>
      <c r="C596" s="479"/>
      <c r="E596" s="480"/>
      <c r="G596" s="65"/>
    </row>
    <row r="597" spans="2:7" ht="14.25" customHeight="1" x14ac:dyDescent="0.25">
      <c r="B597" s="478"/>
      <c r="C597" s="479"/>
      <c r="E597" s="480"/>
      <c r="G597" s="65"/>
    </row>
    <row r="598" spans="2:7" ht="14.25" customHeight="1" x14ac:dyDescent="0.25">
      <c r="B598" s="478"/>
      <c r="C598" s="479"/>
      <c r="E598" s="480"/>
      <c r="G598" s="65"/>
    </row>
    <row r="599" spans="2:7" ht="14.25" customHeight="1" x14ac:dyDescent="0.25">
      <c r="B599" s="478"/>
      <c r="C599" s="479"/>
      <c r="E599" s="480"/>
      <c r="G599" s="65"/>
    </row>
    <row r="600" spans="2:7" ht="14.25" customHeight="1" x14ac:dyDescent="0.25">
      <c r="B600" s="478"/>
      <c r="C600" s="479"/>
      <c r="E600" s="480"/>
      <c r="G600" s="65"/>
    </row>
    <row r="601" spans="2:7" ht="14.25" customHeight="1" x14ac:dyDescent="0.25">
      <c r="B601" s="478"/>
      <c r="C601" s="479"/>
      <c r="E601" s="480"/>
      <c r="G601" s="65"/>
    </row>
    <row r="602" spans="2:7" ht="14.25" customHeight="1" x14ac:dyDescent="0.25">
      <c r="B602" s="478"/>
      <c r="C602" s="479"/>
      <c r="E602" s="480"/>
      <c r="G602" s="65"/>
    </row>
    <row r="603" spans="2:7" ht="14.25" customHeight="1" x14ac:dyDescent="0.25">
      <c r="B603" s="478"/>
      <c r="C603" s="479"/>
      <c r="E603" s="480"/>
      <c r="G603" s="65"/>
    </row>
    <row r="604" spans="2:7" ht="14.25" customHeight="1" x14ac:dyDescent="0.25">
      <c r="B604" s="478"/>
      <c r="C604" s="479"/>
      <c r="E604" s="480"/>
      <c r="G604" s="65"/>
    </row>
    <row r="605" spans="2:7" ht="14.25" customHeight="1" x14ac:dyDescent="0.25">
      <c r="B605" s="478"/>
      <c r="C605" s="479"/>
      <c r="E605" s="480"/>
      <c r="G605" s="65"/>
    </row>
    <row r="606" spans="2:7" ht="14.25" customHeight="1" x14ac:dyDescent="0.25">
      <c r="B606" s="478"/>
      <c r="C606" s="479"/>
      <c r="E606" s="480"/>
      <c r="G606" s="65"/>
    </row>
    <row r="607" spans="2:7" ht="14.25" customHeight="1" x14ac:dyDescent="0.25">
      <c r="B607" s="478"/>
      <c r="C607" s="479"/>
      <c r="E607" s="480"/>
      <c r="G607" s="65"/>
    </row>
    <row r="608" spans="2:7" ht="14.25" customHeight="1" x14ac:dyDescent="0.25">
      <c r="B608" s="478"/>
      <c r="C608" s="479"/>
      <c r="E608" s="480"/>
      <c r="G608" s="65"/>
    </row>
    <row r="609" spans="2:7" ht="14.25" customHeight="1" x14ac:dyDescent="0.25">
      <c r="B609" s="478"/>
      <c r="C609" s="479"/>
      <c r="E609" s="480"/>
      <c r="G609" s="65"/>
    </row>
    <row r="610" spans="2:7" ht="14.25" customHeight="1" x14ac:dyDescent="0.25">
      <c r="B610" s="478"/>
      <c r="C610" s="479"/>
      <c r="E610" s="480"/>
      <c r="G610" s="65"/>
    </row>
    <row r="611" spans="2:7" ht="14.25" customHeight="1" x14ac:dyDescent="0.25">
      <c r="B611" s="478"/>
      <c r="C611" s="479"/>
      <c r="E611" s="480"/>
      <c r="G611" s="65"/>
    </row>
    <row r="612" spans="2:7" ht="14.25" customHeight="1" x14ac:dyDescent="0.25">
      <c r="B612" s="478"/>
      <c r="C612" s="479"/>
      <c r="E612" s="480"/>
      <c r="G612" s="65"/>
    </row>
    <row r="613" spans="2:7" ht="14.25" customHeight="1" x14ac:dyDescent="0.25">
      <c r="B613" s="478"/>
      <c r="C613" s="479"/>
      <c r="E613" s="480"/>
      <c r="G613" s="65"/>
    </row>
    <row r="614" spans="2:7" ht="14.25" customHeight="1" x14ac:dyDescent="0.25">
      <c r="B614" s="478"/>
      <c r="C614" s="479"/>
      <c r="E614" s="480"/>
      <c r="G614" s="65"/>
    </row>
    <row r="615" spans="2:7" ht="14.25" customHeight="1" x14ac:dyDescent="0.25">
      <c r="B615" s="478"/>
      <c r="C615" s="479"/>
      <c r="E615" s="480"/>
      <c r="G615" s="65"/>
    </row>
    <row r="616" spans="2:7" ht="14.25" customHeight="1" x14ac:dyDescent="0.25">
      <c r="B616" s="478"/>
      <c r="C616" s="479"/>
      <c r="E616" s="480"/>
      <c r="G616" s="65"/>
    </row>
    <row r="617" spans="2:7" ht="14.25" customHeight="1" x14ac:dyDescent="0.25">
      <c r="B617" s="478"/>
      <c r="C617" s="479"/>
      <c r="E617" s="480"/>
      <c r="G617" s="65"/>
    </row>
    <row r="618" spans="2:7" ht="14.25" customHeight="1" x14ac:dyDescent="0.25">
      <c r="B618" s="478"/>
      <c r="C618" s="479"/>
      <c r="E618" s="480"/>
      <c r="G618" s="65"/>
    </row>
    <row r="619" spans="2:7" ht="14.25" customHeight="1" x14ac:dyDescent="0.25">
      <c r="B619" s="478"/>
      <c r="C619" s="479"/>
      <c r="E619" s="480"/>
      <c r="G619" s="65"/>
    </row>
    <row r="620" spans="2:7" ht="14.25" customHeight="1" x14ac:dyDescent="0.25">
      <c r="B620" s="478"/>
      <c r="C620" s="479"/>
      <c r="E620" s="480"/>
      <c r="G620" s="65"/>
    </row>
    <row r="621" spans="2:7" ht="14.25" customHeight="1" x14ac:dyDescent="0.25">
      <c r="B621" s="478"/>
      <c r="C621" s="479"/>
      <c r="E621" s="480"/>
      <c r="G621" s="65"/>
    </row>
    <row r="622" spans="2:7" ht="14.25" customHeight="1" x14ac:dyDescent="0.25">
      <c r="B622" s="478"/>
      <c r="C622" s="479"/>
      <c r="E622" s="480"/>
      <c r="G622" s="65"/>
    </row>
    <row r="623" spans="2:7" ht="14.25" customHeight="1" x14ac:dyDescent="0.25">
      <c r="B623" s="478"/>
      <c r="C623" s="479"/>
      <c r="E623" s="480"/>
      <c r="G623" s="65"/>
    </row>
    <row r="624" spans="2:7" ht="14.25" customHeight="1" x14ac:dyDescent="0.25">
      <c r="B624" s="478"/>
      <c r="C624" s="479"/>
      <c r="E624" s="480"/>
      <c r="G624" s="65"/>
    </row>
    <row r="625" spans="2:7" ht="14.25" customHeight="1" x14ac:dyDescent="0.25">
      <c r="B625" s="478"/>
      <c r="C625" s="479"/>
      <c r="E625" s="480"/>
      <c r="G625" s="65"/>
    </row>
    <row r="626" spans="2:7" ht="14.25" customHeight="1" x14ac:dyDescent="0.25">
      <c r="B626" s="478"/>
      <c r="C626" s="479"/>
      <c r="E626" s="480"/>
      <c r="G626" s="65"/>
    </row>
    <row r="627" spans="2:7" ht="14.25" customHeight="1" x14ac:dyDescent="0.25">
      <c r="B627" s="478"/>
      <c r="C627" s="479"/>
      <c r="E627" s="480"/>
      <c r="G627" s="65"/>
    </row>
    <row r="628" spans="2:7" ht="14.25" customHeight="1" x14ac:dyDescent="0.25">
      <c r="B628" s="478"/>
      <c r="C628" s="479"/>
      <c r="E628" s="480"/>
      <c r="G628" s="65"/>
    </row>
    <row r="629" spans="2:7" ht="14.25" customHeight="1" x14ac:dyDescent="0.25">
      <c r="B629" s="478"/>
      <c r="C629" s="479"/>
      <c r="E629" s="480"/>
      <c r="G629" s="65"/>
    </row>
    <row r="630" spans="2:7" ht="14.25" customHeight="1" x14ac:dyDescent="0.25">
      <c r="B630" s="478"/>
      <c r="C630" s="479"/>
      <c r="E630" s="480"/>
      <c r="G630" s="65"/>
    </row>
    <row r="631" spans="2:7" ht="14.25" customHeight="1" x14ac:dyDescent="0.25">
      <c r="B631" s="478"/>
      <c r="C631" s="479"/>
      <c r="E631" s="480"/>
      <c r="G631" s="65"/>
    </row>
    <row r="632" spans="2:7" ht="14.25" customHeight="1" x14ac:dyDescent="0.25">
      <c r="B632" s="478"/>
      <c r="C632" s="479"/>
      <c r="E632" s="480"/>
      <c r="G632" s="65"/>
    </row>
    <row r="633" spans="2:7" ht="14.25" customHeight="1" x14ac:dyDescent="0.25">
      <c r="B633" s="478"/>
      <c r="C633" s="479"/>
      <c r="E633" s="480"/>
      <c r="G633" s="65"/>
    </row>
    <row r="634" spans="2:7" ht="14.25" customHeight="1" x14ac:dyDescent="0.25">
      <c r="B634" s="478"/>
      <c r="C634" s="479"/>
      <c r="E634" s="480"/>
      <c r="G634" s="65"/>
    </row>
    <row r="635" spans="2:7" ht="14.25" customHeight="1" x14ac:dyDescent="0.25">
      <c r="B635" s="478"/>
      <c r="C635" s="479"/>
      <c r="E635" s="480"/>
      <c r="G635" s="65"/>
    </row>
    <row r="636" spans="2:7" ht="14.25" customHeight="1" x14ac:dyDescent="0.25">
      <c r="B636" s="478"/>
      <c r="C636" s="479"/>
      <c r="E636" s="480"/>
      <c r="G636" s="65"/>
    </row>
    <row r="637" spans="2:7" ht="14.25" customHeight="1" x14ac:dyDescent="0.25">
      <c r="B637" s="478"/>
      <c r="C637" s="479"/>
      <c r="E637" s="480"/>
      <c r="G637" s="65"/>
    </row>
    <row r="638" spans="2:7" ht="14.25" customHeight="1" x14ac:dyDescent="0.25">
      <c r="B638" s="478"/>
      <c r="C638" s="479"/>
      <c r="E638" s="480"/>
      <c r="G638" s="65"/>
    </row>
    <row r="639" spans="2:7" ht="14.25" customHeight="1" x14ac:dyDescent="0.25">
      <c r="B639" s="478"/>
      <c r="C639" s="479"/>
      <c r="E639" s="480"/>
      <c r="G639" s="65"/>
    </row>
    <row r="640" spans="2:7" ht="14.25" customHeight="1" x14ac:dyDescent="0.25">
      <c r="B640" s="478"/>
      <c r="C640" s="479"/>
      <c r="E640" s="480"/>
      <c r="G640" s="65"/>
    </row>
    <row r="641" spans="2:7" ht="14.25" customHeight="1" x14ac:dyDescent="0.25">
      <c r="B641" s="478"/>
      <c r="C641" s="479"/>
      <c r="E641" s="480"/>
      <c r="G641" s="65"/>
    </row>
    <row r="642" spans="2:7" ht="14.25" customHeight="1" x14ac:dyDescent="0.25">
      <c r="B642" s="478"/>
      <c r="C642" s="479"/>
      <c r="E642" s="480"/>
      <c r="G642" s="65"/>
    </row>
    <row r="643" spans="2:7" ht="14.25" customHeight="1" x14ac:dyDescent="0.25">
      <c r="B643" s="478"/>
      <c r="C643" s="479"/>
      <c r="E643" s="480"/>
      <c r="G643" s="65"/>
    </row>
    <row r="644" spans="2:7" ht="14.25" customHeight="1" x14ac:dyDescent="0.25">
      <c r="B644" s="478"/>
      <c r="C644" s="479"/>
      <c r="E644" s="480"/>
      <c r="G644" s="65"/>
    </row>
    <row r="645" spans="2:7" ht="14.25" customHeight="1" x14ac:dyDescent="0.25">
      <c r="B645" s="478"/>
      <c r="C645" s="479"/>
      <c r="E645" s="480"/>
      <c r="G645" s="65"/>
    </row>
    <row r="646" spans="2:7" ht="14.25" customHeight="1" x14ac:dyDescent="0.25">
      <c r="B646" s="478"/>
      <c r="C646" s="479"/>
      <c r="E646" s="480"/>
      <c r="G646" s="65"/>
    </row>
    <row r="647" spans="2:7" ht="14.25" customHeight="1" x14ac:dyDescent="0.25">
      <c r="B647" s="478"/>
      <c r="C647" s="479"/>
      <c r="E647" s="480"/>
      <c r="G647" s="65"/>
    </row>
    <row r="648" spans="2:7" ht="14.25" customHeight="1" x14ac:dyDescent="0.25">
      <c r="B648" s="478"/>
      <c r="C648" s="479"/>
      <c r="E648" s="480"/>
      <c r="G648" s="65"/>
    </row>
    <row r="649" spans="2:7" ht="14.25" customHeight="1" x14ac:dyDescent="0.25">
      <c r="B649" s="478"/>
      <c r="C649" s="479"/>
      <c r="E649" s="480"/>
      <c r="G649" s="65"/>
    </row>
    <row r="650" spans="2:7" ht="14.25" customHeight="1" x14ac:dyDescent="0.25">
      <c r="B650" s="478"/>
      <c r="C650" s="479"/>
      <c r="E650" s="480"/>
      <c r="G650" s="65"/>
    </row>
    <row r="651" spans="2:7" ht="14.25" customHeight="1" x14ac:dyDescent="0.25">
      <c r="B651" s="478"/>
      <c r="C651" s="479"/>
      <c r="E651" s="480"/>
      <c r="G651" s="65"/>
    </row>
    <row r="652" spans="2:7" ht="14.25" customHeight="1" x14ac:dyDescent="0.25">
      <c r="B652" s="478"/>
      <c r="C652" s="479"/>
      <c r="E652" s="480"/>
      <c r="G652" s="65"/>
    </row>
    <row r="653" spans="2:7" ht="14.25" customHeight="1" x14ac:dyDescent="0.25">
      <c r="B653" s="478"/>
      <c r="C653" s="479"/>
      <c r="E653" s="480"/>
      <c r="G653" s="65"/>
    </row>
    <row r="654" spans="2:7" ht="14.25" customHeight="1" x14ac:dyDescent="0.25">
      <c r="B654" s="478"/>
      <c r="C654" s="479"/>
      <c r="E654" s="480"/>
      <c r="G654" s="65"/>
    </row>
    <row r="655" spans="2:7" ht="14.25" customHeight="1" x14ac:dyDescent="0.25">
      <c r="B655" s="478"/>
      <c r="C655" s="479"/>
      <c r="E655" s="480"/>
      <c r="G655" s="65"/>
    </row>
    <row r="656" spans="2:7" ht="14.25" customHeight="1" x14ac:dyDescent="0.25">
      <c r="B656" s="478"/>
      <c r="C656" s="479"/>
      <c r="E656" s="480"/>
      <c r="G656" s="65"/>
    </row>
    <row r="657" spans="2:7" ht="14.25" customHeight="1" x14ac:dyDescent="0.25">
      <c r="B657" s="478"/>
      <c r="C657" s="479"/>
      <c r="E657" s="480"/>
      <c r="G657" s="65"/>
    </row>
    <row r="658" spans="2:7" ht="14.25" customHeight="1" x14ac:dyDescent="0.25">
      <c r="B658" s="478"/>
      <c r="C658" s="479"/>
      <c r="E658" s="480"/>
      <c r="G658" s="65"/>
    </row>
    <row r="659" spans="2:7" ht="14.25" customHeight="1" x14ac:dyDescent="0.25">
      <c r="B659" s="478"/>
      <c r="C659" s="479"/>
      <c r="E659" s="480"/>
      <c r="G659" s="65"/>
    </row>
    <row r="660" spans="2:7" ht="14.25" customHeight="1" x14ac:dyDescent="0.25">
      <c r="B660" s="478"/>
      <c r="C660" s="479"/>
      <c r="E660" s="480"/>
      <c r="G660" s="65"/>
    </row>
    <row r="661" spans="2:7" ht="14.25" customHeight="1" x14ac:dyDescent="0.25">
      <c r="B661" s="478"/>
      <c r="C661" s="479"/>
      <c r="E661" s="480"/>
      <c r="G661" s="65"/>
    </row>
    <row r="662" spans="2:7" ht="14.25" customHeight="1" x14ac:dyDescent="0.25">
      <c r="B662" s="478"/>
      <c r="C662" s="479"/>
      <c r="E662" s="480"/>
      <c r="G662" s="65"/>
    </row>
    <row r="663" spans="2:7" ht="14.25" customHeight="1" x14ac:dyDescent="0.25">
      <c r="B663" s="478"/>
      <c r="C663" s="479"/>
      <c r="E663" s="480"/>
      <c r="G663" s="65"/>
    </row>
    <row r="664" spans="2:7" ht="14.25" customHeight="1" x14ac:dyDescent="0.25">
      <c r="B664" s="478"/>
      <c r="C664" s="479"/>
      <c r="E664" s="480"/>
      <c r="G664" s="65"/>
    </row>
    <row r="665" spans="2:7" ht="14.25" customHeight="1" x14ac:dyDescent="0.25">
      <c r="B665" s="478"/>
      <c r="C665" s="479"/>
      <c r="E665" s="480"/>
      <c r="G665" s="65"/>
    </row>
    <row r="666" spans="2:7" ht="14.25" customHeight="1" x14ac:dyDescent="0.25">
      <c r="B666" s="478"/>
      <c r="C666" s="479"/>
      <c r="E666" s="480"/>
      <c r="G666" s="65"/>
    </row>
    <row r="667" spans="2:7" ht="14.25" customHeight="1" x14ac:dyDescent="0.25">
      <c r="B667" s="478"/>
      <c r="C667" s="479"/>
      <c r="E667" s="480"/>
      <c r="G667" s="65"/>
    </row>
    <row r="668" spans="2:7" ht="14.25" customHeight="1" x14ac:dyDescent="0.25">
      <c r="B668" s="478"/>
      <c r="C668" s="479"/>
      <c r="E668" s="480"/>
      <c r="G668" s="65"/>
    </row>
    <row r="669" spans="2:7" ht="14.25" customHeight="1" x14ac:dyDescent="0.25">
      <c r="B669" s="478"/>
      <c r="C669" s="479"/>
      <c r="E669" s="480"/>
      <c r="G669" s="65"/>
    </row>
    <row r="670" spans="2:7" ht="14.25" customHeight="1" x14ac:dyDescent="0.25">
      <c r="B670" s="478"/>
      <c r="C670" s="479"/>
      <c r="E670" s="480"/>
      <c r="G670" s="65"/>
    </row>
    <row r="671" spans="2:7" ht="14.25" customHeight="1" x14ac:dyDescent="0.25">
      <c r="B671" s="478"/>
      <c r="C671" s="479"/>
      <c r="E671" s="480"/>
      <c r="G671" s="65"/>
    </row>
    <row r="672" spans="2:7" ht="14.25" customHeight="1" x14ac:dyDescent="0.25">
      <c r="B672" s="478"/>
      <c r="C672" s="479"/>
      <c r="E672" s="480"/>
      <c r="G672" s="65"/>
    </row>
    <row r="673" spans="2:7" ht="14.25" customHeight="1" x14ac:dyDescent="0.25">
      <c r="B673" s="478"/>
      <c r="C673" s="479"/>
      <c r="E673" s="480"/>
      <c r="G673" s="65"/>
    </row>
    <row r="674" spans="2:7" ht="14.25" customHeight="1" x14ac:dyDescent="0.25">
      <c r="B674" s="478"/>
      <c r="C674" s="479"/>
      <c r="E674" s="480"/>
      <c r="G674" s="65"/>
    </row>
    <row r="675" spans="2:7" ht="14.25" customHeight="1" x14ac:dyDescent="0.25">
      <c r="B675" s="478"/>
      <c r="C675" s="479"/>
      <c r="E675" s="480"/>
      <c r="G675" s="65"/>
    </row>
    <row r="676" spans="2:7" ht="14.25" customHeight="1" x14ac:dyDescent="0.25">
      <c r="B676" s="478"/>
      <c r="C676" s="479"/>
      <c r="E676" s="480"/>
      <c r="G676" s="65"/>
    </row>
    <row r="677" spans="2:7" ht="14.25" customHeight="1" x14ac:dyDescent="0.25">
      <c r="B677" s="478"/>
      <c r="C677" s="479"/>
      <c r="E677" s="480"/>
      <c r="G677" s="65"/>
    </row>
    <row r="678" spans="2:7" ht="14.25" customHeight="1" x14ac:dyDescent="0.25">
      <c r="B678" s="478"/>
      <c r="C678" s="479"/>
      <c r="E678" s="480"/>
      <c r="G678" s="65"/>
    </row>
    <row r="679" spans="2:7" ht="14.25" customHeight="1" x14ac:dyDescent="0.25">
      <c r="B679" s="478"/>
      <c r="C679" s="479"/>
      <c r="E679" s="480"/>
      <c r="G679" s="65"/>
    </row>
    <row r="680" spans="2:7" ht="14.25" customHeight="1" x14ac:dyDescent="0.25">
      <c r="B680" s="478"/>
      <c r="C680" s="479"/>
      <c r="E680" s="480"/>
      <c r="G680" s="65"/>
    </row>
    <row r="681" spans="2:7" ht="14.25" customHeight="1" x14ac:dyDescent="0.25">
      <c r="B681" s="478"/>
      <c r="C681" s="479"/>
      <c r="E681" s="480"/>
      <c r="G681" s="65"/>
    </row>
    <row r="682" spans="2:7" ht="14.25" customHeight="1" x14ac:dyDescent="0.25">
      <c r="B682" s="478"/>
      <c r="C682" s="479"/>
      <c r="E682" s="480"/>
      <c r="G682" s="65"/>
    </row>
    <row r="683" spans="2:7" ht="14.25" customHeight="1" x14ac:dyDescent="0.25">
      <c r="B683" s="478"/>
      <c r="C683" s="479"/>
      <c r="E683" s="480"/>
      <c r="G683" s="65"/>
    </row>
    <row r="684" spans="2:7" ht="14.25" customHeight="1" x14ac:dyDescent="0.25">
      <c r="B684" s="478"/>
      <c r="C684" s="479"/>
      <c r="E684" s="480"/>
      <c r="G684" s="65"/>
    </row>
    <row r="685" spans="2:7" ht="14.25" customHeight="1" x14ac:dyDescent="0.25">
      <c r="B685" s="478"/>
      <c r="C685" s="479"/>
      <c r="E685" s="480"/>
      <c r="G685" s="65"/>
    </row>
    <row r="686" spans="2:7" ht="14.25" customHeight="1" x14ac:dyDescent="0.25">
      <c r="B686" s="478"/>
      <c r="C686" s="479"/>
      <c r="E686" s="480"/>
      <c r="G686" s="65"/>
    </row>
    <row r="687" spans="2:7" ht="14.25" customHeight="1" x14ac:dyDescent="0.25">
      <c r="B687" s="478"/>
      <c r="C687" s="479"/>
      <c r="E687" s="480"/>
      <c r="G687" s="65"/>
    </row>
    <row r="688" spans="2:7" ht="14.25" customHeight="1" x14ac:dyDescent="0.25">
      <c r="B688" s="478"/>
      <c r="C688" s="479"/>
      <c r="E688" s="480"/>
      <c r="G688" s="65"/>
    </row>
    <row r="689" spans="2:7" ht="14.25" customHeight="1" x14ac:dyDescent="0.25">
      <c r="B689" s="478"/>
      <c r="C689" s="479"/>
      <c r="E689" s="480"/>
      <c r="G689" s="65"/>
    </row>
    <row r="690" spans="2:7" ht="14.25" customHeight="1" x14ac:dyDescent="0.25">
      <c r="B690" s="478"/>
      <c r="C690" s="479"/>
      <c r="E690" s="480"/>
      <c r="G690" s="65"/>
    </row>
    <row r="691" spans="2:7" ht="14.25" customHeight="1" x14ac:dyDescent="0.25">
      <c r="B691" s="478"/>
      <c r="C691" s="479"/>
      <c r="E691" s="480"/>
      <c r="G691" s="65"/>
    </row>
    <row r="692" spans="2:7" ht="14.25" customHeight="1" x14ac:dyDescent="0.25">
      <c r="B692" s="478"/>
      <c r="C692" s="479"/>
      <c r="E692" s="480"/>
      <c r="G692" s="65"/>
    </row>
    <row r="693" spans="2:7" ht="14.25" customHeight="1" x14ac:dyDescent="0.25">
      <c r="B693" s="478"/>
      <c r="C693" s="479"/>
      <c r="E693" s="480"/>
      <c r="G693" s="65"/>
    </row>
    <row r="694" spans="2:7" ht="14.25" customHeight="1" x14ac:dyDescent="0.25">
      <c r="B694" s="478"/>
      <c r="C694" s="479"/>
      <c r="E694" s="480"/>
      <c r="G694" s="65"/>
    </row>
    <row r="695" spans="2:7" ht="14.25" customHeight="1" x14ac:dyDescent="0.25">
      <c r="B695" s="478"/>
      <c r="C695" s="479"/>
      <c r="E695" s="480"/>
      <c r="G695" s="65"/>
    </row>
    <row r="696" spans="2:7" ht="14.25" customHeight="1" x14ac:dyDescent="0.25">
      <c r="B696" s="478"/>
      <c r="C696" s="479"/>
      <c r="E696" s="480"/>
      <c r="G696" s="65"/>
    </row>
    <row r="697" spans="2:7" ht="14.25" customHeight="1" x14ac:dyDescent="0.25">
      <c r="B697" s="478"/>
      <c r="C697" s="479"/>
      <c r="E697" s="480"/>
      <c r="G697" s="65"/>
    </row>
    <row r="698" spans="2:7" ht="14.25" customHeight="1" x14ac:dyDescent="0.25">
      <c r="B698" s="478"/>
      <c r="C698" s="479"/>
      <c r="E698" s="480"/>
      <c r="G698" s="65"/>
    </row>
    <row r="699" spans="2:7" ht="14.25" customHeight="1" x14ac:dyDescent="0.25">
      <c r="B699" s="478"/>
      <c r="C699" s="479"/>
      <c r="E699" s="480"/>
      <c r="G699" s="65"/>
    </row>
    <row r="700" spans="2:7" ht="14.25" customHeight="1" x14ac:dyDescent="0.25">
      <c r="B700" s="478"/>
      <c r="C700" s="479"/>
      <c r="E700" s="480"/>
      <c r="G700" s="65"/>
    </row>
    <row r="701" spans="2:7" ht="14.25" customHeight="1" x14ac:dyDescent="0.25">
      <c r="B701" s="478"/>
      <c r="C701" s="479"/>
      <c r="E701" s="480"/>
      <c r="G701" s="65"/>
    </row>
    <row r="702" spans="2:7" ht="14.25" customHeight="1" x14ac:dyDescent="0.25">
      <c r="B702" s="478"/>
      <c r="C702" s="479"/>
      <c r="E702" s="480"/>
      <c r="G702" s="65"/>
    </row>
    <row r="703" spans="2:7" ht="14.25" customHeight="1" x14ac:dyDescent="0.25">
      <c r="B703" s="478"/>
      <c r="C703" s="479"/>
      <c r="E703" s="480"/>
      <c r="G703" s="65"/>
    </row>
    <row r="704" spans="2:7" ht="14.25" customHeight="1" x14ac:dyDescent="0.25">
      <c r="B704" s="478"/>
      <c r="C704" s="479"/>
      <c r="E704" s="480"/>
      <c r="G704" s="65"/>
    </row>
    <row r="705" spans="2:7" ht="14.25" customHeight="1" x14ac:dyDescent="0.25">
      <c r="B705" s="478"/>
      <c r="C705" s="479"/>
      <c r="E705" s="480"/>
      <c r="G705" s="65"/>
    </row>
    <row r="706" spans="2:7" ht="14.25" customHeight="1" x14ac:dyDescent="0.25">
      <c r="B706" s="478"/>
      <c r="C706" s="479"/>
      <c r="E706" s="480"/>
      <c r="G706" s="65"/>
    </row>
    <row r="707" spans="2:7" ht="14.25" customHeight="1" x14ac:dyDescent="0.25">
      <c r="B707" s="478"/>
      <c r="C707" s="479"/>
      <c r="E707" s="480"/>
      <c r="G707" s="65"/>
    </row>
    <row r="708" spans="2:7" ht="14.25" customHeight="1" x14ac:dyDescent="0.25">
      <c r="B708" s="478"/>
      <c r="C708" s="479"/>
      <c r="E708" s="480"/>
      <c r="G708" s="65"/>
    </row>
    <row r="709" spans="2:7" ht="14.25" customHeight="1" x14ac:dyDescent="0.25">
      <c r="B709" s="478"/>
      <c r="C709" s="479"/>
      <c r="E709" s="480"/>
      <c r="G709" s="65"/>
    </row>
    <row r="710" spans="2:7" ht="14.25" customHeight="1" x14ac:dyDescent="0.25">
      <c r="B710" s="478"/>
      <c r="C710" s="479"/>
      <c r="E710" s="480"/>
      <c r="G710" s="65"/>
    </row>
    <row r="711" spans="2:7" ht="14.25" customHeight="1" x14ac:dyDescent="0.25">
      <c r="B711" s="478"/>
      <c r="C711" s="479"/>
      <c r="E711" s="480"/>
      <c r="G711" s="65"/>
    </row>
    <row r="712" spans="2:7" ht="14.25" customHeight="1" x14ac:dyDescent="0.25">
      <c r="B712" s="478"/>
      <c r="C712" s="479"/>
      <c r="E712" s="480"/>
      <c r="G712" s="65"/>
    </row>
    <row r="713" spans="2:7" ht="14.25" customHeight="1" x14ac:dyDescent="0.25">
      <c r="B713" s="478"/>
      <c r="C713" s="479"/>
      <c r="E713" s="480"/>
      <c r="G713" s="65"/>
    </row>
    <row r="714" spans="2:7" ht="14.25" customHeight="1" x14ac:dyDescent="0.25">
      <c r="B714" s="478"/>
      <c r="C714" s="479"/>
      <c r="E714" s="480"/>
      <c r="G714" s="65"/>
    </row>
    <row r="715" spans="2:7" ht="14.25" customHeight="1" x14ac:dyDescent="0.25">
      <c r="B715" s="478"/>
      <c r="C715" s="479"/>
      <c r="E715" s="480"/>
      <c r="G715" s="65"/>
    </row>
    <row r="716" spans="2:7" ht="14.25" customHeight="1" x14ac:dyDescent="0.25">
      <c r="B716" s="478"/>
      <c r="C716" s="479"/>
      <c r="E716" s="480"/>
      <c r="G716" s="65"/>
    </row>
    <row r="717" spans="2:7" ht="14.25" customHeight="1" x14ac:dyDescent="0.25">
      <c r="B717" s="478"/>
      <c r="C717" s="479"/>
      <c r="E717" s="480"/>
      <c r="G717" s="65"/>
    </row>
    <row r="718" spans="2:7" ht="14.25" customHeight="1" x14ac:dyDescent="0.25">
      <c r="B718" s="478"/>
      <c r="C718" s="479"/>
      <c r="E718" s="480"/>
      <c r="G718" s="65"/>
    </row>
    <row r="719" spans="2:7" ht="14.25" customHeight="1" x14ac:dyDescent="0.25">
      <c r="B719" s="478"/>
      <c r="C719" s="479"/>
      <c r="E719" s="480"/>
      <c r="G719" s="65"/>
    </row>
    <row r="720" spans="2:7" ht="14.25" customHeight="1" x14ac:dyDescent="0.25">
      <c r="B720" s="478"/>
      <c r="C720" s="479"/>
      <c r="E720" s="480"/>
      <c r="G720" s="65"/>
    </row>
    <row r="721" spans="2:7" ht="14.25" customHeight="1" x14ac:dyDescent="0.25">
      <c r="B721" s="478"/>
      <c r="C721" s="479"/>
      <c r="E721" s="480"/>
      <c r="G721" s="65"/>
    </row>
    <row r="722" spans="2:7" ht="14.25" customHeight="1" x14ac:dyDescent="0.25">
      <c r="B722" s="478"/>
      <c r="C722" s="479"/>
      <c r="E722" s="480"/>
      <c r="G722" s="65"/>
    </row>
    <row r="723" spans="2:7" ht="14.25" customHeight="1" x14ac:dyDescent="0.25">
      <c r="B723" s="478"/>
      <c r="C723" s="479"/>
      <c r="E723" s="480"/>
      <c r="G723" s="65"/>
    </row>
    <row r="724" spans="2:7" ht="14.25" customHeight="1" x14ac:dyDescent="0.25">
      <c r="B724" s="478"/>
      <c r="C724" s="479"/>
      <c r="E724" s="480"/>
      <c r="G724" s="65"/>
    </row>
    <row r="725" spans="2:7" ht="14.25" customHeight="1" x14ac:dyDescent="0.25">
      <c r="B725" s="478"/>
      <c r="C725" s="479"/>
      <c r="E725" s="480"/>
      <c r="G725" s="65"/>
    </row>
    <row r="726" spans="2:7" ht="14.25" customHeight="1" x14ac:dyDescent="0.25">
      <c r="B726" s="478"/>
      <c r="C726" s="479"/>
      <c r="E726" s="480"/>
      <c r="G726" s="65"/>
    </row>
    <row r="727" spans="2:7" ht="14.25" customHeight="1" x14ac:dyDescent="0.25">
      <c r="B727" s="478"/>
      <c r="C727" s="479"/>
      <c r="E727" s="480"/>
      <c r="G727" s="65"/>
    </row>
    <row r="728" spans="2:7" ht="14.25" customHeight="1" x14ac:dyDescent="0.25">
      <c r="B728" s="478"/>
      <c r="C728" s="479"/>
      <c r="E728" s="480"/>
      <c r="G728" s="65"/>
    </row>
    <row r="729" spans="2:7" ht="14.25" customHeight="1" x14ac:dyDescent="0.25">
      <c r="B729" s="478"/>
      <c r="C729" s="479"/>
      <c r="E729" s="480"/>
      <c r="G729" s="65"/>
    </row>
    <row r="730" spans="2:7" ht="14.25" customHeight="1" x14ac:dyDescent="0.25">
      <c r="B730" s="478"/>
      <c r="C730" s="479"/>
      <c r="E730" s="480"/>
      <c r="G730" s="65"/>
    </row>
    <row r="731" spans="2:7" ht="14.25" customHeight="1" x14ac:dyDescent="0.25">
      <c r="B731" s="478"/>
      <c r="C731" s="479"/>
      <c r="E731" s="480"/>
      <c r="G731" s="65"/>
    </row>
    <row r="732" spans="2:7" ht="14.25" customHeight="1" x14ac:dyDescent="0.25">
      <c r="B732" s="478"/>
      <c r="C732" s="479"/>
      <c r="E732" s="480"/>
      <c r="G732" s="65"/>
    </row>
    <row r="733" spans="2:7" ht="14.25" customHeight="1" x14ac:dyDescent="0.25">
      <c r="B733" s="478"/>
      <c r="C733" s="479"/>
      <c r="E733" s="480"/>
      <c r="G733" s="65"/>
    </row>
    <row r="734" spans="2:7" ht="14.25" customHeight="1" x14ac:dyDescent="0.25">
      <c r="B734" s="478"/>
      <c r="C734" s="479"/>
      <c r="E734" s="480"/>
      <c r="G734" s="65"/>
    </row>
    <row r="735" spans="2:7" ht="14.25" customHeight="1" x14ac:dyDescent="0.25">
      <c r="B735" s="478"/>
      <c r="C735" s="479"/>
      <c r="E735" s="480"/>
      <c r="G735" s="65"/>
    </row>
    <row r="736" spans="2:7" ht="14.25" customHeight="1" x14ac:dyDescent="0.25">
      <c r="B736" s="478"/>
      <c r="C736" s="479"/>
      <c r="E736" s="480"/>
      <c r="G736" s="65"/>
    </row>
    <row r="737" spans="2:7" ht="14.25" customHeight="1" x14ac:dyDescent="0.25">
      <c r="B737" s="478"/>
      <c r="C737" s="479"/>
      <c r="E737" s="480"/>
      <c r="G737" s="65"/>
    </row>
    <row r="738" spans="2:7" ht="14.25" customHeight="1" x14ac:dyDescent="0.25">
      <c r="B738" s="478"/>
      <c r="C738" s="479"/>
      <c r="E738" s="480"/>
      <c r="G738" s="65"/>
    </row>
    <row r="739" spans="2:7" ht="14.25" customHeight="1" x14ac:dyDescent="0.25">
      <c r="B739" s="478"/>
      <c r="C739" s="479"/>
      <c r="E739" s="480"/>
      <c r="G739" s="65"/>
    </row>
    <row r="740" spans="2:7" ht="14.25" customHeight="1" x14ac:dyDescent="0.25">
      <c r="B740" s="478"/>
      <c r="C740" s="479"/>
      <c r="E740" s="480"/>
      <c r="G740" s="65"/>
    </row>
    <row r="741" spans="2:7" ht="14.25" customHeight="1" x14ac:dyDescent="0.25">
      <c r="B741" s="478"/>
      <c r="C741" s="479"/>
      <c r="E741" s="480"/>
      <c r="G741" s="65"/>
    </row>
    <row r="742" spans="2:7" ht="14.25" customHeight="1" x14ac:dyDescent="0.25">
      <c r="B742" s="478"/>
      <c r="C742" s="479"/>
      <c r="E742" s="480"/>
      <c r="G742" s="65"/>
    </row>
    <row r="743" spans="2:7" ht="14.25" customHeight="1" x14ac:dyDescent="0.25">
      <c r="B743" s="478"/>
      <c r="C743" s="479"/>
      <c r="E743" s="480"/>
      <c r="G743" s="65"/>
    </row>
    <row r="744" spans="2:7" ht="14.25" customHeight="1" x14ac:dyDescent="0.25">
      <c r="B744" s="478"/>
      <c r="C744" s="479"/>
      <c r="E744" s="480"/>
      <c r="G744" s="65"/>
    </row>
    <row r="745" spans="2:7" ht="14.25" customHeight="1" x14ac:dyDescent="0.25">
      <c r="B745" s="478"/>
      <c r="C745" s="479"/>
      <c r="E745" s="480"/>
      <c r="G745" s="65"/>
    </row>
    <row r="746" spans="2:7" ht="14.25" customHeight="1" x14ac:dyDescent="0.25">
      <c r="B746" s="478"/>
      <c r="C746" s="479"/>
      <c r="E746" s="480"/>
      <c r="G746" s="65"/>
    </row>
    <row r="747" spans="2:7" ht="14.25" customHeight="1" x14ac:dyDescent="0.25">
      <c r="B747" s="478"/>
      <c r="C747" s="479"/>
      <c r="E747" s="480"/>
      <c r="G747" s="65"/>
    </row>
    <row r="748" spans="2:7" ht="14.25" customHeight="1" x14ac:dyDescent="0.25">
      <c r="B748" s="478"/>
      <c r="C748" s="479"/>
      <c r="E748" s="480"/>
      <c r="G748" s="65"/>
    </row>
    <row r="749" spans="2:7" ht="14.25" customHeight="1" x14ac:dyDescent="0.25">
      <c r="B749" s="478"/>
      <c r="C749" s="479"/>
      <c r="E749" s="480"/>
      <c r="G749" s="65"/>
    </row>
    <row r="750" spans="2:7" ht="14.25" customHeight="1" x14ac:dyDescent="0.25">
      <c r="B750" s="478"/>
      <c r="C750" s="479"/>
      <c r="E750" s="480"/>
      <c r="G750" s="65"/>
    </row>
    <row r="751" spans="2:7" ht="14.25" customHeight="1" x14ac:dyDescent="0.25">
      <c r="B751" s="478"/>
      <c r="C751" s="479"/>
      <c r="E751" s="480"/>
      <c r="G751" s="65"/>
    </row>
    <row r="752" spans="2:7" ht="14.25" customHeight="1" x14ac:dyDescent="0.25">
      <c r="B752" s="478"/>
      <c r="C752" s="479"/>
      <c r="E752" s="480"/>
      <c r="G752" s="65"/>
    </row>
    <row r="753" spans="2:7" ht="14.25" customHeight="1" x14ac:dyDescent="0.25">
      <c r="B753" s="478"/>
      <c r="C753" s="479"/>
      <c r="E753" s="480"/>
      <c r="G753" s="65"/>
    </row>
    <row r="754" spans="2:7" ht="14.25" customHeight="1" x14ac:dyDescent="0.25">
      <c r="B754" s="478"/>
      <c r="C754" s="479"/>
      <c r="E754" s="480"/>
      <c r="G754" s="65"/>
    </row>
    <row r="755" spans="2:7" ht="14.25" customHeight="1" x14ac:dyDescent="0.25">
      <c r="B755" s="478"/>
      <c r="C755" s="479"/>
      <c r="E755" s="480"/>
      <c r="G755" s="65"/>
    </row>
    <row r="756" spans="2:7" ht="14.25" customHeight="1" x14ac:dyDescent="0.25">
      <c r="B756" s="478"/>
      <c r="C756" s="479"/>
      <c r="E756" s="480"/>
      <c r="G756" s="65"/>
    </row>
    <row r="757" spans="2:7" ht="14.25" customHeight="1" x14ac:dyDescent="0.25">
      <c r="B757" s="478"/>
      <c r="C757" s="479"/>
      <c r="E757" s="480"/>
      <c r="G757" s="65"/>
    </row>
    <row r="758" spans="2:7" ht="14.25" customHeight="1" x14ac:dyDescent="0.25">
      <c r="B758" s="478"/>
      <c r="C758" s="479"/>
      <c r="E758" s="480"/>
      <c r="G758" s="65"/>
    </row>
    <row r="759" spans="2:7" ht="14.25" customHeight="1" x14ac:dyDescent="0.25">
      <c r="B759" s="478"/>
      <c r="C759" s="479"/>
      <c r="E759" s="480"/>
      <c r="G759" s="65"/>
    </row>
    <row r="760" spans="2:7" ht="14.25" customHeight="1" x14ac:dyDescent="0.25">
      <c r="B760" s="478"/>
      <c r="C760" s="479"/>
      <c r="E760" s="480"/>
      <c r="G760" s="65"/>
    </row>
    <row r="761" spans="2:7" ht="14.25" customHeight="1" x14ac:dyDescent="0.25">
      <c r="B761" s="478"/>
      <c r="C761" s="479"/>
      <c r="E761" s="480"/>
      <c r="G761" s="65"/>
    </row>
    <row r="762" spans="2:7" ht="14.25" customHeight="1" x14ac:dyDescent="0.25">
      <c r="B762" s="478"/>
      <c r="C762" s="479"/>
      <c r="E762" s="480"/>
      <c r="G762" s="65"/>
    </row>
    <row r="763" spans="2:7" ht="14.25" customHeight="1" x14ac:dyDescent="0.25">
      <c r="B763" s="478"/>
      <c r="C763" s="479"/>
      <c r="E763" s="480"/>
      <c r="G763" s="65"/>
    </row>
    <row r="764" spans="2:7" ht="14.25" customHeight="1" x14ac:dyDescent="0.25">
      <c r="B764" s="478"/>
      <c r="C764" s="479"/>
      <c r="E764" s="480"/>
      <c r="G764" s="65"/>
    </row>
    <row r="765" spans="2:7" ht="14.25" customHeight="1" x14ac:dyDescent="0.25">
      <c r="B765" s="478"/>
      <c r="C765" s="479"/>
      <c r="E765" s="480"/>
      <c r="G765" s="65"/>
    </row>
    <row r="766" spans="2:7" ht="14.25" customHeight="1" x14ac:dyDescent="0.25">
      <c r="B766" s="478"/>
      <c r="C766" s="479"/>
      <c r="E766" s="480"/>
      <c r="G766" s="65"/>
    </row>
    <row r="767" spans="2:7" ht="14.25" customHeight="1" x14ac:dyDescent="0.25">
      <c r="B767" s="478"/>
      <c r="C767" s="479"/>
      <c r="E767" s="480"/>
      <c r="G767" s="65"/>
    </row>
    <row r="768" spans="2:7" ht="14.25" customHeight="1" x14ac:dyDescent="0.25">
      <c r="B768" s="478"/>
      <c r="C768" s="479"/>
      <c r="E768" s="480"/>
      <c r="G768" s="65"/>
    </row>
    <row r="769" spans="2:7" ht="14.25" customHeight="1" x14ac:dyDescent="0.25">
      <c r="B769" s="478"/>
      <c r="C769" s="479"/>
      <c r="E769" s="480"/>
      <c r="G769" s="65"/>
    </row>
    <row r="770" spans="2:7" ht="14.25" customHeight="1" x14ac:dyDescent="0.25">
      <c r="B770" s="478"/>
      <c r="C770" s="479"/>
      <c r="E770" s="480"/>
      <c r="G770" s="65"/>
    </row>
    <row r="771" spans="2:7" ht="14.25" customHeight="1" x14ac:dyDescent="0.25">
      <c r="B771" s="478"/>
      <c r="C771" s="479"/>
      <c r="E771" s="480"/>
      <c r="G771" s="65"/>
    </row>
    <row r="772" spans="2:7" ht="14.25" customHeight="1" x14ac:dyDescent="0.25">
      <c r="B772" s="478"/>
      <c r="C772" s="479"/>
      <c r="E772" s="480"/>
      <c r="G772" s="65"/>
    </row>
    <row r="773" spans="2:7" ht="14.25" customHeight="1" x14ac:dyDescent="0.25">
      <c r="B773" s="478"/>
      <c r="C773" s="479"/>
      <c r="E773" s="480"/>
      <c r="G773" s="65"/>
    </row>
    <row r="774" spans="2:7" ht="14.25" customHeight="1" x14ac:dyDescent="0.25">
      <c r="B774" s="478"/>
      <c r="C774" s="479"/>
      <c r="E774" s="480"/>
      <c r="G774" s="65"/>
    </row>
    <row r="775" spans="2:7" ht="14.25" customHeight="1" x14ac:dyDescent="0.25">
      <c r="B775" s="478"/>
      <c r="C775" s="479"/>
      <c r="E775" s="480"/>
      <c r="G775" s="65"/>
    </row>
    <row r="776" spans="2:7" ht="14.25" customHeight="1" x14ac:dyDescent="0.25">
      <c r="B776" s="478"/>
      <c r="C776" s="479"/>
      <c r="E776" s="480"/>
      <c r="G776" s="65"/>
    </row>
    <row r="777" spans="2:7" ht="14.25" customHeight="1" x14ac:dyDescent="0.25">
      <c r="B777" s="478"/>
      <c r="C777" s="479"/>
      <c r="E777" s="480"/>
      <c r="G777" s="65"/>
    </row>
    <row r="778" spans="2:7" ht="14.25" customHeight="1" x14ac:dyDescent="0.25">
      <c r="B778" s="478"/>
      <c r="C778" s="479"/>
      <c r="E778" s="480"/>
      <c r="G778" s="65"/>
    </row>
    <row r="779" spans="2:7" ht="14.25" customHeight="1" x14ac:dyDescent="0.25">
      <c r="B779" s="478"/>
      <c r="C779" s="479"/>
      <c r="E779" s="480"/>
      <c r="G779" s="65"/>
    </row>
    <row r="780" spans="2:7" ht="14.25" customHeight="1" x14ac:dyDescent="0.25">
      <c r="B780" s="478"/>
      <c r="C780" s="479"/>
      <c r="E780" s="480"/>
      <c r="G780" s="65"/>
    </row>
    <row r="781" spans="2:7" ht="14.25" customHeight="1" x14ac:dyDescent="0.25">
      <c r="B781" s="478"/>
      <c r="C781" s="479"/>
      <c r="E781" s="480"/>
      <c r="G781" s="65"/>
    </row>
    <row r="782" spans="2:7" ht="14.25" customHeight="1" x14ac:dyDescent="0.25">
      <c r="B782" s="478"/>
      <c r="C782" s="479"/>
      <c r="E782" s="480"/>
      <c r="G782" s="65"/>
    </row>
    <row r="783" spans="2:7" ht="14.25" customHeight="1" x14ac:dyDescent="0.25">
      <c r="B783" s="478"/>
      <c r="C783" s="479"/>
      <c r="E783" s="480"/>
      <c r="G783" s="65"/>
    </row>
    <row r="784" spans="2:7" ht="14.25" customHeight="1" x14ac:dyDescent="0.25">
      <c r="B784" s="478"/>
      <c r="C784" s="479"/>
      <c r="E784" s="480"/>
      <c r="G784" s="65"/>
    </row>
    <row r="785" spans="2:7" ht="14.25" customHeight="1" x14ac:dyDescent="0.25">
      <c r="B785" s="478"/>
      <c r="C785" s="479"/>
      <c r="E785" s="480"/>
      <c r="G785" s="65"/>
    </row>
    <row r="786" spans="2:7" ht="14.25" customHeight="1" x14ac:dyDescent="0.25">
      <c r="B786" s="478"/>
      <c r="C786" s="479"/>
      <c r="E786" s="480"/>
      <c r="G786" s="65"/>
    </row>
    <row r="787" spans="2:7" ht="14.25" customHeight="1" x14ac:dyDescent="0.25">
      <c r="B787" s="478"/>
      <c r="C787" s="479"/>
      <c r="E787" s="480"/>
      <c r="G787" s="65"/>
    </row>
    <row r="788" spans="2:7" ht="14.25" customHeight="1" x14ac:dyDescent="0.25">
      <c r="B788" s="478"/>
      <c r="C788" s="479"/>
      <c r="E788" s="480"/>
      <c r="G788" s="65"/>
    </row>
    <row r="789" spans="2:7" ht="14.25" customHeight="1" x14ac:dyDescent="0.25">
      <c r="B789" s="478"/>
      <c r="C789" s="479"/>
      <c r="E789" s="480"/>
      <c r="G789" s="65"/>
    </row>
    <row r="790" spans="2:7" ht="14.25" customHeight="1" x14ac:dyDescent="0.25">
      <c r="B790" s="478"/>
      <c r="C790" s="479"/>
      <c r="E790" s="480"/>
      <c r="G790" s="65"/>
    </row>
    <row r="791" spans="2:7" ht="14.25" customHeight="1" x14ac:dyDescent="0.25">
      <c r="B791" s="478"/>
      <c r="C791" s="479"/>
      <c r="E791" s="480"/>
      <c r="G791" s="65"/>
    </row>
    <row r="792" spans="2:7" ht="14.25" customHeight="1" x14ac:dyDescent="0.25">
      <c r="B792" s="478"/>
      <c r="C792" s="479"/>
      <c r="E792" s="480"/>
      <c r="G792" s="65"/>
    </row>
    <row r="793" spans="2:7" ht="14.25" customHeight="1" x14ac:dyDescent="0.25">
      <c r="B793" s="478"/>
      <c r="C793" s="479"/>
      <c r="E793" s="480"/>
      <c r="G793" s="65"/>
    </row>
    <row r="794" spans="2:7" ht="14.25" customHeight="1" x14ac:dyDescent="0.25">
      <c r="B794" s="478"/>
      <c r="C794" s="479"/>
      <c r="E794" s="480"/>
      <c r="G794" s="65"/>
    </row>
    <row r="795" spans="2:7" ht="14.25" customHeight="1" x14ac:dyDescent="0.25">
      <c r="B795" s="478"/>
      <c r="C795" s="479"/>
      <c r="E795" s="480"/>
      <c r="G795" s="65"/>
    </row>
    <row r="796" spans="2:7" ht="14.25" customHeight="1" x14ac:dyDescent="0.25">
      <c r="B796" s="478"/>
      <c r="C796" s="479"/>
      <c r="E796" s="480"/>
      <c r="G796" s="65"/>
    </row>
    <row r="797" spans="2:7" ht="14.25" customHeight="1" x14ac:dyDescent="0.25">
      <c r="B797" s="478"/>
      <c r="C797" s="479"/>
      <c r="E797" s="480"/>
      <c r="G797" s="65"/>
    </row>
    <row r="798" spans="2:7" ht="14.25" customHeight="1" x14ac:dyDescent="0.25">
      <c r="B798" s="478"/>
      <c r="C798" s="479"/>
      <c r="E798" s="480"/>
      <c r="G798" s="65"/>
    </row>
    <row r="799" spans="2:7" ht="14.25" customHeight="1" x14ac:dyDescent="0.25">
      <c r="B799" s="478"/>
      <c r="C799" s="479"/>
      <c r="E799" s="480"/>
      <c r="G799" s="65"/>
    </row>
    <row r="800" spans="2:7" ht="14.25" customHeight="1" x14ac:dyDescent="0.25">
      <c r="B800" s="478"/>
      <c r="C800" s="479"/>
      <c r="E800" s="480"/>
      <c r="G800" s="65"/>
    </row>
    <row r="801" spans="2:7" ht="14.25" customHeight="1" x14ac:dyDescent="0.25">
      <c r="B801" s="478"/>
      <c r="C801" s="479"/>
      <c r="E801" s="480"/>
      <c r="G801" s="65"/>
    </row>
    <row r="802" spans="2:7" ht="14.25" customHeight="1" x14ac:dyDescent="0.25">
      <c r="B802" s="478"/>
      <c r="C802" s="479"/>
      <c r="E802" s="480"/>
      <c r="G802" s="65"/>
    </row>
    <row r="803" spans="2:7" ht="14.25" customHeight="1" x14ac:dyDescent="0.25">
      <c r="B803" s="478"/>
      <c r="C803" s="479"/>
      <c r="E803" s="480"/>
      <c r="G803" s="65"/>
    </row>
    <row r="804" spans="2:7" ht="14.25" customHeight="1" x14ac:dyDescent="0.25">
      <c r="B804" s="478"/>
      <c r="C804" s="479"/>
      <c r="E804" s="480"/>
      <c r="G804" s="65"/>
    </row>
    <row r="805" spans="2:7" ht="14.25" customHeight="1" x14ac:dyDescent="0.25">
      <c r="B805" s="478"/>
      <c r="C805" s="479"/>
      <c r="E805" s="480"/>
      <c r="G805" s="65"/>
    </row>
    <row r="806" spans="2:7" ht="14.25" customHeight="1" x14ac:dyDescent="0.25">
      <c r="B806" s="478"/>
      <c r="C806" s="479"/>
      <c r="E806" s="480"/>
      <c r="G806" s="65"/>
    </row>
    <row r="807" spans="2:7" ht="14.25" customHeight="1" x14ac:dyDescent="0.25">
      <c r="B807" s="478"/>
      <c r="C807" s="479"/>
      <c r="E807" s="480"/>
      <c r="G807" s="65"/>
    </row>
    <row r="808" spans="2:7" ht="14.25" customHeight="1" x14ac:dyDescent="0.25">
      <c r="B808" s="478"/>
      <c r="C808" s="479"/>
      <c r="E808" s="480"/>
      <c r="G808" s="65"/>
    </row>
    <row r="809" spans="2:7" ht="14.25" customHeight="1" x14ac:dyDescent="0.25">
      <c r="B809" s="478"/>
      <c r="C809" s="479"/>
      <c r="E809" s="480"/>
      <c r="G809" s="65"/>
    </row>
    <row r="810" spans="2:7" ht="14.25" customHeight="1" x14ac:dyDescent="0.25">
      <c r="B810" s="478"/>
      <c r="C810" s="479"/>
      <c r="E810" s="480"/>
      <c r="G810" s="65"/>
    </row>
    <row r="811" spans="2:7" ht="14.25" customHeight="1" x14ac:dyDescent="0.25">
      <c r="B811" s="478"/>
      <c r="C811" s="479"/>
      <c r="E811" s="480"/>
      <c r="G811" s="65"/>
    </row>
    <row r="812" spans="2:7" ht="14.25" customHeight="1" x14ac:dyDescent="0.25">
      <c r="B812" s="478"/>
      <c r="C812" s="479"/>
      <c r="E812" s="480"/>
      <c r="G812" s="65"/>
    </row>
    <row r="813" spans="2:7" ht="14.25" customHeight="1" x14ac:dyDescent="0.25">
      <c r="B813" s="478"/>
      <c r="C813" s="479"/>
      <c r="E813" s="480"/>
      <c r="G813" s="65"/>
    </row>
    <row r="814" spans="2:7" ht="14.25" customHeight="1" x14ac:dyDescent="0.25">
      <c r="B814" s="478"/>
      <c r="C814" s="479"/>
      <c r="E814" s="480"/>
      <c r="G814" s="65"/>
    </row>
    <row r="815" spans="2:7" ht="14.25" customHeight="1" x14ac:dyDescent="0.25">
      <c r="B815" s="478"/>
      <c r="C815" s="479"/>
      <c r="E815" s="480"/>
      <c r="G815" s="65"/>
    </row>
    <row r="816" spans="2:7" ht="14.25" customHeight="1" x14ac:dyDescent="0.25">
      <c r="B816" s="478"/>
      <c r="C816" s="479"/>
      <c r="E816" s="480"/>
      <c r="G816" s="65"/>
    </row>
    <row r="817" spans="2:7" ht="14.25" customHeight="1" x14ac:dyDescent="0.25">
      <c r="B817" s="478"/>
      <c r="C817" s="479"/>
      <c r="E817" s="480"/>
      <c r="G817" s="65"/>
    </row>
    <row r="818" spans="2:7" ht="14.25" customHeight="1" x14ac:dyDescent="0.25">
      <c r="B818" s="478"/>
      <c r="C818" s="479"/>
      <c r="E818" s="480"/>
      <c r="G818" s="65"/>
    </row>
    <row r="819" spans="2:7" ht="14.25" customHeight="1" x14ac:dyDescent="0.25">
      <c r="B819" s="478"/>
      <c r="C819" s="479"/>
      <c r="E819" s="480"/>
      <c r="G819" s="65"/>
    </row>
    <row r="820" spans="2:7" ht="14.25" customHeight="1" x14ac:dyDescent="0.25">
      <c r="B820" s="478"/>
      <c r="C820" s="479"/>
      <c r="E820" s="480"/>
      <c r="G820" s="65"/>
    </row>
    <row r="821" spans="2:7" ht="14.25" customHeight="1" x14ac:dyDescent="0.25">
      <c r="B821" s="478"/>
      <c r="C821" s="479"/>
      <c r="E821" s="480"/>
      <c r="G821" s="65"/>
    </row>
    <row r="822" spans="2:7" ht="14.25" customHeight="1" x14ac:dyDescent="0.25">
      <c r="B822" s="478"/>
      <c r="C822" s="479"/>
      <c r="E822" s="480"/>
      <c r="G822" s="65"/>
    </row>
    <row r="823" spans="2:7" ht="14.25" customHeight="1" x14ac:dyDescent="0.25">
      <c r="B823" s="478"/>
      <c r="C823" s="479"/>
      <c r="E823" s="480"/>
      <c r="G823" s="65"/>
    </row>
    <row r="824" spans="2:7" ht="14.25" customHeight="1" x14ac:dyDescent="0.25">
      <c r="B824" s="478"/>
      <c r="C824" s="479"/>
      <c r="E824" s="480"/>
      <c r="G824" s="65"/>
    </row>
    <row r="825" spans="2:7" ht="14.25" customHeight="1" x14ac:dyDescent="0.25">
      <c r="B825" s="478"/>
      <c r="C825" s="479"/>
      <c r="E825" s="480"/>
      <c r="G825" s="65"/>
    </row>
    <row r="826" spans="2:7" ht="14.25" customHeight="1" x14ac:dyDescent="0.25">
      <c r="B826" s="478"/>
      <c r="C826" s="479"/>
      <c r="E826" s="480"/>
      <c r="G826" s="65"/>
    </row>
    <row r="827" spans="2:7" ht="14.25" customHeight="1" x14ac:dyDescent="0.25">
      <c r="B827" s="478"/>
      <c r="C827" s="479"/>
      <c r="E827" s="480"/>
      <c r="G827" s="65"/>
    </row>
    <row r="828" spans="2:7" ht="14.25" customHeight="1" x14ac:dyDescent="0.25">
      <c r="B828" s="478"/>
      <c r="C828" s="479"/>
      <c r="E828" s="480"/>
      <c r="G828" s="65"/>
    </row>
    <row r="829" spans="2:7" ht="14.25" customHeight="1" x14ac:dyDescent="0.25">
      <c r="B829" s="478"/>
      <c r="C829" s="479"/>
      <c r="E829" s="480"/>
      <c r="G829" s="65"/>
    </row>
    <row r="830" spans="2:7" ht="14.25" customHeight="1" x14ac:dyDescent="0.25">
      <c r="B830" s="478"/>
      <c r="C830" s="479"/>
      <c r="E830" s="480"/>
      <c r="G830" s="65"/>
    </row>
    <row r="831" spans="2:7" ht="14.25" customHeight="1" x14ac:dyDescent="0.25">
      <c r="B831" s="478"/>
      <c r="C831" s="479"/>
      <c r="E831" s="480"/>
      <c r="G831" s="65"/>
    </row>
    <row r="832" spans="2:7" ht="14.25" customHeight="1" x14ac:dyDescent="0.25">
      <c r="B832" s="478"/>
      <c r="C832" s="479"/>
      <c r="E832" s="480"/>
      <c r="G832" s="65"/>
    </row>
    <row r="833" spans="2:7" ht="14.25" customHeight="1" x14ac:dyDescent="0.25">
      <c r="B833" s="478"/>
      <c r="C833" s="479"/>
      <c r="E833" s="480"/>
      <c r="G833" s="65"/>
    </row>
    <row r="834" spans="2:7" ht="14.25" customHeight="1" x14ac:dyDescent="0.25">
      <c r="B834" s="478"/>
      <c r="C834" s="479"/>
      <c r="E834" s="480"/>
      <c r="G834" s="65"/>
    </row>
    <row r="835" spans="2:7" ht="14.25" customHeight="1" x14ac:dyDescent="0.25">
      <c r="B835" s="478"/>
      <c r="C835" s="479"/>
      <c r="E835" s="480"/>
      <c r="G835" s="65"/>
    </row>
    <row r="836" spans="2:7" ht="14.25" customHeight="1" x14ac:dyDescent="0.25">
      <c r="B836" s="478"/>
      <c r="C836" s="479"/>
      <c r="E836" s="480"/>
      <c r="G836" s="65"/>
    </row>
    <row r="837" spans="2:7" ht="14.25" customHeight="1" x14ac:dyDescent="0.25">
      <c r="B837" s="478"/>
      <c r="C837" s="479"/>
      <c r="E837" s="480"/>
      <c r="G837" s="65"/>
    </row>
    <row r="838" spans="2:7" ht="14.25" customHeight="1" x14ac:dyDescent="0.25">
      <c r="B838" s="478"/>
      <c r="C838" s="479"/>
      <c r="E838" s="480"/>
      <c r="G838" s="65"/>
    </row>
    <row r="839" spans="2:7" ht="14.25" customHeight="1" x14ac:dyDescent="0.25">
      <c r="B839" s="478"/>
      <c r="C839" s="479"/>
      <c r="E839" s="480"/>
      <c r="G839" s="65"/>
    </row>
    <row r="840" spans="2:7" ht="14.25" customHeight="1" x14ac:dyDescent="0.25">
      <c r="B840" s="478"/>
      <c r="C840" s="479"/>
      <c r="E840" s="480"/>
      <c r="G840" s="65"/>
    </row>
    <row r="841" spans="2:7" ht="14.25" customHeight="1" x14ac:dyDescent="0.25">
      <c r="B841" s="478"/>
      <c r="C841" s="479"/>
      <c r="E841" s="480"/>
      <c r="G841" s="65"/>
    </row>
    <row r="842" spans="2:7" ht="14.25" customHeight="1" x14ac:dyDescent="0.25">
      <c r="B842" s="478"/>
      <c r="C842" s="479"/>
      <c r="E842" s="480"/>
      <c r="G842" s="65"/>
    </row>
    <row r="843" spans="2:7" ht="14.25" customHeight="1" x14ac:dyDescent="0.25">
      <c r="B843" s="478"/>
      <c r="C843" s="479"/>
      <c r="E843" s="480"/>
      <c r="G843" s="65"/>
    </row>
    <row r="844" spans="2:7" ht="14.25" customHeight="1" x14ac:dyDescent="0.25">
      <c r="B844" s="478"/>
      <c r="C844" s="479"/>
      <c r="E844" s="480"/>
      <c r="G844" s="65"/>
    </row>
    <row r="845" spans="2:7" ht="14.25" customHeight="1" x14ac:dyDescent="0.25">
      <c r="B845" s="478"/>
      <c r="C845" s="479"/>
      <c r="E845" s="480"/>
      <c r="G845" s="65"/>
    </row>
    <row r="846" spans="2:7" ht="14.25" customHeight="1" x14ac:dyDescent="0.25">
      <c r="B846" s="478"/>
      <c r="C846" s="479"/>
      <c r="E846" s="480"/>
      <c r="G846" s="65"/>
    </row>
    <row r="847" spans="2:7" ht="14.25" customHeight="1" x14ac:dyDescent="0.25">
      <c r="B847" s="478"/>
      <c r="C847" s="479"/>
      <c r="E847" s="480"/>
      <c r="G847" s="65"/>
    </row>
    <row r="848" spans="2:7" ht="14.25" customHeight="1" x14ac:dyDescent="0.25">
      <c r="B848" s="478"/>
      <c r="C848" s="479"/>
      <c r="E848" s="480"/>
      <c r="G848" s="65"/>
    </row>
    <row r="849" spans="2:7" ht="14.25" customHeight="1" x14ac:dyDescent="0.25">
      <c r="B849" s="478"/>
      <c r="C849" s="479"/>
      <c r="E849" s="480"/>
      <c r="G849" s="65"/>
    </row>
    <row r="850" spans="2:7" ht="14.25" customHeight="1" x14ac:dyDescent="0.25">
      <c r="B850" s="478"/>
      <c r="C850" s="479"/>
      <c r="E850" s="480"/>
      <c r="G850" s="65"/>
    </row>
    <row r="851" spans="2:7" ht="14.25" customHeight="1" x14ac:dyDescent="0.25">
      <c r="B851" s="478"/>
      <c r="C851" s="479"/>
      <c r="E851" s="480"/>
      <c r="G851" s="65"/>
    </row>
    <row r="852" spans="2:7" ht="14.25" customHeight="1" x14ac:dyDescent="0.25">
      <c r="B852" s="478"/>
      <c r="C852" s="479"/>
      <c r="E852" s="480"/>
      <c r="G852" s="65"/>
    </row>
    <row r="853" spans="2:7" ht="14.25" customHeight="1" x14ac:dyDescent="0.25">
      <c r="B853" s="478"/>
      <c r="C853" s="479"/>
      <c r="E853" s="480"/>
      <c r="G853" s="65"/>
    </row>
    <row r="854" spans="2:7" ht="14.25" customHeight="1" x14ac:dyDescent="0.25">
      <c r="B854" s="478"/>
      <c r="C854" s="479"/>
      <c r="E854" s="480"/>
      <c r="G854" s="65"/>
    </row>
    <row r="855" spans="2:7" ht="14.25" customHeight="1" x14ac:dyDescent="0.25">
      <c r="B855" s="478"/>
      <c r="C855" s="479"/>
      <c r="E855" s="480"/>
      <c r="G855" s="65"/>
    </row>
    <row r="856" spans="2:7" ht="14.25" customHeight="1" x14ac:dyDescent="0.25">
      <c r="B856" s="478"/>
      <c r="C856" s="479"/>
      <c r="E856" s="480"/>
      <c r="G856" s="65"/>
    </row>
    <row r="857" spans="2:7" ht="14.25" customHeight="1" x14ac:dyDescent="0.25">
      <c r="B857" s="478"/>
      <c r="C857" s="479"/>
      <c r="E857" s="480"/>
      <c r="G857" s="65"/>
    </row>
    <row r="858" spans="2:7" ht="14.25" customHeight="1" x14ac:dyDescent="0.25">
      <c r="B858" s="478"/>
      <c r="C858" s="479"/>
      <c r="E858" s="480"/>
      <c r="G858" s="65"/>
    </row>
    <row r="859" spans="2:7" ht="14.25" customHeight="1" x14ac:dyDescent="0.25">
      <c r="B859" s="478"/>
      <c r="C859" s="479"/>
      <c r="E859" s="480"/>
      <c r="G859" s="65"/>
    </row>
    <row r="860" spans="2:7" ht="14.25" customHeight="1" x14ac:dyDescent="0.25">
      <c r="B860" s="478"/>
      <c r="C860" s="479"/>
      <c r="E860" s="480"/>
      <c r="G860" s="65"/>
    </row>
    <row r="861" spans="2:7" ht="14.25" customHeight="1" x14ac:dyDescent="0.25">
      <c r="B861" s="478"/>
      <c r="C861" s="479"/>
      <c r="E861" s="480"/>
      <c r="G861" s="65"/>
    </row>
    <row r="862" spans="2:7" ht="14.25" customHeight="1" x14ac:dyDescent="0.25">
      <c r="B862" s="478"/>
      <c r="C862" s="479"/>
      <c r="E862" s="480"/>
      <c r="G862" s="65"/>
    </row>
    <row r="863" spans="2:7" ht="14.25" customHeight="1" x14ac:dyDescent="0.25">
      <c r="B863" s="478"/>
      <c r="C863" s="479"/>
      <c r="E863" s="480"/>
      <c r="G863" s="65"/>
    </row>
    <row r="864" spans="2:7" ht="14.25" customHeight="1" x14ac:dyDescent="0.25">
      <c r="B864" s="478"/>
      <c r="C864" s="479"/>
      <c r="E864" s="480"/>
      <c r="G864" s="65"/>
    </row>
    <row r="865" spans="2:7" ht="14.25" customHeight="1" x14ac:dyDescent="0.25">
      <c r="B865" s="478"/>
      <c r="C865" s="479"/>
      <c r="E865" s="480"/>
      <c r="G865" s="65"/>
    </row>
    <row r="866" spans="2:7" ht="14.25" customHeight="1" x14ac:dyDescent="0.25">
      <c r="B866" s="478"/>
      <c r="C866" s="479"/>
      <c r="E866" s="480"/>
      <c r="G866" s="65"/>
    </row>
    <row r="867" spans="2:7" ht="14.25" customHeight="1" x14ac:dyDescent="0.25">
      <c r="B867" s="478"/>
      <c r="C867" s="479"/>
      <c r="E867" s="480"/>
      <c r="G867" s="65"/>
    </row>
    <row r="868" spans="2:7" ht="14.25" customHeight="1" x14ac:dyDescent="0.25">
      <c r="B868" s="478"/>
      <c r="C868" s="479"/>
      <c r="E868" s="480"/>
      <c r="G868" s="65"/>
    </row>
    <row r="869" spans="2:7" ht="14.25" customHeight="1" x14ac:dyDescent="0.25">
      <c r="B869" s="478"/>
      <c r="C869" s="479"/>
      <c r="E869" s="480"/>
      <c r="G869" s="65"/>
    </row>
    <row r="870" spans="2:7" ht="14.25" customHeight="1" x14ac:dyDescent="0.25">
      <c r="B870" s="478"/>
      <c r="C870" s="479"/>
      <c r="E870" s="480"/>
      <c r="G870" s="65"/>
    </row>
    <row r="871" spans="2:7" ht="14.25" customHeight="1" x14ac:dyDescent="0.25">
      <c r="B871" s="478"/>
      <c r="C871" s="479"/>
      <c r="E871" s="480"/>
      <c r="G871" s="65"/>
    </row>
    <row r="872" spans="2:7" ht="14.25" customHeight="1" x14ac:dyDescent="0.25">
      <c r="B872" s="478"/>
      <c r="C872" s="479"/>
      <c r="E872" s="480"/>
      <c r="G872" s="65"/>
    </row>
    <row r="873" spans="2:7" ht="14.25" customHeight="1" x14ac:dyDescent="0.25">
      <c r="B873" s="478"/>
      <c r="C873" s="479"/>
      <c r="E873" s="480"/>
      <c r="G873" s="65"/>
    </row>
    <row r="874" spans="2:7" ht="14.25" customHeight="1" x14ac:dyDescent="0.25">
      <c r="B874" s="478"/>
      <c r="C874" s="479"/>
      <c r="E874" s="480"/>
      <c r="G874" s="65"/>
    </row>
    <row r="875" spans="2:7" ht="14.25" customHeight="1" x14ac:dyDescent="0.25">
      <c r="B875" s="478"/>
      <c r="C875" s="479"/>
      <c r="E875" s="480"/>
      <c r="G875" s="65"/>
    </row>
    <row r="876" spans="2:7" ht="14.25" customHeight="1" x14ac:dyDescent="0.25">
      <c r="B876" s="478"/>
      <c r="C876" s="479"/>
      <c r="E876" s="480"/>
      <c r="G876" s="65"/>
    </row>
    <row r="877" spans="2:7" ht="14.25" customHeight="1" x14ac:dyDescent="0.25">
      <c r="B877" s="478"/>
      <c r="C877" s="479"/>
      <c r="E877" s="480"/>
      <c r="G877" s="65"/>
    </row>
    <row r="878" spans="2:7" ht="14.25" customHeight="1" x14ac:dyDescent="0.25">
      <c r="B878" s="478"/>
      <c r="C878" s="479"/>
      <c r="E878" s="480"/>
      <c r="G878" s="65"/>
    </row>
    <row r="879" spans="2:7" ht="14.25" customHeight="1" x14ac:dyDescent="0.25">
      <c r="B879" s="478"/>
      <c r="C879" s="479"/>
      <c r="E879" s="480"/>
      <c r="G879" s="65"/>
    </row>
    <row r="880" spans="2:7" ht="14.25" customHeight="1" x14ac:dyDescent="0.25">
      <c r="B880" s="478"/>
      <c r="C880" s="479"/>
      <c r="E880" s="480"/>
      <c r="G880" s="65"/>
    </row>
    <row r="881" spans="2:7" ht="14.25" customHeight="1" x14ac:dyDescent="0.25">
      <c r="B881" s="478"/>
      <c r="C881" s="479"/>
      <c r="E881" s="480"/>
      <c r="G881" s="65"/>
    </row>
    <row r="882" spans="2:7" ht="14.25" customHeight="1" x14ac:dyDescent="0.25">
      <c r="B882" s="478"/>
      <c r="C882" s="479"/>
      <c r="E882" s="480"/>
      <c r="G882" s="65"/>
    </row>
    <row r="883" spans="2:7" ht="14.25" customHeight="1" x14ac:dyDescent="0.25">
      <c r="B883" s="478"/>
      <c r="C883" s="479"/>
      <c r="E883" s="480"/>
      <c r="G883" s="65"/>
    </row>
    <row r="884" spans="2:7" ht="14.25" customHeight="1" x14ac:dyDescent="0.25">
      <c r="B884" s="478"/>
      <c r="C884" s="479"/>
      <c r="E884" s="480"/>
      <c r="G884" s="65"/>
    </row>
    <row r="885" spans="2:7" ht="14.25" customHeight="1" x14ac:dyDescent="0.25">
      <c r="B885" s="478"/>
      <c r="C885" s="479"/>
      <c r="E885" s="480"/>
      <c r="G885" s="65"/>
    </row>
    <row r="886" spans="2:7" ht="14.25" customHeight="1" x14ac:dyDescent="0.25">
      <c r="B886" s="478"/>
      <c r="C886" s="479"/>
      <c r="E886" s="480"/>
      <c r="G886" s="65"/>
    </row>
    <row r="887" spans="2:7" ht="14.25" customHeight="1" x14ac:dyDescent="0.25">
      <c r="B887" s="478"/>
      <c r="C887" s="479"/>
      <c r="E887" s="480"/>
      <c r="G887" s="65"/>
    </row>
    <row r="888" spans="2:7" ht="14.25" customHeight="1" x14ac:dyDescent="0.25">
      <c r="B888" s="478"/>
      <c r="C888" s="479"/>
      <c r="E888" s="480"/>
      <c r="G888" s="65"/>
    </row>
    <row r="889" spans="2:7" ht="14.25" customHeight="1" x14ac:dyDescent="0.25">
      <c r="B889" s="478"/>
      <c r="C889" s="479"/>
      <c r="E889" s="480"/>
      <c r="G889" s="65"/>
    </row>
    <row r="890" spans="2:7" ht="14.25" customHeight="1" x14ac:dyDescent="0.25">
      <c r="B890" s="478"/>
      <c r="C890" s="479"/>
      <c r="E890" s="480"/>
      <c r="G890" s="65"/>
    </row>
    <row r="891" spans="2:7" ht="14.25" customHeight="1" x14ac:dyDescent="0.25">
      <c r="B891" s="478"/>
      <c r="C891" s="479"/>
      <c r="E891" s="480"/>
      <c r="G891" s="65"/>
    </row>
    <row r="892" spans="2:7" ht="14.25" customHeight="1" x14ac:dyDescent="0.25">
      <c r="B892" s="478"/>
      <c r="C892" s="479"/>
      <c r="E892" s="480"/>
      <c r="G892" s="65"/>
    </row>
    <row r="893" spans="2:7" ht="14.25" customHeight="1" x14ac:dyDescent="0.25">
      <c r="B893" s="478"/>
      <c r="C893" s="479"/>
      <c r="E893" s="480"/>
      <c r="G893" s="65"/>
    </row>
    <row r="894" spans="2:7" ht="14.25" customHeight="1" x14ac:dyDescent="0.25">
      <c r="B894" s="478"/>
      <c r="C894" s="479"/>
      <c r="E894" s="480"/>
      <c r="G894" s="65"/>
    </row>
    <row r="895" spans="2:7" ht="14.25" customHeight="1" x14ac:dyDescent="0.25">
      <c r="B895" s="478"/>
      <c r="C895" s="479"/>
      <c r="E895" s="480"/>
      <c r="G895" s="65"/>
    </row>
    <row r="896" spans="2:7" ht="14.25" customHeight="1" x14ac:dyDescent="0.25">
      <c r="B896" s="478"/>
      <c r="C896" s="479"/>
      <c r="E896" s="480"/>
      <c r="G896" s="65"/>
    </row>
    <row r="897" spans="2:7" ht="14.25" customHeight="1" x14ac:dyDescent="0.25">
      <c r="B897" s="478"/>
      <c r="C897" s="479"/>
      <c r="E897" s="480"/>
      <c r="G897" s="65"/>
    </row>
    <row r="898" spans="2:7" ht="14.25" customHeight="1" x14ac:dyDescent="0.25">
      <c r="B898" s="478"/>
      <c r="C898" s="479"/>
      <c r="E898" s="480"/>
      <c r="G898" s="65"/>
    </row>
    <row r="899" spans="2:7" ht="14.25" customHeight="1" x14ac:dyDescent="0.25">
      <c r="B899" s="478"/>
      <c r="C899" s="479"/>
      <c r="E899" s="480"/>
      <c r="G899" s="65"/>
    </row>
    <row r="900" spans="2:7" ht="14.25" customHeight="1" x14ac:dyDescent="0.25">
      <c r="B900" s="478"/>
      <c r="C900" s="479"/>
      <c r="E900" s="480"/>
      <c r="G900" s="65"/>
    </row>
    <row r="901" spans="2:7" ht="14.25" customHeight="1" x14ac:dyDescent="0.25">
      <c r="B901" s="478"/>
      <c r="C901" s="479"/>
      <c r="E901" s="480"/>
      <c r="G901" s="65"/>
    </row>
    <row r="902" spans="2:7" ht="14.25" customHeight="1" x14ac:dyDescent="0.25">
      <c r="B902" s="478"/>
      <c r="C902" s="479"/>
      <c r="E902" s="480"/>
      <c r="G902" s="65"/>
    </row>
    <row r="903" spans="2:7" ht="14.25" customHeight="1" x14ac:dyDescent="0.25">
      <c r="B903" s="478"/>
      <c r="C903" s="479"/>
      <c r="E903" s="480"/>
      <c r="G903" s="65"/>
    </row>
    <row r="904" spans="2:7" ht="14.25" customHeight="1" x14ac:dyDescent="0.25">
      <c r="B904" s="478"/>
      <c r="C904" s="479"/>
      <c r="E904" s="480"/>
      <c r="G904" s="65"/>
    </row>
    <row r="905" spans="2:7" ht="14.25" customHeight="1" x14ac:dyDescent="0.25">
      <c r="B905" s="478"/>
      <c r="C905" s="479"/>
      <c r="E905" s="480"/>
      <c r="G905" s="65"/>
    </row>
    <row r="906" spans="2:7" ht="14.25" customHeight="1" x14ac:dyDescent="0.25">
      <c r="B906" s="478"/>
      <c r="C906" s="479"/>
      <c r="E906" s="480"/>
      <c r="G906" s="65"/>
    </row>
    <row r="907" spans="2:7" ht="14.25" customHeight="1" x14ac:dyDescent="0.25">
      <c r="B907" s="478"/>
      <c r="C907" s="479"/>
      <c r="E907" s="480"/>
      <c r="G907" s="65"/>
    </row>
    <row r="908" spans="2:7" ht="14.25" customHeight="1" x14ac:dyDescent="0.25">
      <c r="B908" s="478"/>
      <c r="C908" s="479"/>
      <c r="E908" s="480"/>
      <c r="G908" s="65"/>
    </row>
    <row r="909" spans="2:7" ht="14.25" customHeight="1" x14ac:dyDescent="0.25">
      <c r="B909" s="478"/>
      <c r="C909" s="479"/>
      <c r="E909" s="480"/>
      <c r="G909" s="65"/>
    </row>
    <row r="910" spans="2:7" ht="14.25" customHeight="1" x14ac:dyDescent="0.25">
      <c r="B910" s="478"/>
      <c r="C910" s="479"/>
      <c r="E910" s="480"/>
      <c r="G910" s="65"/>
    </row>
    <row r="911" spans="2:7" ht="14.25" customHeight="1" x14ac:dyDescent="0.25">
      <c r="B911" s="478"/>
      <c r="C911" s="479"/>
      <c r="E911" s="480"/>
      <c r="G911" s="65"/>
    </row>
    <row r="912" spans="2:7" ht="14.25" customHeight="1" x14ac:dyDescent="0.25">
      <c r="B912" s="478"/>
      <c r="C912" s="479"/>
      <c r="E912" s="480"/>
      <c r="G912" s="65"/>
    </row>
    <row r="913" spans="2:7" ht="14.25" customHeight="1" x14ac:dyDescent="0.25">
      <c r="B913" s="478"/>
      <c r="C913" s="479"/>
      <c r="E913" s="480"/>
      <c r="G913" s="65"/>
    </row>
    <row r="914" spans="2:7" ht="14.25" customHeight="1" x14ac:dyDescent="0.25">
      <c r="B914" s="478"/>
      <c r="C914" s="479"/>
      <c r="E914" s="480"/>
      <c r="G914" s="65"/>
    </row>
    <row r="915" spans="2:7" ht="14.25" customHeight="1" x14ac:dyDescent="0.25">
      <c r="B915" s="478"/>
      <c r="C915" s="479"/>
      <c r="E915" s="480"/>
      <c r="G915" s="65"/>
    </row>
    <row r="916" spans="2:7" ht="14.25" customHeight="1" x14ac:dyDescent="0.25">
      <c r="B916" s="478"/>
      <c r="C916" s="479"/>
      <c r="E916" s="480"/>
      <c r="G916" s="65"/>
    </row>
    <row r="917" spans="2:7" ht="14.25" customHeight="1" x14ac:dyDescent="0.25">
      <c r="B917" s="478"/>
      <c r="C917" s="479"/>
      <c r="E917" s="480"/>
      <c r="G917" s="65"/>
    </row>
    <row r="918" spans="2:7" ht="14.25" customHeight="1" x14ac:dyDescent="0.25">
      <c r="B918" s="478"/>
      <c r="C918" s="479"/>
      <c r="E918" s="480"/>
      <c r="G918" s="65"/>
    </row>
    <row r="919" spans="2:7" ht="14.25" customHeight="1" x14ac:dyDescent="0.25">
      <c r="B919" s="478"/>
      <c r="C919" s="479"/>
      <c r="E919" s="480"/>
      <c r="G919" s="65"/>
    </row>
    <row r="920" spans="2:7" ht="14.25" customHeight="1" x14ac:dyDescent="0.25">
      <c r="B920" s="478"/>
      <c r="C920" s="479"/>
      <c r="E920" s="480"/>
      <c r="G920" s="65"/>
    </row>
    <row r="921" spans="2:7" ht="14.25" customHeight="1" x14ac:dyDescent="0.25">
      <c r="B921" s="478"/>
      <c r="C921" s="479"/>
      <c r="E921" s="480"/>
      <c r="G921" s="65"/>
    </row>
    <row r="922" spans="2:7" ht="14.25" customHeight="1" x14ac:dyDescent="0.25">
      <c r="B922" s="478"/>
      <c r="C922" s="479"/>
      <c r="E922" s="480"/>
      <c r="G922" s="65"/>
    </row>
    <row r="923" spans="2:7" ht="14.25" customHeight="1" x14ac:dyDescent="0.25">
      <c r="B923" s="478"/>
      <c r="C923" s="479"/>
      <c r="E923" s="480"/>
      <c r="G923" s="65"/>
    </row>
    <row r="924" spans="2:7" ht="14.25" customHeight="1" x14ac:dyDescent="0.25">
      <c r="B924" s="478"/>
      <c r="C924" s="479"/>
      <c r="E924" s="480"/>
      <c r="G924" s="65"/>
    </row>
    <row r="925" spans="2:7" ht="14.25" customHeight="1" x14ac:dyDescent="0.25">
      <c r="B925" s="478"/>
      <c r="C925" s="479"/>
      <c r="E925" s="480"/>
      <c r="G925" s="65"/>
    </row>
    <row r="926" spans="2:7" ht="14.25" customHeight="1" x14ac:dyDescent="0.25">
      <c r="B926" s="478"/>
      <c r="C926" s="479"/>
      <c r="E926" s="480"/>
      <c r="G926" s="65"/>
    </row>
    <row r="927" spans="2:7" ht="14.25" customHeight="1" x14ac:dyDescent="0.25">
      <c r="B927" s="478"/>
      <c r="C927" s="479"/>
      <c r="E927" s="480"/>
      <c r="G927" s="65"/>
    </row>
    <row r="928" spans="2:7" ht="14.25" customHeight="1" x14ac:dyDescent="0.25">
      <c r="B928" s="478"/>
      <c r="C928" s="479"/>
      <c r="E928" s="480"/>
      <c r="G928" s="65"/>
    </row>
    <row r="929" spans="2:7" ht="14.25" customHeight="1" x14ac:dyDescent="0.25">
      <c r="B929" s="478"/>
      <c r="C929" s="479"/>
      <c r="E929" s="480"/>
      <c r="G929" s="65"/>
    </row>
    <row r="930" spans="2:7" ht="14.25" customHeight="1" x14ac:dyDescent="0.25">
      <c r="B930" s="478"/>
      <c r="C930" s="479"/>
      <c r="E930" s="480"/>
      <c r="G930" s="65"/>
    </row>
    <row r="931" spans="2:7" ht="14.25" customHeight="1" x14ac:dyDescent="0.25">
      <c r="B931" s="478"/>
      <c r="C931" s="479"/>
      <c r="E931" s="480"/>
      <c r="G931" s="65"/>
    </row>
    <row r="932" spans="2:7" ht="14.25" customHeight="1" x14ac:dyDescent="0.25">
      <c r="B932" s="478"/>
      <c r="C932" s="479"/>
      <c r="E932" s="480"/>
      <c r="G932" s="65"/>
    </row>
    <row r="933" spans="2:7" ht="14.25" customHeight="1" x14ac:dyDescent="0.25">
      <c r="B933" s="478"/>
      <c r="C933" s="479"/>
      <c r="E933" s="480"/>
      <c r="G933" s="65"/>
    </row>
    <row r="934" spans="2:7" ht="14.25" customHeight="1" x14ac:dyDescent="0.25">
      <c r="B934" s="478"/>
      <c r="C934" s="479"/>
      <c r="E934" s="480"/>
      <c r="G934" s="65"/>
    </row>
    <row r="935" spans="2:7" ht="14.25" customHeight="1" x14ac:dyDescent="0.25">
      <c r="B935" s="478"/>
      <c r="C935" s="479"/>
      <c r="E935" s="480"/>
      <c r="G935" s="65"/>
    </row>
    <row r="936" spans="2:7" ht="14.25" customHeight="1" x14ac:dyDescent="0.25">
      <c r="B936" s="478"/>
      <c r="C936" s="479"/>
      <c r="E936" s="480"/>
      <c r="G936" s="65"/>
    </row>
    <row r="937" spans="2:7" ht="14.25" customHeight="1" x14ac:dyDescent="0.25">
      <c r="B937" s="478"/>
      <c r="C937" s="479"/>
      <c r="E937" s="480"/>
      <c r="G937" s="65"/>
    </row>
    <row r="938" spans="2:7" ht="14.25" customHeight="1" x14ac:dyDescent="0.25">
      <c r="B938" s="478"/>
      <c r="C938" s="479"/>
      <c r="E938" s="480"/>
      <c r="G938" s="65"/>
    </row>
    <row r="939" spans="2:7" ht="14.25" customHeight="1" x14ac:dyDescent="0.25">
      <c r="B939" s="478"/>
      <c r="C939" s="479"/>
      <c r="E939" s="480"/>
      <c r="G939" s="65"/>
    </row>
    <row r="940" spans="2:7" ht="14.25" customHeight="1" x14ac:dyDescent="0.25">
      <c r="B940" s="478"/>
      <c r="C940" s="479"/>
      <c r="E940" s="480"/>
      <c r="G940" s="65"/>
    </row>
    <row r="941" spans="2:7" ht="14.25" customHeight="1" x14ac:dyDescent="0.25">
      <c r="B941" s="478"/>
      <c r="C941" s="479"/>
      <c r="E941" s="480"/>
      <c r="G941" s="65"/>
    </row>
    <row r="942" spans="2:7" ht="14.25" customHeight="1" x14ac:dyDescent="0.25">
      <c r="B942" s="478"/>
      <c r="C942" s="479"/>
      <c r="E942" s="480"/>
      <c r="G942" s="65"/>
    </row>
    <row r="943" spans="2:7" ht="14.25" customHeight="1" x14ac:dyDescent="0.25">
      <c r="B943" s="478"/>
      <c r="C943" s="479"/>
      <c r="E943" s="480"/>
      <c r="G943" s="65"/>
    </row>
    <row r="944" spans="2:7" ht="14.25" customHeight="1" x14ac:dyDescent="0.25">
      <c r="B944" s="478"/>
      <c r="C944" s="479"/>
      <c r="E944" s="480"/>
      <c r="G944" s="65"/>
    </row>
    <row r="945" spans="2:7" ht="14.25" customHeight="1" x14ac:dyDescent="0.25">
      <c r="B945" s="478"/>
      <c r="C945" s="479"/>
      <c r="E945" s="480"/>
      <c r="G945" s="65"/>
    </row>
    <row r="946" spans="2:7" ht="14.25" customHeight="1" x14ac:dyDescent="0.25">
      <c r="B946" s="478"/>
      <c r="C946" s="479"/>
      <c r="E946" s="480"/>
      <c r="G946" s="65"/>
    </row>
    <row r="947" spans="2:7" ht="14.25" customHeight="1" x14ac:dyDescent="0.25">
      <c r="B947" s="478"/>
      <c r="C947" s="479"/>
      <c r="E947" s="480"/>
      <c r="G947" s="65"/>
    </row>
    <row r="948" spans="2:7" ht="14.25" customHeight="1" x14ac:dyDescent="0.25">
      <c r="B948" s="478"/>
      <c r="C948" s="479"/>
      <c r="E948" s="480"/>
      <c r="G948" s="65"/>
    </row>
    <row r="949" spans="2:7" ht="14.25" customHeight="1" x14ac:dyDescent="0.25">
      <c r="B949" s="478"/>
      <c r="C949" s="479"/>
      <c r="E949" s="480"/>
      <c r="G949" s="65"/>
    </row>
    <row r="950" spans="2:7" ht="14.25" customHeight="1" x14ac:dyDescent="0.25">
      <c r="B950" s="478"/>
      <c r="C950" s="479"/>
      <c r="E950" s="480"/>
      <c r="G950" s="65"/>
    </row>
    <row r="951" spans="2:7" ht="14.25" customHeight="1" x14ac:dyDescent="0.25">
      <c r="B951" s="478"/>
      <c r="C951" s="479"/>
      <c r="E951" s="480"/>
      <c r="G951" s="65"/>
    </row>
    <row r="952" spans="2:7" ht="14.25" customHeight="1" x14ac:dyDescent="0.25">
      <c r="B952" s="478"/>
      <c r="C952" s="479"/>
      <c r="E952" s="480"/>
      <c r="G952" s="65"/>
    </row>
    <row r="953" spans="2:7" ht="14.25" customHeight="1" x14ac:dyDescent="0.25">
      <c r="B953" s="478"/>
      <c r="C953" s="479"/>
      <c r="E953" s="480"/>
      <c r="G953" s="65"/>
    </row>
    <row r="954" spans="2:7" ht="14.25" customHeight="1" x14ac:dyDescent="0.25">
      <c r="B954" s="478"/>
      <c r="C954" s="479"/>
      <c r="E954" s="480"/>
      <c r="G954" s="65"/>
    </row>
    <row r="955" spans="2:7" ht="14.25" customHeight="1" x14ac:dyDescent="0.25">
      <c r="B955" s="478"/>
      <c r="C955" s="479"/>
      <c r="E955" s="480"/>
      <c r="G955" s="65"/>
    </row>
    <row r="956" spans="2:7" ht="14.25" customHeight="1" x14ac:dyDescent="0.25">
      <c r="B956" s="478"/>
      <c r="C956" s="479"/>
      <c r="E956" s="480"/>
      <c r="G956" s="65"/>
    </row>
    <row r="957" spans="2:7" ht="14.25" customHeight="1" x14ac:dyDescent="0.25">
      <c r="B957" s="478"/>
      <c r="C957" s="479"/>
      <c r="E957" s="480"/>
      <c r="G957" s="65"/>
    </row>
    <row r="958" spans="2:7" ht="14.25" customHeight="1" x14ac:dyDescent="0.25">
      <c r="B958" s="478"/>
      <c r="C958" s="479"/>
      <c r="E958" s="480"/>
      <c r="G958" s="65"/>
    </row>
    <row r="959" spans="2:7" ht="14.25" customHeight="1" x14ac:dyDescent="0.25">
      <c r="B959" s="478"/>
      <c r="C959" s="479"/>
      <c r="E959" s="480"/>
      <c r="G959" s="65"/>
    </row>
    <row r="960" spans="2:7" ht="14.25" customHeight="1" x14ac:dyDescent="0.25">
      <c r="B960" s="478"/>
      <c r="C960" s="479"/>
      <c r="E960" s="480"/>
      <c r="G960" s="65"/>
    </row>
    <row r="961" spans="2:7" ht="14.25" customHeight="1" x14ac:dyDescent="0.25">
      <c r="B961" s="478"/>
      <c r="C961" s="479"/>
      <c r="E961" s="480"/>
      <c r="G961" s="65"/>
    </row>
    <row r="962" spans="2:7" ht="14.25" customHeight="1" x14ac:dyDescent="0.25">
      <c r="B962" s="478"/>
      <c r="C962" s="479"/>
      <c r="E962" s="480"/>
      <c r="G962" s="65"/>
    </row>
    <row r="963" spans="2:7" ht="14.25" customHeight="1" x14ac:dyDescent="0.25">
      <c r="B963" s="478"/>
      <c r="C963" s="479"/>
      <c r="E963" s="480"/>
      <c r="G963" s="65"/>
    </row>
    <row r="964" spans="2:7" ht="14.25" customHeight="1" x14ac:dyDescent="0.25">
      <c r="B964" s="478"/>
      <c r="C964" s="479"/>
      <c r="E964" s="480"/>
      <c r="G964" s="65"/>
    </row>
    <row r="965" spans="2:7" ht="14.25" customHeight="1" x14ac:dyDescent="0.25">
      <c r="B965" s="478"/>
      <c r="C965" s="479"/>
      <c r="E965" s="480"/>
      <c r="G965" s="65"/>
    </row>
    <row r="966" spans="2:7" ht="14.25" customHeight="1" x14ac:dyDescent="0.25">
      <c r="B966" s="478"/>
      <c r="C966" s="479"/>
      <c r="E966" s="480"/>
      <c r="G966" s="65"/>
    </row>
    <row r="967" spans="2:7" ht="14.25" customHeight="1" x14ac:dyDescent="0.25">
      <c r="B967" s="478"/>
      <c r="C967" s="479"/>
      <c r="E967" s="480"/>
      <c r="G967" s="65"/>
    </row>
    <row r="968" spans="2:7" ht="14.25" customHeight="1" x14ac:dyDescent="0.25">
      <c r="B968" s="478"/>
      <c r="C968" s="479"/>
      <c r="E968" s="480"/>
      <c r="G968" s="65"/>
    </row>
    <row r="969" spans="2:7" ht="14.25" customHeight="1" x14ac:dyDescent="0.25">
      <c r="B969" s="478"/>
      <c r="C969" s="479"/>
      <c r="E969" s="480"/>
      <c r="G969" s="65"/>
    </row>
    <row r="970" spans="2:7" ht="14.25" customHeight="1" x14ac:dyDescent="0.25">
      <c r="B970" s="478"/>
      <c r="C970" s="479"/>
      <c r="E970" s="480"/>
      <c r="G970" s="65"/>
    </row>
    <row r="971" spans="2:7" ht="14.25" customHeight="1" x14ac:dyDescent="0.25">
      <c r="B971" s="478"/>
      <c r="C971" s="479"/>
      <c r="E971" s="480"/>
      <c r="G971" s="65"/>
    </row>
    <row r="972" spans="2:7" ht="14.25" customHeight="1" x14ac:dyDescent="0.25">
      <c r="B972" s="478"/>
      <c r="C972" s="479"/>
      <c r="E972" s="480"/>
      <c r="G972" s="65"/>
    </row>
    <row r="973" spans="2:7" ht="14.25" customHeight="1" x14ac:dyDescent="0.25">
      <c r="B973" s="478"/>
      <c r="C973" s="479"/>
      <c r="E973" s="480"/>
      <c r="G973" s="65"/>
    </row>
    <row r="974" spans="2:7" ht="14.25" customHeight="1" x14ac:dyDescent="0.25">
      <c r="B974" s="478"/>
      <c r="C974" s="479"/>
      <c r="E974" s="480"/>
      <c r="G974" s="65"/>
    </row>
    <row r="975" spans="2:7" ht="14.25" customHeight="1" x14ac:dyDescent="0.25">
      <c r="B975" s="478"/>
      <c r="C975" s="479"/>
      <c r="E975" s="480"/>
      <c r="G975" s="65"/>
    </row>
    <row r="976" spans="2:7" ht="14.25" customHeight="1" x14ac:dyDescent="0.25">
      <c r="B976" s="478"/>
      <c r="C976" s="479"/>
      <c r="E976" s="480"/>
      <c r="G976" s="65"/>
    </row>
    <row r="977" spans="2:7" ht="14.25" customHeight="1" x14ac:dyDescent="0.25">
      <c r="B977" s="478"/>
      <c r="C977" s="479"/>
      <c r="E977" s="480"/>
      <c r="G977" s="65"/>
    </row>
    <row r="978" spans="2:7" ht="14.25" customHeight="1" x14ac:dyDescent="0.25">
      <c r="B978" s="478"/>
      <c r="C978" s="479"/>
      <c r="E978" s="480"/>
      <c r="G978" s="65"/>
    </row>
    <row r="979" spans="2:7" ht="14.25" customHeight="1" x14ac:dyDescent="0.25">
      <c r="B979" s="478"/>
      <c r="C979" s="479"/>
      <c r="E979" s="480"/>
      <c r="G979" s="65"/>
    </row>
    <row r="980" spans="2:7" ht="14.25" customHeight="1" x14ac:dyDescent="0.25">
      <c r="B980" s="478"/>
      <c r="C980" s="479"/>
      <c r="E980" s="480"/>
      <c r="G980" s="65"/>
    </row>
    <row r="981" spans="2:7" ht="14.25" customHeight="1" x14ac:dyDescent="0.25">
      <c r="B981" s="478"/>
      <c r="C981" s="479"/>
      <c r="E981" s="480"/>
      <c r="G981" s="65"/>
    </row>
    <row r="982" spans="2:7" ht="14.25" customHeight="1" x14ac:dyDescent="0.25">
      <c r="B982" s="478"/>
      <c r="C982" s="479"/>
      <c r="E982" s="480"/>
      <c r="G982" s="65"/>
    </row>
    <row r="983" spans="2:7" ht="14.25" customHeight="1" x14ac:dyDescent="0.25">
      <c r="B983" s="478"/>
      <c r="C983" s="479"/>
      <c r="E983" s="480"/>
      <c r="G983" s="65"/>
    </row>
    <row r="984" spans="2:7" ht="14.25" customHeight="1" x14ac:dyDescent="0.25">
      <c r="B984" s="478"/>
      <c r="C984" s="479"/>
      <c r="E984" s="480"/>
      <c r="G984" s="65"/>
    </row>
    <row r="985" spans="2:7" ht="14.25" customHeight="1" x14ac:dyDescent="0.25">
      <c r="B985" s="478"/>
      <c r="C985" s="479"/>
      <c r="E985" s="480"/>
      <c r="G985" s="65"/>
    </row>
    <row r="986" spans="2:7" ht="14.25" customHeight="1" x14ac:dyDescent="0.25">
      <c r="B986" s="478"/>
      <c r="C986" s="479"/>
      <c r="E986" s="480"/>
      <c r="G986" s="65"/>
    </row>
    <row r="987" spans="2:7" ht="14.25" customHeight="1" x14ac:dyDescent="0.25">
      <c r="B987" s="478"/>
      <c r="C987" s="479"/>
      <c r="E987" s="480"/>
      <c r="G987" s="65"/>
    </row>
    <row r="988" spans="2:7" ht="14.25" customHeight="1" x14ac:dyDescent="0.25">
      <c r="B988" s="478"/>
      <c r="C988" s="479"/>
      <c r="E988" s="480"/>
      <c r="G988" s="65"/>
    </row>
    <row r="989" spans="2:7" ht="14.25" customHeight="1" x14ac:dyDescent="0.25">
      <c r="B989" s="478"/>
      <c r="C989" s="479"/>
      <c r="E989" s="480"/>
      <c r="G989" s="65"/>
    </row>
    <row r="990" spans="2:7" ht="14.25" customHeight="1" x14ac:dyDescent="0.25">
      <c r="B990" s="478"/>
      <c r="C990" s="479"/>
      <c r="E990" s="480"/>
      <c r="G990" s="65"/>
    </row>
    <row r="991" spans="2:7" ht="14.25" customHeight="1" x14ac:dyDescent="0.25">
      <c r="B991" s="478"/>
      <c r="C991" s="479"/>
      <c r="E991" s="480"/>
      <c r="G991" s="65"/>
    </row>
    <row r="992" spans="2:7" ht="14.25" customHeight="1" x14ac:dyDescent="0.25">
      <c r="B992" s="478"/>
      <c r="C992" s="479"/>
      <c r="E992" s="480"/>
      <c r="G992" s="65"/>
    </row>
    <row r="993" spans="2:7" ht="14.25" customHeight="1" x14ac:dyDescent="0.25">
      <c r="B993" s="478"/>
      <c r="C993" s="479"/>
      <c r="E993" s="480"/>
      <c r="G993" s="65"/>
    </row>
    <row r="994" spans="2:7" ht="14.25" customHeight="1" x14ac:dyDescent="0.25">
      <c r="B994" s="478"/>
      <c r="C994" s="479"/>
      <c r="E994" s="480"/>
      <c r="G994" s="65"/>
    </row>
    <row r="995" spans="2:7" ht="14.25" customHeight="1" x14ac:dyDescent="0.25">
      <c r="B995" s="478"/>
      <c r="C995" s="479"/>
      <c r="E995" s="480"/>
      <c r="G995" s="65"/>
    </row>
    <row r="996" spans="2:7" ht="14.25" customHeight="1" x14ac:dyDescent="0.25">
      <c r="B996" s="478"/>
      <c r="C996" s="479"/>
      <c r="E996" s="480"/>
      <c r="G996" s="65"/>
    </row>
    <row r="997" spans="2:7" ht="14.25" customHeight="1" x14ac:dyDescent="0.25">
      <c r="B997" s="478"/>
      <c r="C997" s="479"/>
      <c r="E997" s="480"/>
      <c r="G997" s="65"/>
    </row>
    <row r="998" spans="2:7" ht="14.25" customHeight="1" x14ac:dyDescent="0.25">
      <c r="B998" s="478"/>
      <c r="C998" s="479"/>
      <c r="E998" s="480"/>
      <c r="G998" s="65"/>
    </row>
    <row r="999" spans="2:7" ht="14.25" customHeight="1" x14ac:dyDescent="0.25">
      <c r="B999" s="478"/>
      <c r="C999" s="479"/>
      <c r="E999" s="480"/>
      <c r="G999" s="65"/>
    </row>
    <row r="1000" spans="2:7" ht="14.25" customHeight="1" x14ac:dyDescent="0.25">
      <c r="B1000" s="478"/>
      <c r="C1000" s="479"/>
      <c r="E1000" s="480"/>
      <c r="G1000" s="65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/>
  </sheetViews>
  <sheetFormatPr defaultColWidth="14.42578125" defaultRowHeight="15" customHeight="1" x14ac:dyDescent="0.25"/>
  <cols>
    <col min="1" max="1" width="5" customWidth="1"/>
    <col min="2" max="2" width="12.7109375" customWidth="1"/>
    <col min="3" max="3" width="23.28515625" customWidth="1"/>
    <col min="4" max="4" width="17.5703125" customWidth="1"/>
    <col min="5" max="5" width="29" customWidth="1"/>
    <col min="6" max="6" width="24.85546875" customWidth="1"/>
    <col min="7" max="7" width="22" customWidth="1"/>
    <col min="8" max="8" width="15.5703125" customWidth="1"/>
    <col min="9" max="9" width="19.5703125" customWidth="1"/>
    <col min="10" max="10" width="20.140625" customWidth="1"/>
    <col min="11" max="11" width="16.7109375" customWidth="1"/>
    <col min="12" max="12" width="15.28515625" customWidth="1"/>
    <col min="13" max="13" width="19" customWidth="1"/>
    <col min="14" max="14" width="19.5703125" customWidth="1"/>
    <col min="15" max="15" width="16.7109375" customWidth="1"/>
    <col min="16" max="16" width="15.28515625" customWidth="1"/>
    <col min="17" max="17" width="8.7109375" customWidth="1"/>
    <col min="18" max="18" width="14.7109375" customWidth="1"/>
    <col min="19" max="19" width="11.85546875" customWidth="1"/>
    <col min="20" max="20" width="10.5703125" customWidth="1"/>
    <col min="21" max="21" width="9.140625" customWidth="1"/>
    <col min="22" max="26" width="8.7109375" customWidth="1"/>
  </cols>
  <sheetData>
    <row r="1" spans="1:26" ht="14.25" customHeight="1" x14ac:dyDescent="0.25">
      <c r="A1" s="484"/>
      <c r="C1" s="573" t="s">
        <v>785</v>
      </c>
      <c r="D1" s="574"/>
      <c r="E1" s="574"/>
      <c r="F1" s="574"/>
      <c r="G1" s="574"/>
      <c r="H1" s="575"/>
      <c r="I1" s="485"/>
      <c r="J1" s="485"/>
      <c r="K1" s="485"/>
      <c r="L1" s="485"/>
      <c r="M1" s="486"/>
      <c r="N1" s="486"/>
      <c r="O1" s="486"/>
      <c r="P1" s="486"/>
      <c r="R1" s="23"/>
      <c r="U1" s="11"/>
    </row>
    <row r="2" spans="1:26" ht="14.25" customHeight="1" x14ac:dyDescent="0.25">
      <c r="A2" s="487" t="s">
        <v>659</v>
      </c>
      <c r="B2" s="488" t="s">
        <v>774</v>
      </c>
      <c r="C2" s="489" t="s">
        <v>786</v>
      </c>
      <c r="D2" s="489" t="s">
        <v>787</v>
      </c>
      <c r="E2" s="489" t="s">
        <v>788</v>
      </c>
      <c r="F2" s="489" t="s">
        <v>789</v>
      </c>
      <c r="G2" s="489" t="s">
        <v>790</v>
      </c>
      <c r="H2" s="489" t="s">
        <v>791</v>
      </c>
      <c r="I2" s="490" t="s">
        <v>792</v>
      </c>
      <c r="J2" s="490" t="s">
        <v>793</v>
      </c>
      <c r="K2" s="490" t="s">
        <v>794</v>
      </c>
      <c r="L2" s="490" t="s">
        <v>795</v>
      </c>
      <c r="M2" s="491" t="s">
        <v>796</v>
      </c>
      <c r="N2" s="491" t="s">
        <v>797</v>
      </c>
      <c r="O2" s="491" t="s">
        <v>794</v>
      </c>
      <c r="P2" s="491" t="s">
        <v>795</v>
      </c>
      <c r="Q2" s="492"/>
      <c r="R2" s="493" t="s">
        <v>798</v>
      </c>
      <c r="S2" s="492"/>
      <c r="T2" s="492"/>
      <c r="U2" s="494"/>
      <c r="V2" s="492"/>
      <c r="W2" s="492"/>
      <c r="X2" s="492"/>
      <c r="Y2" s="492"/>
      <c r="Z2" s="492"/>
    </row>
    <row r="3" spans="1:26" ht="14.25" customHeight="1" x14ac:dyDescent="0.25">
      <c r="A3" s="495">
        <v>2020</v>
      </c>
      <c r="B3" s="496" t="s">
        <v>799</v>
      </c>
      <c r="C3" s="497">
        <v>19.149999999999999</v>
      </c>
      <c r="D3" s="497"/>
      <c r="E3" s="497"/>
      <c r="F3" s="497"/>
      <c r="G3" s="497"/>
      <c r="H3" s="497">
        <v>0</v>
      </c>
      <c r="I3" s="498">
        <v>12452.14</v>
      </c>
      <c r="J3" s="498">
        <v>12025.27</v>
      </c>
      <c r="K3" s="498">
        <v>45.04</v>
      </c>
      <c r="L3" s="498">
        <v>471.91</v>
      </c>
      <c r="M3" s="499">
        <v>0</v>
      </c>
      <c r="N3" s="499">
        <v>0</v>
      </c>
      <c r="O3" s="499">
        <v>0</v>
      </c>
      <c r="P3" s="500">
        <v>0</v>
      </c>
      <c r="R3" s="23"/>
      <c r="U3" s="11"/>
    </row>
    <row r="4" spans="1:26" ht="14.25" customHeight="1" x14ac:dyDescent="0.25">
      <c r="A4" s="501">
        <v>2020</v>
      </c>
      <c r="B4" s="47" t="s">
        <v>800</v>
      </c>
      <c r="C4" s="502">
        <v>0</v>
      </c>
      <c r="D4" s="502"/>
      <c r="E4" s="502"/>
      <c r="F4" s="502"/>
      <c r="G4" s="502"/>
      <c r="H4" s="502">
        <v>0</v>
      </c>
      <c r="I4" s="503">
        <v>3102.37</v>
      </c>
      <c r="J4" s="503">
        <v>2996.68</v>
      </c>
      <c r="K4" s="503">
        <v>4.3</v>
      </c>
      <c r="L4" s="503">
        <v>109.99</v>
      </c>
      <c r="M4" s="504">
        <v>0</v>
      </c>
      <c r="N4" s="504">
        <v>0</v>
      </c>
      <c r="O4" s="504">
        <v>0</v>
      </c>
      <c r="P4" s="505">
        <v>0</v>
      </c>
      <c r="R4" s="23"/>
      <c r="U4" s="11"/>
    </row>
    <row r="5" spans="1:26" ht="14.25" customHeight="1" x14ac:dyDescent="0.25">
      <c r="A5" s="501">
        <v>2020</v>
      </c>
      <c r="B5" s="47" t="s">
        <v>801</v>
      </c>
      <c r="C5" s="502">
        <v>0</v>
      </c>
      <c r="D5" s="502"/>
      <c r="E5" s="502"/>
      <c r="F5" s="502"/>
      <c r="G5" s="502"/>
      <c r="H5" s="502">
        <v>0</v>
      </c>
      <c r="I5" s="503">
        <v>6554.06</v>
      </c>
      <c r="J5" s="503">
        <v>6488.57</v>
      </c>
      <c r="K5" s="503">
        <v>2.2799999999999998</v>
      </c>
      <c r="L5" s="503">
        <v>67.77</v>
      </c>
      <c r="M5" s="504">
        <v>0</v>
      </c>
      <c r="N5" s="504">
        <v>0</v>
      </c>
      <c r="O5" s="504">
        <v>0</v>
      </c>
      <c r="P5" s="505">
        <v>0</v>
      </c>
      <c r="R5" s="23"/>
      <c r="U5" s="11"/>
    </row>
    <row r="6" spans="1:26" ht="14.25" customHeight="1" x14ac:dyDescent="0.25">
      <c r="A6" s="506">
        <v>2020</v>
      </c>
      <c r="B6" s="507" t="s">
        <v>68</v>
      </c>
      <c r="C6" s="508">
        <f t="shared" ref="C6:F6" si="0">SUM(C2:C5)</f>
        <v>19.149999999999999</v>
      </c>
      <c r="D6" s="508">
        <f t="shared" si="0"/>
        <v>0</v>
      </c>
      <c r="E6" s="508">
        <f t="shared" si="0"/>
        <v>0</v>
      </c>
      <c r="F6" s="508">
        <f t="shared" si="0"/>
        <v>0</v>
      </c>
      <c r="G6" s="508"/>
      <c r="H6" s="508">
        <f t="shared" ref="H6:P6" si="1">SUM(H2:H5)</f>
        <v>0</v>
      </c>
      <c r="I6" s="509">
        <f t="shared" si="1"/>
        <v>22108.57</v>
      </c>
      <c r="J6" s="509">
        <f t="shared" si="1"/>
        <v>21510.52</v>
      </c>
      <c r="K6" s="509">
        <f t="shared" si="1"/>
        <v>51.62</v>
      </c>
      <c r="L6" s="509">
        <f t="shared" si="1"/>
        <v>649.66999999999996</v>
      </c>
      <c r="M6" s="510">
        <f t="shared" si="1"/>
        <v>0</v>
      </c>
      <c r="N6" s="510">
        <f t="shared" si="1"/>
        <v>0</v>
      </c>
      <c r="O6" s="510">
        <f t="shared" si="1"/>
        <v>0</v>
      </c>
      <c r="P6" s="511">
        <f t="shared" si="1"/>
        <v>0</v>
      </c>
      <c r="Q6" s="492"/>
      <c r="R6" s="512">
        <f>L6+P6</f>
        <v>649.66999999999996</v>
      </c>
      <c r="S6" s="492"/>
      <c r="T6" s="492"/>
      <c r="U6" s="494"/>
      <c r="V6" s="492"/>
      <c r="W6" s="492"/>
      <c r="X6" s="492"/>
      <c r="Y6" s="492"/>
      <c r="Z6" s="492"/>
    </row>
    <row r="7" spans="1:26" ht="14.25" customHeight="1" x14ac:dyDescent="0.25">
      <c r="A7" s="484"/>
      <c r="C7" s="513"/>
      <c r="D7" s="513"/>
      <c r="E7" s="513"/>
      <c r="F7" s="513"/>
      <c r="G7" s="513"/>
      <c r="H7" s="513"/>
      <c r="I7" s="485"/>
      <c r="J7" s="485"/>
      <c r="K7" s="485"/>
      <c r="L7" s="485"/>
      <c r="M7" s="486"/>
      <c r="N7" s="486"/>
      <c r="O7" s="486"/>
      <c r="P7" s="486"/>
      <c r="R7" s="23"/>
      <c r="U7" s="11"/>
    </row>
    <row r="8" spans="1:26" ht="14.25" customHeight="1" x14ac:dyDescent="0.25">
      <c r="A8" s="495">
        <v>2021</v>
      </c>
      <c r="B8" s="496" t="s">
        <v>802</v>
      </c>
      <c r="C8" s="497">
        <v>45.14</v>
      </c>
      <c r="D8" s="497"/>
      <c r="E8" s="497"/>
      <c r="F8" s="497"/>
      <c r="G8" s="497"/>
      <c r="H8" s="497">
        <v>0.94</v>
      </c>
      <c r="I8" s="498">
        <v>75774.039999999994</v>
      </c>
      <c r="J8" s="498">
        <v>72656.539999999994</v>
      </c>
      <c r="K8" s="498">
        <v>395.57</v>
      </c>
      <c r="L8" s="498">
        <v>3513.07</v>
      </c>
      <c r="M8" s="499">
        <v>1617.32</v>
      </c>
      <c r="N8" s="499">
        <v>1052.6500000000001</v>
      </c>
      <c r="O8" s="499">
        <v>0</v>
      </c>
      <c r="P8" s="500">
        <v>564.66999999999996</v>
      </c>
      <c r="R8" s="23"/>
      <c r="U8" s="11"/>
    </row>
    <row r="9" spans="1:26" ht="14.25" customHeight="1" x14ac:dyDescent="0.25">
      <c r="A9" s="501">
        <v>2021</v>
      </c>
      <c r="B9" s="47" t="s">
        <v>800</v>
      </c>
      <c r="C9" s="502">
        <v>0</v>
      </c>
      <c r="D9" s="502"/>
      <c r="E9" s="502"/>
      <c r="F9" s="502"/>
      <c r="G9" s="502"/>
      <c r="H9" s="502">
        <v>0</v>
      </c>
      <c r="I9" s="503">
        <v>15051.2</v>
      </c>
      <c r="J9" s="503">
        <v>14175.95</v>
      </c>
      <c r="K9" s="503">
        <v>13.41</v>
      </c>
      <c r="L9" s="503">
        <v>888.66</v>
      </c>
      <c r="M9" s="504">
        <v>570.67999999999995</v>
      </c>
      <c r="N9" s="504">
        <v>339.23</v>
      </c>
      <c r="O9" s="504">
        <v>0</v>
      </c>
      <c r="P9" s="505">
        <v>231.45</v>
      </c>
      <c r="R9" s="23"/>
      <c r="U9" s="11"/>
    </row>
    <row r="10" spans="1:26" ht="14.25" customHeight="1" x14ac:dyDescent="0.25">
      <c r="A10" s="501">
        <v>2021</v>
      </c>
      <c r="B10" s="47" t="s">
        <v>801</v>
      </c>
      <c r="C10" s="502">
        <v>0</v>
      </c>
      <c r="D10" s="502"/>
      <c r="E10" s="502"/>
      <c r="F10" s="502"/>
      <c r="G10" s="502"/>
      <c r="H10" s="502">
        <v>0</v>
      </c>
      <c r="I10" s="503">
        <v>11202.69</v>
      </c>
      <c r="J10" s="503">
        <v>10564.64</v>
      </c>
      <c r="K10" s="503">
        <v>15.33</v>
      </c>
      <c r="L10" s="503">
        <v>653.38</v>
      </c>
      <c r="M10" s="504">
        <v>426.17</v>
      </c>
      <c r="N10" s="504">
        <v>253.66</v>
      </c>
      <c r="O10" s="504">
        <v>0</v>
      </c>
      <c r="P10" s="505">
        <v>172.51</v>
      </c>
      <c r="R10" s="23"/>
      <c r="U10" s="11"/>
    </row>
    <row r="11" spans="1:26" ht="14.25" customHeight="1" x14ac:dyDescent="0.25">
      <c r="A11" s="506">
        <v>2021</v>
      </c>
      <c r="B11" s="507" t="s">
        <v>68</v>
      </c>
      <c r="C11" s="508">
        <f t="shared" ref="C11:P11" si="2">SUM(C8:C10)</f>
        <v>45.14</v>
      </c>
      <c r="D11" s="508">
        <f t="shared" si="2"/>
        <v>0</v>
      </c>
      <c r="E11" s="508">
        <f t="shared" si="2"/>
        <v>0</v>
      </c>
      <c r="F11" s="508">
        <f t="shared" si="2"/>
        <v>0</v>
      </c>
      <c r="G11" s="508">
        <f t="shared" si="2"/>
        <v>0</v>
      </c>
      <c r="H11" s="508">
        <f t="shared" si="2"/>
        <v>0.94</v>
      </c>
      <c r="I11" s="509">
        <f t="shared" si="2"/>
        <v>102027.93</v>
      </c>
      <c r="J11" s="509">
        <f t="shared" si="2"/>
        <v>97397.12999999999</v>
      </c>
      <c r="K11" s="509">
        <f t="shared" si="2"/>
        <v>424.31</v>
      </c>
      <c r="L11" s="509">
        <f t="shared" si="2"/>
        <v>5055.1100000000006</v>
      </c>
      <c r="M11" s="510">
        <f t="shared" si="2"/>
        <v>2614.17</v>
      </c>
      <c r="N11" s="510">
        <f t="shared" si="2"/>
        <v>1645.5400000000002</v>
      </c>
      <c r="O11" s="510">
        <f t="shared" si="2"/>
        <v>0</v>
      </c>
      <c r="P11" s="511">
        <f t="shared" si="2"/>
        <v>968.62999999999988</v>
      </c>
      <c r="Q11" s="492"/>
      <c r="R11" s="512">
        <f>L11+P11</f>
        <v>6023.7400000000007</v>
      </c>
      <c r="S11" s="492"/>
      <c r="T11" s="492"/>
      <c r="U11" s="494"/>
      <c r="V11" s="492"/>
      <c r="W11" s="492"/>
      <c r="X11" s="492"/>
      <c r="Y11" s="492"/>
      <c r="Z11" s="492"/>
    </row>
    <row r="12" spans="1:26" ht="14.25" customHeight="1" x14ac:dyDescent="0.25">
      <c r="A12" s="484"/>
      <c r="C12" s="513"/>
      <c r="D12" s="513"/>
      <c r="E12" s="513"/>
      <c r="F12" s="513"/>
      <c r="G12" s="513"/>
      <c r="H12" s="513"/>
      <c r="I12" s="485"/>
      <c r="J12" s="485"/>
      <c r="K12" s="485"/>
      <c r="L12" s="485"/>
      <c r="M12" s="486"/>
      <c r="N12" s="486"/>
      <c r="O12" s="486"/>
      <c r="P12" s="486"/>
      <c r="R12" s="23"/>
      <c r="U12" s="11"/>
    </row>
    <row r="13" spans="1:26" ht="14.25" customHeight="1" x14ac:dyDescent="0.25">
      <c r="A13" s="495">
        <v>2022</v>
      </c>
      <c r="B13" s="496" t="s">
        <v>799</v>
      </c>
      <c r="C13" s="497">
        <v>220.65</v>
      </c>
      <c r="D13" s="497"/>
      <c r="E13" s="497"/>
      <c r="F13" s="497">
        <v>12.93</v>
      </c>
      <c r="G13" s="497">
        <v>0.32</v>
      </c>
      <c r="H13" s="497">
        <v>0</v>
      </c>
      <c r="I13" s="498">
        <v>94983.37</v>
      </c>
      <c r="J13" s="498">
        <v>112827.17</v>
      </c>
      <c r="K13" s="498">
        <v>1902.03</v>
      </c>
      <c r="L13" s="498">
        <v>-15941.77</v>
      </c>
      <c r="M13" s="499">
        <v>22406.02</v>
      </c>
      <c r="N13" s="499">
        <v>29089.68</v>
      </c>
      <c r="O13" s="499">
        <v>2107.16</v>
      </c>
      <c r="P13" s="500">
        <v>-4576.5</v>
      </c>
      <c r="R13" s="23"/>
      <c r="U13" s="11"/>
    </row>
    <row r="14" spans="1:26" ht="14.25" customHeight="1" x14ac:dyDescent="0.25">
      <c r="A14" s="501">
        <v>2022</v>
      </c>
      <c r="B14" s="47" t="s">
        <v>800</v>
      </c>
      <c r="C14" s="502">
        <v>22.14</v>
      </c>
      <c r="D14" s="502"/>
      <c r="E14" s="502"/>
      <c r="F14" s="502">
        <v>1.2</v>
      </c>
      <c r="G14" s="502">
        <v>0.03</v>
      </c>
      <c r="H14" s="502">
        <v>0</v>
      </c>
      <c r="I14" s="503">
        <v>10363.58</v>
      </c>
      <c r="J14" s="503">
        <v>12096.94</v>
      </c>
      <c r="K14" s="503">
        <v>194.48</v>
      </c>
      <c r="L14" s="503">
        <v>-1538.88</v>
      </c>
      <c r="M14" s="504">
        <v>2634.85</v>
      </c>
      <c r="N14" s="504">
        <v>3549.22</v>
      </c>
      <c r="O14" s="504">
        <v>228.25</v>
      </c>
      <c r="P14" s="505">
        <v>-686.12</v>
      </c>
      <c r="R14" s="23"/>
      <c r="U14" s="11"/>
    </row>
    <row r="15" spans="1:26" ht="14.25" customHeight="1" x14ac:dyDescent="0.25">
      <c r="A15" s="501">
        <v>2022</v>
      </c>
      <c r="B15" s="47" t="s">
        <v>801</v>
      </c>
      <c r="C15" s="502">
        <v>22.04</v>
      </c>
      <c r="D15" s="502"/>
      <c r="E15" s="502"/>
      <c r="F15" s="502">
        <v>1.23</v>
      </c>
      <c r="G15" s="502">
        <v>0.03</v>
      </c>
      <c r="H15" s="502">
        <v>0</v>
      </c>
      <c r="I15" s="503">
        <v>9690.0300000000007</v>
      </c>
      <c r="J15" s="503">
        <v>11200.65</v>
      </c>
      <c r="K15" s="503">
        <v>164.55</v>
      </c>
      <c r="L15" s="503">
        <v>-1346.07</v>
      </c>
      <c r="M15" s="504">
        <v>2439.35</v>
      </c>
      <c r="N15" s="504">
        <v>3222.21</v>
      </c>
      <c r="O15" s="504">
        <v>231.38</v>
      </c>
      <c r="P15" s="505">
        <v>-551.48</v>
      </c>
      <c r="R15" s="23"/>
      <c r="S15" s="484">
        <v>2022</v>
      </c>
      <c r="T15" s="484">
        <v>2023</v>
      </c>
      <c r="U15" s="484">
        <v>2024</v>
      </c>
    </row>
    <row r="16" spans="1:26" ht="14.25" customHeight="1" x14ac:dyDescent="0.25">
      <c r="A16" s="506">
        <v>2022</v>
      </c>
      <c r="B16" s="507" t="s">
        <v>68</v>
      </c>
      <c r="C16" s="508">
        <f t="shared" ref="C16:P16" si="3">SUM(C13:C15)</f>
        <v>264.83000000000004</v>
      </c>
      <c r="D16" s="508">
        <f t="shared" si="3"/>
        <v>0</v>
      </c>
      <c r="E16" s="508">
        <f t="shared" si="3"/>
        <v>0</v>
      </c>
      <c r="F16" s="508">
        <f t="shared" si="3"/>
        <v>15.36</v>
      </c>
      <c r="G16" s="508">
        <f t="shared" si="3"/>
        <v>0.38</v>
      </c>
      <c r="H16" s="508">
        <f t="shared" si="3"/>
        <v>0</v>
      </c>
      <c r="I16" s="509">
        <f t="shared" si="3"/>
        <v>115036.98</v>
      </c>
      <c r="J16" s="509">
        <f t="shared" si="3"/>
        <v>136124.76</v>
      </c>
      <c r="K16" s="509">
        <f t="shared" si="3"/>
        <v>2261.06</v>
      </c>
      <c r="L16" s="509">
        <f t="shared" si="3"/>
        <v>-18826.72</v>
      </c>
      <c r="M16" s="510">
        <f t="shared" si="3"/>
        <v>27480.219999999998</v>
      </c>
      <c r="N16" s="510">
        <f t="shared" si="3"/>
        <v>35861.11</v>
      </c>
      <c r="O16" s="510">
        <f t="shared" si="3"/>
        <v>2566.79</v>
      </c>
      <c r="P16" s="511">
        <f t="shared" si="3"/>
        <v>-5814.1</v>
      </c>
      <c r="Q16" s="492"/>
      <c r="R16" s="493">
        <f>L16+P16</f>
        <v>-24640.82</v>
      </c>
      <c r="S16" s="493">
        <v>3000</v>
      </c>
      <c r="T16" s="493">
        <v>1200.55</v>
      </c>
      <c r="U16" s="514">
        <v>3000</v>
      </c>
      <c r="V16" s="492"/>
      <c r="W16" s="492"/>
      <c r="X16" s="492"/>
      <c r="Y16" s="492"/>
      <c r="Z16" s="492"/>
    </row>
    <row r="17" spans="1:26" ht="14.25" customHeight="1" x14ac:dyDescent="0.25">
      <c r="A17" s="484"/>
      <c r="C17" s="513"/>
      <c r="D17" s="513"/>
      <c r="E17" s="513"/>
      <c r="F17" s="513"/>
      <c r="G17" s="513"/>
      <c r="H17" s="513"/>
      <c r="I17" s="485"/>
      <c r="J17" s="485"/>
      <c r="K17" s="485"/>
      <c r="L17" s="485"/>
      <c r="M17" s="486"/>
      <c r="N17" s="486"/>
      <c r="O17" s="486"/>
      <c r="P17" s="486"/>
      <c r="R17" s="23"/>
      <c r="U17" s="11"/>
    </row>
    <row r="18" spans="1:26" ht="14.25" customHeight="1" x14ac:dyDescent="0.25">
      <c r="A18" s="495">
        <v>2023</v>
      </c>
      <c r="B18" s="496" t="s">
        <v>799</v>
      </c>
      <c r="C18" s="497">
        <v>531.49</v>
      </c>
      <c r="D18" s="497"/>
      <c r="E18" s="497">
        <v>1.08</v>
      </c>
      <c r="F18" s="497">
        <v>1.38</v>
      </c>
      <c r="G18" s="497">
        <v>7.34</v>
      </c>
      <c r="H18" s="497">
        <v>1.65</v>
      </c>
      <c r="I18" s="498">
        <v>30169.67</v>
      </c>
      <c r="J18" s="498">
        <v>31517.34</v>
      </c>
      <c r="K18" s="498">
        <v>680.55</v>
      </c>
      <c r="L18" s="498">
        <v>-667.12</v>
      </c>
      <c r="M18" s="499">
        <v>4072.37</v>
      </c>
      <c r="N18" s="499">
        <v>5526.03</v>
      </c>
      <c r="O18" s="499">
        <v>451.77</v>
      </c>
      <c r="P18" s="500">
        <v>-1001.89</v>
      </c>
      <c r="R18" s="23"/>
      <c r="U18" s="11"/>
    </row>
    <row r="19" spans="1:26" ht="14.25" customHeight="1" x14ac:dyDescent="0.25">
      <c r="A19" s="501">
        <v>2023</v>
      </c>
      <c r="B19" s="47" t="s">
        <v>803</v>
      </c>
      <c r="C19" s="502">
        <v>366.19</v>
      </c>
      <c r="D19" s="502"/>
      <c r="E19" s="502"/>
      <c r="F19" s="502"/>
      <c r="G19" s="502">
        <v>3.11</v>
      </c>
      <c r="H19" s="502">
        <v>3.66</v>
      </c>
      <c r="I19" s="503">
        <v>3673.22</v>
      </c>
      <c r="J19" s="503">
        <v>3685.42</v>
      </c>
      <c r="K19" s="503">
        <v>10.91</v>
      </c>
      <c r="L19" s="503">
        <v>-1.29</v>
      </c>
      <c r="M19" s="504">
        <v>610.11</v>
      </c>
      <c r="N19" s="504">
        <v>701.93</v>
      </c>
      <c r="O19" s="504">
        <v>1.48</v>
      </c>
      <c r="P19" s="505">
        <v>-90.34</v>
      </c>
      <c r="R19" s="23"/>
      <c r="U19" s="11"/>
    </row>
    <row r="20" spans="1:26" ht="14.25" customHeight="1" x14ac:dyDescent="0.25">
      <c r="A20" s="501">
        <v>2023</v>
      </c>
      <c r="B20" s="47" t="s">
        <v>800</v>
      </c>
      <c r="C20" s="502">
        <v>36.15</v>
      </c>
      <c r="D20" s="502"/>
      <c r="E20" s="502">
        <v>0.1</v>
      </c>
      <c r="F20" s="502">
        <v>0.13</v>
      </c>
      <c r="G20" s="502">
        <v>0.64</v>
      </c>
      <c r="H20" s="502">
        <v>0.09</v>
      </c>
      <c r="I20" s="503">
        <v>6803.5</v>
      </c>
      <c r="J20" s="503">
        <v>6582.31</v>
      </c>
      <c r="K20" s="503">
        <v>50.59</v>
      </c>
      <c r="L20" s="503">
        <v>271.77999999999997</v>
      </c>
      <c r="M20" s="504">
        <v>830.72</v>
      </c>
      <c r="N20" s="504">
        <v>1041.3599999999999</v>
      </c>
      <c r="O20" s="504">
        <v>60.19</v>
      </c>
      <c r="P20" s="505">
        <v>-150.44999999999999</v>
      </c>
      <c r="R20" s="23"/>
      <c r="U20" s="11"/>
    </row>
    <row r="21" spans="1:26" ht="14.25" customHeight="1" x14ac:dyDescent="0.25">
      <c r="A21" s="501">
        <v>2023</v>
      </c>
      <c r="B21" s="47" t="s">
        <v>801</v>
      </c>
      <c r="C21" s="502">
        <v>56.85</v>
      </c>
      <c r="D21" s="502"/>
      <c r="E21" s="502">
        <v>0.11</v>
      </c>
      <c r="F21" s="502">
        <v>0.15</v>
      </c>
      <c r="G21" s="502">
        <v>0.77</v>
      </c>
      <c r="H21" s="502">
        <v>0.18</v>
      </c>
      <c r="I21" s="503">
        <v>2976.71</v>
      </c>
      <c r="J21" s="503">
        <v>3097.87</v>
      </c>
      <c r="K21" s="503">
        <v>58.34</v>
      </c>
      <c r="L21" s="503">
        <v>-62.82</v>
      </c>
      <c r="M21" s="504">
        <v>441.52</v>
      </c>
      <c r="N21" s="504">
        <v>587.78</v>
      </c>
      <c r="O21" s="504">
        <v>48.94</v>
      </c>
      <c r="P21" s="505">
        <v>-97.32</v>
      </c>
      <c r="R21" s="23"/>
      <c r="S21" s="484">
        <v>2023</v>
      </c>
      <c r="U21" s="11"/>
    </row>
    <row r="22" spans="1:26" ht="14.25" customHeight="1" x14ac:dyDescent="0.25">
      <c r="A22" s="506">
        <v>2023</v>
      </c>
      <c r="B22" s="507" t="s">
        <v>68</v>
      </c>
      <c r="C22" s="508">
        <f>SUM(C18:C21)</f>
        <v>990.68000000000006</v>
      </c>
      <c r="D22" s="508"/>
      <c r="E22" s="508">
        <f t="shared" ref="E22:P22" si="4">SUM(E18:E21)</f>
        <v>1.2900000000000003</v>
      </c>
      <c r="F22" s="508">
        <f t="shared" si="4"/>
        <v>1.6599999999999997</v>
      </c>
      <c r="G22" s="508">
        <f t="shared" si="4"/>
        <v>11.86</v>
      </c>
      <c r="H22" s="508">
        <f t="shared" si="4"/>
        <v>5.58</v>
      </c>
      <c r="I22" s="509">
        <f t="shared" si="4"/>
        <v>43623.1</v>
      </c>
      <c r="J22" s="509">
        <f t="shared" si="4"/>
        <v>44882.94</v>
      </c>
      <c r="K22" s="509">
        <f t="shared" si="4"/>
        <v>800.39</v>
      </c>
      <c r="L22" s="509">
        <f t="shared" si="4"/>
        <v>-459.45</v>
      </c>
      <c r="M22" s="510">
        <f t="shared" si="4"/>
        <v>5954.7199999999993</v>
      </c>
      <c r="N22" s="510">
        <f t="shared" si="4"/>
        <v>7857.0999999999995</v>
      </c>
      <c r="O22" s="510">
        <f t="shared" si="4"/>
        <v>562.38000000000011</v>
      </c>
      <c r="P22" s="511">
        <f t="shared" si="4"/>
        <v>-1340</v>
      </c>
      <c r="Q22" s="492"/>
      <c r="R22" s="512">
        <f>L22+P22</f>
        <v>-1799.45</v>
      </c>
      <c r="S22" s="512">
        <v>1799.45</v>
      </c>
      <c r="T22" s="492"/>
      <c r="U22" s="494"/>
      <c r="V22" s="492"/>
      <c r="W22" s="492"/>
      <c r="X22" s="492"/>
      <c r="Y22" s="492"/>
      <c r="Z22" s="492"/>
    </row>
    <row r="23" spans="1:26" ht="14.25" customHeight="1" x14ac:dyDescent="0.25">
      <c r="A23" s="484"/>
      <c r="C23" s="513"/>
      <c r="D23" s="513"/>
      <c r="E23" s="513"/>
      <c r="F23" s="513"/>
      <c r="G23" s="513"/>
      <c r="H23" s="513"/>
      <c r="I23" s="485"/>
      <c r="J23" s="485"/>
      <c r="K23" s="485"/>
      <c r="L23" s="485"/>
      <c r="M23" s="486"/>
      <c r="N23" s="486"/>
      <c r="O23" s="486"/>
      <c r="P23" s="486"/>
      <c r="R23" s="23"/>
      <c r="U23" s="11"/>
    </row>
    <row r="24" spans="1:26" ht="14.25" customHeight="1" x14ac:dyDescent="0.25">
      <c r="A24" s="515">
        <v>2024</v>
      </c>
      <c r="B24" s="516">
        <v>255006</v>
      </c>
      <c r="C24" s="517">
        <v>1017.8</v>
      </c>
      <c r="D24" s="517">
        <v>0.73</v>
      </c>
      <c r="E24" s="517">
        <v>0</v>
      </c>
      <c r="F24" s="517">
        <v>0</v>
      </c>
      <c r="G24" s="517">
        <v>15.21</v>
      </c>
      <c r="H24" s="517">
        <v>0.88</v>
      </c>
      <c r="I24" s="518">
        <v>14079.67</v>
      </c>
      <c r="J24" s="518">
        <v>13840.06</v>
      </c>
      <c r="K24" s="518">
        <v>106.57</v>
      </c>
      <c r="L24" s="518">
        <v>346.18</v>
      </c>
      <c r="M24" s="519">
        <v>31521.56</v>
      </c>
      <c r="N24" s="519">
        <v>25753.85</v>
      </c>
      <c r="O24" s="519">
        <v>4.93</v>
      </c>
      <c r="P24" s="520">
        <v>5772.64</v>
      </c>
      <c r="Q24" s="492"/>
      <c r="R24" s="493">
        <f>L24+P24</f>
        <v>6118.8200000000006</v>
      </c>
      <c r="S24" s="492"/>
      <c r="T24" s="492"/>
      <c r="U24" s="494"/>
      <c r="V24" s="492"/>
      <c r="W24" s="492"/>
      <c r="X24" s="492"/>
      <c r="Y24" s="492"/>
      <c r="Z24" s="492"/>
    </row>
    <row r="25" spans="1:26" ht="14.25" customHeight="1" x14ac:dyDescent="0.25">
      <c r="A25" s="48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R25" s="23"/>
      <c r="U25" s="11"/>
    </row>
    <row r="26" spans="1:26" ht="14.25" customHeight="1" x14ac:dyDescent="0.25">
      <c r="A26" s="48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R26" s="23"/>
      <c r="U26" s="11"/>
    </row>
    <row r="27" spans="1:26" ht="14.25" customHeight="1" x14ac:dyDescent="0.25">
      <c r="A27" s="484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R27" s="23"/>
      <c r="U27" s="11"/>
    </row>
    <row r="28" spans="1:26" ht="14.25" customHeight="1" x14ac:dyDescent="0.25">
      <c r="A28" s="48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R28" s="23"/>
      <c r="U28" s="11"/>
    </row>
    <row r="29" spans="1:26" ht="14.25" customHeight="1" x14ac:dyDescent="0.25">
      <c r="A29" s="484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R29" s="23"/>
      <c r="U29" s="11"/>
    </row>
    <row r="30" spans="1:26" ht="14.25" customHeight="1" x14ac:dyDescent="0.25">
      <c r="A30" s="48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R30" s="23"/>
      <c r="U30" s="11"/>
    </row>
    <row r="31" spans="1:26" ht="14.25" customHeight="1" x14ac:dyDescent="0.25">
      <c r="A31" s="484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R31" s="23"/>
      <c r="U31" s="11"/>
    </row>
    <row r="32" spans="1:26" ht="14.25" customHeight="1" x14ac:dyDescent="0.25">
      <c r="A32" s="48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R32" s="23"/>
      <c r="U32" s="11"/>
    </row>
    <row r="33" spans="1:21" ht="14.25" customHeight="1" x14ac:dyDescent="0.25">
      <c r="A33" s="484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R33" s="23"/>
      <c r="U33" s="11"/>
    </row>
    <row r="34" spans="1:21" ht="14.25" customHeight="1" x14ac:dyDescent="0.25">
      <c r="A34" s="48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R34" s="23"/>
      <c r="U34" s="11"/>
    </row>
    <row r="35" spans="1:21" ht="14.25" customHeight="1" x14ac:dyDescent="0.25">
      <c r="A35" s="484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R35" s="23"/>
      <c r="U35" s="11"/>
    </row>
    <row r="36" spans="1:21" ht="14.25" customHeight="1" x14ac:dyDescent="0.25">
      <c r="A36" s="48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R36" s="23"/>
      <c r="U36" s="11"/>
    </row>
    <row r="37" spans="1:21" ht="14.25" customHeight="1" x14ac:dyDescent="0.25">
      <c r="A37" s="484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R37" s="23"/>
      <c r="U37" s="11"/>
    </row>
    <row r="38" spans="1:21" ht="14.25" customHeight="1" x14ac:dyDescent="0.25">
      <c r="A38" s="48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R38" s="23"/>
      <c r="U38" s="11"/>
    </row>
    <row r="39" spans="1:21" ht="14.25" customHeight="1" x14ac:dyDescent="0.25">
      <c r="A39" s="484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R39" s="23"/>
      <c r="U39" s="11"/>
    </row>
    <row r="40" spans="1:21" ht="14.25" customHeight="1" x14ac:dyDescent="0.25">
      <c r="A40" s="48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R40" s="23"/>
      <c r="U40" s="11"/>
    </row>
    <row r="41" spans="1:21" ht="14.25" customHeight="1" x14ac:dyDescent="0.25">
      <c r="A41" s="484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R41" s="23"/>
      <c r="U41" s="11"/>
    </row>
    <row r="42" spans="1:21" ht="14.25" customHeight="1" x14ac:dyDescent="0.25">
      <c r="A42" s="48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R42" s="23"/>
      <c r="U42" s="11"/>
    </row>
    <row r="43" spans="1:21" ht="14.25" customHeight="1" x14ac:dyDescent="0.25">
      <c r="A43" s="484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R43" s="23"/>
      <c r="U43" s="11"/>
    </row>
    <row r="44" spans="1:21" ht="14.25" customHeight="1" x14ac:dyDescent="0.25">
      <c r="A44" s="48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R44" s="23"/>
      <c r="U44" s="11"/>
    </row>
    <row r="45" spans="1:21" ht="14.25" customHeight="1" x14ac:dyDescent="0.25">
      <c r="A45" s="484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R45" s="23"/>
      <c r="U45" s="11"/>
    </row>
    <row r="46" spans="1:21" ht="14.25" customHeight="1" x14ac:dyDescent="0.25">
      <c r="A46" s="48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R46" s="23"/>
      <c r="U46" s="11"/>
    </row>
    <row r="47" spans="1:21" ht="14.25" customHeight="1" x14ac:dyDescent="0.25">
      <c r="A47" s="484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R47" s="23"/>
      <c r="U47" s="11"/>
    </row>
    <row r="48" spans="1:21" ht="14.25" customHeight="1" x14ac:dyDescent="0.25">
      <c r="A48" s="48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R48" s="23"/>
      <c r="U48" s="11"/>
    </row>
    <row r="49" spans="1:21" ht="14.25" customHeight="1" x14ac:dyDescent="0.25">
      <c r="A49" s="484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R49" s="23"/>
      <c r="U49" s="11"/>
    </row>
    <row r="50" spans="1:21" ht="14.25" customHeight="1" x14ac:dyDescent="0.25">
      <c r="A50" s="484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R50" s="23"/>
      <c r="U50" s="11"/>
    </row>
    <row r="51" spans="1:21" ht="14.25" customHeight="1" x14ac:dyDescent="0.25">
      <c r="A51" s="484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R51" s="23"/>
      <c r="U51" s="11"/>
    </row>
    <row r="52" spans="1:21" ht="14.25" customHeight="1" x14ac:dyDescent="0.25">
      <c r="A52" s="484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R52" s="23"/>
      <c r="U52" s="11"/>
    </row>
    <row r="53" spans="1:21" ht="14.25" customHeight="1" x14ac:dyDescent="0.25">
      <c r="A53" s="484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R53" s="23"/>
      <c r="U53" s="11"/>
    </row>
    <row r="54" spans="1:21" ht="14.25" customHeight="1" x14ac:dyDescent="0.25">
      <c r="A54" s="484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R54" s="23"/>
      <c r="U54" s="11"/>
    </row>
    <row r="55" spans="1:21" ht="14.25" customHeight="1" x14ac:dyDescent="0.25">
      <c r="A55" s="484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R55" s="23"/>
      <c r="U55" s="11"/>
    </row>
    <row r="56" spans="1:21" ht="14.25" customHeight="1" x14ac:dyDescent="0.25">
      <c r="A56" s="484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R56" s="23"/>
      <c r="U56" s="11"/>
    </row>
    <row r="57" spans="1:21" ht="14.25" customHeight="1" x14ac:dyDescent="0.25">
      <c r="A57" s="484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R57" s="23"/>
      <c r="U57" s="11"/>
    </row>
    <row r="58" spans="1:21" ht="14.25" customHeight="1" x14ac:dyDescent="0.25">
      <c r="A58" s="484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R58" s="23"/>
      <c r="U58" s="11"/>
    </row>
    <row r="59" spans="1:21" ht="14.25" customHeight="1" x14ac:dyDescent="0.25">
      <c r="A59" s="484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R59" s="23"/>
      <c r="U59" s="11"/>
    </row>
    <row r="60" spans="1:21" ht="14.25" customHeight="1" x14ac:dyDescent="0.25">
      <c r="A60" s="484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R60" s="23"/>
      <c r="U60" s="11"/>
    </row>
    <row r="61" spans="1:21" ht="14.25" customHeight="1" x14ac:dyDescent="0.25">
      <c r="A61" s="484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R61" s="23"/>
      <c r="U61" s="11"/>
    </row>
    <row r="62" spans="1:21" ht="14.25" customHeight="1" x14ac:dyDescent="0.25">
      <c r="A62" s="484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R62" s="23"/>
      <c r="U62" s="11"/>
    </row>
    <row r="63" spans="1:21" ht="14.25" customHeight="1" x14ac:dyDescent="0.25">
      <c r="A63" s="484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R63" s="23"/>
      <c r="U63" s="11"/>
    </row>
    <row r="64" spans="1:21" ht="14.25" customHeight="1" x14ac:dyDescent="0.25">
      <c r="A64" s="484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R64" s="23"/>
      <c r="U64" s="11"/>
    </row>
    <row r="65" spans="1:21" ht="14.25" customHeight="1" x14ac:dyDescent="0.25">
      <c r="A65" s="48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R65" s="23"/>
      <c r="U65" s="11"/>
    </row>
    <row r="66" spans="1:21" ht="14.25" customHeight="1" x14ac:dyDescent="0.25">
      <c r="A66" s="484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R66" s="23"/>
      <c r="U66" s="11"/>
    </row>
    <row r="67" spans="1:21" ht="14.25" customHeight="1" x14ac:dyDescent="0.25">
      <c r="A67" s="484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R67" s="23"/>
      <c r="U67" s="11"/>
    </row>
    <row r="68" spans="1:21" ht="14.25" customHeight="1" x14ac:dyDescent="0.25">
      <c r="A68" s="484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R68" s="23"/>
      <c r="U68" s="11"/>
    </row>
    <row r="69" spans="1:21" ht="14.25" customHeight="1" x14ac:dyDescent="0.25">
      <c r="A69" s="484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R69" s="23"/>
      <c r="U69" s="11"/>
    </row>
    <row r="70" spans="1:21" ht="14.25" customHeight="1" x14ac:dyDescent="0.25">
      <c r="A70" s="484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R70" s="23"/>
      <c r="U70" s="11"/>
    </row>
    <row r="71" spans="1:21" ht="14.25" customHeight="1" x14ac:dyDescent="0.25">
      <c r="A71" s="484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R71" s="23"/>
      <c r="U71" s="11"/>
    </row>
    <row r="72" spans="1:21" ht="14.25" customHeight="1" x14ac:dyDescent="0.25">
      <c r="A72" s="484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R72" s="23"/>
      <c r="U72" s="11"/>
    </row>
    <row r="73" spans="1:21" ht="14.25" customHeight="1" x14ac:dyDescent="0.25">
      <c r="A73" s="484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R73" s="23"/>
      <c r="U73" s="11"/>
    </row>
    <row r="74" spans="1:21" ht="14.25" customHeight="1" x14ac:dyDescent="0.25">
      <c r="A74" s="484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R74" s="23"/>
      <c r="U74" s="11"/>
    </row>
    <row r="75" spans="1:21" ht="14.25" customHeight="1" x14ac:dyDescent="0.25">
      <c r="A75" s="484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R75" s="23"/>
      <c r="U75" s="11"/>
    </row>
    <row r="76" spans="1:21" ht="14.25" customHeight="1" x14ac:dyDescent="0.25">
      <c r="A76" s="484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R76" s="23"/>
      <c r="U76" s="11"/>
    </row>
    <row r="77" spans="1:21" ht="14.25" customHeight="1" x14ac:dyDescent="0.25">
      <c r="A77" s="484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R77" s="23"/>
      <c r="U77" s="11"/>
    </row>
    <row r="78" spans="1:21" ht="14.25" customHeight="1" x14ac:dyDescent="0.25">
      <c r="A78" s="484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R78" s="23"/>
      <c r="U78" s="11"/>
    </row>
    <row r="79" spans="1:21" ht="14.25" customHeight="1" x14ac:dyDescent="0.25">
      <c r="A79" s="484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R79" s="23"/>
      <c r="U79" s="11"/>
    </row>
    <row r="80" spans="1:21" ht="14.25" customHeight="1" x14ac:dyDescent="0.25">
      <c r="A80" s="484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R80" s="23"/>
      <c r="U80" s="11"/>
    </row>
    <row r="81" spans="1:21" ht="14.25" customHeight="1" x14ac:dyDescent="0.25">
      <c r="A81" s="484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R81" s="23"/>
      <c r="U81" s="11"/>
    </row>
    <row r="82" spans="1:21" ht="14.25" customHeight="1" x14ac:dyDescent="0.25">
      <c r="A82" s="484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R82" s="23"/>
      <c r="U82" s="11"/>
    </row>
    <row r="83" spans="1:21" ht="14.25" customHeight="1" x14ac:dyDescent="0.25">
      <c r="A83" s="484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R83" s="23"/>
      <c r="U83" s="11"/>
    </row>
    <row r="84" spans="1:21" ht="14.25" customHeight="1" x14ac:dyDescent="0.25">
      <c r="A84" s="484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R84" s="23"/>
      <c r="U84" s="11"/>
    </row>
    <row r="85" spans="1:21" ht="14.25" customHeight="1" x14ac:dyDescent="0.25">
      <c r="A85" s="484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R85" s="23"/>
      <c r="U85" s="11"/>
    </row>
    <row r="86" spans="1:21" ht="14.25" customHeight="1" x14ac:dyDescent="0.25">
      <c r="A86" s="484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R86" s="23"/>
      <c r="U86" s="11"/>
    </row>
    <row r="87" spans="1:21" ht="14.25" customHeight="1" x14ac:dyDescent="0.25">
      <c r="A87" s="484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R87" s="23"/>
      <c r="U87" s="11"/>
    </row>
    <row r="88" spans="1:21" ht="14.25" customHeight="1" x14ac:dyDescent="0.25">
      <c r="A88" s="484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R88" s="23"/>
      <c r="U88" s="11"/>
    </row>
    <row r="89" spans="1:21" ht="14.25" customHeight="1" x14ac:dyDescent="0.25">
      <c r="A89" s="484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R89" s="23"/>
      <c r="U89" s="11"/>
    </row>
    <row r="90" spans="1:21" ht="14.25" customHeight="1" x14ac:dyDescent="0.25">
      <c r="A90" s="484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R90" s="23"/>
      <c r="U90" s="11"/>
    </row>
    <row r="91" spans="1:21" ht="14.25" customHeight="1" x14ac:dyDescent="0.25">
      <c r="A91" s="484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R91" s="23"/>
      <c r="U91" s="11"/>
    </row>
    <row r="92" spans="1:21" ht="14.25" customHeight="1" x14ac:dyDescent="0.25">
      <c r="A92" s="484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R92" s="23"/>
      <c r="U92" s="11"/>
    </row>
    <row r="93" spans="1:21" ht="14.25" customHeight="1" x14ac:dyDescent="0.25">
      <c r="A93" s="484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R93" s="23"/>
      <c r="U93" s="11"/>
    </row>
    <row r="94" spans="1:21" ht="14.25" customHeight="1" x14ac:dyDescent="0.25">
      <c r="A94" s="484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R94" s="23"/>
      <c r="U94" s="11"/>
    </row>
    <row r="95" spans="1:21" ht="14.25" customHeight="1" x14ac:dyDescent="0.25">
      <c r="A95" s="484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R95" s="23"/>
      <c r="U95" s="11"/>
    </row>
    <row r="96" spans="1:21" ht="14.25" customHeight="1" x14ac:dyDescent="0.25">
      <c r="A96" s="484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R96" s="23"/>
      <c r="U96" s="11"/>
    </row>
    <row r="97" spans="1:21" ht="14.25" customHeight="1" x14ac:dyDescent="0.25">
      <c r="A97" s="484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R97" s="23"/>
      <c r="U97" s="11"/>
    </row>
    <row r="98" spans="1:21" ht="14.25" customHeight="1" x14ac:dyDescent="0.25">
      <c r="A98" s="484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R98" s="23"/>
      <c r="U98" s="11"/>
    </row>
    <row r="99" spans="1:21" ht="14.25" customHeight="1" x14ac:dyDescent="0.25">
      <c r="A99" s="484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R99" s="23"/>
      <c r="U99" s="11"/>
    </row>
    <row r="100" spans="1:21" ht="14.25" customHeight="1" x14ac:dyDescent="0.25">
      <c r="A100" s="484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R100" s="23"/>
      <c r="U100" s="11"/>
    </row>
    <row r="101" spans="1:21" ht="14.25" customHeight="1" x14ac:dyDescent="0.25">
      <c r="A101" s="484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R101" s="23"/>
      <c r="U101" s="11"/>
    </row>
    <row r="102" spans="1:21" ht="14.25" customHeight="1" x14ac:dyDescent="0.25">
      <c r="A102" s="484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R102" s="23"/>
      <c r="U102" s="11"/>
    </row>
    <row r="103" spans="1:21" ht="14.25" customHeight="1" x14ac:dyDescent="0.25">
      <c r="A103" s="484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R103" s="23"/>
      <c r="U103" s="11"/>
    </row>
    <row r="104" spans="1:21" ht="14.25" customHeight="1" x14ac:dyDescent="0.25">
      <c r="A104" s="484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R104" s="23"/>
      <c r="U104" s="11"/>
    </row>
    <row r="105" spans="1:21" ht="14.25" customHeight="1" x14ac:dyDescent="0.25">
      <c r="A105" s="484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R105" s="23"/>
      <c r="U105" s="11"/>
    </row>
    <row r="106" spans="1:21" ht="14.25" customHeight="1" x14ac:dyDescent="0.25">
      <c r="A106" s="484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R106" s="23"/>
      <c r="U106" s="11"/>
    </row>
    <row r="107" spans="1:21" ht="14.25" customHeight="1" x14ac:dyDescent="0.25">
      <c r="A107" s="484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R107" s="23"/>
      <c r="U107" s="11"/>
    </row>
    <row r="108" spans="1:21" ht="14.25" customHeight="1" x14ac:dyDescent="0.25">
      <c r="A108" s="484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R108" s="23"/>
      <c r="U108" s="11"/>
    </row>
    <row r="109" spans="1:21" ht="14.25" customHeight="1" x14ac:dyDescent="0.25">
      <c r="A109" s="484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R109" s="23"/>
      <c r="U109" s="11"/>
    </row>
    <row r="110" spans="1:21" ht="14.25" customHeight="1" x14ac:dyDescent="0.25">
      <c r="A110" s="484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R110" s="23"/>
      <c r="U110" s="11"/>
    </row>
    <row r="111" spans="1:21" ht="14.25" customHeight="1" x14ac:dyDescent="0.25">
      <c r="A111" s="484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R111" s="23"/>
      <c r="U111" s="11"/>
    </row>
    <row r="112" spans="1:21" ht="14.25" customHeight="1" x14ac:dyDescent="0.25">
      <c r="A112" s="484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R112" s="23"/>
      <c r="U112" s="11"/>
    </row>
    <row r="113" spans="1:21" ht="14.25" customHeight="1" x14ac:dyDescent="0.25">
      <c r="A113" s="484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R113" s="23"/>
      <c r="U113" s="11"/>
    </row>
    <row r="114" spans="1:21" ht="14.25" customHeight="1" x14ac:dyDescent="0.25">
      <c r="A114" s="484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R114" s="23"/>
      <c r="U114" s="11"/>
    </row>
    <row r="115" spans="1:21" ht="14.25" customHeight="1" x14ac:dyDescent="0.25">
      <c r="A115" s="484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R115" s="23"/>
      <c r="U115" s="11"/>
    </row>
    <row r="116" spans="1:21" ht="14.25" customHeight="1" x14ac:dyDescent="0.25">
      <c r="A116" s="484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R116" s="23"/>
      <c r="U116" s="11"/>
    </row>
    <row r="117" spans="1:21" ht="14.25" customHeight="1" x14ac:dyDescent="0.25">
      <c r="A117" s="484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R117" s="23"/>
      <c r="U117" s="11"/>
    </row>
    <row r="118" spans="1:21" ht="14.25" customHeight="1" x14ac:dyDescent="0.25">
      <c r="A118" s="484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R118" s="23"/>
      <c r="U118" s="11"/>
    </row>
    <row r="119" spans="1:21" ht="14.25" customHeight="1" x14ac:dyDescent="0.25">
      <c r="A119" s="484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R119" s="23"/>
      <c r="U119" s="11"/>
    </row>
    <row r="120" spans="1:21" ht="14.25" customHeight="1" x14ac:dyDescent="0.25">
      <c r="A120" s="484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R120" s="23"/>
      <c r="U120" s="11"/>
    </row>
    <row r="121" spans="1:21" ht="14.25" customHeight="1" x14ac:dyDescent="0.25">
      <c r="A121" s="484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R121" s="23"/>
      <c r="U121" s="11"/>
    </row>
    <row r="122" spans="1:21" ht="14.25" customHeight="1" x14ac:dyDescent="0.25">
      <c r="A122" s="484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R122" s="23"/>
      <c r="U122" s="11"/>
    </row>
    <row r="123" spans="1:21" ht="14.25" customHeight="1" x14ac:dyDescent="0.25">
      <c r="A123" s="484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R123" s="23"/>
      <c r="U123" s="11"/>
    </row>
    <row r="124" spans="1:21" ht="14.25" customHeight="1" x14ac:dyDescent="0.25">
      <c r="A124" s="484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R124" s="23"/>
      <c r="U124" s="11"/>
    </row>
    <row r="125" spans="1:21" ht="14.25" customHeight="1" x14ac:dyDescent="0.25">
      <c r="A125" s="484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R125" s="23"/>
      <c r="U125" s="11"/>
    </row>
    <row r="126" spans="1:21" ht="14.25" customHeight="1" x14ac:dyDescent="0.25">
      <c r="A126" s="484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R126" s="23"/>
      <c r="U126" s="11"/>
    </row>
    <row r="127" spans="1:21" ht="14.25" customHeight="1" x14ac:dyDescent="0.25">
      <c r="A127" s="484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R127" s="23"/>
      <c r="U127" s="11"/>
    </row>
    <row r="128" spans="1:21" ht="14.25" customHeight="1" x14ac:dyDescent="0.25">
      <c r="A128" s="484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R128" s="23"/>
      <c r="U128" s="11"/>
    </row>
    <row r="129" spans="1:21" ht="14.25" customHeight="1" x14ac:dyDescent="0.25">
      <c r="A129" s="484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R129" s="23"/>
      <c r="U129" s="11"/>
    </row>
    <row r="130" spans="1:21" ht="14.25" customHeight="1" x14ac:dyDescent="0.25">
      <c r="A130" s="484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R130" s="23"/>
      <c r="U130" s="11"/>
    </row>
    <row r="131" spans="1:21" ht="14.25" customHeight="1" x14ac:dyDescent="0.25">
      <c r="A131" s="484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R131" s="23"/>
      <c r="U131" s="11"/>
    </row>
    <row r="132" spans="1:21" ht="14.25" customHeight="1" x14ac:dyDescent="0.25">
      <c r="A132" s="484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R132" s="23"/>
      <c r="U132" s="11"/>
    </row>
    <row r="133" spans="1:21" ht="14.25" customHeight="1" x14ac:dyDescent="0.25">
      <c r="A133" s="484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R133" s="23"/>
      <c r="U133" s="11"/>
    </row>
    <row r="134" spans="1:21" ht="14.25" customHeight="1" x14ac:dyDescent="0.25">
      <c r="A134" s="484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R134" s="23"/>
      <c r="U134" s="11"/>
    </row>
    <row r="135" spans="1:21" ht="14.25" customHeight="1" x14ac:dyDescent="0.25">
      <c r="A135" s="484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R135" s="23"/>
      <c r="U135" s="11"/>
    </row>
    <row r="136" spans="1:21" ht="14.25" customHeight="1" x14ac:dyDescent="0.25">
      <c r="A136" s="484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R136" s="23"/>
      <c r="U136" s="11"/>
    </row>
    <row r="137" spans="1:21" ht="14.25" customHeight="1" x14ac:dyDescent="0.25">
      <c r="A137" s="484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R137" s="23"/>
      <c r="U137" s="11"/>
    </row>
    <row r="138" spans="1:21" ht="14.25" customHeight="1" x14ac:dyDescent="0.25">
      <c r="A138" s="484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R138" s="23"/>
      <c r="U138" s="11"/>
    </row>
    <row r="139" spans="1:21" ht="14.25" customHeight="1" x14ac:dyDescent="0.25">
      <c r="A139" s="484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R139" s="23"/>
      <c r="U139" s="11"/>
    </row>
    <row r="140" spans="1:21" ht="14.25" customHeight="1" x14ac:dyDescent="0.25">
      <c r="A140" s="484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R140" s="23"/>
      <c r="U140" s="11"/>
    </row>
    <row r="141" spans="1:21" ht="14.25" customHeight="1" x14ac:dyDescent="0.25">
      <c r="A141" s="484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R141" s="23"/>
      <c r="U141" s="11"/>
    </row>
    <row r="142" spans="1:21" ht="14.25" customHeight="1" x14ac:dyDescent="0.25">
      <c r="A142" s="484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R142" s="23"/>
      <c r="U142" s="11"/>
    </row>
    <row r="143" spans="1:21" ht="14.25" customHeight="1" x14ac:dyDescent="0.25">
      <c r="A143" s="484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R143" s="23"/>
      <c r="U143" s="11"/>
    </row>
    <row r="144" spans="1:21" ht="14.25" customHeight="1" x14ac:dyDescent="0.25">
      <c r="A144" s="484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R144" s="23"/>
      <c r="U144" s="11"/>
    </row>
    <row r="145" spans="1:21" ht="14.25" customHeight="1" x14ac:dyDescent="0.25">
      <c r="A145" s="484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R145" s="23"/>
      <c r="U145" s="11"/>
    </row>
    <row r="146" spans="1:21" ht="14.25" customHeight="1" x14ac:dyDescent="0.25">
      <c r="A146" s="484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R146" s="23"/>
      <c r="U146" s="11"/>
    </row>
    <row r="147" spans="1:21" ht="14.25" customHeight="1" x14ac:dyDescent="0.25">
      <c r="A147" s="484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R147" s="23"/>
      <c r="U147" s="11"/>
    </row>
    <row r="148" spans="1:21" ht="14.25" customHeight="1" x14ac:dyDescent="0.25">
      <c r="A148" s="484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R148" s="23"/>
      <c r="U148" s="11"/>
    </row>
    <row r="149" spans="1:21" ht="14.25" customHeight="1" x14ac:dyDescent="0.25">
      <c r="A149" s="484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R149" s="23"/>
      <c r="U149" s="11"/>
    </row>
    <row r="150" spans="1:21" ht="14.25" customHeight="1" x14ac:dyDescent="0.25">
      <c r="A150" s="484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R150" s="23"/>
      <c r="U150" s="11"/>
    </row>
    <row r="151" spans="1:21" ht="14.25" customHeight="1" x14ac:dyDescent="0.25">
      <c r="A151" s="484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R151" s="23"/>
      <c r="U151" s="11"/>
    </row>
    <row r="152" spans="1:21" ht="14.25" customHeight="1" x14ac:dyDescent="0.25">
      <c r="A152" s="484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R152" s="23"/>
      <c r="U152" s="11"/>
    </row>
    <row r="153" spans="1:21" ht="14.25" customHeight="1" x14ac:dyDescent="0.25">
      <c r="A153" s="484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R153" s="23"/>
      <c r="U153" s="11"/>
    </row>
    <row r="154" spans="1:21" ht="14.25" customHeight="1" x14ac:dyDescent="0.25">
      <c r="A154" s="484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R154" s="23"/>
      <c r="U154" s="11"/>
    </row>
    <row r="155" spans="1:21" ht="14.25" customHeight="1" x14ac:dyDescent="0.25">
      <c r="A155" s="484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R155" s="23"/>
      <c r="U155" s="11"/>
    </row>
    <row r="156" spans="1:21" ht="14.25" customHeight="1" x14ac:dyDescent="0.25">
      <c r="A156" s="484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R156" s="23"/>
      <c r="U156" s="11"/>
    </row>
    <row r="157" spans="1:21" ht="14.25" customHeight="1" x14ac:dyDescent="0.25">
      <c r="A157" s="484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R157" s="23"/>
      <c r="U157" s="11"/>
    </row>
    <row r="158" spans="1:21" ht="14.25" customHeight="1" x14ac:dyDescent="0.25">
      <c r="A158" s="484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R158" s="23"/>
      <c r="U158" s="11"/>
    </row>
    <row r="159" spans="1:21" ht="14.25" customHeight="1" x14ac:dyDescent="0.25">
      <c r="A159" s="484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R159" s="23"/>
      <c r="U159" s="11"/>
    </row>
    <row r="160" spans="1:21" ht="14.25" customHeight="1" x14ac:dyDescent="0.25">
      <c r="A160" s="484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R160" s="23"/>
      <c r="U160" s="11"/>
    </row>
    <row r="161" spans="1:21" ht="14.25" customHeight="1" x14ac:dyDescent="0.25">
      <c r="A161" s="484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R161" s="23"/>
      <c r="U161" s="11"/>
    </row>
    <row r="162" spans="1:21" ht="14.25" customHeight="1" x14ac:dyDescent="0.25">
      <c r="A162" s="484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R162" s="23"/>
      <c r="U162" s="11"/>
    </row>
    <row r="163" spans="1:21" ht="14.25" customHeight="1" x14ac:dyDescent="0.25">
      <c r="A163" s="484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R163" s="23"/>
      <c r="U163" s="11"/>
    </row>
    <row r="164" spans="1:21" ht="14.25" customHeight="1" x14ac:dyDescent="0.25">
      <c r="A164" s="484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R164" s="23"/>
      <c r="U164" s="11"/>
    </row>
    <row r="165" spans="1:21" ht="14.25" customHeight="1" x14ac:dyDescent="0.25">
      <c r="A165" s="484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R165" s="23"/>
      <c r="U165" s="11"/>
    </row>
    <row r="166" spans="1:21" ht="14.25" customHeight="1" x14ac:dyDescent="0.25">
      <c r="A166" s="484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R166" s="23"/>
      <c r="U166" s="11"/>
    </row>
    <row r="167" spans="1:21" ht="14.25" customHeight="1" x14ac:dyDescent="0.25">
      <c r="A167" s="484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R167" s="23"/>
      <c r="U167" s="11"/>
    </row>
    <row r="168" spans="1:21" ht="14.25" customHeight="1" x14ac:dyDescent="0.25">
      <c r="A168" s="484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R168" s="23"/>
      <c r="U168" s="11"/>
    </row>
    <row r="169" spans="1:21" ht="14.25" customHeight="1" x14ac:dyDescent="0.25">
      <c r="A169" s="484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R169" s="23"/>
      <c r="U169" s="11"/>
    </row>
    <row r="170" spans="1:21" ht="14.25" customHeight="1" x14ac:dyDescent="0.25">
      <c r="A170" s="484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R170" s="23"/>
      <c r="U170" s="11"/>
    </row>
    <row r="171" spans="1:21" ht="14.25" customHeight="1" x14ac:dyDescent="0.25">
      <c r="A171" s="484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R171" s="23"/>
      <c r="U171" s="11"/>
    </row>
    <row r="172" spans="1:21" ht="14.25" customHeight="1" x14ac:dyDescent="0.25">
      <c r="A172" s="484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R172" s="23"/>
      <c r="U172" s="11"/>
    </row>
    <row r="173" spans="1:21" ht="14.25" customHeight="1" x14ac:dyDescent="0.25">
      <c r="A173" s="484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R173" s="23"/>
      <c r="U173" s="11"/>
    </row>
    <row r="174" spans="1:21" ht="14.25" customHeight="1" x14ac:dyDescent="0.25">
      <c r="A174" s="484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R174" s="23"/>
      <c r="U174" s="11"/>
    </row>
    <row r="175" spans="1:21" ht="14.25" customHeight="1" x14ac:dyDescent="0.25">
      <c r="A175" s="484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R175" s="23"/>
      <c r="U175" s="11"/>
    </row>
    <row r="176" spans="1:21" ht="14.25" customHeight="1" x14ac:dyDescent="0.25">
      <c r="A176" s="484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R176" s="23"/>
      <c r="U176" s="11"/>
    </row>
    <row r="177" spans="1:21" ht="14.25" customHeight="1" x14ac:dyDescent="0.25">
      <c r="A177" s="484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R177" s="23"/>
      <c r="U177" s="11"/>
    </row>
    <row r="178" spans="1:21" ht="14.25" customHeight="1" x14ac:dyDescent="0.25">
      <c r="A178" s="484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R178" s="23"/>
      <c r="U178" s="11"/>
    </row>
    <row r="179" spans="1:21" ht="14.25" customHeight="1" x14ac:dyDescent="0.25">
      <c r="A179" s="484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R179" s="23"/>
      <c r="U179" s="11"/>
    </row>
    <row r="180" spans="1:21" ht="14.25" customHeight="1" x14ac:dyDescent="0.25">
      <c r="A180" s="484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R180" s="23"/>
      <c r="U180" s="11"/>
    </row>
    <row r="181" spans="1:21" ht="14.25" customHeight="1" x14ac:dyDescent="0.25">
      <c r="A181" s="484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R181" s="23"/>
      <c r="U181" s="11"/>
    </row>
    <row r="182" spans="1:21" ht="14.25" customHeight="1" x14ac:dyDescent="0.25">
      <c r="A182" s="484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R182" s="23"/>
      <c r="U182" s="11"/>
    </row>
    <row r="183" spans="1:21" ht="14.25" customHeight="1" x14ac:dyDescent="0.25">
      <c r="A183" s="484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R183" s="23"/>
      <c r="U183" s="11"/>
    </row>
    <row r="184" spans="1:21" ht="14.25" customHeight="1" x14ac:dyDescent="0.25">
      <c r="A184" s="484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R184" s="23"/>
      <c r="U184" s="11"/>
    </row>
    <row r="185" spans="1:21" ht="14.25" customHeight="1" x14ac:dyDescent="0.25">
      <c r="A185" s="484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R185" s="23"/>
      <c r="U185" s="11"/>
    </row>
    <row r="186" spans="1:21" ht="14.25" customHeight="1" x14ac:dyDescent="0.25">
      <c r="A186" s="484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R186" s="23"/>
      <c r="U186" s="11"/>
    </row>
    <row r="187" spans="1:21" ht="14.25" customHeight="1" x14ac:dyDescent="0.25">
      <c r="A187" s="484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R187" s="23"/>
      <c r="U187" s="11"/>
    </row>
    <row r="188" spans="1:21" ht="14.25" customHeight="1" x14ac:dyDescent="0.25">
      <c r="A188" s="484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R188" s="23"/>
      <c r="U188" s="11"/>
    </row>
    <row r="189" spans="1:21" ht="14.25" customHeight="1" x14ac:dyDescent="0.25">
      <c r="A189" s="484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R189" s="23"/>
      <c r="U189" s="11"/>
    </row>
    <row r="190" spans="1:21" ht="14.25" customHeight="1" x14ac:dyDescent="0.25">
      <c r="A190" s="484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R190" s="23"/>
      <c r="U190" s="11"/>
    </row>
    <row r="191" spans="1:21" ht="14.25" customHeight="1" x14ac:dyDescent="0.25">
      <c r="A191" s="484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R191" s="23"/>
      <c r="U191" s="11"/>
    </row>
    <row r="192" spans="1:21" ht="14.25" customHeight="1" x14ac:dyDescent="0.25">
      <c r="A192" s="484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R192" s="23"/>
      <c r="U192" s="11"/>
    </row>
    <row r="193" spans="1:21" ht="14.25" customHeight="1" x14ac:dyDescent="0.25">
      <c r="A193" s="484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R193" s="23"/>
      <c r="U193" s="11"/>
    </row>
    <row r="194" spans="1:21" ht="14.25" customHeight="1" x14ac:dyDescent="0.25">
      <c r="A194" s="484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R194" s="23"/>
      <c r="U194" s="11"/>
    </row>
    <row r="195" spans="1:21" ht="14.25" customHeight="1" x14ac:dyDescent="0.25">
      <c r="A195" s="484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R195" s="23"/>
      <c r="U195" s="11"/>
    </row>
    <row r="196" spans="1:21" ht="14.25" customHeight="1" x14ac:dyDescent="0.25">
      <c r="A196" s="484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R196" s="23"/>
      <c r="U196" s="11"/>
    </row>
    <row r="197" spans="1:21" ht="14.25" customHeight="1" x14ac:dyDescent="0.25">
      <c r="A197" s="484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R197" s="23"/>
      <c r="U197" s="11"/>
    </row>
    <row r="198" spans="1:21" ht="14.25" customHeight="1" x14ac:dyDescent="0.25">
      <c r="A198" s="484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R198" s="23"/>
      <c r="U198" s="11"/>
    </row>
    <row r="199" spans="1:21" ht="14.25" customHeight="1" x14ac:dyDescent="0.25">
      <c r="A199" s="484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R199" s="23"/>
      <c r="U199" s="11"/>
    </row>
    <row r="200" spans="1:21" ht="14.25" customHeight="1" x14ac:dyDescent="0.25">
      <c r="A200" s="484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R200" s="23"/>
      <c r="U200" s="11"/>
    </row>
    <row r="201" spans="1:21" ht="14.25" customHeight="1" x14ac:dyDescent="0.25">
      <c r="A201" s="484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R201" s="23"/>
      <c r="U201" s="11"/>
    </row>
    <row r="202" spans="1:21" ht="14.25" customHeight="1" x14ac:dyDescent="0.25">
      <c r="A202" s="484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R202" s="23"/>
      <c r="U202" s="11"/>
    </row>
    <row r="203" spans="1:21" ht="14.25" customHeight="1" x14ac:dyDescent="0.25">
      <c r="A203" s="484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R203" s="23"/>
      <c r="U203" s="11"/>
    </row>
    <row r="204" spans="1:21" ht="14.25" customHeight="1" x14ac:dyDescent="0.25">
      <c r="A204" s="484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R204" s="23"/>
      <c r="U204" s="11"/>
    </row>
    <row r="205" spans="1:21" ht="14.25" customHeight="1" x14ac:dyDescent="0.25">
      <c r="A205" s="484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R205" s="23"/>
      <c r="U205" s="11"/>
    </row>
    <row r="206" spans="1:21" ht="14.25" customHeight="1" x14ac:dyDescent="0.25">
      <c r="A206" s="484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R206" s="23"/>
      <c r="U206" s="11"/>
    </row>
    <row r="207" spans="1:21" ht="14.25" customHeight="1" x14ac:dyDescent="0.25">
      <c r="A207" s="484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R207" s="23"/>
      <c r="U207" s="11"/>
    </row>
    <row r="208" spans="1:21" ht="14.25" customHeight="1" x14ac:dyDescent="0.25">
      <c r="A208" s="484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R208" s="23"/>
      <c r="U208" s="11"/>
    </row>
    <row r="209" spans="1:21" ht="14.25" customHeight="1" x14ac:dyDescent="0.25">
      <c r="A209" s="484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R209" s="23"/>
      <c r="U209" s="11"/>
    </row>
    <row r="210" spans="1:21" ht="14.25" customHeight="1" x14ac:dyDescent="0.25">
      <c r="A210" s="484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R210" s="23"/>
      <c r="U210" s="11"/>
    </row>
    <row r="211" spans="1:21" ht="14.25" customHeight="1" x14ac:dyDescent="0.25">
      <c r="A211" s="484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R211" s="23"/>
      <c r="U211" s="11"/>
    </row>
    <row r="212" spans="1:21" ht="14.25" customHeight="1" x14ac:dyDescent="0.25">
      <c r="A212" s="484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R212" s="23"/>
      <c r="U212" s="11"/>
    </row>
    <row r="213" spans="1:21" ht="14.25" customHeight="1" x14ac:dyDescent="0.25">
      <c r="A213" s="484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R213" s="23"/>
      <c r="U213" s="11"/>
    </row>
    <row r="214" spans="1:21" ht="14.25" customHeight="1" x14ac:dyDescent="0.25">
      <c r="A214" s="484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R214" s="23"/>
      <c r="U214" s="11"/>
    </row>
    <row r="215" spans="1:21" ht="14.25" customHeight="1" x14ac:dyDescent="0.25">
      <c r="A215" s="484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R215" s="23"/>
      <c r="U215" s="11"/>
    </row>
    <row r="216" spans="1:21" ht="14.25" customHeight="1" x14ac:dyDescent="0.25">
      <c r="A216" s="484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R216" s="23"/>
      <c r="U216" s="11"/>
    </row>
    <row r="217" spans="1:21" ht="14.25" customHeight="1" x14ac:dyDescent="0.25">
      <c r="A217" s="484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R217" s="23"/>
      <c r="U217" s="11"/>
    </row>
    <row r="218" spans="1:21" ht="14.25" customHeight="1" x14ac:dyDescent="0.25">
      <c r="A218" s="484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R218" s="23"/>
      <c r="U218" s="11"/>
    </row>
    <row r="219" spans="1:21" ht="14.25" customHeight="1" x14ac:dyDescent="0.25">
      <c r="A219" s="484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R219" s="23"/>
      <c r="U219" s="11"/>
    </row>
    <row r="220" spans="1:21" ht="14.25" customHeight="1" x14ac:dyDescent="0.25">
      <c r="A220" s="484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R220" s="23"/>
      <c r="U220" s="11"/>
    </row>
    <row r="221" spans="1:21" ht="14.25" customHeight="1" x14ac:dyDescent="0.25">
      <c r="A221" s="484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R221" s="23"/>
      <c r="U221" s="11"/>
    </row>
    <row r="222" spans="1:21" ht="14.25" customHeight="1" x14ac:dyDescent="0.25">
      <c r="A222" s="484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R222" s="23"/>
      <c r="U222" s="11"/>
    </row>
    <row r="223" spans="1:21" ht="14.25" customHeight="1" x14ac:dyDescent="0.25">
      <c r="A223" s="484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R223" s="23"/>
      <c r="U223" s="11"/>
    </row>
    <row r="224" spans="1:21" ht="14.25" customHeight="1" x14ac:dyDescent="0.25">
      <c r="A224" s="484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R224" s="23"/>
      <c r="U224" s="11"/>
    </row>
    <row r="225" spans="1:21" ht="14.25" customHeight="1" x14ac:dyDescent="0.25">
      <c r="A225" s="484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R225" s="23"/>
      <c r="U225" s="11"/>
    </row>
    <row r="226" spans="1:21" ht="14.25" customHeight="1" x14ac:dyDescent="0.25">
      <c r="A226" s="484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R226" s="23"/>
      <c r="U226" s="11"/>
    </row>
    <row r="227" spans="1:21" ht="14.25" customHeight="1" x14ac:dyDescent="0.25">
      <c r="A227" s="484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R227" s="23"/>
      <c r="U227" s="11"/>
    </row>
    <row r="228" spans="1:21" ht="14.25" customHeight="1" x14ac:dyDescent="0.25">
      <c r="A228" s="484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R228" s="23"/>
      <c r="U228" s="11"/>
    </row>
    <row r="229" spans="1:21" ht="14.25" customHeight="1" x14ac:dyDescent="0.25">
      <c r="A229" s="484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R229" s="23"/>
      <c r="U229" s="11"/>
    </row>
    <row r="230" spans="1:21" ht="14.25" customHeight="1" x14ac:dyDescent="0.25">
      <c r="A230" s="484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R230" s="23"/>
      <c r="U230" s="11"/>
    </row>
    <row r="231" spans="1:21" ht="14.25" customHeight="1" x14ac:dyDescent="0.25">
      <c r="A231" s="484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R231" s="23"/>
      <c r="U231" s="11"/>
    </row>
    <row r="232" spans="1:21" ht="14.25" customHeight="1" x14ac:dyDescent="0.25">
      <c r="A232" s="484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R232" s="23"/>
      <c r="U232" s="11"/>
    </row>
    <row r="233" spans="1:21" ht="14.25" customHeight="1" x14ac:dyDescent="0.25">
      <c r="A233" s="484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R233" s="23"/>
      <c r="U233" s="11"/>
    </row>
    <row r="234" spans="1:21" ht="14.25" customHeight="1" x14ac:dyDescent="0.25">
      <c r="A234" s="484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R234" s="23"/>
      <c r="U234" s="11"/>
    </row>
    <row r="235" spans="1:21" ht="14.25" customHeight="1" x14ac:dyDescent="0.25">
      <c r="A235" s="484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R235" s="23"/>
      <c r="U235" s="11"/>
    </row>
    <row r="236" spans="1:21" ht="14.25" customHeight="1" x14ac:dyDescent="0.25">
      <c r="A236" s="484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R236" s="23"/>
      <c r="U236" s="11"/>
    </row>
    <row r="237" spans="1:21" ht="14.25" customHeight="1" x14ac:dyDescent="0.25">
      <c r="A237" s="484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R237" s="23"/>
      <c r="U237" s="11"/>
    </row>
    <row r="238" spans="1:21" ht="14.25" customHeight="1" x14ac:dyDescent="0.25">
      <c r="A238" s="484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R238" s="23"/>
      <c r="U238" s="11"/>
    </row>
    <row r="239" spans="1:21" ht="14.25" customHeight="1" x14ac:dyDescent="0.25">
      <c r="A239" s="484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R239" s="23"/>
      <c r="U239" s="11"/>
    </row>
    <row r="240" spans="1:21" ht="14.25" customHeight="1" x14ac:dyDescent="0.25">
      <c r="A240" s="484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R240" s="23"/>
      <c r="U240" s="11"/>
    </row>
    <row r="241" spans="1:21" ht="14.25" customHeight="1" x14ac:dyDescent="0.25">
      <c r="A241" s="484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R241" s="23"/>
      <c r="U241" s="11"/>
    </row>
    <row r="242" spans="1:21" ht="14.25" customHeight="1" x14ac:dyDescent="0.25">
      <c r="A242" s="484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R242" s="23"/>
      <c r="U242" s="11"/>
    </row>
    <row r="243" spans="1:21" ht="14.25" customHeight="1" x14ac:dyDescent="0.25">
      <c r="A243" s="484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R243" s="23"/>
      <c r="U243" s="11"/>
    </row>
    <row r="244" spans="1:21" ht="14.25" customHeight="1" x14ac:dyDescent="0.25">
      <c r="A244" s="484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R244" s="23"/>
      <c r="U244" s="11"/>
    </row>
    <row r="245" spans="1:21" ht="14.25" customHeight="1" x14ac:dyDescent="0.25">
      <c r="A245" s="484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R245" s="23"/>
      <c r="U245" s="11"/>
    </row>
    <row r="246" spans="1:21" ht="14.25" customHeight="1" x14ac:dyDescent="0.25">
      <c r="A246" s="484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R246" s="23"/>
      <c r="U246" s="11"/>
    </row>
    <row r="247" spans="1:21" ht="14.25" customHeight="1" x14ac:dyDescent="0.25">
      <c r="A247" s="484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R247" s="23"/>
      <c r="U247" s="11"/>
    </row>
    <row r="248" spans="1:21" ht="14.25" customHeight="1" x14ac:dyDescent="0.25">
      <c r="A248" s="484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R248" s="23"/>
      <c r="U248" s="11"/>
    </row>
    <row r="249" spans="1:21" ht="14.25" customHeight="1" x14ac:dyDescent="0.25">
      <c r="A249" s="484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R249" s="23"/>
      <c r="U249" s="11"/>
    </row>
    <row r="250" spans="1:21" ht="14.25" customHeight="1" x14ac:dyDescent="0.25">
      <c r="A250" s="484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R250" s="23"/>
      <c r="U250" s="11"/>
    </row>
    <row r="251" spans="1:21" ht="14.25" customHeight="1" x14ac:dyDescent="0.25">
      <c r="A251" s="484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R251" s="23"/>
      <c r="U251" s="11"/>
    </row>
    <row r="252" spans="1:21" ht="14.25" customHeight="1" x14ac:dyDescent="0.25">
      <c r="A252" s="484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R252" s="23"/>
      <c r="U252" s="11"/>
    </row>
    <row r="253" spans="1:21" ht="14.25" customHeight="1" x14ac:dyDescent="0.25">
      <c r="A253" s="484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R253" s="23"/>
      <c r="U253" s="11"/>
    </row>
    <row r="254" spans="1:21" ht="14.25" customHeight="1" x14ac:dyDescent="0.25">
      <c r="A254" s="484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R254" s="23"/>
      <c r="U254" s="11"/>
    </row>
    <row r="255" spans="1:21" ht="14.25" customHeight="1" x14ac:dyDescent="0.25">
      <c r="A255" s="484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R255" s="23"/>
      <c r="U255" s="11"/>
    </row>
    <row r="256" spans="1:21" ht="14.25" customHeight="1" x14ac:dyDescent="0.25">
      <c r="A256" s="484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R256" s="23"/>
      <c r="U256" s="11"/>
    </row>
    <row r="257" spans="1:21" ht="14.25" customHeight="1" x14ac:dyDescent="0.25">
      <c r="A257" s="484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R257" s="23"/>
      <c r="U257" s="11"/>
    </row>
    <row r="258" spans="1:21" ht="14.25" customHeight="1" x14ac:dyDescent="0.25">
      <c r="A258" s="484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R258" s="23"/>
      <c r="U258" s="11"/>
    </row>
    <row r="259" spans="1:21" ht="14.25" customHeight="1" x14ac:dyDescent="0.25">
      <c r="A259" s="484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R259" s="23"/>
      <c r="U259" s="11"/>
    </row>
    <row r="260" spans="1:21" ht="14.25" customHeight="1" x14ac:dyDescent="0.25">
      <c r="A260" s="484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R260" s="23"/>
      <c r="U260" s="11"/>
    </row>
    <row r="261" spans="1:21" ht="14.25" customHeight="1" x14ac:dyDescent="0.25">
      <c r="A261" s="484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R261" s="23"/>
      <c r="U261" s="11"/>
    </row>
    <row r="262" spans="1:21" ht="14.25" customHeight="1" x14ac:dyDescent="0.25">
      <c r="A262" s="484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R262" s="23"/>
      <c r="U262" s="11"/>
    </row>
    <row r="263" spans="1:21" ht="14.25" customHeight="1" x14ac:dyDescent="0.25">
      <c r="A263" s="484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R263" s="23"/>
      <c r="U263" s="11"/>
    </row>
    <row r="264" spans="1:21" ht="14.25" customHeight="1" x14ac:dyDescent="0.25">
      <c r="A264" s="484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R264" s="23"/>
      <c r="U264" s="11"/>
    </row>
    <row r="265" spans="1:21" ht="14.25" customHeight="1" x14ac:dyDescent="0.25">
      <c r="A265" s="484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R265" s="23"/>
      <c r="U265" s="11"/>
    </row>
    <row r="266" spans="1:21" ht="14.25" customHeight="1" x14ac:dyDescent="0.25">
      <c r="A266" s="484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R266" s="23"/>
      <c r="U266" s="11"/>
    </row>
    <row r="267" spans="1:21" ht="14.25" customHeight="1" x14ac:dyDescent="0.25">
      <c r="A267" s="484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R267" s="23"/>
      <c r="U267" s="11"/>
    </row>
    <row r="268" spans="1:21" ht="14.25" customHeight="1" x14ac:dyDescent="0.25">
      <c r="A268" s="484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R268" s="23"/>
      <c r="U268" s="11"/>
    </row>
    <row r="269" spans="1:21" ht="14.25" customHeight="1" x14ac:dyDescent="0.25">
      <c r="A269" s="484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R269" s="23"/>
      <c r="U269" s="11"/>
    </row>
    <row r="270" spans="1:21" ht="14.25" customHeight="1" x14ac:dyDescent="0.25">
      <c r="A270" s="484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R270" s="23"/>
      <c r="U270" s="11"/>
    </row>
    <row r="271" spans="1:21" ht="14.25" customHeight="1" x14ac:dyDescent="0.25">
      <c r="A271" s="484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R271" s="23"/>
      <c r="U271" s="11"/>
    </row>
    <row r="272" spans="1:21" ht="14.25" customHeight="1" x14ac:dyDescent="0.25">
      <c r="A272" s="484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R272" s="23"/>
      <c r="U272" s="11"/>
    </row>
    <row r="273" spans="1:21" ht="14.25" customHeight="1" x14ac:dyDescent="0.25">
      <c r="A273" s="484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R273" s="23"/>
      <c r="U273" s="11"/>
    </row>
    <row r="274" spans="1:21" ht="14.25" customHeight="1" x14ac:dyDescent="0.25">
      <c r="A274" s="484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R274" s="23"/>
      <c r="U274" s="11"/>
    </row>
    <row r="275" spans="1:21" ht="14.25" customHeight="1" x14ac:dyDescent="0.25">
      <c r="A275" s="484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R275" s="23"/>
      <c r="U275" s="11"/>
    </row>
    <row r="276" spans="1:21" ht="14.25" customHeight="1" x14ac:dyDescent="0.25">
      <c r="A276" s="484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R276" s="23"/>
      <c r="U276" s="11"/>
    </row>
    <row r="277" spans="1:21" ht="14.25" customHeight="1" x14ac:dyDescent="0.25">
      <c r="A277" s="484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R277" s="23"/>
      <c r="U277" s="11"/>
    </row>
    <row r="278" spans="1:21" ht="14.25" customHeight="1" x14ac:dyDescent="0.25">
      <c r="A278" s="484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R278" s="23"/>
      <c r="U278" s="11"/>
    </row>
    <row r="279" spans="1:21" ht="14.25" customHeight="1" x14ac:dyDescent="0.25">
      <c r="A279" s="484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R279" s="23"/>
      <c r="U279" s="11"/>
    </row>
    <row r="280" spans="1:21" ht="14.25" customHeight="1" x14ac:dyDescent="0.25">
      <c r="A280" s="484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R280" s="23"/>
      <c r="U280" s="11"/>
    </row>
    <row r="281" spans="1:21" ht="14.25" customHeight="1" x14ac:dyDescent="0.25">
      <c r="A281" s="484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R281" s="23"/>
      <c r="U281" s="11"/>
    </row>
    <row r="282" spans="1:21" ht="14.25" customHeight="1" x14ac:dyDescent="0.25">
      <c r="A282" s="484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R282" s="23"/>
      <c r="U282" s="11"/>
    </row>
    <row r="283" spans="1:21" ht="14.25" customHeight="1" x14ac:dyDescent="0.25">
      <c r="A283" s="484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R283" s="23"/>
      <c r="U283" s="11"/>
    </row>
    <row r="284" spans="1:21" ht="14.25" customHeight="1" x14ac:dyDescent="0.25">
      <c r="A284" s="484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R284" s="23"/>
      <c r="U284" s="11"/>
    </row>
    <row r="285" spans="1:21" ht="14.25" customHeight="1" x14ac:dyDescent="0.25">
      <c r="A285" s="484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R285" s="23"/>
      <c r="U285" s="11"/>
    </row>
    <row r="286" spans="1:21" ht="14.25" customHeight="1" x14ac:dyDescent="0.25">
      <c r="A286" s="484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R286" s="23"/>
      <c r="U286" s="11"/>
    </row>
    <row r="287" spans="1:21" ht="14.25" customHeight="1" x14ac:dyDescent="0.25">
      <c r="A287" s="484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R287" s="23"/>
      <c r="U287" s="11"/>
    </row>
    <row r="288" spans="1:21" ht="14.25" customHeight="1" x14ac:dyDescent="0.25">
      <c r="A288" s="484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R288" s="23"/>
      <c r="U288" s="11"/>
    </row>
    <row r="289" spans="1:21" ht="14.25" customHeight="1" x14ac:dyDescent="0.25">
      <c r="A289" s="484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R289" s="23"/>
      <c r="U289" s="11"/>
    </row>
    <row r="290" spans="1:21" ht="14.25" customHeight="1" x14ac:dyDescent="0.25">
      <c r="A290" s="484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R290" s="23"/>
      <c r="U290" s="11"/>
    </row>
    <row r="291" spans="1:21" ht="14.25" customHeight="1" x14ac:dyDescent="0.25">
      <c r="A291" s="484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R291" s="23"/>
      <c r="U291" s="11"/>
    </row>
    <row r="292" spans="1:21" ht="14.25" customHeight="1" x14ac:dyDescent="0.25">
      <c r="A292" s="484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R292" s="23"/>
      <c r="U292" s="11"/>
    </row>
    <row r="293" spans="1:21" ht="14.25" customHeight="1" x14ac:dyDescent="0.25">
      <c r="A293" s="484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R293" s="23"/>
      <c r="U293" s="11"/>
    </row>
    <row r="294" spans="1:21" ht="14.25" customHeight="1" x14ac:dyDescent="0.25">
      <c r="A294" s="484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R294" s="23"/>
      <c r="U294" s="11"/>
    </row>
    <row r="295" spans="1:21" ht="14.25" customHeight="1" x14ac:dyDescent="0.25">
      <c r="A295" s="484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R295" s="23"/>
      <c r="U295" s="11"/>
    </row>
    <row r="296" spans="1:21" ht="14.25" customHeight="1" x14ac:dyDescent="0.25">
      <c r="A296" s="484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R296" s="23"/>
      <c r="U296" s="11"/>
    </row>
    <row r="297" spans="1:21" ht="14.25" customHeight="1" x14ac:dyDescent="0.25">
      <c r="A297" s="484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R297" s="23"/>
      <c r="U297" s="11"/>
    </row>
    <row r="298" spans="1:21" ht="14.25" customHeight="1" x14ac:dyDescent="0.25">
      <c r="A298" s="484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R298" s="23"/>
      <c r="U298" s="11"/>
    </row>
    <row r="299" spans="1:21" ht="14.25" customHeight="1" x14ac:dyDescent="0.25">
      <c r="A299" s="484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R299" s="23"/>
      <c r="U299" s="11"/>
    </row>
    <row r="300" spans="1:21" ht="14.25" customHeight="1" x14ac:dyDescent="0.25">
      <c r="A300" s="484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R300" s="23"/>
      <c r="U300" s="11"/>
    </row>
    <row r="301" spans="1:21" ht="14.25" customHeight="1" x14ac:dyDescent="0.25">
      <c r="A301" s="484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R301" s="23"/>
      <c r="U301" s="11"/>
    </row>
    <row r="302" spans="1:21" ht="14.25" customHeight="1" x14ac:dyDescent="0.25">
      <c r="A302" s="484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R302" s="23"/>
      <c r="U302" s="11"/>
    </row>
    <row r="303" spans="1:21" ht="14.25" customHeight="1" x14ac:dyDescent="0.25">
      <c r="A303" s="484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R303" s="23"/>
      <c r="U303" s="11"/>
    </row>
    <row r="304" spans="1:21" ht="14.25" customHeight="1" x14ac:dyDescent="0.25">
      <c r="A304" s="484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R304" s="23"/>
      <c r="U304" s="11"/>
    </row>
    <row r="305" spans="1:21" ht="14.25" customHeight="1" x14ac:dyDescent="0.25">
      <c r="A305" s="484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R305" s="23"/>
      <c r="U305" s="11"/>
    </row>
    <row r="306" spans="1:21" ht="14.25" customHeight="1" x14ac:dyDescent="0.25">
      <c r="A306" s="484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R306" s="23"/>
      <c r="U306" s="11"/>
    </row>
    <row r="307" spans="1:21" ht="14.25" customHeight="1" x14ac:dyDescent="0.25">
      <c r="A307" s="484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R307" s="23"/>
      <c r="U307" s="11"/>
    </row>
    <row r="308" spans="1:21" ht="14.25" customHeight="1" x14ac:dyDescent="0.25">
      <c r="A308" s="484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R308" s="23"/>
      <c r="U308" s="11"/>
    </row>
    <row r="309" spans="1:21" ht="14.25" customHeight="1" x14ac:dyDescent="0.25">
      <c r="A309" s="484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R309" s="23"/>
      <c r="U309" s="11"/>
    </row>
    <row r="310" spans="1:21" ht="14.25" customHeight="1" x14ac:dyDescent="0.25">
      <c r="A310" s="484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R310" s="23"/>
      <c r="U310" s="11"/>
    </row>
    <row r="311" spans="1:21" ht="14.25" customHeight="1" x14ac:dyDescent="0.25">
      <c r="A311" s="484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R311" s="23"/>
      <c r="U311" s="11"/>
    </row>
    <row r="312" spans="1:21" ht="14.25" customHeight="1" x14ac:dyDescent="0.25">
      <c r="A312" s="484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R312" s="23"/>
      <c r="U312" s="11"/>
    </row>
    <row r="313" spans="1:21" ht="14.25" customHeight="1" x14ac:dyDescent="0.25">
      <c r="A313" s="484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R313" s="23"/>
      <c r="U313" s="11"/>
    </row>
    <row r="314" spans="1:21" ht="14.25" customHeight="1" x14ac:dyDescent="0.25">
      <c r="A314" s="484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R314" s="23"/>
      <c r="U314" s="11"/>
    </row>
    <row r="315" spans="1:21" ht="14.25" customHeight="1" x14ac:dyDescent="0.25">
      <c r="A315" s="484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R315" s="23"/>
      <c r="U315" s="11"/>
    </row>
    <row r="316" spans="1:21" ht="14.25" customHeight="1" x14ac:dyDescent="0.25">
      <c r="A316" s="484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R316" s="23"/>
      <c r="U316" s="11"/>
    </row>
    <row r="317" spans="1:21" ht="14.25" customHeight="1" x14ac:dyDescent="0.25">
      <c r="A317" s="484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R317" s="23"/>
      <c r="U317" s="11"/>
    </row>
    <row r="318" spans="1:21" ht="14.25" customHeight="1" x14ac:dyDescent="0.25">
      <c r="A318" s="484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R318" s="23"/>
      <c r="U318" s="11"/>
    </row>
    <row r="319" spans="1:21" ht="14.25" customHeight="1" x14ac:dyDescent="0.25">
      <c r="A319" s="484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R319" s="23"/>
      <c r="U319" s="11"/>
    </row>
    <row r="320" spans="1:21" ht="14.25" customHeight="1" x14ac:dyDescent="0.25">
      <c r="A320" s="484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R320" s="23"/>
      <c r="U320" s="11"/>
    </row>
    <row r="321" spans="1:21" ht="14.25" customHeight="1" x14ac:dyDescent="0.25">
      <c r="A321" s="484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R321" s="23"/>
      <c r="U321" s="11"/>
    </row>
    <row r="322" spans="1:21" ht="14.25" customHeight="1" x14ac:dyDescent="0.25">
      <c r="A322" s="484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R322" s="23"/>
      <c r="U322" s="11"/>
    </row>
    <row r="323" spans="1:21" ht="14.25" customHeight="1" x14ac:dyDescent="0.25">
      <c r="A323" s="484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R323" s="23"/>
      <c r="U323" s="11"/>
    </row>
    <row r="324" spans="1:21" ht="14.25" customHeight="1" x14ac:dyDescent="0.25">
      <c r="A324" s="484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R324" s="23"/>
      <c r="U324" s="11"/>
    </row>
    <row r="325" spans="1:21" ht="14.25" customHeight="1" x14ac:dyDescent="0.25">
      <c r="A325" s="484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R325" s="23"/>
      <c r="U325" s="11"/>
    </row>
    <row r="326" spans="1:21" ht="14.25" customHeight="1" x14ac:dyDescent="0.25">
      <c r="A326" s="484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R326" s="23"/>
      <c r="U326" s="11"/>
    </row>
    <row r="327" spans="1:21" ht="14.25" customHeight="1" x14ac:dyDescent="0.25">
      <c r="A327" s="484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R327" s="23"/>
      <c r="U327" s="11"/>
    </row>
    <row r="328" spans="1:21" ht="14.25" customHeight="1" x14ac:dyDescent="0.25">
      <c r="A328" s="484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R328" s="23"/>
      <c r="U328" s="11"/>
    </row>
    <row r="329" spans="1:21" ht="14.25" customHeight="1" x14ac:dyDescent="0.25">
      <c r="A329" s="484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R329" s="23"/>
      <c r="U329" s="11"/>
    </row>
    <row r="330" spans="1:21" ht="14.25" customHeight="1" x14ac:dyDescent="0.25">
      <c r="A330" s="484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R330" s="23"/>
      <c r="U330" s="11"/>
    </row>
    <row r="331" spans="1:21" ht="14.25" customHeight="1" x14ac:dyDescent="0.25">
      <c r="A331" s="484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R331" s="23"/>
      <c r="U331" s="11"/>
    </row>
    <row r="332" spans="1:21" ht="14.25" customHeight="1" x14ac:dyDescent="0.25">
      <c r="A332" s="484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R332" s="23"/>
      <c r="U332" s="11"/>
    </row>
    <row r="333" spans="1:21" ht="14.25" customHeight="1" x14ac:dyDescent="0.25">
      <c r="A333" s="484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R333" s="23"/>
      <c r="U333" s="11"/>
    </row>
    <row r="334" spans="1:21" ht="14.25" customHeight="1" x14ac:dyDescent="0.25">
      <c r="A334" s="484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R334" s="23"/>
      <c r="U334" s="11"/>
    </row>
    <row r="335" spans="1:21" ht="14.25" customHeight="1" x14ac:dyDescent="0.25">
      <c r="A335" s="484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R335" s="23"/>
      <c r="U335" s="11"/>
    </row>
    <row r="336" spans="1:21" ht="14.25" customHeight="1" x14ac:dyDescent="0.25">
      <c r="A336" s="484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R336" s="23"/>
      <c r="U336" s="11"/>
    </row>
    <row r="337" spans="1:21" ht="14.25" customHeight="1" x14ac:dyDescent="0.25">
      <c r="A337" s="484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R337" s="23"/>
      <c r="U337" s="11"/>
    </row>
    <row r="338" spans="1:21" ht="14.25" customHeight="1" x14ac:dyDescent="0.25">
      <c r="A338" s="484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R338" s="23"/>
      <c r="U338" s="11"/>
    </row>
    <row r="339" spans="1:21" ht="14.25" customHeight="1" x14ac:dyDescent="0.25">
      <c r="A339" s="484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R339" s="23"/>
      <c r="U339" s="11"/>
    </row>
    <row r="340" spans="1:21" ht="14.25" customHeight="1" x14ac:dyDescent="0.25">
      <c r="A340" s="484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R340" s="23"/>
      <c r="U340" s="11"/>
    </row>
    <row r="341" spans="1:21" ht="14.25" customHeight="1" x14ac:dyDescent="0.25">
      <c r="A341" s="484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R341" s="23"/>
      <c r="U341" s="11"/>
    </row>
    <row r="342" spans="1:21" ht="14.25" customHeight="1" x14ac:dyDescent="0.25">
      <c r="A342" s="484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R342" s="23"/>
      <c r="U342" s="11"/>
    </row>
    <row r="343" spans="1:21" ht="14.25" customHeight="1" x14ac:dyDescent="0.25">
      <c r="A343" s="484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R343" s="23"/>
      <c r="U343" s="11"/>
    </row>
    <row r="344" spans="1:21" ht="14.25" customHeight="1" x14ac:dyDescent="0.25">
      <c r="A344" s="484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R344" s="23"/>
      <c r="U344" s="11"/>
    </row>
    <row r="345" spans="1:21" ht="14.25" customHeight="1" x14ac:dyDescent="0.25">
      <c r="A345" s="484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R345" s="23"/>
      <c r="U345" s="11"/>
    </row>
    <row r="346" spans="1:21" ht="14.25" customHeight="1" x14ac:dyDescent="0.25">
      <c r="A346" s="484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R346" s="23"/>
      <c r="U346" s="11"/>
    </row>
    <row r="347" spans="1:21" ht="14.25" customHeight="1" x14ac:dyDescent="0.25">
      <c r="A347" s="484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R347" s="23"/>
      <c r="U347" s="11"/>
    </row>
    <row r="348" spans="1:21" ht="14.25" customHeight="1" x14ac:dyDescent="0.25">
      <c r="A348" s="484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R348" s="23"/>
      <c r="U348" s="11"/>
    </row>
    <row r="349" spans="1:21" ht="14.25" customHeight="1" x14ac:dyDescent="0.25">
      <c r="A349" s="484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R349" s="23"/>
      <c r="U349" s="11"/>
    </row>
    <row r="350" spans="1:21" ht="14.25" customHeight="1" x14ac:dyDescent="0.25">
      <c r="A350" s="484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R350" s="23"/>
      <c r="U350" s="11"/>
    </row>
    <row r="351" spans="1:21" ht="14.25" customHeight="1" x14ac:dyDescent="0.25">
      <c r="A351" s="484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R351" s="23"/>
      <c r="U351" s="11"/>
    </row>
    <row r="352" spans="1:21" ht="14.25" customHeight="1" x14ac:dyDescent="0.25">
      <c r="A352" s="484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R352" s="23"/>
      <c r="U352" s="11"/>
    </row>
    <row r="353" spans="1:21" ht="14.25" customHeight="1" x14ac:dyDescent="0.25">
      <c r="A353" s="484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R353" s="23"/>
      <c r="U353" s="11"/>
    </row>
    <row r="354" spans="1:21" ht="14.25" customHeight="1" x14ac:dyDescent="0.25">
      <c r="A354" s="484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R354" s="23"/>
      <c r="U354" s="11"/>
    </row>
    <row r="355" spans="1:21" ht="14.25" customHeight="1" x14ac:dyDescent="0.25">
      <c r="A355" s="484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R355" s="23"/>
      <c r="U355" s="11"/>
    </row>
    <row r="356" spans="1:21" ht="14.25" customHeight="1" x14ac:dyDescent="0.25">
      <c r="A356" s="484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R356" s="23"/>
      <c r="U356" s="11"/>
    </row>
    <row r="357" spans="1:21" ht="14.25" customHeight="1" x14ac:dyDescent="0.25">
      <c r="A357" s="484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R357" s="23"/>
      <c r="U357" s="11"/>
    </row>
    <row r="358" spans="1:21" ht="14.25" customHeight="1" x14ac:dyDescent="0.25">
      <c r="A358" s="484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R358" s="23"/>
      <c r="U358" s="11"/>
    </row>
    <row r="359" spans="1:21" ht="14.25" customHeight="1" x14ac:dyDescent="0.25">
      <c r="A359" s="484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R359" s="23"/>
      <c r="U359" s="11"/>
    </row>
    <row r="360" spans="1:21" ht="14.25" customHeight="1" x14ac:dyDescent="0.25">
      <c r="A360" s="484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R360" s="23"/>
      <c r="U360" s="11"/>
    </row>
    <row r="361" spans="1:21" ht="14.25" customHeight="1" x14ac:dyDescent="0.25">
      <c r="A361" s="484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R361" s="23"/>
      <c r="U361" s="11"/>
    </row>
    <row r="362" spans="1:21" ht="14.25" customHeight="1" x14ac:dyDescent="0.25">
      <c r="A362" s="484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R362" s="23"/>
      <c r="U362" s="11"/>
    </row>
    <row r="363" spans="1:21" ht="14.25" customHeight="1" x14ac:dyDescent="0.25">
      <c r="A363" s="484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R363" s="23"/>
      <c r="U363" s="11"/>
    </row>
    <row r="364" spans="1:21" ht="14.25" customHeight="1" x14ac:dyDescent="0.25">
      <c r="A364" s="484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R364" s="23"/>
      <c r="U364" s="11"/>
    </row>
    <row r="365" spans="1:21" ht="14.25" customHeight="1" x14ac:dyDescent="0.25">
      <c r="A365" s="484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R365" s="23"/>
      <c r="U365" s="11"/>
    </row>
    <row r="366" spans="1:21" ht="14.25" customHeight="1" x14ac:dyDescent="0.25">
      <c r="A366" s="484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R366" s="23"/>
      <c r="U366" s="11"/>
    </row>
    <row r="367" spans="1:21" ht="14.25" customHeight="1" x14ac:dyDescent="0.25">
      <c r="A367" s="484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R367" s="23"/>
      <c r="U367" s="11"/>
    </row>
    <row r="368" spans="1:21" ht="14.25" customHeight="1" x14ac:dyDescent="0.25">
      <c r="A368" s="484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R368" s="23"/>
      <c r="U368" s="11"/>
    </row>
    <row r="369" spans="1:21" ht="14.25" customHeight="1" x14ac:dyDescent="0.25">
      <c r="A369" s="484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R369" s="23"/>
      <c r="U369" s="11"/>
    </row>
    <row r="370" spans="1:21" ht="14.25" customHeight="1" x14ac:dyDescent="0.25">
      <c r="A370" s="484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R370" s="23"/>
      <c r="U370" s="11"/>
    </row>
    <row r="371" spans="1:21" ht="14.25" customHeight="1" x14ac:dyDescent="0.25">
      <c r="A371" s="484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R371" s="23"/>
      <c r="U371" s="11"/>
    </row>
    <row r="372" spans="1:21" ht="14.25" customHeight="1" x14ac:dyDescent="0.25">
      <c r="A372" s="484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R372" s="23"/>
      <c r="U372" s="11"/>
    </row>
    <row r="373" spans="1:21" ht="14.25" customHeight="1" x14ac:dyDescent="0.25">
      <c r="A373" s="484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R373" s="23"/>
      <c r="U373" s="11"/>
    </row>
    <row r="374" spans="1:21" ht="14.25" customHeight="1" x14ac:dyDescent="0.25">
      <c r="A374" s="484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R374" s="23"/>
      <c r="U374" s="11"/>
    </row>
    <row r="375" spans="1:21" ht="14.25" customHeight="1" x14ac:dyDescent="0.25">
      <c r="A375" s="484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R375" s="23"/>
      <c r="U375" s="11"/>
    </row>
    <row r="376" spans="1:21" ht="14.25" customHeight="1" x14ac:dyDescent="0.25">
      <c r="A376" s="484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R376" s="23"/>
      <c r="U376" s="11"/>
    </row>
    <row r="377" spans="1:21" ht="14.25" customHeight="1" x14ac:dyDescent="0.25">
      <c r="A377" s="484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R377" s="23"/>
      <c r="U377" s="11"/>
    </row>
    <row r="378" spans="1:21" ht="14.25" customHeight="1" x14ac:dyDescent="0.25">
      <c r="A378" s="484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R378" s="23"/>
      <c r="U378" s="11"/>
    </row>
    <row r="379" spans="1:21" ht="14.25" customHeight="1" x14ac:dyDescent="0.25">
      <c r="A379" s="484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R379" s="23"/>
      <c r="U379" s="11"/>
    </row>
    <row r="380" spans="1:21" ht="14.25" customHeight="1" x14ac:dyDescent="0.25">
      <c r="A380" s="484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R380" s="23"/>
      <c r="U380" s="11"/>
    </row>
    <row r="381" spans="1:21" ht="14.25" customHeight="1" x14ac:dyDescent="0.25">
      <c r="A381" s="484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R381" s="23"/>
      <c r="U381" s="11"/>
    </row>
    <row r="382" spans="1:21" ht="14.25" customHeight="1" x14ac:dyDescent="0.25">
      <c r="A382" s="484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R382" s="23"/>
      <c r="U382" s="11"/>
    </row>
    <row r="383" spans="1:21" ht="14.25" customHeight="1" x14ac:dyDescent="0.25">
      <c r="A383" s="484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R383" s="23"/>
      <c r="U383" s="11"/>
    </row>
    <row r="384" spans="1:21" ht="14.25" customHeight="1" x14ac:dyDescent="0.25">
      <c r="A384" s="484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R384" s="23"/>
      <c r="U384" s="11"/>
    </row>
    <row r="385" spans="1:21" ht="14.25" customHeight="1" x14ac:dyDescent="0.25">
      <c r="A385" s="484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R385" s="23"/>
      <c r="U385" s="11"/>
    </row>
    <row r="386" spans="1:21" ht="14.25" customHeight="1" x14ac:dyDescent="0.25">
      <c r="A386" s="484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R386" s="23"/>
      <c r="U386" s="11"/>
    </row>
    <row r="387" spans="1:21" ht="14.25" customHeight="1" x14ac:dyDescent="0.25">
      <c r="A387" s="484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R387" s="23"/>
      <c r="U387" s="11"/>
    </row>
    <row r="388" spans="1:21" ht="14.25" customHeight="1" x14ac:dyDescent="0.25">
      <c r="A388" s="484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R388" s="23"/>
      <c r="U388" s="11"/>
    </row>
    <row r="389" spans="1:21" ht="14.25" customHeight="1" x14ac:dyDescent="0.25">
      <c r="A389" s="484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R389" s="23"/>
      <c r="U389" s="11"/>
    </row>
    <row r="390" spans="1:21" ht="14.25" customHeight="1" x14ac:dyDescent="0.25">
      <c r="A390" s="484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R390" s="23"/>
      <c r="U390" s="11"/>
    </row>
    <row r="391" spans="1:21" ht="14.25" customHeight="1" x14ac:dyDescent="0.25">
      <c r="A391" s="484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R391" s="23"/>
      <c r="U391" s="11"/>
    </row>
    <row r="392" spans="1:21" ht="14.25" customHeight="1" x14ac:dyDescent="0.25">
      <c r="A392" s="484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R392" s="23"/>
      <c r="U392" s="11"/>
    </row>
    <row r="393" spans="1:21" ht="14.25" customHeight="1" x14ac:dyDescent="0.25">
      <c r="A393" s="484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R393" s="23"/>
      <c r="U393" s="11"/>
    </row>
    <row r="394" spans="1:21" ht="14.25" customHeight="1" x14ac:dyDescent="0.25">
      <c r="A394" s="484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R394" s="23"/>
      <c r="U394" s="11"/>
    </row>
    <row r="395" spans="1:21" ht="14.25" customHeight="1" x14ac:dyDescent="0.25">
      <c r="A395" s="484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R395" s="23"/>
      <c r="U395" s="11"/>
    </row>
    <row r="396" spans="1:21" ht="14.25" customHeight="1" x14ac:dyDescent="0.25">
      <c r="A396" s="484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R396" s="23"/>
      <c r="U396" s="11"/>
    </row>
    <row r="397" spans="1:21" ht="14.25" customHeight="1" x14ac:dyDescent="0.25">
      <c r="A397" s="484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R397" s="23"/>
      <c r="U397" s="11"/>
    </row>
    <row r="398" spans="1:21" ht="14.25" customHeight="1" x14ac:dyDescent="0.25">
      <c r="A398" s="484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R398" s="23"/>
      <c r="U398" s="11"/>
    </row>
    <row r="399" spans="1:21" ht="14.25" customHeight="1" x14ac:dyDescent="0.25">
      <c r="A399" s="484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R399" s="23"/>
      <c r="U399" s="11"/>
    </row>
    <row r="400" spans="1:21" ht="14.25" customHeight="1" x14ac:dyDescent="0.25">
      <c r="A400" s="484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R400" s="23"/>
      <c r="U400" s="11"/>
    </row>
    <row r="401" spans="1:21" ht="14.25" customHeight="1" x14ac:dyDescent="0.25">
      <c r="A401" s="484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R401" s="23"/>
      <c r="U401" s="11"/>
    </row>
    <row r="402" spans="1:21" ht="14.25" customHeight="1" x14ac:dyDescent="0.25">
      <c r="A402" s="484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R402" s="23"/>
      <c r="U402" s="11"/>
    </row>
    <row r="403" spans="1:21" ht="14.25" customHeight="1" x14ac:dyDescent="0.25">
      <c r="A403" s="484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R403" s="23"/>
      <c r="U403" s="11"/>
    </row>
    <row r="404" spans="1:21" ht="14.25" customHeight="1" x14ac:dyDescent="0.25">
      <c r="A404" s="484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R404" s="23"/>
      <c r="U404" s="11"/>
    </row>
    <row r="405" spans="1:21" ht="14.25" customHeight="1" x14ac:dyDescent="0.25">
      <c r="A405" s="484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R405" s="23"/>
      <c r="U405" s="11"/>
    </row>
    <row r="406" spans="1:21" ht="14.25" customHeight="1" x14ac:dyDescent="0.25">
      <c r="A406" s="484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R406" s="23"/>
      <c r="U406" s="11"/>
    </row>
    <row r="407" spans="1:21" ht="14.25" customHeight="1" x14ac:dyDescent="0.25">
      <c r="A407" s="484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R407" s="23"/>
      <c r="U407" s="11"/>
    </row>
    <row r="408" spans="1:21" ht="14.25" customHeight="1" x14ac:dyDescent="0.25">
      <c r="A408" s="484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R408" s="23"/>
      <c r="U408" s="11"/>
    </row>
    <row r="409" spans="1:21" ht="14.25" customHeight="1" x14ac:dyDescent="0.25">
      <c r="A409" s="484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R409" s="23"/>
      <c r="U409" s="11"/>
    </row>
    <row r="410" spans="1:21" ht="14.25" customHeight="1" x14ac:dyDescent="0.25">
      <c r="A410" s="484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R410" s="23"/>
      <c r="U410" s="11"/>
    </row>
    <row r="411" spans="1:21" ht="14.25" customHeight="1" x14ac:dyDescent="0.25">
      <c r="A411" s="484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R411" s="23"/>
      <c r="U411" s="11"/>
    </row>
    <row r="412" spans="1:21" ht="14.25" customHeight="1" x14ac:dyDescent="0.25">
      <c r="A412" s="484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R412" s="23"/>
      <c r="U412" s="11"/>
    </row>
    <row r="413" spans="1:21" ht="14.25" customHeight="1" x14ac:dyDescent="0.25">
      <c r="A413" s="484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R413" s="23"/>
      <c r="U413" s="11"/>
    </row>
    <row r="414" spans="1:21" ht="14.25" customHeight="1" x14ac:dyDescent="0.25">
      <c r="A414" s="484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R414" s="23"/>
      <c r="U414" s="11"/>
    </row>
    <row r="415" spans="1:21" ht="14.25" customHeight="1" x14ac:dyDescent="0.25">
      <c r="A415" s="484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R415" s="23"/>
      <c r="U415" s="11"/>
    </row>
    <row r="416" spans="1:21" ht="14.25" customHeight="1" x14ac:dyDescent="0.25">
      <c r="A416" s="484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R416" s="23"/>
      <c r="U416" s="11"/>
    </row>
    <row r="417" spans="1:21" ht="14.25" customHeight="1" x14ac:dyDescent="0.25">
      <c r="A417" s="484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R417" s="23"/>
      <c r="U417" s="11"/>
    </row>
    <row r="418" spans="1:21" ht="14.25" customHeight="1" x14ac:dyDescent="0.25">
      <c r="A418" s="484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R418" s="23"/>
      <c r="U418" s="11"/>
    </row>
    <row r="419" spans="1:21" ht="14.25" customHeight="1" x14ac:dyDescent="0.25">
      <c r="A419" s="484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R419" s="23"/>
      <c r="U419" s="11"/>
    </row>
    <row r="420" spans="1:21" ht="14.25" customHeight="1" x14ac:dyDescent="0.25">
      <c r="A420" s="484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R420" s="23"/>
      <c r="U420" s="11"/>
    </row>
    <row r="421" spans="1:21" ht="14.25" customHeight="1" x14ac:dyDescent="0.25">
      <c r="A421" s="484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R421" s="23"/>
      <c r="U421" s="11"/>
    </row>
    <row r="422" spans="1:21" ht="14.25" customHeight="1" x14ac:dyDescent="0.25">
      <c r="A422" s="484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R422" s="23"/>
      <c r="U422" s="11"/>
    </row>
    <row r="423" spans="1:21" ht="14.25" customHeight="1" x14ac:dyDescent="0.25">
      <c r="A423" s="484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R423" s="23"/>
      <c r="U423" s="11"/>
    </row>
    <row r="424" spans="1:21" ht="14.25" customHeight="1" x14ac:dyDescent="0.25">
      <c r="A424" s="484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R424" s="23"/>
      <c r="U424" s="11"/>
    </row>
    <row r="425" spans="1:21" ht="14.25" customHeight="1" x14ac:dyDescent="0.25">
      <c r="A425" s="484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R425" s="23"/>
      <c r="U425" s="11"/>
    </row>
    <row r="426" spans="1:21" ht="14.25" customHeight="1" x14ac:dyDescent="0.25">
      <c r="A426" s="484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R426" s="23"/>
      <c r="U426" s="11"/>
    </row>
    <row r="427" spans="1:21" ht="14.25" customHeight="1" x14ac:dyDescent="0.25">
      <c r="A427" s="484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R427" s="23"/>
      <c r="U427" s="11"/>
    </row>
    <row r="428" spans="1:21" ht="14.25" customHeight="1" x14ac:dyDescent="0.25">
      <c r="A428" s="484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R428" s="23"/>
      <c r="U428" s="11"/>
    </row>
    <row r="429" spans="1:21" ht="14.25" customHeight="1" x14ac:dyDescent="0.25">
      <c r="A429" s="484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R429" s="23"/>
      <c r="U429" s="11"/>
    </row>
    <row r="430" spans="1:21" ht="14.25" customHeight="1" x14ac:dyDescent="0.25">
      <c r="A430" s="484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R430" s="23"/>
      <c r="U430" s="11"/>
    </row>
    <row r="431" spans="1:21" ht="14.25" customHeight="1" x14ac:dyDescent="0.25">
      <c r="A431" s="484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R431" s="23"/>
      <c r="U431" s="11"/>
    </row>
    <row r="432" spans="1:21" ht="14.25" customHeight="1" x14ac:dyDescent="0.25">
      <c r="A432" s="484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R432" s="23"/>
      <c r="U432" s="11"/>
    </row>
    <row r="433" spans="1:21" ht="14.25" customHeight="1" x14ac:dyDescent="0.25">
      <c r="A433" s="484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R433" s="23"/>
      <c r="U433" s="11"/>
    </row>
    <row r="434" spans="1:21" ht="14.25" customHeight="1" x14ac:dyDescent="0.25">
      <c r="A434" s="484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R434" s="23"/>
      <c r="U434" s="11"/>
    </row>
    <row r="435" spans="1:21" ht="14.25" customHeight="1" x14ac:dyDescent="0.25">
      <c r="A435" s="484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R435" s="23"/>
      <c r="U435" s="11"/>
    </row>
    <row r="436" spans="1:21" ht="14.25" customHeight="1" x14ac:dyDescent="0.25">
      <c r="A436" s="484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R436" s="23"/>
      <c r="U436" s="11"/>
    </row>
    <row r="437" spans="1:21" ht="14.25" customHeight="1" x14ac:dyDescent="0.25">
      <c r="A437" s="484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R437" s="23"/>
      <c r="U437" s="11"/>
    </row>
    <row r="438" spans="1:21" ht="14.25" customHeight="1" x14ac:dyDescent="0.25">
      <c r="A438" s="484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R438" s="23"/>
      <c r="U438" s="11"/>
    </row>
    <row r="439" spans="1:21" ht="14.25" customHeight="1" x14ac:dyDescent="0.25">
      <c r="A439" s="484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R439" s="23"/>
      <c r="U439" s="11"/>
    </row>
    <row r="440" spans="1:21" ht="14.25" customHeight="1" x14ac:dyDescent="0.25">
      <c r="A440" s="484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R440" s="23"/>
      <c r="U440" s="11"/>
    </row>
    <row r="441" spans="1:21" ht="14.25" customHeight="1" x14ac:dyDescent="0.25">
      <c r="A441" s="484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R441" s="23"/>
      <c r="U441" s="11"/>
    </row>
    <row r="442" spans="1:21" ht="14.25" customHeight="1" x14ac:dyDescent="0.25">
      <c r="A442" s="484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R442" s="23"/>
      <c r="U442" s="11"/>
    </row>
    <row r="443" spans="1:21" ht="14.25" customHeight="1" x14ac:dyDescent="0.25">
      <c r="A443" s="484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R443" s="23"/>
      <c r="U443" s="11"/>
    </row>
    <row r="444" spans="1:21" ht="14.25" customHeight="1" x14ac:dyDescent="0.25">
      <c r="A444" s="484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R444" s="23"/>
      <c r="U444" s="11"/>
    </row>
    <row r="445" spans="1:21" ht="14.25" customHeight="1" x14ac:dyDescent="0.25">
      <c r="A445" s="484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R445" s="23"/>
      <c r="U445" s="11"/>
    </row>
    <row r="446" spans="1:21" ht="14.25" customHeight="1" x14ac:dyDescent="0.25">
      <c r="A446" s="484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R446" s="23"/>
      <c r="U446" s="11"/>
    </row>
    <row r="447" spans="1:21" ht="14.25" customHeight="1" x14ac:dyDescent="0.25">
      <c r="A447" s="484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R447" s="23"/>
      <c r="U447" s="11"/>
    </row>
    <row r="448" spans="1:21" ht="14.25" customHeight="1" x14ac:dyDescent="0.25">
      <c r="A448" s="484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R448" s="23"/>
      <c r="U448" s="11"/>
    </row>
    <row r="449" spans="1:21" ht="14.25" customHeight="1" x14ac:dyDescent="0.25">
      <c r="A449" s="484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R449" s="23"/>
      <c r="U449" s="11"/>
    </row>
    <row r="450" spans="1:21" ht="14.25" customHeight="1" x14ac:dyDescent="0.25">
      <c r="A450" s="484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R450" s="23"/>
      <c r="U450" s="11"/>
    </row>
    <row r="451" spans="1:21" ht="14.25" customHeight="1" x14ac:dyDescent="0.25">
      <c r="A451" s="484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R451" s="23"/>
      <c r="U451" s="11"/>
    </row>
    <row r="452" spans="1:21" ht="14.25" customHeight="1" x14ac:dyDescent="0.25">
      <c r="A452" s="484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R452" s="23"/>
      <c r="U452" s="11"/>
    </row>
    <row r="453" spans="1:21" ht="14.25" customHeight="1" x14ac:dyDescent="0.25">
      <c r="A453" s="484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R453" s="23"/>
      <c r="U453" s="11"/>
    </row>
    <row r="454" spans="1:21" ht="14.25" customHeight="1" x14ac:dyDescent="0.25">
      <c r="A454" s="484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R454" s="23"/>
      <c r="U454" s="11"/>
    </row>
    <row r="455" spans="1:21" ht="14.25" customHeight="1" x14ac:dyDescent="0.25">
      <c r="A455" s="484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R455" s="23"/>
      <c r="U455" s="11"/>
    </row>
    <row r="456" spans="1:21" ht="14.25" customHeight="1" x14ac:dyDescent="0.25">
      <c r="A456" s="484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R456" s="23"/>
      <c r="U456" s="11"/>
    </row>
    <row r="457" spans="1:21" ht="14.25" customHeight="1" x14ac:dyDescent="0.25">
      <c r="A457" s="484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R457" s="23"/>
      <c r="U457" s="11"/>
    </row>
    <row r="458" spans="1:21" ht="14.25" customHeight="1" x14ac:dyDescent="0.25">
      <c r="A458" s="484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R458" s="23"/>
      <c r="U458" s="11"/>
    </row>
    <row r="459" spans="1:21" ht="14.25" customHeight="1" x14ac:dyDescent="0.25">
      <c r="A459" s="484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R459" s="23"/>
      <c r="U459" s="11"/>
    </row>
    <row r="460" spans="1:21" ht="14.25" customHeight="1" x14ac:dyDescent="0.25">
      <c r="A460" s="484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R460" s="23"/>
      <c r="U460" s="11"/>
    </row>
    <row r="461" spans="1:21" ht="14.25" customHeight="1" x14ac:dyDescent="0.25">
      <c r="A461" s="484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R461" s="23"/>
      <c r="U461" s="11"/>
    </row>
    <row r="462" spans="1:21" ht="14.25" customHeight="1" x14ac:dyDescent="0.25">
      <c r="A462" s="484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R462" s="23"/>
      <c r="U462" s="11"/>
    </row>
    <row r="463" spans="1:21" ht="14.25" customHeight="1" x14ac:dyDescent="0.25">
      <c r="A463" s="484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R463" s="23"/>
      <c r="U463" s="11"/>
    </row>
    <row r="464" spans="1:21" ht="14.25" customHeight="1" x14ac:dyDescent="0.25">
      <c r="A464" s="484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R464" s="23"/>
      <c r="U464" s="11"/>
    </row>
    <row r="465" spans="1:21" ht="14.25" customHeight="1" x14ac:dyDescent="0.25">
      <c r="A465" s="484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R465" s="23"/>
      <c r="U465" s="11"/>
    </row>
    <row r="466" spans="1:21" ht="14.25" customHeight="1" x14ac:dyDescent="0.25">
      <c r="A466" s="484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R466" s="23"/>
      <c r="U466" s="11"/>
    </row>
    <row r="467" spans="1:21" ht="14.25" customHeight="1" x14ac:dyDescent="0.25">
      <c r="A467" s="484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R467" s="23"/>
      <c r="U467" s="11"/>
    </row>
    <row r="468" spans="1:21" ht="14.25" customHeight="1" x14ac:dyDescent="0.25">
      <c r="A468" s="484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R468" s="23"/>
      <c r="U468" s="11"/>
    </row>
    <row r="469" spans="1:21" ht="14.25" customHeight="1" x14ac:dyDescent="0.25">
      <c r="A469" s="484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R469" s="23"/>
      <c r="U469" s="11"/>
    </row>
    <row r="470" spans="1:21" ht="14.25" customHeight="1" x14ac:dyDescent="0.25">
      <c r="A470" s="484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R470" s="23"/>
      <c r="U470" s="11"/>
    </row>
    <row r="471" spans="1:21" ht="14.25" customHeight="1" x14ac:dyDescent="0.25">
      <c r="A471" s="484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R471" s="23"/>
      <c r="U471" s="11"/>
    </row>
    <row r="472" spans="1:21" ht="14.25" customHeight="1" x14ac:dyDescent="0.25">
      <c r="A472" s="484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R472" s="23"/>
      <c r="U472" s="11"/>
    </row>
    <row r="473" spans="1:21" ht="14.25" customHeight="1" x14ac:dyDescent="0.25">
      <c r="A473" s="484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R473" s="23"/>
      <c r="U473" s="11"/>
    </row>
    <row r="474" spans="1:21" ht="14.25" customHeight="1" x14ac:dyDescent="0.25">
      <c r="A474" s="484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R474" s="23"/>
      <c r="U474" s="11"/>
    </row>
    <row r="475" spans="1:21" ht="14.25" customHeight="1" x14ac:dyDescent="0.25">
      <c r="A475" s="484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R475" s="23"/>
      <c r="U475" s="11"/>
    </row>
    <row r="476" spans="1:21" ht="14.25" customHeight="1" x14ac:dyDescent="0.25">
      <c r="A476" s="484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R476" s="23"/>
      <c r="U476" s="11"/>
    </row>
    <row r="477" spans="1:21" ht="14.25" customHeight="1" x14ac:dyDescent="0.25">
      <c r="A477" s="484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R477" s="23"/>
      <c r="U477" s="11"/>
    </row>
    <row r="478" spans="1:21" ht="14.25" customHeight="1" x14ac:dyDescent="0.25">
      <c r="A478" s="484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R478" s="23"/>
      <c r="U478" s="11"/>
    </row>
    <row r="479" spans="1:21" ht="14.25" customHeight="1" x14ac:dyDescent="0.25">
      <c r="A479" s="484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R479" s="23"/>
      <c r="U479" s="11"/>
    </row>
    <row r="480" spans="1:21" ht="14.25" customHeight="1" x14ac:dyDescent="0.25">
      <c r="A480" s="484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R480" s="23"/>
      <c r="U480" s="11"/>
    </row>
    <row r="481" spans="1:21" ht="14.25" customHeight="1" x14ac:dyDescent="0.25">
      <c r="A481" s="484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R481" s="23"/>
      <c r="U481" s="11"/>
    </row>
    <row r="482" spans="1:21" ht="14.25" customHeight="1" x14ac:dyDescent="0.25">
      <c r="A482" s="484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R482" s="23"/>
      <c r="U482" s="11"/>
    </row>
    <row r="483" spans="1:21" ht="14.25" customHeight="1" x14ac:dyDescent="0.25">
      <c r="A483" s="484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R483" s="23"/>
      <c r="U483" s="11"/>
    </row>
    <row r="484" spans="1:21" ht="14.25" customHeight="1" x14ac:dyDescent="0.25">
      <c r="A484" s="484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R484" s="23"/>
      <c r="U484" s="11"/>
    </row>
    <row r="485" spans="1:21" ht="14.25" customHeight="1" x14ac:dyDescent="0.25">
      <c r="A485" s="484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R485" s="23"/>
      <c r="U485" s="11"/>
    </row>
    <row r="486" spans="1:21" ht="14.25" customHeight="1" x14ac:dyDescent="0.25">
      <c r="A486" s="484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R486" s="23"/>
      <c r="U486" s="11"/>
    </row>
    <row r="487" spans="1:21" ht="14.25" customHeight="1" x14ac:dyDescent="0.25">
      <c r="A487" s="484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R487" s="23"/>
      <c r="U487" s="11"/>
    </row>
    <row r="488" spans="1:21" ht="14.25" customHeight="1" x14ac:dyDescent="0.25">
      <c r="A488" s="484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R488" s="23"/>
      <c r="U488" s="11"/>
    </row>
    <row r="489" spans="1:21" ht="14.25" customHeight="1" x14ac:dyDescent="0.25">
      <c r="A489" s="484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R489" s="23"/>
      <c r="U489" s="11"/>
    </row>
    <row r="490" spans="1:21" ht="14.25" customHeight="1" x14ac:dyDescent="0.25">
      <c r="A490" s="484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R490" s="23"/>
      <c r="U490" s="11"/>
    </row>
    <row r="491" spans="1:21" ht="14.25" customHeight="1" x14ac:dyDescent="0.25">
      <c r="A491" s="484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R491" s="23"/>
      <c r="U491" s="11"/>
    </row>
    <row r="492" spans="1:21" ht="14.25" customHeight="1" x14ac:dyDescent="0.25">
      <c r="A492" s="484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R492" s="23"/>
      <c r="U492" s="11"/>
    </row>
    <row r="493" spans="1:21" ht="14.25" customHeight="1" x14ac:dyDescent="0.25">
      <c r="A493" s="484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R493" s="23"/>
      <c r="U493" s="11"/>
    </row>
    <row r="494" spans="1:21" ht="14.25" customHeight="1" x14ac:dyDescent="0.25">
      <c r="A494" s="484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R494" s="23"/>
      <c r="U494" s="11"/>
    </row>
    <row r="495" spans="1:21" ht="14.25" customHeight="1" x14ac:dyDescent="0.25">
      <c r="A495" s="484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R495" s="23"/>
      <c r="U495" s="11"/>
    </row>
    <row r="496" spans="1:21" ht="14.25" customHeight="1" x14ac:dyDescent="0.25">
      <c r="A496" s="484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R496" s="23"/>
      <c r="U496" s="11"/>
    </row>
    <row r="497" spans="1:21" ht="14.25" customHeight="1" x14ac:dyDescent="0.25">
      <c r="A497" s="484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R497" s="23"/>
      <c r="U497" s="11"/>
    </row>
    <row r="498" spans="1:21" ht="14.25" customHeight="1" x14ac:dyDescent="0.25">
      <c r="A498" s="484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R498" s="23"/>
      <c r="U498" s="11"/>
    </row>
    <row r="499" spans="1:21" ht="14.25" customHeight="1" x14ac:dyDescent="0.25">
      <c r="A499" s="484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R499" s="23"/>
      <c r="U499" s="11"/>
    </row>
    <row r="500" spans="1:21" ht="14.25" customHeight="1" x14ac:dyDescent="0.25">
      <c r="A500" s="484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R500" s="23"/>
      <c r="U500" s="11"/>
    </row>
    <row r="501" spans="1:21" ht="14.25" customHeight="1" x14ac:dyDescent="0.25">
      <c r="A501" s="484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R501" s="23"/>
      <c r="U501" s="11"/>
    </row>
    <row r="502" spans="1:21" ht="14.25" customHeight="1" x14ac:dyDescent="0.25">
      <c r="A502" s="484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R502" s="23"/>
      <c r="U502" s="11"/>
    </row>
    <row r="503" spans="1:21" ht="14.25" customHeight="1" x14ac:dyDescent="0.25">
      <c r="A503" s="484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R503" s="23"/>
      <c r="U503" s="11"/>
    </row>
    <row r="504" spans="1:21" ht="14.25" customHeight="1" x14ac:dyDescent="0.25">
      <c r="A504" s="484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R504" s="23"/>
      <c r="U504" s="11"/>
    </row>
    <row r="505" spans="1:21" ht="14.25" customHeight="1" x14ac:dyDescent="0.25">
      <c r="A505" s="484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R505" s="23"/>
      <c r="U505" s="11"/>
    </row>
    <row r="506" spans="1:21" ht="14.25" customHeight="1" x14ac:dyDescent="0.25">
      <c r="A506" s="484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R506" s="23"/>
      <c r="U506" s="11"/>
    </row>
    <row r="507" spans="1:21" ht="14.25" customHeight="1" x14ac:dyDescent="0.25">
      <c r="A507" s="484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R507" s="23"/>
      <c r="U507" s="11"/>
    </row>
    <row r="508" spans="1:21" ht="14.25" customHeight="1" x14ac:dyDescent="0.25">
      <c r="A508" s="484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R508" s="23"/>
      <c r="U508" s="11"/>
    </row>
    <row r="509" spans="1:21" ht="14.25" customHeight="1" x14ac:dyDescent="0.25">
      <c r="A509" s="484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R509" s="23"/>
      <c r="U509" s="11"/>
    </row>
    <row r="510" spans="1:21" ht="14.25" customHeight="1" x14ac:dyDescent="0.25">
      <c r="A510" s="484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R510" s="23"/>
      <c r="U510" s="11"/>
    </row>
    <row r="511" spans="1:21" ht="14.25" customHeight="1" x14ac:dyDescent="0.25">
      <c r="A511" s="484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R511" s="23"/>
      <c r="U511" s="11"/>
    </row>
    <row r="512" spans="1:21" ht="14.25" customHeight="1" x14ac:dyDescent="0.25">
      <c r="A512" s="484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R512" s="23"/>
      <c r="U512" s="11"/>
    </row>
    <row r="513" spans="1:21" ht="14.25" customHeight="1" x14ac:dyDescent="0.25">
      <c r="A513" s="484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R513" s="23"/>
      <c r="U513" s="11"/>
    </row>
    <row r="514" spans="1:21" ht="14.25" customHeight="1" x14ac:dyDescent="0.25">
      <c r="A514" s="484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R514" s="23"/>
      <c r="U514" s="11"/>
    </row>
    <row r="515" spans="1:21" ht="14.25" customHeight="1" x14ac:dyDescent="0.25">
      <c r="A515" s="484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R515" s="23"/>
      <c r="U515" s="11"/>
    </row>
    <row r="516" spans="1:21" ht="14.25" customHeight="1" x14ac:dyDescent="0.25">
      <c r="A516" s="484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R516" s="23"/>
      <c r="U516" s="11"/>
    </row>
    <row r="517" spans="1:21" ht="14.25" customHeight="1" x14ac:dyDescent="0.25">
      <c r="A517" s="484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R517" s="23"/>
      <c r="U517" s="11"/>
    </row>
    <row r="518" spans="1:21" ht="14.25" customHeight="1" x14ac:dyDescent="0.25">
      <c r="A518" s="484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R518" s="23"/>
      <c r="U518" s="11"/>
    </row>
    <row r="519" spans="1:21" ht="14.25" customHeight="1" x14ac:dyDescent="0.25">
      <c r="A519" s="484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R519" s="23"/>
      <c r="U519" s="11"/>
    </row>
    <row r="520" spans="1:21" ht="14.25" customHeight="1" x14ac:dyDescent="0.25">
      <c r="A520" s="484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R520" s="23"/>
      <c r="U520" s="11"/>
    </row>
    <row r="521" spans="1:21" ht="14.25" customHeight="1" x14ac:dyDescent="0.25">
      <c r="A521" s="484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R521" s="23"/>
      <c r="U521" s="11"/>
    </row>
    <row r="522" spans="1:21" ht="14.25" customHeight="1" x14ac:dyDescent="0.25">
      <c r="A522" s="484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R522" s="23"/>
      <c r="U522" s="11"/>
    </row>
    <row r="523" spans="1:21" ht="14.25" customHeight="1" x14ac:dyDescent="0.25">
      <c r="A523" s="484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R523" s="23"/>
      <c r="U523" s="11"/>
    </row>
    <row r="524" spans="1:21" ht="14.25" customHeight="1" x14ac:dyDescent="0.25">
      <c r="A524" s="484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R524" s="23"/>
      <c r="U524" s="11"/>
    </row>
    <row r="525" spans="1:21" ht="14.25" customHeight="1" x14ac:dyDescent="0.25">
      <c r="A525" s="484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R525" s="23"/>
      <c r="U525" s="11"/>
    </row>
    <row r="526" spans="1:21" ht="14.25" customHeight="1" x14ac:dyDescent="0.25">
      <c r="A526" s="484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R526" s="23"/>
      <c r="U526" s="11"/>
    </row>
    <row r="527" spans="1:21" ht="14.25" customHeight="1" x14ac:dyDescent="0.25">
      <c r="A527" s="484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R527" s="23"/>
      <c r="U527" s="11"/>
    </row>
    <row r="528" spans="1:21" ht="14.25" customHeight="1" x14ac:dyDescent="0.25">
      <c r="A528" s="484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R528" s="23"/>
      <c r="U528" s="11"/>
    </row>
    <row r="529" spans="1:21" ht="14.25" customHeight="1" x14ac:dyDescent="0.25">
      <c r="A529" s="484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R529" s="23"/>
      <c r="U529" s="11"/>
    </row>
    <row r="530" spans="1:21" ht="14.25" customHeight="1" x14ac:dyDescent="0.25">
      <c r="A530" s="484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R530" s="23"/>
      <c r="U530" s="11"/>
    </row>
    <row r="531" spans="1:21" ht="14.25" customHeight="1" x14ac:dyDescent="0.25">
      <c r="A531" s="484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R531" s="23"/>
      <c r="U531" s="11"/>
    </row>
    <row r="532" spans="1:21" ht="14.25" customHeight="1" x14ac:dyDescent="0.25">
      <c r="A532" s="484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R532" s="23"/>
      <c r="U532" s="11"/>
    </row>
    <row r="533" spans="1:21" ht="14.25" customHeight="1" x14ac:dyDescent="0.25">
      <c r="A533" s="484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R533" s="23"/>
      <c r="U533" s="11"/>
    </row>
    <row r="534" spans="1:21" ht="14.25" customHeight="1" x14ac:dyDescent="0.25">
      <c r="A534" s="484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R534" s="23"/>
      <c r="U534" s="11"/>
    </row>
    <row r="535" spans="1:21" ht="14.25" customHeight="1" x14ac:dyDescent="0.25">
      <c r="A535" s="484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R535" s="23"/>
      <c r="U535" s="11"/>
    </row>
    <row r="536" spans="1:21" ht="14.25" customHeight="1" x14ac:dyDescent="0.25">
      <c r="A536" s="484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R536" s="23"/>
      <c r="U536" s="11"/>
    </row>
    <row r="537" spans="1:21" ht="14.25" customHeight="1" x14ac:dyDescent="0.25">
      <c r="A537" s="484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R537" s="23"/>
      <c r="U537" s="11"/>
    </row>
    <row r="538" spans="1:21" ht="14.25" customHeight="1" x14ac:dyDescent="0.25">
      <c r="A538" s="484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R538" s="23"/>
      <c r="U538" s="11"/>
    </row>
    <row r="539" spans="1:21" ht="14.25" customHeight="1" x14ac:dyDescent="0.25">
      <c r="A539" s="484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R539" s="23"/>
      <c r="U539" s="11"/>
    </row>
    <row r="540" spans="1:21" ht="14.25" customHeight="1" x14ac:dyDescent="0.25">
      <c r="A540" s="484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R540" s="23"/>
      <c r="U540" s="11"/>
    </row>
    <row r="541" spans="1:21" ht="14.25" customHeight="1" x14ac:dyDescent="0.25">
      <c r="A541" s="484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R541" s="23"/>
      <c r="U541" s="11"/>
    </row>
    <row r="542" spans="1:21" ht="14.25" customHeight="1" x14ac:dyDescent="0.25">
      <c r="A542" s="484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R542" s="23"/>
      <c r="U542" s="11"/>
    </row>
    <row r="543" spans="1:21" ht="14.25" customHeight="1" x14ac:dyDescent="0.25">
      <c r="A543" s="484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R543" s="23"/>
      <c r="U543" s="11"/>
    </row>
    <row r="544" spans="1:21" ht="14.25" customHeight="1" x14ac:dyDescent="0.25">
      <c r="A544" s="484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R544" s="23"/>
      <c r="U544" s="11"/>
    </row>
    <row r="545" spans="1:21" ht="14.25" customHeight="1" x14ac:dyDescent="0.25">
      <c r="A545" s="484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R545" s="23"/>
      <c r="U545" s="11"/>
    </row>
    <row r="546" spans="1:21" ht="14.25" customHeight="1" x14ac:dyDescent="0.25">
      <c r="A546" s="484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R546" s="23"/>
      <c r="U546" s="11"/>
    </row>
    <row r="547" spans="1:21" ht="14.25" customHeight="1" x14ac:dyDescent="0.25">
      <c r="A547" s="484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R547" s="23"/>
      <c r="U547" s="11"/>
    </row>
    <row r="548" spans="1:21" ht="14.25" customHeight="1" x14ac:dyDescent="0.25">
      <c r="A548" s="484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R548" s="23"/>
      <c r="U548" s="11"/>
    </row>
    <row r="549" spans="1:21" ht="14.25" customHeight="1" x14ac:dyDescent="0.25">
      <c r="A549" s="484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R549" s="23"/>
      <c r="U549" s="11"/>
    </row>
    <row r="550" spans="1:21" ht="14.25" customHeight="1" x14ac:dyDescent="0.25">
      <c r="A550" s="484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R550" s="23"/>
      <c r="U550" s="11"/>
    </row>
    <row r="551" spans="1:21" ht="14.25" customHeight="1" x14ac:dyDescent="0.25">
      <c r="A551" s="484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R551" s="23"/>
      <c r="U551" s="11"/>
    </row>
    <row r="552" spans="1:21" ht="14.25" customHeight="1" x14ac:dyDescent="0.25">
      <c r="A552" s="484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R552" s="23"/>
      <c r="U552" s="11"/>
    </row>
    <row r="553" spans="1:21" ht="14.25" customHeight="1" x14ac:dyDescent="0.25">
      <c r="A553" s="484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R553" s="23"/>
      <c r="U553" s="11"/>
    </row>
    <row r="554" spans="1:21" ht="14.25" customHeight="1" x14ac:dyDescent="0.25">
      <c r="A554" s="484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R554" s="23"/>
      <c r="U554" s="11"/>
    </row>
    <row r="555" spans="1:21" ht="14.25" customHeight="1" x14ac:dyDescent="0.25">
      <c r="A555" s="484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R555" s="23"/>
      <c r="U555" s="11"/>
    </row>
    <row r="556" spans="1:21" ht="14.25" customHeight="1" x14ac:dyDescent="0.25">
      <c r="A556" s="484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R556" s="23"/>
      <c r="U556" s="11"/>
    </row>
    <row r="557" spans="1:21" ht="14.25" customHeight="1" x14ac:dyDescent="0.25">
      <c r="A557" s="484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R557" s="23"/>
      <c r="U557" s="11"/>
    </row>
    <row r="558" spans="1:21" ht="14.25" customHeight="1" x14ac:dyDescent="0.25">
      <c r="A558" s="484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R558" s="23"/>
      <c r="U558" s="11"/>
    </row>
    <row r="559" spans="1:21" ht="14.25" customHeight="1" x14ac:dyDescent="0.25">
      <c r="A559" s="484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R559" s="23"/>
      <c r="U559" s="11"/>
    </row>
    <row r="560" spans="1:21" ht="14.25" customHeight="1" x14ac:dyDescent="0.25">
      <c r="A560" s="484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R560" s="23"/>
      <c r="U560" s="11"/>
    </row>
    <row r="561" spans="1:21" ht="14.25" customHeight="1" x14ac:dyDescent="0.25">
      <c r="A561" s="484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R561" s="23"/>
      <c r="U561" s="11"/>
    </row>
    <row r="562" spans="1:21" ht="14.25" customHeight="1" x14ac:dyDescent="0.25">
      <c r="A562" s="484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R562" s="23"/>
      <c r="U562" s="11"/>
    </row>
    <row r="563" spans="1:21" ht="14.25" customHeight="1" x14ac:dyDescent="0.25">
      <c r="A563" s="484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R563" s="23"/>
      <c r="U563" s="11"/>
    </row>
    <row r="564" spans="1:21" ht="14.25" customHeight="1" x14ac:dyDescent="0.25">
      <c r="A564" s="484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R564" s="23"/>
      <c r="U564" s="11"/>
    </row>
    <row r="565" spans="1:21" ht="14.25" customHeight="1" x14ac:dyDescent="0.25">
      <c r="A565" s="484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R565" s="23"/>
      <c r="U565" s="11"/>
    </row>
    <row r="566" spans="1:21" ht="14.25" customHeight="1" x14ac:dyDescent="0.25">
      <c r="A566" s="484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R566" s="23"/>
      <c r="U566" s="11"/>
    </row>
    <row r="567" spans="1:21" ht="14.25" customHeight="1" x14ac:dyDescent="0.25">
      <c r="A567" s="484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R567" s="23"/>
      <c r="U567" s="11"/>
    </row>
    <row r="568" spans="1:21" ht="14.25" customHeight="1" x14ac:dyDescent="0.25">
      <c r="A568" s="484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R568" s="23"/>
      <c r="U568" s="11"/>
    </row>
    <row r="569" spans="1:21" ht="14.25" customHeight="1" x14ac:dyDescent="0.25">
      <c r="A569" s="484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R569" s="23"/>
      <c r="U569" s="11"/>
    </row>
    <row r="570" spans="1:21" ht="14.25" customHeight="1" x14ac:dyDescent="0.25">
      <c r="A570" s="484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R570" s="23"/>
      <c r="U570" s="11"/>
    </row>
    <row r="571" spans="1:21" ht="14.25" customHeight="1" x14ac:dyDescent="0.25">
      <c r="A571" s="484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R571" s="23"/>
      <c r="U571" s="11"/>
    </row>
    <row r="572" spans="1:21" ht="14.25" customHeight="1" x14ac:dyDescent="0.25">
      <c r="A572" s="484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R572" s="23"/>
      <c r="U572" s="11"/>
    </row>
    <row r="573" spans="1:21" ht="14.25" customHeight="1" x14ac:dyDescent="0.25">
      <c r="A573" s="484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R573" s="23"/>
      <c r="U573" s="11"/>
    </row>
    <row r="574" spans="1:21" ht="14.25" customHeight="1" x14ac:dyDescent="0.25">
      <c r="A574" s="484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R574" s="23"/>
      <c r="U574" s="11"/>
    </row>
    <row r="575" spans="1:21" ht="14.25" customHeight="1" x14ac:dyDescent="0.25">
      <c r="A575" s="484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R575" s="23"/>
      <c r="U575" s="11"/>
    </row>
    <row r="576" spans="1:21" ht="14.25" customHeight="1" x14ac:dyDescent="0.25">
      <c r="A576" s="484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R576" s="23"/>
      <c r="U576" s="11"/>
    </row>
    <row r="577" spans="1:21" ht="14.25" customHeight="1" x14ac:dyDescent="0.25">
      <c r="A577" s="484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R577" s="23"/>
      <c r="U577" s="11"/>
    </row>
    <row r="578" spans="1:21" ht="14.25" customHeight="1" x14ac:dyDescent="0.25">
      <c r="A578" s="484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R578" s="23"/>
      <c r="U578" s="11"/>
    </row>
    <row r="579" spans="1:21" ht="14.25" customHeight="1" x14ac:dyDescent="0.25">
      <c r="A579" s="484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R579" s="23"/>
      <c r="U579" s="11"/>
    </row>
    <row r="580" spans="1:21" ht="14.25" customHeight="1" x14ac:dyDescent="0.25">
      <c r="A580" s="484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R580" s="23"/>
      <c r="U580" s="11"/>
    </row>
    <row r="581" spans="1:21" ht="14.25" customHeight="1" x14ac:dyDescent="0.25">
      <c r="A581" s="484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R581" s="23"/>
      <c r="U581" s="11"/>
    </row>
    <row r="582" spans="1:21" ht="14.25" customHeight="1" x14ac:dyDescent="0.25">
      <c r="A582" s="484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R582" s="23"/>
      <c r="U582" s="11"/>
    </row>
    <row r="583" spans="1:21" ht="14.25" customHeight="1" x14ac:dyDescent="0.25">
      <c r="A583" s="484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R583" s="23"/>
      <c r="U583" s="11"/>
    </row>
    <row r="584" spans="1:21" ht="14.25" customHeight="1" x14ac:dyDescent="0.25">
      <c r="A584" s="484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R584" s="23"/>
      <c r="U584" s="11"/>
    </row>
    <row r="585" spans="1:21" ht="14.25" customHeight="1" x14ac:dyDescent="0.25">
      <c r="A585" s="484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R585" s="23"/>
      <c r="U585" s="11"/>
    </row>
    <row r="586" spans="1:21" ht="14.25" customHeight="1" x14ac:dyDescent="0.25">
      <c r="A586" s="484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R586" s="23"/>
      <c r="U586" s="11"/>
    </row>
    <row r="587" spans="1:21" ht="14.25" customHeight="1" x14ac:dyDescent="0.25">
      <c r="A587" s="484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R587" s="23"/>
      <c r="U587" s="11"/>
    </row>
    <row r="588" spans="1:21" ht="14.25" customHeight="1" x14ac:dyDescent="0.25">
      <c r="A588" s="484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R588" s="23"/>
      <c r="U588" s="11"/>
    </row>
    <row r="589" spans="1:21" ht="14.25" customHeight="1" x14ac:dyDescent="0.25">
      <c r="A589" s="484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R589" s="23"/>
      <c r="U589" s="11"/>
    </row>
    <row r="590" spans="1:21" ht="14.25" customHeight="1" x14ac:dyDescent="0.25">
      <c r="A590" s="484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R590" s="23"/>
      <c r="U590" s="11"/>
    </row>
    <row r="591" spans="1:21" ht="14.25" customHeight="1" x14ac:dyDescent="0.25">
      <c r="A591" s="484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R591" s="23"/>
      <c r="U591" s="11"/>
    </row>
    <row r="592" spans="1:21" ht="14.25" customHeight="1" x14ac:dyDescent="0.25">
      <c r="A592" s="484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R592" s="23"/>
      <c r="U592" s="11"/>
    </row>
    <row r="593" spans="1:21" ht="14.25" customHeight="1" x14ac:dyDescent="0.25">
      <c r="A593" s="484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R593" s="23"/>
      <c r="U593" s="11"/>
    </row>
    <row r="594" spans="1:21" ht="14.25" customHeight="1" x14ac:dyDescent="0.25">
      <c r="A594" s="484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R594" s="23"/>
      <c r="U594" s="11"/>
    </row>
    <row r="595" spans="1:21" ht="14.25" customHeight="1" x14ac:dyDescent="0.25">
      <c r="A595" s="484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R595" s="23"/>
      <c r="U595" s="11"/>
    </row>
    <row r="596" spans="1:21" ht="14.25" customHeight="1" x14ac:dyDescent="0.25">
      <c r="A596" s="484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R596" s="23"/>
      <c r="U596" s="11"/>
    </row>
    <row r="597" spans="1:21" ht="14.25" customHeight="1" x14ac:dyDescent="0.25">
      <c r="A597" s="484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R597" s="23"/>
      <c r="U597" s="11"/>
    </row>
    <row r="598" spans="1:21" ht="14.25" customHeight="1" x14ac:dyDescent="0.25">
      <c r="A598" s="484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R598" s="23"/>
      <c r="U598" s="11"/>
    </row>
    <row r="599" spans="1:21" ht="14.25" customHeight="1" x14ac:dyDescent="0.25">
      <c r="A599" s="484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R599" s="23"/>
      <c r="U599" s="11"/>
    </row>
    <row r="600" spans="1:21" ht="14.25" customHeight="1" x14ac:dyDescent="0.25">
      <c r="A600" s="484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R600" s="23"/>
      <c r="U600" s="11"/>
    </row>
    <row r="601" spans="1:21" ht="14.25" customHeight="1" x14ac:dyDescent="0.25">
      <c r="A601" s="484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R601" s="23"/>
      <c r="U601" s="11"/>
    </row>
    <row r="602" spans="1:21" ht="14.25" customHeight="1" x14ac:dyDescent="0.25">
      <c r="A602" s="484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R602" s="23"/>
      <c r="U602" s="11"/>
    </row>
    <row r="603" spans="1:21" ht="14.25" customHeight="1" x14ac:dyDescent="0.25">
      <c r="A603" s="484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R603" s="23"/>
      <c r="U603" s="11"/>
    </row>
    <row r="604" spans="1:21" ht="14.25" customHeight="1" x14ac:dyDescent="0.25">
      <c r="A604" s="484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R604" s="23"/>
      <c r="U604" s="11"/>
    </row>
    <row r="605" spans="1:21" ht="14.25" customHeight="1" x14ac:dyDescent="0.25">
      <c r="A605" s="484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R605" s="23"/>
      <c r="U605" s="11"/>
    </row>
    <row r="606" spans="1:21" ht="14.25" customHeight="1" x14ac:dyDescent="0.25">
      <c r="A606" s="484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R606" s="23"/>
      <c r="U606" s="11"/>
    </row>
    <row r="607" spans="1:21" ht="14.25" customHeight="1" x14ac:dyDescent="0.25">
      <c r="A607" s="484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R607" s="23"/>
      <c r="U607" s="11"/>
    </row>
    <row r="608" spans="1:21" ht="14.25" customHeight="1" x14ac:dyDescent="0.25">
      <c r="A608" s="484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R608" s="23"/>
      <c r="U608" s="11"/>
    </row>
    <row r="609" spans="1:21" ht="14.25" customHeight="1" x14ac:dyDescent="0.25">
      <c r="A609" s="484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R609" s="23"/>
      <c r="U609" s="11"/>
    </row>
    <row r="610" spans="1:21" ht="14.25" customHeight="1" x14ac:dyDescent="0.25">
      <c r="A610" s="484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R610" s="23"/>
      <c r="U610" s="11"/>
    </row>
    <row r="611" spans="1:21" ht="14.25" customHeight="1" x14ac:dyDescent="0.25">
      <c r="A611" s="484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R611" s="23"/>
      <c r="U611" s="11"/>
    </row>
    <row r="612" spans="1:21" ht="14.25" customHeight="1" x14ac:dyDescent="0.25">
      <c r="A612" s="484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R612" s="23"/>
      <c r="U612" s="11"/>
    </row>
    <row r="613" spans="1:21" ht="14.25" customHeight="1" x14ac:dyDescent="0.25">
      <c r="A613" s="484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R613" s="23"/>
      <c r="U613" s="11"/>
    </row>
    <row r="614" spans="1:21" ht="14.25" customHeight="1" x14ac:dyDescent="0.25">
      <c r="A614" s="484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R614" s="23"/>
      <c r="U614" s="11"/>
    </row>
    <row r="615" spans="1:21" ht="14.25" customHeight="1" x14ac:dyDescent="0.25">
      <c r="A615" s="484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R615" s="23"/>
      <c r="U615" s="11"/>
    </row>
    <row r="616" spans="1:21" ht="14.25" customHeight="1" x14ac:dyDescent="0.25">
      <c r="A616" s="484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R616" s="23"/>
      <c r="U616" s="11"/>
    </row>
    <row r="617" spans="1:21" ht="14.25" customHeight="1" x14ac:dyDescent="0.25">
      <c r="A617" s="484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R617" s="23"/>
      <c r="U617" s="11"/>
    </row>
    <row r="618" spans="1:21" ht="14.25" customHeight="1" x14ac:dyDescent="0.25">
      <c r="A618" s="484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R618" s="23"/>
      <c r="U618" s="11"/>
    </row>
    <row r="619" spans="1:21" ht="14.25" customHeight="1" x14ac:dyDescent="0.25">
      <c r="A619" s="484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R619" s="23"/>
      <c r="U619" s="11"/>
    </row>
    <row r="620" spans="1:21" ht="14.25" customHeight="1" x14ac:dyDescent="0.25">
      <c r="A620" s="484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R620" s="23"/>
      <c r="U620" s="11"/>
    </row>
    <row r="621" spans="1:21" ht="14.25" customHeight="1" x14ac:dyDescent="0.25">
      <c r="A621" s="484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R621" s="23"/>
      <c r="U621" s="11"/>
    </row>
    <row r="622" spans="1:21" ht="14.25" customHeight="1" x14ac:dyDescent="0.25">
      <c r="A622" s="484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R622" s="23"/>
      <c r="U622" s="11"/>
    </row>
    <row r="623" spans="1:21" ht="14.25" customHeight="1" x14ac:dyDescent="0.25">
      <c r="A623" s="484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R623" s="23"/>
      <c r="U623" s="11"/>
    </row>
    <row r="624" spans="1:21" ht="14.25" customHeight="1" x14ac:dyDescent="0.25">
      <c r="A624" s="484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R624" s="23"/>
      <c r="U624" s="11"/>
    </row>
    <row r="625" spans="1:21" ht="14.25" customHeight="1" x14ac:dyDescent="0.25">
      <c r="A625" s="484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R625" s="23"/>
      <c r="U625" s="11"/>
    </row>
    <row r="626" spans="1:21" ht="14.25" customHeight="1" x14ac:dyDescent="0.25">
      <c r="A626" s="484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R626" s="23"/>
      <c r="U626" s="11"/>
    </row>
    <row r="627" spans="1:21" ht="14.25" customHeight="1" x14ac:dyDescent="0.25">
      <c r="A627" s="484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R627" s="23"/>
      <c r="U627" s="11"/>
    </row>
    <row r="628" spans="1:21" ht="14.25" customHeight="1" x14ac:dyDescent="0.25">
      <c r="A628" s="484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R628" s="23"/>
      <c r="U628" s="11"/>
    </row>
    <row r="629" spans="1:21" ht="14.25" customHeight="1" x14ac:dyDescent="0.25">
      <c r="A629" s="484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R629" s="23"/>
      <c r="U629" s="11"/>
    </row>
    <row r="630" spans="1:21" ht="14.25" customHeight="1" x14ac:dyDescent="0.25">
      <c r="A630" s="484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R630" s="23"/>
      <c r="U630" s="11"/>
    </row>
    <row r="631" spans="1:21" ht="14.25" customHeight="1" x14ac:dyDescent="0.25">
      <c r="A631" s="484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R631" s="23"/>
      <c r="U631" s="11"/>
    </row>
    <row r="632" spans="1:21" ht="14.25" customHeight="1" x14ac:dyDescent="0.25">
      <c r="A632" s="484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R632" s="23"/>
      <c r="U632" s="11"/>
    </row>
    <row r="633" spans="1:21" ht="14.25" customHeight="1" x14ac:dyDescent="0.25">
      <c r="A633" s="484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R633" s="23"/>
      <c r="U633" s="11"/>
    </row>
    <row r="634" spans="1:21" ht="14.25" customHeight="1" x14ac:dyDescent="0.25">
      <c r="A634" s="484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R634" s="23"/>
      <c r="U634" s="11"/>
    </row>
    <row r="635" spans="1:21" ht="14.25" customHeight="1" x14ac:dyDescent="0.25">
      <c r="A635" s="484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R635" s="23"/>
      <c r="U635" s="11"/>
    </row>
    <row r="636" spans="1:21" ht="14.25" customHeight="1" x14ac:dyDescent="0.25">
      <c r="A636" s="484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R636" s="23"/>
      <c r="U636" s="11"/>
    </row>
    <row r="637" spans="1:21" ht="14.25" customHeight="1" x14ac:dyDescent="0.25">
      <c r="A637" s="484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R637" s="23"/>
      <c r="U637" s="11"/>
    </row>
    <row r="638" spans="1:21" ht="14.25" customHeight="1" x14ac:dyDescent="0.25">
      <c r="A638" s="484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R638" s="23"/>
      <c r="U638" s="11"/>
    </row>
    <row r="639" spans="1:21" ht="14.25" customHeight="1" x14ac:dyDescent="0.25">
      <c r="A639" s="484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R639" s="23"/>
      <c r="U639" s="11"/>
    </row>
    <row r="640" spans="1:21" ht="14.25" customHeight="1" x14ac:dyDescent="0.25">
      <c r="A640" s="484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R640" s="23"/>
      <c r="U640" s="11"/>
    </row>
    <row r="641" spans="1:21" ht="14.25" customHeight="1" x14ac:dyDescent="0.25">
      <c r="A641" s="484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R641" s="23"/>
      <c r="U641" s="11"/>
    </row>
    <row r="642" spans="1:21" ht="14.25" customHeight="1" x14ac:dyDescent="0.25">
      <c r="A642" s="484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R642" s="23"/>
      <c r="U642" s="11"/>
    </row>
    <row r="643" spans="1:21" ht="14.25" customHeight="1" x14ac:dyDescent="0.25">
      <c r="A643" s="484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R643" s="23"/>
      <c r="U643" s="11"/>
    </row>
    <row r="644" spans="1:21" ht="14.25" customHeight="1" x14ac:dyDescent="0.25">
      <c r="A644" s="484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R644" s="23"/>
      <c r="U644" s="11"/>
    </row>
    <row r="645" spans="1:21" ht="14.25" customHeight="1" x14ac:dyDescent="0.25">
      <c r="A645" s="484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R645" s="23"/>
      <c r="U645" s="11"/>
    </row>
    <row r="646" spans="1:21" ht="14.25" customHeight="1" x14ac:dyDescent="0.25">
      <c r="A646" s="484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R646" s="23"/>
      <c r="U646" s="11"/>
    </row>
    <row r="647" spans="1:21" ht="14.25" customHeight="1" x14ac:dyDescent="0.25">
      <c r="A647" s="484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R647" s="23"/>
      <c r="U647" s="11"/>
    </row>
    <row r="648" spans="1:21" ht="14.25" customHeight="1" x14ac:dyDescent="0.25">
      <c r="A648" s="484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R648" s="23"/>
      <c r="U648" s="11"/>
    </row>
    <row r="649" spans="1:21" ht="14.25" customHeight="1" x14ac:dyDescent="0.25">
      <c r="A649" s="484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R649" s="23"/>
      <c r="U649" s="11"/>
    </row>
    <row r="650" spans="1:21" ht="14.25" customHeight="1" x14ac:dyDescent="0.25">
      <c r="A650" s="484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R650" s="23"/>
      <c r="U650" s="11"/>
    </row>
    <row r="651" spans="1:21" ht="14.25" customHeight="1" x14ac:dyDescent="0.25">
      <c r="A651" s="484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R651" s="23"/>
      <c r="U651" s="11"/>
    </row>
    <row r="652" spans="1:21" ht="14.25" customHeight="1" x14ac:dyDescent="0.25">
      <c r="A652" s="484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R652" s="23"/>
      <c r="U652" s="11"/>
    </row>
    <row r="653" spans="1:21" ht="14.25" customHeight="1" x14ac:dyDescent="0.25">
      <c r="A653" s="484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R653" s="23"/>
      <c r="U653" s="11"/>
    </row>
    <row r="654" spans="1:21" ht="14.25" customHeight="1" x14ac:dyDescent="0.25">
      <c r="A654" s="484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R654" s="23"/>
      <c r="U654" s="11"/>
    </row>
    <row r="655" spans="1:21" ht="14.25" customHeight="1" x14ac:dyDescent="0.25">
      <c r="A655" s="484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R655" s="23"/>
      <c r="U655" s="11"/>
    </row>
    <row r="656" spans="1:21" ht="14.25" customHeight="1" x14ac:dyDescent="0.25">
      <c r="A656" s="484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R656" s="23"/>
      <c r="U656" s="11"/>
    </row>
    <row r="657" spans="1:21" ht="14.25" customHeight="1" x14ac:dyDescent="0.25">
      <c r="A657" s="484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R657" s="23"/>
      <c r="U657" s="11"/>
    </row>
    <row r="658" spans="1:21" ht="14.25" customHeight="1" x14ac:dyDescent="0.25">
      <c r="A658" s="484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R658" s="23"/>
      <c r="U658" s="11"/>
    </row>
    <row r="659" spans="1:21" ht="14.25" customHeight="1" x14ac:dyDescent="0.25">
      <c r="A659" s="484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R659" s="23"/>
      <c r="U659" s="11"/>
    </row>
    <row r="660" spans="1:21" ht="14.25" customHeight="1" x14ac:dyDescent="0.25">
      <c r="A660" s="484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R660" s="23"/>
      <c r="U660" s="11"/>
    </row>
    <row r="661" spans="1:21" ht="14.25" customHeight="1" x14ac:dyDescent="0.25">
      <c r="A661" s="484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R661" s="23"/>
      <c r="U661" s="11"/>
    </row>
    <row r="662" spans="1:21" ht="14.25" customHeight="1" x14ac:dyDescent="0.25">
      <c r="A662" s="484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R662" s="23"/>
      <c r="U662" s="11"/>
    </row>
    <row r="663" spans="1:21" ht="14.25" customHeight="1" x14ac:dyDescent="0.25">
      <c r="A663" s="484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R663" s="23"/>
      <c r="U663" s="11"/>
    </row>
    <row r="664" spans="1:21" ht="14.25" customHeight="1" x14ac:dyDescent="0.25">
      <c r="A664" s="484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R664" s="23"/>
      <c r="U664" s="11"/>
    </row>
    <row r="665" spans="1:21" ht="14.25" customHeight="1" x14ac:dyDescent="0.25">
      <c r="A665" s="484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R665" s="23"/>
      <c r="U665" s="11"/>
    </row>
    <row r="666" spans="1:21" ht="14.25" customHeight="1" x14ac:dyDescent="0.25">
      <c r="A666" s="484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R666" s="23"/>
      <c r="U666" s="11"/>
    </row>
    <row r="667" spans="1:21" ht="14.25" customHeight="1" x14ac:dyDescent="0.25">
      <c r="A667" s="484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R667" s="23"/>
      <c r="U667" s="11"/>
    </row>
    <row r="668" spans="1:21" ht="14.25" customHeight="1" x14ac:dyDescent="0.25">
      <c r="A668" s="484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R668" s="23"/>
      <c r="U668" s="11"/>
    </row>
    <row r="669" spans="1:21" ht="14.25" customHeight="1" x14ac:dyDescent="0.25">
      <c r="A669" s="484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R669" s="23"/>
      <c r="U669" s="11"/>
    </row>
    <row r="670" spans="1:21" ht="14.25" customHeight="1" x14ac:dyDescent="0.25">
      <c r="A670" s="484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R670" s="23"/>
      <c r="U670" s="11"/>
    </row>
    <row r="671" spans="1:21" ht="14.25" customHeight="1" x14ac:dyDescent="0.25">
      <c r="A671" s="484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R671" s="23"/>
      <c r="U671" s="11"/>
    </row>
    <row r="672" spans="1:21" ht="14.25" customHeight="1" x14ac:dyDescent="0.25">
      <c r="A672" s="484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R672" s="23"/>
      <c r="U672" s="11"/>
    </row>
    <row r="673" spans="1:21" ht="14.25" customHeight="1" x14ac:dyDescent="0.25">
      <c r="A673" s="484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R673" s="23"/>
      <c r="U673" s="11"/>
    </row>
    <row r="674" spans="1:21" ht="14.25" customHeight="1" x14ac:dyDescent="0.25">
      <c r="A674" s="484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R674" s="23"/>
      <c r="U674" s="11"/>
    </row>
    <row r="675" spans="1:21" ht="14.25" customHeight="1" x14ac:dyDescent="0.25">
      <c r="A675" s="484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R675" s="23"/>
      <c r="U675" s="11"/>
    </row>
    <row r="676" spans="1:21" ht="14.25" customHeight="1" x14ac:dyDescent="0.25">
      <c r="A676" s="484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R676" s="23"/>
      <c r="U676" s="11"/>
    </row>
    <row r="677" spans="1:21" ht="14.25" customHeight="1" x14ac:dyDescent="0.25">
      <c r="A677" s="484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R677" s="23"/>
      <c r="U677" s="11"/>
    </row>
    <row r="678" spans="1:21" ht="14.25" customHeight="1" x14ac:dyDescent="0.25">
      <c r="A678" s="484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R678" s="23"/>
      <c r="U678" s="11"/>
    </row>
    <row r="679" spans="1:21" ht="14.25" customHeight="1" x14ac:dyDescent="0.25">
      <c r="A679" s="484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R679" s="23"/>
      <c r="U679" s="11"/>
    </row>
    <row r="680" spans="1:21" ht="14.25" customHeight="1" x14ac:dyDescent="0.25">
      <c r="A680" s="484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R680" s="23"/>
      <c r="U680" s="11"/>
    </row>
    <row r="681" spans="1:21" ht="14.25" customHeight="1" x14ac:dyDescent="0.25">
      <c r="A681" s="484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R681" s="23"/>
      <c r="U681" s="11"/>
    </row>
    <row r="682" spans="1:21" ht="14.25" customHeight="1" x14ac:dyDescent="0.25">
      <c r="A682" s="484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R682" s="23"/>
      <c r="U682" s="11"/>
    </row>
    <row r="683" spans="1:21" ht="14.25" customHeight="1" x14ac:dyDescent="0.25">
      <c r="A683" s="484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R683" s="23"/>
      <c r="U683" s="11"/>
    </row>
    <row r="684" spans="1:21" ht="14.25" customHeight="1" x14ac:dyDescent="0.25">
      <c r="A684" s="484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R684" s="23"/>
      <c r="U684" s="11"/>
    </row>
    <row r="685" spans="1:21" ht="14.25" customHeight="1" x14ac:dyDescent="0.25">
      <c r="A685" s="484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R685" s="23"/>
      <c r="U685" s="11"/>
    </row>
    <row r="686" spans="1:21" ht="14.25" customHeight="1" x14ac:dyDescent="0.25">
      <c r="A686" s="484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R686" s="23"/>
      <c r="U686" s="11"/>
    </row>
    <row r="687" spans="1:21" ht="14.25" customHeight="1" x14ac:dyDescent="0.25">
      <c r="A687" s="484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R687" s="23"/>
      <c r="U687" s="11"/>
    </row>
    <row r="688" spans="1:21" ht="14.25" customHeight="1" x14ac:dyDescent="0.25">
      <c r="A688" s="484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R688" s="23"/>
      <c r="U688" s="11"/>
    </row>
    <row r="689" spans="1:21" ht="14.25" customHeight="1" x14ac:dyDescent="0.25">
      <c r="A689" s="484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R689" s="23"/>
      <c r="U689" s="11"/>
    </row>
    <row r="690" spans="1:21" ht="14.25" customHeight="1" x14ac:dyDescent="0.25">
      <c r="A690" s="484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R690" s="23"/>
      <c r="U690" s="11"/>
    </row>
    <row r="691" spans="1:21" ht="14.25" customHeight="1" x14ac:dyDescent="0.25">
      <c r="A691" s="484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R691" s="23"/>
      <c r="U691" s="11"/>
    </row>
    <row r="692" spans="1:21" ht="14.25" customHeight="1" x14ac:dyDescent="0.25">
      <c r="A692" s="484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R692" s="23"/>
      <c r="U692" s="11"/>
    </row>
    <row r="693" spans="1:21" ht="14.25" customHeight="1" x14ac:dyDescent="0.25">
      <c r="A693" s="484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R693" s="23"/>
      <c r="U693" s="11"/>
    </row>
    <row r="694" spans="1:21" ht="14.25" customHeight="1" x14ac:dyDescent="0.25">
      <c r="A694" s="484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R694" s="23"/>
      <c r="U694" s="11"/>
    </row>
    <row r="695" spans="1:21" ht="14.25" customHeight="1" x14ac:dyDescent="0.25">
      <c r="A695" s="484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R695" s="23"/>
      <c r="U695" s="11"/>
    </row>
    <row r="696" spans="1:21" ht="14.25" customHeight="1" x14ac:dyDescent="0.25">
      <c r="A696" s="484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R696" s="23"/>
      <c r="U696" s="11"/>
    </row>
    <row r="697" spans="1:21" ht="14.25" customHeight="1" x14ac:dyDescent="0.25">
      <c r="A697" s="484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R697" s="23"/>
      <c r="U697" s="11"/>
    </row>
    <row r="698" spans="1:21" ht="14.25" customHeight="1" x14ac:dyDescent="0.25">
      <c r="A698" s="484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R698" s="23"/>
      <c r="U698" s="11"/>
    </row>
    <row r="699" spans="1:21" ht="14.25" customHeight="1" x14ac:dyDescent="0.25">
      <c r="A699" s="484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R699" s="23"/>
      <c r="U699" s="11"/>
    </row>
    <row r="700" spans="1:21" ht="14.25" customHeight="1" x14ac:dyDescent="0.25">
      <c r="A700" s="484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R700" s="23"/>
      <c r="U700" s="11"/>
    </row>
    <row r="701" spans="1:21" ht="14.25" customHeight="1" x14ac:dyDescent="0.25">
      <c r="A701" s="484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R701" s="23"/>
      <c r="U701" s="11"/>
    </row>
    <row r="702" spans="1:21" ht="14.25" customHeight="1" x14ac:dyDescent="0.25">
      <c r="A702" s="484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R702" s="23"/>
      <c r="U702" s="11"/>
    </row>
    <row r="703" spans="1:21" ht="14.25" customHeight="1" x14ac:dyDescent="0.25">
      <c r="A703" s="484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R703" s="23"/>
      <c r="U703" s="11"/>
    </row>
    <row r="704" spans="1:21" ht="14.25" customHeight="1" x14ac:dyDescent="0.25">
      <c r="A704" s="484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R704" s="23"/>
      <c r="U704" s="11"/>
    </row>
    <row r="705" spans="1:21" ht="14.25" customHeight="1" x14ac:dyDescent="0.25">
      <c r="A705" s="484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R705" s="23"/>
      <c r="U705" s="11"/>
    </row>
    <row r="706" spans="1:21" ht="14.25" customHeight="1" x14ac:dyDescent="0.25">
      <c r="A706" s="484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R706" s="23"/>
      <c r="U706" s="11"/>
    </row>
    <row r="707" spans="1:21" ht="14.25" customHeight="1" x14ac:dyDescent="0.25">
      <c r="A707" s="484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R707" s="23"/>
      <c r="U707" s="11"/>
    </row>
    <row r="708" spans="1:21" ht="14.25" customHeight="1" x14ac:dyDescent="0.25">
      <c r="A708" s="484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R708" s="23"/>
      <c r="U708" s="11"/>
    </row>
    <row r="709" spans="1:21" ht="14.25" customHeight="1" x14ac:dyDescent="0.25">
      <c r="A709" s="484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R709" s="23"/>
      <c r="U709" s="11"/>
    </row>
    <row r="710" spans="1:21" ht="14.25" customHeight="1" x14ac:dyDescent="0.25">
      <c r="A710" s="484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R710" s="23"/>
      <c r="U710" s="11"/>
    </row>
    <row r="711" spans="1:21" ht="14.25" customHeight="1" x14ac:dyDescent="0.25">
      <c r="A711" s="484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R711" s="23"/>
      <c r="U711" s="11"/>
    </row>
    <row r="712" spans="1:21" ht="14.25" customHeight="1" x14ac:dyDescent="0.25">
      <c r="A712" s="484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R712" s="23"/>
      <c r="U712" s="11"/>
    </row>
    <row r="713" spans="1:21" ht="14.25" customHeight="1" x14ac:dyDescent="0.25">
      <c r="A713" s="484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R713" s="23"/>
      <c r="U713" s="11"/>
    </row>
    <row r="714" spans="1:21" ht="14.25" customHeight="1" x14ac:dyDescent="0.25">
      <c r="A714" s="484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R714" s="23"/>
      <c r="U714" s="11"/>
    </row>
    <row r="715" spans="1:21" ht="14.25" customHeight="1" x14ac:dyDescent="0.25">
      <c r="A715" s="484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R715" s="23"/>
      <c r="U715" s="11"/>
    </row>
    <row r="716" spans="1:21" ht="14.25" customHeight="1" x14ac:dyDescent="0.25">
      <c r="A716" s="484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R716" s="23"/>
      <c r="U716" s="11"/>
    </row>
    <row r="717" spans="1:21" ht="14.25" customHeight="1" x14ac:dyDescent="0.25">
      <c r="A717" s="484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R717" s="23"/>
      <c r="U717" s="11"/>
    </row>
    <row r="718" spans="1:21" ht="14.25" customHeight="1" x14ac:dyDescent="0.25">
      <c r="A718" s="484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R718" s="23"/>
      <c r="U718" s="11"/>
    </row>
    <row r="719" spans="1:21" ht="14.25" customHeight="1" x14ac:dyDescent="0.25">
      <c r="A719" s="484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R719" s="23"/>
      <c r="U719" s="11"/>
    </row>
    <row r="720" spans="1:21" ht="14.25" customHeight="1" x14ac:dyDescent="0.25">
      <c r="A720" s="484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R720" s="23"/>
      <c r="U720" s="11"/>
    </row>
    <row r="721" spans="1:21" ht="14.25" customHeight="1" x14ac:dyDescent="0.25">
      <c r="A721" s="484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R721" s="23"/>
      <c r="U721" s="11"/>
    </row>
    <row r="722" spans="1:21" ht="14.25" customHeight="1" x14ac:dyDescent="0.25">
      <c r="A722" s="484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R722" s="23"/>
      <c r="U722" s="11"/>
    </row>
    <row r="723" spans="1:21" ht="14.25" customHeight="1" x14ac:dyDescent="0.25">
      <c r="A723" s="484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R723" s="23"/>
      <c r="U723" s="11"/>
    </row>
    <row r="724" spans="1:21" ht="14.25" customHeight="1" x14ac:dyDescent="0.25">
      <c r="A724" s="484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R724" s="23"/>
      <c r="U724" s="11"/>
    </row>
    <row r="725" spans="1:21" ht="14.25" customHeight="1" x14ac:dyDescent="0.25">
      <c r="A725" s="484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R725" s="23"/>
      <c r="U725" s="11"/>
    </row>
    <row r="726" spans="1:21" ht="14.25" customHeight="1" x14ac:dyDescent="0.25">
      <c r="A726" s="484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R726" s="23"/>
      <c r="U726" s="11"/>
    </row>
    <row r="727" spans="1:21" ht="14.25" customHeight="1" x14ac:dyDescent="0.25">
      <c r="A727" s="484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R727" s="23"/>
      <c r="U727" s="11"/>
    </row>
    <row r="728" spans="1:21" ht="14.25" customHeight="1" x14ac:dyDescent="0.25">
      <c r="A728" s="484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R728" s="23"/>
      <c r="U728" s="11"/>
    </row>
    <row r="729" spans="1:21" ht="14.25" customHeight="1" x14ac:dyDescent="0.25">
      <c r="A729" s="484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R729" s="23"/>
      <c r="U729" s="11"/>
    </row>
    <row r="730" spans="1:21" ht="14.25" customHeight="1" x14ac:dyDescent="0.25">
      <c r="A730" s="484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R730" s="23"/>
      <c r="U730" s="11"/>
    </row>
    <row r="731" spans="1:21" ht="14.25" customHeight="1" x14ac:dyDescent="0.25">
      <c r="A731" s="484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R731" s="23"/>
      <c r="U731" s="11"/>
    </row>
    <row r="732" spans="1:21" ht="14.25" customHeight="1" x14ac:dyDescent="0.25">
      <c r="A732" s="484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R732" s="23"/>
      <c r="U732" s="11"/>
    </row>
    <row r="733" spans="1:21" ht="14.25" customHeight="1" x14ac:dyDescent="0.25">
      <c r="A733" s="484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R733" s="23"/>
      <c r="U733" s="11"/>
    </row>
    <row r="734" spans="1:21" ht="14.25" customHeight="1" x14ac:dyDescent="0.25">
      <c r="A734" s="484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R734" s="23"/>
      <c r="U734" s="11"/>
    </row>
    <row r="735" spans="1:21" ht="14.25" customHeight="1" x14ac:dyDescent="0.25">
      <c r="A735" s="484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R735" s="23"/>
      <c r="U735" s="11"/>
    </row>
    <row r="736" spans="1:21" ht="14.25" customHeight="1" x14ac:dyDescent="0.25">
      <c r="A736" s="484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R736" s="23"/>
      <c r="U736" s="11"/>
    </row>
    <row r="737" spans="1:21" ht="14.25" customHeight="1" x14ac:dyDescent="0.25">
      <c r="A737" s="484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R737" s="23"/>
      <c r="U737" s="11"/>
    </row>
    <row r="738" spans="1:21" ht="14.25" customHeight="1" x14ac:dyDescent="0.25">
      <c r="A738" s="484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R738" s="23"/>
      <c r="U738" s="11"/>
    </row>
    <row r="739" spans="1:21" ht="14.25" customHeight="1" x14ac:dyDescent="0.25">
      <c r="A739" s="484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R739" s="23"/>
      <c r="U739" s="11"/>
    </row>
    <row r="740" spans="1:21" ht="14.25" customHeight="1" x14ac:dyDescent="0.25">
      <c r="A740" s="484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R740" s="23"/>
      <c r="U740" s="11"/>
    </row>
    <row r="741" spans="1:21" ht="14.25" customHeight="1" x14ac:dyDescent="0.25">
      <c r="A741" s="484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R741" s="23"/>
      <c r="U741" s="11"/>
    </row>
    <row r="742" spans="1:21" ht="14.25" customHeight="1" x14ac:dyDescent="0.25">
      <c r="A742" s="484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R742" s="23"/>
      <c r="U742" s="11"/>
    </row>
    <row r="743" spans="1:21" ht="14.25" customHeight="1" x14ac:dyDescent="0.25">
      <c r="A743" s="484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R743" s="23"/>
      <c r="U743" s="11"/>
    </row>
    <row r="744" spans="1:21" ht="14.25" customHeight="1" x14ac:dyDescent="0.25">
      <c r="A744" s="484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R744" s="23"/>
      <c r="U744" s="11"/>
    </row>
    <row r="745" spans="1:21" ht="14.25" customHeight="1" x14ac:dyDescent="0.25">
      <c r="A745" s="484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R745" s="23"/>
      <c r="U745" s="11"/>
    </row>
    <row r="746" spans="1:21" ht="14.25" customHeight="1" x14ac:dyDescent="0.25">
      <c r="A746" s="484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R746" s="23"/>
      <c r="U746" s="11"/>
    </row>
    <row r="747" spans="1:21" ht="14.25" customHeight="1" x14ac:dyDescent="0.25">
      <c r="A747" s="484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R747" s="23"/>
      <c r="U747" s="11"/>
    </row>
    <row r="748" spans="1:21" ht="14.25" customHeight="1" x14ac:dyDescent="0.25">
      <c r="A748" s="484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R748" s="23"/>
      <c r="U748" s="11"/>
    </row>
    <row r="749" spans="1:21" ht="14.25" customHeight="1" x14ac:dyDescent="0.25">
      <c r="A749" s="484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R749" s="23"/>
      <c r="U749" s="11"/>
    </row>
    <row r="750" spans="1:21" ht="14.25" customHeight="1" x14ac:dyDescent="0.25">
      <c r="A750" s="484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R750" s="23"/>
      <c r="U750" s="11"/>
    </row>
    <row r="751" spans="1:21" ht="14.25" customHeight="1" x14ac:dyDescent="0.25">
      <c r="A751" s="484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R751" s="23"/>
      <c r="U751" s="11"/>
    </row>
    <row r="752" spans="1:21" ht="14.25" customHeight="1" x14ac:dyDescent="0.25">
      <c r="A752" s="484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R752" s="23"/>
      <c r="U752" s="11"/>
    </row>
    <row r="753" spans="1:21" ht="14.25" customHeight="1" x14ac:dyDescent="0.25">
      <c r="A753" s="484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R753" s="23"/>
      <c r="U753" s="11"/>
    </row>
    <row r="754" spans="1:21" ht="14.25" customHeight="1" x14ac:dyDescent="0.25">
      <c r="A754" s="484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R754" s="23"/>
      <c r="U754" s="11"/>
    </row>
    <row r="755" spans="1:21" ht="14.25" customHeight="1" x14ac:dyDescent="0.25">
      <c r="A755" s="484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R755" s="23"/>
      <c r="U755" s="11"/>
    </row>
    <row r="756" spans="1:21" ht="14.25" customHeight="1" x14ac:dyDescent="0.25">
      <c r="A756" s="484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R756" s="23"/>
      <c r="U756" s="11"/>
    </row>
    <row r="757" spans="1:21" ht="14.25" customHeight="1" x14ac:dyDescent="0.25">
      <c r="A757" s="484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R757" s="23"/>
      <c r="U757" s="11"/>
    </row>
    <row r="758" spans="1:21" ht="14.25" customHeight="1" x14ac:dyDescent="0.25">
      <c r="A758" s="484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R758" s="23"/>
      <c r="U758" s="11"/>
    </row>
    <row r="759" spans="1:21" ht="14.25" customHeight="1" x14ac:dyDescent="0.25">
      <c r="A759" s="484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R759" s="23"/>
      <c r="U759" s="11"/>
    </row>
    <row r="760" spans="1:21" ht="14.25" customHeight="1" x14ac:dyDescent="0.25">
      <c r="A760" s="484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R760" s="23"/>
      <c r="U760" s="11"/>
    </row>
    <row r="761" spans="1:21" ht="14.25" customHeight="1" x14ac:dyDescent="0.25">
      <c r="A761" s="484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R761" s="23"/>
      <c r="U761" s="11"/>
    </row>
    <row r="762" spans="1:21" ht="14.25" customHeight="1" x14ac:dyDescent="0.25">
      <c r="A762" s="484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R762" s="23"/>
      <c r="U762" s="11"/>
    </row>
    <row r="763" spans="1:21" ht="14.25" customHeight="1" x14ac:dyDescent="0.25">
      <c r="A763" s="484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R763" s="23"/>
      <c r="U763" s="11"/>
    </row>
    <row r="764" spans="1:21" ht="14.25" customHeight="1" x14ac:dyDescent="0.25">
      <c r="A764" s="484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R764" s="23"/>
      <c r="U764" s="11"/>
    </row>
    <row r="765" spans="1:21" ht="14.25" customHeight="1" x14ac:dyDescent="0.25">
      <c r="A765" s="484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R765" s="23"/>
      <c r="U765" s="11"/>
    </row>
    <row r="766" spans="1:21" ht="14.25" customHeight="1" x14ac:dyDescent="0.25">
      <c r="A766" s="484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R766" s="23"/>
      <c r="U766" s="11"/>
    </row>
    <row r="767" spans="1:21" ht="14.25" customHeight="1" x14ac:dyDescent="0.25">
      <c r="A767" s="484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R767" s="23"/>
      <c r="U767" s="11"/>
    </row>
    <row r="768" spans="1:21" ht="14.25" customHeight="1" x14ac:dyDescent="0.25">
      <c r="A768" s="484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R768" s="23"/>
      <c r="U768" s="11"/>
    </row>
    <row r="769" spans="1:21" ht="14.25" customHeight="1" x14ac:dyDescent="0.25">
      <c r="A769" s="484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R769" s="23"/>
      <c r="U769" s="11"/>
    </row>
    <row r="770" spans="1:21" ht="14.25" customHeight="1" x14ac:dyDescent="0.25">
      <c r="A770" s="484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R770" s="23"/>
      <c r="U770" s="11"/>
    </row>
    <row r="771" spans="1:21" ht="14.25" customHeight="1" x14ac:dyDescent="0.25">
      <c r="A771" s="484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R771" s="23"/>
      <c r="U771" s="11"/>
    </row>
    <row r="772" spans="1:21" ht="14.25" customHeight="1" x14ac:dyDescent="0.25">
      <c r="A772" s="484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R772" s="23"/>
      <c r="U772" s="11"/>
    </row>
    <row r="773" spans="1:21" ht="14.25" customHeight="1" x14ac:dyDescent="0.25">
      <c r="A773" s="484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R773" s="23"/>
      <c r="U773" s="11"/>
    </row>
    <row r="774" spans="1:21" ht="14.25" customHeight="1" x14ac:dyDescent="0.25">
      <c r="A774" s="484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R774" s="23"/>
      <c r="U774" s="11"/>
    </row>
    <row r="775" spans="1:21" ht="14.25" customHeight="1" x14ac:dyDescent="0.25">
      <c r="A775" s="484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R775" s="23"/>
      <c r="U775" s="11"/>
    </row>
    <row r="776" spans="1:21" ht="14.25" customHeight="1" x14ac:dyDescent="0.25">
      <c r="A776" s="484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R776" s="23"/>
      <c r="U776" s="11"/>
    </row>
    <row r="777" spans="1:21" ht="14.25" customHeight="1" x14ac:dyDescent="0.25">
      <c r="A777" s="484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R777" s="23"/>
      <c r="U777" s="11"/>
    </row>
    <row r="778" spans="1:21" ht="14.25" customHeight="1" x14ac:dyDescent="0.25">
      <c r="A778" s="484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R778" s="23"/>
      <c r="U778" s="11"/>
    </row>
    <row r="779" spans="1:21" ht="14.25" customHeight="1" x14ac:dyDescent="0.25">
      <c r="A779" s="484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R779" s="23"/>
      <c r="U779" s="11"/>
    </row>
    <row r="780" spans="1:21" ht="14.25" customHeight="1" x14ac:dyDescent="0.25">
      <c r="A780" s="484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R780" s="23"/>
      <c r="U780" s="11"/>
    </row>
    <row r="781" spans="1:21" ht="14.25" customHeight="1" x14ac:dyDescent="0.25">
      <c r="A781" s="484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R781" s="23"/>
      <c r="U781" s="11"/>
    </row>
    <row r="782" spans="1:21" ht="14.25" customHeight="1" x14ac:dyDescent="0.25">
      <c r="A782" s="484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R782" s="23"/>
      <c r="U782" s="11"/>
    </row>
    <row r="783" spans="1:21" ht="14.25" customHeight="1" x14ac:dyDescent="0.25">
      <c r="A783" s="484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R783" s="23"/>
      <c r="U783" s="11"/>
    </row>
    <row r="784" spans="1:21" ht="14.25" customHeight="1" x14ac:dyDescent="0.25">
      <c r="A784" s="484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R784" s="23"/>
      <c r="U784" s="11"/>
    </row>
    <row r="785" spans="1:21" ht="14.25" customHeight="1" x14ac:dyDescent="0.25">
      <c r="A785" s="484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R785" s="23"/>
      <c r="U785" s="11"/>
    </row>
    <row r="786" spans="1:21" ht="14.25" customHeight="1" x14ac:dyDescent="0.25">
      <c r="A786" s="484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R786" s="23"/>
      <c r="U786" s="11"/>
    </row>
    <row r="787" spans="1:21" ht="14.25" customHeight="1" x14ac:dyDescent="0.25">
      <c r="A787" s="484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R787" s="23"/>
      <c r="U787" s="11"/>
    </row>
    <row r="788" spans="1:21" ht="14.25" customHeight="1" x14ac:dyDescent="0.25">
      <c r="A788" s="484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R788" s="23"/>
      <c r="U788" s="11"/>
    </row>
    <row r="789" spans="1:21" ht="14.25" customHeight="1" x14ac:dyDescent="0.25">
      <c r="A789" s="484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R789" s="23"/>
      <c r="U789" s="11"/>
    </row>
    <row r="790" spans="1:21" ht="14.25" customHeight="1" x14ac:dyDescent="0.25">
      <c r="A790" s="484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R790" s="23"/>
      <c r="U790" s="11"/>
    </row>
    <row r="791" spans="1:21" ht="14.25" customHeight="1" x14ac:dyDescent="0.25">
      <c r="A791" s="484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R791" s="23"/>
      <c r="U791" s="11"/>
    </row>
    <row r="792" spans="1:21" ht="14.25" customHeight="1" x14ac:dyDescent="0.25">
      <c r="A792" s="484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R792" s="23"/>
      <c r="U792" s="11"/>
    </row>
    <row r="793" spans="1:21" ht="14.25" customHeight="1" x14ac:dyDescent="0.25">
      <c r="A793" s="484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R793" s="23"/>
      <c r="U793" s="11"/>
    </row>
    <row r="794" spans="1:21" ht="14.25" customHeight="1" x14ac:dyDescent="0.25">
      <c r="A794" s="484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R794" s="23"/>
      <c r="U794" s="11"/>
    </row>
    <row r="795" spans="1:21" ht="14.25" customHeight="1" x14ac:dyDescent="0.25">
      <c r="A795" s="484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R795" s="23"/>
      <c r="U795" s="11"/>
    </row>
    <row r="796" spans="1:21" ht="14.25" customHeight="1" x14ac:dyDescent="0.25">
      <c r="A796" s="484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R796" s="23"/>
      <c r="U796" s="11"/>
    </row>
    <row r="797" spans="1:21" ht="14.25" customHeight="1" x14ac:dyDescent="0.25">
      <c r="A797" s="484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R797" s="23"/>
      <c r="U797" s="11"/>
    </row>
    <row r="798" spans="1:21" ht="14.25" customHeight="1" x14ac:dyDescent="0.25">
      <c r="A798" s="484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R798" s="23"/>
      <c r="U798" s="11"/>
    </row>
    <row r="799" spans="1:21" ht="14.25" customHeight="1" x14ac:dyDescent="0.25">
      <c r="A799" s="484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R799" s="23"/>
      <c r="U799" s="11"/>
    </row>
    <row r="800" spans="1:21" ht="14.25" customHeight="1" x14ac:dyDescent="0.25">
      <c r="A800" s="484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R800" s="23"/>
      <c r="U800" s="11"/>
    </row>
    <row r="801" spans="1:21" ht="14.25" customHeight="1" x14ac:dyDescent="0.25">
      <c r="A801" s="484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R801" s="23"/>
      <c r="U801" s="11"/>
    </row>
    <row r="802" spans="1:21" ht="14.25" customHeight="1" x14ac:dyDescent="0.25">
      <c r="A802" s="484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R802" s="23"/>
      <c r="U802" s="11"/>
    </row>
    <row r="803" spans="1:21" ht="14.25" customHeight="1" x14ac:dyDescent="0.25">
      <c r="A803" s="484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R803" s="23"/>
      <c r="U803" s="11"/>
    </row>
    <row r="804" spans="1:21" ht="14.25" customHeight="1" x14ac:dyDescent="0.25">
      <c r="A804" s="484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R804" s="23"/>
      <c r="U804" s="11"/>
    </row>
    <row r="805" spans="1:21" ht="14.25" customHeight="1" x14ac:dyDescent="0.25">
      <c r="A805" s="484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R805" s="23"/>
      <c r="U805" s="11"/>
    </row>
    <row r="806" spans="1:21" ht="14.25" customHeight="1" x14ac:dyDescent="0.25">
      <c r="A806" s="484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R806" s="23"/>
      <c r="U806" s="11"/>
    </row>
    <row r="807" spans="1:21" ht="14.25" customHeight="1" x14ac:dyDescent="0.25">
      <c r="A807" s="484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R807" s="23"/>
      <c r="U807" s="11"/>
    </row>
    <row r="808" spans="1:21" ht="14.25" customHeight="1" x14ac:dyDescent="0.25">
      <c r="A808" s="484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R808" s="23"/>
      <c r="U808" s="11"/>
    </row>
    <row r="809" spans="1:21" ht="14.25" customHeight="1" x14ac:dyDescent="0.25">
      <c r="A809" s="484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R809" s="23"/>
      <c r="U809" s="11"/>
    </row>
    <row r="810" spans="1:21" ht="14.25" customHeight="1" x14ac:dyDescent="0.25">
      <c r="A810" s="484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R810" s="23"/>
      <c r="U810" s="11"/>
    </row>
    <row r="811" spans="1:21" ht="14.25" customHeight="1" x14ac:dyDescent="0.25">
      <c r="A811" s="484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R811" s="23"/>
      <c r="U811" s="11"/>
    </row>
    <row r="812" spans="1:21" ht="14.25" customHeight="1" x14ac:dyDescent="0.25">
      <c r="A812" s="484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R812" s="23"/>
      <c r="U812" s="11"/>
    </row>
    <row r="813" spans="1:21" ht="14.25" customHeight="1" x14ac:dyDescent="0.25">
      <c r="A813" s="484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R813" s="23"/>
      <c r="U813" s="11"/>
    </row>
    <row r="814" spans="1:21" ht="14.25" customHeight="1" x14ac:dyDescent="0.25">
      <c r="A814" s="484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R814" s="23"/>
      <c r="U814" s="11"/>
    </row>
    <row r="815" spans="1:21" ht="14.25" customHeight="1" x14ac:dyDescent="0.25">
      <c r="A815" s="484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R815" s="23"/>
      <c r="U815" s="11"/>
    </row>
    <row r="816" spans="1:21" ht="14.25" customHeight="1" x14ac:dyDescent="0.25">
      <c r="A816" s="484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R816" s="23"/>
      <c r="U816" s="11"/>
    </row>
    <row r="817" spans="1:21" ht="14.25" customHeight="1" x14ac:dyDescent="0.25">
      <c r="A817" s="484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R817" s="23"/>
      <c r="U817" s="11"/>
    </row>
    <row r="818" spans="1:21" ht="14.25" customHeight="1" x14ac:dyDescent="0.25">
      <c r="A818" s="484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R818" s="23"/>
      <c r="U818" s="11"/>
    </row>
    <row r="819" spans="1:21" ht="14.25" customHeight="1" x14ac:dyDescent="0.25">
      <c r="A819" s="484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R819" s="23"/>
      <c r="U819" s="11"/>
    </row>
    <row r="820" spans="1:21" ht="14.25" customHeight="1" x14ac:dyDescent="0.25">
      <c r="A820" s="484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R820" s="23"/>
      <c r="U820" s="11"/>
    </row>
    <row r="821" spans="1:21" ht="14.25" customHeight="1" x14ac:dyDescent="0.25">
      <c r="A821" s="484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R821" s="23"/>
      <c r="U821" s="11"/>
    </row>
    <row r="822" spans="1:21" ht="14.25" customHeight="1" x14ac:dyDescent="0.25">
      <c r="A822" s="484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R822" s="23"/>
      <c r="U822" s="11"/>
    </row>
    <row r="823" spans="1:21" ht="14.25" customHeight="1" x14ac:dyDescent="0.25">
      <c r="A823" s="484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R823" s="23"/>
      <c r="U823" s="11"/>
    </row>
    <row r="824" spans="1:21" ht="14.25" customHeight="1" x14ac:dyDescent="0.25">
      <c r="A824" s="484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R824" s="23"/>
      <c r="U824" s="11"/>
    </row>
    <row r="825" spans="1:21" ht="14.25" customHeight="1" x14ac:dyDescent="0.25">
      <c r="A825" s="484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R825" s="23"/>
      <c r="U825" s="11"/>
    </row>
    <row r="826" spans="1:21" ht="14.25" customHeight="1" x14ac:dyDescent="0.25">
      <c r="A826" s="484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R826" s="23"/>
      <c r="U826" s="11"/>
    </row>
    <row r="827" spans="1:21" ht="14.25" customHeight="1" x14ac:dyDescent="0.25">
      <c r="A827" s="484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R827" s="23"/>
      <c r="U827" s="11"/>
    </row>
    <row r="828" spans="1:21" ht="14.25" customHeight="1" x14ac:dyDescent="0.25">
      <c r="A828" s="484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R828" s="23"/>
      <c r="U828" s="11"/>
    </row>
    <row r="829" spans="1:21" ht="14.25" customHeight="1" x14ac:dyDescent="0.25">
      <c r="A829" s="484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R829" s="23"/>
      <c r="U829" s="11"/>
    </row>
    <row r="830" spans="1:21" ht="14.25" customHeight="1" x14ac:dyDescent="0.25">
      <c r="A830" s="484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R830" s="23"/>
      <c r="U830" s="11"/>
    </row>
    <row r="831" spans="1:21" ht="14.25" customHeight="1" x14ac:dyDescent="0.25">
      <c r="A831" s="484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R831" s="23"/>
      <c r="U831" s="11"/>
    </row>
    <row r="832" spans="1:21" ht="14.25" customHeight="1" x14ac:dyDescent="0.25">
      <c r="A832" s="484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R832" s="23"/>
      <c r="U832" s="11"/>
    </row>
    <row r="833" spans="1:21" ht="14.25" customHeight="1" x14ac:dyDescent="0.25">
      <c r="A833" s="484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R833" s="23"/>
      <c r="U833" s="11"/>
    </row>
    <row r="834" spans="1:21" ht="14.25" customHeight="1" x14ac:dyDescent="0.25">
      <c r="A834" s="484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R834" s="23"/>
      <c r="U834" s="11"/>
    </row>
    <row r="835" spans="1:21" ht="14.25" customHeight="1" x14ac:dyDescent="0.25">
      <c r="A835" s="484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R835" s="23"/>
      <c r="U835" s="11"/>
    </row>
    <row r="836" spans="1:21" ht="14.25" customHeight="1" x14ac:dyDescent="0.25">
      <c r="A836" s="484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R836" s="23"/>
      <c r="U836" s="11"/>
    </row>
    <row r="837" spans="1:21" ht="14.25" customHeight="1" x14ac:dyDescent="0.25">
      <c r="A837" s="484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R837" s="23"/>
      <c r="U837" s="11"/>
    </row>
    <row r="838" spans="1:21" ht="14.25" customHeight="1" x14ac:dyDescent="0.25">
      <c r="A838" s="484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R838" s="23"/>
      <c r="U838" s="11"/>
    </row>
    <row r="839" spans="1:21" ht="14.25" customHeight="1" x14ac:dyDescent="0.25">
      <c r="A839" s="484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R839" s="23"/>
      <c r="U839" s="11"/>
    </row>
    <row r="840" spans="1:21" ht="14.25" customHeight="1" x14ac:dyDescent="0.25">
      <c r="A840" s="484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R840" s="23"/>
      <c r="U840" s="11"/>
    </row>
    <row r="841" spans="1:21" ht="14.25" customHeight="1" x14ac:dyDescent="0.25">
      <c r="A841" s="484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R841" s="23"/>
      <c r="U841" s="11"/>
    </row>
    <row r="842" spans="1:21" ht="14.25" customHeight="1" x14ac:dyDescent="0.25">
      <c r="A842" s="484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R842" s="23"/>
      <c r="U842" s="11"/>
    </row>
    <row r="843" spans="1:21" ht="14.25" customHeight="1" x14ac:dyDescent="0.25">
      <c r="A843" s="484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R843" s="23"/>
      <c r="U843" s="11"/>
    </row>
    <row r="844" spans="1:21" ht="14.25" customHeight="1" x14ac:dyDescent="0.25">
      <c r="A844" s="484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R844" s="23"/>
      <c r="U844" s="11"/>
    </row>
    <row r="845" spans="1:21" ht="14.25" customHeight="1" x14ac:dyDescent="0.25">
      <c r="A845" s="484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R845" s="23"/>
      <c r="U845" s="11"/>
    </row>
    <row r="846" spans="1:21" ht="14.25" customHeight="1" x14ac:dyDescent="0.25">
      <c r="A846" s="484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R846" s="23"/>
      <c r="U846" s="11"/>
    </row>
    <row r="847" spans="1:21" ht="14.25" customHeight="1" x14ac:dyDescent="0.25">
      <c r="A847" s="484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R847" s="23"/>
      <c r="U847" s="11"/>
    </row>
    <row r="848" spans="1:21" ht="14.25" customHeight="1" x14ac:dyDescent="0.25">
      <c r="A848" s="484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R848" s="23"/>
      <c r="U848" s="11"/>
    </row>
    <row r="849" spans="1:21" ht="14.25" customHeight="1" x14ac:dyDescent="0.25">
      <c r="A849" s="484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R849" s="23"/>
      <c r="U849" s="11"/>
    </row>
    <row r="850" spans="1:21" ht="14.25" customHeight="1" x14ac:dyDescent="0.25">
      <c r="A850" s="484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R850" s="23"/>
      <c r="U850" s="11"/>
    </row>
    <row r="851" spans="1:21" ht="14.25" customHeight="1" x14ac:dyDescent="0.25">
      <c r="A851" s="484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R851" s="23"/>
      <c r="U851" s="11"/>
    </row>
    <row r="852" spans="1:21" ht="14.25" customHeight="1" x14ac:dyDescent="0.25">
      <c r="A852" s="484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R852" s="23"/>
      <c r="U852" s="11"/>
    </row>
    <row r="853" spans="1:21" ht="14.25" customHeight="1" x14ac:dyDescent="0.25">
      <c r="A853" s="484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R853" s="23"/>
      <c r="U853" s="11"/>
    </row>
    <row r="854" spans="1:21" ht="14.25" customHeight="1" x14ac:dyDescent="0.25">
      <c r="A854" s="484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R854" s="23"/>
      <c r="U854" s="11"/>
    </row>
    <row r="855" spans="1:21" ht="14.25" customHeight="1" x14ac:dyDescent="0.25">
      <c r="A855" s="484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R855" s="23"/>
      <c r="U855" s="11"/>
    </row>
    <row r="856" spans="1:21" ht="14.25" customHeight="1" x14ac:dyDescent="0.25">
      <c r="A856" s="484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R856" s="23"/>
      <c r="U856" s="11"/>
    </row>
    <row r="857" spans="1:21" ht="14.25" customHeight="1" x14ac:dyDescent="0.25">
      <c r="A857" s="484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R857" s="23"/>
      <c r="U857" s="11"/>
    </row>
    <row r="858" spans="1:21" ht="14.25" customHeight="1" x14ac:dyDescent="0.25">
      <c r="A858" s="484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R858" s="23"/>
      <c r="U858" s="11"/>
    </row>
    <row r="859" spans="1:21" ht="14.25" customHeight="1" x14ac:dyDescent="0.25">
      <c r="A859" s="484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R859" s="23"/>
      <c r="U859" s="11"/>
    </row>
    <row r="860" spans="1:21" ht="14.25" customHeight="1" x14ac:dyDescent="0.25">
      <c r="A860" s="484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R860" s="23"/>
      <c r="U860" s="11"/>
    </row>
    <row r="861" spans="1:21" ht="14.25" customHeight="1" x14ac:dyDescent="0.25">
      <c r="A861" s="484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R861" s="23"/>
      <c r="U861" s="11"/>
    </row>
    <row r="862" spans="1:21" ht="14.25" customHeight="1" x14ac:dyDescent="0.25">
      <c r="A862" s="484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R862" s="23"/>
      <c r="U862" s="11"/>
    </row>
    <row r="863" spans="1:21" ht="14.25" customHeight="1" x14ac:dyDescent="0.25">
      <c r="A863" s="484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R863" s="23"/>
      <c r="U863" s="11"/>
    </row>
    <row r="864" spans="1:21" ht="14.25" customHeight="1" x14ac:dyDescent="0.25">
      <c r="A864" s="484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R864" s="23"/>
      <c r="U864" s="11"/>
    </row>
    <row r="865" spans="1:21" ht="14.25" customHeight="1" x14ac:dyDescent="0.25">
      <c r="A865" s="484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R865" s="23"/>
      <c r="U865" s="11"/>
    </row>
    <row r="866" spans="1:21" ht="14.25" customHeight="1" x14ac:dyDescent="0.25">
      <c r="A866" s="484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R866" s="23"/>
      <c r="U866" s="11"/>
    </row>
    <row r="867" spans="1:21" ht="14.25" customHeight="1" x14ac:dyDescent="0.25">
      <c r="A867" s="484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R867" s="23"/>
      <c r="U867" s="11"/>
    </row>
    <row r="868" spans="1:21" ht="14.25" customHeight="1" x14ac:dyDescent="0.25">
      <c r="A868" s="484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R868" s="23"/>
      <c r="U868" s="11"/>
    </row>
    <row r="869" spans="1:21" ht="14.25" customHeight="1" x14ac:dyDescent="0.25">
      <c r="A869" s="484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R869" s="23"/>
      <c r="U869" s="11"/>
    </row>
    <row r="870" spans="1:21" ht="14.25" customHeight="1" x14ac:dyDescent="0.25">
      <c r="A870" s="484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R870" s="23"/>
      <c r="U870" s="11"/>
    </row>
    <row r="871" spans="1:21" ht="14.25" customHeight="1" x14ac:dyDescent="0.25">
      <c r="A871" s="484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R871" s="23"/>
      <c r="U871" s="11"/>
    </row>
    <row r="872" spans="1:21" ht="14.25" customHeight="1" x14ac:dyDescent="0.25">
      <c r="A872" s="484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R872" s="23"/>
      <c r="U872" s="11"/>
    </row>
    <row r="873" spans="1:21" ht="14.25" customHeight="1" x14ac:dyDescent="0.25">
      <c r="A873" s="484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R873" s="23"/>
      <c r="U873" s="11"/>
    </row>
    <row r="874" spans="1:21" ht="14.25" customHeight="1" x14ac:dyDescent="0.25">
      <c r="A874" s="484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R874" s="23"/>
      <c r="U874" s="11"/>
    </row>
    <row r="875" spans="1:21" ht="14.25" customHeight="1" x14ac:dyDescent="0.25">
      <c r="A875" s="484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R875" s="23"/>
      <c r="U875" s="11"/>
    </row>
    <row r="876" spans="1:21" ht="14.25" customHeight="1" x14ac:dyDescent="0.25">
      <c r="A876" s="484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R876" s="23"/>
      <c r="U876" s="11"/>
    </row>
    <row r="877" spans="1:21" ht="14.25" customHeight="1" x14ac:dyDescent="0.25">
      <c r="A877" s="484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R877" s="23"/>
      <c r="U877" s="11"/>
    </row>
    <row r="878" spans="1:21" ht="14.25" customHeight="1" x14ac:dyDescent="0.25">
      <c r="A878" s="484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R878" s="23"/>
      <c r="U878" s="11"/>
    </row>
    <row r="879" spans="1:21" ht="14.25" customHeight="1" x14ac:dyDescent="0.25">
      <c r="A879" s="484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R879" s="23"/>
      <c r="U879" s="11"/>
    </row>
    <row r="880" spans="1:21" ht="14.25" customHeight="1" x14ac:dyDescent="0.25">
      <c r="A880" s="484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R880" s="23"/>
      <c r="U880" s="11"/>
    </row>
    <row r="881" spans="1:21" ht="14.25" customHeight="1" x14ac:dyDescent="0.25">
      <c r="A881" s="484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R881" s="23"/>
      <c r="U881" s="11"/>
    </row>
    <row r="882" spans="1:21" ht="14.25" customHeight="1" x14ac:dyDescent="0.25">
      <c r="A882" s="484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R882" s="23"/>
      <c r="U882" s="11"/>
    </row>
    <row r="883" spans="1:21" ht="14.25" customHeight="1" x14ac:dyDescent="0.25">
      <c r="A883" s="484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R883" s="23"/>
      <c r="U883" s="11"/>
    </row>
    <row r="884" spans="1:21" ht="14.25" customHeight="1" x14ac:dyDescent="0.25">
      <c r="A884" s="484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R884" s="23"/>
      <c r="U884" s="11"/>
    </row>
    <row r="885" spans="1:21" ht="14.25" customHeight="1" x14ac:dyDescent="0.25">
      <c r="A885" s="484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R885" s="23"/>
      <c r="U885" s="11"/>
    </row>
    <row r="886" spans="1:21" ht="14.25" customHeight="1" x14ac:dyDescent="0.25">
      <c r="A886" s="484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R886" s="23"/>
      <c r="U886" s="11"/>
    </row>
    <row r="887" spans="1:21" ht="14.25" customHeight="1" x14ac:dyDescent="0.25">
      <c r="A887" s="484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R887" s="23"/>
      <c r="U887" s="11"/>
    </row>
    <row r="888" spans="1:21" ht="14.25" customHeight="1" x14ac:dyDescent="0.25">
      <c r="A888" s="484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R888" s="23"/>
      <c r="U888" s="11"/>
    </row>
    <row r="889" spans="1:21" ht="14.25" customHeight="1" x14ac:dyDescent="0.25">
      <c r="A889" s="484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R889" s="23"/>
      <c r="U889" s="11"/>
    </row>
    <row r="890" spans="1:21" ht="14.25" customHeight="1" x14ac:dyDescent="0.25">
      <c r="A890" s="484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R890" s="23"/>
      <c r="U890" s="11"/>
    </row>
    <row r="891" spans="1:21" ht="14.25" customHeight="1" x14ac:dyDescent="0.25">
      <c r="A891" s="484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R891" s="23"/>
      <c r="U891" s="11"/>
    </row>
    <row r="892" spans="1:21" ht="14.25" customHeight="1" x14ac:dyDescent="0.25">
      <c r="A892" s="484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R892" s="23"/>
      <c r="U892" s="11"/>
    </row>
    <row r="893" spans="1:21" ht="14.25" customHeight="1" x14ac:dyDescent="0.25">
      <c r="A893" s="484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R893" s="23"/>
      <c r="U893" s="11"/>
    </row>
    <row r="894" spans="1:21" ht="14.25" customHeight="1" x14ac:dyDescent="0.25">
      <c r="A894" s="484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R894" s="23"/>
      <c r="U894" s="11"/>
    </row>
    <row r="895" spans="1:21" ht="14.25" customHeight="1" x14ac:dyDescent="0.25">
      <c r="A895" s="484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R895" s="23"/>
      <c r="U895" s="11"/>
    </row>
    <row r="896" spans="1:21" ht="14.25" customHeight="1" x14ac:dyDescent="0.25">
      <c r="A896" s="484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R896" s="23"/>
      <c r="U896" s="11"/>
    </row>
    <row r="897" spans="1:21" ht="14.25" customHeight="1" x14ac:dyDescent="0.25">
      <c r="A897" s="484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R897" s="23"/>
      <c r="U897" s="11"/>
    </row>
    <row r="898" spans="1:21" ht="14.25" customHeight="1" x14ac:dyDescent="0.25">
      <c r="A898" s="484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R898" s="23"/>
      <c r="U898" s="11"/>
    </row>
    <row r="899" spans="1:21" ht="14.25" customHeight="1" x14ac:dyDescent="0.25">
      <c r="A899" s="484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R899" s="23"/>
      <c r="U899" s="11"/>
    </row>
    <row r="900" spans="1:21" ht="14.25" customHeight="1" x14ac:dyDescent="0.25">
      <c r="A900" s="484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R900" s="23"/>
      <c r="U900" s="11"/>
    </row>
    <row r="901" spans="1:21" ht="14.25" customHeight="1" x14ac:dyDescent="0.25">
      <c r="A901" s="484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R901" s="23"/>
      <c r="U901" s="11"/>
    </row>
    <row r="902" spans="1:21" ht="14.25" customHeight="1" x14ac:dyDescent="0.25">
      <c r="A902" s="484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R902" s="23"/>
      <c r="U902" s="11"/>
    </row>
    <row r="903" spans="1:21" ht="14.25" customHeight="1" x14ac:dyDescent="0.25">
      <c r="A903" s="484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R903" s="23"/>
      <c r="U903" s="11"/>
    </row>
    <row r="904" spans="1:21" ht="14.25" customHeight="1" x14ac:dyDescent="0.25">
      <c r="A904" s="484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R904" s="23"/>
      <c r="U904" s="11"/>
    </row>
    <row r="905" spans="1:21" ht="14.25" customHeight="1" x14ac:dyDescent="0.25">
      <c r="A905" s="484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R905" s="23"/>
      <c r="U905" s="11"/>
    </row>
    <row r="906" spans="1:21" ht="14.25" customHeight="1" x14ac:dyDescent="0.25">
      <c r="A906" s="484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R906" s="23"/>
      <c r="U906" s="11"/>
    </row>
    <row r="907" spans="1:21" ht="14.25" customHeight="1" x14ac:dyDescent="0.25">
      <c r="A907" s="484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R907" s="23"/>
      <c r="U907" s="11"/>
    </row>
    <row r="908" spans="1:21" ht="14.25" customHeight="1" x14ac:dyDescent="0.25">
      <c r="A908" s="484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R908" s="23"/>
      <c r="U908" s="11"/>
    </row>
    <row r="909" spans="1:21" ht="14.25" customHeight="1" x14ac:dyDescent="0.25">
      <c r="A909" s="484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R909" s="23"/>
      <c r="U909" s="11"/>
    </row>
    <row r="910" spans="1:21" ht="14.25" customHeight="1" x14ac:dyDescent="0.25">
      <c r="A910" s="484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R910" s="23"/>
      <c r="U910" s="11"/>
    </row>
    <row r="911" spans="1:21" ht="14.25" customHeight="1" x14ac:dyDescent="0.25">
      <c r="A911" s="484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R911" s="23"/>
      <c r="U911" s="11"/>
    </row>
    <row r="912" spans="1:21" ht="14.25" customHeight="1" x14ac:dyDescent="0.25">
      <c r="A912" s="484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R912" s="23"/>
      <c r="U912" s="11"/>
    </row>
    <row r="913" spans="1:21" ht="14.25" customHeight="1" x14ac:dyDescent="0.25">
      <c r="A913" s="484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R913" s="23"/>
      <c r="U913" s="11"/>
    </row>
    <row r="914" spans="1:21" ht="14.25" customHeight="1" x14ac:dyDescent="0.25">
      <c r="A914" s="484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R914" s="23"/>
      <c r="U914" s="11"/>
    </row>
    <row r="915" spans="1:21" ht="14.25" customHeight="1" x14ac:dyDescent="0.25">
      <c r="A915" s="484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R915" s="23"/>
      <c r="U915" s="11"/>
    </row>
    <row r="916" spans="1:21" ht="14.25" customHeight="1" x14ac:dyDescent="0.25">
      <c r="A916" s="484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R916" s="23"/>
      <c r="U916" s="11"/>
    </row>
    <row r="917" spans="1:21" ht="14.25" customHeight="1" x14ac:dyDescent="0.25">
      <c r="A917" s="484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R917" s="23"/>
      <c r="U917" s="11"/>
    </row>
    <row r="918" spans="1:21" ht="14.25" customHeight="1" x14ac:dyDescent="0.25">
      <c r="A918" s="484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R918" s="23"/>
      <c r="U918" s="11"/>
    </row>
    <row r="919" spans="1:21" ht="14.25" customHeight="1" x14ac:dyDescent="0.25">
      <c r="A919" s="484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R919" s="23"/>
      <c r="U919" s="11"/>
    </row>
    <row r="920" spans="1:21" ht="14.25" customHeight="1" x14ac:dyDescent="0.25">
      <c r="A920" s="484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R920" s="23"/>
      <c r="U920" s="11"/>
    </row>
    <row r="921" spans="1:21" ht="14.25" customHeight="1" x14ac:dyDescent="0.25">
      <c r="A921" s="484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R921" s="23"/>
      <c r="U921" s="11"/>
    </row>
    <row r="922" spans="1:21" ht="14.25" customHeight="1" x14ac:dyDescent="0.25">
      <c r="A922" s="484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R922" s="23"/>
      <c r="U922" s="11"/>
    </row>
    <row r="923" spans="1:21" ht="14.25" customHeight="1" x14ac:dyDescent="0.25">
      <c r="A923" s="484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R923" s="23"/>
      <c r="U923" s="11"/>
    </row>
    <row r="924" spans="1:21" ht="14.25" customHeight="1" x14ac:dyDescent="0.25">
      <c r="A924" s="484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R924" s="23"/>
      <c r="U924" s="11"/>
    </row>
    <row r="925" spans="1:21" ht="14.25" customHeight="1" x14ac:dyDescent="0.25">
      <c r="A925" s="484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R925" s="23"/>
      <c r="U925" s="11"/>
    </row>
    <row r="926" spans="1:21" ht="14.25" customHeight="1" x14ac:dyDescent="0.25">
      <c r="A926" s="484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R926" s="23"/>
      <c r="U926" s="11"/>
    </row>
    <row r="927" spans="1:21" ht="14.25" customHeight="1" x14ac:dyDescent="0.25">
      <c r="A927" s="484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R927" s="23"/>
      <c r="U927" s="11"/>
    </row>
    <row r="928" spans="1:21" ht="14.25" customHeight="1" x14ac:dyDescent="0.25">
      <c r="A928" s="484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R928" s="23"/>
      <c r="U928" s="11"/>
    </row>
    <row r="929" spans="1:21" ht="14.25" customHeight="1" x14ac:dyDescent="0.25">
      <c r="A929" s="484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R929" s="23"/>
      <c r="U929" s="11"/>
    </row>
    <row r="930" spans="1:21" ht="14.25" customHeight="1" x14ac:dyDescent="0.25">
      <c r="A930" s="484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R930" s="23"/>
      <c r="U930" s="11"/>
    </row>
    <row r="931" spans="1:21" ht="14.25" customHeight="1" x14ac:dyDescent="0.25">
      <c r="A931" s="484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R931" s="23"/>
      <c r="U931" s="11"/>
    </row>
    <row r="932" spans="1:21" ht="14.25" customHeight="1" x14ac:dyDescent="0.25">
      <c r="A932" s="484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R932" s="23"/>
      <c r="U932" s="11"/>
    </row>
    <row r="933" spans="1:21" ht="14.25" customHeight="1" x14ac:dyDescent="0.25">
      <c r="A933" s="484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R933" s="23"/>
      <c r="U933" s="11"/>
    </row>
    <row r="934" spans="1:21" ht="14.25" customHeight="1" x14ac:dyDescent="0.25">
      <c r="A934" s="484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R934" s="23"/>
      <c r="U934" s="11"/>
    </row>
    <row r="935" spans="1:21" ht="14.25" customHeight="1" x14ac:dyDescent="0.25">
      <c r="A935" s="484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R935" s="23"/>
      <c r="U935" s="11"/>
    </row>
    <row r="936" spans="1:21" ht="14.25" customHeight="1" x14ac:dyDescent="0.25">
      <c r="A936" s="484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R936" s="23"/>
      <c r="U936" s="11"/>
    </row>
    <row r="937" spans="1:21" ht="14.25" customHeight="1" x14ac:dyDescent="0.25">
      <c r="A937" s="484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R937" s="23"/>
      <c r="U937" s="11"/>
    </row>
    <row r="938" spans="1:21" ht="14.25" customHeight="1" x14ac:dyDescent="0.25">
      <c r="A938" s="484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R938" s="23"/>
      <c r="U938" s="11"/>
    </row>
    <row r="939" spans="1:21" ht="14.25" customHeight="1" x14ac:dyDescent="0.25">
      <c r="A939" s="484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R939" s="23"/>
      <c r="U939" s="11"/>
    </row>
    <row r="940" spans="1:21" ht="14.25" customHeight="1" x14ac:dyDescent="0.25">
      <c r="A940" s="484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R940" s="23"/>
      <c r="U940" s="11"/>
    </row>
    <row r="941" spans="1:21" ht="14.25" customHeight="1" x14ac:dyDescent="0.25">
      <c r="A941" s="484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R941" s="23"/>
      <c r="U941" s="11"/>
    </row>
    <row r="942" spans="1:21" ht="14.25" customHeight="1" x14ac:dyDescent="0.25">
      <c r="A942" s="484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R942" s="23"/>
      <c r="U942" s="11"/>
    </row>
    <row r="943" spans="1:21" ht="14.25" customHeight="1" x14ac:dyDescent="0.25">
      <c r="A943" s="484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R943" s="23"/>
      <c r="U943" s="11"/>
    </row>
    <row r="944" spans="1:21" ht="14.25" customHeight="1" x14ac:dyDescent="0.25">
      <c r="A944" s="484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R944" s="23"/>
      <c r="U944" s="11"/>
    </row>
    <row r="945" spans="1:21" ht="14.25" customHeight="1" x14ac:dyDescent="0.25">
      <c r="A945" s="484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R945" s="23"/>
      <c r="U945" s="11"/>
    </row>
    <row r="946" spans="1:21" ht="14.25" customHeight="1" x14ac:dyDescent="0.25">
      <c r="A946" s="484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R946" s="23"/>
      <c r="U946" s="11"/>
    </row>
    <row r="947" spans="1:21" ht="14.25" customHeight="1" x14ac:dyDescent="0.25">
      <c r="A947" s="484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R947" s="23"/>
      <c r="U947" s="11"/>
    </row>
    <row r="948" spans="1:21" ht="14.25" customHeight="1" x14ac:dyDescent="0.25">
      <c r="A948" s="484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R948" s="23"/>
      <c r="U948" s="11"/>
    </row>
    <row r="949" spans="1:21" ht="14.25" customHeight="1" x14ac:dyDescent="0.25">
      <c r="A949" s="484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R949" s="23"/>
      <c r="U949" s="11"/>
    </row>
    <row r="950" spans="1:21" ht="14.25" customHeight="1" x14ac:dyDescent="0.25">
      <c r="A950" s="484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R950" s="23"/>
      <c r="U950" s="11"/>
    </row>
    <row r="951" spans="1:21" ht="14.25" customHeight="1" x14ac:dyDescent="0.25">
      <c r="A951" s="484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R951" s="23"/>
      <c r="U951" s="11"/>
    </row>
    <row r="952" spans="1:21" ht="14.25" customHeight="1" x14ac:dyDescent="0.25">
      <c r="A952" s="484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R952" s="23"/>
      <c r="U952" s="11"/>
    </row>
    <row r="953" spans="1:21" ht="14.25" customHeight="1" x14ac:dyDescent="0.25">
      <c r="A953" s="484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R953" s="23"/>
      <c r="U953" s="11"/>
    </row>
    <row r="954" spans="1:21" ht="14.25" customHeight="1" x14ac:dyDescent="0.25">
      <c r="A954" s="484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R954" s="23"/>
      <c r="U954" s="11"/>
    </row>
    <row r="955" spans="1:21" ht="14.25" customHeight="1" x14ac:dyDescent="0.25">
      <c r="A955" s="484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R955" s="23"/>
      <c r="U955" s="11"/>
    </row>
    <row r="956" spans="1:21" ht="14.25" customHeight="1" x14ac:dyDescent="0.25">
      <c r="A956" s="484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R956" s="23"/>
      <c r="U956" s="11"/>
    </row>
    <row r="957" spans="1:21" ht="14.25" customHeight="1" x14ac:dyDescent="0.25">
      <c r="A957" s="484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R957" s="23"/>
      <c r="U957" s="11"/>
    </row>
    <row r="958" spans="1:21" ht="14.25" customHeight="1" x14ac:dyDescent="0.25">
      <c r="A958" s="484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R958" s="23"/>
      <c r="U958" s="11"/>
    </row>
    <row r="959" spans="1:21" ht="14.25" customHeight="1" x14ac:dyDescent="0.25">
      <c r="A959" s="484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R959" s="23"/>
      <c r="U959" s="11"/>
    </row>
    <row r="960" spans="1:21" ht="14.25" customHeight="1" x14ac:dyDescent="0.25">
      <c r="A960" s="484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R960" s="23"/>
      <c r="U960" s="11"/>
    </row>
    <row r="961" spans="1:21" ht="14.25" customHeight="1" x14ac:dyDescent="0.25">
      <c r="A961" s="484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R961" s="23"/>
      <c r="U961" s="11"/>
    </row>
    <row r="962" spans="1:21" ht="14.25" customHeight="1" x14ac:dyDescent="0.25">
      <c r="A962" s="484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R962" s="23"/>
      <c r="U962" s="11"/>
    </row>
    <row r="963" spans="1:21" ht="14.25" customHeight="1" x14ac:dyDescent="0.25">
      <c r="A963" s="484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R963" s="23"/>
      <c r="U963" s="11"/>
    </row>
    <row r="964" spans="1:21" ht="14.25" customHeight="1" x14ac:dyDescent="0.25">
      <c r="A964" s="484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R964" s="23"/>
      <c r="U964" s="11"/>
    </row>
    <row r="965" spans="1:21" ht="14.25" customHeight="1" x14ac:dyDescent="0.25">
      <c r="A965" s="484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R965" s="23"/>
      <c r="U965" s="11"/>
    </row>
    <row r="966" spans="1:21" ht="14.25" customHeight="1" x14ac:dyDescent="0.25">
      <c r="A966" s="484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R966" s="23"/>
      <c r="U966" s="11"/>
    </row>
    <row r="967" spans="1:21" ht="14.25" customHeight="1" x14ac:dyDescent="0.25">
      <c r="A967" s="484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R967" s="23"/>
      <c r="U967" s="11"/>
    </row>
    <row r="968" spans="1:21" ht="14.25" customHeight="1" x14ac:dyDescent="0.25">
      <c r="A968" s="484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R968" s="23"/>
      <c r="U968" s="11"/>
    </row>
    <row r="969" spans="1:21" ht="14.25" customHeight="1" x14ac:dyDescent="0.25">
      <c r="A969" s="484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R969" s="23"/>
      <c r="U969" s="11"/>
    </row>
    <row r="970" spans="1:21" ht="14.25" customHeight="1" x14ac:dyDescent="0.25">
      <c r="A970" s="484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R970" s="23"/>
      <c r="U970" s="11"/>
    </row>
    <row r="971" spans="1:21" ht="14.25" customHeight="1" x14ac:dyDescent="0.25">
      <c r="A971" s="484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R971" s="23"/>
      <c r="U971" s="11"/>
    </row>
    <row r="972" spans="1:21" ht="14.25" customHeight="1" x14ac:dyDescent="0.25">
      <c r="A972" s="484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R972" s="23"/>
      <c r="U972" s="11"/>
    </row>
    <row r="973" spans="1:21" ht="14.25" customHeight="1" x14ac:dyDescent="0.25">
      <c r="A973" s="484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R973" s="23"/>
      <c r="U973" s="11"/>
    </row>
    <row r="974" spans="1:21" ht="14.25" customHeight="1" x14ac:dyDescent="0.25">
      <c r="A974" s="484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R974" s="23"/>
      <c r="U974" s="11"/>
    </row>
    <row r="975" spans="1:21" ht="14.25" customHeight="1" x14ac:dyDescent="0.25">
      <c r="A975" s="484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R975" s="23"/>
      <c r="U975" s="11"/>
    </row>
    <row r="976" spans="1:21" ht="14.25" customHeight="1" x14ac:dyDescent="0.25">
      <c r="A976" s="484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R976" s="23"/>
      <c r="U976" s="11"/>
    </row>
    <row r="977" spans="1:21" ht="14.25" customHeight="1" x14ac:dyDescent="0.25">
      <c r="A977" s="484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R977" s="23"/>
      <c r="U977" s="11"/>
    </row>
    <row r="978" spans="1:21" ht="14.25" customHeight="1" x14ac:dyDescent="0.25">
      <c r="A978" s="484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R978" s="23"/>
      <c r="U978" s="11"/>
    </row>
    <row r="979" spans="1:21" ht="14.25" customHeight="1" x14ac:dyDescent="0.25">
      <c r="A979" s="484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R979" s="23"/>
      <c r="U979" s="11"/>
    </row>
    <row r="980" spans="1:21" ht="14.25" customHeight="1" x14ac:dyDescent="0.25">
      <c r="A980" s="484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R980" s="23"/>
      <c r="U980" s="11"/>
    </row>
    <row r="981" spans="1:21" ht="14.25" customHeight="1" x14ac:dyDescent="0.25">
      <c r="A981" s="484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R981" s="23"/>
      <c r="U981" s="11"/>
    </row>
    <row r="982" spans="1:21" ht="14.25" customHeight="1" x14ac:dyDescent="0.25">
      <c r="A982" s="484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R982" s="23"/>
      <c r="U982" s="11"/>
    </row>
    <row r="983" spans="1:21" ht="14.25" customHeight="1" x14ac:dyDescent="0.25">
      <c r="A983" s="484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R983" s="23"/>
      <c r="U983" s="11"/>
    </row>
    <row r="984" spans="1:21" ht="14.25" customHeight="1" x14ac:dyDescent="0.25">
      <c r="A984" s="484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R984" s="23"/>
      <c r="U984" s="11"/>
    </row>
    <row r="985" spans="1:21" ht="14.25" customHeight="1" x14ac:dyDescent="0.25">
      <c r="A985" s="484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R985" s="23"/>
      <c r="U985" s="11"/>
    </row>
    <row r="986" spans="1:21" ht="14.25" customHeight="1" x14ac:dyDescent="0.25">
      <c r="A986" s="484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R986" s="23"/>
      <c r="U986" s="11"/>
    </row>
    <row r="987" spans="1:21" ht="14.25" customHeight="1" x14ac:dyDescent="0.25">
      <c r="A987" s="484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R987" s="23"/>
      <c r="U987" s="11"/>
    </row>
    <row r="988" spans="1:21" ht="14.25" customHeight="1" x14ac:dyDescent="0.25">
      <c r="A988" s="484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R988" s="23"/>
      <c r="U988" s="11"/>
    </row>
    <row r="989" spans="1:21" ht="14.25" customHeight="1" x14ac:dyDescent="0.25">
      <c r="A989" s="484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R989" s="23"/>
      <c r="U989" s="11"/>
    </row>
    <row r="990" spans="1:21" ht="14.25" customHeight="1" x14ac:dyDescent="0.25">
      <c r="A990" s="484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R990" s="23"/>
      <c r="U990" s="11"/>
    </row>
    <row r="991" spans="1:21" ht="14.25" customHeight="1" x14ac:dyDescent="0.25">
      <c r="A991" s="484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R991" s="23"/>
      <c r="U991" s="11"/>
    </row>
    <row r="992" spans="1:21" ht="14.25" customHeight="1" x14ac:dyDescent="0.25">
      <c r="A992" s="484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R992" s="23"/>
      <c r="U992" s="11"/>
    </row>
    <row r="993" spans="1:21" ht="14.25" customHeight="1" x14ac:dyDescent="0.25">
      <c r="A993" s="484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R993" s="23"/>
      <c r="U993" s="11"/>
    </row>
    <row r="994" spans="1:21" ht="14.25" customHeight="1" x14ac:dyDescent="0.25">
      <c r="A994" s="484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R994" s="23"/>
      <c r="U994" s="11"/>
    </row>
    <row r="995" spans="1:21" ht="14.25" customHeight="1" x14ac:dyDescent="0.25">
      <c r="A995" s="484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R995" s="23"/>
      <c r="U995" s="11"/>
    </row>
    <row r="996" spans="1:21" ht="14.25" customHeight="1" x14ac:dyDescent="0.25">
      <c r="A996" s="484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R996" s="23"/>
      <c r="U996" s="11"/>
    </row>
    <row r="997" spans="1:21" ht="14.25" customHeight="1" x14ac:dyDescent="0.25">
      <c r="A997" s="484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R997" s="23"/>
      <c r="U997" s="11"/>
    </row>
    <row r="998" spans="1:21" ht="14.25" customHeight="1" x14ac:dyDescent="0.25">
      <c r="A998" s="484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R998" s="23"/>
      <c r="U998" s="11"/>
    </row>
    <row r="999" spans="1:21" ht="14.25" customHeight="1" x14ac:dyDescent="0.25">
      <c r="A999" s="484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R999" s="23"/>
      <c r="U999" s="11"/>
    </row>
    <row r="1000" spans="1:21" ht="14.25" customHeight="1" x14ac:dyDescent="0.25">
      <c r="A1000" s="484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R1000" s="23"/>
      <c r="U1000" s="11"/>
    </row>
  </sheetData>
  <mergeCells count="1">
    <mergeCell ref="C1:H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Sheet1</vt:lpstr>
      <vt:lpstr>Share Count</vt:lpstr>
      <vt:lpstr>Net Worth</vt:lpstr>
      <vt:lpstr>50-30-20</vt:lpstr>
      <vt:lpstr>Proposed Budget</vt:lpstr>
      <vt:lpstr>Monthly Breakdown</vt:lpstr>
      <vt:lpstr>Budget Breakdown</vt:lpstr>
      <vt:lpstr>Checking Transaction Log</vt:lpstr>
      <vt:lpstr>Savings Transaction Log</vt:lpstr>
      <vt:lpstr>Rental Breakdown</vt:lpstr>
      <vt:lpstr>Retirement Calculator</vt:lpstr>
      <vt:lpstr>TSP-401K</vt:lpstr>
      <vt:lpstr>Combined Retirement</vt:lpstr>
      <vt:lpstr>Isaac 401k</vt:lpstr>
      <vt:lpstr>Lorri 401b</vt:lpstr>
      <vt:lpstr>Guard Ret Calc</vt:lpstr>
      <vt:lpstr>Accounts</vt:lpstr>
      <vt:lpstr>Electric-Gas</vt:lpstr>
      <vt:lpstr>Investment 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isaac.martin</dc:creator>
  <cp:lastModifiedBy>Isaac Martin</cp:lastModifiedBy>
  <dcterms:created xsi:type="dcterms:W3CDTF">2010-12-01T13:47:18Z</dcterms:created>
  <dcterms:modified xsi:type="dcterms:W3CDTF">2026-10-29T14:56:34Z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68ff4326-c609-4f4a-9628-f2d96af0a99d</vt:lpwstr>
  </property>
</Properties>
</file>